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and Version N" sheetId="1" r:id="rId5"/>
    <sheet state="visible" name="PROFICIENCYVALUES" sheetId="2" r:id="rId6"/>
    <sheet state="visible" name="CLASSPROFILES" sheetId="3" r:id="rId7"/>
    <sheet state="visible" name="CLASSDATA" sheetId="4" r:id="rId8"/>
    <sheet state="visible" name="CLASSTOTALS" sheetId="5" r:id="rId9"/>
    <sheet state="visible" name="Class-Archetype Values" sheetId="6" r:id="rId10"/>
    <sheet state="visible" name="SPECIALCLASSDATA" sheetId="7" r:id="rId11"/>
    <sheet state="visible" name="MinMax for Profiles-Design Guid" sheetId="8" r:id="rId12"/>
    <sheet state="visible" name="Profile Analysis" sheetId="9" r:id="rId13"/>
    <sheet state="visible" name="Save Analysis" sheetId="10" r:id="rId14"/>
    <sheet state="visible" name="Original Save Analysis" sheetId="11" r:id="rId15"/>
    <sheet state="visible" name="Original Classes Compared" sheetId="12" r:id="rId16"/>
    <sheet state="visible" name="Ancestries (Incomplete)" sheetId="13" r:id="rId17"/>
    <sheet state="visible" name="DualClass Calculator" sheetId="14" r:id="rId18"/>
    <sheet state="visible" name="Open Game License (OGL)" sheetId="15" r:id="rId19"/>
  </sheets>
  <definedNames>
    <definedName name="HPvalue">PROFICIENCYVALUES!$B$7</definedName>
    <definedName name="WeaponWS">PROFICIENCYVALUES!$B$17</definedName>
    <definedName name="CLASSNUMBERFINDER">PROFICIENCYVALUES!$A$24:$B$47</definedName>
    <definedName name="CLASSLIST">PROFICIENCYVALUES!$C$24:$E$47</definedName>
    <definedName name="Expert">PROFICIENCYVALUES!$B$4</definedName>
    <definedName name="CLASSPROFILEHEADERS">CLASSPROFILES!$A$2:$A$25</definedName>
    <definedName name="CLASSNAMEHEADERS">CLASSDATA!$F$3:$BA$3</definedName>
    <definedName name="RangeWeaponGroups">PROFICIENCYVALUES!$A$59:$A$75</definedName>
    <definedName name="CLASSPICKER">PROFICIENCYVALUES!$A$24:$A$47</definedName>
    <definedName name="RangeClassProfiles">PROFICIENCYVALUES!$A$51:$A$56</definedName>
    <definedName name="CLASSPROFILEDATA">CLASSPROFILES!$B$2:$G$25</definedName>
    <definedName name="SpellSlot">PROFICIENCYVALUES!$B$13</definedName>
    <definedName name="RangeSkillNames">PROFICIENCYVALUES!$A$86:$A$102</definedName>
    <definedName name="AlchemicalFormula">PROFICIENCYVALUES!$B$15</definedName>
    <definedName name="SkillFeat">PROFICIENCYVALUES!$B$9</definedName>
    <definedName name="Trained">PROFICIENCYVALUES!$B$3</definedName>
    <definedName name="CantripLearned">PROFICIENCYVALUES!$B$10</definedName>
    <definedName name="Master">PROFICIENCYVALUES!$B$5</definedName>
    <definedName name="RangeAbilityScores">PROFICIENCYVALUES!$A$78:$A$83</definedName>
    <definedName name="WeaponCS">PROFICIENCYVALUES!$B$16</definedName>
    <definedName name="CLASSFEATUREHEADERS">CLASSDATA!$A$5:$A$279</definedName>
    <definedName name="Untrained">PROFICIENCYVALUES!$B$2</definedName>
    <definedName name="ALLCLASSDATA">CLASSDATA!$F$5:$BA$279</definedName>
    <definedName name="Legendary">PROFICIENCYVALUES!$B$6</definedName>
    <definedName name="ProficiencyValues">PROFICIENCYVALUES!$A$2:$B$6</definedName>
    <definedName name="ArmorAS">PROFICIENCYVALUES!$B$19</definedName>
    <definedName name="SkillIncrease">PROFICIENCYVALUES!$B$8</definedName>
    <definedName name="SpellSlotS10">PROFICIENCYVALUES!$B$14</definedName>
    <definedName name="CantripSlot">PROFICIENCYVALUES!$B$11</definedName>
    <definedName name="SpellLearned">PROFICIENCYVALUES!$B$12</definedName>
    <definedName name="WeaponGWS">PROFICIENCYVALUES!$B$18</definedName>
    <definedName name="CLASSPROFILENAMES">CLASSPROFILES!$B$1:$G$1</definedName>
    <definedName hidden="1" localSheetId="4" name="_xlnm._FilterDatabase">CLASSTOTALS!$A$2:$AA$2186</definedName>
    <definedName hidden="1" localSheetId="5" name="_xlnm._FilterDatabase">'Class-Archetype Values'!$A$2:$Z$912</definedName>
    <definedName hidden="1" localSheetId="9" name="_xlnm._FilterDatabase">'Save Analysis'!$A$2:$AD$87</definedName>
    <definedName hidden="1" localSheetId="10" name="_xlnm._FilterDatabase">'Original Save Analysis'!$A$2:$AB$24</definedName>
    <definedName hidden="1" localSheetId="11" name="_xlnm._FilterDatabase">'Original Classes Compared'!$B$1:$Z$172</definedName>
    <definedName hidden="1" localSheetId="12" name="_xlnm._FilterDatabase">'Ancestries (Incomplete)'!$C$1:$Q$906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5">
      <text>
        <t xml:space="preserve">including Armor Specialization</t>
      </text>
    </comment>
    <comment authorId="0" ref="B1">
      <text>
        <t xml:space="preserve">These are all Defined Name cells</t>
      </text>
    </comment>
    <comment authorId="0" ref="A160">
      <text>
        <t xml:space="preserve">you should probably add Critical Specialization for the weapon adept weapon/group</t>
      </text>
    </comment>
    <comment authorId="0" ref="B15">
      <text>
        <t xml:space="preserve">I'm less certain about this now. It may be that formulas are 2 for 5pts/4 for 10pts, or it may be that they do not have a cost at all</t>
      </text>
    </comment>
    <comment authorId="0" ref="A139">
      <text>
        <t xml:space="preserve">including Critical Specialization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N198">
      <text>
        <t xml:space="preserve">Inspire Courage
Cantrip 1
Cast  verbal
Area 60-foot emanation
Duration 1 round
You inspire your allies with words or tunes of encouragement. You and all allies in the area gain a +1 status bonus to attack rolls, damage rolls, and saves against fear effects.</t>
      </text>
    </comment>
    <comment authorId="0" ref="AO198">
      <text>
        <t xml:space="preserve">Inspire Courage archetype feat 8</t>
      </text>
    </comment>
    <comment authorId="0" ref="AQ198">
      <text>
        <t xml:space="preserve">domain spells are usually level 1 feats?</t>
      </text>
    </comment>
    <comment authorId="0" ref="AU198">
      <text>
        <t xml:space="preserve">3rd level focus spell would need to be a 5th level feat?</t>
      </text>
    </comment>
    <comment authorId="0" ref="U265">
      <text>
        <t xml:space="preserve">really not sure about this, but it needs 10 points to balance and this is the only other class feature that I can see that might need a value?</t>
      </text>
    </comment>
    <comment authorId="0" ref="AY198">
      <text>
        <t xml:space="preserve">focus cantrips are 5 pts because they are like spontaneous cantrips, which don't have slots, only learned</t>
      </text>
    </comment>
    <comment authorId="0" ref="T67">
      <text>
        <t xml:space="preserve">Thaumaturgic Expertise
Level 9
You've learned deeper secrets of the supernatural, and your abilities are harder to resist. Your proficiency rank for your thaumaturge class DC increases to expert.
You also gain an additional skill increase, which you can apply only to Arcana, Nature, Occultism, or Religion.</t>
      </text>
    </comment>
    <comment authorId="0" ref="AU199">
      <text>
        <t xml:space="preserve">5th level focus spell would need to be a 9th level feat?</t>
      </text>
    </comment>
    <comment authorId="0" ref="T266">
      <text>
        <t xml:space="preserve">You have deepened your connection to one of your implements, unlocking its adept power. Choose one of your implements and gain the adept benefit for that implement.</t>
      </text>
    </comment>
    <comment authorId="0" ref="U266">
      <text>
        <t xml:space="preserve">compare wand adept benefit for cold to Sprite Catchy Tune Feat 5 crit success effect, plus other stuff. Very hard to compare all these adept benefits, but I THINK they are all about 50 pts</t>
      </text>
    </comment>
    <comment authorId="0" ref="P68">
      <text>
        <t xml:space="preserve">You gain more skill increases than members of other classes. At 2nd level and every level thereafter, you gain a skill increase.</t>
      </text>
    </comment>
    <comment authorId="0" ref="R68">
      <text>
        <t xml:space="preserve">You gain more skill increases than members of other classes. At 2nd level and every level thereafter, you gain a skill increase.</t>
      </text>
    </comment>
    <comment authorId="0" ref="Z266">
      <text>
        <t xml:space="preserve">Breakthrough Innovation
Level 7
You've made a breakthrough in your field of study and discovered a powerful new way to enhance your innovation. Choose a breakthrough modification of your innovation's type to apply to your innovation. You can choose an initial modification of your innovation's type instead if you prefer.</t>
      </text>
    </comment>
    <comment authorId="0" ref="AA266">
      <text>
        <t xml:space="preserve">archetype feat 8 for Basic Modification</t>
      </text>
    </comment>
    <comment authorId="0" ref="AB266">
      <text>
        <t xml:space="preserve">Perpetual Infusions
Level 7
You have learned how to create perpetual alchemical infusions that can provide a near-infinite supply of certain simple items. You gain the ability to create two 1st-level alchemical items using Quick Alchemy without spending a batch of infused reagents. The items you can select depend on your research field and must be in your formula book.
Each time you gain a level, you can swap any number
of your perpetual infusions with other eligible infusions.</t>
      </text>
    </comment>
    <comment authorId="0" ref="AF266">
      <text>
        <t xml:space="preserve">Eidolon Symbiosis
Level 7
Your connection with your eidolon strengthens, granting your eidolon access to a new ability depending on its type, as described in Eidolon Abilities in each eidolon's entry.</t>
      </text>
    </comment>
    <comment authorId="0" ref="AH266">
      <text>
        <t xml:space="preserve">Studious Spells
Level 7
Your hybrid study grants you additional spells that can enhance your power in combat. You gain two special 2nd-level studious spell slots, which can be used to prepare spider climb, true strike, water breathing, and an additional spell depending on your hybrid study. You add any spells from this class feature to your spellbook. At 11th level, the extra slots increase to 3rd level and you add haste and an additional spell depending on your hybrid study. At 13th level, the extra slots increase to 4th level and you add fly and an additional spell depending on your hybrid study.</t>
      </text>
    </comment>
    <comment authorId="0" ref="AJ266">
      <text>
        <t xml:space="preserve">Third Doctrine (7th): You gain expert proficiency with your deity’s favored weapon, simple weapons, and unarmed attacks. When you critically succeed at an attack roll using your deity’s favored weapon, you apply the weapon’s critical specialization effect; use your divine spell DC if necessary.</t>
      </text>
    </comment>
    <comment authorId="0" ref="AK266">
      <text>
        <t xml:space="preserve">ERRATA: THEY ADDED SIMPLE WEAPON PROFICIENCY</t>
      </text>
    </comment>
    <comment authorId="0" ref="AL266">
      <text>
        <t xml:space="preserve">Third Doctrine (7th): Your proficiency ranks for divine spell attack rolls and spell DCs increase to expert</t>
      </text>
    </comment>
    <comment authorId="0" ref="AF267">
      <text>
        <t xml:space="preserve">Eidolon Weapon Specialization
Level 7
Your eidolon has learned how to inflict greater injuries with its unarmed attacks. It deals 2 additional damage with unarmed attacks in which it's an expert. This damage increases to 3 if it's a master, and 4 if it's legendary.</t>
      </text>
    </comment>
    <comment authorId="0" ref="AC3">
      <text>
        <t xml:space="preserve">I have the least confidence in Alchemist numbers because there is very little to compare it to. So its almost impossible to verify or test these numbers for formulas and infusions. Take Alchemist numbers with a HUGE grain of salt.</t>
      </text>
    </comment>
    <comment authorId="0" ref="F268">
      <text>
        <t xml:space="preserve">Divine Smite
Level 9
Your champion’s reaction improves.</t>
      </text>
    </comment>
    <comment authorId="0" ref="T268">
      <text>
        <t xml:space="preserve">You've learned to use your implement to further assault a creature whose vulnerabilities you're exploiting. You gain the intensify vulnerability benefit of all of your implements, as well as the following action.
Intensify Vulnerability
ConcentrateDivinationEsotericaMagicalThaumaturge
Frequency once per round
Requirements You're benefiting from Exploit Vulnerability, you can see the subject, and you haven't used Exploit Vulnerability this round.
You present your implement and esoterica again, intensifying their effects on the target in a way unique to your implement. You gain the intensified vulnerability benefit from one of the implements you're holding, which lasts until the beginning of your next turn.</t>
      </text>
    </comment>
    <comment authorId="0" ref="P70">
      <text>
        <t xml:space="preserve">You gain more skill increases than members of other classes. At 2nd level and every level thereafter, you gain a skill increase.</t>
      </text>
    </comment>
    <comment authorId="0" ref="V268">
      <text>
        <t xml:space="preserve">Exemplary Finisher
Level 9
You execute your finishing moves with spectacular flair, adding special effects to your finishers. If a Strike you make as part of a finisher hits a foe, you add one of the following effects to the Strike, depending on your swashbuckler's style.</t>
      </text>
    </comment>
    <comment authorId="0" ref="W268">
      <text>
        <t xml:space="preserve">Battledancer style lets you step as a free action which compares to Monk Peafowl Stance Feat 4</t>
      </text>
    </comment>
    <comment authorId="0" ref="R70">
      <text>
        <t xml:space="preserve">You gain more skill increases than members of other classes. At 2nd level and every level thereafter, you gain a skill increase.</t>
      </text>
    </comment>
    <comment authorId="0" ref="X268">
      <text>
        <t xml:space="preserve">Advanced Deed
Level 9
You've learned a powerful new technique of your chosen way. You gain the advanced deed ability of the way you chose at 1st level.</t>
      </text>
    </comment>
    <comment authorId="0" ref="Y268">
      <text>
        <t xml:space="preserve">guessing based on initial deed being 50 but see Fighter Dual Handed Assault feat 4, somewhat similar to Drifters Advanced Deed?</t>
      </text>
    </comment>
    <comment authorId="0" ref="Z268">
      <text>
        <t xml:space="preserve">Offensive Boost
Level 9
You've made additions to your innovation to upgrade your offensive capabilities. Your improvements make any Strikes that rely on your innovation deal an additional 1d6 damage, with a type determined by the boost you choose. If your innovation is armor, the boost applies to your melee unarmed Strikes and to your melee Strikes with one weapon you choose during daily preparations; if your innovation is a construct, the boost applies to your construct companion's Strikes; and if your innovation is a weapon, the boost applies to your Strikes with your innovation. You can spend downtime to switch to a different boost in the same way as switching your modification. Choose one of the following boosts, with the damage type in parentheses.
Chill (Cold): Your innovation rapidly absorbs heat, creating an intense chill.
Ignition (Fire): Your innovation shoots out jets of searing flame.
Jolt (Electricity): Your innovation jolts foes with charges of electricity.
Momentum (Bludgeoning): Your innovation slams into foes with added momentum.
Saws (Slashing): Your innovation reveals spinning sawblades during your attacks.
Spike (Piercing): Your innovation reveals wicked spikes during your attacks.
Vitriol (Acid): Your innovation releases spurts of caustic acid.</t>
      </text>
    </comment>
    <comment authorId="0" ref="AA268">
      <text>
        <t xml:space="preserve">compare to Cleric Divine Weapon Feat 6</t>
      </text>
    </comment>
    <comment authorId="0" ref="A5">
      <text>
        <t xml:space="preserve">Based on Profiles, these may be updated over time with community feedback to better categorize/type/profile classes</t>
      </text>
    </comment>
    <comment authorId="0" ref="F270">
      <text>
        <t xml:space="preserve">Exalt
Level 11
Your champion’s reaction exalts nearby allies, allowing them to benefit as well.</t>
      </text>
    </comment>
    <comment authorId="0" ref="F204">
      <text>
        <t xml:space="preserve">Champion's Code
You follow a code of conduct, beginning with tenets shared by all champions of an alignment (such as good), and continuing with tenets of your cause. Deities often add additional strictures (for instance, Torag’s champions can’t show mercy to enemies of their people, making it almost impossible for them to follow the redeemer cause). Tenets are listed in order of importance, starting with the most important. If a situation places two tenets in conflict, you aren’t in a no-win situation; instead, follow the more important tenet. For instance, as a paladin, if an evil king asked you if you’re hiding refugees so he could execute them, you could lie to him, since the tenet against lying is less important than preventing harm to innocents. Trying to subvert your code by creating a situation that forces a higher tenet to override a lower tenet (for example, promising not to respect authorities and then, to keep your word, disrespecting authorities) is a violation of the champion code.
If you stray from your alignment or violate your code of conduct, you lose your focus pool and divine ally until you demonstrate your repentance by conducting an atone ritual, but you keep any other champion abilities that don’t require those class features. If your alignment shifts but is still one allowed by your deity, your GM might let you retrain your cause while still following the same deity.</t>
      </text>
    </comment>
    <comment authorId="0" ref="H204">
      <text>
        <t xml:space="preserve">Flurry of Blows
Single Action
FlourishMonk
Make two unarmed Strikes. If both hit the same creature, combine their damage for the purpose of resistances and weaknesses. Apply your multiple attack penalty to the Strikes normally. As it has the flourish trait, you can use Flurry of Blows only once per turn.</t>
      </text>
    </comment>
    <comment authorId="0" ref="I204">
      <text>
        <t xml:space="preserve">level 10 archetype feat</t>
      </text>
    </comment>
    <comment authorId="0" ref="J204">
      <text>
        <t xml:space="preserve">Attack of Opportunity
Reaction
Source Core Rulebook pg. 142 2.0
Trigger A creature within your reach uses a manipulate action or a move action, makes a ranged attack, or leaves a square during a move action it’s using.
You lash out at a foe that leaves an opening. Make a melee Strike against the triggering creature. If your attack is a critical hit and the trigger was a manipulate action, you disrupt that action. This Strike doesn’t count toward your multiple attack penalty, and your multiple attack penalty doesn’t apply to this Strike.</t>
      </text>
    </comment>
    <comment authorId="0" ref="K204">
      <text>
        <t xml:space="preserve">Although this is a level 6 class feat for some classes, this is a level 4 feat for the Fighter Archetype</t>
      </text>
    </comment>
    <comment authorId="0" ref="L204">
      <text>
        <t xml:space="preserve">Rage
You gain the Rage action, which lets you fly into a frenzy.
Rage
Single Action
BarbarianConcentrateEmotionMental
Requirements You aren’t fatigued or raging.
You tap into your inner fury and begin raging. You gain a number of temporary Hit Points equal to your level plus your Constitution modifier. This frenzy lasts for 1 minute, until there are no enemies you can perceive, or until you fall unconscious, whichever comes first. You can't voluntarily stop raging. While you are raging:
You deal 2 additional damage with melee Strikes. This additional damage is halved if your weapon or unarmed attack is agile.
You take a –1 penalty to AC.
You can't use actions with the concentrate trait unless they also have the rage trait. You can Seek while raging.
After you stop raging, you lose any remaining temporary Hit Points from Rage, and you can't Rage again for 1 minute.</t>
      </text>
    </comment>
    <comment authorId="0" ref="M204">
      <text>
        <t xml:space="preserve">archetype dedication 2 gives Rage plus one skill training</t>
      </text>
    </comment>
    <comment authorId="0" ref="N204">
      <text>
        <t xml:space="preserve">Hunt Prey
Single Action
ConcentrateRanger
You designate a single creature as your prey and focus your attacks against that creature. You must be able to see or hear the prey, or you must be tracking the prey during exploration.
You gain a +2 circumstance bonus to Perception checks when you Seek your prey and a +2 circumstance bonus to Survival checks when you Track your prey. You also ignore the penalty for making ranged attacks within your second range increment against the prey you’re hunting.
You can have only one creature designated as your prey at a time. If you use Hunt Prey against a creature when you already have a creature designated, the prior creature loses the designation and the new prey gains the designation. Your designation lasts until your next daily preparations.</t>
      </text>
    </comment>
    <comment authorId="0" ref="O204">
      <text>
        <t xml:space="preserve">archetype dedication gives hunt prey and one skill increase</t>
      </text>
    </comment>
    <comment authorId="0" ref="P204">
      <text>
        <t xml:space="preserve">Skill Feats
You gain skill feats more often than others. At 1st level and every level thereafter, you gain a skill feat. Skill feats can be found in Chapter 5 and have the skill trait.</t>
      </text>
    </comment>
    <comment authorId="0" ref="R204">
      <text>
        <t xml:space="preserve">Strategic Strike
When you strike carefully and with forethought, you deal a telling blow. When making a Strike that adds your Intelligence modifier on your attack roll due to Devising a Stratagem, you deal an additional 1d6 precision damage.
As your investigator level increases, so too does the deadliness of your strategic strike. Increase the number of dice by one at 5th, 9th, 13th, and 17th levels.</t>
      </text>
    </comment>
    <comment authorId="0" ref="T270">
      <text>
        <t xml:space="preserve">You've improved your link to your second implement. You gain the adept benefit of your second implement.</t>
      </text>
    </comment>
    <comment authorId="0" ref="S204">
      <text>
        <t xml:space="preserve">based on Power Attack figher feat 1</t>
      </text>
    </comment>
    <comment authorId="0" ref="U270">
      <text>
        <t xml:space="preserve">compare wand adept benefit for cold to Sprite Catchy Tune Feat 5 crit success effect, plus other stuff. Very hard to compare all these adept benefits, but I THINK they are all about 50 pts</t>
      </text>
    </comment>
    <comment authorId="0" ref="P72">
      <text>
        <t xml:space="preserve">You gain more skill increases than members of other classes. At 2nd level and every level thereafter, you gain a skill increase.</t>
      </text>
    </comment>
    <comment authorId="0" ref="T204">
      <text>
        <t xml:space="preserve">Your experience with the unknown, as well as the tales you've exchanged with other thaumaturges, has taught you about strange phenomena of every kind. You become trained in Esoteric Lore, a special lore skill that can be used to Recall Knowledge regarding haunts, curses, and creatures of any type, but that can't be used to Recall Knowledge of other topics. Unlike a normal Lore skill, you use Charisma as your modifier on Esoteric Lore checks. You also gain the Dubious Knowledge skill feat.
At 3rd level, you become an expert in Esoteric Lore; at 7th level, you become a master in Esoteric Lore; and at 15th level, you become legendary in Esoteric Lore.</t>
      </text>
    </comment>
    <comment authorId="0" ref="U204">
      <text>
        <t xml:space="preserve">cost shown in skill section:
Trained, Expert, Master and Legendary increases to this lore skill, 5 pts each as usual (Bardic Lore is a similar advanced unique lore skill and it is a level 1 feat, 10 pts for Trained and Expert scaling, so that checks out)</t>
      </text>
    </comment>
    <comment authorId="0" ref="R72">
      <text>
        <t xml:space="preserve">You gain more skill increases than members of other classes. At 2nd level and every level thereafter, you gain a skill increase.</t>
      </text>
    </comment>
    <comment authorId="0" ref="V204">
      <text>
        <t xml:space="preserve">Confident Finisher
You gain an elegant finishing attack you can make when you have panache. You gain the Confident Finisher action.
Confident Finisher
Single Action
FinisherSwashbuckler
You make an incredibly graceful attack, piercing your foe's defenses. Make a Strike with a weapon or unarmed attack that would apply your precise strike damage, with the following failure effect.
Failure You deal half your precise strike damage to the target. This damage type is that of the weapon or unarmed attack you used for the Strike.</t>
      </text>
    </comment>
    <comment authorId="0" ref="W204">
      <text>
        <t xml:space="preserve">archetype feat 4 gives both Precise Strike and a lesser Basic Finisher</t>
      </text>
    </comment>
    <comment authorId="0" ref="X204">
      <text>
        <t xml:space="preserve">Singular Expertise
You have particular expertise with guns and crossbows that grants you greater proficiency with them and the ability to deal more damage. You gain a +1 circumstance bonus to damage rolls with firearms and crossbows.
This intense focus on firearms and crossbows prevents you from reaching the same heights with other weapons. Your proficiency with unarmed attacks and with weapons other than firearms and crossbows can't be higher than trained, even if you gain an ability that would increase your proficiency in one or more other weapons to match your highest weapon proficiency (such as the weapon expertise feats many ancestries have). If you have gunslinger weapon mastery, the limit is expert, and if you have gunslinging legend, the limit is master.</t>
      </text>
    </comment>
    <comment authorId="0" ref="Y204">
      <text>
        <t xml:space="preserve">see Crossbow Terror feat 6 which gives a +2 bonus compared to this giving +1, so half cost? or is it like incredible initiative general feat 1?</t>
      </text>
    </comment>
    <comment authorId="0" ref="Z204">
      <text>
        <t xml:space="preserve">Overdrive
You have a bevy of smaller devices of your own invention, from muscle stimulants to concussive pistons. When it's necessary, you can throw them into overdrive to assist you in combat.
Overdrive
Single Action
InventorManipulate
Frequency once per round
Temporarily cranking the gizmos on your body into overdrive, you try to add greater power to your attacks. Attempt a Crafting check that has a standard DC for your level.
Critical Success Your gizmos go into a state of incredible efficiency called critical overdrive, adding great power to your attacks. Your Strikes deal additional damage equal to your Intelligence modifier for 1 minute. After the Overdrive ends, your gizmos become unusable as they cool down or reset, and you can't use Overdrive for 1 minute.
Success Your gizmos go into overdrive, adding power to your attacks. As critical success, except the additional damage is equal to half your Intelligence modifier.
Failure You make a miscalculation and nothing happens.
Critical Failure Whoops! Something explodes. You take fire damage equal to your level, and you can't use Overdrive again for 1 minute as your gizmos cool down and reset.
Special When under the effects of Overdrive, you can still use the Overdrive action. You can't extend your Overdrive's duration this way, but you can turn an overdrive into a critical overdrive if you critically succeed. A failure has no effect on your current Overdrive, and you end your Overdrive on a critical failure.</t>
      </text>
    </comment>
    <comment authorId="0" ref="AB270">
      <text>
        <t xml:space="preserve">Perpetual Potency
Level 11
Your perpetual infusions improve, allowing you to use Quick Alchemy to create more powerful items with no cost. The items you can select depend on your research field and must be in your formula book.</t>
      </text>
    </comment>
    <comment authorId="0" ref="AB204">
      <text>
        <t xml:space="preserve">Alchemy
You understand the complex interactions of natural and unnatural substances and can concoct alchemical items to meet your needs. You can do this using normal reagents and the Craft activity, or you can use special infused reagents that allow you to craft temporary items quickly and at no cost. Over time, you can create more and more alchemical items for free, and since each of them becomes more and more powerful, you advance in power dramatically, leaving behind those who don't understand your strange science.
You gain the Alchemical Crafting feat, even if you don't meet that feat's prerequisites, and you gain the four common 1st-level alchemical formulas granted by that feat. Alchemical Items can be found here. You can use this feat to create alchemical items as long as you have the items' formulas in your formula book.</t>
      </text>
    </comment>
    <comment authorId="0" ref="AF270">
      <text>
        <t xml:space="preserve">Eidolon Defensive Expertise
Level 11
Your eidolon increases its ability to avoid attacks. Its proficiency rank for unarmored defense increases to expert.</t>
      </text>
    </comment>
    <comment authorId="0" ref="AF204">
      <text>
        <t xml:space="preserve">Summoner Spellcasting
Your link to your eidolon grants you limited magic connected to your eidolon's nature. You can cast spells using the Cast a Spell activity, and you can supply material, somatic, and verbal components when casting spells. Because of the magic you draw from your eidolon, you can usually replace material components with somatic components, so you don't need a material component pouch.
Each day, you can cast one 1st-level spell and five cantrips. You must know spells to cast them, and you learn them via the spell repertoire class feature. The number of spells you can cast each day is called your spell slots.
As you increase in level as a summoner, the magical link with your eidolon grants you additional, more powerful spell slots. Your total number of spell slots and the highest level of spells you can cast are shown in Table 2–4: Summoner Spells per Day. Because of the way you draw magic from your connection to your eidolon, you begin to lose lower-level spell slots once you reach 5th level. The maximum number of spell slots you get from the summoner class is four, starting when you reach 4th level.
Some of your spells require you to attempt a spell attack roll to see how effective they are, or have your enemies roll against your spell DC (typically by attempting a saving throw). Since your key ability is Charisma, your spell attack rolls and spell DCs use your Charisma modifier. Details on calculating these statistics appear in Spell Attack Roll.
Heightening Spells
When you gain spell slots of 2nd level and higher, you can fill those slots with stronger versions of lower-level spells. This increases the spell's level, heightening it to match the spell slot. Many spells have specific improvements when they are heightened to certain levels.
Cantrips
A cantrip is a special type of spell that doesn't use spell slots. You can cast a cantrip at will, any number of times per day. A cantrip is always automatically heightened to half your level rounded up—this is usually equal to the highest level of spell you can cast as a summoner. For example, as a 1st-level summoner, your cantrips are 1st-level spells, and as a 5th-level summoner, your cantrips are 3rd-level spells</t>
      </text>
    </comment>
    <comment authorId="0" ref="AG204">
      <text>
        <t xml:space="preserve">this cost is for replacing material components with somatic. based on Wizard Feat 1 Eschew Materials</t>
      </text>
    </comment>
    <comment authorId="0" ref="AH204">
      <text>
        <t xml:space="preserve">Arcane Spellcasting
You study spells so you can combine them with your attacks or solve problems that strength of arms alone can't handle. You can cast arcane spells using the Cast a Spell activity, and you can supply material, somatic, and verbal components when casting spells. Because you're a magus, you can draw replacement sigils with the tip of your weapon or your free hand for spells requiring material components, replacing them with somatic components instead of needing a material component pouch.
At 1st level, you can prepare one 1st-level spell and five cantrips each morning from the spells in your spellbook (see below). Prepared spells remain available to you until you cast them or until you prepare your spells again. The number of spells you can prepare is called your spell slots.
As you increase in level as a magus, your number of spell slots and the highest level of spells you can cast from spell slots increase, shown in Table 2–2: Magus Spells per Day. Because you split your focus between physical training and magical scholarship, you have no more than two spell slots of your highest level and, if you can cast 2nd-level spells or higher, two spell slots of 1 level lower than your highest spell level.
Some of your spells require you to attempt a spell attack roll to see how effective they are, or have your enemies roll against your spell DC (typically by attempting a saving throw). Your spell attack rolls and spell DCs use your Intelligence modifier. Details on calculating these statistics appear in Spell Attack Roll.
Heightening Spells
When you get spell slots of 2nd level and higher, you can fill those slots with stronger versions of lower-level spells. This increases the spell's level, heightening it to match the spell slot. Many spells have specific improvements when they're heightened to certain levels.
Cantrips
A cantrip is a special type of spell that doesn't use spell slots. You can cast a cantrip at will, any number of times per day. A cantrip is always automatically heightened to half your level rounded up—this is usually equal to the highest level of spell you can cast as a magus. For example, as a 1st-level magus, your cantrips are 1st-level spells, and as a 5th-level magus, your cantrips are 3rd-level spells.</t>
      </text>
    </comment>
    <comment authorId="0" ref="AJ270">
      <text>
        <t xml:space="preserve">Fourth Doctrine (11th): Your proficiency ranks for divine spell attack rolls and spell DCs increase to expert</t>
      </text>
    </comment>
    <comment authorId="0" ref="AI204">
      <text>
        <t xml:space="preserve">this cost is for replacing material components with somatic. based on Wizard Feat 1 Eschew Materials</t>
      </text>
    </comment>
    <comment authorId="0" ref="AJ204">
      <text>
        <t xml:space="preserve">Divine Spellcasting
Your deity bestows on you the power to cast divine spells. You can cast divine spells using the Cast a Spell activity, and you can supply material, somatic, and verbal components when casting spells (see Casting Spells). Because you're a cleric, you can usually hold a divine focus (such as a religious symbol) for spells requiring material components instead of needing to use a material component pouch. At 1st level, you can prepare two 1st-level spells and five cantrips each morning from the common spells on the divine spell list in this book or from other divine spells to which you gain access. Prepared spells remain available to you until you cast them or until you prepare your spells again. The number of spells you can prepare is called your spell slots.
As you increase in level as a cleric, the number of spells you can prepare each day increases, as does the highest level of spell you can cast, as shown in Table 3–9: Cleric Spells per Day on page 120.
Some of your spells require you to attempt a spell attack roll to see how effective they are, or your enemies to roll against your spell DC (typically by attempting a saving throw). Since your key ability is Wisdom, your spell attack rolls and spell DCs use your Wisdom modifier. Details on calculating these statistics appear in Spell Attack Rolls.
Heightening Spells
When you get spell slots of 2nd level and higher, you can fill those slots with stronger versions of lower-level spells. This increases the spell's level, heightening it to match the spell slot. Many spells have specific improvements when they are heightened to certain levels.
Cantrips
A cantrip is a special type of spell that doesn't use spell slots. You can cast a cantrip at will, any number of times per day. A cantrip is always automatically heightened to half your level rounded up—this is usually equal to the highest level of cleric spell slot you have. For example, as a 1st-level cleric, your cantrips are 1st-level spells, and as a 5th-level cleric, your cantrips are 3rd-level spells</t>
      </text>
    </comment>
    <comment authorId="0" ref="AL270">
      <text>
        <t xml:space="preserve">Fourth Doctrine (11th):  You gain expert proficiency with your deity’s favored weapon, simple weapons, and unarmed attacks. When you critically succeed at an attack roll using your deity’s favored weapon, you apply the weapon’s critical specialization effect; use your divine spell DC if necessary.</t>
      </text>
    </comment>
    <comment authorId="0" ref="F205">
      <text>
        <t xml:space="preserve">Deific Weapon
You zealously bear your deity’s favored weapon. If it’s uncommon, you gain access to it. If it’s an unarmed attack with a d4 damage die or a simple weapon, increase the damage die by one step (d4 to d6, d6 to d8, d8 to d10, d10 to d12).</t>
      </text>
    </comment>
    <comment authorId="0" ref="AM270">
      <text>
        <t xml:space="preserve">ERRATA: THEY ADDED SIMPLE WEAPON PROFICIENCY</t>
      </text>
    </comment>
    <comment authorId="0" ref="G205">
      <text>
        <t xml:space="preserve">compare to deadly simplicity Cleric Feat 1?</t>
      </text>
    </comment>
    <comment authorId="0" ref="AL204">
      <text>
        <t xml:space="preserve">Divine Spellcasting
Your deity bestows on you the power to cast divine spells. You can cast divine spells using the Cast a Spell activity, and you can supply material, somatic, and verbal components when casting spells (see Casting Spells). Because you're a cleric, you can usually hold a divine focus (such as a religious symbol) for spells requiring material components instead of needing to use a material component pouch. At 1st level, you can prepare two 1st-level spells and five cantrips each morning from the common spells on the divine spell list in this book or from other divine spells to which you gain access. Prepared spells remain available to you until you cast them or until you prepare your spells again. The number of spells you can prepare is called your spell slots.
As you increase in level as a cleric, the number of spells you can prepare each day increases, as does the highest level of spell you can cast, as shown in Table 3–9: Cleric Spells per Day on page 120.
Some of your spells require you to attempt a spell attack roll to see how effective they are, or your enemies to roll against your spell DC (typically by attempting a saving throw). Since your key ability is Wisdom, your spell attack rolls and spell DCs use your Wisdom modifier. Details on calculating these statistics appear in Spell Attack Rolls.
Heightening Spells
When you get spell slots of 2nd level and higher, you can fill those slots with stronger versions of lower-level spells. This increases the spell's level, heightening it to match the spell slot. Many spells have specific improvements when they are heightened to certain levels.
Cantrips
A cantrip is a special type of spell that doesn't use spell slots. You can cast a cantrip at will, any number of times per day. A cantrip is always automatically heightened to half your level rounded up—this is usually equal to the highest level of cleric spell slot you have. For example, as a 1st-level cleric, your cantrips are 1st-level spells, and as a 5th-level cleric, your cantrips are 3rd-level spells</t>
      </text>
    </comment>
    <comment authorId="0" ref="H205">
      <text>
        <t xml:space="preserve">Powerful Fist
You know how to wield your fists as deadly weapons. The damage die for your fist increases to 1d6 instead of 1d4. Most people take a –2 circumstance penalty when making a lethal attack with nonlethal unarmed attacks, because they find it hard to use their fists with deadly force. You don't take this penalty when making a lethal attack with your fist or any other unarmed attacks</t>
      </text>
    </comment>
    <comment authorId="0" ref="I205">
      <text>
        <t xml:space="preserve">Archetype dedication gives this plus one skill increase</t>
      </text>
    </comment>
    <comment authorId="0" ref="AN204">
      <text>
        <t xml:space="preserve">Occult Spellcasting
You draw upon magic from esoteric knowledge. You can cast occult spells using the Cast a Spell activity, and you can supply material, somatic, and verbal components when casting spells (see Casting Spells). Because you're a bard, you can usually play an instrument for spells requiring somatic or material components, as long as it takes at least one of your hands to do so. If you use an instrument, you don't need a material component pouch or another hand free. You can usually also play an instrument for spells requiring verbal components, instead of speaking.
Each day, you can cast up to two 1st-level spells. You must know spells to cast them, and you learn them via the spell repertoire class feature. The number of spells you can cast each day is called your spell slots.
As you increase in level as a bard, your number of spells per day increases, as does the highest level of spells you can cast, as shown on Table 3–6: Bard Spells per Day
Some of your spells require you to attempt a spell attack roll to see how effective they are, or have your enemies roll against your spell DC (typically by attempting a saving throw). Since your key ability is Charisma, your spell attack rolls and spell DCs use your Charisma modifier. Details on calculating these statistics are found under Spell Attack Rolls.
Heightening Spells
When you get spell slots of 2nd level and higher, you can fill those slots with stronger versions of lower-level spells. This increases the spell's level to match the spell slot. You must have a spell in your spell repertoire at the level you want to cast in order to heighten it to that level. Many spells have specific improvements when they are heightened to certain levels. The signature spells class feature lets you heighten certain spells freely.
Cantrips
Some of your spells are cantrips. A cantrip is a special type of spell that doesn't use spell slots. You can cast a cantrip at will, any number of times per day. A cantrip is automatically heightened to half your level rounded up, which equals the highest-level of bard spell slot you have. For example, as a 1st-level bard, your cantrips are 1st-level spells, and as a 5th-level bard, your cantrips are 3rd-level spells.</t>
      </text>
    </comment>
    <comment authorId="0" ref="AP270">
      <text>
        <t xml:space="preserve">Major Curse
Level 11
You've learned to better balance the conflicting powers wreaking havoc on your body. Immediately after completing the casting of a revelation spell while you are affected by your moderate curse, your curse progresses to its major effect, rather than overwhelming you. This effect lasts until you Refocus, which reduces your curse to its minor effect. If you cast a revelation spell while under the effects of your major curse, you are overwhelmed by your curse.
In addition, increase the number of Focus Points in your focus pool from 2 to 3. If you spend at least 2 Focus Points before you again Refocus, you recover 2 Focus Points when you Refocus instead of 1.</t>
      </text>
    </comment>
    <comment authorId="0" ref="J205">
      <text>
        <t xml:space="preserve">Shield Block
You gain the Shield Block general feat, a reaction that lets you reduce damage with your shield.</t>
      </text>
    </comment>
    <comment authorId="0" ref="AQ270">
      <text>
        <t xml:space="preserve">shouldn't this be 110 though for the feat giving double refocus? or is that just a level lock? maybe 90?</t>
      </text>
    </comment>
    <comment authorId="0" ref="AP204">
      <text>
        <t xml:space="preserve">Divine Spellcasting
Your mystery provides you with divine magical power. You can cast spells using the Cast a Spell activity, and you can supply material, somatic, and verbal components when casting spells. Your unconventional access to this divine power means you can usually replace material components with somatic components, so you don't need to use a material component pouch when casting spells.
At 1st level, you can cast up to two 1st-level spells per day. You must know spells to cast them, and you learn them via the spell repertoire class feature. The number of spells you can cast each day is called your spell slots. As you increase in level as an oracle, your number of spells per day increases, as does the highest level of spells you can cast, as shown on Table 2–3: Oracle Spells per Day.
Some of your spells require you to attempt a spell attack roll to see how effective they are, or have your enemies roll against your spell DC (typically by attempting a saving throw). Since your key ability is Charisma, your spell attack rolls and spell DCs use your Charisma modifier.
Heightening Spells
When you get spell slots of 2nd level and higher, you can fill those slots with stronger versions of lower-level spells. To cast a heightened spell, you must have the heightened version in your repertoire; for example, you can't cast a 3rd-level version of a spell that is only in your repertoire at 1st level. Many spells have specific improvements when they are heightened to certain levels. The signature spells class feature lets you heighten certain spells freely.
Cantrips
Some of your spells are cantrips. A cantrip is a special type of spell that doesn't use spell slots. You can cast a cantrip at will, any number of times per day. A cantrip is automatically heightened to half your level rounded up—this is usually equal to the highest level of oracle spell slot you have. For example, as a 1st-level oracle, your cantrips are 1st-level spells, and as a 5th-level oracle, your cantrips are 3rd-level spells.</t>
      </text>
    </comment>
    <comment authorId="0" ref="AQ204">
      <text>
        <t xml:space="preserve">this cost is for replacing material components with somatic. based on Wizard Feat 1 Eschew Materials</t>
      </text>
    </comment>
    <comment authorId="0" ref="AR204">
      <text>
        <t xml:space="preserve">Primal Spellcasting
The power of the wild world flows through you. You can cast primal spells using the Cast a Spell activity, and you can supply material, somatic, and verbal components when casting spells (see Casting Spells). Because you're a druid, you can usually hold a primal focus (such as holly and mistletoe) for spells requiring material components instead of needing to use a material component pouch.
At 1st level, you can prepare two 1st-level spells and five cantrips each morning from the common spells on the primal spell list in this book, or from other primal spells to which you gain access. Prepared spells remain available to you until you cast them or until you prepare your spells again. The number of spells you can prepare is called your spell slots.
As you increase in level as a druid, the number of spells you can prepare each day increases, as does the highest level of spell you can cast, as shown in Table 3–11: Druid Spells per Day.
Some of your spells require you to attempt a spell attack roll to see how effective they are, or have your enemies roll against your spell DC (typically by attempting a saving throw). Since your key ability is Wisdom, your spell attack rolls and spell DCs use your Wisdom modifier. Details on calculating these statistics appear in Spell Attack Rolls.
Heightening Spells
When you gain spell slots of 2nd level and higher, you can fill those slots with stronger versions of lower-level spells. This increases the spell's level, heightening it to match the spell slot. Many spells have specific improvements when they are heightened to certain levels.
Cantrips
Some of your spells are cantrips. A cantrip is a special type of spell that doesn't use spell slots. You can cast a cantrip at will, any number of times per day. A cantrip is automatically heightened to half your level rounded up—this is usually equal to the highest level of druid spell slot you have. For example, as a 1st-level druid, your cantrips are 1st-level spells, and as a 5th-level druid, your cantrips are 3rd-level spells</t>
      </text>
    </comment>
    <comment authorId="0" ref="AT204">
      <text>
        <t xml:space="preserve">You access the vast well of power that resides within your own mind, calling forth psychic magic with nothing but thought and will. You can cast occult spells using the Cast a Spell activity. You alter some of the standard spell components when casting spells you know from your psychic spellcasting. Instead of speaking, you substitute any verbal components with a special mental component determined by your subconscious mind class feature. This represents how you exert your mind toward your intended effect. Any of these components impart the concentrate trait to the spell you're casting. You also substitute any material components with somatic components, though these tend to be simple movements of the hand or head compared to those used by other spellcasters. Your spells still have clear and noticeable visual and auditory manifestations, as normal for a spellcaster.
Each day, you can cast one 1st-level spell. You must know spells to cast them, and you learn them via the spell repertoire class feature. The number of spells you can cast each day is called your spell slots.
As you increase in level as a psychic, your number of spells per day increases, as does the highest level of spells you can cast, as shown on Table 2: Psychic Spells per Day.
Some of your spells require you to attempt a spell attack roll to see how effective they are, or have your enemies roll against your spell DC (typically by attempting a saving throw). Since your key ability is determined by your subconscious mind, your spell attack rolls and spell DCs use the modifier for the ability stated in your subconscious mind.
Heightening Spells
When you get spell slots of 2nd level and higher, you can fill those slots with stronger versions of lower-level spells. This increases the spell's level to match the spell slot. You must have a spell in your spell repertoire at the level you want to cast to heighten it to that level. Many spells have specific improvements when heightened to certain levels. The signature spells class feature lets you heighten certain spells freely.
Cantrips
Some of your spells are cantrips. A cantrip is a special type of spell that doesn't use spell slots. You can cast a cantrip at will, any number of times per day. A cantrip is automatically heightened to half your level rounded up— this is usually equal to the highest level of psychic spell slot you have. For example, as a 1st-level psychic, your cantrips are 1st-level spells, and as a 5th-level psychic, your cantrips are 3rd-level spells.
As a psychic, you get the ability to improve some of your cantrips with special benefits and psi amps. Over the course of your career, your choice of conscious mind class feature gives you extra cantrips, benefits and psi amps for cantrips, and a collection of unique psi cantrips.</t>
      </text>
    </comment>
    <comment authorId="0" ref="AU204">
      <text>
        <t xml:space="preserve">this cost is for replacing material components with somatic and also verbal, so this is based on Wizard Feat 1 Eschew Materials times TWO</t>
      </text>
    </comment>
    <comment authorId="0" ref="P205">
      <text>
        <t xml:space="preserve">Sneak Attack
When your enemy can’t properly defend itself, you take advantage to deal extra damage. If you Strike a creature that has the flat-footed condition with an agile or finesse melee weapon, an agile or finesse unarmed attack, or a ranged weapon attack, you deal an extra 1d6 precision damage. For a ranged attack with a thrown melee weapon, that weapon must also be agile or finesse.
As your rogue level increases, so does the number of damage dice for your sneak attack. Increase the number of dice by one at 5th, 11th, and 17th levels.</t>
      </text>
    </comment>
    <comment authorId="0" ref="Q205">
      <text>
        <t xml:space="preserve">archetype sneak attack is level 4 but note it does not give the dice increases?</t>
      </text>
    </comment>
    <comment authorId="0" ref="AV204">
      <text>
        <t xml:space="preserve">Arcane Spellcasting
Through dedicated study and practice, you can harness arcane power to cast spells. You can cast arcane spells using the Cast a Spell activity, and you can supply material, somatic, and verbal components when casting spells (see Casting Spells).
At 1st level, you can prepare up to two 1st-level spells and five cantrips each morning from the spells in your spellbook (see below), plus one extra cantrip and spell of your chosen school of each level you can cast if you are a specialist wizard. Prepared spells remain available to you until you cast them or until you prepare your spells again. The number of spells you can prepare is called your spell slots.
As you increase in level as a wizard, your number of spell slots and the highest level of spells you can cast from spell slots increase, shown in Table 3–19: Wizard Spells per Day.
Some of your spells require you to attempt a spell attack roll to see how effective they are, or have your enemies roll against your spell DC (typically by attempting a saving throw). Since your key ability is Intelligence, your spell attack rolls and spell DCs use your Intelligence modifier. Details on calculating these statistics appear in Spell Attack Rolls
Heightening Spells
When you get spell slots of 2nd level and higher, you can fill those slots with stronger versions of lower-level spells. This increases the spell's level, heightening it to match the spell slot. Many spells have specific improvements when they are heightened to certain levels.
Cantrips
Some of your spells are cantrips. A cantrip is a special type of spell that doesn't use spell slots. You can cast a cantrip at will, any number of times per day. A cantrip is automatically heightened to half your level rounded up—this is usually equal to the highest level of wizard spell slot you have. For example, as a 1st-level wizard, your cantrips are 1st-level spells, and as a 5th-level wizard, your cantrips are 3rd-level spells.</t>
      </text>
    </comment>
    <comment authorId="0" ref="R205">
      <text>
        <t xml:space="preserve">On the Case
As an investigator, you think of your adventures as cases waiting to be solved. You gain one activity and one reaction you can use to investigate cases: Pursue a Lead and Clue In.
Pursue a Lead
ConcentrateExplorationInvestigator
Frequency once per 10 minutes
You spend 1 minute examining the details of one potential clue, designating the subject related to that clue as the target of your active investigation. This subject is typically a single creature, item, or small location (such as a room or corridor), but the GM might allow a different scope for your investigation. You don't need to know the identity, purpose, or nature of the subject, but you do need to be aware of its existence. For instance, finding a footprint is enough to investigate the creature that left it, and seeing a hasty sketch of an item or location can be enough to start your investigation of that subject.
Whenever you attempt a Perception or skill check to investigate a designated subject, you gain a +1 circumstance bonus to the check. The exact checks this applies to depend on the actions you use to investigate and are determined by the GM, but checks to investigate are typically Perception checks or skill checks that use Intelligence, Wisdom, or Charisma.
You can maintain two active investigations at a time. If you Pursue another Lead after that, the subject must be different from any of your current investigations (or rather, they must be different as far as you know), and you give up on a current subject of your choice. Once you've given up pursuit of a subject, you can't Pursue that Lead again until after the next time you make your daily preparations.</t>
      </text>
    </comment>
    <comment authorId="0" ref="S205">
      <text>
        <t xml:space="preserve">archetype dedication 2 gives two skills plus pursue a lead and clue in actions, so they are 5 pts each? They are also listed together under "On the Case" feature, maybe further reinforcing that combined they make 10 pts?</t>
      </text>
    </comment>
    <comment authorId="0" ref="AX204">
      <text>
        <t xml:space="preserve">Witch Spellcasting
Using your familiar as a conduit, your patron provides you the power to cast spells. You can cast spells using the Cast a Spell activity, and you can supply material, somatic, and verbal components when casting spells.
At 1st level, you can prepare up to two 1st-level spells and five cantrips each morning from the spells your familiar knows. Prepared spells remain available to you until you cast them or until you prepare your spells again. The number of spells you can prepare is called your spell slots.
As you increase in level as a witch, your number of spell slots and the highest level of spells you can cast from spell slots increase, as shown in Table 2–7: Witch Spells per Day.
Some of your spells require you to attempt a spell attack roll to see how effective they are, or have your enemies roll against your spell DC (typically by attempting a saving throw). Since your key ability is Intelligence, your spell attack rolls and spell DCs use your Intelligence modifier.
Heightening Spells
When you get spell slots of 2nd level and higher, you can fill those slots with stronger versions of lower-level spells. This increases the spell's level, heightening it to match the spell slot. Many spells have specific improvements when they are heightened to certain levels.
Cantrips
Some of your spells are cantrips. A cantrip is a special type of spell that doesn't use spell slots. You can cast a cantrip at will, any number of times per day. A cantrip is automatically heightened to half your level rounded up—this is usually equal to the highest level of witch spell slot you have. For example, as a 1st-level witch, your cantrips are 1st-level spells, and as a 5th-level witch, your cantrips are 3rd-level spells.</t>
      </text>
    </comment>
    <comment authorId="0" ref="T205">
      <text>
        <t xml:space="preserve">Your implement is a special object of symbolic importance: your badge as you treat with the supernatural and a powerful tool if things turn violent. Choose an implement from the options to which you have access. You begin play with a mundane item of that type, and you gain the initiate benefit for that implement. While an implement is useful to you, it typically has no value if sold. If you acquire a new object of the same general implement type, you can switch your implement to the new object by spending 1 day of downtime with the new item. As you advance as a thaumaturge, you will collect up to three implements and unlock the hidden potential stored within each, so you can mix and match their benefits to suit your situation.
While your implements are your primary tools in your dealings with the supernatural, you know the value of always being prepared. You constantly collect and carry various smaller mystic objects, bits of materials with paranormal affinities, and items used in folk practices: your esoterica. These might include cold iron nails, scraps of scrolls and scriptures, fragments of bones purportedly from a saint, and other similar objects. You keep your esoterica in easy-to-access places on your person and are well practiced in brandishing your implement and esoterica together, so you can draw and use esoterica with the same hand you're using to wield an implement.</t>
      </text>
    </comment>
    <comment authorId="0" ref="AZ204">
      <text>
        <t xml:space="preserve">Sorcerer Spellcasting
Your bloodline provides you with incredible magical power. You can cast spells using the Cast a Spell activity, and you can supply material, somatic, and verbal components when casting spells (see Casting Spells). Because you're a sorcerer, you can usually replace material components with somatic components, so you don't need to use a material component pouch.
Each day, you can cast up to three 1st-level spells. You must know spells to cast them, and you learn them via the spell repertoire class feature. The number of spells you can cast each day is called your spell slots.
As you increase in level as a sorcerer, your number of spells per day increases, as does the highest level of spells you can cast, as shown on Table 3–17: Sorcerer Spells per Day.
Some of your spells require you to attempt a spell attack roll to see how effective they are, or have your enemies roll against your spell DC (typically by attempting a saving throw). Since your key ability is Charisma, your spell attack rolls and spell DCs use your Charisma modifier. Details on calculating these statistics appear in Spell Attack Rolls.
Heightening Spells
When you get spell slots of 2nd level and higher, you can fill those slots with stronger versions of lower-level spells. This increases the spell's level to match the spell slot. You must have a spell in your spell repertoire at the level you want to cast in order to heighten it to that level. Many spells have specific improvements when they are heightened to certain levels. The signature spells class feature lets you heighten certain spells freely.
Cantrips
Some of your spells are cantrips. A cantrip is a special type of spell that doesn't use spell slots. You can cast a cantrip at will, any number of times per day. A cantrip is automatically heightened to half your level rounded up—this is usually equal to the highest level of sorcerer spell slot you have. For example, as a 1st-level sorcerer, your cantrips are 1st-level spells, and as a 5th-level sorcerer, your cantrips are 3rd-level spells</t>
      </text>
    </comment>
    <comment authorId="0" ref="BA204">
      <text>
        <t xml:space="preserve">this cost is for replacing material components with somatic. based on Wizard Feat 1 Eschew Materials</t>
      </text>
    </comment>
    <comment authorId="0" ref="V205">
      <text>
        <t xml:space="preserve">Panache
You care as much about the way you accomplish something as whether you actually accomplish it in the first place. When you perform an action with particular bravado, you can leverage this moment of verve to perform spectacular, deadly maneuvers. This state of flair is called panache, and you are either in a state of panache or you are not.
You gain panache by successfully performing the skill check associated with specific actions that have a bit of flair, including Tumble Through and additional actions determined by your swashbuckler's style. At the GM's discretion, after succeeding at a check to perform a particularly daring action, such as swinging on a chandelier or sliding down a drapery, you also gain panache if your result is high enough (typically the very hard DC for your level, but the GM can choose a different threshold).
While you have panache, you gain a +5-foot status bonus to your Speeds and gain a +1 circumstance bonus to checks to Tumble Through or to take any actions that give you panache due to your style. The precise strike class feature also causes you to deal extra precision damage while you have panache. Powerful finisher actions, including Confident Finisher can be used only while you have panache and cause you to lose your panache.
Normally, you gain and use panache only in combat encounters; when an encounter ends, you lose panache.</t>
      </text>
    </comment>
    <comment authorId="0" ref="W205">
      <text>
        <t xml:space="preserve">archetype dedication 2 gets Panache and one skill</t>
      </text>
    </comment>
    <comment authorId="0" ref="T73">
      <text>
        <t xml:space="preserve">Esoteric Lore
Your experience with the unknown, as well as the tales you've exchanged with other thaumaturges, has taught you about strange phenomena of every kind. You become trained in Esoteric Lore, a special lore skill that can be used to Recall Knowledge regarding haunts, curses, and creatures of any type, but that can't be used to Recall Knowledge of other topics. Unlike a normal Lore skill, you use Charisma as your modifier on Esoteric Lore checks. You also gain the Dubious Knowledge skill feat.
At 3rd level, you become an expert in Esoteric Lore; at 7th level, you become a master in Esoteric Lore; and at 15th level, you become legendary in Esoteric Lore.</t>
      </text>
    </comment>
    <comment authorId="0" ref="Z205">
      <text>
        <t xml:space="preserve">Explode
Your innovation is a creation barely held together by your own engineering, always on the edge of completely falling apart. Though this adds risk, it also means you can coax it to perform far beyond its design specifications using special unstable actions.
While inventors can learn various unstable actions over their career, all at least know how to make their innovation Explode.
Explode
Two Actions
FireInventorManipulateUnstable
You intentionally take your innovation beyond normal safety limits, making it explode and damage nearby creatures without damaging the innovation... hopefully. The explosion deals 2d6 fire damage with a basic Reflex save to all creatures in a 5-foot emanation around you (if you're wearing or holding the innovation) or around your innovation (if your innovation is a minion).
At 3rd level, and every level thereafter, increase your explosion's damage by 1d6.
If you have the breakthrough innovation class feature, you can choose either a 5-foot or 10-foot emanation for the area when you use Explode; if you have the revolutionary innovation class feature, you can choose a 5-foot, 10-foot, or 15-foot emanation.</t>
      </text>
    </comment>
    <comment authorId="0" ref="AA205">
      <text>
        <t xml:space="preserve">archetype feat 6</t>
      </text>
    </comment>
    <comment authorId="0" ref="AB205">
      <text>
        <t xml:space="preserve">Infused Reagents
You infuse reagents with your own alchemical essence, allowing you to create alchemical items at no cost. Each day during your daily preparations, you gain a number of batches of infused reagents equal to your level + your Intelligence modifier. You can use these reagents for either advanced alchemy or Quick Alchemy, described below. Together, these infused reagents have light Bulk.
As soon as you make your next daily preparations, your infused reagents from the previous day's preparations are instantly destroyed, and nonpermanent effects of your previous day's infused items immediately end. While infused reagents are physical objects, they can't be duplicated, preserved, or created in any way other than your daily preparations. Any such artificial reagents lack the infusion and are useless for advanced alchemy or Quick Alchemy.
Advanced Alchemy
During your daily preparations, after producing new infused reagents, you can spend batches of those infused reagents to create infused alchemical items. You don't need to attempt a Crafting check to do this, and you ignore both the number of days typically required to create the items and any alchemical reagent requirements. Your advanced alchemy level is equal to your level. For each batch of infused reagents you spend, choose an alchemical item of your advanced alchemy level or lower that's in your formula book, and make a batch of two of that item. These items have the infused trait and remain potent for 24 hours or until your next daily preparations, whichever comes first</t>
      </text>
    </comment>
    <comment authorId="0" ref="AD205">
      <text>
        <t xml:space="preserve">KINETIC AURA
Through your kinetic gate, elements flow from an
elemental plane to orbit your person. The form and
appearance of this kinetic aura are unique to you.
Examples include a chaotic wind orbiting the body,
fragments of floating gravel, colorful wicks of flame,
stars of raw metal always changing shape, floating
snowflakes, or splinters dancing in the air. If you can
channel more than one element, pieces of all your
kinetic elements appear in the aura.
You have the Channel Elements action, which lets
you activate your kinetic aura.</t>
      </text>
    </comment>
    <comment authorId="0" ref="AF205">
      <text>
        <t xml:space="preserve">Spell Repertoire
The collection of spells you can cast is called your spell repertoire. At 1st level, you learn two 1st-level spells of your choice and five cantrips of your choice. You choose these from the common spells from the tradition corresponding to your eidolon, or from other spells from that tradition to which you have access. You can cast any spell in your spell repertoire by using a spell slot of an appropriate spell level. Your spell slots and the spells in your spell repertoire are separate. If a feat or other ability adds a spell to your spell repertoire, it doesn't give you another spell slot, and vice versa.
You add to this spell repertoire as you increase in level. Each time you get a spell slot (see Table 2–4: Summoner Spells per Day), you add a spell of the same level to your spell repertoire. At 2nd level, you select another 1st-level spell. At 3rd level, you add the first 2nd-level spell to your repertoire. At 4th level you gain your second and your spell repertoire reaches its maximum size of five spells.
At 5th level, in addition to adding two 3rd-level spells to your repertoire, you lose your lowest level of spell slots. Any time you lose a level of spell slots, you lose two spells in your repertoire as well. These can come from spells you already know or out of the number of new spells you're learning. On levels in which you don't change your spell slots, you can swap out multiple spells, as described below.
Swapping Spells In Your Repertoire
As you gain new spells in your repertoire, you might want to replace some of the spells you previously learned. Each time you gain a level and learn new spells, you can swap out one of your old spells for a different spell of the same level. If it's a level at which you lose a set of lower-level slots, you can replace the two in either order. You can also instead swap a cantrip. You can also swap out spells by retraining during downtime.
At 6th level and every even level thereafter, you can swap out any number of your spells for different spells of a level you can cast. When you do, you must keep at least one spell you can cast with your lowest level of spell slots so you don't end up with slots you can't use. For instance, at 6th level you would need to keep at least one 2nd-level spell, but all your other spells could be 3rd level.</t>
      </text>
    </comment>
    <comment authorId="0" ref="AH205">
      <text>
        <t xml:space="preserve">Spellbook
Every arcane spell has a written version, usually recorded in a spellbook. You start with a spellbook worth 10 sp or less, which you receive for free and must study to prepare your spells each day. The spellbook contains your choice of eight arcane cantrips and four 1st-level arcane spells. You choose these from the common spells on the arcane spell list or from other arcane spells you gain access to. Your spellbook's form and name are up to you. It might be anything from a sturdy book with a secure latch entitled Theses on the Stratagems of Supernatural Warfare to a tattered collection of training pamphlets with your name scrawled on the cover.
Each time you gain a level, you add two more arcane spells to your spellbook, of any level of spell you can cast. You can also use the Arcana skill to add other spells that you find in your adventures (see Learn a Spell). Though you lose some lower spell slots as you increase in level, you keep the spells in your spellbook and can prepare them in your higher-level slots as normal.
If you have a spellbook from multiple sources (such as being a magus with the Wizard Dedication feat), you can use the same spellbook for all your spells.</t>
      </text>
    </comment>
    <comment authorId="0" ref="AJ205">
      <text>
        <t xml:space="preserve">Deity
As a cleric, you are a mortal servitor of a deity you revere above all others. The most common deities in Pathfinder are found here, along with their alignments, areas of concern, and the benefits you get for being a cleric of that deity. Your alignment must be one allowed by your deity, as listed in their entry. Your deity grants you the trained proficiency rank in one skill and with the deity's favored weapon. If the favored weapon is uncommon, you also get access to that weapon.
Your deity also adds spells to your spell list. You can prepare these just like you can any spell on the divine spell list, once you can prepare spells of their level as a cleric. Some of these spells aren't normally on the divine list, but they're divine spells if you prepare them this way.</t>
      </text>
    </comment>
    <comment authorId="0" ref="F206">
      <text>
        <t xml:space="preserve">Deity and Cause
Champions are divine servants of a deity. Choose a deity to follow; your alignment must be one allowed for followers of your deity. Actions fundamentally opposed to your deity’s ideals or alignment are anathema to your faith. A few examples of acts that would be considered anathema appear in each deity’s entry. You and your GM determine whether other acts are anathema. You have one of the following causes. Your cause must match your alignment exactly. Your cause determines your champion’s reaction, grants you a devotion spell, and defines part of your champion’s code</t>
      </text>
    </comment>
    <comment authorId="0" ref="AL205">
      <text>
        <t xml:space="preserve">Deity
As a cleric, you are a mortal servitor of a deity you revere above all others. Your alignment must be one allowed by your deity, as listed in their entry. Your deity grants you the trained proficiency rank in one skill and with the deity's favored weapon. If the favored weapon is uncommon, you also get access to that weapon.
Your deity also adds spells to your spell list. You can prepare these just like you can any spell on the divine spell list, once you can prepare spells of their level as a cleric. Some of these spells aren't normally on the divine list, but they're divine spells if you prepare them this way.</t>
      </text>
    </comment>
    <comment authorId="0" ref="AN205">
      <text>
        <t xml:space="preserve">Spell Repertoire
The collection of spells you can cast is called your spell repertoire. At 1st level, you learn two 1st-level occult spells of your choice and five occult cantrips of your choice. You choose these from the common spells from the occult list or from other occult spells to which you have access. You can cast any spell in your spell repertoire by using a spell slot of an appropriate spell level.
You add to this spell repertoire as you increase in level. Each time you get a spell slot (see Table 3–6), you add a spell to your spell repertoire of the same level. At 2nd level, you select another 1st-level spell; at 3rd level, you select two 2nd-level spells, and so on. When you add spells, you might add a higher-level version of a spell you already have, so you can cast a heightened version of that spell.
Though you gain them at the same rate, your spell slots and the spells in your spell repertoire are separate. If a feat or other ability adds a spell to your spell repertoire, it wouldn't give you another spell slot, and vice versa.
Swapping Spells in Your Repertoire
As you gain new spells in your repertoire, you might want to replace some of the spells you previously learned. Each time you gain a level and learn new spells, you can swap out one of your old spells for a different spell of the same level. This spell can be a cantrip. You can also swap out spells by retraining during downtime.</t>
      </text>
    </comment>
    <comment authorId="0" ref="AP205">
      <text>
        <t xml:space="preserve">Spell Repertoire
The collection of spells you can cast is called your spell repertoire. At 1st level, you learn two 1st-level spells of your choice and five cantrips of your choice. You choose these from the common spells from the divine spell list, or from other divine spells to which you have access. You can cast any spell in your spell repertoire by using a spell slot of an appropriate spell level.
You add to this spell repertoire as you increase in level. Each time you get a spell slot (see Table 2–3), you add a spell of the same level to your spell repertoire. At 2nd level, you select another 1st-level spell; at 3rd level, you select two 2nd-level spells, and so on. When you add spells, you might add a higher-level version of a spell you already have, so you can cast a heightened version of that spell.
Though you gain them at the same rate, your spell slots and the spells in your spell repertoire are separate. If a feat or other ability adds a spell to your spell repertoire, it wouldn't give you another spell slot, and vice versa.
Swapping Spells In Your Repertoire
As you gain new spells in your repertoire, you might want to replace some of the spells you previously learned. Each time you gain a level and learn new spells, you can swap out one of your old spells for a different spell of the same level. You can also instead swap a cantrip. You can also swap out spells by retraining during downtime.</t>
      </text>
    </comment>
    <comment authorId="0" ref="AR205">
      <text>
        <t xml:space="preserve">Shield Block
You gain the Shield Block general feat, a reaction that lets you reduce damage with your shield.</t>
      </text>
    </comment>
    <comment authorId="0" ref="AT205">
      <text>
        <t xml:space="preserve">The collection of spells you can cast is called your spell repertoire. At 1st level, you learn one 1st-level occult spell of your choice and three occult cantrips of your choice. You choose these from the common spells from the occult list or from other occult spells to which you have access. You can cast any spell in your spell repertoire by using a spell slot of an appropriate spell level. Your choice of conscious mind also grants you additional spells in your repertoire, starting with an additional 1st-level spell and two cantrips listed in your conscious mind, which you cast as psi cantrips (see below).
You add to this spell repertoire as you increase in level. Each time you get a spell slot (see Table 2), you add a spell to your spell repertoire of the same level. At 2nd level, you select another 1st-level spell; at 3rd level, you select one 2nd-level spell, and so on. When you add spells, you might add a higher-level version of a spell you already have, so you can cast a heightened version of that spell. Your conscious mind also adds additional spells to your repertoire as you gain spells of higher levels.
Though you gain them at the same rate, your spell slots and the spells in your spell repertoire are separate. If a feat or other ability adds a spell to your spell repertoire, such as the spells you gain from your conscious mind, it wouldn't give you another spell slot, and vice versa.
Swapping Spells In Your Repertoire
As you gain new spells in your repertoire, you might want to replace some of the spells you previously learned. Each time you gain a level and learn new spells, you can swap out one of your old spells for a different spell of the same level. This spell can be a cantrip. You can also swap out spells by retraining during downtime.</t>
      </text>
    </comment>
    <comment authorId="0" ref="P206">
      <text>
        <t xml:space="preserve">Surprise Attack
You spring into combat faster than foes can react. On the first round of combat, if you roll Deception or Stealth for initiative, creatures that haven’t acted are flat-footed to you.</t>
      </text>
    </comment>
    <comment authorId="0" ref="Q206">
      <text>
        <t xml:space="preserve">archetype dedication gives this plus two skill increases and Light Armor training</t>
      </text>
    </comment>
    <comment authorId="0" ref="AV205">
      <text>
        <t xml:space="preserve">Spellbook
Every arcane spell has a written version, usually recorded in a spellbook. You start with a spellbook worth 10 sp or less, which you receive for free and must study to prepare your spells each day. The spellbook contains your choice of 10 arcane cantrips and five 1st-level arcane spells. You choose these from the common spells on the arcane spell list from this book or from other arcane spells you gain access to. Your spellbook's form and name are up to you. It might be a musty, leather-bound tome or an assortment of thin metal disks connected to a brass ring; its name might be esoteric, like The Crimson Libram, or something more academic, like A Field Study in Practical Transmutation.
Each time you gain a level, you add two more arcane spells to your spellbook, of any level for which you have spell slots. You can also use the Arcana skill to add other spells that you find in your adventures</t>
      </text>
    </comment>
    <comment authorId="0" ref="R206">
      <text>
        <t xml:space="preserve">Clue In
Reaction
ConcentrateInvestigator
Frequency once per 10 minutes
Trigger Another creature attempts a check to investigate a lead you're pursuing.
You share information with the triggering creature. They gain a circumstance bonus to their check equal to your circumstance bonus to checks investigating your subject from Pursue a Lead. The GM can add any relevant traits to this reaction depending on the situation, such as auditory and linguistic if you're conveying information verbally.</t>
      </text>
    </comment>
    <comment authorId="0" ref="S206">
      <text>
        <t xml:space="preserve">archetype dedication 2 gives two skills plus pursue a lead and clue in actions, so they are 5 pts each? They are also listed together under "On the Case" feature, maybe further reinforcing that combined they make 10 pts?</t>
      </text>
    </comment>
    <comment authorId="0" ref="AX205">
      <text>
        <t xml:space="preserve">Familiar
Your patron has sent you a familiar, a mystical creature that teaches you and facilitates your spells. Your familiar gains an extra familiar ability, and gains another extra ability at 6th, 12th, and 18th levels.
Your familiar is the source and repository of the spells your patron has bestowed upon you, and you must commune with your familiar to prepare your spells each day using your witch spellcasting. Your familiar starts off knowing 10 cantrips, five 1st-level spells, and one additional spell determined by your patron's theme. You choose these spells from the common spells of the tradition determined by your patron or from other spells of that tradition you gain access to.
Each time you gain a level, your patron teaches your familiar two new spells of any level you can cast, chosen from common spells of your tradition or others you gain access to. Feats can also grant your familiar additional spells.
Your familiar can learn new spells independently of your patron. It can learn any spell on your tradition's spell list by physically consuming a scroll of that spell in a process that takes 1 hour. You can use the Learn a Spell exploration activity to prepare a special written version of a spell, which your familiar can consume as if it were a scroll. You and your familiar can use the Learn a Spell activity to teach your familiar a spell from another witch's familiar. Both familiars must be present for the entirety of the activity, the spell must be on your spellcasting tradition's spell list, and you must pay the usual cost for that activity, typically in the form of an offering to the other familiar's patron. You can't prepare spells from another witch's familiar.
If your familiar dies, your patron replaces it during your next daily preparations. The new familiar might be a duplicate or reincarnation of your former familiar or a new entity altogether, but it knows the same spells your former familiar knew regardless. Your familiar's death doesn't affect any spells you have already prepared.</t>
      </text>
    </comment>
    <comment authorId="0" ref="T206">
      <text>
        <t xml:space="preserve">You know that every creature, no matter how obscure, has a weakness. By identifying and empowering the right object, you can strike down even the most resilient of monsters.
You gain the Exploit Vulnerability action.
Exploit Vulnerability
EsotericaManipulateThaumaturge
Frequency once per round
Requirements You are holding your implement.
You scour your experiences and learning to identify something that might repel your foe. You retrieve an object from your esoterica with the appropriate supernatural qualities, then use your implement to stoke the remnants of its power into a blaze. Select a creature you can see and attempt an Esoteric Lore check against a standard DC for its level, as you retrieve the right object from your esoterica and use your implement to empower it. You gain the following effects until you Exploit Vulnerabilities again.
Critical Success You remember the creature's weaknesses, and as you empower your esoterica, you have a flash of insight that grants even more knowledge about the creature. You learn all of the creature's resistances, weaknesses, and immunities, including the amounts of the resistances and weaknesses and any unusual weaknesses or vulnerabilities, such as what spells will pass through a golem's antimagic. You can exploit either the creature's mortal weakness or personal antithesis (see below). Your unarmed and weapon Strikes against the creature also become magical if they weren't already.
Success You recall an important fact about the creature, learning its highest weakness (or one of its highest weaknesses, if it has multiple with the same value) but not its other weaknesses, resistances, or immunities. You can exploit either the creature's mortal weakness or personal antithesis. Your unarmed and weapon Strikes against the creature also become magical if they weren't already.
Failure Failing to recall a salient weakness about the creature, you instead attempt to exploit a more personal vulnerability. You can exploit only the creature's personal antithesis. Your unarmed and weapon Strikes against the creature also become magical if they weren't already.
Critical Failure You couldn't remember the right object to use and become distracted while you rummage through your esoterica. You become flat-footed until the beginning of your next turn.
You can attempt to Exploit Vulnerabilities in one of two ways: either by invoking properties that repel that type of creature, or by attempting a more improvisational, ad-hoc method with your esoterica that can impose a custom weakness on any creature, albeit one that usually isn't as dire as a creature's existing weakness.
Mortal Weakness After identifying a creature's weakness, you use a thematically resonant bit of esoterica to attune your attacks to your discovery. Your unarmed and weapon Strikes activate the highest weakness you discovered with Exploit Vulnerability, even though the damage type your weapon deals doesn't change. This damage affects the target of your Exploit Vulnerability, as well as any other creatures of the exact same type, but not other creatures with the same weakness. For example, when fighting a pack of werewolves you might use silver shavings or crushed moonstone to deal damage that applies their weakness to silver to your attacks against any of the werewolves, but you wouldn't apply this damage to any other monsters with a weakness to silver.
Personal Antithesis You improvise a custom weakness on a creature by forcefully presenting and empowering a piece of esoterica that repels it on an individual level; for instance, against a tyrant, you might procure a broken chain that once held a captive. This causes the target creature, and only the target creature, to gain a weakness against your unarmed and weapon Strikes equal to 2 + half your level.</t>
      </text>
    </comment>
    <comment authorId="0" ref="AY205">
      <text>
        <t xml:space="preserve">Witch Familiar gets 6 abilities from the class.
Familiar is level 1 feat gives two abilities= 10pts
Enhanced Familiar Feat 2 adds two abilities= 10pts
Incredible Familiar Feat 8 adds two more= 70pts
So total=90pts
But then its more like a Specific Familiar since it revives the next day instead of after a week of downtime and is more unique than other familiars, so should be worth more then? Improved Familiar is a level 4 feat, so 30 pts, so total= 120?
Also learn spells from scrolls more quickly, only 1 hour regardless of level, so add the cost of Spellbook Prodigy Wizard Feat 1
So total= 130 pts?</t>
      </text>
    </comment>
    <comment authorId="0" ref="P74">
      <text>
        <t xml:space="preserve">You gain more skill increases than members of other classes. At 2nd level and every level thereafter, you gain a skill increase.</t>
      </text>
    </comment>
    <comment authorId="0" ref="AZ205">
      <text>
        <t xml:space="preserve">Spell Repertoire
The collection of spells you can cast is called your spell repertoire. At 1st level, you learn two 1st-level spells of your choice and four cantrips of your choice, as well as an additional spell and cantrip from your bloodline. You choose these from the common spells from the tradition corresponding to your bloodline, or from other spells from that tradition to which you have access. You can cast any spell in your spell repertoire by using a spell slot of an appropriate spell level.
You add to this spell repertoire as you increase in level. Each time you get a spell slot (see Table 3–17), you add a spell of the same level to your spell repertoire. When you gain access to a new level of spells, your first new spell is always the spell granted by your bloodline, but you can choose the other spells. At 2nd level, you select another 1st-level spell; at 3rd level, you gain a new spell from your bloodline and two other 2nd-level spells, and so on. When you add spells, you might select a higher-level version of a spell you already know so that you can cast a heightened version of that spell.
Though you gain them at the same rate, your spell slots and the spells in your spell repertoire are separate. If a feat or other ability adds a spell to your spell repertoire, it wouldn't give you another spell slot, and vice versa.
Swapping Spells In Your Repertoire
As you gain new spells in your spell repertoire, you might want to replace some of the spells you previously learned. Each time you gain a level and learn new spells, you can swap out one of your old spells for a different spell of the same level. This spell can be a cantrip, but you can't swap out bloodline spells. You can also swap out spells by retraining during downtime</t>
      </text>
    </comment>
    <comment authorId="0" ref="U206">
      <text>
        <t xml:space="preserve">archetype dedication gives Glimpse Vulnerability plus skills</t>
      </text>
    </comment>
    <comment authorId="0" ref="V206">
      <text>
        <t xml:space="preserve">Precise Strike
You strike with flair. When you have panache and you Strike with an agile or finesse melee weapon or agile or finesse unarmed attack, you deal 2 additional precision damage. If the strike is part of a finisher, the additional damage is 2d6 precision damage instead.
As your swashbuckler level increases, so does your additional damage for precise strike. Increase the amount of additional damage on a Strike and the number of additional dice on a finisher by one at 5th, 9th, 13th, and 17th levels.</t>
      </text>
    </comment>
    <comment authorId="0" ref="R74">
      <text>
        <t xml:space="preserve">You gain more skill increases than members of other classes. At 2nd level and every level thereafter, you gain a skill increase.</t>
      </text>
    </comment>
    <comment authorId="0" ref="W206">
      <text>
        <t xml:space="preserve">archetype feat 4 gives both Precise Strike and a lesser Basic Finisher</t>
      </text>
    </comment>
    <comment authorId="0" ref="Z272">
      <text>
        <t xml:space="preserve">Complete Reconfiguration
Level 13
When it comes to crafting and tinkering, you've become incredibly adept at changing your modifications to adjust your innovation's functionality. When you spend downtime to reconfigure your innovation and succeed at your Crafting check, you can swap any number of modifications, swap your offensive boost, or retrain any number of modification feats, rather than one. You still must swap a modification only with one of the same type (initial, breakthrough, or revolutionary).</t>
      </text>
    </comment>
    <comment authorId="0" ref="AA272">
      <text>
        <t xml:space="preserve">guessed based on level</t>
      </text>
    </comment>
    <comment authorId="0" ref="Z206">
      <text>
        <t xml:space="preserve">Peerless Inventor
You are constantly inventing, and your skill at crafting is unimpeachable. You gain the Inventor skill feat, even if you don't meet its prerequisites.</t>
      </text>
    </comment>
    <comment authorId="0" ref="AB272">
      <text>
        <t xml:space="preserve">Greater Field Discovery
Level 13
You learn an incredible discovery that advances your understanding of your field.</t>
      </text>
    </comment>
    <comment authorId="0" ref="AB206">
      <text>
        <t xml:space="preserve">Advanced Alchemy
During your daily preparations, after producing new infused reagents, you can spend batches of those infused reagents to create infused alchemical items. You don't need to attempt a Crafting check to do this, and you ignore both the number of days typically required to create the items and any alchemical reagent requirements. Your advanced alchemy level is equal to your level. For each batch of infused reagents you spend, choose an alchemical item of your advanced alchemy level or lower that's in your formula book, and make a batch of two of that item. These items have the infused trait and remain potent for 24 hours or until your next daily preparations, whichever comes first.</t>
      </text>
    </comment>
    <comment authorId="0" ref="AD206">
      <text>
        <t xml:space="preserve">CHANNEL ELEMENTS [one-action]
AURA KINETICIST PRIMAL
Requirements Your kinetic gate isn’t active.
You tap into your kinetic gate to make elements flow
around you. Your kinetic aura activates, and as a part of this
action, you can use a 1-action Elemental Blast or a 1-action
stance impulse. Your kinetic aura is a 10-foot emanation
where pieces of your kinetic element (or all your kinetic
elements, if you can channel more than one) flow around
you. The kinetic aura can’t damage anything or affect the
environment around you unless another ability allows it to.
Channel Elements has the traits of all your kinetic elements.
Your kinetic aura automatically deactivates if you’re
knocked out, you use an impulse with the overflow trait, or
you Dismiss the aura. Though you can’t use new impulses
while your kinetic aura is deactivated, ones you already
used remain, and you can still Sustain any that can be
sustained. Stance impulses are linked to your kinetic aura
and end when the aura deactivates.</t>
      </text>
    </comment>
    <comment authorId="0" ref="AF272">
      <text>
        <t xml:space="preserve">Eidolon Unarmed Mastery
Level 13
Your eidolon truly masters its unarmed attacks, reaching greater heights. Its proficiency rank for unarmed attacks increases to master</t>
      </text>
    </comment>
    <comment authorId="0" ref="AF206">
      <text>
        <t xml:space="preserve">Manifest Eidolon
Three Actions
ConcentrateConjurationManipulateSummonerTeleportation
Your eidolon appears in an open space adjacent to you, and can then take a single action. If your eidolon was already manifested, you unmanifest it instead.
The conduit that allows your eidolon to manifest is also a tether between you. Your eidolon must remain within 100 feet of you at all times and can't willingly go beyond that limit. If forced beyond this distance, or if you are reduced to 0 Hit Points, your eidolon's physical form dissolves: your eidolon unmanifests, and you need to use Manifest Eidolon to manifest it again.
Special This activity has the trait matching your eidolon's tradition (arcane, divine, occult, or primal).</t>
      </text>
    </comment>
    <comment authorId="0" ref="AG206">
      <text>
        <t xml:space="preserve">
</t>
      </text>
    </comment>
    <comment authorId="0" ref="AH206">
      <text>
        <t xml:space="preserve">Arcane Cascade
After you wield magic, you can enter a special stance to make your attacks more effective.
Arcane Cascade
Single Action
ConcentrateMagusStance
Requirements You used your most recent action to Cast a Spell or make a Spellstrike.
You divert a portion of the spell's magical power and keep it cycling through your body and weapon using specialized forms, breathing, or footwork. While you're in the stance, your melee Strikes deal 1 extra damage. This damage increases to 2 if you have weapon specialization and 3 if you have greater weapon specialization. Any Strike that benefits from this damage gains the arcane trait, making it magical.
If your most recent spell before entering the stance was one that can deal damage, the damage from the stance is the same type that spell could deal (or one type of your choice if the spell could deal multiple types of damage). If the spell couldn't deal damage, this stance's bonus damage depends on the spell's school.
Abjuration or Evocation force
Conjuration or Transmutation same type as your weapon or unarmed attack
Divination, Enchantment, or Illusion mental
Necromancy negative</t>
      </text>
    </comment>
    <comment authorId="0" ref="AJ206">
      <text>
        <t xml:space="preserve">Anathema
Acts fundamentally opposed to your deity's alignment or ideals are anathema to your faith. Learning or casting spells, committing acts, and using items that are anathema to your deity remove you from your deity's good graces.
Casting spells with the evil trait is almost always anathema to good deities, and casting good spells is likewise anathema to evil deities; similarly, casting chaotic spells is anathema to lawful deities, and casting lawful spells is anathema to chaotic deities. A neutral cleric who worships a neutral deity isn't limited this way, but their alignment might change over time if they frequently cast spells or use abilities with a certain alignment. Similarly, casting spells that are anathema to the tenets or goals of your faith could interfere with your connection to your deity. For example, casting a spell to create undead would be anathema to Pharasma, the goddess of death. For borderline cases, you and your GM determine which acts are anathema.
If you perform enough acts that are anathema to your deity, or if your alignment changes to one not allowed by your deity, you lose the magical abilities that come from your connection to your deity. The class features that you lose are determined by the GM, but they likely include your divine font and all divine spellcasting. These abilities can be regained only if you demonstrate your repentance by conducting an atone ritual</t>
      </text>
    </comment>
    <comment authorId="0" ref="F207">
      <text>
        <t xml:space="preserve">Devotion Spells
Your deity's power grants you special divine spells called devotion spells, which are a type of focus spell. It costs 1 Focus Point to cast a focus spell, and you start with a focus pool of 1 Focus Point. You refill your focus pool during your daily preparations, and you regain 1 Focus Point by spending 10 minutes using the Refocus activity to pray to your deity or do service toward their causes.
Focus spells are automatically heightened to half your level rounded up. Certain feats can give you more focus spells and increase the size of your focus pool, though your focus pool can never hold more than 3 Focus Points. The full rules are found here. You gain a devotion spell depending on your cause, and you are trained in divine spell attack rolls and spell DCs. Your spellcasting ability is Charisma.</t>
      </text>
    </comment>
    <comment authorId="0" ref="AL206">
      <text>
        <t xml:space="preserve">Anathema
Acts fundamentally opposed to your deity's alignment or ideals are anathema to your faith. Learning or casting spells, committing acts, and using items that are anathema to your deity remove you from your deity's good graces.
Casting spells with the evil trait is almost always anathema to good deities, and casting good spells is likewise anathema to evil deities; similarly, casting chaotic spells is anathema to lawful deities, and casting lawful spells is anathema to chaotic deities. A neutral cleric who worships a neutral deity isn't limited this way, but their alignment might change over time if they frequently cast spells or use abilities with a certain alignment. Similarly, casting spells that are anathema to the tenets or goals of your faith could interfere with your connection to your deity. For example, casting a spell to create undead would be anathema to Pharasma, the goddess of death. For borderline cases, you and your GM determine which acts are anathema.
If you perform enough acts that are anathema to your deity, or if your alignment changes to one not allowed by your deity, you lose the magical abilities that come from your connection to your deity. The class features that you lose are determined by the GM, but they likely include your divine font and all divine spellcasting. These abilities can be regained only if you demonstrate your repentance by conducting an atone ritual</t>
      </text>
    </comment>
    <comment authorId="0" ref="AN206">
      <text>
        <t xml:space="preserve">Composition Spells
You can infuse your performances with magic to create unique effects called compositions. Compositions are a special type of spell that often require you to use the Performance skill when casting them. Composition spells are a type of focus spell. It costs 1 Focus Point to cast a focus spell, and you start with a focus pool of 1 Focus Point. You refill your focus pool during your daily preparations, and you can regain 1 Focus Point by spending 10 minutes using the Refocus activity to perform, write a new composition, or otherwise engage your muse.
Focus spells are automatically heightened to half your level rounded up, much like cantrips. Focus spells don't require spell slots, and you can't cast them using spell slots. Taking feats can give you more focus spells and increase the size of your focus pool, though your focus pool can never hold more than 3 Focus Points. The full rules for focus spells are found here.
You learn the counter performance composition spell, protecting against auditory and visual effects.
Composition Cantrips
Composition cantrips are special composition spells that don't cost Focus Points, so you can use them as often as you like. Composition cantrips are in addition to the cantrips you choose from the occult list. Generally, only feats can give you more composition cantrips. Unlike other cantrips, you can't swap out composition cantrips gained from bard feats at a later level, unless you swap out the specific feat via retraining. You learn the inspire courage composition cantrip, which boosts your allies' attacks, damage, and defense against fear.</t>
      </text>
    </comment>
    <comment authorId="0" ref="AP206">
      <text>
        <t xml:space="preserve">Revelation Spells
The powers of your mystery manifest in the form of revelation spells, which are a type of focus spell. Casting a revelation spell costs 1 Focus Point and increases the effects of your oracular curse. You start with a focus pool of 2 Focus Points. You refill your focus pool during your daily preparations, and you can regain 1 Focus Point by spending 10 minutes using the Refocus activity to reconcile the conflicting or unconventional nature of your divine mystery.
Focus spells are automatically heightened to half your level rounded up. Focus spells don't require spell slots, and you can't cast them using spell slots (see Divine Spellcasting). Taking feats can give you more focus spells and increase the size of your focus pool, though your focus pool can never hold more than 3 Focus Points. The full rules for focus spells appear here.
Revelation spells have the cursebound trait, unlike other focus spells. This trait means they increase the severity of your oracular curse (see below) when cast. You can't cast a cursebound spell if you don't have an oracular curse.
You learn two revelation spells at 1st level. The first is an initial revelation spell determined by your mystery. The second is an initial domain spell you select from one of the domains associated with your mystery, which you cast as a revelation spell, causing it to gain the cursebound trait.</t>
      </text>
    </comment>
    <comment authorId="0" ref="AR206">
      <text>
        <t xml:space="preserve">Druidic Language
You know Druidic, a secret language known to only druids, in addition to any languages you know through your ancestry. Druidic has its own alphabet. Teaching the Druidic language to non-druids is anathema</t>
      </text>
    </comment>
    <comment authorId="0" ref="AS206">
      <text>
        <t xml:space="preserve">multilingual general feat 1 gives two languages, so I think its 5 pts to learn druidic, but this may be free?</t>
      </text>
    </comment>
    <comment authorId="0" ref="AN8">
      <text>
        <t xml:space="preserve">PER SUBCLASS</t>
      </text>
    </comment>
    <comment authorId="0" ref="AT206">
      <text>
        <t xml:space="preserve">The magic of your mind manifests as psi cantrips, which you can modify by spending Focus Points. Like other cantrips, you can cast psi cantrips as often as you like, and they are automatically heightened to half your level rounded up. Your psi cantrips are in addition to the cantrips you choose from the occult list as part of your psychic spellcasting. Generally, only feats can give you more psi cantrips. Unlike other cantrips, you can't swap out psi cantrips gained from psychic feats at a later level, unless you swap out the specific feat via retraining.
At 1st level, you learn three psi cantrips determined by your choice of conscious mind; one is a unique psi cantrip and two are common cantrips, typically from the occult spellcasting tradition, that you always cast as psi cantrips. You automatically gain more psi cantrips as you progress in your career as a psychic.
You start with a focus pool of 2 Focus Points. However, unlike other spellcasters, you don't gain focus spells that cost Focus Points to cast. Instead, you use your Focus Points to boost or modify your psi cantrips by applying amps— specialized thoughtforms that alter the expression of your psychic power. Each of your psi cantrips has a special amp heading. Whenever you cast a psi cantrip, you can amp it by spending 1 Focus Point to add the amp effect. You can also gain additional amps through feats, allowing you to substitute a psi cantrip's normal amp effect for another one. You choose which amp to use, if you choose to use any, each time you cast a psi cantrip. Unless otherwise noted, you can apply only one amp to a given psi cantrip.
You refill your focus pool during your daily preparations, and you can regain Focus Points by spending 10 minutes using the Refocus activity to explore your mind, whether via meditation, practicing a craft or activity that gives you the mental space to self-reflect, or talking through your thoughts and feelings with yourself or another. If you've spent Focus Points only to amp psi cantrips or fuel psychic abilities since the last time you Refocused, you regain 2 Focus Points when you Refocus, up to your maximum of 2. If you've spent Focus Points on focus spells or abilities other than those from the psychic class (for instance, to cast a focus spell you gained from an archetype), you regain only 1 Focus Point.</t>
      </text>
    </comment>
    <comment authorId="0" ref="AU206">
      <text>
        <t xml:space="preserve">This 90 pt cost is just for refocus 2 points, which is normally a level 12 feat, see Conflux Focus 12, Bloodline Focus 12, etc however Champion's Devoted Focus is level 10 feat and thats what I'm basing this on, but if you use any non-psychic focus, then it breaks this ability entirely for the day, so is it worth less?
extra 10 points for bonus effects on standard cantrips
???</t>
      </text>
    </comment>
    <comment authorId="0" ref="P207">
      <text>
        <t xml:space="preserve">Skill Increases
Level 2
You gain more skill increases than members of other classes. At 2nd level and every level thereafter, you gain a skill increase. You can use this increase to either become trained in one skill you’re untrained in, or to become an expert in one skill in which you’re already trained.
At 7th level, you can use skill increases to become a master in a skill in which you’re already an expert, and at 15th level, you can use them to become legendary in a skill in which you’re already a master.</t>
      </text>
    </comment>
    <comment authorId="0" ref="AV206">
      <text>
        <t xml:space="preserve">Arcane Bond
You place some of your magical power in a bonded item. Each day when you prepare your spells, you can designate a single item you own as your bonded item. This is typically an item associated with spellcasting, such as a wand, ring, or staff, but you are free to designate a weapon or other item. You gain the Drain Bonded Item free action.
Drain Bonded Item
Free Action
ArcaneWizard
Frequency once per day
You expend the power stored in your bonded item. During your turn, you gain the ability to cast one spell you prepared today and already cast, without spending a spell slot. You must still Cast the Spell and meet the spell’s other requirements.</t>
      </text>
    </comment>
    <comment authorId="0" ref="AW206">
      <text>
        <t xml:space="preserve">one extra spell slot per day seems worth 10 points</t>
      </text>
    </comment>
    <comment authorId="0" ref="R207">
      <text>
        <t xml:space="preserve">Devise a Stratagem
You can play out a battle in your head, using brains rather than brawn to execute an attack.
Devise a Stratagem
Single Action
ConcentrateFortuneInvestigator
Frequency once per round
You assess a foe's weaknesses in combat and use them to formulate a plan of attack against your enemy. Choose a creature you can see and roll a d20. If you Strike the chosen creature later this round, you must use the result of the roll you made to Devise a Stratagem for your Strike's attack roll instead of rolling. You make this substitution only for the first Strike you make against the creature this round, not any subsequent attacks.
When you make this substitution, you can also add your Intelligence modifier to your attack roll instead of your Strength or Dexterity modifier, provided your Strike uses an agile or finesse melee weapon, an agile or finesse unarmed attack, a ranged weapon (which must be agile or finesse if it's a melee weapon with the thrown trait), or a sap.
If you're aware that the creature you choose is the subject of a lead you're pursuing, you can use this ability as a free action.</t>
      </text>
    </comment>
    <comment authorId="0" ref="AR8">
      <text>
        <t xml:space="preserve">PER SUBCLASS</t>
      </text>
    </comment>
    <comment authorId="0" ref="AX206">
      <text>
        <t xml:space="preserve">Hexes
Your patron and familiar teach you special spells called hexes. A hex is a short-term effect drawn directly from your patron's magic. As such, you can cast only one hex each turn; attempts to cast a second hex spell on that turn fail and the spellcasting actions are lost.
Hexes are a type of focus spell. It costs 1 Focus Point to cast a focus spell, and you start with a focus pool of 1 Focus Point. You refill your focus pool during your daily preparations, and you can regain 1 Focus Point by spending 10 minutes using the Refocus activity to commune with your familiar. Focus spells are automatically heightened to half your level rounded up.
Focus spells don't require spell slots, and you can't cast them using spell slots. Certain feats can give you more focus spells and increase the size of your focus pool, though your focus pool can never hold more than 3 Focus Points. The full rules for focus spells appear here.
You learn the phase familiar hex, which you can cast as a reaction to protect your familiar from harm. You learn most other hexes from witch lessons.
Hex Cantrips
Hex cantrips are special hexes that don't cost Focus Points, so you can cast them as often as you like, though you can still cast only one hex each round. Hex cantrips are in addition to the cantrips you choose with your witch spellcasting and aren't counted toward your prepared cantrips. Your hex cantrips are determined by your patron theme.</t>
      </text>
    </comment>
    <comment authorId="0" ref="S207">
      <text>
        <t xml:space="preserve">archetype feat 4</t>
      </text>
    </comment>
    <comment authorId="0" ref="T207">
      <text>
        <t xml:space="preserve">The power of your implement can also be turned to the more common task of combat, its power adding to and amplifying the effects of runes and other magical empowerments. When you Strike, you can trace mystic patterns with an implement you're holding to empower the Strike, causing it to deal 2 additional damage per weapon damage die. Channeling the power requires full use of your hands. You don't gain the benefit of implement's empowerment if you are holding anything in either hand other than a single one-handed weapon, other implements, or esoterica, and you must be holding at least one implement to gain the benefit.</t>
      </text>
    </comment>
    <comment authorId="0" ref="U207">
      <text>
        <t xml:space="preserve">compare +2 additional damage per weapon die is the same as CS for Picks, CS is 50 pts. Interestingly, Thaum does not get CS (except Weapon Implement), so this basically IS the CS for the whole class, just from level 1</t>
      </text>
    </comment>
    <comment authorId="0" ref="T75">
      <text>
        <t xml:space="preserve">Thaumaturgic Mastery
Level 17
You've become a master in paranormal phenomena, and your esoterica grow in power. Your proficiency rank for your thaumaturge class DC increases to master.
You also gain an additional skill increase, which you can apply only to Arcana, Nature, Occultism, or Religion.</t>
      </text>
    </comment>
    <comment authorId="0" ref="Z207">
      <text>
        <t xml:space="preserve">Shield Block
You gain the Shield Block general feat, a reaction that lets you reduce damage with your shield.</t>
      </text>
    </comment>
    <comment authorId="0" ref="AB207">
      <text>
        <t xml:space="preserve">Quick Alchemy
If you need a specific alchemical item on the fly, you can use your infused reagents to quickly create it with the Quick Alchemy action.
Quick Alchemy
Single Action
AlchemistManipulate
Cost 1 batch of infused reagents
Requirements You have the formula for the alchemical item you're creating, and you're either holding or wearing alchemist's tools.
You swiftly mix up a short-lived alchemical item to use at a moment's notice. You create a single alchemical item of your advanced alchemy level or lower that's in your formula book without having to spend the normal monetary cost in alchemical reagents or needing to attempt a Crafting check. This item has the infused trait, but it remains potent only until the start of your next turn.</t>
      </text>
    </comment>
    <comment authorId="0" ref="AC207">
      <text>
        <t xml:space="preserve">archetype feat 4 gives Quick Alchemy but a whole lot more</t>
      </text>
    </comment>
    <comment authorId="0" ref="AD207">
      <text>
        <t xml:space="preserve">IMPULSES
An impulse is a special type of magical action available to
kineticists, allowing them to wield or shape their element
into diverse and powerful forms. To wield an element, you
must have your kinetic aura active and have a free hand, as
described in the impulse trait (see the Key Terms sidebar on
this page). You automatically gain the Elemental Blast and
Base Kinesis impulses, and your kinetic gate selection gives
you additional impulse feats. You can select more impulse
feats with kineticist class feats, and at higher levels, you’ll
automatically get more with the gate’s threshold class
feature. You can select an impulse feat only if it matches
one of your kinetic elements.
Impulses are magical, and though they aren’t spells,
some things that affect spells also affect impulses.
Abilities that restrict you from casting spells (such
as being polymorphed into a battle form) or protect
against spells (such as a spell that protects against other
spells or a creature’s bonus to saves against spells) also
apply to impulses.
Impulse Levels
Any impulse you use is the same level you are. For
instance, if you’re 5th level, your Elemental Blast would
be 5th level (and its counteract rank would be 3rd rank),
even though you gained the action at 1st level.
Similar to spells, many impulses get more powerful as
you increase in level. In these cases, the impulse ends with
one or more “Level” entries. This either lists the levels
at which the impulse gets an upgrade or has an entry
with a plus sign that describes a benefit that increases on
a regular basis. For instance, a 1st-level impulse with a
“Level (+4)” entry would get stronger at 5th, 9th, 13th,
and 17th levels.
Impulse Attacks and DCs
An impulse that requires a saving throw uses your kineticist
class DC. Some of your impulses require you to attempt
an impulse attack roll to see how effective they are. Your
impulse attack roll uses the same proficiency and attribute
modifier as your kineticist class DC. Like a spell attack
modifier, your impulse attack modifier uses the following
formula: d20 roll + attribute modifier + proficiency bonus
+ other bonuses + penalties. This means your impulse
attack roll is typically 10 lower than your class DC. The
drained condition can reduce your impulse attack rolls and
class DCs. You can acquire a gate attenuator (page 224) to
gain a bonus to your impulse attack modifier.</t>
      </text>
    </comment>
    <comment authorId="0" ref="AF207">
      <text>
        <t xml:space="preserve">Your eidolon is no mere minion. It doesn't have the minion or summoned trait, and the two of you work together and coordinate your actions. You and your eidolon share your actions and multiple attack penalty. Each round, you can use any of your actions (including reactions and free actions) for yourself or your eidolon.
You coordinate your actions with your eidolon more efficiently when you Act Together.
Act Together
Single Action toThree Actions
SummonerTandem
Frequency once per round
You and your eidolon act as one. Either you or your eidolon takes an action or activity using the same number of actions as Act Together, and the other takes a single action. For example, if you spent 2 actions to Act Together, you could cast burning hands (2 actions) and your eidolon could Strike (1 action), or your eidolon could use its Breath Weapon (2 actions) and you could Stride (1 action).
This lets you each use separate exploration activities like Avoid Notice as you travel.</t>
      </text>
    </comment>
    <comment authorId="0" ref="AH207">
      <text>
        <t xml:space="preserve">Conflux Spells
You learn a conflux spell from your hybrid study, and you can cast additional conflux spells by selecting certain feats. Conflux spells are magus-specific spells created for combat and are a type of focus spell. It costs 1 Focus Point to cast a focus spell, and you start with a focus pool of 1 Focus Point. You refill your focus pool during your daily preparations, and you can regain 1 Focus Point by spending 10 minutes using the Refocus activity to both study your spellbook and perform a physical regimen.</t>
      </text>
    </comment>
    <comment authorId="0" ref="AJ207">
      <text>
        <t xml:space="preserve">Divine Font
Through your deity's blessing, you gain additional spells that channel either the life force called positive energy or its counterforce, negative energy. When you prepare your spells each day, you can prepare additional heal or harm spells, depending on your deity. The divine font spell your deity provides is listed in the Divine Font entry for your deity; if both are listed, you can choose between heal or harm. Once you choose, you can't change your choice short of an ethical shift or divine intervention.
Healing Font: You gain additional spell slots each day at your highest level of cleric spell slots. You can prepare only heal spells in these slots, and the number of slots is equal to 1 plus your Charisma modifier.
Harmful Font: You gain additional spell slots each day at your highest level of cleric spell slots. You can prepare only harm spells in these slots, and the number of slots is equal to 1 plus your Charisma modifier</t>
      </text>
    </comment>
    <comment authorId="0" ref="AK207">
      <text>
        <t xml:space="preserve">Divine Font: heal/harm slots of 1+INT, so minimum 20 pts?</t>
      </text>
    </comment>
    <comment authorId="0" ref="F208">
      <text>
        <t xml:space="preserve">Shield Block
You gain the Shield Block general feat, a reaction that lets you reduce damage with your shield.</t>
      </text>
    </comment>
    <comment authorId="0" ref="AL207">
      <text>
        <t xml:space="preserve">Divine Font
Through your deity's blessing, you gain additional spells that channel either the life force called positive energy or its counterforce, negative energy. When you prepare your spells each day, you can prepare additional heal or harm spells, depending on your deity. The divine font spell your deity provides is listed in the Divine Font entry for your deity; if both are listed, you can choose between heal or harm. Once you choose, you can't change your choice short of an ethical shift or divine intervention.
Healing Font: You gain additional spell slots each day at your highest level of cleric spell slots. You can prepare only heal spells in these slots, and the number of slots is equal to 1 plus your Charisma modifier.
Harmful Font: You gain additional spell slots each day at your highest level of cleric spell slots. You can prepare only harm spells in these slots, and the number of slots is equal to 1 plus your Charisma modifier</t>
      </text>
    </comment>
    <comment authorId="0" ref="AM207">
      <text>
        <t xml:space="preserve">Divine Font: heal/harm slots of 1+INT, so minimum 20 pts?</t>
      </text>
    </comment>
    <comment authorId="0" ref="AR207">
      <text>
        <t xml:space="preserve">Anathema
As stewards of the natural order, druids find affronts to nature anathema. If you perform enough acts that are anathema to nature, you lose your magical abilities that come from the druid class, including your primal spellcasting and the benefits of your order. These abilities can be regained only if you demonstrate your repentance by conducting an atone ritual.
The following acts are anathema to all druids:
Using metal armor or shields.
Despoiling natural places.
Teaching the Druidic language to non-druids.
Each druidic order also has additional anathema acts, detailed in the order’s entry.</t>
      </text>
    </comment>
    <comment authorId="0" ref="AT207">
      <text>
        <t xml:space="preserve">When one thins the barrier between their inner mind and the outer world, one can unleash true psychic power. However, the mind wasn't meant to tap its full strength for long, leading to backlash once your unleashed psyche ends.
Unleash Psyche
Psychic
Trigger Your turn begins.
Requirements You're in an encounter, you Cast a Spell on your previous turn, and you aren't stupefied.
You call on the depths of your mind and let psychic power flood through. Your Psyche remains Unleashed for 2 rounds or until your fall unconscious, whichever comes first. You can't voluntarily quell your unleashed psyche. While your Psyche is Unleashed, the following effects occur.
You're constantly surrounded by the visual manifestation of your psychic magic.
When you cast a damaging spell, you gain a status bonus to its damage equal to double the spell's level. This applies only to spells that don't have a duration and that you cast using psychic spellcasting.
You can use actions that have the psyche trait.
After your unleashed psyche subsides, your mind must recover from the strain of channeling its full power. You can't use Unleash Psyche again for 2 rounds, and you're stupefied 1 for 2 rounds.</t>
      </text>
    </comment>
    <comment authorId="0" ref="AU207">
      <text>
        <t xml:space="preserve">if Rage is 10 pts, is this 10 pts? it has a lot of restrictions and specifics, plus the Stupified downside</t>
      </text>
    </comment>
    <comment authorId="0" ref="R208">
      <text>
        <t xml:space="preserve">Skill Increases
Level 2
You gain more skill increases than members of other classes. At 2nd level and every level thereafter, you gain a skill increase. You can use this increase to either become trained in one skill you're untrained in or to become an expert in one skill in which you're already trained.
At 7th level, you can use skill increases to become a master in a skill in which you're already an expert, and at 15th level, you can use them to become legendary in a skill in which you're already a master.</t>
      </text>
    </comment>
    <comment authorId="0" ref="T274">
      <text>
        <t xml:space="preserve">As you come closer to the culmination of your journey, you gain your final implement, completing your set of three. It must be a different type of implement than your first and second implements. You gain the initiate benefit and intensify vulnerability benefit of your new implement.</t>
      </text>
    </comment>
    <comment authorId="0" ref="U274">
      <text>
        <t xml:space="preserve">cost of the Initiate Benefit for the third implement</t>
      </text>
    </comment>
    <comment authorId="0" ref="P76">
      <text>
        <t xml:space="preserve">You gain more skill increases than members of other classes. At 2nd level and every level thereafter, you gain a skill increase.</t>
      </text>
    </comment>
    <comment authorId="0" ref="R76">
      <text>
        <t xml:space="preserve">You gain more skill increases than members of other classes. At 2nd level and every level thereafter, you gain a skill increase.</t>
      </text>
    </comment>
    <comment authorId="0" ref="X274">
      <text>
        <t xml:space="preserve">Greater Deed
Level 15
You've mastered the pinnacle technique of your chosen way. You gain the greater deed ability of the way you chose at 1st level.</t>
      </text>
    </comment>
    <comment authorId="0" ref="Y274">
      <text>
        <t xml:space="preserve">guessing based on initial deed being 50?</t>
      </text>
    </comment>
    <comment authorId="0" ref="Z274">
      <text>
        <t xml:space="preserve">Revolutionary Innovation
Level 15
You are an unparalleled genius and have discovered a technique that will revolutionize your chosen field—or at least for the time being, your innovation! Choose a revolutionary modification to apply to your innovation. You can also choose an initial or breakthrough modification of the same type instead, if you prefer.</t>
      </text>
    </comment>
    <comment authorId="0" ref="AA274">
      <text>
        <t xml:space="preserve">archetype feat 8 for Basic Modification</t>
      </text>
    </comment>
    <comment authorId="0" ref="AB208">
      <text>
        <t xml:space="preserve">Formula Book
An alchemist keeps meticulous records of the formulas for every item they can create. You start with a standard formula book worth 10 sp or less for free. The formula book contains the formulas for two common 1st-level alchemical items of your choice, in addition to those you gained from Alchemical Crafting and your research field. Alchemical Items can be found here.
Each time you gain a level, you can add the formulas for two common alchemical items to your formula book. These new formulas can be for any level of item you can create. You learn these formulas automatically, but it's also possible to find or buy additional formulas in settlements or from other alchemists, or to invent them with the Inventor feat.</t>
      </text>
    </comment>
    <comment authorId="0" ref="AD208">
      <text>
        <t xml:space="preserve">Elemental Blast
The Elemental Blast impulse is a simple expression
of your power, allowing you to attack with the pure
matter of your kinetic element. Though each element
has its own strengths and weaknesses, the
basic principles to using them are the
same. You can customize the appearance
of your Elemental Blast and can even
choose a different form each time you use
the impulse.
ELEMENTAL BLAST [one-action] OR [two-actions]
ATTACK IMPULSE KINETICIST PRIMAL
With a wave of your hand, you collect elemental
matter from your aura and swing or hurl it. Choose
one of your kinetic elements and a damage type
listed for that element, then make a melee or
ranged impulse attack against the AC of one
creature. Add your Strength modifier to the
damage roll for a melee Elemental Blast. If you make
a 2-action Elemental Blast, you gain a status bonus to
the damage roll equal to your Constitution modifier.
The element determines the damage die, damage type,
and range (for a ranged blast). A damage type other
than a physical damage type adds its trait to the blast.
• Air 1d6 electricity or slashing, 60 feet
• Earth 1d8 bludgeoning or piercing, 30 feet
• Fire 1d6 fire, range 60 feet
• Metal 1d8 piercing or slashing, 30 feet
• Water 1d8 bludgeoning or cold, 30 feet
• Wood 1d8 bludgeoning or vitality, 30 feet
Critical Success The target takes double damage.
Success The target takes full damage.
Level (+4) The damage increases by one die.</t>
      </text>
    </comment>
    <comment authorId="0" ref="AF274">
      <text>
        <t xml:space="preserve">Greater Eidolon Specialization
Level 15
Your eidolon's damage from weapon specialization increases to 4 with unarmed attacks in which it's an expert, 6 if it's a master, and 8 if it's legendary</t>
      </text>
    </comment>
    <comment authorId="0" ref="AF208">
      <text>
        <t xml:space="preserve">Your connection with your eidolon allows you to communicate with it telepathically at all times, even when it isn't manifested. You also gain the Share Senses action.
Share Senses
Single Action
ConcentrateDivinationScryingSummoner
Requirements Your eidolon is manifested.
You project your senses into your eidolon, allowing you to perceive through it. When you do, you lose all sensory information from your own body, but can sense through your eidolon's body for up to 1 minute. You can Dismiss this effect.
Special This action has the trait matching your eidolon's tradition (arcane, divine, occult, or primal). Your eidolon can also use this ability. When it does, it projects its senses into your body.</t>
      </text>
    </comment>
    <comment authorId="0" ref="AG208">
      <text>
        <t xml:space="preserve">see beastmaster trance feat 6</t>
      </text>
    </comment>
    <comment authorId="0" ref="AB10">
      <text>
        <t xml:space="preserve">Oddly, alchemy rules are not separated out as rules but are only found as Alchemist class features.</t>
      </text>
    </comment>
    <comment authorId="0" ref="AH208">
      <text>
        <t xml:space="preserve">Spellstrike
You've learned the fundamental magus technique that lets you combine magical and physical attacks together. You gain the Spellstrike activity.
Spellstrike
Two Actions
Magus
Frequency until recharged (see below)
You channel a spell into a punch or sword thrust to deliver a combined attack. You Cast a Spell that takes 1 or 2 actions to cast and requires a spell attack roll. The effects of the spell don't occur immediately but are imbued into your attack instead. Make a melee Strike with a weapon or unarmed attack. Your spell is coupled with your attack, using your attack roll result to determine the effects of both the Strike and the spell. This counts as two attacks for your multiple attack penalty, but you don't apply the penalty until after you've completed the Spellstrike. The infusion of spell energy grants your Strike the arcane trait, making it magical.
After you use Spellstrike, you can't do so again until you recharge your Spellstrike as a single action, which has the concentrate trait. You also recharge your Spellstrike when you cast a conflux spell that takes at least 1 action to cast; casting a focus spell of another type doesn't recharge your Spellstrike.
Spellstrike Specifics
Though the base Spellstrike rules cover most spells, various modifications apply to more complicated spells when loaded into your fist, blade, or other attack.
One Target: The spell targets only the target of your Strike, even if it normally allows more targets. Some feats let you affect more creatures.
Reach: The coupled spell affects the target using the reach of the weapon or unarmed attack you make your Spellstrike with. For instance, shocking grasp would affect a creature beyond the reach of your hand if you used a weapon with reach, and ray of frost would affect only a creature in your weapon's reach, even though the spell's range is longer.
Ancillary Effects: Your spell still has any non-targeted effects that might affect creatures other than the target, as well as any ongoing effects starting from the moment you hit with the Strike. For example, acid splash would still deal its splash damage to creatures other than the target and tanglefoot's circumstance penalty would last for its normal duration. The spell takes effect after the Strike deals damage; if the Strike has other special effects, the GM determines whether they happen before or after the spell.
Multiple Defenses: Any additional rolls after the initial spell attack still happen normally, such as the Fortitude save attempted by the target of a disintegrate spell. Similarly, a spell that allows you to attack with it again on subsequent rounds would only combine a Strike with its initial attack roll, not with any later ones.
Invalid or Immune Target: If the target you hit wouldn't be a valid target for the spell, the spell is still expended but doesn't affect the target. If the target is immune to your attack but not the spell, it can still be affected by the spell.
Variable Actions: Some spells have different effects based on the number of actions you spend to cast them. You choose whether to use the effects of the 1- or 2-action version of the spell when you use Spellstrike. A spell has to take exactly 1 or 2 actions; you can't use Spellstrike with a spell that takes a free action, reaction, or 3 or more actions.
Metamagic: You typically can't use metamagic with Spellstrike because metamagic requires the next action you take to be Cast a Spell, and Spellstrike is a combined activity that doesn't qualify.
Spellstrike Specifics
Though the base Spellstrike rules cover most spells, various modifications apply to more complicated spells when loaded into your fist, blade, or other attack.
One Target: The spell targets only the target of your Strike, even if it normally allows more targets. Some feats let you affect more creatures.
Reach: The coupled spell affects the target using the reach of the weapon or unarmed attack you make your Spellstrike with. For instance, shocking grasp would affect a creature beyond the reach of your hand if you used a weapon with reach, and ray of frost would affect only a creature in your weapon's reach, even though the spell's range is longer.
Ancillary Effects: Your spell still has any non-targeted effects that might affect creatures other than the target, as well as any ongoing effects starting from the moment you hit with the Strike. For example, acid splash would still deal its splash damage to creatures other than the target and tanglefoot's circumstance penalty would last for its normal duration. The spell takes effect after the Strike deals damage; if the Strike has other special effects, the GM determines whether they happen before or after the spell.
Multiple Defenses: Any additional rolls after the initial spell attack still happen normally, such as the Fortitude save attempted by the target of a disintegrate spell. Similarly, a spell that allows you to attack with it again on subsequent rounds would only combine a Strike with its initial attack roll, not with any later ones.
Invalid or Immune Target: If the target you hit wouldn't be a valid target for the spell, the spell is still expended but doesn't affect the target. If the target is immune to your attack but not the spell, it can still be affected by the spell.
Variable Actions: Some spells have different effects based on the number of actions you spend to cast them. You choose whether to use the effects of the 1- or 2-action version of the spell when you use Spellstrike. A spell has to take exactly 1 or 2 actions; you can't use Spellstrike with a spell that takes a free action, reaction, or 3 or more actions.
Metamagic: You typically can't use metamagic with Spellstrike because metamagic requires the next action you take to be Cast a Spell, and Spellstrike is a combined activity that doesn't qualify.</t>
      </text>
    </comment>
    <comment authorId="0" ref="AJ274">
      <text>
        <t xml:space="preserve">Fifth Doctrine (15th): Your proficiency rank for Fortitude saves increases to master. When you roll a success at a Fortitude save, you get a critical success instead</t>
      </text>
    </comment>
    <comment authorId="0" ref="AI208">
      <text>
        <t xml:space="preserve">archetype feat 4</t>
      </text>
    </comment>
    <comment authorId="0" ref="AL274">
      <text>
        <t xml:space="preserve">Fifth Doctrine (15th): Your proficiency ranks for divine spell attack rolls and spell DCs increase to master</t>
      </text>
    </comment>
    <comment authorId="0" ref="AK208">
      <text>
        <t xml:space="preserve">Warpriest was created after the initial playtest due to popular demand. Its possible they did not want to make an entirely new class, so they wanted to make it a cleric subclass, but in doing so, the budget was limited and they ended up just leaving it unbalanced because they did not have anything to fill the extra 50 points? If this is really the case, it may explain why many think Warpriest is underpowered. It seems especially odd that Warpriest does not get Martial weapon scaling, it actually seems to violate normal weapon scaling by doing so.
I feel like they could have included Divine Weapon as a class feature to make up the difference and it would have really made the theme and power feel better, in addition to giving proper Martial weapon scaling to expert. Or, they could have forgone the Master Fortitude in favor of Master Attacks since they took away legendary spell attacks.</t>
      </text>
    </comment>
    <comment authorId="0" ref="AR208">
      <text>
        <t xml:space="preserve">Wild Empathy
You have a connection to the creatures of the natural world that allows you to communicate with them on a rudimentary level. You can use Diplomacy to Make an Impression on animals and to make very simple Requests of them. In most cases, wild animals will give you time to make your case</t>
      </text>
    </comment>
    <comment authorId="0" ref="AS208">
      <text>
        <t xml:space="preserve">level 2 Ranger feat Wild Empathy</t>
      </text>
    </comment>
    <comment authorId="0" ref="AD209">
      <text>
        <t xml:space="preserve">Base Kinesis
The Base Kinesis impulse lets you perform simple
alterations to an element.
BASE KINESIS [two-actions]
IMPULSE KINETICIST PRIMAL
It’s trivial for you to create some of your element or alter a
portion of it that already exists. Choose one of your kinetic
elements to affect. This impulse has a range of 30 feet, and
the Bulk of the target must be negligible or light. The GM
decides what Bulk the element is. You can’t affect an element
that’s magical, secured in place (like a stone mortared in a
wall), or attended by a creature unwilling to let you.
Choose one of the following options, though the GM might
allow you to make similar small alterations. Base Kinesis can’t
deal damage or cause conditions unless otherwise noted.
• Generate You bring an ordinary, non-magical piece of the
chosen element from its elemental plane. The element
can be used for any of its normal uses. For example, air
can be breathed by an air-breathing creature, and fire
casts light and can ignite flammable substances.
• Move Move an existing piece of the element up to 20
feet in any direction. If you bring it into your space,
you can catch it in an open hand. You can Sustain the
impulse to keep moving the element.
• Suppress You destroy an existing piece of element,
such as snuffing out a flame or evaporating water from
a cup. This affects only natural forms of the element,
not durable, crafted goods like a stone statue, metal
lock, or wooden door.
Level (+4) The range increases by 15 feet, and the maximum
Bulk increases by 1 (allowing Bulk 1 at 5th level).</t>
      </text>
    </comment>
    <comment authorId="0" ref="AF209">
      <text>
        <t xml:space="preserve">Link Spells
Your connection to your eidolon allows you to cast link spells, special spells that have been forged through your shared connection with your eidolon. Link spells are a type of focus spell. It costs 1 Focus Point to cast a focus spell, and you start with a focus pool of 1 Focus Point. You refill your focus pool during your daily preparations, and you can regain 1 Focus Point by spending 10 minutes using the Refocus activity to specifically connect with your eidolon, such as by having a heart-to-heart conversation, playing together, or meditating in unison on the nature of your bond.
Focus spells are automatically heightened to half your level rounded up, much like cantrips. Focus spells don't require spell slots, and you can't cast them using spell slots. Taking feats can give you more focus spells and increase the size of your focus pool, though your focus pool can never hold more than 3 Focus Points. The full rules for focus spells appear here.
You learn the evolution surge link spell, which allows you to grant your eidolon one of several useful benefits.
Link Cantrips
Link cantrips are special link spells that don't cost Focus Points, so you can cast them as often as you like. Link cantrips are in addition to the cantrips you choose from your tradition's spell list. Generally, only feats can give you more link cantrips. Unlike other cantrips, you can't swap out link cantrips gained from summoner feats at a later level, unless you swap out the specific feat via retraining.
You learn the boost eidolon link cantrip, which briefly improves your eidolon's capabilities, allowing it to attack with greater power</t>
      </text>
    </comment>
    <comment authorId="0" ref="N276">
      <text>
        <t xml:space="preserve">Masterful Hunter
Level 17
You have honed your abilities as a hunter to incredible levels. Your proficiency rank for your ranger class DC increases to master. When using a ranged weapon that you have master proficiency in, you can ignore the penalty if attacking your hunted prey within the weapon’s second and third range increments.
If you have master proficiency in Perception, you gain a +4 circumstance bonus to Perception checks when you Seek your prey, and if you have master proficiency in Survival, you gain a +4 circumstance bonus to Survival checks when you Track your prey. You also gain an additional benefit depending on your hunter’s edge.</t>
      </text>
    </comment>
    <comment authorId="0" ref="AR209">
      <text>
        <t xml:space="preserve">I'm guessing it was a typo and never counted in original totals</t>
      </text>
    </comment>
    <comment authorId="0" ref="O276">
      <text>
        <t xml:space="preserve">see Sniping Duo Triangulate feat 4 for the increment benefit = 30 pts
plus there are additional benefits = 40 pts total?</t>
      </text>
    </comment>
    <comment authorId="0" ref="T276">
      <text>
        <t xml:space="preserve">You have unlocked the last secrets of an implement. Choose one of your implements that already gained the adept benefit; you gain the paragon benefit for that implement.</t>
      </text>
    </comment>
    <comment authorId="0" ref="P78">
      <text>
        <t xml:space="preserve">You gain more skill increases than members of other classes. At 2nd level and every level thereafter, you gain a skill increase.</t>
      </text>
    </comment>
    <comment authorId="0" ref="R78">
      <text>
        <t xml:space="preserve">You gain more skill increases than members of other classes. At 2nd level and every level thereafter, you gain a skill increase.</t>
      </text>
    </comment>
    <comment authorId="0" ref="AB276">
      <text>
        <t xml:space="preserve">Perpetual Perfection
Level 17
You have perfected your perpetual infusions, allowing you to use Quick Alchemy to create even more powerful items at no cost. The items you can select depend on your research field and must be in your formula book.</t>
      </text>
    </comment>
    <comment authorId="0" ref="AF276">
      <text>
        <t xml:space="preserve">Eidolon Transcendence
Level 17
Your connection with your eidolon approaches its peak, granting your eidolon access to a powerful new ability depending on its type, as described in Eidolon Abilities in each eidolon's entry. This ability also increases one of the eidolon's ability scores by 2</t>
      </text>
    </comment>
    <comment authorId="0" ref="AC144">
      <text>
        <t xml:space="preserve">normally it would not be this way, but for Alchemist, Medium armor was added in errata, so its really just trained added and scaling linked to Light armor scaling</t>
      </text>
    </comment>
    <comment authorId="0" ref="AP276">
      <text>
        <t xml:space="preserve">Extreme Curse
Level 17
You have mastered a perilous balance between the conflicting divine powers of your mystery, gaining the power to change your fate, but straining both body and soul. When you cast a revelation spell while affected by your major curse, your curse intensifies to an extreme effect instead of overwhelming you. All mysteries share the same effects for their extreme curse.
When affected by your extreme curse, you become doomed 2 (or increase your doomed condition by 2 if you were already doomed). Once every 10 minutes, when you fail an attack roll, skill or Perception check, or saving throw, you can reroll it and use the second result. The reroll has the fortune trait and doesn't require you to spend an action, meaning you can use the reroll even if you can't act. These effects are in addition to all the effects of your major curse, and they can't be removed by any means until you Refocus to reduce your curse to its minor effect.
If you cast a revelation spell while under the effects of this extreme curse, you are overwhelmed by your curse, and you remain doomed 2 even if you Refocus. Additionally, if you spend at least 3 Focus Points before you again Refocus, you recover 3 Focus Points when you Refocus instead of 1.</t>
      </text>
    </comment>
    <comment authorId="0" ref="AR210">
      <text>
        <t xml:space="preserve">ERRATA: originally just four cantrips, but it seems the first five cantrips are free for all caster classes, so I don't think it affects points</t>
      </text>
    </comment>
    <comment authorId="0" ref="AC145">
      <text>
        <t xml:space="preserve">normally it would not be this way, but for Alchemist, Medium armor was added in errata, so its really just trained added and scaling linked to Light armor scaling</t>
      </text>
    </comment>
    <comment authorId="0" ref="P80">
      <text>
        <t xml:space="preserve">You gain skill feats more often than others. At 1st level and every level thereafter, you gain a skill feat. Skill feats can be found in Chapter 5 and have the skill trait.</t>
      </text>
    </comment>
    <comment authorId="0" ref="T80">
      <text>
        <t xml:space="preserve">Dubious Knowledge skill feat:
Esoteric Lore
Your experience with the unknown, as well as the tales you've exchanged with other thaumaturges, has taught you about strange phenomena of every kind. You become trained in Esoteric Lore, a special lore skill that can be used to Recall Knowledge regarding haunts, curses, and creatures of any type, but that can't be used to Recall Knowledge of other topics. Unlike a normal Lore skill, you use Charisma as your modifier on Esoteric Lore checks. You also gain the Dubious Knowledge skill feat.
At 3rd level, you become an expert in Esoteric Lore; at 7th level, you become a master in Esoteric Lore; and at 15th level, you become legendary in Esoteric Lore.</t>
      </text>
    </comment>
    <comment authorId="0" ref="Z278">
      <text>
        <t xml:space="preserve">Infinite Invention
Level 19
Your ability to adjust your innovation has reached impossible heights, and you can use these skills to make major adjustments in your spare time. During your daily preparations, you automatically fix your innovation if it's destroyed or broken, and you can change to a different innovation (armor, construct, weapon, or other type you have access to) and change your modifications and offensive boost.
If you have any feats that had your previous innovation as a prerequisite, you can't use them until you retrain the feats as normal. However, it takes you only 1 day of downtime to retrain such a feat into a feat that has your new innovation as a prerequisite, instead of 1 week.</t>
      </text>
    </comment>
    <comment authorId="0" ref="AA278">
      <text>
        <t xml:space="preserve">guessed based on level</t>
      </text>
    </comment>
    <comment authorId="0" ref="Z80">
      <text>
        <t xml:space="preserve">Inventor Skill feat:
Peerless Inventor
You are constantly inventing, and your skill at crafting is unimpeachable. You gain the Inventor skill feat, even if you don't meet its prerequisites.</t>
      </text>
    </comment>
    <comment authorId="0" ref="AF278">
      <text>
        <t xml:space="preserve">Eidolon Defensive Mastery
Level 19
Your eidolon's form becomes particularly difficult to assail. Its proficiency rank for unarmored defense increases to master.</t>
      </text>
    </comment>
    <comment authorId="0" ref="AB80">
      <text>
        <t xml:space="preserve">You gain the Alchemical Crafting feat, even if you don't meet that feat's prerequisites, and you gain the four common 1st-level alchemical formulas granted by that feat. You can use this feat to create alchemical items as long as you have the items' formulas in your formula book.</t>
      </text>
    </comment>
    <comment authorId="0" ref="AC80">
      <text>
        <t xml:space="preserve">seems like its just free as its really part of the base class like "spellcasting". Spellcasters don't pay for "Learn a spell", this is really part of the Alchemy class feature</t>
      </text>
    </comment>
    <comment authorId="0" ref="AJ278">
      <text>
        <t xml:space="preserve">Final Doctrine (19th): Your proficiency ranks for divine spell attack rolls and spell DCs increase to master.</t>
      </text>
    </comment>
    <comment authorId="0" ref="AL278">
      <text>
        <t xml:space="preserve">Final Doctrine (19th): Your proficiency ranks for divine spell attack rolls and spell DCs increase to legendary</t>
      </text>
    </comment>
    <comment authorId="0" ref="F214">
      <text>
        <t xml:space="preserve">Divine Ally
Level 3
Your devotion attracts a spirit of your deity's alignment. Once you choose an ally, your choice can't be changed.
The following are divine allies:
Blade Ally: A spirit of battle dwells within your armaments. Select one weapon or handwraps of mighty blows when you make your daily preparations. In your hands, the item gains the effect of a property rune and you also gain the weapon's critical specialization effect. For a champion following the tenets of good, choose disrupting, ghost touch, returning, or shifting. For a champion following the tenets of evil, choose fearsome, returning, or shifting.
Shield Ally: A spirit of protection dwells within your shield. In your hands, the shield's Hardness increases by 2 and its HP and BT increase by half.
Steed Ally: You gain a young animal companion as a mount. Ordinarily, your animal companion is one that has the mount special ability, such as a horse. You can select a different animal companion (GM's discretion), but this ability doesn't grant it the mount special ability.</t>
      </text>
    </comment>
    <comment authorId="0" ref="G214">
      <text>
        <t xml:space="preserve">level 6 archetype feat?</t>
      </text>
    </comment>
    <comment authorId="0" ref="H214">
      <text>
        <t xml:space="preserve">Incredible Movement
Level 3
You move like the wind. You gain a +10-foot status bonus to your Speed whenever you’re not wearing armor. The bonus increases by 5 feet for every 4 levels you have beyond 3rd.</t>
      </text>
    </comment>
    <comment authorId="0" ref="I214">
      <text>
        <t xml:space="preserve">see Scouts Speed archetype feat 6 for Scout? Also, total speed increase at level 19 is 30 feet, so this is equal to Fleet General Feet 1 times 6, or 60 pts? But there is no room in the budget here, so this is a special feat that is only 30 pts?</t>
      </text>
    </comment>
    <comment authorId="0" ref="J214">
      <text>
        <t xml:space="preserve">Bravery
Level 3
Having faced countless foes and the chaos of battle, you have learned how to stand strong in the face of fear and keep on fighting. Your proficiency rank for Will saves increases to expert. When you roll a success at a Will save against a fear effect, you get a critical success instead. In addition, anytime you gain the frightened condition, reduce its value by 1.</t>
      </text>
    </comment>
    <comment authorId="0" ref="K214">
      <text>
        <t xml:space="preserve">compare to Champion's Aura of Courage Feat 4</t>
      </text>
    </comment>
    <comment authorId="0" ref="L214">
      <text>
        <t xml:space="preserve">Deny Advantage
Level 3
Your foes struggle to pass your defenses. You aren’t flat-footed to hidden, undetected, or flanking creatures of your level or lower, or creatures of your level or lower using surprise attack. However, they can still help their allies flank.</t>
      </text>
    </comment>
    <comment authorId="0" ref="M214">
      <text>
        <t xml:space="preserve">Uncanny Dodge is a level 10 feat?</t>
      </text>
    </comment>
    <comment authorId="0" ref="N214">
      <text>
        <t xml:space="preserve">Iron Will
Level 3
Your training has hardened your resolve. Your proficiency rank for Will saves increases to expert.</t>
      </text>
    </comment>
    <comment authorId="0" ref="P214">
      <text>
        <t xml:space="preserve">Deny Advantage
Level 3
As someone who takes advantage of others’ defenses, you are careful not to leave such openings yourself. You aren’t flat-footed to hidden, undetected, or flanking creatures of your level or lower, or creatures of your level or lower using surprise attack. However, they can still help their allies flank.</t>
      </text>
    </comment>
    <comment authorId="0" ref="Q214">
      <text>
        <t xml:space="preserve">Uncanny Dodge is a level 10 feat?</t>
      </text>
    </comment>
    <comment authorId="0" ref="R214">
      <text>
        <t xml:space="preserve">Keen Recollection
Level 3
You can recall pertinent facts on topics that aren't your specialty. Your proficiency bonus to untrained skill checks to Recall Knowledge is equal to your level instead of +0.</t>
      </text>
    </comment>
    <comment authorId="0" ref="S214">
      <text>
        <t xml:space="preserve">compare to general feat 3 untrained improvisation, but the archetype feat for this is feat 6, so this should be 50 pts?</t>
      </text>
    </comment>
    <comment authorId="0" ref="T214">
      <text>
        <t xml:space="preserve">Lightning Reflexes
Level 3
Your reflexes are lightning fast. Your proficiency rank in Reflex saves increases to expert.</t>
      </text>
    </comment>
    <comment authorId="0" ref="P82">
      <text>
        <t xml:space="preserve">You gain skill feats more often than others. At 1st level and every level thereafter, you gain a skill feat. Skill feats can be found in Chapter 5 and have the skill trait.</t>
      </text>
    </comment>
    <comment authorId="0" ref="R82">
      <text>
        <t xml:space="preserve">Skillful Lessons
Level 3
At 3rd level and every odd-numbered level thereafter, you gain a skill feat. This feat must be for an Intelligence-, Wisdom-, or Charisma-based skill, or for the skill you gained from your methodology.</t>
      </text>
    </comment>
    <comment authorId="0" ref="V214">
      <text>
        <t xml:space="preserve">Great Fortitude
Level 3
Your physique is incredibly hardy, granting you increased endurance. Your proficiency rank for Fortitude saves increases to expert.</t>
      </text>
    </comment>
    <comment authorId="0" ref="X214">
      <text>
        <t xml:space="preserve">Stubborn
Level 3
You don't like being told what to do, and you don't give up. Your proficiency rank for Will saves increases to expert. When you fail, but don't critically fail, a Will save against an effect that would give you the controlled condition, you can attempt a second save against the effect at the start of your next turn. On a successful second save, the controlled condition ends, though any other effects remain. As normal, failing this second save doesn't allow you to attempt a third save on the subsequent turn</t>
      </text>
    </comment>
    <comment authorId="0" ref="Y214">
      <text>
        <t xml:space="preserve">see Changeling Called ancestry feat 5 and Elf Defiance unto Death ancestry feat 5?</t>
      </text>
    </comment>
    <comment authorId="0" ref="V82">
      <text>
        <t xml:space="preserve">Stylish Tricks
Level 3
At 3rd level, 7th level, and 15th level, you gain a skill feat. This feat must be for Acrobatics or the trained skill from your swashbuckler's style.</t>
      </text>
    </comment>
    <comment authorId="0" ref="Z214">
      <text>
        <t xml:space="preserve">Expert Overdrive
Level 3
You've increased your skill in crafting, and you can put your devices into a more powerful state of overdrive. You become an expert in Crafting, and on a successful use of Overdrive, you increase the additional damage by 1.</t>
      </text>
    </comment>
    <comment authorId="0" ref="AA214">
      <text>
        <t xml:space="preserve">skill increase put in skill section</t>
      </text>
    </comment>
    <comment authorId="0" ref="AD214">
      <text>
        <t xml:space="preserve">EXTRACT ELEMENT 3RD
Creatures with a strong tie to your element might be
troublesome for you to deal with, at least until you’ve
learned to turn their elemental nature to your advantage.
You gain the Extract Element action.
EXTRACT ELEMENT [one-action]
IMPULSE KINETICIST PRIMAL
You extract elemental matter from a creature’s body to
weaken it and take its power for your own. Target a creature
within 30 feet that has a trait matching one of your kinetic
elements or is made of one of your kinetic elements. The
target takes 2d4 damage (with no damage type) and
becomes susceptible to your impulses, depending on its
Fortitude save against your class DC.
Critical Success The creature is unaffected.
Success The creature takes half damage, and you add some
of its elemental matter to your kinetic aura. Your impulses
bypass any immunity the creature has to their elemental
trait or traits, and the target takes a –1 circumstance
penalty to its saves and AC against your impulses. If the
target normally has a resistance that would apply to
damage from one of your impulses, ignore that resistance;
if it normally would be immune to that damage type, it
instead has resistance equal to its level to damage from the
impulse. You can’t target a creature with Extract Element
if elemental matter you extracted from it is already in your
kinetic aura. These effects last for 5 minutes or until your
kinetic aura ends, whichever comes first.
Failure As success, but the creature takes full damage.
Critical Failure As failure, but the creature takes double damage.
Level (+2) The damage increases by 1d4.</t>
      </text>
    </comment>
    <comment authorId="0" ref="AF214">
      <text>
        <t xml:space="preserve">Unlimited Signature Spells
Level 3
All of your spells are signature spells. That means that if you know a spell, you can heighten it freely by casting it from a higher-level spell slot, up to the maximum level of spell you can cast. You can similarly cast any of its lower-level versions without learning them separately</t>
      </text>
    </comment>
    <comment authorId="0" ref="H215">
      <text>
        <t xml:space="preserve">Mystic Strikes
Level 3
Focusing your will into your physical attacks imbues them with mystical energy. Your unarmed attacks become magical, allowing them to get past resistances to non-magical attacks. However, you still need an item such as handwraps of mighty blows to gain an item bonus to attack rolls or increase your attacks' weapon damage dice</t>
      </text>
    </comment>
    <comment authorId="0" ref="AN214">
      <text>
        <t xml:space="preserve">Signature Spells
Level 3
Experience allows you to cast some spells more flexibly. For each spell level you have access to, choose one spell of that level to be a signature spell. You don’t need to learn heightened versions of signature spells separately; instead, you can heighten these spells freely. If you’ve learned a signature spell at a higher level than its minimum, you can also cast all its lower-level versions without learning those separately. If you swap out a signature spell, you can choose a replacement signature spell of the same spell level at which you learned the previous spell. You can also retrain specifically to change a signature spell to a different spell of that level without swapping any spells; this takes as much time as retraining a spell normally does.</t>
      </text>
    </comment>
    <comment authorId="0" ref="I215">
      <text>
        <t xml:space="preserve">see Ghost Eater dedication feat 2? Its such a minor thing though, I feel like this is free?</t>
      </text>
    </comment>
    <comment authorId="0" ref="AP214">
      <text>
        <t xml:space="preserve">Signature Spells
Level 3
Experience enables you to cast some spells more flexibly. For each spell level you have access to, choose one spell of that level to be a signature spell. You don't need to learn heightened versions of signature spells separately; instead, you can heighten these spells freely. If you've learned a signature spell at a higher level than its minimum, you can also cast all its lower-level versions without learning those separately. If you swap out a signature spell, you can replace it with any spell you could have chosen when you first selected it (i.e., of the same spell level or lower). You can also retrain specifically to change a signature spell to a different spell of that level without swapping any spells; this takes as much time as retraining a spell normally does</t>
      </text>
    </comment>
    <comment authorId="0" ref="AR214">
      <text>
        <t xml:space="preserve">Alertness
Level 3
Experience has made you increasingly aware of threats around you, and you react more quickly to danger. Your proficiency rank for Perception increases to expert.</t>
      </text>
    </comment>
    <comment authorId="0" ref="AT214">
      <text>
        <t xml:space="preserve">You've learned to cast some of your spells more flexibly. For each spell level you have access to, choose one spell of that level to be a signature spell. You don't need to learn heightened versions of signature spells separately; instead, you can heighten these spells freely. If you've learned a signature spell at a higher level than its minimum, you can also cast all its lower-level versions without learning those separately. If you swap out a signature spell, you can choose a replacement signature spell of the same spell level at which you learned the previous spell. You can also retrain specifically to change a signature spell to a different spell of that level without swapping any spells; this takes as much time as retraining a spell normally does.</t>
      </text>
    </comment>
    <comment authorId="0" ref="R215">
      <text>
        <t xml:space="preserve">Skillful Lessons
Level 3
At 3rd level and every odd-numbered level thereafter, you gain a skill feat. This feat must be for an Intelligence-, Wisdom-, or Charisma-based skill, or for the skill you gained from your methodology.</t>
      </text>
    </comment>
    <comment authorId="0" ref="AZ214">
      <text>
        <t xml:space="preserve">Signature Spells
Level 3
You’ve learned to cast some of your spells more flexibly. For each spell level you have access to, choose one spell of that level to be a signature spell. You don’t need to learn heightened versions of signature spells separately; instead, you can heighten these spells freely. If you’ve learned a signature spell at a higher level than its minimum, you can also cast all its lower-level versions without learning those separately. If you swap out a signature spell, you can choose a replacement signature spell of the same spell level at which you learned the previous spell. You can also retrain specifically to change a signature spell to a different spell of that level without swapping any spells; this takes as much time as retraining a spell normally does.</t>
      </text>
    </comment>
    <comment authorId="0" ref="V215">
      <text>
        <t xml:space="preserve">Opportune Riposte
Level 3
You turn the tables on foes who fumble, capitalizing immediately on their mistake. You gain the Opportune Riposte reaction.
Opportune Riposte
Reaction
Swashbuckler
Trigger A foe within your reach critically fails a Strike against you.
You take advantage of an opening from your enemy's fumbled attack. You either make a melee Strike against the triggering foe or attempt to Disarm it of the weapon it used for the Strike.</t>
      </text>
    </comment>
    <comment authorId="0" ref="W215">
      <text>
        <t xml:space="preserve">archetype feat 6</t>
      </text>
    </comment>
    <comment authorId="0" ref="AD215">
      <text>
        <t xml:space="preserve">Your mental defenses grow stronger. Your proficiency
rank for Will saves increases to expert.</t>
      </text>
    </comment>
    <comment authorId="0" ref="AF215">
      <text>
        <t xml:space="preserve">Shared Vigilance
Level 3
You and your eidolon work together to remain alert to threats around you, allowing you to perceive far more together than you could individually. Your proficiency rank in Perception and your eidolon's proficiency rank in Perception increase to expert</t>
      </text>
    </comment>
    <comment authorId="0" ref="AN215">
      <text>
        <t xml:space="preserve">Lightning Reflexes
Level 3
Your reflexes are lightning fast. Your proficiency rank in Reflex saves increases to expert.</t>
      </text>
    </comment>
    <comment authorId="0" ref="AR215">
      <text>
        <t xml:space="preserve">Great Fortitude
Level 3
Your physique is incredibly hardy. Your proficiency rank for Fortitude saves increases to expert</t>
      </text>
    </comment>
    <comment authorId="0" ref="P84">
      <text>
        <t xml:space="preserve">You gain skill feats more often than others. At 1st level and every level thereafter, you gain a skill feat. Skill feats can be found in Chapter 5 and have the skill trait.</t>
      </text>
    </comment>
    <comment authorId="0" ref="R84">
      <text>
        <t xml:space="preserve">Skillful Lessons
Level 3
At 3rd level and every odd-numbered level thereafter, you gain a skill feat. This feat must be for an Intelligence-, Wisdom-, or Charisma-based skill, or for the skill you gained from your methodology.</t>
      </text>
    </comment>
    <comment authorId="0" ref="V216">
      <text>
        <t xml:space="preserve">Stylish Tricks
Level 3
At 3rd level, 7th level, and 15th level, you gain a skill feat. This feat must be for Acrobatics or the trained skill from your swashbuckler's style</t>
      </text>
    </comment>
    <comment authorId="0" ref="V217">
      <text>
        <t xml:space="preserve">Vivacious Speed
Level 3
When you've made an impression, you move even faster than normal, darting about the battlefield with incredible speed. Increase the status bonus to your Speeds when you have panache to a +10-foot status bonus; this bonus increases by 5 feet at 7th, 11th, 15th, and 19th levels. When you don't have panache, you still get half this status bonus to your Speed, rounded down to the nearest 5-foot increment.</t>
      </text>
    </comment>
    <comment authorId="0" ref="W217">
      <text>
        <t xml:space="preserve">see Scouts Speed archetype feat 6 for Scout</t>
      </text>
    </comment>
    <comment authorId="0" ref="F218">
      <text>
        <t xml:space="preserve">Weapon Expertise
Level 5
You’ve dedicated yourself to learning the intricacies of your weapons. Your proficiency ranks for simple weapons, martial weapons, and unarmed attacks increase to expert</t>
      </text>
    </comment>
    <comment authorId="0" ref="H218">
      <text>
        <t xml:space="preserve">Expert Strikes
Level 5
You’ve practiced martial arts and have now surpassed your former skill. Your proficiency ranks for unarmed attacks and simple weapons increase to expert.</t>
      </text>
    </comment>
    <comment authorId="0" ref="J218">
      <text>
        <t xml:space="preserve">Fighter Weapon Mastery
Level 5
Hours spent training with your preferred weapons, learning and developing new combat techniques, have made you particularly effective with your weapons of choice. Choose one weapon group. Your proficiency rank increases to master with the simple weapons, martial weapons, and unarmed attacks in that group, and to expert with the advanced weapons in that group. You gain access to the critical specialization effects of all weapons and unarmed attacks for which you have master proficiency.</t>
      </text>
    </comment>
    <comment authorId="0" ref="L218">
      <text>
        <t xml:space="preserve">Brutality
Level 5
Your fury makes your weapons lethal. Your proficiency ranks for simple weapons, martial weapons, and unarmed attacks increase to expert. While raging, you gain access to the critical specialization effects for melee weapons and unarmed attacks.</t>
      </text>
    </comment>
    <comment authorId="0" ref="N218">
      <text>
        <t xml:space="preserve">Ranger Weapon Expertise
Level 5
You’ve dedicated yourself to learning the intricacies of your weapons. Your proficiency ranks for simple and martial weapons and unarmed attacks increases to expert. You gain access to the critical specialization effects of all simple and martial weapons and unarmed attacks when attacking your hunted prey.</t>
      </text>
    </comment>
    <comment authorId="0" ref="P218">
      <text>
        <t xml:space="preserve">Weapon Tricks
Level 5
You have become thoroughly familiar with the tools of your trade. You gain expert proficiency in simple weapons and unarmed attacks, as well as the rapier, sap, shortbow, and shortsword. When you critically succeed at an attack roll against a flat-footed creature while using an agile or finesse simple weapon or any of the listed weapons, you apply the critical specialization effect for the weapon you’re wielding.</t>
      </text>
    </comment>
    <comment authorId="0" ref="R218">
      <text>
        <t xml:space="preserve">Weapon Expertise
Level 5
You've dedicated yourself to learning the intricacies of your weapons. Your proficiency ranks for simple weapons, martial weapons, and unarmed attacks increase to expert.</t>
      </text>
    </comment>
    <comment authorId="0" ref="P86">
      <text>
        <t xml:space="preserve">You gain skill feats more often than others. At 1st level and every level thereafter, you gain a skill feat. Skill feats can be found in Chapter 5 and have the skill trait.</t>
      </text>
    </comment>
    <comment authorId="0" ref="T218">
      <text>
        <t xml:space="preserve">You've learned the secret ways your weapons work most effectively. Your proficiency ranks for simple weapons and martial weapons increase to expert.</t>
      </text>
    </comment>
    <comment authorId="0" ref="R86">
      <text>
        <t xml:space="preserve">Skillful Lessons
Level 3
At 3rd level and every odd-numbered level thereafter, you gain a skill feat. This feat must be for an Intelligence-, Wisdom-, or Charisma-based skill, or for the skill you gained from your methodology.</t>
      </text>
    </comment>
    <comment authorId="0" ref="V218">
      <text>
        <t xml:space="preserve">Weapon Expertise
Level 5
You've dedicated yourself to learning the intricacies of your weapons. Your proficiency ranks for simple weapons, martial weapons, and unarmed attacks increase to expert. You gain access to the critical specialization effects of all weapons for which you have expert proficiency.</t>
      </text>
    </comment>
    <comment authorId="0" ref="X218">
      <text>
        <t xml:space="preserve">Gunslinger Weapon Mastery
Level 5
You fully understand the best way to utilize your unique weapons. Your proficiency rank increases to master with simple and martial firearms and crossbows. Your proficiency rank for advanced firearms and crossbows, simple weapons, martial weapons, and unarmed attacks increases to expert. You gain access to the critical specialization effects for firearms and crossbows</t>
      </text>
    </comment>
    <comment authorId="0" ref="V86">
      <text>
        <t xml:space="preserve">Stylish Tricks
Level 3
At 3rd level, 7th level, and 15th level, you gain a skill feat. This feat must be for Acrobatics or the trained skill from your swashbuckler's style.</t>
      </text>
    </comment>
    <comment authorId="0" ref="Z218">
      <text>
        <t xml:space="preserve">Inventor Weapon Expertise
Level 5
You develop tricks for using your weapons more effectively. Your proficiency ranks for simple and martial weapons and unarmed attacks increase to expert. If you have a weapon innovation, you gain access to the critical specialization effect with your innovation</t>
      </text>
    </comment>
    <comment authorId="0" ref="AA218">
      <text>
        <t xml:space="preserve">split this between the armor and weapon CS, I guess the construct gets enough that it balances out somewhere with construct</t>
      </text>
    </comment>
    <comment authorId="0" ref="AB218">
      <text>
        <t xml:space="preserve">Powerful Alchemy
Level 5
Alchemical items you create on the fly are particularly potent. When you use Quick Alchemy to create an infused alchemical item that allows a saving throw, you can change its DC to your class DC.</t>
      </text>
    </comment>
    <comment authorId="0" ref="AC218">
      <text>
        <t xml:space="preserve">this was a level 8 feat for Alchemist but was Errata'd to be part of the class features at level 5, so is this still worth 80 points? But since it was errata'd into the class, is this actually free then, since they added it later and didn't account for it from the start?</t>
      </text>
    </comment>
    <comment authorId="0" ref="AH218">
      <text>
        <t xml:space="preserve">Weapon Expertise
Level 5
You've dedicated yourself to learning the intricacies of your weapons. Your proficiency ranks for simple weapons, martial weapons, and unarmed attacks increase to expert</t>
      </text>
    </comment>
    <comment authorId="0" ref="AJ218">
      <text>
        <t xml:space="preserve">Alertness
Level 5
You remain alert to threats around you. Your proficiency rank for Perception increases to expert</t>
      </text>
    </comment>
    <comment authorId="0" ref="AL218">
      <text>
        <t xml:space="preserve">Alertness
Level 5
You remain alert to threats around you. Your proficiency rank for Perception increases to expert</t>
      </text>
    </comment>
    <comment authorId="0" ref="H219">
      <text>
        <t xml:space="preserve">Alertness
Level 5
You remain alert to threats around you. Your proficiency rank for Perception increases to expert</t>
      </text>
    </comment>
    <comment authorId="0" ref="AR218">
      <text>
        <t xml:space="preserve">Lightning Reflexes
Level 5
Your reflexes are lightning fast. Your proficiency rank for Reflex saves increases to expert</t>
      </text>
    </comment>
    <comment authorId="0" ref="N219">
      <text>
        <t xml:space="preserve">Trackless Step
Level 5
When you move through natural terrains, you are difficult to track. You always gain the benefits of the Cover Tracks action in such terrains, without moving at half your Speed.</t>
      </text>
    </comment>
    <comment authorId="0" ref="AT218">
      <text>
        <t xml:space="preserve">Minor precognition ensures you can react to threats slightly before they occur. Your proficiency rank for Reflex saves increases to expert.</t>
      </text>
    </comment>
    <comment authorId="0" ref="O219">
      <text>
        <t xml:space="preserve">see Snow May Changeling ancestry feat 1</t>
      </text>
    </comment>
    <comment authorId="0" ref="AT152">
      <text>
        <t xml:space="preserve">3 from Spell Repertoire feature, then two standard cantrips from conscious mind</t>
      </text>
    </comment>
    <comment authorId="0" ref="AV218">
      <text>
        <t xml:space="preserve">Lightning Reflexes
Level 5
Your reflexes are lightning fast. Your proficiency rank for Reflex saves increases to expert</t>
      </text>
    </comment>
    <comment authorId="0" ref="AX218">
      <text>
        <t xml:space="preserve">Magical Fortitude
Level 5
Your patron's power boosts your physical resiliency. Your proficiency rank for Fortitude saves increases to expert.</t>
      </text>
    </comment>
    <comment authorId="0" ref="AV152">
      <text>
        <t xml:space="preserve">prepare an extra cantrip for your school only, but you don't learn an additional cantrip? I'm counting this in the subclass because universalist gets a whole class feat, so its 10 pts</t>
      </text>
    </comment>
    <comment authorId="0" ref="AZ218">
      <text>
        <t xml:space="preserve">Magical Fortitude
Level 5
Magical power has improved your body’s resiliency. Your proficiency rank for Fortitude saves increases to expert</t>
      </text>
    </comment>
    <comment authorId="0" ref="AH219">
      <text>
        <t xml:space="preserve">Lightning Reflexes
Level 5
Your reflexes are lightning fast. Your proficiency rank for Reflex saves increases to expert</t>
      </text>
    </comment>
    <comment authorId="0" ref="AP153">
      <text>
        <t xml:space="preserve">extra cantrip from Mystery</t>
      </text>
    </comment>
    <comment authorId="0" ref="AT219">
      <text>
        <t xml:space="preserve">Your deepening connection to your mind grants you more power to fuel your psi amps. Increase the number of Focus Points in your focus pool by 1. This ability doesn't change the number of Focus Points you regain when you Refocus. As normal, this ability can't increase the size of your focus pool above 3 points.</t>
      </text>
    </comment>
    <comment authorId="0" ref="AU219">
      <text>
        <t xml:space="preserve">Oracle gets this at level 11 as part of their Major Curse, so what is the cost just for the extra focus point?? Champion's Desperate Prayer feat 1 recovers one focus point for an action and some feats like Gravity Weapon feat 1 give a whole focus spell plus focus point.
this is a guess at this point?</t>
      </text>
    </comment>
    <comment authorId="0" ref="AT153">
      <text>
        <t xml:space="preserve">3 from Spell Repertoire feature, then two standard cantrips from conscious mind</t>
      </text>
    </comment>
    <comment authorId="0" ref="P88">
      <text>
        <t xml:space="preserve">You gain skill feats more often than others. At 1st level and every level thereafter, you gain a skill feat. Skill feats can be found in Chapter 5 and have the skill trait.</t>
      </text>
    </comment>
    <comment authorId="0" ref="R88">
      <text>
        <t xml:space="preserve">Skillful Lessons
Level 3
At 3rd level and every odd-numbered level thereafter, you gain a skill feat. This feat must be for an Intelligence-, Wisdom-, or Charisma-based skill, or for the skill you gained from your methodology.</t>
      </text>
    </comment>
    <comment authorId="0" ref="F222">
      <text>
        <t xml:space="preserve">Weapon Specialization
Level 7
You’ve learned how to inflict greater injuries with the weapons you know best. You deal 2 additional damage with weapons and unarmed attacks in which you are an expert. This damage increases to 3 if you’re a master, and to 4 if you’re legendary.</t>
      </text>
    </comment>
    <comment authorId="0" ref="H222">
      <text>
        <t xml:space="preserve">Weapon Specialization
Level 7
You’ve learned how to inflict greater injuries with the weapons you know best. You deal 2 additional damage with weapons and unarmed attacks in which you are an expert. This damage increases to 3 if you’re a master, and 4 if you’re legendary.</t>
      </text>
    </comment>
    <comment authorId="0" ref="J222">
      <text>
        <t xml:space="preserve">Weapon Specialization
Level 7
You’ve learned how to inflict greater injuries with the weapons you know best. You deal 2 additional damage with weapons and unarmed attacks in which you are an expert. This damage increases to 3 if you’re a master, and to 4 if you’re legendary.</t>
      </text>
    </comment>
    <comment authorId="0" ref="L222">
      <text>
        <t xml:space="preserve">Weapon Specialization
Level 7
Your rage helps you hit harder. You deal an additional 2 damage with weapons and unarmed attacks in which you have expert proficiency. This damage increases to 3 if you’re a master, and 4 if you’re legendary. You gain your instinct’s specialization ability.</t>
      </text>
    </comment>
    <comment authorId="0" ref="N222">
      <text>
        <t xml:space="preserve">Weapon Specialization
Level 7
You’ve learned how to inflict greater injuries with the weapons you know best. You deal 2 additional damage with weapons and unarmed attacks in which you are an expert. This damage increases to 3 if you’re a master, and to 4 if you’re legendary.</t>
      </text>
    </comment>
    <comment authorId="0" ref="P222">
      <text>
        <t xml:space="preserve">Weapon Specialization
Level 7
You’ve learned how to inflict greater injuries with the weapons you know best. You deal 2 additional damage with weapons and unarmed attacks in which you are an expert. This damage increases to 3 damage if you’re a master, and 4 damage if you’re legendary.</t>
      </text>
    </comment>
    <comment authorId="0" ref="R222">
      <text>
        <t xml:space="preserve">Weapon Specialization
Level 7
You can inflict greater injuries with the weapons you know best. You deal 2 additional damage with weapons and unarmed attacks in which you are an expert. This damage increases to 3 if you're a master and 4 if you're legendary.</t>
      </text>
    </comment>
    <comment authorId="0" ref="AV155">
      <text>
        <t xml:space="preserve">School gives an extra slot per level</t>
      </text>
    </comment>
    <comment authorId="0" ref="P90">
      <text>
        <t xml:space="preserve">You gain skill feats more often than others. At 1st level and every level thereafter, you gain a skill feat. Skill feats can be found in Chapter 5 and have the skill trait.</t>
      </text>
    </comment>
    <comment authorId="0" ref="T222">
      <text>
        <t xml:space="preserve">Resolve
Level 7
You've steeled your mind with resolve. Your proficiency rank for Will saves increases to master. When you roll a success on a Will save, you get a critical success instead.</t>
      </text>
    </comment>
    <comment authorId="0" ref="R90">
      <text>
        <t xml:space="preserve">Skillful Lessons
Level 3
At 3rd level and every odd-numbered level thereafter, you gain a skill feat. This feat must be for an Intelligence-, Wisdom-, or Charisma-based skill, or for the skill you gained from your methodology.</t>
      </text>
    </comment>
    <comment authorId="0" ref="V222">
      <text>
        <t xml:space="preserve">Weapon Specialization
Level 7
You've learned how to inflict greater injuries with the weapons you know best. You deal 2 additional damage with weapons and unarmed attacks in which you are an expert. This damage increases to 3 if you're a master and 4 if you're legendary.</t>
      </text>
    </comment>
    <comment authorId="0" ref="X222">
      <text>
        <t xml:space="preserve">Weapon Specialization
Level 7
You've learned how to inflict greater injuries with the weapons you know best. You deal 2 additional damage with weapons and unarmed attacks in which you are an expert. This damage increases to 3 if you're a master, and 4 if you're legendary.</t>
      </text>
    </comment>
    <comment authorId="0" ref="Z222">
      <text>
        <t xml:space="preserve">Weapon Specialization
Level 7
You've learned how to inflict greater injuries with the weapons you know best. You deal 2 additional damage with weapons and unarmed attacks in which you are an expert. This damage increases to 3 if you're a master, and 4 if you're legendary.</t>
      </text>
    </comment>
    <comment authorId="0" ref="AB222">
      <text>
        <t xml:space="preserve">Alchemical Weapon Expertise
Level 7
You’ve trained to more effectively wield the weapons you find in your lab. Your proficiency ranks for simple weapons, unarmed attacks, and alchemical bombs increase to expert.</t>
      </text>
    </comment>
    <comment authorId="0" ref="AD222">
      <text>
        <t xml:space="preserve">The sustenance of your inner gate counters harm that
would come to your body. Your proficiency rank for
Fortitude saves increases to master. When you roll a success
on a Fortitude save, you get a critical success instead.</t>
      </text>
    </comment>
    <comment authorId="0" ref="AH222">
      <text>
        <t xml:space="preserve">Weapon Specialization
Level 7
You can inflict greater injuries with your favored weapons. You deal 2 additional damage with weapons and unarmed attacks in which you're an expert. This damage increases to 3 if you're a master, and 4 if you're legendary.</t>
      </text>
    </comment>
    <comment authorId="0" ref="F223">
      <text>
        <t xml:space="preserve">Armor Expertise
Level 7
You have spent so much time in armor that you know how to make the most of its protection. Your proficiency ranks for light, medium, and heavy armor, as well as for unarmored defense, increase to expert. You gain the armor specialization effects of medium and heavy armor.</t>
      </text>
    </comment>
    <comment authorId="0" ref="H223">
      <text>
        <t xml:space="preserve">Path to Perfection
Level 7
You have progressed along your own path to enlightenment. Choose your Fortitude, Reflex, or Will saving throw. Your proficiency rank for the chosen saving throw increases to master. When you roll a success on the chosen saving throw, you get a critical success instead</t>
      </text>
    </comment>
    <comment authorId="0" ref="AN222">
      <text>
        <t xml:space="preserve">Expert Spellcaster
Level 7
Your proficiency ranks for occult spell attack rolls and spell DCs increase to expert.</t>
      </text>
    </comment>
    <comment authorId="0" ref="I223">
      <text>
        <t xml:space="preserve">MANUAL ADJUSTMENT: since its a choice, I put the point value here</t>
      </text>
    </comment>
    <comment authorId="0" ref="J223">
      <text>
        <t xml:space="preserve">Battlefield Surveyor
Level 7
Whether taking stock of an enemy army or simply standing guard, you excel at observing your foes. Your proficiency rank for Perception increases to master. In addition, you gain a +2 circumstance bonus to Perception checks for initiative, making you faster to react during combat.</t>
      </text>
    </comment>
    <comment authorId="0" ref="AP222">
      <text>
        <t xml:space="preserve">Expert Spellcaster
Level 7
The intricacy of your divine power has grown clearer over time. Your proficiency ranks for divine spell attack rolls and spell DCs increase to expert</t>
      </text>
    </comment>
    <comment authorId="0" ref="K223">
      <text>
        <t xml:space="preserve">similar to incredible initiative General feat 1</t>
      </text>
    </comment>
    <comment authorId="0" ref="L223">
      <text>
        <t xml:space="preserve">Juggernaut
Level 7
Your body is accustomed to physical hardship and resistant to ailments. Your proficiency rank for Fortitude saves increases to master. When you roll a success on a Fortitude save, you get a critical success instead.</t>
      </text>
    </comment>
    <comment authorId="0" ref="AR222">
      <text>
        <t xml:space="preserve">Expert Spellcaster
Level 7
Your command of primal forces has deepened, empowering your spells. Your proficiency ranks for primal spell attack rolls and spell DCs increase to expert.</t>
      </text>
    </comment>
    <comment authorId="0" ref="N223">
      <text>
        <t xml:space="preserve">Evasion
Level 7
You’ve learned to move quickly to avoid explosions, dragons’ breath, and worse. Your proficiency rank for Reflex saves increases to master. When you roll a success on a Reflex save, you get a critical success instead.</t>
      </text>
    </comment>
    <comment authorId="0" ref="AT222">
      <text>
        <t xml:space="preserve">Self-reflection has brought you greater knowledge of yourself and, with it, psychic power. Your proficiency ranks for occult spell attack rolls and spell DCs increase to expert.</t>
      </text>
    </comment>
    <comment authorId="0" ref="P223">
      <text>
        <t xml:space="preserve">Evasion
Level 7
You’ve learned to move quickly to avoid explosions, dragons’ breath, and worse. Your proficiency rank for Reflex saves increases to master. When you roll a success on a Reflex save, you get a critical success instead.</t>
      </text>
    </comment>
    <comment authorId="0" ref="AV222">
      <text>
        <t xml:space="preserve">Expert Spellcaster
Level 7
Extended practice of the arcane has improved your capabilities. Your proficiency ranks for arcane spell attack rolls and spell DCs increase to expert</t>
      </text>
    </comment>
    <comment authorId="0" ref="R223">
      <text>
        <t xml:space="preserve">Vigilant Senses
Level 7
Through your adventures, you've developed keen awareness and attention to detail. Your proficiency rank in Perception increases to master.</t>
      </text>
    </comment>
    <comment authorId="0" ref="AX222">
      <text>
        <t xml:space="preserve">Expert Spellcaster
Level 7
You've learned to better control the power your patron has granted you. Your proficiency ranks for spell attacks and spell DCs for your witch spellcasting increase to expert.</t>
      </text>
    </comment>
    <comment authorId="0" ref="T223">
      <text>
        <t xml:space="preserve">Weapon Specialization
Level 7
You’ve learned how to inflict greater injuries with the weapons you know best. You deal an additional 2 damage with weapons and unarmed attacks in which you are an expert. This damage increases to 3 if you’re a master, and 4 if you’re legendary.</t>
      </text>
    </comment>
    <comment authorId="0" ref="AZ222">
      <text>
        <t xml:space="preserve">Expert Spellcaster
Level 7
Your inherent magic responds easily and powerfully to your command. Your proficiency ranks for spell attack rolls and spell DCs for spells of your bloodline’s tradition increase to expert</t>
      </text>
    </comment>
    <comment authorId="0" ref="V223">
      <text>
        <t xml:space="preserve">Evasion
Level 7
You've learned to move quickly to avoid explosions, a dragon's breath, and worse. Your proficiency rank for Reflex saves increases to master. When you roll a success on a Reflex save, you get a critical success instead.</t>
      </text>
    </comment>
    <comment authorId="0" ref="X223">
      <text>
        <t xml:space="preserve">Vigilant Senses
Level 7
Through your adventures, you've developed keen awareness and attention to detail. Your proficiency rank for Perception increases to master</t>
      </text>
    </comment>
    <comment authorId="0" ref="Z223">
      <text>
        <t xml:space="preserve">Lightnining Reflexes
Level 7
Your reflexes are lightning fast. Your proficiency rank for Reflex saves increases to expert</t>
      </text>
    </comment>
    <comment authorId="0" ref="AB223">
      <text>
        <t xml:space="preserve">Iron Will
Level 7
Your mental defenses are an iron fortress. Your proficiency rank for Will saves increases to expert</t>
      </text>
    </comment>
    <comment authorId="0" ref="AD223">
      <text>
        <t xml:space="preserve">Your kinetic gate grows stronger, making your elements
harder to resist. The power flowing from you is even
harder to resist. Your proficiency rank for your kineticist
class DC increases to expert.</t>
      </text>
    </comment>
    <comment authorId="0" ref="AP223">
      <text>
        <t xml:space="preserve">Resolve
Level 7
You've steeled your mind with resolve. Your proficiency rank for Will saves increases to master. When you roll a success on a Will save, you get a critical success instead.</t>
      </text>
    </comment>
    <comment authorId="0" ref="N224">
      <text>
        <t xml:space="preserve">Vigilant Senses
Level 7
Through your adventuring, you’ve developed keen awareness and attention to detail. Your proficiency rank for Perception increases to master.</t>
      </text>
    </comment>
    <comment authorId="0" ref="P224">
      <text>
        <t xml:space="preserve">Vigilant Senses
Level 7
Through your adventures, you’ve developed keen awareness and attention to detail. Your proficiency rank for Perception increases to master.</t>
      </text>
    </comment>
    <comment authorId="0" ref="AV157">
      <text>
        <t xml:space="preserve">School gives an extra slot per level</t>
      </text>
    </comment>
    <comment authorId="0" ref="P92">
      <text>
        <t xml:space="preserve">You gain skill feats more often than others. At 1st level and every level thereafter, you gain a skill feat. Skill feats can be found in Chapter 5 and have the skill trait.</t>
      </text>
    </comment>
    <comment authorId="0" ref="R92">
      <text>
        <t xml:space="preserve">Skillful Lessons
Level 3
At 3rd level and every odd-numbered level thereafter, you gain a skill feat. This feat must be for an Intelligence-, Wisdom-, or Charisma-based skill, or for the skill you gained from your methodology.</t>
      </text>
    </comment>
    <comment authorId="0" ref="Z224">
      <text>
        <t xml:space="preserve">Master Overdrive
Level 7
Your mastery of invention and crafting enhances your Overdrive even further. You become a master in Crafting, and on a successful Overdrive, you increase the additional damage by a total of 2, replacing the increase from expert overdrive</t>
      </text>
    </comment>
    <comment authorId="0" ref="AA224">
      <text>
        <t xml:space="preserve">skill increase put in skill section</t>
      </text>
    </comment>
    <comment authorId="0" ref="F226">
      <text>
        <t xml:space="preserve">Champion Expertise
Level 9
Prayers strengthen your divine power. Your proficiency ranks for your champion class DC and divine spell attack rolls and DCs increase to expert.</t>
      </text>
    </comment>
    <comment authorId="0" ref="H226">
      <text>
        <t xml:space="preserve">Monk Expertise
Level 9
Your proficiency rank for your monk class DC increases to expert. If you have ki spells, your proficiency rank for spell attacks and spell DCs with the tradition of magic you use for your ki spells increases to expert.</t>
      </text>
    </comment>
    <comment authorId="0" ref="J226">
      <text>
        <t xml:space="preserve">Combat Flexibility
Level 9
Through your experience in battle, you can prepare your tactics to suit different situations. When you make your daily preparations, you gain one fighter feat of 8th level or lower that you don’t already have. You can use that feat until your next daily preparations. You must meet all of the feat’s other prerequisites.</t>
      </text>
    </comment>
    <comment authorId="0" ref="L226">
      <text>
        <t xml:space="preserve">Raging Resistance
Level 9
Repeated exposure and toughened skin allow you to fend off harm. While raging, you gain resistance equal to 3 + your Constitution modifier to damage types based on your instinct.</t>
      </text>
    </comment>
    <comment authorId="0" ref="M226">
      <text>
        <t xml:space="preserve">Barbarian Resiliency is a archetype feat 4</t>
      </text>
    </comment>
    <comment authorId="0" ref="N226">
      <text>
        <t xml:space="preserve">Ranger Expertise
Level 9
You’ve practiced your techniques to make them harder to resist. Your proficiency rank for your ranger class DC increases to expert.</t>
      </text>
    </comment>
    <comment authorId="0" ref="P226">
      <text>
        <t xml:space="preserve">Debilitating Strikes
Level 9
When taking advantage of an opening, you both hinder and harm your foe. You gain the Debilitating Strike free action.
Debilitating Strike
Free Action
Rogue
Trigger Your Strike hits a flat-footed creature and deals damage.
You apply one of the following debilitations, which lasts until the end of your next turn.
Debilitation The target takes a –10-foot status penalty to its Speeds.
Debilitation The target becomes enfeebled 1.</t>
      </text>
    </comment>
    <comment authorId="0" ref="Q226">
      <text>
        <t xml:space="preserve">see Kneecap Goblin feat 5 and Catchy Tune Sprite feat 5?</t>
      </text>
    </comment>
    <comment authorId="0" ref="R226">
      <text>
        <t xml:space="preserve">Investigator Expertise
Level 9
You've refined your investigative techniques to an exceptional degree. Your circumstance bonus from Pursue a Lead increases to +2. Your proficiency rank for your investigator class DC increases to expert.</t>
      </text>
    </comment>
    <comment authorId="0" ref="AV159">
      <text>
        <t xml:space="preserve">School gives an extra slot per level</t>
      </text>
    </comment>
    <comment authorId="0" ref="S226">
      <text>
        <t xml:space="preserve">basic +2 circ bonus like Incredible Initiative General Feat 1</t>
      </text>
    </comment>
    <comment authorId="0" ref="P94">
      <text>
        <t xml:space="preserve">You gain skill feats more often than others. At 1st level and every level thereafter, you gain a skill feat. Skill feats can be found in Chapter 5 and have the skill trait.</t>
      </text>
    </comment>
    <comment authorId="0" ref="T226">
      <text>
        <t xml:space="preserve">Vigilant Senses
Level 9
Through your adventures, you've developed keen awareness and attention to detail. Your proficiency rank in Perception increases to master.</t>
      </text>
    </comment>
    <comment authorId="0" ref="R94">
      <text>
        <t xml:space="preserve">Skillful Lessons
Level 3
At 3rd level and every odd-numbered level thereafter, you gain a skill feat. This feat must be for an Intelligence-, Wisdom-, or Charisma-based skill, or for the skill you gained from your methodology.</t>
      </text>
    </comment>
    <comment authorId="0" ref="V226">
      <text>
        <t xml:space="preserve">Swashbuckler Expertise
Level 9
You perform swashbuckling techniques with exceptional flair, making them harder to resist. Your proficiency rank for your swashbuckler class DC increases to expert.</t>
      </text>
    </comment>
    <comment authorId="0" ref="X226">
      <text>
        <t xml:space="preserve">Gunslinger Expertise
Level 9
Your special shots become harder for opponents to predict or resist. Your proficiency rank for your gunslinger class DC increases to expert.</t>
      </text>
    </comment>
    <comment authorId="0" ref="V94">
      <text>
        <t xml:space="preserve">Stylish Tricks
Level 3
At 3rd level, 7th level, and 15th level, you gain a skill feat. This feat must be for Acrobatics or the trained skill from your swashbuckler's style.</t>
      </text>
    </comment>
    <comment authorId="0" ref="Z226">
      <text>
        <t xml:space="preserve">Inventive Expertise
Level 9
Through innovation and experimentation, you've made your inventions more effective and reliable. Your proficiency rank for your inventor class DC increases to expert.</t>
      </text>
    </comment>
    <comment authorId="0" ref="AB226">
      <text>
        <t xml:space="preserve">Alchemical Expertise
Level 9
Constant practice has increased the effectiveness of your concoctions. Your proficiency rank for your alchemist class DC increases to expert</t>
      </text>
    </comment>
    <comment authorId="0" ref="AD226">
      <text>
        <t xml:space="preserve">You remain alert to threats around you. Your proficiency
rank for Perception increases to expert.</t>
      </text>
    </comment>
    <comment authorId="0" ref="AF226">
      <text>
        <t xml:space="preserve">Expert Spellcaster
Level 9
As your connection to your eidolon deepens, the power of your spells increases. Your proficiency ranks for spell attack rolls and spell DCs for spells of your eidolon's tradition increase to expert.</t>
      </text>
    </comment>
    <comment authorId="0" ref="AH226">
      <text>
        <t xml:space="preserve">Expert Spellcaster
Level 9
Your fundamental understanding of magic improves, making your spells harder to resist. Your proficiency ranks for arcane spell attack rolls and spell DCs increase to expert.</t>
      </text>
    </comment>
    <comment authorId="0" ref="AJ226">
      <text>
        <t xml:space="preserve">Resolve
Level 9
You’ve steeled your mind with resolve. Your proficiency rank for Will saves increases to master. When you roll a success at a Will save, you get a critical success instead</t>
      </text>
    </comment>
    <comment authorId="0" ref="F227">
      <text>
        <t xml:space="preserve">Lightning Reflexes
Level 9
Your reflexes are lightning fast. Your proficiency rank for Reflex saves increases to expert.</t>
      </text>
    </comment>
    <comment authorId="0" ref="AL226">
      <text>
        <t xml:space="preserve">Resolve
Level 9
You’ve steeled your mind with resolve. Your proficiency rank for Will saves increases to master. When you roll a success at a Will save, you get a critical success instead</t>
      </text>
    </comment>
    <comment authorId="0" ref="H227">
      <text>
        <t xml:space="preserve">Metal Strikes
Level 9
You can adjust your body to make unarmed attacks infused with the mystic energy of rare metals. Your unarmed attacks are treated as cold iron and silver. This allows you to deal more damage to a variety of supernatural creatures, such as demons, devils, and fey.</t>
      </text>
    </comment>
    <comment authorId="0" ref="AN226">
      <text>
        <t xml:space="preserve">Great Fortitude
Level 9
Your physique is incredibly hardy. Your proficiency rank for Fortitude saves increases to expert</t>
      </text>
    </comment>
    <comment authorId="0" ref="I227">
      <text>
        <t xml:space="preserve">see Precious Arrow archetype feat 8</t>
      </text>
    </comment>
    <comment authorId="0" ref="J227">
      <text>
        <t xml:space="preserve">Juggernaut
Level 9
Your body is accustomed to physical hardship and resistant to ailments. Your proficiency rank for Fortitude saves increases to master. When you roll a success on a Fortitude save, you get a critical success instead.</t>
      </text>
    </comment>
    <comment authorId="0" ref="AP226">
      <text>
        <t xml:space="preserve">Magical Fortitude
Level 9
Magical power has improved your body's resiliency. Your proficiency rank for Fortitude saves increases to expert.</t>
      </text>
    </comment>
    <comment authorId="0" ref="L227">
      <text>
        <t xml:space="preserve">Lightning Reflexes
Level 9
Your reflexes are lightning fast. Your proficiency rank for Reflex saves increases to expert.</t>
      </text>
    </comment>
    <comment authorId="0" ref="H29">
      <text>
        <t xml:space="preserve">Path to Perfection
Level 7
You have progressed along your own path to enlightenment. Choose your Fortitude, Reflex, or Will saving throw. Your proficiency rank for the chosen saving throw increases to master. When you roll a success on the chosen saving throw, you get a critical success instead
Second Path to Perfection
Level 11
You’ve learned to find perfection in every success. Choose a different saving throw than the one you chose for your path to perfection. Your proficiency rank for the chosen saving throw increases to master. If you roll a success with the chosen saving throw, you instead critically succeed
Third Path to Perfection
Level 15
You have made great progress in your personal studies of enlightenment. Choose one of the saving throws you selected for path to perfection or second path to perfection. Your proficiency rank for the chosen type of save increases to legendary. When you roll a critical failure on the chosen type of save, you get a failure instead. When you roll a failure on the chosen type of save against an effect that deals damage, you take half damage.</t>
      </text>
    </comment>
    <comment authorId="0" ref="N227">
      <text>
        <t xml:space="preserve">Nature's Edge
Level 9
You always find the weak points in your foes' defenses when they're on unfavorable terrain. Enemies are flat-footed to you if they're in natural difficult terrain or in difficult terrain resulting from a snare</t>
      </text>
    </comment>
    <comment authorId="0" ref="I29">
      <text>
        <t xml:space="preserve">C=CHOOSE</t>
      </text>
    </comment>
    <comment authorId="0" ref="AT226">
      <text>
        <t xml:space="preserve">Your mind holds your body to a subconscious mental image of yourself. Your proficiency rank for Fortitude saves increases to expert.</t>
      </text>
    </comment>
    <comment authorId="0" ref="O227">
      <text>
        <t xml:space="preserve">see also Terrain Advantage Lizardfolk ancestry feat 9? its pretty circumstantial though, I don't think its actually 90 pts here?</t>
      </text>
    </comment>
    <comment authorId="0" ref="P227">
      <text>
        <t xml:space="preserve">Great Fortitude
Level 9
Your physique is incredibly hardy. Your proficiency rank for Fortitude saves increases to expert.</t>
      </text>
    </comment>
    <comment authorId="0" ref="AV226">
      <text>
        <t xml:space="preserve">Magical Fortitude
Level 9
Magical power has improved your body’s resiliency. Your proficiency rank for Fortitude saves increases to expert.</t>
      </text>
    </comment>
    <comment authorId="0" ref="R227">
      <text>
        <t xml:space="preserve">Great Fortitude
Level 9
Your physique is incredibly hardy. Your proficiency rank for Fortitude saves increases to expert.</t>
      </text>
    </comment>
    <comment authorId="0" ref="AX226">
      <text>
        <t xml:space="preserve">Lightning Reflexes
Level 9
Your reflexes are lightning fast, helping you avoid danger. Your proficiency rank for Reflex saves increases to expert.</t>
      </text>
    </comment>
    <comment authorId="0" ref="T227">
      <text>
        <t xml:space="preserve">You've learned deeper secrets of the supernatural, and your abilities are harder to resist. Your proficiency rank for your thaumaturge class DC increases to expert.
You also gain an additional skill increase, which you can apply only to Arcana, Nature, Occultism, or Religion.</t>
      </text>
    </comment>
    <comment authorId="0" ref="AZ226">
      <text>
        <t xml:space="preserve">Lightning Reflexes
Level 9
Your reflexes are lightning fast. Your proficiency rank for Reflex saves increases to expert.</t>
      </text>
    </comment>
    <comment authorId="0" ref="AB227">
      <text>
        <t xml:space="preserve">Alertness
Level 9
You remain alert to threats around you. Your proficiency rank for Perception increases to expert.</t>
      </text>
    </comment>
    <comment authorId="0" ref="AF227">
      <text>
        <t xml:space="preserve">Shared Reflexes
Level 9
You and your eidolon boost each other's reflexes, allowing you both to roll away from danger. Your proficiency rank for Reflex saves and your eidolon's proficiency rank for Reflex saves increase to expert.</t>
      </text>
    </comment>
    <comment authorId="0" ref="AH227">
      <text>
        <t xml:space="preserve">Alertness
Level 9
You remain alert to threats around you. Your proficiency rank for Perception increases to expert.</t>
      </text>
    </comment>
    <comment authorId="0" ref="F228">
      <text>
        <t xml:space="preserve">Juggernaut
Level 9
Your body is accustomed to physical hardship and resistant to ailments. Your proficiency rank for Fortitude saves increases to master. When you roll a success on a Fortitude save, you get a critical success instead.</t>
      </text>
    </comment>
    <comment authorId="0" ref="AN227">
      <text>
        <t xml:space="preserve">Resolve
Level 9
You’ve steeled your mind with resolve. Your proficiency rank for Will saves increases to master. When you roll a success at a Will save, you get a critical success instead.</t>
      </text>
    </comment>
    <comment authorId="0" ref="H30">
      <text>
        <t xml:space="preserve">Path to Perfection
Level 7
You have progressed along your own path to enlightenment. Choose your Fortitude, Reflex, or Will saving throw. Your proficiency rank for the chosen saving throw increases to master. When you roll a success on the chosen saving throw, you get a critical success instead
Second Path to Perfection
Level 11
You’ve learned to find perfection in every success. Choose a different saving throw than the one you chose for your path to perfection. Your proficiency rank for the chosen saving throw increases to master. If you roll a success with the chosen saving throw, you instead critically succeed
Third Path to Perfection
Level 15
You have made great progress in your personal studies of enlightenment. Choose one of the saving throws you selected for path to perfection or second path to perfection. Your proficiency rank for the chosen type of save increases to legendary. When you roll a critical failure on the chosen type of save, you get a failure instead. When you roll a failure on the chosen type of save against an effect that deals damage, you take half damage.</t>
      </text>
    </comment>
    <comment authorId="0" ref="I30">
      <text>
        <t xml:space="preserve">C=CHOOSE</t>
      </text>
    </comment>
    <comment authorId="0" ref="AV161">
      <text>
        <t xml:space="preserve">School gives an extra slot per level</t>
      </text>
    </comment>
    <comment authorId="0" ref="P96">
      <text>
        <t xml:space="preserve">You gain skill feats more often than others. At 1st level and every level thereafter, you gain a skill feat. Skill feats can be found in Chapter 5 and have the skill trait.</t>
      </text>
    </comment>
    <comment authorId="0" ref="R96">
      <text>
        <t xml:space="preserve">Skillful Lessons
Level 3
At 3rd level and every odd-numbered level thereafter, you gain a skill feat. This feat must be for an Intelligence-, Wisdom-, or Charisma-based skill, or for the skill you gained from your methodology.</t>
      </text>
    </comment>
    <comment authorId="0" ref="AB228">
      <text>
        <t xml:space="preserve">Double Brew
Level 9
You know your formulas so well that you can concoct two items at once. When using the Quick Alchemy action, instead of spending one batch of infused reagents to create a single item, you can spend up to two batches of infused reagents to make up to two alchemical items as described in that action. These items do not have to be the same.</t>
      </text>
    </comment>
    <comment authorId="0" ref="AH228">
      <text>
        <t xml:space="preserve">Resolve
Level 9
You've steeled your mind with resolve. Your proficiency rank for Will saves increases to master. When you roll a success on a Will save, you get a critical success instead.</t>
      </text>
    </comment>
    <comment authorId="0" ref="F230">
      <text>
        <t xml:space="preserve">Alertness
Level 11
You remain alert to threats around you. Your proficiency rank for Perception increases to expert.</t>
      </text>
    </comment>
    <comment authorId="0" ref="H230">
      <text>
        <t xml:space="preserve">Second Path to Perfection
Level 11
You’ve learned to find perfection in every success. Choose a different saving throw than the one you chose for your path to perfection. Your proficiency rank for the chosen saving throw increases to master. If you roll a success with the chosen saving throw, you instead critically succeed</t>
      </text>
    </comment>
    <comment authorId="0" ref="I230">
      <text>
        <t xml:space="preserve">MANUAL ADJUSTMENT: since its a choice, I put the point value here</t>
      </text>
    </comment>
    <comment authorId="0" ref="J230">
      <text>
        <t xml:space="preserve">Armor Expertise
Level 11
You have spent so much time wearing armor that you know how to make the most of its protection. Your proficiency rank for light, medium, and heavy armor, as well as for unarmored defense, increase to expert. You gain the armor specialization effects of medium and heavy armor.</t>
      </text>
    </comment>
    <comment authorId="0" ref="L230">
      <text>
        <t xml:space="preserve">Mighty Rage
Level 11
Your rage intensifies and lets you burst into action. Your proficiency rank for your barbarian class DC increases to expert. You gain the Mighty Rage free action.
Mighty Rage
Free Action
Barbarian
Trigger You use the Rage action on your turn.
Use an action that has the rage trait. Alternatively, you can increase the actions of the triggering Rage to 2 to instead use a 2-action activity with the rage trait.</t>
      </text>
    </comment>
    <comment authorId="0" ref="N230">
      <text>
        <t xml:space="preserve">Medium Armor Expertise
Level 11
You’ve learned to defend yourself better against attacks. Your proficiency ranks for light armor, medium armor, and unarmored defense increase to expert.</t>
      </text>
    </comment>
    <comment authorId="0" ref="P230">
      <text>
        <t xml:space="preserve">Rogue Expertise
Level 11
Your techniques are now harder to resist. Your proficiency rank for your rogue class DC increases to expert.</t>
      </text>
    </comment>
    <comment authorId="0" ref="R230">
      <text>
        <t xml:space="preserve">Deductive Improvisation
Level 11
You use your skills at deduction to perform whatever task is necessary to solve the case. You can attempt any check that requires you to be trained in a skill, even if you're untrained in it; you can attempt any check that requires you to have expert proficiency in a skill so long as you're trained in it; and you can attempt any check that requires you to have master proficiency in a skill as long as you have expert proficiency in it.</t>
      </text>
    </comment>
    <comment authorId="0" ref="AV163">
      <text>
        <t xml:space="preserve">School gives an extra slot per level</t>
      </text>
    </comment>
    <comment authorId="0" ref="S230">
      <text>
        <t xml:space="preserve">see Clever Improviser Human feat 5 and Hafling Ingenuity feat 5</t>
      </text>
    </comment>
    <comment authorId="0" ref="P98">
      <text>
        <t xml:space="preserve">You gain skill feats more often than others. At 1st level and every level thereafter, you gain a skill feat. Skill feats can be found in Chapter 5 and have the skill trait.</t>
      </text>
    </comment>
    <comment authorId="0" ref="T230">
      <text>
        <t xml:space="preserve">Medium Armor Expertise
Level 11
You've learned to defend yourself better against attacks. Your proficiency ranks for light armor, medium armor, and unarmored defense increase to expert.</t>
      </text>
    </comment>
    <comment authorId="0" ref="R98">
      <text>
        <t xml:space="preserve">Skillful Lessons
Level 3
At 3rd level and every odd-numbered level thereafter, you gain a skill feat. This feat must be for an Intelligence-, Wisdom-, or Charisma-based skill, or for the skill you gained from your methodology.</t>
      </text>
    </comment>
    <comment authorId="0" ref="V230">
      <text>
        <t xml:space="preserve">Continuous Flair
Level 11
While not equal to the heights of your panache in combat, you have a dramatic flair about you in any situation. Whenever you succeed at a check during exploration that would have granted you panache in combat, you gain a +1 circumstance bonus to further checks for actions that would grant you panache in combat. This benefit ends when the exploration changes to a different scene (as determined by the GM) or shifts to an encounter or downtime.</t>
      </text>
    </comment>
    <comment authorId="0" ref="X230">
      <text>
        <t xml:space="preserve">Evasion
Level 11
You've learned to move quickly to avoid explosions, dragon's breath, and worse. Your proficiency rank for Reflex saves increases to master. When you roll a success on a Reflex save, you get a critical success instead</t>
      </text>
    </comment>
    <comment authorId="0" ref="Z230">
      <text>
        <t xml:space="preserve">Medium Armor Expertise
Level 11
You've learned to better defend yourself against attacks. Your proficiency ranks for light armor, medium armor, and unarmored defense increase to expert.
If you have a medium or heavy armor innovation, you gain access to the critical specialization effect with your armor innovation.</t>
      </text>
    </comment>
    <comment authorId="0" ref="AA230">
      <text>
        <t xml:space="preserve">split this between the armor and weapon CS, I guess the construct gets enough that it balances out somewhere with construct</t>
      </text>
    </comment>
    <comment authorId="0" ref="AB230">
      <text>
        <t xml:space="preserve">Juggernaut
Level 11
Your body has become accustomed to physical hazards and resistant to pathogens and ailments. Your proficiency rank for Fortitude saves increases to master. When you roll a success on a Fortitude save, you get a critical success instead.</t>
      </text>
    </comment>
    <comment authorId="0" ref="AD230">
      <text>
        <t xml:space="preserve">You’ve improved your combat skill. Your proficiency
rank for simple weapons and unarmed attacks increase to
expert.</t>
      </text>
    </comment>
    <comment authorId="0" ref="AF230">
      <text>
        <t xml:space="preserve">Simple Weapon Expertise
Level 11
Training and magic improved your weapon technique. Your proficiency rank for simple weapons and unarmed attacks increases to expert.</t>
      </text>
    </comment>
    <comment authorId="0" ref="AH230">
      <text>
        <t xml:space="preserve">Medium Armor Expertise
Level 11
You've learned to defend yourself better against incoming attacks. Your proficiency ranks for light armor, medium armor, and unarmored defense increase to expert.</t>
      </text>
    </comment>
    <comment authorId="0" ref="AJ230">
      <text>
        <t xml:space="preserve">Lightning Reflexes
Level 11
Your reflexes are lightning fast. Your proficiency rank for Reflex saves increases to expert</t>
      </text>
    </comment>
    <comment authorId="0" ref="F231">
      <text>
        <t xml:space="preserve">Divine Will
Level 11
Your faith grants mastery of your will. Your proficiency rank for Will saves increases to master. When you roll a success on a Will save, you get a critical success instead.</t>
      </text>
    </comment>
    <comment authorId="0" ref="AL230">
      <text>
        <t xml:space="preserve">Lightning Reflexes
Level 11
Your reflexes are lightning fast. Your proficiency rank for Reflex saves increases to expert</t>
      </text>
    </comment>
    <comment authorId="0" ref="AN230">
      <text>
        <t xml:space="preserve">Bard Weapon Expertise
Level 11
You have become thoroughly adept with bardic weapons. You gain expert proficiency in simple weapons and unarmed attacks, plus the longsword, rapier, sap, shortbow, shortsword, and whip. When you critically succeed at an attack roll using one of these weapons or an unarmed attack while one of your compositions is active, you apply the critical specialization effect for that weapon or unarmed attack.</t>
      </text>
    </comment>
    <comment authorId="0" ref="J231">
      <text>
        <t xml:space="preserve">Fighter Expertise
Level 11
You’ve practiced your techniques to make them harder to resist. Your proficiency rank for your fighter class DC increases to expert</t>
      </text>
    </comment>
    <comment authorId="0" ref="AP230">
      <text>
        <t xml:space="preserve">Weapon Expertise
Level 11
You've dedicated yourself to learning the intricacies of your weapons. Your proficiency ranks for simple weapons and unarmed attacks increase to expert.</t>
      </text>
    </comment>
    <comment authorId="0" ref="AR230">
      <text>
        <t xml:space="preserve">Druid Weapon Expertise
Level 11
You have become thoroughly familiar with the weapons of your trade. Your proficiency ranks for all simple weapons and unarmed attacks increase to expert.</t>
      </text>
    </comment>
    <comment authorId="0" ref="H33">
      <text>
        <t xml:space="preserve">Path to Perfection
Level 7
You have progressed along your own path to enlightenment. Choose your Fortitude, Reflex, or Will saving throw. Your proficiency rank for the chosen saving throw increases to master. When you roll a success on the chosen saving throw, you get a critical success instead
Second Path to Perfection
Level 11
You’ve learned to find perfection in every success. Choose a different saving throw than the one you chose for your path to perfection. Your proficiency rank for the chosen saving throw increases to master. If you roll a success with the chosen saving throw, you instead critically succeed
Third Path to Perfection
Level 15
You have made great progress in your personal studies of enlightenment. Choose one of the saving throws you selected for path to perfection or second path to perfection. Your proficiency rank for the chosen type of save increases to legendary. When you roll a critical failure on the chosen type of save, you get a failure instead. When you roll a failure on the chosen type of save against an effect that deals damage, you take half damage.</t>
      </text>
    </comment>
    <comment authorId="0" ref="N231">
      <text>
        <t xml:space="preserve">Wild Stride
Level 11
You move quickly through obstacles, whether they’re tumbled stone, tangled undergrowth, or sucking mud. You can ignore the effects of non-magical difficult terrain. As normal for ignoring difficult terrain, this also lets you treat the hindrances of greater difficult terrain as those of difficult terrain.</t>
      </text>
    </comment>
    <comment authorId="0" ref="I33">
      <text>
        <t xml:space="preserve">C=CHOOSE</t>
      </text>
    </comment>
    <comment authorId="0" ref="AT230">
      <text>
        <t xml:space="preserve">Training and magic have improved your weapon technique. Your proficiency rank for simple weapons and unarmed attacks increases to expert.</t>
      </text>
    </comment>
    <comment authorId="0" ref="O231">
      <text>
        <t xml:space="preserve">based on similar feats such as ancestry feats at level one like Dwarf Rock Runner Feat 1</t>
      </text>
    </comment>
    <comment authorId="0" ref="AV230">
      <text>
        <t xml:space="preserve">Wizard Weapon Expertise
Level 11
Through a combination of magic and training, you’ve learned how to wield wizard weapons more effectively. You gain expert proficiency in the club, crossbow, dagger, heavy crossbow, staff, and unarmed attacks.</t>
      </text>
    </comment>
    <comment authorId="0" ref="R231">
      <text>
        <t xml:space="preserve">Resolve
Level 11
You've steeled your mind with resolve. Your proficiency rank for Will saves increases to master. When you roll a success on a Will save, you get a critical success instead.</t>
      </text>
    </comment>
    <comment authorId="0" ref="AX230">
      <text>
        <t xml:space="preserve">Weapon Expertise
Level 11
Through sheer experience, you've improved your technique with your weapons. Your proficiency ranks for simple weapons and unarmed attacks increase to expert.</t>
      </text>
    </comment>
    <comment authorId="0" ref="AZ230">
      <text>
        <t xml:space="preserve">Weapon Expertise
Level 11
Training and magic improved your weapon technique. Your proficiency rank for simple weapons and unarmed attacks increases to expert</t>
      </text>
    </comment>
    <comment authorId="0" ref="V231">
      <text>
        <t xml:space="preserve">Vigilant Senses
Level 11
Through your adventures, you've developed keen awareness and attention to detail. Your proficiency rank for Perception increases to master.</t>
      </text>
    </comment>
    <comment authorId="0" ref="Z231">
      <text>
        <t xml:space="preserve">Resolve
Level 11
You've steeled your mind with resolve. Your proficiency rank for Will saves increases to master. When you roll a success on a Will save, you get a critical success instead.</t>
      </text>
    </comment>
    <comment authorId="0" ref="AD231">
      <text>
        <t xml:space="preserve">Your body flows with the elegance of a flame, a wave, a
breeze. Your proficiency rank for Reflex saves increases
to master. When you roll a success on a Reflex save, you
get a critical success instead.</t>
      </text>
    </comment>
    <comment authorId="0" ref="AN231">
      <text>
        <t xml:space="preserve">Vigilant Senses
Level 11
Through your adventures, you’ve developed keen awareness and attention to detail. Your proficiency rank for Perception increases to master.</t>
      </text>
    </comment>
    <comment authorId="0" ref="AP231">
      <text>
        <t xml:space="preserve">Alertness
Level 11
You remain alert to threats around you. Your proficiency rank for Perception increases to expert.</t>
      </text>
    </comment>
    <comment authorId="0" ref="AR231">
      <text>
        <t xml:space="preserve">Resolve
Level 11
You’ve steeled your mind with incredible resolve. Your proficiency rank for Will saves increases to master. When you roll a success at a Will save, you get a critical success instead.</t>
      </text>
    </comment>
    <comment authorId="0" ref="H34">
      <text>
        <t xml:space="preserve">Path to Perfection
Level 7
You have progressed along your own path to enlightenment. Choose your Fortitude, Reflex, or Will saving throw. Your proficiency rank for the chosen saving throw increases to master. When you roll a success on the chosen saving throw, you get a critical success instead
Second Path to Perfection
Level 11
You’ve learned to find perfection in every success. Choose a different saving throw than the one you chose for your path to perfection. Your proficiency rank for the chosen saving throw increases to master. If you roll a success with the chosen saving throw, you instead critically succeed
Third Path to Perfection
Level 15
You have made great progress in your personal studies of enlightenment. Choose one of the saving throws you selected for path to perfection or second path to perfection. Your proficiency rank for the chosen type of save increases to legendary. When you roll a critical failure on the chosen type of save, you get a failure instead. When you roll a failure on the chosen type of save against an effect that deals damage, you take half damage.</t>
      </text>
    </comment>
    <comment authorId="0" ref="N232">
      <text>
        <t xml:space="preserve">Juggernaut
Level 11
Your body is accustomed to physical hardship and resistant to ailments. Your proficiency rank for Fortitude saves increases to master. When you roll a success on a Fortitude save, you get a critical success instead.</t>
      </text>
    </comment>
    <comment authorId="0" ref="I34">
      <text>
        <t xml:space="preserve">C=CHOOSE</t>
      </text>
    </comment>
    <comment authorId="0" ref="AT231">
      <text>
        <t xml:space="preserve">Minor applications of clairvoyance let you know when danger is near. Your proficiency rank for Perception increases to expert.</t>
      </text>
    </comment>
    <comment authorId="0" ref="AV231">
      <text>
        <t xml:space="preserve">Alertness
Level 11
You remain alert to threats around you. Your proficiency rank for Perception increases to expert.</t>
      </text>
    </comment>
    <comment authorId="0" ref="AV165">
      <text>
        <t xml:space="preserve">School gives an extra slot per level</t>
      </text>
    </comment>
    <comment authorId="0" ref="AX231">
      <text>
        <t xml:space="preserve">Alertness
Level 11
You remain alert to threats around you. Your proficiency rank for Perception increases to expert.</t>
      </text>
    </comment>
    <comment authorId="0" ref="AZ231">
      <text>
        <t xml:space="preserve">Alertness
Level 11
You remain alert to threats around you. Your proficiency rank for Perception increases to expert</t>
      </text>
    </comment>
    <comment authorId="0" ref="AD232">
      <text>
        <t xml:space="preserve">You twist one of the impulses you’ve learned into a
different but still similar magic. When you make your
daily preparations, you can replace one of your impulse
feats with a different impulse feat that has the same
elemental trait. You can reflow only impulse feats that
have exactly one elemental trait, not composite impulse
feats or feats that vary by element. This follows the same
rules as retraining; you can replace impulse feats gained
through your class feats or through class features that
grant you impulse feats.</t>
      </text>
    </comment>
    <comment authorId="0" ref="AF232">
      <text>
        <t xml:space="preserve">Twin Juggernauts
Level 11
You and your eidolon fight off physical hardship together with your shared life force. Your proficiency rank for Fortitude saves and your eidolon's proficiency rank for Fortitude saves increase to master. When you roll a success on a Fortitude save, you get a critical success instead. When your eidolon rolls a success on a Fortitude save, it gets a critical success instead.</t>
      </text>
    </comment>
    <comment authorId="0" ref="A101">
      <text>
        <t xml:space="preserve">In an effort to simplify my formulas, I manually changed proficiencies to T/E/M/L where it gets scaling based on the highest ability. So if the highest level weapon gets expert, all others below get expert for free. Note that Trained is different, I found that each level of trained must be paid in order for totals to work right. Basically, think of it as getting Weapon proficiency general feat, you have to take it for each level to be trained in that level, but scaling is included in the class feature as one cost for scaling.</t>
      </text>
    </comment>
    <comment authorId="0" ref="AT232">
      <text>
        <t xml:space="preserve">Your practiced mind resists external influence. Your proficiency rank for Will saves increases to master. When you succeed at a Will save, you get a critical success instead.</t>
      </text>
    </comment>
    <comment authorId="0" ref="F234">
      <text>
        <t xml:space="preserve">Weapon Mastery
Level 13
You fully understand your weapons. Your proficiency ranks for simple and martial weapons and unarmed attacks increase to master.</t>
      </text>
    </comment>
    <comment authorId="0" ref="H234">
      <text>
        <t xml:space="preserve">Master Strikes
Level 13
You have honed your skill in using your body as a weapon. Your proficiency ranks for unarmed attacks and simple weapons increase to master.</t>
      </text>
    </comment>
    <comment authorId="0" ref="F102">
      <text>
        <t xml:space="preserve">Blade Ally can give Weapon CS, but its not default for all Champions</t>
      </text>
    </comment>
    <comment authorId="0" ref="J234">
      <text>
        <t xml:space="preserve">Weapon Legend
Level 13
You've learned fighting techniques that apply to all armaments, and you've developed unparalleled skill with your favorite weapons. Your proficiency ranks for simple weapons, martial weapons, and unarmed attacks increase to master. Your proficiency rank for advanced weapons increases to expert.
You can select one weapon group and increase your proficiency ranks to legendary for all simple weapons, martial weapons, and unarmed attacks in that weapon group, and to master for all advanced weapons in that weapon group.</t>
      </text>
    </comment>
    <comment authorId="0" ref="H102">
      <text>
        <t xml:space="preserve">Monk only gets CS from Brawling Focus Feat 2</t>
      </text>
    </comment>
    <comment authorId="0" ref="L234">
      <text>
        <t xml:space="preserve">Weapon Fury
Level 13
Your rage makes you even more effective with the weapons you wield. Your proficiency ranks for simple weapons, martial weapons, and unarmed attacks increase to master.</t>
      </text>
    </comment>
    <comment authorId="0" ref="N234">
      <text>
        <t xml:space="preserve">Weapon Mastery
Level 13
You fully understand the intricacies of your weapons. Your proficiency ranks for simple and martial weapons and unarmed attacks increase to master.</t>
      </text>
    </comment>
    <comment authorId="0" ref="P234">
      <text>
        <t xml:space="preserve">Master Tricks
Level 13
You’ve mastered a rogue’s fighting moves. Your proficiency ranks increase to master for all simple weapons and unarmed attacks plus the rapier, sap, shortbow, and shortsword.</t>
      </text>
    </comment>
    <comment authorId="0" ref="R234">
      <text>
        <t xml:space="preserve">Weapon Mastery
Level 13
You fully understand your weapons. Your proficiency ranks for simple weapons, martial weapons, and unarmed attacks increase to master.</t>
      </text>
    </comment>
    <comment authorId="0" ref="AV167">
      <text>
        <t xml:space="preserve">School gives an extra slot per level</t>
      </text>
    </comment>
    <comment authorId="0" ref="T234">
      <text>
        <t xml:space="preserve">Greater Resolve
Level 13
Your unbelievable training grants you mental resiliency. Your proficiency rank for Will saves increases to legendary. When you roll a success on a Will save, you get a critical success instead. When you roll a critical failure on a Will save, you get a failure instead. When you fail a Will save against a damaging effect, you take half damage.</t>
      </text>
    </comment>
    <comment authorId="0" ref="R102">
      <text>
        <t xml:space="preserve">Investigator has no CS whatsoever</t>
      </text>
    </comment>
    <comment authorId="0" ref="V234">
      <text>
        <t xml:space="preserve">Weapon Mastery
Level 13
You fully understand your weapons. Your proficiency ranks for simple and martial weapons and unarmed attacks increase to master.</t>
      </text>
    </comment>
    <comment authorId="0" ref="T102">
      <text>
        <t xml:space="preserve">only Weapon Implement gets CS</t>
      </text>
    </comment>
    <comment authorId="0" ref="X234">
      <text>
        <t xml:space="preserve">Gunslinging Legend
Level 13
You've learned unique techniques for wielding firearms and crossbows that give you unmatched skill in their use. Your proficiency rank increases to legendary with simple and martial firearms and crossbows and to master with advanced firearms and crossbows. Your proficiency rank for simple weapons, martial weapons, and unarmed attacks increases to expert.</t>
      </text>
    </comment>
    <comment authorId="0" ref="Z234">
      <text>
        <t xml:space="preserve">Inventor Weapon Mastery
Level 13
You fully understand your weapons. Your proficiency ranks for simple and martial weapons and unarmed attacks increase to master.</t>
      </text>
    </comment>
    <comment authorId="0" ref="AB234">
      <text>
        <t xml:space="preserve">Weapon Specialization
Level 13
You’ve learned how to inflict greater injuries with the weapons you know best. You deal 2 additional damage with weapons and unarmed attacks in which you are an expert. This damage increases to 3 if you’re a master, and to 4 if you’re legendary</t>
      </text>
    </comment>
    <comment authorId="0" ref="Z102">
      <text>
        <t xml:space="preserve">only weapon inventor can get CS</t>
      </text>
    </comment>
    <comment authorId="0" ref="AD234">
      <text>
        <t xml:space="preserve">You’ve learned how to inflict greater injuries with the
weapons you know best. You deal 2 additional damage
with weapons and unarmed attacks in which you’re an
expert. This damage increases to 3 if you’re a master, and
4 if you’re legendary.</t>
      </text>
    </comment>
    <comment authorId="0" ref="AB102">
      <text>
        <t xml:space="preserve">Alchemist does not get CS, but some of the Research Field benefits could look like CS, especially Bomber benefit</t>
      </text>
    </comment>
    <comment authorId="0" ref="AF234">
      <text>
        <t xml:space="preserve">Weapon Specialization
Level 13
You've learned how to inflict greater injuries with the weapons you know best. You deal 2 additional damage with weapons and unarmed attacks in which you are an expert. This damage increases to 3 if you're a master, and 4 if you're legendary</t>
      </text>
    </comment>
    <comment authorId="0" ref="AD102">
      <text>
        <t xml:space="preserve">Critical Blast is an optional Gate Junction for your Gates Threshold</t>
      </text>
    </comment>
    <comment authorId="0" ref="AH234">
      <text>
        <t xml:space="preserve">Weapon Mastery
Level 13
You fully understand your weapons. Your proficiency ranks for simple weapons, martial weapons, and unarmed attacks increase to master.</t>
      </text>
    </comment>
    <comment authorId="0" ref="AJ234">
      <text>
        <t xml:space="preserve">Weapon Specialization
Level 13
You’ve learned how to inflict greater injuries with the weapons you know best. You deal 2 additional damage with weapons and unarmed attacks in which you are an expert. This damage increases to 3 if you’re a master, and to 4 if you’re legendary</t>
      </text>
    </comment>
    <comment authorId="0" ref="F235">
      <text>
        <t xml:space="preserve">Armor Mastery
Level 13
Your skill with armor improves, helping you avoid more blows. Your proficiency ranks for light, medium, and heavy armor, as well as for unarmored defense, increase to master</t>
      </text>
    </comment>
    <comment authorId="0" ref="AL234">
      <text>
        <t xml:space="preserve">Weapon Specialization
Level 13
You’ve learned how to inflict greater injuries with the weapons you know best. You deal 2 additional damage with weapons and unarmed attacks in which you are an expert. This damage increases to 3 if you’re a master, and to 4 if you’re legendary</t>
      </text>
    </comment>
    <comment authorId="0" ref="H235">
      <text>
        <t xml:space="preserve">Graceful Mastery
Level 13
You move with perpetual grace in battle, eluding and turning aside blows. Your proficiency rank for unarmored defense increases to master.</t>
      </text>
    </comment>
    <comment authorId="0" ref="AJ102">
      <text>
        <t xml:space="preserve">Third Doctrine (7th): You gain expert proficiency with your deity’s favored weapon. When you critically succeed at an attack roll using that weapon, you apply the weapon’s critical specialization effect; use your divine spell DC if necessary</t>
      </text>
    </comment>
    <comment authorId="0" ref="AN234">
      <text>
        <t xml:space="preserve">Weapon Specialization
Level 13
You’ve learned how to inflict greater injuries with the weapons you know best. You deal 2 additional damage with weapons and unarmed attacks in which you are an expert. This damage increases to 3 damage if you’re a master, and 4 damage if you’re legendary.</t>
      </text>
    </comment>
    <comment authorId="0" ref="AL102">
      <text>
        <t xml:space="preserve">Fourth Doctrine (11th): You gain expert proficiency with your deity’s favored weapon. When you critically succeed at an attack roll using that weapon, you apply the weapon’s critical specialization effect; use your divine spell DC if necessary</t>
      </text>
    </comment>
    <comment authorId="0" ref="AP234">
      <text>
        <t xml:space="preserve">Weapon Specialization
Level 13
You've learned how to inflict greater injuries with the weapons you know best. You deal 2 additional damage with weapons and unarmed attacks in which you are an expert. This damage increases to 3 if you're a master and 4 if you're legendary.</t>
      </text>
    </comment>
    <comment authorId="0" ref="L235">
      <text>
        <t xml:space="preserve">Medium Armor Expertise
Level 13
You’ve learned to defend yourself better against attacks. Your proficiency ranks for light armor, medium armor, and unarmored defense increase to expert.</t>
      </text>
    </comment>
    <comment authorId="0" ref="AR234">
      <text>
        <t xml:space="preserve">Weapon Specialization
Level 13
You’ve learned how to inflict greater injuries with the weapons you know best. You deal 2 additional damage with weapons and unarmed attacks in which you are an expert. This damage increases to 3 if you’re a master, and to 4 if you’re legendary</t>
      </text>
    </comment>
    <comment authorId="0" ref="H37">
      <text>
        <t xml:space="preserve">Path to Perfection
Level 7
You have progressed along your own path to enlightenment. Choose your Fortitude, Reflex, or Will saving throw. Your proficiency rank for the chosen saving throw increases to master. When you roll a success on the chosen saving throw, you get a critical success instead
Second Path to Perfection
Level 11
You’ve learned to find perfection in every success. Choose a different saving throw than the one you chose for your path to perfection. Your proficiency rank for the chosen saving throw increases to master. If you roll a success with the chosen saving throw, you instead critically succeed
Third Path to Perfection
Level 15
You have made great progress in your personal studies of enlightenment. Choose one of the saving throws you selected for path to perfection or second path to perfection. Your proficiency rank for the chosen type of save increases to legendary. When you roll a critical failure on the chosen type of save, you get a failure instead. When you roll a failure on the chosen type of save against an effect that deals damage, you take half damage.</t>
      </text>
    </comment>
    <comment authorId="0" ref="I37">
      <text>
        <t xml:space="preserve">C=CHOOSE</t>
      </text>
    </comment>
    <comment authorId="0" ref="AT234">
      <text>
        <t xml:space="preserve">As you touch a weapon, you glimpse the hands that made and wielded it, teaching you how to inflict greater injuries. You deal 2 additional damage with weapons and unarmed attacks in which you are an expert. This damage increases to 3 if you're a master, and 4 if you're legendary.</t>
      </text>
    </comment>
    <comment authorId="0" ref="P235">
      <text>
        <t xml:space="preserve">Light Armor Expertise
Level 13
You’ve learned how to dodge while wearing light or no armor. Your proficiency ranks for light armor and unarmored defense increase to expert.</t>
      </text>
    </comment>
    <comment authorId="0" ref="AV234">
      <text>
        <t xml:space="preserve">Weapon Specialization
Level 13
You’ve learned how to inflict greater injuries with the weapons you know best. You deal an additional 2 damage with weapons and unarmed attacks in which you are an expert. This damage increases to 3 if you’re a master, and 4 if you’re legendary.</t>
      </text>
    </comment>
    <comment authorId="0" ref="R235">
      <text>
        <t xml:space="preserve">Light Armor Expertise
Level 13
You've learned how to dodge while wearing light or no armor. Your proficiency ranks for light armor and unarmored defense increase to expert.</t>
      </text>
    </comment>
    <comment authorId="0" ref="AX234">
      <text>
        <t xml:space="preserve">Weapon Specialization
Level 13
You can inflict greater injuries with the weapons you know. You deal 2 additional damage with weapons and unarmed attacks in which you are an expert. This damage increases to 3 if you're a master and 4 if you're legendary.</t>
      </text>
    </comment>
    <comment authorId="0" ref="T235">
      <text>
        <t xml:space="preserve">Weapon Mastery
Level 13
You fully understand your weapons. Your proficiency ranks for simple weapons, martial weapons, and unarmed attacks increase to master.</t>
      </text>
    </comment>
    <comment authorId="0" ref="AZ234">
      <text>
        <t xml:space="preserve">Weapon Specialization
Level 13
You’ve learned to inflict grave wounds with your practiced weapons. You deal 2 additional damage with weapons and unarmed attacks in which you are an expert. This damage increases to 3 if you’re a master, and 4 if you’re legendary.</t>
      </text>
    </comment>
    <comment authorId="0" ref="V235">
      <text>
        <t xml:space="preserve">Light Armor Expertise
Level 13
You've learned how to dodge while wearing light or no armor. Your proficiency ranks for light armor and unarmored defense increase to expert</t>
      </text>
    </comment>
    <comment authorId="0" ref="X235">
      <text>
        <t xml:space="preserve">Medium Armor Expertise
Level 13
You've learned to defend yourself better against attacks. Your proficiency ranks for light armor, medium armor, and unarmored defense increase to expert.</t>
      </text>
    </comment>
    <comment authorId="0" ref="Z235">
      <text>
        <t xml:space="preserve">Alertness
Level 13
Your attention to detail lets you remain alert to threats around you. Your proficiency rank for Perception increases to expert.</t>
      </text>
    </comment>
    <comment authorId="0" ref="AB235">
      <text>
        <t xml:space="preserve">Light Armor Expertise
Level 13
You’ve learned how to dodge while wearing medium, light or no armor. Your proficiency ranks for medium armor, light armor, and unarmored defense increase to expert</t>
      </text>
    </comment>
    <comment authorId="0" ref="AD235">
      <text>
        <t xml:space="preserve">You’ve learned how to dodge while wearing light or
no armor. Your proficiency ranks for light armor and
unarmored defense increase to expert.</t>
      </text>
    </comment>
    <comment authorId="0" ref="AF235">
      <text>
        <t xml:space="preserve">Defensive Robes
Level 13
The flow of magic around you increases your ability to avoid attacks. Your proficiency rank in unarmored defense increases to expert.</t>
      </text>
    </comment>
    <comment authorId="0" ref="AJ235">
      <text>
        <t xml:space="preserve">Divine Defense
Level 13
Your training and your deity protect you from harm. Your proficiency rank in unarmored defense increases to expert</t>
      </text>
    </comment>
    <comment authorId="0" ref="AL235">
      <text>
        <t xml:space="preserve">Divine Defense
Level 13
Your training and your deity protect you from harm. Your proficiency rank in unarmored defense increases to expert</t>
      </text>
    </comment>
    <comment authorId="0" ref="AN235">
      <text>
        <t xml:space="preserve">Light Armor Expertise
Level 13
You’ve learned how to dodge while wearing light or no armor. Your proficiency ranks for light armor and unarmored defense increase to expert.</t>
      </text>
    </comment>
    <comment authorId="0" ref="AP235">
      <text>
        <t xml:space="preserve">Light Armor Expertise
Level 13
You've learned how to dodge while wearing light or no armor. Your proficiency rank for light armor and unarmored defense increases to expert.</t>
      </text>
    </comment>
    <comment authorId="0" ref="L236">
      <text>
        <t xml:space="preserve">Greater Juggernaut
Level 13
You have a stalwart physiology. Your proficiency rank for Fortitude saves increases to legendary. When you roll a critical failure on a Fortitude save, you get a failure instead. When you roll a failure on a Fortitude save against an effect that deals damage, you halve the damage you take.</t>
      </text>
    </comment>
    <comment authorId="0" ref="AR235">
      <text>
        <t xml:space="preserve">Medium Armor Expertise
Level 13
You’ve learned to defend yourself better against attacks. Your proficiency ranks for light armor, medium armor, and unarmored defense increase to expert.</t>
      </text>
    </comment>
    <comment authorId="0" ref="H38">
      <text>
        <t xml:space="preserve">Path to Perfection
Level 7
You have progressed along your own path to enlightenment. Choose your Fortitude, Reflex, or Will saving throw. Your proficiency rank for the chosen saving throw increases to master. When you roll a success on the chosen saving throw, you get a critical success instead
Second Path to Perfection
Level 11
You’ve learned to find perfection in every success. Choose a different saving throw than the one you chose for your path to perfection. Your proficiency rank for the chosen saving throw increases to master. If you roll a success with the chosen saving throw, you instead critically succeed
Third Path to Perfection
Level 15
You have made great progress in your personal studies of enlightenment. Choose one of the saving throws you selected for path to perfection or second path to perfection. Your proficiency rank for the chosen type of save increases to legendary. When you roll a critical failure on the chosen type of save, you get a failure instead. When you roll a failure on the chosen type of save against an effect that deals damage, you take half damage.</t>
      </text>
    </comment>
    <comment authorId="0" ref="I38">
      <text>
        <t xml:space="preserve">C=CHOOSE</t>
      </text>
    </comment>
    <comment authorId="0" ref="AT235">
      <text>
        <t xml:space="preserve">Subtle telekinetic fields dampen and deflect incoming blows. Your proficiency rank in unarmored defense increases to expert.</t>
      </text>
    </comment>
    <comment authorId="0" ref="P236">
      <text>
        <t xml:space="preserve">Improved Evasion
Level 13
You elude danger to a degree that few can match. Your proficiency rank for Reflex saves increases to legendary. When you roll a critical failure on a Reflex save, you get a failure instead. When you roll a failure on a Reflex save against a damaging effect, you take half damage.</t>
      </text>
    </comment>
    <comment authorId="0" ref="AV235">
      <text>
        <t xml:space="preserve">Defensive Robes
Level 13
The flow of magic and your training combine to help you avoid attacks. Your proficiency rank in unarmored defense increases to expert.</t>
      </text>
    </comment>
    <comment authorId="0" ref="R236">
      <text>
        <t xml:space="preserve">Incredible Senses
Level 13
You notice things that are almost impossible for an ordinary person to detect. Your proficiency rank for Perception increases to legendary.</t>
      </text>
    </comment>
    <comment authorId="0" ref="AV169">
      <text>
        <t xml:space="preserve">School gives an extra slot per level</t>
      </text>
    </comment>
    <comment authorId="0" ref="AX235">
      <text>
        <t xml:space="preserve">Defensive Robes
Level 13
The flow of magic through your spellcasting and your defensive training combine to help you get out of the way before an attack. Your proficiency rank in unarmored defense increases to expert.</t>
      </text>
    </comment>
    <comment authorId="0" ref="AZ235">
      <text>
        <t xml:space="preserve">Defensive Robes
Level 13
The flow of magic and your defensive training combine to help you get out of the way before an attack. Your proficiency rank in unarmored defense increases to expert.</t>
      </text>
    </comment>
    <comment authorId="0" ref="V236">
      <text>
        <t xml:space="preserve">Improved Evasion
Level 13
Your ability to elude danger is matchless. Your proficiency rank for Reflex saves increases to legendary. When you roll a critical failure on a Reflex save, you get a failure instead. When you roll a failure on a Reflex save against a damaging effect, you take half damage.</t>
      </text>
    </comment>
    <comment authorId="0" ref="AP236">
      <text>
        <t xml:space="preserve">Lightning Reflexes
Level 13
Your reflexes are lightning fast. Your proficiency rank for Reflex saves increases to expert.</t>
      </text>
    </comment>
    <comment authorId="0" ref="P237">
      <text>
        <t xml:space="preserve">Incredible Senses
Level 13
You notice things almost impossible for an ordinary person to detect. Your proficiency rank for Perception increases to legendary.</t>
      </text>
    </comment>
    <comment authorId="0" ref="F238">
      <text>
        <t xml:space="preserve">Greater Weapon Specialization
Level 15
Your damage from weapon specialization increases to 4 with weapons and unarmed attacks in which you’re an expert, 6 if you’re a master, and 8 if you’re legendary.</t>
      </text>
    </comment>
    <comment authorId="0" ref="A40">
      <text>
        <t xml:space="preserve">this number plus INT</t>
      </text>
    </comment>
    <comment authorId="0" ref="H238">
      <text>
        <t xml:space="preserve">Greater Weapon Specialization
Level 15
Your damage from weapon specialization increases to 4 with weapons and unarmed attacks in which you’re an expert, 6 if you’re a master, and 8 if you’re legendary.</t>
      </text>
    </comment>
    <comment authorId="0" ref="J238">
      <text>
        <t xml:space="preserve">Greater Weapon Specialization
Level 15
Your damage from weapon specialization increases to 4 with weapons and unarmed attacks in which you’re an expert, 6 if you’re a master, and 8 if you’re legendary.</t>
      </text>
    </comment>
    <comment authorId="0" ref="L238">
      <text>
        <t xml:space="preserve">Greater Weapon Specialization
Level 15
The weapons you’ve mastered become truly fearsome in your hands. Your damage from weapon specialization increases to 4 with weapons and unarmed attacks in which you’re an expert, 6 if you’re a master, and 8 if you’re legendary. You gain a greater benefit from your instinct’s specialization ability.</t>
      </text>
    </comment>
    <comment authorId="0" ref="N238">
      <text>
        <t xml:space="preserve">Greater Weapon Specialization
Level 15
Your damage from weapon specialization increases to 4 with weapons and unarmed attacks in which you’re an expert, 6 if you’re a master, and 8 if you’re legendary.</t>
      </text>
    </comment>
    <comment authorId="0" ref="J40">
      <text>
        <t xml:space="preserve">Trained in your choice of Acrobatics or Athletics
Trained in a number of additional skills equal to 3 plus your Intelligence modifier</t>
      </text>
    </comment>
    <comment authorId="0" ref="P238">
      <text>
        <t xml:space="preserve">Greater Weapon Specialization
Level 15
Your damage from weapon specialization increases to 4 with weapons and unarmed attacks in which you’re an expert, 6 if you’re a master, and 8 if you’re legendary.</t>
      </text>
    </comment>
    <comment authorId="0" ref="R238">
      <text>
        <t xml:space="preserve">Greater Weapon Specialization
Level 15
Your damage from weapon specialization increases to 4 with weapons and unarmed attacks in which you're an expert, 6 if you're a master, and 8 if you're legendary.</t>
      </text>
    </comment>
    <comment authorId="0" ref="AV171">
      <text>
        <t xml:space="preserve">School gives an extra slot per level</t>
      </text>
    </comment>
    <comment authorId="0" ref="T238">
      <text>
        <t xml:space="preserve">Greater Weapon Specialization
Level 15
Your damage from weapon specialization increases to 4 with weapons and unarmed attacks in which you're an expert, 6 if you're a master, and 8 if you're legendary.</t>
      </text>
    </comment>
    <comment authorId="0" ref="V238">
      <text>
        <t xml:space="preserve">Greater Weapon Specialization
Level 15
Your damage from weapon specialization increases to 4 with weapons and unarmed attacks in which you're an expert, 6 if you're a master, and 8 if you're legendary.</t>
      </text>
    </comment>
    <comment authorId="0" ref="X238">
      <text>
        <t xml:space="preserve">Greater Weapon Specialization
Level 15
Your damage from weapon specialization increases to 4 with weapons and unarmed attacks in which you're an expert, 6 if you're a master, and 8 if you're legendary.</t>
      </text>
    </comment>
    <comment authorId="0" ref="Z238">
      <text>
        <t xml:space="preserve">Greater Weapon Specialization
Level 15
Your damage from weapon specialization increases to 4 with weapons and unarmed attacks in which you're an expert, 6 if you're a master, and 8 if you're legendary.</t>
      </text>
    </comment>
    <comment authorId="0" ref="AB238">
      <text>
        <t xml:space="preserve">Alchemical Alacrity
Level 15
Your comfort in concocting items is such that you can create three at a time. When using the Quick Alchemy action, you can spend up to three batches of infused reagents to make up to three alchemical items as described in that action. These items do not have to be the same, and you automatically stow one of these new items as you create them</t>
      </text>
    </comment>
    <comment authorId="0" ref="AD238">
      <text>
        <t xml:space="preserve">The power flowing from you grows even difficult to resist. Your proficiency
rank for your kineticist class DC increases to master.</t>
      </text>
    </comment>
    <comment authorId="0" ref="AF238">
      <text>
        <t xml:space="preserve">Shared Resolve
Level 15
You and your eidolon steel your mind together against effects that threaten you, each protecting the others' minds from danger. Your and your eidolon's proficiency ranks for Will saves increase to master. When you roll a success on a Will save, you get a critical success instead. When your eidolon rolls a success on a Will save, it gets a critical success instead</t>
      </text>
    </comment>
    <comment authorId="0" ref="AD106">
      <text>
        <t xml:space="preserve">level 5???</t>
      </text>
    </comment>
    <comment authorId="0" ref="AH238">
      <text>
        <t xml:space="preserve">Greater Weapon Specialization
Level 15
Your damage from weapon specialization increases to 4 with weapons and unarmed attacks in which you're an expert, 6 if you're a master, and 8 if you're legendary.</t>
      </text>
    </comment>
    <comment authorId="0" ref="H239">
      <text>
        <t xml:space="preserve">Third Path to Perfection
Level 15
You have made great progress in your personal studies of enlightenment. Choose one of the saving throws you selected for path to perfection or second path to perfection. Your proficiency rank for the chosen type of save increases to legendary. When you roll a critical failure on the chosen type of save, you get a failure instead. When you roll a failure on the chosen type of save against an effect that deals damage, you take half damage.</t>
      </text>
    </comment>
    <comment authorId="0" ref="AN238">
      <text>
        <t xml:space="preserve">Master Spellcaster
Level 15
You’ve mastered the occult. Your proficiency ranks for occult spell attack rolls and spell DCs increase to master.</t>
      </text>
    </comment>
    <comment authorId="0" ref="I239">
      <text>
        <t xml:space="preserve">MANUAL ADJUSTMENT: since its a choice, I put the point value here</t>
      </text>
    </comment>
    <comment authorId="0" ref="AK106">
      <text>
        <t xml:space="preserve">originally did not get Expert Unarmed but this was corrected in 3rd printing errata!</t>
      </text>
    </comment>
    <comment authorId="0" ref="J239">
      <text>
        <t xml:space="preserve">Improved Flexibility
Level 15
Your extensive experience gives you even greater ability to adapt to each day’s challenges. When you use combat flexibility, you can gain two fighter feats instead of one. While the first feat must still be 8th level or lower, the second feat can be up to 14th level, and you can use the first feat to meet the prerequisites of the second feat. You must meet all of the feats’ prerequisites.</t>
      </text>
    </comment>
    <comment authorId="0" ref="AP238">
      <text>
        <t xml:space="preserve">Master Spellcaster
Level 15
You truly understand the deep and complex divine power within your mystery. Your proficiency ranks for divine spell attack rolls and spell DCs increase to master.</t>
      </text>
    </comment>
    <comment authorId="0" ref="AM106">
      <text>
        <t xml:space="preserve">originally did not get Expert Unarmed but this was corrected in 3rd printing errata!</t>
      </text>
    </comment>
    <comment authorId="0" ref="F41">
      <text>
        <t xml:space="preserve">Trained in one skill determined by your choice of deity</t>
      </text>
    </comment>
    <comment authorId="0" ref="L239">
      <text>
        <t xml:space="preserve">Indomitable Will
Level 15
Your rage makes it difficult to control you. Your proficiency rank for Will saves increases to master. When you roll a success on a Will save, you get a critical success instead.</t>
      </text>
    </comment>
    <comment authorId="0" ref="AR238">
      <text>
        <t xml:space="preserve">Master Spellcaster
Level 15
Primal magic answers your command. Your proficiency ranks for primal spell attack rolls and spell DCs increase to master.</t>
      </text>
    </comment>
    <comment authorId="0" ref="N239">
      <text>
        <t xml:space="preserve">Improved Evasion
Level 15
Your ability to elude danger is matchless. Your proficiency rank for Reflex saves increases to legendary. When you roll a critical failure on a Reflex save, you get a failure instead. When you roll a failure on a Reflex save against a damaging effect, you take half damage.</t>
      </text>
    </comment>
    <comment authorId="0" ref="AT238">
      <text>
        <t xml:space="preserve">You've gained access to the deepest corners of your own mind. Your proficiency ranks for occult spell attack rolls and spell DCs increase to master.</t>
      </text>
    </comment>
    <comment authorId="0" ref="J41">
      <text>
        <t xml:space="preserve">Trained in your choice of Acrobatics or Athletics
Trained in a number of additional skills equal to 3 plus your Intelligence modifier</t>
      </text>
    </comment>
    <comment authorId="0" ref="P239">
      <text>
        <t xml:space="preserve">Double Debilitation
Level 15
Your opportunistic attacks are particularly detrimental. When you use Debilitating Strike, you can apply two debilitations simultaneously; removing one removes both.</t>
      </text>
    </comment>
    <comment authorId="0" ref="AV238">
      <text>
        <t xml:space="preserve">Master Spellcaster
Level 15
You command superlative spellcasting ability. Your proficiency ranks for arcane spell attack rolls and spell DCs increase to master.</t>
      </text>
    </comment>
    <comment authorId="0" ref="R239">
      <text>
        <t xml:space="preserve">Evasion
Level 15
You've learned to move quickly to avoid explosions, a dragon's breath, and worse. Your proficiency rank for Reflex saves increases to master. When you roll a success on a Reflex save, you get a critical success instead.</t>
      </text>
    </comment>
    <comment authorId="0" ref="AX238">
      <text>
        <t xml:space="preserve">Master Spellcaster
Level 15
You've achieved mastery over your patron's magic. Your proficiency ranks for spell attacks and spell DCs for your witch spellcasting increase to master</t>
      </text>
    </comment>
    <comment authorId="0" ref="T239">
      <text>
        <t xml:space="preserve">Juggernaut
Level 15
Your body is accustomed to physical hardship and resistant to a wide range of ailments. Your proficiency rank for Fortitude saves increases to master. When you roll a success on a Fortitude save, you get a critical success instead.</t>
      </text>
    </comment>
    <comment authorId="0" ref="AZ238">
      <text>
        <t xml:space="preserve">Master Spellcaster
Level 15
You have achieved mastery over the magic in your blood. Your proficiency ranks for spell attack rolls and spell DCs for spells of your bloodline’s tradition increase to master</t>
      </text>
    </comment>
    <comment authorId="0" ref="P41">
      <text>
        <t xml:space="preserve">Trained in one or more skills determined by your rogue's racket</t>
      </text>
    </comment>
    <comment authorId="0" ref="V239">
      <text>
        <t xml:space="preserve">Keen Flair
Level 15
You inflict particularly devastating attacks on even well-defended foes. When you Strike with a weapon or unarmed attack with which you have master proficiency, if you roll a 19 on the die and the roll is a success, you critically succeed instead.</t>
      </text>
    </comment>
    <comment authorId="0" ref="Q41">
      <text>
        <t xml:space="preserve">accounting for this in the racket subclass</t>
      </text>
    </comment>
    <comment authorId="0" ref="W239">
      <text>
        <t xml:space="preserve">compare to Fighters Savage Critical Feat 18 and Gunslingers Piercing Critical Feat 18</t>
      </text>
    </comment>
    <comment authorId="0" ref="R41">
      <text>
        <t xml:space="preserve">Trained in one or more skills determined by your methodology</t>
      </text>
    </comment>
    <comment authorId="0" ref="S41">
      <text>
        <t xml:space="preserve">accounting for this in the methodology subclass</t>
      </text>
    </comment>
    <comment authorId="0" ref="Z239">
      <text>
        <t xml:space="preserve">Legendary Overdrive
Level 15
Your peerless inventing and Crafting ability has supercharged your Overdrives. You become legendary in Crafting, and on a successful Overdrive, you increase the additional damage by a total of 3, replacing the increase from master overdrive.</t>
      </text>
    </comment>
    <comment authorId="0" ref="AA239">
      <text>
        <t xml:space="preserve">skill increase put in skill section</t>
      </text>
    </comment>
    <comment authorId="0" ref="V41">
      <text>
        <t xml:space="preserve">Trained in one skill determined by your swashbuckler's style</t>
      </text>
    </comment>
    <comment authorId="0" ref="AB239">
      <text>
        <t xml:space="preserve">Evasion
Level 15
You’ve learned to move quickly to avoid explosions, dragon’s breath, and worse. Your proficiency rank for Reflex saves increases to master. When you roll a success on a Reflex save, you get a critical success instead.</t>
      </text>
    </comment>
    <comment authorId="0" ref="W41">
      <text>
        <t xml:space="preserve">accounting for this in the style subclass</t>
      </text>
    </comment>
    <comment authorId="0" ref="X41">
      <text>
        <t xml:space="preserve">Trained in one or more skills determined by your gunslinger's way, they all give only one skill though</t>
      </text>
    </comment>
    <comment authorId="0" ref="AD239">
      <text>
        <t xml:space="preserve">Your gate protects you even more. Your proficiency rank
for Fortitude saves increases to legendary. When you roll
a critical failure on a Fortitude save, you get a failure
instead. When you fail a Fortitude save against an effect
that deals damage, you halve the damage you take.</t>
      </text>
    </comment>
    <comment authorId="0" ref="A174">
      <text>
        <t xml:space="preserve">I don't think this should ever be a thing, but leaving it here in case</t>
      </text>
    </comment>
    <comment authorId="0" ref="AH239">
      <text>
        <t xml:space="preserve">Juggernaut
Level 15
Your body is accustomed to physical hardship and resistant to a wide range of ailments. Your proficiency rank for Fortitude saves increases to master. When you roll a success on a Fortitude save, you get a critical success instead.</t>
      </text>
    </comment>
    <comment authorId="0" ref="AF41">
      <text>
        <t xml:space="preserve">Trained in one or more skills determined by your eidolon, they all seem to give two though?</t>
      </text>
    </comment>
    <comment authorId="0" ref="J240">
      <text>
        <t xml:space="preserve">Evasion
Level 15
You’ve learned to move quickly to avoid explosions, a dragon’s breath, and worse. Your proficiency rank for Reflex saves increases to master. When you roll a success on a Reflex save, you get a critical success instead.</t>
      </text>
    </comment>
    <comment authorId="0" ref="AJ41">
      <text>
        <t xml:space="preserve">Trained in one skill determined by your choice of deity</t>
      </text>
    </comment>
    <comment authorId="0" ref="AL41">
      <text>
        <t xml:space="preserve">Trained in one skill determined by your choice of deity</t>
      </text>
    </comment>
    <comment authorId="0" ref="N240">
      <text>
        <t xml:space="preserve">Incredible Senses
Level 15
You notice things almost impossible for an ordinary person to detect. Your proficiency rank for Perception increases to legendary.</t>
      </text>
    </comment>
    <comment authorId="0" ref="AP41">
      <text>
        <t xml:space="preserve">Trained in one or more skills determined by your mystery, all of them give one skill except Lore mystery gives an additional Lore skill</t>
      </text>
    </comment>
    <comment authorId="0" ref="AQ41">
      <text>
        <t xml:space="preserve">rulebook says "one or more" but each mystery gives one, except Lore adds a lore which I guess is free</t>
      </text>
    </comment>
    <comment authorId="0" ref="AR41">
      <text>
        <t xml:space="preserve">Trained in one skill determined by your druidic order</t>
      </text>
    </comment>
    <comment authorId="0" ref="AX41">
      <text>
        <t xml:space="preserve">Trained in one skill determined by your patron</t>
      </text>
    </comment>
    <comment authorId="0" ref="AZ41">
      <text>
        <t xml:space="preserve">Trained in one or more skills determined by your bloodline, but they all seem to give two?</t>
      </text>
    </comment>
    <comment authorId="0" ref="BA41">
      <text>
        <t xml:space="preserve">the rulebook says "one or more" per bloodline, but every bloodline adds two skills?</t>
      </text>
    </comment>
    <comment authorId="0" ref="F242">
      <text>
        <t xml:space="preserve">Champion Mastery
Level 17
You’ve mastered your arsenal of champion techniques and divine spells. Your proficiency ranks for your champion class DC and for divine spell attack rolls and spell DCs increase to master.</t>
      </text>
    </comment>
    <comment authorId="0" ref="H242">
      <text>
        <t xml:space="preserve">Graceful Legend
Level 17
Your sublime movement grants you unparalleled protection and offense. Your proficiency rank for unarmored defense increases to legendary, and your proficiency rank for your monk class DC increases to master. If you have ki spells, your proficiency rank for spell attack rolls and spell DCs with the tradition of magic you use for your ki spells increases to master.</t>
      </text>
    </comment>
    <comment authorId="0" ref="J242">
      <text>
        <t xml:space="preserve">Armor Mastery
Level 17
Your skill with armor improves, increasing your ability to prevent blows. Your proficiency ranks for light, medium, and heavy armor, as well as for unarmored defense, increase to master.</t>
      </text>
    </comment>
    <comment authorId="0" ref="L242">
      <text>
        <t xml:space="preserve">Quick Rage
Level 17
You recover from your Rage quickly, and are soon ready to begin anew. After you spend a full turn without raging, you can Rage again without needing to wait 1 minute.</t>
      </text>
    </comment>
    <comment authorId="0" ref="M242">
      <text>
        <t xml:space="preserve">guessed?</t>
      </text>
    </comment>
    <comment authorId="0" ref="P242">
      <text>
        <t xml:space="preserve">Slippery Mind
Level 17
You play mental games and employ cognitive tricks to throw off mind-altering effects. Your proficiency rank for Will saves increases to master. When you roll a success at a Will save, you get a critical success instead.</t>
      </text>
    </comment>
    <comment authorId="0" ref="R242">
      <text>
        <t xml:space="preserve">Greater Resolve
Level 17
Your unbelievable training grants you mental resiliency. Your proficiency rank for Will saves increases to legendary. When you roll a success on a Will save, you get a critical success. When you roll a critical failure on a Will save, you get a failure instead. When you fail a Will save against a damaging effect, you take half damage.</t>
      </text>
    </comment>
    <comment authorId="0" ref="T242">
      <text>
        <t xml:space="preserve">You've become a master in paranormal phenomena, and your esoterica grow in power. Your proficiency rank for your thaumaturge class DC increases to master.
You also gain an additional skill increase, which you can apply only to Arcana, Nature, Occultism, or Religion.</t>
      </text>
    </comment>
    <comment authorId="0" ref="V242">
      <text>
        <t xml:space="preserve">Resolve
Level 17
You've steeled your mind with resolve. Your proficiency rank for Will saves increases to master. When you roll a success on a Will save, you get a critical success instead.</t>
      </text>
    </comment>
    <comment authorId="0" ref="X242">
      <text>
        <t xml:space="preserve">Shootist's Edge
Level 17
You make shots others find impossible. Your proficiency rank for your gunslinger class DC increases to master. When using a ranged weapon in which you have master or greater proficiency, you ignore the penalty for attacking within the weapon's second and third range increments</t>
      </text>
    </comment>
    <comment authorId="0" ref="Y242">
      <text>
        <t xml:space="preserve">see Sniping Duo Triangulate feat 4?</t>
      </text>
    </comment>
    <comment authorId="0" ref="Z242">
      <text>
        <t xml:space="preserve">Inventive Mastery
Level 17
Your inventions are incredibly effective. Your proficiency rank for your inventor class DC increases to master.</t>
      </text>
    </comment>
    <comment authorId="0" ref="AB242">
      <text>
        <t xml:space="preserve">Alchemical Mastery
Level 17
Your alchemical concoctions are incredibly effective. Your proficiency rank for your alchemist class DC increases to master.</t>
      </text>
    </comment>
    <comment authorId="0" ref="AB176">
      <text>
        <t xml:space="preserve">4 from Alchemical Crafting feat, 2 from subclass, 2 from formula book</t>
      </text>
    </comment>
    <comment authorId="0" ref="AD242">
      <text>
        <t xml:space="preserve">Your kinetic gate becomes even more adaptable. When you use reflow
elements, you can replace two impulse feats instead of one.</t>
      </text>
    </comment>
    <comment authorId="0" ref="AF242">
      <text>
        <t xml:space="preserve">Master Spellcaster
Level 17
Your connection to your eidolon is strong enough to grant you mastery over associated spells. Your proficiency ranks for spell attack rolls and spell DCs for spells of your eidolon's tradition increase to master.</t>
      </text>
    </comment>
    <comment authorId="0" ref="AH242">
      <text>
        <t xml:space="preserve">Master Spellcaster
Level 17
You fortify your spells with masterful prowess. Your proficiency ranks for arcane spell attack rolls and spell DCs increase to master.</t>
      </text>
    </comment>
    <comment authorId="0" ref="F243">
      <text>
        <t xml:space="preserve">Legendary Armor
Level 17
You shield yourself with steel as easily as with faith. Your proficiency ranks for light, medium, and heavy armor, as well as for unarmored defense, increase to legendary</t>
      </text>
    </comment>
    <comment authorId="0" ref="H243">
      <text>
        <t xml:space="preserve">Adamantine Strikes
Level 17
When you focus your will into your limbs, your blows are as unyielding as the hardest of metals. Your unarmed attacks are treated as adamantine.</t>
      </text>
    </comment>
    <comment authorId="0" ref="AN242">
      <text>
        <t xml:space="preserve">Greater Resolve
Level 17
Your unbelievable training grants you mental resiliency. Your proficiency rank for Will saves increases to legendary. When you roll a success on a Will save, you get a critical success. When you roll a critical failure on a Will save, you get a failure instead. When you roll a failure on a Will save against a damaging effect, you take half damage.</t>
      </text>
    </comment>
    <comment authorId="0" ref="I243">
      <text>
        <t xml:space="preserve">see Precious Arrow archetype feat 8, this would be free, included with Metal Strikes feature</t>
      </text>
    </comment>
    <comment authorId="0" ref="AP242">
      <text>
        <t xml:space="preserve">Greater Resolve
Level 17
Your unbelievable training grants you mental resiliency. Your proficiency rank for Will saves increases to legendary. When you roll a success on a Will save, you get a critical success instead. When you roll a critical failure on a Will save, you get a failure instead. When you fail a Will save against a damaging effect, you take half damage.</t>
      </text>
    </comment>
    <comment authorId="0" ref="L243">
      <text>
        <t xml:space="preserve">Heightened Senses
Level 17
Your instinct heightens each of your senses further. Your proficiency rank for Perception increases to master.</t>
      </text>
    </comment>
    <comment authorId="0" ref="AT242">
      <text>
        <t xml:space="preserve">Your trained mind is as a fortress that none can breach. Your proficiency rank for Will saves increases to legendary. When you critically fail a Will save, you get a failure instead. When you fail a Will save against a damaging effect, you take half damage.</t>
      </text>
    </comment>
    <comment authorId="0" ref="AT176">
      <text>
        <t xml:space="preserve">1 from Spell Repertoire and 1 from Granted Spells from Conscious Mind</t>
      </text>
    </comment>
    <comment authorId="0" ref="AV242">
      <text>
        <t xml:space="preserve">Resolve
Level 17
You’ve steeled your mind with resolve. Your proficiency rank for Will saves increases to master. When you roll a success at a Will save, you get a critical success instead.</t>
      </text>
    </comment>
    <comment authorId="0" ref="AV176">
      <text>
        <t xml:space="preserve">one from school, or universalist just gets one extra</t>
      </text>
    </comment>
    <comment authorId="0" ref="AX242">
      <text>
        <t xml:space="preserve">Resolve
Level 17
Communion with your familiar has steeled your mental fortitude. Your proficiency rank for Will saves increases to master. When you roll a success on a Will save, you get a critical success instead</t>
      </text>
    </comment>
    <comment authorId="0" ref="AX176">
      <text>
        <t xml:space="preserve">one from patron theme</t>
      </text>
    </comment>
    <comment authorId="0" ref="AZ242">
      <text>
        <t xml:space="preserve">Resolve
Level 17
You’ve steeled you mind with resolve. Your proficiency rank for Will saves increase to master. When you roll a success at a Will save, you get a critical success instead.</t>
      </text>
    </comment>
    <comment authorId="0" ref="BA242">
      <text>
        <t xml:space="preserve">ERRATA: Resolve added later but was it included in original calculations? I'm not sure, its possible it was just not typed into the CRB? if we removed 110 pts for Resolve, where would we add it back in???</t>
      </text>
    </comment>
    <comment authorId="0" ref="X243">
      <text>
        <t xml:space="preserve">Juggernaut
Level 17
Your body has become accustomed to physical hazards and resistant to ailments. Your proficiency rank for Fortitude saves increases to master. When you roll a success on a Fortitude save, you get a critical success instead.</t>
      </text>
    </comment>
    <comment authorId="0" ref="Z243">
      <text>
        <t xml:space="preserve">Juggernaut
Level 17
Your body is accustomed to physical hardship and resistant to ailments. Your proficiency rank for Fortitude saves increases to master. When you roll a success on a Fortitude save, you get a critical success instead.</t>
      </text>
    </comment>
    <comment authorId="0" ref="AH243">
      <text>
        <t xml:space="preserve">Medium Armor Mastery
Level 17
Your skill with light and medium armor improves, increasing your ability to avoid blows. Your proficiency ranks for light and medium armor, as well as for unarmed defense, increase to master.</t>
      </text>
    </comment>
    <comment authorId="0" ref="AO243">
      <text>
        <t xml:space="preserve">This has to be a mistake or perhaps intentional "holistic" balancing, the numbers never add up until I remove this. I think maybe Bard should not have legendary Will, the Oracle is the only other caster who does and Oracle is weird. And almost everyone seems to agree that Bard is perhaps a little stronger than other caster classes, and this may be part of it.</t>
      </text>
    </comment>
    <comment authorId="0" ref="AT178">
      <text>
        <t xml:space="preserve">1 from Spell Repertoire and 1 from Granted Spells from Conscious Mind</t>
      </text>
    </comment>
    <comment authorId="0" ref="F246">
      <text>
        <t xml:space="preserve">Hero's Defiance
Level 19
You can defy fate and continue fighting as long as you have divine energy. You gain the hero’s defiance devotion spell.</t>
      </text>
    </comment>
    <comment authorId="0" ref="H246">
      <text>
        <t xml:space="preserve">Perfected Form
Level 19
You have purged incompetence from your techniques. On your first Strike of your turn, if you roll lower than 10, you can treat the attack roll as a 10. This is a fortune effect.</t>
      </text>
    </comment>
    <comment authorId="0" ref="I246">
      <text>
        <t xml:space="preserve">this could be somewhat compared to Impossible Technique Feat 20</t>
      </text>
    </comment>
    <comment authorId="0" ref="J246">
      <text>
        <t xml:space="preserve">Versatile Legend
Level 19
You are nigh-unmatched with any weapon. Your proficiency ranks for simple weapons, martial weapons, and unarmed attacks increase to legendary, and your proficiency rank for advanced weapons increases to master. Your proficiency rank for your fighter class DC increases to master.</t>
      </text>
    </comment>
    <comment authorId="0" ref="L246">
      <text>
        <t xml:space="preserve">Devastator
Level 19
Your Strikes are so devastating that you hardly care about resistance, and your barbarian abilities are unparalleled. Your proficiency rank for your barbarian class DC increases to master. Your melee Strikes ignore 10 points of a creature’s resistance to their physical damage.</t>
      </text>
    </comment>
    <comment authorId="0" ref="M246">
      <text>
        <t xml:space="preserve">compare to Wellspring Mage Surging Might feat 10 and Monk Overwhelming Breath feat 12 for examples of ignoring resistance equal to your level</t>
      </text>
    </comment>
    <comment authorId="0" ref="N246">
      <text>
        <t xml:space="preserve">Swift Prey
Level 19
You size up your prey with only a glance. You can use Hunt Prey as a free action if it’s your first action of your turn.</t>
      </text>
    </comment>
    <comment authorId="0" ref="O246">
      <text>
        <t xml:space="preserve">compare to You're Next Feat 1:
"If you have legendary proficiency in Intimidation, you can use this as a free action with the same trigger."</t>
      </text>
    </comment>
    <comment authorId="0" ref="P246">
      <text>
        <t xml:space="preserve">Master Strike
Level 19
You can incapacitate an unwary foe with a single strike. Your proficiency rank for your rogue class DC increases to master. You gain the Master Strike free action.
Master Strike
Free Action
IncapacitationRogue
Trigger Your Strike hits a flat-footed creature and deals damage.
The target attempts a Fortitude save at your class DC. It then becomes temporarily immune to your Master Strike for 1 day.
Critical Success The target is unaffected.
Success The target is enfeebled 2 until the end of your next turn.
Failure The target is paralyzed for 4 rounds.
Critical Failure The target is paralyzed for 4 rounds, knocked unconscious for 2 hours, or killed (your choice).</t>
      </text>
    </comment>
    <comment authorId="0" ref="Q246">
      <text>
        <t xml:space="preserve">compare to You're Next Feat 1:
"If you have legendary proficiency in Intimidation, you can use this as a free action with the same trigger."</t>
      </text>
    </comment>
    <comment authorId="0" ref="R246">
      <text>
        <t xml:space="preserve">Master Detective
Level 19
As a master detective, you can solve any case and find all the clues available. If you're pursuing the subject of a lead and you enter a new location that includes another clue toward solving the mystery, the GM informs you of the existence of the clue and its type: an object, person, spell effect, or the like. When you find the clue, the GM informs you that you've done so. If there is more than one clue in the location, the GM chooses one to inform you about. When you find any of the clues in that location, the GM informs you that you've done so, even if it wasn't the clue they'd chosen or there are other clues you haven't found. Your proficiency rank for your investigator class DC increases to master.</t>
      </text>
    </comment>
    <comment authorId="0" ref="S246">
      <text>
        <t xml:space="preserve">Total guess. Its powerful, but not in combat, so not deserving of 190 pts?</t>
      </text>
    </comment>
    <comment authorId="0" ref="T246">
      <text>
        <t xml:space="preserve">Your understanding of your esoterica becomes so complete that you can access your mystic tools without even thinking. You can use Exploit Vulnerability or Intensify Vulnerability as a free action, rather than a single action, though still with a frequency of only once per round.</t>
      </text>
    </comment>
    <comment authorId="0" ref="U246">
      <text>
        <t xml:space="preserve">compare to You're Next Feat 1:
"If you have legendary proficiency in Intimidation, you can use this as a free action with the same trigger."</t>
      </text>
    </comment>
    <comment authorId="0" ref="V246">
      <text>
        <t xml:space="preserve">Eternal Confidence
Level 19
As a swashbuckler at the peak of your skill, you swell with confidence and bravado in every attack. Your proficiency rank for your swashbuckler class DC increases to master.
When you Strike as part of a finisher or Opportune Riposte, you can give the Strike the failure effect from the Confident Finisher action, including the increase from Precise Finisher if you have that feat. You can do so only if the Strike uses a weapon or unarmed attack that you could use for Confident Finisher.</t>
      </text>
    </comment>
    <comment authorId="0" ref="X246">
      <text>
        <t xml:space="preserve">Incredible Senses
Level 19
You notice things that most people can't detect. Your proficiency rank for Perception increases to legendary.</t>
      </text>
    </comment>
    <comment authorId="0" ref="Z246">
      <text>
        <t xml:space="preserve">Infinite Invention
Level 19
Your ability to adjust your innovation has reached impossible heights, and you can use these skills to make major adjustments in your spare time. During your daily preparations, you automatically fix your innovation if it's destroyed or broken, and you can change to a different innovation (armor, construct, weapon, or other type you have access to) and change your modifications and offensive boost.
If you have any feats that had your previous innovation as a prerequisite, you can't use them until you retrain the feats as normal. However, it takes you only 1 day of downtime to retrain such a feat into a feat that has your new innovation as a prerequisite, instead of 1 week.</t>
      </text>
    </comment>
    <comment authorId="0" ref="AB246">
      <text>
        <t xml:space="preserve">Light Armor Mastery
Level 19
Your skill with armor improves, increasing your ability to dodge blows. Your proficiency ranks for medium armor, light armor, and unarmored defense increase to master</t>
      </text>
    </comment>
    <comment authorId="0" ref="AD246">
      <text>
        <t xml:space="preserve">Your kinetic gate reaches a perfect form, its power constantly fighting to
be released. If your kinetic aura is inactive, you automatically use the first
action of your turn to Channel Elements as a free action. You can deliberately
suppress the effect. If you’re unable to act, final gate still functions, but you
don’t get to use the Elemental Blast or stance impulse you normally do from
using Channel Elements.</t>
      </text>
    </comment>
    <comment authorId="0" ref="AF246">
      <text>
        <t xml:space="preserve">Instant Manifestation
Level 19
You can manifest your eidolon with incredible speed. You can use Manifest Eidolon as a single action, instead of a three-action activity</t>
      </text>
    </comment>
    <comment authorId="0" ref="AG246">
      <text>
        <t xml:space="preserve">this isn't like quickened level 20 feats because you will only do this once per encounter probably instead of every turn.</t>
      </text>
    </comment>
    <comment authorId="0" ref="AD114">
      <text>
        <t xml:space="preserve">level 5???</t>
      </text>
    </comment>
    <comment authorId="0" ref="AH246">
      <text>
        <t xml:space="preserve">Double Spellstrike
Level 19
You can extend the magic of spells you store with Spellstrike. After you make a Spellstrike with a spell cast from a spell slot, you retain an echo of the spell, stored in your body. The next time you Spellstrike, you can cast the same spell again without expending a spell slot.
If you choose to cast a different spell with Spellstrike, or you go 1 minute without using the stored spell, the stored spell dissipates harmlessly.</t>
      </text>
    </comment>
    <comment authorId="0" ref="AI246">
      <text>
        <t xml:space="preserve">compare to Sorcerer Echoing Spell Feat 18 and Wizard Second Chance Spell Feat 18</t>
      </text>
    </comment>
    <comment authorId="0" ref="AJ246">
      <text>
        <t xml:space="preserve">Miraculous Spell
Level 19
You're exalted by your deity and gain truly incredible spells. You gain a single 10th-level spell slot and can prepare a spell in that slot using divine spellcasting. You can't use this spell slot for abilities that let you cast spells without expending spell slots or that give you more spell slots. You don't gain more 10th-level spells as you level up, though you can take the Maker of Miracles feat to gain a second slot.</t>
      </text>
    </comment>
    <comment authorId="0" ref="AL246">
      <text>
        <t xml:space="preserve">Miraculous Spell
Level 19
You're exalted by your deity and gain truly incredible spells. You gain a single 10th-level spell slot and can prepare a spell in that slot using divine spellcasting. You can't use this spell slot for abilities that let you cast spells without expending spell slots or that give you more spell slots. You don't gain more 10th-level spells as you level up, though you can take the Maker of Miracles feat to gain a second slot.</t>
      </text>
    </comment>
    <comment authorId="0" ref="AN246">
      <text>
        <t xml:space="preserve">Magnum Opus
Level 19
You have tuned your spellcasting to the highest caliber. Add two common 10th-level occult spells to your repertoire. You gain a single 10th-level spell slot you can use to cast one of those two spells using bard spellcasting. You don’t gain more 10th-level spells as you level up, unlike other spell slots, and you can’t use 10th-level slots with abilities that give you more spell slots or that let you cast spells without expending spell slots</t>
      </text>
    </comment>
    <comment authorId="0" ref="AK114">
      <text>
        <t xml:space="preserve">originally did not get Expert Simple but this was corrected in 4TH printing errata!</t>
      </text>
    </comment>
    <comment authorId="0" ref="AP246">
      <text>
        <t xml:space="preserve">Oracular Clarity
Level 19
You now fully grasp the nature of the divine power behind your mystery, allowing you to work magic akin to miracles. Add two common 10th-level divine spells to your repertoire. You gain a single 10th-level spell slot you can use to cast one of those two spells using oracle spellcasting. You don't gain more 10th-level spells as you level up, unlike other spell slots, and you can't use 10th-level slots with abilities that give you more spell slots or that let you cast spells without expending spell slots. You can take the Oracular Providence feat to gain a second slot.</t>
      </text>
    </comment>
    <comment authorId="0" ref="AM114">
      <text>
        <t xml:space="preserve">originally did not get Expert Simple but this was corrected in 4TH printing errata!</t>
      </text>
    </comment>
    <comment authorId="0" ref="L247">
      <text>
        <t xml:space="preserve">Armor of Fury
Level 19
Your training and rage deepen your connection to your armor. Your proficiency ranks for light armor, medium armor, and unarmored defense increase to master.</t>
      </text>
    </comment>
    <comment authorId="0" ref="AR246">
      <text>
        <t xml:space="preserve">Primal Hierophant
Level 19
You command the most potent forces of primal magic and can cast a spell of truly incredible power. You gain a single 10th-level spell slot and can prepare a spell in that slot using primal spellcasting. You can't use this spell slot for abilities that let you cast spells without expending spell slots or that give you more spell slots. You don't gain more 10th-level spells as you level up, though you can take the Hierophant's Power feat to gain a second slot</t>
      </text>
    </comment>
    <comment authorId="0" ref="N247">
      <text>
        <t xml:space="preserve">Second Skin
Level 19
Your armor has become akin to a second skin for you. Your proficiency ranks for light armor, medium armor, and unarmored defense increase to master. When wearing light or medium armor, you can rest normally, rather than receiving poor rest that leaves you fatigued.</t>
      </text>
    </comment>
    <comment authorId="0" ref="AT246">
      <text>
        <t xml:space="preserve">Anything you can imagine is now within the realm of possibility. Add two common 10th-level occult spells to your repertoire; you gain a single 10th-level spell slot you can use to cast one of those two spells using psychic spellcasting. You don't gain more 10th-level spells as you level up, unlike other spell slots, and you can't use 10th-level slots with abilities that give you more spell slots or that let you cast spells without expending spell slots. You can take the Mind over Matter psychic feat to gain a second slot.</t>
      </text>
    </comment>
    <comment authorId="0" ref="O247">
      <text>
        <t xml:space="preserve">compare to Swordmaster Armored Rest Feat 10</t>
      </text>
    </comment>
    <comment authorId="0" ref="P247">
      <text>
        <t xml:space="preserve">Light Armor Mastery
Level 19
Your skill with light armor improves, increasing your ability to dodge blows. Your proficiency ranks for light armor and unarmored defense increase to master.</t>
      </text>
    </comment>
    <comment authorId="0" ref="AT180">
      <text>
        <t xml:space="preserve">1 from Spell Repertoire and 1 from Granted Spells from Conscious Mind</t>
      </text>
    </comment>
    <comment authorId="0" ref="AV246">
      <text>
        <t xml:space="preserve">Archwizard's Spellcraft
Level 19
You command the most potent arcane magic and can cast a spell of truly incredible power. You gain a single 10th-level spell slot and can prepare a spell in that slot using arcane spellcasting. You can't use this spell slot for abilities that let you cast spells without expending spell slots or that give you more spell slots. Unlike with other spell slots, you don't gain more 10th-level spells as you level up, though you can take the Archwizard's Might feat to gain a second slot.</t>
      </text>
    </comment>
    <comment authorId="0" ref="R247">
      <text>
        <t xml:space="preserve">Light Armor Mastery
Level 19
Your skill with light armor improves, increasing your ability to dodge blows. Your proficiency ranks for light armor and unarmored defense increase to master.</t>
      </text>
    </comment>
    <comment authorId="0" ref="AX246">
      <text>
        <t xml:space="preserve">Patron's Gift
Level 19
Your patron grants you the power to command incredible works of magic. You gain a single 10th-level spell slot and can prepare a spell in that slot using witch spellcasting. Unlike with other spell slots, these spell slots can't be used for abilities that let you cast spells without expending spell slots or abilities that give you more spell slots. You don't gain more 10th-level spells as you level up, though you can take the Patron's Truth feat to gain a second slot.</t>
      </text>
    </comment>
    <comment authorId="0" ref="T247">
      <text>
        <t xml:space="preserve">Medium Armor Mastery
Level 19
Your skill with light and medium armor improves, increasing your ability to avoid blows. Your proficiency ranks for light and medium armor, as well as for unarmed defense, increase to master.</t>
      </text>
    </comment>
    <comment authorId="0" ref="AZ246">
      <text>
        <t xml:space="preserve">Bloodline Paragon
Level 19
You have perfected the magic in your bloodline. Add two common 10th-level spells of your tradition to your repertoire. You gain a single 10th-level spell slot you can use to cast these spells, using sorcerer spellcasting. Unlike other spell slots, you don’t gain more 10th-level spells as you level up, and they can’t be used for abilities that let you cast spells without expending spell slots or abilities that give you more spell slots. You can take the Bloodline Perfection sorcerer feat to gain a second slot.</t>
      </text>
    </comment>
    <comment authorId="0" ref="V247">
      <text>
        <t xml:space="preserve">Light Armor Mastery
Level 19
Your skill with light armor improves, increasing your ability to dodge blows. Your proficiency ranks for light armor and unarmored defense increase to master.</t>
      </text>
    </comment>
    <comment authorId="0" ref="X247">
      <text>
        <t xml:space="preserve">Medium Armor Mastery
Level 19
Your skill with light and medium armor improves, increasing your ability to dodge or absorb blows. Your proficiency ranks for light armor, medium armor, and unarmored defense increase to master.</t>
      </text>
    </comment>
    <comment authorId="0" ref="T49">
      <text>
        <t xml:space="preserve">Your experience with the unknown, as well as the tales you've exchanged with other thaumaturges, has taught you about strange phenomena of every kind. You become trained in Esoteric Lore, a special lore skill that can be used to Recall Knowledge regarding haunts, curses, and creatures of any type, but that can't be used to Recall Knowledge of other topics. Unlike a normal Lore skill, you use Charisma as your modifier on Esoteric Lore checks. You also gain the Dubious Knowledge skill feat.
At 3rd level, you become an expert in Esoteric Lore; at 7th level, you become a master in Esoteric Lore; and at 15th level, you become legendary in Esoteric Lore.</t>
      </text>
    </comment>
    <comment authorId="0" ref="Z247">
      <text>
        <t xml:space="preserve">Medium Armor Mastery
Level 19
Your skill with armor improves, helping you avoid more blows. Your proficiency ranks for light and medium armor, as well as for unarmored defense, increase to master.</t>
      </text>
    </comment>
    <comment authorId="0" ref="AD247">
      <text>
        <t xml:space="preserve">Your elements become almost impossible to resist. Your proficiency rank for
your kineticist class DC increases to legendary.</t>
      </text>
    </comment>
    <comment authorId="0" ref="AN247">
      <text>
        <t xml:space="preserve">Legendary Spellcaster
Level 19
Your command of occult magic is the stuff of legends. Your proficiency ranks for occult spell attack rolls and spell DCs increase to legendary.</t>
      </text>
    </comment>
    <comment authorId="0" ref="AP247">
      <text>
        <t xml:space="preserve">Legendary Spellcaster
Level 19
You can harness divine power at a level few others can match. Your proficiency ranks for divine spell attack rolls and spell DCs increase to legendary.</t>
      </text>
    </comment>
    <comment authorId="0" ref="AR247">
      <text>
        <t xml:space="preserve">Legendary Spellcaster
Level 19
You have developed an unparalleled rapport with the magic of nature. Your proficiency ranks for primal spell attack rolls and spell DCs increase to legendary.</t>
      </text>
    </comment>
    <comment authorId="0" ref="AT247">
      <text>
        <t xml:space="preserve">As your training reaches its peak, you understand not just your own mind, but the collective unconscious from which all psychic power stems. Your proficiency ranks for occult spell attack rolls and spell DCs increase to legendary.</t>
      </text>
    </comment>
    <comment authorId="0" ref="AV247">
      <text>
        <t xml:space="preserve">Legendary Spellcaster
Level 19
You are a consummate spellcaster, with a comprehensive understanding of both arcane theory and practical spellcraft. Your proficiency ranks for arcane spell attack rolls and spell DCs increase to legendary.</t>
      </text>
    </comment>
    <comment authorId="0" ref="AX247">
      <text>
        <t xml:space="preserve">Legendary Spellcaster
Level 19
You've perfected your command of the magic your patron provides. Your proficiency ranks for spell attacks and spell DCs for your witch spellcasting increase to legendary.</t>
      </text>
    </comment>
    <comment authorId="0" ref="AZ247">
      <text>
        <t xml:space="preserve">Legendary Spellcaster
Level 19
You demonstrate prodigious talent for spellcasting. Your proficiency ranks for spell attack rolls and spell DCs for spells of your bloodline’s tradition increase to legendary.</t>
      </text>
    </comment>
    <comment authorId="0" ref="AD248">
      <text>
        <t xml:space="preserve">Your skill with light armor improves, increasing your ability to dodge blows.
Your proficiency ranks for light armor and unarmored defense increase to master.</t>
      </text>
    </comment>
    <comment authorId="0" ref="AT182">
      <text>
        <t xml:space="preserve">1 from Spell Repertoire and 1 from Granted Spells from Conscious Mind</t>
      </text>
    </comment>
    <comment authorId="0" ref="L251">
      <text>
        <t xml:space="preserve">Instinct
Your rage wells up from a dominant instinct—one you learned from a tradition or that comes naturally to you. Your instinct gives you an ability, requires you to avoid certain behaviors, grants you increased damage and resistances at higher levels, and allows you to select feats tied to your instinct.</t>
      </text>
    </comment>
    <comment authorId="0" ref="N251">
      <text>
        <t xml:space="preserve">Hunter's Edge
You have trained for countless hours to become a more skilled hunter and tracker, gaining an additional benefit when you Hunt Prey depending on the focus of your training. Choose a hunter’s edge.</t>
      </text>
    </comment>
    <comment authorId="0" ref="P251">
      <text>
        <t xml:space="preserve">Rogue's Racket
As you started on the path of the rogue, you began to develop your own style to pursue your illicit activities. Your racket shapes your rogue techniques and the way you approach a job, while building your reputation in the criminal underworld for a certain type of work. A client with deep pockets might even hire a team of rogues for a particular heist, each specializing in a different racket, in order to cover all the bases. Choose a rogue’s racket.</t>
      </text>
    </comment>
    <comment authorId="0" ref="AT184">
      <text>
        <t xml:space="preserve">1 from Spell Repertoire and 1 from Granted Spells from Conscious Mind</t>
      </text>
    </comment>
    <comment authorId="0" ref="R251">
      <text>
        <t xml:space="preserve">Methodology
Your studies have made you savvy in many areas, but one in particular drew your intense interest. Choose a methodology. The methodologies presented in this book are as follows.</t>
      </text>
    </comment>
    <comment authorId="0" ref="T251">
      <text>
        <t xml:space="preserve">Implement
As a thaumaturge, you have a special tool of symbolic
importance that you use to focus your thaumaturgy:
your implement. Choose an implement from the options
presented on page 20. You begin play with a mundane
item of that type, and you gain the initiate benefit for that
implement. An implement is useful for a thaumaturge, but
typically can’t be sold. As you continue, you will collect
up to three implements and unlock additional benefits for
one or more of your implements, allowing you to mix
and match their benefits to suit your situation.
Implement’s Empowerment
The power of your implement can also be turned to
the rather more common task of combat, as its power
flows into your weapon or fist. When you Strike, you can
trace mystic patterns with an implement you’re holding
or a free hand to empower the Strike. When you trace
the patterns in this way, your Strike deals 2 additional
damage. You can’t make this Strike with the implement
you’re using to trace the patterns; for instance, if you’re
Striking with a weapon implement, you need to use a free
hand or a different implement you’re holding to trace
the patterns.
This increases to 4 damage at 3rd level, 6 damage at
11th level, and 8 damage at 19th level.</t>
      </text>
    </comment>
    <comment authorId="0" ref="V251">
      <text>
        <t xml:space="preserve">Swashbuckler's Style
As a swashbuckler, you have your own distinctive style that enables you to gracefully handle everyday events and life-or- death situations alike. Choose a swashbuckler's style. This style determines the additional actions you use to gain panache and makes you trained in the skill related to that action.</t>
      </text>
    </comment>
    <comment authorId="0" ref="X251">
      <text>
        <t xml:space="preserve">Gunslinger's Way
All gunslingers have a particular way they follow, a combination of philosophy and combat style that defines both how they fight and the weapons they excel with. At 1st level, your way grants you an initial deed, a unique reload action called a slinger's reload, and proficiency with a particular skill. You also gain advanced and greater deeds at later levels, as well as access to way-specific feats.</t>
      </text>
    </comment>
    <comment authorId="0" ref="Z251">
      <text>
        <t xml:space="preserve">Innovation
While you're always creating inventions, there's one that represents your preeminent work, the one that you hope— with refinement—might change the world. Choose one innovation. Your innovation's level is equal to your level. If your innovation is destroyed, you can spend 1 day of downtime and attempt a Crafting check with a high DC for your level; on a success, you rebuild it. An innovation only works due to your constant maintenance and tinkering, and therefore has no market Price.</t>
      </text>
    </comment>
    <comment authorId="0" ref="AB251">
      <text>
        <t xml:space="preserve">Research Field
Your inquiries into the alchemical nature of the universe have led you to focus on a particular field of research. You might have a degree from a scientific institute, correspond with other researchers in your field, or work as a genius loner. Choose a field of research.
Your research field adds a number of formulas to your formula book; these are your signature items. When using a batch of infused reagents to create your signature items using advanced alchemy, you create three items instead of two. Each time you gain a level, you can swap one of your signature items with another formula in your formula book. This new signature item must be on your research field's list of possible signature items.</t>
      </text>
    </comment>
    <comment authorId="0" ref="AD251">
      <text>
        <t xml:space="preserve">KINETIC GATE
As a kineticist, you’ve awakened or opened a kinetic
gate, a supernatural conduit within your body that can
channel elemental forces straight from the elemental
planes. You can choose either a single gate (one element)
or dual gate (two elements) at 1st level.
When selecting an element for your kinetic gate, you
can pick from six elements—air, earth, fire, metal, water,
and wood. Elements you can channel are referred to as
your kinetic elements. Your kinetic elements function
even in environments where they normally wouldn’t.
For example, you could use fire actions underwater even
though that’s normally not possible, and you could create
air in a vacuum.
Your kinetic gate gives you impulse feats, magical
actions that let you shape and control your elements in
awesome ways. You can select more impulse feats using
your kineticist class feats. At higher levels, the gate’s threshold class
feature gives you more impulse feats and lets you choose
whether to improve with one element or access new
kinetic elements.
SINGLE GATE
Your kinetic gate links to a single elemental plane, starting
you with a single element but giving you greater power with
it. Choose one element to be your kinetic element, and select
two 1st-level impulse feats that have that element’s trait.
In addition, you gain an impulse junction, a benefit that
occurs when you use an impulse of the chosen element
that takes 2 actions or more. This happens before the
other effects of the impulse, unless noted otherwise. You
can gain only one impulse junction per round; they are
described in full below.
Air Before or after the other effects of the impulse, you can
either Stride up to half your Speed or Step. If you have a
fly Speed, you can Fly up to half your fly Speed instead.
Earth Fragments of stone float around you, granting you
a +1 circumstance bonus to AC until the start of your
next turn.
Fire Increase the damage die size of fire damage dealt by
the impulse by one step.
Metal Choose acid, electricity, or piercing. Until the start
of your next turn, each time a creature touches you or
damages you with an unarmed melee attack or nonreach melee weapon, it takes damage of the chosen type
equal to half your level (minimum 1 damage).
Water After the impulse’s other effects, you can move one
creature targeted by the impulse or in its area 5 feet in
any direction, or 10 feet if it’s in a body of water. This
can’t move the creature into the air. You can choose only
a creature that’s willing to be moved, that failed its save
against the impulse, or that you succeeded at an impulse
attack roll against.
Wood You gain temporary Hit Points equal to your level
that last until the start of your next turn.
DUAL GATE
Your kinetic gate is a harmonious conduit between two
planes, allowing you to combine their elements to give
you a versatile set of abilities. Select two elements to be
your kinetic elements. Then, select two 1st-level impulse
feats, one with the trait of the first element and one with
the trait of the other.</t>
      </text>
    </comment>
    <comment authorId="0" ref="AF251">
      <text>
        <t xml:space="preserve">Eidolon
You have a connection with a powerful and usually otherworldly entity called an eidolon, and you can use your life force as a conduit to manifest this ephemeral entity into the mortal world. Magic also flows through this conduit from your eidolon into you, so your eidolon determines the type of spells you cast and the spell list you choose from (as described in Summoner Spellcasting below). Choose a type of eidolon from the options starting on page 59 and other eidolons you have access to. When you choose your eidolon, you also determine its appearance and general form, within the parameters for that particular type of eidolon. Once you establish your eidolon's type and general appearance, these features can't be changed later, except by selecting special evolution feats that can cause your eidolon to develop new features. Your magical connection with your eidolon takes the form of a sigil on each of your bodies. As long as your eidolon is manifested, the sigil glows with light and can't be covered or disguised via any means; it will shine through clothing, appear over cloaks, and remain unaffected by obfuscating magic. This, combined with the way that the two of you clearly act in tandem, makes it readily apparent to an intelligent observer that the two of you are connected in some way, even if the person has never encountered a summoner before.
Eidolons
Though each eidolon is a unique creature and there are many types of eidolons, each draws upon a particular tradition of magic and manifests from related essence. Multiple types of each eidolon exist as well—for instance, the types of construct eidolon presented in this book are the warrior construct and the scout construct.</t>
      </text>
    </comment>
    <comment authorId="0" ref="AH251">
      <text>
        <t xml:space="preserve">Hybrid Study
Your extensive physical training and carefully chosen magic combine to form a unique and dangerous fighting style that's more than the sum of its parts. You choose one field of hybrid study to represent your particular combination of skills. Your hybrid study gives you a special ability, usually tied to Spellstrike or Arcane Cascade, and it determines your initial conflux spell</t>
      </text>
    </comment>
    <comment authorId="0" ref="AJ251">
      <text>
        <t xml:space="preserve">Doctrine
Even among followers of the same deity, there are numerous doctrines and beliefs, which sometimes vary wildly between clerics. At 1st level, you select a doctrine and gain the benefits of its first doctrine. The doctrines presented in this book are cloistered cleric and warpriest. Each doctrine grants you initial benefits at 1st level. At 3rd, 7th, 11th, 15th, and 19th levels, you gain the benefits granted by your doctrine’s second, third, fourth, fifth, and final doctrines respectively</t>
      </text>
    </comment>
    <comment authorId="0" ref="F252">
      <text>
        <t xml:space="preserve">Champion's Reaction
Your cause gives you a special reaction</t>
      </text>
    </comment>
    <comment authorId="0" ref="AL251">
      <text>
        <t xml:space="preserve">Doctrine
Even among followers of the same deity, there are numerous doctrines and beliefs, which sometimes vary wildly between clerics. At 1st level, you select a doctrine and gain the benefits of its first doctrine. The doctrines presented in this book are cloistered cleric and warpriest. Each doctrine grants you initial benefits at 1st level. At 3rd, 7th, 11th, 15th, and 19th levels, you gain the benefits granted by your doctrine’s second, third, fourth, fifth, and final doctrines respectively</t>
      </text>
    </comment>
    <comment authorId="0" ref="G252">
      <text>
        <t xml:space="preserve">level 6 feat for archetype</t>
      </text>
    </comment>
    <comment authorId="0" ref="AN251">
      <text>
        <t xml:space="preserve">Muses
As a bard, you select one muse at 1st level. This muse leads you to great things, and might be a physical creature, a deity, a philosophy, or a captivating mystery.</t>
      </text>
    </comment>
    <comment authorId="0" ref="AP251">
      <text>
        <t xml:space="preserve">Mystery
An oracle wields divine power, but not from a single divine being. This power could come from a potent concept or ideal, the attention of multiple divine entities whose areas of concern all touch on that subject, or a direct and dangerous conduit to raw divine power. This is the oracle's mystery, a source of divine magic not beholden to any deity.
Choose the mystery that empowers your magic. Your mystery grants you special spells called revelation spells and might later grant you divine domain spells. It dictates the effects of your oracular curse, adds an additional cantrip to your repertoire, and gives you one or more trained skills. Drawing insight and power from the collective divine influences that fuel your magic also provides you with a special benefit.</t>
      </text>
    </comment>
    <comment authorId="0" ref="AR251">
      <text>
        <t xml:space="preserve">Druidic Order
Upon becoming a druid, you align yourself with a druidic order, which grants you a class feat, an order spell (see below), and an additional trained skill tied to your order. While you'll always be a member of your initial order, it's not unheard of for a druid to request to study with other orders in search of greater understanding of the natural world, and PC druids are among the most likely to blend the powers of different orders.
Order spells are a type of focus spell. It costs 1 Focus Point to cast a focus spell, and you start with a focus pool of 1 Focus Point. You refill your focus pool during your daily preparations, and you can regain 1 Focus Point by spending 10 minutes using the Refocus activity to commune with local nature spirits or otherwise tend to the wilderness in a way befitting your order.
Focus spells are automatically heightened to half your level rounded up, much like cantrips. Focus spells don't require spell slots to cast, and you can't cast them using spell slots. Selecting druid feats can give you more focus spells and increase the size of your focus pool, though your focus pool can never hold more than 3 points.</t>
      </text>
    </comment>
    <comment authorId="0" ref="N252">
      <text>
        <t xml:space="preserve">Hunter's Edge
You have trained for countless hours to become a more skilled hunter and tracker, gaining an additional benefit when you Hunt Prey depending on the focus of your training. Choose a hunter’s edge.</t>
      </text>
    </comment>
    <comment authorId="0" ref="AT251">
      <text>
        <t xml:space="preserve">A psychic's power is born in the depths of their psyche, far from the surface. Your subconscious mind might represent the way your power comes to you naturally, or it may be a framework you use to safely access the infinite potential of your mind. Either way, your subconscious mind fundamentally shapes how you access and wield psychic magic. Choose a subconscious mind from the options to which you have access. This choice will determine your key ability, special spellcasting components you use, and an action you can take while you have Unleashed your Psyche.
The core of how you cast spells comes from the subconscious portions of your mind. Because you cast spells using the power of your subconscious mind, you replace verbal components of spells with thought components. Thought components add the concentrate trait to the spell like verbal components do, but they don't require you to speak. Details of each subconscious mind's thought components appear in its entry. You select your subconscious mind at 1st level, and it determines the following.
Key Ability You gain an ability boost to your key ability score and use this ability modifier to determine your spell attack rolls and spell DCs.
Psyche Action This is a unique ability you can use while your Psyche is Unleashed.</t>
      </text>
    </comment>
    <comment authorId="0" ref="O252">
      <text>
        <t xml:space="preserve">by adding up some of the Edge initial abilities, and getting a rough average? for instance outwit is like two level 1 feats for the two bonuses</t>
      </text>
    </comment>
    <comment authorId="0" ref="AV251">
      <text>
        <t xml:space="preserve">Arcane School
Many arcane spellcasters delve deeply into a single school of magic in an attempt to master its secrets. If you want to be a specialist wizard, choose a school in which to specialize. You gain additional spells and spell slots for spells of your school.
If you don’t choose a school, you’re a universalist, a wizard who believes that the path to true knowledge of magic requires a multidisciplinary understanding of all eight schools working together. Though a universalist lacks the focus of a specialist wizard, they have greater fiexibility.</t>
      </text>
    </comment>
    <comment authorId="0" ref="Q252">
      <text>
        <t xml:space="preserve">most Rackets seem to give about two skills and a small bonus, though Eldritch Trickster gives a full level 2 dedication feat  and some others give one skill plus bonuses</t>
      </text>
    </comment>
    <comment authorId="0" ref="AX251">
      <text>
        <t xml:space="preserve">Patron
You weren't born with the power to cast spells, nor have you spent years in devotion to tomes, deities, or mystical secrets. Your power comes through a potent being that has chosen you as their vessel to carry forth some agenda in the world. This entity is typically mysterious and distant, revealing little of their identity and motivations, and they grant you spells and other magical powers through a familiar, which serves as a conduit for their power.
A patron might be a deity or demigod, a coven of powerful hags, a fey lord, an archdevil, or a similarly powerful entity, or perhaps multiple such figures working in tandem. As you gain more of your patron's power, you might learn more about who or what they are—certain combinations of themes and lessons suggest particular patrons or agendas—but patrons empower witches for their own secretive reasons, which they rarely reveal in full.
At 1st level, choose your patron's theme, which determines your spellcasting tradition, a skill, a special cantrip you gain, and a spell added to your familiar.</t>
      </text>
    </comment>
    <comment authorId="0" ref="S252">
      <text>
        <t xml:space="preserve">2 skill feats and a bonus for some, a skill feat and special action for others?</t>
      </text>
    </comment>
    <comment authorId="0" ref="T252">
      <text>
        <t xml:space="preserve">Your implement is a special object of symbolic importance: your badge as you treat with the supernatural and a powerful tool if things turn violent. Choose an implement from the options to which you have access. You begin play with a mundane item of that type, and you gain the initiate benefit for that implement. While an implement is useful to you, it typically has no value if sold. If you acquire a new object of the same general implement type, you can switch your implement to the new object by spending 1 day of downtime with the new item. As you advance as a thaumaturge, you will collect up to three implements and unlock the hidden potential stored within each, so you can mix and match their benefits to suit your situation.
While your implements are your primary tools in your dealings with the supernatural, you know the value of always being prepared. You constantly collect and carry various smaller mystic objects, bits of materials with paranormal affinities, and items used in folk practices: your esoterica. These might include cold iron nails, scraps of scrolls and scriptures, fragments of bones purportedly from a saint, and other similar objects. You keep your esoterica in easy-to-access places on your person and are well practiced in brandishing your implement and esoterica together, so you can draw and use esoterica with the same hand you're using to wield an implement.</t>
      </text>
    </comment>
    <comment authorId="0" ref="AZ251">
      <text>
        <t xml:space="preserve">Bloodline
Choose a bloodline that gives you your spellcasting talent. This choice determines the type of spells you cast and the spell list you choose them from, additional spells you learn, and additional trained skills. You also gain Focus Points and special focus spells based on your bloodline. The bloodlines presented in this book are as follows.</t>
      </text>
    </comment>
    <comment authorId="0" ref="V252">
      <text>
        <t xml:space="preserve">Swashbuckler Styles
As a swashbuckler, you have your own distinctive style that enables you to gracefully handle everyday events and life-or-death situations alike. Choose a swashbuckler's style. This style determines the additional actions you use to gain panache and makes you trained in the skill related to that action. The styles presented in this book are as follows.
Exemplary Finisher
9th
You execute your finishing moves with spectacular flair, adding special effects to your finishers. If a Strike you make as part of a finisher hits a foe, you add one of the following effects to the Strike, depending on your swashbuckler's style.</t>
      </text>
    </comment>
    <comment authorId="0" ref="W252">
      <text>
        <t xml:space="preserve">most give a skill increase and a skill feat or bonus of some kind</t>
      </text>
    </comment>
    <comment authorId="0" ref="X252">
      <text>
        <t xml:space="preserve">Gunslinger Ways
You learn a particular fighting style, known as a way. Your way grants a series of deeds, access to feats, proficiency with a skill, and a special reload action, all of which help shape and influence the way you affect the battlefield. The ways available to all gunslingers are described below.</t>
      </text>
    </comment>
    <comment authorId="0" ref="Y252">
      <text>
        <t xml:space="preserve">Initial Deed archetype feat 6</t>
      </text>
    </comment>
    <comment authorId="0" ref="Z252">
      <text>
        <t xml:space="preserve">Innovations
While you're always creating inventions, there's one that represents your preeminent work, the one that you hope— with refinement—might change the world. Choose one of the below innovations. Your innovation's level is equal to your level. If your innovation is destroyed, you can spend 1 day of downtime and attempt a Crafting check with a high DC for your level; on a success, you rebuild it. An innovation only works due to your constant maintenance and tinkering, and therefore has no market Price.</t>
      </text>
    </comment>
    <comment authorId="0" ref="AA252">
      <text>
        <t xml:space="preserve">archetype feat 8 for Basic Modification</t>
      </text>
    </comment>
    <comment authorId="0" ref="AB252">
      <text>
        <t xml:space="preserve">Research Fields
Your inquiries into the alchemical nature of the universe have led you to focus on a particular field of research. You might have a degree from an scientific institute, correspond with other researchers in your field, or work as a genius loner. Choose a field of research. The research fields from all source books are as follows.</t>
      </text>
    </comment>
    <comment authorId="0" ref="AC252">
      <text>
        <t xml:space="preserve">for the basic field benefits minus 2 formulas, counted in the formulas section</t>
      </text>
    </comment>
    <comment authorId="0" ref="AE252">
      <text>
        <t xml:space="preserve">each gate gives 2 impulse feats, 10 pts each</t>
      </text>
    </comment>
    <comment authorId="0" ref="AG252">
      <text>
        <t xml:space="preserve">eidolon initial ability is an archetype feat 4</t>
      </text>
    </comment>
    <comment authorId="0" ref="AH252">
      <text>
        <t xml:space="preserve">Hybrid Studies
Your extensive physical training and carefully chosen magic combine to form a unique and dangerous fighting style that's more than the sum of its parts. You choose one field of hybrid study to represent your particular combination of skills. Your hybrid study gives you a special ability, usually tied to Spellstrike or Arcane Cascade, and it determines your initial conflux spell.
Conflux Spells
You learn a conflux spell from your hybrid study, and you can cast additional conflux spells by selecting certain feats. Conflux spells are magus-specific spells created for combat and are a type of focus spell.</t>
      </text>
    </comment>
    <comment authorId="0" ref="AI252">
      <text>
        <t xml:space="preserve">Sparkling Targe gives Shield block general feat 1 plus bonuses?</t>
      </text>
    </comment>
    <comment authorId="0" ref="AJ252">
      <text>
        <t xml:space="preserve">First Doctrine (1st): : You’re trained in light and medium armor, and you have expert proficiency in Fortitude saves. You gain the Shield Block general feat (page 266), a reaction to reduce damage with a shield. If your deity’s favored weapon is a simple weapon or an unarmed attack, you gain the Deadly Simplicity cleric feat (page 121). At 13th level, if you gain the divine defense class feature, you also gain expert proficiency in light and medium armor.</t>
      </text>
    </comment>
    <comment authorId="0" ref="AK252">
      <text>
        <t xml:space="preserve">shield block marked above</t>
      </text>
    </comment>
    <comment authorId="0" ref="AL252">
      <text>
        <t xml:space="preserve">First Doctrine (1st): You gain the Domain Initiate cleric feat</t>
      </text>
    </comment>
    <comment authorId="0" ref="AM252">
      <text>
        <t xml:space="preserve">level 1 class feat marked above</t>
      </text>
    </comment>
    <comment authorId="0" ref="AN252">
      <text>
        <t xml:space="preserve">for most this is a feat and a spell added to repertoire</t>
      </text>
    </comment>
    <comment authorId="0" ref="AP252">
      <text>
        <t xml:space="preserve">Mysteries
Choose the divine mystery that fuels your mystical power. Your mystery might represent a pantheistic devotion to all the deities with power over the subject of your mystery, veneration of a particular ideal, or a conduit to raw divine energy. Whatever its origin and nature, your mystery determines the revelation spells you can cast and the oracular curse that overtakes your body when you do. You learn skills related to that mystery, gain access to a cantrip, and gain a special benefit drawn from the combined divine knowledge and experience of your mystery.</t>
      </text>
    </comment>
    <comment authorId="0" ref="AQ252">
      <text>
        <t xml:space="preserve">includes the domain spell feat which is counted in focus spells, but these mystery benefits are SUPER strong, like 100 points maybe, but they get balanced by the curse, so how can we determine the point values? I guess if they are balanced by the curse, then the curse is the only thing that costs?</t>
      </text>
    </comment>
    <comment authorId="0" ref="L253">
      <text>
        <t xml:space="preserve">Instincts
You channel your rage through an instinct. You decide what your instinct means to you. It could be a creature or symbol beloved by your clan, or a purely internal source or filter of your rage, such as a belief, curse, heritage, or state of mind. Each instinct grants an instinct ability, plus more abilities you can gain via instinct feats. It also determines what damage you resist with raging resistance and, at higher levels, increases the additional damage you deal when you Rage.
Each instinct lists acts that are anathema to it. Whenever you perform such acts, you lose the instinct's abilities and any feats that list your instinct as a prerequisite until you spend 1 day of downtime re-centering yourself, though you keep all of your other barbarian abilities.</t>
      </text>
    </comment>
    <comment authorId="0" ref="AR252">
      <text>
        <t xml:space="preserve">Druidic Orders
Upon becoming a druid, you align yourself with a druidic order, which grants you a class feat, an order spell (see below), and an additional trained skill tied to your order. While you'll always be a member of your initial order, it's not unheard of for a druid to request to study with other orders in search of greater understanding of the natural world, and PC druids are among the most likely to blend the powers of different orders.
Order spells are a type of focus spell. It costs 1 Focus Point to cast a focus spell, and you start with a focus pool of 1 Focus Point. You refill your focus pool during your daily preparations, and you can regain 1 Focus Point by spending 10 minutes using the Refocus activity to commune with local nature spirits or otherwise tend to the wilderness in a way befitting your order.</t>
      </text>
    </comment>
    <comment authorId="0" ref="M253">
      <text>
        <t xml:space="preserve">COST: for example Fury instinct gives a second level one class feat for instance</t>
      </text>
    </comment>
    <comment authorId="0" ref="AS252">
      <text>
        <t xml:space="preserve">mostly a skill, a class feat, and a focus spell, accounted for elsewhere</t>
      </text>
    </comment>
    <comment authorId="0" ref="AT252">
      <text>
        <t xml:space="preserve">Whatever the subconscious source of a psychic's power, all find that a specific external manifestation of their magic comes most easily to them. This conscious outward expression adds several additional spells to your spell repertoire and grants you three psi cantrips. Two of these cantrips are common spells, though you gain an extra benefit with them that other spellcasters don't get, and the last is unique to your conscious mind. You also get two more unique psi cantrips at higher levels. Choose a conscious mind from the options to which you have access.
Specific spells you learn come from your conscious mind, which shapes the raw psychic power from your subconscious into the forms and phenomena that you intentionally cast. You select your conscious mind at 1st level, and it determines the following.
Granted Spells You automatically add the spells listed here to your spell repertoire, in addition to those you gain through psychic spellcasting. At 1st level, you gain a 1st-level spell, and you learn the other spells on the list as soon as you gain the ability to cast psychic spells of that level, learning the 2nd-level spell at 3rd level, the 3rd-level spell at 5th level, and so on.
Standard Psi Cantrips These are two common cantrips you automatically gain at 1st level. While these are the same cantrips used by other spellcasters, you cast them as psi cantrips, enabling you to amp them for greater effect. Your mastery of psychic magic also grants you a passive benefit that applies every time you cast these cantrips, even when you haven't amped them. These benefits apply only with cantrips you gain from your conscious mind; you would cast a cantrip you gained with your psychic spellcasting class feature, for example, as normal even if it appears in a different conscious mind.
Unique Psi Cantrips These psi cantrips are unique to your conscious mind. You automatically gain the surface psi cantrip at 1st level, automatically gain the deeper psi cantrip at 6th level, and automatically gain the deepest psi cantrip at 10th level.</t>
      </text>
    </comment>
    <comment authorId="0" ref="AT186">
      <text>
        <t xml:space="preserve">1 from Spell Repertoire and 1 from Granted Spells from Conscious Mind</t>
      </text>
    </comment>
    <comment authorId="0" ref="AV252">
      <text>
        <t xml:space="preserve">Arcane Schools
If you specialize in an arcane school, rather than studying each school equally (as universalists do), you gain an extra spell slot at each spell level for which you have wizard spell slots. You can prepare only spells of your chosen arcane school in these extra slots. In addition, you can prepare an extra cantrip of your chosen school. You also add another arcane spell of your chosen school to your spellbook.
You learn a school spell, a special type of spell taught to students of your arcane school. School spells are a type of focus spell. It costs 1 Focus Point to cast a focus spell, and you start with a focus pool of 1 Focus Point. You refill your focus pool during your daily preparations, and you can regain 1 Focus Point by spending 10 minutes using the Refocus activity to study your spellbook or perform arcane research.</t>
      </text>
    </comment>
    <comment authorId="0" ref="AW252">
      <text>
        <t xml:space="preserve">This ten points is either for the extra cantrip for schools or class feat for universalist
Arcane School gives an extra slot per level, 10 slots by level 19, accounted for in the spells section now. Universalist ESSENTIALLY gets an extra slot per level too</t>
      </text>
    </comment>
    <comment authorId="0" ref="AX252">
      <text>
        <t xml:space="preserve">Patron Themes
Each patron has a theme, regardless of their nature or identity. This theme describes the forces over which the patron grants a witch influence. Some patrons are multifaceted, granting different themes and teaching different lessons to different witches. Your patron's theme determines the following.
Spell List You use this magical tradition and spell list.
Patron Skill You become trained in the listed skill.
Hex Cantrip You gain this special hex cantrip.
Granted Spell Your familiar automatically learns the spell listed here, in addition to those you gain through witch spellcasting.</t>
      </text>
    </comment>
    <comment authorId="0" ref="AY252">
      <text>
        <t xml:space="preserve">skills and spells accounted for above</t>
      </text>
    </comment>
    <comment authorId="0" ref="AZ252">
      <text>
        <t xml:space="preserve">Blood Magic Whenever you cast a bloodline spell using Focus Points or a granted spell from your bloodline using a spell slot, you gain a blood magic effect. If the blood magic offers a choice, make it before resolving the spell. The blood magic effect occurs after resolving any checks for the spell's initial effects and, against a foe, applies only if the spell is a successful attack or the foe fails its saving throw. If the spell has an area, you must designate yourself or one target in the area when you cast the spell to be the target of the blood magic effect. All references to spell level refer to the level of the spell you cast</t>
      </text>
    </comment>
    <comment authorId="0" ref="U253">
      <text>
        <t xml:space="preserve">archetype feat 6, Weapon benefit also includes CS which would be 50 pts also</t>
      </text>
    </comment>
    <comment authorId="0" ref="BA252">
      <text>
        <t xml:space="preserve">abberant bloodline blood magic compares to Champions Aura of Preservation feat 14 and  monks Enlightened Presence feat 16, so this is actually a big bonus. I had no idea it was so big, I thought blood magic was a minor benefit.</t>
      </text>
    </comment>
    <comment authorId="0" ref="Y253">
      <text>
        <t xml:space="preserve">archetype feat 10? but this is more like a basic action for other martials at level 1?</t>
      </text>
    </comment>
    <comment authorId="0" ref="AF253">
      <text>
        <t xml:space="preserve">Evolution Feat
Evolution feats are a special type of summoner class feat that allow you to customize your eidolon through your shared link. You gain an evolution feat for your eidolon at 1st level, representing the differences that make it unique from other eidolons of its type. If you retrain this feat, the feat you replace it with must also be an evolution feat</t>
      </text>
    </comment>
    <comment authorId="0" ref="AG253">
      <text>
        <t xml:space="preserve">level 1 feat</t>
      </text>
    </comment>
    <comment authorId="0" ref="AP253">
      <text>
        <t xml:space="preserve">Oracular Curse
Drawing on multiple disparate sources of power inevitably places an incredible stress on your body, manifesting as a supernatural curse. The more revelation spells you cast, the worse the effects of your curse, but these increasingly conflicting energies can also provide you with divine benefits.
The specific effects of your curse are tied to your mystery, but all curses follow the same progression. A curse continually gives you a mild but constant reminder that you carry otherworldly power. As you cast revelation spells, your curse intensifies, first to a minor effect and then to a moderate effect.
Your curse progresses to its minor stage the first time you finish casting a revelation spell after your daily preparations. Once your minor curse has manifested, it remains in effect until you rest for 8 hours and again make your daily preparations. If you cast a revelation spell while your minor curse is in effect, you progress to the moderate curse effect immediately after you finish Casting the Spell. The minor effect continues to affect you, though some moderate curse effects might alter the specifics of your minor curse. At higher levels, you can cast more revelation spells, progressing your curse to its major stage and then an extreme stage; these stronger curses are cumulative with the effects of the lower stages and can alter them. When you Refocus while under the effects of your moderate or stronger curse, you reduce your curse's severity to minor in addition to regaining a Focus Point.
Drawing upon your mystery's power while your curse is at its worst causes an irreconcilable conflict between you and the sources of your power. Immediately after casting a revelation spell while under the moderate effect of your curse, you are overwhelmed. While overwhelmed, you can't Cast or Sustain any revelation spells— you effectively lose access to those spells. You can still Refocus to reduce the effects of your curse and regain a Focus Point, but doing so doesn't allow you to cast further revelation spells. These effects last until you rest for 8 hours and make your daily preparations, at which point your curse returns to its basic state. At higher levels, you can grow to withstand your curse's major and even extreme effects, enabling you to cast more revelation spells without becoming overwhelmed.
Your curse has the curse, divine, and necromancy traits. You can't mitigate, reduce, or remove the effects of your oracular curse by any means other than Refocusing and resting for 8 hours. For example, if your curse makes creatures concealed from you, you can't negate that concealed condition through a magic item or spell, such as true strike (though you would still benefit from the other effects of that item or spell). Likewise, remove curse and similar spells don't affect your curse at all.</t>
      </text>
    </comment>
    <comment authorId="0" ref="AQ253">
      <text>
        <t xml:space="preserve">90 for the entire curse feature?? seems a little low but at the same time, its balanced by the actual downsides, so maybe it works?</t>
      </text>
    </comment>
    <comment authorId="0" ref="AU253">
      <text>
        <t xml:space="preserve">compare Restore the Mind only used while Psyche is unleashed to Barbarians Draconic Arrogance feat 1 only used while Raging.
Also compare Recall the Teachings to Swashbuckler One For All Feat 1 is pretty much the same thing.</t>
      </text>
    </comment>
    <comment authorId="0" ref="AV253">
      <text>
        <t xml:space="preserve">Arcane Thesis
During your studies to become a full-fledged wizard, you produced a thesis of unique magical research on one of a variety of topics. You gain a special benefit depending on the topic of your thesis research. The arcane thesis topics presented in this book are below; your specific thesis probably has a much longer and more technical title like “On the Methods of Spell Interpolation and the Genesis of a New Understanding of the Building Blocks of Magic.”</t>
      </text>
    </comment>
    <comment authorId="0" ref="AW253">
      <text>
        <t xml:space="preserve">Attuned Familiar:
Familiar is level 1 feat gives two abilities= 10pts
Enhanced Familiar Feat 2 adds two abilities= 10pts
Incredible Familiar Feat 8 adds two more= 70pts
So total=90pts?
But metamagical experimentation gives a level 1 feat and at level 4, it lets you take an extra half level feat, so thats 30 pts, but you could end up with a level 10 feat at level 20 so that would be 100 pts?</t>
      </text>
    </comment>
    <comment authorId="0" ref="AX253">
      <text>
        <t xml:space="preserve">A witch's knowledge from their patron comes in the form of lessons, which you can learn by selecting feats like Basic Lesson. Each lesson grants you a hex and teaches your familiar a new spell, adding it to the spells you can prepare using your witch spellcasting. You gain this spell even if it's not on your tradition's spell list.</t>
      </text>
    </comment>
    <comment authorId="0" ref="AY253">
      <text>
        <t xml:space="preserve">only available in feats, no cost</t>
      </text>
    </comment>
    <comment authorId="0" ref="AF254">
      <text>
        <t xml:space="preserve">Lastly, the connection between you and your eidolon means you both share a single pool of Hit Points. Damage taken by either you or the eidolon reduces your Hit Points, while healing either of you recovers your Hit Points. Like with your actions, if you and your eidolon are both subject to the same effect that affects your Hit Points, you apply those effects only once (applying the greater effect, if applicable). For instance, if you and your eidolon get caught in an area effect that would heal or damage you both, only the greater amount of healing or damage applies.
Gear And Your Eidolon
Your eidolon can't wear or use magic items, except for items with the eidolon trait. An eidolon can have up to two items invested. Your eidolon's link to you means it can benefit from certain magic items invested by you.
Your eidolon gains item bonuses to Perception and skills from any magical items that you have invested.
Your eidolon increases its item bonus to AC based on your armor's armor potency rune or bracers of armor. It also gains an item bonus to its saves from the resilient rune on your armor or from your bracers of armor. Other permanent items that grant or increase item bonuses to AC and saves might convey a similar benefit, as determined by the GM.
Your eidolon's Strikes benefit from the fundamental and property runes on your handwraps of mighty blows. Alternatively, you can Invest a magic weapon (even though magic weapons can't normally be Invested) to share its fundamental and property runes with your eidolon. You share these benefits only while you're holding the weapon, and you can have no more than one weapon invested in this way at a time. In either case, the eidolon gains only the benefits that can apply to its attacks, with the same limitations noted in handwraps of mighty blows.
Lost And Altered Actions
If you or your eidolon becomes slowed, stunned, quickened, or otherwise affected by something that changes the actions you gain at the start of each turn, it affects your shared actions. However, if you are both subject to such an effect, apply only the more severe one. For instance, if you or your eidolon were slowed 1, you would start your turn with one fewer action, but if you were both slowed 1, you would still lose only one action, rather than adding the two slowed effects together. However, if you were slowed 1 and your eidolon slowed 2, you'd have two fewer actions, because that's the more severe effect. If only one of you becomes restricted in how you can spend your actions, that restriction doesn't automatically extend to the other; for example, if your eidolon became immobilized or petrified, it wouldn't be able to move, but you could still use your actions to move. The GM resolves any situation that's unclear.
You, as the player, control both your summoner and your eidolon, and the two are generally considered to cooperate unless you decide for them not to. While a summoner's link with an eidolon is a partnership, ultimately the eidolon is linked to you, not the other way around. If there's ever a conflict of who should act, you win out over your eidolon. This means that if the eidolon comes under an effect that would take its actions out of your control, such as the confused or controlled condition, you can use all of your shared actions so your eidolon doesn't have any actions remaining to cause trouble (as long as you are able to act). However, if you came under such an effect, you would simply use all of your shared actions, preventing your eidolon from acting.</t>
      </text>
    </comment>
    <comment authorId="0" ref="AK122">
      <text>
        <t xml:space="preserve">they pay for trained martial but never get expert in this either?</t>
      </text>
    </comment>
    <comment authorId="0" ref="AQ254">
      <text>
        <t xml:space="preserve">Moderate Curse</t>
      </text>
    </comment>
    <comment authorId="0" ref="AT188">
      <text>
        <t xml:space="preserve">1 from Spell Repertoire and 1 from Granted Spells from Conscious Mind</t>
      </text>
    </comment>
    <comment authorId="0" ref="AT190">
      <text>
        <t xml:space="preserve">1 from Spell Repertoire and 1 from Granted Spells from Conscious Mind</t>
      </text>
    </comment>
    <comment authorId="0" ref="P60">
      <text>
        <t xml:space="preserve">You gain more skill increases than members of other classes. At 2nd level and every level thereafter, you gain a skill increase.</t>
      </text>
    </comment>
    <comment authorId="0" ref="R60">
      <text>
        <t xml:space="preserve">You gain more skill increases than members of other classes. At 2nd level and every level thereafter, you gain a skill increase.</t>
      </text>
    </comment>
    <comment authorId="0" ref="AT192">
      <text>
        <t xml:space="preserve">1 from Spell Repertoire and 1 from Granted Spells from Conscious Mind</t>
      </text>
    </comment>
    <comment authorId="0" ref="T61">
      <text>
        <t xml:space="preserve">Esoteric Lore
Your experience with the unknown, as well as the tales you've exchanged with other thaumaturges, has taught you about strange phenomena of every kind. You become trained in Esoteric Lore, a special lore skill that can be used to Recall Knowledge regarding haunts, curses, and creatures of any type, but that can't be used to Recall Knowledge of other topics. Unlike a normal Lore skill, you use Charisma as your modifier on Esoteric Lore checks. You also gain the Dubious Knowledge skill feat.
At 3rd level, you become an expert in Esoteric Lore; at 7th level, you become a master in Esoteric Lore; and at 15th level, you become legendary in Esoteric Lore.</t>
      </text>
    </comment>
    <comment authorId="0" ref="P62">
      <text>
        <t xml:space="preserve">You gain more skill increases than members of other classes. At 2nd level and every level thereafter, you gain a skill increase.</t>
      </text>
    </comment>
    <comment authorId="0" ref="R62">
      <text>
        <t xml:space="preserve">You gain more skill increases than members of other classes. At 2nd level and every level thereafter, you gain a skill increase.</t>
      </text>
    </comment>
    <comment authorId="0" ref="AK194">
      <text>
        <t xml:space="preserve">I believe this cost is included with the 10th level slot feature/feat</t>
      </text>
    </comment>
    <comment authorId="0" ref="AM194">
      <text>
        <t xml:space="preserve">I believe this cost is included with the 10th level slot feature/feat</t>
      </text>
    </comment>
    <comment authorId="0" ref="AO194">
      <text>
        <t xml:space="preserve">I believe this cost is included with the 10th level slot feature/feat</t>
      </text>
    </comment>
    <comment authorId="0" ref="AQ194">
      <text>
        <t xml:space="preserve">I believe this cost is included with the 10th level slot feature/feat</t>
      </text>
    </comment>
    <comment authorId="0" ref="AS194">
      <text>
        <t xml:space="preserve">I believe this cost is included with the 10th level slot feature/feat?</t>
      </text>
    </comment>
    <comment authorId="0" ref="AU194">
      <text>
        <t xml:space="preserve">I believe this cost is included with the 10th level slot feature/feat</t>
      </text>
    </comment>
    <comment authorId="0" ref="BA194">
      <text>
        <t xml:space="preserve">I believe this cost is included with the 10th level slot feature/feat</t>
      </text>
    </comment>
    <comment authorId="0" ref="P64">
      <text>
        <t xml:space="preserve">You gain more skill increases than members of other classes. At 2nd level and every level thereafter, you gain a skill increase.</t>
      </text>
    </comment>
    <comment authorId="0" ref="R64">
      <text>
        <t xml:space="preserve">You gain more skill increases than members of other classes. At 2nd level and every level thereafter, you gain a skill increase.</t>
      </text>
    </comment>
    <comment authorId="0" ref="Z262">
      <text>
        <t xml:space="preserve">Reconfigure
Level 3
You've become an expert in all crafts and are always adjusting your inventions. You can attempt to change the modifications on your innovation by spending 1 day of downtime tinkering with it and attempting a Crafting check, with a high DC for your level. On a success, you can change one modification you've chosen for your innovation to a different modification of the same kind (initial, breakthrough, or revolutionary).
If you have any modification feats, on a successful check you can choose to instead retrain a modification feat to a different modification feat. The new feat has to meet the standard restrictions for retraining.</t>
      </text>
    </comment>
    <comment authorId="0" ref="AJ262">
      <text>
        <t xml:space="preserve">Second Doctrine (3rd): You’re trained in martial weapons</t>
      </text>
    </comment>
    <comment authorId="0" ref="AK262">
      <text>
        <t xml:space="preserve">missing 50 pts? is it supposed to get Martial expert but double charged and yet they forgot to add martial expert in the CRB?</t>
      </text>
    </comment>
    <comment authorId="0" ref="AL262">
      <text>
        <t xml:space="preserve">Second Doctrine (3rd): Your proficiency rank for Fortitude saves increases to expert</t>
      </text>
    </comment>
    <comment authorId="0" ref="G197">
      <text>
        <t xml:space="preserve">Lay on Hands or Touch of Corruption.
archetype feat 4</t>
      </text>
    </comment>
    <comment authorId="0" ref="T65">
      <text>
        <t xml:space="preserve">Esoteric Lore
Your experience with the unknown, as well as the tales you've exchanged with other thaumaturges, has taught you about strange phenomena of every kind. You become trained in Esoteric Lore, a special lore skill that can be used to Recall Knowledge regarding haunts, curses, and creatures of any type, but that can't be used to Recall Knowledge of other topics. Unlike a normal Lore skill, you use Charisma as your modifier on Esoteric Lore checks. You also gain the Dubious Knowledge skill feat.
At 3rd level, you become an expert in Esoteric Lore; at 7th level, you become a master in Esoteric Lore; and at 15th level, you become legendary in Esoteric Lore.</t>
      </text>
    </comment>
    <comment authorId="0" ref="AF197">
      <text>
        <t xml:space="preserve">Evolution Surge
Focus 1
Cast  somatic, verbal
Range 100 feet; Targets your eidolon
Duration 1 minute
You flood your eidolon with power, creating a temporary evolution in your eidolon's capabilities. Choose one of the following effects:
Your eidolon gains low-light vision and darkvision.
Your eidolon gains scent as an imprecise sense up to 30 feet.
Your eidolon can breathe underwater and gains a swim Speed equal to its land Speed or 30 feet, whichever is less. Alternatively, if your eidolon is normally aquatic, it can breathe air and gains a land Speed equal to its swim Speed or 30 feet, whichever is less. Either way, it gains the amphibious trait.
Your eidolon gains a +20-foot status bonus to its Speed.
Heightened (3rd) Add the following options to the list of effects you can choose:
Your eidolon becomes Large, instead of its previous size. This increases your eidolon's reach to 10 feet but doesn't change any other statistics for your eidolon. Because of the special link you share, you can ride your eidolon without getting in each other's way. If another creature tries to ride your eidolon, both you and the riding creature each regain only 2 actions at the start of your turns each round, as normal.
Your eidolon gains a climb Speed equal to its land Speed.
Heightened (5th) Add the options from the 3rd-level version and the following options to the list of effects you can choose:
Your eidolon becomes Huge, instead of its previous size. This has the same effects as the 3rd-level option to become Large, except your eidolon's reach increases to 15 feet.
Your eidolon gains a fly Speed equal to its Speed.</t>
      </text>
    </comment>
    <comment authorId="0" ref="AG197">
      <text>
        <t xml:space="preserve">"Your eidolon gains low-light vision and darkvision" is a level 1 feat for permanent using Expanded Senses Feat 1</t>
      </text>
    </comment>
    <comment authorId="0" ref="AI197">
      <text>
        <t xml:space="preserve">Archetype feat 4 to get conflux spell</t>
      </text>
    </comment>
    <comment authorId="0" ref="AN197">
      <text>
        <t xml:space="preserve">Counter Performance
Focus 1
Cast  somatic or verbal; Trigger You or an ally within 60 feet rolls a saving throw against an auditory or visual effect.
Area 60-foot emanation
Your performance protects you and your allies. Roll a Performance check for a type you know: an auditory performance if the trigger was auditory, or a visual one for a visual trigger. You and allies in the area can use the better result between your Performance check and the saving throw.</t>
      </text>
    </comment>
    <comment authorId="0" ref="AO197">
      <text>
        <t xml:space="preserve">Counter Performance is an archetype feat 6</t>
      </text>
    </comment>
    <comment authorId="0" ref="AQ197">
      <text>
        <t xml:space="preserve">archetype feat 4</t>
      </text>
    </comment>
    <comment authorId="0" ref="AS197">
      <text>
        <t xml:space="preserve">archetype feat 4</t>
      </text>
    </comment>
    <comment authorId="0" ref="AU197">
      <text>
        <t xml:space="preserve">archetype Psi Development Feat 6 gives access to the unique surface psi cantrip but also the amp ability? the standard for focus spell/cantrip 1 is 30 pts?</t>
      </text>
    </comment>
    <comment authorId="0" ref="AW197">
      <text>
        <t xml:space="preserve">archetype feat 4 but hand of the apprentice is only a feat 1?</t>
      </text>
    </comment>
    <comment authorId="0" ref="T264">
      <text>
        <t xml:space="preserve">You've added another implement of power to your toolkit. You choose a second implement, which must be a different type of implement than your first. You gain the initiate benefit of your new implement.
While you're holding an implement in one hand, you can quickly switch it with another implement you're wearing to use an action from the implement you're switching to. To do so, you can Interact as a free action immediately before executing the implement's action. This allows you to meet requirements of having an implement in hand to use its action. For example, if you had your lantern implement in one hand, a weapon in the other, and a chalice implement you were wearing, you could swap your lantern for your chalice to use its reaction.</t>
      </text>
    </comment>
    <comment authorId="0" ref="AX197">
      <text>
        <t xml:space="preserve">Phase Familiar
Focus 1
Cast  somatic; Trigger Your familiar would take damage.
Range 60 feet; Targets your familiar
You draw upon your patron's power to momentarily shift your familiar from its solid, physical form into an ephemeral version of itself shaped of mist. Your familiar gains resistance 5 to all damage and is immune to precision damage. These apply only against the triggering damage.
Heightened (+1) Increase the resistance by 2.</t>
      </text>
    </comment>
    <comment authorId="0" ref="U264">
      <text>
        <t xml:space="preserve">cost of the Initiate Benefit for the second implement</t>
      </text>
    </comment>
    <comment authorId="0" ref="AY197">
      <text>
        <t xml:space="preserve">most focus spells start at 30 pts? Magic Hide is a level 2 beastmaster feat that gives AC to animal companion</t>
      </text>
    </comment>
    <comment authorId="0" ref="P66">
      <text>
        <t xml:space="preserve">You gain more skill increases than members of other classes. At 2nd level and every level thereafter, you gain a skill increase.</t>
      </text>
    </comment>
    <comment authorId="0" ref="R66">
      <text>
        <t xml:space="preserve">You gain more skill increases than members of other classes. At 2nd level and every level thereafter, you gain a skill increase.</t>
      </text>
    </comment>
    <comment authorId="0" ref="BA197">
      <text>
        <t xml:space="preserve">archetype feat 4</t>
      </text>
    </comment>
    <comment authorId="0" ref="Z264">
      <text>
        <t xml:space="preserve">Reconfigure
Level 3
You've become an expert in all crafts and are always adjusting your inventions. You can attempt to change the modifications on your innovation by spending 1 day of downtime tinkering with it and attempting a Crafting check, with a high DC for your level. On a success, you can change one modification you've chosen for your innovation to a different modification of the same kind (initial, breakthrough, or revolutionary).
If you have any modification feats, on a successful check you can choose to instead retrain a modification feat to a different modification feat. The new feat has to meet the standard restrictions for retraining.</t>
      </text>
    </comment>
    <comment authorId="0" ref="AA264">
      <text>
        <t xml:space="preserve">guessed based on level</t>
      </text>
    </comment>
    <comment authorId="0" ref="AB264">
      <text>
        <t xml:space="preserve">Field Discovery
Level 5
You learn a special discovery depending on your field.</t>
      </text>
    </comment>
    <comment authorId="0" ref="AD264">
      <text>
        <t xml:space="preserve">GATE’S THRESHOLD 5TH
You reach a new milestone in your odyssey to become in
tune with your kinetic gate and must decide how to expand
the gate’s power. At 5th level and every 4 levels thereafter,
you choose to either expand the portal or fork the path.
• Expand the Portal: Your gate attunes more precisely
to one of your elements. Gain an impulse feat of
your level or lower for one of your kinetic elements;
if you have more than one element, you can choose
a composite impulse (page 36). You also gain a gate
junction for one of your kinetic elements. If you
have no valid options for the feat—typically because
you have one kinetic element and devoted your class
feats to gaining that element’s impulses—you can
instead select any kineticist class feat of your level or
lower for which you meet the prerequisites.
• Fork the Path: Your gate reaches to another elemental
plane. Add a new element of your choice to your
kinetic elements. Gain an impulse feat of your level or
lower with the trait of that element. You can’t select a
composite impulse feat with this feat selection.</t>
      </text>
    </comment>
    <comment authorId="0" ref="AE264">
      <text>
        <t xml:space="preserve">Critical Blast essentially Critical Specialization, so 50 pts is appropriate and the other junctions compare favorably.
Since you get a new one at 5th, 10th, 15th, and 20th level, its 200 pts total.</t>
      </text>
    </comment>
    <comment authorId="0" ref="AF264">
      <text>
        <t xml:space="preserve">Eidolon Unarmed Expertise
Level 5
Your eidolon becomes more capable of using its unarmed attacks. Its proficiency rank for unarmed attacks increases to expert</t>
      </text>
    </comment>
    <comment authorId="0" ref="AF198">
      <text>
        <t xml:space="preserve">Boost Eidolon
Cantrip 1
Cast  verbal
Range 100 feet; Targets your eidolon
Duration 1 round
You focus deeply on the link between you and your eidolon and boost the power of your eidolon's attacks. Your eidolon gains a +2 status bonus to damage rolls with its unarmed attacks. If your eidolon's Strikes deal more than one weapon damage die, the status bonus increases to 2 per weapon damage die, to a maximum of +8 with four weapon damage dice.</t>
      </text>
    </comment>
    <comment authorId="0" ref="AG198">
      <text>
        <t xml:space="preserve">focus cantrips are 5 pts because they are like spontaneous cantrips, which don't have slots, only learned</t>
      </text>
    </comment>
    <comment authorId="0" ref="A133">
      <text>
        <t xml:space="preserve">In an effort to simplify my formulas, I manually changed proficiencies to T/E/M/L where it gets scaling based on the highest ability. So if the highest level armor gets expert, all others below get expert for free. Note that Trained is different, I found that each level of trained must be paid in order for totals to work right. Basically, think of it as getting Armor proficiency general feat, you have to take it for each level to be trained in that level, but scaling is included in the class feature as one cost for scaling.</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6">
      <text>
        <t xml:space="preserve">Simple-Limited and Martial-Limited were not counted separately here as they are more flavor specific and not optimal for class profiling, so they were combined with their full versions. Advanced-Group and Advanced-Full were left off as those are very class specific to Gunslinger or Fighter and should only be used on similarly focused classes, thus they don't fit into a general profile.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01">
      <text>
        <t xml:space="preserve">only Barbarian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Divine Ally
Level 3
Your devotion attracts a spirit of your deity's alignment. Once you choose an ally, your choice can't be changed.
The following are divine allies:
Blade Ally: A spirit of battle dwells within your armaments. Select one weapon or handwraps of mighty blows when you make your daily preparations. In your hands, the item gains the effect of a property rune and you also gain the weapon's critical specialization effect. For a champion following the tenets of good, choose disrupting, ghost touch, returning, or shifting. For a champion following the tenets of evil, choose fearsome, returning, or shifting.
Shield Ally: A spirit of protection dwells within your shield. In your hands, the shield's Hardness increases by 2 and its HP and BT increase by half.
Steed Ally: You gain a young animal companion as a mount. Ordinarily, your animal companion is one that has the mount special ability, such as a horse. You can select a different animal companion (GM's discretion), but this ability doesn't grant it the mount special ability.</t>
      </text>
    </comment>
    <comment authorId="0" ref="K75">
      <text>
        <t xml:space="preserve">Field Discovery
Level 5
You learn a special discovery depending on your field.
Powerful Alchemy
Level 5
Alchemical items you create on the fly are particularly potent. When you use Quick Alchemy to create an infused alchemical item that allows a saving throw, you can change its DC to your class DC.</t>
      </text>
    </comment>
    <comment authorId="0" ref="M75">
      <text>
        <t xml:space="preserve">Perpetual Infusions
Level 7
You have learned how to create perpetual alchemical infusions that can provide a near-infinite supply of certain simple items. You gain the ability to create two 1st-level alchemical items using Quick Alchemy without spending a batch of infused reagents. The items you can select depend on your research field and must be in your formula book.</t>
      </text>
    </comment>
    <comment authorId="0" ref="M9">
      <text>
        <t xml:space="preserve">Armor Expertise
Level 7
You have spent so much time in armor that you know how to make the most of its protection. Your proficiency ranks for light, medium, and heavy armor, as well as for unarmored defense, increase to expert. You gain the armor specialization effects of medium and heavy armor</t>
      </text>
    </comment>
    <comment authorId="0" ref="O75">
      <text>
        <t xml:space="preserve">Double Brew
Level 9
You know your formulas so well that you can concoct two items at once. When using the Quick Alchemy action, instead of spending one batch of infused reagents to create a single item, you can spend up to two batches of infused reagents to make up to two alchemical items as described in that action. These items do not have to be the same.</t>
      </text>
    </comment>
    <comment authorId="0" ref="F1">
      <text>
        <t xml:space="preserve">It is assumed that most classes have unarmed proficiency along with their Simple proficiency, unless otherwise noted, such as Monk only having "U"</t>
      </text>
    </comment>
    <comment authorId="0" ref="Q75">
      <text>
        <t xml:space="preserve">Perpetual Potency
Level 11
Your perpetual infusions improve, allowing you to use Quick Alchemy to create more powerful items with no cost. The items you can select depend on your research field and must be in your formula book.</t>
      </text>
    </comment>
    <comment authorId="0" ref="S75">
      <text>
        <t xml:space="preserve">Greater Field Discovery
Level 13
You learn an incredible discovery that advances your understanding of your field.</t>
      </text>
    </comment>
    <comment authorId="0" ref="U75">
      <text>
        <t xml:space="preserve">Alchemical Alacrity
Level 15
Your comfort in concocting items is such that you can create three at a time. When using the Quick Alchemy action, you can spend up to three batches of infused reagents to make up to three alchemical items as described in that action. These items do not have to be the same, and you automatically stow one of these new items as you create them.</t>
      </text>
    </comment>
    <comment authorId="0" ref="W75">
      <text>
        <t xml:space="preserve">Perpetual Perfection
Level 17
You have perfected your perpetual infusions, allowing you to use Quick Alchemy to create even more powerful items at no cost. The items you can select depend on your research field and must be in your formula book.</t>
      </text>
    </comment>
    <comment authorId="0" ref="I59">
      <text>
        <t xml:space="preserve">Expert Overdrive
Level 3
You've increased your skill in crafting, and you can put your devices into a more powerful state of overdrive. You become an expert in Crafting, and on a successful use of Overdrive, you increase the additional damage by 1.
Reconfigure
Level 3
You've become an expert in all crafts and are always adjusting your inventions. You can attempt to change the modifications on your innovation by spending 1 day of downtime tinkering with it and attempting a Crafting check, with a high DC for your level. On a success, you can change one modification you've chosen for your innovation to a different modification of the same kind (initial, breakthrough, or revolutionary).
If you have any modification feats, on a successful check you can choose to instead retrain a modification feat to a different modification feat. The new feat has to meet the standard restrictions for retraining.
Explode adds 1d6 damage
</t>
      </text>
    </comment>
    <comment authorId="0" ref="Y9">
      <text>
        <t xml:space="preserve">Hero's Defiance
Level 19
You can defy fate and continue fighting as long as you have divine energy. You gain the hero’s defiance devotion spell.</t>
      </text>
    </comment>
    <comment authorId="0" ref="B18">
      <text>
        <t xml:space="preserve">Attack of Opportunity
Reaction
Trigger A creature within your reach uses a manipulate action or a move action, makes a ranged attack, or leaves a square during a move action it’s using.
You lash out at a foe that leaves an opening. Make a melee Strike against the triggering creature. If your attack is a critical hit and the trigger was a manipulate action, you disrupt that action. This Strike doesn’t count toward your multiple attack penalty, and your multiple attack penalty doesn’t apply to this Strike.</t>
      </text>
    </comment>
    <comment authorId="0" ref="K59">
      <text>
        <t xml:space="preserve">Inventor Weapon Expertise
Level 5
You develop tricks for using your weapons more effectively. Your proficiency ranks for simple and martial weapons and unarmed attacks increase to expert. If you have a weapon innovation, you gain access to the critical specialization effect with your innovation.
Explode adds 1d6 damage</t>
      </text>
    </comment>
    <comment authorId="0" ref="M59">
      <text>
        <t xml:space="preserve">Breakthrough Innovation
Level 7
You've made a breakthrough in your field of study and discovered a powerful new way to enhance your innovation. Choose a breakthrough modification of your innovation's type to apply to your innovation. You can choose an initial modification of your innovation's type instead if you prefer.
Master Overdrive
Level 7
Your mastery of invention and crafting enhances your Overdrive even further. You become a master in Crafting, and on a successful Overdrive, you increase the additional damage by a total of 2, replacing the increase from expert overdrive.
Explode adds 1d6 damage</t>
      </text>
    </comment>
    <comment authorId="0" ref="O59">
      <text>
        <t xml:space="preserve">Offensive Boost
Level 9
You've made additions to your innovation to upgrade your offensive capabilities. Your improvements make any Strikes that rely on your innovation deal an additional 1d6 damage, with a type determined by the boost you choose. If your innovation is armor, the boost applies to your melee unarmed Strikes and to your melee Strikes with one weapon you choose during daily preparations; if your innovation is a construct, the boost applies to your construct companion's Strikes; and if your innovation is a weapon, the boost applies to your Strikes with your innovation. You can spend downtime to switch to a different boost in the same way as switching your modification. Choose one of the following boosts, with the damage type in parentheses.
Chill (Cold): Your innovation rapidly absorbs heat, creating an intense chill.
Ignition (Fire): Your innovation shoots out jets of searing flame.
Jolt (Electricity): Your innovation jolts foes with charges of electricity.
Momentum (Bludgeoning): Your innovation slams into foes with added momentum.
Saws (Slashing): Your innovation reveals spinning sawblades during your attacks.
Spike (Piercing): Your innovation reveals wicked spikes during your attacks.
Vitriol (Acid): Your innovation releases spurts of caustic acid.
Explode adds 1d6 damage</t>
      </text>
    </comment>
    <comment authorId="0" ref="Q59">
      <text>
        <t xml:space="preserve">Medium Armor Expertise
Level 11
You've learned to better defend yourself against attacks. Your proficiency ranks for light armor, medium armor, and unarmored defense increase to expert.
If you have a medium or heavy armor innovation, you gain access to the critical specialization effect with your armor innovation.
Explode adds 1d6 damage</t>
      </text>
    </comment>
    <comment authorId="0" ref="S59">
      <text>
        <t xml:space="preserve">Complete Reconfiguration
Level 13
When it comes to crafting and tinkering, you've become incredibly adept at changing your modifications to adjust your innovation's functionality. When you spend downtime to reconfigure your innovation and succeed at your Crafting check, you can swap any number of modifications, swap your offensive boost, or retrain any number of modification feats, rather than one. You still must swap a modification only with one of the same type (initial, breakthrough, or revolutionary).
Explode adds 1d6 damage</t>
      </text>
    </comment>
    <comment authorId="0" ref="E109">
      <text>
        <t xml:space="preserve">Spell Blending Thesis can vary this slightly and Drain Bonded Item lets you use an extra spell per day</t>
      </text>
    </comment>
    <comment authorId="0" ref="K18">
      <text>
        <t xml:space="preserve">choose one weapon group, Master in U/S/M and Expert in A only for that group. CS only for weapons you are Master proficiency</t>
      </text>
    </comment>
    <comment authorId="0" ref="M84">
      <text>
        <t xml:space="preserve">Studious Spells
Level 7
Your hybrid study grants you additional spells that can enhance your power in combat. You gain two special 2nd-level studious spell slots, which can be used to prepare spider climb, true strike, water breathing, and an additional spell depending on your hybrid study. You add any spells from this class feature to your spellbook. At 11th level, the extra slots increase to 3rd level and you add haste and an additional spell depending on your hybrid study. At 13th level, the extra slots increase to 4th level and you add fly and an additional spell depending on your hybrid study.</t>
      </text>
    </comment>
    <comment authorId="0" ref="U59">
      <text>
        <t xml:space="preserve">Revolutionary Innovation
Level 15
You are an unparalleled genius and have discovered a technique that will revolutionize your chosen field—or at least for the time being, your innovation! Choose a revolutionary modification to apply to your innovation. You can also choose an initial or breakthrough modification of the same type instead, if you prefer.
Legendary Overdrive
Level 15
Your peerless inventing and Crafting ability has supercharged your Overdrives. You become legendary in Crafting, and on a successful Overdrive, you increase the additional damage by a total of 3, replacing the increase from master overdrive.
Explode adds 1d6 damage</t>
      </text>
    </comment>
    <comment authorId="0" ref="Q84">
      <text>
        <t xml:space="preserve">Studious Spells
Level 7
Your hybrid study grants you additional spells that can enhance your power in combat. You gain two special 2nd-level studious spell slots, which can be used to prepare spider climb, true strike, water breathing, and an additional spell depending on your hybrid study. You add any spells from this class feature to your spellbook. At 11th level, the extra slots increase to 3rd level and you add haste and an additional spell depending on your hybrid study. At 13th level, the extra slots increase to 4th level and you add fly and an additional spell depending on your hybrid study.</t>
      </text>
    </comment>
    <comment authorId="0" ref="Y59">
      <text>
        <t xml:space="preserve">Infinite Invention
Level 19
Your ability to adjust your innovation has reached impossible heights, and you can use these skills to make major adjustments in your spare time. During your daily preparations, you automatically fix your innovation if it's destroyed or broken, and you can change to a different innovation (armor, construct, weapon, or other type you have access to) and change your modifications and offensive boost.
If you have any feats that had your previous innovation as a prerequisite, you can't use them until you retrain the feats as normal. However, it takes you only 1 day of downtime to retrain such a feat into a feat that has your new innovation as a prerequisite, instead of 1 week.
Explode adds 1d6 damage</t>
      </text>
    </comment>
    <comment authorId="0" ref="B68">
      <text>
        <t xml:space="preserve">Devise a Stratagem
You can play out a battle in your head, using brains rather than brawn to execute an attack.
Devise a Stratagem
Single Action
ConcentrateFortuneInvestigator
Frequency once per round
You assess a foe's weaknesses in combat and use them to formulate a plan of attack against your enemy. Choose a creature you can see and roll a d20. If you Strike the chosen creature later this round, you must use the result of the roll you made to Devise a Stratagem for your Strike's attack roll instead of rolling. You make this substitution only for the first Strike you make against the creature this round, not any subsequent attacks.
When you make this substitution, you can also add your Intelligence modifier to your attack roll instead of your Strength or Dexterity modifier, provided your Strike uses an agile or finesse melee weapon, an agile or finesse unarmed attack, a ranged weapon (which must be agile or finesse if it's a melee weapon with the thrown trait), or a sap.
If you're aware that the creature you choose is the subject of a lead you're pursuing, you can use this ability as a free action.</t>
      </text>
    </comment>
    <comment authorId="0" ref="C68">
      <text>
        <t xml:space="preserve">Strategic Strike
When you strike carefully and with forethought, you deal a telling blow. When making a Strike that adds your Intelligence modifier on your attack roll due to Devising a Stratagem, you deal an additional 1d6 precision damage.
As your investigator level increases, so too does the deadliness of your strategic strike. Increase the number of dice by one at 5th, 9th, 13th, and 17th levels.</t>
      </text>
    </comment>
    <comment authorId="0" ref="S84">
      <text>
        <t xml:space="preserve">Studious Spells
Level 7
Your hybrid study grants you additional spells that can enhance your power in combat. You gain two special 2nd-level studious spell slots, which can be used to prepare spider climb, true strike, water breathing, and an additional spell depending on your hybrid study. You add any spells from this class feature to your spellbook. At 11th level, the extra slots increase to 3rd level and you add haste and an additional spell depending on your hybrid study. At 13th level, the extra slots increase to 4th level and you add fly and an additional spell depending on your hybrid study.</t>
      </text>
    </comment>
    <comment authorId="0" ref="S18">
      <text>
        <t xml:space="preserve">Master in all U/S/M and Expert in all A
Legendary in U/S/M and Master in A for the chosen group only</t>
      </text>
    </comment>
    <comment authorId="0" ref="F101">
      <text>
        <t xml:space="preserve">including the hex cantrip even though its only once per round</t>
      </text>
    </comment>
    <comment authorId="0" ref="F68">
      <text>
        <t xml:space="preserve">damage die increases from class ability</t>
      </text>
    </comment>
    <comment authorId="0" ref="Y84">
      <text>
        <t xml:space="preserve">Double Spellstrike
Level 19
You can extend the magic of spells you store with Spellstrike. After you make a Spellstrike with a spell cast from a spell slot, you retain an echo of the spell, stored in your body. The next time you Spellstrike, you can cast the same spell again without expending a spell slot.
If you choose to cast a different spell with Spellstrike, or you go 1 minute without using the stored spell, the stored spell dissipates harmlessly.</t>
      </text>
    </comment>
    <comment authorId="0" ref="D126">
      <text>
        <t xml:space="preserve">Wild Empathy
You have a connection to the creatures of the natural world that allows you to communicate with them on a rudimentary level. You can use Diplomacy to Make an Impression on animals and to make very simple Requests of them. In most cases, wild animals will give you time to make your case.</t>
      </text>
    </comment>
    <comment authorId="0" ref="I2">
      <text>
        <t xml:space="preserve">Deny Advantage
Level 3
Your foes struggle to pass your defenses. You aren’t flat-footed to hidden, undetected, or flanking creatures of your level or lower, or creatures of your level or lower using surprise attack. However, they can still help their allies flank.</t>
      </text>
    </comment>
    <comment authorId="0" ref="D60">
      <text>
        <t xml:space="preserve">Explode
Your innovation is a creation barely held together by your own engineering, always on the edge of completely falling apart. Though this adds risk, it also means you can coax it to perform far beyond its design specifications using special unstable actions.
While inventors can learn various unstable actions over their career, all at least know how to make their innovation Explode.
Explode
Two Actions
FireInventorManipulateUnstable
You intentionally take your innovation beyond normal safety limits, making it explode and damage nearby creatures without damaging the innovation... hopefully. The explosion deals 2d6 fire damage with a basic Reflex save to all creatures in a 5-foot emanation around you (if you're wearing or holding the innovation) or around your innovation (if your innovation is a minion).
At 3rd level, and every level thereafter, increase your explosion's damage by 1d6.
If you have the breakthrough innovation class feature, you can choose either a 5-foot or 10-foot emanation for the area when you use Explode; if you have the revolutionary innovation class feature, you can choose a 5-foot, 10-foot, or 15-foot emanation.</t>
      </text>
    </comment>
    <comment authorId="0" ref="K2">
      <text>
        <t xml:space="preserve">Brutality
Level 5
Your fury makes your weapons lethal. Your proficiency ranks for simple weapons, martial weapons, and unarmed attacks increase to expert. While raging, you gain access to the critical specialization effects for melee weapons and unarmed attacks.</t>
      </text>
    </comment>
    <comment authorId="0" ref="O2">
      <text>
        <t xml:space="preserve">Raging Resistance
Level 9
Repeated exposure and toughened skin allow you to fend off harm. While raging, you gain resistance equal to 3 + your Constitution modifier to damage types based on your instinct.</t>
      </text>
    </comment>
    <comment authorId="0" ref="Q2">
      <text>
        <t xml:space="preserve">Mighty Rage
Level 11
Your rage intensifies and lets you burst into action. Your proficiency rank for your barbarian class DC increases to expert. You gain the Mighty Rage free action.
Action:
Mighty Rage
Free Action
Barbarian
Trigger You use the Rage action on your turn.
Use an action that has the rage trait. Alternatively, you can increase the actions of the triggering Rage to 2 to instead use a 2-action activity with the rage trait.</t>
      </text>
    </comment>
    <comment authorId="0" ref="U2">
      <text>
        <t xml:space="preserve">Greater Weapon Specialization
Level 15
The weapons you’ve mastered become truly fearsome in your hands. Your damage from weapon specialization increases to 4 with weapons and unarmed attacks in which you’re an expert, 6 if you’re a master, and 8 if you’re legendary. You gain a greater benefit from your instinct’s specialization ability.</t>
      </text>
    </comment>
    <comment authorId="0" ref="W2">
      <text>
        <t xml:space="preserve">Quick Rage
Level 17
You recover from your Rage quickly, and are soon ready to begin anew. After you spend a full turn without raging, you can Rage again without needing to wait 1 minute.</t>
      </text>
    </comment>
    <comment authorId="0" ref="I52">
      <text>
        <t xml:space="preserve">Opportune Riposte
Level 3
You turn the tables on foes who fumble, capitalizing immediately on their mistake. You gain the Opportune Riposte reaction.
Opportune Riposte
Reaction
Swashbuckler
Trigger A foe within your reach critically fails a Strike against you.
You take advantage of an opening from your enemy's fumbled attack. You either make a melee Strike against the triggering foe or attempt to Disarm it of the weapon it used for the Strike.
Stylish Tricks
Level 3
At 3rd level, 7th level, and 15th level, you gain a skill feat. This feat must be for Acrobatics or the trained skill from your swashbuckler's style.
Vivacious Speed
Level 3
When you've made an impression, you move even faster than normal, darting about the battlefield with incredible speed. Increase the status bonus to your Speeds when you have panache to a +10-foot status bonus; this bonus increases by 5 feet at 7th, 11th, 15th, and 19th levels. When you don't have panache, you still get half this status bonus to your Speed, rounded down to the nearest 5-foot increment.</t>
      </text>
    </comment>
    <comment authorId="0" ref="B77">
      <text>
        <t xml:space="preserve">Quick Alchemy
If you need a specific alchemical item on the fly, you can use your infused reagents to quickly create it with the Quick Alchemy action.
Quick Alchemy
Single Action
AlchemistManipulate
Cost 1 batch of infused reagents
Requirements You have the formula for the alchemical item you're creating, and you're either holding or wearing alchemist's tools.
You swiftly mix up a short-lived alchemical item to use at a moment's notice. You create a single alchemical item of your advanced alchemy level or lower that's in your formula book without having to spend the normal monetary cost in alchemical reagents or needing to attempt a Crafting check. This item has the infused trait, but it remains potent only until the start of your next turn.</t>
      </text>
    </comment>
    <comment authorId="0" ref="Y2">
      <text>
        <t xml:space="preserve">Devastator
Level 19
Your Strikes are so devastating that you hardly care about resistance, and your barbarian abilities are unparalleled. Your proficiency rank for your barbarian class DC increases to master. Your melee Strikes ignore 10 points of a creature’s resistance to their physical damage.</t>
      </text>
    </comment>
    <comment authorId="0" ref="F143">
      <text>
        <t xml:space="preserve">including the focus cantrip</t>
      </text>
    </comment>
    <comment authorId="0" ref="D11">
      <text>
        <t xml:space="preserve">Deific Weapon
You zealously bear your deity’s favored weapon. If it’s uncommon, you gain access to it. If it’s an unarmed attack with a d4 damage die or a simple weapon, increase the damage die by one step (d4 to d6, d6 to d8, d8 to d10, d10 to d12).</t>
      </text>
    </comment>
    <comment authorId="0" ref="M52">
      <text>
        <t xml:space="preserve">Stylish Tricks
Level 3
At 3rd level, 7th level, and 15th level, you gain a skill feat. This feat must be for Acrobatics or the trained skill from your swashbuckler's style.
Vivacious Speed
Level 3
When you've made an impression, you move even faster than normal, darting about the battlefield with incredible speed. Increase the status bonus to your Speeds when you have panache to a +10-foot status bonus; this bonus increases by 5 feet at 7th, 11th, 15th, and 19th levels. When you don't have panache, you still get half this status bonus to your Speed, rounded down to the nearest 5-foot increment.</t>
      </text>
    </comment>
    <comment authorId="0" ref="F77">
      <text>
        <t xml:space="preserve">Simple weapons and Alchemical Bombs</t>
      </text>
    </comment>
    <comment authorId="0" ref="F11">
      <text>
        <t xml:space="preserve">Deific Weapon
You zealously bear your deity’s favored weapon. If it’s uncommon, you gain access to it. If it’s an unarmed attack with a d4 damage die or a simple weapon, increase the damage die by one step (d4 to d6, d6 to d8, d8 to d10, d10 to d12).</t>
      </text>
    </comment>
    <comment authorId="0" ref="O52">
      <text>
        <t xml:space="preserve">Exemplary Finisher
Level 9
You execute your finishing moves with spectacular flair, adding special effects to your finishers. If a Strike you make as part of a finisher hits a foe, you add one of the following effects to the Strike, depending on your swashbuckler's style.</t>
      </text>
    </comment>
    <comment authorId="0" ref="Y126">
      <text>
        <t xml:space="preserve">Primal Hierophant
Level 19
You command the most potent forces of primal magic and can cast a spell of truly incredible power. You gain a single 10th-level spell slot and can prepare a spell in that slot using primal spellcasting. You can't use this spell slot for abilities that let you cast spells without expending spell slots or that give you more spell slots. You don't gain more 10th-level spells as you level up, though you can take the Hierophant's Power feat to gain a second slot.</t>
      </text>
    </comment>
    <comment authorId="0" ref="Y93">
      <text>
        <t xml:space="preserve">Patron's Gift
Level 19
Your patron grants you the power to command incredible works of magic. You gain a single 10th-level spell slot and can prepare a spell in that slot using witch spellcasting. Unlike with other spell slots, these spell slots can't be used for abilities that let you cast spells without expending spell slots or abilities that give you more spell slots. You don't gain more 10th-level spells as you level up, though you can take the Patron's Truth feat to gain a second slot.</t>
      </text>
    </comment>
    <comment authorId="0" ref="Q52">
      <text>
        <t xml:space="preserve">Continuous Flair
Level 11
While not equal to the heights of your panache in combat, you have a dramatic flair about you in any situation. Whenever you succeed at a check during exploration that would have granted you panache in combat, you gain a +1 circumstance bonus to further checks for actions that would grant you panache in combat. This benefit ends when the exploration changes to a different scene (as determined by the GM) or shifts to an encounter or downtime.
Vivacious Speed
Level 3
When you've made an impression, you move even faster than normal, darting about the battlefield with incredible speed. Increase the status bonus to your Speeds when you have panache to a +10-foot status bonus; this bonus increases by 5 feet at 7th, 11th, 15th, and 19th levels. When you don't have panache, you still get half this status bonus to your Speed, rounded down to the nearest 5-foot increment.</t>
      </text>
    </comment>
    <comment authorId="0" ref="U52">
      <text>
        <t xml:space="preserve">Keen Flair
Level 15
You inflict particularly devastating attacks on even well-defended foes. When you Strike with a weapon or unarmed attack with which you have master proficiency, if you roll a 19 on the die and the roll is a success, you critically succeed instead.
Stylish Tricks
Level 3
At 3rd level, 7th level, and 15th level, you gain a skill feat. This feat must be for Acrobatics or the trained skill from your swashbuckler's style.
Vivacious Speed
Level 3
When you've made an impression, you move even faster than normal, darting about the battlefield with incredible speed. Increase the status bonus to your Speeds when you have panache to a +10-foot status bonus; this bonus increases by 5 feet at 7th, 11th, 15th, and 19th levels. When you don't have panache, you still get half this status bonus to your Speed, rounded down to the nearest 5-foot increment.</t>
      </text>
    </comment>
    <comment authorId="0" ref="I135">
      <text>
        <t xml:space="preserve">Signature Spells
Level 3
Experience allows you to cast some spells more flexibly. For each spell level you have access to, choose one spell of that level to be a signature spell. You don’t need to learn heightened versions of signature spells separately; instead, you can heighten these spells freely. If you’ve learned a signature spell at a higher level than its minimum, you can also cast all its lower-level versions without learning those separately. If you swap out a signature spell, you can choose a replacement signature spell of the same spell level at which you learned the previous spell. You can also retrain specifically to change a signature spell to a different spell of that level without swapping any spells; this takes as much time as retraining a spell normally does.</t>
      </text>
    </comment>
    <comment authorId="0" ref="Y52">
      <text>
        <t xml:space="preserve">Eternal Confidence
Level 19
As a swashbuckler at the peak of your skill, you swell with confidence and bravado in every attack. Your proficiency rank for your swashbuckler class DC increases to master.
When you Strike as part of a finisher or Opportune Riposte, you can give the Strike the failure effect from the Confident Finisher action, including the increase from Precise Finisher if you have that feat. You can do so only if the Strike uses a weapon or unarmed attack that you could use for Confident Finisher.
Vivacious Speed
Level 3
When you've made an impression, you move even faster than normal, darting about the battlefield with incredible speed. Increase the status bonus to your Speeds when you have panache to a +10-foot status bonus; this bonus increases by 5 feet at 7th, 11th, 15th, and 19th levels. When you don't have panache, you still get half this status bonus to your Speed, rounded down to the nearest 5-foot increment.</t>
      </text>
    </comment>
    <comment authorId="0" ref="B61">
      <text>
        <t xml:space="preserve">Overdrive
You have a bevy of smaller devices of your own invention, from muscle stimulants to concussive pistons. When it's necessary, you can throw them into overdrive to assist you in combat.
Overdrive
Single Action
InventorManipulate
Frequency once per round
Temporarily cranking the gizmos on your body into overdrive, you try to add greater power to your attacks. Attempt a Crafting check that has a standard DC for your level.
Critical Success Your gizmos go into a state of incredible efficiency called critical overdrive, adding great power to your attacks. Your Strikes deal additional damage equal to your Intelligence modifier for 1 minute. After the Overdrive ends, your gizmos become unusable as they cool down or reset, and you can't use Overdrive for 1 minute.
Success Your gizmos go into overdrive, adding power to your attacks. As critical success, except the additional damage is equal to half your Intelligence modifier.
Failure You make a miscalculation and nothing happens.
Critical Failure Whoops! Something explodes. You take fire damage equal to your level, and you can't use Overdrive again for 1 minute as your gizmos cool down and reset.
Special When under the effects of Overdrive, you can still use the Overdrive action. You can't extend your Overdrive's duration this way, but you can turn an overdrive into a critical overdrive if you critically succeed. A failure has no effect on your current Overdrive, and you end your Overdrive on a critical failure.</t>
      </text>
    </comment>
    <comment authorId="0" ref="F61">
      <text>
        <t xml:space="preserve">extra damage with overdrive and unstable actions</t>
      </text>
    </comment>
    <comment authorId="0" ref="B119">
      <text>
        <t xml:space="preserve">Warpriest gets a lvl 1 feat to increase damage die on simple deity weapons</t>
      </text>
    </comment>
    <comment authorId="0" ref="B86">
      <text>
        <t xml:space="preserve">Spellstrike
You've learned the fundamental magus technique that lets you combine magical and physical attacks together. You gain the Spellstrike activity.
Spellstrike
Two Actions
Magus
Frequency until recharged (see below)
You channel a spell into a punch or sword thrust to deliver a combined attack. You Cast a Spell that takes 1 or 2 actions to cast and requires a spell attack roll. The effects of the spell don't occur immediately but are imbued into your attack instead. Make a melee Strike with a weapon or unarmed attack. Your spell is coupled with your attack, using your attack roll result to determine the effects of both the Strike and the spell. This counts as two attacks for your multiple attack penalty, but you don't apply the penalty until after you've completed the Spellstrike. The infusion of spell energy grants your Strike the arcane trait, making it magical.
After you use Spellstrike, you can't do so again until you recharge your Spellstrike as a single action, which has the concentrate trait. You also recharge your Spellstrike when you cast a conflux spell that takes at least 1 action to cast; casting a focus spell of another type doesn't recharge your Spellstrike.</t>
      </text>
    </comment>
    <comment authorId="0" ref="B20">
      <text>
        <t xml:space="preserve">Extra class feats per day at later levels</t>
      </text>
    </comment>
    <comment authorId="0" ref="K61">
      <text>
        <t xml:space="preserve">CS for Weapon innovation only</t>
      </text>
    </comment>
    <comment authorId="0" ref="D86">
      <text>
        <t xml:space="preserve">Arcane Cascade
After you wield magic, you can enter a special stance to make your attacks more effective.
Arcane Cascade
Single Action
ConcentrateMagusStance
Requirements You used your most recent action to Cast a Spell or make a Spellstrike.
You divert a portion of the spell's magical power and keep it cycling through your body and weapon using specialized forms, breathing, or footwork. While you're in the stance, your melee Strikes deal 1 extra damage. This damage increases to 2 if you have weapon specialization and 3 if you have greater weapon specialization. Any Strike that benefits from this damage gains the arcane trait, making it magical.
If your most recent spell before entering the stance was one that can deal damage, the damage from the stance is the same type that spell could deal (or one type of your choice if the spell could deal multiple types of damage). If the spell couldn't deal damage, this stance's bonus damage depends on the spell's school.
Abjuration or Evocation force
Conjuration or Transmutation same type as your weapon or unarmed attack
Divination, Enchantment, or Illusion mental
Necromancy negative</t>
      </text>
    </comment>
    <comment authorId="0" ref="F152">
      <text>
        <t xml:space="preserve">including one from subclass</t>
      </text>
    </comment>
    <comment authorId="0" ref="D53">
      <text>
        <t xml:space="preserve">Panache
You care as much about the way you accomplish something as whether you actually accomplish it in the first place. When you perform an action with particular bravado, you can leverage this moment of verve to perform spectacular, deadly maneuvers. This state of flair is called panache, and you are either in a state of panache or you are not.
You gain panache by successfully performing the skill check associated with specific actions that have a bit of flair, including Tumble Through and additional actions determined by your swashbuckler's style. At the GM's discretion, after succeeding at a check to perform a particularly daring action, such as swinging on a chandelier or sliding down a drapery, you also gain panache if your result is high enough (typically the very hard DC for your level, but the GM can choose a different threshold).
While you have panache, you gain a +5-foot status bonus to your Speeds and gain a +1 circumstance bonus to checks to Tumble Through or to take any actions that give you panache due to your style. The precise strike class feature also causes you to deal extra precision damage while you have panache. Powerful finisher actions, including Confident Finisher can be used only while you have panache and cause you to lose your panache.
Normally, you gain and use panache only in combat encounters; when an encounter ends, you lose panache.</t>
      </text>
    </comment>
    <comment authorId="0" ref="Y135">
      <text>
        <t xml:space="preserve">Magnum Opus
Level 19
You have tuned your spellcasting to the highest caliber. Add two common 10th-level occult spells to your repertoire. You gain a single 10th-level spell slot you can use to cast one of those two spells using bard spellcasting. You don’t gain more 10th-level spells as you level up, unlike other spell slots, and you can’t use 10th-level slots with abilities that give you more spell slots or that let you cast spells without expending spell slots.</t>
      </text>
    </comment>
    <comment authorId="0" ref="Y102">
      <text>
        <t xml:space="preserve">Archwizard's Spellcraft
Level 19
You command the most potent arcane magic and can cast a spell of truly incredible power. You gain a single 10th-level spell slot and can prepare a spell in that slot using arcane spellcasting. You can't use this spell slot for abilities that let you cast spells without expending spell slots or that give you more spell slots. Unlike with other spell slots, you don't gain more 10th-level spells as you level up, though you can take the Archwizard's Might feat to gain a second slot.</t>
      </text>
    </comment>
    <comment authorId="0" ref="C111">
      <text>
        <t xml:space="preserve">Anathema
Acts fundamentally opposed to your deity's alignment or ideals are anathema to your faith. Learning or casting spells, committing acts, and using items that are anathema to your deity remove you from your deity's good graces.
Casting spells with the evil trait is almost always anathema to good deities, and casting good spells is likewise anathema to evil deities; similarly, casting chaotic spells is anathema to lawful deities, and casting lawful spells is anathema to chaotic deities. A neutral cleric who worships a neutral deity isn't limited this way, but their alignment might change over time if they frequently cast spells or use abilities with a certain alignment. Similarly, casting spells that are anathema to the tenets or goals of your faith could interfere with your connection to your deity. For example, casting a spell to create undead would be anathema to Pharasma, the goddess of death. For borderline cases, you and your GM determine which acts are anathema.
If you perform enough acts that are anathema to your deity, or if your alignment changes to one not allowed by your deity, you lose the magical abilities that come from your connection to your deity. The class features that you lose are determined by the GM, but they likely include your divine font and all divine spellcasting. These abilities can be regained only if you demonstrate your repentance by conducting an atone ritual.</t>
      </text>
    </comment>
    <comment authorId="0" ref="G111">
      <text>
        <t xml:space="preserve">You gain the Domain Initiate cleric feat.</t>
      </text>
    </comment>
    <comment authorId="0" ref="I144">
      <text>
        <t xml:space="preserve">Experience enables you to cast some spells more flexibly. For each spell level you have access to, choose one spell of that level to be a signature spell. You don't need to learn heightened versions of signature spells separately; instead, you can heighten these spells freely. If you've learned a signature spell at a higher level than its minimum, you can also cast all its lower-level versions without learning those separately. If you swap out a signature spell, you can replace it with any spell you could have chosen when you first selected it (i.e., of the same spell level or lower). You can also retrain specifically to change a signature spell to a different spell of that level without swapping any spells; this takes as much time as retraining a spell normally does.</t>
      </text>
    </comment>
    <comment authorId="0" ref="I111">
      <text>
        <t xml:space="preserve">Your proficiency rank for Fortitude saves increases to expert.</t>
      </text>
    </comment>
    <comment authorId="0" ref="I45">
      <text>
        <t xml:space="preserve">Stubborn
Level 3
You don't like being told what to do, and you don't give up. Your proficiency rank for Will saves increases to expert. When you fail, but don't critically fail, a Will save against an effect that would give you the controlled condition, you can attempt a second save against the effect at the start of your next turn. On a successful second save, the controlled condition ends, though any other effects remain. As normal, failing this second save doesn't allow you to attempt a third save on the subsequent turn.</t>
      </text>
    </comment>
    <comment authorId="0" ref="B37">
      <text>
        <t xml:space="preserve">you can also choose the key ability from the subclass</t>
      </text>
    </comment>
    <comment authorId="0" ref="B4">
      <text>
        <t xml:space="preserve">Rage
You gain the Rage action, which lets you fly into a frenzy.
Rage
Single Action
BarbarianConcentrateEmotionMental
Requirements You aren’t fatigued or raging.
You tap into your inner fury and begin raging. You gain a number of temporary Hit Points equal to your level plus your Constitution modifier. This frenzy lasts for 1 minute, until there are no enemies you can perceive, or until you fall unconscious, whichever comes first. You can't voluntarily stop raging. While you are raging:
You deal 2 additional damage with melee Strikes. This additional damage is halved if your weapon or unarmed attack is agile.
You take a –1 penalty to AC.
You can't use actions with the concentrate trait unless they also have the rage trait. You can Seek while raging.
After you stop raging, you lose any remaining temporary Hit Points from Rage, and you can't Rage again for 1 minute.</t>
      </text>
    </comment>
    <comment authorId="0" ref="M111">
      <text>
        <t xml:space="preserve"> Your proficiency ranks for divine spell attack rolls and spell DCs increase to expert.</t>
      </text>
    </comment>
    <comment authorId="0" ref="Q144">
      <text>
        <t xml:space="preserve">Major Curse
Level 11
You've learned to better balance the conflicting powers wreaking havoc on your body. Immediately after completing the casting of a revelation spell while you are affected by your moderate curse, your curse progresses to its major effect, rather than overwhelming you. This effect lasts until you Refocus, which reduces your curse to its minor effect. If you cast a revelation spell while under the effects of your major curse, you are overwhelmed by your curse.
In addition, increase the number of Focus Points in your focus pool from 2 to 3. If you spend at least 2 Focus Points before you again Refocus, you recover 2 Focus Points when you Refocus instead of 1.</t>
      </text>
    </comment>
    <comment authorId="0" ref="F4">
      <text>
        <t xml:space="preserve">extra damage in Rage and with subclasses</t>
      </text>
    </comment>
    <comment authorId="0" ref="Q111">
      <text>
        <t xml:space="preserve"> You gain expert proficiency with your deity’s favored weapon. When you critically succeed at an attack roll using that weapon, you apply the weapon’s critical specialization effect; use your divine spell DC if necessary.</t>
      </text>
    </comment>
    <comment authorId="0" ref="B95">
      <text>
        <t xml:space="preserve">Familiar
Your patron has sent you a familiar, a mystical creature that teaches you and facilitates your spells. This familiar follows the rules here, though as it's a direct conduit between you and your patron, it's more powerful than other familiars. Your familiar gains an extra familiar ability, and gains another extra ability at 6th, 12th, and 18th levels.
Your familiar is the source and repository of the spells your patron has bestowed upon you, and you must commune with your familiar to prepare your spells each day using your witch spellcasting. Your familiar starts off knowing 10 cantrips, five 1st-level spells, and one additional spell determined by your patron's theme. You choose these spells from the common spells of the tradition determined by your patron or from other spells of that tradition you gain access to.
Each time you gain a level, your patron teaches your familiar two new spells of any level you can cast, chosen from common spells of your tradition or others you gain access to. Feats can also grant your familiar additional spells.
Your familiar can learn new spells independently of your patron. It can learn any spell on your tradition's spell list by physically consuming a scroll of that spell in a process that takes 1 hour. You can use the Learn a Spell exploration activity to prepare a special written version of a spell, which your familiar can consume as if it were a scroll. You and your familiar can use the Learn a Spell activity to teach your familiar a spell from another witch's familiar. Both familiars must be present for the entirety of the activity, the spell must be on your spellcasting tradition's spell list, and you must pay the usual cost for that activity, typically in the form of an offering to the other familiar's patron. You can't prepare spells from another witch's familiar.
If your familiar dies, your patron replaces it during your next daily preparations. The new familiar might be a duplicate or reincarnation of your former familiar or a new entity altogether, but it knows the same spells your former familiar knew regardless. Your familiar's death doesn't affect any spells you have already prepared.</t>
      </text>
    </comment>
    <comment authorId="0" ref="I37">
      <text>
        <t xml:space="preserve">Deny Advantage
Level 3
As someone who takes advantage of others’ defenses, you are careful not to leave such openings yourself. You aren’t flat-footed to hidden, undetected, or flanking creatures of your level or lower, or creatures of your level or lower using surprise attack. However, they can still help their allies flank.</t>
      </text>
    </comment>
    <comment authorId="0" ref="K37">
      <text>
        <t xml:space="preserve">Weapon Tricks
Level 5
You have become thoroughly familiar with the tools of your trade. You gain expert proficiency in simple weapons and unarmed attacks, as well as the rapier, sap, shortbow, and shortsword. When you critically succeed at an attack roll against a flat-footed creature while using an agile or finesse simple weapon or any of the listed weapons, you apply the critical specialization effect for the weapon you’re wielding.</t>
      </text>
    </comment>
    <comment authorId="0" ref="U111">
      <text>
        <t xml:space="preserve">Your proficiency ranks for divine spell attack rolls and spell DCs increase to master</t>
      </text>
    </comment>
    <comment authorId="0" ref="W144">
      <text>
        <t xml:space="preserve">Extreme Curse
Level 17
You have mastered a perilous balance between the conflicting divine powers of your mystery, gaining the power to change your fate, but straining both body and soul. When you cast a revelation spell while affected by your major curse, your curse intensifies to an extreme effect instead of overwhelming you. All mysteries share the same effects for their extreme curse.
When affected by your extreme curse, you become doomed 2 (or increase your doomed condition by 2 if you were already doomed). Once every 10 minutes, when you fail an attack roll, skill or Perception check, or saving throw, you can reroll it and use the second result. The reroll has the fortune trait and doesn't require you to spend an action, meaning you can use the reroll even if you can't act. These effects are in addition to all the effects of your major curse, and they can't be removed by any means until you Refocus to reduce your curse to its minor effect.
If you cast a revelation spell while under the effects of this extreme curse, you are overwhelmed by your curse, and you remain doomed 2 even if you Refocus. Additionally, if you spend at least 3 Focus Points before you again Refocus, you recover 3 Focus Points when you Refocus instead of 1.</t>
      </text>
    </comment>
    <comment authorId="0" ref="F62">
      <text>
        <t xml:space="preserve">optional armor enhancements and boosts</t>
      </text>
    </comment>
    <comment authorId="0" ref="Y144">
      <text>
        <t xml:space="preserve">Oracular Clarity
Level 19
You now fully grasp the nature of the divine power behind your mystery, allowing you to work magic akin to miracles. Add two common 10th-level divine spells to your repertoire. You gain a single 10th-level spell slot you can use to cast one of those two spells using oracle spellcasting. You don't gain more 10th-level spells as you level up, unlike other spell slots, and you can't use 10th-level slots with abilities that give you more spell slots or that let you cast spells without expending spell slots. You can take the Oracular Providence feat to gain a second slot.</t>
      </text>
    </comment>
    <comment authorId="0" ref="O37">
      <text>
        <t xml:space="preserve">Debilitating Strikes
Level 9
When taking advantage of an opening, you both hinder and harm your foe. You gain the Debilitating Strike free action.
Debilitating Strike
Free Action
Rogue
Trigger Your Strike hits a flat-footed creature and deals damage.
You apply one of the following debilitations, which lasts until the end of your next turn.
Debilitation The target takes a –10-foot status penalty to its Speeds.
Debilitation The target becomes enfeebled 1.</t>
      </text>
    </comment>
    <comment authorId="0" ref="W45">
      <text>
        <t xml:space="preserve">Shootist's Edge
Level 17
You make shots others find impossible. Your proficiency rank for your gunslinger class DC increases to master. When using a ranged weapon in which you have master or greater proficiency, you ignore the penalty for attacking within the weapon's second and third range increments.</t>
      </text>
    </comment>
    <comment authorId="0" ref="Y111">
      <text>
        <t xml:space="preserve">Miraculous Spell
Level 19
You're exalted by your deity and gain truly incredible spells. You gain a single 10th-level spell slot and can prepare a spell in that slot using divine spellcasting. You can't use this spell slot for abilities that let you cast spells without expending spell slots or that give you more spell slots. You don't gain more 10th-level spells as you level up, though you can take the Maker of Miracles feat to gain a second slot.
Final Doctrine (19th): Your proficiency ranks for divine spell attack rolls and spell DCs increase to legendary.</t>
      </text>
    </comment>
    <comment authorId="0" ref="B54">
      <text>
        <t xml:space="preserve">Confident Finisher
You gain an elegant finishing attack you can make when you have panache. You gain the Confident Finisher action.
Confident Finisher
Single Action
FinisherSwashbuckler
You make an incredibly graceful attack, piercing your foe's defenses. Make a Strike with a weapon or unarmed attack that would apply your precise strike damage, with the following failure effect.
Failure You deal half your precise strike damage to the target. This damage type is that of the weapon or unarmed attack you used for the Strike.</t>
      </text>
    </comment>
    <comment authorId="0" ref="C54">
      <text>
        <t xml:space="preserve">Precise Strike
You strike with flair. When you have panache and you Strike with an agile or finesse melee weapon or agile or finesse unarmed attack, you deal 2 additional precision damage. If the strike is part of a finisher, the additional damage is 2d6 precision damage instead.
As your swashbuckler level increases, so does your additional damage for precise strike. Increase the amount of additional damage on a Strike and the number of additional dice on a finisher by one at 5th, 9th, 13th, and 17th levels.</t>
      </text>
    </comment>
    <comment authorId="0" ref="U37">
      <text>
        <t xml:space="preserve">Double Debilitation
Level 15
Your opportunistic attacks are particularly detrimental. When you use Debilitating Strike, you can apply two debilitations simultaneously; removing one removes both.</t>
      </text>
    </comment>
    <comment authorId="0" ref="F54">
      <text>
        <t xml:space="preserve">extra damage with multiple abilities
</t>
      </text>
    </comment>
    <comment authorId="0" ref="I153">
      <text>
        <t xml:space="preserve">Signature Spells
Level 3
You’ve learned to cast some of your spells more flexibly. For each spell level you have access to, choose one spell of that level to be a signature spell. You don’t need to learn heightened versions of signature spells separately; instead, you can heighten these spells freely. If you’ve learned a signature spell at a higher level than its minimum, you can also cast all its lower-level versions without learning those separately. If you swap out a signature spell, you can choose a replacement signature spell of the same spell level at which you learned the previous spell. You can also retrain specifically to change a signature spell to a different spell of that level without swapping any spells; this takes as much time as retraining a spell normally does.</t>
      </text>
    </comment>
    <comment authorId="0" ref="Q62">
      <text>
        <t xml:space="preserve">CS for armor innovation only</t>
      </text>
    </comment>
    <comment authorId="0" ref="D145">
      <text>
        <t xml:space="preserve">Mystery
An oracle wields divine power, but not from a single divine being. This power could come from a potent concept or ideal, the attention of multiple divine entities whose areas of concern all touch on that subject, or a direct and dangerous conduit to raw divine power. This is the oracle's mystery, a source of divine magic not beholden to any deity.
Choose the mystery that empowers your magic. Your mystery grants you special spells called revelation spells and might later grant you divine domain spells. It dictates the effects of your oracular curse, adds an additional cantrip to your repertoire, and gives you one or more trained skills. Drawing insight and power from the collective divine influences that fuel your magic also provides you with a special benefit</t>
      </text>
    </comment>
    <comment authorId="0" ref="Y37">
      <text>
        <t xml:space="preserve">Master Strike
Level 19
You can incapacitate an unwary foe with a single strike. Your proficiency rank for your rogue class DC increases to master. You gain the Master Strike free action.
Master Strike
Free Action
IncapacitationRogue
Trigger Your Strike hits a flat-footed creature and deals damage.
The target attempts a Fortitude save at your class DC. It then becomes temporarily immune to your Master Strike for 1 day.
Critical Success The target is unaffected.
Success The target is enfeebled 2 until the end of your next turn.
Failure The target is paralyzed for 4 rounds.
Critical Failure The target is paralyzed for 4 rounds, knocked unconscious for 2 hours, or killed (your choice).</t>
      </text>
    </comment>
    <comment authorId="0" ref="B104">
      <text>
        <t xml:space="preserve">Arcane Bond
You place some of your magical power in a bonded item. Each day when you prepare your spells, you can designate a single item you own as your bonded item. This is typically an item associated with spellcasting, such as a wand, ring, or staff, but you are free to designate a weapon or other item. You gain the Drain Bonded Item free action.
Drain Bonded Item
Free Action
ArcaneWizard
Frequency once per day
You expend the power stored in your bonded item. During your turn, you gain the ability to cast one spell you prepared today and already cast, without spending a spell slot. You must still Cast the Spell and meet the spell’s other requirements.</t>
      </text>
    </comment>
    <comment authorId="0" ref="F137">
      <text>
        <t xml:space="preserve">Trained in simple weapons
Trained in the longsword, rapier, sap, shortbow, shortsword, and whip</t>
      </text>
    </comment>
    <comment authorId="0" ref="F104">
      <text>
        <t xml:space="preserve">Trained in the club, crossbow, dagger, heavy crossbow, and staff
Trained in unarmed attacks</t>
      </text>
    </comment>
    <comment authorId="0" ref="Y153">
      <text>
        <t xml:space="preserve">Bloodline Paragon
Level 19
You have perfected the magic in your bloodline. Add two common 10th-level spells of your tradition to your repertoire. You gain a single 10th-level spell slot you can use to cast these spells, using sorcerer spellcasting. Unlike other spell slots, you don’t gain more 10th-level spells as you level up, and they can’t be used for abilities that let you cast spells without expending spell slots or abilities that give you more spell slots. You can take the Bloodline Perfection sorcerer feat to gain a second slot.</t>
      </text>
    </comment>
    <comment authorId="0" ref="B162">
      <text>
        <t xml:space="preserve">Note that Eidolons have variable stats but are mostly STR/DEX based with some exceptions</t>
      </text>
    </comment>
    <comment authorId="0" ref="C162">
      <text>
        <t xml:space="preserve">Eidolon
You have a connection with a powerful and usually otherworldly entity called an eidolon, and you can use your life force as a conduit to manifest this ephemeral entity into the mortal world. Magic also flows through this conduit from your eidolon into you, so your eidolon determines the type of spells you cast and the spell list you choose from (as described in Summoner Spellcasting below). Choose a type of eidolon from the options starting on page 59 and other eidolons you have access to. When you choose your eidolon, you also determine its appearance and general form, within the parameters for that particular type of eidolon. Once you establish your eidolon's type and general appearance, these features can't be changed later, except by selecting special evolution feats that can cause your eidolon to develop new features. Your magical connection with your eidolon takes the form of a sigil on each of your bodies. As long as your eidolon is manifested, the sigil glows with light and can't be covered or disguised via any means; it will shine through clothing, appear over cloaks, and remain unaffected by obfuscating magic. This, combined with the way that the two of you clearly act in tandem, makes it readily apparent to an intelligent observer that the two of you are connected in some way, even if the person has never encountered a summoner before. You bring your eidolon into reality with the Manifest Eidolon action.</t>
      </text>
    </comment>
    <comment authorId="0" ref="I162">
      <text>
        <t xml:space="preserve">Unlimited Signature Spells
Level 3
All of your spells are signature spells. That means that if you know a spell, you can heighten it freely by casting it from a higher-level spell slot, up to the maximum level of spell you can cast. You can similarly cast any of its lower-level versions without learning them separately.</t>
      </text>
    </comment>
    <comment authorId="0" ref="M162">
      <text>
        <t xml:space="preserve">Eidolon Symbiosis
Level 7
Your connection with your eidolon strengthens, granting your eidolon access to a new ability depending on its type, as described in Eidolon Abilities in each eidolon's entry.</t>
      </text>
    </comment>
    <comment authorId="0" ref="K30">
      <text>
        <t xml:space="preserve">Trackless Step
Level 5
When you move through natural terrains, you are difficult to track. You always gain the benefits of the Cover Tracks action in such terrains, without moving at half your Speed.</t>
      </text>
    </comment>
    <comment authorId="0" ref="B146">
      <text>
        <t xml:space="preserve">Oracular Curse
Drawing on multiple disparate sources of power inevitably places an incredible stress on your body, manifesting as a supernatural curse. The more revelation spells you cast, the worse the effects of your curse, but these increasingly conflicting energies can also provide you with divine benefits.
The specific effects of your curse are tied to your mystery, but all curses follow the same progression. A curse continually gives you a mild but constant reminder that you carry otherworldly power. As you cast revelation spells, your curse intensifies, first to a minor effect and then to a moderate effect.
Your curse progresses to its minor stage the first time you finish casting a revelation spell after your daily preparations. Once your minor curse has manifested, it remains in effect until you rest for 8 hours and again make your daily preparations. If you cast a revelation spell while your minor curse is in effect, you progress to the moderate curse effect immediately after you finish Casting the Spell. The minor effect continues to affect you, though some moderate curse effects might alter the specifics of your minor curse. At higher levels, you can cast more revelation spells, progressing your curse to its major stage and then an extreme stage; these stronger curses are cumulative with the effects of the lower stages and can alter them. When you Refocus while under the effects of your moderate or stronger curse, you reduce your curse's severity to minor in addition to regaining a Focus Point.
Drawing upon your mystery's power while your curse is at its worst causes an irreconcilable conflict between you and the sources of your power. Immediately after casting a revelation spell while under the moderate effect of your curse, you are overwhelmed. While overwhelmed, you can't Cast or Sustain any revelation spells— you effectively lose access to those spells. You can still Refocus to reduce the effects of your curse and regain a Focus Point, but doing so doesn't allow you to cast further revelation spells. These effects last until you rest for 8 hours and make your daily preparations, at which point your curse returns to its basic state. At higher levels, you can grow to withstand your curse's major and even extreme effects, enabling you to cast more revelation spells without becoming overwhelmed.
Your curse has the curse, divine, and necromancy traits. You can't mitigate, reduce, or remove the effects of your oracular curse by any means other than Refocusing and resting for 8 hours. For example, if your curse makes creatures concealed from you, you can't negate that concealed condition through a magic item or spell, such as true strike (though you would still benefit from the other effects of that item or spell). Likewise, remove curse and similar spells don't affect your curse at all.</t>
      </text>
    </comment>
    <comment authorId="0" ref="O30">
      <text>
        <t xml:space="preserve">Nature's Edge
Level 9
You always find the weak points in your foes' defenses when they're on unfavorable terrain. Enemies are flat-footed to you if they're in natural difficult terrain or in difficult terrain resulting from a snare</t>
      </text>
    </comment>
    <comment authorId="0" ref="Q30">
      <text>
        <t xml:space="preserve">Wild Stride
Level 11
You move quickly through obstacles, whether they’re tumbled stone, tangled undergrowth, or sucking mud. You can ignore the effects of non-magical difficult terrain. As normal for ignoring difficult terrain, this also lets you treat the hindrances of greater difficult terrain as those of difficult terrain.</t>
      </text>
    </comment>
    <comment authorId="0" ref="B47">
      <text>
        <t xml:space="preserve">Singular Expertise
You have particular expertise with guns and crossbows that grants you greater proficiency with them and the ability to deal more damage. You gain a +1 circumstance bonus to damage rolls with firearms and crossbows.
This intense focus on firearms and crossbows prevents you from reaching the same heights with other weapons. Your proficiency with unarmed attacks and with weapons other than firearms and crossbows can't be higher than trained, even if you gain an ability that would increase your proficiency in one or more other weapons to match your highest weapon proficiency (such as the weapon expertise feats many ancestries have). If you have gunslinger weapon mastery, the limit is expert, and if you have gunslinging legend, the limit is master.</t>
      </text>
    </comment>
    <comment authorId="0" ref="W162">
      <text>
        <t xml:space="preserve">Eidolon Transcendence
Level 17
Your connection with your eidolon approaches its peak, granting your eidolon access to a powerful new ability depending on its type, as described in Eidolon Abilities in each eidolon's entry. This ability also increases one of the eidolon's ability scores by 2.</t>
      </text>
    </comment>
    <comment authorId="0" ref="G113">
      <text>
        <t xml:space="preserve">You’re trained in light and medium armor, and you have expert proficiency in Fortitude saves. You gain the Shield Block general feat, a reaction to reduce damage with a shield. If your deity’s weapon is simple, you gain the Deadly Simplicity cleric feat. At 13th level, if you gain the divine defense class feature, you also gain expert proficiency in light and medium armor.</t>
      </text>
    </comment>
    <comment authorId="0" ref="F47">
      <text>
        <t xml:space="preserve">STARTS AS:
Trained in S/M
Expert in S/M Firearms
Trained in A Firearms
AND +1 circ bonus for all firearm/crossbow damage
LIMITATION:
all weapons other than firearms/crossbows must be one proficiency lower even if other feats or archetypes might increase it normally</t>
      </text>
    </comment>
    <comment authorId="0" ref="Y162">
      <text>
        <t xml:space="preserve">Instant Manifestation
Level 19
You can manifest your eidolon with incredible speed. You can use Manifest Eidolon as a single action, instead of a three-action activity</t>
      </text>
    </comment>
    <comment authorId="0" ref="I113">
      <text>
        <t xml:space="preserve">You’re trained in martial weapons.</t>
      </text>
    </comment>
    <comment authorId="0" ref="W30">
      <text>
        <t xml:space="preserve">Masterful Hunter
Level 17
You have honed your abilities as a hunter to incredible levels. Your proficiency rank for your ranger class DC increases to master. When using a ranged weapon that you have master proficiency in, you can ignore the penalty if attacking your hunted prey within the weapon’s second and third range increments.
If you have master proficiency in Perception, you gain a +4 circumstance bonus to Perception checks when you Seek your prey, and if you have master proficiency in Survival, you gain a +4 circumstance bonus to Survival checks when you Track your prey. You also gain an additional benefit depending on your hunter’s edge.</t>
      </text>
    </comment>
    <comment authorId="0" ref="Y30">
      <text>
        <t xml:space="preserve">Second Skin
Level 19
Your armor has become akin to a second skin for you. Your proficiency ranks for light armor, medium armor, and unarmored defense increase to master. When wearing light or medium armor, you can rest normally, rather than receiving poor rest that leaves you fatigued.
Swift Prey
Level 19
You size up your prey with only a glance. You can use Hunt Prey as a free action if it’s your first action of your turn.</t>
      </text>
    </comment>
    <comment authorId="0" ref="B39">
      <text>
        <t xml:space="preserve">Sneak Attack
When your enemy can’t properly defend itself, you take advantage to deal extra damage. If you Strike a creature that has the flat-footed condition with an agile or finesse melee weapon, an agile or finesse unarmed attack, or a ranged weapon attack, you deal an extra 1d6 precision damage. For a ranged attack with a thrown melee weapon, that weapon must also be agile or finesse.
As your rogue level increases, so does the number of damage dice for your sneak attack. Increase the number of dice by one at 5th, 11th, and 17th levels.</t>
      </text>
    </comment>
    <comment authorId="0" ref="C39">
      <text>
        <t xml:space="preserve">Surprise Attack
You spring into combat faster than foes can react. On the first round of combat, if you roll Deception or Stealth for initiative, creatures that haven’t acted are flat-footed to you.</t>
      </text>
    </comment>
    <comment authorId="0" ref="K47">
      <text>
        <t xml:space="preserve">CS* for firearms and crossbows only</t>
      </text>
    </comment>
    <comment authorId="0" ref="M113">
      <text>
        <t xml:space="preserve">You gain expert proficiency with your deity’s favored weapon. When you critically succeed at an attack roll using that weapon, you apply the weapon’s critical specialization effect; use your divine spell DC if necessary.</t>
      </text>
    </comment>
    <comment authorId="0" ref="F39">
      <text>
        <t xml:space="preserve">Trained in Simple plus the rapier, sap,
shortbow, and shortsword
extra damage with Sneak attacks and abilities</t>
      </text>
    </comment>
    <comment authorId="0" ref="Q113">
      <text>
        <t xml:space="preserve"> Your proficiency ranks for divine spell attack rolls and spell DCs increase to expert.</t>
      </text>
    </comment>
    <comment authorId="0" ref="C163">
      <text>
        <t xml:space="preserve">Evolution Feat
Evolution feats are a special type of summoner class feat that allow you to customize your eidolon through your shared link. You gain an evolution feat for your eidolon at 1st level, representing the differences that make it unique from other eidolons of its type. If you retrain this feat, the feat you replace it with must also be an evolution feat.</t>
      </text>
    </comment>
    <comment authorId="0" ref="K39">
      <text>
        <t xml:space="preserve">CS is circumstantial</t>
      </text>
    </comment>
    <comment authorId="0" ref="U113">
      <text>
        <t xml:space="preserve">Your proficiency rank for Fortitude saves increases to master. When you roll a success at a Fortitude save, you get a critical success instead.</t>
      </text>
    </comment>
    <comment authorId="0" ref="B155">
      <text>
        <t xml:space="preserve">Blood Magic Whenever you cast a bloodline spell using Focus Points or a granted spell from your bloodline using a spell slot, you gain a blood magic effect. If the blood magic offers a choice, make it before resolving the spell. The blood magic effect occurs after resolving any checks for the spell's initial effects and, against a foe, applies only if the spell is a successful attack or the foe fails its saving throw. If the spell has an area, you must designate yourself or one target in the area when you cast the spell to be the target of the blood magic effect. All references to spell level refer to the level of the spell you cast.</t>
      </text>
    </comment>
    <comment authorId="0" ref="Y113">
      <text>
        <t xml:space="preserve">Miraculous Spell
Level 19
You're exalted by your deity and gain truly incredible spells. You gain a single 10th-level spell slot and can prepare a spell in that slot using divine spellcasting. You can't use this spell slot for abilities that let you cast spells without expending spell slots or that give you more spell slots. You don't gain more 10th-level spells as you level up, though you can take the Maker of Miracles feat to gain a second slot.
Final Doctrine (19th): Your proficiency ranks for divine spell attack rolls and spell DCs increase to master</t>
      </text>
    </comment>
    <comment authorId="0" ref="C122">
      <text>
        <t xml:space="preserve">Divine Font
Through your deity's blessing, you gain additional spells that channel either the life force called positive energy or its counterforce, negative energy. When you prepare your spells each day, you can prepare additional heal or harm spells, depending on your deity. The divine font spell your deity provides is listed in the Divine Font entry for your deity; if both are listed, you can choose between heal or harm. Once you choose, you can't change your choice short of an ethical shift or divine intervention.
Healing Font: You gain additional spell slots each day at your highest level of cleric spell slots. You can prepare only heal spells in these slots, and the number of slots is equal to 1 plus your Charisma modifier.
Harmful Font: You gain additional spell slots each day at your highest level of cleric spell slots. You can prepare only harm spells in these slots, and the number of slots is equal to 1 plus your Charisma modifier.</t>
      </text>
    </comment>
    <comment authorId="0" ref="I23">
      <text>
        <t xml:space="preserve">Incredible Movement
Level 3
You move like the wind. You gain a +10-foot status bonus to your Speed whenever you’re not wearing armor. The bonus increases by 5 feet for every 4 levels you have beyond 3rd
Mystic Strikes
Level 3
Focusing your will into your physical attacks imbues them with mystical energy. Your unarmed attacks become magical, allowing them to get past resistances to non-magical attacks. However, you still need an item such as handwraps of mighty blows to gain an item bonus to attack rolls or increase your attacks' weapon damage dice.</t>
      </text>
    </comment>
    <comment authorId="0" ref="M23">
      <text>
        <t xml:space="preserve">Path to Perfection
Level 7
You have progressed along your own path to enlightenment. Choose your Fortitude, Reflex, or Will saving throw. Your proficiency rank for the chosen saving throw increases to master. When you roll a success on the chosen saving throw, you get a critical success instead.</t>
      </text>
    </comment>
    <comment authorId="0" ref="O23">
      <text>
        <t xml:space="preserve">Metal Strikes
Level 9
You can adjust your body to make unarmed attacks infused with the mystic energy of rare metals. Your unarmed attacks are treated as cold iron and silver. This allows you to deal more damage to a variety of supernatural creatures, such as demons, devils, and fey.</t>
      </text>
    </comment>
    <comment authorId="0" ref="Q23">
      <text>
        <t xml:space="preserve">Second Path to Perfection
Level 11
You’ve learned to find perfection in every success. Choose a different saving throw than the one you chose for your path to perfection. Your proficiency rank for the chosen saving throw increases to master. If you roll a success with the chosen saving throw, you instead critically succeed.</t>
      </text>
    </comment>
    <comment authorId="0" ref="U23">
      <text>
        <t xml:space="preserve">Third Path to Perfection
Level 15
You have made great progress in your personal studies of enlightenment. Choose one of the saving throws you selected for path to perfection or second path to perfection. Your proficiency rank for the chosen type of save increases to legendary. When you roll a critical failure on the chosen type of save, you get a failure instead. When you roll a failure on the chosen type of save against an effect that deals damage, you take half damage.</t>
      </text>
    </comment>
    <comment authorId="0" ref="B164">
      <text>
        <t xml:space="preserve">Manifest Eidolon
Three Actions
ConcentrateConjuration
ManipulateSummonerTeleportation
Your eidolon appears in an open space adjacent to you, and can then take a single action. If your eidolon was already manifested, you unmanifest it instead.
The conduit that allows your eidolon to manifest is also a tether between you. Your eidolon must remain within 100 feet of you at all times and can't willingly go beyond that limit. If forced beyond this distance, or if you are reduced to 0 Hit Points, your eidolon's physical form dissolves: your eidolon unmanifests, and you need to use Manifest Eidolon to manifest it again.
Special This activity has the trait matching your eidolon's tradition (arcane, divine, occult, or primal).
Your eidolon is no mere minion. It doesn't have the minion or summoned trait, and the two of you work together and coordinate your actions. You and your eidolon share your actions and multiple attack penalty. Each round, you can use any of your actions (including reactions and free actions) for yourself or your eidolon.
You coordinate your actions with your eidolon more efficiently when you Act Together.</t>
      </text>
    </comment>
    <comment authorId="0" ref="C164">
      <text>
        <t xml:space="preserve">Act Together
Single ActiontoThree Actions
SummonerTandem
Frequency once per round
You and your eidolon act as one. Either you or your eidolon takes an action or activity using the same number of actions as Act Together, and the other takes a single action. For example, if you spent 2 actions to Act Together, you could cast burning hands (2 actions) and your eidolon could Strike (1 action), or your eidolon could use its Breath Weapon (2 actions) and you could Stride (1 action).
This lets you each use separate exploration activities like Avoid Notice as you travel.
Your connection with your eidolon allows you to communicate with it telepathically at all times, even when it isn't manifested. You also gain the Share Senses action.</t>
      </text>
    </comment>
    <comment authorId="0" ref="W23">
      <text>
        <t xml:space="preserve">Adamantine Strikes
Level 17
When you focus your will into your limbs, your blows are as unyielding as the hardest of metals. Your unarmed attacks are treated as adamantine.</t>
      </text>
    </comment>
    <comment authorId="0" ref="D164">
      <text>
        <t xml:space="preserve">Share Senses
Single Action
ConcentrateDivinationScryingSummoner
Requirements Your eidolon is manifested.
You project your senses into your eidolon, allowing you to perceive through it. When you do, you lose all sensory information from your own body, but can sense through your eidolon's body for up to 1 minute. You can Dismiss this effect.
Special This action has the trait matching your eidolon's tradition (arcane, divine, occult, or primal). Your eidolon can also use this ability. When it does, it projects its senses into your body.
Lastly, the connection between you and your eidolon means you both share a single pool of Hit Points. Damage taken by either you or the eidolon reduces your Hit Points, while healing either of you recovers your Hit Points. Like with your actions, if you and your eidolon are both subject to the same effect that affects your Hit Points, you apply those effects only once (applying the greater effect, if applicable). For instance, if you and your eidolon get caught in an area effect that would heal or damage you both, only the greater amount of healing or damage applies.</t>
      </text>
    </comment>
    <comment authorId="0" ref="Y23">
      <text>
        <t xml:space="preserve">Perfected Form
Level 19
You have purged incompetence from your techniques. On your first Strike of your turn, if you roll lower than 10, you can treat the attack roll as a 10. This is a fortune effect.</t>
      </text>
    </comment>
    <comment authorId="0" ref="B32">
      <text>
        <t xml:space="preserve">Hunt Prey
Single Action
ConcentrateRanger
You designate a single creature as your prey and focus your attacks against that creature. You must be able to see or hear the prey, or you must be tracking the prey during exploration.
You gain a +2 circumstance bonus to Perception checks when you Seek your prey and a +2 circumstance bonus to Survival checks when you Track your prey. You also ignore the penalty for making ranged attacks within your second range increment against the prey you’re hunting.
You can have only one creature designated as your prey at a time. If you use Hunt Prey against a creature when you already have a creature designated, the prior creature loses the designation and the new prey gains the designation. Your designation lasts until your next daily preparations.</t>
      </text>
    </comment>
    <comment authorId="0" ref="F32">
      <text>
        <t xml:space="preserve">MAP lowered and bonuses for subclass</t>
      </text>
    </comment>
    <comment authorId="0" ref="B115">
      <text>
        <t xml:space="preserve">Deity
As a cleric, you are a mortal servitor of a deity you revere above all others. The most common deities in Pathfinder are found here, along with their alignments, areas of concern, and the benefits you get for being a cleric of that deity. Your alignment must be one allowed by your deity, as listed in their entry. Your deity grants you the trained proficiency rank in one skill and with the deity's favored weapon. If the favored weapon is uncommon, you also get access to that weapon.
Your deity also adds spells to your spell list. You can prepare these just like you can any spell on the divine spell list, once you can prepare spells of their level as a cleric. Some of these spells aren't normally on the divine list, but they're divine spells if you prepare them this way.</t>
      </text>
    </comment>
    <comment authorId="0" ref="F115">
      <text>
        <t xml:space="preserve">Trained in simple weapons
Trained in the favored weapon of your deity. If your deity’s favored weapon is uncommon, you also gain access to that weapon.</t>
      </text>
    </comment>
    <comment authorId="0" ref="I16">
      <text>
        <t xml:space="preserve">Bravery
Level 3
Having faced countless foes and the chaos of battle, you have learned how to stand strong in the face of fear and keep on fighting. Your proficiency rank for Will saves increases to expert. When you roll a success at a Will save against a fear effect, you get a critical success instead. In addition, anytime you gain the frightened condition, reduce its value by 1.</t>
      </text>
    </comment>
    <comment authorId="0" ref="K16">
      <text>
        <t xml:space="preserve">Fighter Weapon Mastery
Level 5
Hours spent training with your preferred weapons, learning and developing new combat techniques, have made you particularly effective with your weapons of choice. Choose one weapon group. Your proficiency rank increases to master with the simple weapons, martial weapons, and unarmed attacks in that group, and to expert with the advanced weapons in that group. You gain access to the critical specialization effects of all weapons and unarmed attacks for which you have master proficiency.</t>
      </text>
    </comment>
    <comment authorId="0" ref="M16">
      <text>
        <t xml:space="preserve">Battlefield Surveyor
Level 7
Whether taking stock of an enemy army or simply standing guard, you excel at observing your foes. Your proficiency rank for Perception increases to master. In addition, you gain a +2 circumstance bonus to Perception checks for initiative, making you faster to react during combat.</t>
      </text>
    </comment>
    <comment authorId="0" ref="Q115">
      <text>
        <t xml:space="preserve">Expert in Deity weapon only, CS for that weapon only</t>
      </text>
    </comment>
    <comment authorId="0" ref="O16">
      <text>
        <t xml:space="preserve">Combat Flexibility
Level 9
Through your experience in battle, you can prepare your tactics to suit different situations. When you make your daily preparations, you gain one fighter feat of 8th level or lower that you don’t already have. You can use that feat until your next daily preparations. You must meet all of the feat’s other prerequisites.</t>
      </text>
    </comment>
    <comment authorId="0" ref="Q16">
      <text>
        <t xml:space="preserve">Armor Expertise
Level 7
You have spent so much time in armor that you know how to make the most of its protection. Your proficiency ranks for light, medium, and heavy armor, as well as for unarmored defense, increase to expert. You gain the armor specialization effects of medium and heavy armor</t>
      </text>
    </comment>
    <comment authorId="0" ref="C66">
      <text>
        <t xml:space="preserve">On the Case
As an investigator, you think of your adventures as cases waiting to be solved. You gain one activity and one reaction you can use to investigate cases: Pursue a Lead and Clue In.
Pursue a Lead
ConcentrateExplorationInvestigator
Frequency once per 10 minutes
You spend 1 minute examining the details of one potential clue, designating the subject related to that clue as the target of your active investigation. This subject is typically a single creature, item, or small location (such as a room or corridor), but the GM might allow a different scope for your investigation. You don't need to know the identity, purpose, or nature of the subject, but you do need to be aware of its existence. For instance, finding a footprint is enough to investigate the creature that left it, and seeing a hasty sketch of an item or location can be enough to start your investigation of that subject.
Whenever you attempt a Perception or skill check to investigate a designated subject, you gain a +1 circumstance bonus to the check. The exact checks this applies to depend on the actions you use to investigate and are determined by the GM, but checks to investigate are typically Perception checks or skill checks that use Intelligence, Wisdom, or Charisma.
You can maintain two active investigations at a time. If you Pursue another Lead after that, the subject must be different from any of your current investigations (or rather, they must be different as far as you know), and you give up on a current subject of your choice. Once you've given up pursuit of a subject, you can't Pursue that Lead again until after the next time you make your daily preparations.</t>
      </text>
    </comment>
    <comment authorId="0" ref="D66">
      <text>
        <t xml:space="preserve">Clue In
Reaction
ConcentrateInvestigator
Frequency once per 10 minutes
Trigger Another creature attempts a check to investigate a lead you're pursuing.
You share information with the triggering creature. They gain a circumstance bonus to their check equal to your circumstance bonus to checks investigating your subject from Pursue a Lead. The GM can add any relevant traits to this reaction depending on the situation, such as auditory and linguistic if you're conveying information verbally.</t>
      </text>
    </comment>
    <comment authorId="0" ref="S16">
      <text>
        <t xml:space="preserve">Weapon Legend
Level 13
You've learned fighting techniques that apply to all armaments, and you've developed unparalleled skill with your favorite weapons. Your proficiency ranks for simple weapons, martial weapons, and unarmed attacks increase to master. Your proficiency rank for advanced weapons increases to expert.
You can select one weapon group and increase your proficiency ranks to legendary for all simple weapons, martial weapons, and unarmed attacks in that weapon group, and to master for all advanced weapons in that weapon group.</t>
      </text>
    </comment>
    <comment authorId="0" ref="U16">
      <text>
        <t xml:space="preserve">Improved Flexibility
Level 15
Your extensive experience gives you even greater ability to adapt to each day’s challenges. When you use combat flexibility, you can gain two fighter feats instead of one. While the first feat must still be 8th level or lower, the second feat can be up to 14th level, and you can use the first feat to meet the prerequisites of the second feat. You must meet all of the feats’ prerequisites.</t>
      </text>
    </comment>
    <comment authorId="0" ref="I66">
      <text>
        <t xml:space="preserve">Keen Recollection
Level 3
You can recall pertinent facts on topics that aren't your specialty. Your proficiency bonus to untrained skill checks to Recall Knowledge is equal to your level instead of +0.
Skillful Lessons
Level 3
At 3rd level and every odd-numbered level thereafter, you gain a skill feat. This feat must be for an Intelligence-, Wisdom-, or Charisma-based skill, or for the skill you gained from your methodology.</t>
      </text>
    </comment>
    <comment authorId="0" ref="Y16">
      <text>
        <t xml:space="preserve">Versatile Legend
Level 19
You are nigh-unmatched with any weapon. Your proficiency ranks for simple weapons, martial weapons, and unarmed attacks increase to legendary, and your proficiency rank for advanced weapons increases to master. Your proficiency rank for your fighter class DC increases to master.</t>
      </text>
    </comment>
    <comment authorId="0" ref="B25">
      <text>
        <t xml:space="preserve">Flurry of Blows
Single Action
FlourishMonk
Make two unarmed Strikes. If both hit the same creature, combine their damage for the purpose of resistances and weaknesses. Apply your multiple attack penalty to the Strikes normally. As it has the flourish trait, you can use Flurry of Blows only once per turn.</t>
      </text>
    </comment>
    <comment authorId="0" ref="E124">
      <text>
        <t xml:space="preserve">includes font+</t>
      </text>
    </comment>
    <comment authorId="0" ref="C25">
      <text>
        <t xml:space="preserve">Powerful Fist
You know how to wield your fists as deadly weapons. The damage die for your fist increases to 1d6 instead of 1d4. Most people take a –2 circumstance penalty when making a lethal attack with nonlethal unarmed attacks, because they find it hard to use their fists with deadly force. You don't take this penalty when making a lethal attack with your fist or any other unarmed attacks</t>
      </text>
    </comment>
    <comment authorId="0" ref="G124">
      <text>
        <t xml:space="preserve">add includes one heal/harm spell, add slots for more equal to CHA
</t>
      </text>
    </comment>
    <comment authorId="0" ref="F25">
      <text>
        <t xml:space="preserve">Powerful Fist
You know how to wield your fists as deadly weapons. The damage die for your fist increases to 1d6 instead of 1d4. Most people take a –2 circumstance penalty when making a lethal attack with nonlethal unarmed attacks, because they find it hard to use their fists with deadly force. You don't take this penalty when making a lethal attack with your fist or any other unarmed attacks</t>
      </text>
    </comment>
    <comment authorId="0" ref="O66">
      <text>
        <t xml:space="preserve">Investigator Expertise
Level 9
You've refined your investigative techniques to an exceptional degree. Your circumstance bonus from Pursue a Lead increases to +2. Your proficiency rank for your investigator class DC increases to expert.</t>
      </text>
    </comment>
    <comment authorId="0" ref="Q66">
      <text>
        <t xml:space="preserve">Deductive Improvisation
Level 11
You use your skills at deduction to perform whatever task is necessary to solve the case. You can attempt any check that requires you to be trained in a skill, even if you're untrained in it; you can attempt any check that requires you to have expert proficiency in a skill so long as you're trained in it; and you can attempt any check that requires you to have master proficiency in a skill as long as you have expert proficiency in it.</t>
      </text>
    </comment>
    <comment authorId="0" ref="F116">
      <text>
        <t xml:space="preserve">Trained in simple weapons
Trained in the favored weapon of your deity. If your deity’s favored weapon is uncommon, you also gain access to that weapon.</t>
      </text>
    </comment>
    <comment authorId="0" ref="I116">
      <text>
        <t xml:space="preserve">trained in martial weapons now</t>
      </text>
    </comment>
    <comment authorId="0" ref="Y66">
      <text>
        <t xml:space="preserve">Master Detective
Level 19
As a master detective, you can solve any case and find all the clues available. If you're pursuing the subject of a lead and you enter a new location that includes another clue toward solving the mystery, the GM informs you of the existence of the clue and its type: an object, person, spell effect, or the like. When you find the clue, the GM informs you that you've done so. If there is more than one clue in the location, the GM chooses one to inform you about. When you find any of the clues in that location, the GM informs you that you've done so, even if it wasn't the clue they'd chosen or there are other clues you haven't found. Your proficiency rank for your investigator class DC increases to master.</t>
      </text>
    </comment>
    <comment authorId="0" ref="C75">
      <text>
        <t xml:space="preserve">Alchemy
You understand the complex interactions of natural and unnatural substances and can concoct alchemical items to meet your needs. You can do this using normal reagents and the Craft activity, or you can use special infused reagents that allow you to craft temporary items quickly and at no cost. Over time, you can create more and more alchemical items for free, and since each of them becomes more and more powerful, you advance in power dramatically, leaving behind those who don't understand your strange science.
You gain the Alchemical Crafting feat, even if you don't meet that feat's prerequisites, and you gain the four common 1st-level alchemical formulas granted by that feat. Alchemical Items can be found here. You can use this feat to create alchemical items as long as you have the items' formulas in your formula book.
Infused Reagents
You infuse reagents with your own alchemical essence, allowing you to create alchemical items at no cost. Each day during your daily preparations, you gain a number of batches of infused reagents equal to your level + your Intelligence modifier. You can use these reagents for either advanced alchemy or Quick Alchemy, described below. Together, these infused reagents have light Bulk.
As soon as you make your next daily preparations, your infused reagents from the previous day's preparations are instantly destroyed, and nonpermanent effects of your previous day's infused items immediately end. While infused reagents are physical objects, they can't be duplicated, preserved, or created in any way other than your daily preparations. Any such artificial reagents lack the infusion and are useless for advanced alchemy or Quick Alchemy.
Advanced Alchemy
During your daily preparations, after producing new infused reagents, you can spend batches of those infused reagents to create infused alchemical items. You don't need to attempt a Crafting check to do this, and you ignore both the number of days typically required to create the items and any alchemical reagent requirements. Your advanced alchemy level is equal to your level. For each batch of infused reagents you spend, choose an alchemical item of your advanced alchemy level or lower that's in your formula book, and make a batch of two of that item. These items have the infused trait and remain potent for 24 hours or until your next daily preparations, whichever comes first.</t>
      </text>
    </comment>
    <comment authorId="0" ref="M116">
      <text>
        <t xml:space="preserve">Expert in Deity weapon only, CS for that weapon only</t>
      </text>
    </comment>
    <comment authorId="0" ref="C166">
      <text>
        <t xml:space="preserve">Gear And Your Eidolon
Your eidolon can't wear or use magic items, except for items with the eidolon trait. An eidolon can have up to two items invested. Your eidolon's link to you means it can benefit from certain magic items invested by you.
Your eidolon gains item bonuses to Perception and skills from any magical items that you have invested.
Your eidolon increases its item bonus to AC based on your armor's armor potency rune or bracers of armor. It also gains an item bonus to its saves from the resilient rune on your armor or from your bracers of armor. Other permanent items that grant or increase item bonuses to AC and saves might convey a similar benefit, as determined by the GM.
Your eidolon's Strikes benefit from the fundamental and property runes on your handwraps of mighty blows. Alternatively, you can Invest a magic weapon (even though magic weapons can't normally be Invested) to share its fundamental and property runes with your eidolon. You share these benefits only while you're holding the weapon, and you can have no more than one weapon invested in this way at a time. In either case, the eidolon gains only the benefits that can apply to its attacks, with the same limitations noted in handwraps of mighty blows.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most if not all Heritages seem to be worth 10 points, many give two skills or a skill increase and skill feat or a cantrip slot and cantrip known or something like that.</t>
      </text>
    </comment>
    <comment authorId="0" ref="M11">
      <text>
        <t xml:space="preserve">guessing
</t>
      </text>
    </comment>
    <comment authorId="0" ref="M10">
      <text>
        <t xml:space="preserve">Control Tower is a level 14 feat, thats too much</t>
      </text>
    </comment>
    <comment authorId="0" ref="G1">
      <text>
        <t xml:space="preserve">Fleet General skill adds 5 feet for 10 points, so is it 10 pts for every 5 feet or is there a baseline, perhaps 20, and its only 10 pts for every additional 5 feet?</t>
      </text>
    </comment>
    <comment authorId="0" ref="L1">
      <text>
        <t xml:space="preserve">number includes common. most (all?) also give extra languages equal to INT modifier
Multilingual skill feat gives two languages, so the assumption here is that two languages may be worth 5 pts, but it could be one language for 5 pts?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1">
      <text>
        <t xml:space="preserve">IF SUBCLASS GIVES A SKILL THAT IS ALREADY GRANTED BY THE OTHER CLASS, THEN THE TOTAL MAY BE SLIGHTLY OFF AS I DONT THINK YOU GET AN EXTRA SKILL INCREASE, YOU JUST LOSE THAT INCREASE</t>
      </text>
    </comment>
  </commentList>
</comments>
</file>

<file path=xl/sharedStrings.xml><?xml version="1.0" encoding="utf-8"?>
<sst xmlns="http://schemas.openxmlformats.org/spreadsheetml/2006/main" count="27459" uniqueCount="1941">
  <si>
    <t>BALANCED CORE SYSTEM</t>
  </si>
  <si>
    <t>https://www.reddit.com/r/OpenBCS/</t>
  </si>
  <si>
    <t>WARNING, DON'T CHANGE ANYTHING OTHER THAN POINT VALUES! DON'T RENAME COLUMN OR ROW HEADERS, YOU WILL BREAK EVERYTHING!</t>
  </si>
  <si>
    <t>PROFICIENCY</t>
  </si>
  <si>
    <t>VALUE OF PROF.</t>
  </si>
  <si>
    <t>CHANGING THESE VALUES WILL MAKE CHANGES ACROSS MANY TABS AND FORMULAS.</t>
  </si>
  <si>
    <t>Martial</t>
  </si>
  <si>
    <t>Untrained</t>
  </si>
  <si>
    <t>Martial-Skilled</t>
  </si>
  <si>
    <t>Martial-Specialist</t>
  </si>
  <si>
    <t>Trained</t>
  </si>
  <si>
    <t>Martial-Caster</t>
  </si>
  <si>
    <t>Caster-Specialist</t>
  </si>
  <si>
    <t>For Advanced Weapons (group or full), they always stay one proficiency behind Unarmed/Simple/Martial. So, if you start at Trained in Advanced Full, you MUST start at Expert in Unarmed/Simple/Martial and pay the Expert cost. If you start at Trained in Advanced Group, you MUST start at Expert in Simple Limited/Martial Limited and pay the Expert cost. (Its possible that a custom class could get Unarmed Limited group proficiency for the Brawling Group, but that would be a very rare and specific class)</t>
  </si>
  <si>
    <t>Caster</t>
  </si>
  <si>
    <t>HP</t>
  </si>
  <si>
    <t>colorcode:</t>
  </si>
  <si>
    <t>Expert</t>
  </si>
  <si>
    <t>10 (max 12)</t>
  </si>
  <si>
    <t>8 (max 10)</t>
  </si>
  <si>
    <t>Master</t>
  </si>
  <si>
    <t>8 HP</t>
  </si>
  <si>
    <t>Author: Lazarus Dark</t>
  </si>
  <si>
    <t>Legendary</t>
  </si>
  <si>
    <t>6 HP</t>
  </si>
  <si>
    <t>PerceptionExpert</t>
  </si>
  <si>
    <t>SkillIncrease</t>
  </si>
  <si>
    <t>L11</t>
  </si>
  <si>
    <t>SkillFeat</t>
  </si>
  <si>
    <t>reasonable but not totally certain</t>
  </si>
  <si>
    <t>CantripLearned</t>
  </si>
  <si>
    <t>CantripSlot</t>
  </si>
  <si>
    <t>SpellLearned</t>
  </si>
  <si>
    <t>SpellSlot</t>
  </si>
  <si>
    <t>SpellSlotS10</t>
  </si>
  <si>
    <t>AlchemicalFormula</t>
  </si>
  <si>
    <t>L01</t>
  </si>
  <si>
    <t>L13</t>
  </si>
  <si>
    <t>L09</t>
  </si>
  <si>
    <t>PerceptionMaster</t>
  </si>
  <si>
    <t>L07</t>
  </si>
  <si>
    <t>blue is total guess, needs verifying</t>
  </si>
  <si>
    <t>PerceptionLegendary</t>
  </si>
  <si>
    <t>TABLE OF CONTENTS:</t>
  </si>
  <si>
    <t>FortitudeExpert</t>
  </si>
  <si>
    <t>WeaponCS</t>
  </si>
  <si>
    <t>FortitudeMaster</t>
  </si>
  <si>
    <t>WeaponWS</t>
  </si>
  <si>
    <t>L17</t>
  </si>
  <si>
    <t>WeaponGWS</t>
  </si>
  <si>
    <t>L15</t>
  </si>
  <si>
    <t>ArmorAS</t>
  </si>
  <si>
    <t>FortitudeLegendary</t>
  </si>
  <si>
    <t>ReflexExpert</t>
  </si>
  <si>
    <t>CLASSES</t>
  </si>
  <si>
    <t>CLASS</t>
  </si>
  <si>
    <t>yellow is questionable</t>
  </si>
  <si>
    <t>ReflexMaster</t>
  </si>
  <si>
    <t>Sheet Name/Link</t>
  </si>
  <si>
    <t>KEYSCORE</t>
  </si>
  <si>
    <t>ReflexLegendary</t>
  </si>
  <si>
    <t>WillExpert</t>
  </si>
  <si>
    <t>L03</t>
  </si>
  <si>
    <t>WillMaster</t>
  </si>
  <si>
    <t>PROFILETYPE</t>
  </si>
  <si>
    <t>Champion</t>
  </si>
  <si>
    <t>WillLegendary</t>
  </si>
  <si>
    <t>WeaponRecommendation</t>
  </si>
  <si>
    <t>Simple</t>
  </si>
  <si>
    <t>WeaponExpert</t>
  </si>
  <si>
    <t>L05</t>
  </si>
  <si>
    <t>Errata</t>
  </si>
  <si>
    <t>WeaponMaster</t>
  </si>
  <si>
    <t>Sheet description</t>
  </si>
  <si>
    <t>WeaponLegendary</t>
  </si>
  <si>
    <t>ArmorRecommendation</t>
  </si>
  <si>
    <t>Medium</t>
  </si>
  <si>
    <t>Light</t>
  </si>
  <si>
    <t>Unarmored</t>
  </si>
  <si>
    <t>ArmorExpert</t>
  </si>
  <si>
    <t>ArmorMaster</t>
  </si>
  <si>
    <t>L19</t>
  </si>
  <si>
    <t>ArmorLegendary</t>
  </si>
  <si>
    <t>DCExpert</t>
  </si>
  <si>
    <t>DCMaster</t>
  </si>
  <si>
    <t>DCLegendary</t>
  </si>
  <si>
    <t>currently working on some new balancing concepts, so Druid numbers are a little off right now</t>
  </si>
  <si>
    <t>PROFICIENCYVALUES</t>
  </si>
  <si>
    <t>Profiles are not rigid, they are more like suggestions. They are not part of the reverse engineered published classes, but something created and layered on top in order to help categorize classes (very loosely) and to make new class creation streamlined by simply selecting a profile to get your new class started without having to figure out every proficiency before you begin designing a class.</t>
  </si>
  <si>
    <t>Profiles were determined through analysis on the ProfileAnalysis tab. Mostly by grouping HP, proficiencies and class commonalities</t>
  </si>
  <si>
    <t>PTS</t>
  </si>
  <si>
    <t>• MARTIAL: Standard martial classes usually start with 10 HP (all other profiles except Caster start with 8 HP) and are largely focused on high damage attacks and occasionally high defenses.</t>
  </si>
  <si>
    <t>• MARTIAL-SKILLED: The skilled martials often have Legendary Perception and Reflex in addition to extra skill increases or skill feats.</t>
  </si>
  <si>
    <t>These are the base point values of the BCS and some basic information, includes defined ranges to use in formulas throughout this document.</t>
  </si>
  <si>
    <t>• MARTIAL-SPECIALIST: These tend to specialize in one particular area such as one type of weapon or one type of fighting style.</t>
  </si>
  <si>
    <t>Monk</t>
  </si>
  <si>
    <t>• MARTIAL-CASTER: These hybrid martials and casters have bounded casting and usually have more Attack proficiency and/or Defense proficiency than full casters.</t>
  </si>
  <si>
    <t>CLASSPROFILES</t>
  </si>
  <si>
    <t>• CASTER-SPECIALIST: These full casters have a little more variance in their theme or abilities beyond just casting spells.</t>
  </si>
  <si>
    <t>• CASTER: Standard full casters have 6 HP and are more directly focused on being a powerful caster of spells.</t>
  </si>
  <si>
    <t>This is where class profile information is stored, it may be tweaked over time, these profiles are not set in stone but should also be very good starter points.</t>
  </si>
  <si>
    <t>CLASSDATA</t>
  </si>
  <si>
    <t>CLASS----&gt;</t>
  </si>
  <si>
    <t>This is where the official classes are broken down into their point values.</t>
  </si>
  <si>
    <t>LVL</t>
  </si>
  <si>
    <t>CLASSTOTALS</t>
  </si>
  <si>
    <t>SPL</t>
  </si>
  <si>
    <t>TESTCLASS</t>
  </si>
  <si>
    <t>TESTPOINTS</t>
  </si>
  <si>
    <t>Fighter</t>
  </si>
  <si>
    <t>Using filters, this sheet makes it easier to compare the values of the official classes (and even compare them to your custom class). DO NOT EDIT THIS SHEET. Only change values on the CLASSDATA sheet to see changes here.</t>
  </si>
  <si>
    <t>SPECIALCLASSDATA</t>
  </si>
  <si>
    <t>A sheet for random class data just for reference, such as class archetype values and eidolon proficiencies.</t>
  </si>
  <si>
    <t>Class-Archetype Values</t>
  </si>
  <si>
    <t>Barbarian</t>
  </si>
  <si>
    <t>This sheet shows the breakdown where the class archetype values were derived for SPECIALCLASSDATA sheet.</t>
  </si>
  <si>
    <t>MinMax for Profiles-Design Guides</t>
  </si>
  <si>
    <t>This data was used to help create the Profile system and also includes various class design guidelines based on research and analysis.</t>
  </si>
  <si>
    <t>Profile Analysis</t>
  </si>
  <si>
    <t>ChampionPoints</t>
  </si>
  <si>
    <t>This is a different way to look at the classtotals. Incomplete.</t>
  </si>
  <si>
    <t>Save Analysis</t>
  </si>
  <si>
    <t>Used to evaluate save progression across classes in detail.</t>
  </si>
  <si>
    <t>Original Save Analysis</t>
  </si>
  <si>
    <t>Ranger</t>
  </si>
  <si>
    <t>The original save evaluation, in a more condensed format which is still good for comparing saves in a different way.</t>
  </si>
  <si>
    <t>Original Classes Compared</t>
  </si>
  <si>
    <t>MonkPoints</t>
  </si>
  <si>
    <t>The earliest version of the BCS for comparing class abilities and proficiencies. It can still be useful for comparing classes in a different way.</t>
  </si>
  <si>
    <t>old CLASSTOTALS</t>
  </si>
  <si>
    <t>An earlier version of CLASSTOTALS, arranged a little differently, some may prefer this arrangement so it is left here for that reason.</t>
  </si>
  <si>
    <t>Ancestries (Incomplete)</t>
  </si>
  <si>
    <t>FighterPoints</t>
  </si>
  <si>
    <t>Incomplete</t>
  </si>
  <si>
    <t>Work-In-Progress: The BCS isn't just about Classes, its about all the core values. I have a "Core Theory" that a characters stats, including Ancestry, all make up one total character value. So it is necessary to evaluate the cost of an ancestry.</t>
  </si>
  <si>
    <t>DualClass Calculator</t>
  </si>
  <si>
    <t>(originally paid-only, now free!)</t>
  </si>
  <si>
    <t>This will allow you to see the total value of a dual class according to normal dual classing rules. You can also use this to calculate a dual class closer to 2100, though its almost impossible to get to 2100 for a dual class, at that point you are likely making more of a class-archetype than a dual class.</t>
  </si>
  <si>
    <t>Rogue</t>
  </si>
  <si>
    <t>Class Creator for mobile users</t>
  </si>
  <si>
    <t>BarbarianPoints</t>
  </si>
  <si>
    <t>Full functionality only available to BCSF Purchasers</t>
  </si>
  <si>
    <t>RangerPoints</t>
  </si>
  <si>
    <t>RoguePoints</t>
  </si>
  <si>
    <t>Investigator</t>
  </si>
  <si>
    <t>GROUP</t>
  </si>
  <si>
    <t>Proficiencies</t>
  </si>
  <si>
    <t>Initial Proficiency</t>
  </si>
  <si>
    <t>L00</t>
  </si>
  <si>
    <t>01</t>
  </si>
  <si>
    <t>02</t>
  </si>
  <si>
    <t>03</t>
  </si>
  <si>
    <t>04</t>
  </si>
  <si>
    <t>05</t>
  </si>
  <si>
    <t>06</t>
  </si>
  <si>
    <t>07</t>
  </si>
  <si>
    <t>08</t>
  </si>
  <si>
    <t>09</t>
  </si>
  <si>
    <t>10</t>
  </si>
  <si>
    <t>11</t>
  </si>
  <si>
    <t>12</t>
  </si>
  <si>
    <t>13</t>
  </si>
  <si>
    <t>14</t>
  </si>
  <si>
    <t>15</t>
  </si>
  <si>
    <t>16</t>
  </si>
  <si>
    <t>17</t>
  </si>
  <si>
    <t>18</t>
  </si>
  <si>
    <t>19</t>
  </si>
  <si>
    <t>InvestigatorPoints</t>
  </si>
  <si>
    <t>20</t>
  </si>
  <si>
    <t>Thaumaturge</t>
  </si>
  <si>
    <t>Final</t>
  </si>
  <si>
    <t>Row Totals</t>
  </si>
  <si>
    <t>The BCS Class Creator form is very advanced and most mobile pdf readers do not support its many functions, therefore this sheet is provided for use on mobile devices that cannot use the form pdf. (The Chrome/Chrome OS pdf viewer supports all form features in testing except page three of the form, only Acrobat reader/pro on desktop supported all page three functions in testing).</t>
  </si>
  <si>
    <t>ThaumaturgePoints</t>
  </si>
  <si>
    <t>Experiments with Class-Archetypes</t>
  </si>
  <si>
    <t>Swashbuckler</t>
  </si>
  <si>
    <t>Experiment tabs are just that, experiments in using the BCS to create new things. This tab is all about creating a Class-Archetypes. It should not be taken as the only way or the right way, just an experiment in what might be one way.</t>
  </si>
  <si>
    <t>Levels 21-30 (alpha state)</t>
  </si>
  <si>
    <t>SwashbucklerPoints</t>
  </si>
  <si>
    <t>Gunslinger</t>
  </si>
  <si>
    <t>This is only the beginning of trying to make "balanced" levels over 20. I don't want to go too far on this until the community has vetted some of the BCS, but this starter page uses the same principles already established in the BCS.</t>
  </si>
  <si>
    <t>Open Game License (OGL)</t>
  </si>
  <si>
    <t>OGL info for this entire document</t>
  </si>
  <si>
    <t>GunslingerPoints</t>
  </si>
  <si>
    <t>Inventor</t>
  </si>
  <si>
    <t>version</t>
  </si>
  <si>
    <t>InventorPoints</t>
  </si>
  <si>
    <t>final release date</t>
  </si>
  <si>
    <t>Alchemist</t>
  </si>
  <si>
    <t>release notes</t>
  </si>
  <si>
    <t>AlchemistPoints</t>
  </si>
  <si>
    <t>Initial public release.</t>
  </si>
  <si>
    <t>Kineticist</t>
  </si>
  <si>
    <t>KineticistPoints</t>
  </si>
  <si>
    <t>Summoner</t>
  </si>
  <si>
    <t>made some notes, added CS to a couple classes where missing and rebalanced (they balanced better than before obviously)</t>
  </si>
  <si>
    <t>decoded Psychic/Thaumaturge, update OGL for DA</t>
  </si>
  <si>
    <t>SummonerPoints</t>
  </si>
  <si>
    <t>Magus</t>
  </si>
  <si>
    <t>added Kineticist Playtest and updated OGL for Playtest (which required a BCS version change) - added CRB 4th printing errata, especially for Alchemist and Clerics</t>
  </si>
  <si>
    <t>in progress</t>
  </si>
  <si>
    <t>decoded final Kineticist, update OGL for RoE</t>
  </si>
  <si>
    <t>Glossary and terminology</t>
  </si>
  <si>
    <t>SPL# or S##</t>
  </si>
  <si>
    <t>Spell Slot level # (named spells use the format: [Spellname] Spell #) (C=Cantrip)</t>
  </si>
  <si>
    <t>LVL# or L##</t>
  </si>
  <si>
    <t>Character level</t>
  </si>
  <si>
    <t>ALC#</t>
  </si>
  <si>
    <t>Alchemy Level</t>
  </si>
  <si>
    <t>MagusPoints</t>
  </si>
  <si>
    <t>Cleric Warpriest</t>
  </si>
  <si>
    <r>
      <rPr>
        <rFont val="Arial"/>
        <color theme="1"/>
      </rPr>
      <t xml:space="preserve">"Level </t>
    </r>
    <r>
      <rPr>
        <rFont val="Arial"/>
        <i/>
        <color theme="1"/>
      </rPr>
      <t>n</t>
    </r>
    <r>
      <rPr>
        <rFont val="Arial"/>
        <color theme="1"/>
      </rPr>
      <t>" vs "</t>
    </r>
    <r>
      <rPr>
        <rFont val="Arial"/>
        <i/>
        <color theme="1"/>
      </rPr>
      <t>n</t>
    </r>
    <r>
      <rPr>
        <rFont val="Arial"/>
        <color theme="1"/>
      </rPr>
      <t>th-Level"</t>
    </r>
  </si>
  <si>
    <t>Character levels should be "Level 1 feature, Level 2 feat, etc" and spell levels should be "1st-Level slot, 2nd-Level cantrip, etc." This helps avoid confustion between character levels and spell levels.</t>
  </si>
  <si>
    <t>class-archetype</t>
  </si>
  <si>
    <t>using a hyphen helps distinguish "class-archetypes" from "archetypes for classes"</t>
  </si>
  <si>
    <t>"published classes"</t>
  </si>
  <si>
    <t>this refers to the classes which are broken down here which were used to reverse engineer the BCS values</t>
  </si>
  <si>
    <t>Cleric WarpriestPoints</t>
  </si>
  <si>
    <t>Cleric Cloistered</t>
  </si>
  <si>
    <t>Cleric CloisteredPoints</t>
  </si>
  <si>
    <t>Bard</t>
  </si>
  <si>
    <t>BardPoints</t>
  </si>
  <si>
    <t>Oracle</t>
  </si>
  <si>
    <t>OraclePoints</t>
  </si>
  <si>
    <t>Druid</t>
  </si>
  <si>
    <t>DruidPoints</t>
  </si>
  <si>
    <t>Psychic</t>
  </si>
  <si>
    <t>PsychicPoints</t>
  </si>
  <si>
    <t>Wizard</t>
  </si>
  <si>
    <t>WizardPoints</t>
  </si>
  <si>
    <t>Witch</t>
  </si>
  <si>
    <t>WitchPoints</t>
  </si>
  <si>
    <t>Sorcerer</t>
  </si>
  <si>
    <t>SorcererPoints</t>
  </si>
  <si>
    <t>BALANCETOTAL:</t>
  </si>
  <si>
    <t>FILTERFORMULAOUT</t>
  </si>
  <si>
    <t>FLEXIBLE CASTER - CLERIC WARPRIEST</t>
  </si>
  <si>
    <t>ptKineticist</t>
  </si>
  <si>
    <t>ClassProfiles:</t>
  </si>
  <si>
    <t>Weapon Groups</t>
  </si>
  <si>
    <t>Axe</t>
  </si>
  <si>
    <t>Bomb</t>
  </si>
  <si>
    <t>Bow</t>
  </si>
  <si>
    <t>Brawling</t>
  </si>
  <si>
    <t>Club</t>
  </si>
  <si>
    <t>Dart</t>
  </si>
  <si>
    <t>Firearm</t>
  </si>
  <si>
    <t>Flail</t>
  </si>
  <si>
    <t>Hammer</t>
  </si>
  <si>
    <t>Knife</t>
  </si>
  <si>
    <t>Pick</t>
  </si>
  <si>
    <t>Polearm</t>
  </si>
  <si>
    <t>Shield</t>
  </si>
  <si>
    <t>Sling</t>
  </si>
  <si>
    <t>Spear</t>
  </si>
  <si>
    <t>Sword</t>
  </si>
  <si>
    <t>Unarmed</t>
  </si>
  <si>
    <t>Ability Scores:</t>
  </si>
  <si>
    <t>STR</t>
  </si>
  <si>
    <t>DEX</t>
  </si>
  <si>
    <t>CON</t>
  </si>
  <si>
    <t>INT</t>
  </si>
  <si>
    <t>WIS</t>
  </si>
  <si>
    <t>CHA</t>
  </si>
  <si>
    <t>Skills:</t>
  </si>
  <si>
    <t>Acrobatics (Dex)</t>
  </si>
  <si>
    <t>Arcana (Int)</t>
  </si>
  <si>
    <t>Athletics (Str)</t>
  </si>
  <si>
    <t>Crafting (Int)</t>
  </si>
  <si>
    <t>Deception (Cha)</t>
  </si>
  <si>
    <t>Diplomacy (Cha)</t>
  </si>
  <si>
    <t>Intimidation (Cha)</t>
  </si>
  <si>
    <t>Lore (Int)</t>
  </si>
  <si>
    <t>Medicine (Wis)</t>
  </si>
  <si>
    <t>Nature (Wis)</t>
  </si>
  <si>
    <t>Occultism (Int)</t>
  </si>
  <si>
    <t>Performance (Cha)</t>
  </si>
  <si>
    <t>Religion (Wis)</t>
  </si>
  <si>
    <t>Society (Int)</t>
  </si>
  <si>
    <t>Stealth (Dex)</t>
  </si>
  <si>
    <t>Survival (Wis)</t>
  </si>
  <si>
    <t>Thievery (Dex)</t>
  </si>
  <si>
    <t>FOCUS SPELL NAMES</t>
  </si>
  <si>
    <t>Classes with Focus Spells</t>
  </si>
  <si>
    <t>FOCUS CANTRIP NAMES</t>
  </si>
  <si>
    <t>"Composition Spells"</t>
  </si>
  <si>
    <t>"Composition Cantrips"</t>
  </si>
  <si>
    <t>"Devotion Spells"</t>
  </si>
  <si>
    <t>"Order Spells"</t>
  </si>
  <si>
    <t>"Conflux Spells"</t>
  </si>
  <si>
    <t>"Ki Spells"</t>
  </si>
  <si>
    <t>"Revelation Spells"</t>
  </si>
  <si>
    <t>"Warden Spells"</t>
  </si>
  <si>
    <t>"Bloodline Spells"</t>
  </si>
  <si>
    <t>"Link Spells"</t>
  </si>
  <si>
    <t>"Link Cantrips"</t>
  </si>
  <si>
    <t>"Hex Spells"</t>
  </si>
  <si>
    <t>"Hex Cantrips"</t>
  </si>
  <si>
    <t>"School Spells"</t>
  </si>
  <si>
    <t>BASIC PROFICIENCY FEATURE NAMES AND DESCRIPTIONS</t>
  </si>
  <si>
    <t>Class Proficiency Increase</t>
  </si>
  <si>
    <t>Feature Name (occasionally varies)</t>
  </si>
  <si>
    <t>Feature Description (generic, sometimes varies)</t>
  </si>
  <si>
    <t>Perception Expert</t>
  </si>
  <si>
    <t>Alertness</t>
  </si>
  <si>
    <t>You remain alert to threats around you. Your proficiency rank for Perception increases to expert.</t>
  </si>
  <si>
    <t>Perception Master</t>
  </si>
  <si>
    <t>Vigilant Senses</t>
  </si>
  <si>
    <t>Through your adventures, you’ve developed keen awareness and attention to detail. Your proficiency rank for Perception increases to master.</t>
  </si>
  <si>
    <t>Perception Legendary</t>
  </si>
  <si>
    <t>Incredible Senses</t>
  </si>
  <si>
    <t>You notice things that are almost impossible for an ordinary person to detect. Your proficiency rank for Perception increases to legendary.</t>
  </si>
  <si>
    <t>Fortitude Expert</t>
  </si>
  <si>
    <t>Great Fortitude</t>
  </si>
  <si>
    <t>Your physique is incredibly hardy. Your proficiency rank for Fortitude saves increases to expert.</t>
  </si>
  <si>
    <t>Fortitude Master</t>
  </si>
  <si>
    <t>Juggernaut</t>
  </si>
  <si>
    <t>Your body has become accustomed to physical hazards and resistant to ailments. Your proficiency rank for Fortitude saves increases to master. When you roll a success on a Fortitude save, you get a critical success instead.</t>
  </si>
  <si>
    <t>Fortitude Legendary</t>
  </si>
  <si>
    <t>Greater Juggernaut</t>
  </si>
  <si>
    <t>You have a stalwart physiology. Your proficiency rank for Fortitude saves increases to legendary. When you roll a critical failure on a Fortitude save, you get a failure instead. When you roll a failure on a Fortitude save against an effect that deals damage, you halve the damage you take.</t>
  </si>
  <si>
    <t>Reflex Expert</t>
  </si>
  <si>
    <t>Lightning Reflexes</t>
  </si>
  <si>
    <t>Your reflexes are lightning fast. Your proficiency rank for Reflex saves increases to expert.</t>
  </si>
  <si>
    <t>Reflex Master</t>
  </si>
  <si>
    <t>Evasion</t>
  </si>
  <si>
    <t>You've learned to move quickly to avoid explosions, dragon's breath, and worse. Your proficiency rank for Reflex saves increases to master. When you roll a success on a Reflex save, you get a critical success instead.</t>
  </si>
  <si>
    <t>Reflex Legendary</t>
  </si>
  <si>
    <t>Improved Evasion</t>
  </si>
  <si>
    <t>Your ability to elude danger is matchless. Your proficiency rank for Reflex saves increases to legendary. When you roll a critical failure on a Reflex save, you get a failure instead. When you roll a failure on a Reflex save against a damaging effect, you take half damage.</t>
  </si>
  <si>
    <t>Will Expert</t>
  </si>
  <si>
    <t>Iron Will</t>
  </si>
  <si>
    <t>Your mental defenses are an iron fortress. Your proficiency rank for Will saves increases to expert.</t>
  </si>
  <si>
    <t>Will Master</t>
  </si>
  <si>
    <t>Resolve</t>
  </si>
  <si>
    <t>You've steeled your mind with resolve. Your proficiency rank for Will saves increases to master. When you roll a success on a Will save, you get a critical success instead.</t>
  </si>
  <si>
    <t>Will Legendary</t>
  </si>
  <si>
    <t>Greater Resolve</t>
  </si>
  <si>
    <t>Your unbelievable training grants you mental resiliency. Your proficiency rank for Will saves increases to legendary. When you roll a success on a Will save, you get a critical success. When you roll a critical failure on a Will save, you get a failure instead. When you roll a failure on a Will save against a damaging effect, you take half damage.</t>
  </si>
  <si>
    <t>Class DC Expert</t>
  </si>
  <si>
    <t>[ClassName] Expertise</t>
  </si>
  <si>
    <t>Your proficiency rank for your [ClassName] class DC increases to expert.</t>
  </si>
  <si>
    <t>Class DC Master</t>
  </si>
  <si>
    <t>[ClassName] Mastery</t>
  </si>
  <si>
    <t>Your proficiency rank for your [ClassName] class DC increases to master.</t>
  </si>
  <si>
    <t>Class DC Legendary</t>
  </si>
  <si>
    <t>[ClassName] Legend</t>
  </si>
  <si>
    <t>Your proficiency rank for your [ClassName] class DC increases to legendary.</t>
  </si>
  <si>
    <t>Spell DC Expert</t>
  </si>
  <si>
    <t>Expert Spellcaster</t>
  </si>
  <si>
    <t>Your proficiency ranks for [SpellList] spell attack rolls and spell DCs increase to expert.</t>
  </si>
  <si>
    <t>Spell DC Master</t>
  </si>
  <si>
    <t>Master Spellcaster</t>
  </si>
  <si>
    <t>Your proficiency ranks for [SpellList] spell attack rolls and spell DCs increase to master.</t>
  </si>
  <si>
    <t>Spell DC Legendary</t>
  </si>
  <si>
    <t>Legendary Spellcaster</t>
  </si>
  <si>
    <t>Your proficiency ranks for [SpellList] spell attack rolls and spell DCs increase to legendary.</t>
  </si>
  <si>
    <t>Attack Expert</t>
  </si>
  <si>
    <t>Weapon Expertise</t>
  </si>
  <si>
    <t>You’ve dedicated yourself to learning the intricacies of your weapons. Your proficiency ranks for [weapons types and] unarmed attacks increase to expert.</t>
  </si>
  <si>
    <t>Attack Master</t>
  </si>
  <si>
    <t>Weapon Mastery</t>
  </si>
  <si>
    <t>You fully understand your weapons. Your proficiency ranks for [weapons types and] unarmed attacks increase to master.</t>
  </si>
  <si>
    <t>Attack Legendary</t>
  </si>
  <si>
    <t>Weapon Legend</t>
  </si>
  <si>
    <t>[probably should be considered a Fighter exclusive feature]</t>
  </si>
  <si>
    <t>Critical Specialization: add to Weapon Expertise</t>
  </si>
  <si>
    <t>[add to Weapon Expertise description:] [must be customized to each class since its always specifically limited]</t>
  </si>
  <si>
    <t>Weapon Specialization</t>
  </si>
  <si>
    <t>You’ve learned how to inflict greater injuries with the weapons you know best. You deal 2 additional damage with weapons and unarmed attacks in which you are an expert. This damage increases to 3 if you’re a master, and 4 if you’re legendary.</t>
  </si>
  <si>
    <t>Greater Weapon Specialization</t>
  </si>
  <si>
    <t>Your damage from weapon specialization increases to 4 with weapons and unarmed attacks in which you’re an expert, 6 if you’re a master, and 8 if you’re legendary.</t>
  </si>
  <si>
    <t>Defense Expert</t>
  </si>
  <si>
    <t>Armor Expertise</t>
  </si>
  <si>
    <t>You’ve learned how to dodge while wearing [light/medium/heavy or] no armor. Your proficiency ranks for [armor types and] unarmored defense increase to expert.</t>
  </si>
  <si>
    <t>Armor Specialization: add this to Armor Expertise:</t>
  </si>
  <si>
    <t>Armor Specialization</t>
  </si>
  <si>
    <t>[add to Armor Expertise description:] You gain the armor specialization effects of medium and heavy armor.</t>
  </si>
  <si>
    <t>Defense Master</t>
  </si>
  <si>
    <t>Armor Mastery</t>
  </si>
  <si>
    <t>Your skill with [armor/unarmored defense] improves, increasing your ability to dodge blows. Your proficiency ranks for [armor types and] unarmored defense increase to master.</t>
  </si>
  <si>
    <t>Defense Legendary</t>
  </si>
  <si>
    <t>Armor Legend</t>
  </si>
  <si>
    <t>Your skill while [unarmored/wearing armor] is unmatched. Your proficiency ranks for [armor types and] unarmored defense increase to legendary.</t>
  </si>
  <si>
    <t>ClassType</t>
  </si>
  <si>
    <t>Shield Block as an initial class feature</t>
  </si>
  <si>
    <t>Shield Block</t>
  </si>
  <si>
    <t>You gain the Shield Block general feat, a reaction that lets you reduce damage with your shield.</t>
  </si>
  <si>
    <t>Skill increases at even levels:</t>
  </si>
  <si>
    <t>Skillful Increases</t>
  </si>
  <si>
    <t>You gain more skill increases than other classes. At 2nd level and every level thereafter, you gain a skill increase.</t>
  </si>
  <si>
    <t>Skill feats at odd levels:</t>
  </si>
  <si>
    <t>Skillful Feats</t>
  </si>
  <si>
    <t>You gain skill feats more often than others. At 1st level and every level thereafter, you gain a skill feat.</t>
  </si>
  <si>
    <t>new, based on Gunslinger:</t>
  </si>
  <si>
    <t>Weapon Adept (initial class feature)</t>
  </si>
  <si>
    <t>Weapon Adept Expertise</t>
  </si>
  <si>
    <t>Your focus on [weapon or weapon group] allows you to start with expert in that weapon [group and trained in advanced weapons in that group]. All other weapons must be one proficiency behind your focus weapon [group] even if you gain an ability that would increase your proficiency in one or more other weapons.</t>
  </si>
  <si>
    <t>Weapon Adept: replace Weapon Expertise:</t>
  </si>
  <si>
    <t>Weapon Adept Mastery</t>
  </si>
  <si>
    <t>Your prowess with your focus weapon[s] increases. Your proficiency rank increases to master with [weapon adept weapon or group]. Your proficiency for [advanced weapons in your weapon adept group] and simple and martial weapons and unarmed attacks increases to expert. [recommended: "You gain access to the critical specialization effects for [weapon or weapon group]"].</t>
  </si>
  <si>
    <t>Weapon Adept: replace Weapon Mastery:</t>
  </si>
  <si>
    <t>Weapon Adept Legend</t>
  </si>
  <si>
    <t>Your skill is unmatched with [weapon or weapon group]. Your proficiency rank increases to legendary with [simple and martial] [weapon adept weapon or group]. Your proficiency for [advanced weapons in your weapon adept group and] simple and martial weapons and unarmed attacks increases to master.</t>
  </si>
  <si>
    <t>new, based on Inventor crafting built in proficiency:</t>
  </si>
  <si>
    <t>Soldier</t>
  </si>
  <si>
    <t>Core Skill: level 3 feature</t>
  </si>
  <si>
    <t>Core Skill</t>
  </si>
  <si>
    <t>Skirmisher</t>
  </si>
  <si>
    <t>[SkillName] is your core granted skill. Your proficiency in [SkillName] increases to expert. At level 7 your proficiency automatically increases to master and at level 15 your proficiency automatically increases to legendary.</t>
  </si>
  <si>
    <t>Core Skill Feats: add to Core Skill</t>
  </si>
  <si>
    <t>Brute</t>
  </si>
  <si>
    <t>Sniper</t>
  </si>
  <si>
    <t>[add to Core Skill description:] You also gain an extra skill feat at level 3, level 7, and level 15 for your core skill.</t>
  </si>
  <si>
    <t>Skill Paragon</t>
  </si>
  <si>
    <t>Total: 2100</t>
  </si>
  <si>
    <t>Magical Striker</t>
  </si>
  <si>
    <t>Spellcaster</t>
  </si>
  <si>
    <t>(balanced)</t>
  </si>
  <si>
    <t>KEYABILITY</t>
  </si>
  <si>
    <t>STR/DEX</t>
  </si>
  <si>
    <t>DEX*</t>
  </si>
  <si>
    <t>INT/CHA</t>
  </si>
  <si>
    <t>Eidolon proficiencies</t>
  </si>
  <si>
    <t>Type</t>
  </si>
  <si>
    <t>Sub</t>
  </si>
  <si>
    <t>Initial</t>
  </si>
  <si>
    <t>Weapon Specialization/CS</t>
  </si>
  <si>
    <t>Prof.</t>
  </si>
  <si>
    <t>WS</t>
  </si>
  <si>
    <t>GWS</t>
  </si>
  <si>
    <t>Points</t>
  </si>
  <si>
    <t>Weapon: Unarmed</t>
  </si>
  <si>
    <t>U</t>
  </si>
  <si>
    <t>T</t>
  </si>
  <si>
    <t>E</t>
  </si>
  <si>
    <t>M</t>
  </si>
  <si>
    <t>Armor Unarmored</t>
  </si>
  <si>
    <t>Class Archetype values:</t>
  </si>
  <si>
    <t>Flexible Spellcaster:</t>
  </si>
  <si>
    <t>110 pts</t>
  </si>
  <si>
    <t xml:space="preserve">Wellspring Mage: </t>
  </si>
  <si>
    <t>190 pts</t>
  </si>
  <si>
    <t>Elementalist is really just an exchange of spells known</t>
  </si>
  <si>
    <t>Runelord is really just an exchange of spells known? Actually adds a focus spell, a focus point, and polearms proficiency?</t>
  </si>
  <si>
    <t>Spellshot is just another Way/subclass really?</t>
  </si>
  <si>
    <t>Class balance notes:</t>
  </si>
  <si>
    <t>Warpriest: the total is not balanced. After much analysis, I believe this was left intentionally unbalanced. This "subclass" is the only subclass that gets different proficiency advancement. It was actually created after the playtest due to high demand, and I think that while Cloistered (the original cleric) was balanced, they had difficulty balancing more martial and just didn't know what to do with the extra budget so they left it. they could not have given it more Attack without going way over budget, especially with GWS cost. Maybe they even playtested it in-house and thought it was balanced enough. Still, the way it gets training in marial weapons is very strange and not within normal design, normally a class should pay for training in each level of weapon or armor, then pay only once for scaling all the levels of weapon or armor each time. So, I actually feel like this is not necessary and Warpriest should get scaling martial weapon proficiency.</t>
  </si>
  <si>
    <t>Bard: Legendary Will save is either a mistake, or an intentional unbalance because maybe the class felt weak in some way.</t>
  </si>
  <si>
    <t>Alchemist: Alchemist got several feature upgrades in the errata, this makes it unbalanced by the numbers but the intention was of course to improve playability. This proves that numbers alone don't tell the whole story!</t>
  </si>
  <si>
    <t>ClassFeatL01</t>
  </si>
  <si>
    <t>Total: 1960</t>
  </si>
  <si>
    <t>UNDERBUDGET: -140</t>
  </si>
  <si>
    <t>THIS PAGE SHOWS THE MINIMINUM AND MAXIMUM PROFICIENCIES OF PUBLISHED CLASSES AS WELL AS CLASS DESIGN ELEMENTS</t>
  </si>
  <si>
    <t>These guidelines are unofficial, they are based on observations, community input, and statements from devs when possible. The purpose of these guidelines is to help make custom classes to be balanced as much as possible, or to at least make sure class creators are informed about what class options may be overpowered (or even underpowered). Note that these are recommendations, not to be considered absolute, as some unique classes may have proficiencies outside of the normal.</t>
  </si>
  <si>
    <t>Holistic Balance: See the link, sometimes things may not add up perfectly because the devs found it necessary to unbalance in order to make something more playable.</t>
  </si>
  <si>
    <t>KEY FOR TABLES: A dash (-) means it is not applicable, a blank in the max column means the max is the same as the min, a blank in recommended means it is too varied to recommend a single standard.</t>
  </si>
  <si>
    <t>Simple Limited and Martial Limited: These categories are not listed as such in prior published content but they are used in BCS to calculate point values for classes that have training in some specific weapons beyond their base level. For instance, Wizards are not trained in Simple weapons but they are trained in club, crossbow, dagger, heavy crossbow, and staff, this makes them Trained in "Simple Limited" for the purposes of calculations. There is no point difference between being trained in Simple Limited or all Simple, the cost is still 10 points, the class just has access to fewer simple weapons.</t>
  </si>
  <si>
    <t>Classes pay for trained in each weapon or armor level they are trained in, but they do not pay for expert in every weapon or armor, just once for each proficiency level after trained. Warpiest is a very weird exception to this because it was made after the playtest.</t>
  </si>
  <si>
    <t>CLASS/SPELL DC:</t>
  </si>
  <si>
    <t>Minimum</t>
  </si>
  <si>
    <t>Maximum</t>
  </si>
  <si>
    <t>ShieldBlockL01</t>
  </si>
  <si>
    <t>Recommended</t>
  </si>
  <si>
    <t>Notes</t>
  </si>
  <si>
    <t>L</t>
  </si>
  <si>
    <t>Features</t>
  </si>
  <si>
    <t>Initial Features</t>
  </si>
  <si>
    <t>Key</t>
  </si>
  <si>
    <t>Class DC</t>
  </si>
  <si>
    <t>-</t>
  </si>
  <si>
    <t>Perhaps only martial classes with focus spells advance quickly?</t>
  </si>
  <si>
    <t>InitialSkills</t>
  </si>
  <si>
    <t>SubclassSkills</t>
  </si>
  <si>
    <t>GrantedSkills</t>
  </si>
  <si>
    <t>FocusSpells:</t>
  </si>
  <si>
    <t>Lay on Hands or Touch of Corruption</t>
  </si>
  <si>
    <t>CasterType</t>
  </si>
  <si>
    <t>Swashbucklers slow Master may be because it is closer to Skilled?</t>
  </si>
  <si>
    <t>Spell DC</t>
  </si>
  <si>
    <t>Non-bounded martial-casters likely get the slower progression.</t>
  </si>
  <si>
    <t>Non-martial casters have a set progression.</t>
  </si>
  <si>
    <t>Alchemy</t>
  </si>
  <si>
    <t>Bounded Spontaneous</t>
  </si>
  <si>
    <t>Bounded Prepared</t>
  </si>
  <si>
    <t>Default: All classes start Trained in their respective DC. No official class starts at Expert DC and that would likely be unbalanced.</t>
  </si>
  <si>
    <t>Prepared</t>
  </si>
  <si>
    <t>Spontaneous</t>
  </si>
  <si>
    <t>Class/Spell DC: As a default initial proficiency, all classes are Trained in their Class or Spell DC. For mixed classes such as Martial-Caster, it is not necessary to charge separately for the two DC’s, but just use the Spell DC as counting for the Class DC as well.</t>
  </si>
  <si>
    <t>Legendary Class DC is unprecedented and should be avoided, it may be overpowered.</t>
  </si>
  <si>
    <t>SpellList</t>
  </si>
  <si>
    <t>Casters should always get Legendary Spell DC unless they are Martial-Casters. Martials, including Martial-Casters, should never get Legendary Class DC or Spell DC. (Any caster getting Master in Attacks/weapons should be a Martial-Caster.)</t>
  </si>
  <si>
    <t>If a class is created that requires a Spell DC for focus spells or focus cantrips or magical class features or feats, it should have a Class DC and use that proficiency when a Spell DC is needed (see Monk Ki abilities, Champion focus spells, etc). If the class has any spell slots or cantrip slots, then it should have a Spell DC and use that when a Class DC is needed.</t>
  </si>
  <si>
    <t>PERCEPTION:</t>
  </si>
  <si>
    <t>Subclass List</t>
  </si>
  <si>
    <t>Arcane</t>
  </si>
  <si>
    <t>Divine (Full List)</t>
  </si>
  <si>
    <t>Occult</t>
  </si>
  <si>
    <t>Divine</t>
  </si>
  <si>
    <t>Primal (Full List)</t>
  </si>
  <si>
    <t>DC TOTAL:</t>
  </si>
  <si>
    <t>Its possible Ranger gets Perc Legend at 15 because its linked to coincide with Refl Legend?</t>
  </si>
  <si>
    <t>Only Gunslinger gets Legendary, consider it only for weapon group focused, or perhaps only ranged weapon group focused?</t>
  </si>
  <si>
    <t>It seems likely Master could apply depending on class specifics.</t>
  </si>
  <si>
    <t>All straight casters are getting the same here.</t>
  </si>
  <si>
    <t>SAVES:</t>
  </si>
  <si>
    <t>Fortitude</t>
  </si>
  <si>
    <t>Possibly Legendary is exclusive to Barbarian?</t>
  </si>
  <si>
    <t>Reflex</t>
  </si>
  <si>
    <t>Will</t>
  </si>
  <si>
    <t>Ranger likely gets Master because it is closer to straight Martial.</t>
  </si>
  <si>
    <t>Investigator may not get Legendary because it is information focused whereas the others are attack focused?</t>
  </si>
  <si>
    <t>ClassDCTrained</t>
  </si>
  <si>
    <t>Swashbuckler likely doesn't get Master because its closer to Skilled.</t>
  </si>
  <si>
    <t>Swashbuckler likely gets Legendary because its closer to Skilled.</t>
  </si>
  <si>
    <t>Only Thaumaturge getting Legendary and not likely applicable for other classes.</t>
  </si>
  <si>
    <t>Summoner gets is sooner because of lack of armor compared to other Martial-Casters maybe?</t>
  </si>
  <si>
    <t>Casters are squishy, no surprise.</t>
  </si>
  <si>
    <t>(see notes below about Bard)</t>
  </si>
  <si>
    <t>The chart excludes Monk saves.</t>
  </si>
  <si>
    <t>Flexible Proficiency: Monk is unique in starting all Expert in Fort/Refl/Will, then getting a choice of M in a save at L07 and L11 and L in one of those saves at L15. This should probably be considered a Monk feature and not be used for published classes, but might work as a model for some homebrew classes.</t>
  </si>
  <si>
    <t>Save default: As a default initial proficiency, all classes should be Trained in all saves at a minimum and at least one save should start at Expert and at least on save should start as Trained.</t>
  </si>
  <si>
    <t>When starting at Trained in a Save, all classes must go to Expert but also cannot move to Master, but may take Expert as soon as level 3.</t>
  </si>
  <si>
    <t>When starting at Expert in a Save, all classes must go to Master, but the earliest is three feature level steps, or level 7.</t>
  </si>
  <si>
    <t>When a class gets Legendary in a Save it must be at least 3 feature level steps from Master (if Master is taken at level 7, then level 13 is the earliest for Legendary).</t>
  </si>
  <si>
    <t>No class gets to start with Expert in all Saves. Monk is an exception to this and it may be considered a class feature for Monks.</t>
  </si>
  <si>
    <t>Errata?: Note that Bard Will Legendary is likely an error, but Paizo rarely, if ever, seems to reduce a class feature in errata, they only ever use errata on classes to give them boosts or correct items that are unclear. If Bard Will Legendary is an error, it has been left because it is not considered game breaking. So Bard Will proficiency should not be used as an example. It is also possible though that it was purposely unbalanced for "Holistic Balance" reasons.</t>
  </si>
  <si>
    <t>Key Ability: this is not necessarily an observation, but a suggestion, that custom classes with Con, Dex, or Wis as their key ability, as it may be thematically appropriate.</t>
  </si>
  <si>
    <t>DEFENSE (ARMOR):</t>
  </si>
  <si>
    <t>ClassDCExpert</t>
  </si>
  <si>
    <t>Martials with only unarmored may start Expert and get Legendary but Legendary might be a Monk exclusive feature?</t>
  </si>
  <si>
    <t>Medium armor is recommended for basic Martials.</t>
  </si>
  <si>
    <t>Heavy</t>
  </si>
  <si>
    <t>Legendary Heavy armor may be a Champion exclusive feature. Fighter is the only other class with Heavy armor, so Heavy is only for very dedicated Martials it seems.</t>
  </si>
  <si>
    <t>Light armor is recommended for Martial-Skilled</t>
  </si>
  <si>
    <t>Ranger gets Medium since its closer to straight Martial.</t>
  </si>
  <si>
    <t>Light armor is recommended for Martial-Specialist</t>
  </si>
  <si>
    <t>Gunslinger/Inventor/Thaum get Medium, not sure what differentiates them.</t>
  </si>
  <si>
    <t>Summoner is Unarmored only, perhaps so it is not more armored than the Eidolon?</t>
  </si>
  <si>
    <t>Medium armor recommended for most Martial-Casters, but only bounded casters would get Master.</t>
  </si>
  <si>
    <t>Cloistered Cleric only because its closer to a basic caster.</t>
  </si>
  <si>
    <t>Light armor recommended for most Caster-Specialist, unless they are closer to straight casters.</t>
  </si>
  <si>
    <t>Druid gets Medium, which seems thematic.</t>
  </si>
  <si>
    <t>ClassDCMaster</t>
  </si>
  <si>
    <t>Full casters get Unarmored only, and only to Expert.</t>
  </si>
  <si>
    <t>Default: All classes are trained in Unarmored at a minimum. But Monks starts as Expert, so maybe if a unarmored legend, you start as Expert?</t>
  </si>
  <si>
    <t>Armor Specialization should go with Armor Expertise if selected. It seems likely all classes with Heavy armor proficiency get Armor Specialization.</t>
  </si>
  <si>
    <t>Heavy Armor: Only Champion and Fighter have Heavy armor proficiency as a class feature, so this may be considered exclusive to very martial focused classes and not available to casters, specialists, or skilled classes.</t>
  </si>
  <si>
    <t>Armor Legendary: Only Champion gets this, it may be considered a Champion exclusive class feature.</t>
  </si>
  <si>
    <t>ATTACK (WEAPONS):</t>
  </si>
  <si>
    <t>Monk only, which seems thematic.</t>
  </si>
  <si>
    <t>Martials should get Martial weapons.</t>
  </si>
  <si>
    <t>Martial-Skilled should get Martial weapons. Rogue is Martial-Limited but that should not affect the profile recommendation.</t>
  </si>
  <si>
    <t>Martial-Specialist should usually get Martial Weapons. Alchemist does not get Master, which may be a balance against its ability to target weaknesses specifically, and it is also similar to Warpriest in some ways and it is Martial-Limited as well.</t>
  </si>
  <si>
    <t>Summoner only, likely so it is not too far ahead of Eidolon attacks.</t>
  </si>
  <si>
    <t>Martial-Casters with bounded should get Martial to Master. Warpriest does not get Master as it is closer to Caster-Specialist but it gets Expert earlier than other full casters and similar to Alchemist.</t>
  </si>
  <si>
    <t>Simple recommended for Caster-Specialist.</t>
  </si>
  <si>
    <t>Bard/Cloistered Cleric get Martial-LImited, so Martial full is not recommended for this profile.</t>
  </si>
  <si>
    <t>FeaturesPts</t>
  </si>
  <si>
    <t>Full Casters should get Simple only, and only to Expert. Wizard is Simple-Limited but that seems to be just a legacy holdover, not a profile recommendation.</t>
  </si>
  <si>
    <t>ClassDCLegendary</t>
  </si>
  <si>
    <t>There is no class that starts with Unarmed only, even Wizard has Simple-Limited. You might have a class that has Unarmed only like perhaps Martial Artist as a class, or an unarmed striker using Handwraps of Mighty Blows for all strikes. But when making custom classes, its simpler to just give Simple or Martial proficiency, unless your class flavor requires access to only one specific higher weapon or weapon group.</t>
  </si>
  <si>
    <t>Advanced-Group Weapons: Only Gunslinger starts with AdvancedGroup Training. This would be reserved for a class focused entirely around a specific weapon group. This could be used for another class type, for instance an Archer class that uses Archer archetype feats as class features and the bow group would be the Advanced-Group. If so, use the Gunslingers weapon proficiency as your direct example.</t>
  </si>
  <si>
    <t>Advanced-Full Weapons: They cannot start at Expert, that would be outside of the design parameters. If starting with Trained in Advanced weapons, then Simple and Martial would need to start at Expert at level 1 in order to be able to progress to Master/Legendary Simple and Martial when Advanced-full progresses to Expert/Master. However, Full Advanced weapon proficiency should probably be considered an exclusive Fighter class feature, in the way that arcane bond would be exclusive to Wizard or rage would be exclusive to Barbarian, so it really should never be used for any custom class, ever. Instead, you might use Advanced Weapon Group proficiency if your class calls for it, see Gunslinger as an example. You can even get Legendary in the Advanced weapon group, which you cannot do with Advanced-full. Like with the Gunslinger, even this option should only be used if a particular weapon group is a central focus of your class’s identity, like if the weapon group is literally in the name of the class.</t>
  </si>
  <si>
    <t>CS: Weapon Critical Specialization should go with Weapon Expertise if selected. And typically CS only applies to certain weapons or only applies when using certain class abilities at the same time.</t>
  </si>
  <si>
    <t>WS: Weapon Specialization is given at the next class feature level after Weapon Expertise.</t>
  </si>
  <si>
    <t>GWS: Greater Weapon Specialization is given at the next class feature level after Weapon Mastery.</t>
  </si>
  <si>
    <t>All classes should be Expert by L11. If Expert comes later, the max would be L17 because it needs WS to come at the lastclass feature level which is L19.</t>
  </si>
  <si>
    <t>Classes getting Master should get Master no later than L17 because it needs GWS to come at the last class feature level which is L19.</t>
  </si>
  <si>
    <t>SKILLS:</t>
  </si>
  <si>
    <t>Skill Minimums:</t>
  </si>
  <si>
    <t>Some classes, such as Rogue, and some archetypes may give or allow Expert in a skill at L02.</t>
  </si>
  <si>
    <t>Initial skills should be determined last, this way if you need an extra 5 points to make the total even, you can add one extra initial skill increase.</t>
  </si>
  <si>
    <t xml:space="preserve">Additional skills: 2 is the minimum, 3 is used for balance. However, 4 seems to be the actual minimum number of initial skills including granted skills and additional skills. Unless the class is heavily Int based (like Magus and Wizard), then you might only give 3 total initial skills, since that class is likely to have plenty of skills from high Int. </t>
  </si>
  <si>
    <t>Obviously if you are making a Martial-Skilled class, you will likely want to include extra initial skills, as well as maybe extra feats and extra increases per level.</t>
  </si>
  <si>
    <t>Core Granted Skills: This is a new class concept. With this feature, one skill is considered a “core” competency for the class, the class begins Trained in that skill, then automatically get Expert at level 3, Master at level 7, and Legendary at level 15. It still costs 5 pts for each increase.</t>
  </si>
  <si>
    <t>CASTING:</t>
  </si>
  <si>
    <t>Each casting class, even bounded, gets 5 free learned cantrips. Spontaneous Casters do not get cantrip slots, only the 5 learned under the repertoire feature, but Prepared casters get 5 free cantrip slots. It is not yet known exactly why, as this is basically the only free class feature in any class, but one vague theory is that caster cantrips are balanced against martial Strike actions, and since Martials do not pay points for access to basic Strike, then casters do not pay points for 5 basic cantrips.</t>
  </si>
  <si>
    <t>Cantrips: Any prepared cantrips more than 5 slots/5 learned must pay the normal point values. See Wizard/Witch/Magus for examples. Presumably a spontaneous caster getting more than 5 cantrips to thier repertoire would have to pay for each additional cantrip learned.</t>
  </si>
  <si>
    <t>Signature or Unlimited Signature slots costs 30 points.</t>
  </si>
  <si>
    <t>Full casters should usually get 10th level slots while most Bounded casters will likely not get 10th level slots. However, while there may never be an official Bounded casting class with a 10th level slot, it may be an option for custom/homebrew Bounded caster classes. No class should get more than one 10th level slot as a class feature though. Using the standard language, an additional 10th level slot should cost a level 20 class feat.</t>
  </si>
  <si>
    <t>SpellDCTrained</t>
  </si>
  <si>
    <t>SKILLS</t>
  </si>
  <si>
    <t>SAVES</t>
  </si>
  <si>
    <t>WEAPONS</t>
  </si>
  <si>
    <t>SpellDCExpert</t>
  </si>
  <si>
    <t>ARMOR</t>
  </si>
  <si>
    <t>KEY</t>
  </si>
  <si>
    <t>TYPE</t>
  </si>
  <si>
    <t>L01 ClassFeat</t>
  </si>
  <si>
    <t>ShieldBlockL01:</t>
  </si>
  <si>
    <t>Subclass</t>
  </si>
  <si>
    <t>Granted</t>
  </si>
  <si>
    <t>Total</t>
  </si>
  <si>
    <t>PERC</t>
  </si>
  <si>
    <t>FORT</t>
  </si>
  <si>
    <t>REFL</t>
  </si>
  <si>
    <t>WILL</t>
  </si>
  <si>
    <t>SimpleLimited</t>
  </si>
  <si>
    <t>MartialLimited</t>
  </si>
  <si>
    <t>AdvancedGroup</t>
  </si>
  <si>
    <t>Advanced</t>
  </si>
  <si>
    <t/>
  </si>
  <si>
    <t>SpellDCMaster</t>
  </si>
  <si>
    <t>T-&gt;E</t>
  </si>
  <si>
    <t>E-&gt;M</t>
  </si>
  <si>
    <t>T-&gt;M</t>
  </si>
  <si>
    <t>T-&gt;L</t>
  </si>
  <si>
    <t>E-&gt;E</t>
  </si>
  <si>
    <t>E-&gt;L</t>
  </si>
  <si>
    <t>SpellDCLegendary</t>
  </si>
  <si>
    <t>PERCEPTION TOTAL:</t>
  </si>
  <si>
    <t>-&gt;T</t>
  </si>
  <si>
    <t>InitialFeatures</t>
  </si>
  <si>
    <t>PerceptionTrained</t>
  </si>
  <si>
    <t>Class/Subclass Features</t>
  </si>
  <si>
    <t>Champion's Code</t>
  </si>
  <si>
    <t>Deific Weapon</t>
  </si>
  <si>
    <t>Deity and Cause</t>
  </si>
  <si>
    <t>Devotion Spells</t>
  </si>
  <si>
    <t>Champion's Reaction</t>
  </si>
  <si>
    <t>00</t>
  </si>
  <si>
    <t>Save Increase Minimum</t>
  </si>
  <si>
    <t>Trained-L01, can never get above Expert and can get Expert at L03</t>
  </si>
  <si>
    <t>Expert-L01, will always get at least Master and can get Master at L07, can get Legendary at L13</t>
  </si>
  <si>
    <t>All saves are Expert or more by L17</t>
  </si>
  <si>
    <t>basic casters generally do not usually get any Legendary, but all get Master in Will</t>
  </si>
  <si>
    <t>skill focused classes generally get double Legendary, especially Perception L</t>
  </si>
  <si>
    <t>Perception and Reflex Legend generally go together? makes sense though</t>
  </si>
  <si>
    <t>Should HP 12 always have Legendary Fortitude?</t>
  </si>
  <si>
    <t>While Alchemist is a Martial-Specialist, in many ways it acts like a Caster-Specialist</t>
  </si>
  <si>
    <t>Heavily weapon-reliant classes tend to get Weapon CS, but not others</t>
  </si>
  <si>
    <t>all classes start with one expert</t>
  </si>
  <si>
    <t>Perc--Fort/Refl/Will</t>
  </si>
  <si>
    <t>Level for increase</t>
  </si>
  <si>
    <t># of increases</t>
  </si>
  <si>
    <t>Perception</t>
  </si>
  <si>
    <t>SAVES TOTAL:</t>
  </si>
  <si>
    <t>E*E*M*</t>
  </si>
  <si>
    <t>E*M*M*</t>
  </si>
  <si>
    <t>M*M*L*</t>
  </si>
  <si>
    <t>Divine Spellcasting</t>
  </si>
  <si>
    <t>Deity</t>
  </si>
  <si>
    <t>Anathema</t>
  </si>
  <si>
    <t>Divine Font</t>
  </si>
  <si>
    <t>MISSING 50 PTS? DID THEY JUST DECIDE NOT TO BALANCE THIS?</t>
  </si>
  <si>
    <t>SPELL COLLECTION</t>
  </si>
  <si>
    <t>First Doctrine</t>
  </si>
  <si>
    <t>FortitudeSaveTrained</t>
  </si>
  <si>
    <t>FortitudeSaveExpert</t>
  </si>
  <si>
    <t>InitialFeaturesPts</t>
  </si>
  <si>
    <t>FortitudeSaveMaster</t>
  </si>
  <si>
    <t>C</t>
  </si>
  <si>
    <t>FortitudeSaveLegendary</t>
  </si>
  <si>
    <t>ReflexSaveTrained</t>
  </si>
  <si>
    <t>ReflexSaveExpert</t>
  </si>
  <si>
    <t>ReflexSaveMaster</t>
  </si>
  <si>
    <t>ReflexSaveLegendary</t>
  </si>
  <si>
    <t>Skills</t>
  </si>
  <si>
    <t>Cleric warpriest</t>
  </si>
  <si>
    <t>Extra Skill Increases</t>
  </si>
  <si>
    <t>WillSaveTrained</t>
  </si>
  <si>
    <t>Cleric cloistered</t>
  </si>
  <si>
    <t>WillSaveExpert</t>
  </si>
  <si>
    <t>WillSaveMaster</t>
  </si>
  <si>
    <t>WillSaveLegendary</t>
  </si>
  <si>
    <t>SKILLS TOTAL:</t>
  </si>
  <si>
    <t>Experts:</t>
  </si>
  <si>
    <t>quick expert</t>
  </si>
  <si>
    <t>early expert</t>
  </si>
  <si>
    <t>expert</t>
  </si>
  <si>
    <t>slow expert</t>
  </si>
  <si>
    <t>late expert</t>
  </si>
  <si>
    <t>Masters:</t>
  </si>
  <si>
    <t>quick master (fighter perc only)</t>
  </si>
  <si>
    <t>early master</t>
  </si>
  <si>
    <t>master</t>
  </si>
  <si>
    <t>slow master/master 2</t>
  </si>
  <si>
    <t>late master</t>
  </si>
  <si>
    <t>Legends:</t>
  </si>
  <si>
    <t>quick legend</t>
  </si>
  <si>
    <t>early legend</t>
  </si>
  <si>
    <t>legend</t>
  </si>
  <si>
    <t>slow legend (gunslinger perc only)</t>
  </si>
  <si>
    <t>Notes:</t>
  </si>
  <si>
    <t>All saves are Expert or more at 17th level</t>
  </si>
  <si>
    <t>Perception Feats: Alertness/Vigilant Senses/Incredible Senses: Expert/Master/Legendary</t>
  </si>
  <si>
    <t>Masters and Legends always start at Expert</t>
  </si>
  <si>
    <t>Perception Master is for fighting classes (and bard for some reason? maybe because of the Occult nature?)</t>
  </si>
  <si>
    <t>Perception Legend is for skill classes (get Master at 7th level)</t>
  </si>
  <si>
    <t>No Master before 7, no Legendary before 13</t>
  </si>
  <si>
    <t>Legendary saves usually get master at 7 (Perception Legend always gets Master at 7?)</t>
  </si>
  <si>
    <t>Fortitude: Great/Magical Fortitude: Expert (all martials start with Expert)</t>
  </si>
  <si>
    <t>Juggernaut: Master; success is always crit</t>
  </si>
  <si>
    <t>Start at T, you only get expert advancement, start at Expert you will get to Master guaranteed</t>
  </si>
  <si>
    <t>Greater Juggernaut: Legendary, success is crit, crit fail is fail with all fail takes half damage</t>
  </si>
  <si>
    <t>Fortitude Master is for martials and martial casters</t>
  </si>
  <si>
    <t>basic casters generally do not get any Legendary (incl alchemist and champion)</t>
  </si>
  <si>
    <t>Fortitude Legend is exclusive to Barbarian, so its for brutes?</t>
  </si>
  <si>
    <t>skill focused classes generally get double Legendary, esp Perception L</t>
  </si>
  <si>
    <t>Reflex: Lighnting Reflexes: Expert (most basic martials start at Expert)</t>
  </si>
  <si>
    <t>Evasion: Master; success is always crit</t>
  </si>
  <si>
    <t>Improved Evasion: Legendary, success is crit, crit fail is fail with all fail takes half damage</t>
  </si>
  <si>
    <t>Reflex Master is for Fighter or specialized/strategic/ranged martials, Gunslinger, Alchemist, Investigator</t>
  </si>
  <si>
    <t>Reflex Legend is for skill classes or skilled fighting classes (swashbuckler)</t>
  </si>
  <si>
    <t>Will: Iron Will: Expert(everyone but Alchemist, Fighter, Ranger start as Expert)</t>
  </si>
  <si>
    <t>Resolve: Master; success is always crit</t>
  </si>
  <si>
    <t>Greater Resolve: Legendary, success is crit, crit fail is fail with all fail takes half damage</t>
  </si>
  <si>
    <t>Will Masters include most all casters including martial casters, tanks and brutes, and intelligent fighting classes</t>
  </si>
  <si>
    <t>Will Legends are oddballs or mystery based (Investigator, Bard, Oracle)</t>
  </si>
  <si>
    <t>See Cleric Path to Perfection for Save choices example: starts all expert, choice of one Master at 7 and 11, one Legendary choice at 15</t>
  </si>
  <si>
    <t>InitialSkillIncreases</t>
  </si>
  <si>
    <t>Perc</t>
  </si>
  <si>
    <t>Fort</t>
  </si>
  <si>
    <t>Refl</t>
  </si>
  <si>
    <t>Legendary?</t>
  </si>
  <si>
    <t>T--E/E/T</t>
  </si>
  <si>
    <t>Will [E]</t>
  </si>
  <si>
    <t>Perc [E]</t>
  </si>
  <si>
    <t>Fort [M]</t>
  </si>
  <si>
    <t>Refl [M]</t>
  </si>
  <si>
    <t>Extra Skill Feats</t>
  </si>
  <si>
    <t>E--M/M/E</t>
  </si>
  <si>
    <t>E--E/T/E</t>
  </si>
  <si>
    <t>Refl [E]</t>
  </si>
  <si>
    <t>Fort [L]</t>
  </si>
  <si>
    <t>Will [M]</t>
  </si>
  <si>
    <t>Perc [M]</t>
  </si>
  <si>
    <t>M--L/E/M</t>
  </si>
  <si>
    <t>L (Fort)</t>
  </si>
  <si>
    <t>E--T/T/E</t>
  </si>
  <si>
    <t>Fort [E] Will [M]</t>
  </si>
  <si>
    <t>Will [L]</t>
  </si>
  <si>
    <t>M--E/E/L</t>
  </si>
  <si>
    <t>L (Will)</t>
  </si>
  <si>
    <t>T--E/T/E</t>
  </si>
  <si>
    <t>Fort [M] Refl [E]</t>
  </si>
  <si>
    <t>Perc [E] Will [M]</t>
  </si>
  <si>
    <t>E--M/E/M</t>
  </si>
  <si>
    <t>Cleric [Cloistered]</t>
  </si>
  <si>
    <t>T--T/T/E</t>
  </si>
  <si>
    <t>Fort [E]</t>
  </si>
  <si>
    <t xml:space="preserve">Refl [E] </t>
  </si>
  <si>
    <t>SubclassSkillIncreases</t>
  </si>
  <si>
    <t>E--E/E/M</t>
  </si>
  <si>
    <t>Cleric [Warpriest]</t>
  </si>
  <si>
    <t>Perc [E] Fort [E]</t>
  </si>
  <si>
    <t>E--E/E/T</t>
  </si>
  <si>
    <t>M--M/M/E</t>
  </si>
  <si>
    <t>Perc [L]</t>
  </si>
  <si>
    <t>L--M/M/E</t>
  </si>
  <si>
    <t>L (Perc)</t>
  </si>
  <si>
    <t>E--T/E/E</t>
  </si>
  <si>
    <t>L--E/M/L</t>
  </si>
  <si>
    <t>L (Perc+Will)</t>
  </si>
  <si>
    <t>SkillGrantAcrobatics</t>
  </si>
  <si>
    <t>T--E/E/E</t>
  </si>
  <si>
    <t>Any [M]</t>
  </si>
  <si>
    <t>Any [L]</t>
  </si>
  <si>
    <t>E--m/m/m (L)</t>
  </si>
  <si>
    <t>m</t>
  </si>
  <si>
    <t>[L] (choose one)</t>
  </si>
  <si>
    <t>E--E/E/L</t>
  </si>
  <si>
    <t>Perc [M] Refl [M]</t>
  </si>
  <si>
    <t>Perc [L] Refl [L]</t>
  </si>
  <si>
    <t>L--M/L/E</t>
  </si>
  <si>
    <t>L (Perc+Refl)</t>
  </si>
  <si>
    <t>L--E/L/M</t>
  </si>
  <si>
    <t>Refl [L]</t>
  </si>
  <si>
    <t>M--E/L/M</t>
  </si>
  <si>
    <t>L (Refl)</t>
  </si>
  <si>
    <t>13 E</t>
  </si>
  <si>
    <t>10 E</t>
  </si>
  <si>
    <t>4 E</t>
  </si>
  <si>
    <t>expert /slow expert 1</t>
  </si>
  <si>
    <t>slow expert 2</t>
  </si>
  <si>
    <t>4 M</t>
  </si>
  <si>
    <t>10 M</t>
  </si>
  <si>
    <t>5 M</t>
  </si>
  <si>
    <t>14 M</t>
  </si>
  <si>
    <t>quick master</t>
  </si>
  <si>
    <t>slow master</t>
  </si>
  <si>
    <t>4 L</t>
  </si>
  <si>
    <t>1 L</t>
  </si>
  <si>
    <t>3 L</t>
  </si>
  <si>
    <t>if you don't start a save at expert, then it only gets one advance to expert and never gets master (so you need to select master or legend at class creation)</t>
  </si>
  <si>
    <t>Legendary saves usually get master at 7</t>
  </si>
  <si>
    <t>Reflex Legend often leads to Perception Legend? makes sense though</t>
  </si>
  <si>
    <t>Perception Legend tends to go to skill classes, if you call Gunslinger a skill class, but it does focus in one particular skill, gunslinging</t>
  </si>
  <si>
    <t>basic casters generally get 4 increases and do not get any Legendary (incl alchemist and champion)</t>
  </si>
  <si>
    <t>skill focused classes generally get 6 increases and double Legendary, esp Perception L</t>
  </si>
  <si>
    <t>Legends get 5 or 6 increases generally (monk exception but it starts at all E)</t>
  </si>
  <si>
    <t>every class gets at least one Master save (Oracle has L in Will but not a Master in another)</t>
  </si>
  <si>
    <t>SkillGrantArcana</t>
  </si>
  <si>
    <t>classes are sorted by key ability</t>
  </si>
  <si>
    <t>Unique features</t>
  </si>
  <si>
    <t>Anathema: roleplay feature</t>
  </si>
  <si>
    <t>Speed bonuses for subclass</t>
  </si>
  <si>
    <t>Level Features</t>
  </si>
  <si>
    <t>Deny Advantage</t>
  </si>
  <si>
    <t>Brutality</t>
  </si>
  <si>
    <t>subclass enhancements</t>
  </si>
  <si>
    <t>Raging Resistance/subclass enhancements</t>
  </si>
  <si>
    <t>Mighty Rage free action</t>
  </si>
  <si>
    <t>Quick Rage</t>
  </si>
  <si>
    <t>Devastator</t>
  </si>
  <si>
    <t xml:space="preserve"> Instincts</t>
  </si>
  <si>
    <t>SkillGrantAthletics</t>
  </si>
  <si>
    <t>extra damage for subclass, a lot</t>
  </si>
  <si>
    <t>Rage enhancements</t>
  </si>
  <si>
    <t>Feature/subclass bonuses</t>
  </si>
  <si>
    <t>flatfooted less often</t>
  </si>
  <si>
    <t>CS while raging</t>
  </si>
  <si>
    <t>damage and weapon traits</t>
  </si>
  <si>
    <t>Rage damage bonus + Instincts give resistance bonuses</t>
  </si>
  <si>
    <t>increased Rage damage</t>
  </si>
  <si>
    <t>re-enter rage quicker</t>
  </si>
  <si>
    <t>strikes ignore 10 physical resistance</t>
  </si>
  <si>
    <t>Action: Rage</t>
  </si>
  <si>
    <t>extra damage</t>
  </si>
  <si>
    <t>Weapon</t>
  </si>
  <si>
    <t>S/M</t>
  </si>
  <si>
    <t>E(CS)</t>
  </si>
  <si>
    <t>E(WS)</t>
  </si>
  <si>
    <t>ClassAbility</t>
  </si>
  <si>
    <t>ClassAbility1</t>
  </si>
  <si>
    <t>Divine Ally</t>
  </si>
  <si>
    <t>M(GWS)</t>
  </si>
  <si>
    <t>Champion Expertise</t>
  </si>
  <si>
    <t>HP: 12+CON</t>
  </si>
  <si>
    <t>extra resistances</t>
  </si>
  <si>
    <t>Armor</t>
  </si>
  <si>
    <t>L/M</t>
  </si>
  <si>
    <t>Champion Mastery</t>
  </si>
  <si>
    <t>Hero's Defiance</t>
  </si>
  <si>
    <t>Lvl 1 Class Feat</t>
  </si>
  <si>
    <t>Saves (F/R/W)</t>
  </si>
  <si>
    <t>E/T/E</t>
  </si>
  <si>
    <r>
      <rPr>
        <rFont val="Arial"/>
        <color theme="1"/>
      </rPr>
      <t>M</t>
    </r>
    <r>
      <rPr>
        <rFont val="Arial"/>
        <color theme="1"/>
      </rPr>
      <t>/T/E</t>
    </r>
  </si>
  <si>
    <t>M/T/E</t>
  </si>
  <si>
    <t>M/E/E</t>
  </si>
  <si>
    <r>
      <rPr>
        <rFont val="Arial"/>
        <color theme="1"/>
      </rPr>
      <t>L</t>
    </r>
    <r>
      <rPr>
        <rFont val="Arial"/>
        <color theme="1"/>
      </rPr>
      <t>/E/E</t>
    </r>
  </si>
  <si>
    <r>
      <rPr>
        <rFont val="Arial"/>
        <color theme="1"/>
      </rPr>
      <t>L</t>
    </r>
    <r>
      <rPr>
        <rFont val="Arial"/>
        <color theme="1"/>
      </rPr>
      <t>/E/E</t>
    </r>
  </si>
  <si>
    <t>L/E/M</t>
  </si>
  <si>
    <t>Skills INT+4: 3+Athletics</t>
  </si>
  <si>
    <t>Tenets: Good/Evil, mostly roleplay feature</t>
  </si>
  <si>
    <t>SkillGrantCrafting</t>
  </si>
  <si>
    <t>Armor Expertise (special version)</t>
  </si>
  <si>
    <t>Divine Smite, based on Cause</t>
  </si>
  <si>
    <t>Exalt, based on Cause</t>
  </si>
  <si>
    <t>Deity/Cause</t>
  </si>
  <si>
    <t>ally boosts and/or extra damage for subclasses</t>
  </si>
  <si>
    <t>select weapon or shield enhancement or animal companion</t>
  </si>
  <si>
    <t>modified damage</t>
  </si>
  <si>
    <t>boost allies</t>
  </si>
  <si>
    <t>lvl 10 focus spell</t>
  </si>
  <si>
    <t>Action: Champion's Reaction: determined by Cause</t>
  </si>
  <si>
    <t>Deific Weapon, die increase</t>
  </si>
  <si>
    <t>HP: 10+CON</t>
  </si>
  <si>
    <t>Shield Block General feat</t>
  </si>
  <si>
    <t>Legendary Heavy Armor, extra resistances</t>
  </si>
  <si>
    <t>L/M/H</t>
  </si>
  <si>
    <t>E (AS)</t>
  </si>
  <si>
    <t>M/E/M</t>
  </si>
  <si>
    <t>Skills INT+4: 2+Religion+1 for deity</t>
  </si>
  <si>
    <t>Focus Spells: Devotion Spells</t>
  </si>
  <si>
    <t>Free focus: Lay on Hands or Touch of Corruption based on Cause</t>
  </si>
  <si>
    <t>Bravery</t>
  </si>
  <si>
    <t>Fighter Weapon Mastery</t>
  </si>
  <si>
    <t>BattleField Surveyor</t>
  </si>
  <si>
    <t>Combat Flexibility</t>
  </si>
  <si>
    <t>SkillGrantDeception</t>
  </si>
  <si>
    <t>Improved Flexibility</t>
  </si>
  <si>
    <t>Versatile Legend</t>
  </si>
  <si>
    <t>Extra class feats per day at later levels</t>
  </si>
  <si>
    <t>frightened reduced by 1 value always</t>
  </si>
  <si>
    <t>CS</t>
  </si>
  <si>
    <t>initiative +2 bonus</t>
  </si>
  <si>
    <t>extra figher feat per day</t>
  </si>
  <si>
    <t>Legendary in one weapon group</t>
  </si>
  <si>
    <t>two extra fighter feats per day</t>
  </si>
  <si>
    <t>Legendary in all S/M and Master in all A</t>
  </si>
  <si>
    <t>Action: Attack of Opportunity</t>
  </si>
  <si>
    <t>Legendary Weapon Proficiency</t>
  </si>
  <si>
    <t>S/M~A</t>
  </si>
  <si>
    <t>E~T</t>
  </si>
  <si>
    <t>M*~E* (CS*)</t>
  </si>
  <si>
    <t>M*~E*</t>
  </si>
  <si>
    <t>M*~E*(WS)</t>
  </si>
  <si>
    <t>M~E,L*~M*</t>
  </si>
  <si>
    <t>L*~M*</t>
  </si>
  <si>
    <t>L*~M*(GWS)</t>
  </si>
  <si>
    <t>L~M(all)</t>
  </si>
  <si>
    <t>Heavy Armor</t>
  </si>
  <si>
    <t>Lvl 1* Class Feat</t>
  </si>
  <si>
    <t>Great saves/perception</t>
  </si>
  <si>
    <t>E/E/T</t>
  </si>
  <si>
    <t>E/E/E</t>
  </si>
  <si>
    <t>M/M/E</t>
  </si>
  <si>
    <t>Skills INT+4: 3 + Acrobatics or Athletics</t>
  </si>
  <si>
    <t>Speed bonuses for stances</t>
  </si>
  <si>
    <t>SkillGrantDiplomacy</t>
  </si>
  <si>
    <t>Incredible Movement/Mystic Strikes</t>
  </si>
  <si>
    <t>Path to Perfection</t>
  </si>
  <si>
    <t>Metal Strikes</t>
  </si>
  <si>
    <t>Second Path to Perfection</t>
  </si>
  <si>
    <t>Third Path to Perfection</t>
  </si>
  <si>
    <t>Adamantine Strikes</t>
  </si>
  <si>
    <t>Perfect Form</t>
  </si>
  <si>
    <t>Stances are sorta like subclasses</t>
  </si>
  <si>
    <t>Stance feats add damage</t>
  </si>
  <si>
    <t>Speed increases + magical unarmed attacks</t>
  </si>
  <si>
    <t>choose a saving throw increase</t>
  </si>
  <si>
    <t>unarmed strikes become silver/cold iron</t>
  </si>
  <si>
    <t>choose another saving increase</t>
  </si>
  <si>
    <t>choose a saving throw to increase to Legendary</t>
  </si>
  <si>
    <t>unarmed strikes become adamantine</t>
  </si>
  <si>
    <t>attack roll fortune effect, never less than 10</t>
  </si>
  <si>
    <t>Action: Flurry of Blows</t>
  </si>
  <si>
    <t>Powerful Fist: increase unarmed die</t>
  </si>
  <si>
    <t>S</t>
  </si>
  <si>
    <t>Legendary unarmed defense</t>
  </si>
  <si>
    <t>E*M*L*</t>
  </si>
  <si>
    <t>Skills INT+4</t>
  </si>
  <si>
    <t>Focus Spells: Ki Spells from feats</t>
  </si>
  <si>
    <t>SkillGrantIntimidation</t>
  </si>
  <si>
    <t>Trackless Step</t>
  </si>
  <si>
    <t>Nature's Edge</t>
  </si>
  <si>
    <t>Wild Stride</t>
  </si>
  <si>
    <t>ClassAbilityPts</t>
  </si>
  <si>
    <t>Masterful Hunter</t>
  </si>
  <si>
    <t>Second Skin/Swift Prey</t>
  </si>
  <si>
    <t>Hunter's Edge</t>
  </si>
  <si>
    <t>circumstance bonuses</t>
  </si>
  <si>
    <t>Cover Tracks skill without penalty</t>
  </si>
  <si>
    <t>flatfooted enemies in difficult terrain</t>
  </si>
  <si>
    <t>ignore difficult terrain/reduce greater difficult terrain</t>
  </si>
  <si>
    <t>ignore range penalty when hunting prey, Hunter's Edge grants MAP or damage or skill bonuses</t>
  </si>
  <si>
    <t>rest in armor + Hunt Prey as a free action</t>
  </si>
  <si>
    <t>Action: Hunt Prey</t>
  </si>
  <si>
    <t>MAP lowered</t>
  </si>
  <si>
    <t>E/M/E</t>
  </si>
  <si>
    <t>M/L/E</t>
  </si>
  <si>
    <t>Skills INT+6: 4+Nature+Survival</t>
  </si>
  <si>
    <t>Focus Spells: Warden Spells in APG from feats</t>
  </si>
  <si>
    <t>SkillGrantLore</t>
  </si>
  <si>
    <t>DEX*(*or other)</t>
  </si>
  <si>
    <t>Esoteric Lore</t>
  </si>
  <si>
    <t>Weapon Tricks/Sneak Attack</t>
  </si>
  <si>
    <t>Debilitating Strikes action</t>
  </si>
  <si>
    <t>Sneak Attack</t>
  </si>
  <si>
    <t>Double Debilitation</t>
  </si>
  <si>
    <t>Master Strikes</t>
  </si>
  <si>
    <t>Rackets</t>
  </si>
  <si>
    <t>conditions on enemies</t>
  </si>
  <si>
    <t>get a caster multiclass archetype for eldritch trickster subclass</t>
  </si>
  <si>
    <t>flatfooted less often + extra skill feat</t>
  </si>
  <si>
    <t>CS with circumstances + Sneak Attack die increase + extra skill feat</t>
  </si>
  <si>
    <t>extra skill feat</t>
  </si>
  <si>
    <t>free action to inflict conditions + extra skill feat</t>
  </si>
  <si>
    <t>Sneak Attack die increase + extra skill feat</t>
  </si>
  <si>
    <t>inflict more conditions on attacks + extra skill feat</t>
  </si>
  <si>
    <t>free action to inflict even more conditions + extra skill feat</t>
  </si>
  <si>
    <t>Ability: Sneak Attack</t>
  </si>
  <si>
    <t>Ability: Surprise Attack</t>
  </si>
  <si>
    <t>extra weapon enhancements</t>
  </si>
  <si>
    <t>S+</t>
  </si>
  <si>
    <t>SkillGrantMedicine</t>
  </si>
  <si>
    <t>E (CS*)</t>
  </si>
  <si>
    <t>HP: 8+CON</t>
  </si>
  <si>
    <t>T/E/E</t>
  </si>
  <si>
    <t>T/M/E</t>
  </si>
  <si>
    <t>E/L/E</t>
  </si>
  <si>
    <t>E/L/M</t>
  </si>
  <si>
    <t>Skills INT+8*: 7+Stealth+1 extra based on some subclass, but not all</t>
  </si>
  <si>
    <t>Skill feats at every level from 2</t>
  </si>
  <si>
    <t>skills related to stealth and knowledge recalls</t>
  </si>
  <si>
    <t>optional cantrips if you take eldritch trickster</t>
  </si>
  <si>
    <t>special subclass: Eldritch Trickster:</t>
  </si>
  <si>
    <t>tradition: by multiclass</t>
  </si>
  <si>
    <t>Spells per level(subclass):Spell DC for eldritch trickster determined by multiclass dedication</t>
  </si>
  <si>
    <t>2 cantrips</t>
  </si>
  <si>
    <t>**Feats required to add spells</t>
  </si>
  <si>
    <t>Gungslinger</t>
  </si>
  <si>
    <t>Speed bonuses for sublcasses</t>
  </si>
  <si>
    <t>SkillGrantNature</t>
  </si>
  <si>
    <t>Stubborn</t>
  </si>
  <si>
    <t>Advanced Deed</t>
  </si>
  <si>
    <t>Greater Deed</t>
  </si>
  <si>
    <t>Shootists Edge</t>
  </si>
  <si>
    <t>Ways</t>
  </si>
  <si>
    <t>Deed actions have various bonuses and effects</t>
  </si>
  <si>
    <t>controlled condition save effects</t>
  </si>
  <si>
    <t>new action</t>
  </si>
  <si>
    <t>ignore range penalties</t>
  </si>
  <si>
    <t>Ability: Singular Expertise</t>
  </si>
  <si>
    <t>Firearm and Crossbow specialties, but limitations to other weapons (must be one proficiency lower than firearm/crossbow)</t>
  </si>
  <si>
    <t>quick reloads and trick shots</t>
  </si>
  <si>
    <t>S/M~S*/M*~A*</t>
  </si>
  <si>
    <t>T~E*~T*</t>
  </si>
  <si>
    <t>E~M*~E*(CS*)</t>
  </si>
  <si>
    <t>E~M*~E*</t>
  </si>
  <si>
    <t>E~M*~E* (WS)</t>
  </si>
  <si>
    <t>M~L*~M*</t>
  </si>
  <si>
    <t>M~L*~M*(GWS)</t>
  </si>
  <si>
    <t>Skills INT+4: 3+1 based on subclass</t>
  </si>
  <si>
    <t>ClassAbility2</t>
  </si>
  <si>
    <t>Divine Will</t>
  </si>
  <si>
    <t>Legendary Armor</t>
  </si>
  <si>
    <t>SkillGrantOccultism</t>
  </si>
  <si>
    <t>Speed bonuses from Panache ability</t>
  </si>
  <si>
    <t>Opportune Riposte reaction/Stylish Tricks/Vivacious Speed</t>
  </si>
  <si>
    <t>Precise Strike</t>
  </si>
  <si>
    <t>Stylish Tricks/Vivacious Speed</t>
  </si>
  <si>
    <t>Exemplary Finisher/Precise Strike</t>
  </si>
  <si>
    <t>Continuous Flair/Vivacious Speed</t>
  </si>
  <si>
    <t>Keen Flair/Stylish Tricks/Vivacious Speed</t>
  </si>
  <si>
    <t>Eternal Confidence/Vivacious Speed</t>
  </si>
  <si>
    <t>Styles</t>
  </si>
  <si>
    <t>Styles determine your Panache</t>
  </si>
  <si>
    <t>Ability: Panache: bonuses for successful skill rolls in combat</t>
  </si>
  <si>
    <t>new reaction + extra skill feat+10 ft speed increase during Panache(half without panache at all times)</t>
  </si>
  <si>
    <t>increase damage and die by one for Presice Strike</t>
  </si>
  <si>
    <t>extra skill feat+10 ft speed increase during Panache(half without panache at all times)</t>
  </si>
  <si>
    <t>extra effects to finishers + increase damage and die by one for Presice Strike</t>
  </si>
  <si>
    <t>bonuses to exploration checks + 10 ft speed increase during Panache(half without panache at all times)</t>
  </si>
  <si>
    <t>better strike rolls + extra skill feat+10 ft speed increase during Panache(half without panache at all times)</t>
  </si>
  <si>
    <t>combine abilities into one strike + 10 ft speed increase during Panache(half without panache at all times)</t>
  </si>
  <si>
    <t>Action: Confident Finisher</t>
  </si>
  <si>
    <t>Ability: Precise Strike</t>
  </si>
  <si>
    <t>many abilities that stack on each other for damage and bonuses</t>
  </si>
  <si>
    <t>E (CS)</t>
  </si>
  <si>
    <t>Skills INT+6: 4+Acrobatics+1 based on subclass</t>
  </si>
  <si>
    <t>Skills lvl 3/7/15 extra skill feat</t>
  </si>
  <si>
    <t>SkillGrantPerformance</t>
  </si>
  <si>
    <t>Expert Overdrive/Reconfigure/Explode</t>
  </si>
  <si>
    <t>Explode</t>
  </si>
  <si>
    <t>Inventor Weapon Expertise/Explode</t>
  </si>
  <si>
    <t>Breakthrough Innovation/Master Overdrive/Explode</t>
  </si>
  <si>
    <t>Offensive Boost/Explode</t>
  </si>
  <si>
    <t>Medium Armor Expertise/Explode</t>
  </si>
  <si>
    <t>Complete Reconfiguration/Explode</t>
  </si>
  <si>
    <t>Revolutionary Innovation/Legendary Overdrive/Explode</t>
  </si>
  <si>
    <t>Infinite Invention/Explode</t>
  </si>
  <si>
    <t>Innovations</t>
  </si>
  <si>
    <t>Optional Companion or weapon or armor enhancements</t>
  </si>
  <si>
    <t>Action: Explode</t>
  </si>
  <si>
    <t>1 damage added to overdrive + ability to change mods + Explode gets an extra damage die</t>
  </si>
  <si>
    <t>Explode gets an extra damage die</t>
  </si>
  <si>
    <t>CS for weapon innovation only + Explode gets an extra damage die</t>
  </si>
  <si>
    <t>extra mod + 1 extra Overdrive damage + Explode gets an extra damage die and area increase option</t>
  </si>
  <si>
    <t>add typed damage to Strikes based on innovation + Explode gets an extra damage die</t>
  </si>
  <si>
    <t>CS for armor innovation only + Explode gets an extra damage die</t>
  </si>
  <si>
    <t>ability to change mods and/or offensive boost + Explode gets an extra damage die</t>
  </si>
  <si>
    <t>retrain innovation subclass entirely + Explode gets an extra damage die</t>
  </si>
  <si>
    <t>Action: Overdrive</t>
  </si>
  <si>
    <t>optional weapon enhancements</t>
  </si>
  <si>
    <t>SkillGrantReligion</t>
  </si>
  <si>
    <t>E (WS)</t>
  </si>
  <si>
    <t>M (GWS)</t>
  </si>
  <si>
    <t>optional armor enhancements</t>
  </si>
  <si>
    <t>E/E/M</t>
  </si>
  <si>
    <t>Skills INT+4: 3+Crafting</t>
  </si>
  <si>
    <t>Free Skill Feat: Inventor</t>
  </si>
  <si>
    <t>focus-like ability: Unstable actions are sort of like focus spells</t>
  </si>
  <si>
    <t>Ability: Pursue a Lead</t>
  </si>
  <si>
    <t>Reaction ability: Clue In</t>
  </si>
  <si>
    <t>Keen Recollection/Skillful Lessons</t>
  </si>
  <si>
    <t>Investigator Expertise</t>
  </si>
  <si>
    <t>Deductive Improvisation</t>
  </si>
  <si>
    <t>Master Detective</t>
  </si>
  <si>
    <t>Methodologies</t>
  </si>
  <si>
    <t>SkillGrantSociety</t>
  </si>
  <si>
    <t>Alchemical sciences subclass gives "versatile vials" daily</t>
  </si>
  <si>
    <t>extra skill feat(s) for each subclass initially</t>
  </si>
  <si>
    <t>recall knowledge proficiency + extra skill feat</t>
  </si>
  <si>
    <t>increase die by one for Strategic Strike + extra skill feat</t>
  </si>
  <si>
    <t>increase to Pursue a Lead bonus + increase die by one for Strategic Strike + extra skill feat</t>
  </si>
  <si>
    <t>ability to make skill checks without proper proficiency + extra skill feat</t>
  </si>
  <si>
    <t>extra knowledge about leads + extra skill feat</t>
  </si>
  <si>
    <t>Action: Devise a Strategem</t>
  </si>
  <si>
    <t>Ability: Strategic Strike</t>
  </si>
  <si>
    <t>E/M/M</t>
  </si>
  <si>
    <t>E/M/L</t>
  </si>
  <si>
    <t>Skills INT+6*: 4+Society+one or more for subclass</t>
  </si>
  <si>
    <t>Skill feats at every level from 2, but the odd level feats are limited choices</t>
  </si>
  <si>
    <t>special subclass: Alchemical Sciences:</t>
  </si>
  <si>
    <t>Alchemy(subclass) Versatile Vials per day</t>
  </si>
  <si>
    <t>**# INT (18 INT to start is assumed for this row)</t>
  </si>
  <si>
    <t>4+</t>
  </si>
  <si>
    <t>SkillGrantStealth</t>
  </si>
  <si>
    <t>Formulas per level</t>
  </si>
  <si>
    <t>Field Discovery/Powerful Alchemy</t>
  </si>
  <si>
    <t>Perpetual Infusions</t>
  </si>
  <si>
    <t>Double Brew</t>
  </si>
  <si>
    <t>Perpetual Potency</t>
  </si>
  <si>
    <t>Greater Field Discovery</t>
  </si>
  <si>
    <t>Alchemical Alacrity</t>
  </si>
  <si>
    <t>Perpetual Perfection</t>
  </si>
  <si>
    <t>Research Fields</t>
  </si>
  <si>
    <t>3 subclass items per reagent during prep instead of two + DC change to some items</t>
  </si>
  <si>
    <t>free 1st level items based on subclass</t>
  </si>
  <si>
    <t>double items with quick alchemy</t>
  </si>
  <si>
    <t>free moderate level items based on subclass</t>
  </si>
  <si>
    <t>SkillGrantSurvival</t>
  </si>
  <si>
    <t>variable subclass feature that adds effects to items</t>
  </si>
  <si>
    <t>3 items when using quick alchemy</t>
  </si>
  <si>
    <t>free greater level items based on subclass</t>
  </si>
  <si>
    <t>Action: Quick Alchemy</t>
  </si>
  <si>
    <t>alchemical bombs</t>
  </si>
  <si>
    <t>toxicologist/poisons</t>
  </si>
  <si>
    <t>mutagens</t>
  </si>
  <si>
    <t>Free Skill Feat: Alchemical Crafting</t>
  </si>
  <si>
    <t>make items per day equal to between the number of reagents (quick alchemy) and double that number (advanced alchemy during prep)</t>
  </si>
  <si>
    <t>Alchemy Reagents</t>
  </si>
  <si>
    <t>level+INT, this row assumes a minimum starting INT 18 because why wouldn't you start at 18?!</t>
  </si>
  <si>
    <t>9+</t>
  </si>
  <si>
    <t>10+</t>
  </si>
  <si>
    <t>11+</t>
  </si>
  <si>
    <t>12+</t>
  </si>
  <si>
    <t>13+</t>
  </si>
  <si>
    <t>14+</t>
  </si>
  <si>
    <t>15+</t>
  </si>
  <si>
    <t>16+</t>
  </si>
  <si>
    <t>17+</t>
  </si>
  <si>
    <t>18+</t>
  </si>
  <si>
    <t>19+</t>
  </si>
  <si>
    <t>20+</t>
  </si>
  <si>
    <t>21+</t>
  </si>
  <si>
    <t>22+</t>
  </si>
  <si>
    <t>23+</t>
  </si>
  <si>
    <t>24+</t>
  </si>
  <si>
    <t>SkillGrantThievery</t>
  </si>
  <si>
    <t>Studious Spell</t>
  </si>
  <si>
    <t>Double Spellstrike</t>
  </si>
  <si>
    <t>Hybrid Studies</t>
  </si>
  <si>
    <t>2 spell slots and extra spells learned</t>
  </si>
  <si>
    <t>Studious spells leveled up and extra spell learned</t>
  </si>
  <si>
    <t>extra spell cast without using slot</t>
  </si>
  <si>
    <t>Action: Spellstrike</t>
  </si>
  <si>
    <t>Stance: Arcane Cascade</t>
  </si>
  <si>
    <t>NO lvl 1 class feat</t>
  </si>
  <si>
    <t>Skills INT+3: 2+Arcana</t>
  </si>
  <si>
    <t>ClassAbility3</t>
  </si>
  <si>
    <t>Prepared Casting/Bounded/Spellbook</t>
  </si>
  <si>
    <t>Focus Spells: Conflux Spells</t>
  </si>
  <si>
    <t>SkillsGrantedTotal</t>
  </si>
  <si>
    <t>Miraculous Spell</t>
  </si>
  <si>
    <t>Components: can draw sigil with weapon or free hand to replace materials</t>
  </si>
  <si>
    <t>Prepared Spells slots (combined base class and subclass)</t>
  </si>
  <si>
    <t>5 cantrips</t>
  </si>
  <si>
    <t>tradition: Arcane</t>
  </si>
  <si>
    <t>Spellbook (combined base class and subclass)</t>
  </si>
  <si>
    <t>8 cantrips</t>
  </si>
  <si>
    <t>Familiar Ability</t>
  </si>
  <si>
    <t>Patrons Gift</t>
  </si>
  <si>
    <t>Patron Themes</t>
  </si>
  <si>
    <t>Lessons are selected by feats and add spells/focus spells</t>
  </si>
  <si>
    <t>additional familiar ability</t>
  </si>
  <si>
    <t>10th level spell slot (can't use quick casting)</t>
  </si>
  <si>
    <t>Gain Familiar with one extra ability, gains more abilities</t>
  </si>
  <si>
    <t>HP: 6+CON</t>
  </si>
  <si>
    <t>T/T/E</t>
  </si>
  <si>
    <t>Prepared Casting/Familiar Spellbook</t>
  </si>
  <si>
    <t>Focus Spells: Hex Spells/Hex Cantrips (1 per round, but cantrips don't cost focus point)</t>
  </si>
  <si>
    <t>Free focus spell: Phase Familiar</t>
  </si>
  <si>
    <t>Components: no replacements</t>
  </si>
  <si>
    <t>Free Hex Cantrip at lvl 1 from Patron theme</t>
  </si>
  <si>
    <t>5 cantrips + 1 hex cantrip</t>
  </si>
  <si>
    <t>tradition: by subclass</t>
  </si>
  <si>
    <t>Spellbook: Familiar stored (combined base class and subclass)</t>
  </si>
  <si>
    <t>11 cantrips</t>
  </si>
  <si>
    <t>Archwizard's Spellcraft</t>
  </si>
  <si>
    <t>Arcane Schools</t>
  </si>
  <si>
    <t>Thesis gives options like a familiar, swapping spells midday, trading lower spells for an extra upper spell, a staff with built in spells</t>
  </si>
  <si>
    <t>Action: Drain Bonded Item</t>
  </si>
  <si>
    <t>U+</t>
  </si>
  <si>
    <t>optional lvl 1 Class Feat based on Thesis</t>
  </si>
  <si>
    <t>Prepared Casting/Spellbook</t>
  </si>
  <si>
    <t>Focus Spells: School Spells</t>
  </si>
  <si>
    <t>Free focus based on subclass, except for Universalist</t>
  </si>
  <si>
    <t>SkillIncreaseExtra-L02</t>
  </si>
  <si>
    <t>L02</t>
  </si>
  <si>
    <t>tradition: Arcane School/Universalist</t>
  </si>
  <si>
    <t>10 cantrips</t>
  </si>
  <si>
    <t>Cleric</t>
  </si>
  <si>
    <t>Level Features (Cloistered)</t>
  </si>
  <si>
    <t>Second Doctrine</t>
  </si>
  <si>
    <t>Third Doctrine</t>
  </si>
  <si>
    <t>Fourth Doctrine</t>
  </si>
  <si>
    <t>Fifth Doctrine</t>
  </si>
  <si>
    <t>Miraculous Spell/Final Doctrine</t>
  </si>
  <si>
    <t>Doctrines</t>
  </si>
  <si>
    <t>Feature/subclass bonuses (Cloistered)</t>
  </si>
  <si>
    <t>focus spell, domain</t>
  </si>
  <si>
    <t>fortitude increase</t>
  </si>
  <si>
    <t>DC increase</t>
  </si>
  <si>
    <t>deity weapon expert and CS</t>
  </si>
  <si>
    <t>10th level spell slot (can't use quick casting)+Legendary spell DC</t>
  </si>
  <si>
    <t>Level Features (Warpriest)</t>
  </si>
  <si>
    <t>Feature/subclass bonuses (Warpriest)</t>
  </si>
  <si>
    <t>armor training, shield block, die increase for simple deity weapon</t>
  </si>
  <si>
    <t>martial weapon training</t>
  </si>
  <si>
    <t>10th level spell slot (can't use quick casting)+Master spell DC</t>
  </si>
  <si>
    <t>Deities</t>
  </si>
  <si>
    <t>Deity weapon</t>
  </si>
  <si>
    <t>Weapon (Cloistered)</t>
  </si>
  <si>
    <t>S+1</t>
  </si>
  <si>
    <t>T~E*(CS)</t>
  </si>
  <si>
    <t>T~E</t>
  </si>
  <si>
    <t>T(WS)~E(WS)</t>
  </si>
  <si>
    <t>Weapon (Warpriest)</t>
  </si>
  <si>
    <t>T*</t>
  </si>
  <si>
    <t>Armor (Cloistered)</t>
  </si>
  <si>
    <t>Warpriest: Shield Block General feat</t>
  </si>
  <si>
    <t>Armor (Warpriest)</t>
  </si>
  <si>
    <t>NO lvl 1 class feat*</t>
  </si>
  <si>
    <t>Saves (Cloistered)(F/R/W)</t>
  </si>
  <si>
    <t>SkillIncreaseExtra-L03</t>
  </si>
  <si>
    <t>E/T/M</t>
  </si>
  <si>
    <t>Saves (Warpriest)(F/R/W)</t>
  </si>
  <si>
    <t>Skills INT+4: 2+Religion+1 based on deity</t>
  </si>
  <si>
    <t>Divine Font: Heal or Harm spells equal to 1+CHA</t>
  </si>
  <si>
    <t>Spell DC (Cloistered)</t>
  </si>
  <si>
    <t>Spell DC (Warpriest)</t>
  </si>
  <si>
    <t>Components: can hold a divine focus (such as a religious symbol) to replace materials</t>
  </si>
  <si>
    <t>3+</t>
  </si>
  <si>
    <t>6+</t>
  </si>
  <si>
    <t>7+</t>
  </si>
  <si>
    <t>25+</t>
  </si>
  <si>
    <t>27+</t>
  </si>
  <si>
    <t>28+</t>
  </si>
  <si>
    <t>29+</t>
  </si>
  <si>
    <t>tradition: Divine</t>
  </si>
  <si>
    <t>Known Spells: All Divine List available (no spellbook or repertiore)</t>
  </si>
  <si>
    <t>Ability: Wild Empathy</t>
  </si>
  <si>
    <t>Primal Hierophant</t>
  </si>
  <si>
    <t>SkillIncreaseExtra-L04</t>
  </si>
  <si>
    <t>L04</t>
  </si>
  <si>
    <t>Druidic Orders</t>
  </si>
  <si>
    <t>Optional Animal Companion, spells, morph ability, lvl 1 feats</t>
  </si>
  <si>
    <t>Lvl 1 Class Feat per subclass</t>
  </si>
  <si>
    <t>Skills INT+4: 2+Nature+1 per Order</t>
  </si>
  <si>
    <t>Focus Spells: Order Spells</t>
  </si>
  <si>
    <t>Free focus based on subclass</t>
  </si>
  <si>
    <t>Components: can hold a primal focus (such as holly and mistletoe) to replace materials</t>
  </si>
  <si>
    <t>tradition: Primal</t>
  </si>
  <si>
    <t>Known Spells: All Primal List available (no spellbook or repertiore)</t>
  </si>
  <si>
    <t>Primal</t>
  </si>
  <si>
    <t>SkillIncreaseExtra-L05</t>
  </si>
  <si>
    <t>Signature Spells</t>
  </si>
  <si>
    <t>Magnum Opus</t>
  </si>
  <si>
    <t>Muses</t>
  </si>
  <si>
    <t>auto-heighten one spell per level</t>
  </si>
  <si>
    <t>Composition spells boost the party</t>
  </si>
  <si>
    <t>Muse gives a lvl 1 feat and a spell added to repertiore (but not an extra spell slot)</t>
  </si>
  <si>
    <t>E/E/L</t>
  </si>
  <si>
    <t>Skills INT+6: 4+Occultism+Performance</t>
  </si>
  <si>
    <t>Focus Spells: Compisition Spells/Composition Cantrips (some use the Performance skill to use, cantrips don't cost a focus point)</t>
  </si>
  <si>
    <t>Free focus spell: Counter Performance</t>
  </si>
  <si>
    <t>Components: can use an instrument to replace any components</t>
  </si>
  <si>
    <t>Free focus cantrip: Inspire Courage</t>
  </si>
  <si>
    <t>SkillIncreaseExtra-L06</t>
  </si>
  <si>
    <t>L06</t>
  </si>
  <si>
    <t>Spontaneous Spell slots (combined base class and subclass)</t>
  </si>
  <si>
    <t>tradition: Occult</t>
  </si>
  <si>
    <t>Repertoire (combined base class and subclass)</t>
  </si>
  <si>
    <t>6 cantrips</t>
  </si>
  <si>
    <t>Major Curse</t>
  </si>
  <si>
    <t>Extreme curse</t>
  </si>
  <si>
    <t>Oracular Clarity</t>
  </si>
  <si>
    <t>Mysteries</t>
  </si>
  <si>
    <t>ClassAbility4</t>
  </si>
  <si>
    <t>Curses give benefits as well as negative effects</t>
  </si>
  <si>
    <t>Mystery gives special abilites, a focus and domain focus spell, an extra cantrip to repertiore, extra skill(s)</t>
  </si>
  <si>
    <t>cast another focus spell before becoming overwhelmed and progress your curse instead</t>
  </si>
  <si>
    <t>cast another focus spell before becoming overwhelmed and progress your curse instead, extreme curse gives a failed roll fortune reroll every ten minutes</t>
  </si>
  <si>
    <t>Oracular Curse, focus spells give great power but with cursed consequences</t>
  </si>
  <si>
    <t>gain Domain spells through feats</t>
  </si>
  <si>
    <t>curses can give damage and other bonuses</t>
  </si>
  <si>
    <t>SkillIncreaseExtra-L07</t>
  </si>
  <si>
    <t>T/T/M</t>
  </si>
  <si>
    <t>Skills INT+5*: 3+Religion+1 or more per Mystery</t>
  </si>
  <si>
    <t>Focus Spells: Revelation Spells, these increase your curse, and you can't cast cursebound spells without a curse</t>
  </si>
  <si>
    <t>Free focus spell: 2, one from mystery and one from domain of that mystery (which gains the cursebound trait)</t>
  </si>
  <si>
    <t>Components: can use somatic to replace materials</t>
  </si>
  <si>
    <t>Bloodline Paragon</t>
  </si>
  <si>
    <t>Bloodlines</t>
  </si>
  <si>
    <t>SkillIncreaseExtra-L08</t>
  </si>
  <si>
    <t>L08</t>
  </si>
  <si>
    <t>10th level spell slot and 2 10th level spells in repertoire (can't use quick casting)</t>
  </si>
  <si>
    <t>Blood Magic adds bonuses when using bloodline spells or granted spells</t>
  </si>
  <si>
    <t>Skills INT+4: 2+2 per bloodline</t>
  </si>
  <si>
    <t>Focus Spells: Bloodline Spells</t>
  </si>
  <si>
    <t>SkillIncreaseExtra-L09</t>
  </si>
  <si>
    <t xml:space="preserve">Eidolons </t>
  </si>
  <si>
    <t>Unlimited Signature Spells</t>
  </si>
  <si>
    <t>Eidolon Symbiosis</t>
  </si>
  <si>
    <t>Eidolon Transcendence</t>
  </si>
  <si>
    <t>Instant Manifestation</t>
  </si>
  <si>
    <t>Eidolons</t>
  </si>
  <si>
    <t>Evolution Feat at lvl 1</t>
  </si>
  <si>
    <t>free heightening for all spells</t>
  </si>
  <si>
    <t>new ability/feature for Eidolon</t>
  </si>
  <si>
    <t>new ability/feature for Eidolon and ability score increase for it</t>
  </si>
  <si>
    <t>Manifest Eidolon is now a single action</t>
  </si>
  <si>
    <t>Action: Manifest Eidolon</t>
  </si>
  <si>
    <t>Action: Act Together</t>
  </si>
  <si>
    <t>Action: Share Senses</t>
  </si>
  <si>
    <t>Weapon (Summoner)</t>
  </si>
  <si>
    <t>Weapon (Eidolon unarmed strikes)</t>
  </si>
  <si>
    <t>Eidelon shares armor runes and handwraps of mighty blows or invested weapon runes</t>
  </si>
  <si>
    <t>Armor (Summoner)</t>
  </si>
  <si>
    <t>SkillIncreaseExtra-L10</t>
  </si>
  <si>
    <t>L10</t>
  </si>
  <si>
    <t>Divine Defense</t>
  </si>
  <si>
    <t>Armor (Eidolon)</t>
  </si>
  <si>
    <t>Lvl 1 Class Feat for Eidolon evolution feat</t>
  </si>
  <si>
    <t>Skills INT+4*: 3+1 or more based on Eidolon</t>
  </si>
  <si>
    <t>Focus Spells: Link Spells/Link Cantrips (cantrips don't cost a focus point)</t>
  </si>
  <si>
    <t>Free focus spell: Evolution Surge</t>
  </si>
  <si>
    <t>Free focus cantrip: Boost Eidolon</t>
  </si>
  <si>
    <t>Spontaneous Spells slots (combined base class and subclass)</t>
  </si>
  <si>
    <t>COMMON TO ALL CLASSES:</t>
  </si>
  <si>
    <t>Feats:</t>
  </si>
  <si>
    <t>Skill</t>
  </si>
  <si>
    <t>SkillIncreaseExtra-L11</t>
  </si>
  <si>
    <t>General</t>
  </si>
  <si>
    <t>Ancestry</t>
  </si>
  <si>
    <t>Ancestry, Background</t>
  </si>
  <si>
    <t>Skill Increase-Expert</t>
  </si>
  <si>
    <t>Skill Increase-Master</t>
  </si>
  <si>
    <t>Skill Increase-Legendary</t>
  </si>
  <si>
    <t>Ability boosts: At 5th level and every 5 levels thereafter, boost four different ability scores. You can use these boosts to increase ability scores above 18. Boosting an ability score increases it by 1 if it’s already 18 or above, or by 2 if it starts out below 18</t>
  </si>
  <si>
    <t>Ability Boosts</t>
  </si>
  <si>
    <t>Format for armor proficiency features: "Light Armor Expertise, Light Armor Mastery"</t>
  </si>
  <si>
    <t>Format for weapon proficiency features: "Simple Weapon Expertise, Simple Weapon Mastery"</t>
  </si>
  <si>
    <t>WS: Weapon Specialization (+2/+3/+4 damage at Expert/Master/Legendary)</t>
  </si>
  <si>
    <t>7th for martials, 13th for casters</t>
  </si>
  <si>
    <t>GWS: Greater Weapon Specialization (+4/+6/+8 damage at Expert/Master/Legendary)</t>
  </si>
  <si>
    <t>15th for martials</t>
  </si>
  <si>
    <t>CS: Critical Specialization</t>
  </si>
  <si>
    <t>AS: Armor Specialization</t>
  </si>
  <si>
    <t>SkillIncreaseExtra-L12</t>
  </si>
  <si>
    <t>L12</t>
  </si>
  <si>
    <t>Focus cantrips are just a way to lock cantrips to a class instead of anyone being able to learn them</t>
  </si>
  <si>
    <t>Class DC:  Martials and Martial casters get E at 9 and M at 17 ( except Swashbuckler gets M at 19)</t>
  </si>
  <si>
    <t>Class DC: Barbarian/Fighter/Investigator/Warpriest Cleric get E at 11 and M at 19</t>
  </si>
  <si>
    <t>Class DC: Skill classes (rogue/ranger) get expert around 9 or 11 and never get master (surprised Investigator is not in this group?)</t>
  </si>
  <si>
    <t>Spell DC: main casters get Expert at 7, M at 15, L at 19</t>
  </si>
  <si>
    <t>Spell DC: Martial casters magus/summoner get E at 9, M at 17</t>
  </si>
  <si>
    <t>SkillIncreaseExtra-L13</t>
  </si>
  <si>
    <t>SkillIncreaseExtra-L14</t>
  </si>
  <si>
    <t>L14</t>
  </si>
  <si>
    <t>SubclassAbility1</t>
  </si>
  <si>
    <t>Divine Smite</t>
  </si>
  <si>
    <t>Exalt</t>
  </si>
  <si>
    <t>SkillIncreaseExtra-L15</t>
  </si>
  <si>
    <t>SkillIncreaseExtra-L16</t>
  </si>
  <si>
    <t>L16</t>
  </si>
  <si>
    <t>SkillIncreaseExtra-L17</t>
  </si>
  <si>
    <t>SkillIncreaseExtra-L18</t>
  </si>
  <si>
    <t>L18</t>
  </si>
  <si>
    <t>SkillIncreaseExtra-L19</t>
  </si>
  <si>
    <t>SkillIncreaseExtra-L20</t>
  </si>
  <si>
    <t>L20</t>
  </si>
  <si>
    <t>SkillIncreaseExtraTotal</t>
  </si>
  <si>
    <t>SkillFeatExtra-L01</t>
  </si>
  <si>
    <t>Totals:</t>
  </si>
  <si>
    <t>SubclassAbility2</t>
  </si>
  <si>
    <t>Size</t>
  </si>
  <si>
    <t>Speed</t>
  </si>
  <si>
    <t>Ability Boost 1</t>
  </si>
  <si>
    <t>Ability Boost 2</t>
  </si>
  <si>
    <t>Ability Boost 3</t>
  </si>
  <si>
    <t>Ability Flaw</t>
  </si>
  <si>
    <t>Languages</t>
  </si>
  <si>
    <t>Ability 1</t>
  </si>
  <si>
    <t>Ability 2</t>
  </si>
  <si>
    <t>Ability 3</t>
  </si>
  <si>
    <t>Extra traits</t>
  </si>
  <si>
    <t>Heritage value</t>
  </si>
  <si>
    <t>Core (Common) Ancestries</t>
  </si>
  <si>
    <t>Dwarf</t>
  </si>
  <si>
    <t>Stats:</t>
  </si>
  <si>
    <t>MED</t>
  </si>
  <si>
    <t>FREE</t>
  </si>
  <si>
    <t>Darkvision</t>
  </si>
  <si>
    <t>Clan Dagger</t>
  </si>
  <si>
    <t>humanoid</t>
  </si>
  <si>
    <t>Points:</t>
  </si>
  <si>
    <t>SkillFeatExtra-L02</t>
  </si>
  <si>
    <t>Elf</t>
  </si>
  <si>
    <t>Low-light vision</t>
  </si>
  <si>
    <t>SkillFeatExtra-L03</t>
  </si>
  <si>
    <t>Gnome</t>
  </si>
  <si>
    <t>SM</t>
  </si>
  <si>
    <t>Goblin</t>
  </si>
  <si>
    <t>SkillFeatExtra-L04</t>
  </si>
  <si>
    <t>Halfling</t>
  </si>
  <si>
    <t>Keen Eyes</t>
  </si>
  <si>
    <t>Human</t>
  </si>
  <si>
    <t>SkillFeatExtra-L05</t>
  </si>
  <si>
    <t>Uncommon Ancestries</t>
  </si>
  <si>
    <t>Azarketi</t>
  </si>
  <si>
    <t>swim 20 ft</t>
  </si>
  <si>
    <t>hydration flaw?</t>
  </si>
  <si>
    <t>humanoid, amphibious</t>
  </si>
  <si>
    <t>-neg?</t>
  </si>
  <si>
    <t>Catfolk</t>
  </si>
  <si>
    <t>land on your feet</t>
  </si>
  <si>
    <t>SkillFeatExtra-L06</t>
  </si>
  <si>
    <t>?</t>
  </si>
  <si>
    <t>Fetchling</t>
  </si>
  <si>
    <t>Gnoll</t>
  </si>
  <si>
    <t>bite</t>
  </si>
  <si>
    <t>SkillFeatExtra-L07</t>
  </si>
  <si>
    <t>Grippli</t>
  </si>
  <si>
    <t>Hobgoblin</t>
  </si>
  <si>
    <t>Kitsune</t>
  </si>
  <si>
    <t>change shape</t>
  </si>
  <si>
    <t>SkillFeatExtra-L08</t>
  </si>
  <si>
    <t>Kobold</t>
  </si>
  <si>
    <t>draconic exemplar</t>
  </si>
  <si>
    <t>Leshy</t>
  </si>
  <si>
    <t>plant nourishment</t>
  </si>
  <si>
    <t>plant</t>
  </si>
  <si>
    <t>SkillFeatExtra-L09</t>
  </si>
  <si>
    <t>Lizardfolk</t>
  </si>
  <si>
    <t>aquatic adaptation</t>
  </si>
  <si>
    <t>claws</t>
  </si>
  <si>
    <t>Orc</t>
  </si>
  <si>
    <t>SkillFeatExtra-L10</t>
  </si>
  <si>
    <t>Ratfolk</t>
  </si>
  <si>
    <t>Tengu</t>
  </si>
  <si>
    <t>sharp beak</t>
  </si>
  <si>
    <t>SkillFeatExtra-L11</t>
  </si>
  <si>
    <t>Rare Ancestries</t>
  </si>
  <si>
    <t>Anadi</t>
  </si>
  <si>
    <t>Android</t>
  </si>
  <si>
    <t>SkillFeatExtra-L12</t>
  </si>
  <si>
    <t>Automaton</t>
  </si>
  <si>
    <t>Conrasu</t>
  </si>
  <si>
    <t>Fleshwarp</t>
  </si>
  <si>
    <t>SkillFeatExtra-L13</t>
  </si>
  <si>
    <t>Goloma</t>
  </si>
  <si>
    <t>Poppet</t>
  </si>
  <si>
    <t>SkillFeatExtra-L14</t>
  </si>
  <si>
    <t>Shisk</t>
  </si>
  <si>
    <t>Shoony</t>
  </si>
  <si>
    <t>Skeleton</t>
  </si>
  <si>
    <t>SkillFeatExtra-L15</t>
  </si>
  <si>
    <t>Sprite</t>
  </si>
  <si>
    <t>Strix</t>
  </si>
  <si>
    <t>SkillFeatExtra-L16</t>
  </si>
  <si>
    <t>SkillFeatExtra-L17</t>
  </si>
  <si>
    <t>SkillFeatExtra-L18</t>
  </si>
  <si>
    <t>SkillFeatExtra-L19</t>
  </si>
  <si>
    <t>SkillFeatExtra-L20</t>
  </si>
  <si>
    <t>SkillFeatExtraTotal</t>
  </si>
  <si>
    <t>ATTACK TOTAL:</t>
  </si>
  <si>
    <t>Final Doctrine</t>
  </si>
  <si>
    <t>WeaponCriticalSpecialization</t>
  </si>
  <si>
    <t>WeaponSpecialization</t>
  </si>
  <si>
    <t>DC</t>
  </si>
  <si>
    <t>ClassDC</t>
  </si>
  <si>
    <t>WeaponGreaterSpecialization</t>
  </si>
  <si>
    <t>UnarmedTrained</t>
  </si>
  <si>
    <t>UnarmedExpert</t>
  </si>
  <si>
    <t>UnarmedMaster</t>
  </si>
  <si>
    <t>UnarmedLegendary</t>
  </si>
  <si>
    <t>SimpleLimitedTrained</t>
  </si>
  <si>
    <t>SimpleLimitedExpert</t>
  </si>
  <si>
    <t>SimpleLimitedMaster</t>
  </si>
  <si>
    <t>SimpleLimitedLegendary</t>
  </si>
  <si>
    <t>SimpleTrained</t>
  </si>
  <si>
    <t>SimpleExpert</t>
  </si>
  <si>
    <t>SimpleMaster</t>
  </si>
  <si>
    <t>SimpleLegendary</t>
  </si>
  <si>
    <t>MartialLimitedTrained</t>
  </si>
  <si>
    <t>MartialLimitedExpert</t>
  </si>
  <si>
    <t>MartialLimitedMaster</t>
  </si>
  <si>
    <t>MartialLimitedLegendary</t>
  </si>
  <si>
    <t>MartialTrained</t>
  </si>
  <si>
    <t>SpellDC</t>
  </si>
  <si>
    <t>MartialExpert</t>
  </si>
  <si>
    <t>MartialMaster</t>
  </si>
  <si>
    <t>MartialLegendary</t>
  </si>
  <si>
    <t>AdvancedGroupTrained</t>
  </si>
  <si>
    <t>AdvancedGroupExpert</t>
  </si>
  <si>
    <t>AdvancedGroupMaster</t>
  </si>
  <si>
    <t>AdvancedGroupLegendary</t>
  </si>
  <si>
    <t>AdvancedTrained</t>
  </si>
  <si>
    <t>AdvancedExpert</t>
  </si>
  <si>
    <t>AdvancedMaster</t>
  </si>
  <si>
    <t>AdvancedLegendary</t>
  </si>
  <si>
    <t>Only use the checkboxes, do not change any values here.</t>
  </si>
  <si>
    <t>DEFENSE TOTAL:</t>
  </si>
  <si>
    <t>AutoCalculator: (do not change anything here)</t>
  </si>
  <si>
    <t>Manual Dual Class Calculator: use the checkboxes to select the features you want to include</t>
  </si>
  <si>
    <t>CHOOSE YOUR DUAL CLASSES--&gt;</t>
  </si>
  <si>
    <t>Features↓</t>
  </si>
  <si>
    <t>PC LVL</t>
  </si>
  <si>
    <t>SpellLvl</t>
  </si>
  <si>
    <t>CLASSPOINTS</t>
  </si>
  <si>
    <t>ArmorSpecialization</t>
  </si>
  <si>
    <t>FEATURES1</t>
  </si>
  <si>
    <t>FEATURES2</t>
  </si>
  <si>
    <t>POINTS</t>
  </si>
  <si>
    <t>UnarmoredTrained</t>
  </si>
  <si>
    <t>UnarmoredExpert</t>
  </si>
  <si>
    <t>UnarmoredMaster</t>
  </si>
  <si>
    <t>Class DC Key:</t>
  </si>
  <si>
    <t>UnarmoredLegendary</t>
  </si>
  <si>
    <t>Spell DC Key:</t>
  </si>
  <si>
    <t>LightTrained</t>
  </si>
  <si>
    <t>LightExpert</t>
  </si>
  <si>
    <t>LightMaster</t>
  </si>
  <si>
    <t>LightLegendary</t>
  </si>
  <si>
    <t>MediumTrained</t>
  </si>
  <si>
    <t>MediumExpert</t>
  </si>
  <si>
    <t>MediumMaster</t>
  </si>
  <si>
    <t>MediumLegendary</t>
  </si>
  <si>
    <t>HeavyTrained</t>
  </si>
  <si>
    <t>HeavyExpert</t>
  </si>
  <si>
    <t>HeavyMaster</t>
  </si>
  <si>
    <t>HeavyLegendary</t>
  </si>
  <si>
    <t>CANTRIPS TOTAL:</t>
  </si>
  <si>
    <t>CantripSlots-L00</t>
  </si>
  <si>
    <t>5</t>
  </si>
  <si>
    <t>CantripsLearned-L00</t>
  </si>
  <si>
    <t>8</t>
  </si>
  <si>
    <t>6</t>
  </si>
  <si>
    <t>SPELL SLOTS TOTAL:</t>
  </si>
  <si>
    <t>SPL01-L01</t>
  </si>
  <si>
    <t>S01</t>
  </si>
  <si>
    <t>1</t>
  </si>
  <si>
    <t>2</t>
  </si>
  <si>
    <t>3</t>
  </si>
  <si>
    <t>SPL01-L02</t>
  </si>
  <si>
    <t>SPL02-L03</t>
  </si>
  <si>
    <t>S02</t>
  </si>
  <si>
    <t>SPL02-L04</t>
  </si>
  <si>
    <t>SPL03-L05</t>
  </si>
  <si>
    <t>S03</t>
  </si>
  <si>
    <t>SPL03-L06</t>
  </si>
  <si>
    <t>SPL04-L07</t>
  </si>
  <si>
    <t>S04</t>
  </si>
  <si>
    <t>Saves</t>
  </si>
  <si>
    <t>FortitudeSave</t>
  </si>
  <si>
    <t>SPL04-L08</t>
  </si>
  <si>
    <t>SPL05-L09</t>
  </si>
  <si>
    <t>S05</t>
  </si>
  <si>
    <t>SPL05-L10</t>
  </si>
  <si>
    <t>SPL06-L11</t>
  </si>
  <si>
    <t>S06</t>
  </si>
  <si>
    <t>SPL06-L12</t>
  </si>
  <si>
    <t>SPL07-L13</t>
  </si>
  <si>
    <t>S07</t>
  </si>
  <si>
    <t>SPL07-L14</t>
  </si>
  <si>
    <t>SPL08-L15</t>
  </si>
  <si>
    <t>S08</t>
  </si>
  <si>
    <t>SPL08-L16</t>
  </si>
  <si>
    <t>SPL09-L17</t>
  </si>
  <si>
    <t>S09</t>
  </si>
  <si>
    <t>SPL09-L18</t>
  </si>
  <si>
    <t>SPL10-L19</t>
  </si>
  <si>
    <t>S10</t>
  </si>
  <si>
    <t>SPL10-L20</t>
  </si>
  <si>
    <t>LEARNED SPELLS/FORMULAS TOTAL:</t>
  </si>
  <si>
    <t>Learned-L01</t>
  </si>
  <si>
    <t>ReflexSave</t>
  </si>
  <si>
    <t>4</t>
  </si>
  <si>
    <t>Learned-L02</t>
  </si>
  <si>
    <t>Learned-L03</t>
  </si>
  <si>
    <t>Learned-L04</t>
  </si>
  <si>
    <t>Learned-L05</t>
  </si>
  <si>
    <t>Learned-L06</t>
  </si>
  <si>
    <t>Learned-L07</t>
  </si>
  <si>
    <t>Learned-L08</t>
  </si>
  <si>
    <t>Learned-L09</t>
  </si>
  <si>
    <t>Learned-L10</t>
  </si>
  <si>
    <t>Learned-L11</t>
  </si>
  <si>
    <t>Learned-L12</t>
  </si>
  <si>
    <t>Learned-L13</t>
  </si>
  <si>
    <t>Learned-L14</t>
  </si>
  <si>
    <t>Learned-L15</t>
  </si>
  <si>
    <t>Learned-L16</t>
  </si>
  <si>
    <t>Learned-L17</t>
  </si>
  <si>
    <t>Learned-L18</t>
  </si>
  <si>
    <t>WillSave</t>
  </si>
  <si>
    <t>Learned-L19</t>
  </si>
  <si>
    <t>Learned-L20</t>
  </si>
  <si>
    <t>FOCUS SPELLS TOTAL:</t>
  </si>
  <si>
    <t>FocusSpell1-L00</t>
  </si>
  <si>
    <t>Evolution Surge Link Spell</t>
  </si>
  <si>
    <t>Hybrid Study Conflux Spell</t>
  </si>
  <si>
    <t>Counter Performance</t>
  </si>
  <si>
    <t>Subclass Revalation Spell</t>
  </si>
  <si>
    <t>Subclass Order Spell</t>
  </si>
  <si>
    <t>Unique Psi Cantrip 1</t>
  </si>
  <si>
    <t>Subclass School Spell</t>
  </si>
  <si>
    <t>Phase Familiar</t>
  </si>
  <si>
    <t>Subclass Bloodline Spell</t>
  </si>
  <si>
    <t>FocusSpell2-L00</t>
  </si>
  <si>
    <t>Boost Eidolon Link Cantrip</t>
  </si>
  <si>
    <t>Inspire Courage</t>
  </si>
  <si>
    <t>Domain Spell</t>
  </si>
  <si>
    <t>Unique Psi Cantrip 3</t>
  </si>
  <si>
    <t>Subclass Hex Cantrip</t>
  </si>
  <si>
    <t>FocusSpell3-L00</t>
  </si>
  <si>
    <t>Unique Psi Cantrip 5</t>
  </si>
  <si>
    <t>FocusSpell4-L00</t>
  </si>
  <si>
    <t>FocusSpell5-L00</t>
  </si>
  <si>
    <t>FocusSpellsInitialTotal</t>
  </si>
  <si>
    <t>CLASS ABILITIES TOTAL:</t>
  </si>
  <si>
    <t>ClassInitialAbility1-L00</t>
  </si>
  <si>
    <t>Reaction: Attack of Opportunity</t>
  </si>
  <si>
    <t>Skill Feats</t>
  </si>
  <si>
    <t>Strategic Strike</t>
  </si>
  <si>
    <t>Singular Expertise</t>
  </si>
  <si>
    <t>Summoner Spellcasting</t>
  </si>
  <si>
    <t>Arcane Spellcasting</t>
  </si>
  <si>
    <t>Occult Spellcasting</t>
  </si>
  <si>
    <t>Primal Spellcasting</t>
  </si>
  <si>
    <t>Psychic Spellcasting</t>
  </si>
  <si>
    <t>Witch Spellcasting</t>
  </si>
  <si>
    <t>Sorcerer Spellcasting</t>
  </si>
  <si>
    <t>ClassInitialAbility2-L00</t>
  </si>
  <si>
    <t>Powerful Fist</t>
  </si>
  <si>
    <t>Pursue a Lead</t>
  </si>
  <si>
    <t>First Implement and Esoterica</t>
  </si>
  <si>
    <t>Panache</t>
  </si>
  <si>
    <t>Attack</t>
  </si>
  <si>
    <t>WeaponCS/WS/GWS</t>
  </si>
  <si>
    <t>Infused Reagents</t>
  </si>
  <si>
    <t>Kinetic Aura</t>
  </si>
  <si>
    <t>Spell Repertoire</t>
  </si>
  <si>
    <t>Spellbook</t>
  </si>
  <si>
    <t>Familiar</t>
  </si>
  <si>
    <t>ClassInitialAbility3-L00</t>
  </si>
  <si>
    <t>Surprise Attack</t>
  </si>
  <si>
    <t>Reaction: Clue In</t>
  </si>
  <si>
    <t>Action: Exploit Vulnerability</t>
  </si>
  <si>
    <t>Peerless Inventor</t>
  </si>
  <si>
    <t>Advanced Alchemy</t>
  </si>
  <si>
    <t>Action: Channel Elements</t>
  </si>
  <si>
    <t>Action: Arcane Cascade</t>
  </si>
  <si>
    <t>Composition Spells</t>
  </si>
  <si>
    <t>Revelation Spells</t>
  </si>
  <si>
    <t>Druidic Language</t>
  </si>
  <si>
    <t>Psi Cantrips and Amps</t>
  </si>
  <si>
    <t>Hexes</t>
  </si>
  <si>
    <t>ClassInitialAbility4-L00</t>
  </si>
  <si>
    <t>Skill Increases</t>
  </si>
  <si>
    <t>Implement's Empowerment</t>
  </si>
  <si>
    <t>Impulses</t>
  </si>
  <si>
    <t>Conflux Spells</t>
  </si>
  <si>
    <t>Unleash Psyche</t>
  </si>
  <si>
    <t>ClassInitialAbility5-L00</t>
  </si>
  <si>
    <t>Formula Book</t>
  </si>
  <si>
    <t>Action: Elemental Blast</t>
  </si>
  <si>
    <t>Wild Empathy</t>
  </si>
  <si>
    <t>ClassInitialAbility6-L00</t>
  </si>
  <si>
    <t>ERRATA: ADDED MEDIUM ARMOR PROFICIENCY</t>
  </si>
  <si>
    <t>Action: Base Kinesis</t>
  </si>
  <si>
    <t>Link Spells</t>
  </si>
  <si>
    <t>ERRATA: ORIGINALLY TRAINED IN CLASS DC BUT REMOVED?</t>
  </si>
  <si>
    <t>ClassInitialAbility7-L00</t>
  </si>
  <si>
    <t>MANUAL ADJUSTMENT: there are 8 initial formulas, but 4 come from the Alchemical crafting feat and 2 from the formula book</t>
  </si>
  <si>
    <t>ERRATA: ORIGINALLY ONLY 4 CANTRIPS</t>
  </si>
  <si>
    <t>ClassInitialAbility8-L00</t>
  </si>
  <si>
    <t>ClassInitialAbility9-L00</t>
  </si>
  <si>
    <t>ClassInitialAbility10-L00</t>
  </si>
  <si>
    <t>ClassAbility1-L03</t>
  </si>
  <si>
    <t>Incredible Movement</t>
  </si>
  <si>
    <t>Keen Recollection</t>
  </si>
  <si>
    <t>Expert Overdrive</t>
  </si>
  <si>
    <t>Action: Extract Element</t>
  </si>
  <si>
    <t>ClassAbility2-L03</t>
  </si>
  <si>
    <t>Mystic Strikes</t>
  </si>
  <si>
    <t>Skillful Lessons</t>
  </si>
  <si>
    <t>Reaction: Opportune Riposte</t>
  </si>
  <si>
    <t>Will Expertise</t>
  </si>
  <si>
    <t>Shared Vigilance</t>
  </si>
  <si>
    <t>ClassAbility3-L03</t>
  </si>
  <si>
    <t>Stylish Tricks</t>
  </si>
  <si>
    <t>ClassAbility4-L03</t>
  </si>
  <si>
    <t>Vivacious Speed</t>
  </si>
  <si>
    <t>ClassAbility1-L05</t>
  </si>
  <si>
    <t>Expert Strikes</t>
  </si>
  <si>
    <t>Ranger Weapon Expertise</t>
  </si>
  <si>
    <t>Weapon Tricks</t>
  </si>
  <si>
    <t>Gunslinger Weapon Mastery</t>
  </si>
  <si>
    <t>Inventor Weapon Expertise</t>
  </si>
  <si>
    <t>Powerful Alchemy</t>
  </si>
  <si>
    <t>Precognitive Reflexes</t>
  </si>
  <si>
    <t>Magical Fortitude</t>
  </si>
  <si>
    <t>ClassAbility2-L05</t>
  </si>
  <si>
    <t>ERRATA: ADDED POWERFUL ALCHEMY</t>
  </si>
  <si>
    <t>Clarity of Focus</t>
  </si>
  <si>
    <t>ClassAbility3-L05</t>
  </si>
  <si>
    <t>ClassAbility4-L05</t>
  </si>
  <si>
    <t>ClassAbility1-L07</t>
  </si>
  <si>
    <t>Alchemical Weapon Expertise</t>
  </si>
  <si>
    <t>Kinetic Durability</t>
  </si>
  <si>
    <t>ClassAbility2-L07</t>
  </si>
  <si>
    <t>Battlefield Surveyor</t>
  </si>
  <si>
    <t>Lightnining Reflexes</t>
  </si>
  <si>
    <t>Kinetic Expertise</t>
  </si>
  <si>
    <t>ClassAbility3-L07</t>
  </si>
  <si>
    <t>Master Overdrive</t>
  </si>
  <si>
    <t>ClassAbility4-L07</t>
  </si>
  <si>
    <t>ClassAbility1-L09</t>
  </si>
  <si>
    <t>Monk Expertise</t>
  </si>
  <si>
    <t>Raging Resistance</t>
  </si>
  <si>
    <t>Ranger Expertise</t>
  </si>
  <si>
    <t>Free Action: Debilitating Strikes</t>
  </si>
  <si>
    <t>Swashbuckler Expertise</t>
  </si>
  <si>
    <t>Gunslinger Expertise</t>
  </si>
  <si>
    <t>Inventive Expertise</t>
  </si>
  <si>
    <t>Alchemical Expertise</t>
  </si>
  <si>
    <t>Perception Expertise</t>
  </si>
  <si>
    <t>ClassAbility2-L09</t>
  </si>
  <si>
    <t>Thaumaturgic Expertise</t>
  </si>
  <si>
    <t>Shared Reflexes</t>
  </si>
  <si>
    <t>ClassAbility3-L09</t>
  </si>
  <si>
    <t>ClassAbility4-L09</t>
  </si>
  <si>
    <t>ClassAbility1-L11</t>
  </si>
  <si>
    <t>Action: Mighty Rage</t>
  </si>
  <si>
    <t>Medium Armor Expertise</t>
  </si>
  <si>
    <t>Rogue Expertise</t>
  </si>
  <si>
    <t>Continuous Flair</t>
  </si>
  <si>
    <t>Simple Weapon Expertise</t>
  </si>
  <si>
    <t>Bard Weapon Expertise</t>
  </si>
  <si>
    <t>Druid Weapon Expertise</t>
  </si>
  <si>
    <t>Weapon Expert</t>
  </si>
  <si>
    <t>Wizard Weapon Expertise</t>
  </si>
  <si>
    <t>ClassAbility2-L11</t>
  </si>
  <si>
    <t>Fighter Expertise</t>
  </si>
  <si>
    <t>Kinetic Quickness</t>
  </si>
  <si>
    <t>Extrasensory Perception</t>
  </si>
  <si>
    <t>ClassAbility3-L11</t>
  </si>
  <si>
    <t>Reflow Elements</t>
  </si>
  <si>
    <t>Twin Juggernauts</t>
  </si>
  <si>
    <t>Walls of Will</t>
  </si>
  <si>
    <t>ClassAbility4-L11</t>
  </si>
  <si>
    <t>ClassAbility1-L13</t>
  </si>
  <si>
    <t>Weapon Fury</t>
  </si>
  <si>
    <t>Master Tricks</t>
  </si>
  <si>
    <t>Gunslinging Legend</t>
  </si>
  <si>
    <t>Inventor Weapon Mastery</t>
  </si>
  <si>
    <t>ClassAbility2-L13</t>
  </si>
  <si>
    <t>Graceful Mastery</t>
  </si>
  <si>
    <t>Light Armor Expertise</t>
  </si>
  <si>
    <t>Defensive Robes</t>
  </si>
  <si>
    <t>Personal Barrier</t>
  </si>
  <si>
    <t>ClassAbility3-L13</t>
  </si>
  <si>
    <t>ClassAbility4-L13</t>
  </si>
  <si>
    <t>ClassAbility1-L15</t>
  </si>
  <si>
    <t>Kinetic Mastery</t>
  </si>
  <si>
    <t>Shared Resolve</t>
  </si>
  <si>
    <t>ClassAbility2-L15</t>
  </si>
  <si>
    <t>Indomitable Will</t>
  </si>
  <si>
    <t>Keen Flair</t>
  </si>
  <si>
    <t>Legendary Overdrive</t>
  </si>
  <si>
    <t>Greater Kinetic Durability</t>
  </si>
  <si>
    <t>ClassAbility3-L15</t>
  </si>
  <si>
    <t>ClassAbility4-L15</t>
  </si>
  <si>
    <t>ClassAbility1-L17</t>
  </si>
  <si>
    <t>Graceful Legend</t>
  </si>
  <si>
    <t>Slippery Mind</t>
  </si>
  <si>
    <t>Thaumaturgic Mastery</t>
  </si>
  <si>
    <t>Shootist's Edge</t>
  </si>
  <si>
    <t>Inventive Mastery</t>
  </si>
  <si>
    <t>Alchemical Mastery</t>
  </si>
  <si>
    <t>Double Reflow</t>
  </si>
  <si>
    <t>Fortress of Will</t>
  </si>
  <si>
    <t>ERRATA: Resolve</t>
  </si>
  <si>
    <t>ClassAbility2-L17</t>
  </si>
  <si>
    <t>Heightened Senses</t>
  </si>
  <si>
    <t>Medium Armor Mastery</t>
  </si>
  <si>
    <t>ERRATA?: MISTAKE OR INTENTIONAL?</t>
  </si>
  <si>
    <t>ClassAbility3-L17</t>
  </si>
  <si>
    <t>ClassAbility4-L17</t>
  </si>
  <si>
    <t>ClassAbility1-L19</t>
  </si>
  <si>
    <t>Perfected Form</t>
  </si>
  <si>
    <t>Swift Prey</t>
  </si>
  <si>
    <t>Free Action: Master Strike</t>
  </si>
  <si>
    <t>Unlimited Esoterica</t>
  </si>
  <si>
    <t>Eternal Confidence</t>
  </si>
  <si>
    <t>Infinite Invention</t>
  </si>
  <si>
    <t>Light Armor Mastery</t>
  </si>
  <si>
    <t>Final Gate</t>
  </si>
  <si>
    <t>Infinite Mind</t>
  </si>
  <si>
    <t>Patron's Gift</t>
  </si>
  <si>
    <t>ClassAbility2-L19</t>
  </si>
  <si>
    <t>Armor of Fury</t>
  </si>
  <si>
    <t>Second Skin</t>
  </si>
  <si>
    <t>Kinetic Legend</t>
  </si>
  <si>
    <t>ClassAbility3-L19</t>
  </si>
  <si>
    <t>ClassAbility4-L19</t>
  </si>
  <si>
    <t>SUBCLASS ABILITIES TOTAL:</t>
  </si>
  <si>
    <t>SubclassName</t>
  </si>
  <si>
    <t>Implements</t>
  </si>
  <si>
    <t>Kinetic Gate</t>
  </si>
  <si>
    <t>Subconscious Mind</t>
  </si>
  <si>
    <t>SubclassInitial1-L00</t>
  </si>
  <si>
    <t>Instinct Rage ability</t>
  </si>
  <si>
    <t>Initial Hunters Edge</t>
  </si>
  <si>
    <t>Initial Racket</t>
  </si>
  <si>
    <t>Initial Methodology</t>
  </si>
  <si>
    <t>First Implement</t>
  </si>
  <si>
    <t>Initial Style</t>
  </si>
  <si>
    <t>Initial Deed</t>
  </si>
  <si>
    <t>Basic Modification</t>
  </si>
  <si>
    <t>Research Fields initial</t>
  </si>
  <si>
    <t>Single or Dual Gate</t>
  </si>
  <si>
    <t>Initial Eidolon Ability</t>
  </si>
  <si>
    <t>Initial Hybrid Study bonuses</t>
  </si>
  <si>
    <t>Initial Muse bonuses</t>
  </si>
  <si>
    <t>Initial Mystery</t>
  </si>
  <si>
    <t>Initial Order bonuses</t>
  </si>
  <si>
    <t>Conscious Mind</t>
  </si>
  <si>
    <t>Initial School bonuses</t>
  </si>
  <si>
    <t>Initial Patron Theme</t>
  </si>
  <si>
    <t>Blood Magic</t>
  </si>
  <si>
    <t>SubclassInitial2-L00</t>
  </si>
  <si>
    <t>Instinct Ability</t>
  </si>
  <si>
    <t>Initiate Benefit</t>
  </si>
  <si>
    <t>Slinger's Reload</t>
  </si>
  <si>
    <t>ERRATA: BASIC FIELD DISCOVERY ADDED</t>
  </si>
  <si>
    <t>Evolution Feat</t>
  </si>
  <si>
    <t>Oracular Curse</t>
  </si>
  <si>
    <t>Action: Psyche Action</t>
  </si>
  <si>
    <t>Arcane Thesis</t>
  </si>
  <si>
    <t>Lessons</t>
  </si>
  <si>
    <t>SubclassInitial3-L00</t>
  </si>
  <si>
    <t>Eidolon rules</t>
  </si>
  <si>
    <t>Moderate Curse</t>
  </si>
  <si>
    <t>SubclassInitial4-L00</t>
  </si>
  <si>
    <t>Eidolon Unarmed Training</t>
  </si>
  <si>
    <t>SubclassInitial5-L00</t>
  </si>
  <si>
    <t>Eidolon Unarmored Training</t>
  </si>
  <si>
    <t>SubclassInitial6-L00</t>
  </si>
  <si>
    <t>SubclassInitial7-L00</t>
  </si>
  <si>
    <t>SubclassInitial8-L00</t>
  </si>
  <si>
    <t>SubclassInitial9-L00</t>
  </si>
  <si>
    <t>SubclassInitial10-L00</t>
  </si>
  <si>
    <t>SubclassAbility1-L03</t>
  </si>
  <si>
    <t>Reconfigure</t>
  </si>
  <si>
    <t>SubclassAbility2-L03</t>
  </si>
  <si>
    <t>SubclassAbility1-L05</t>
  </si>
  <si>
    <t>Second Implement</t>
  </si>
  <si>
    <t>Field Discovery</t>
  </si>
  <si>
    <t>Gates Threshold</t>
  </si>
  <si>
    <t>Eidolon Unarmed Expertise</t>
  </si>
  <si>
    <t>SubclassAbility2-L05</t>
  </si>
  <si>
    <t>Free Action: Switch Implements</t>
  </si>
  <si>
    <t>SubclassAbility1-L07</t>
  </si>
  <si>
    <t>Specialization Ability</t>
  </si>
  <si>
    <t>Implement Adept: Adept Benefit</t>
  </si>
  <si>
    <t>Breakthrough Innovation</t>
  </si>
  <si>
    <t>Studious Spells</t>
  </si>
  <si>
    <t>SubclassAbility2-L07</t>
  </si>
  <si>
    <t>Eidolon Weapon Specialization</t>
  </si>
  <si>
    <t>SubclassAbility1-L09</t>
  </si>
  <si>
    <t>Action: Intensify Vulnerability</t>
  </si>
  <si>
    <t>Exemplary Finisher</t>
  </si>
  <si>
    <t>Offensive Boost</t>
  </si>
  <si>
    <t>SubclassAbility2-L09</t>
  </si>
  <si>
    <t>SubclassAbility1-L11</t>
  </si>
  <si>
    <t>Second Adept</t>
  </si>
  <si>
    <t>Eidolon Defensive Expertise</t>
  </si>
  <si>
    <t>SubclassAbility2-L11</t>
  </si>
  <si>
    <t>SubclassAbility1-L13</t>
  </si>
  <si>
    <t>Complete Reconfiguration</t>
  </si>
  <si>
    <t>Eidolon Unarmed Mastery</t>
  </si>
  <si>
    <t>SubclassAbility2-L13</t>
  </si>
  <si>
    <t>SubclassAbility1-L15</t>
  </si>
  <si>
    <t>Third Implement</t>
  </si>
  <si>
    <t>Revolutionary Innovation</t>
  </si>
  <si>
    <t>Greater Eidolon Specialization</t>
  </si>
  <si>
    <t>SubclassAbility2-L15</t>
  </si>
  <si>
    <t>SubclassAbility1-L17</t>
  </si>
  <si>
    <t>Masterful Hunter Upgrade</t>
  </si>
  <si>
    <t>Implement Paragon: Paragon Benefit</t>
  </si>
  <si>
    <t>Extreme Curse</t>
  </si>
  <si>
    <t>SubclassAbility2-L17</t>
  </si>
  <si>
    <t>SubclassAbility1-L19</t>
  </si>
  <si>
    <t>Eidolon Defensive Mastery</t>
  </si>
  <si>
    <t>SubclassAbility2-L19</t>
  </si>
  <si>
    <t>+H3M4+H15+16H+</t>
  </si>
  <si>
    <t>This product is compliant with the Open Game License (OGL) and is suitable for use with second edition Open Game Content. Use of the BCS does not guarantee balance or compatibility.</t>
  </si>
  <si>
    <r>
      <rPr>
        <rFont val="Arial"/>
        <b/>
        <color theme="1"/>
      </rPr>
      <t xml:space="preserve">Declaration of Product Identity: </t>
    </r>
    <r>
      <rPr>
        <rFont val="Arial"/>
        <color theme="1"/>
      </rPr>
      <t>Trade dress, product line names "BCS" and "Balanced Core System" and "Balanced Class System" , and the BCS logo are Product Identity as described in Open Game License Version 1.0a section 1(e) and are not for use as product names or titles or in marketing materials without permission.</t>
    </r>
  </si>
  <si>
    <t>If you have questions about this product identity, open content, or licensing for the BCS name or logo, please contact RPGLazarusDark@gmail.com</t>
  </si>
  <si>
    <r>
      <rPr>
        <rFont val="Arial"/>
        <b/>
        <color theme="1"/>
      </rPr>
      <t xml:space="preserve">Declaration of Open Content: </t>
    </r>
    <r>
      <rPr>
        <rFont val="Arial"/>
        <color theme="1"/>
      </rPr>
      <t>Except for material designated as Product Identity, the game mechanics, class features and abilities, class-archetypes, and feats of this document are Open Game Content, as defined in the Open Game License version 1.0a, Section 1(d). No portion of this work other than the material designated as Open Game Content may be reproduced in any form without written permission.</t>
    </r>
  </si>
  <si>
    <r>
      <rPr>
        <rFont val="Arial"/>
        <b/>
        <color theme="1"/>
      </rPr>
      <t>Balanced Class System (BCS)</t>
    </r>
    <r>
      <rPr>
        <rFont val="Arial"/>
        <color theme="1"/>
      </rPr>
      <t xml:space="preserve"> © 2022, Lazarus Dark. All rights reserved. The "Balanced Core System", "Balanced Class System", "BCS", the BCS logo and the "LD Archer" logo are trademarks of Lazarus Dark. No use of these trademarks without permission.</t>
    </r>
  </si>
  <si>
    <r>
      <rPr>
        <rFont val="Arial"/>
        <color theme="1"/>
      </rPr>
      <t xml:space="preserve">Open Game License Version 1.0a
The following text is the property of Wizards of the Coast, Inc. and is Copyright 2000 Wizards of the Coast, Inc. (“Wizards”). All Rights Reserved.
1. Definitions: (a) “Contributors” means the copyright and/or trademark owners who have contributed Open Game Content; (b) “Derivative Material” means copyrighted material including derivative works and translations (including into other computer languages), potation, modification, correction, addition, extension, upgrade, improvement, compilation, abridgment or other form in which an existing work may be recast, transformed or adapted; (c) “Distribute” means to reproduce, license, rent, lease, sell, broadcast, publicly display, transmit or otherwise distribute; (d) “Open Game Content” means the game mechanic and includes the methods, procedures, processes and routines to the extent such content does not embody the Product Identity and is an enhancement over the prior art and any additional content clearly identified as Open Game Content by the Contributor, and means any work covered by this License, including translations and derivative works under copyright law, but specifically excludes Product Identity. (e) “Product Identity” means product and product line names, logos and identifying marks including trade dress; artifacts, creatures, characters, stories, storylines, plots, thematic elements, dialogue, incidents, language, artwork, symbols, designs, depictions, likenesses, formats, poses, concepts, themes and graphic, photographic and other visual or audio representations; names and descriptions of characters, spells, enchantments, personalities, teams, personas, likenesses and special abilities; places, locations, environments, creatures, equipment, magical or supernatural abilities or effects, logos, symbols, or graphic designs; and any other trademark or registered trademark clearly identified as Product identity by the owner of the Product Identity, and which specifically excludes the Open Game Content; (f) “Trademark” means the logos, names, mark, sign, motto, designs that are used by a Contributor to identify itself or its products or the associated products contributed to the Open Game License by the Contributor (g) “Use”, “Used” or “Using” means to use, Distribute, copy, edit, format, modify, translate and otherwise create Derivative Material of Open Game Content. (h) “You” or “Your” means the licensee in terms of this agreement.
2. The License: This License applies to any Open Game Content that contains a notice indicating that the Open Game Content may only be Used under and in terms of this License. You must affix such a notice to any Open Game Content that you Use. No terms may be added to or subtracted from this License except as described by the License itself. No other terms or conditions may be applied to any Open Game Content distributed using this License.
3. Offer and Acceptance: By Using the Open Game Content You indicate Your acceptance of the terms of this License.
4. Grant and Consideration: In consideration for agreeing to use this License, the Contributors grant You a perpetual, worldwide, royalty-free, non-exclusive license with the exact terms of this License to Use, the Open Game Content.
5. Representation of Authority to Contribute: If You are contributing original material as Open Game Content, You represent that Your Contributions are Your original creation and/or You have sufficient rights to grant the rights conveyed by this License.
6. Notice of License Copyright: You must update the COPYRIGHT NOTICE portion of this License to include the exact text of the COPYRIGHT NOTICE of any Open Game Content You are copying, modifying or distributing, and You must add the title, the copyright date, and the copyright holder’s name to the COPYRIGHT NOTICE of any original Open Game Content you distribute.
7. Use of Product Identity: You agree not to Use any Product Identity, including as an indication as to compatibility, except as expressly licensed in another, independent Agreement with the owner of each element of that Product Identity. You agree not to indicate compatibility or co-adaptability with any Trademark or Registered Trademark in conjunction with a work containing Open Game Content except as expressly licensed in another, independent Agreement with the owner of such Trademark or Registered Trademark. The use of any Product Identity in Open Game Content does not constitute a challenge to the ownership of that Product Identity. The owner of any Product Identity used in Open Game Content shall retain all rights, title and interest in and to that Product Identity.
8. Identification: If you distribute Open Game Content You must clearly indicate which portions of the work that you are distributing are Open Game Content.
9. Updating the License: Wizards or its designated Agents may publish updated versions of this License. You may use any authorized version of this License to copy, modify and distribute any Open Game Content originally distributed under any version of this License.
10. Copy of this License: You MUST include a copy of this License with every copy of the Open Game Content You distribute.
11. Use of Contributor Credits: You may not market or advertise the Open Game Content using the name of any Contributor unless You have written permission from the Contributor to do so.
12. Inability to Comply: If it is impossible for You to comply with any of the terms of this License with respect to some or all of the Open Game Content due to statute, judicial order, or governmental regulation then You may not Use any Open Game Material so affected.
13. Termination: This License will terminate automatically if You fail to comply with all terms herein and fail to cure such breach within 30 days of becoming aware of the breach. All sublicenses shall survive the termination of this License.
14. Reformation: If any provision of this License is held to be unenforceable, such provision shall be reformed only to the extent necessary to make it enforceable.
15. </t>
    </r>
    <r>
      <rPr>
        <rFont val="Arial"/>
        <b/>
        <color theme="1"/>
      </rPr>
      <t>COPYRIGHT NOTICE</t>
    </r>
    <r>
      <rPr>
        <rFont val="Arial"/>
        <color theme="1"/>
      </rPr>
      <t xml:space="preserve">
•</t>
    </r>
    <r>
      <rPr>
        <rFont val="Arial"/>
        <b/>
        <color theme="1"/>
      </rPr>
      <t>Open Game License v 1.0a</t>
    </r>
    <r>
      <rPr>
        <rFont val="Arial"/>
        <color theme="1"/>
      </rPr>
      <t xml:space="preserve"> © 2000, Wizards of the Coast, Inc.
•</t>
    </r>
    <r>
      <rPr>
        <rFont val="Arial"/>
        <b/>
        <color theme="1"/>
      </rPr>
      <t>System Reference Document</t>
    </r>
    <r>
      <rPr>
        <rFont val="Arial"/>
        <color theme="1"/>
      </rPr>
      <t xml:space="preserve"> © 2000, Wizards of the Coast, Inc.; Authors: Jonathan Tweet, Monte Cook, and Skip Williams, based on material by E. Gary Gygax and Dave Arneson.
•</t>
    </r>
    <r>
      <rPr>
        <rFont val="Arial"/>
        <b/>
        <color theme="1"/>
      </rPr>
      <t xml:space="preserve">Angel, Monadic Deva from the Tome of Horrors Complete </t>
    </r>
    <r>
      <rPr>
        <rFont val="Arial"/>
        <color theme="1"/>
      </rPr>
      <t>© 2011, Necromancer Games, Inc., published and distributed by Frog God Games; Author: Scott Greene, based on original material by Gary Gygax.
•</t>
    </r>
    <r>
      <rPr>
        <rFont val="Arial"/>
        <b/>
        <color theme="1"/>
      </rPr>
      <t>Angel, Movanic Deva from the Tome of Horrors Complete</t>
    </r>
    <r>
      <rPr>
        <rFont val="Arial"/>
        <color theme="1"/>
      </rPr>
      <t xml:space="preserve"> © 2011, Necromancer Games, Inc., published and distributed by Frog God Games; Author: Scott Greene, based on original material by Gary Gygax.
•</t>
    </r>
    <r>
      <rPr>
        <rFont val="Arial"/>
        <b/>
        <color theme="1"/>
      </rPr>
      <t>Daemon, Guardian from the Tome of Horrors Complete</t>
    </r>
    <r>
      <rPr>
        <rFont val="Arial"/>
        <color theme="1"/>
      </rPr>
      <t xml:space="preserve"> © 2011, Necromancer Games, Inc., published and distributed by Frog God Games; Author: Scott Greene, based on original material by Ian McDowall.
•</t>
    </r>
    <r>
      <rPr>
        <rFont val="Arial"/>
        <b/>
        <color theme="1"/>
      </rPr>
      <t>Daemon, Piscodaemon from the Tome of Horrors Complete</t>
    </r>
    <r>
      <rPr>
        <rFont val="Arial"/>
        <color theme="1"/>
      </rPr>
      <t xml:space="preserve"> © 2011, Necromancer Games, Inc., published and distributed by Frog God Games; Author: Scott Greene, based on original material by Gary Gygax.
•</t>
    </r>
    <r>
      <rPr>
        <rFont val="Arial"/>
        <b/>
        <color theme="1"/>
      </rPr>
      <t>Demon, Nabasu from the Tome of Horrors Complete</t>
    </r>
    <r>
      <rPr>
        <rFont val="Arial"/>
        <color theme="1"/>
      </rPr>
      <t xml:space="preserve"> © 2011, Necromancer Games, Inc., published and distributed by Frog God Games; Author: Scott Greene, based on original material by Gary Gygax.
•</t>
    </r>
    <r>
      <rPr>
        <rFont val="Arial"/>
        <b/>
        <color theme="1"/>
      </rPr>
      <t>Demon, Shadow from the Tome of Horrors Complete</t>
    </r>
    <r>
      <rPr>
        <rFont val="Arial"/>
        <color theme="1"/>
      </rPr>
      <t xml:space="preserve"> © 2011, Necromancer Games, Inc., published and distributed by Frog God Games; Author: Scott Greene, based on original material by Neville White.
•</t>
    </r>
    <r>
      <rPr>
        <rFont val="Arial"/>
        <b/>
        <color theme="1"/>
      </rPr>
      <t>Genie, Marid from the Tome of Horrors Complete</t>
    </r>
    <r>
      <rPr>
        <rFont val="Arial"/>
        <color theme="1"/>
      </rPr>
      <t xml:space="preserve"> © 2011, Necromancer Games, Inc., published and distributed by Frog God Games; Author: Scott Greene, based on original material by Gary Gygax.
•</t>
    </r>
    <r>
      <rPr>
        <rFont val="Arial"/>
        <b/>
        <color theme="1"/>
      </rPr>
      <t>Pathfinder Core Rulebook (Second Edition)</t>
    </r>
    <r>
      <rPr>
        <rFont val="Arial"/>
        <color theme="1"/>
      </rPr>
      <t xml:space="preserve"> © 2019, Paizo Inc.; Authors: Logan Bonner, Jason Bulmahn, Stephen Radney-MacFarland, and Mark Seifter. 
•</t>
    </r>
    <r>
      <rPr>
        <rFont val="Arial"/>
        <b/>
        <color theme="1"/>
      </rPr>
      <t>Pathfinder Advanced Player’s Guide</t>
    </r>
    <r>
      <rPr>
        <rFont val="Arial"/>
        <color theme="1"/>
      </rPr>
      <t xml:space="preserve"> © 2020, Paizo Inc.; Authors: Amirali Attar Olyaee, Alexander Augunas, Kate Baker, Brian Bauman, Logan Bonner, Carlos Cabrera, James Case, Jessica Catalan, John Compton, Paris Crenshaw, Jesse Decker, Fabby Garza Marroquín, Steven Hammond, Sasha Laranoa Harving, Joan Hong, Nicolas Hornyak, Vanessa Hoskins, James Jacobs, Erik Keith, Lyz Liddell, Luis Loza, Ron Lundeen, Patchen Mortimer, Dennis Muldoon, Stephen Radney-MacFarland, Jessica Redekop, Mikhail Rekun, Alex Riggs, David N. Ross, Michael Sayre, Mark Seifter, Kendra Leigh Speedling, Jason Tondro, Clark Valentine, and Andrew White.
•</t>
    </r>
    <r>
      <rPr>
        <rFont val="Arial"/>
        <b/>
        <color theme="1"/>
      </rPr>
      <t>Pathfinder Secrets of Magic</t>
    </r>
    <r>
      <rPr>
        <rFont val="Arial"/>
        <color theme="1"/>
      </rPr>
      <t xml:space="preserve"> © 2021, Paizo Inc.; Authors: Amirali Attar Olyaee, Kate Baker, Minty Belmont, Logan Bonner, James Case, Jessica Catalan, John Compton, Katina Davis, Jesse Decker, Chris Eng, Eleanor Ferron, Leo Glass, Joan Hong, Vanessa Hoskins, Jason Keeley, Joshua Kim, Luis Loza, Ron Lundeen, Liane Merciel, David N. Ross, Ianara Natividad, Chesley Oxendine, Stephen Radney-MacFarland, Shiv Ramdas, Mikhail Rekun, Simone D. Sallé, Michael Sayre, Mark Seifter, Sen H.H.S., Shay Snow, Kendra Leigh Speedling, Tan Shao Han, Calliope Lee Taylor, Mari Tokuda, Jason Tondro, Clark Valentine, Ruvaid Virk, Andrew White, Landon Winkler, Tonya Woldridge, and Isis Wozniakowska.
•</t>
    </r>
    <r>
      <rPr>
        <rFont val="Arial"/>
        <b/>
        <color theme="1"/>
      </rPr>
      <t>Pathfinder Guns &amp; Gears</t>
    </r>
    <r>
      <rPr>
        <rFont val="Arial"/>
        <color theme="1"/>
      </rPr>
      <t xml:space="preserve"> © 2021, Paizo Inc.; Authors: Logan Bonner, Jessica Catalan, John Compton, Andrew D. Geels, Steven Hammond, Sen H.H.S., Brent Holtsberry, Jason Keeley, Dustin Knight, Luis Loza, Ron Lundeen, Chris Mastey, Liane Merciel, Jacob W. Michaels, Dave Nelson, Samantha Phelan, Mikhail Rekun, Stephen Radney-MacFarland, Sydney Meeker, Kendra Leigh Speedling, Michael Sayre., Mark Seifter, Andrew Stoeckle, Calliope Lee Taylor, Andrew White, and Scott D. Young.
•</t>
    </r>
    <r>
      <rPr>
        <rFont val="Arial"/>
        <b/>
        <color theme="1"/>
      </rPr>
      <t>Pathfinder Dark Archive</t>
    </r>
    <r>
      <rPr>
        <rFont val="Arial"/>
        <color theme="1"/>
      </rPr>
      <t xml:space="preserve"> © 2022, Paizo Inc.; Authors: Rigby Bendele, Logan Bonner, James Case, Dan Cascone, Jessica Catalan, Banana Chan, Kay Hashimoto, Sen H.H.S., Patrick Hurley, Joshua Kim, Avi Kool, Daniel Kwan, Kendra Leigh Speedling, Luis Loza, Ron Lundeen, Liane Merciel, Jacob W. Michaels, Andrew Mullen, Quinn Murphy, K. Tessa Newton, Mikhail Rekun, Patrick Renie, Solomon St. John, Michael Sayre, Mark Seifter, Shay Snow, Alex Speidel, Geoffrey Suthers, Ruvaid Virk, Jabari Weathers, and Isis Wozniakowska.
•</t>
    </r>
    <r>
      <rPr>
        <rFont val="Arial"/>
        <b/>
        <color theme="1"/>
      </rPr>
      <t>Pathfinder Rage of Elements</t>
    </r>
    <r>
      <rPr>
        <rFont val="Arial"/>
        <color theme="1"/>
      </rPr>
      <t xml:space="preserve"> © 2023, Paizo Inc.; Authors: Logan Bonner, Jason Bulmahn, James Case, Jessica Catalan, Andrew D. Geels, Sen H.H.S., Patrick Hurley, Jason Keeley, Luis Loza, Mark Moreland, Jonathan Morgantini, AJ Neuro, Jessica Redekop, Solomon St. John, Michael Sayre, Mark Seifter, Shahreena Shahrani, Shay Snow, Levi Steadman, Mari Tokuda, Ruvaid Virk, Andrew White, and Linda Zayas-Palmer.
•</t>
    </r>
    <r>
      <rPr>
        <rFont val="Arial"/>
        <b/>
        <color theme="1"/>
      </rPr>
      <t xml:space="preserve">BCS: Balanced Core System 1.4 </t>
    </r>
    <r>
      <rPr>
        <rFont val="Arial"/>
        <color theme="1"/>
      </rPr>
      <t>© 2023, Lazarus Dark; Author: Lazarus Dark.</t>
    </r>
  </si>
  <si>
    <t>Defense</t>
  </si>
  <si>
    <t>Spells</t>
  </si>
  <si>
    <t>Prepared:Divine (Full List)</t>
  </si>
  <si>
    <t>SPL:</t>
  </si>
  <si>
    <t>SlotCost:</t>
  </si>
  <si>
    <t>X</t>
  </si>
  <si>
    <t>LearnCost:</t>
  </si>
  <si>
    <t>Slot/LVL:</t>
  </si>
  <si>
    <t>0</t>
  </si>
  <si>
    <t>Learn/LVL:</t>
  </si>
  <si>
    <t>TotalSlots:</t>
  </si>
  <si>
    <t>TotalLearned:</t>
  </si>
  <si>
    <t>FLEXIBLE CASTER - CLERIC CLOISTERED</t>
  </si>
  <si>
    <t>Total: 2010</t>
  </si>
  <si>
    <t>UNDERBUDGET: -90</t>
  </si>
  <si>
    <t>FLEXIBLE CASTER - DRUID</t>
  </si>
  <si>
    <t>Total: 1990</t>
  </si>
  <si>
    <t>UNDERBUDGET: -110</t>
  </si>
  <si>
    <t>Prepared:Primal (Full List)</t>
  </si>
  <si>
    <t>FLEXIBLE CASTER - WIZARD</t>
  </si>
  <si>
    <t>Prepared:Arcane</t>
  </si>
  <si>
    <t>FLEXIBLE CASTER - WITCH</t>
  </si>
  <si>
    <t>Prepared:Subclass List</t>
  </si>
  <si>
    <t>WELLSPRING MAGE - SUMMONER</t>
  </si>
  <si>
    <t>Total: 2080</t>
  </si>
  <si>
    <t>UNDERBUDGET: -20</t>
  </si>
  <si>
    <t>WELLSPRING</t>
  </si>
  <si>
    <t>Bounded Spontaneous:Subclass List</t>
  </si>
  <si>
    <t>WELLSPRING MAGE - BARD</t>
  </si>
  <si>
    <t>Total: 1920</t>
  </si>
  <si>
    <t>UNDERBUDGET: -180</t>
  </si>
  <si>
    <t>Spontaneous:Occult</t>
  </si>
  <si>
    <t>WELLSPRING MAGE - ORACLE</t>
  </si>
  <si>
    <t>Spontaneous:Divine</t>
  </si>
  <si>
    <t>WELLSPRING MAGE - SORCERER</t>
  </si>
  <si>
    <t>Spontaneous:Subclass List</t>
  </si>
  <si>
    <t>WELLSPRING MAGE - PSYCHIC</t>
  </si>
  <si>
    <t>ALC:</t>
  </si>
  <si>
    <t>Bounded Prepared:Arcane</t>
  </si>
  <si>
    <t>Total: 2050</t>
  </si>
  <si>
    <t>UNDERBUDGET: -50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</si>
</sst>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
  </numFmts>
  <fonts count="45">
    <font>
      <sz val="10.0"/>
      <color rgb="FF000000"/>
      <name val="Arial"/>
      <scheme val="minor"/>
    </font>
    <font>
      <color theme="1"/>
      <name val="Arial"/>
      <scheme val="minor"/>
    </font>
    <font>
      <sz val="24.0"/>
      <color theme="1"/>
      <name val="Impact"/>
    </font>
    <font>
      <color rgb="FFEA4335"/>
      <name val="Arial"/>
      <scheme val="minor"/>
    </font>
    <font>
      <color theme="5"/>
      <name val="Arial"/>
    </font>
    <font>
      <color theme="1"/>
      <name val="Arial"/>
    </font>
    <font>
      <u/>
      <color rgb="FF0000FF"/>
    </font>
    <font>
      <color rgb="FF999999"/>
      <name val="Arial"/>
      <scheme val="minor"/>
    </font>
    <font>
      <color rgb="FFFF0000"/>
      <name val="Arial"/>
    </font>
    <font/>
    <font>
      <u/>
      <color rgb="FF1155CC"/>
    </font>
    <font>
      <u/>
      <color rgb="FF1155CC"/>
    </font>
    <font>
      <u/>
      <color rgb="FF1155CC"/>
      <name val="Arial"/>
    </font>
    <font>
      <sz val="8.0"/>
      <color theme="1"/>
      <name val="Arial"/>
      <scheme val="minor"/>
    </font>
    <font>
      <u/>
      <color rgb="FF1155CC"/>
    </font>
    <font>
      <u/>
      <color rgb="FF1155CC"/>
      <name val="Arial"/>
    </font>
    <font>
      <color rgb="FF000000"/>
      <name val="Arial"/>
    </font>
    <font>
      <sz val="11.0"/>
      <color rgb="FF000000"/>
      <name val="Inconsolata"/>
    </font>
    <font>
      <color rgb="FFFFFFFF"/>
      <name val="Arial"/>
      <scheme val="minor"/>
    </font>
    <font>
      <color rgb="FFEA4335"/>
      <name val="Arial"/>
    </font>
    <font>
      <u/>
      <color rgb="FF1155CC"/>
    </font>
    <font>
      <b/>
      <color theme="4"/>
      <name val="Arial"/>
      <scheme val="minor"/>
    </font>
    <font>
      <sz val="10.0"/>
      <color rgb="FFEA4335"/>
      <name val="Arial"/>
      <scheme val="minor"/>
    </font>
    <font>
      <u/>
      <sz val="10.0"/>
      <color rgb="FF1155CC"/>
    </font>
    <font>
      <sz val="10.0"/>
      <color theme="1"/>
      <name val="Arial"/>
      <scheme val="minor"/>
    </font>
    <font>
      <u/>
      <color rgb="FF1155CC"/>
    </font>
    <font>
      <b/>
      <color theme="1"/>
      <name val="Arial"/>
      <scheme val="minor"/>
    </font>
    <font>
      <b/>
      <color theme="1"/>
      <name val="Arial"/>
    </font>
    <font>
      <color rgb="FF4A86E8"/>
      <name val="Arial"/>
      <scheme val="minor"/>
    </font>
    <font>
      <color rgb="FF4A86E8"/>
      <name val="Arial"/>
    </font>
    <font>
      <color theme="4"/>
      <name val="Arial"/>
    </font>
    <font>
      <u/>
      <color rgb="FF1155CC"/>
    </font>
    <font>
      <color rgb="FF000000"/>
      <name val="Roboto"/>
    </font>
    <font>
      <sz val="18.0"/>
      <color theme="1"/>
      <name val="Arial"/>
      <scheme val="minor"/>
    </font>
    <font>
      <sz val="11.0"/>
      <color theme="1"/>
      <name val="Inconsolata"/>
    </font>
    <font>
      <color theme="5"/>
      <name val="Arial"/>
      <scheme val="minor"/>
    </font>
    <font>
      <color rgb="FFFF0000"/>
      <name val="Arial"/>
      <scheme val="minor"/>
    </font>
    <font>
      <u/>
      <color rgb="FF0000FF"/>
    </font>
    <font>
      <u/>
      <color rgb="FF0000FF"/>
    </font>
    <font>
      <u/>
      <color rgb="FF0000FF"/>
    </font>
    <font>
      <u/>
      <color rgb="FF1155CC"/>
      <name val="Arial"/>
    </font>
    <font>
      <u/>
      <color rgb="FF0000FF"/>
    </font>
    <font>
      <u/>
      <color rgb="FF0000FF"/>
    </font>
    <font>
      <u/>
      <color rgb="FF0000FF"/>
    </font>
    <font>
      <u/>
      <color rgb="FF0000FF"/>
    </font>
  </fonts>
  <fills count="15">
    <fill>
      <patternFill patternType="none"/>
    </fill>
    <fill>
      <patternFill patternType="lightGray"/>
    </fill>
    <fill>
      <patternFill patternType="solid">
        <fgColor rgb="FFEA9999"/>
        <bgColor rgb="FFEA9999"/>
      </patternFill>
    </fill>
    <fill>
      <patternFill patternType="solid">
        <fgColor rgb="FF9FC5E8"/>
        <bgColor rgb="FF9FC5E8"/>
      </patternFill>
    </fill>
    <fill>
      <patternFill patternType="solid">
        <fgColor rgb="FFFFF2CC"/>
        <bgColor rgb="FFFFF2CC"/>
      </patternFill>
    </fill>
    <fill>
      <patternFill patternType="solid">
        <fgColor rgb="FFA4C2F4"/>
        <bgColor rgb="FFA4C2F4"/>
      </patternFill>
    </fill>
    <fill>
      <patternFill patternType="solid">
        <fgColor rgb="FFFFFF00"/>
        <bgColor rgb="FFFFFF00"/>
      </patternFill>
    </fill>
    <fill>
      <patternFill patternType="solid">
        <fgColor rgb="FFD9D2E9"/>
        <bgColor rgb="FFD9D2E9"/>
      </patternFill>
    </fill>
    <fill>
      <patternFill patternType="solid">
        <fgColor rgb="FFF3F3F3"/>
        <bgColor rgb="FFF3F3F3"/>
      </patternFill>
    </fill>
    <fill>
      <patternFill patternType="solid">
        <fgColor rgb="FFF4CCCC"/>
        <bgColor rgb="FFF4CCCC"/>
      </patternFill>
    </fill>
    <fill>
      <patternFill patternType="solid">
        <fgColor rgb="FFFFFFFF"/>
        <bgColor rgb="FFFFFFFF"/>
      </patternFill>
    </fill>
    <fill>
      <patternFill patternType="solid">
        <fgColor rgb="FF666666"/>
        <bgColor rgb="FF666666"/>
      </patternFill>
    </fill>
    <fill>
      <patternFill patternType="solid">
        <fgColor rgb="FFEFEFEF"/>
        <bgColor rgb="FFEFEFEF"/>
      </patternFill>
    </fill>
    <fill>
      <patternFill patternType="solid">
        <fgColor rgb="FFEA4335"/>
        <bgColor rgb="FFEA4335"/>
      </patternFill>
    </fill>
    <fill>
      <patternFill patternType="solid">
        <fgColor rgb="FFFF0000"/>
        <bgColor rgb="FFFF0000"/>
      </patternFill>
    </fill>
  </fills>
  <borders count="27">
    <border/>
    <border>
      <left style="thin">
        <color rgb="FF000000"/>
      </left>
      <right style="thin">
        <color rgb="FF000000"/>
      </right>
      <top style="thin">
        <color rgb="FF000000"/>
      </top>
      <bottom style="thin">
        <color rgb="FF000000"/>
      </bottom>
    </border>
    <border>
      <bottom style="thin">
        <color rgb="FF000000"/>
      </bottom>
    </border>
    <border>
      <top style="medium">
        <color rgb="FF000000"/>
      </top>
    </border>
    <border>
      <left style="thin">
        <color rgb="FF000000"/>
      </left>
      <right style="thin">
        <color rgb="FF000000"/>
      </right>
      <top style="thin">
        <color rgb="FF000000"/>
      </top>
    </border>
    <border>
      <top style="thin">
        <color rgb="FF000000"/>
      </top>
    </border>
    <border>
      <left style="thin">
        <color rgb="FF0000FF"/>
      </left>
      <top style="thin">
        <color rgb="FF0000FF"/>
      </top>
      <bottom style="thin">
        <color rgb="FF0000FF"/>
      </bottom>
    </border>
    <border>
      <top style="thin">
        <color rgb="FF0000FF"/>
      </top>
      <bottom style="thin">
        <color rgb="FF0000FF"/>
      </bottom>
    </border>
    <border>
      <right style="thin">
        <color rgb="FF0000FF"/>
      </right>
      <top style="thin">
        <color rgb="FF0000FF"/>
      </top>
      <bottom style="thin">
        <color rgb="FF0000FF"/>
      </bottom>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rder>
    <border>
      <left style="thin">
        <color rgb="FF000000"/>
      </left>
    </border>
    <border>
      <right style="medium">
        <color rgb="FF000000"/>
      </right>
    </border>
    <border>
      <left style="medium">
        <color rgb="FF000000"/>
      </left>
    </border>
    <border>
      <bottom style="medium">
        <color rgb="FF000000"/>
      </bottom>
    </border>
    <border>
      <right style="medium">
        <color rgb="FF000000"/>
      </right>
      <bottom style="medium">
        <color rgb="FF000000"/>
      </bottom>
    </border>
    <border>
      <left style="medium">
        <color rgb="FF000000"/>
      </left>
      <bottom style="medium">
        <color rgb="FF000000"/>
      </bottom>
    </border>
    <border>
      <left style="thin">
        <color rgb="FF000000"/>
      </left>
      <bottom style="thin">
        <color rgb="FF000000"/>
      </bottom>
    </border>
    <border>
      <bottom style="thick">
        <color rgb="FF000000"/>
      </bottom>
    </border>
    <border>
      <left style="thin">
        <color rgb="FF000000"/>
      </left>
      <bottom style="thick">
        <color rgb="FF000000"/>
      </bottom>
    </border>
    <border>
      <left style="thick">
        <color rgb="FF000000"/>
      </left>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0" fillId="0" fontId="1" numFmtId="164" xfId="0" applyAlignment="1" applyFont="1" applyNumberFormat="1">
      <alignment horizontal="center" readingOrder="0" shrinkToFit="0" wrapText="1"/>
    </xf>
    <xf borderId="0" fillId="0" fontId="2" numFmtId="164" xfId="0" applyAlignment="1" applyFont="1" applyNumberFormat="1">
      <alignment horizontal="center" readingOrder="0" shrinkToFit="0" wrapText="1"/>
    </xf>
    <xf borderId="0" fillId="0" fontId="3" numFmtId="0" xfId="0" applyAlignment="1" applyFont="1">
      <alignment readingOrder="0" shrinkToFit="0" wrapText="0"/>
    </xf>
    <xf borderId="0" fillId="2" fontId="1" numFmtId="0" xfId="0" applyAlignment="1" applyFill="1" applyFont="1">
      <alignment readingOrder="0"/>
    </xf>
    <xf borderId="0" fillId="0" fontId="1" numFmtId="0" xfId="0" applyAlignment="1" applyFont="1">
      <alignment shrinkToFit="0" wrapText="0"/>
    </xf>
    <xf borderId="0" fillId="0" fontId="4" numFmtId="0" xfId="0" applyAlignment="1" applyFont="1">
      <alignment readingOrder="0" vertical="bottom"/>
    </xf>
    <xf borderId="0" fillId="0" fontId="3" numFmtId="0" xfId="0" applyAlignment="1" applyFont="1">
      <alignment readingOrder="0" shrinkToFit="0" wrapText="1"/>
    </xf>
    <xf borderId="0" fillId="0" fontId="5" numFmtId="0" xfId="0" applyAlignment="1" applyFont="1">
      <alignment shrinkToFit="0" vertical="bottom" wrapText="0"/>
    </xf>
    <xf borderId="0" fillId="0" fontId="5" numFmtId="0" xfId="0" applyAlignment="1" applyFont="1">
      <alignment vertical="bottom"/>
    </xf>
    <xf borderId="0" fillId="3" fontId="1" numFmtId="0" xfId="0" applyAlignment="1" applyFill="1" applyFont="1">
      <alignment readingOrder="0"/>
    </xf>
    <xf borderId="0" fillId="0" fontId="6" numFmtId="0" xfId="0" applyAlignment="1" applyFont="1">
      <alignment horizontal="left" readingOrder="0" vertical="top"/>
    </xf>
    <xf borderId="0" fillId="0" fontId="1" numFmtId="0" xfId="0" applyAlignment="1" applyFont="1">
      <alignment readingOrder="0"/>
    </xf>
    <xf borderId="0" fillId="0" fontId="5" numFmtId="0" xfId="0" applyAlignment="1" applyFont="1">
      <alignment readingOrder="0" vertical="bottom"/>
    </xf>
    <xf borderId="0" fillId="0" fontId="5" numFmtId="0" xfId="0" applyAlignment="1" applyFont="1">
      <alignment shrinkToFit="0" vertical="bottom" wrapText="0"/>
    </xf>
    <xf borderId="0" fillId="0" fontId="1" numFmtId="0" xfId="0" applyAlignment="1" applyFont="1">
      <alignment horizontal="right" readingOrder="0" vertical="top"/>
    </xf>
    <xf borderId="0" fillId="4" fontId="5" numFmtId="0" xfId="0" applyAlignment="1" applyFill="1" applyFont="1">
      <alignment shrinkToFit="0" vertical="bottom" wrapText="0"/>
    </xf>
    <xf borderId="0" fillId="0" fontId="1" numFmtId="49" xfId="0" applyAlignment="1" applyFont="1" applyNumberFormat="1">
      <alignment readingOrder="0" shrinkToFit="0" wrapText="0"/>
    </xf>
    <xf borderId="0" fillId="0" fontId="1" numFmtId="164" xfId="0" applyAlignment="1" applyFont="1" applyNumberFormat="1">
      <alignment readingOrder="0" shrinkToFit="0" wrapText="1"/>
    </xf>
    <xf borderId="0" fillId="3" fontId="7" numFmtId="0" xfId="0" applyAlignment="1" applyFill="1" applyFont="1">
      <alignment readingOrder="0"/>
    </xf>
    <xf borderId="0" fillId="5" fontId="5" numFmtId="0" xfId="0" applyAlignment="1" applyFill="1" applyFont="1">
      <alignment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6" fontId="5" numFmtId="0" xfId="0" applyAlignment="1" applyFill="1" applyFont="1">
      <alignment shrinkToFit="0" vertical="bottom" wrapText="0"/>
    </xf>
    <xf borderId="1" fillId="0" fontId="1" numFmtId="164" xfId="0" applyAlignment="1" applyBorder="1" applyFont="1" applyNumberFormat="1">
      <alignment readingOrder="0" shrinkToFit="0" wrapText="1"/>
    </xf>
    <xf borderId="1" fillId="0" fontId="1" numFmtId="0" xfId="0" applyAlignment="1" applyBorder="1" applyFont="1">
      <alignment shrinkToFit="0" wrapText="1"/>
    </xf>
    <xf borderId="0" fillId="7" fontId="5" numFmtId="0" xfId="0" applyAlignment="1" applyFill="1" applyFont="1">
      <alignment shrinkToFit="0" vertical="bottom" wrapText="0"/>
    </xf>
    <xf borderId="1" fillId="0" fontId="1" numFmtId="0" xfId="0" applyAlignment="1" applyBorder="1" applyFont="1">
      <alignment readingOrder="0" shrinkToFit="0" wrapText="1"/>
    </xf>
    <xf borderId="0" fillId="0" fontId="5" numFmtId="0" xfId="0" applyAlignment="1" applyFont="1">
      <alignment readingOrder="0" shrinkToFit="0" vertical="bottom" wrapText="0"/>
    </xf>
    <xf borderId="0" fillId="0" fontId="8" numFmtId="0" xfId="0" applyAlignment="1" applyFont="1">
      <alignment readingOrder="0" shrinkToFit="0" vertical="bottom" wrapText="0"/>
    </xf>
    <xf borderId="2" fillId="0" fontId="5" numFmtId="0" xfId="0" applyAlignment="1" applyBorder="1" applyFont="1">
      <alignment vertical="bottom"/>
    </xf>
    <xf borderId="2" fillId="0" fontId="5" numFmtId="0" xfId="0" applyAlignment="1" applyBorder="1" applyFont="1">
      <alignment vertical="bottom"/>
    </xf>
    <xf borderId="2" fillId="0" fontId="5" numFmtId="49" xfId="0" applyAlignment="1" applyBorder="1" applyFont="1" applyNumberFormat="1">
      <alignment vertical="bottom"/>
    </xf>
    <xf borderId="0" fillId="0" fontId="5" numFmtId="0" xfId="0" applyAlignment="1" applyFont="1">
      <alignment vertical="bottom"/>
    </xf>
    <xf borderId="0" fillId="0" fontId="5" numFmtId="49" xfId="0" applyAlignment="1" applyFont="1" applyNumberFormat="1">
      <alignment vertical="bottom"/>
    </xf>
    <xf borderId="0" fillId="0" fontId="1" numFmtId="0" xfId="0" applyAlignment="1" applyFont="1">
      <alignment shrinkToFit="0" wrapText="0"/>
    </xf>
    <xf borderId="0" fillId="0" fontId="5" numFmtId="49" xfId="0" applyAlignment="1" applyFont="1" applyNumberFormat="1">
      <alignment shrinkToFit="0" vertical="bottom" wrapText="1"/>
    </xf>
    <xf borderId="0" fillId="0" fontId="1" numFmtId="0" xfId="0" applyAlignment="1" applyFont="1">
      <alignment readingOrder="0" shrinkToFit="0" wrapText="0"/>
    </xf>
    <xf borderId="2" fillId="0" fontId="5" numFmtId="49" xfId="0" applyAlignment="1" applyBorder="1" applyFont="1" applyNumberFormat="1">
      <alignment shrinkToFit="0" vertical="bottom" wrapText="1"/>
    </xf>
    <xf borderId="0" fillId="0" fontId="5" numFmtId="0" xfId="0" applyAlignment="1" applyFont="1">
      <alignment shrinkToFit="0" vertical="bottom" wrapText="0"/>
    </xf>
    <xf borderId="2" fillId="0" fontId="9" numFmtId="0" xfId="0" applyBorder="1" applyFont="1"/>
    <xf borderId="0" fillId="0" fontId="10" numFmtId="0" xfId="0" applyAlignment="1" applyFont="1">
      <alignment readingOrder="0"/>
    </xf>
    <xf borderId="0" fillId="0" fontId="11" numFmtId="164" xfId="0" applyAlignment="1" applyFont="1" applyNumberFormat="1">
      <alignment readingOrder="0" shrinkToFit="0" wrapText="1"/>
    </xf>
    <xf borderId="0" fillId="0" fontId="1" numFmtId="0" xfId="0" applyAlignment="1" applyFont="1">
      <alignment horizontal="right" readingOrder="0" shrinkToFit="0" wrapText="0"/>
    </xf>
    <xf borderId="0" fillId="0" fontId="5" numFmtId="0" xfId="0" applyAlignment="1" applyFont="1">
      <alignment readingOrder="0" shrinkToFit="0" vertical="bottom" wrapText="0"/>
    </xf>
    <xf borderId="0" fillId="0" fontId="12" numFmtId="0" xfId="0" applyAlignment="1" applyFont="1">
      <alignment shrinkToFit="0" vertical="bottom" wrapText="0"/>
    </xf>
    <xf borderId="0" fillId="0" fontId="5" numFmtId="0" xfId="0" applyAlignment="1" applyFont="1">
      <alignment shrinkToFit="0" vertical="bottom" wrapText="0"/>
    </xf>
    <xf borderId="0" fillId="0" fontId="1" numFmtId="0" xfId="0" applyAlignment="1" applyFont="1">
      <alignment horizontal="right" shrinkToFit="0" wrapText="0"/>
    </xf>
    <xf borderId="0" fillId="0" fontId="1" numFmtId="0" xfId="0" applyAlignment="1" applyFont="1">
      <alignment readingOrder="0" shrinkToFit="0" wrapText="0"/>
    </xf>
    <xf borderId="0" fillId="0" fontId="1" numFmtId="49" xfId="0" applyAlignment="1" applyFont="1" applyNumberFormat="1">
      <alignment horizontal="right" readingOrder="0" shrinkToFit="0" wrapText="0"/>
    </xf>
    <xf borderId="0" fillId="0" fontId="1" numFmtId="49" xfId="0" applyAlignment="1" applyFont="1" applyNumberFormat="1">
      <alignment readingOrder="0" shrinkToFit="0" wrapText="0"/>
    </xf>
    <xf borderId="0" fillId="0" fontId="13" numFmtId="49" xfId="0" applyAlignment="1" applyFont="1" applyNumberFormat="1">
      <alignment readingOrder="0" shrinkToFit="0" wrapText="0"/>
    </xf>
    <xf borderId="0" fillId="0" fontId="13" numFmtId="49" xfId="0" applyAlignment="1" applyFont="1" applyNumberFormat="1">
      <alignment horizontal="right" readingOrder="0" shrinkToFit="0" wrapText="0"/>
    </xf>
    <xf borderId="0" fillId="0" fontId="14" numFmtId="0" xfId="0" applyAlignment="1" applyFont="1">
      <alignment readingOrder="0" shrinkToFit="0" wrapText="1"/>
    </xf>
    <xf borderId="0" fillId="0" fontId="1" numFmtId="164" xfId="0" applyAlignment="1" applyFont="1" applyNumberFormat="1">
      <alignment shrinkToFit="0" wrapText="1"/>
    </xf>
    <xf borderId="3" fillId="8" fontId="1" numFmtId="0" xfId="0" applyAlignment="1" applyBorder="1" applyFill="1" applyFont="1">
      <alignment horizontal="left" readingOrder="0" shrinkToFit="0" wrapText="0"/>
    </xf>
    <xf borderId="4" fillId="0" fontId="1" numFmtId="164" xfId="0" applyAlignment="1" applyBorder="1" applyFont="1" applyNumberFormat="1">
      <alignment readingOrder="0" shrinkToFit="0" wrapText="1"/>
    </xf>
    <xf borderId="4" fillId="0" fontId="1" numFmtId="0" xfId="0" applyAlignment="1" applyBorder="1" applyFont="1">
      <alignment readingOrder="0" shrinkToFit="0" wrapText="1"/>
    </xf>
    <xf borderId="3" fillId="0" fontId="1" numFmtId="0" xfId="0" applyAlignment="1" applyBorder="1" applyFont="1">
      <alignment shrinkToFit="0" wrapText="0"/>
    </xf>
    <xf borderId="5" fillId="0" fontId="5" numFmtId="164" xfId="0" applyAlignment="1" applyBorder="1" applyFont="1" applyNumberFormat="1">
      <alignment horizontal="right" shrinkToFit="0" vertical="bottom" wrapText="1"/>
    </xf>
    <xf borderId="0" fillId="9" fontId="15" numFmtId="0" xfId="0" applyAlignment="1" applyFill="1" applyFont="1">
      <alignment shrinkToFit="0" vertical="bottom" wrapText="0"/>
    </xf>
    <xf borderId="5" fillId="0" fontId="5" numFmtId="165" xfId="0" applyAlignment="1" applyBorder="1" applyFont="1" applyNumberFormat="1">
      <alignment horizontal="right" shrinkToFit="0" vertical="bottom" wrapText="1"/>
    </xf>
    <xf borderId="0" fillId="9" fontId="5" numFmtId="0" xfId="0" applyAlignment="1" applyFill="1" applyFont="1">
      <alignment shrinkToFit="0" vertical="bottom" wrapText="0"/>
    </xf>
    <xf borderId="5" fillId="0" fontId="5" numFmtId="0" xfId="0" applyAlignment="1" applyBorder="1" applyFont="1">
      <alignment shrinkToFit="0" vertical="bottom" wrapText="1"/>
    </xf>
    <xf borderId="0" fillId="0" fontId="5" numFmtId="164" xfId="0" applyAlignment="1" applyFont="1" applyNumberFormat="1">
      <alignment horizontal="right" shrinkToFit="0" vertical="bottom" wrapText="1"/>
    </xf>
    <xf borderId="0" fillId="0" fontId="5" numFmtId="165" xfId="0" applyAlignment="1" applyFont="1" applyNumberFormat="1">
      <alignment readingOrder="0" shrinkToFit="0" vertical="bottom" wrapText="1"/>
    </xf>
    <xf borderId="0" fillId="0" fontId="5" numFmtId="0" xfId="0" applyAlignment="1" applyFont="1">
      <alignment readingOrder="0" shrinkToFit="0" vertical="bottom" wrapText="1"/>
    </xf>
    <xf borderId="0" fillId="0" fontId="5" numFmtId="165" xfId="0" applyAlignment="1" applyFont="1" applyNumberFormat="1">
      <alignment readingOrder="0" vertical="bottom"/>
    </xf>
    <xf borderId="0" fillId="0" fontId="1" numFmtId="165" xfId="0" applyAlignment="1" applyFont="1" applyNumberFormat="1">
      <alignment readingOrder="0" shrinkToFit="0" wrapText="1"/>
    </xf>
    <xf borderId="0" fillId="10" fontId="16" numFmtId="0" xfId="0" applyAlignment="1" applyFill="1" applyFont="1">
      <alignment horizontal="left" readingOrder="0"/>
    </xf>
    <xf borderId="3" fillId="8" fontId="13" numFmtId="0" xfId="0" applyAlignment="1" applyBorder="1" applyFill="1" applyFont="1">
      <alignment horizontal="left" readingOrder="0" shrinkToFit="0" wrapText="0"/>
    </xf>
    <xf borderId="3" fillId="11" fontId="1" numFmtId="0" xfId="0" applyAlignment="1" applyBorder="1" applyFill="1" applyFont="1">
      <alignment shrinkToFit="0" wrapText="0"/>
    </xf>
    <xf borderId="3" fillId="11" fontId="1" numFmtId="0" xfId="0" applyAlignment="1" applyBorder="1" applyFill="1" applyFont="1">
      <alignment horizontal="right" shrinkToFit="0" wrapText="0"/>
    </xf>
    <xf borderId="0" fillId="11" fontId="1" numFmtId="0" xfId="0" applyAlignment="1" applyFill="1" applyFont="1">
      <alignment horizontal="right" shrinkToFit="0" wrapText="0"/>
    </xf>
    <xf borderId="0" fillId="12" fontId="1" numFmtId="0" xfId="0" applyAlignment="1" applyFill="1" applyFont="1">
      <alignment readingOrder="0" shrinkToFit="0" wrapText="0"/>
    </xf>
    <xf borderId="0" fillId="12" fontId="5" numFmtId="0" xfId="0" applyAlignment="1" applyFill="1" applyFont="1">
      <alignment shrinkToFit="0" vertical="bottom" wrapText="0"/>
    </xf>
    <xf borderId="0" fillId="10" fontId="17" numFmtId="0" xfId="0" applyAlignment="1" applyFill="1" applyFont="1">
      <alignment shrinkToFit="0" wrapText="0"/>
    </xf>
    <xf borderId="0" fillId="10" fontId="17" numFmtId="0" xfId="0" applyAlignment="1" applyFill="1" applyFont="1">
      <alignment readingOrder="0" shrinkToFit="0" wrapText="0"/>
    </xf>
    <xf borderId="0" fillId="12" fontId="5" numFmtId="0" xfId="0" applyAlignment="1" applyFill="1" applyFont="1">
      <alignment horizontal="right" shrinkToFit="0" vertical="bottom" wrapText="0"/>
    </xf>
    <xf borderId="3" fillId="11" fontId="18" numFmtId="0" xfId="0" applyAlignment="1" applyBorder="1" applyFill="1" applyFont="1">
      <alignment readingOrder="0" shrinkToFit="0" wrapText="0"/>
    </xf>
    <xf borderId="3" fillId="0" fontId="9" numFmtId="0" xfId="0" applyBorder="1" applyFont="1"/>
    <xf borderId="5" fillId="10" fontId="17" numFmtId="0" xfId="0" applyAlignment="1" applyBorder="1" applyFill="1" applyFont="1">
      <alignment shrinkToFit="0" wrapText="0"/>
    </xf>
    <xf borderId="0" fillId="12" fontId="5" numFmtId="0" xfId="0" applyAlignment="1" applyFill="1" applyFont="1">
      <alignment shrinkToFit="0" vertical="bottom" wrapText="0"/>
    </xf>
    <xf borderId="1" fillId="0" fontId="1" numFmtId="0" xfId="0" applyAlignment="1" applyBorder="1" applyFont="1">
      <alignment readingOrder="0"/>
    </xf>
    <xf borderId="0" fillId="12" fontId="19" numFmtId="0" xfId="0" applyAlignment="1" applyFill="1" applyFont="1">
      <alignment horizontal="right" shrinkToFit="0" vertical="bottom" wrapText="0"/>
    </xf>
    <xf borderId="6" fillId="0" fontId="1" numFmtId="0" xfId="0" applyAlignment="1" applyBorder="1" applyFont="1">
      <alignment readingOrder="0"/>
    </xf>
    <xf borderId="7" fillId="0" fontId="9" numFmtId="0" xfId="0" applyBorder="1" applyFont="1"/>
    <xf borderId="8" fillId="0" fontId="9" numFmtId="0" xfId="0" applyBorder="1" applyFont="1"/>
    <xf borderId="9" fillId="0" fontId="1" numFmtId="0" xfId="0" applyAlignment="1" applyBorder="1" applyFont="1">
      <alignment readingOrder="0"/>
    </xf>
    <xf borderId="0" fillId="0" fontId="1" numFmtId="0" xfId="0" applyAlignment="1" applyFont="1">
      <alignment readingOrder="0"/>
    </xf>
    <xf borderId="0" fillId="0" fontId="20" numFmtId="0" xfId="0" applyAlignment="1" applyFont="1">
      <alignment readingOrder="0" shrinkToFit="0" wrapText="0"/>
    </xf>
    <xf borderId="10" fillId="0" fontId="1" numFmtId="0" xfId="0" applyAlignment="1" applyBorder="1" applyFont="1">
      <alignment readingOrder="0" shrinkToFit="0" wrapText="0"/>
    </xf>
    <xf borderId="10" fillId="0" fontId="1" numFmtId="0" xfId="0" applyAlignment="1" applyBorder="1" applyFont="1">
      <alignment shrinkToFit="0" wrapText="0"/>
    </xf>
    <xf borderId="10" fillId="0" fontId="1" numFmtId="0" xfId="0" applyAlignment="1" applyBorder="1" applyFont="1">
      <alignment horizontal="right" readingOrder="0" shrinkToFit="0" wrapText="0"/>
    </xf>
    <xf borderId="0" fillId="0" fontId="5" numFmtId="0" xfId="0" applyAlignment="1" applyFont="1">
      <alignment horizontal="right" shrinkToFit="0" vertical="bottom" wrapText="0"/>
    </xf>
    <xf borderId="0" fillId="0" fontId="5" numFmtId="0" xfId="0" applyAlignment="1" applyFont="1">
      <alignment horizontal="right" shrinkToFit="0" vertical="bottom" wrapText="0"/>
    </xf>
    <xf borderId="0" fillId="0" fontId="21" numFmtId="0" xfId="0" applyAlignment="1" applyFont="1">
      <alignment readingOrder="0"/>
    </xf>
    <xf borderId="2" fillId="0" fontId="1" numFmtId="0" xfId="0" applyAlignment="1" applyBorder="1" applyFont="1">
      <alignment readingOrder="0" shrinkToFit="0" wrapText="0"/>
    </xf>
    <xf borderId="2" fillId="0" fontId="1" numFmtId="0" xfId="0" applyAlignment="1" applyBorder="1" applyFont="1">
      <alignment shrinkToFit="0" wrapText="0"/>
    </xf>
    <xf borderId="2" fillId="0" fontId="1" numFmtId="0" xfId="0" applyAlignment="1" applyBorder="1" applyFont="1">
      <alignment horizontal="right" readingOrder="0" shrinkToFit="0" wrapText="0"/>
    </xf>
    <xf borderId="0" fillId="0" fontId="5" numFmtId="0" xfId="0" applyAlignment="1" applyFont="1">
      <alignment shrinkToFit="0" wrapText="0"/>
    </xf>
    <xf borderId="0" fillId="0" fontId="0" numFmtId="0" xfId="0" applyAlignment="1" applyFont="1">
      <alignment readingOrder="0" shrinkToFit="0" wrapText="1"/>
    </xf>
    <xf borderId="0" fillId="0" fontId="22" numFmtId="0" xfId="0" applyAlignment="1" applyFont="1">
      <alignment readingOrder="0" shrinkToFit="0" wrapText="1"/>
    </xf>
    <xf borderId="0" fillId="0" fontId="23" numFmtId="0" xfId="0" applyAlignment="1" applyFont="1">
      <alignment readingOrder="0" shrinkToFit="0" wrapText="1"/>
    </xf>
    <xf borderId="11" fillId="0" fontId="24" numFmtId="0" xfId="0" applyAlignment="1" applyBorder="1" applyFont="1">
      <alignment shrinkToFit="0" wrapText="1"/>
    </xf>
    <xf borderId="12" fillId="0" fontId="24" numFmtId="0" xfId="0" applyAlignment="1" applyBorder="1" applyFont="1">
      <alignment horizontal="center" readingOrder="0" shrinkToFit="0" wrapText="1"/>
    </xf>
    <xf borderId="13" fillId="0" fontId="24" numFmtId="0" xfId="0" applyAlignment="1" applyBorder="1" applyFont="1">
      <alignment horizontal="center" readingOrder="0" shrinkToFit="0" wrapText="1"/>
    </xf>
    <xf borderId="10" fillId="0" fontId="9" numFmtId="0" xfId="0" applyBorder="1" applyFont="1"/>
    <xf borderId="14" fillId="0" fontId="9" numFmtId="0" xfId="0" applyBorder="1" applyFont="1"/>
    <xf borderId="4" fillId="0" fontId="24" numFmtId="0" xfId="0" applyAlignment="1" applyBorder="1" applyFont="1">
      <alignment horizontal="center" readingOrder="0" shrinkToFit="0" wrapText="1"/>
    </xf>
    <xf borderId="15" fillId="0" fontId="9" numFmtId="0" xfId="0" applyBorder="1" applyFont="1"/>
    <xf borderId="1" fillId="0" fontId="24" numFmtId="0" xfId="0" applyAlignment="1" applyBorder="1" applyFont="1">
      <alignment readingOrder="0" shrinkToFit="0" wrapText="1"/>
    </xf>
    <xf borderId="9" fillId="0" fontId="9" numFmtId="0" xfId="0" applyBorder="1" applyFont="1"/>
    <xf borderId="9" fillId="0" fontId="24" numFmtId="0" xfId="0" applyAlignment="1" applyBorder="1" applyFont="1">
      <alignment shrinkToFit="0" vertical="bottom" wrapText="1"/>
    </xf>
    <xf borderId="0" fillId="0" fontId="1" numFmtId="0" xfId="0" applyAlignment="1" applyFont="1">
      <alignment horizontal="right" readingOrder="0" shrinkToFit="0" wrapText="0"/>
    </xf>
    <xf borderId="1" fillId="0" fontId="24" numFmtId="0" xfId="0" applyAlignment="1" applyBorder="1" applyFont="1">
      <alignment shrinkToFit="0" vertical="bottom" wrapText="1"/>
    </xf>
    <xf borderId="0" fillId="0" fontId="5" numFmtId="49" xfId="0" applyAlignment="1" applyFont="1" applyNumberFormat="1">
      <alignment shrinkToFit="0" vertical="bottom" wrapText="0"/>
    </xf>
    <xf borderId="1" fillId="0" fontId="24" numFmtId="0" xfId="0" applyAlignment="1" applyBorder="1" applyFont="1">
      <alignment shrinkToFit="0" wrapText="1"/>
    </xf>
    <xf borderId="0" fillId="0" fontId="5" numFmtId="49" xfId="0" applyAlignment="1" applyFont="1" applyNumberFormat="1">
      <alignment shrinkToFit="0" vertical="bottom" wrapText="0"/>
    </xf>
    <xf borderId="0" fillId="0" fontId="24" numFmtId="0" xfId="0" applyAlignment="1" applyFont="1">
      <alignment shrinkToFit="0" wrapText="1"/>
    </xf>
    <xf borderId="0" fillId="0" fontId="24" numFmtId="0" xfId="0" applyAlignment="1" applyFont="1">
      <alignment readingOrder="0" shrinkToFit="0" wrapText="1"/>
    </xf>
    <xf borderId="0" fillId="12" fontId="25" numFmtId="0" xfId="0" applyAlignment="1" applyFill="1" applyFont="1">
      <alignment readingOrder="0" shrinkToFit="0" wrapText="0"/>
    </xf>
    <xf borderId="0" fillId="12" fontId="1" numFmtId="49" xfId="0" applyAlignment="1" applyFill="1" applyFont="1" applyNumberFormat="1">
      <alignment readingOrder="0" shrinkToFit="0" wrapText="0"/>
    </xf>
    <xf borderId="1" fillId="10" fontId="0" numFmtId="0" xfId="0" applyAlignment="1" applyBorder="1" applyFill="1" applyFont="1">
      <alignment horizontal="left" readingOrder="0" shrinkToFit="0" wrapText="1"/>
    </xf>
    <xf borderId="11" fillId="0" fontId="24" numFmtId="0" xfId="0" applyAlignment="1" applyBorder="1" applyFont="1">
      <alignment shrinkToFit="0" vertical="bottom" wrapText="1"/>
    </xf>
    <xf borderId="12" fillId="0" fontId="24" numFmtId="0" xfId="0" applyAlignment="1" applyBorder="1" applyFont="1">
      <alignment horizontal="center" shrinkToFit="0" vertical="bottom" wrapText="1"/>
    </xf>
    <xf borderId="10" fillId="0" fontId="24" numFmtId="0" xfId="0" applyAlignment="1" applyBorder="1" applyFont="1">
      <alignment horizontal="center" shrinkToFit="0" vertical="bottom" wrapText="1"/>
    </xf>
    <xf borderId="15" fillId="0" fontId="24" numFmtId="0" xfId="0" applyAlignment="1" applyBorder="1" applyFont="1">
      <alignment shrinkToFit="0" vertical="bottom" wrapText="1"/>
    </xf>
    <xf borderId="15" fillId="0" fontId="24" numFmtId="0" xfId="0" applyAlignment="1" applyBorder="1" applyFont="1">
      <alignment readingOrder="0" shrinkToFit="0" vertical="bottom" wrapText="1"/>
    </xf>
    <xf borderId="15" fillId="0" fontId="24" numFmtId="0" xfId="0" applyAlignment="1" applyBorder="1" applyFont="1">
      <alignment shrinkToFit="0" vertical="bottom" wrapText="1"/>
    </xf>
    <xf borderId="15" fillId="10" fontId="24" numFmtId="0" xfId="0" applyAlignment="1" applyBorder="1" applyFill="1" applyFont="1">
      <alignment readingOrder="0" shrinkToFit="0" vertical="bottom" wrapText="1"/>
    </xf>
    <xf borderId="15" fillId="10" fontId="24" numFmtId="0" xfId="0" applyAlignment="1" applyBorder="1" applyFill="1" applyFont="1">
      <alignment shrinkToFit="0" vertical="bottom" wrapText="1"/>
    </xf>
    <xf borderId="2" fillId="0" fontId="1" numFmtId="0" xfId="0" applyAlignment="1" applyBorder="1" applyFont="1">
      <alignment horizontal="right" shrinkToFit="0" wrapText="0"/>
    </xf>
    <xf borderId="1" fillId="0" fontId="24" numFmtId="0" xfId="0" applyAlignment="1" applyBorder="1" applyFont="1">
      <alignment readingOrder="0" shrinkToFit="0" vertical="bottom" wrapText="1"/>
    </xf>
    <xf borderId="13" fillId="0" fontId="0" numFmtId="0" xfId="0" applyAlignment="1" applyBorder="1" applyFont="1">
      <alignment horizontal="left" readingOrder="0" shrinkToFit="0" wrapText="1"/>
    </xf>
    <xf borderId="0" fillId="0" fontId="5" numFmtId="0" xfId="0" applyAlignment="1" applyFont="1">
      <alignment shrinkToFit="0" vertical="bottom" wrapText="1"/>
    </xf>
    <xf borderId="5" fillId="10" fontId="17" numFmtId="0" xfId="0" applyAlignment="1" applyBorder="1" applyFill="1" applyFont="1">
      <alignment readingOrder="0" shrinkToFit="0" wrapText="0"/>
    </xf>
    <xf borderId="11" fillId="0" fontId="1" numFmtId="0" xfId="0" applyAlignment="1" applyBorder="1" applyFont="1">
      <alignment readingOrder="0" shrinkToFit="0" wrapText="0"/>
    </xf>
    <xf borderId="16" fillId="0" fontId="26" numFmtId="0" xfId="0" applyAlignment="1" applyBorder="1" applyFont="1">
      <alignment horizontal="center" readingOrder="0"/>
    </xf>
    <xf borderId="5" fillId="0" fontId="9" numFmtId="0" xfId="0" applyBorder="1" applyFont="1"/>
    <xf borderId="12" fillId="0" fontId="9" numFmtId="0" xfId="0" applyBorder="1" applyFont="1"/>
    <xf borderId="16" fillId="0" fontId="27" numFmtId="0" xfId="0" applyAlignment="1" applyBorder="1" applyFont="1">
      <alignment horizontal="center" readingOrder="0" vertical="bottom"/>
    </xf>
    <xf borderId="0" fillId="0" fontId="26" numFmtId="0" xfId="0" applyAlignment="1" applyFont="1">
      <alignment horizontal="center" readingOrder="0"/>
    </xf>
    <xf borderId="17" fillId="0" fontId="1" numFmtId="0" xfId="0" applyAlignment="1" applyBorder="1" applyFont="1">
      <alignment readingOrder="0"/>
    </xf>
    <xf borderId="11" fillId="0" fontId="1" numFmtId="0" xfId="0" applyAlignment="1" applyBorder="1" applyFont="1">
      <alignment readingOrder="0"/>
    </xf>
    <xf borderId="17" fillId="0" fontId="27" numFmtId="0" xfId="0" applyAlignment="1" applyBorder="1" applyFont="1">
      <alignment vertical="bottom"/>
    </xf>
    <xf borderId="0" fillId="0" fontId="27" numFmtId="0" xfId="0" applyAlignment="1" applyFont="1">
      <alignment vertical="bottom"/>
    </xf>
    <xf borderId="11" fillId="0" fontId="27" numFmtId="0" xfId="0" applyAlignment="1" applyBorder="1" applyFont="1">
      <alignment vertical="bottom"/>
    </xf>
    <xf borderId="17" fillId="0" fontId="1" numFmtId="0" xfId="0" applyBorder="1" applyFont="1"/>
    <xf borderId="0" fillId="0" fontId="1" numFmtId="0" xfId="0" applyFont="1"/>
    <xf borderId="11" fillId="0" fontId="1" numFmtId="0" xfId="0" applyBorder="1" applyFont="1"/>
    <xf borderId="17" fillId="0" fontId="1" numFmtId="0" xfId="0" applyAlignment="1" applyBorder="1" applyFont="1">
      <alignment shrinkToFit="0" wrapText="0"/>
    </xf>
    <xf borderId="17" fillId="0" fontId="5" numFmtId="0" xfId="0" applyAlignment="1" applyBorder="1" applyFont="1">
      <alignment readingOrder="0" vertical="bottom"/>
    </xf>
    <xf borderId="11" fillId="0" fontId="5" numFmtId="0" xfId="0" applyAlignment="1" applyBorder="1" applyFont="1">
      <alignment readingOrder="0" vertical="bottom"/>
    </xf>
    <xf borderId="11" fillId="0" fontId="5" numFmtId="0" xfId="0" applyAlignment="1" applyBorder="1" applyFont="1">
      <alignment vertical="bottom"/>
    </xf>
    <xf borderId="5" fillId="0" fontId="1" numFmtId="0" xfId="0" applyAlignment="1" applyBorder="1" applyFont="1">
      <alignment readingOrder="0" shrinkToFit="0" wrapText="0"/>
    </xf>
    <xf borderId="5" fillId="0" fontId="1" numFmtId="0" xfId="0" applyAlignment="1" applyBorder="1" applyFont="1">
      <alignment horizontal="right" shrinkToFit="0" wrapText="0"/>
    </xf>
    <xf borderId="5" fillId="0" fontId="1" numFmtId="0" xfId="0" applyAlignment="1" applyBorder="1" applyFont="1">
      <alignment shrinkToFit="0" wrapText="0"/>
    </xf>
    <xf borderId="0" fillId="0" fontId="5" numFmtId="0" xfId="0" applyAlignment="1" applyFont="1">
      <alignment horizontal="left" readingOrder="0" vertical="bottom"/>
    </xf>
    <xf borderId="0" fillId="0" fontId="5" numFmtId="0" xfId="0" applyAlignment="1" applyFont="1">
      <alignment horizontal="right" vertical="bottom"/>
    </xf>
    <xf borderId="0" fillId="0" fontId="5" numFmtId="0" xfId="0" applyAlignment="1" applyFont="1">
      <alignment horizontal="right" readingOrder="0" vertical="bottom"/>
    </xf>
    <xf borderId="0" fillId="0" fontId="5" numFmtId="0" xfId="0" applyAlignment="1" applyFont="1">
      <alignment horizontal="center" readingOrder="0" vertical="bottom"/>
    </xf>
    <xf borderId="0" fillId="0" fontId="5" numFmtId="0" xfId="0" applyAlignment="1" applyFont="1">
      <alignment horizontal="left" vertical="bottom"/>
    </xf>
    <xf borderId="0" fillId="0" fontId="5" numFmtId="0" xfId="0" applyAlignment="1" applyFont="1">
      <alignment horizontal="left" vertical="bottom"/>
    </xf>
    <xf borderId="0" fillId="0" fontId="1" numFmtId="0" xfId="0" applyAlignment="1" applyFont="1">
      <alignment horizontal="left" readingOrder="0"/>
    </xf>
    <xf borderId="0" fillId="0" fontId="1" numFmtId="0" xfId="0" applyAlignment="1" applyFont="1">
      <alignment readingOrder="0" shrinkToFit="0" vertical="top" wrapText="0"/>
    </xf>
    <xf borderId="0" fillId="0" fontId="5" numFmtId="0" xfId="0" applyAlignment="1" applyFont="1">
      <alignment horizontal="left" vertical="bottom"/>
    </xf>
    <xf borderId="0" fillId="10" fontId="5" numFmtId="0" xfId="0" applyAlignment="1" applyFill="1" applyFont="1">
      <alignment readingOrder="0" vertical="bottom"/>
    </xf>
    <xf borderId="0" fillId="0" fontId="28" numFmtId="0" xfId="0" applyAlignment="1" applyFont="1">
      <alignment horizontal="left" readingOrder="0"/>
    </xf>
    <xf borderId="0" fillId="10" fontId="5" numFmtId="0" xfId="0" applyAlignment="1" applyFill="1" applyFont="1">
      <alignment vertical="bottom"/>
    </xf>
    <xf borderId="0" fillId="0" fontId="1" numFmtId="0" xfId="0" applyAlignment="1" applyFont="1">
      <alignment horizontal="left"/>
    </xf>
    <xf borderId="2" fillId="0" fontId="1" numFmtId="0" xfId="0" applyAlignment="1" applyBorder="1" applyFont="1">
      <alignment horizontal="left" readingOrder="0"/>
    </xf>
    <xf borderId="0" fillId="0" fontId="1" numFmtId="0" xfId="0" applyFont="1"/>
    <xf borderId="0" fillId="12" fontId="1" numFmtId="0" xfId="0" applyAlignment="1" applyFill="1" applyFont="1">
      <alignment shrinkToFit="0" wrapText="0"/>
    </xf>
    <xf borderId="0" fillId="0" fontId="1" numFmtId="0" xfId="0" applyAlignment="1" applyFont="1">
      <alignment readingOrder="0"/>
    </xf>
    <xf borderId="0" fillId="0" fontId="29" numFmtId="0" xfId="0" applyAlignment="1" applyFont="1">
      <alignment horizontal="left" vertical="bottom"/>
    </xf>
    <xf borderId="0" fillId="0" fontId="30" numFmtId="0" xfId="0" applyAlignment="1" applyFont="1">
      <alignment horizontal="left" readingOrder="0" vertical="bottom"/>
    </xf>
    <xf borderId="0" fillId="0" fontId="1" numFmtId="0" xfId="0" applyAlignment="1" applyFont="1">
      <alignment readingOrder="0" shrinkToFit="0" vertical="top" wrapText="1"/>
    </xf>
    <xf borderId="18" fillId="0" fontId="1" numFmtId="0" xfId="0" applyAlignment="1" applyBorder="1" applyFont="1">
      <alignment readingOrder="0" shrinkToFit="0" wrapText="1"/>
    </xf>
    <xf borderId="19" fillId="0" fontId="1" numFmtId="0" xfId="0" applyAlignment="1" applyBorder="1" applyFont="1">
      <alignment readingOrder="0" shrinkToFit="0" wrapText="1"/>
    </xf>
    <xf borderId="0" fillId="0" fontId="31" numFmtId="0" xfId="0" applyAlignment="1" applyFont="1">
      <alignment readingOrder="0" shrinkToFit="0" vertical="top" wrapText="0"/>
    </xf>
    <xf borderId="19" fillId="0" fontId="1" numFmtId="0" xfId="0" applyAlignment="1" applyBorder="1" applyFont="1">
      <alignment readingOrder="0" shrinkToFit="0" wrapText="0"/>
    </xf>
    <xf borderId="19" fillId="0" fontId="1" numFmtId="0" xfId="0" applyAlignment="1" applyBorder="1" applyFont="1">
      <alignment shrinkToFit="0" wrapText="0"/>
    </xf>
    <xf borderId="18" fillId="0" fontId="1" numFmtId="0" xfId="0" applyAlignment="1" applyBorder="1" applyFont="1">
      <alignment readingOrder="0" shrinkToFit="0" wrapText="0"/>
    </xf>
    <xf borderId="20" fillId="0" fontId="1" numFmtId="0" xfId="0" applyAlignment="1" applyBorder="1" applyFont="1">
      <alignment readingOrder="0" shrinkToFit="0" wrapText="0"/>
    </xf>
    <xf borderId="21" fillId="0" fontId="1" numFmtId="0" xfId="0" applyAlignment="1" applyBorder="1" applyFont="1">
      <alignment readingOrder="0" shrinkToFit="0" wrapText="0"/>
    </xf>
    <xf borderId="22" fillId="0" fontId="1" numFmtId="0" xfId="0" applyAlignment="1" applyBorder="1" applyFont="1">
      <alignment readingOrder="0" shrinkToFit="0" wrapText="0"/>
    </xf>
    <xf borderId="20" fillId="0" fontId="1" numFmtId="0" xfId="0" applyAlignment="1" applyBorder="1" applyFont="1">
      <alignment shrinkToFit="0" wrapText="0"/>
    </xf>
    <xf borderId="18" fillId="0" fontId="1" numFmtId="0" xfId="0" applyAlignment="1" applyBorder="1" applyFont="1">
      <alignment shrinkToFit="0" wrapText="0"/>
    </xf>
    <xf borderId="0" fillId="10" fontId="16" numFmtId="0" xfId="0" applyAlignment="1" applyFill="1" applyFont="1">
      <alignment horizontal="left" readingOrder="0" shrinkToFit="0" wrapText="0"/>
    </xf>
    <xf borderId="18" fillId="10" fontId="16" numFmtId="0" xfId="0" applyAlignment="1" applyBorder="1" applyFill="1" applyFont="1">
      <alignment horizontal="left" readingOrder="0" shrinkToFit="0" wrapText="0"/>
    </xf>
    <xf borderId="22" fillId="0" fontId="1" numFmtId="0" xfId="0" applyAlignment="1" applyBorder="1" applyFont="1">
      <alignment readingOrder="0"/>
    </xf>
    <xf borderId="22" fillId="0" fontId="1" numFmtId="0" xfId="0" applyAlignment="1" applyBorder="1" applyFont="1">
      <alignment shrinkToFit="0" wrapText="0"/>
    </xf>
    <xf borderId="0" fillId="10" fontId="32" numFmtId="0" xfId="0" applyAlignment="1" applyFill="1" applyFont="1">
      <alignment readingOrder="0" shrinkToFit="0" wrapText="0"/>
    </xf>
    <xf borderId="18" fillId="0" fontId="1" numFmtId="0" xfId="0" applyAlignment="1" applyBorder="1" applyFont="1">
      <alignment readingOrder="0"/>
    </xf>
    <xf borderId="0" fillId="9" fontId="1" numFmtId="0" xfId="0" applyAlignment="1" applyFill="1" applyFont="1">
      <alignment readingOrder="0" shrinkToFit="0" wrapText="0"/>
    </xf>
    <xf borderId="0" fillId="0" fontId="1" numFmtId="0" xfId="0" applyAlignment="1" applyFont="1">
      <alignment shrinkToFit="0" vertical="top" wrapText="0"/>
    </xf>
    <xf borderId="18" fillId="0" fontId="1" numFmtId="0" xfId="0" applyAlignment="1" applyBorder="1" applyFont="1">
      <alignment shrinkToFit="0" wrapText="1"/>
    </xf>
    <xf borderId="19" fillId="0" fontId="1" numFmtId="0" xfId="0" applyAlignment="1" applyBorder="1" applyFont="1">
      <alignment shrinkToFit="0" wrapText="1"/>
    </xf>
    <xf borderId="0" fillId="0" fontId="1" numFmtId="0" xfId="0" applyAlignment="1" applyFont="1">
      <alignment readingOrder="0" shrinkToFit="0" vertical="top" wrapText="0"/>
    </xf>
    <xf borderId="18" fillId="0" fontId="1" numFmtId="0" xfId="0" applyAlignment="1" applyBorder="1" applyFont="1">
      <alignment shrinkToFit="0" wrapText="0"/>
    </xf>
    <xf borderId="19" fillId="0" fontId="1" numFmtId="0" xfId="0" applyAlignment="1" applyBorder="1" applyFont="1">
      <alignment shrinkToFit="0" wrapText="0"/>
    </xf>
    <xf borderId="0" fillId="0" fontId="1" numFmtId="0" xfId="0" applyAlignment="1" applyFont="1">
      <alignment shrinkToFit="0" vertical="top" wrapText="0"/>
    </xf>
    <xf borderId="0" fillId="0" fontId="33" numFmtId="0" xfId="0" applyAlignment="1" applyFont="1">
      <alignment shrinkToFit="0" wrapText="1"/>
    </xf>
    <xf borderId="17" fillId="0" fontId="1" numFmtId="0" xfId="0" applyAlignment="1" applyBorder="1" applyFont="1">
      <alignment readingOrder="0" shrinkToFit="0" wrapText="1"/>
    </xf>
    <xf borderId="0" fillId="0" fontId="33" numFmtId="0" xfId="0" applyAlignment="1" applyFont="1">
      <alignment readingOrder="0" textRotation="90" vertical="center"/>
    </xf>
    <xf borderId="2" fillId="0" fontId="1" numFmtId="0" xfId="0" applyAlignment="1" applyBorder="1" applyFont="1">
      <alignment readingOrder="0"/>
    </xf>
    <xf borderId="2" fillId="0" fontId="1" numFmtId="0" xfId="0" applyAlignment="1" applyBorder="1" applyFont="1">
      <alignment shrinkToFit="0" wrapText="1"/>
    </xf>
    <xf borderId="23" fillId="0" fontId="1" numFmtId="0" xfId="0" applyAlignment="1" applyBorder="1" applyFont="1">
      <alignment shrinkToFit="0" wrapText="1"/>
    </xf>
    <xf borderId="2" fillId="0" fontId="1" numFmtId="0" xfId="0" applyAlignment="1" applyBorder="1" applyFont="1">
      <alignment readingOrder="0" shrinkToFit="0" wrapText="1"/>
    </xf>
    <xf borderId="2" fillId="0" fontId="1" numFmtId="0" xfId="0" applyBorder="1" applyFont="1"/>
    <xf borderId="24" fillId="0" fontId="9" numFmtId="0" xfId="0" applyBorder="1" applyFont="1"/>
    <xf borderId="24" fillId="0" fontId="1" numFmtId="0" xfId="0" applyAlignment="1" applyBorder="1" applyFont="1">
      <alignment readingOrder="0"/>
    </xf>
    <xf borderId="24" fillId="0" fontId="1" numFmtId="0" xfId="0" applyAlignment="1" applyBorder="1" applyFont="1">
      <alignment shrinkToFit="0" wrapText="1"/>
    </xf>
    <xf borderId="25" fillId="0" fontId="1" numFmtId="0" xfId="0" applyAlignment="1" applyBorder="1" applyFont="1">
      <alignment shrinkToFit="0" wrapText="1"/>
    </xf>
    <xf borderId="2" fillId="0" fontId="5" numFmtId="0" xfId="0" applyAlignment="1" applyBorder="1" applyFont="1">
      <alignment readingOrder="0" shrinkToFit="0" vertical="bottom" wrapText="0"/>
    </xf>
    <xf borderId="24" fillId="0" fontId="1" numFmtId="0" xfId="0" applyAlignment="1" applyBorder="1" applyFont="1">
      <alignment readingOrder="0" shrinkToFit="0" wrapText="1"/>
    </xf>
    <xf borderId="24" fillId="0" fontId="1" numFmtId="0" xfId="0" applyBorder="1" applyFont="1"/>
    <xf borderId="0" fillId="0" fontId="33" numFmtId="0" xfId="0" applyAlignment="1" applyFont="1">
      <alignment horizontal="left" readingOrder="0" textRotation="90" vertical="center"/>
    </xf>
    <xf borderId="17" fillId="0" fontId="1" numFmtId="0" xfId="0" applyAlignment="1" applyBorder="1" applyFont="1">
      <alignment shrinkToFit="0" wrapText="1"/>
    </xf>
    <xf borderId="0" fillId="0" fontId="33" numFmtId="0" xfId="0" applyFont="1"/>
    <xf borderId="0" fillId="12" fontId="5" numFmtId="49" xfId="0" applyAlignment="1" applyFill="1" applyFont="1" applyNumberFormat="1">
      <alignment shrinkToFit="0" vertical="bottom" wrapText="0"/>
    </xf>
    <xf borderId="0" fillId="10" fontId="34" numFmtId="0" xfId="0" applyAlignment="1" applyFill="1" applyFont="1">
      <alignment shrinkToFit="0" vertical="bottom" wrapText="0"/>
    </xf>
    <xf borderId="0" fillId="10" fontId="34" numFmtId="0" xfId="0" applyAlignment="1" applyFill="1" applyFont="1">
      <alignment shrinkToFit="0" vertical="bottom" wrapText="0"/>
    </xf>
    <xf borderId="0" fillId="7" fontId="5" numFmtId="0" xfId="0" applyAlignment="1" applyFill="1" applyFont="1">
      <alignment shrinkToFit="0" vertical="bottom" wrapText="0"/>
    </xf>
    <xf borderId="0" fillId="4" fontId="5" numFmtId="0" xfId="0" applyAlignment="1" applyFill="1" applyFont="1">
      <alignment shrinkToFit="0" vertical="bottom" wrapText="0"/>
    </xf>
    <xf borderId="0" fillId="4" fontId="5" numFmtId="0" xfId="0" applyAlignment="1" applyFill="1" applyFont="1">
      <alignment horizontal="right" shrinkToFit="0" vertical="bottom" wrapText="0"/>
    </xf>
    <xf borderId="0" fillId="4" fontId="5" numFmtId="0" xfId="0" applyAlignment="1" applyFill="1" applyFont="1">
      <alignment horizontal="right" shrinkToFit="0" vertical="bottom" wrapText="0"/>
    </xf>
    <xf borderId="5" fillId="10" fontId="34" numFmtId="0" xfId="0" applyAlignment="1" applyBorder="1" applyFill="1" applyFont="1">
      <alignment shrinkToFit="0" vertical="bottom" wrapText="0"/>
    </xf>
    <xf borderId="0" fillId="13" fontId="5" numFmtId="0" xfId="0" applyAlignment="1" applyFill="1" applyFont="1">
      <alignment shrinkToFit="0" vertical="bottom" wrapText="0"/>
    </xf>
    <xf borderId="5" fillId="10" fontId="34" numFmtId="0" xfId="0" applyAlignment="1" applyBorder="1" applyFill="1" applyFont="1">
      <alignment shrinkToFit="0" vertical="bottom" wrapText="0"/>
    </xf>
    <xf borderId="0" fillId="0" fontId="1" numFmtId="0" xfId="0" applyAlignment="1" applyFont="1">
      <alignment readingOrder="0" shrinkToFit="0" wrapText="0"/>
    </xf>
    <xf borderId="0" fillId="0" fontId="3" numFmtId="0" xfId="0" applyAlignment="1" applyFont="1">
      <alignment horizontal="center" readingOrder="0" shrinkToFit="0" wrapText="1"/>
    </xf>
    <xf borderId="26" fillId="0" fontId="1" numFmtId="0" xfId="0" applyAlignment="1" applyBorder="1" applyFont="1">
      <alignment readingOrder="0" shrinkToFit="0" wrapText="1"/>
    </xf>
    <xf borderId="17" fillId="0" fontId="3" numFmtId="0" xfId="0" applyAlignment="1" applyBorder="1" applyFont="1">
      <alignment readingOrder="0" shrinkToFit="0" wrapText="0"/>
    </xf>
    <xf borderId="26" fillId="0" fontId="35" numFmtId="0" xfId="0" applyBorder="1" applyFont="1"/>
    <xf borderId="0" fillId="0" fontId="1" numFmtId="0" xfId="0" applyAlignment="1" applyFont="1">
      <alignment horizontal="left" readingOrder="0" shrinkToFit="0" wrapText="0"/>
    </xf>
    <xf borderId="26" fillId="0" fontId="1" numFmtId="0" xfId="0" applyAlignment="1" applyBorder="1" applyFont="1">
      <alignment readingOrder="0"/>
    </xf>
    <xf borderId="26" fillId="0" fontId="1" numFmtId="0" xfId="0" applyBorder="1" applyFont="1"/>
    <xf borderId="0" fillId="0" fontId="36" numFmtId="0" xfId="0" applyFont="1"/>
    <xf borderId="0" fillId="0" fontId="37" numFmtId="0" xfId="0" applyAlignment="1" applyFont="1">
      <alignment shrinkToFit="0" wrapText="0"/>
    </xf>
    <xf borderId="17" fillId="0" fontId="1" numFmtId="49" xfId="0" applyBorder="1" applyFont="1" applyNumberFormat="1"/>
    <xf borderId="26" fillId="0" fontId="1" numFmtId="49" xfId="0" applyBorder="1" applyFont="1" applyNumberFormat="1"/>
    <xf borderId="0" fillId="0" fontId="1" numFmtId="49" xfId="0" applyFont="1" applyNumberFormat="1"/>
    <xf borderId="0" fillId="12" fontId="38" numFmtId="0" xfId="0" applyAlignment="1" applyFill="1" applyFont="1">
      <alignment shrinkToFit="0" wrapText="0"/>
    </xf>
    <xf borderId="17" fillId="12" fontId="1" numFmtId="0" xfId="0" applyBorder="1" applyFill="1" applyFont="1"/>
    <xf borderId="0" fillId="12" fontId="1" numFmtId="0" xfId="0" applyFill="1" applyFont="1"/>
    <xf borderId="26" fillId="12" fontId="1" numFmtId="0" xfId="0" applyBorder="1" applyFill="1" applyFont="1"/>
    <xf borderId="0" fillId="0" fontId="1" numFmtId="0" xfId="0" applyAlignment="1" applyFont="1">
      <alignment shrinkToFit="0" wrapText="0"/>
    </xf>
    <xf borderId="0" fillId="12" fontId="1" numFmtId="49" xfId="0" applyAlignment="1" applyFill="1" applyFont="1" applyNumberFormat="1">
      <alignment shrinkToFit="0" wrapText="0"/>
    </xf>
    <xf borderId="0" fillId="0" fontId="1" numFmtId="49" xfId="0" applyAlignment="1" applyFont="1" applyNumberFormat="1">
      <alignment shrinkToFit="0" wrapText="0"/>
    </xf>
    <xf quotePrefix="1" borderId="0" fillId="0" fontId="5" numFmtId="0" xfId="0" applyAlignment="1" applyFont="1">
      <alignment shrinkToFit="0" vertical="bottom" wrapText="0"/>
    </xf>
    <xf borderId="26" fillId="0" fontId="1" numFmtId="0" xfId="0" applyAlignment="1" applyBorder="1" applyFont="1">
      <alignment shrinkToFit="0" wrapText="0"/>
    </xf>
    <xf borderId="0" fillId="5" fontId="5" numFmtId="0" xfId="0" applyAlignment="1" applyFill="1" applyFont="1">
      <alignment horizontal="right" shrinkToFit="0" vertical="bottom" wrapText="0"/>
    </xf>
    <xf borderId="0" fillId="0" fontId="5" numFmtId="0" xfId="0" applyAlignment="1" applyFont="1">
      <alignment horizontal="right" readingOrder="0" shrinkToFit="0" vertical="bottom" wrapText="0"/>
    </xf>
    <xf borderId="0" fillId="5" fontId="5" numFmtId="0" xfId="0" applyAlignment="1" applyFill="1" applyFont="1">
      <alignment shrinkToFit="0" vertical="bottom" wrapText="0"/>
    </xf>
    <xf borderId="0" fillId="5" fontId="5" numFmtId="0" xfId="0" applyAlignment="1" applyFill="1" applyFont="1">
      <alignment horizontal="right" shrinkToFit="0" vertical="bottom" wrapText="0"/>
    </xf>
    <xf borderId="0" fillId="0" fontId="19" numFmtId="0" xfId="0" applyAlignment="1" applyFont="1">
      <alignment shrinkToFit="0" vertical="bottom" wrapText="0"/>
    </xf>
    <xf borderId="0" fillId="14" fontId="5" numFmtId="0" xfId="0" applyAlignment="1" applyFill="1" applyFont="1">
      <alignment shrinkToFit="0" vertical="bottom" wrapText="0"/>
    </xf>
    <xf borderId="0" fillId="7" fontId="5" numFmtId="0" xfId="0" applyAlignment="1" applyFill="1" applyFont="1">
      <alignment horizontal="right" shrinkToFit="0" vertical="bottom" wrapText="0"/>
    </xf>
    <xf borderId="17" fillId="12" fontId="1" numFmtId="49" xfId="0" applyBorder="1" applyFill="1" applyFont="1" applyNumberFormat="1"/>
    <xf borderId="26" fillId="0" fontId="39" numFmtId="0" xfId="0" applyBorder="1" applyFont="1"/>
    <xf borderId="0" fillId="0" fontId="19" numFmtId="0" xfId="0" applyAlignment="1" applyFont="1">
      <alignment horizontal="right" shrinkToFit="0" vertical="bottom" wrapText="0"/>
    </xf>
    <xf borderId="0" fillId="10" fontId="5" numFmtId="0" xfId="0" applyAlignment="1" applyFill="1" applyFont="1">
      <alignment shrinkToFit="0" vertical="bottom" wrapText="0"/>
    </xf>
    <xf borderId="0" fillId="14" fontId="5" numFmtId="0" xfId="0" applyAlignment="1" applyFill="1" applyFont="1">
      <alignment horizontal="right" shrinkToFit="0" vertical="bottom" wrapText="0"/>
    </xf>
    <xf borderId="0" fillId="6" fontId="5" numFmtId="0" xfId="0" applyAlignment="1" applyFill="1" applyFont="1">
      <alignment horizontal="right" shrinkToFit="0" vertical="bottom" wrapText="0"/>
    </xf>
    <xf borderId="0" fillId="0" fontId="40" numFmtId="0" xfId="0" applyAlignment="1" applyFont="1">
      <alignment shrinkToFit="0" vertical="bottom" wrapText="0"/>
    </xf>
    <xf borderId="0" fillId="5" fontId="5" numFmtId="0" xfId="0" applyAlignment="1" applyFill="1" applyFont="1">
      <alignment shrinkToFit="0" vertical="bottom" wrapText="0"/>
    </xf>
    <xf borderId="0" fillId="6" fontId="5" numFmtId="0" xfId="0" applyAlignment="1" applyFill="1" applyFont="1">
      <alignment horizontal="right" shrinkToFit="0" vertical="bottom" wrapText="0"/>
    </xf>
    <xf borderId="0" fillId="3" fontId="5" numFmtId="0" xfId="0" applyAlignment="1" applyFill="1" applyFont="1">
      <alignment horizontal="right" shrinkToFit="0" vertical="bottom" wrapText="0"/>
    </xf>
    <xf borderId="0" fillId="7" fontId="5" numFmtId="0" xfId="0" applyAlignment="1" applyFill="1" applyFont="1">
      <alignment shrinkToFit="0" vertical="bottom" wrapText="0"/>
    </xf>
    <xf borderId="0" fillId="3" fontId="5" numFmtId="0" xfId="0" applyAlignment="1" applyFill="1" applyFont="1">
      <alignment horizontal="right" shrinkToFit="0" vertical="bottom" wrapText="0"/>
    </xf>
    <xf quotePrefix="1" borderId="0" fillId="0" fontId="1" numFmtId="0" xfId="0" applyAlignment="1" applyFont="1">
      <alignment readingOrder="0" shrinkToFit="0" wrapText="1"/>
    </xf>
    <xf borderId="0" fillId="12" fontId="1" numFmtId="49" xfId="0" applyFill="1" applyFont="1" applyNumberFormat="1"/>
    <xf borderId="26" fillId="0" fontId="1" numFmtId="49" xfId="0" applyAlignment="1" applyBorder="1" applyFont="1" applyNumberFormat="1">
      <alignment readingOrder="0" shrinkToFit="0" wrapText="0"/>
    </xf>
    <xf borderId="17" fillId="0" fontId="41" numFmtId="0" xfId="0" applyBorder="1" applyFont="1"/>
    <xf borderId="0" fillId="0" fontId="42" numFmtId="0" xfId="0" applyFont="1"/>
    <xf borderId="0" fillId="0" fontId="43" numFmtId="49" xfId="0" applyFont="1" applyNumberFormat="1"/>
    <xf borderId="0" fillId="0" fontId="1" numFmtId="49" xfId="0" applyAlignment="1" applyFont="1" applyNumberFormat="1">
      <alignment shrinkToFit="0" wrapText="0"/>
    </xf>
    <xf borderId="0" fillId="0" fontId="5" numFmtId="49" xfId="0" applyAlignment="1" applyFont="1" applyNumberFormat="1">
      <alignment readingOrder="0" shrinkToFit="0" vertical="bottom" wrapText="0"/>
    </xf>
    <xf borderId="0" fillId="0" fontId="1" numFmtId="49" xfId="0" applyAlignment="1" applyFont="1" applyNumberFormat="1">
      <alignment horizontal="right" shrinkToFit="0" wrapText="0"/>
    </xf>
    <xf borderId="2" fillId="0" fontId="1" numFmtId="49" xfId="0" applyAlignment="1" applyBorder="1" applyFont="1" applyNumberFormat="1">
      <alignment shrinkToFit="0" wrapText="0"/>
    </xf>
    <xf borderId="2" fillId="0" fontId="1" numFmtId="49" xfId="0" applyAlignment="1" applyBorder="1" applyFont="1" applyNumberFormat="1">
      <alignment horizontal="right" shrinkToFit="0" wrapText="0"/>
    </xf>
    <xf borderId="0" fillId="11" fontId="1" numFmtId="0" xfId="0" applyAlignment="1" applyFill="1" applyFont="1">
      <alignment shrinkToFit="0" wrapText="0"/>
    </xf>
    <xf borderId="0" fillId="0" fontId="44" numFmtId="0" xfId="0" applyAlignment="1" applyFont="1">
      <alignment shrinkToFit="0" wrapText="0"/>
    </xf>
  </cellXfs>
  <cellStyles count="1">
    <cellStyle xfId="0" name="Normal" builtinId="0"/>
  </cellStyles>
  <dxfs count="6">
    <dxf>
      <font>
        <color rgb="FFEA4335"/>
      </font>
      <fill>
        <patternFill patternType="none"/>
      </fill>
      <border/>
    </dxf>
    <dxf>
      <font/>
      <fill>
        <patternFill patternType="solid">
          <fgColor rgb="FFC9DAF8"/>
          <bgColor rgb="FFC9DAF8"/>
        </patternFill>
      </fill>
      <border/>
    </dxf>
    <dxf>
      <font/>
      <fill>
        <patternFill patternType="solid">
          <fgColor theme="5"/>
          <bgColor theme="5"/>
        </patternFill>
      </fill>
      <border/>
    </dxf>
    <dxf>
      <font/>
      <fill>
        <patternFill patternType="solid">
          <fgColor rgb="FFEA4335"/>
          <bgColor rgb="FFEA4335"/>
        </patternFill>
      </fill>
      <border/>
    </dxf>
    <dxf>
      <font/>
      <fill>
        <patternFill patternType="solid">
          <fgColor rgb="FFEA9999"/>
          <bgColor rgb="FFEA9999"/>
        </patternFill>
      </fill>
      <border/>
    </dxf>
    <dxf>
      <font>
        <color theme="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1343025</xdr:colOff>
      <xdr:row>0</xdr:row>
      <xdr:rowOff>0</xdr:rowOff>
    </xdr:from>
    <xdr:ext cx="2057400" cy="106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OpenBCS/" TargetMode="External"/><Relationship Id="rId2" Type="http://schemas.openxmlformats.org/officeDocument/2006/relationships/hyperlink" Target="https://www.drivethrurpg.com/product/397823/Boundless-Classes-Soulpath-Facility--BCS-Class-Creator-Form" TargetMode="External"/><Relationship Id="rId3" Type="http://schemas.openxmlformats.org/officeDocument/2006/relationships/hyperlink" Target="https://www.drivethrurpg.com/product/397823/Boundless-Classes-Soulpath-Facility--BCS-Class-Creator-Form" TargetMode="External"/><Relationship Id="rId4" Type="http://schemas.openxmlformats.org/officeDocument/2006/relationships/hyperlink" Target="https://www.drivethrurpg.com/product/397823/Boundless-Classes-Soulpath-Facility--BCS-Class-Creator-For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galdiuz.github.io/nethys-search/?q=weapon_category%3Asimple&amp;type=eqs" TargetMode="External"/><Relationship Id="rId42" Type="http://schemas.openxmlformats.org/officeDocument/2006/relationships/hyperlink" Target="https://galdiuz.github.io/nethys-search/?q=weapon_category%3Aadvanced&amp;type=eqs" TargetMode="External"/><Relationship Id="rId41" Type="http://schemas.openxmlformats.org/officeDocument/2006/relationships/hyperlink" Target="https://galdiuz.github.io/nethys-search/?q=weapon_category%3Amartial&amp;type=eqs" TargetMode="External"/><Relationship Id="rId44" Type="http://schemas.openxmlformats.org/officeDocument/2006/relationships/hyperlink" Target="https://2e.aonprd.com/ArmorGroups.aspx" TargetMode="External"/><Relationship Id="rId43" Type="http://schemas.openxmlformats.org/officeDocument/2006/relationships/hyperlink" Target="https://2e.aonprd.com/Rules.aspx?ID=198" TargetMode="External"/><Relationship Id="rId46" Type="http://schemas.openxmlformats.org/officeDocument/2006/relationships/hyperlink" Target="https://2e.aonprd.com/Armor.aspx" TargetMode="External"/><Relationship Id="rId45" Type="http://schemas.openxmlformats.org/officeDocument/2006/relationships/hyperlink" Target="https://2e.aonprd.com/Armor.aspx" TargetMode="External"/><Relationship Id="rId1" Type="http://schemas.openxmlformats.org/officeDocument/2006/relationships/comments" Target="../comments2.xml"/><Relationship Id="rId2" Type="http://schemas.openxmlformats.org/officeDocument/2006/relationships/hyperlink" Target="https://2e.aonprd.com/Classes.aspx?ID=4" TargetMode="External"/><Relationship Id="rId3" Type="http://schemas.openxmlformats.org/officeDocument/2006/relationships/hyperlink" Target="https://2e.aonprd.com/Classes.aspx?ID=8" TargetMode="External"/><Relationship Id="rId4" Type="http://schemas.openxmlformats.org/officeDocument/2006/relationships/hyperlink" Target="https://2e.aonprd.com/Classes.aspx?ID=7" TargetMode="External"/><Relationship Id="rId9" Type="http://schemas.openxmlformats.org/officeDocument/2006/relationships/hyperlink" Target="https://2e.aonprd.com/Classes.aspx?ID=22" TargetMode="External"/><Relationship Id="rId48" Type="http://schemas.openxmlformats.org/officeDocument/2006/relationships/hyperlink" Target="https://2e.aonprd.com/Armor.aspx" TargetMode="External"/><Relationship Id="rId47" Type="http://schemas.openxmlformats.org/officeDocument/2006/relationships/hyperlink" Target="https://2e.aonprd.com/Armor.aspx" TargetMode="External"/><Relationship Id="rId49" Type="http://schemas.openxmlformats.org/officeDocument/2006/relationships/hyperlink" Target="https://2e.aonprd.com/Rules.aspx?ID=275" TargetMode="External"/><Relationship Id="rId5" Type="http://schemas.openxmlformats.org/officeDocument/2006/relationships/hyperlink" Target="https://2e.aonprd.com/Classes.aspx?ID=2" TargetMode="External"/><Relationship Id="rId6" Type="http://schemas.openxmlformats.org/officeDocument/2006/relationships/hyperlink" Target="https://2e.aonprd.com/Classes.aspx?ID=9" TargetMode="External"/><Relationship Id="rId7" Type="http://schemas.openxmlformats.org/officeDocument/2006/relationships/hyperlink" Target="https://2e.aonprd.com/Classes.aspx?ID=10" TargetMode="External"/><Relationship Id="rId8" Type="http://schemas.openxmlformats.org/officeDocument/2006/relationships/hyperlink" Target="https://2e.aonprd.com/Classes.aspx?ID=13" TargetMode="External"/><Relationship Id="rId73" Type="http://schemas.openxmlformats.org/officeDocument/2006/relationships/hyperlink" Target="https://2e.aonprd.com/ConsciousMinds.aspx" TargetMode="External"/><Relationship Id="rId72" Type="http://schemas.openxmlformats.org/officeDocument/2006/relationships/hyperlink" Target="https://2e.aonprd.com/Bloodlines.aspx" TargetMode="External"/><Relationship Id="rId31" Type="http://schemas.openxmlformats.org/officeDocument/2006/relationships/hyperlink" Target="https://2e.aonprd.com/Rules.aspx?ID=102" TargetMode="External"/><Relationship Id="rId75" Type="http://schemas.openxmlformats.org/officeDocument/2006/relationships/hyperlink" Target="https://2e.aonprd.com/Lessons.aspx" TargetMode="External"/><Relationship Id="rId30" Type="http://schemas.openxmlformats.org/officeDocument/2006/relationships/hyperlink" Target="https://2e.aonprd.com/Rules.aspx?ID=260" TargetMode="External"/><Relationship Id="rId74" Type="http://schemas.openxmlformats.org/officeDocument/2006/relationships/hyperlink" Target="https://2e.aonprd.com/ArcaneThesis.aspx" TargetMode="External"/><Relationship Id="rId33" Type="http://schemas.openxmlformats.org/officeDocument/2006/relationships/hyperlink" Target="https://2e.aonprd.com/Rules.aspx?ID=328" TargetMode="External"/><Relationship Id="rId77" Type="http://schemas.openxmlformats.org/officeDocument/2006/relationships/vmlDrawing" Target="../drawings/vmlDrawing2.vml"/><Relationship Id="rId32" Type="http://schemas.openxmlformats.org/officeDocument/2006/relationships/hyperlink" Target="https://2e.aonprd.com/Rules.aspx?ID=326" TargetMode="External"/><Relationship Id="rId76" Type="http://schemas.openxmlformats.org/officeDocument/2006/relationships/drawing" Target="../drawings/drawing4.xml"/><Relationship Id="rId35" Type="http://schemas.openxmlformats.org/officeDocument/2006/relationships/hyperlink" Target="https://2e.aonprd.com/Rules.aspx?ID=218" TargetMode="External"/><Relationship Id="rId34" Type="http://schemas.openxmlformats.org/officeDocument/2006/relationships/hyperlink" Target="https://2e.aonprd.com/Rules.aspx?ID=171" TargetMode="External"/><Relationship Id="rId71" Type="http://schemas.openxmlformats.org/officeDocument/2006/relationships/hyperlink" Target="https://2e.aonprd.com/Patrons.aspx" TargetMode="External"/><Relationship Id="rId70" Type="http://schemas.openxmlformats.org/officeDocument/2006/relationships/hyperlink" Target="https://2e.aonprd.com/ArcaneSchools.aspx" TargetMode="External"/><Relationship Id="rId37" Type="http://schemas.openxmlformats.org/officeDocument/2006/relationships/hyperlink" Target="https://2e.aonprd.com/Rules.aspx?ID=337" TargetMode="External"/><Relationship Id="rId36" Type="http://schemas.openxmlformats.org/officeDocument/2006/relationships/hyperlink" Target="https://2e.aonprd.com/WeaponGroups.aspx" TargetMode="External"/><Relationship Id="rId39" Type="http://schemas.openxmlformats.org/officeDocument/2006/relationships/hyperlink" Target="https://2e.aonprd.com/Traits.aspx?ID=199" TargetMode="External"/><Relationship Id="rId38" Type="http://schemas.openxmlformats.org/officeDocument/2006/relationships/hyperlink" Target="https://2e.aonprd.com/Rules.aspx?ID=337" TargetMode="External"/><Relationship Id="rId62" Type="http://schemas.openxmlformats.org/officeDocument/2006/relationships/hyperlink" Target="https://2e.aonprd.com/Eidolons.aspx" TargetMode="External"/><Relationship Id="rId61" Type="http://schemas.openxmlformats.org/officeDocument/2006/relationships/hyperlink" Target="https://2e.aonprd.com/ResearchFields.aspx" TargetMode="External"/><Relationship Id="rId20" Type="http://schemas.openxmlformats.org/officeDocument/2006/relationships/hyperlink" Target="https://2e.aonprd.com/Classes.aspx?ID=6" TargetMode="External"/><Relationship Id="rId64" Type="http://schemas.openxmlformats.org/officeDocument/2006/relationships/hyperlink" Target="https://2e.aonprd.com/Doctrines.aspx" TargetMode="External"/><Relationship Id="rId63" Type="http://schemas.openxmlformats.org/officeDocument/2006/relationships/hyperlink" Target="https://2e.aonprd.com/HybridStudies.aspx" TargetMode="External"/><Relationship Id="rId22" Type="http://schemas.openxmlformats.org/officeDocument/2006/relationships/hyperlink" Target="https://2e.aonprd.com/Classes.aspx?ID=12" TargetMode="External"/><Relationship Id="rId66" Type="http://schemas.openxmlformats.org/officeDocument/2006/relationships/hyperlink" Target="https://2e.aonprd.com/Muses.aspx" TargetMode="External"/><Relationship Id="rId21" Type="http://schemas.openxmlformats.org/officeDocument/2006/relationships/hyperlink" Target="https://2e.aonprd.com/Classes.aspx?ID=21" TargetMode="External"/><Relationship Id="rId65" Type="http://schemas.openxmlformats.org/officeDocument/2006/relationships/hyperlink" Target="https://2e.aonprd.com/Doctrines.aspx" TargetMode="External"/><Relationship Id="rId24" Type="http://schemas.openxmlformats.org/officeDocument/2006/relationships/hyperlink" Target="https://2e.aonprd.com/Classes.aspx?ID=11" TargetMode="External"/><Relationship Id="rId68" Type="http://schemas.openxmlformats.org/officeDocument/2006/relationships/hyperlink" Target="https://2e.aonprd.com/DruidicOrders.aspx" TargetMode="External"/><Relationship Id="rId23" Type="http://schemas.openxmlformats.org/officeDocument/2006/relationships/hyperlink" Target="https://2e.aonprd.com/Classes.aspx?ID=16" TargetMode="External"/><Relationship Id="rId67" Type="http://schemas.openxmlformats.org/officeDocument/2006/relationships/hyperlink" Target="https://2e.aonprd.com/Mysteries.aspx" TargetMode="External"/><Relationship Id="rId60" Type="http://schemas.openxmlformats.org/officeDocument/2006/relationships/hyperlink" Target="https://2e.aonprd.com/Innovations.aspx" TargetMode="External"/><Relationship Id="rId26" Type="http://schemas.openxmlformats.org/officeDocument/2006/relationships/hyperlink" Target="https://2e.aonprd.com/Rules.aspx?ID=29" TargetMode="External"/><Relationship Id="rId25" Type="http://schemas.openxmlformats.org/officeDocument/2006/relationships/hyperlink" Target="https://2e.aonprd.com/Rules.aspx?ID=137" TargetMode="External"/><Relationship Id="rId69" Type="http://schemas.openxmlformats.org/officeDocument/2006/relationships/hyperlink" Target="https://2e.aonprd.com/SubconsciousMinds.aspx" TargetMode="External"/><Relationship Id="rId28" Type="http://schemas.openxmlformats.org/officeDocument/2006/relationships/hyperlink" Target="https://2e.aonprd.com/Feats.aspx?ID=839" TargetMode="External"/><Relationship Id="rId27" Type="http://schemas.openxmlformats.org/officeDocument/2006/relationships/hyperlink" Target="https://2e.aonprd.com/Rules.aspx?ID=142" TargetMode="External"/><Relationship Id="rId29" Type="http://schemas.openxmlformats.org/officeDocument/2006/relationships/hyperlink" Target="https://2e.aonprd.com/Rules.aspx?ID=270" TargetMode="External"/><Relationship Id="rId51" Type="http://schemas.openxmlformats.org/officeDocument/2006/relationships/hyperlink" Target="https://2e.aonprd.com/Rules.aspx?ID=276" TargetMode="External"/><Relationship Id="rId50" Type="http://schemas.openxmlformats.org/officeDocument/2006/relationships/hyperlink" Target="https://2e.aonprd.com/Rules.aspx?ID=270" TargetMode="External"/><Relationship Id="rId53" Type="http://schemas.openxmlformats.org/officeDocument/2006/relationships/hyperlink" Target="https://2e.aonprd.com/Instincts.aspx" TargetMode="External"/><Relationship Id="rId52" Type="http://schemas.openxmlformats.org/officeDocument/2006/relationships/hyperlink" Target="https://2e.aonprd.com/Causes.aspx" TargetMode="External"/><Relationship Id="rId11" Type="http://schemas.openxmlformats.org/officeDocument/2006/relationships/hyperlink" Target="https://2e.aonprd.com/Classes.aspx?ID=20" TargetMode="External"/><Relationship Id="rId55" Type="http://schemas.openxmlformats.org/officeDocument/2006/relationships/hyperlink" Target="https://2e.aonprd.com/Rackets.aspx" TargetMode="External"/><Relationship Id="rId10" Type="http://schemas.openxmlformats.org/officeDocument/2006/relationships/hyperlink" Target="https://2e.aonprd.com/Classes.aspx?ID=15" TargetMode="External"/><Relationship Id="rId54" Type="http://schemas.openxmlformats.org/officeDocument/2006/relationships/hyperlink" Target="https://2e.aonprd.com/HuntersEdge.aspx" TargetMode="External"/><Relationship Id="rId13" Type="http://schemas.openxmlformats.org/officeDocument/2006/relationships/hyperlink" Target="https://2e.aonprd.com/Classes.aspx?ID=1" TargetMode="External"/><Relationship Id="rId57" Type="http://schemas.openxmlformats.org/officeDocument/2006/relationships/hyperlink" Target="https://2e.aonprd.com/Implements.aspx" TargetMode="External"/><Relationship Id="rId12" Type="http://schemas.openxmlformats.org/officeDocument/2006/relationships/hyperlink" Target="https://2e.aonprd.com/Classes.aspx?ID=19" TargetMode="External"/><Relationship Id="rId56" Type="http://schemas.openxmlformats.org/officeDocument/2006/relationships/hyperlink" Target="https://2e.aonprd.com/Methodologies.aspx" TargetMode="External"/><Relationship Id="rId15" Type="http://schemas.openxmlformats.org/officeDocument/2006/relationships/hyperlink" Target="https://2e.aonprd.com/Classes.aspx?ID=17" TargetMode="External"/><Relationship Id="rId59" Type="http://schemas.openxmlformats.org/officeDocument/2006/relationships/hyperlink" Target="https://2e.aonprd.com/Ways.aspx" TargetMode="External"/><Relationship Id="rId14" Type="http://schemas.openxmlformats.org/officeDocument/2006/relationships/hyperlink" Target="https://2e.aonprd.com/Classes.aspx?ID=18" TargetMode="External"/><Relationship Id="rId58" Type="http://schemas.openxmlformats.org/officeDocument/2006/relationships/hyperlink" Target="https://2e.aonprd.com/Styles.aspx" TargetMode="External"/><Relationship Id="rId17" Type="http://schemas.openxmlformats.org/officeDocument/2006/relationships/hyperlink" Target="https://2e.aonprd.com/Classes.aspx?ID=5" TargetMode="External"/><Relationship Id="rId16" Type="http://schemas.openxmlformats.org/officeDocument/2006/relationships/hyperlink" Target="https://2e.aonprd.com/Classes.aspx?ID=5" TargetMode="External"/><Relationship Id="rId19" Type="http://schemas.openxmlformats.org/officeDocument/2006/relationships/hyperlink" Target="https://2e.aonprd.com/Classes.aspx?ID=14" TargetMode="External"/><Relationship Id="rId18" Type="http://schemas.openxmlformats.org/officeDocument/2006/relationships/hyperlink" Target="https://2e.aonprd.com/Classes.aspx?ID=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2e.aonprd.com/ConsciousMinds.aspx" TargetMode="External"/><Relationship Id="rId2" Type="http://schemas.openxmlformats.org/officeDocument/2006/relationships/hyperlink" Target="https://2e.aonprd.com/ArcaneThesis.aspx" TargetMode="External"/><Relationship Id="rId3" Type="http://schemas.openxmlformats.org/officeDocument/2006/relationships/hyperlink" Target="https://2e.aonprd.com/Lessons.aspx"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2e.aonprd.com/ArcaneThesis.aspx" TargetMode="External"/><Relationship Id="rId2" Type="http://schemas.openxmlformats.org/officeDocument/2006/relationships/hyperlink" Target="https://2e.aonprd.com/Lessons.aspx" TargetMode="External"/><Relationship Id="rId3" Type="http://schemas.openxmlformats.org/officeDocument/2006/relationships/hyperlink" Target="https://2e.aonprd.com/ConsciousMinds.aspx"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paizo.com/threads/rzs42wf8?After-going-over-evary-weapon-in-the-game-I" TargetMode="External"/><Relationship Id="rId3" Type="http://schemas.openxmlformats.org/officeDocument/2006/relationships/drawing" Target="../drawings/drawing8.xml"/><Relationship Id="rId4"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drawing" Target="../drawings/drawing12.xml"/><Relationship Id="rId41" Type="http://schemas.openxmlformats.org/officeDocument/2006/relationships/vmlDrawing" Target="../drawings/vmlDrawing5.vml"/><Relationship Id="rId1" Type="http://schemas.openxmlformats.org/officeDocument/2006/relationships/comments" Target="../comments5.xml"/><Relationship Id="rId2" Type="http://schemas.openxmlformats.org/officeDocument/2006/relationships/hyperlink" Target="https://2e.aonprd.com/Classes.aspx?ID=2" TargetMode="External"/><Relationship Id="rId3" Type="http://schemas.openxmlformats.org/officeDocument/2006/relationships/hyperlink" Target="https://2e.aonprd.com/Instincts.aspx" TargetMode="External"/><Relationship Id="rId4" Type="http://schemas.openxmlformats.org/officeDocument/2006/relationships/hyperlink" Target="https://2e.aonprd.com/Classes.aspx?ID=4" TargetMode="External"/><Relationship Id="rId9" Type="http://schemas.openxmlformats.org/officeDocument/2006/relationships/hyperlink" Target="https://2e.aonprd.com/HuntersEdge.aspx" TargetMode="External"/><Relationship Id="rId5" Type="http://schemas.openxmlformats.org/officeDocument/2006/relationships/hyperlink" Target="https://2e.aonprd.com/Causes.aspx" TargetMode="External"/><Relationship Id="rId6" Type="http://schemas.openxmlformats.org/officeDocument/2006/relationships/hyperlink" Target="https://2e.aonprd.com/Classes.aspx?ID=7" TargetMode="External"/><Relationship Id="rId7" Type="http://schemas.openxmlformats.org/officeDocument/2006/relationships/hyperlink" Target="https://2e.aonprd.com/Classes.aspx?ID=8" TargetMode="External"/><Relationship Id="rId8" Type="http://schemas.openxmlformats.org/officeDocument/2006/relationships/hyperlink" Target="https://2e.aonprd.com/Classes.aspx?ID=9" TargetMode="External"/><Relationship Id="rId31" Type="http://schemas.openxmlformats.org/officeDocument/2006/relationships/hyperlink" Target="https://2e.aonprd.com/DruidicOrders.aspx" TargetMode="External"/><Relationship Id="rId30" Type="http://schemas.openxmlformats.org/officeDocument/2006/relationships/hyperlink" Target="https://2e.aonprd.com/Classes.aspx?ID=6" TargetMode="External"/><Relationship Id="rId33" Type="http://schemas.openxmlformats.org/officeDocument/2006/relationships/hyperlink" Target="https://2e.aonprd.com/Muses.aspx" TargetMode="External"/><Relationship Id="rId32" Type="http://schemas.openxmlformats.org/officeDocument/2006/relationships/hyperlink" Target="https://2e.aonprd.com/Classes.aspx?ID=3" TargetMode="External"/><Relationship Id="rId35" Type="http://schemas.openxmlformats.org/officeDocument/2006/relationships/hyperlink" Target="https://2e.aonprd.com/Mysteries.aspx" TargetMode="External"/><Relationship Id="rId34" Type="http://schemas.openxmlformats.org/officeDocument/2006/relationships/hyperlink" Target="https://2e.aonprd.com/Classes.aspx?ID=14" TargetMode="External"/><Relationship Id="rId37" Type="http://schemas.openxmlformats.org/officeDocument/2006/relationships/hyperlink" Target="https://2e.aonprd.com/Bloodlines.aspx" TargetMode="External"/><Relationship Id="rId36" Type="http://schemas.openxmlformats.org/officeDocument/2006/relationships/hyperlink" Target="https://2e.aonprd.com/Classes.aspx?ID=11" TargetMode="External"/><Relationship Id="rId39" Type="http://schemas.openxmlformats.org/officeDocument/2006/relationships/hyperlink" Target="https://2e.aonprd.com/Eidolons.aspx" TargetMode="External"/><Relationship Id="rId38" Type="http://schemas.openxmlformats.org/officeDocument/2006/relationships/hyperlink" Target="https://2e.aonprd.com/Classes.aspx?ID=18" TargetMode="External"/><Relationship Id="rId20" Type="http://schemas.openxmlformats.org/officeDocument/2006/relationships/hyperlink" Target="https://2e.aonprd.com/Classes.aspx?ID=1" TargetMode="External"/><Relationship Id="rId22" Type="http://schemas.openxmlformats.org/officeDocument/2006/relationships/hyperlink" Target="https://2e.aonprd.com/Classes.aspx?ID=17" TargetMode="External"/><Relationship Id="rId21" Type="http://schemas.openxmlformats.org/officeDocument/2006/relationships/hyperlink" Target="https://2e.aonprd.com/ResearchFields.aspx" TargetMode="External"/><Relationship Id="rId24" Type="http://schemas.openxmlformats.org/officeDocument/2006/relationships/hyperlink" Target="https://2e.aonprd.com/Classes.aspx?ID=16" TargetMode="External"/><Relationship Id="rId23" Type="http://schemas.openxmlformats.org/officeDocument/2006/relationships/hyperlink" Target="https://2e.aonprd.com/HybridStudies.aspx" TargetMode="External"/><Relationship Id="rId26" Type="http://schemas.openxmlformats.org/officeDocument/2006/relationships/hyperlink" Target="https://2e.aonprd.com/Classes.aspx?ID=12" TargetMode="External"/><Relationship Id="rId25" Type="http://schemas.openxmlformats.org/officeDocument/2006/relationships/hyperlink" Target="https://2e.aonprd.com/Patrons.aspx" TargetMode="External"/><Relationship Id="rId28" Type="http://schemas.openxmlformats.org/officeDocument/2006/relationships/hyperlink" Target="https://2e.aonprd.com/Classes.aspx?ID=5" TargetMode="External"/><Relationship Id="rId27" Type="http://schemas.openxmlformats.org/officeDocument/2006/relationships/hyperlink" Target="https://2e.aonprd.com/ArcaneSchools.aspx" TargetMode="External"/><Relationship Id="rId29" Type="http://schemas.openxmlformats.org/officeDocument/2006/relationships/hyperlink" Target="https://2e.aonprd.com/Doctrines.aspx" TargetMode="External"/><Relationship Id="rId11" Type="http://schemas.openxmlformats.org/officeDocument/2006/relationships/hyperlink" Target="https://2e.aonprd.com/Rackets.aspx" TargetMode="External"/><Relationship Id="rId10" Type="http://schemas.openxmlformats.org/officeDocument/2006/relationships/hyperlink" Target="https://2e.aonprd.com/Classes.aspx?ID=10" TargetMode="External"/><Relationship Id="rId13" Type="http://schemas.openxmlformats.org/officeDocument/2006/relationships/hyperlink" Target="https://2e.aonprd.com/Ways.aspx" TargetMode="External"/><Relationship Id="rId12" Type="http://schemas.openxmlformats.org/officeDocument/2006/relationships/hyperlink" Target="https://2e.aonprd.com/Classes.aspx?ID=20" TargetMode="External"/><Relationship Id="rId15" Type="http://schemas.openxmlformats.org/officeDocument/2006/relationships/hyperlink" Target="https://2e.aonprd.com/Styles.aspx" TargetMode="External"/><Relationship Id="rId14" Type="http://schemas.openxmlformats.org/officeDocument/2006/relationships/hyperlink" Target="https://2e.aonprd.com/Classes.aspx?ID=15" TargetMode="External"/><Relationship Id="rId17" Type="http://schemas.openxmlformats.org/officeDocument/2006/relationships/hyperlink" Target="https://2e.aonprd.com/Innovations.aspx" TargetMode="External"/><Relationship Id="rId16" Type="http://schemas.openxmlformats.org/officeDocument/2006/relationships/hyperlink" Target="https://2e.aonprd.com/Classes.aspx?ID=19" TargetMode="External"/><Relationship Id="rId19" Type="http://schemas.openxmlformats.org/officeDocument/2006/relationships/hyperlink" Target="https://2e.aonprd.com/Methodologies.aspx" TargetMode="External"/><Relationship Id="rId18" Type="http://schemas.openxmlformats.org/officeDocument/2006/relationships/hyperlink" Target="https://2e.aonprd.com/Classes.aspx?ID=13" TargetMode="External"/></Relationships>
</file>

<file path=xl/worksheets/_rels/sheet13.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3.xml"/><Relationship Id="rId3"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4.xml"/><Relationship Id="rId3"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9.63"/>
    <col customWidth="1" min="2" max="2" width="17.88"/>
    <col customWidth="1" min="3" max="3" width="66.25"/>
  </cols>
  <sheetData>
    <row r="1" ht="86.25" customHeight="1">
      <c r="A1" s="1"/>
    </row>
    <row r="2">
      <c r="A2" s="2" t="s">
        <v>0</v>
      </c>
    </row>
    <row r="3" ht="18.0" customHeight="1">
      <c r="A3" s="11" t="s">
        <v>1</v>
      </c>
      <c r="C3" s="15" t="s">
        <v>22</v>
      </c>
    </row>
    <row r="4" ht="18.0" customHeight="1">
      <c r="A4" s="18"/>
    </row>
    <row r="5">
      <c r="A5" s="18" t="s">
        <v>43</v>
      </c>
      <c r="B5" s="21"/>
      <c r="C5" s="22"/>
    </row>
    <row r="6">
      <c r="A6" s="24" t="s">
        <v>58</v>
      </c>
      <c r="B6" s="25"/>
      <c r="C6" s="27" t="s">
        <v>73</v>
      </c>
    </row>
    <row r="7">
      <c r="A7" s="41" t="s">
        <v>87</v>
      </c>
      <c r="B7" s="21"/>
      <c r="C7" s="22" t="s">
        <v>93</v>
      </c>
    </row>
    <row r="8">
      <c r="A8" s="42" t="s">
        <v>97</v>
      </c>
      <c r="B8" s="21"/>
      <c r="C8" s="22" t="s">
        <v>100</v>
      </c>
    </row>
    <row r="9">
      <c r="A9" s="42" t="s">
        <v>101</v>
      </c>
      <c r="B9" s="21"/>
      <c r="C9" s="22" t="s">
        <v>103</v>
      </c>
    </row>
    <row r="10">
      <c r="A10" s="42" t="s">
        <v>105</v>
      </c>
      <c r="B10" s="21"/>
      <c r="C10" s="22" t="s">
        <v>110</v>
      </c>
    </row>
    <row r="11">
      <c r="A11" s="42" t="s">
        <v>111</v>
      </c>
      <c r="B11" s="21"/>
      <c r="C11" s="22" t="s">
        <v>112</v>
      </c>
    </row>
    <row r="12">
      <c r="A12" s="42" t="s">
        <v>113</v>
      </c>
      <c r="B12" s="21"/>
      <c r="C12" s="22" t="s">
        <v>115</v>
      </c>
    </row>
    <row r="13">
      <c r="A13" s="42" t="s">
        <v>116</v>
      </c>
      <c r="B13" s="21"/>
      <c r="C13" s="22" t="s">
        <v>117</v>
      </c>
    </row>
    <row r="14">
      <c r="A14" s="42" t="s">
        <v>118</v>
      </c>
      <c r="B14" s="21"/>
      <c r="C14" s="22" t="s">
        <v>120</v>
      </c>
    </row>
    <row r="15">
      <c r="A15" s="42" t="s">
        <v>121</v>
      </c>
      <c r="B15" s="21"/>
      <c r="C15" s="22" t="s">
        <v>122</v>
      </c>
    </row>
    <row r="16">
      <c r="A16" s="42" t="s">
        <v>123</v>
      </c>
      <c r="B16" s="21"/>
      <c r="C16" s="22" t="s">
        <v>125</v>
      </c>
    </row>
    <row r="17">
      <c r="A17" s="42" t="s">
        <v>126</v>
      </c>
      <c r="B17" s="21"/>
      <c r="C17" s="22" t="s">
        <v>128</v>
      </c>
    </row>
    <row r="18">
      <c r="A18" s="42" t="s">
        <v>129</v>
      </c>
      <c r="B18" s="21"/>
      <c r="C18" s="22" t="s">
        <v>130</v>
      </c>
    </row>
    <row r="19">
      <c r="A19" s="42" t="s">
        <v>131</v>
      </c>
      <c r="B19" s="22" t="s">
        <v>133</v>
      </c>
      <c r="C19" s="22" t="s">
        <v>134</v>
      </c>
    </row>
    <row r="20">
      <c r="A20" s="42" t="s">
        <v>135</v>
      </c>
      <c r="B20" s="22" t="s">
        <v>136</v>
      </c>
      <c r="C20" s="22" t="s">
        <v>137</v>
      </c>
    </row>
    <row r="21">
      <c r="A21" s="42" t="s">
        <v>139</v>
      </c>
      <c r="B21" s="53" t="s">
        <v>141</v>
      </c>
      <c r="C21" s="22" t="s">
        <v>173</v>
      </c>
    </row>
    <row r="22">
      <c r="A22" s="42" t="s">
        <v>175</v>
      </c>
      <c r="B22" s="53" t="s">
        <v>141</v>
      </c>
      <c r="C22" s="22" t="s">
        <v>177</v>
      </c>
    </row>
    <row r="23">
      <c r="A23" s="42" t="s">
        <v>178</v>
      </c>
      <c r="B23" s="53" t="s">
        <v>141</v>
      </c>
      <c r="C23" s="22" t="s">
        <v>181</v>
      </c>
    </row>
    <row r="24">
      <c r="A24" s="42" t="s">
        <v>182</v>
      </c>
      <c r="B24" s="21"/>
      <c r="C24" s="22" t="s">
        <v>183</v>
      </c>
    </row>
    <row r="25">
      <c r="A25" s="54"/>
      <c r="B25" s="21"/>
      <c r="C25" s="21"/>
    </row>
    <row r="26">
      <c r="A26" s="54"/>
      <c r="B26" s="21"/>
      <c r="C26" s="21"/>
    </row>
    <row r="27">
      <c r="A27" s="54"/>
      <c r="B27" s="21"/>
      <c r="C27" s="21"/>
    </row>
    <row r="28">
      <c r="A28" s="54"/>
      <c r="B28" s="21"/>
      <c r="C28" s="21"/>
    </row>
    <row r="29">
      <c r="A29" s="54"/>
      <c r="B29" s="21"/>
      <c r="C29" s="21"/>
    </row>
    <row r="30">
      <c r="A30" s="56" t="s">
        <v>186</v>
      </c>
      <c r="B30" s="57" t="s">
        <v>188</v>
      </c>
      <c r="C30" s="57" t="s">
        <v>190</v>
      </c>
    </row>
    <row r="31">
      <c r="A31" s="59">
        <v>1.0</v>
      </c>
      <c r="B31" s="61">
        <v>44708.0</v>
      </c>
      <c r="C31" s="63" t="s">
        <v>192</v>
      </c>
    </row>
    <row r="32">
      <c r="A32" s="64">
        <v>1.1</v>
      </c>
      <c r="B32" s="65">
        <v>44772.0</v>
      </c>
      <c r="C32" s="66" t="s">
        <v>196</v>
      </c>
    </row>
    <row r="33">
      <c r="A33" s="64">
        <v>1.2</v>
      </c>
      <c r="B33" s="67">
        <v>44781.0</v>
      </c>
      <c r="C33" s="66" t="s">
        <v>197</v>
      </c>
    </row>
    <row r="34">
      <c r="A34" s="18">
        <v>1.3</v>
      </c>
      <c r="B34" s="68">
        <v>45137.0</v>
      </c>
      <c r="C34" s="22" t="s">
        <v>200</v>
      </c>
    </row>
    <row r="35">
      <c r="A35" s="18">
        <v>1.4</v>
      </c>
      <c r="B35" s="22" t="s">
        <v>201</v>
      </c>
      <c r="C35" s="66" t="s">
        <v>202</v>
      </c>
    </row>
    <row r="36">
      <c r="A36" s="54"/>
      <c r="B36" s="21"/>
      <c r="C36" s="21"/>
    </row>
    <row r="37">
      <c r="A37" s="54"/>
      <c r="B37" s="21"/>
      <c r="C37" s="21"/>
    </row>
    <row r="38">
      <c r="A38" s="54"/>
      <c r="B38" s="21"/>
      <c r="C38" s="21"/>
    </row>
    <row r="39">
      <c r="A39" s="24" t="s">
        <v>203</v>
      </c>
      <c r="B39" s="27"/>
      <c r="C39" s="27"/>
    </row>
    <row r="40">
      <c r="A40" s="18" t="s">
        <v>204</v>
      </c>
      <c r="B40" s="21"/>
      <c r="C40" s="69" t="s">
        <v>205</v>
      </c>
    </row>
    <row r="41">
      <c r="A41" s="18" t="s">
        <v>206</v>
      </c>
      <c r="B41" s="21"/>
      <c r="C41" s="69" t="s">
        <v>207</v>
      </c>
    </row>
    <row r="42">
      <c r="A42" s="18" t="s">
        <v>208</v>
      </c>
      <c r="B42" s="21"/>
      <c r="C42" s="22" t="s">
        <v>209</v>
      </c>
    </row>
    <row r="43">
      <c r="A43" s="18" t="s">
        <v>212</v>
      </c>
      <c r="B43" s="21"/>
      <c r="C43" s="22" t="s">
        <v>213</v>
      </c>
    </row>
    <row r="44">
      <c r="A44" s="18" t="s">
        <v>214</v>
      </c>
      <c r="B44" s="21"/>
      <c r="C44" s="22" t="s">
        <v>215</v>
      </c>
    </row>
    <row r="45">
      <c r="A45" s="18" t="s">
        <v>216</v>
      </c>
      <c r="B45" s="21"/>
      <c r="C45" s="22" t="s">
        <v>217</v>
      </c>
    </row>
    <row r="46">
      <c r="A46" s="54"/>
      <c r="B46" s="21"/>
      <c r="C46" s="21"/>
    </row>
  </sheetData>
  <mergeCells count="4">
    <mergeCell ref="A1:C1"/>
    <mergeCell ref="A2:C2"/>
    <mergeCell ref="A3:B3"/>
    <mergeCell ref="A4:C4"/>
  </mergeCells>
  <hyperlinks>
    <hyperlink r:id="rId1" ref="A3"/>
    <hyperlink display="PROFICIENCYVALUES" location="PROFICIENCYVALUES!A1" ref="A7"/>
    <hyperlink display="CLASSPROFILES" location="CLASSPROFILES!A1" ref="A8"/>
    <hyperlink display="CLASSDATA" location="CLASSDATA!A1" ref="A9"/>
    <hyperlink display="CLASSTOTALS" location="CLASSTOTALS!A1" ref="A10"/>
    <hyperlink display="SPECIALCLASSDATA" location="SPECIALCLASSDATA!A1" ref="A11"/>
    <hyperlink display="Class-Archetype Values" location="'Class-Archetype Values'!A1" ref="A12"/>
    <hyperlink display="MinMax for Profiles-Design Guides" location="'MinMax for Profiles-Design Guid'!A1" ref="A13"/>
    <hyperlink display="Profile Analysis" location="'Profile Analysis'!A1" ref="A14"/>
    <hyperlink display="Save Analysis" location="'Save Analysis'!A1" ref="A15"/>
    <hyperlink display="Original Save Analysis" location="'Original Save Analysis'!A1" ref="A16"/>
    <hyperlink display="Original Classes Compared" location="'Original Classes Compared'!A1" ref="A17"/>
    <hyperlink display="old CLASSTOTALS" location="null!A1" ref="A18"/>
    <hyperlink display="Ancestries (Incomplete)" location="'Ancestries (Incomplete)'!A1" ref="A19"/>
    <hyperlink display="DualClass Calculator" location="'DualClass Calculator'!A1" ref="A20"/>
    <hyperlink display="Class Creator for mobile users" location="null!A1" ref="A21"/>
    <hyperlink r:id="rId2" ref="B21"/>
    <hyperlink display="Experiments with Class-Archetypes" location="null!A1" ref="A22"/>
    <hyperlink r:id="rId3" ref="B22"/>
    <hyperlink display="Levels 21-30 (alpha state)" location="null!A1" ref="A23"/>
    <hyperlink r:id="rId4" ref="B23"/>
    <hyperlink display="Open Game License (OGL)" location="'Open Game License (OGL)'!A1" ref="A2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0.0"/>
    <col customWidth="1" min="2" max="2" width="18.88"/>
    <col customWidth="1" min="3" max="3" width="21.88"/>
    <col customWidth="1" min="4" max="4" width="15.75"/>
    <col customWidth="1" min="5" max="5" width="31.13"/>
  </cols>
  <sheetData>
    <row r="1">
      <c r="A1" s="4" t="s">
        <v>3</v>
      </c>
      <c r="B1" s="4" t="s">
        <v>4</v>
      </c>
      <c r="C1" s="7" t="s">
        <v>5</v>
      </c>
    </row>
    <row r="2">
      <c r="A2" s="4" t="s">
        <v>7</v>
      </c>
      <c r="B2" s="10">
        <v>0.0</v>
      </c>
    </row>
    <row r="3">
      <c r="A3" s="4" t="s">
        <v>10</v>
      </c>
      <c r="B3" s="10">
        <v>10.0</v>
      </c>
      <c r="C3" s="12" t="s">
        <v>13</v>
      </c>
    </row>
    <row r="4">
      <c r="A4" s="4" t="s">
        <v>17</v>
      </c>
      <c r="B4" s="10">
        <v>50.0</v>
      </c>
    </row>
    <row r="5">
      <c r="A5" s="4" t="s">
        <v>20</v>
      </c>
      <c r="B5" s="10">
        <v>110.0</v>
      </c>
    </row>
    <row r="6">
      <c r="A6" s="4" t="s">
        <v>23</v>
      </c>
      <c r="B6" s="10">
        <v>190.0</v>
      </c>
    </row>
    <row r="7">
      <c r="A7" s="4" t="s">
        <v>15</v>
      </c>
      <c r="B7" s="10">
        <v>10.0</v>
      </c>
    </row>
    <row r="8">
      <c r="A8" s="4" t="s">
        <v>26</v>
      </c>
      <c r="B8" s="10">
        <v>5.0</v>
      </c>
    </row>
    <row r="9">
      <c r="A9" s="4" t="s">
        <v>28</v>
      </c>
      <c r="B9" s="10">
        <v>5.0</v>
      </c>
    </row>
    <row r="10">
      <c r="A10" s="4" t="s">
        <v>30</v>
      </c>
      <c r="B10" s="10">
        <v>5.0</v>
      </c>
    </row>
    <row r="11">
      <c r="A11" s="4" t="s">
        <v>31</v>
      </c>
      <c r="B11" s="10">
        <v>5.0</v>
      </c>
    </row>
    <row r="12">
      <c r="A12" s="4" t="s">
        <v>32</v>
      </c>
      <c r="B12" s="10">
        <v>10.0</v>
      </c>
    </row>
    <row r="13">
      <c r="A13" s="4" t="s">
        <v>33</v>
      </c>
      <c r="B13" s="10">
        <v>10.0</v>
      </c>
    </row>
    <row r="14">
      <c r="A14" s="4" t="s">
        <v>34</v>
      </c>
      <c r="B14" s="10">
        <v>190.0</v>
      </c>
    </row>
    <row r="15">
      <c r="A15" s="4" t="s">
        <v>35</v>
      </c>
      <c r="B15" s="19">
        <v>5.0</v>
      </c>
    </row>
    <row r="16">
      <c r="A16" s="4" t="s">
        <v>45</v>
      </c>
      <c r="B16" s="10">
        <v>50.0</v>
      </c>
    </row>
    <row r="17">
      <c r="A17" s="4" t="s">
        <v>47</v>
      </c>
      <c r="B17" s="10">
        <v>70.0</v>
      </c>
    </row>
    <row r="18">
      <c r="A18" s="4" t="s">
        <v>49</v>
      </c>
      <c r="B18" s="10">
        <v>150.0</v>
      </c>
    </row>
    <row r="19">
      <c r="A19" s="4" t="s">
        <v>51</v>
      </c>
      <c r="B19" s="10">
        <v>50.0</v>
      </c>
    </row>
    <row r="23">
      <c r="A23" s="12" t="s">
        <v>54</v>
      </c>
      <c r="C23" s="12" t="s">
        <v>55</v>
      </c>
      <c r="D23" s="12" t="s">
        <v>59</v>
      </c>
      <c r="E23" s="12" t="s">
        <v>64</v>
      </c>
    </row>
    <row r="24">
      <c r="A24" s="10" t="s">
        <v>65</v>
      </c>
      <c r="B24" s="4">
        <v>1.0</v>
      </c>
      <c r="C24" s="10" t="s">
        <v>65</v>
      </c>
      <c r="D24" s="33" t="str">
        <f t="array" ref="D24">INDEX(ALLCLASSDATA,MATCH("KEYABILITY",CLASSFEATUREHEADERS,0),MATCH(C24,CLASSNAMEHEADERS,0))</f>
        <v>STR/DEX</v>
      </c>
      <c r="E24" s="33" t="str">
        <f t="array" ref="E24">INDEX(ALLCLASSDATA,MATCH("ClassType",CLASSFEATUREHEADERS,0),MATCH(C24,CLASSNAMEHEADERS,0))</f>
        <v>Soldier</v>
      </c>
    </row>
    <row r="25">
      <c r="A25" s="10" t="s">
        <v>95</v>
      </c>
      <c r="B25" s="4">
        <v>2.0</v>
      </c>
      <c r="C25" s="10" t="s">
        <v>95</v>
      </c>
      <c r="D25" s="33" t="str">
        <f t="array" ref="D25">INDEX(ALLCLASSDATA,MATCH("KEYABILITY",CLASSFEATUREHEADERS,0),MATCH(C25,CLASSNAMEHEADERS,0))</f>
        <v>STR/DEX</v>
      </c>
      <c r="E25" s="33" t="str">
        <f t="array" ref="E25">INDEX(ALLCLASSDATA,MATCH("ClassType",CLASSFEATUREHEADERS,0),MATCH(C25,CLASSNAMEHEADERS,0))</f>
        <v>Skirmisher</v>
      </c>
    </row>
    <row r="26">
      <c r="A26" s="10" t="s">
        <v>109</v>
      </c>
      <c r="B26" s="4">
        <v>3.0</v>
      </c>
      <c r="C26" s="10" t="s">
        <v>109</v>
      </c>
      <c r="D26" s="33" t="str">
        <f t="array" ref="D26">INDEX(ALLCLASSDATA,MATCH("KEYABILITY",CLASSFEATUREHEADERS,0),MATCH(C26,CLASSNAMEHEADERS,0))</f>
        <v>STR/DEX</v>
      </c>
      <c r="E26" s="33" t="str">
        <f t="array" ref="E26">INDEX(ALLCLASSDATA,MATCH("ClassType",CLASSFEATUREHEADERS,0),MATCH(C26,CLASSNAMEHEADERS,0))</f>
        <v>Soldier</v>
      </c>
    </row>
    <row r="27">
      <c r="A27" s="10" t="s">
        <v>114</v>
      </c>
      <c r="B27" s="4">
        <v>4.0</v>
      </c>
      <c r="C27" s="10" t="s">
        <v>114</v>
      </c>
      <c r="D27" s="33" t="str">
        <f t="array" ref="D27">INDEX(ALLCLASSDATA,MATCH("KEYABILITY",CLASSFEATUREHEADERS,0),MATCH(C27,CLASSNAMEHEADERS,0))</f>
        <v>STR</v>
      </c>
      <c r="E27" s="33" t="str">
        <f t="array" ref="E27">INDEX(ALLCLASSDATA,MATCH("ClassType",CLASSFEATUREHEADERS,0),MATCH(C27,CLASSNAMEHEADERS,0))</f>
        <v>Brute</v>
      </c>
    </row>
    <row r="28">
      <c r="A28" s="10" t="s">
        <v>124</v>
      </c>
      <c r="B28" s="4">
        <v>5.0</v>
      </c>
      <c r="C28" s="10" t="s">
        <v>124</v>
      </c>
      <c r="D28" s="33" t="str">
        <f t="array" ref="D28">INDEX(ALLCLASSDATA,MATCH("KEYABILITY",CLASSFEATUREHEADERS,0),MATCH(C28,CLASSNAMEHEADERS,0))</f>
        <v>STR/DEX</v>
      </c>
      <c r="E28" s="33" t="str">
        <f t="array" ref="E28">INDEX(ALLCLASSDATA,MATCH("ClassType",CLASSFEATUREHEADERS,0),MATCH(C28,CLASSNAMEHEADERS,0))</f>
        <v>Sniper</v>
      </c>
    </row>
    <row r="29">
      <c r="A29" s="10" t="s">
        <v>138</v>
      </c>
      <c r="B29" s="4">
        <v>6.0</v>
      </c>
      <c r="C29" s="10" t="s">
        <v>138</v>
      </c>
      <c r="D29" s="33" t="str">
        <f t="array" ref="D29">INDEX(ALLCLASSDATA,MATCH("KEYABILITY",CLASSFEATUREHEADERS,0),MATCH(C29,CLASSNAMEHEADERS,0))</f>
        <v>DEX*</v>
      </c>
      <c r="E29" s="33" t="str">
        <f t="array" ref="E29">INDEX(ALLCLASSDATA,MATCH("ClassType",CLASSFEATUREHEADERS,0),MATCH(C29,CLASSNAMEHEADERS,0))</f>
        <v>Skill Paragon</v>
      </c>
    </row>
    <row r="30">
      <c r="A30" s="10" t="s">
        <v>144</v>
      </c>
      <c r="B30" s="4">
        <v>7.0</v>
      </c>
      <c r="C30" s="10" t="s">
        <v>144</v>
      </c>
      <c r="D30" s="33" t="str">
        <f t="array" ref="D30">INDEX(ALLCLASSDATA,MATCH("KEYABILITY",CLASSFEATUREHEADERS,0),MATCH(C30,CLASSNAMEHEADERS,0))</f>
        <v>INT</v>
      </c>
      <c r="E30" s="33" t="str">
        <f t="array" ref="E30">INDEX(ALLCLASSDATA,MATCH("ClassType",CLASSFEATUREHEADERS,0),MATCH(C30,CLASSNAMEHEADERS,0))</f>
        <v>Skirmisher</v>
      </c>
    </row>
    <row r="31">
      <c r="A31" s="10" t="s">
        <v>170</v>
      </c>
      <c r="B31" s="4">
        <v>8.0</v>
      </c>
      <c r="C31" s="10" t="s">
        <v>170</v>
      </c>
      <c r="D31" s="33" t="str">
        <f t="array" ref="D31">INDEX(ALLCLASSDATA,MATCH("KEYABILITY",CLASSFEATUREHEADERS,0),MATCH(C31,CLASSNAMEHEADERS,0))</f>
        <v>CHA</v>
      </c>
      <c r="E31" s="33" t="str">
        <f t="array" ref="E31">INDEX(ALLCLASSDATA,MATCH("ClassType",CLASSFEATUREHEADERS,0),MATCH(C31,CLASSNAMEHEADERS,0))</f>
        <v>Skill Paragon</v>
      </c>
    </row>
    <row r="32">
      <c r="A32" s="10" t="s">
        <v>176</v>
      </c>
      <c r="B32" s="4">
        <v>9.0</v>
      </c>
      <c r="C32" s="10" t="s">
        <v>176</v>
      </c>
      <c r="D32" s="33" t="str">
        <f t="array" ref="D32">INDEX(ALLCLASSDATA,MATCH("KEYABILITY",CLASSFEATUREHEADERS,0),MATCH(C32,CLASSNAMEHEADERS,0))</f>
        <v>DEX</v>
      </c>
      <c r="E32" s="33" t="str">
        <f t="array" ref="E32">INDEX(ALLCLASSDATA,MATCH("ClassType",CLASSFEATUREHEADERS,0),MATCH(C32,CLASSNAMEHEADERS,0))</f>
        <v>Skill Paragon</v>
      </c>
    </row>
    <row r="33">
      <c r="A33" s="10" t="s">
        <v>180</v>
      </c>
      <c r="B33" s="4">
        <v>10.0</v>
      </c>
      <c r="C33" s="10" t="s">
        <v>180</v>
      </c>
      <c r="D33" s="33" t="str">
        <f t="array" ref="D33">INDEX(ALLCLASSDATA,MATCH("KEYABILITY",CLASSFEATUREHEADERS,0),MATCH(C33,CLASSNAMEHEADERS,0))</f>
        <v>DEX</v>
      </c>
      <c r="E33" s="33" t="str">
        <f t="array" ref="E33">INDEX(ALLCLASSDATA,MATCH("ClassType",CLASSFEATUREHEADERS,0),MATCH(C33,CLASSNAMEHEADERS,0))</f>
        <v>Sniper</v>
      </c>
    </row>
    <row r="34">
      <c r="A34" s="10" t="s">
        <v>185</v>
      </c>
      <c r="B34" s="4">
        <v>11.0</v>
      </c>
      <c r="C34" s="10" t="s">
        <v>185</v>
      </c>
      <c r="D34" s="33" t="str">
        <f t="array" ref="D34">INDEX(ALLCLASSDATA,MATCH("KEYABILITY",CLASSFEATUREHEADERS,0),MATCH(C34,CLASSNAMEHEADERS,0))</f>
        <v>INT</v>
      </c>
      <c r="E34" s="33" t="str">
        <f t="array" ref="E34">INDEX(ALLCLASSDATA,MATCH("ClassType",CLASSFEATUREHEADERS,0),MATCH(C34,CLASSNAMEHEADERS,0))</f>
        <v>Brute</v>
      </c>
    </row>
    <row r="35">
      <c r="A35" s="10" t="s">
        <v>189</v>
      </c>
      <c r="B35" s="4">
        <v>12.0</v>
      </c>
      <c r="C35" s="10" t="s">
        <v>189</v>
      </c>
      <c r="D35" s="33" t="str">
        <f t="array" ref="D35">INDEX(ALLCLASSDATA,MATCH("KEYABILITY",CLASSFEATUREHEADERS,0),MATCH(C35,CLASSNAMEHEADERS,0))</f>
        <v>INT</v>
      </c>
      <c r="E35" s="33" t="str">
        <f t="array" ref="E35">INDEX(ALLCLASSDATA,MATCH("ClassType",CLASSFEATUREHEADERS,0),MATCH(C35,CLASSNAMEHEADERS,0))</f>
        <v>Brute</v>
      </c>
    </row>
    <row r="36">
      <c r="A36" s="10" t="s">
        <v>195</v>
      </c>
      <c r="B36" s="4">
        <v>13.0</v>
      </c>
      <c r="C36" s="10" t="s">
        <v>195</v>
      </c>
      <c r="D36" s="33" t="str">
        <f t="array" ref="D36">INDEX(ALLCLASSDATA,MATCH("KEYABILITY",CLASSFEATUREHEADERS,0),MATCH(C36,CLASSNAMEHEADERS,0))</f>
        <v>CHA</v>
      </c>
      <c r="E36" s="33" t="str">
        <f t="array" ref="E36">INDEX(ALLCLASSDATA,MATCH("ClassType",CLASSFEATUREHEADERS,0),MATCH(C36,CLASSNAMEHEADERS,0))</f>
        <v>Magical Striker</v>
      </c>
    </row>
    <row r="37">
      <c r="A37" s="10" t="s">
        <v>199</v>
      </c>
      <c r="B37" s="4">
        <v>14.0</v>
      </c>
      <c r="C37" s="10" t="s">
        <v>199</v>
      </c>
      <c r="D37" s="33" t="str">
        <f t="array" ref="D37">INDEX(ALLCLASSDATA,MATCH("KEYABILITY",CLASSFEATUREHEADERS,0),MATCH(C37,CLASSNAMEHEADERS,0))</f>
        <v>STR/DEX</v>
      </c>
      <c r="E37" s="33" t="str">
        <f t="array" ref="E37">INDEX(ALLCLASSDATA,MATCH("ClassType",CLASSFEATUREHEADERS,0),MATCH(C37,CLASSNAMEHEADERS,0))</f>
        <v>Magical Striker</v>
      </c>
    </row>
    <row r="38">
      <c r="A38" s="10" t="s">
        <v>211</v>
      </c>
      <c r="B38" s="4">
        <v>15.0</v>
      </c>
      <c r="C38" s="10" t="s">
        <v>211</v>
      </c>
      <c r="D38" s="33" t="str">
        <f t="array" ref="D38">INDEX(ALLCLASSDATA,MATCH("KEYABILITY",CLASSFEATUREHEADERS,0),MATCH(C38,CLASSNAMEHEADERS,0))</f>
        <v>WIS</v>
      </c>
      <c r="E38" s="33" t="str">
        <f t="array" ref="E38">INDEX(ALLCLASSDATA,MATCH("ClassType",CLASSFEATUREHEADERS,0),MATCH(C38,CLASSNAMEHEADERS,0))</f>
        <v>Magical Striker</v>
      </c>
    </row>
    <row r="39">
      <c r="A39" s="10" t="s">
        <v>219</v>
      </c>
      <c r="B39" s="4">
        <v>16.0</v>
      </c>
      <c r="C39" s="10" t="s">
        <v>219</v>
      </c>
      <c r="D39" s="33" t="str">
        <f t="array" ref="D39">INDEX(ALLCLASSDATA,MATCH("KEYABILITY",CLASSFEATUREHEADERS,0),MATCH(C39,CLASSNAMEHEADERS,0))</f>
        <v>WIS</v>
      </c>
      <c r="E39" s="33" t="str">
        <f t="array" ref="E39">INDEX(ALLCLASSDATA,MATCH("ClassType",CLASSFEATUREHEADERS,0),MATCH(C39,CLASSNAMEHEADERS,0))</f>
        <v>Spellcaster</v>
      </c>
    </row>
    <row r="40">
      <c r="A40" s="10" t="s">
        <v>221</v>
      </c>
      <c r="B40" s="4">
        <v>17.0</v>
      </c>
      <c r="C40" s="10" t="s">
        <v>221</v>
      </c>
      <c r="D40" s="33" t="str">
        <f t="array" ref="D40">INDEX(ALLCLASSDATA,MATCH("KEYABILITY",CLASSFEATUREHEADERS,0),MATCH(C40,CLASSNAMEHEADERS,0))</f>
        <v>CHA</v>
      </c>
      <c r="E40" s="33" t="str">
        <f t="array" ref="E40">INDEX(ALLCLASSDATA,MATCH("ClassType",CLASSFEATUREHEADERS,0),MATCH(C40,CLASSNAMEHEADERS,0))</f>
        <v>Spellcaster</v>
      </c>
    </row>
    <row r="41">
      <c r="A41" s="10" t="s">
        <v>223</v>
      </c>
      <c r="B41" s="4">
        <v>18.0</v>
      </c>
      <c r="C41" s="10" t="s">
        <v>223</v>
      </c>
      <c r="D41" s="33" t="str">
        <f t="array" ref="D41">INDEX(ALLCLASSDATA,MATCH("KEYABILITY",CLASSFEATUREHEADERS,0),MATCH(C41,CLASSNAMEHEADERS,0))</f>
        <v>CHA</v>
      </c>
      <c r="E41" s="33" t="str">
        <f t="array" ref="E41">INDEX(ALLCLASSDATA,MATCH("ClassType",CLASSFEATUREHEADERS,0),MATCH(C41,CLASSNAMEHEADERS,0))</f>
        <v>Spellcaster</v>
      </c>
    </row>
    <row r="42">
      <c r="A42" s="10" t="s">
        <v>225</v>
      </c>
      <c r="B42" s="4">
        <v>19.0</v>
      </c>
      <c r="C42" s="10" t="s">
        <v>225</v>
      </c>
      <c r="D42" s="33" t="str">
        <f t="array" ref="D42">INDEX(ALLCLASSDATA,MATCH("KEYABILITY",CLASSFEATUREHEADERS,0),MATCH(C42,CLASSNAMEHEADERS,0))</f>
        <v>WIS</v>
      </c>
      <c r="E42" s="33" t="str">
        <f t="array" ref="E42">INDEX(ALLCLASSDATA,MATCH("ClassType",CLASSFEATUREHEADERS,0),MATCH(C42,CLASSNAMEHEADERS,0))</f>
        <v>Spellcaster</v>
      </c>
    </row>
    <row r="43">
      <c r="A43" s="10" t="s">
        <v>227</v>
      </c>
      <c r="B43" s="4">
        <v>20.0</v>
      </c>
      <c r="C43" s="10" t="s">
        <v>227</v>
      </c>
      <c r="D43" s="33" t="str">
        <f t="array" ref="D43">INDEX(ALLCLASSDATA,MATCH("KEYABILITY",CLASSFEATUREHEADERS,0),MATCH(C43,CLASSNAMEHEADERS,0))</f>
        <v>INT/CHA</v>
      </c>
      <c r="E43" s="33" t="str">
        <f t="array" ref="E43">INDEX(ALLCLASSDATA,MATCH("ClassType",CLASSFEATUREHEADERS,0),MATCH(C43,CLASSNAMEHEADERS,0))</f>
        <v>Spellcaster</v>
      </c>
    </row>
    <row r="44">
      <c r="A44" s="10" t="s">
        <v>229</v>
      </c>
      <c r="B44" s="4">
        <v>21.0</v>
      </c>
      <c r="C44" s="10" t="s">
        <v>229</v>
      </c>
      <c r="D44" s="33" t="str">
        <f t="array" ref="D44">INDEX(ALLCLASSDATA,MATCH("KEYABILITY",CLASSFEATUREHEADERS,0),MATCH(C44,CLASSNAMEHEADERS,0))</f>
        <v>INT</v>
      </c>
      <c r="E44" s="33" t="str">
        <f t="array" ref="E44">INDEX(ALLCLASSDATA,MATCH("ClassType",CLASSFEATUREHEADERS,0),MATCH(C44,CLASSNAMEHEADERS,0))</f>
        <v>Spellcaster</v>
      </c>
    </row>
    <row r="45">
      <c r="A45" s="10" t="s">
        <v>231</v>
      </c>
      <c r="B45" s="4">
        <v>22.0</v>
      </c>
      <c r="C45" s="10" t="s">
        <v>231</v>
      </c>
      <c r="D45" s="33" t="str">
        <f t="array" ref="D45">INDEX(ALLCLASSDATA,MATCH("KEYABILITY",CLASSFEATUREHEADERS,0),MATCH(C45,CLASSNAMEHEADERS,0))</f>
        <v>INT</v>
      </c>
      <c r="E45" s="33" t="str">
        <f t="array" ref="E45">INDEX(ALLCLASSDATA,MATCH("ClassType",CLASSFEATUREHEADERS,0),MATCH(C45,CLASSNAMEHEADERS,0))</f>
        <v>Spellcaster</v>
      </c>
    </row>
    <row r="46">
      <c r="A46" s="10" t="s">
        <v>233</v>
      </c>
      <c r="B46" s="4">
        <v>23.0</v>
      </c>
      <c r="C46" s="10" t="s">
        <v>233</v>
      </c>
      <c r="D46" s="33" t="str">
        <f t="array" ref="D46">INDEX(ALLCLASSDATA,MATCH("KEYABILITY",CLASSFEATUREHEADERS,0),MATCH(C46,CLASSNAMEHEADERS,0))</f>
        <v>CHA</v>
      </c>
      <c r="E46" s="33" t="str">
        <f t="array" ref="E46">INDEX(ALLCLASSDATA,MATCH("ClassType",CLASSFEATUREHEADERS,0),MATCH(C46,CLASSNAMEHEADERS,0))</f>
        <v>Spellcaster</v>
      </c>
    </row>
    <row r="47">
      <c r="A47" s="10" t="s">
        <v>238</v>
      </c>
      <c r="B47" s="4">
        <v>24.0</v>
      </c>
      <c r="C47" s="10" t="s">
        <v>238</v>
      </c>
      <c r="D47" s="33" t="str">
        <f t="array" ref="D47">INDEX(ALLCLASSDATA,MATCH("KEYABILITY",CLASSFEATUREHEADERS,0),MATCH(C47,CLASSNAMEHEADERS,0))</f>
        <v>#N/A</v>
      </c>
      <c r="E47" s="33" t="str">
        <f t="array" ref="E47">INDEX(ALLCLASSDATA,MATCH("ClassType",CLASSFEATUREHEADERS,0),MATCH(C47,CLASSNAMEHEADERS,0))</f>
        <v>#N/A</v>
      </c>
    </row>
    <row r="48">
      <c r="E48" s="33"/>
    </row>
    <row r="50">
      <c r="A50" s="83" t="s">
        <v>239</v>
      </c>
    </row>
    <row r="51">
      <c r="A51" s="4" t="s">
        <v>6</v>
      </c>
    </row>
    <row r="52">
      <c r="A52" s="4" t="s">
        <v>8</v>
      </c>
    </row>
    <row r="53">
      <c r="A53" s="4" t="s">
        <v>9</v>
      </c>
    </row>
    <row r="54">
      <c r="A54" s="4" t="s">
        <v>11</v>
      </c>
    </row>
    <row r="55">
      <c r="A55" s="4" t="s">
        <v>12</v>
      </c>
    </row>
    <row r="56">
      <c r="A56" s="4" t="s">
        <v>14</v>
      </c>
    </row>
    <row r="58">
      <c r="A58" s="83" t="s">
        <v>240</v>
      </c>
    </row>
    <row r="59">
      <c r="A59" s="4" t="s">
        <v>241</v>
      </c>
    </row>
    <row r="60">
      <c r="A60" s="4" t="s">
        <v>242</v>
      </c>
    </row>
    <row r="61">
      <c r="A61" s="4" t="s">
        <v>243</v>
      </c>
    </row>
    <row r="62">
      <c r="A62" s="4" t="s">
        <v>244</v>
      </c>
    </row>
    <row r="63">
      <c r="A63" s="4" t="s">
        <v>245</v>
      </c>
    </row>
    <row r="64">
      <c r="A64" s="4" t="s">
        <v>246</v>
      </c>
    </row>
    <row r="65">
      <c r="A65" s="4" t="s">
        <v>247</v>
      </c>
    </row>
    <row r="66">
      <c r="A66" s="4" t="s">
        <v>248</v>
      </c>
    </row>
    <row r="67">
      <c r="A67" s="4" t="s">
        <v>249</v>
      </c>
    </row>
    <row r="68">
      <c r="A68" s="4" t="s">
        <v>250</v>
      </c>
    </row>
    <row r="69">
      <c r="A69" s="4" t="s">
        <v>251</v>
      </c>
    </row>
    <row r="70">
      <c r="A70" s="4" t="s">
        <v>252</v>
      </c>
    </row>
    <row r="71">
      <c r="A71" s="4" t="s">
        <v>253</v>
      </c>
    </row>
    <row r="72">
      <c r="A72" s="4" t="s">
        <v>254</v>
      </c>
    </row>
    <row r="73">
      <c r="A73" s="4" t="s">
        <v>255</v>
      </c>
    </row>
    <row r="74">
      <c r="A74" s="4" t="s">
        <v>256</v>
      </c>
    </row>
    <row r="75">
      <c r="A75" s="4" t="s">
        <v>257</v>
      </c>
    </row>
    <row r="77">
      <c r="A77" s="83" t="s">
        <v>258</v>
      </c>
    </row>
    <row r="78">
      <c r="A78" s="4" t="s">
        <v>259</v>
      </c>
    </row>
    <row r="79">
      <c r="A79" s="4" t="s">
        <v>260</v>
      </c>
    </row>
    <row r="80">
      <c r="A80" s="4" t="s">
        <v>261</v>
      </c>
    </row>
    <row r="81">
      <c r="A81" s="4" t="s">
        <v>262</v>
      </c>
    </row>
    <row r="82">
      <c r="A82" s="4" t="s">
        <v>263</v>
      </c>
    </row>
    <row r="83">
      <c r="A83" s="4" t="s">
        <v>264</v>
      </c>
    </row>
    <row r="85">
      <c r="A85" s="83" t="s">
        <v>265</v>
      </c>
    </row>
    <row r="86">
      <c r="A86" s="4" t="s">
        <v>266</v>
      </c>
    </row>
    <row r="87">
      <c r="A87" s="4" t="s">
        <v>267</v>
      </c>
    </row>
    <row r="88">
      <c r="A88" s="4" t="s">
        <v>268</v>
      </c>
    </row>
    <row r="89">
      <c r="A89" s="4" t="s">
        <v>269</v>
      </c>
    </row>
    <row r="90">
      <c r="A90" s="4" t="s">
        <v>270</v>
      </c>
    </row>
    <row r="91">
      <c r="A91" s="4" t="s">
        <v>271</v>
      </c>
    </row>
    <row r="92">
      <c r="A92" s="4" t="s">
        <v>272</v>
      </c>
    </row>
    <row r="93">
      <c r="A93" s="4" t="s">
        <v>273</v>
      </c>
    </row>
    <row r="94">
      <c r="A94" s="4" t="s">
        <v>274</v>
      </c>
    </row>
    <row r="95">
      <c r="A95" s="4" t="s">
        <v>275</v>
      </c>
    </row>
    <row r="96">
      <c r="A96" s="4" t="s">
        <v>276</v>
      </c>
    </row>
    <row r="97">
      <c r="A97" s="4" t="s">
        <v>277</v>
      </c>
    </row>
    <row r="98">
      <c r="A98" s="4" t="s">
        <v>278</v>
      </c>
    </row>
    <row r="99">
      <c r="A99" s="4" t="s">
        <v>279</v>
      </c>
    </row>
    <row r="100">
      <c r="A100" s="4" t="s">
        <v>280</v>
      </c>
    </row>
    <row r="101">
      <c r="A101" s="4" t="s">
        <v>281</v>
      </c>
    </row>
    <row r="102">
      <c r="A102" s="4" t="s">
        <v>282</v>
      </c>
    </row>
    <row r="105">
      <c r="A105" s="85" t="s">
        <v>283</v>
      </c>
      <c r="B105" s="86"/>
      <c r="C105" s="87"/>
    </row>
    <row r="106">
      <c r="A106" s="83" t="s">
        <v>284</v>
      </c>
      <c r="B106" s="83" t="s">
        <v>283</v>
      </c>
      <c r="C106" s="83" t="s">
        <v>285</v>
      </c>
    </row>
    <row r="107">
      <c r="A107" s="12" t="s">
        <v>221</v>
      </c>
      <c r="B107" s="13" t="s">
        <v>286</v>
      </c>
      <c r="C107" s="12" t="s">
        <v>287</v>
      </c>
    </row>
    <row r="108">
      <c r="A108" s="12" t="s">
        <v>65</v>
      </c>
      <c r="B108" s="9" t="s">
        <v>288</v>
      </c>
    </row>
    <row r="109">
      <c r="A109" s="12" t="s">
        <v>225</v>
      </c>
      <c r="B109" s="9" t="s">
        <v>289</v>
      </c>
    </row>
    <row r="110">
      <c r="A110" s="12" t="s">
        <v>199</v>
      </c>
      <c r="B110" s="9" t="s">
        <v>290</v>
      </c>
    </row>
    <row r="111">
      <c r="A111" s="12" t="s">
        <v>95</v>
      </c>
      <c r="B111" s="9" t="s">
        <v>291</v>
      </c>
    </row>
    <row r="112">
      <c r="A112" s="12" t="s">
        <v>223</v>
      </c>
      <c r="B112" s="9" t="s">
        <v>292</v>
      </c>
    </row>
    <row r="113">
      <c r="A113" s="12" t="s">
        <v>124</v>
      </c>
      <c r="B113" s="9" t="s">
        <v>293</v>
      </c>
    </row>
    <row r="114">
      <c r="A114" s="12" t="s">
        <v>233</v>
      </c>
      <c r="B114" s="9" t="s">
        <v>294</v>
      </c>
    </row>
    <row r="115">
      <c r="A115" s="12" t="s">
        <v>195</v>
      </c>
      <c r="B115" s="13" t="s">
        <v>295</v>
      </c>
      <c r="C115" s="12" t="s">
        <v>296</v>
      </c>
    </row>
    <row r="116">
      <c r="A116" s="12" t="s">
        <v>231</v>
      </c>
      <c r="B116" s="13" t="s">
        <v>297</v>
      </c>
      <c r="C116" s="12" t="s">
        <v>298</v>
      </c>
    </row>
    <row r="117">
      <c r="A117" s="12" t="s">
        <v>229</v>
      </c>
      <c r="B117" s="9" t="s">
        <v>299</v>
      </c>
    </row>
    <row r="119">
      <c r="A119" s="85" t="s">
        <v>300</v>
      </c>
      <c r="B119" s="86"/>
      <c r="C119" s="87"/>
    </row>
    <row r="120">
      <c r="A120" s="88" t="s">
        <v>301</v>
      </c>
      <c r="B120" s="88" t="s">
        <v>302</v>
      </c>
      <c r="C120" s="88" t="s">
        <v>303</v>
      </c>
    </row>
    <row r="121">
      <c r="A121" s="89" t="s">
        <v>304</v>
      </c>
      <c r="B121" s="89" t="s">
        <v>305</v>
      </c>
      <c r="C121" s="12" t="s">
        <v>306</v>
      </c>
    </row>
    <row r="122">
      <c r="A122" s="89" t="s">
        <v>307</v>
      </c>
      <c r="B122" s="89" t="s">
        <v>308</v>
      </c>
      <c r="C122" s="12" t="s">
        <v>309</v>
      </c>
    </row>
    <row r="123">
      <c r="A123" s="89" t="s">
        <v>310</v>
      </c>
      <c r="B123" s="89" t="s">
        <v>311</v>
      </c>
      <c r="C123" s="12" t="s">
        <v>312</v>
      </c>
    </row>
    <row r="124">
      <c r="A124" s="89" t="s">
        <v>313</v>
      </c>
      <c r="B124" s="89" t="s">
        <v>314</v>
      </c>
      <c r="C124" s="12" t="s">
        <v>315</v>
      </c>
    </row>
    <row r="125">
      <c r="A125" s="89" t="s">
        <v>316</v>
      </c>
      <c r="B125" s="89" t="s">
        <v>317</v>
      </c>
      <c r="C125" s="12" t="s">
        <v>318</v>
      </c>
    </row>
    <row r="126">
      <c r="A126" s="89" t="s">
        <v>319</v>
      </c>
      <c r="B126" s="89" t="s">
        <v>320</v>
      </c>
      <c r="C126" s="12" t="s">
        <v>321</v>
      </c>
    </row>
    <row r="127">
      <c r="A127" s="89" t="s">
        <v>322</v>
      </c>
      <c r="B127" s="89" t="s">
        <v>323</v>
      </c>
      <c r="C127" s="12" t="s">
        <v>324</v>
      </c>
    </row>
    <row r="128">
      <c r="A128" s="89" t="s">
        <v>325</v>
      </c>
      <c r="B128" s="89" t="s">
        <v>326</v>
      </c>
      <c r="C128" s="12" t="s">
        <v>327</v>
      </c>
    </row>
    <row r="129">
      <c r="A129" s="89" t="s">
        <v>328</v>
      </c>
      <c r="B129" s="89" t="s">
        <v>329</v>
      </c>
      <c r="C129" s="12" t="s">
        <v>330</v>
      </c>
    </row>
    <row r="130">
      <c r="A130" s="89" t="s">
        <v>331</v>
      </c>
      <c r="B130" s="89" t="s">
        <v>332</v>
      </c>
      <c r="C130" s="12" t="s">
        <v>333</v>
      </c>
    </row>
    <row r="131">
      <c r="A131" s="89" t="s">
        <v>334</v>
      </c>
      <c r="B131" s="89" t="s">
        <v>335</v>
      </c>
      <c r="C131" s="12" t="s">
        <v>336</v>
      </c>
    </row>
    <row r="132">
      <c r="A132" s="89" t="s">
        <v>337</v>
      </c>
      <c r="B132" s="89" t="s">
        <v>338</v>
      </c>
      <c r="C132" s="12" t="s">
        <v>339</v>
      </c>
    </row>
    <row r="133">
      <c r="A133" s="12" t="s">
        <v>340</v>
      </c>
      <c r="B133" s="12" t="s">
        <v>341</v>
      </c>
      <c r="C133" s="12" t="s">
        <v>342</v>
      </c>
    </row>
    <row r="134">
      <c r="A134" s="12" t="s">
        <v>343</v>
      </c>
      <c r="B134" s="12" t="s">
        <v>344</v>
      </c>
      <c r="C134" s="12" t="s">
        <v>345</v>
      </c>
    </row>
    <row r="135">
      <c r="A135" s="12" t="s">
        <v>346</v>
      </c>
      <c r="B135" s="12" t="s">
        <v>347</v>
      </c>
      <c r="C135" s="12" t="s">
        <v>348</v>
      </c>
    </row>
    <row r="136">
      <c r="A136" s="12" t="s">
        <v>349</v>
      </c>
      <c r="B136" s="12" t="s">
        <v>350</v>
      </c>
      <c r="C136" s="12" t="s">
        <v>351</v>
      </c>
    </row>
    <row r="137">
      <c r="A137" s="12" t="s">
        <v>352</v>
      </c>
      <c r="B137" s="12" t="s">
        <v>353</v>
      </c>
      <c r="C137" s="12" t="s">
        <v>354</v>
      </c>
    </row>
    <row r="138">
      <c r="A138" s="12" t="s">
        <v>355</v>
      </c>
      <c r="B138" s="12" t="s">
        <v>356</v>
      </c>
      <c r="C138" s="12" t="s">
        <v>357</v>
      </c>
    </row>
    <row r="139">
      <c r="A139" s="12" t="s">
        <v>358</v>
      </c>
      <c r="B139" s="89" t="s">
        <v>359</v>
      </c>
      <c r="C139" s="12" t="s">
        <v>360</v>
      </c>
    </row>
    <row r="140">
      <c r="A140" s="12" t="s">
        <v>361</v>
      </c>
      <c r="B140" s="89" t="s">
        <v>362</v>
      </c>
      <c r="C140" s="12" t="s">
        <v>363</v>
      </c>
    </row>
    <row r="141">
      <c r="A141" s="12" t="s">
        <v>364</v>
      </c>
      <c r="B141" s="12" t="s">
        <v>365</v>
      </c>
      <c r="C141" s="12" t="s">
        <v>366</v>
      </c>
    </row>
    <row r="142">
      <c r="A142" s="12" t="s">
        <v>367</v>
      </c>
      <c r="C142" s="12" t="s">
        <v>368</v>
      </c>
    </row>
    <row r="143">
      <c r="A143" s="12" t="s">
        <v>369</v>
      </c>
      <c r="C143" s="12" t="s">
        <v>370</v>
      </c>
    </row>
    <row r="144">
      <c r="A144" s="12" t="s">
        <v>371</v>
      </c>
      <c r="C144" s="12" t="s">
        <v>372</v>
      </c>
    </row>
    <row r="145">
      <c r="A145" s="12" t="s">
        <v>373</v>
      </c>
      <c r="B145" s="12" t="s">
        <v>374</v>
      </c>
      <c r="C145" s="12" t="s">
        <v>375</v>
      </c>
    </row>
    <row r="146">
      <c r="A146" s="12" t="s">
        <v>376</v>
      </c>
      <c r="B146" s="12" t="s">
        <v>377</v>
      </c>
      <c r="C146" s="12" t="s">
        <v>378</v>
      </c>
    </row>
    <row r="147">
      <c r="A147" s="12" t="s">
        <v>379</v>
      </c>
      <c r="B147" s="12" t="s">
        <v>380</v>
      </c>
      <c r="C147" s="12" t="s">
        <v>381</v>
      </c>
    </row>
    <row r="148">
      <c r="A148" s="12" t="s">
        <v>382</v>
      </c>
      <c r="B148" s="12" t="s">
        <v>383</v>
      </c>
      <c r="C148" s="12" t="s">
        <v>384</v>
      </c>
    </row>
    <row r="149">
      <c r="A149" s="48" t="s">
        <v>386</v>
      </c>
      <c r="B149" s="12" t="s">
        <v>387</v>
      </c>
      <c r="C149" s="12" t="s">
        <v>388</v>
      </c>
    </row>
    <row r="150">
      <c r="A150" s="12" t="s">
        <v>389</v>
      </c>
      <c r="B150" s="12" t="s">
        <v>390</v>
      </c>
      <c r="C150" s="12" t="s">
        <v>391</v>
      </c>
    </row>
    <row r="151">
      <c r="A151" s="12" t="s">
        <v>392</v>
      </c>
      <c r="B151" s="12" t="s">
        <v>393</v>
      </c>
      <c r="C151" s="12" t="s">
        <v>394</v>
      </c>
    </row>
    <row r="158">
      <c r="B158" s="12" t="s">
        <v>395</v>
      </c>
    </row>
    <row r="159">
      <c r="A159" s="12" t="s">
        <v>396</v>
      </c>
      <c r="B159" s="12" t="s">
        <v>397</v>
      </c>
      <c r="C159" s="12" t="s">
        <v>398</v>
      </c>
    </row>
    <row r="160">
      <c r="A160" s="12" t="s">
        <v>399</v>
      </c>
      <c r="B160" s="12" t="s">
        <v>400</v>
      </c>
      <c r="C160" s="12" t="s">
        <v>401</v>
      </c>
    </row>
    <row r="161">
      <c r="A161" s="12" t="s">
        <v>402</v>
      </c>
      <c r="B161" s="12" t="s">
        <v>403</v>
      </c>
      <c r="C161" s="12" t="s">
        <v>404</v>
      </c>
    </row>
    <row r="162">
      <c r="B162" s="12" t="s">
        <v>405</v>
      </c>
    </row>
    <row r="163">
      <c r="A163" s="12" t="s">
        <v>407</v>
      </c>
      <c r="B163" s="12" t="s">
        <v>408</v>
      </c>
      <c r="C163" s="12" t="s">
        <v>410</v>
      </c>
    </row>
    <row r="164">
      <c r="A164" s="12" t="s">
        <v>411</v>
      </c>
      <c r="C164" s="12" t="s">
        <v>414</v>
      </c>
    </row>
  </sheetData>
  <mergeCells count="3">
    <mergeCell ref="C1:E1"/>
    <mergeCell ref="A105:C105"/>
    <mergeCell ref="A119:C119"/>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0.25"/>
    <col customWidth="1" min="2" max="7" width="13.75"/>
  </cols>
  <sheetData>
    <row r="1">
      <c r="A1" s="6"/>
      <c r="B1" s="9" t="s">
        <v>6</v>
      </c>
      <c r="C1" s="9" t="s">
        <v>8</v>
      </c>
      <c r="D1" s="9" t="s">
        <v>9</v>
      </c>
      <c r="E1" s="9" t="s">
        <v>11</v>
      </c>
      <c r="F1" s="9" t="s">
        <v>12</v>
      </c>
      <c r="G1" s="9" t="s">
        <v>14</v>
      </c>
    </row>
    <row r="2">
      <c r="A2" s="13" t="s">
        <v>15</v>
      </c>
      <c r="B2" s="13" t="s">
        <v>18</v>
      </c>
      <c r="C2" s="13" t="s">
        <v>19</v>
      </c>
      <c r="D2" s="13" t="s">
        <v>19</v>
      </c>
      <c r="E2" s="13" t="s">
        <v>19</v>
      </c>
      <c r="F2" s="9" t="s">
        <v>21</v>
      </c>
      <c r="G2" s="9" t="s">
        <v>24</v>
      </c>
    </row>
    <row r="3">
      <c r="A3" s="13" t="s">
        <v>25</v>
      </c>
      <c r="B3" s="17" t="s">
        <v>27</v>
      </c>
      <c r="C3" s="17" t="s">
        <v>36</v>
      </c>
      <c r="D3" s="17" t="s">
        <v>37</v>
      </c>
      <c r="E3" s="17" t="s">
        <v>38</v>
      </c>
      <c r="F3" s="17" t="s">
        <v>27</v>
      </c>
      <c r="G3" s="17" t="s">
        <v>27</v>
      </c>
    </row>
    <row r="4">
      <c r="A4" s="13" t="s">
        <v>39</v>
      </c>
      <c r="C4" s="12" t="s">
        <v>40</v>
      </c>
    </row>
    <row r="5">
      <c r="A5" s="13" t="s">
        <v>42</v>
      </c>
      <c r="C5" s="17" t="s">
        <v>37</v>
      </c>
    </row>
    <row r="6">
      <c r="A6" s="13" t="s">
        <v>44</v>
      </c>
      <c r="B6" s="17" t="s">
        <v>36</v>
      </c>
      <c r="C6" s="17" t="s">
        <v>38</v>
      </c>
      <c r="D6" s="17" t="s">
        <v>36</v>
      </c>
      <c r="E6" s="17" t="s">
        <v>36</v>
      </c>
      <c r="F6" s="17" t="s">
        <v>38</v>
      </c>
      <c r="G6" s="17" t="s">
        <v>38</v>
      </c>
    </row>
    <row r="7">
      <c r="A7" s="13" t="s">
        <v>46</v>
      </c>
      <c r="B7" s="17" t="s">
        <v>38</v>
      </c>
      <c r="D7" s="12" t="s">
        <v>48</v>
      </c>
      <c r="E7" s="17" t="s">
        <v>50</v>
      </c>
    </row>
    <row r="8">
      <c r="A8" s="13" t="s">
        <v>52</v>
      </c>
    </row>
    <row r="9">
      <c r="A9" s="13" t="s">
        <v>53</v>
      </c>
      <c r="B9" s="17" t="s">
        <v>38</v>
      </c>
      <c r="C9" s="17" t="s">
        <v>36</v>
      </c>
      <c r="D9" s="12" t="s">
        <v>40</v>
      </c>
      <c r="E9" s="17" t="s">
        <v>27</v>
      </c>
      <c r="F9" s="17" t="s">
        <v>37</v>
      </c>
      <c r="G9" s="17" t="s">
        <v>38</v>
      </c>
    </row>
    <row r="10">
      <c r="A10" s="13" t="s">
        <v>57</v>
      </c>
      <c r="C10" s="17" t="s">
        <v>40</v>
      </c>
    </row>
    <row r="11">
      <c r="A11" s="13" t="s">
        <v>60</v>
      </c>
      <c r="C11" s="17" t="s">
        <v>37</v>
      </c>
    </row>
    <row r="12">
      <c r="A12" s="13" t="s">
        <v>61</v>
      </c>
      <c r="B12" s="12" t="s">
        <v>62</v>
      </c>
      <c r="C12" s="12" t="s">
        <v>62</v>
      </c>
      <c r="D12" s="12" t="s">
        <v>40</v>
      </c>
      <c r="E12" s="17" t="s">
        <v>36</v>
      </c>
      <c r="F12" s="17" t="s">
        <v>36</v>
      </c>
      <c r="G12" s="17" t="s">
        <v>36</v>
      </c>
    </row>
    <row r="13">
      <c r="A13" s="13" t="s">
        <v>63</v>
      </c>
      <c r="E13" s="17" t="s">
        <v>50</v>
      </c>
      <c r="F13" s="17" t="s">
        <v>27</v>
      </c>
      <c r="G13" s="17" t="s">
        <v>48</v>
      </c>
    </row>
    <row r="14">
      <c r="A14" s="13" t="s">
        <v>66</v>
      </c>
    </row>
    <row r="15">
      <c r="A15" s="13" t="s">
        <v>67</v>
      </c>
      <c r="B15" s="13" t="s">
        <v>6</v>
      </c>
      <c r="C15" s="13" t="s">
        <v>6</v>
      </c>
      <c r="D15" s="13" t="s">
        <v>6</v>
      </c>
      <c r="E15" s="13" t="s">
        <v>6</v>
      </c>
      <c r="F15" s="13" t="s">
        <v>68</v>
      </c>
      <c r="G15" s="13" t="s">
        <v>68</v>
      </c>
    </row>
    <row r="16">
      <c r="A16" s="12" t="s">
        <v>69</v>
      </c>
      <c r="B16" s="17" t="s">
        <v>70</v>
      </c>
      <c r="C16" s="17" t="s">
        <v>70</v>
      </c>
      <c r="D16" s="17" t="s">
        <v>70</v>
      </c>
      <c r="E16" s="17" t="s">
        <v>70</v>
      </c>
      <c r="F16" s="17" t="s">
        <v>27</v>
      </c>
      <c r="G16" s="17" t="s">
        <v>27</v>
      </c>
    </row>
    <row r="17">
      <c r="A17" s="12" t="s">
        <v>72</v>
      </c>
      <c r="B17" s="17" t="s">
        <v>37</v>
      </c>
      <c r="C17" s="17" t="s">
        <v>37</v>
      </c>
      <c r="D17" s="17" t="s">
        <v>37</v>
      </c>
      <c r="E17" s="17" t="s">
        <v>37</v>
      </c>
    </row>
    <row r="18">
      <c r="A18" s="12" t="s">
        <v>74</v>
      </c>
    </row>
    <row r="19">
      <c r="A19" s="13" t="s">
        <v>75</v>
      </c>
      <c r="B19" s="13" t="s">
        <v>76</v>
      </c>
      <c r="C19" s="13" t="s">
        <v>77</v>
      </c>
      <c r="D19" s="13" t="s">
        <v>77</v>
      </c>
      <c r="E19" s="13" t="s">
        <v>76</v>
      </c>
      <c r="F19" s="13" t="s">
        <v>77</v>
      </c>
      <c r="G19" s="13" t="s">
        <v>78</v>
      </c>
    </row>
    <row r="20">
      <c r="A20" s="12" t="s">
        <v>79</v>
      </c>
      <c r="B20" s="17" t="s">
        <v>37</v>
      </c>
      <c r="C20" s="17" t="s">
        <v>37</v>
      </c>
      <c r="D20" s="17" t="s">
        <v>37</v>
      </c>
      <c r="E20" s="17" t="s">
        <v>27</v>
      </c>
      <c r="F20" s="17" t="s">
        <v>37</v>
      </c>
      <c r="G20" s="17" t="s">
        <v>37</v>
      </c>
    </row>
    <row r="21">
      <c r="A21" s="12" t="s">
        <v>80</v>
      </c>
      <c r="B21" s="17" t="s">
        <v>81</v>
      </c>
      <c r="C21" s="17" t="s">
        <v>81</v>
      </c>
      <c r="D21" s="17" t="s">
        <v>81</v>
      </c>
      <c r="E21" s="17" t="s">
        <v>48</v>
      </c>
    </row>
    <row r="22">
      <c r="A22" s="12" t="s">
        <v>82</v>
      </c>
    </row>
    <row r="23">
      <c r="A23" s="13" t="s">
        <v>83</v>
      </c>
      <c r="B23" s="17" t="s">
        <v>38</v>
      </c>
      <c r="C23" s="17" t="s">
        <v>38</v>
      </c>
      <c r="D23" s="17" t="s">
        <v>38</v>
      </c>
      <c r="E23" s="17" t="s">
        <v>38</v>
      </c>
      <c r="F23" s="12" t="s">
        <v>40</v>
      </c>
      <c r="G23" s="12" t="s">
        <v>40</v>
      </c>
    </row>
    <row r="24">
      <c r="A24" s="13" t="s">
        <v>84</v>
      </c>
      <c r="B24" s="12" t="s">
        <v>48</v>
      </c>
      <c r="C24" s="12" t="s">
        <v>48</v>
      </c>
      <c r="D24" s="12" t="s">
        <v>48</v>
      </c>
      <c r="E24" s="12" t="s">
        <v>48</v>
      </c>
      <c r="F24" s="12" t="s">
        <v>50</v>
      </c>
      <c r="G24" s="12" t="s">
        <v>50</v>
      </c>
    </row>
    <row r="25">
      <c r="A25" s="28" t="s">
        <v>85</v>
      </c>
      <c r="E25" s="9"/>
      <c r="F25" s="17" t="s">
        <v>81</v>
      </c>
      <c r="G25" s="17" t="s">
        <v>81</v>
      </c>
    </row>
    <row r="26">
      <c r="A26" s="30"/>
      <c r="B26" s="31"/>
      <c r="C26" s="31"/>
      <c r="D26" s="31"/>
      <c r="E26" s="31"/>
      <c r="F26" s="32"/>
      <c r="G26" s="32"/>
    </row>
    <row r="27">
      <c r="A27" s="33"/>
      <c r="B27" s="9"/>
      <c r="C27" s="9"/>
      <c r="D27" s="9"/>
      <c r="E27" s="9"/>
      <c r="F27" s="34"/>
      <c r="G27" s="34"/>
    </row>
    <row r="28">
      <c r="A28" s="36" t="s">
        <v>88</v>
      </c>
    </row>
    <row r="29">
      <c r="A29" s="38" t="s">
        <v>89</v>
      </c>
      <c r="B29" s="40"/>
      <c r="C29" s="40"/>
      <c r="D29" s="40"/>
      <c r="E29" s="40"/>
      <c r="F29" s="40"/>
      <c r="G29" s="40"/>
    </row>
    <row r="30">
      <c r="A30" s="36" t="s">
        <v>91</v>
      </c>
    </row>
    <row r="31">
      <c r="A31" s="36" t="s">
        <v>92</v>
      </c>
    </row>
    <row r="32">
      <c r="A32" s="36" t="s">
        <v>94</v>
      </c>
    </row>
    <row r="33">
      <c r="A33" s="36" t="s">
        <v>96</v>
      </c>
    </row>
    <row r="34">
      <c r="A34" s="36" t="s">
        <v>98</v>
      </c>
    </row>
    <row r="35">
      <c r="A35" s="36" t="s">
        <v>99</v>
      </c>
    </row>
  </sheetData>
  <mergeCells count="8">
    <mergeCell ref="A28:G28"/>
    <mergeCell ref="A29:G29"/>
    <mergeCell ref="A30:G30"/>
    <mergeCell ref="A31:G31"/>
    <mergeCell ref="A32:G32"/>
    <mergeCell ref="A33:G33"/>
    <mergeCell ref="A34:G34"/>
    <mergeCell ref="A35:G3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outlineLevelRow="1"/>
  <cols>
    <col customWidth="1" min="1" max="1" width="22.88"/>
    <col customWidth="1" min="2" max="2" width="3.88"/>
    <col customWidth="1" min="3" max="3" width="4.13"/>
    <col customWidth="1" min="4" max="5" width="11.38"/>
    <col customWidth="1" min="6" max="53" width="10.38"/>
  </cols>
  <sheetData>
    <row r="1">
      <c r="A1" s="3" t="s">
        <v>2</v>
      </c>
      <c r="B1" s="5"/>
      <c r="C1" s="5"/>
      <c r="D1" s="5"/>
      <c r="E1" s="5"/>
      <c r="F1" s="8"/>
      <c r="G1" s="8"/>
      <c r="H1" s="8"/>
      <c r="I1" s="8"/>
      <c r="J1" s="8"/>
      <c r="K1" s="8"/>
      <c r="L1" s="8"/>
      <c r="M1" s="8"/>
      <c r="N1" s="8"/>
      <c r="O1" s="8"/>
      <c r="P1" s="14" t="s">
        <v>16</v>
      </c>
      <c r="Q1" s="14"/>
      <c r="R1" s="8"/>
      <c r="S1" s="14"/>
      <c r="T1" s="16" t="s">
        <v>29</v>
      </c>
      <c r="U1" s="14"/>
      <c r="V1" s="8"/>
      <c r="W1" s="14"/>
      <c r="X1" s="20" t="s">
        <v>41</v>
      </c>
      <c r="Y1" s="8"/>
      <c r="Z1" s="8"/>
      <c r="AA1" s="8"/>
      <c r="AB1" s="23" t="s">
        <v>56</v>
      </c>
      <c r="AC1" s="8"/>
      <c r="AD1" s="8"/>
      <c r="AE1" s="8"/>
      <c r="AF1" s="8"/>
      <c r="AG1" s="26" t="s">
        <v>71</v>
      </c>
      <c r="AH1" s="8"/>
      <c r="AI1" s="8"/>
      <c r="AJ1" s="8"/>
      <c r="AK1" s="8"/>
      <c r="AL1" s="8"/>
      <c r="AM1" s="8"/>
      <c r="AN1" s="8"/>
      <c r="AO1" s="8"/>
      <c r="AP1" s="8"/>
      <c r="AQ1" s="8"/>
      <c r="AR1" s="8"/>
      <c r="AS1" s="29" t="s">
        <v>86</v>
      </c>
      <c r="AT1" s="8"/>
      <c r="AU1" s="8"/>
      <c r="AV1" s="8"/>
      <c r="AW1" s="8"/>
      <c r="AX1" s="8"/>
      <c r="AY1" s="8"/>
      <c r="AZ1" s="8"/>
      <c r="BA1" s="8"/>
    </row>
    <row r="2">
      <c r="A2" s="35"/>
      <c r="B2" s="35"/>
      <c r="C2" s="35"/>
      <c r="D2" s="37" t="s">
        <v>55</v>
      </c>
      <c r="E2" s="37" t="s">
        <v>90</v>
      </c>
      <c r="F2" s="39" t="s">
        <v>55</v>
      </c>
      <c r="G2" s="39" t="s">
        <v>90</v>
      </c>
      <c r="H2" s="39" t="s">
        <v>55</v>
      </c>
      <c r="I2" s="39" t="s">
        <v>90</v>
      </c>
      <c r="J2" s="39" t="s">
        <v>55</v>
      </c>
      <c r="K2" s="39" t="s">
        <v>90</v>
      </c>
      <c r="L2" s="39" t="s">
        <v>55</v>
      </c>
      <c r="M2" s="39" t="s">
        <v>90</v>
      </c>
      <c r="N2" s="39" t="s">
        <v>55</v>
      </c>
      <c r="O2" s="39" t="s">
        <v>90</v>
      </c>
      <c r="P2" s="39" t="s">
        <v>55</v>
      </c>
      <c r="Q2" s="39" t="s">
        <v>90</v>
      </c>
      <c r="R2" s="39" t="s">
        <v>55</v>
      </c>
      <c r="S2" s="39" t="s">
        <v>90</v>
      </c>
      <c r="T2" s="39" t="s">
        <v>55</v>
      </c>
      <c r="U2" s="39" t="s">
        <v>90</v>
      </c>
      <c r="V2" s="39" t="s">
        <v>55</v>
      </c>
      <c r="W2" s="39" t="s">
        <v>90</v>
      </c>
      <c r="X2" s="39" t="s">
        <v>55</v>
      </c>
      <c r="Y2" s="39" t="s">
        <v>90</v>
      </c>
      <c r="Z2" s="39" t="s">
        <v>55</v>
      </c>
      <c r="AA2" s="39" t="s">
        <v>90</v>
      </c>
      <c r="AB2" s="39" t="s">
        <v>55</v>
      </c>
      <c r="AC2" s="39" t="s">
        <v>90</v>
      </c>
      <c r="AD2" s="39" t="s">
        <v>55</v>
      </c>
      <c r="AE2" s="39" t="s">
        <v>90</v>
      </c>
      <c r="AF2" s="39" t="s">
        <v>55</v>
      </c>
      <c r="AG2" s="39" t="s">
        <v>90</v>
      </c>
      <c r="AH2" s="39" t="s">
        <v>55</v>
      </c>
      <c r="AI2" s="39" t="s">
        <v>90</v>
      </c>
      <c r="AJ2" s="39" t="s">
        <v>55</v>
      </c>
      <c r="AK2" s="39" t="s">
        <v>90</v>
      </c>
      <c r="AL2" s="39" t="s">
        <v>55</v>
      </c>
      <c r="AM2" s="39" t="s">
        <v>90</v>
      </c>
      <c r="AN2" s="39" t="s">
        <v>55</v>
      </c>
      <c r="AO2" s="39" t="s">
        <v>90</v>
      </c>
      <c r="AP2" s="39" t="s">
        <v>55</v>
      </c>
      <c r="AQ2" s="39" t="s">
        <v>90</v>
      </c>
      <c r="AR2" s="39" t="s">
        <v>55</v>
      </c>
      <c r="AS2" s="39" t="s">
        <v>90</v>
      </c>
      <c r="AT2" s="39" t="s">
        <v>55</v>
      </c>
      <c r="AU2" s="39" t="s">
        <v>90</v>
      </c>
      <c r="AV2" s="39" t="s">
        <v>55</v>
      </c>
      <c r="AW2" s="39" t="s">
        <v>90</v>
      </c>
      <c r="AX2" s="39" t="s">
        <v>55</v>
      </c>
      <c r="AY2" s="39" t="s">
        <v>90</v>
      </c>
      <c r="AZ2" s="39" t="s">
        <v>55</v>
      </c>
      <c r="BA2" s="39" t="s">
        <v>90</v>
      </c>
    </row>
    <row r="3">
      <c r="A3" s="43" t="s">
        <v>102</v>
      </c>
      <c r="B3" s="44" t="s">
        <v>104</v>
      </c>
      <c r="C3" s="44" t="s">
        <v>106</v>
      </c>
      <c r="D3" s="44" t="s">
        <v>107</v>
      </c>
      <c r="E3" s="44" t="s">
        <v>108</v>
      </c>
      <c r="F3" s="45" t="s">
        <v>65</v>
      </c>
      <c r="G3" s="46" t="s">
        <v>119</v>
      </c>
      <c r="H3" s="45" t="s">
        <v>95</v>
      </c>
      <c r="I3" s="46" t="s">
        <v>127</v>
      </c>
      <c r="J3" s="45" t="s">
        <v>109</v>
      </c>
      <c r="K3" s="46" t="s">
        <v>132</v>
      </c>
      <c r="L3" s="45" t="s">
        <v>114</v>
      </c>
      <c r="M3" s="46" t="s">
        <v>140</v>
      </c>
      <c r="N3" s="45" t="s">
        <v>124</v>
      </c>
      <c r="O3" s="46" t="s">
        <v>142</v>
      </c>
      <c r="P3" s="45" t="s">
        <v>138</v>
      </c>
      <c r="Q3" s="46" t="s">
        <v>143</v>
      </c>
      <c r="R3" s="45" t="s">
        <v>144</v>
      </c>
      <c r="S3" s="46" t="s">
        <v>168</v>
      </c>
      <c r="T3" s="45" t="s">
        <v>170</v>
      </c>
      <c r="U3" s="39" t="s">
        <v>174</v>
      </c>
      <c r="V3" s="45" t="s">
        <v>176</v>
      </c>
      <c r="W3" s="46" t="s">
        <v>179</v>
      </c>
      <c r="X3" s="45" t="s">
        <v>180</v>
      </c>
      <c r="Y3" s="39" t="s">
        <v>184</v>
      </c>
      <c r="Z3" s="45" t="s">
        <v>185</v>
      </c>
      <c r="AA3" s="46" t="s">
        <v>187</v>
      </c>
      <c r="AB3" s="60" t="s">
        <v>189</v>
      </c>
      <c r="AC3" s="62" t="s">
        <v>191</v>
      </c>
      <c r="AD3" s="46" t="s">
        <v>193</v>
      </c>
      <c r="AE3" s="46" t="s">
        <v>194</v>
      </c>
      <c r="AF3" s="45" t="s">
        <v>195</v>
      </c>
      <c r="AG3" s="46" t="s">
        <v>198</v>
      </c>
      <c r="AH3" s="45" t="s">
        <v>199</v>
      </c>
      <c r="AI3" s="46" t="s">
        <v>210</v>
      </c>
      <c r="AJ3" s="45" t="s">
        <v>211</v>
      </c>
      <c r="AK3" s="46" t="s">
        <v>218</v>
      </c>
      <c r="AL3" s="45" t="s">
        <v>219</v>
      </c>
      <c r="AM3" s="46" t="s">
        <v>220</v>
      </c>
      <c r="AN3" s="45" t="s">
        <v>221</v>
      </c>
      <c r="AO3" s="46" t="s">
        <v>222</v>
      </c>
      <c r="AP3" s="45" t="s">
        <v>223</v>
      </c>
      <c r="AQ3" s="46" t="s">
        <v>224</v>
      </c>
      <c r="AR3" s="45" t="s">
        <v>225</v>
      </c>
      <c r="AS3" s="46" t="s">
        <v>226</v>
      </c>
      <c r="AT3" s="45" t="s">
        <v>227</v>
      </c>
      <c r="AU3" s="39" t="s">
        <v>228</v>
      </c>
      <c r="AV3" s="45" t="s">
        <v>229</v>
      </c>
      <c r="AW3" s="46" t="s">
        <v>230</v>
      </c>
      <c r="AX3" s="45" t="s">
        <v>231</v>
      </c>
      <c r="AY3" s="46" t="s">
        <v>232</v>
      </c>
      <c r="AZ3" s="45" t="s">
        <v>233</v>
      </c>
      <c r="BA3" s="46" t="s">
        <v>234</v>
      </c>
    </row>
    <row r="4">
      <c r="A4" s="74" t="s">
        <v>235</v>
      </c>
      <c r="B4" s="75"/>
      <c r="C4" s="75"/>
      <c r="D4" s="75"/>
      <c r="E4" s="75">
        <f>SUM(E5:E11)+E12+E21+E39+E26+E101+E133+E151+E154+E175+E196+E203+E250</f>
        <v>6870</v>
      </c>
      <c r="F4" s="75"/>
      <c r="G4" s="78">
        <f>SUM(G5:G11)+G12+G21+G39+G26+G101+G133+G151+G154+G175+G196+G203+G250</f>
        <v>2100</v>
      </c>
      <c r="H4" s="75"/>
      <c r="I4" s="78">
        <f>SUM(I5:I11)+I12+I21+I39+I26+I101+I133+I151+I154+I175+I196+I203+I250</f>
        <v>2100</v>
      </c>
      <c r="J4" s="75"/>
      <c r="K4" s="78">
        <f>SUM(K5:K11)+K12+K21+K39+K26+K101+K133+K151+K154+K175+K196+K203+K250</f>
        <v>2100</v>
      </c>
      <c r="L4" s="75"/>
      <c r="M4" s="78">
        <f>SUM(M5:M11)+M12+M21+M39+M26+M101+M133+M151+M154+M175+M196+M203+M250</f>
        <v>2100</v>
      </c>
      <c r="N4" s="75"/>
      <c r="O4" s="78">
        <f>SUM(O5:O11)+O12+O21+O39+O26+O101+O133+O151+O154+O175+O196+O203+O250</f>
        <v>2100</v>
      </c>
      <c r="P4" s="75"/>
      <c r="Q4" s="78">
        <f>SUM(Q5:Q11)+Q12+Q21+Q39+Q26+Q101+Q133+Q151+Q154+Q175+Q196+Q203+Q250</f>
        <v>2100</v>
      </c>
      <c r="R4" s="75"/>
      <c r="S4" s="78">
        <f>SUM(S5:S11)+S12+S21+S39+S26+S101+S133+S151+S154+S175+S196+S203+S250</f>
        <v>2100</v>
      </c>
      <c r="T4" s="82"/>
      <c r="U4" s="78">
        <f>SUM(U5:U11)+U12+U21+U39+U26+U101+U133+U151+U154+U175+U196+U203+U250</f>
        <v>2100</v>
      </c>
      <c r="V4" s="75"/>
      <c r="W4" s="78">
        <f>SUM(W5:W11)+W12+W21+W39+W26+W101+W133+W151+W154+W175+W196+W203+W250</f>
        <v>2100</v>
      </c>
      <c r="X4" s="75"/>
      <c r="Y4" s="78">
        <f>SUM(Y5:Y11)+Y12+Y21+Y39+Y26+Y101+Y133+Y151+Y154+Y175+Y196+Y203+Y250</f>
        <v>2100</v>
      </c>
      <c r="Z4" s="75"/>
      <c r="AA4" s="78">
        <f>SUM(AA5:AA11)+AA12+AA21+AA39+AA26+AA101+AA133+AA151+AA154+AA175+AA196+AA203+AA250</f>
        <v>2100</v>
      </c>
      <c r="AB4" s="75"/>
      <c r="AC4" s="78">
        <f>SUM(AC5:AC11)+AC12+AC21+AC39+AC26+AC101+AC133+AC151+AC154+AC175+AC196+AC203+AC250</f>
        <v>2100</v>
      </c>
      <c r="AD4" s="75"/>
      <c r="AE4" s="78">
        <f>SUM(AE5:AE11)+AE12+AE21+AE39+AE26+AE101+AE133+AE151+AE154+AE175+AE196+AE203+AE250</f>
        <v>2100</v>
      </c>
      <c r="AF4" s="75"/>
      <c r="AG4" s="78">
        <f>SUM(AG5:AG11)+AG12+AG21+AG39+AG26+AG101+AG133+AG151+AG154+AG175+AG196+AG203+AG250</f>
        <v>2100</v>
      </c>
      <c r="AH4" s="75"/>
      <c r="AI4" s="78">
        <f>SUM(AI5:AI11)+AI12+AI21+AI39+AI26+AI101+AI133+AI151+AI154+AI175+AI196+AI203+AI250</f>
        <v>2100</v>
      </c>
      <c r="AJ4" s="75"/>
      <c r="AK4" s="84">
        <f>SUM(AK5:AK11)+AK12+AK21+AK39+AK26+AK101+AK133+AK151+AK154+AK175+AK196+AK203+AK250</f>
        <v>2050</v>
      </c>
      <c r="AL4" s="75"/>
      <c r="AM4" s="78">
        <f>SUM(AM5:AM11)+AM12+AM21+AM39+AM26+AM101+AM133+AM151+AM154+AM175+AM196+AM203+AM250</f>
        <v>2100</v>
      </c>
      <c r="AN4" s="75"/>
      <c r="AO4" s="78">
        <f>SUM(AO5:AO11)+AO12+AO21+AO39+AO26+AO101+AO133+AO151+AO154+AO175+AO196+AO203+AO250</f>
        <v>2100</v>
      </c>
      <c r="AP4" s="75"/>
      <c r="AQ4" s="78">
        <f>SUM(AQ5:AQ11)+AQ12+AQ21+AQ39+AQ26+AQ101+AQ133+AQ151+AQ154+AQ175+AQ196+AQ203+AQ250</f>
        <v>2100</v>
      </c>
      <c r="AR4" s="75"/>
      <c r="AS4" s="84">
        <f>SUM(AS5:AS11)+AS12+AS21+AS39+AS26+AS101+AS133+AS151+AS154+AS175+AS196+AS203+AS250</f>
        <v>2080</v>
      </c>
      <c r="AT4" s="82"/>
      <c r="AU4" s="78">
        <f>SUM(AU5:AU11)+AU12+AU21+AU39+AU26+AU101+AU133+AU151+AU154+AU175+AU196+AU203+AU250</f>
        <v>2100</v>
      </c>
      <c r="AV4" s="75"/>
      <c r="AW4" s="78">
        <f>SUM(AW5:AW11)+AW12+AW21+AW39+AW26+AW101+AW133+AW151+AW154+AW175+AW196+AW203+AW250</f>
        <v>2100</v>
      </c>
      <c r="AX4" s="75"/>
      <c r="AY4" s="78">
        <f>SUM(AY5:AY11)+AY12+AY21+AY39+AY26+AY101+AY133+AY151+AY154+AY175+AY196+AY203+AY250</f>
        <v>2100</v>
      </c>
      <c r="AZ4" s="75"/>
      <c r="BA4" s="78">
        <f>SUM(BA5:BA11)+BA12+BA21+BA39+BA26+BA101+BA133+BA151+BA154+BA175+BA196+BA203+BA250</f>
        <v>2100</v>
      </c>
    </row>
    <row r="5">
      <c r="A5" s="90" t="s">
        <v>385</v>
      </c>
      <c r="B5" s="46" t="s">
        <v>148</v>
      </c>
      <c r="C5" s="46"/>
      <c r="D5" s="46" t="s">
        <v>6</v>
      </c>
      <c r="E5" s="46"/>
      <c r="F5" s="46" t="s">
        <v>406</v>
      </c>
      <c r="G5" s="46"/>
      <c r="H5" s="46" t="s">
        <v>409</v>
      </c>
      <c r="I5" s="46"/>
      <c r="J5" s="46" t="s">
        <v>406</v>
      </c>
      <c r="K5" s="46"/>
      <c r="L5" s="46" t="s">
        <v>412</v>
      </c>
      <c r="M5" s="46"/>
      <c r="N5" s="46" t="s">
        <v>413</v>
      </c>
      <c r="O5" s="46"/>
      <c r="P5" s="46" t="s">
        <v>415</v>
      </c>
      <c r="Q5" s="46"/>
      <c r="R5" s="46" t="s">
        <v>409</v>
      </c>
      <c r="S5" s="46"/>
      <c r="T5" s="39" t="s">
        <v>415</v>
      </c>
      <c r="U5" s="46"/>
      <c r="V5" s="46" t="s">
        <v>415</v>
      </c>
      <c r="W5" s="46"/>
      <c r="X5" s="46" t="s">
        <v>413</v>
      </c>
      <c r="Y5" s="46"/>
      <c r="Z5" s="46" t="s">
        <v>412</v>
      </c>
      <c r="AA5" s="46"/>
      <c r="AB5" s="46" t="s">
        <v>412</v>
      </c>
      <c r="AC5" s="46"/>
      <c r="AD5" s="39" t="s">
        <v>412</v>
      </c>
      <c r="AE5" s="46"/>
      <c r="AF5" s="39" t="s">
        <v>417</v>
      </c>
      <c r="AG5" s="46"/>
      <c r="AH5" s="39" t="s">
        <v>417</v>
      </c>
      <c r="AI5" s="46"/>
      <c r="AJ5" s="39" t="s">
        <v>417</v>
      </c>
      <c r="AK5" s="46"/>
      <c r="AL5" s="39" t="s">
        <v>418</v>
      </c>
      <c r="AM5" s="46"/>
      <c r="AN5" s="39" t="s">
        <v>418</v>
      </c>
      <c r="AO5" s="46"/>
      <c r="AP5" s="39" t="s">
        <v>418</v>
      </c>
      <c r="AQ5" s="46"/>
      <c r="AR5" s="39" t="s">
        <v>418</v>
      </c>
      <c r="AS5" s="46"/>
      <c r="AT5" s="39" t="s">
        <v>418</v>
      </c>
      <c r="AU5" s="46"/>
      <c r="AV5" s="39" t="s">
        <v>418</v>
      </c>
      <c r="AW5" s="46"/>
      <c r="AX5" s="39" t="s">
        <v>418</v>
      </c>
      <c r="AY5" s="46"/>
      <c r="AZ5" s="39" t="s">
        <v>418</v>
      </c>
      <c r="BA5" s="46"/>
    </row>
    <row r="6">
      <c r="A6" s="90" t="s">
        <v>420</v>
      </c>
      <c r="B6" s="46" t="s">
        <v>148</v>
      </c>
      <c r="C6" s="46"/>
      <c r="D6" s="44" t="s">
        <v>259</v>
      </c>
      <c r="E6" s="46"/>
      <c r="F6" s="39" t="s">
        <v>421</v>
      </c>
      <c r="G6" s="46"/>
      <c r="H6" s="39" t="s">
        <v>421</v>
      </c>
      <c r="I6" s="46"/>
      <c r="J6" s="39" t="s">
        <v>421</v>
      </c>
      <c r="K6" s="46"/>
      <c r="L6" s="39" t="s">
        <v>259</v>
      </c>
      <c r="M6" s="46"/>
      <c r="N6" s="39" t="s">
        <v>421</v>
      </c>
      <c r="O6" s="46"/>
      <c r="P6" s="39" t="s">
        <v>422</v>
      </c>
      <c r="Q6" s="46"/>
      <c r="R6" s="39" t="s">
        <v>262</v>
      </c>
      <c r="S6" s="46"/>
      <c r="T6" s="39" t="s">
        <v>264</v>
      </c>
      <c r="U6" s="46"/>
      <c r="V6" s="39" t="s">
        <v>260</v>
      </c>
      <c r="W6" s="46"/>
      <c r="X6" s="39" t="s">
        <v>260</v>
      </c>
      <c r="Y6" s="46"/>
      <c r="Z6" s="39" t="s">
        <v>262</v>
      </c>
      <c r="AA6" s="46"/>
      <c r="AB6" s="39" t="s">
        <v>262</v>
      </c>
      <c r="AC6" s="46"/>
      <c r="AD6" s="46" t="s">
        <v>261</v>
      </c>
      <c r="AE6" s="46"/>
      <c r="AF6" s="39" t="s">
        <v>264</v>
      </c>
      <c r="AG6" s="46"/>
      <c r="AH6" s="39" t="s">
        <v>421</v>
      </c>
      <c r="AI6" s="46"/>
      <c r="AJ6" s="39" t="s">
        <v>263</v>
      </c>
      <c r="AK6" s="46"/>
      <c r="AL6" s="39" t="s">
        <v>263</v>
      </c>
      <c r="AM6" s="46"/>
      <c r="AN6" s="39" t="s">
        <v>264</v>
      </c>
      <c r="AO6" s="46"/>
      <c r="AP6" s="39" t="s">
        <v>264</v>
      </c>
      <c r="AQ6" s="46"/>
      <c r="AR6" s="39" t="s">
        <v>263</v>
      </c>
      <c r="AS6" s="46"/>
      <c r="AT6" s="39" t="s">
        <v>423</v>
      </c>
      <c r="AU6" s="46"/>
      <c r="AV6" s="39" t="s">
        <v>262</v>
      </c>
      <c r="AW6" s="46"/>
      <c r="AX6" s="39" t="s">
        <v>262</v>
      </c>
      <c r="AY6" s="46"/>
      <c r="AZ6" s="39" t="s">
        <v>264</v>
      </c>
      <c r="BA6" s="46"/>
    </row>
    <row r="7">
      <c r="A7" s="90" t="s">
        <v>15</v>
      </c>
      <c r="B7" s="46" t="s">
        <v>148</v>
      </c>
      <c r="C7" s="46"/>
      <c r="D7" s="44">
        <v>6.0</v>
      </c>
      <c r="E7" s="46">
        <f>HPvalue*D7</f>
        <v>60</v>
      </c>
      <c r="F7" s="94">
        <v>10.0</v>
      </c>
      <c r="G7" s="95">
        <f>HPvalue*F7</f>
        <v>100</v>
      </c>
      <c r="H7" s="94">
        <v>10.0</v>
      </c>
      <c r="I7" s="95">
        <f>HPvalue*H7</f>
        <v>100</v>
      </c>
      <c r="J7" s="94">
        <v>10.0</v>
      </c>
      <c r="K7" s="95">
        <f>HPvalue*J7</f>
        <v>100</v>
      </c>
      <c r="L7" s="94">
        <v>12.0</v>
      </c>
      <c r="M7" s="95">
        <f>HPvalue*L7</f>
        <v>120</v>
      </c>
      <c r="N7" s="94">
        <v>10.0</v>
      </c>
      <c r="O7" s="95">
        <f>HPvalue*N7</f>
        <v>100</v>
      </c>
      <c r="P7" s="94">
        <v>8.0</v>
      </c>
      <c r="Q7" s="95">
        <f>HPvalue*P7</f>
        <v>80</v>
      </c>
      <c r="R7" s="94">
        <v>8.0</v>
      </c>
      <c r="S7" s="95">
        <f>HPvalue*R7</f>
        <v>80</v>
      </c>
      <c r="T7" s="94">
        <v>8.0</v>
      </c>
      <c r="U7" s="95">
        <f>HPvalue*T7</f>
        <v>80</v>
      </c>
      <c r="V7" s="94">
        <v>10.0</v>
      </c>
      <c r="W7" s="95">
        <f>HPvalue*V7</f>
        <v>100</v>
      </c>
      <c r="X7" s="94">
        <v>8.0</v>
      </c>
      <c r="Y7" s="95">
        <f>HPvalue*X7</f>
        <v>80</v>
      </c>
      <c r="Z7" s="94">
        <v>8.0</v>
      </c>
      <c r="AA7" s="95">
        <f>HPvalue*Z7</f>
        <v>80</v>
      </c>
      <c r="AB7" s="94">
        <v>8.0</v>
      </c>
      <c r="AC7" s="95">
        <f>HPvalue*AB7</f>
        <v>80</v>
      </c>
      <c r="AD7" s="95">
        <v>8.0</v>
      </c>
      <c r="AE7" s="95">
        <f>HPvalue*AD7</f>
        <v>80</v>
      </c>
      <c r="AF7" s="94">
        <v>10.0</v>
      </c>
      <c r="AG7" s="95">
        <f>HPvalue*AF7</f>
        <v>100</v>
      </c>
      <c r="AH7" s="94">
        <v>8.0</v>
      </c>
      <c r="AI7" s="95">
        <f>HPvalue*AH7</f>
        <v>80</v>
      </c>
      <c r="AJ7" s="94">
        <v>8.0</v>
      </c>
      <c r="AK7" s="95">
        <f>HPvalue*AJ7</f>
        <v>80</v>
      </c>
      <c r="AL7" s="94">
        <v>8.0</v>
      </c>
      <c r="AM7" s="95">
        <f>HPvalue*AL7</f>
        <v>80</v>
      </c>
      <c r="AN7" s="94">
        <v>8.0</v>
      </c>
      <c r="AO7" s="95">
        <f>HPvalue*AN7</f>
        <v>80</v>
      </c>
      <c r="AP7" s="94">
        <v>8.0</v>
      </c>
      <c r="AQ7" s="95">
        <f>HPvalue*AP7</f>
        <v>80</v>
      </c>
      <c r="AR7" s="94">
        <v>8.0</v>
      </c>
      <c r="AS7" s="95">
        <f>HPvalue*AR7</f>
        <v>80</v>
      </c>
      <c r="AT7" s="94">
        <v>6.0</v>
      </c>
      <c r="AU7" s="95">
        <f>HPvalue*AT7</f>
        <v>60</v>
      </c>
      <c r="AV7" s="94">
        <v>6.0</v>
      </c>
      <c r="AW7" s="95">
        <f>HPvalue*AV7</f>
        <v>60</v>
      </c>
      <c r="AX7" s="94">
        <v>6.0</v>
      </c>
      <c r="AY7" s="95">
        <f>HPvalue*AX7</f>
        <v>60</v>
      </c>
      <c r="AZ7" s="94">
        <v>6.0</v>
      </c>
      <c r="BA7" s="95">
        <f>HPvalue*AZ7</f>
        <v>60</v>
      </c>
    </row>
    <row r="8">
      <c r="A8" s="90" t="s">
        <v>451</v>
      </c>
      <c r="B8" s="46" t="s">
        <v>36</v>
      </c>
      <c r="C8" s="35"/>
      <c r="D8" s="37" t="b">
        <v>1</v>
      </c>
      <c r="E8" s="46">
        <f t="shared" ref="E8:E9" si="1">If(D8=True,10,"")</f>
        <v>10</v>
      </c>
      <c r="F8" s="100" t="b">
        <v>1</v>
      </c>
      <c r="G8" s="95">
        <f t="shared" ref="G8:G9" si="2">If(F8=True,10,"")</f>
        <v>10</v>
      </c>
      <c r="H8" s="100" t="b">
        <v>1</v>
      </c>
      <c r="I8" s="95">
        <f t="shared" ref="I8:I9" si="3">If(H8=True,10,"")</f>
        <v>10</v>
      </c>
      <c r="J8" s="100" t="b">
        <v>1</v>
      </c>
      <c r="K8" s="95">
        <f t="shared" ref="K8:K9" si="4">If(J8=True,10,"")</f>
        <v>10</v>
      </c>
      <c r="L8" s="100" t="b">
        <v>1</v>
      </c>
      <c r="M8" s="95">
        <f t="shared" ref="M8:M9" si="5">If(L8=True,10,"")</f>
        <v>10</v>
      </c>
      <c r="N8" s="100" t="b">
        <v>1</v>
      </c>
      <c r="O8" s="95">
        <f t="shared" ref="O8:O9" si="6">If(N8=True,10,"")</f>
        <v>10</v>
      </c>
      <c r="P8" s="100" t="b">
        <v>1</v>
      </c>
      <c r="Q8" s="95">
        <f t="shared" ref="Q8:Q9" si="7">If(P8=True,10,"")</f>
        <v>10</v>
      </c>
      <c r="R8" s="100" t="b">
        <v>1</v>
      </c>
      <c r="S8" s="95">
        <f t="shared" ref="S8:S9" si="8">If(R8=True,10,"")</f>
        <v>10</v>
      </c>
      <c r="T8" s="100" t="b">
        <v>1</v>
      </c>
      <c r="U8" s="95">
        <f t="shared" ref="U8:U9" si="9">If(T8=True,10,"")</f>
        <v>10</v>
      </c>
      <c r="V8" s="100" t="b">
        <v>1</v>
      </c>
      <c r="W8" s="95">
        <f t="shared" ref="W8:W9" si="10">If(V8=True,10,"")</f>
        <v>10</v>
      </c>
      <c r="X8" s="100" t="b">
        <v>1</v>
      </c>
      <c r="Y8" s="95">
        <f t="shared" ref="Y8:Y9" si="11">If(X8=True,10,"")</f>
        <v>10</v>
      </c>
      <c r="Z8" s="100" t="b">
        <v>1</v>
      </c>
      <c r="AA8" s="95">
        <f t="shared" ref="AA8:AA9" si="12">If(Z8=True,10,"")</f>
        <v>10</v>
      </c>
      <c r="AB8" s="100" t="b">
        <v>1</v>
      </c>
      <c r="AC8" s="95">
        <f t="shared" ref="AC8:AC9" si="13">If(AB8=True,10,"")</f>
        <v>10</v>
      </c>
      <c r="AD8" s="100" t="b">
        <v>1</v>
      </c>
      <c r="AE8" s="95">
        <f t="shared" ref="AE8:AE9" si="14">If(AD8=True,10,"")</f>
        <v>10</v>
      </c>
      <c r="AF8" s="100" t="b">
        <v>0</v>
      </c>
      <c r="AG8" s="46" t="str">
        <f t="shared" ref="AG8:AG9" si="15">If(AF8=True,10,"")</f>
        <v/>
      </c>
      <c r="AH8" s="100" t="b">
        <v>0</v>
      </c>
      <c r="AI8" s="46" t="str">
        <f t="shared" ref="AI8:AI9" si="16">If(AH8=True,10,"")</f>
        <v/>
      </c>
      <c r="AJ8" s="100" t="b">
        <v>0</v>
      </c>
      <c r="AK8" s="46" t="str">
        <f t="shared" ref="AK8:AK9" si="17">If(AJ8=True,10,"")</f>
        <v/>
      </c>
      <c r="AL8" s="100" t="b">
        <v>1</v>
      </c>
      <c r="AM8" s="95">
        <f t="shared" ref="AM8:AM9" si="18">If(AL8=True,10,"")</f>
        <v>10</v>
      </c>
      <c r="AN8" s="100" t="b">
        <v>1</v>
      </c>
      <c r="AO8" s="95">
        <f t="shared" ref="AO8:AO9" si="19">If(AN8=True,10,"")</f>
        <v>10</v>
      </c>
      <c r="AP8" s="100" t="b">
        <v>0</v>
      </c>
      <c r="AQ8" s="46" t="str">
        <f t="shared" ref="AQ8:AQ9" si="20">If(AP8=True,10,"")</f>
        <v/>
      </c>
      <c r="AR8" s="100" t="b">
        <v>1</v>
      </c>
      <c r="AS8" s="95">
        <f t="shared" ref="AS8:AS9" si="21">If(AR8=True,10,"")</f>
        <v>10</v>
      </c>
      <c r="AT8" s="100" t="b">
        <v>0</v>
      </c>
      <c r="AU8" s="46" t="str">
        <f t="shared" ref="AU8:AU9" si="22">If(AT8=True,10,"")</f>
        <v/>
      </c>
      <c r="AV8" s="100" t="b">
        <v>0</v>
      </c>
      <c r="AW8" s="46" t="str">
        <f t="shared" ref="AW8:AW9" si="23">If(AV8=True,10,"")</f>
        <v/>
      </c>
      <c r="AX8" s="100" t="b">
        <v>0</v>
      </c>
      <c r="AY8" s="46" t="str">
        <f t="shared" ref="AY8:AY9" si="24">If(AX8=True,10,"")</f>
        <v/>
      </c>
      <c r="AZ8" s="100" t="b">
        <v>0</v>
      </c>
      <c r="BA8" s="46" t="str">
        <f t="shared" ref="BA8:BA9" si="25">If(AZ8=True,10,"")</f>
        <v/>
      </c>
    </row>
    <row r="9">
      <c r="A9" s="90" t="s">
        <v>463</v>
      </c>
      <c r="B9" s="46" t="s">
        <v>36</v>
      </c>
      <c r="C9" s="35"/>
      <c r="D9" s="37" t="b">
        <v>1</v>
      </c>
      <c r="E9" s="46">
        <f t="shared" si="1"/>
        <v>10</v>
      </c>
      <c r="F9" s="100" t="b">
        <v>1</v>
      </c>
      <c r="G9" s="95">
        <f t="shared" si="2"/>
        <v>10</v>
      </c>
      <c r="H9" s="100" t="b">
        <v>0</v>
      </c>
      <c r="I9" s="46" t="str">
        <f t="shared" si="3"/>
        <v/>
      </c>
      <c r="J9" s="100" t="b">
        <v>1</v>
      </c>
      <c r="K9" s="95">
        <f t="shared" si="4"/>
        <v>10</v>
      </c>
      <c r="L9" s="100" t="b">
        <v>0</v>
      </c>
      <c r="M9" s="46" t="str">
        <f t="shared" si="5"/>
        <v/>
      </c>
      <c r="N9" s="100" t="b">
        <v>0</v>
      </c>
      <c r="O9" s="46" t="str">
        <f t="shared" si="6"/>
        <v/>
      </c>
      <c r="P9" s="100" t="b">
        <v>0</v>
      </c>
      <c r="Q9" s="46" t="str">
        <f t="shared" si="7"/>
        <v/>
      </c>
      <c r="R9" s="100" t="b">
        <v>0</v>
      </c>
      <c r="S9" s="46" t="str">
        <f t="shared" si="8"/>
        <v/>
      </c>
      <c r="T9" s="100" t="b">
        <v>0</v>
      </c>
      <c r="U9" s="46" t="str">
        <f t="shared" si="9"/>
        <v/>
      </c>
      <c r="V9" s="100" t="b">
        <v>0</v>
      </c>
      <c r="W9" s="46" t="str">
        <f t="shared" si="10"/>
        <v/>
      </c>
      <c r="X9" s="100" t="b">
        <v>0</v>
      </c>
      <c r="Y9" s="46" t="str">
        <f t="shared" si="11"/>
        <v/>
      </c>
      <c r="Z9" s="100" t="b">
        <v>1</v>
      </c>
      <c r="AA9" s="95">
        <f t="shared" si="12"/>
        <v>10</v>
      </c>
      <c r="AB9" s="100" t="b">
        <v>0</v>
      </c>
      <c r="AC9" s="46" t="str">
        <f t="shared" si="13"/>
        <v/>
      </c>
      <c r="AD9" s="100" t="b">
        <v>0</v>
      </c>
      <c r="AE9" s="46" t="str">
        <f t="shared" si="14"/>
        <v/>
      </c>
      <c r="AF9" s="100" t="b">
        <v>0</v>
      </c>
      <c r="AG9" s="46" t="str">
        <f t="shared" si="15"/>
        <v/>
      </c>
      <c r="AH9" s="100" t="b">
        <v>0</v>
      </c>
      <c r="AI9" s="46" t="str">
        <f t="shared" si="16"/>
        <v/>
      </c>
      <c r="AJ9" s="100" t="b">
        <v>1</v>
      </c>
      <c r="AK9" s="95">
        <f t="shared" si="17"/>
        <v>10</v>
      </c>
      <c r="AL9" s="100" t="b">
        <v>0</v>
      </c>
      <c r="AM9" s="46" t="str">
        <f t="shared" si="18"/>
        <v/>
      </c>
      <c r="AN9" s="100" t="b">
        <v>0</v>
      </c>
      <c r="AO9" s="46" t="str">
        <f t="shared" si="19"/>
        <v/>
      </c>
      <c r="AP9" s="100" t="b">
        <v>0</v>
      </c>
      <c r="AQ9" s="46" t="str">
        <f t="shared" si="20"/>
        <v/>
      </c>
      <c r="AR9" s="100" t="b">
        <v>1</v>
      </c>
      <c r="AS9" s="95">
        <f t="shared" si="21"/>
        <v>10</v>
      </c>
      <c r="AT9" s="100" t="b">
        <v>0</v>
      </c>
      <c r="AU9" s="46" t="str">
        <f t="shared" si="22"/>
        <v/>
      </c>
      <c r="AV9" s="100" t="b">
        <v>0</v>
      </c>
      <c r="AW9" s="46" t="str">
        <f t="shared" si="23"/>
        <v/>
      </c>
      <c r="AX9" s="100" t="b">
        <v>0</v>
      </c>
      <c r="AY9" s="46" t="str">
        <f t="shared" si="24"/>
        <v/>
      </c>
      <c r="AZ9" s="100" t="b">
        <v>0</v>
      </c>
      <c r="BA9" s="46" t="str">
        <f t="shared" si="25"/>
        <v/>
      </c>
    </row>
    <row r="10">
      <c r="A10" s="90" t="s">
        <v>478</v>
      </c>
      <c r="B10" s="46"/>
      <c r="C10" s="35"/>
      <c r="D10" s="17"/>
      <c r="E10" s="46"/>
      <c r="F10" s="118"/>
      <c r="G10" s="46"/>
      <c r="H10" s="118"/>
      <c r="I10" s="46"/>
      <c r="J10" s="118"/>
      <c r="K10" s="46"/>
      <c r="L10" s="118"/>
      <c r="M10" s="46"/>
      <c r="N10" s="118"/>
      <c r="O10" s="46"/>
      <c r="P10" s="118"/>
      <c r="Q10" s="46"/>
      <c r="R10" s="118"/>
      <c r="S10" s="46"/>
      <c r="T10" s="118"/>
      <c r="U10" s="46"/>
      <c r="V10" s="118"/>
      <c r="W10" s="46"/>
      <c r="X10" s="118"/>
      <c r="Y10" s="46"/>
      <c r="Z10" s="118"/>
      <c r="AA10" s="46"/>
      <c r="AB10" s="118" t="s">
        <v>483</v>
      </c>
      <c r="AC10" s="46"/>
      <c r="AD10" s="118"/>
      <c r="AE10" s="46"/>
      <c r="AF10" s="118" t="s">
        <v>484</v>
      </c>
      <c r="AG10" s="46"/>
      <c r="AH10" s="118" t="s">
        <v>485</v>
      </c>
      <c r="AI10" s="46"/>
      <c r="AJ10" s="118" t="s">
        <v>487</v>
      </c>
      <c r="AK10" s="46"/>
      <c r="AL10" s="118" t="s">
        <v>487</v>
      </c>
      <c r="AM10" s="46"/>
      <c r="AN10" s="118" t="s">
        <v>488</v>
      </c>
      <c r="AO10" s="46"/>
      <c r="AP10" s="118" t="s">
        <v>488</v>
      </c>
      <c r="AQ10" s="46"/>
      <c r="AR10" s="118" t="s">
        <v>487</v>
      </c>
      <c r="AS10" s="46"/>
      <c r="AT10" s="118" t="s">
        <v>488</v>
      </c>
      <c r="AU10" s="46"/>
      <c r="AV10" s="118" t="s">
        <v>487</v>
      </c>
      <c r="AW10" s="46"/>
      <c r="AX10" s="118" t="s">
        <v>487</v>
      </c>
      <c r="AY10" s="46"/>
      <c r="AZ10" s="118" t="s">
        <v>488</v>
      </c>
      <c r="BA10" s="46"/>
    </row>
    <row r="11">
      <c r="A11" s="90" t="s">
        <v>491</v>
      </c>
      <c r="B11" s="46"/>
      <c r="C11" s="35"/>
      <c r="D11" s="17"/>
      <c r="E11" s="46"/>
      <c r="F11" s="118"/>
      <c r="G11" s="46"/>
      <c r="H11" s="118"/>
      <c r="I11" s="46"/>
      <c r="J11" s="118"/>
      <c r="K11" s="46"/>
      <c r="L11" s="118"/>
      <c r="M11" s="46"/>
      <c r="N11" s="118"/>
      <c r="O11" s="46"/>
      <c r="P11" s="118"/>
      <c r="Q11" s="46"/>
      <c r="R11" s="118"/>
      <c r="S11" s="46"/>
      <c r="T11" s="118"/>
      <c r="U11" s="46"/>
      <c r="V11" s="118"/>
      <c r="W11" s="46"/>
      <c r="X11" s="118"/>
      <c r="Y11" s="46"/>
      <c r="Z11" s="118"/>
      <c r="AA11" s="46"/>
      <c r="AB11" s="118"/>
      <c r="AC11" s="46"/>
      <c r="AD11" s="118"/>
      <c r="AE11" s="46"/>
      <c r="AF11" s="118" t="s">
        <v>495</v>
      </c>
      <c r="AG11" s="46"/>
      <c r="AH11" s="118" t="s">
        <v>496</v>
      </c>
      <c r="AI11" s="46"/>
      <c r="AJ11" s="118" t="s">
        <v>497</v>
      </c>
      <c r="AK11" s="46"/>
      <c r="AL11" s="118" t="s">
        <v>497</v>
      </c>
      <c r="AM11" s="46"/>
      <c r="AN11" s="118" t="s">
        <v>498</v>
      </c>
      <c r="AO11" s="46"/>
      <c r="AP11" s="118" t="s">
        <v>499</v>
      </c>
      <c r="AQ11" s="46"/>
      <c r="AR11" s="118" t="s">
        <v>500</v>
      </c>
      <c r="AS11" s="46"/>
      <c r="AT11" s="118" t="s">
        <v>498</v>
      </c>
      <c r="AU11" s="46"/>
      <c r="AV11" s="118" t="s">
        <v>496</v>
      </c>
      <c r="AW11" s="46"/>
      <c r="AX11" s="118" t="s">
        <v>495</v>
      </c>
      <c r="AY11" s="46"/>
      <c r="AZ11" s="118" t="s">
        <v>495</v>
      </c>
      <c r="BA11" s="46"/>
    </row>
    <row r="12">
      <c r="A12" s="121" t="s">
        <v>501</v>
      </c>
      <c r="B12" s="122"/>
      <c r="C12" s="75"/>
      <c r="D12" s="75"/>
      <c r="E12" s="75">
        <f>sum(E13:E20)</f>
        <v>720</v>
      </c>
      <c r="F12" s="75"/>
      <c r="G12" s="78">
        <f>sum(G13:G20)</f>
        <v>170</v>
      </c>
      <c r="H12" s="75"/>
      <c r="I12" s="78">
        <f>sum(I13:I20)</f>
        <v>170</v>
      </c>
      <c r="J12" s="75"/>
      <c r="K12" s="78">
        <f>sum(K13:K20)</f>
        <v>170</v>
      </c>
      <c r="L12" s="75"/>
      <c r="M12" s="78">
        <f>sum(M13:M20)</f>
        <v>170</v>
      </c>
      <c r="N12" s="75"/>
      <c r="O12" s="78">
        <f>sum(O13:O20)</f>
        <v>170</v>
      </c>
      <c r="P12" s="75"/>
      <c r="Q12" s="78">
        <f>sum(Q13:Q20)</f>
        <v>170</v>
      </c>
      <c r="R12" s="75"/>
      <c r="S12" s="78">
        <f>sum(S13:S20)</f>
        <v>170</v>
      </c>
      <c r="T12" s="75"/>
      <c r="U12" s="78">
        <f>sum(U13:U20)</f>
        <v>170</v>
      </c>
      <c r="V12" s="75"/>
      <c r="W12" s="78">
        <f>sum(W13:W20)</f>
        <v>170</v>
      </c>
      <c r="X12" s="75"/>
      <c r="Y12" s="78">
        <f>sum(Y13:Y20)</f>
        <v>170</v>
      </c>
      <c r="Z12" s="75"/>
      <c r="AA12" s="78">
        <f>sum(AA13:AA20)</f>
        <v>170</v>
      </c>
      <c r="AB12" s="75"/>
      <c r="AC12" s="78">
        <f>sum(AC13:AC20)</f>
        <v>170</v>
      </c>
      <c r="AD12" s="75"/>
      <c r="AE12" s="78">
        <f>sum(AE13:AE20)</f>
        <v>360</v>
      </c>
      <c r="AF12" s="75"/>
      <c r="AG12" s="78">
        <f>sum(AG13:AG20)</f>
        <v>170</v>
      </c>
      <c r="AH12" s="75"/>
      <c r="AI12" s="78">
        <f>sum(AI13:AI20)</f>
        <v>170</v>
      </c>
      <c r="AJ12" s="75"/>
      <c r="AK12" s="78">
        <f>sum(AK13:AK20)</f>
        <v>170</v>
      </c>
      <c r="AL12" s="75"/>
      <c r="AM12" s="78">
        <f>sum(AM13:AM20)</f>
        <v>360</v>
      </c>
      <c r="AN12" s="75"/>
      <c r="AO12" s="78">
        <f>sum(AO13:AO20)</f>
        <v>360</v>
      </c>
      <c r="AP12" s="75"/>
      <c r="AQ12" s="78">
        <f>sum(AQ13:AQ20)</f>
        <v>360</v>
      </c>
      <c r="AR12" s="75"/>
      <c r="AS12" s="78">
        <f>sum(AS13:AS20)</f>
        <v>360</v>
      </c>
      <c r="AT12" s="75"/>
      <c r="AU12" s="78">
        <f>sum(AU13:AU20)</f>
        <v>360</v>
      </c>
      <c r="AV12" s="75"/>
      <c r="AW12" s="78">
        <f>sum(AW13:AW20)</f>
        <v>360</v>
      </c>
      <c r="AX12" s="75"/>
      <c r="AY12" s="78">
        <f>sum(AY13:AY20)</f>
        <v>360</v>
      </c>
      <c r="AZ12" s="75"/>
      <c r="BA12" s="78">
        <f>sum(BA13:BA20)</f>
        <v>360</v>
      </c>
    </row>
    <row r="13" outlineLevel="1">
      <c r="A13" s="37" t="s">
        <v>513</v>
      </c>
      <c r="B13" s="46"/>
      <c r="C13" s="46"/>
      <c r="D13" s="17" t="s">
        <v>149</v>
      </c>
      <c r="E13" s="46">
        <f>IF((ISBLANK(D13)),"",Trained)</f>
        <v>10</v>
      </c>
      <c r="F13" s="118" t="s">
        <v>149</v>
      </c>
      <c r="G13" s="95">
        <f>IF((ISBLANK(F13)),"",Trained)</f>
        <v>10</v>
      </c>
      <c r="H13" s="118" t="s">
        <v>149</v>
      </c>
      <c r="I13" s="95">
        <f>IF((ISBLANK(H13)),"",Trained)</f>
        <v>10</v>
      </c>
      <c r="J13" s="118" t="s">
        <v>149</v>
      </c>
      <c r="K13" s="95">
        <f>IF((ISBLANK(J13)),"",Trained)</f>
        <v>10</v>
      </c>
      <c r="L13" s="118" t="s">
        <v>149</v>
      </c>
      <c r="M13" s="95">
        <f>IF((ISBLANK(L13)),"",Trained)</f>
        <v>10</v>
      </c>
      <c r="N13" s="118" t="s">
        <v>149</v>
      </c>
      <c r="O13" s="95">
        <f>IF((ISBLANK(N13)),"",Trained)</f>
        <v>10</v>
      </c>
      <c r="P13" s="118" t="s">
        <v>149</v>
      </c>
      <c r="Q13" s="95">
        <f>IF((ISBLANK(P13)),"",Trained)</f>
        <v>10</v>
      </c>
      <c r="R13" s="118" t="s">
        <v>149</v>
      </c>
      <c r="S13" s="95">
        <f>IF((ISBLANK(R13)),"",Trained)</f>
        <v>10</v>
      </c>
      <c r="T13" s="118" t="s">
        <v>149</v>
      </c>
      <c r="U13" s="95">
        <f>IF((ISBLANK(T13)),"",Trained)</f>
        <v>10</v>
      </c>
      <c r="V13" s="118" t="s">
        <v>149</v>
      </c>
      <c r="W13" s="95">
        <f>IF((ISBLANK(V13)),"",Trained)</f>
        <v>10</v>
      </c>
      <c r="X13" s="118" t="s">
        <v>149</v>
      </c>
      <c r="Y13" s="95">
        <f>IF((ISBLANK(X13)),"",Trained)</f>
        <v>10</v>
      </c>
      <c r="Z13" s="118" t="s">
        <v>149</v>
      </c>
      <c r="AA13" s="95">
        <f>IF((ISBLANK(Z13)),"",Trained)</f>
        <v>10</v>
      </c>
      <c r="AB13" s="118" t="s">
        <v>149</v>
      </c>
      <c r="AC13" s="95">
        <f>IF((ISBLANK(AB13)),"",Trained)</f>
        <v>10</v>
      </c>
      <c r="AD13" s="118" t="s">
        <v>149</v>
      </c>
      <c r="AE13" s="95">
        <f>IF((ISBLANK(AD13)),"",Trained)</f>
        <v>10</v>
      </c>
      <c r="AF13" s="118"/>
      <c r="AG13" s="46" t="str">
        <f>IF((ISBLANK(AF13)),"",Trained)</f>
        <v/>
      </c>
      <c r="AH13" s="118"/>
      <c r="AI13" s="46" t="str">
        <f>IF((ISBLANK(AH13)),"",Trained)</f>
        <v/>
      </c>
      <c r="AJ13" s="118"/>
      <c r="AK13" s="46" t="str">
        <f>IF((ISBLANK(AJ13)),"",Trained)</f>
        <v/>
      </c>
      <c r="AL13" s="118"/>
      <c r="AM13" s="46" t="str">
        <f>IF((ISBLANK(AL13)),"",Trained)</f>
        <v/>
      </c>
      <c r="AN13" s="118"/>
      <c r="AO13" s="46" t="str">
        <f>IF((ISBLANK(AN13)),"",Trained)</f>
        <v/>
      </c>
      <c r="AP13" s="118"/>
      <c r="AQ13" s="46" t="str">
        <f>IF((ISBLANK(AP13)),"",Trained)</f>
        <v/>
      </c>
      <c r="AR13" s="118"/>
      <c r="AS13" s="46" t="str">
        <f>IF((ISBLANK(AR13)),"",Trained)</f>
        <v/>
      </c>
      <c r="AT13" s="118"/>
      <c r="AU13" s="46" t="str">
        <f>IF((ISBLANK(AT13)),"",Trained)</f>
        <v/>
      </c>
      <c r="AV13" s="118"/>
      <c r="AW13" s="46" t="str">
        <f>IF((ISBLANK(AV13)),"",Trained)</f>
        <v/>
      </c>
      <c r="AX13" s="118"/>
      <c r="AY13" s="46" t="str">
        <f>IF((ISBLANK(AX13)),"",Trained)</f>
        <v/>
      </c>
      <c r="AZ13" s="118"/>
      <c r="BA13" s="46" t="str">
        <f>IF((ISBLANK(AZ13)),"",Trained)</f>
        <v/>
      </c>
    </row>
    <row r="14" outlineLevel="1">
      <c r="A14" s="37" t="s">
        <v>530</v>
      </c>
      <c r="B14" s="46"/>
      <c r="C14" s="35"/>
      <c r="D14" s="17" t="s">
        <v>151</v>
      </c>
      <c r="E14" s="46">
        <f>IF((ISBLANK(D14)),"",Expert)</f>
        <v>50</v>
      </c>
      <c r="F14" s="118" t="s">
        <v>157</v>
      </c>
      <c r="G14" s="95">
        <f>IF((ISBLANK(F14)),"",Expert)</f>
        <v>50</v>
      </c>
      <c r="H14" s="118" t="s">
        <v>157</v>
      </c>
      <c r="I14" s="95">
        <f>IF((ISBLANK(H14)),"",Expert)</f>
        <v>50</v>
      </c>
      <c r="J14" s="118" t="s">
        <v>159</v>
      </c>
      <c r="K14" s="95">
        <f>IF((ISBLANK(J14)),"",Expert)</f>
        <v>50</v>
      </c>
      <c r="L14" s="118" t="s">
        <v>159</v>
      </c>
      <c r="M14" s="95">
        <f>IF((ISBLANK(L14)),"",Expert)</f>
        <v>50</v>
      </c>
      <c r="N14" s="118" t="s">
        <v>157</v>
      </c>
      <c r="O14" s="95">
        <f>IF((ISBLANK(N14)),"",Expert)</f>
        <v>50</v>
      </c>
      <c r="P14" s="118" t="s">
        <v>159</v>
      </c>
      <c r="Q14" s="95">
        <f>IF((ISBLANK(P14)),"",Expert)</f>
        <v>50</v>
      </c>
      <c r="R14" s="118" t="s">
        <v>159</v>
      </c>
      <c r="S14" s="95">
        <f>IF((ISBLANK(R14)),"",Expert)</f>
        <v>50</v>
      </c>
      <c r="T14" s="118" t="s">
        <v>157</v>
      </c>
      <c r="U14" s="95">
        <f>IF((ISBLANK(T14)),"",Expert)</f>
        <v>50</v>
      </c>
      <c r="V14" s="118" t="s">
        <v>157</v>
      </c>
      <c r="W14" s="95">
        <f>IF((ISBLANK(V14)),"",Expert)</f>
        <v>50</v>
      </c>
      <c r="X14" s="118" t="s">
        <v>157</v>
      </c>
      <c r="Y14" s="95">
        <f>IF((ISBLANK(X14)),"",Expert)</f>
        <v>50</v>
      </c>
      <c r="Z14" s="118" t="s">
        <v>157</v>
      </c>
      <c r="AA14" s="95">
        <f>IF((ISBLANK(Z14)),"",Expert)</f>
        <v>50</v>
      </c>
      <c r="AB14" s="118" t="s">
        <v>157</v>
      </c>
      <c r="AC14" s="95">
        <f>IF((ISBLANK(AB14)),"",Expert)</f>
        <v>50</v>
      </c>
      <c r="AD14" s="118" t="s">
        <v>155</v>
      </c>
      <c r="AE14" s="95">
        <f>IF((ISBLANK(AD14)),"",Expert)</f>
        <v>50</v>
      </c>
      <c r="AF14" s="118"/>
      <c r="AG14" s="46" t="str">
        <f>IF((ISBLANK(AF14)),"",Expert)</f>
        <v/>
      </c>
      <c r="AH14" s="118"/>
      <c r="AI14" s="46" t="str">
        <f>IF((ISBLANK(AH14)),"",Expert)</f>
        <v/>
      </c>
      <c r="AJ14" s="118"/>
      <c r="AK14" s="46" t="str">
        <f>IF((ISBLANK(AJ14)),"",Expert)</f>
        <v/>
      </c>
      <c r="AL14" s="118"/>
      <c r="AM14" s="46" t="str">
        <f>IF((ISBLANK(AL14)),"",Expert)</f>
        <v/>
      </c>
      <c r="AN14" s="118"/>
      <c r="AO14" s="46" t="str">
        <f>IF((ISBLANK(AN14)),"",Expert)</f>
        <v/>
      </c>
      <c r="AP14" s="118"/>
      <c r="AQ14" s="46" t="str">
        <f>IF((ISBLANK(AP14)),"",Expert)</f>
        <v/>
      </c>
      <c r="AR14" s="118"/>
      <c r="AS14" s="46" t="str">
        <f>IF((ISBLANK(AR14)),"",Expert)</f>
        <v/>
      </c>
      <c r="AT14" s="118"/>
      <c r="AU14" s="46" t="str">
        <f>IF((ISBLANK(AT14)),"",Expert)</f>
        <v/>
      </c>
      <c r="AV14" s="118"/>
      <c r="AW14" s="46" t="str">
        <f>IF((ISBLANK(AV14)),"",Expert)</f>
        <v/>
      </c>
      <c r="AX14" s="118"/>
      <c r="AY14" s="46" t="str">
        <f>IF((ISBLANK(AX14)),"",Expert)</f>
        <v/>
      </c>
      <c r="AZ14" s="118"/>
      <c r="BA14" s="46" t="str">
        <f>IF((ISBLANK(AZ14)),"",Expert)</f>
        <v/>
      </c>
    </row>
    <row r="15" outlineLevel="1">
      <c r="A15" s="37" t="s">
        <v>544</v>
      </c>
      <c r="B15" s="46"/>
      <c r="C15" s="35"/>
      <c r="D15" s="17" t="s">
        <v>153</v>
      </c>
      <c r="E15" s="46">
        <f>IF((ISBLANK(D15)),"",Master)</f>
        <v>110</v>
      </c>
      <c r="F15" s="118" t="s">
        <v>165</v>
      </c>
      <c r="G15" s="95">
        <f>IF((ISBLANK(F15)),"",Master)</f>
        <v>110</v>
      </c>
      <c r="H15" s="118" t="s">
        <v>165</v>
      </c>
      <c r="I15" s="95">
        <f>IF((ISBLANK(H15)),"",Master)</f>
        <v>110</v>
      </c>
      <c r="J15" s="118" t="s">
        <v>167</v>
      </c>
      <c r="K15" s="95">
        <f>IF((ISBLANK(J15)),"",Master)</f>
        <v>110</v>
      </c>
      <c r="L15" s="118" t="s">
        <v>167</v>
      </c>
      <c r="M15" s="95">
        <f>IF((ISBLANK(L15)),"",Master)</f>
        <v>110</v>
      </c>
      <c r="N15" s="118" t="s">
        <v>165</v>
      </c>
      <c r="O15" s="95">
        <f>IF((ISBLANK(N15)),"",Master)</f>
        <v>110</v>
      </c>
      <c r="P15" s="118" t="s">
        <v>167</v>
      </c>
      <c r="Q15" s="95">
        <f>IF((ISBLANK(P15)),"",Master)</f>
        <v>110</v>
      </c>
      <c r="R15" s="118" t="s">
        <v>167</v>
      </c>
      <c r="S15" s="95">
        <f>IF((ISBLANK(R15)),"",Master)</f>
        <v>110</v>
      </c>
      <c r="T15" s="118" t="s">
        <v>165</v>
      </c>
      <c r="U15" s="95">
        <f>IF((ISBLANK(T15)),"",Master)</f>
        <v>110</v>
      </c>
      <c r="V15" s="118" t="s">
        <v>167</v>
      </c>
      <c r="W15" s="95">
        <f>IF((ISBLANK(V15)),"",Master)</f>
        <v>110</v>
      </c>
      <c r="X15" s="118" t="s">
        <v>165</v>
      </c>
      <c r="Y15" s="95">
        <f>IF((ISBLANK(X15)),"",Master)</f>
        <v>110</v>
      </c>
      <c r="Z15" s="118" t="s">
        <v>165</v>
      </c>
      <c r="AA15" s="95">
        <f>IF((ISBLANK(Z15)),"",Master)</f>
        <v>110</v>
      </c>
      <c r="AB15" s="118" t="s">
        <v>165</v>
      </c>
      <c r="AC15" s="95">
        <f>IF((ISBLANK(AB15)),"",Master)</f>
        <v>110</v>
      </c>
      <c r="AD15" s="118" t="s">
        <v>163</v>
      </c>
      <c r="AE15" s="95">
        <f>IF((ISBLANK(AD15)),"",Master)</f>
        <v>110</v>
      </c>
      <c r="AF15" s="118"/>
      <c r="AG15" s="46" t="str">
        <f>IF((ISBLANK(AF15)),"",Master)</f>
        <v/>
      </c>
      <c r="AH15" s="118"/>
      <c r="AI15" s="46" t="str">
        <f>IF((ISBLANK(AH15)),"",Master)</f>
        <v/>
      </c>
      <c r="AJ15" s="118"/>
      <c r="AK15" s="46" t="str">
        <f>IF((ISBLANK(AJ15)),"",Master)</f>
        <v/>
      </c>
      <c r="AL15" s="118"/>
      <c r="AM15" s="46" t="str">
        <f>IF((ISBLANK(AL15)),"",Master)</f>
        <v/>
      </c>
      <c r="AN15" s="118"/>
      <c r="AO15" s="46" t="str">
        <f>IF((ISBLANK(AN15)),"",Master)</f>
        <v/>
      </c>
      <c r="AP15" s="118"/>
      <c r="AQ15" s="46" t="str">
        <f>IF((ISBLANK(AP15)),"",Master)</f>
        <v/>
      </c>
      <c r="AR15" s="118"/>
      <c r="AS15" s="46" t="str">
        <f>IF((ISBLANK(AR15)),"",Master)</f>
        <v/>
      </c>
      <c r="AT15" s="118"/>
      <c r="AU15" s="46" t="str">
        <f>IF((ISBLANK(AT15)),"",Master)</f>
        <v/>
      </c>
      <c r="AV15" s="118"/>
      <c r="AW15" s="46" t="str">
        <f>IF((ISBLANK(AV15)),"",Master)</f>
        <v/>
      </c>
      <c r="AX15" s="118"/>
      <c r="AY15" s="46" t="str">
        <f>IF((ISBLANK(AX15)),"",Master)</f>
        <v/>
      </c>
      <c r="AZ15" s="118"/>
      <c r="BA15" s="46" t="str">
        <f>IF((ISBLANK(AZ15)),"",Master)</f>
        <v/>
      </c>
    </row>
    <row r="16" outlineLevel="1">
      <c r="A16" s="37" t="s">
        <v>561</v>
      </c>
      <c r="B16" s="46"/>
      <c r="C16" s="35"/>
      <c r="D16" s="17" t="s">
        <v>155</v>
      </c>
      <c r="E16" s="46">
        <f>IF((ISBLANK(D16)),"",Legendary)</f>
        <v>190</v>
      </c>
      <c r="F16" s="118"/>
      <c r="G16" s="46" t="str">
        <f>IF((ISBLANK(F16)),"",Legendary)</f>
        <v/>
      </c>
      <c r="H16" s="118"/>
      <c r="I16" s="46" t="str">
        <f>IF((ISBLANK(H16)),"",Legendary)</f>
        <v/>
      </c>
      <c r="J16" s="118"/>
      <c r="K16" s="46" t="str">
        <f>IF((ISBLANK(J16)),"",Legendary)</f>
        <v/>
      </c>
      <c r="L16" s="118"/>
      <c r="M16" s="46" t="str">
        <f>IF((ISBLANK(L16)),"",Legendary)</f>
        <v/>
      </c>
      <c r="N16" s="118"/>
      <c r="O16" s="46" t="str">
        <f>IF((ISBLANK(N16)),"",Legendary)</f>
        <v/>
      </c>
      <c r="P16" s="118"/>
      <c r="Q16" s="46" t="str">
        <f>IF((ISBLANK(P16)),"",Legendary)</f>
        <v/>
      </c>
      <c r="R16" s="118"/>
      <c r="S16" s="46" t="str">
        <f>IF((ISBLANK(R16)),"",Legendary)</f>
        <v/>
      </c>
      <c r="T16" s="118"/>
      <c r="U16" s="46" t="str">
        <f>IF((ISBLANK(T16)),"",Legendary)</f>
        <v/>
      </c>
      <c r="V16" s="118"/>
      <c r="W16" s="46" t="str">
        <f>IF((ISBLANK(V16)),"",Legendary)</f>
        <v/>
      </c>
      <c r="X16" s="118"/>
      <c r="Y16" s="46" t="str">
        <f>IF((ISBLANK(X16)),"",Legendary)</f>
        <v/>
      </c>
      <c r="Z16" s="118"/>
      <c r="AA16" s="46" t="str">
        <f>IF((ISBLANK(Z16)),"",Legendary)</f>
        <v/>
      </c>
      <c r="AB16" s="118"/>
      <c r="AC16" s="46" t="str">
        <f>IF((ISBLANK(AB16)),"",Legendary)</f>
        <v/>
      </c>
      <c r="AD16" s="118" t="s">
        <v>167</v>
      </c>
      <c r="AE16" s="95">
        <f>IF((ISBLANK(AD16)),"",Legendary)</f>
        <v>190</v>
      </c>
      <c r="AF16" s="118"/>
      <c r="AG16" s="46" t="str">
        <f>IF((ISBLANK(AF16)),"",Legendary)</f>
        <v/>
      </c>
      <c r="AH16" s="118"/>
      <c r="AI16" s="46" t="str">
        <f>IF((ISBLANK(AH16)),"",Legendary)</f>
        <v/>
      </c>
      <c r="AJ16" s="118"/>
      <c r="AK16" s="46" t="str">
        <f>IF((ISBLANK(AJ16)),"",Legendary)</f>
        <v/>
      </c>
      <c r="AL16" s="118"/>
      <c r="AM16" s="46" t="str">
        <f>IF((ISBLANK(AL16)),"",Legendary)</f>
        <v/>
      </c>
      <c r="AN16" s="118"/>
      <c r="AO16" s="46" t="str">
        <f>IF((ISBLANK(AN16)),"",Legendary)</f>
        <v/>
      </c>
      <c r="AP16" s="118"/>
      <c r="AQ16" s="46" t="str">
        <f>IF((ISBLANK(AP16)),"",Legendary)</f>
        <v/>
      </c>
      <c r="AR16" s="118"/>
      <c r="AS16" s="46" t="str">
        <f>IF((ISBLANK(AR16)),"",Legendary)</f>
        <v/>
      </c>
      <c r="AT16" s="118"/>
      <c r="AU16" s="46" t="str">
        <f>IF((ISBLANK(AT16)),"",Legendary)</f>
        <v/>
      </c>
      <c r="AV16" s="118"/>
      <c r="AW16" s="46" t="str">
        <f>IF((ISBLANK(AV16)),"",Legendary)</f>
        <v/>
      </c>
      <c r="AX16" s="118"/>
      <c r="AY16" s="46" t="str">
        <f>IF((ISBLANK(AX16)),"",Legendary)</f>
        <v/>
      </c>
      <c r="AZ16" s="118"/>
      <c r="BA16" s="46" t="str">
        <f>IF((ISBLANK(AZ16)),"",Legendary)</f>
        <v/>
      </c>
    </row>
    <row r="17" outlineLevel="1">
      <c r="A17" s="37" t="s">
        <v>582</v>
      </c>
      <c r="B17" s="46"/>
      <c r="C17" s="35"/>
      <c r="D17" s="17" t="s">
        <v>149</v>
      </c>
      <c r="E17" s="46">
        <f>IF((ISBLANK(D17)),"",Trained)</f>
        <v>10</v>
      </c>
      <c r="F17" s="118"/>
      <c r="G17" s="46" t="str">
        <f>IF((ISBLANK(F17)),"",Trained)</f>
        <v/>
      </c>
      <c r="H17" s="118"/>
      <c r="I17" s="46" t="str">
        <f>IF((ISBLANK(H17)),"",Trained)</f>
        <v/>
      </c>
      <c r="J17" s="118"/>
      <c r="K17" s="46" t="str">
        <f>IF((ISBLANK(J17)),"",Trained)</f>
        <v/>
      </c>
      <c r="L17" s="118"/>
      <c r="M17" s="46" t="str">
        <f>IF((ISBLANK(L17)),"",Trained)</f>
        <v/>
      </c>
      <c r="N17" s="118"/>
      <c r="O17" s="46" t="str">
        <f>IF((ISBLANK(N17)),"",Trained)</f>
        <v/>
      </c>
      <c r="P17" s="118"/>
      <c r="Q17" s="46" t="str">
        <f>IF((ISBLANK(P17)),"",Trained)</f>
        <v/>
      </c>
      <c r="R17" s="118"/>
      <c r="S17" s="46" t="str">
        <f>IF((ISBLANK(R17)),"",Trained)</f>
        <v/>
      </c>
      <c r="T17" s="118"/>
      <c r="U17" s="46" t="str">
        <f>IF((ISBLANK(T17)),"",Trained)</f>
        <v/>
      </c>
      <c r="V17" s="118"/>
      <c r="W17" s="46" t="str">
        <f>IF((ISBLANK(V17)),"",Trained)</f>
        <v/>
      </c>
      <c r="X17" s="118"/>
      <c r="Y17" s="46" t="str">
        <f>IF((ISBLANK(X17)),"",Trained)</f>
        <v/>
      </c>
      <c r="Z17" s="118"/>
      <c r="AA17" s="46" t="str">
        <f>IF((ISBLANK(Z17)),"",Trained)</f>
        <v/>
      </c>
      <c r="AB17" s="118"/>
      <c r="AC17" s="46" t="str">
        <f>IF((ISBLANK(AB17)),"",Trained)</f>
        <v/>
      </c>
      <c r="AD17" s="118"/>
      <c r="AE17" s="46" t="str">
        <f>IF((ISBLANK(AD17)),"",Trained)</f>
        <v/>
      </c>
      <c r="AF17" s="118" t="s">
        <v>149</v>
      </c>
      <c r="AG17" s="95">
        <f>IF((ISBLANK(AF17)),"",Trained)</f>
        <v>10</v>
      </c>
      <c r="AH17" s="118" t="s">
        <v>149</v>
      </c>
      <c r="AI17" s="95">
        <f>IF((ISBLANK(AH17)),"",Trained)</f>
        <v>10</v>
      </c>
      <c r="AJ17" s="118" t="s">
        <v>149</v>
      </c>
      <c r="AK17" s="95">
        <f>IF((ISBLANK(AJ17)),"",Trained)</f>
        <v>10</v>
      </c>
      <c r="AL17" s="118" t="s">
        <v>149</v>
      </c>
      <c r="AM17" s="95">
        <f>IF((ISBLANK(AL17)),"",Trained)</f>
        <v>10</v>
      </c>
      <c r="AN17" s="118" t="s">
        <v>149</v>
      </c>
      <c r="AO17" s="95">
        <f>IF((ISBLANK(AN17)),"",Trained)</f>
        <v>10</v>
      </c>
      <c r="AP17" s="118" t="s">
        <v>149</v>
      </c>
      <c r="AQ17" s="95">
        <f>IF((ISBLANK(AP17)),"",Trained)</f>
        <v>10</v>
      </c>
      <c r="AR17" s="118" t="s">
        <v>149</v>
      </c>
      <c r="AS17" s="95">
        <f>IF((ISBLANK(AR17)),"",Trained)</f>
        <v>10</v>
      </c>
      <c r="AT17" s="118" t="s">
        <v>149</v>
      </c>
      <c r="AU17" s="95">
        <f>IF((ISBLANK(AT17)),"",Trained)</f>
        <v>10</v>
      </c>
      <c r="AV17" s="118" t="s">
        <v>149</v>
      </c>
      <c r="AW17" s="95">
        <f>IF((ISBLANK(AV17)),"",Trained)</f>
        <v>10</v>
      </c>
      <c r="AX17" s="118" t="s">
        <v>149</v>
      </c>
      <c r="AY17" s="95">
        <f>IF((ISBLANK(AX17)),"",Trained)</f>
        <v>10</v>
      </c>
      <c r="AZ17" s="118" t="s">
        <v>149</v>
      </c>
      <c r="BA17" s="95">
        <f>IF((ISBLANK(AZ17)),"",Trained)</f>
        <v>10</v>
      </c>
    </row>
    <row r="18" outlineLevel="1">
      <c r="A18" s="37" t="s">
        <v>586</v>
      </c>
      <c r="B18" s="46"/>
      <c r="C18" s="35"/>
      <c r="D18" s="17" t="s">
        <v>151</v>
      </c>
      <c r="E18" s="46">
        <f>IF((ISBLANK(D18)),"",Expert)</f>
        <v>50</v>
      </c>
      <c r="F18" s="118"/>
      <c r="G18" s="46" t="str">
        <f>IF((ISBLANK(F18)),"",Expert)</f>
        <v/>
      </c>
      <c r="H18" s="118"/>
      <c r="I18" s="46" t="str">
        <f>IF((ISBLANK(H18)),"",Expert)</f>
        <v/>
      </c>
      <c r="J18" s="118"/>
      <c r="K18" s="46" t="str">
        <f>IF((ISBLANK(J18)),"",Expert)</f>
        <v/>
      </c>
      <c r="L18" s="118"/>
      <c r="M18" s="46" t="str">
        <f>IF((ISBLANK(L18)),"",Expert)</f>
        <v/>
      </c>
      <c r="N18" s="118"/>
      <c r="O18" s="46" t="str">
        <f>IF((ISBLANK(N18)),"",Expert)</f>
        <v/>
      </c>
      <c r="P18" s="118"/>
      <c r="Q18" s="46" t="str">
        <f>IF((ISBLANK(P18)),"",Expert)</f>
        <v/>
      </c>
      <c r="R18" s="118"/>
      <c r="S18" s="46" t="str">
        <f>IF((ISBLANK(R18)),"",Expert)</f>
        <v/>
      </c>
      <c r="T18" s="118"/>
      <c r="U18" s="46" t="str">
        <f>IF((ISBLANK(T18)),"",Expert)</f>
        <v/>
      </c>
      <c r="V18" s="118"/>
      <c r="W18" s="46" t="str">
        <f>IF((ISBLANK(V18)),"",Expert)</f>
        <v/>
      </c>
      <c r="X18" s="118"/>
      <c r="Y18" s="46" t="str">
        <f>IF((ISBLANK(X18)),"",Expert)</f>
        <v/>
      </c>
      <c r="Z18" s="118"/>
      <c r="AA18" s="46" t="str">
        <f>IF((ISBLANK(Z18)),"",Expert)</f>
        <v/>
      </c>
      <c r="AB18" s="118"/>
      <c r="AC18" s="46" t="str">
        <f>IF((ISBLANK(AB18)),"",Expert)</f>
        <v/>
      </c>
      <c r="AD18" s="118"/>
      <c r="AE18" s="46" t="str">
        <f>IF((ISBLANK(AD18)),"",Expert)</f>
        <v/>
      </c>
      <c r="AF18" s="118" t="s">
        <v>157</v>
      </c>
      <c r="AG18" s="95">
        <f>IF((ISBLANK(AF18)),"",Expert)</f>
        <v>50</v>
      </c>
      <c r="AH18" s="118" t="s">
        <v>157</v>
      </c>
      <c r="AI18" s="95">
        <f>IF((ISBLANK(AH18)),"",Expert)</f>
        <v>50</v>
      </c>
      <c r="AJ18" s="118" t="s">
        <v>159</v>
      </c>
      <c r="AK18" s="95">
        <f>IF((ISBLANK(AJ18)),"",Expert)</f>
        <v>50</v>
      </c>
      <c r="AL18" s="118" t="s">
        <v>155</v>
      </c>
      <c r="AM18" s="95">
        <f>IF((ISBLANK(AL18)),"",Expert)</f>
        <v>50</v>
      </c>
      <c r="AN18" s="118" t="s">
        <v>155</v>
      </c>
      <c r="AO18" s="95">
        <f>IF((ISBLANK(AN18)),"",Expert)</f>
        <v>50</v>
      </c>
      <c r="AP18" s="118" t="s">
        <v>155</v>
      </c>
      <c r="AQ18" s="95">
        <f>IF((ISBLANK(AP18)),"",Expert)</f>
        <v>50</v>
      </c>
      <c r="AR18" s="118" t="s">
        <v>155</v>
      </c>
      <c r="AS18" s="95">
        <f>IF((ISBLANK(AR18)),"",Expert)</f>
        <v>50</v>
      </c>
      <c r="AT18" s="118" t="s">
        <v>155</v>
      </c>
      <c r="AU18" s="95">
        <f>IF((ISBLANK(AT18)),"",Expert)</f>
        <v>50</v>
      </c>
      <c r="AV18" s="118" t="s">
        <v>155</v>
      </c>
      <c r="AW18" s="95">
        <f>IF((ISBLANK(AV18)),"",Expert)</f>
        <v>50</v>
      </c>
      <c r="AX18" s="118" t="s">
        <v>155</v>
      </c>
      <c r="AY18" s="95">
        <f>IF((ISBLANK(AX18)),"",Expert)</f>
        <v>50</v>
      </c>
      <c r="AZ18" s="118" t="s">
        <v>155</v>
      </c>
      <c r="BA18" s="95">
        <f>IF((ISBLANK(AZ18)),"",Expert)</f>
        <v>50</v>
      </c>
    </row>
    <row r="19" outlineLevel="1">
      <c r="A19" s="37" t="s">
        <v>604</v>
      </c>
      <c r="B19" s="46"/>
      <c r="C19" s="35"/>
      <c r="D19" s="17" t="s">
        <v>153</v>
      </c>
      <c r="E19" s="46">
        <f>IF((ISBLANK(D19)),"",Master)</f>
        <v>110</v>
      </c>
      <c r="F19" s="118"/>
      <c r="G19" s="46" t="str">
        <f>IF((ISBLANK(F19)),"",Master)</f>
        <v/>
      </c>
      <c r="H19" s="118"/>
      <c r="I19" s="46" t="str">
        <f>IF((ISBLANK(H19)),"",Master)</f>
        <v/>
      </c>
      <c r="J19" s="118"/>
      <c r="K19" s="46" t="str">
        <f>IF((ISBLANK(J19)),"",Master)</f>
        <v/>
      </c>
      <c r="L19" s="118"/>
      <c r="M19" s="46" t="str">
        <f>IF((ISBLANK(L19)),"",Master)</f>
        <v/>
      </c>
      <c r="N19" s="118"/>
      <c r="O19" s="46" t="str">
        <f>IF((ISBLANK(N19)),"",Master)</f>
        <v/>
      </c>
      <c r="P19" s="118"/>
      <c r="Q19" s="46" t="str">
        <f>IF((ISBLANK(P19)),"",Master)</f>
        <v/>
      </c>
      <c r="R19" s="118"/>
      <c r="S19" s="46" t="str">
        <f>IF((ISBLANK(R19)),"",Master)</f>
        <v/>
      </c>
      <c r="T19" s="118"/>
      <c r="U19" s="46" t="str">
        <f>IF((ISBLANK(T19)),"",Master)</f>
        <v/>
      </c>
      <c r="V19" s="118"/>
      <c r="W19" s="46" t="str">
        <f>IF((ISBLANK(V19)),"",Master)</f>
        <v/>
      </c>
      <c r="X19" s="118"/>
      <c r="Y19" s="46" t="str">
        <f>IF((ISBLANK(X19)),"",Master)</f>
        <v/>
      </c>
      <c r="Z19" s="118"/>
      <c r="AA19" s="46" t="str">
        <f>IF((ISBLANK(Z19)),"",Master)</f>
        <v/>
      </c>
      <c r="AB19" s="118"/>
      <c r="AC19" s="46" t="str">
        <f>IF((ISBLANK(AB19)),"",Master)</f>
        <v/>
      </c>
      <c r="AD19" s="118"/>
      <c r="AE19" s="46" t="str">
        <f>IF((ISBLANK(AD19)),"",Master)</f>
        <v/>
      </c>
      <c r="AF19" s="118" t="s">
        <v>165</v>
      </c>
      <c r="AG19" s="95">
        <f>IF((ISBLANK(AF19)),"",Master)</f>
        <v>110</v>
      </c>
      <c r="AH19" s="118" t="s">
        <v>165</v>
      </c>
      <c r="AI19" s="95">
        <f>IF((ISBLANK(AH19)),"",Master)</f>
        <v>110</v>
      </c>
      <c r="AJ19" s="118" t="s">
        <v>167</v>
      </c>
      <c r="AK19" s="95">
        <f>IF((ISBLANK(AJ19)),"",Master)</f>
        <v>110</v>
      </c>
      <c r="AL19" s="118" t="s">
        <v>163</v>
      </c>
      <c r="AM19" s="95">
        <f>IF((ISBLANK(AL19)),"",Master)</f>
        <v>110</v>
      </c>
      <c r="AN19" s="118" t="s">
        <v>163</v>
      </c>
      <c r="AO19" s="95">
        <f>IF((ISBLANK(AN19)),"",Master)</f>
        <v>110</v>
      </c>
      <c r="AP19" s="118" t="s">
        <v>163</v>
      </c>
      <c r="AQ19" s="95">
        <f>IF((ISBLANK(AP19)),"",Master)</f>
        <v>110</v>
      </c>
      <c r="AR19" s="118" t="s">
        <v>163</v>
      </c>
      <c r="AS19" s="95">
        <f>IF((ISBLANK(AR19)),"",Master)</f>
        <v>110</v>
      </c>
      <c r="AT19" s="118" t="s">
        <v>163</v>
      </c>
      <c r="AU19" s="95">
        <f>IF((ISBLANK(AT19)),"",Master)</f>
        <v>110</v>
      </c>
      <c r="AV19" s="118" t="s">
        <v>163</v>
      </c>
      <c r="AW19" s="95">
        <f>IF((ISBLANK(AV19)),"",Master)</f>
        <v>110</v>
      </c>
      <c r="AX19" s="118" t="s">
        <v>163</v>
      </c>
      <c r="AY19" s="95">
        <f>IF((ISBLANK(AX19)),"",Master)</f>
        <v>110</v>
      </c>
      <c r="AZ19" s="118" t="s">
        <v>163</v>
      </c>
      <c r="BA19" s="95">
        <f>IF((ISBLANK(AZ19)),"",Master)</f>
        <v>110</v>
      </c>
    </row>
    <row r="20" outlineLevel="1">
      <c r="A20" s="37" t="s">
        <v>611</v>
      </c>
      <c r="B20" s="46"/>
      <c r="C20" s="35"/>
      <c r="D20" s="17" t="s">
        <v>155</v>
      </c>
      <c r="E20" s="46">
        <f>IF((ISBLANK(D20)),"",Legendary)</f>
        <v>190</v>
      </c>
      <c r="F20" s="118"/>
      <c r="G20" s="46" t="str">
        <f>IF((ISBLANK(F20)),"",Legendary)</f>
        <v/>
      </c>
      <c r="H20" s="118"/>
      <c r="I20" s="46" t="str">
        <f>IF((ISBLANK(H20)),"",Legendary)</f>
        <v/>
      </c>
      <c r="J20" s="118"/>
      <c r="K20" s="46" t="str">
        <f>IF((ISBLANK(J20)),"",Legendary)</f>
        <v/>
      </c>
      <c r="L20" s="118"/>
      <c r="M20" s="46" t="str">
        <f>IF((ISBLANK(L20)),"",Legendary)</f>
        <v/>
      </c>
      <c r="N20" s="118"/>
      <c r="O20" s="46" t="str">
        <f>IF((ISBLANK(N20)),"",Legendary)</f>
        <v/>
      </c>
      <c r="P20" s="118"/>
      <c r="Q20" s="46" t="str">
        <f>IF((ISBLANK(P20)),"",Legendary)</f>
        <v/>
      </c>
      <c r="R20" s="118"/>
      <c r="S20" s="46" t="str">
        <f>IF((ISBLANK(R20)),"",Legendary)</f>
        <v/>
      </c>
      <c r="T20" s="118"/>
      <c r="U20" s="46" t="str">
        <f>IF((ISBLANK(T20)),"",Legendary)</f>
        <v/>
      </c>
      <c r="V20" s="118"/>
      <c r="W20" s="46" t="str">
        <f>IF((ISBLANK(V20)),"",Legendary)</f>
        <v/>
      </c>
      <c r="X20" s="118"/>
      <c r="Y20" s="46" t="str">
        <f>IF((ISBLANK(X20)),"",Legendary)</f>
        <v/>
      </c>
      <c r="Z20" s="118"/>
      <c r="AA20" s="46" t="str">
        <f>IF((ISBLANK(Z20)),"",Legendary)</f>
        <v/>
      </c>
      <c r="AB20" s="118"/>
      <c r="AC20" s="46" t="str">
        <f>IF((ISBLANK(AB20)),"",Legendary)</f>
        <v/>
      </c>
      <c r="AD20" s="118"/>
      <c r="AE20" s="46" t="str">
        <f>IF((ISBLANK(AD20)),"",Legendary)</f>
        <v/>
      </c>
      <c r="AF20" s="118"/>
      <c r="AG20" s="46" t="str">
        <f>IF((ISBLANK(AF20)),"",Legendary)</f>
        <v/>
      </c>
      <c r="AH20" s="118"/>
      <c r="AI20" s="46" t="str">
        <f>IF((ISBLANK(AH20)),"",Legendary)</f>
        <v/>
      </c>
      <c r="AJ20" s="118"/>
      <c r="AK20" s="46" t="str">
        <f>IF((ISBLANK(AJ20)),"",Legendary)</f>
        <v/>
      </c>
      <c r="AL20" s="118" t="s">
        <v>167</v>
      </c>
      <c r="AM20" s="95">
        <f>IF((ISBLANK(AL20)),"",Legendary)</f>
        <v>190</v>
      </c>
      <c r="AN20" s="118" t="s">
        <v>167</v>
      </c>
      <c r="AO20" s="95">
        <f>IF((ISBLANK(AN20)),"",Legendary)</f>
        <v>190</v>
      </c>
      <c r="AP20" s="118" t="s">
        <v>167</v>
      </c>
      <c r="AQ20" s="95">
        <f>IF((ISBLANK(AP20)),"",Legendary)</f>
        <v>190</v>
      </c>
      <c r="AR20" s="118" t="s">
        <v>167</v>
      </c>
      <c r="AS20" s="95">
        <f>IF((ISBLANK(AR20)),"",Legendary)</f>
        <v>190</v>
      </c>
      <c r="AT20" s="118" t="s">
        <v>167</v>
      </c>
      <c r="AU20" s="95">
        <f>IF((ISBLANK(AT20)),"",Legendary)</f>
        <v>190</v>
      </c>
      <c r="AV20" s="118" t="s">
        <v>167</v>
      </c>
      <c r="AW20" s="95">
        <f>IF((ISBLANK(AV20)),"",Legendary)</f>
        <v>190</v>
      </c>
      <c r="AX20" s="118" t="s">
        <v>167</v>
      </c>
      <c r="AY20" s="95">
        <f>IF((ISBLANK(AX20)),"",Legendary)</f>
        <v>190</v>
      </c>
      <c r="AZ20" s="118" t="s">
        <v>167</v>
      </c>
      <c r="BA20" s="95">
        <f>IF((ISBLANK(AZ20)),"",Legendary)</f>
        <v>190</v>
      </c>
    </row>
    <row r="21" collapsed="1">
      <c r="A21" s="121" t="s">
        <v>612</v>
      </c>
      <c r="B21" s="122"/>
      <c r="C21" s="75"/>
      <c r="D21" s="75"/>
      <c r="E21" s="75">
        <f>sum(E22:E25)</f>
        <v>360</v>
      </c>
      <c r="F21" s="75"/>
      <c r="G21" s="78">
        <f>sum(G22:G25)</f>
        <v>60</v>
      </c>
      <c r="H21" s="75"/>
      <c r="I21" s="78">
        <f>sum(I22:I25)</f>
        <v>60</v>
      </c>
      <c r="J21" s="75"/>
      <c r="K21" s="78">
        <f>sum(K22:K25)</f>
        <v>170</v>
      </c>
      <c r="L21" s="75"/>
      <c r="M21" s="78">
        <f>sum(M22:M25)</f>
        <v>170</v>
      </c>
      <c r="N21" s="75"/>
      <c r="O21" s="78">
        <f>sum(O22:O25)</f>
        <v>360</v>
      </c>
      <c r="P21" s="75"/>
      <c r="Q21" s="78">
        <f>sum(Q22:Q25)</f>
        <v>360</v>
      </c>
      <c r="R21" s="75"/>
      <c r="S21" s="78">
        <f>sum(S22:S25)</f>
        <v>360</v>
      </c>
      <c r="T21" s="75"/>
      <c r="U21" s="78">
        <f>sum(U22:U25)</f>
        <v>170</v>
      </c>
      <c r="V21" s="75"/>
      <c r="W21" s="78">
        <f>sum(W22:W25)</f>
        <v>170</v>
      </c>
      <c r="X21" s="75"/>
      <c r="Y21" s="78">
        <f>sum(Y22:Y25)</f>
        <v>360</v>
      </c>
      <c r="Z21" s="75"/>
      <c r="AA21" s="78">
        <f>sum(AA22:AA25)</f>
        <v>60</v>
      </c>
      <c r="AB21" s="75"/>
      <c r="AC21" s="78">
        <f>sum(AC22:AC25)</f>
        <v>60</v>
      </c>
      <c r="AD21" s="75"/>
      <c r="AE21" s="78">
        <f>sum(AE22:AE25)</f>
        <v>60</v>
      </c>
      <c r="AF21" s="75"/>
      <c r="AG21" s="78">
        <f>sum(AG22:AG25)</f>
        <v>60</v>
      </c>
      <c r="AH21" s="75"/>
      <c r="AI21" s="78">
        <f>sum(AI22:AI25)</f>
        <v>60</v>
      </c>
      <c r="AJ21" s="75"/>
      <c r="AK21" s="78">
        <f>sum(AK22:AK25)</f>
        <v>60</v>
      </c>
      <c r="AL21" s="75"/>
      <c r="AM21" s="78">
        <f>sum(AM22:AM25)</f>
        <v>60</v>
      </c>
      <c r="AN21" s="75"/>
      <c r="AO21" s="78">
        <f>sum(AO22:AO25)</f>
        <v>170</v>
      </c>
      <c r="AP21" s="75"/>
      <c r="AQ21" s="78">
        <f>sum(AQ22:AQ25)</f>
        <v>60</v>
      </c>
      <c r="AR21" s="75"/>
      <c r="AS21" s="78">
        <f>sum(AS22:AS25)</f>
        <v>60</v>
      </c>
      <c r="AT21" s="75"/>
      <c r="AU21" s="78">
        <f>sum(AU22:AU25)</f>
        <v>60</v>
      </c>
      <c r="AV21" s="75"/>
      <c r="AW21" s="78">
        <f>sum(AW22:AW25)</f>
        <v>60</v>
      </c>
      <c r="AX21" s="75"/>
      <c r="AY21" s="78">
        <f>sum(AY22:AY25)</f>
        <v>60</v>
      </c>
      <c r="AZ21" s="75"/>
      <c r="BA21" s="78">
        <f>sum(BA22:BA25)</f>
        <v>60</v>
      </c>
    </row>
    <row r="22" hidden="1" outlineLevel="1">
      <c r="A22" s="37" t="s">
        <v>615</v>
      </c>
      <c r="B22" s="46"/>
      <c r="C22" s="46"/>
      <c r="D22" s="17" t="s">
        <v>149</v>
      </c>
      <c r="E22" s="46">
        <f>IF((ISBLANK(D22)),"",Trained)</f>
        <v>10</v>
      </c>
      <c r="F22" s="118" t="s">
        <v>149</v>
      </c>
      <c r="G22" s="95">
        <f>IF((ISBLANK(F22)),"",Trained)</f>
        <v>10</v>
      </c>
      <c r="H22" s="118" t="s">
        <v>149</v>
      </c>
      <c r="I22" s="95">
        <f>IF((ISBLANK(H22)),"",Trained)</f>
        <v>10</v>
      </c>
      <c r="J22" s="118" t="s">
        <v>622</v>
      </c>
      <c r="K22" s="95">
        <f>IF((ISBLANK(J22)),"",Trained)</f>
        <v>10</v>
      </c>
      <c r="L22" s="118" t="s">
        <v>622</v>
      </c>
      <c r="M22" s="95">
        <f>IF((ISBLANK(L22)),"",Trained)</f>
        <v>10</v>
      </c>
      <c r="N22" s="118" t="s">
        <v>622</v>
      </c>
      <c r="O22" s="95">
        <f>IF((ISBLANK(N22)),"",Trained)</f>
        <v>10</v>
      </c>
      <c r="P22" s="118" t="s">
        <v>622</v>
      </c>
      <c r="Q22" s="95">
        <f>IF((ISBLANK(P22)),"",Trained)</f>
        <v>10</v>
      </c>
      <c r="R22" s="118" t="s">
        <v>622</v>
      </c>
      <c r="S22" s="95">
        <f>IF((ISBLANK(R22)),"",Trained)</f>
        <v>10</v>
      </c>
      <c r="T22" s="118" t="s">
        <v>622</v>
      </c>
      <c r="U22" s="95">
        <f>IF((ISBLANK(T22)),"",Trained)</f>
        <v>10</v>
      </c>
      <c r="V22" s="118" t="s">
        <v>622</v>
      </c>
      <c r="W22" s="95">
        <f>IF((ISBLANK(V22)),"",Trained)</f>
        <v>10</v>
      </c>
      <c r="X22" s="118" t="s">
        <v>622</v>
      </c>
      <c r="Y22" s="95">
        <f>IF((ISBLANK(X22)),"",Trained)</f>
        <v>10</v>
      </c>
      <c r="Z22" s="118" t="s">
        <v>149</v>
      </c>
      <c r="AA22" s="95">
        <f>IF((ISBLANK(Z22)),"",Trained)</f>
        <v>10</v>
      </c>
      <c r="AB22" s="118" t="s">
        <v>149</v>
      </c>
      <c r="AC22" s="95">
        <f>IF((ISBLANK(AB22)),"",Trained)</f>
        <v>10</v>
      </c>
      <c r="AD22" s="118" t="s">
        <v>149</v>
      </c>
      <c r="AE22" s="95">
        <f>IF((ISBLANK(AD22)),"",Trained)</f>
        <v>10</v>
      </c>
      <c r="AF22" s="118" t="s">
        <v>149</v>
      </c>
      <c r="AG22" s="95">
        <f>IF((ISBLANK(AF22)),"",Trained)</f>
        <v>10</v>
      </c>
      <c r="AH22" s="118" t="s">
        <v>149</v>
      </c>
      <c r="AI22" s="95">
        <f>IF((ISBLANK(AH22)),"",Trained)</f>
        <v>10</v>
      </c>
      <c r="AJ22" s="118" t="s">
        <v>149</v>
      </c>
      <c r="AK22" s="95">
        <f>IF((ISBLANK(AJ22)),"",Trained)</f>
        <v>10</v>
      </c>
      <c r="AL22" s="118" t="s">
        <v>149</v>
      </c>
      <c r="AM22" s="95">
        <f>IF((ISBLANK(AL22)),"",Trained)</f>
        <v>10</v>
      </c>
      <c r="AN22" s="118" t="s">
        <v>622</v>
      </c>
      <c r="AO22" s="95">
        <f>IF((ISBLANK(AN22)),"",Trained)</f>
        <v>10</v>
      </c>
      <c r="AP22" s="118" t="s">
        <v>149</v>
      </c>
      <c r="AQ22" s="95">
        <f>IF((ISBLANK(AP22)),"",Trained)</f>
        <v>10</v>
      </c>
      <c r="AR22" s="118" t="s">
        <v>149</v>
      </c>
      <c r="AS22" s="95">
        <f>IF((ISBLANK(AR22)),"",Trained)</f>
        <v>10</v>
      </c>
      <c r="AT22" s="118" t="s">
        <v>149</v>
      </c>
      <c r="AU22" s="95">
        <f>IF((ISBLANK(AT22)),"",Trained)</f>
        <v>10</v>
      </c>
      <c r="AV22" s="118" t="s">
        <v>149</v>
      </c>
      <c r="AW22" s="95">
        <f>IF((ISBLANK(AV22)),"",Trained)</f>
        <v>10</v>
      </c>
      <c r="AX22" s="118" t="s">
        <v>149</v>
      </c>
      <c r="AY22" s="95">
        <f>IF((ISBLANK(AX22)),"",Trained)</f>
        <v>10</v>
      </c>
      <c r="AZ22" s="118" t="s">
        <v>149</v>
      </c>
      <c r="BA22" s="95">
        <f>IF((ISBLANK(AZ22)),"",Trained)</f>
        <v>10</v>
      </c>
    </row>
    <row r="23" hidden="1" outlineLevel="1">
      <c r="A23" s="37" t="s">
        <v>25</v>
      </c>
      <c r="B23" s="46"/>
      <c r="C23" s="46"/>
      <c r="D23" s="17" t="s">
        <v>151</v>
      </c>
      <c r="E23" s="46">
        <f>IF((ISBLANK(D23)),"",Expert)</f>
        <v>50</v>
      </c>
      <c r="F23" s="118" t="s">
        <v>159</v>
      </c>
      <c r="G23" s="95">
        <f>IF((ISBLANK(F23)),"",Expert)</f>
        <v>50</v>
      </c>
      <c r="H23" s="118" t="s">
        <v>153</v>
      </c>
      <c r="I23" s="95">
        <f>IF((ISBLANK(H23)),"",Expert)</f>
        <v>50</v>
      </c>
      <c r="J23" s="118" t="s">
        <v>149</v>
      </c>
      <c r="K23" s="95">
        <f>IF((ISBLANK(J23)),"",Expert)</f>
        <v>50</v>
      </c>
      <c r="L23" s="118" t="s">
        <v>149</v>
      </c>
      <c r="M23" s="95">
        <f>IF((ISBLANK(L23)),"",Expert)</f>
        <v>50</v>
      </c>
      <c r="N23" s="118" t="s">
        <v>149</v>
      </c>
      <c r="O23" s="95">
        <f>IF((ISBLANK(N23)),"",Expert)</f>
        <v>50</v>
      </c>
      <c r="P23" s="118" t="s">
        <v>149</v>
      </c>
      <c r="Q23" s="95">
        <f>IF((ISBLANK(P23)),"",Expert)</f>
        <v>50</v>
      </c>
      <c r="R23" s="118" t="s">
        <v>149</v>
      </c>
      <c r="S23" s="95">
        <f>IF((ISBLANK(R23)),"",Expert)</f>
        <v>50</v>
      </c>
      <c r="T23" s="118" t="s">
        <v>149</v>
      </c>
      <c r="U23" s="95">
        <f>IF((ISBLANK(T23)),"",Expert)</f>
        <v>50</v>
      </c>
      <c r="V23" s="118" t="s">
        <v>149</v>
      </c>
      <c r="W23" s="95">
        <f>IF((ISBLANK(V23)),"",Expert)</f>
        <v>50</v>
      </c>
      <c r="X23" s="118" t="s">
        <v>149</v>
      </c>
      <c r="Y23" s="95">
        <f>IF((ISBLANK(X23)),"",Expert)</f>
        <v>50</v>
      </c>
      <c r="Z23" s="118" t="s">
        <v>161</v>
      </c>
      <c r="AA23" s="95">
        <f>IF((ISBLANK(Z23)),"",Expert)</f>
        <v>50</v>
      </c>
      <c r="AB23" s="118" t="s">
        <v>157</v>
      </c>
      <c r="AC23" s="95">
        <f>IF((ISBLANK(AB23)),"",Expert)</f>
        <v>50</v>
      </c>
      <c r="AD23" s="118" t="s">
        <v>157</v>
      </c>
      <c r="AE23" s="95">
        <f>IF((ISBLANK(AD23)),"",Expert)</f>
        <v>50</v>
      </c>
      <c r="AF23" s="118" t="s">
        <v>151</v>
      </c>
      <c r="AG23" s="95">
        <f>IF((ISBLANK(AF23)),"",Expert)</f>
        <v>50</v>
      </c>
      <c r="AH23" s="118" t="s">
        <v>157</v>
      </c>
      <c r="AI23" s="95">
        <f>IF((ISBLANK(AH23)),"",Expert)</f>
        <v>50</v>
      </c>
      <c r="AJ23" s="118" t="s">
        <v>153</v>
      </c>
      <c r="AK23" s="95">
        <f>IF((ISBLANK(AJ23)),"",Expert)</f>
        <v>50</v>
      </c>
      <c r="AL23" s="118" t="s">
        <v>153</v>
      </c>
      <c r="AM23" s="95">
        <f>IF((ISBLANK(AL23)),"",Expert)</f>
        <v>50</v>
      </c>
      <c r="AN23" s="118" t="s">
        <v>149</v>
      </c>
      <c r="AO23" s="95">
        <f>IF((ISBLANK(AN23)),"",Expert)</f>
        <v>50</v>
      </c>
      <c r="AP23" s="118" t="s">
        <v>159</v>
      </c>
      <c r="AQ23" s="95">
        <f>IF((ISBLANK(AP23)),"",Expert)</f>
        <v>50</v>
      </c>
      <c r="AR23" s="118" t="s">
        <v>151</v>
      </c>
      <c r="AS23" s="95">
        <f>IF((ISBLANK(AR23)),"",Expert)</f>
        <v>50</v>
      </c>
      <c r="AT23" s="118" t="s">
        <v>159</v>
      </c>
      <c r="AU23" s="95">
        <f>IF((ISBLANK(AT23)),"",Expert)</f>
        <v>50</v>
      </c>
      <c r="AV23" s="118" t="s">
        <v>159</v>
      </c>
      <c r="AW23" s="95">
        <f>IF((ISBLANK(AV23)),"",Expert)</f>
        <v>50</v>
      </c>
      <c r="AX23" s="118" t="s">
        <v>159</v>
      </c>
      <c r="AY23" s="95">
        <f>IF((ISBLANK(AX23)),"",Expert)</f>
        <v>50</v>
      </c>
      <c r="AZ23" s="118" t="s">
        <v>159</v>
      </c>
      <c r="BA23" s="95">
        <f>IF((ISBLANK(AZ23)),"",Expert)</f>
        <v>50</v>
      </c>
    </row>
    <row r="24" hidden="1" outlineLevel="1">
      <c r="A24" s="37" t="s">
        <v>39</v>
      </c>
      <c r="B24" s="46"/>
      <c r="C24" s="46"/>
      <c r="D24" s="17" t="s">
        <v>153</v>
      </c>
      <c r="E24" s="46">
        <f>IF((ISBLANK(D24)),"",Master)</f>
        <v>110</v>
      </c>
      <c r="F24" s="118"/>
      <c r="G24" s="46" t="str">
        <f>IF((ISBLANK(F24)),"",Master)</f>
        <v/>
      </c>
      <c r="H24" s="118"/>
      <c r="I24" s="46" t="str">
        <f>IF((ISBLANK(H24)),"",Master)</f>
        <v/>
      </c>
      <c r="J24" s="118" t="s">
        <v>155</v>
      </c>
      <c r="K24" s="95">
        <f>IF((ISBLANK(J24)),"",Master)</f>
        <v>110</v>
      </c>
      <c r="L24" s="118" t="s">
        <v>165</v>
      </c>
      <c r="M24" s="95">
        <f>IF((ISBLANK(L24)),"",Master)</f>
        <v>110</v>
      </c>
      <c r="N24" s="118" t="s">
        <v>155</v>
      </c>
      <c r="O24" s="95">
        <f>IF((ISBLANK(N24)),"",Master)</f>
        <v>110</v>
      </c>
      <c r="P24" s="118" t="s">
        <v>155</v>
      </c>
      <c r="Q24" s="95">
        <f>IF((ISBLANK(P24)),"",Master)</f>
        <v>110</v>
      </c>
      <c r="R24" s="118" t="s">
        <v>155</v>
      </c>
      <c r="S24" s="95">
        <f>IF((ISBLANK(R24)),"",Master)</f>
        <v>110</v>
      </c>
      <c r="T24" s="118" t="s">
        <v>157</v>
      </c>
      <c r="U24" s="95">
        <f>IF((ISBLANK(T24)),"",Master)</f>
        <v>110</v>
      </c>
      <c r="V24" s="118" t="s">
        <v>159</v>
      </c>
      <c r="W24" s="95">
        <f>IF((ISBLANK(V24)),"",Master)</f>
        <v>110</v>
      </c>
      <c r="X24" s="118" t="s">
        <v>155</v>
      </c>
      <c r="Y24" s="95">
        <f>IF((ISBLANK(X24)),"",Master)</f>
        <v>110</v>
      </c>
      <c r="Z24" s="118"/>
      <c r="AA24" s="46" t="str">
        <f>IF((ISBLANK(Z24)),"",Master)</f>
        <v/>
      </c>
      <c r="AB24" s="118"/>
      <c r="AC24" s="46" t="str">
        <f>IF((ISBLANK(AB24)),"",Master)</f>
        <v/>
      </c>
      <c r="AD24" s="118"/>
      <c r="AE24" s="46" t="str">
        <f>IF((ISBLANK(AD24)),"",Master)</f>
        <v/>
      </c>
      <c r="AF24" s="118"/>
      <c r="AG24" s="46" t="str">
        <f>IF((ISBLANK(AF24)),"",Master)</f>
        <v/>
      </c>
      <c r="AH24" s="118"/>
      <c r="AI24" s="46" t="str">
        <f>IF((ISBLANK(AH24)),"",Master)</f>
        <v/>
      </c>
      <c r="AJ24" s="118"/>
      <c r="AK24" s="46" t="str">
        <f>IF((ISBLANK(AJ24)),"",Master)</f>
        <v/>
      </c>
      <c r="AL24" s="118"/>
      <c r="AM24" s="46" t="str">
        <f>IF((ISBLANK(AL24)),"",Master)</f>
        <v/>
      </c>
      <c r="AN24" s="118" t="s">
        <v>159</v>
      </c>
      <c r="AO24" s="95">
        <f>IF((ISBLANK(AN24)),"",Master)</f>
        <v>110</v>
      </c>
      <c r="AP24" s="118"/>
      <c r="AQ24" s="46" t="str">
        <f>IF((ISBLANK(AP24)),"",Master)</f>
        <v/>
      </c>
      <c r="AR24" s="118"/>
      <c r="AS24" s="46" t="str">
        <f>IF((ISBLANK(AR24)),"",Master)</f>
        <v/>
      </c>
      <c r="AT24" s="118"/>
      <c r="AU24" s="46" t="str">
        <f>IF((ISBLANK(AT24)),"",Master)</f>
        <v/>
      </c>
      <c r="AV24" s="118"/>
      <c r="AW24" s="46" t="str">
        <f>IF((ISBLANK(AV24)),"",Master)</f>
        <v/>
      </c>
      <c r="AX24" s="118"/>
      <c r="AY24" s="46" t="str">
        <f>IF((ISBLANK(AX24)),"",Master)</f>
        <v/>
      </c>
      <c r="AZ24" s="118"/>
      <c r="BA24" s="46" t="str">
        <f>IF((ISBLANK(AZ24)),"",Master)</f>
        <v/>
      </c>
    </row>
    <row r="25" hidden="1" outlineLevel="1">
      <c r="A25" s="37" t="s">
        <v>42</v>
      </c>
      <c r="B25" s="46"/>
      <c r="C25" s="46"/>
      <c r="D25" s="17" t="s">
        <v>155</v>
      </c>
      <c r="E25" s="46">
        <f>IF((ISBLANK(D25)),"",Legendary)</f>
        <v>190</v>
      </c>
      <c r="F25" s="118"/>
      <c r="G25" s="46" t="str">
        <f>IF((ISBLANK(F25)),"",Legendary)</f>
        <v/>
      </c>
      <c r="H25" s="118"/>
      <c r="I25" s="46" t="str">
        <f>IF((ISBLANK(H25)),"",Legendary)</f>
        <v/>
      </c>
      <c r="J25" s="118"/>
      <c r="K25" s="46" t="str">
        <f>IF((ISBLANK(J25)),"",Legendary)</f>
        <v/>
      </c>
      <c r="L25" s="118"/>
      <c r="M25" s="46" t="str">
        <f>IF((ISBLANK(L25)),"",Legendary)</f>
        <v/>
      </c>
      <c r="N25" s="118" t="s">
        <v>163</v>
      </c>
      <c r="O25" s="95">
        <f>IF((ISBLANK(N25)),"",Legendary)</f>
        <v>190</v>
      </c>
      <c r="P25" s="118" t="s">
        <v>161</v>
      </c>
      <c r="Q25" s="95">
        <f>IF((ISBLANK(P25)),"",Legendary)</f>
        <v>190</v>
      </c>
      <c r="R25" s="118" t="s">
        <v>161</v>
      </c>
      <c r="S25" s="95">
        <f>IF((ISBLANK(R25)),"",Legendary)</f>
        <v>190</v>
      </c>
      <c r="T25" s="118"/>
      <c r="U25" s="46" t="str">
        <f>IF((ISBLANK(T25)),"",Legendary)</f>
        <v/>
      </c>
      <c r="V25" s="118"/>
      <c r="W25" s="46" t="str">
        <f>IF((ISBLANK(V25)),"",Legendary)</f>
        <v/>
      </c>
      <c r="X25" s="118" t="s">
        <v>167</v>
      </c>
      <c r="Y25" s="95">
        <f>IF((ISBLANK(X25)),"",Legendary)</f>
        <v>190</v>
      </c>
      <c r="Z25" s="118"/>
      <c r="AA25" s="46" t="str">
        <f>IF((ISBLANK(Z25)),"",Legendary)</f>
        <v/>
      </c>
      <c r="AB25" s="118"/>
      <c r="AC25" s="46" t="str">
        <f>IF((ISBLANK(AB25)),"",Legendary)</f>
        <v/>
      </c>
      <c r="AD25" s="118"/>
      <c r="AE25" s="46" t="str">
        <f>IF((ISBLANK(AD25)),"",Legendary)</f>
        <v/>
      </c>
      <c r="AF25" s="118"/>
      <c r="AG25" s="46" t="str">
        <f>IF((ISBLANK(AF25)),"",Legendary)</f>
        <v/>
      </c>
      <c r="AH25" s="118"/>
      <c r="AI25" s="46" t="str">
        <f>IF((ISBLANK(AH25)),"",Legendary)</f>
        <v/>
      </c>
      <c r="AJ25" s="118"/>
      <c r="AK25" s="46" t="str">
        <f>IF((ISBLANK(AJ25)),"",Legendary)</f>
        <v/>
      </c>
      <c r="AL25" s="118"/>
      <c r="AM25" s="46" t="str">
        <f>IF((ISBLANK(AL25)),"",Legendary)</f>
        <v/>
      </c>
      <c r="AN25" s="118"/>
      <c r="AO25" s="46" t="str">
        <f>IF((ISBLANK(AN25)),"",Legendary)</f>
        <v/>
      </c>
      <c r="AP25" s="118"/>
      <c r="AQ25" s="46" t="str">
        <f>IF((ISBLANK(AP25)),"",Legendary)</f>
        <v/>
      </c>
      <c r="AR25" s="118"/>
      <c r="AS25" s="46" t="str">
        <f>IF((ISBLANK(AR25)),"",Legendary)</f>
        <v/>
      </c>
      <c r="AT25" s="118"/>
      <c r="AU25" s="46" t="str">
        <f>IF((ISBLANK(AT25)),"",Legendary)</f>
        <v/>
      </c>
      <c r="AV25" s="118"/>
      <c r="AW25" s="46" t="str">
        <f>IF((ISBLANK(AV25)),"",Legendary)</f>
        <v/>
      </c>
      <c r="AX25" s="118"/>
      <c r="AY25" s="46" t="str">
        <f>IF((ISBLANK(AX25)),"",Legendary)</f>
        <v/>
      </c>
      <c r="AZ25" s="118"/>
      <c r="BA25" s="46" t="str">
        <f>IF((ISBLANK(AZ25)),"",Legendary)</f>
        <v/>
      </c>
    </row>
    <row r="26" collapsed="1">
      <c r="A26" s="121" t="s">
        <v>638</v>
      </c>
      <c r="B26" s="122"/>
      <c r="C26" s="75"/>
      <c r="D26" s="75"/>
      <c r="E26" s="75">
        <f>sum(E27:E38)</f>
        <v>1080</v>
      </c>
      <c r="F26" s="75"/>
      <c r="G26" s="78">
        <f>sum(G27:G38)</f>
        <v>400</v>
      </c>
      <c r="H26" s="75"/>
      <c r="I26" s="78">
        <f>sum(I27:I38)</f>
        <v>180</v>
      </c>
      <c r="J26" s="75"/>
      <c r="K26" s="78">
        <f>sum(K27:K38)</f>
        <v>400</v>
      </c>
      <c r="L26" s="75"/>
      <c r="M26" s="78">
        <f>sum(M27:M38)</f>
        <v>590</v>
      </c>
      <c r="N26" s="75"/>
      <c r="O26" s="78">
        <f>sum(O27:O38)</f>
        <v>590</v>
      </c>
      <c r="P26" s="75"/>
      <c r="Q26" s="78">
        <f>sum(Q27:Q38)</f>
        <v>590</v>
      </c>
      <c r="R26" s="75"/>
      <c r="S26" s="78">
        <f>sum(S27:S38)</f>
        <v>590</v>
      </c>
      <c r="T26" s="75"/>
      <c r="U26" s="78">
        <f>sum(U27:U38)</f>
        <v>590</v>
      </c>
      <c r="V26" s="75"/>
      <c r="W26" s="78">
        <f>sum(W27:W38)</f>
        <v>590</v>
      </c>
      <c r="X26" s="75"/>
      <c r="Y26" s="78">
        <f>sum(Y27:Y38)</f>
        <v>400</v>
      </c>
      <c r="Z26" s="75"/>
      <c r="AA26" s="78">
        <f>sum(AA27:AA38)</f>
        <v>400</v>
      </c>
      <c r="AB26" s="75"/>
      <c r="AC26" s="78">
        <f>sum(AC27:AC38)</f>
        <v>400</v>
      </c>
      <c r="AD26" s="75"/>
      <c r="AE26" s="78">
        <f>sum(AE27:AE38)</f>
        <v>590</v>
      </c>
      <c r="AF26" s="75"/>
      <c r="AG26" s="78">
        <f>sum(AG27:AG38)</f>
        <v>400</v>
      </c>
      <c r="AH26" s="75"/>
      <c r="AI26" s="78">
        <f>sum(AI27:AI38)</f>
        <v>400</v>
      </c>
      <c r="AJ26" s="75"/>
      <c r="AK26" s="78">
        <f>sum(AK27:AK38)</f>
        <v>400</v>
      </c>
      <c r="AL26" s="75"/>
      <c r="AM26" s="78">
        <f>sum(AM27:AM38)</f>
        <v>290</v>
      </c>
      <c r="AN26" s="75"/>
      <c r="AO26" s="78">
        <f>sum(AO27:AO38)</f>
        <v>480</v>
      </c>
      <c r="AP26" s="75"/>
      <c r="AQ26" s="78">
        <f>sum(AQ27:AQ38)</f>
        <v>480</v>
      </c>
      <c r="AR26" s="75"/>
      <c r="AS26" s="78">
        <f>sum(AS27:AS38)</f>
        <v>290</v>
      </c>
      <c r="AT26" s="75"/>
      <c r="AU26" s="78">
        <f>sum(AU27:AU38)</f>
        <v>480</v>
      </c>
      <c r="AV26" s="75"/>
      <c r="AW26" s="78">
        <f>sum(AW27:AW38)</f>
        <v>290</v>
      </c>
      <c r="AX26" s="75"/>
      <c r="AY26" s="78">
        <f>sum(AY27:AY38)</f>
        <v>290</v>
      </c>
      <c r="AZ26" s="75"/>
      <c r="BA26" s="78">
        <f>sum(BA27:BA38)</f>
        <v>290</v>
      </c>
    </row>
    <row r="27" hidden="1" outlineLevel="1">
      <c r="A27" s="37" t="s">
        <v>649</v>
      </c>
      <c r="B27" s="46"/>
      <c r="C27" s="46"/>
      <c r="D27" s="17" t="s">
        <v>149</v>
      </c>
      <c r="E27" s="46">
        <f>IF((ISBLANK(D27)),"",Trained)</f>
        <v>10</v>
      </c>
      <c r="F27" s="118" t="s">
        <v>622</v>
      </c>
      <c r="G27" s="95">
        <f>IF((ISBLANK(F27)),"",Trained)</f>
        <v>10</v>
      </c>
      <c r="H27" s="118" t="s">
        <v>622</v>
      </c>
      <c r="I27" s="95">
        <f>IF((ISBLANK(H27)),"",Trained)</f>
        <v>10</v>
      </c>
      <c r="J27" s="118" t="s">
        <v>622</v>
      </c>
      <c r="K27" s="95">
        <f>IF((ISBLANK(J27)),"",Trained)</f>
        <v>10</v>
      </c>
      <c r="L27" s="118" t="s">
        <v>622</v>
      </c>
      <c r="M27" s="95">
        <f>IF((ISBLANK(L27)),"",Trained)</f>
        <v>10</v>
      </c>
      <c r="N27" s="118" t="s">
        <v>622</v>
      </c>
      <c r="O27" s="95">
        <f>IF((ISBLANK(N27)),"",Trained)</f>
        <v>10</v>
      </c>
      <c r="P27" s="118" t="s">
        <v>149</v>
      </c>
      <c r="Q27" s="95">
        <f>IF((ISBLANK(P27)),"",Trained)</f>
        <v>10</v>
      </c>
      <c r="R27" s="118" t="s">
        <v>149</v>
      </c>
      <c r="S27" s="95">
        <f>IF((ISBLANK(R27)),"",Trained)</f>
        <v>10</v>
      </c>
      <c r="T27" s="118" t="s">
        <v>622</v>
      </c>
      <c r="U27" s="95">
        <f>IF((ISBLANK(T27)),"",Trained)</f>
        <v>10</v>
      </c>
      <c r="V27" s="118" t="s">
        <v>149</v>
      </c>
      <c r="W27" s="95">
        <f>IF((ISBLANK(V27)),"",Trained)</f>
        <v>10</v>
      </c>
      <c r="X27" s="118" t="s">
        <v>622</v>
      </c>
      <c r="Y27" s="95">
        <f>IF((ISBLANK(X27)),"",Trained)</f>
        <v>10</v>
      </c>
      <c r="Z27" s="118" t="s">
        <v>622</v>
      </c>
      <c r="AA27" s="95">
        <f>IF((ISBLANK(Z27)),"",Trained)</f>
        <v>10</v>
      </c>
      <c r="AB27" s="118" t="s">
        <v>622</v>
      </c>
      <c r="AC27" s="95">
        <f>IF((ISBLANK(AB27)),"",Trained)</f>
        <v>10</v>
      </c>
      <c r="AD27" s="118" t="s">
        <v>622</v>
      </c>
      <c r="AE27" s="95">
        <f>IF((ISBLANK(AD27)),"",Trained)</f>
        <v>10</v>
      </c>
      <c r="AF27" s="118" t="s">
        <v>622</v>
      </c>
      <c r="AG27" s="95">
        <f>IF((ISBLANK(AF27)),"",Trained)</f>
        <v>10</v>
      </c>
      <c r="AH27" s="118" t="s">
        <v>622</v>
      </c>
      <c r="AI27" s="95">
        <f>IF((ISBLANK(AH27)),"",Trained)</f>
        <v>10</v>
      </c>
      <c r="AJ27" s="118" t="s">
        <v>622</v>
      </c>
      <c r="AK27" s="95">
        <f>IF((ISBLANK(AJ27)),"",Trained)</f>
        <v>10</v>
      </c>
      <c r="AL27" s="118" t="s">
        <v>149</v>
      </c>
      <c r="AM27" s="95">
        <f>IF((ISBLANK(AL27)),"",Trained)</f>
        <v>10</v>
      </c>
      <c r="AN27" s="118" t="s">
        <v>149</v>
      </c>
      <c r="AO27" s="95">
        <f>IF((ISBLANK(AN27)),"",Trained)</f>
        <v>10</v>
      </c>
      <c r="AP27" s="118" t="s">
        <v>149</v>
      </c>
      <c r="AQ27" s="95">
        <f>IF((ISBLANK(AP27)),"",Trained)</f>
        <v>10</v>
      </c>
      <c r="AR27" s="118" t="s">
        <v>149</v>
      </c>
      <c r="AS27" s="95">
        <f>IF((ISBLANK(AR27)),"",Trained)</f>
        <v>10</v>
      </c>
      <c r="AT27" s="118" t="s">
        <v>149</v>
      </c>
      <c r="AU27" s="95">
        <f>IF((ISBLANK(AT27)),"",Trained)</f>
        <v>10</v>
      </c>
      <c r="AV27" s="118" t="s">
        <v>149</v>
      </c>
      <c r="AW27" s="95">
        <f>IF((ISBLANK(AV27)),"",Trained)</f>
        <v>10</v>
      </c>
      <c r="AX27" s="118" t="s">
        <v>149</v>
      </c>
      <c r="AY27" s="95">
        <f>IF((ISBLANK(AX27)),"",Trained)</f>
        <v>10</v>
      </c>
      <c r="AZ27" s="118" t="s">
        <v>149</v>
      </c>
      <c r="BA27" s="95">
        <f>IF((ISBLANK(AZ27)),"",Trained)</f>
        <v>10</v>
      </c>
    </row>
    <row r="28" hidden="1" outlineLevel="1">
      <c r="A28" s="37" t="s">
        <v>650</v>
      </c>
      <c r="B28" s="46"/>
      <c r="C28" s="46"/>
      <c r="D28" s="17" t="s">
        <v>151</v>
      </c>
      <c r="E28" s="46">
        <f>IF((ISBLANK(D28)),"",Expert)</f>
        <v>50</v>
      </c>
      <c r="F28" s="118" t="s">
        <v>149</v>
      </c>
      <c r="G28" s="95">
        <f>IF((ISBLANK(F28)),"",Expert)</f>
        <v>50</v>
      </c>
      <c r="H28" s="118" t="s">
        <v>149</v>
      </c>
      <c r="I28" s="95">
        <f>IF((ISBLANK(H28)),"",Expert)</f>
        <v>50</v>
      </c>
      <c r="J28" s="118" t="s">
        <v>149</v>
      </c>
      <c r="K28" s="95">
        <f>IF((ISBLANK(J28)),"",Expert)</f>
        <v>50</v>
      </c>
      <c r="L28" s="118" t="s">
        <v>149</v>
      </c>
      <c r="M28" s="95">
        <f>IF((ISBLANK(L28)),"",Expert)</f>
        <v>50</v>
      </c>
      <c r="N28" s="118" t="s">
        <v>149</v>
      </c>
      <c r="O28" s="95">
        <f>IF((ISBLANK(N28)),"",Expert)</f>
        <v>50</v>
      </c>
      <c r="P28" s="118" t="s">
        <v>157</v>
      </c>
      <c r="Q28" s="95">
        <f>IF((ISBLANK(P28)),"",Expert)</f>
        <v>50</v>
      </c>
      <c r="R28" s="118" t="s">
        <v>157</v>
      </c>
      <c r="S28" s="95">
        <f>IF((ISBLANK(R28)),"",Expert)</f>
        <v>50</v>
      </c>
      <c r="T28" s="118" t="s">
        <v>149</v>
      </c>
      <c r="U28" s="95">
        <f>IF((ISBLANK(T28)),"",Expert)</f>
        <v>50</v>
      </c>
      <c r="V28" s="118" t="s">
        <v>151</v>
      </c>
      <c r="W28" s="95">
        <f>IF((ISBLANK(V28)),"",Expert)</f>
        <v>50</v>
      </c>
      <c r="X28" s="118" t="s">
        <v>149</v>
      </c>
      <c r="Y28" s="95">
        <f>IF((ISBLANK(X28)),"",Expert)</f>
        <v>50</v>
      </c>
      <c r="Z28" s="118" t="s">
        <v>149</v>
      </c>
      <c r="AA28" s="95">
        <f>IF((ISBLANK(Z28)),"",Expert)</f>
        <v>50</v>
      </c>
      <c r="AB28" s="118" t="s">
        <v>149</v>
      </c>
      <c r="AC28" s="95">
        <f>IF((ISBLANK(AB28)),"",Expert)</f>
        <v>50</v>
      </c>
      <c r="AD28" s="118" t="s">
        <v>149</v>
      </c>
      <c r="AE28" s="95">
        <f>IF((ISBLANK(AD28)),"",Expert)</f>
        <v>50</v>
      </c>
      <c r="AF28" s="118" t="s">
        <v>149</v>
      </c>
      <c r="AG28" s="95">
        <f>IF((ISBLANK(AF28)),"",Expert)</f>
        <v>50</v>
      </c>
      <c r="AH28" s="118" t="s">
        <v>149</v>
      </c>
      <c r="AI28" s="95">
        <f>IF((ISBLANK(AH28)),"",Expert)</f>
        <v>50</v>
      </c>
      <c r="AJ28" s="118" t="s">
        <v>149</v>
      </c>
      <c r="AK28" s="95">
        <f>IF((ISBLANK(AJ28)),"",Expert)</f>
        <v>50</v>
      </c>
      <c r="AL28" s="118" t="s">
        <v>151</v>
      </c>
      <c r="AM28" s="95">
        <f>IF((ISBLANK(AL28)),"",Expert)</f>
        <v>50</v>
      </c>
      <c r="AN28" s="118" t="s">
        <v>157</v>
      </c>
      <c r="AO28" s="95">
        <f>IF((ISBLANK(AN28)),"",Expert)</f>
        <v>50</v>
      </c>
      <c r="AP28" s="118" t="s">
        <v>157</v>
      </c>
      <c r="AQ28" s="95">
        <f>IF((ISBLANK(AP28)),"",Expert)</f>
        <v>50</v>
      </c>
      <c r="AR28" s="118" t="s">
        <v>151</v>
      </c>
      <c r="AS28" s="95">
        <f>IF((ISBLANK(AR28)),"",Expert)</f>
        <v>50</v>
      </c>
      <c r="AT28" s="118" t="s">
        <v>157</v>
      </c>
      <c r="AU28" s="95">
        <f>IF((ISBLANK(AT28)),"",Expert)</f>
        <v>50</v>
      </c>
      <c r="AV28" s="118" t="s">
        <v>157</v>
      </c>
      <c r="AW28" s="95">
        <f>IF((ISBLANK(AV28)),"",Expert)</f>
        <v>50</v>
      </c>
      <c r="AX28" s="118" t="s">
        <v>153</v>
      </c>
      <c r="AY28" s="95">
        <f>IF((ISBLANK(AX28)),"",Expert)</f>
        <v>50</v>
      </c>
      <c r="AZ28" s="118" t="s">
        <v>153</v>
      </c>
      <c r="BA28" s="95">
        <f>IF((ISBLANK(AZ28)),"",Expert)</f>
        <v>50</v>
      </c>
    </row>
    <row r="29" hidden="1" outlineLevel="1">
      <c r="A29" s="37" t="s">
        <v>652</v>
      </c>
      <c r="B29" s="46"/>
      <c r="C29" s="46"/>
      <c r="D29" s="17" t="s">
        <v>153</v>
      </c>
      <c r="E29" s="46">
        <f>IF((ISBLANK(D29)),"",Master)</f>
        <v>110</v>
      </c>
      <c r="F29" s="118" t="s">
        <v>157</v>
      </c>
      <c r="G29" s="95">
        <f>IF((ISBLANK(F29)),"",Master)</f>
        <v>110</v>
      </c>
      <c r="H29" s="118" t="s">
        <v>155</v>
      </c>
      <c r="I29" s="39" t="s">
        <v>653</v>
      </c>
      <c r="J29" s="118" t="s">
        <v>157</v>
      </c>
      <c r="K29" s="95">
        <f>IF((ISBLANK(J29)),"",Master)</f>
        <v>110</v>
      </c>
      <c r="L29" s="118" t="s">
        <v>155</v>
      </c>
      <c r="M29" s="95">
        <f>IF((ISBLANK(L29)),"",Master)</f>
        <v>110</v>
      </c>
      <c r="N29" s="118" t="s">
        <v>159</v>
      </c>
      <c r="O29" s="95">
        <f>IF((ISBLANK(N29)),"",Master)</f>
        <v>110</v>
      </c>
      <c r="P29" s="118"/>
      <c r="Q29" s="46" t="str">
        <f>IF((ISBLANK(P29)),"",Master)</f>
        <v/>
      </c>
      <c r="R29" s="118"/>
      <c r="S29" s="46" t="str">
        <f>IF((ISBLANK(R29)),"",Master)</f>
        <v/>
      </c>
      <c r="T29" s="118" t="s">
        <v>163</v>
      </c>
      <c r="U29" s="95">
        <f>IF((ISBLANK(T29)),"",Master)</f>
        <v>110</v>
      </c>
      <c r="V29" s="118"/>
      <c r="W29" s="46" t="str">
        <f>IF((ISBLANK(V29)),"",Master)</f>
        <v/>
      </c>
      <c r="X29" s="118" t="s">
        <v>165</v>
      </c>
      <c r="Y29" s="95">
        <f>IF((ISBLANK(X29)),"",Master)</f>
        <v>110</v>
      </c>
      <c r="Z29" s="118" t="s">
        <v>165</v>
      </c>
      <c r="AA29" s="95">
        <f>IF((ISBLANK(Z29)),"",Master)</f>
        <v>110</v>
      </c>
      <c r="AB29" s="118" t="s">
        <v>159</v>
      </c>
      <c r="AC29" s="95">
        <f>IF((ISBLANK(AB29)),"",Master)</f>
        <v>110</v>
      </c>
      <c r="AD29" s="118" t="s">
        <v>155</v>
      </c>
      <c r="AE29" s="95">
        <f>IF((ISBLANK(AD29)),"",Master)</f>
        <v>110</v>
      </c>
      <c r="AF29" s="118" t="s">
        <v>159</v>
      </c>
      <c r="AG29" s="95">
        <f>IF((ISBLANK(AF29)),"",Master)</f>
        <v>110</v>
      </c>
      <c r="AH29" s="118" t="s">
        <v>163</v>
      </c>
      <c r="AI29" s="95">
        <f>IF((ISBLANK(AH29)),"",Master)</f>
        <v>110</v>
      </c>
      <c r="AJ29" s="118" t="s">
        <v>163</v>
      </c>
      <c r="AK29" s="95">
        <f>IF((ISBLANK(AJ29)),"",Master)</f>
        <v>110</v>
      </c>
      <c r="AL29" s="118"/>
      <c r="AM29" s="46" t="str">
        <f>IF((ISBLANK(AL29)),"",Master)</f>
        <v/>
      </c>
      <c r="AN29" s="118"/>
      <c r="AO29" s="46" t="str">
        <f>IF((ISBLANK(AN29)),"",Master)</f>
        <v/>
      </c>
      <c r="AP29" s="118"/>
      <c r="AQ29" s="46" t="str">
        <f>IF((ISBLANK(AP29)),"",Master)</f>
        <v/>
      </c>
      <c r="AR29" s="118"/>
      <c r="AS29" s="46" t="str">
        <f>IF((ISBLANK(AR29)),"",Master)</f>
        <v/>
      </c>
      <c r="AT29" s="118"/>
      <c r="AU29" s="46" t="str">
        <f>IF((ISBLANK(AT29)),"",Master)</f>
        <v/>
      </c>
      <c r="AV29" s="118"/>
      <c r="AW29" s="46" t="str">
        <f>IF((ISBLANK(AV29)),"",Master)</f>
        <v/>
      </c>
      <c r="AX29" s="118"/>
      <c r="AY29" s="46" t="str">
        <f>IF((ISBLANK(AX29)),"",Master)</f>
        <v/>
      </c>
      <c r="AZ29" s="118"/>
      <c r="BA29" s="46" t="str">
        <f>IF((ISBLANK(AZ29)),"",Master)</f>
        <v/>
      </c>
    </row>
    <row r="30" hidden="1" outlineLevel="1">
      <c r="A30" s="37" t="s">
        <v>654</v>
      </c>
      <c r="B30" s="46"/>
      <c r="C30" s="46"/>
      <c r="D30" s="17" t="s">
        <v>155</v>
      </c>
      <c r="E30" s="46">
        <f>IF((ISBLANK(D30)),"",Legendary)</f>
        <v>190</v>
      </c>
      <c r="F30" s="118"/>
      <c r="G30" s="46" t="str">
        <f>IF((ISBLANK(F30)),"",Legendary)</f>
        <v/>
      </c>
      <c r="H30" s="118" t="s">
        <v>163</v>
      </c>
      <c r="I30" s="39" t="s">
        <v>653</v>
      </c>
      <c r="J30" s="118"/>
      <c r="K30" s="46" t="str">
        <f>IF((ISBLANK(J30)),"",Legendary)</f>
        <v/>
      </c>
      <c r="L30" s="118" t="s">
        <v>161</v>
      </c>
      <c r="M30" s="95">
        <f>IF((ISBLANK(L30)),"",Legendary)</f>
        <v>190</v>
      </c>
      <c r="N30" s="118"/>
      <c r="O30" s="46" t="str">
        <f>IF((ISBLANK(N30)),"",Legendary)</f>
        <v/>
      </c>
      <c r="P30" s="118"/>
      <c r="Q30" s="46" t="str">
        <f>IF((ISBLANK(P30)),"",Legendary)</f>
        <v/>
      </c>
      <c r="R30" s="118"/>
      <c r="S30" s="46" t="str">
        <f>IF((ISBLANK(R30)),"",Legendary)</f>
        <v/>
      </c>
      <c r="T30" s="118"/>
      <c r="U30" s="46" t="str">
        <f>IF((ISBLANK(T30)),"",Legendary)</f>
        <v/>
      </c>
      <c r="V30" s="118"/>
      <c r="W30" s="46" t="str">
        <f>IF((ISBLANK(V30)),"",Legendary)</f>
        <v/>
      </c>
      <c r="X30" s="118"/>
      <c r="Y30" s="46" t="str">
        <f>IF((ISBLANK(X30)),"",Legendary)</f>
        <v/>
      </c>
      <c r="Z30" s="118"/>
      <c r="AA30" s="46" t="str">
        <f>IF((ISBLANK(Z30)),"",Legendary)</f>
        <v/>
      </c>
      <c r="AB30" s="118"/>
      <c r="AC30" s="46" t="str">
        <f>IF((ISBLANK(AB30)),"",Legendary)</f>
        <v/>
      </c>
      <c r="AD30" s="118" t="s">
        <v>163</v>
      </c>
      <c r="AE30" s="95">
        <f>IF((ISBLANK(AD30)),"",Legendary)</f>
        <v>190</v>
      </c>
      <c r="AF30" s="118"/>
      <c r="AG30" s="46" t="str">
        <f>IF((ISBLANK(AF30)),"",Legendary)</f>
        <v/>
      </c>
      <c r="AH30" s="118"/>
      <c r="AI30" s="46" t="str">
        <f>IF((ISBLANK(AH30)),"",Legendary)</f>
        <v/>
      </c>
      <c r="AJ30" s="118"/>
      <c r="AK30" s="46" t="str">
        <f>IF((ISBLANK(AJ30)),"",Legendary)</f>
        <v/>
      </c>
      <c r="AL30" s="118"/>
      <c r="AM30" s="46" t="str">
        <f>IF((ISBLANK(AL30)),"",Legendary)</f>
        <v/>
      </c>
      <c r="AN30" s="118"/>
      <c r="AO30" s="46" t="str">
        <f>IF((ISBLANK(AN30)),"",Legendary)</f>
        <v/>
      </c>
      <c r="AP30" s="118"/>
      <c r="AQ30" s="46" t="str">
        <f>IF((ISBLANK(AP30)),"",Legendary)</f>
        <v/>
      </c>
      <c r="AR30" s="118"/>
      <c r="AS30" s="46" t="str">
        <f>IF((ISBLANK(AR30)),"",Legendary)</f>
        <v/>
      </c>
      <c r="AT30" s="118"/>
      <c r="AU30" s="46" t="str">
        <f>IF((ISBLANK(AT30)),"",Legendary)</f>
        <v/>
      </c>
      <c r="AV30" s="118"/>
      <c r="AW30" s="46" t="str">
        <f>IF((ISBLANK(AV30)),"",Legendary)</f>
        <v/>
      </c>
      <c r="AX30" s="118"/>
      <c r="AY30" s="46" t="str">
        <f>IF((ISBLANK(AX30)),"",Legendary)</f>
        <v/>
      </c>
      <c r="AZ30" s="118"/>
      <c r="BA30" s="46" t="str">
        <f>IF((ISBLANK(AZ30)),"",Legendary)</f>
        <v/>
      </c>
    </row>
    <row r="31" hidden="1" outlineLevel="1">
      <c r="A31" s="37" t="s">
        <v>655</v>
      </c>
      <c r="B31" s="17"/>
      <c r="C31" s="46"/>
      <c r="D31" s="17" t="s">
        <v>149</v>
      </c>
      <c r="E31" s="46">
        <f>IF((ISBLANK(D31)),"",Trained)</f>
        <v>10</v>
      </c>
      <c r="F31" s="118" t="s">
        <v>149</v>
      </c>
      <c r="G31" s="95">
        <f>IF((ISBLANK(F31)),"",Trained)</f>
        <v>10</v>
      </c>
      <c r="H31" s="118" t="s">
        <v>622</v>
      </c>
      <c r="I31" s="95">
        <f>IF((ISBLANK(H31)),"",Trained)</f>
        <v>10</v>
      </c>
      <c r="J31" s="118" t="s">
        <v>622</v>
      </c>
      <c r="K31" s="95">
        <f>IF((ISBLANK(J31)),"",Trained)</f>
        <v>10</v>
      </c>
      <c r="L31" s="118" t="s">
        <v>149</v>
      </c>
      <c r="M31" s="95">
        <f>IF((ISBLANK(L31)),"",Trained)</f>
        <v>10</v>
      </c>
      <c r="N31" s="118" t="s">
        <v>622</v>
      </c>
      <c r="O31" s="95">
        <f>IF((ISBLANK(N31)),"",Trained)</f>
        <v>10</v>
      </c>
      <c r="P31" s="118" t="s">
        <v>622</v>
      </c>
      <c r="Q31" s="95">
        <f>IF((ISBLANK(P31)),"",Trained)</f>
        <v>10</v>
      </c>
      <c r="R31" s="118" t="s">
        <v>622</v>
      </c>
      <c r="S31" s="95">
        <f>IF((ISBLANK(R31)),"",Trained)</f>
        <v>10</v>
      </c>
      <c r="T31" s="118" t="s">
        <v>149</v>
      </c>
      <c r="U31" s="95">
        <f>IF((ISBLANK(T31)),"",Trained)</f>
        <v>10</v>
      </c>
      <c r="V31" s="118" t="s">
        <v>622</v>
      </c>
      <c r="W31" s="95">
        <f>IF((ISBLANK(V31)),"",Trained)</f>
        <v>10</v>
      </c>
      <c r="X31" s="118" t="s">
        <v>622</v>
      </c>
      <c r="Y31" s="95">
        <f>IF((ISBLANK(X31)),"",Trained)</f>
        <v>10</v>
      </c>
      <c r="Z31" s="118" t="s">
        <v>149</v>
      </c>
      <c r="AA31" s="95">
        <f>IF((ISBLANK(Z31)),"",Trained)</f>
        <v>10</v>
      </c>
      <c r="AB31" s="118" t="s">
        <v>622</v>
      </c>
      <c r="AC31" s="95">
        <f>IF((ISBLANK(AB31)),"",Trained)</f>
        <v>10</v>
      </c>
      <c r="AD31" s="118" t="s">
        <v>622</v>
      </c>
      <c r="AE31" s="95">
        <f>IF((ISBLANK(AD31)),"",Trained)</f>
        <v>10</v>
      </c>
      <c r="AF31" s="118" t="s">
        <v>149</v>
      </c>
      <c r="AG31" s="95">
        <f>IF((ISBLANK(AF31)),"",Trained)</f>
        <v>10</v>
      </c>
      <c r="AH31" s="118" t="s">
        <v>149</v>
      </c>
      <c r="AI31" s="95">
        <f>IF((ISBLANK(AH31)),"",Trained)</f>
        <v>10</v>
      </c>
      <c r="AJ31" s="118" t="s">
        <v>149</v>
      </c>
      <c r="AK31" s="95">
        <f>IF((ISBLANK(AJ31)),"",Trained)</f>
        <v>10</v>
      </c>
      <c r="AL31" s="118" t="s">
        <v>149</v>
      </c>
      <c r="AM31" s="95">
        <f>IF((ISBLANK(AL31)),"",Trained)</f>
        <v>10</v>
      </c>
      <c r="AN31" s="118" t="s">
        <v>149</v>
      </c>
      <c r="AO31" s="95">
        <f>IF((ISBLANK(AN31)),"",Trained)</f>
        <v>10</v>
      </c>
      <c r="AP31" s="118" t="s">
        <v>149</v>
      </c>
      <c r="AQ31" s="95">
        <f>IF((ISBLANK(AP31)),"",Trained)</f>
        <v>10</v>
      </c>
      <c r="AR31" s="118" t="s">
        <v>149</v>
      </c>
      <c r="AS31" s="95">
        <f>IF((ISBLANK(AR31)),"",Trained)</f>
        <v>10</v>
      </c>
      <c r="AT31" s="118" t="s">
        <v>149</v>
      </c>
      <c r="AU31" s="95">
        <f>IF((ISBLANK(AT31)),"",Trained)</f>
        <v>10</v>
      </c>
      <c r="AV31" s="118" t="s">
        <v>149</v>
      </c>
      <c r="AW31" s="95">
        <f>IF((ISBLANK(AV31)),"",Trained)</f>
        <v>10</v>
      </c>
      <c r="AX31" s="118" t="s">
        <v>149</v>
      </c>
      <c r="AY31" s="95">
        <f>IF((ISBLANK(AX31)),"",Trained)</f>
        <v>10</v>
      </c>
      <c r="AZ31" s="118" t="s">
        <v>149</v>
      </c>
      <c r="BA31" s="95">
        <f>IF((ISBLANK(AZ31)),"",Trained)</f>
        <v>10</v>
      </c>
    </row>
    <row r="32" hidden="1" outlineLevel="1">
      <c r="A32" s="37" t="s">
        <v>656</v>
      </c>
      <c r="B32" s="17"/>
      <c r="C32" s="46"/>
      <c r="D32" s="17" t="s">
        <v>151</v>
      </c>
      <c r="E32" s="46">
        <f>IF((ISBLANK(D32)),"",Expert)</f>
        <v>50</v>
      </c>
      <c r="F32" s="118" t="s">
        <v>157</v>
      </c>
      <c r="G32" s="95">
        <f>IF((ISBLANK(F32)),"",Expert)</f>
        <v>50</v>
      </c>
      <c r="H32" s="118" t="s">
        <v>149</v>
      </c>
      <c r="I32" s="95">
        <f>IF((ISBLANK(H32)),"",Expert)</f>
        <v>50</v>
      </c>
      <c r="J32" s="118" t="s">
        <v>149</v>
      </c>
      <c r="K32" s="95">
        <f>IF((ISBLANK(J32)),"",Expert)</f>
        <v>50</v>
      </c>
      <c r="L32" s="118" t="s">
        <v>157</v>
      </c>
      <c r="M32" s="95">
        <f>IF((ISBLANK(L32)),"",Expert)</f>
        <v>50</v>
      </c>
      <c r="N32" s="118" t="s">
        <v>149</v>
      </c>
      <c r="O32" s="95">
        <f>IF((ISBLANK(N32)),"",Expert)</f>
        <v>50</v>
      </c>
      <c r="P32" s="118" t="s">
        <v>149</v>
      </c>
      <c r="Q32" s="95">
        <f>IF((ISBLANK(P32)),"",Expert)</f>
        <v>50</v>
      </c>
      <c r="R32" s="118" t="s">
        <v>149</v>
      </c>
      <c r="S32" s="95">
        <f>IF((ISBLANK(R32)),"",Expert)</f>
        <v>50</v>
      </c>
      <c r="T32" s="118" t="s">
        <v>151</v>
      </c>
      <c r="U32" s="95">
        <f>IF((ISBLANK(T32)),"",Expert)</f>
        <v>50</v>
      </c>
      <c r="V32" s="118" t="s">
        <v>149</v>
      </c>
      <c r="W32" s="95">
        <f>IF((ISBLANK(V32)),"",Expert)</f>
        <v>50</v>
      </c>
      <c r="X32" s="118" t="s">
        <v>149</v>
      </c>
      <c r="Y32" s="95">
        <f>IF((ISBLANK(X32)),"",Expert)</f>
        <v>50</v>
      </c>
      <c r="Z32" s="118" t="s">
        <v>155</v>
      </c>
      <c r="AA32" s="95">
        <f>IF((ISBLANK(Z32)),"",Expert)</f>
        <v>50</v>
      </c>
      <c r="AB32" s="118" t="s">
        <v>149</v>
      </c>
      <c r="AC32" s="95">
        <f>IF((ISBLANK(AB32)),"",Expert)</f>
        <v>50</v>
      </c>
      <c r="AD32" s="118" t="s">
        <v>149</v>
      </c>
      <c r="AE32" s="95">
        <f>IF((ISBLANK(AD32)),"",Expert)</f>
        <v>50</v>
      </c>
      <c r="AF32" s="118" t="s">
        <v>157</v>
      </c>
      <c r="AG32" s="95">
        <f>IF((ISBLANK(AF32)),"",Expert)</f>
        <v>50</v>
      </c>
      <c r="AH32" s="118" t="s">
        <v>153</v>
      </c>
      <c r="AI32" s="95">
        <f>IF((ISBLANK(AH32)),"",Expert)</f>
        <v>50</v>
      </c>
      <c r="AJ32" s="118" t="s">
        <v>159</v>
      </c>
      <c r="AK32" s="95">
        <f>IF((ISBLANK(AJ32)),"",Expert)</f>
        <v>50</v>
      </c>
      <c r="AL32" s="118" t="s">
        <v>159</v>
      </c>
      <c r="AM32" s="95">
        <f>IF((ISBLANK(AL32)),"",Expert)</f>
        <v>50</v>
      </c>
      <c r="AN32" s="118" t="s">
        <v>151</v>
      </c>
      <c r="AO32" s="95">
        <f>IF((ISBLANK(AN32)),"",Expert)</f>
        <v>50</v>
      </c>
      <c r="AP32" s="118" t="s">
        <v>161</v>
      </c>
      <c r="AQ32" s="95">
        <f>IF((ISBLANK(AP32)),"",Expert)</f>
        <v>50</v>
      </c>
      <c r="AR32" s="118" t="s">
        <v>153</v>
      </c>
      <c r="AS32" s="95">
        <f>IF((ISBLANK(AR32)),"",Expert)</f>
        <v>50</v>
      </c>
      <c r="AT32" s="118" t="s">
        <v>153</v>
      </c>
      <c r="AU32" s="95">
        <f>IF((ISBLANK(AT32)),"",Expert)</f>
        <v>50</v>
      </c>
      <c r="AV32" s="118" t="s">
        <v>153</v>
      </c>
      <c r="AW32" s="95">
        <f>IF((ISBLANK(AV32)),"",Expert)</f>
        <v>50</v>
      </c>
      <c r="AX32" s="118" t="s">
        <v>157</v>
      </c>
      <c r="AY32" s="95">
        <f>IF((ISBLANK(AX32)),"",Expert)</f>
        <v>50</v>
      </c>
      <c r="AZ32" s="118" t="s">
        <v>157</v>
      </c>
      <c r="BA32" s="95">
        <f>IF((ISBLANK(AZ32)),"",Expert)</f>
        <v>50</v>
      </c>
    </row>
    <row r="33" hidden="1" outlineLevel="1">
      <c r="A33" s="37" t="s">
        <v>657</v>
      </c>
      <c r="B33" s="17"/>
      <c r="C33" s="46"/>
      <c r="D33" s="17" t="s">
        <v>153</v>
      </c>
      <c r="E33" s="46">
        <f>IF((ISBLANK(D33)),"",Master)</f>
        <v>110</v>
      </c>
      <c r="F33" s="118"/>
      <c r="G33" s="46" t="str">
        <f>IF((ISBLANK(F33)),"",Master)</f>
        <v/>
      </c>
      <c r="H33" s="118" t="s">
        <v>155</v>
      </c>
      <c r="I33" s="39" t="s">
        <v>653</v>
      </c>
      <c r="J33" s="118" t="s">
        <v>163</v>
      </c>
      <c r="K33" s="95">
        <f>IF((ISBLANK(J33)),"",Master)</f>
        <v>110</v>
      </c>
      <c r="L33" s="118"/>
      <c r="M33" s="46" t="str">
        <f>IF((ISBLANK(L33)),"",Master)</f>
        <v/>
      </c>
      <c r="N33" s="118" t="s">
        <v>155</v>
      </c>
      <c r="O33" s="95">
        <f>IF((ISBLANK(N33)),"",Master)</f>
        <v>110</v>
      </c>
      <c r="P33" s="118" t="s">
        <v>155</v>
      </c>
      <c r="Q33" s="95">
        <f>IF((ISBLANK(P33)),"",Master)</f>
        <v>110</v>
      </c>
      <c r="R33" s="118" t="s">
        <v>163</v>
      </c>
      <c r="S33" s="95">
        <f>IF((ISBLANK(R33)),"",Master)</f>
        <v>110</v>
      </c>
      <c r="T33" s="118"/>
      <c r="U33" s="46" t="str">
        <f>IF((ISBLANK(T33)),"",Master)</f>
        <v/>
      </c>
      <c r="V33" s="118" t="s">
        <v>155</v>
      </c>
      <c r="W33" s="95">
        <f>IF((ISBLANK(V33)),"",Master)</f>
        <v>110</v>
      </c>
      <c r="X33" s="118" t="s">
        <v>159</v>
      </c>
      <c r="Y33" s="95">
        <f>IF((ISBLANK(X33)),"",Master)</f>
        <v>110</v>
      </c>
      <c r="Z33" s="118"/>
      <c r="AA33" s="46" t="str">
        <f>IF((ISBLANK(Z33)),"",Master)</f>
        <v/>
      </c>
      <c r="AB33" s="118" t="s">
        <v>163</v>
      </c>
      <c r="AC33" s="95">
        <f>IF((ISBLANK(AB33)),"",Master)</f>
        <v>110</v>
      </c>
      <c r="AD33" s="118" t="s">
        <v>159</v>
      </c>
      <c r="AE33" s="95">
        <f>IF((ISBLANK(AD33)),"",Master)</f>
        <v>110</v>
      </c>
      <c r="AF33" s="118"/>
      <c r="AG33" s="46" t="str">
        <f>IF((ISBLANK(AF33)),"",Master)</f>
        <v/>
      </c>
      <c r="AH33" s="118"/>
      <c r="AI33" s="46" t="str">
        <f>IF((ISBLANK(AH33)),"",Master)</f>
        <v/>
      </c>
      <c r="AJ33" s="118"/>
      <c r="AK33" s="46" t="str">
        <f>IF((ISBLANK(AJ33)),"",Master)</f>
        <v/>
      </c>
      <c r="AL33" s="118"/>
      <c r="AM33" s="46" t="str">
        <f>IF((ISBLANK(AL33)),"",Master)</f>
        <v/>
      </c>
      <c r="AN33" s="118"/>
      <c r="AO33" s="46" t="str">
        <f>IF((ISBLANK(AN33)),"",Master)</f>
        <v/>
      </c>
      <c r="AP33" s="118"/>
      <c r="AQ33" s="46" t="str">
        <f>IF((ISBLANK(AP33)),"",Master)</f>
        <v/>
      </c>
      <c r="AR33" s="118"/>
      <c r="AS33" s="46" t="str">
        <f>IF((ISBLANK(AR33)),"",Master)</f>
        <v/>
      </c>
      <c r="AT33" s="118"/>
      <c r="AU33" s="46" t="str">
        <f>IF((ISBLANK(AT33)),"",Master)</f>
        <v/>
      </c>
      <c r="AV33" s="118"/>
      <c r="AW33" s="46" t="str">
        <f>IF((ISBLANK(AV33)),"",Master)</f>
        <v/>
      </c>
      <c r="AX33" s="118"/>
      <c r="AY33" s="46" t="str">
        <f>IF((ISBLANK(AX33)),"",Master)</f>
        <v/>
      </c>
      <c r="AZ33" s="118"/>
      <c r="BA33" s="46" t="str">
        <f>IF((ISBLANK(AZ33)),"",Master)</f>
        <v/>
      </c>
    </row>
    <row r="34" hidden="1" outlineLevel="1">
      <c r="A34" s="37" t="s">
        <v>658</v>
      </c>
      <c r="B34" s="17"/>
      <c r="C34" s="46"/>
      <c r="D34" s="17" t="s">
        <v>155</v>
      </c>
      <c r="E34" s="46">
        <f>IF((ISBLANK(D34)),"",Legendary)</f>
        <v>190</v>
      </c>
      <c r="F34" s="118"/>
      <c r="G34" s="46" t="str">
        <f>IF((ISBLANK(F34)),"",Legendary)</f>
        <v/>
      </c>
      <c r="H34" s="118" t="s">
        <v>163</v>
      </c>
      <c r="I34" s="39" t="s">
        <v>653</v>
      </c>
      <c r="J34" s="118"/>
      <c r="K34" s="46" t="str">
        <f>IF((ISBLANK(J34)),"",Legendary)</f>
        <v/>
      </c>
      <c r="L34" s="118"/>
      <c r="M34" s="46" t="str">
        <f>IF((ISBLANK(L34)),"",Legendary)</f>
        <v/>
      </c>
      <c r="N34" s="118" t="s">
        <v>163</v>
      </c>
      <c r="O34" s="95">
        <f>IF((ISBLANK(N34)),"",Legendary)</f>
        <v>190</v>
      </c>
      <c r="P34" s="118" t="s">
        <v>161</v>
      </c>
      <c r="Q34" s="95">
        <f>IF((ISBLANK(P34)),"",Legendary)</f>
        <v>190</v>
      </c>
      <c r="R34" s="118"/>
      <c r="S34" s="46" t="str">
        <f>IF((ISBLANK(R34)),"",Legendary)</f>
        <v/>
      </c>
      <c r="T34" s="118"/>
      <c r="U34" s="46" t="str">
        <f>IF((ISBLANK(T34)),"",Legendary)</f>
        <v/>
      </c>
      <c r="V34" s="118" t="s">
        <v>161</v>
      </c>
      <c r="W34" s="95">
        <f>IF((ISBLANK(V34)),"",Legendary)</f>
        <v>190</v>
      </c>
      <c r="X34" s="118"/>
      <c r="Y34" s="46" t="str">
        <f>IF((ISBLANK(X34)),"",Legendary)</f>
        <v/>
      </c>
      <c r="Z34" s="118"/>
      <c r="AA34" s="46" t="str">
        <f>IF((ISBLANK(Z34)),"",Legendary)</f>
        <v/>
      </c>
      <c r="AB34" s="118"/>
      <c r="AC34" s="46" t="str">
        <f>IF((ISBLANK(AB34)),"",Legendary)</f>
        <v/>
      </c>
      <c r="AD34" s="118"/>
      <c r="AE34" s="46" t="str">
        <f>IF((ISBLANK(AD34)),"",Legendary)</f>
        <v/>
      </c>
      <c r="AF34" s="118"/>
      <c r="AG34" s="46" t="str">
        <f>IF((ISBLANK(AF34)),"",Legendary)</f>
        <v/>
      </c>
      <c r="AH34" s="118"/>
      <c r="AI34" s="46" t="str">
        <f>IF((ISBLANK(AH34)),"",Legendary)</f>
        <v/>
      </c>
      <c r="AJ34" s="118"/>
      <c r="AK34" s="46" t="str">
        <f>IF((ISBLANK(AJ34)),"",Legendary)</f>
        <v/>
      </c>
      <c r="AL34" s="118"/>
      <c r="AM34" s="46" t="str">
        <f>IF((ISBLANK(AL34)),"",Legendary)</f>
        <v/>
      </c>
      <c r="AN34" s="118"/>
      <c r="AO34" s="46" t="str">
        <f>IF((ISBLANK(AN34)),"",Legendary)</f>
        <v/>
      </c>
      <c r="AP34" s="118"/>
      <c r="AQ34" s="46" t="str">
        <f>IF((ISBLANK(AP34)),"",Legendary)</f>
        <v/>
      </c>
      <c r="AR34" s="118"/>
      <c r="AS34" s="46" t="str">
        <f>IF((ISBLANK(AR34)),"",Legendary)</f>
        <v/>
      </c>
      <c r="AT34" s="118"/>
      <c r="AU34" s="46" t="str">
        <f>IF((ISBLANK(AT34)),"",Legendary)</f>
        <v/>
      </c>
      <c r="AV34" s="118"/>
      <c r="AW34" s="46" t="str">
        <f>IF((ISBLANK(AV34)),"",Legendary)</f>
        <v/>
      </c>
      <c r="AX34" s="118"/>
      <c r="AY34" s="46" t="str">
        <f>IF((ISBLANK(AX34)),"",Legendary)</f>
        <v/>
      </c>
      <c r="AZ34" s="118"/>
      <c r="BA34" s="46" t="str">
        <f>IF((ISBLANK(AZ34)),"",Legendary)</f>
        <v/>
      </c>
    </row>
    <row r="35" hidden="1" outlineLevel="1">
      <c r="A35" s="37" t="s">
        <v>662</v>
      </c>
      <c r="B35" s="17"/>
      <c r="C35" s="46"/>
      <c r="D35" s="17" t="s">
        <v>149</v>
      </c>
      <c r="E35" s="46">
        <f>IF((ISBLANK(D35)),"",Trained)</f>
        <v>10</v>
      </c>
      <c r="F35" s="118" t="s">
        <v>622</v>
      </c>
      <c r="G35" s="95">
        <f>IF((ISBLANK(F35)),"",Trained)</f>
        <v>10</v>
      </c>
      <c r="H35" s="118" t="s">
        <v>622</v>
      </c>
      <c r="I35" s="95">
        <f>IF((ISBLANK(H35)),"",Trained)</f>
        <v>10</v>
      </c>
      <c r="J35" s="118" t="s">
        <v>149</v>
      </c>
      <c r="K35" s="95">
        <f>IF((ISBLANK(J35)),"",Trained)</f>
        <v>10</v>
      </c>
      <c r="L35" s="118" t="s">
        <v>622</v>
      </c>
      <c r="M35" s="95">
        <f>IF((ISBLANK(L35)),"",Trained)</f>
        <v>10</v>
      </c>
      <c r="N35" s="118" t="s">
        <v>149</v>
      </c>
      <c r="O35" s="95">
        <f>IF((ISBLANK(N35)),"",Trained)</f>
        <v>10</v>
      </c>
      <c r="P35" s="118" t="s">
        <v>622</v>
      </c>
      <c r="Q35" s="95">
        <f>IF((ISBLANK(P35)),"",Trained)</f>
        <v>10</v>
      </c>
      <c r="R35" s="118" t="s">
        <v>622</v>
      </c>
      <c r="S35" s="95">
        <f>IF((ISBLANK(R35)),"",Trained)</f>
        <v>10</v>
      </c>
      <c r="T35" s="118" t="s">
        <v>622</v>
      </c>
      <c r="U35" s="95">
        <f>IF((ISBLANK(T35)),"",Trained)</f>
        <v>10</v>
      </c>
      <c r="V35" s="118" t="s">
        <v>622</v>
      </c>
      <c r="W35" s="95">
        <f>IF((ISBLANK(V35)),"",Trained)</f>
        <v>10</v>
      </c>
      <c r="X35" s="118" t="s">
        <v>149</v>
      </c>
      <c r="Y35" s="95">
        <f>IF((ISBLANK(X35)),"",Trained)</f>
        <v>10</v>
      </c>
      <c r="Z35" s="118" t="s">
        <v>622</v>
      </c>
      <c r="AA35" s="95">
        <f>IF((ISBLANK(Z35)),"",Trained)</f>
        <v>10</v>
      </c>
      <c r="AB35" s="118" t="s">
        <v>149</v>
      </c>
      <c r="AC35" s="95">
        <f>IF((ISBLANK(AB35)),"",Trained)</f>
        <v>10</v>
      </c>
      <c r="AD35" s="118" t="s">
        <v>149</v>
      </c>
      <c r="AE35" s="95">
        <f>IF((ISBLANK(AD35)),"",Trained)</f>
        <v>10</v>
      </c>
      <c r="AF35" s="118" t="s">
        <v>622</v>
      </c>
      <c r="AG35" s="95">
        <f>IF((ISBLANK(AF35)),"",Trained)</f>
        <v>10</v>
      </c>
      <c r="AH35" s="118" t="s">
        <v>622</v>
      </c>
      <c r="AI35" s="95">
        <f>IF((ISBLANK(AH35)),"",Trained)</f>
        <v>10</v>
      </c>
      <c r="AJ35" s="118" t="s">
        <v>622</v>
      </c>
      <c r="AK35" s="95">
        <f>IF((ISBLANK(AJ35)),"",Trained)</f>
        <v>10</v>
      </c>
      <c r="AL35" s="118" t="s">
        <v>622</v>
      </c>
      <c r="AM35" s="95">
        <f>IF((ISBLANK(AL35)),"",Trained)</f>
        <v>10</v>
      </c>
      <c r="AN35" s="118" t="s">
        <v>622</v>
      </c>
      <c r="AO35" s="95">
        <f>IF((ISBLANK(AN35)),"",Trained)</f>
        <v>10</v>
      </c>
      <c r="AP35" s="118" t="s">
        <v>622</v>
      </c>
      <c r="AQ35" s="95">
        <f>IF((ISBLANK(AP35)),"",Trained)</f>
        <v>10</v>
      </c>
      <c r="AR35" s="118" t="s">
        <v>622</v>
      </c>
      <c r="AS35" s="95">
        <f>IF((ISBLANK(AR35)),"",Trained)</f>
        <v>10</v>
      </c>
      <c r="AT35" s="118" t="s">
        <v>622</v>
      </c>
      <c r="AU35" s="95">
        <f>IF((ISBLANK(AT35)),"",Trained)</f>
        <v>10</v>
      </c>
      <c r="AV35" s="118" t="s">
        <v>622</v>
      </c>
      <c r="AW35" s="95">
        <f>IF((ISBLANK(AV35)),"",Trained)</f>
        <v>10</v>
      </c>
      <c r="AX35" s="118" t="s">
        <v>622</v>
      </c>
      <c r="AY35" s="95">
        <f>IF((ISBLANK(AX35)),"",Trained)</f>
        <v>10</v>
      </c>
      <c r="AZ35" s="118" t="s">
        <v>622</v>
      </c>
      <c r="BA35" s="95">
        <f>IF((ISBLANK(AZ35)),"",Trained)</f>
        <v>10</v>
      </c>
    </row>
    <row r="36" hidden="1" outlineLevel="1">
      <c r="A36" s="37" t="s">
        <v>664</v>
      </c>
      <c r="B36" s="17"/>
      <c r="C36" s="46"/>
      <c r="D36" s="17" t="s">
        <v>151</v>
      </c>
      <c r="E36" s="46">
        <f>IF((ISBLANK(D36)),"",Expert)</f>
        <v>50</v>
      </c>
      <c r="F36" s="118" t="s">
        <v>149</v>
      </c>
      <c r="G36" s="95">
        <f>IF((ISBLANK(F36)),"",Expert)</f>
        <v>50</v>
      </c>
      <c r="H36" s="118" t="s">
        <v>149</v>
      </c>
      <c r="I36" s="95">
        <f>IF((ISBLANK(H36)),"",Expert)</f>
        <v>50</v>
      </c>
      <c r="J36" s="118" t="s">
        <v>151</v>
      </c>
      <c r="K36" s="95">
        <f>IF((ISBLANK(J36)),"",Expert)</f>
        <v>50</v>
      </c>
      <c r="L36" s="118" t="s">
        <v>149</v>
      </c>
      <c r="M36" s="95">
        <f>IF((ISBLANK(L36)),"",Expert)</f>
        <v>50</v>
      </c>
      <c r="N36" s="118" t="s">
        <v>151</v>
      </c>
      <c r="O36" s="95">
        <f>IF((ISBLANK(N36)),"",Expert)</f>
        <v>50</v>
      </c>
      <c r="P36" s="118" t="s">
        <v>149</v>
      </c>
      <c r="Q36" s="95">
        <f>IF((ISBLANK(P36)),"",Expert)</f>
        <v>50</v>
      </c>
      <c r="R36" s="118" t="s">
        <v>149</v>
      </c>
      <c r="S36" s="95">
        <f>IF((ISBLANK(R36)),"",Expert)</f>
        <v>50</v>
      </c>
      <c r="T36" s="118" t="s">
        <v>149</v>
      </c>
      <c r="U36" s="95">
        <f>IF((ISBLANK(T36)),"",Expert)</f>
        <v>50</v>
      </c>
      <c r="V36" s="118" t="s">
        <v>149</v>
      </c>
      <c r="W36" s="95">
        <f>IF((ISBLANK(V36)),"",Expert)</f>
        <v>50</v>
      </c>
      <c r="X36" s="118" t="s">
        <v>151</v>
      </c>
      <c r="Y36" s="95">
        <f>IF((ISBLANK(X36)),"",Expert)</f>
        <v>50</v>
      </c>
      <c r="Z36" s="118" t="s">
        <v>149</v>
      </c>
      <c r="AA36" s="95">
        <f>IF((ISBLANK(Z36)),"",Expert)</f>
        <v>50</v>
      </c>
      <c r="AB36" s="118" t="s">
        <v>155</v>
      </c>
      <c r="AC36" s="95">
        <f>IF((ISBLANK(AB36)),"",Expert)</f>
        <v>50</v>
      </c>
      <c r="AD36" s="118" t="s">
        <v>151</v>
      </c>
      <c r="AE36" s="95">
        <f>IF((ISBLANK(AD36)),"",Expert)</f>
        <v>50</v>
      </c>
      <c r="AF36" s="118" t="s">
        <v>149</v>
      </c>
      <c r="AG36" s="95">
        <f>IF((ISBLANK(AF36)),"",Expert)</f>
        <v>50</v>
      </c>
      <c r="AH36" s="118" t="s">
        <v>149</v>
      </c>
      <c r="AI36" s="95">
        <f>IF((ISBLANK(AH36)),"",Expert)</f>
        <v>50</v>
      </c>
      <c r="AJ36" s="118" t="s">
        <v>149</v>
      </c>
      <c r="AK36" s="95">
        <f>IF((ISBLANK(AJ36)),"",Expert)</f>
        <v>50</v>
      </c>
      <c r="AL36" s="118" t="s">
        <v>149</v>
      </c>
      <c r="AM36" s="95">
        <f>IF((ISBLANK(AL36)),"",Expert)</f>
        <v>50</v>
      </c>
      <c r="AN36" s="118" t="s">
        <v>149</v>
      </c>
      <c r="AO36" s="95">
        <f>IF((ISBLANK(AN36)),"",Expert)</f>
        <v>50</v>
      </c>
      <c r="AP36" s="118" t="s">
        <v>149</v>
      </c>
      <c r="AQ36" s="95">
        <f>IF((ISBLANK(AP36)),"",Expert)</f>
        <v>50</v>
      </c>
      <c r="AR36" s="118" t="s">
        <v>149</v>
      </c>
      <c r="AS36" s="95">
        <f>IF((ISBLANK(AR36)),"",Expert)</f>
        <v>50</v>
      </c>
      <c r="AT36" s="118" t="s">
        <v>149</v>
      </c>
      <c r="AU36" s="95">
        <f>IF((ISBLANK(AT36)),"",Expert)</f>
        <v>50</v>
      </c>
      <c r="AV36" s="118" t="s">
        <v>149</v>
      </c>
      <c r="AW36" s="95">
        <f>IF((ISBLANK(AV36)),"",Expert)</f>
        <v>50</v>
      </c>
      <c r="AX36" s="118" t="s">
        <v>149</v>
      </c>
      <c r="AY36" s="95">
        <f>IF((ISBLANK(AX36)),"",Expert)</f>
        <v>50</v>
      </c>
      <c r="AZ36" s="118" t="s">
        <v>149</v>
      </c>
      <c r="BA36" s="95">
        <f>IF((ISBLANK(AZ36)),"",Expert)</f>
        <v>50</v>
      </c>
    </row>
    <row r="37" hidden="1" outlineLevel="1">
      <c r="A37" s="37" t="s">
        <v>665</v>
      </c>
      <c r="B37" s="17"/>
      <c r="C37" s="46"/>
      <c r="D37" s="17" t="s">
        <v>153</v>
      </c>
      <c r="E37" s="46">
        <f>IF((ISBLANK(D37)),"",Master)</f>
        <v>110</v>
      </c>
      <c r="F37" s="118" t="s">
        <v>159</v>
      </c>
      <c r="G37" s="95">
        <f>IF((ISBLANK(F37)),"",Master)</f>
        <v>110</v>
      </c>
      <c r="H37" s="118" t="s">
        <v>155</v>
      </c>
      <c r="I37" s="39" t="s">
        <v>653</v>
      </c>
      <c r="J37" s="118"/>
      <c r="K37" s="46" t="str">
        <f>IF((ISBLANK(J37)),"",Master)</f>
        <v/>
      </c>
      <c r="L37" s="118" t="s">
        <v>163</v>
      </c>
      <c r="M37" s="95">
        <f>IF((ISBLANK(L37)),"",Master)</f>
        <v>110</v>
      </c>
      <c r="N37" s="118"/>
      <c r="O37" s="46" t="str">
        <f>IF((ISBLANK(N37)),"",Master)</f>
        <v/>
      </c>
      <c r="P37" s="118" t="s">
        <v>165</v>
      </c>
      <c r="Q37" s="95">
        <f>IF((ISBLANK(P37)),"",Master)</f>
        <v>110</v>
      </c>
      <c r="R37" s="118" t="s">
        <v>159</v>
      </c>
      <c r="S37" s="95">
        <f>IF((ISBLANK(R37)),"",Master)</f>
        <v>110</v>
      </c>
      <c r="T37" s="118" t="s">
        <v>155</v>
      </c>
      <c r="U37" s="95">
        <f>IF((ISBLANK(T37)),"",Master)</f>
        <v>110</v>
      </c>
      <c r="V37" s="118" t="s">
        <v>165</v>
      </c>
      <c r="W37" s="95">
        <f>IF((ISBLANK(V37)),"",Master)</f>
        <v>110</v>
      </c>
      <c r="X37" s="118"/>
      <c r="Y37" s="46" t="str">
        <f>IF((ISBLANK(X37)),"",Master)</f>
        <v/>
      </c>
      <c r="Z37" s="118" t="s">
        <v>159</v>
      </c>
      <c r="AA37" s="95">
        <f>IF((ISBLANK(Z37)),"",Master)</f>
        <v>110</v>
      </c>
      <c r="AB37" s="118"/>
      <c r="AC37" s="46" t="str">
        <f>IF((ISBLANK(AB37)),"",Master)</f>
        <v/>
      </c>
      <c r="AD37" s="118"/>
      <c r="AE37" s="46" t="str">
        <f>IF((ISBLANK(AD37)),"",Master)</f>
        <v/>
      </c>
      <c r="AF37" s="118" t="s">
        <v>163</v>
      </c>
      <c r="AG37" s="95">
        <f>IF((ISBLANK(AF37)),"",Master)</f>
        <v>110</v>
      </c>
      <c r="AH37" s="118" t="s">
        <v>157</v>
      </c>
      <c r="AI37" s="95">
        <f>IF((ISBLANK(AH37)),"",Master)</f>
        <v>110</v>
      </c>
      <c r="AJ37" s="118" t="s">
        <v>157</v>
      </c>
      <c r="AK37" s="95">
        <f>IF((ISBLANK(AJ37)),"",Master)</f>
        <v>110</v>
      </c>
      <c r="AL37" s="118" t="s">
        <v>157</v>
      </c>
      <c r="AM37" s="95">
        <f>IF((ISBLANK(AL37)),"",Master)</f>
        <v>110</v>
      </c>
      <c r="AN37" s="118" t="s">
        <v>157</v>
      </c>
      <c r="AO37" s="95">
        <f>IF((ISBLANK(AN37)),"",Master)</f>
        <v>110</v>
      </c>
      <c r="AP37" s="118" t="s">
        <v>155</v>
      </c>
      <c r="AQ37" s="95">
        <f>IF((ISBLANK(AP37)),"",Master)</f>
        <v>110</v>
      </c>
      <c r="AR37" s="118" t="s">
        <v>159</v>
      </c>
      <c r="AS37" s="95">
        <f>IF((ISBLANK(AR37)),"",Master)</f>
        <v>110</v>
      </c>
      <c r="AT37" s="118" t="s">
        <v>159</v>
      </c>
      <c r="AU37" s="95">
        <f>IF((ISBLANK(AT37)),"",Master)</f>
        <v>110</v>
      </c>
      <c r="AV37" s="118" t="s">
        <v>165</v>
      </c>
      <c r="AW37" s="95">
        <f>IF((ISBLANK(AV37)),"",Master)</f>
        <v>110</v>
      </c>
      <c r="AX37" s="118" t="s">
        <v>165</v>
      </c>
      <c r="AY37" s="95">
        <f>IF((ISBLANK(AX37)),"",Master)</f>
        <v>110</v>
      </c>
      <c r="AZ37" s="118" t="s">
        <v>165</v>
      </c>
      <c r="BA37" s="95">
        <f>IF((ISBLANK(AZ37)),"",Master)</f>
        <v>110</v>
      </c>
    </row>
    <row r="38" hidden="1" outlineLevel="1">
      <c r="A38" s="37" t="s">
        <v>666</v>
      </c>
      <c r="B38" s="17"/>
      <c r="C38" s="46"/>
      <c r="D38" s="17" t="s">
        <v>155</v>
      </c>
      <c r="E38" s="46">
        <f>IF((ISBLANK(D38)),"",Legendary)</f>
        <v>190</v>
      </c>
      <c r="F38" s="118"/>
      <c r="G38" s="46" t="str">
        <f>IF((ISBLANK(F38)),"",Legendary)</f>
        <v/>
      </c>
      <c r="H38" s="118" t="s">
        <v>163</v>
      </c>
      <c r="I38" s="39" t="s">
        <v>653</v>
      </c>
      <c r="J38" s="118"/>
      <c r="K38" s="46" t="str">
        <f>IF((ISBLANK(J38)),"",Legendary)</f>
        <v/>
      </c>
      <c r="L38" s="118"/>
      <c r="M38" s="46" t="str">
        <f>IF((ISBLANK(L38)),"",Legendary)</f>
        <v/>
      </c>
      <c r="N38" s="118"/>
      <c r="O38" s="46" t="str">
        <f>IF((ISBLANK(N38)),"",Legendary)</f>
        <v/>
      </c>
      <c r="P38" s="118"/>
      <c r="Q38" s="46" t="str">
        <f>IF((ISBLANK(P38)),"",Legendary)</f>
        <v/>
      </c>
      <c r="R38" s="118" t="s">
        <v>165</v>
      </c>
      <c r="S38" s="95">
        <f>IF((ISBLANK(R38)),"",Legendary)</f>
        <v>190</v>
      </c>
      <c r="T38" s="118" t="s">
        <v>161</v>
      </c>
      <c r="U38" s="95">
        <f>IF((ISBLANK(T38)),"",Legendary)</f>
        <v>190</v>
      </c>
      <c r="V38" s="118"/>
      <c r="W38" s="46" t="str">
        <f>IF((ISBLANK(V38)),"",Legendary)</f>
        <v/>
      </c>
      <c r="X38" s="118"/>
      <c r="Y38" s="46" t="str">
        <f>IF((ISBLANK(X38)),"",Legendary)</f>
        <v/>
      </c>
      <c r="Z38" s="118"/>
      <c r="AA38" s="46" t="str">
        <f>IF((ISBLANK(Z38)),"",Legendary)</f>
        <v/>
      </c>
      <c r="AB38" s="118"/>
      <c r="AC38" s="46" t="str">
        <f>IF((ISBLANK(AB38)),"",Legendary)</f>
        <v/>
      </c>
      <c r="AD38" s="118"/>
      <c r="AE38" s="46" t="str">
        <f>IF((ISBLANK(AD38)),"",Legendary)</f>
        <v/>
      </c>
      <c r="AF38" s="118"/>
      <c r="AG38" s="46" t="str">
        <f>IF((ISBLANK(AF38)),"",Legendary)</f>
        <v/>
      </c>
      <c r="AH38" s="118"/>
      <c r="AI38" s="46" t="str">
        <f>IF((ISBLANK(AH38)),"",Legendary)</f>
        <v/>
      </c>
      <c r="AJ38" s="118"/>
      <c r="AK38" s="46" t="str">
        <f>IF((ISBLANK(AJ38)),"",Legendary)</f>
        <v/>
      </c>
      <c r="AL38" s="118"/>
      <c r="AM38" s="46" t="str">
        <f>IF((ISBLANK(AL38)),"",Legendary)</f>
        <v/>
      </c>
      <c r="AN38" s="118" t="s">
        <v>165</v>
      </c>
      <c r="AO38" s="95">
        <f>IF((ISBLANK(AN38)),"",Legendary)</f>
        <v>190</v>
      </c>
      <c r="AP38" s="118" t="s">
        <v>165</v>
      </c>
      <c r="AQ38" s="95">
        <f>IF((ISBLANK(AP38)),"",Legendary)</f>
        <v>190</v>
      </c>
      <c r="AR38" s="118"/>
      <c r="AS38" s="46" t="str">
        <f>IF((ISBLANK(AR38)),"",Legendary)</f>
        <v/>
      </c>
      <c r="AT38" s="118" t="s">
        <v>165</v>
      </c>
      <c r="AU38" s="95">
        <f>IF((ISBLANK(AT38)),"",Legendary)</f>
        <v>190</v>
      </c>
      <c r="AV38" s="118"/>
      <c r="AW38" s="46" t="str">
        <f>IF((ISBLANK(AV38)),"",Legendary)</f>
        <v/>
      </c>
      <c r="AX38" s="118"/>
      <c r="AY38" s="46" t="str">
        <f>IF((ISBLANK(AX38)),"",Legendary)</f>
        <v/>
      </c>
      <c r="AZ38" s="118"/>
      <c r="BA38" s="46" t="str">
        <f>IF((ISBLANK(AZ38)),"",Legendary)</f>
        <v/>
      </c>
    </row>
    <row r="39" collapsed="1">
      <c r="A39" s="121" t="s">
        <v>667</v>
      </c>
      <c r="B39" s="122"/>
      <c r="C39" s="173"/>
      <c r="D39" s="173"/>
      <c r="E39" s="75">
        <f>E59+E79+E100</f>
        <v>290</v>
      </c>
      <c r="F39" s="75"/>
      <c r="G39" s="84">
        <f>G59+G79+G100</f>
        <v>20</v>
      </c>
      <c r="H39" s="75"/>
      <c r="I39" s="84">
        <f>I59+I79+I100</f>
        <v>20</v>
      </c>
      <c r="J39" s="75"/>
      <c r="K39" s="84">
        <f>K59+K79+K100</f>
        <v>20</v>
      </c>
      <c r="L39" s="75"/>
      <c r="M39" s="84">
        <f>M59+M79+M100</f>
        <v>20</v>
      </c>
      <c r="N39" s="75"/>
      <c r="O39" s="84">
        <f>O59+O79+O100</f>
        <v>30</v>
      </c>
      <c r="P39" s="75"/>
      <c r="Q39" s="84">
        <f>Q59+Q79+Q100</f>
        <v>140</v>
      </c>
      <c r="R39" s="75"/>
      <c r="S39" s="84">
        <f>S59+S79+S100</f>
        <v>120</v>
      </c>
      <c r="T39" s="75"/>
      <c r="U39" s="84">
        <f>U59+U79+U100</f>
        <v>70</v>
      </c>
      <c r="V39" s="75"/>
      <c r="W39" s="84">
        <f>W59+W79+W100</f>
        <v>40</v>
      </c>
      <c r="X39" s="75"/>
      <c r="Y39" s="84">
        <f>Y59+Y79+Y100</f>
        <v>20</v>
      </c>
      <c r="Z39" s="75"/>
      <c r="AA39" s="84">
        <f>AA59+AA79+AA100</f>
        <v>40</v>
      </c>
      <c r="AB39" s="75"/>
      <c r="AC39" s="84">
        <f>AC59+AC79+AC100</f>
        <v>20</v>
      </c>
      <c r="AD39" s="75"/>
      <c r="AE39" s="84">
        <f>AE59+AE79+AE100</f>
        <v>20</v>
      </c>
      <c r="AF39" s="75"/>
      <c r="AG39" s="84">
        <f>AG59+AG79+AG100</f>
        <v>25</v>
      </c>
      <c r="AH39" s="75"/>
      <c r="AI39" s="84">
        <f>AI59+AI79+AI100</f>
        <v>15</v>
      </c>
      <c r="AJ39" s="75"/>
      <c r="AK39" s="84">
        <f>AK59+AK79+AK100</f>
        <v>20</v>
      </c>
      <c r="AL39" s="75"/>
      <c r="AM39" s="84">
        <f>AM59+AM79+AM100</f>
        <v>20</v>
      </c>
      <c r="AN39" s="75"/>
      <c r="AO39" s="84">
        <f>AO59+AO79+AO100</f>
        <v>30</v>
      </c>
      <c r="AP39" s="75"/>
      <c r="AQ39" s="84">
        <f>AQ59+AQ79+AQ100</f>
        <v>25</v>
      </c>
      <c r="AR39" s="75"/>
      <c r="AS39" s="84">
        <f>AS59+AS79+AS100</f>
        <v>20</v>
      </c>
      <c r="AT39" s="75"/>
      <c r="AU39" s="84">
        <f>AU59+AU79+AU100</f>
        <v>20</v>
      </c>
      <c r="AV39" s="75"/>
      <c r="AW39" s="84">
        <f>AW59+AW79+AW100</f>
        <v>15</v>
      </c>
      <c r="AX39" s="75"/>
      <c r="AY39" s="84">
        <f>AY59+AY79+AY100</f>
        <v>20</v>
      </c>
      <c r="AZ39" s="75"/>
      <c r="BA39" s="84">
        <f>BA59+BA79+BA100</f>
        <v>20</v>
      </c>
    </row>
    <row r="40" hidden="1" outlineLevel="1">
      <c r="A40" s="37" t="s">
        <v>712</v>
      </c>
      <c r="B40" s="46" t="s">
        <v>148</v>
      </c>
      <c r="C40" s="35"/>
      <c r="D40" s="44">
        <v>1.0</v>
      </c>
      <c r="E40" s="46">
        <f>D40*SkillIncrease</f>
        <v>5</v>
      </c>
      <c r="F40" s="94">
        <v>2.0</v>
      </c>
      <c r="G40" s="95">
        <f>F40*SkillIncrease</f>
        <v>10</v>
      </c>
      <c r="H40" s="94">
        <v>4.0</v>
      </c>
      <c r="I40" s="95">
        <f>H40*SkillIncrease</f>
        <v>20</v>
      </c>
      <c r="J40" s="94">
        <v>3.0</v>
      </c>
      <c r="K40" s="95">
        <f>J40*SkillIncrease</f>
        <v>15</v>
      </c>
      <c r="L40" s="94">
        <v>3.0</v>
      </c>
      <c r="M40" s="95">
        <f>L40*SkillIncrease</f>
        <v>15</v>
      </c>
      <c r="N40" s="94">
        <v>4.0</v>
      </c>
      <c r="O40" s="95">
        <f>N40*SkillIncrease</f>
        <v>20</v>
      </c>
      <c r="P40" s="94">
        <v>7.0</v>
      </c>
      <c r="Q40" s="95">
        <f>P40*SkillIncrease</f>
        <v>35</v>
      </c>
      <c r="R40" s="94">
        <v>4.0</v>
      </c>
      <c r="S40" s="95">
        <f>R40*SkillIncrease</f>
        <v>20</v>
      </c>
      <c r="T40" s="94">
        <v>3.0</v>
      </c>
      <c r="U40" s="95">
        <f>T40*SkillIncrease</f>
        <v>15</v>
      </c>
      <c r="V40" s="94">
        <v>4.0</v>
      </c>
      <c r="W40" s="95">
        <f>V40*SkillIncrease</f>
        <v>20</v>
      </c>
      <c r="X40" s="94">
        <v>3.0</v>
      </c>
      <c r="Y40" s="95">
        <f>X40*SkillIncrease</f>
        <v>15</v>
      </c>
      <c r="Z40" s="94">
        <v>3.0</v>
      </c>
      <c r="AA40" s="95">
        <f>Z40*SkillIncrease</f>
        <v>15</v>
      </c>
      <c r="AB40" s="94">
        <v>3.0</v>
      </c>
      <c r="AC40" s="95">
        <f>AB40*SkillIncrease</f>
        <v>15</v>
      </c>
      <c r="AD40" s="95">
        <v>3.0</v>
      </c>
      <c r="AE40" s="95">
        <f>AD40*SkillIncrease</f>
        <v>15</v>
      </c>
      <c r="AF40" s="94">
        <v>3.0</v>
      </c>
      <c r="AG40" s="95">
        <f>AF40*SkillIncrease</f>
        <v>15</v>
      </c>
      <c r="AH40" s="94">
        <v>2.0</v>
      </c>
      <c r="AI40" s="95">
        <f>AH40*SkillIncrease</f>
        <v>10</v>
      </c>
      <c r="AJ40" s="94">
        <v>2.0</v>
      </c>
      <c r="AK40" s="95">
        <f>AJ40*SkillIncrease</f>
        <v>10</v>
      </c>
      <c r="AL40" s="94">
        <v>2.0</v>
      </c>
      <c r="AM40" s="95">
        <f>AL40*SkillIncrease</f>
        <v>10</v>
      </c>
      <c r="AN40" s="94">
        <v>4.0</v>
      </c>
      <c r="AO40" s="95">
        <f>AN40*SkillIncrease</f>
        <v>20</v>
      </c>
      <c r="AP40" s="94">
        <v>3.0</v>
      </c>
      <c r="AQ40" s="95">
        <f>AP40*SkillIncrease</f>
        <v>15</v>
      </c>
      <c r="AR40" s="94">
        <v>2.0</v>
      </c>
      <c r="AS40" s="95">
        <f>AR40*SkillIncrease</f>
        <v>10</v>
      </c>
      <c r="AT40" s="94">
        <v>3.0</v>
      </c>
      <c r="AU40" s="95">
        <f>AT40*SkillIncrease</f>
        <v>15</v>
      </c>
      <c r="AV40" s="94">
        <v>2.0</v>
      </c>
      <c r="AW40" s="95">
        <f>AV40*SkillIncrease</f>
        <v>10</v>
      </c>
      <c r="AX40" s="94">
        <v>3.0</v>
      </c>
      <c r="AY40" s="95">
        <f>AX40*SkillIncrease</f>
        <v>15</v>
      </c>
      <c r="AZ40" s="94">
        <v>2.0</v>
      </c>
      <c r="BA40" s="95">
        <f>AZ40*SkillIncrease</f>
        <v>10</v>
      </c>
    </row>
    <row r="41" hidden="1" outlineLevel="1">
      <c r="A41" s="37" t="s">
        <v>744</v>
      </c>
      <c r="B41" s="46" t="s">
        <v>148</v>
      </c>
      <c r="C41" s="46"/>
      <c r="D41" s="44">
        <v>1.0</v>
      </c>
      <c r="E41" s="46">
        <f>D41*SkillIncrease</f>
        <v>5</v>
      </c>
      <c r="F41" s="94">
        <v>1.0</v>
      </c>
      <c r="G41" s="95">
        <f>F41*SkillIncrease</f>
        <v>5</v>
      </c>
      <c r="H41" s="46"/>
      <c r="I41" s="46"/>
      <c r="J41" s="95">
        <v>1.0</v>
      </c>
      <c r="K41" s="95">
        <f>J41*SkillIncrease</f>
        <v>5</v>
      </c>
      <c r="L41" s="46"/>
      <c r="M41" s="46"/>
      <c r="N41" s="46"/>
      <c r="O41" s="46"/>
      <c r="P41" s="94">
        <v>1.0</v>
      </c>
      <c r="Q41" s="95">
        <v>0.0</v>
      </c>
      <c r="R41" s="94">
        <v>1.0</v>
      </c>
      <c r="S41" s="95">
        <v>0.0</v>
      </c>
      <c r="T41" s="46"/>
      <c r="U41" s="95"/>
      <c r="V41" s="94">
        <v>1.0</v>
      </c>
      <c r="W41" s="95">
        <v>0.0</v>
      </c>
      <c r="X41" s="94">
        <v>1.0</v>
      </c>
      <c r="Y41" s="95">
        <f>X41*SkillIncrease</f>
        <v>5</v>
      </c>
      <c r="Z41" s="46"/>
      <c r="AA41" s="46"/>
      <c r="AB41" s="46"/>
      <c r="AC41" s="46"/>
      <c r="AD41" s="46"/>
      <c r="AE41" s="95">
        <f>AD41*SkillIncrease</f>
        <v>0</v>
      </c>
      <c r="AF41" s="94">
        <v>2.0</v>
      </c>
      <c r="AG41" s="95">
        <f>AF41*SkillIncrease</f>
        <v>10</v>
      </c>
      <c r="AH41" s="46"/>
      <c r="AI41" s="46"/>
      <c r="AJ41" s="94">
        <v>1.0</v>
      </c>
      <c r="AK41" s="95">
        <f>AJ41*SkillIncrease</f>
        <v>5</v>
      </c>
      <c r="AL41" s="94">
        <v>1.0</v>
      </c>
      <c r="AM41" s="95">
        <f>AL41*SkillIncrease</f>
        <v>5</v>
      </c>
      <c r="AN41" s="39"/>
      <c r="AO41" s="46"/>
      <c r="AP41" s="94">
        <v>1.0</v>
      </c>
      <c r="AQ41" s="95">
        <f>AP41*SkillIncrease</f>
        <v>5</v>
      </c>
      <c r="AR41" s="94">
        <v>1.0</v>
      </c>
      <c r="AS41" s="95">
        <f>AR41*SkillIncrease</f>
        <v>5</v>
      </c>
      <c r="AT41" s="46"/>
      <c r="AU41" s="95"/>
      <c r="AV41" s="46"/>
      <c r="AW41" s="46"/>
      <c r="AX41" s="94">
        <v>1.0</v>
      </c>
      <c r="AY41" s="95">
        <f>AX41*SkillIncrease</f>
        <v>5</v>
      </c>
      <c r="AZ41" s="94">
        <v>2.0</v>
      </c>
      <c r="BA41" s="95">
        <f>AZ41*SkillIncrease</f>
        <v>10</v>
      </c>
    </row>
    <row r="42" hidden="1" outlineLevel="1">
      <c r="A42" s="35" t="s">
        <v>756</v>
      </c>
      <c r="B42" s="46" t="s">
        <v>148</v>
      </c>
      <c r="C42" s="46"/>
      <c r="D42" s="37" t="s">
        <v>266</v>
      </c>
      <c r="E42" s="46">
        <f>if((ISBLANK(D42)),"",SkillIncrease)</f>
        <v>5</v>
      </c>
      <c r="F42" s="39"/>
      <c r="G42" s="46" t="str">
        <f>if((ISBLANK(F42)),"",SkillIncrease)</f>
        <v/>
      </c>
      <c r="H42" s="39"/>
      <c r="I42" s="46" t="str">
        <f>if((ISBLANK(H42)),"",SkillIncrease)</f>
        <v/>
      </c>
      <c r="J42" s="39"/>
      <c r="K42" s="46" t="str">
        <f>if((ISBLANK(J42)),"",SkillIncrease)</f>
        <v/>
      </c>
      <c r="L42" s="39"/>
      <c r="M42" s="46" t="str">
        <f>if((ISBLANK(L42)),"",SkillIncrease)</f>
        <v/>
      </c>
      <c r="N42" s="39"/>
      <c r="O42" s="46" t="str">
        <f>if((ISBLANK(N42)),"",SkillIncrease)</f>
        <v/>
      </c>
      <c r="P42" s="39"/>
      <c r="Q42" s="46" t="str">
        <f>if((ISBLANK(P42)),"",SkillIncrease)</f>
        <v/>
      </c>
      <c r="R42" s="39"/>
      <c r="S42" s="46" t="str">
        <f>if((ISBLANK(R42)),"",SkillIncrease)</f>
        <v/>
      </c>
      <c r="T42" s="39"/>
      <c r="U42" s="46" t="str">
        <f>if((ISBLANK(T42)),"",SkillIncrease)</f>
        <v/>
      </c>
      <c r="V42" s="39" t="s">
        <v>266</v>
      </c>
      <c r="W42" s="95">
        <f>if((ISBLANK(V42)),"",SkillIncrease)</f>
        <v>5</v>
      </c>
      <c r="X42" s="39"/>
      <c r="Y42" s="46" t="str">
        <f>if((ISBLANK(X42)),"",SkillIncrease)</f>
        <v/>
      </c>
      <c r="Z42" s="39"/>
      <c r="AA42" s="46" t="str">
        <f>if((ISBLANK(Z42)),"",SkillIncrease)</f>
        <v/>
      </c>
      <c r="AB42" s="39"/>
      <c r="AC42" s="46" t="str">
        <f>if((ISBLANK(AB42)),"",SkillIncrease)</f>
        <v/>
      </c>
      <c r="AD42" s="46"/>
      <c r="AE42" s="46" t="str">
        <f>if((ISBLANK(AD42)),"",SkillIncrease)</f>
        <v/>
      </c>
      <c r="AF42" s="39"/>
      <c r="AG42" s="46" t="str">
        <f>if((ISBLANK(AF42)),"",SkillIncrease)</f>
        <v/>
      </c>
      <c r="AH42" s="39"/>
      <c r="AI42" s="46" t="str">
        <f>if((ISBLANK(AH42)),"",SkillIncrease)</f>
        <v/>
      </c>
      <c r="AJ42" s="39"/>
      <c r="AK42" s="46" t="str">
        <f>if((ISBLANK(AJ42)),"",SkillIncrease)</f>
        <v/>
      </c>
      <c r="AL42" s="39"/>
      <c r="AM42" s="46" t="str">
        <f>if((ISBLANK(AL42)),"",SkillIncrease)</f>
        <v/>
      </c>
      <c r="AN42" s="39"/>
      <c r="AO42" s="46" t="str">
        <f>if((ISBLANK(AN42)),"",SkillIncrease)</f>
        <v/>
      </c>
      <c r="AP42" s="39"/>
      <c r="AQ42" s="46" t="str">
        <f>if((ISBLANK(AP42)),"",SkillIncrease)</f>
        <v/>
      </c>
      <c r="AR42" s="39"/>
      <c r="AS42" s="46" t="str">
        <f>if((ISBLANK(AR42)),"",SkillIncrease)</f>
        <v/>
      </c>
      <c r="AT42" s="39"/>
      <c r="AU42" s="46" t="str">
        <f>if((ISBLANK(AT42)),"",SkillIncrease)</f>
        <v/>
      </c>
      <c r="AV42" s="39"/>
      <c r="AW42" s="46" t="str">
        <f>if((ISBLANK(AV42)),"",SkillIncrease)</f>
        <v/>
      </c>
      <c r="AX42" s="39"/>
      <c r="AY42" s="46" t="str">
        <f>if((ISBLANK(AX42)),"",SkillIncrease)</f>
        <v/>
      </c>
      <c r="AZ42" s="39"/>
      <c r="BA42" s="46" t="str">
        <f>if((ISBLANK(AZ42)),"",SkillIncrease)</f>
        <v/>
      </c>
    </row>
    <row r="43" hidden="1" outlineLevel="1">
      <c r="A43" s="35" t="s">
        <v>794</v>
      </c>
      <c r="B43" s="46" t="s">
        <v>148</v>
      </c>
      <c r="C43" s="46"/>
      <c r="D43" s="37" t="s">
        <v>267</v>
      </c>
      <c r="E43" s="46">
        <f>if((ISBLANK(D43)),"",SkillIncrease)</f>
        <v>5</v>
      </c>
      <c r="F43" s="39"/>
      <c r="G43" s="46" t="str">
        <f>if((ISBLANK(F43)),"",SkillIncrease)</f>
        <v/>
      </c>
      <c r="H43" s="39"/>
      <c r="I43" s="46" t="str">
        <f>if((ISBLANK(H43)),"",SkillIncrease)</f>
        <v/>
      </c>
      <c r="J43" s="39"/>
      <c r="K43" s="46" t="str">
        <f>if((ISBLANK(J43)),"",SkillIncrease)</f>
        <v/>
      </c>
      <c r="L43" s="39"/>
      <c r="M43" s="46" t="str">
        <f>if((ISBLANK(L43)),"",SkillIncrease)</f>
        <v/>
      </c>
      <c r="N43" s="39"/>
      <c r="O43" s="46" t="str">
        <f>if((ISBLANK(N43)),"",SkillIncrease)</f>
        <v/>
      </c>
      <c r="P43" s="39"/>
      <c r="Q43" s="46" t="str">
        <f>if((ISBLANK(P43)),"",SkillIncrease)</f>
        <v/>
      </c>
      <c r="R43" s="39"/>
      <c r="S43" s="46" t="str">
        <f>if((ISBLANK(R43)),"",SkillIncrease)</f>
        <v/>
      </c>
      <c r="T43" s="39" t="s">
        <v>267</v>
      </c>
      <c r="U43" s="95">
        <f>if((ISBLANK(T43)),"",SkillIncrease)</f>
        <v>5</v>
      </c>
      <c r="V43" s="39"/>
      <c r="W43" s="46" t="str">
        <f>if((ISBLANK(V43)),"",SkillIncrease)</f>
        <v/>
      </c>
      <c r="X43" s="39"/>
      <c r="Y43" s="46" t="str">
        <f>if((ISBLANK(X43)),"",SkillIncrease)</f>
        <v/>
      </c>
      <c r="Z43" s="39"/>
      <c r="AA43" s="46" t="str">
        <f>if((ISBLANK(Z43)),"",SkillIncrease)</f>
        <v/>
      </c>
      <c r="AB43" s="39"/>
      <c r="AC43" s="46" t="str">
        <f>if((ISBLANK(AB43)),"",SkillIncrease)</f>
        <v/>
      </c>
      <c r="AD43" s="46"/>
      <c r="AE43" s="46" t="str">
        <f>if((ISBLANK(AD43)),"",SkillIncrease)</f>
        <v/>
      </c>
      <c r="AF43" s="39"/>
      <c r="AG43" s="46" t="str">
        <f>if((ISBLANK(AF43)),"",SkillIncrease)</f>
        <v/>
      </c>
      <c r="AH43" s="39" t="s">
        <v>267</v>
      </c>
      <c r="AI43" s="95">
        <f>if((ISBLANK(AH43)),"",SkillIncrease)</f>
        <v>5</v>
      </c>
      <c r="AJ43" s="39"/>
      <c r="AK43" s="46" t="str">
        <f>if((ISBLANK(AJ43)),"",SkillIncrease)</f>
        <v/>
      </c>
      <c r="AL43" s="39"/>
      <c r="AM43" s="46" t="str">
        <f>if((ISBLANK(AL43)),"",SkillIncrease)</f>
        <v/>
      </c>
      <c r="AN43" s="39"/>
      <c r="AO43" s="46" t="str">
        <f>if((ISBLANK(AN43)),"",SkillIncrease)</f>
        <v/>
      </c>
      <c r="AP43" s="39"/>
      <c r="AQ43" s="46" t="str">
        <f>if((ISBLANK(AP43)),"",SkillIncrease)</f>
        <v/>
      </c>
      <c r="AR43" s="39"/>
      <c r="AS43" s="46" t="str">
        <f>if((ISBLANK(AR43)),"",SkillIncrease)</f>
        <v/>
      </c>
      <c r="AT43" s="39"/>
      <c r="AU43" s="46" t="str">
        <f>if((ISBLANK(AT43)),"",SkillIncrease)</f>
        <v/>
      </c>
      <c r="AV43" s="39" t="s">
        <v>267</v>
      </c>
      <c r="AW43" s="95">
        <f>if((ISBLANK(AV43)),"",SkillIncrease)</f>
        <v>5</v>
      </c>
      <c r="AX43" s="39"/>
      <c r="AY43" s="46" t="str">
        <f>if((ISBLANK(AX43)),"",SkillIncrease)</f>
        <v/>
      </c>
      <c r="AZ43" s="39"/>
      <c r="BA43" s="46" t="str">
        <f>if((ISBLANK(AZ43)),"",SkillIncrease)</f>
        <v/>
      </c>
    </row>
    <row r="44" hidden="1" outlineLevel="1">
      <c r="A44" s="35" t="s">
        <v>808</v>
      </c>
      <c r="B44" s="46" t="s">
        <v>148</v>
      </c>
      <c r="C44" s="46"/>
      <c r="D44" s="37" t="s">
        <v>268</v>
      </c>
      <c r="E44" s="46">
        <f>if((ISBLANK(D44)),"",SkillIncrease)</f>
        <v>5</v>
      </c>
      <c r="F44" s="39"/>
      <c r="G44" s="46" t="str">
        <f>if((ISBLANK(F44)),"",SkillIncrease)</f>
        <v/>
      </c>
      <c r="H44" s="39"/>
      <c r="I44" s="46" t="str">
        <f>if((ISBLANK(H44)),"",SkillIncrease)</f>
        <v/>
      </c>
      <c r="J44" s="39"/>
      <c r="K44" s="46" t="str">
        <f>if((ISBLANK(J44)),"",SkillIncrease)</f>
        <v/>
      </c>
      <c r="L44" s="39" t="s">
        <v>268</v>
      </c>
      <c r="M44" s="95">
        <f>if((ISBLANK(L44)),"",SkillIncrease)</f>
        <v>5</v>
      </c>
      <c r="N44" s="39"/>
      <c r="O44" s="46" t="str">
        <f>if((ISBLANK(N44)),"",SkillIncrease)</f>
        <v/>
      </c>
      <c r="P44" s="39"/>
      <c r="Q44" s="46" t="str">
        <f>if((ISBLANK(P44)),"",SkillIncrease)</f>
        <v/>
      </c>
      <c r="R44" s="39"/>
      <c r="S44" s="46" t="str">
        <f>if((ISBLANK(R44)),"",SkillIncrease)</f>
        <v/>
      </c>
      <c r="T44" s="39"/>
      <c r="U44" s="46" t="str">
        <f>if((ISBLANK(T44)),"",SkillIncrease)</f>
        <v/>
      </c>
      <c r="V44" s="39"/>
      <c r="W44" s="46" t="str">
        <f>if((ISBLANK(V44)),"",SkillIncrease)</f>
        <v/>
      </c>
      <c r="X44" s="39"/>
      <c r="Y44" s="46" t="str">
        <f>if((ISBLANK(X44)),"",SkillIncrease)</f>
        <v/>
      </c>
      <c r="Z44" s="39"/>
      <c r="AA44" s="46" t="str">
        <f>if((ISBLANK(Z44)),"",SkillIncrease)</f>
        <v/>
      </c>
      <c r="AB44" s="39"/>
      <c r="AC44" s="46" t="str">
        <f>if((ISBLANK(AB44)),"",SkillIncrease)</f>
        <v/>
      </c>
      <c r="AD44" s="46"/>
      <c r="AE44" s="46" t="str">
        <f>if((ISBLANK(AD44)),"",SkillIncrease)</f>
        <v/>
      </c>
      <c r="AF44" s="39"/>
      <c r="AG44" s="46" t="str">
        <f>if((ISBLANK(AF44)),"",SkillIncrease)</f>
        <v/>
      </c>
      <c r="AH44" s="39"/>
      <c r="AI44" s="46" t="str">
        <f>if((ISBLANK(AH44)),"",SkillIncrease)</f>
        <v/>
      </c>
      <c r="AJ44" s="39"/>
      <c r="AK44" s="46" t="str">
        <f>if((ISBLANK(AJ44)),"",SkillIncrease)</f>
        <v/>
      </c>
      <c r="AL44" s="39"/>
      <c r="AM44" s="46" t="str">
        <f>if((ISBLANK(AL44)),"",SkillIncrease)</f>
        <v/>
      </c>
      <c r="AN44" s="39"/>
      <c r="AO44" s="46" t="str">
        <f>if((ISBLANK(AN44)),"",SkillIncrease)</f>
        <v/>
      </c>
      <c r="AP44" s="39"/>
      <c r="AQ44" s="46" t="str">
        <f>if((ISBLANK(AP44)),"",SkillIncrease)</f>
        <v/>
      </c>
      <c r="AR44" s="39"/>
      <c r="AS44" s="46" t="str">
        <f>if((ISBLANK(AR44)),"",SkillIncrease)</f>
        <v/>
      </c>
      <c r="AT44" s="39"/>
      <c r="AU44" s="46" t="str">
        <f>if((ISBLANK(AT44)),"",SkillIncrease)</f>
        <v/>
      </c>
      <c r="AV44" s="39"/>
      <c r="AW44" s="46" t="str">
        <f>if((ISBLANK(AV44)),"",SkillIncrease)</f>
        <v/>
      </c>
      <c r="AX44" s="39"/>
      <c r="AY44" s="46" t="str">
        <f>if((ISBLANK(AX44)),"",SkillIncrease)</f>
        <v/>
      </c>
      <c r="AZ44" s="39"/>
      <c r="BA44" s="46" t="str">
        <f>if((ISBLANK(AZ44)),"",SkillIncrease)</f>
        <v/>
      </c>
    </row>
    <row r="45" hidden="1" outlineLevel="1">
      <c r="A45" s="35" t="s">
        <v>847</v>
      </c>
      <c r="B45" s="46" t="s">
        <v>148</v>
      </c>
      <c r="C45" s="46"/>
      <c r="D45" s="37" t="s">
        <v>269</v>
      </c>
      <c r="E45" s="46">
        <f>if((ISBLANK(D45)),"",SkillIncrease)</f>
        <v>5</v>
      </c>
      <c r="F45" s="39"/>
      <c r="G45" s="46" t="str">
        <f>if((ISBLANK(F45)),"",SkillIncrease)</f>
        <v/>
      </c>
      <c r="H45" s="39"/>
      <c r="I45" s="46" t="str">
        <f>if((ISBLANK(H45)),"",SkillIncrease)</f>
        <v/>
      </c>
      <c r="J45" s="39"/>
      <c r="K45" s="46" t="str">
        <f>if((ISBLANK(J45)),"",SkillIncrease)</f>
        <v/>
      </c>
      <c r="L45" s="39"/>
      <c r="M45" s="46" t="str">
        <f>if((ISBLANK(L45)),"",SkillIncrease)</f>
        <v/>
      </c>
      <c r="N45" s="39"/>
      <c r="O45" s="46" t="str">
        <f>if((ISBLANK(N45)),"",SkillIncrease)</f>
        <v/>
      </c>
      <c r="P45" s="39"/>
      <c r="Q45" s="46" t="str">
        <f>if((ISBLANK(P45)),"",SkillIncrease)</f>
        <v/>
      </c>
      <c r="R45" s="39"/>
      <c r="S45" s="46" t="str">
        <f>if((ISBLANK(R45)),"",SkillIncrease)</f>
        <v/>
      </c>
      <c r="T45" s="39"/>
      <c r="U45" s="46" t="str">
        <f>if((ISBLANK(T45)),"",SkillIncrease)</f>
        <v/>
      </c>
      <c r="V45" s="39"/>
      <c r="W45" s="46" t="str">
        <f>if((ISBLANK(V45)),"",SkillIncrease)</f>
        <v/>
      </c>
      <c r="X45" s="39"/>
      <c r="Y45" s="46" t="str">
        <f>if((ISBLANK(X45)),"",SkillIncrease)</f>
        <v/>
      </c>
      <c r="Z45" s="39" t="s">
        <v>269</v>
      </c>
      <c r="AA45" s="95">
        <f>if((ISBLANK(Z45)),"",SkillIncrease)</f>
        <v>5</v>
      </c>
      <c r="AB45" s="39" t="s">
        <v>269</v>
      </c>
      <c r="AC45" s="95">
        <f>if((ISBLANK(AB45)),"",SkillIncrease)</f>
        <v>5</v>
      </c>
      <c r="AD45" s="46"/>
      <c r="AE45" s="46" t="str">
        <f>if((ISBLANK(AD45)),"",SkillIncrease)</f>
        <v/>
      </c>
      <c r="AF45" s="39"/>
      <c r="AG45" s="46" t="str">
        <f>if((ISBLANK(AF45)),"",SkillIncrease)</f>
        <v/>
      </c>
      <c r="AH45" s="39"/>
      <c r="AI45" s="46" t="str">
        <f>if((ISBLANK(AH45)),"",SkillIncrease)</f>
        <v/>
      </c>
      <c r="AJ45" s="39"/>
      <c r="AK45" s="46" t="str">
        <f>if((ISBLANK(AJ45)),"",SkillIncrease)</f>
        <v/>
      </c>
      <c r="AL45" s="39"/>
      <c r="AM45" s="46" t="str">
        <f>if((ISBLANK(AL45)),"",SkillIncrease)</f>
        <v/>
      </c>
      <c r="AN45" s="39"/>
      <c r="AO45" s="46" t="str">
        <f>if((ISBLANK(AN45)),"",SkillIncrease)</f>
        <v/>
      </c>
      <c r="AP45" s="39"/>
      <c r="AQ45" s="46" t="str">
        <f>if((ISBLANK(AP45)),"",SkillIncrease)</f>
        <v/>
      </c>
      <c r="AR45" s="39"/>
      <c r="AS45" s="46" t="str">
        <f>if((ISBLANK(AR45)),"",SkillIncrease)</f>
        <v/>
      </c>
      <c r="AT45" s="39"/>
      <c r="AU45" s="46" t="str">
        <f>if((ISBLANK(AT45)),"",SkillIncrease)</f>
        <v/>
      </c>
      <c r="AV45" s="39"/>
      <c r="AW45" s="46" t="str">
        <f>if((ISBLANK(AV45)),"",SkillIncrease)</f>
        <v/>
      </c>
      <c r="AX45" s="39"/>
      <c r="AY45" s="46" t="str">
        <f>if((ISBLANK(AX45)),"",SkillIncrease)</f>
        <v/>
      </c>
      <c r="AZ45" s="39"/>
      <c r="BA45" s="46" t="str">
        <f>if((ISBLANK(AZ45)),"",SkillIncrease)</f>
        <v/>
      </c>
    </row>
    <row r="46" hidden="1" outlineLevel="1">
      <c r="A46" s="35" t="s">
        <v>872</v>
      </c>
      <c r="B46" s="46" t="s">
        <v>148</v>
      </c>
      <c r="C46" s="46"/>
      <c r="D46" s="37" t="s">
        <v>270</v>
      </c>
      <c r="E46" s="46">
        <f>if((ISBLANK(D46)),"",SkillIncrease)</f>
        <v>5</v>
      </c>
      <c r="F46" s="39"/>
      <c r="G46" s="46" t="str">
        <f>if((ISBLANK(F46)),"",SkillIncrease)</f>
        <v/>
      </c>
      <c r="H46" s="39"/>
      <c r="I46" s="46" t="str">
        <f>if((ISBLANK(H46)),"",SkillIncrease)</f>
        <v/>
      </c>
      <c r="J46" s="39"/>
      <c r="K46" s="46" t="str">
        <f>if((ISBLANK(J46)),"",SkillIncrease)</f>
        <v/>
      </c>
      <c r="L46" s="39"/>
      <c r="M46" s="46" t="str">
        <f>if((ISBLANK(L46)),"",SkillIncrease)</f>
        <v/>
      </c>
      <c r="N46" s="39"/>
      <c r="O46" s="46" t="str">
        <f>if((ISBLANK(N46)),"",SkillIncrease)</f>
        <v/>
      </c>
      <c r="P46" s="39"/>
      <c r="Q46" s="46" t="str">
        <f>if((ISBLANK(P46)),"",SkillIncrease)</f>
        <v/>
      </c>
      <c r="R46" s="39"/>
      <c r="S46" s="46" t="str">
        <f>if((ISBLANK(R46)),"",SkillIncrease)</f>
        <v/>
      </c>
      <c r="T46" s="39"/>
      <c r="U46" s="46" t="str">
        <f>if((ISBLANK(T46)),"",SkillIncrease)</f>
        <v/>
      </c>
      <c r="V46" s="39"/>
      <c r="W46" s="46" t="str">
        <f>if((ISBLANK(V46)),"",SkillIncrease)</f>
        <v/>
      </c>
      <c r="X46" s="39"/>
      <c r="Y46" s="46" t="str">
        <f>if((ISBLANK(X46)),"",SkillIncrease)</f>
        <v/>
      </c>
      <c r="Z46" s="39"/>
      <c r="AA46" s="46" t="str">
        <f>if((ISBLANK(Z46)),"",SkillIncrease)</f>
        <v/>
      </c>
      <c r="AB46" s="39"/>
      <c r="AC46" s="46" t="str">
        <f>if((ISBLANK(AB46)),"",SkillIncrease)</f>
        <v/>
      </c>
      <c r="AD46" s="46"/>
      <c r="AE46" s="46" t="str">
        <f>if((ISBLANK(AD46)),"",SkillIncrease)</f>
        <v/>
      </c>
      <c r="AF46" s="39"/>
      <c r="AG46" s="46" t="str">
        <f>if((ISBLANK(AF46)),"",SkillIncrease)</f>
        <v/>
      </c>
      <c r="AH46" s="39"/>
      <c r="AI46" s="46" t="str">
        <f>if((ISBLANK(AH46)),"",SkillIncrease)</f>
        <v/>
      </c>
      <c r="AJ46" s="39"/>
      <c r="AK46" s="46" t="str">
        <f>if((ISBLANK(AJ46)),"",SkillIncrease)</f>
        <v/>
      </c>
      <c r="AL46" s="39"/>
      <c r="AM46" s="46" t="str">
        <f>if((ISBLANK(AL46)),"",SkillIncrease)</f>
        <v/>
      </c>
      <c r="AN46" s="39"/>
      <c r="AO46" s="46" t="str">
        <f>if((ISBLANK(AN46)),"",SkillIncrease)</f>
        <v/>
      </c>
      <c r="AP46" s="39"/>
      <c r="AQ46" s="46" t="str">
        <f>if((ISBLANK(AP46)),"",SkillIncrease)</f>
        <v/>
      </c>
      <c r="AR46" s="39"/>
      <c r="AS46" s="46" t="str">
        <f>if((ISBLANK(AR46)),"",SkillIncrease)</f>
        <v/>
      </c>
      <c r="AT46" s="39"/>
      <c r="AU46" s="46" t="str">
        <f>if((ISBLANK(AT46)),"",SkillIncrease)</f>
        <v/>
      </c>
      <c r="AV46" s="39"/>
      <c r="AW46" s="46" t="str">
        <f>if((ISBLANK(AV46)),"",SkillIncrease)</f>
        <v/>
      </c>
      <c r="AX46" s="39"/>
      <c r="AY46" s="46" t="str">
        <f>if((ISBLANK(AX46)),"",SkillIncrease)</f>
        <v/>
      </c>
      <c r="AZ46" s="39"/>
      <c r="BA46" s="46" t="str">
        <f>if((ISBLANK(AZ46)),"",SkillIncrease)</f>
        <v/>
      </c>
    </row>
    <row r="47" hidden="1" outlineLevel="1">
      <c r="A47" s="35" t="s">
        <v>902</v>
      </c>
      <c r="B47" s="46" t="s">
        <v>148</v>
      </c>
      <c r="C47" s="46"/>
      <c r="D47" s="37" t="s">
        <v>271</v>
      </c>
      <c r="E47" s="46">
        <f>if((ISBLANK(D47)),"",SkillIncrease)</f>
        <v>5</v>
      </c>
      <c r="F47" s="39"/>
      <c r="G47" s="46" t="str">
        <f>if((ISBLANK(F47)),"",SkillIncrease)</f>
        <v/>
      </c>
      <c r="H47" s="39"/>
      <c r="I47" s="46" t="str">
        <f>if((ISBLANK(H47)),"",SkillIncrease)</f>
        <v/>
      </c>
      <c r="J47" s="39"/>
      <c r="K47" s="46" t="str">
        <f>if((ISBLANK(J47)),"",SkillIncrease)</f>
        <v/>
      </c>
      <c r="L47" s="39"/>
      <c r="M47" s="46" t="str">
        <f>if((ISBLANK(L47)),"",SkillIncrease)</f>
        <v/>
      </c>
      <c r="N47" s="39"/>
      <c r="O47" s="46" t="str">
        <f>if((ISBLANK(N47)),"",SkillIncrease)</f>
        <v/>
      </c>
      <c r="P47" s="39"/>
      <c r="Q47" s="46" t="str">
        <f>if((ISBLANK(P47)),"",SkillIncrease)</f>
        <v/>
      </c>
      <c r="R47" s="39"/>
      <c r="S47" s="46" t="str">
        <f>if((ISBLANK(R47)),"",SkillIncrease)</f>
        <v/>
      </c>
      <c r="T47" s="39"/>
      <c r="U47" s="46" t="str">
        <f>if((ISBLANK(T47)),"",SkillIncrease)</f>
        <v/>
      </c>
      <c r="V47" s="39"/>
      <c r="W47" s="46" t="str">
        <f>if((ISBLANK(V47)),"",SkillIncrease)</f>
        <v/>
      </c>
      <c r="X47" s="39"/>
      <c r="Y47" s="46" t="str">
        <f>if((ISBLANK(X47)),"",SkillIncrease)</f>
        <v/>
      </c>
      <c r="Z47" s="39"/>
      <c r="AA47" s="46" t="str">
        <f>if((ISBLANK(Z47)),"",SkillIncrease)</f>
        <v/>
      </c>
      <c r="AB47" s="39"/>
      <c r="AC47" s="46" t="str">
        <f>if((ISBLANK(AB47)),"",SkillIncrease)</f>
        <v/>
      </c>
      <c r="AD47" s="46"/>
      <c r="AE47" s="46" t="str">
        <f>if((ISBLANK(AD47)),"",SkillIncrease)</f>
        <v/>
      </c>
      <c r="AF47" s="39"/>
      <c r="AG47" s="46" t="str">
        <f>if((ISBLANK(AF47)),"",SkillIncrease)</f>
        <v/>
      </c>
      <c r="AH47" s="39"/>
      <c r="AI47" s="46" t="str">
        <f>if((ISBLANK(AH47)),"",SkillIncrease)</f>
        <v/>
      </c>
      <c r="AJ47" s="39"/>
      <c r="AK47" s="46" t="str">
        <f>if((ISBLANK(AJ47)),"",SkillIncrease)</f>
        <v/>
      </c>
      <c r="AL47" s="39"/>
      <c r="AM47" s="46" t="str">
        <f>if((ISBLANK(AL47)),"",SkillIncrease)</f>
        <v/>
      </c>
      <c r="AN47" s="39"/>
      <c r="AO47" s="46" t="str">
        <f>if((ISBLANK(AN47)),"",SkillIncrease)</f>
        <v/>
      </c>
      <c r="AP47" s="39"/>
      <c r="AQ47" s="46" t="str">
        <f>if((ISBLANK(AP47)),"",SkillIncrease)</f>
        <v/>
      </c>
      <c r="AR47" s="39"/>
      <c r="AS47" s="46" t="str">
        <f>if((ISBLANK(AR47)),"",SkillIncrease)</f>
        <v/>
      </c>
      <c r="AT47" s="39"/>
      <c r="AU47" s="46" t="str">
        <f>if((ISBLANK(AT47)),"",SkillIncrease)</f>
        <v/>
      </c>
      <c r="AV47" s="39"/>
      <c r="AW47" s="46" t="str">
        <f>if((ISBLANK(AV47)),"",SkillIncrease)</f>
        <v/>
      </c>
      <c r="AX47" s="39"/>
      <c r="AY47" s="46" t="str">
        <f>if((ISBLANK(AX47)),"",SkillIncrease)</f>
        <v/>
      </c>
      <c r="AZ47" s="39"/>
      <c r="BA47" s="46" t="str">
        <f>if((ISBLANK(AZ47)),"",SkillIncrease)</f>
        <v/>
      </c>
    </row>
    <row r="48" hidden="1" outlineLevel="1">
      <c r="A48" s="35" t="s">
        <v>926</v>
      </c>
      <c r="B48" s="46" t="s">
        <v>148</v>
      </c>
      <c r="C48" s="46"/>
      <c r="D48" s="37" t="s">
        <v>272</v>
      </c>
      <c r="E48" s="46">
        <f>if((ISBLANK(D48)),"",SkillIncrease)</f>
        <v>5</v>
      </c>
      <c r="F48" s="39"/>
      <c r="G48" s="46" t="str">
        <f>if((ISBLANK(F48)),"",SkillIncrease)</f>
        <v/>
      </c>
      <c r="H48" s="39"/>
      <c r="I48" s="46" t="str">
        <f>if((ISBLANK(H48)),"",SkillIncrease)</f>
        <v/>
      </c>
      <c r="J48" s="39"/>
      <c r="K48" s="46" t="str">
        <f>if((ISBLANK(J48)),"",SkillIncrease)</f>
        <v/>
      </c>
      <c r="L48" s="39"/>
      <c r="M48" s="46" t="str">
        <f>if((ISBLANK(L48)),"",SkillIncrease)</f>
        <v/>
      </c>
      <c r="N48" s="39"/>
      <c r="O48" s="46" t="str">
        <f>if((ISBLANK(N48)),"",SkillIncrease)</f>
        <v/>
      </c>
      <c r="P48" s="39"/>
      <c r="Q48" s="46" t="str">
        <f>if((ISBLANK(P48)),"",SkillIncrease)</f>
        <v/>
      </c>
      <c r="R48" s="39"/>
      <c r="S48" s="46" t="str">
        <f>if((ISBLANK(R48)),"",SkillIncrease)</f>
        <v/>
      </c>
      <c r="T48" s="39"/>
      <c r="U48" s="46" t="str">
        <f>if((ISBLANK(T48)),"",SkillIncrease)</f>
        <v/>
      </c>
      <c r="V48" s="39"/>
      <c r="W48" s="46" t="str">
        <f>if((ISBLANK(V48)),"",SkillIncrease)</f>
        <v/>
      </c>
      <c r="X48" s="39"/>
      <c r="Y48" s="46" t="str">
        <f>if((ISBLANK(X48)),"",SkillIncrease)</f>
        <v/>
      </c>
      <c r="Z48" s="39"/>
      <c r="AA48" s="46" t="str">
        <f>if((ISBLANK(Z48)),"",SkillIncrease)</f>
        <v/>
      </c>
      <c r="AB48" s="39"/>
      <c r="AC48" s="46" t="str">
        <f>if((ISBLANK(AB48)),"",SkillIncrease)</f>
        <v/>
      </c>
      <c r="AD48" s="46"/>
      <c r="AE48" s="46" t="str">
        <f>if((ISBLANK(AD48)),"",SkillIncrease)</f>
        <v/>
      </c>
      <c r="AF48" s="39"/>
      <c r="AG48" s="46" t="str">
        <f>if((ISBLANK(AF48)),"",SkillIncrease)</f>
        <v/>
      </c>
      <c r="AH48" s="39"/>
      <c r="AI48" s="46" t="str">
        <f>if((ISBLANK(AH48)),"",SkillIncrease)</f>
        <v/>
      </c>
      <c r="AJ48" s="39"/>
      <c r="AK48" s="46" t="str">
        <f>if((ISBLANK(AJ48)),"",SkillIncrease)</f>
        <v/>
      </c>
      <c r="AL48" s="39"/>
      <c r="AM48" s="46" t="str">
        <f>if((ISBLANK(AL48)),"",SkillIncrease)</f>
        <v/>
      </c>
      <c r="AN48" s="39"/>
      <c r="AO48" s="46" t="str">
        <f>if((ISBLANK(AN48)),"",SkillIncrease)</f>
        <v/>
      </c>
      <c r="AP48" s="39"/>
      <c r="AQ48" s="46" t="str">
        <f>if((ISBLANK(AP48)),"",SkillIncrease)</f>
        <v/>
      </c>
      <c r="AR48" s="39"/>
      <c r="AS48" s="46" t="str">
        <f>if((ISBLANK(AR48)),"",SkillIncrease)</f>
        <v/>
      </c>
      <c r="AT48" s="39"/>
      <c r="AU48" s="46" t="str">
        <f>if((ISBLANK(AT48)),"",SkillIncrease)</f>
        <v/>
      </c>
      <c r="AV48" s="39"/>
      <c r="AW48" s="46" t="str">
        <f>if((ISBLANK(AV48)),"",SkillIncrease)</f>
        <v/>
      </c>
      <c r="AX48" s="39"/>
      <c r="AY48" s="46" t="str">
        <f>if((ISBLANK(AX48)),"",SkillIncrease)</f>
        <v/>
      </c>
      <c r="AZ48" s="39"/>
      <c r="BA48" s="46" t="str">
        <f>if((ISBLANK(AZ48)),"",SkillIncrease)</f>
        <v/>
      </c>
    </row>
    <row r="49" hidden="1" outlineLevel="1">
      <c r="A49" s="35" t="s">
        <v>946</v>
      </c>
      <c r="B49" s="46" t="s">
        <v>148</v>
      </c>
      <c r="C49" s="46"/>
      <c r="D49" s="37" t="s">
        <v>273</v>
      </c>
      <c r="E49" s="46">
        <f>if((ISBLANK(D49)),"",SkillIncrease)</f>
        <v>5</v>
      </c>
      <c r="F49" s="39"/>
      <c r="G49" s="46" t="str">
        <f>if((ISBLANK(F49)),"",SkillIncrease)</f>
        <v/>
      </c>
      <c r="H49" s="39"/>
      <c r="I49" s="46" t="str">
        <f>if((ISBLANK(H49)),"",SkillIncrease)</f>
        <v/>
      </c>
      <c r="J49" s="39"/>
      <c r="K49" s="46" t="str">
        <f>if((ISBLANK(J49)),"",SkillIncrease)</f>
        <v/>
      </c>
      <c r="L49" s="39"/>
      <c r="M49" s="46" t="str">
        <f>if((ISBLANK(L49)),"",SkillIncrease)</f>
        <v/>
      </c>
      <c r="N49" s="39"/>
      <c r="O49" s="46" t="str">
        <f>if((ISBLANK(N49)),"",SkillIncrease)</f>
        <v/>
      </c>
      <c r="P49" s="39"/>
      <c r="Q49" s="46" t="str">
        <f>if((ISBLANK(P49)),"",SkillIncrease)</f>
        <v/>
      </c>
      <c r="R49" s="39"/>
      <c r="S49" s="46" t="str">
        <f>if((ISBLANK(R49)),"",SkillIncrease)</f>
        <v/>
      </c>
      <c r="T49" s="39" t="s">
        <v>948</v>
      </c>
      <c r="U49" s="95">
        <f>if((ISBLANK(T49)),"",SkillIncrease)</f>
        <v>5</v>
      </c>
      <c r="V49" s="39"/>
      <c r="W49" s="46" t="str">
        <f>if((ISBLANK(V49)),"",SkillIncrease)</f>
        <v/>
      </c>
      <c r="X49" s="39"/>
      <c r="Y49" s="46" t="str">
        <f>if((ISBLANK(X49)),"",SkillIncrease)</f>
        <v/>
      </c>
      <c r="Z49" s="39"/>
      <c r="AA49" s="46" t="str">
        <f>if((ISBLANK(Z49)),"",SkillIncrease)</f>
        <v/>
      </c>
      <c r="AB49" s="39"/>
      <c r="AC49" s="46" t="str">
        <f>if((ISBLANK(AB49)),"",SkillIncrease)</f>
        <v/>
      </c>
      <c r="AD49" s="46"/>
      <c r="AE49" s="46" t="str">
        <f>if((ISBLANK(AD49)),"",SkillIncrease)</f>
        <v/>
      </c>
      <c r="AF49" s="39"/>
      <c r="AG49" s="46" t="str">
        <f>if((ISBLANK(AF49)),"",SkillIncrease)</f>
        <v/>
      </c>
      <c r="AH49" s="39"/>
      <c r="AI49" s="46" t="str">
        <f>if((ISBLANK(AH49)),"",SkillIncrease)</f>
        <v/>
      </c>
      <c r="AJ49" s="39"/>
      <c r="AK49" s="46" t="str">
        <f>if((ISBLANK(AJ49)),"",SkillIncrease)</f>
        <v/>
      </c>
      <c r="AL49" s="39"/>
      <c r="AM49" s="46" t="str">
        <f>if((ISBLANK(AL49)),"",SkillIncrease)</f>
        <v/>
      </c>
      <c r="AN49" s="39"/>
      <c r="AO49" s="46" t="str">
        <f>if((ISBLANK(AN49)),"",SkillIncrease)</f>
        <v/>
      </c>
      <c r="AP49" s="39"/>
      <c r="AQ49" s="46" t="str">
        <f>if((ISBLANK(AP49)),"",SkillIncrease)</f>
        <v/>
      </c>
      <c r="AR49" s="39"/>
      <c r="AS49" s="46" t="str">
        <f>if((ISBLANK(AR49)),"",SkillIncrease)</f>
        <v/>
      </c>
      <c r="AT49" s="39"/>
      <c r="AU49" s="46" t="str">
        <f>if((ISBLANK(AT49)),"",SkillIncrease)</f>
        <v/>
      </c>
      <c r="AV49" s="39"/>
      <c r="AW49" s="46" t="str">
        <f>if((ISBLANK(AV49)),"",SkillIncrease)</f>
        <v/>
      </c>
      <c r="AX49" s="39"/>
      <c r="AY49" s="46" t="str">
        <f>if((ISBLANK(AX49)),"",SkillIncrease)</f>
        <v/>
      </c>
      <c r="AZ49" s="39"/>
      <c r="BA49" s="46" t="str">
        <f>if((ISBLANK(AZ49)),"",SkillIncrease)</f>
        <v/>
      </c>
    </row>
    <row r="50" hidden="1" outlineLevel="1">
      <c r="A50" s="35" t="s">
        <v>968</v>
      </c>
      <c r="B50" s="46" t="s">
        <v>148</v>
      </c>
      <c r="C50" s="46"/>
      <c r="D50" s="37" t="s">
        <v>274</v>
      </c>
      <c r="E50" s="46">
        <f>if((ISBLANK(D50)),"",SkillIncrease)</f>
        <v>5</v>
      </c>
      <c r="F50" s="39"/>
      <c r="G50" s="46" t="str">
        <f>if((ISBLANK(F50)),"",SkillIncrease)</f>
        <v/>
      </c>
      <c r="H50" s="39"/>
      <c r="I50" s="46" t="str">
        <f>if((ISBLANK(H50)),"",SkillIncrease)</f>
        <v/>
      </c>
      <c r="J50" s="39"/>
      <c r="K50" s="46" t="str">
        <f>if((ISBLANK(J50)),"",SkillIncrease)</f>
        <v/>
      </c>
      <c r="L50" s="39"/>
      <c r="M50" s="46" t="str">
        <f>if((ISBLANK(L50)),"",SkillIncrease)</f>
        <v/>
      </c>
      <c r="N50" s="39"/>
      <c r="O50" s="46" t="str">
        <f>if((ISBLANK(N50)),"",SkillIncrease)</f>
        <v/>
      </c>
      <c r="P50" s="39"/>
      <c r="Q50" s="46" t="str">
        <f>if((ISBLANK(P50)),"",SkillIncrease)</f>
        <v/>
      </c>
      <c r="R50" s="39"/>
      <c r="S50" s="46" t="str">
        <f>if((ISBLANK(R50)),"",SkillIncrease)</f>
        <v/>
      </c>
      <c r="T50" s="39"/>
      <c r="U50" s="46" t="str">
        <f>if((ISBLANK(T50)),"",SkillIncrease)</f>
        <v/>
      </c>
      <c r="V50" s="39"/>
      <c r="W50" s="46" t="str">
        <f>if((ISBLANK(V50)),"",SkillIncrease)</f>
        <v/>
      </c>
      <c r="X50" s="39"/>
      <c r="Y50" s="46" t="str">
        <f>if((ISBLANK(X50)),"",SkillIncrease)</f>
        <v/>
      </c>
      <c r="Z50" s="39"/>
      <c r="AA50" s="46" t="str">
        <f>if((ISBLANK(Z50)),"",SkillIncrease)</f>
        <v/>
      </c>
      <c r="AB50" s="39"/>
      <c r="AC50" s="46" t="str">
        <f>if((ISBLANK(AB50)),"",SkillIncrease)</f>
        <v/>
      </c>
      <c r="AD50" s="46"/>
      <c r="AE50" s="46" t="str">
        <f>if((ISBLANK(AD50)),"",SkillIncrease)</f>
        <v/>
      </c>
      <c r="AF50" s="39"/>
      <c r="AG50" s="46" t="str">
        <f>if((ISBLANK(AF50)),"",SkillIncrease)</f>
        <v/>
      </c>
      <c r="AH50" s="39"/>
      <c r="AI50" s="46" t="str">
        <f>if((ISBLANK(AH50)),"",SkillIncrease)</f>
        <v/>
      </c>
      <c r="AJ50" s="39"/>
      <c r="AK50" s="46" t="str">
        <f>if((ISBLANK(AJ50)),"",SkillIncrease)</f>
        <v/>
      </c>
      <c r="AL50" s="39"/>
      <c r="AM50" s="46" t="str">
        <f>if((ISBLANK(AL50)),"",SkillIncrease)</f>
        <v/>
      </c>
      <c r="AN50" s="39"/>
      <c r="AO50" s="46" t="str">
        <f>if((ISBLANK(AN50)),"",SkillIncrease)</f>
        <v/>
      </c>
      <c r="AP50" s="39"/>
      <c r="AQ50" s="46" t="str">
        <f>if((ISBLANK(AP50)),"",SkillIncrease)</f>
        <v/>
      </c>
      <c r="AR50" s="39"/>
      <c r="AS50" s="46" t="str">
        <f>if((ISBLANK(AR50)),"",SkillIncrease)</f>
        <v/>
      </c>
      <c r="AT50" s="39"/>
      <c r="AU50" s="46" t="str">
        <f>if((ISBLANK(AT50)),"",SkillIncrease)</f>
        <v/>
      </c>
      <c r="AV50" s="39"/>
      <c r="AW50" s="46" t="str">
        <f>if((ISBLANK(AV50)),"",SkillIncrease)</f>
        <v/>
      </c>
      <c r="AX50" s="39"/>
      <c r="AY50" s="46" t="str">
        <f>if((ISBLANK(AX50)),"",SkillIncrease)</f>
        <v/>
      </c>
      <c r="AZ50" s="39"/>
      <c r="BA50" s="46" t="str">
        <f>if((ISBLANK(AZ50)),"",SkillIncrease)</f>
        <v/>
      </c>
    </row>
    <row r="51" hidden="1" outlineLevel="1">
      <c r="A51" s="35" t="s">
        <v>986</v>
      </c>
      <c r="B51" s="46" t="s">
        <v>148</v>
      </c>
      <c r="C51" s="46"/>
      <c r="D51" s="37" t="s">
        <v>275</v>
      </c>
      <c r="E51" s="46">
        <f>if((ISBLANK(D51)),"",SkillIncrease)</f>
        <v>5</v>
      </c>
      <c r="F51" s="39"/>
      <c r="G51" s="46" t="str">
        <f>if((ISBLANK(F51)),"",SkillIncrease)</f>
        <v/>
      </c>
      <c r="H51" s="39"/>
      <c r="I51" s="46" t="str">
        <f>if((ISBLANK(H51)),"",SkillIncrease)</f>
        <v/>
      </c>
      <c r="J51" s="39"/>
      <c r="K51" s="46" t="str">
        <f>if((ISBLANK(J51)),"",SkillIncrease)</f>
        <v/>
      </c>
      <c r="L51" s="39"/>
      <c r="M51" s="46" t="str">
        <f>if((ISBLANK(L51)),"",SkillIncrease)</f>
        <v/>
      </c>
      <c r="N51" s="39" t="s">
        <v>275</v>
      </c>
      <c r="O51" s="95">
        <f>if((ISBLANK(N51)),"",SkillIncrease)</f>
        <v>5</v>
      </c>
      <c r="P51" s="39"/>
      <c r="Q51" s="46" t="str">
        <f>if((ISBLANK(P51)),"",SkillIncrease)</f>
        <v/>
      </c>
      <c r="R51" s="39"/>
      <c r="S51" s="46" t="str">
        <f>if((ISBLANK(R51)),"",SkillIncrease)</f>
        <v/>
      </c>
      <c r="T51" s="39" t="s">
        <v>275</v>
      </c>
      <c r="U51" s="95">
        <f>if((ISBLANK(T51)),"",SkillIncrease)</f>
        <v>5</v>
      </c>
      <c r="V51" s="39"/>
      <c r="W51" s="46" t="str">
        <f>if((ISBLANK(V51)),"",SkillIncrease)</f>
        <v/>
      </c>
      <c r="X51" s="39"/>
      <c r="Y51" s="46" t="str">
        <f>if((ISBLANK(X51)),"",SkillIncrease)</f>
        <v/>
      </c>
      <c r="Z51" s="39"/>
      <c r="AA51" s="46" t="str">
        <f>if((ISBLANK(Z51)),"",SkillIncrease)</f>
        <v/>
      </c>
      <c r="AB51" s="39"/>
      <c r="AC51" s="46" t="str">
        <f>if((ISBLANK(AB51)),"",SkillIncrease)</f>
        <v/>
      </c>
      <c r="AD51" s="46" t="s">
        <v>275</v>
      </c>
      <c r="AE51" s="95">
        <f>if((ISBLANK(AD51)),"",SkillIncrease)</f>
        <v>5</v>
      </c>
      <c r="AF51" s="39"/>
      <c r="AG51" s="46" t="str">
        <f>if((ISBLANK(AF51)),"",SkillIncrease)</f>
        <v/>
      </c>
      <c r="AH51" s="39"/>
      <c r="AI51" s="46" t="str">
        <f>if((ISBLANK(AH51)),"",SkillIncrease)</f>
        <v/>
      </c>
      <c r="AJ51" s="39"/>
      <c r="AK51" s="46" t="str">
        <f>if((ISBLANK(AJ51)),"",SkillIncrease)</f>
        <v/>
      </c>
      <c r="AL51" s="39"/>
      <c r="AM51" s="46" t="str">
        <f>if((ISBLANK(AL51)),"",SkillIncrease)</f>
        <v/>
      </c>
      <c r="AN51" s="39"/>
      <c r="AO51" s="46" t="str">
        <f>if((ISBLANK(AN51)),"",SkillIncrease)</f>
        <v/>
      </c>
      <c r="AP51" s="39"/>
      <c r="AQ51" s="46" t="str">
        <f>if((ISBLANK(AP51)),"",SkillIncrease)</f>
        <v/>
      </c>
      <c r="AR51" s="39" t="s">
        <v>275</v>
      </c>
      <c r="AS51" s="95">
        <f>if((ISBLANK(AR51)),"",SkillIncrease)</f>
        <v>5</v>
      </c>
      <c r="AT51" s="39"/>
      <c r="AU51" s="46" t="str">
        <f>if((ISBLANK(AT51)),"",SkillIncrease)</f>
        <v/>
      </c>
      <c r="AV51" s="39"/>
      <c r="AW51" s="46" t="str">
        <f>if((ISBLANK(AV51)),"",SkillIncrease)</f>
        <v/>
      </c>
      <c r="AX51" s="39"/>
      <c r="AY51" s="46" t="str">
        <f>if((ISBLANK(AX51)),"",SkillIncrease)</f>
        <v/>
      </c>
      <c r="AZ51" s="39"/>
      <c r="BA51" s="46" t="str">
        <f>if((ISBLANK(AZ51)),"",SkillIncrease)</f>
        <v/>
      </c>
    </row>
    <row r="52" hidden="1" outlineLevel="1">
      <c r="A52" s="35" t="s">
        <v>1010</v>
      </c>
      <c r="B52" s="46" t="s">
        <v>148</v>
      </c>
      <c r="C52" s="46"/>
      <c r="D52" s="37" t="s">
        <v>276</v>
      </c>
      <c r="E52" s="46">
        <f>if((ISBLANK(D52)),"",SkillIncrease)</f>
        <v>5</v>
      </c>
      <c r="F52" s="39"/>
      <c r="G52" s="46" t="str">
        <f>if((ISBLANK(F52)),"",SkillIncrease)</f>
        <v/>
      </c>
      <c r="H52" s="39"/>
      <c r="I52" s="46" t="str">
        <f>if((ISBLANK(H52)),"",SkillIncrease)</f>
        <v/>
      </c>
      <c r="J52" s="39"/>
      <c r="K52" s="46" t="str">
        <f>if((ISBLANK(J52)),"",SkillIncrease)</f>
        <v/>
      </c>
      <c r="L52" s="39"/>
      <c r="M52" s="46" t="str">
        <f>if((ISBLANK(L52)),"",SkillIncrease)</f>
        <v/>
      </c>
      <c r="N52" s="39"/>
      <c r="O52" s="46" t="str">
        <f>if((ISBLANK(N52)),"",SkillIncrease)</f>
        <v/>
      </c>
      <c r="P52" s="39"/>
      <c r="Q52" s="46" t="str">
        <f>if((ISBLANK(P52)),"",SkillIncrease)</f>
        <v/>
      </c>
      <c r="R52" s="39"/>
      <c r="S52" s="46" t="str">
        <f>if((ISBLANK(R52)),"",SkillIncrease)</f>
        <v/>
      </c>
      <c r="T52" s="39" t="s">
        <v>276</v>
      </c>
      <c r="U52" s="95">
        <f>if((ISBLANK(T52)),"",SkillIncrease)</f>
        <v>5</v>
      </c>
      <c r="V52" s="39"/>
      <c r="W52" s="46" t="str">
        <f>if((ISBLANK(V52)),"",SkillIncrease)</f>
        <v/>
      </c>
      <c r="X52" s="39"/>
      <c r="Y52" s="46" t="str">
        <f>if((ISBLANK(X52)),"",SkillIncrease)</f>
        <v/>
      </c>
      <c r="Z52" s="39"/>
      <c r="AA52" s="46" t="str">
        <f>if((ISBLANK(Z52)),"",SkillIncrease)</f>
        <v/>
      </c>
      <c r="AB52" s="39"/>
      <c r="AC52" s="46" t="str">
        <f>if((ISBLANK(AB52)),"",SkillIncrease)</f>
        <v/>
      </c>
      <c r="AD52" s="46"/>
      <c r="AE52" s="46" t="str">
        <f>if((ISBLANK(AD52)),"",SkillIncrease)</f>
        <v/>
      </c>
      <c r="AF52" s="39"/>
      <c r="AG52" s="46" t="str">
        <f>if((ISBLANK(AF52)),"",SkillIncrease)</f>
        <v/>
      </c>
      <c r="AH52" s="39"/>
      <c r="AI52" s="46" t="str">
        <f>if((ISBLANK(AH52)),"",SkillIncrease)</f>
        <v/>
      </c>
      <c r="AJ52" s="39"/>
      <c r="AK52" s="46" t="str">
        <f>if((ISBLANK(AJ52)),"",SkillIncrease)</f>
        <v/>
      </c>
      <c r="AL52" s="39"/>
      <c r="AM52" s="46" t="str">
        <f>if((ISBLANK(AL52)),"",SkillIncrease)</f>
        <v/>
      </c>
      <c r="AN52" s="39" t="s">
        <v>276</v>
      </c>
      <c r="AO52" s="95">
        <f>if((ISBLANK(AN52)),"",SkillIncrease)</f>
        <v>5</v>
      </c>
      <c r="AP52" s="39"/>
      <c r="AQ52" s="46" t="str">
        <f>if((ISBLANK(AP52)),"",SkillIncrease)</f>
        <v/>
      </c>
      <c r="AR52" s="39"/>
      <c r="AS52" s="46" t="str">
        <f>if((ISBLANK(AR52)),"",SkillIncrease)</f>
        <v/>
      </c>
      <c r="AT52" s="39" t="s">
        <v>276</v>
      </c>
      <c r="AU52" s="95">
        <f>if((ISBLANK(AT52)),"",SkillIncrease)</f>
        <v>5</v>
      </c>
      <c r="AV52" s="39"/>
      <c r="AW52" s="46" t="str">
        <f>if((ISBLANK(AV52)),"",SkillIncrease)</f>
        <v/>
      </c>
      <c r="AX52" s="39"/>
      <c r="AY52" s="46" t="str">
        <f>if((ISBLANK(AX52)),"",SkillIncrease)</f>
        <v/>
      </c>
      <c r="AZ52" s="39"/>
      <c r="BA52" s="46" t="str">
        <f>if((ISBLANK(AZ52)),"",SkillIncrease)</f>
        <v/>
      </c>
    </row>
    <row r="53" hidden="1" outlineLevel="1">
      <c r="A53" s="35" t="s">
        <v>1035</v>
      </c>
      <c r="B53" s="46" t="s">
        <v>148</v>
      </c>
      <c r="C53" s="46"/>
      <c r="D53" s="37" t="s">
        <v>277</v>
      </c>
      <c r="E53" s="46">
        <f>if((ISBLANK(D53)),"",SkillIncrease)</f>
        <v>5</v>
      </c>
      <c r="F53" s="39"/>
      <c r="G53" s="46" t="str">
        <f>if((ISBLANK(F53)),"",SkillIncrease)</f>
        <v/>
      </c>
      <c r="H53" s="39"/>
      <c r="I53" s="46" t="str">
        <f>if((ISBLANK(H53)),"",SkillIncrease)</f>
        <v/>
      </c>
      <c r="J53" s="39"/>
      <c r="K53" s="46" t="str">
        <f>if((ISBLANK(J53)),"",SkillIncrease)</f>
        <v/>
      </c>
      <c r="L53" s="39"/>
      <c r="M53" s="46" t="str">
        <f>if((ISBLANK(L53)),"",SkillIncrease)</f>
        <v/>
      </c>
      <c r="N53" s="39"/>
      <c r="O53" s="46" t="str">
        <f>if((ISBLANK(N53)),"",SkillIncrease)</f>
        <v/>
      </c>
      <c r="P53" s="39"/>
      <c r="Q53" s="46" t="str">
        <f>if((ISBLANK(P53)),"",SkillIncrease)</f>
        <v/>
      </c>
      <c r="R53" s="39"/>
      <c r="S53" s="46" t="str">
        <f>if((ISBLANK(R53)),"",SkillIncrease)</f>
        <v/>
      </c>
      <c r="T53" s="39"/>
      <c r="U53" s="46" t="str">
        <f>if((ISBLANK(T53)),"",SkillIncrease)</f>
        <v/>
      </c>
      <c r="V53" s="39"/>
      <c r="W53" s="46" t="str">
        <f>if((ISBLANK(V53)),"",SkillIncrease)</f>
        <v/>
      </c>
      <c r="X53" s="39"/>
      <c r="Y53" s="46" t="str">
        <f>if((ISBLANK(X53)),"",SkillIncrease)</f>
        <v/>
      </c>
      <c r="Z53" s="39"/>
      <c r="AA53" s="46" t="str">
        <f>if((ISBLANK(Z53)),"",SkillIncrease)</f>
        <v/>
      </c>
      <c r="AB53" s="39"/>
      <c r="AC53" s="46" t="str">
        <f>if((ISBLANK(AB53)),"",SkillIncrease)</f>
        <v/>
      </c>
      <c r="AD53" s="46"/>
      <c r="AE53" s="46" t="str">
        <f>if((ISBLANK(AD53)),"",SkillIncrease)</f>
        <v/>
      </c>
      <c r="AF53" s="39"/>
      <c r="AG53" s="46" t="str">
        <f>if((ISBLANK(AF53)),"",SkillIncrease)</f>
        <v/>
      </c>
      <c r="AH53" s="39"/>
      <c r="AI53" s="46" t="str">
        <f>if((ISBLANK(AH53)),"",SkillIncrease)</f>
        <v/>
      </c>
      <c r="AJ53" s="39"/>
      <c r="AK53" s="46" t="str">
        <f>if((ISBLANK(AJ53)),"",SkillIncrease)</f>
        <v/>
      </c>
      <c r="AL53" s="39"/>
      <c r="AM53" s="46" t="str">
        <f>if((ISBLANK(AL53)),"",SkillIncrease)</f>
        <v/>
      </c>
      <c r="AN53" s="39" t="s">
        <v>277</v>
      </c>
      <c r="AO53" s="95">
        <f>if((ISBLANK(AN53)),"",SkillIncrease)</f>
        <v>5</v>
      </c>
      <c r="AP53" s="39"/>
      <c r="AQ53" s="46" t="str">
        <f>if((ISBLANK(AP53)),"",SkillIncrease)</f>
        <v/>
      </c>
      <c r="AR53" s="39"/>
      <c r="AS53" s="46" t="str">
        <f>if((ISBLANK(AR53)),"",SkillIncrease)</f>
        <v/>
      </c>
      <c r="AT53" s="39"/>
      <c r="AU53" s="46" t="str">
        <f>if((ISBLANK(AT53)),"",SkillIncrease)</f>
        <v/>
      </c>
      <c r="AV53" s="39"/>
      <c r="AW53" s="46" t="str">
        <f>if((ISBLANK(AV53)),"",SkillIncrease)</f>
        <v/>
      </c>
      <c r="AX53" s="39"/>
      <c r="AY53" s="46" t="str">
        <f>if((ISBLANK(AX53)),"",SkillIncrease)</f>
        <v/>
      </c>
      <c r="AZ53" s="39"/>
      <c r="BA53" s="46" t="str">
        <f>if((ISBLANK(AZ53)),"",SkillIncrease)</f>
        <v/>
      </c>
    </row>
    <row r="54" hidden="1" outlineLevel="1">
      <c r="A54" s="35" t="s">
        <v>1058</v>
      </c>
      <c r="B54" s="46" t="s">
        <v>148</v>
      </c>
      <c r="C54" s="46"/>
      <c r="D54" s="37" t="s">
        <v>278</v>
      </c>
      <c r="E54" s="46">
        <f>if((ISBLANK(D54)),"",SkillIncrease)</f>
        <v>5</v>
      </c>
      <c r="F54" s="39" t="s">
        <v>278</v>
      </c>
      <c r="G54" s="95">
        <f>if((ISBLANK(F54)),"",SkillIncrease)</f>
        <v>5</v>
      </c>
      <c r="H54" s="39"/>
      <c r="I54" s="46" t="str">
        <f>if((ISBLANK(H54)),"",SkillIncrease)</f>
        <v/>
      </c>
      <c r="J54" s="39"/>
      <c r="K54" s="46" t="str">
        <f>if((ISBLANK(J54)),"",SkillIncrease)</f>
        <v/>
      </c>
      <c r="L54" s="39"/>
      <c r="M54" s="46" t="str">
        <f>if((ISBLANK(L54)),"",SkillIncrease)</f>
        <v/>
      </c>
      <c r="N54" s="39"/>
      <c r="O54" s="46" t="str">
        <f>if((ISBLANK(N54)),"",SkillIncrease)</f>
        <v/>
      </c>
      <c r="P54" s="39"/>
      <c r="Q54" s="46" t="str">
        <f>if((ISBLANK(P54)),"",SkillIncrease)</f>
        <v/>
      </c>
      <c r="R54" s="39"/>
      <c r="S54" s="46" t="str">
        <f>if((ISBLANK(R54)),"",SkillIncrease)</f>
        <v/>
      </c>
      <c r="T54" s="39" t="s">
        <v>278</v>
      </c>
      <c r="U54" s="95">
        <f>if((ISBLANK(T54)),"",SkillIncrease)</f>
        <v>5</v>
      </c>
      <c r="V54" s="39"/>
      <c r="W54" s="46" t="str">
        <f>if((ISBLANK(V54)),"",SkillIncrease)</f>
        <v/>
      </c>
      <c r="X54" s="39"/>
      <c r="Y54" s="46" t="str">
        <f>if((ISBLANK(X54)),"",SkillIncrease)</f>
        <v/>
      </c>
      <c r="Z54" s="39"/>
      <c r="AA54" s="46" t="str">
        <f>if((ISBLANK(Z54)),"",SkillIncrease)</f>
        <v/>
      </c>
      <c r="AB54" s="39"/>
      <c r="AC54" s="46" t="str">
        <f>if((ISBLANK(AB54)),"",SkillIncrease)</f>
        <v/>
      </c>
      <c r="AD54" s="46"/>
      <c r="AE54" s="46" t="str">
        <f>if((ISBLANK(AD54)),"",SkillIncrease)</f>
        <v/>
      </c>
      <c r="AF54" s="39"/>
      <c r="AG54" s="46" t="str">
        <f>if((ISBLANK(AF54)),"",SkillIncrease)</f>
        <v/>
      </c>
      <c r="AH54" s="39"/>
      <c r="AI54" s="46" t="str">
        <f>if((ISBLANK(AH54)),"",SkillIncrease)</f>
        <v/>
      </c>
      <c r="AJ54" s="39" t="s">
        <v>278</v>
      </c>
      <c r="AK54" s="95">
        <f>if((ISBLANK(AJ54)),"",SkillIncrease)</f>
        <v>5</v>
      </c>
      <c r="AL54" s="39" t="s">
        <v>278</v>
      </c>
      <c r="AM54" s="95">
        <f>if((ISBLANK(AL54)),"",SkillIncrease)</f>
        <v>5</v>
      </c>
      <c r="AN54" s="39"/>
      <c r="AO54" s="46" t="str">
        <f>if((ISBLANK(AN54)),"",SkillIncrease)</f>
        <v/>
      </c>
      <c r="AP54" s="39" t="s">
        <v>278</v>
      </c>
      <c r="AQ54" s="95">
        <f>if((ISBLANK(AP54)),"",SkillIncrease)</f>
        <v>5</v>
      </c>
      <c r="AR54" s="39"/>
      <c r="AS54" s="46" t="str">
        <f>if((ISBLANK(AR54)),"",SkillIncrease)</f>
        <v/>
      </c>
      <c r="AT54" s="39"/>
      <c r="AU54" s="46" t="str">
        <f>if((ISBLANK(AT54)),"",SkillIncrease)</f>
        <v/>
      </c>
      <c r="AV54" s="39"/>
      <c r="AW54" s="46" t="str">
        <f>if((ISBLANK(AV54)),"",SkillIncrease)</f>
        <v/>
      </c>
      <c r="AX54" s="39"/>
      <c r="AY54" s="46" t="str">
        <f>if((ISBLANK(AX54)),"",SkillIncrease)</f>
        <v/>
      </c>
      <c r="AZ54" s="39"/>
      <c r="BA54" s="46" t="str">
        <f>if((ISBLANK(AZ54)),"",SkillIncrease)</f>
        <v/>
      </c>
    </row>
    <row r="55" hidden="1" outlineLevel="1">
      <c r="A55" s="35" t="s">
        <v>1073</v>
      </c>
      <c r="B55" s="46" t="s">
        <v>148</v>
      </c>
      <c r="C55" s="46"/>
      <c r="D55" s="37" t="s">
        <v>279</v>
      </c>
      <c r="E55" s="46">
        <f>if((ISBLANK(D55)),"",SkillIncrease)</f>
        <v>5</v>
      </c>
      <c r="F55" s="39"/>
      <c r="G55" s="46" t="str">
        <f>if((ISBLANK(F55)),"",SkillIncrease)</f>
        <v/>
      </c>
      <c r="H55" s="39"/>
      <c r="I55" s="46" t="str">
        <f>if((ISBLANK(H55)),"",SkillIncrease)</f>
        <v/>
      </c>
      <c r="J55" s="39"/>
      <c r="K55" s="46" t="str">
        <f>if((ISBLANK(J55)),"",SkillIncrease)</f>
        <v/>
      </c>
      <c r="L55" s="39"/>
      <c r="M55" s="46" t="str">
        <f>if((ISBLANK(L55)),"",SkillIncrease)</f>
        <v/>
      </c>
      <c r="N55" s="39"/>
      <c r="O55" s="46" t="str">
        <f>if((ISBLANK(N55)),"",SkillIncrease)</f>
        <v/>
      </c>
      <c r="P55" s="39"/>
      <c r="Q55" s="46" t="str">
        <f>if((ISBLANK(P55)),"",SkillIncrease)</f>
        <v/>
      </c>
      <c r="R55" s="39" t="s">
        <v>279</v>
      </c>
      <c r="S55" s="95">
        <f>if((ISBLANK(R55)),"",SkillIncrease)</f>
        <v>5</v>
      </c>
      <c r="T55" s="39"/>
      <c r="U55" s="46" t="str">
        <f>if((ISBLANK(T55)),"",SkillIncrease)</f>
        <v/>
      </c>
      <c r="V55" s="39"/>
      <c r="W55" s="46" t="str">
        <f>if((ISBLANK(V55)),"",SkillIncrease)</f>
        <v/>
      </c>
      <c r="X55" s="39"/>
      <c r="Y55" s="46" t="str">
        <f>if((ISBLANK(X55)),"",SkillIncrease)</f>
        <v/>
      </c>
      <c r="Z55" s="39"/>
      <c r="AA55" s="46" t="str">
        <f>if((ISBLANK(Z55)),"",SkillIncrease)</f>
        <v/>
      </c>
      <c r="AB55" s="39"/>
      <c r="AC55" s="46" t="str">
        <f>if((ISBLANK(AB55)),"",SkillIncrease)</f>
        <v/>
      </c>
      <c r="AD55" s="46"/>
      <c r="AE55" s="46" t="str">
        <f>if((ISBLANK(AD55)),"",SkillIncrease)</f>
        <v/>
      </c>
      <c r="AF55" s="39"/>
      <c r="AG55" s="46" t="str">
        <f>if((ISBLANK(AF55)),"",SkillIncrease)</f>
        <v/>
      </c>
      <c r="AH55" s="39"/>
      <c r="AI55" s="46" t="str">
        <f>if((ISBLANK(AH55)),"",SkillIncrease)</f>
        <v/>
      </c>
      <c r="AJ55" s="39"/>
      <c r="AK55" s="46" t="str">
        <f>if((ISBLANK(AJ55)),"",SkillIncrease)</f>
        <v/>
      </c>
      <c r="AL55" s="39"/>
      <c r="AM55" s="46" t="str">
        <f>if((ISBLANK(AL55)),"",SkillIncrease)</f>
        <v/>
      </c>
      <c r="AN55" s="39"/>
      <c r="AO55" s="46" t="str">
        <f>if((ISBLANK(AN55)),"",SkillIncrease)</f>
        <v/>
      </c>
      <c r="AP55" s="39"/>
      <c r="AQ55" s="46" t="str">
        <f>if((ISBLANK(AP55)),"",SkillIncrease)</f>
        <v/>
      </c>
      <c r="AR55" s="39"/>
      <c r="AS55" s="46" t="str">
        <f>if((ISBLANK(AR55)),"",SkillIncrease)</f>
        <v/>
      </c>
      <c r="AT55" s="39"/>
      <c r="AU55" s="46" t="str">
        <f>if((ISBLANK(AT55)),"",SkillIncrease)</f>
        <v/>
      </c>
      <c r="AV55" s="39"/>
      <c r="AW55" s="46" t="str">
        <f>if((ISBLANK(AV55)),"",SkillIncrease)</f>
        <v/>
      </c>
      <c r="AX55" s="39"/>
      <c r="AY55" s="46" t="str">
        <f>if((ISBLANK(AX55)),"",SkillIncrease)</f>
        <v/>
      </c>
      <c r="AZ55" s="39"/>
      <c r="BA55" s="46" t="str">
        <f>if((ISBLANK(AZ55)),"",SkillIncrease)</f>
        <v/>
      </c>
    </row>
    <row r="56" hidden="1" outlineLevel="1">
      <c r="A56" s="35" t="s">
        <v>1091</v>
      </c>
      <c r="B56" s="46" t="s">
        <v>148</v>
      </c>
      <c r="C56" s="46"/>
      <c r="D56" s="37" t="s">
        <v>280</v>
      </c>
      <c r="E56" s="46">
        <f>if((ISBLANK(D56)),"",SkillIncrease)</f>
        <v>5</v>
      </c>
      <c r="F56" s="39"/>
      <c r="G56" s="46" t="str">
        <f>if((ISBLANK(F56)),"",SkillIncrease)</f>
        <v/>
      </c>
      <c r="H56" s="39"/>
      <c r="I56" s="46" t="str">
        <f>if((ISBLANK(H56)),"",SkillIncrease)</f>
        <v/>
      </c>
      <c r="J56" s="39"/>
      <c r="K56" s="46" t="str">
        <f>if((ISBLANK(J56)),"",SkillIncrease)</f>
        <v/>
      </c>
      <c r="L56" s="39"/>
      <c r="M56" s="46" t="str">
        <f>if((ISBLANK(L56)),"",SkillIncrease)</f>
        <v/>
      </c>
      <c r="N56" s="39"/>
      <c r="O56" s="46" t="str">
        <f>if((ISBLANK(N56)),"",SkillIncrease)</f>
        <v/>
      </c>
      <c r="P56" s="39" t="s">
        <v>280</v>
      </c>
      <c r="Q56" s="95">
        <f>if((ISBLANK(P56)),"",SkillIncrease)</f>
        <v>5</v>
      </c>
      <c r="R56" s="39"/>
      <c r="S56" s="46" t="str">
        <f>if((ISBLANK(R56)),"",SkillIncrease)</f>
        <v/>
      </c>
      <c r="T56" s="39"/>
      <c r="U56" s="46" t="str">
        <f>if((ISBLANK(T56)),"",SkillIncrease)</f>
        <v/>
      </c>
      <c r="V56" s="39"/>
      <c r="W56" s="46" t="str">
        <f>if((ISBLANK(V56)),"",SkillIncrease)</f>
        <v/>
      </c>
      <c r="X56" s="39"/>
      <c r="Y56" s="46" t="str">
        <f>if((ISBLANK(X56)),"",SkillIncrease)</f>
        <v/>
      </c>
      <c r="Z56" s="39"/>
      <c r="AA56" s="46" t="str">
        <f>if((ISBLANK(Z56)),"",SkillIncrease)</f>
        <v/>
      </c>
      <c r="AB56" s="39"/>
      <c r="AC56" s="46" t="str">
        <f>if((ISBLANK(AB56)),"",SkillIncrease)</f>
        <v/>
      </c>
      <c r="AD56" s="46"/>
      <c r="AE56" s="46" t="str">
        <f>if((ISBLANK(AD56)),"",SkillIncrease)</f>
        <v/>
      </c>
      <c r="AF56" s="39"/>
      <c r="AG56" s="46" t="str">
        <f>if((ISBLANK(AF56)),"",SkillIncrease)</f>
        <v/>
      </c>
      <c r="AH56" s="39"/>
      <c r="AI56" s="46" t="str">
        <f>if((ISBLANK(AH56)),"",SkillIncrease)</f>
        <v/>
      </c>
      <c r="AJ56" s="39"/>
      <c r="AK56" s="46" t="str">
        <f>if((ISBLANK(AJ56)),"",SkillIncrease)</f>
        <v/>
      </c>
      <c r="AL56" s="39"/>
      <c r="AM56" s="46" t="str">
        <f>if((ISBLANK(AL56)),"",SkillIncrease)</f>
        <v/>
      </c>
      <c r="AN56" s="39"/>
      <c r="AO56" s="46" t="str">
        <f>if((ISBLANK(AN56)),"",SkillIncrease)</f>
        <v/>
      </c>
      <c r="AP56" s="39"/>
      <c r="AQ56" s="46" t="str">
        <f>if((ISBLANK(AP56)),"",SkillIncrease)</f>
        <v/>
      </c>
      <c r="AR56" s="39"/>
      <c r="AS56" s="46" t="str">
        <f>if((ISBLANK(AR56)),"",SkillIncrease)</f>
        <v/>
      </c>
      <c r="AT56" s="39"/>
      <c r="AU56" s="46" t="str">
        <f>if((ISBLANK(AT56)),"",SkillIncrease)</f>
        <v/>
      </c>
      <c r="AV56" s="39"/>
      <c r="AW56" s="46" t="str">
        <f>if((ISBLANK(AV56)),"",SkillIncrease)</f>
        <v/>
      </c>
      <c r="AX56" s="39"/>
      <c r="AY56" s="46" t="str">
        <f>if((ISBLANK(AX56)),"",SkillIncrease)</f>
        <v/>
      </c>
      <c r="AZ56" s="39"/>
      <c r="BA56" s="46" t="str">
        <f>if((ISBLANK(AZ56)),"",SkillIncrease)</f>
        <v/>
      </c>
    </row>
    <row r="57" hidden="1" outlineLevel="1">
      <c r="A57" s="35" t="s">
        <v>1105</v>
      </c>
      <c r="B57" s="46" t="s">
        <v>148</v>
      </c>
      <c r="C57" s="46"/>
      <c r="D57" s="37" t="s">
        <v>281</v>
      </c>
      <c r="E57" s="46">
        <f>if((ISBLANK(D57)),"",SkillIncrease)</f>
        <v>5</v>
      </c>
      <c r="F57" s="39"/>
      <c r="G57" s="46" t="str">
        <f>if((ISBLANK(F57)),"",SkillIncrease)</f>
        <v/>
      </c>
      <c r="H57" s="39"/>
      <c r="I57" s="46" t="str">
        <f>if((ISBLANK(H57)),"",SkillIncrease)</f>
        <v/>
      </c>
      <c r="J57" s="39"/>
      <c r="K57" s="46" t="str">
        <f>if((ISBLANK(J57)),"",SkillIncrease)</f>
        <v/>
      </c>
      <c r="L57" s="39"/>
      <c r="M57" s="46" t="str">
        <f>if((ISBLANK(L57)),"",SkillIncrease)</f>
        <v/>
      </c>
      <c r="N57" s="39" t="s">
        <v>281</v>
      </c>
      <c r="O57" s="95">
        <f>if((ISBLANK(N57)),"",SkillIncrease)</f>
        <v>5</v>
      </c>
      <c r="P57" s="39"/>
      <c r="Q57" s="46" t="str">
        <f>if((ISBLANK(P57)),"",SkillIncrease)</f>
        <v/>
      </c>
      <c r="R57" s="39"/>
      <c r="S57" s="46" t="str">
        <f>if((ISBLANK(R57)),"",SkillIncrease)</f>
        <v/>
      </c>
      <c r="T57" s="39"/>
      <c r="U57" s="46" t="str">
        <f>if((ISBLANK(T57)),"",SkillIncrease)</f>
        <v/>
      </c>
      <c r="V57" s="39"/>
      <c r="W57" s="46" t="str">
        <f>if((ISBLANK(V57)),"",SkillIncrease)</f>
        <v/>
      </c>
      <c r="X57" s="39"/>
      <c r="Y57" s="46" t="str">
        <f>if((ISBLANK(X57)),"",SkillIncrease)</f>
        <v/>
      </c>
      <c r="Z57" s="39"/>
      <c r="AA57" s="46" t="str">
        <f>if((ISBLANK(Z57)),"",SkillIncrease)</f>
        <v/>
      </c>
      <c r="AB57" s="39"/>
      <c r="AC57" s="46" t="str">
        <f>if((ISBLANK(AB57)),"",SkillIncrease)</f>
        <v/>
      </c>
      <c r="AD57" s="46"/>
      <c r="AE57" s="46" t="str">
        <f>if((ISBLANK(AD57)),"",SkillIncrease)</f>
        <v/>
      </c>
      <c r="AF57" s="39"/>
      <c r="AG57" s="46" t="str">
        <f>if((ISBLANK(AF57)),"",SkillIncrease)</f>
        <v/>
      </c>
      <c r="AH57" s="39"/>
      <c r="AI57" s="46" t="str">
        <f>if((ISBLANK(AH57)),"",SkillIncrease)</f>
        <v/>
      </c>
      <c r="AJ57" s="39"/>
      <c r="AK57" s="46" t="str">
        <f>if((ISBLANK(AJ57)),"",SkillIncrease)</f>
        <v/>
      </c>
      <c r="AL57" s="39"/>
      <c r="AM57" s="46" t="str">
        <f>if((ISBLANK(AL57)),"",SkillIncrease)</f>
        <v/>
      </c>
      <c r="AN57" s="39"/>
      <c r="AO57" s="46" t="str">
        <f>if((ISBLANK(AN57)),"",SkillIncrease)</f>
        <v/>
      </c>
      <c r="AP57" s="39"/>
      <c r="AQ57" s="46" t="str">
        <f>if((ISBLANK(AP57)),"",SkillIncrease)</f>
        <v/>
      </c>
      <c r="AR57" s="39"/>
      <c r="AS57" s="46" t="str">
        <f>if((ISBLANK(AR57)),"",SkillIncrease)</f>
        <v/>
      </c>
      <c r="AT57" s="39"/>
      <c r="AU57" s="46" t="str">
        <f>if((ISBLANK(AT57)),"",SkillIncrease)</f>
        <v/>
      </c>
      <c r="AV57" s="39"/>
      <c r="AW57" s="46" t="str">
        <f>if((ISBLANK(AV57)),"",SkillIncrease)</f>
        <v/>
      </c>
      <c r="AX57" s="39"/>
      <c r="AY57" s="46" t="str">
        <f>if((ISBLANK(AX57)),"",SkillIncrease)</f>
        <v/>
      </c>
      <c r="AZ57" s="39"/>
      <c r="BA57" s="46" t="str">
        <f>if((ISBLANK(AZ57)),"",SkillIncrease)</f>
        <v/>
      </c>
    </row>
    <row r="58" hidden="1" outlineLevel="1">
      <c r="A58" s="35" t="s">
        <v>1133</v>
      </c>
      <c r="B58" s="46" t="s">
        <v>148</v>
      </c>
      <c r="C58" s="46"/>
      <c r="D58" s="37" t="s">
        <v>282</v>
      </c>
      <c r="E58" s="46">
        <f>if((ISBLANK(D58)),"",SkillIncrease)</f>
        <v>5</v>
      </c>
      <c r="F58" s="39"/>
      <c r="G58" s="46" t="str">
        <f>if((ISBLANK(F58)),"",SkillIncrease)</f>
        <v/>
      </c>
      <c r="H58" s="39"/>
      <c r="I58" s="46" t="str">
        <f>if((ISBLANK(H58)),"",SkillIncrease)</f>
        <v/>
      </c>
      <c r="J58" s="39"/>
      <c r="K58" s="46" t="str">
        <f>if((ISBLANK(J58)),"",SkillIncrease)</f>
        <v/>
      </c>
      <c r="L58" s="39"/>
      <c r="M58" s="46" t="str">
        <f>if((ISBLANK(L58)),"",SkillIncrease)</f>
        <v/>
      </c>
      <c r="N58" s="39"/>
      <c r="O58" s="46" t="str">
        <f>if((ISBLANK(N58)),"",SkillIncrease)</f>
        <v/>
      </c>
      <c r="P58" s="39"/>
      <c r="Q58" s="46" t="str">
        <f>if((ISBLANK(P58)),"",SkillIncrease)</f>
        <v/>
      </c>
      <c r="R58" s="39"/>
      <c r="S58" s="46" t="str">
        <f>if((ISBLANK(R58)),"",SkillIncrease)</f>
        <v/>
      </c>
      <c r="T58" s="39"/>
      <c r="U58" s="46" t="str">
        <f>if((ISBLANK(T58)),"",SkillIncrease)</f>
        <v/>
      </c>
      <c r="V58" s="39"/>
      <c r="W58" s="46" t="str">
        <f>if((ISBLANK(V58)),"",SkillIncrease)</f>
        <v/>
      </c>
      <c r="X58" s="39"/>
      <c r="Y58" s="46" t="str">
        <f>if((ISBLANK(X58)),"",SkillIncrease)</f>
        <v/>
      </c>
      <c r="Z58" s="39"/>
      <c r="AA58" s="46" t="str">
        <f>if((ISBLANK(Z58)),"",SkillIncrease)</f>
        <v/>
      </c>
      <c r="AB58" s="39"/>
      <c r="AC58" s="46" t="str">
        <f>if((ISBLANK(AB58)),"",SkillIncrease)</f>
        <v/>
      </c>
      <c r="AD58" s="46"/>
      <c r="AE58" s="46" t="str">
        <f>if((ISBLANK(AD58)),"",SkillIncrease)</f>
        <v/>
      </c>
      <c r="AF58" s="39"/>
      <c r="AG58" s="46" t="str">
        <f>if((ISBLANK(AF58)),"",SkillIncrease)</f>
        <v/>
      </c>
      <c r="AH58" s="39"/>
      <c r="AI58" s="46" t="str">
        <f>if((ISBLANK(AH58)),"",SkillIncrease)</f>
        <v/>
      </c>
      <c r="AJ58" s="39"/>
      <c r="AK58" s="46" t="str">
        <f>if((ISBLANK(AJ58)),"",SkillIncrease)</f>
        <v/>
      </c>
      <c r="AL58" s="39"/>
      <c r="AM58" s="46" t="str">
        <f>if((ISBLANK(AL58)),"",SkillIncrease)</f>
        <v/>
      </c>
      <c r="AN58" s="39"/>
      <c r="AO58" s="46" t="str">
        <f>if((ISBLANK(AN58)),"",SkillIncrease)</f>
        <v/>
      </c>
      <c r="AP58" s="39"/>
      <c r="AQ58" s="46" t="str">
        <f>if((ISBLANK(AP58)),"",SkillIncrease)</f>
        <v/>
      </c>
      <c r="AR58" s="39"/>
      <c r="AS58" s="46" t="str">
        <f>if((ISBLANK(AR58)),"",SkillIncrease)</f>
        <v/>
      </c>
      <c r="AT58" s="39"/>
      <c r="AU58" s="46" t="str">
        <f>if((ISBLANK(AT58)),"",SkillIncrease)</f>
        <v/>
      </c>
      <c r="AV58" s="39"/>
      <c r="AW58" s="46" t="str">
        <f>if((ISBLANK(AV58)),"",SkillIncrease)</f>
        <v/>
      </c>
      <c r="AX58" s="39"/>
      <c r="AY58" s="46" t="str">
        <f>if((ISBLANK(AX58)),"",SkillIncrease)</f>
        <v/>
      </c>
      <c r="AZ58" s="39"/>
      <c r="BA58" s="46" t="str">
        <f>if((ISBLANK(AZ58)),"",SkillIncrease)</f>
        <v/>
      </c>
    </row>
    <row r="59" hidden="1" outlineLevel="1">
      <c r="A59" s="37" t="s">
        <v>1147</v>
      </c>
      <c r="B59" s="46" t="s">
        <v>148</v>
      </c>
      <c r="C59" s="35"/>
      <c r="D59" s="35">
        <f>(COUNTA(D42:D58))+D41+D40</f>
        <v>19</v>
      </c>
      <c r="E59" s="35">
        <f>SUM(E40:E58)</f>
        <v>95</v>
      </c>
      <c r="F59" s="95">
        <f>(COUNTA(F42:F58))+F41+F40</f>
        <v>4</v>
      </c>
      <c r="G59" s="95">
        <f>SUM(G40:G58)</f>
        <v>20</v>
      </c>
      <c r="H59" s="95">
        <f>(COUNTA(H42:H58))+H41+H40</f>
        <v>4</v>
      </c>
      <c r="I59" s="95">
        <f>SUM(I40:I58)</f>
        <v>20</v>
      </c>
      <c r="J59" s="95">
        <f>(COUNTA(J42:J58))+J41+J40</f>
        <v>4</v>
      </c>
      <c r="K59" s="95">
        <f>SUM(K40:K58)</f>
        <v>20</v>
      </c>
      <c r="L59" s="95">
        <f>(COUNTA(L42:L58))+L41+L40</f>
        <v>4</v>
      </c>
      <c r="M59" s="95">
        <f>SUM(M40:M58)</f>
        <v>20</v>
      </c>
      <c r="N59" s="95">
        <f>(COUNTA(N42:N58))+N41+N40</f>
        <v>6</v>
      </c>
      <c r="O59" s="95">
        <f>SUM(O40:O58)</f>
        <v>30</v>
      </c>
      <c r="P59" s="95">
        <f>(COUNTA(P42:P58))+P41+P40</f>
        <v>9</v>
      </c>
      <c r="Q59" s="95">
        <f>SUM(Q40:Q58)</f>
        <v>40</v>
      </c>
      <c r="R59" s="95">
        <f>(COUNTA(R42:R58))+R41+R40</f>
        <v>6</v>
      </c>
      <c r="S59" s="95">
        <f>SUM(S40:S58)</f>
        <v>25</v>
      </c>
      <c r="T59" s="95">
        <f>(COUNTA(T42:T58))+T41+T40</f>
        <v>8</v>
      </c>
      <c r="U59" s="95">
        <f>SUM(U40:U58)</f>
        <v>40</v>
      </c>
      <c r="V59" s="95">
        <f>(COUNTA(V42:V58))+V41+V40</f>
        <v>6</v>
      </c>
      <c r="W59" s="95">
        <f>SUM(W40:W58)</f>
        <v>25</v>
      </c>
      <c r="X59" s="95">
        <f>(COUNTA(X42:X58))+X41+X40</f>
        <v>4</v>
      </c>
      <c r="Y59" s="95">
        <f>SUM(Y40:Y58)</f>
        <v>20</v>
      </c>
      <c r="Z59" s="95">
        <f>(COUNTA(Z42:Z58))+Z41+Z40</f>
        <v>4</v>
      </c>
      <c r="AA59" s="95">
        <f>SUM(AA40:AA58)</f>
        <v>20</v>
      </c>
      <c r="AB59" s="95">
        <f>(COUNTA(AB42:AB58))+AB41+AB40</f>
        <v>4</v>
      </c>
      <c r="AC59" s="95">
        <f>SUM(AC40:AC58)</f>
        <v>20</v>
      </c>
      <c r="AD59" s="46"/>
      <c r="AE59" s="95">
        <f>SUM(AE40:AE58)</f>
        <v>20</v>
      </c>
      <c r="AF59" s="95">
        <f>(COUNTA(AF42:AF58))+AF41+AF40</f>
        <v>5</v>
      </c>
      <c r="AG59" s="95">
        <f>SUM(AG40:AG58)</f>
        <v>25</v>
      </c>
      <c r="AH59" s="95">
        <f>(COUNTA(AH42:AH58))+AH41+AH40</f>
        <v>3</v>
      </c>
      <c r="AI59" s="95">
        <f>SUM(AI40:AI58)</f>
        <v>15</v>
      </c>
      <c r="AJ59" s="95">
        <f>(COUNTA(AJ42:AJ58))+AJ41+AJ40</f>
        <v>4</v>
      </c>
      <c r="AK59" s="95">
        <f>SUM(AK40:AK58)</f>
        <v>20</v>
      </c>
      <c r="AL59" s="95">
        <f>(COUNTA(AL42:AL58))+AL41+AL40</f>
        <v>4</v>
      </c>
      <c r="AM59" s="95">
        <f>SUM(AM40:AM58)</f>
        <v>20</v>
      </c>
      <c r="AN59" s="95">
        <f>(COUNTA(AN42:AN58))+AN41+AN40</f>
        <v>6</v>
      </c>
      <c r="AO59" s="95">
        <f>SUM(AO40:AO58)</f>
        <v>30</v>
      </c>
      <c r="AP59" s="95">
        <f>(COUNTA(AP42:AP58))+AP41+AP40</f>
        <v>5</v>
      </c>
      <c r="AQ59" s="95">
        <f>SUM(AQ40:AQ58)</f>
        <v>25</v>
      </c>
      <c r="AR59" s="95">
        <f>(COUNTA(AR42:AR58))+AR41+AR40</f>
        <v>4</v>
      </c>
      <c r="AS59" s="95">
        <f>SUM(AS40:AS58)</f>
        <v>20</v>
      </c>
      <c r="AT59" s="95">
        <f>(COUNTA(AT42:AT58))+AT41+AT40</f>
        <v>4</v>
      </c>
      <c r="AU59" s="95">
        <f>SUM(AU40:AU58)</f>
        <v>20</v>
      </c>
      <c r="AV59" s="95">
        <f>(COUNTA(AV42:AV58))+AV41+AV40</f>
        <v>3</v>
      </c>
      <c r="AW59" s="95">
        <f>SUM(AW40:AW58)</f>
        <v>15</v>
      </c>
      <c r="AX59" s="95">
        <f>(COUNTA(AX42:AX58))+AX41+AX40</f>
        <v>4</v>
      </c>
      <c r="AY59" s="95">
        <f>SUM(AY40:AY58)</f>
        <v>20</v>
      </c>
      <c r="AZ59" s="95">
        <f>(COUNTA(AZ42:AZ58))+AZ41+AZ40</f>
        <v>4</v>
      </c>
      <c r="BA59" s="95">
        <f>SUM(BA40:BA58)</f>
        <v>20</v>
      </c>
    </row>
    <row r="60" hidden="1" outlineLevel="1">
      <c r="A60" s="37" t="s">
        <v>1182</v>
      </c>
      <c r="B60" s="46" t="s">
        <v>1183</v>
      </c>
      <c r="C60" s="35"/>
      <c r="D60" s="37">
        <v>1.0</v>
      </c>
      <c r="E60" s="46">
        <f>if((ISBLANK(D60)),"",SkillIncrease)</f>
        <v>5</v>
      </c>
      <c r="F60" s="46"/>
      <c r="G60" s="46" t="str">
        <f>if((ISBLANK(F60)),"",SkillIncrease)</f>
        <v/>
      </c>
      <c r="H60" s="39"/>
      <c r="I60" s="46" t="str">
        <f>if((ISBLANK(H60)),"",SkillIncrease)</f>
        <v/>
      </c>
      <c r="J60" s="39"/>
      <c r="K60" s="46" t="str">
        <f>if((ISBLANK(J60)),"",SkillIncrease)</f>
        <v/>
      </c>
      <c r="L60" s="39"/>
      <c r="M60" s="46" t="str">
        <f>if((ISBLANK(L60)),"",SkillIncrease)</f>
        <v/>
      </c>
      <c r="N60" s="39"/>
      <c r="O60" s="46" t="str">
        <f>if((ISBLANK(N60)),"",SkillIncrease)</f>
        <v/>
      </c>
      <c r="P60" s="94">
        <v>1.0</v>
      </c>
      <c r="Q60" s="95">
        <f>if((ISBLANK(P60)),"",SkillIncrease)</f>
        <v>5</v>
      </c>
      <c r="R60" s="94">
        <v>1.0</v>
      </c>
      <c r="S60" s="95">
        <f>if((ISBLANK(R60)),"",SkillIncrease)</f>
        <v>5</v>
      </c>
      <c r="T60" s="39"/>
      <c r="U60" s="46" t="str">
        <f>if((ISBLANK(T60)),"",SkillIncrease)</f>
        <v/>
      </c>
      <c r="V60" s="39"/>
      <c r="W60" s="46" t="str">
        <f>if((ISBLANK(V60)),"",SkillIncrease)</f>
        <v/>
      </c>
      <c r="X60" s="39"/>
      <c r="Y60" s="46" t="str">
        <f>if((ISBLANK(X60)),"",SkillIncrease)</f>
        <v/>
      </c>
      <c r="Z60" s="39"/>
      <c r="AA60" s="46" t="str">
        <f>if((ISBLANK(Z60)),"",SkillIncrease)</f>
        <v/>
      </c>
      <c r="AB60" s="39"/>
      <c r="AC60" s="46" t="str">
        <f>if((ISBLANK(AB60)),"",SkillIncrease)</f>
        <v/>
      </c>
      <c r="AD60" s="46"/>
      <c r="AE60" s="46" t="str">
        <f>if((ISBLANK(AD60)),"",SkillIncrease)</f>
        <v/>
      </c>
      <c r="AF60" s="39"/>
      <c r="AG60" s="46" t="str">
        <f>if((ISBLANK(AF60)),"",SkillIncrease)</f>
        <v/>
      </c>
      <c r="AH60" s="39"/>
      <c r="AI60" s="46" t="str">
        <f>if((ISBLANK(AH60)),"",SkillIncrease)</f>
        <v/>
      </c>
      <c r="AJ60" s="39"/>
      <c r="AK60" s="46" t="str">
        <f>if((ISBLANK(AJ60)),"",SkillIncrease)</f>
        <v/>
      </c>
      <c r="AL60" s="39"/>
      <c r="AM60" s="46" t="str">
        <f>if((ISBLANK(AL60)),"",SkillIncrease)</f>
        <v/>
      </c>
      <c r="AN60" s="39"/>
      <c r="AO60" s="46" t="str">
        <f>if((ISBLANK(AN60)),"",SkillIncrease)</f>
        <v/>
      </c>
      <c r="AP60" s="39"/>
      <c r="AQ60" s="46" t="str">
        <f>if((ISBLANK(AP60)),"",SkillIncrease)</f>
        <v/>
      </c>
      <c r="AR60" s="39"/>
      <c r="AS60" s="46" t="str">
        <f>if((ISBLANK(AR60)),"",SkillIncrease)</f>
        <v/>
      </c>
      <c r="AT60" s="39"/>
      <c r="AU60" s="46" t="str">
        <f>if((ISBLANK(AT60)),"",SkillIncrease)</f>
        <v/>
      </c>
      <c r="AV60" s="39"/>
      <c r="AW60" s="46" t="str">
        <f>if((ISBLANK(AV60)),"",SkillIncrease)</f>
        <v/>
      </c>
      <c r="AX60" s="39"/>
      <c r="AY60" s="46" t="str">
        <f>if((ISBLANK(AX60)),"",SkillIncrease)</f>
        <v/>
      </c>
      <c r="AZ60" s="39"/>
      <c r="BA60" s="46" t="str">
        <f>if((ISBLANK(AZ60)),"",SkillIncrease)</f>
        <v/>
      </c>
    </row>
    <row r="61" hidden="1" outlineLevel="1">
      <c r="A61" s="189" t="s">
        <v>1219</v>
      </c>
      <c r="B61" s="46" t="s">
        <v>62</v>
      </c>
      <c r="C61" s="35"/>
      <c r="D61" s="37">
        <v>1.0</v>
      </c>
      <c r="E61" s="46">
        <f>if((ISBLANK(D61)),"",SkillIncrease)</f>
        <v>5</v>
      </c>
      <c r="F61" s="46"/>
      <c r="G61" s="46" t="str">
        <f>if((ISBLANK(F61)),"",SkillIncrease)</f>
        <v/>
      </c>
      <c r="H61" s="39"/>
      <c r="I61" s="46" t="str">
        <f>if((ISBLANK(H61)),"",SkillIncrease)</f>
        <v/>
      </c>
      <c r="J61" s="39"/>
      <c r="K61" s="46" t="str">
        <f>if((ISBLANK(J61)),"",SkillIncrease)</f>
        <v/>
      </c>
      <c r="L61" s="39"/>
      <c r="M61" s="46" t="str">
        <f>if((ISBLANK(L61)),"",SkillIncrease)</f>
        <v/>
      </c>
      <c r="N61" s="39"/>
      <c r="O61" s="46" t="str">
        <f>if((ISBLANK(N61)),"",SkillIncrease)</f>
        <v/>
      </c>
      <c r="P61" s="39"/>
      <c r="Q61" s="46" t="str">
        <f>if((ISBLANK(P61)),"",SkillIncrease)</f>
        <v/>
      </c>
      <c r="R61" s="39"/>
      <c r="S61" s="46" t="str">
        <f>if((ISBLANK(R61)),"",SkillIncrease)</f>
        <v/>
      </c>
      <c r="T61" s="94">
        <v>1.0</v>
      </c>
      <c r="U61" s="95">
        <f>if((ISBLANK(T61)),"",SkillIncrease)</f>
        <v>5</v>
      </c>
      <c r="V61" s="39"/>
      <c r="W61" s="46" t="str">
        <f>if((ISBLANK(V61)),"",SkillIncrease)</f>
        <v/>
      </c>
      <c r="X61" s="39"/>
      <c r="Y61" s="46" t="str">
        <f>if((ISBLANK(X61)),"",SkillIncrease)</f>
        <v/>
      </c>
      <c r="Z61" s="94">
        <v>1.0</v>
      </c>
      <c r="AA61" s="95">
        <f>if((ISBLANK(Z61)),"",SkillIncrease)</f>
        <v>5</v>
      </c>
      <c r="AB61" s="39"/>
      <c r="AC61" s="46" t="str">
        <f>if((ISBLANK(AB61)),"",SkillIncrease)</f>
        <v/>
      </c>
      <c r="AD61" s="46"/>
      <c r="AE61" s="46" t="str">
        <f>if((ISBLANK(AD61)),"",SkillIncrease)</f>
        <v/>
      </c>
      <c r="AF61" s="39"/>
      <c r="AG61" s="46" t="str">
        <f>if((ISBLANK(AF61)),"",SkillIncrease)</f>
        <v/>
      </c>
      <c r="AH61" s="39"/>
      <c r="AI61" s="46" t="str">
        <f>if((ISBLANK(AH61)),"",SkillIncrease)</f>
        <v/>
      </c>
      <c r="AJ61" s="39"/>
      <c r="AK61" s="46" t="str">
        <f>if((ISBLANK(AJ61)),"",SkillIncrease)</f>
        <v/>
      </c>
      <c r="AL61" s="39"/>
      <c r="AM61" s="46" t="str">
        <f>if((ISBLANK(AL61)),"",SkillIncrease)</f>
        <v/>
      </c>
      <c r="AN61" s="39"/>
      <c r="AO61" s="46" t="str">
        <f>if((ISBLANK(AN61)),"",SkillIncrease)</f>
        <v/>
      </c>
      <c r="AP61" s="39"/>
      <c r="AQ61" s="46" t="str">
        <f>if((ISBLANK(AP61)),"",SkillIncrease)</f>
        <v/>
      </c>
      <c r="AR61" s="39"/>
      <c r="AS61" s="46" t="str">
        <f>if((ISBLANK(AR61)),"",SkillIncrease)</f>
        <v/>
      </c>
      <c r="AT61" s="39"/>
      <c r="AU61" s="46" t="str">
        <f>if((ISBLANK(AT61)),"",SkillIncrease)</f>
        <v/>
      </c>
      <c r="AV61" s="39"/>
      <c r="AW61" s="46" t="str">
        <f>if((ISBLANK(AV61)),"",SkillIncrease)</f>
        <v/>
      </c>
      <c r="AX61" s="39"/>
      <c r="AY61" s="46" t="str">
        <f>if((ISBLANK(AX61)),"",SkillIncrease)</f>
        <v/>
      </c>
      <c r="AZ61" s="39"/>
      <c r="BA61" s="46" t="str">
        <f>if((ISBLANK(AZ61)),"",SkillIncrease)</f>
        <v/>
      </c>
    </row>
    <row r="62" hidden="1" outlineLevel="1">
      <c r="A62" s="37" t="s">
        <v>1238</v>
      </c>
      <c r="B62" s="46" t="s">
        <v>1239</v>
      </c>
      <c r="C62" s="35"/>
      <c r="D62" s="37">
        <v>1.0</v>
      </c>
      <c r="E62" s="46">
        <f>if((ISBLANK(D62)),"",SkillIncrease)</f>
        <v>5</v>
      </c>
      <c r="F62" s="46"/>
      <c r="G62" s="46" t="str">
        <f>if((ISBLANK(F62)),"",SkillIncrease)</f>
        <v/>
      </c>
      <c r="H62" s="39"/>
      <c r="I62" s="46" t="str">
        <f>if((ISBLANK(H62)),"",SkillIncrease)</f>
        <v/>
      </c>
      <c r="J62" s="39"/>
      <c r="K62" s="46" t="str">
        <f>if((ISBLANK(J62)),"",SkillIncrease)</f>
        <v/>
      </c>
      <c r="L62" s="39"/>
      <c r="M62" s="46" t="str">
        <f>if((ISBLANK(L62)),"",SkillIncrease)</f>
        <v/>
      </c>
      <c r="N62" s="39"/>
      <c r="O62" s="46" t="str">
        <f>if((ISBLANK(N62)),"",SkillIncrease)</f>
        <v/>
      </c>
      <c r="P62" s="94">
        <v>1.0</v>
      </c>
      <c r="Q62" s="95">
        <f>if((ISBLANK(P62)),"",SkillIncrease)</f>
        <v>5</v>
      </c>
      <c r="R62" s="94">
        <v>1.0</v>
      </c>
      <c r="S62" s="95">
        <f>if((ISBLANK(R62)),"",SkillIncrease)</f>
        <v>5</v>
      </c>
      <c r="T62" s="39"/>
      <c r="U62" s="46" t="str">
        <f>if((ISBLANK(T62)),"",SkillIncrease)</f>
        <v/>
      </c>
      <c r="V62" s="39"/>
      <c r="W62" s="46" t="str">
        <f>if((ISBLANK(V62)),"",SkillIncrease)</f>
        <v/>
      </c>
      <c r="X62" s="39"/>
      <c r="Y62" s="46" t="str">
        <f>if((ISBLANK(X62)),"",SkillIncrease)</f>
        <v/>
      </c>
      <c r="Z62" s="39"/>
      <c r="AA62" s="46" t="str">
        <f>if((ISBLANK(Z62)),"",SkillIncrease)</f>
        <v/>
      </c>
      <c r="AB62" s="39"/>
      <c r="AC62" s="46" t="str">
        <f>if((ISBLANK(AB62)),"",SkillIncrease)</f>
        <v/>
      </c>
      <c r="AD62" s="46"/>
      <c r="AE62" s="46" t="str">
        <f>if((ISBLANK(AD62)),"",SkillIncrease)</f>
        <v/>
      </c>
      <c r="AF62" s="39"/>
      <c r="AG62" s="46" t="str">
        <f>if((ISBLANK(AF62)),"",SkillIncrease)</f>
        <v/>
      </c>
      <c r="AH62" s="39"/>
      <c r="AI62" s="46" t="str">
        <f>if((ISBLANK(AH62)),"",SkillIncrease)</f>
        <v/>
      </c>
      <c r="AJ62" s="39"/>
      <c r="AK62" s="46" t="str">
        <f>if((ISBLANK(AJ62)),"",SkillIncrease)</f>
        <v/>
      </c>
      <c r="AL62" s="39"/>
      <c r="AM62" s="46" t="str">
        <f>if((ISBLANK(AL62)),"",SkillIncrease)</f>
        <v/>
      </c>
      <c r="AN62" s="39"/>
      <c r="AO62" s="46" t="str">
        <f>if((ISBLANK(AN62)),"",SkillIncrease)</f>
        <v/>
      </c>
      <c r="AP62" s="39"/>
      <c r="AQ62" s="46" t="str">
        <f>if((ISBLANK(AP62)),"",SkillIncrease)</f>
        <v/>
      </c>
      <c r="AR62" s="39"/>
      <c r="AS62" s="46" t="str">
        <f>if((ISBLANK(AR62)),"",SkillIncrease)</f>
        <v/>
      </c>
      <c r="AT62" s="39"/>
      <c r="AU62" s="46" t="str">
        <f>if((ISBLANK(AT62)),"",SkillIncrease)</f>
        <v/>
      </c>
      <c r="AV62" s="39"/>
      <c r="AW62" s="46" t="str">
        <f>if((ISBLANK(AV62)),"",SkillIncrease)</f>
        <v/>
      </c>
      <c r="AX62" s="39"/>
      <c r="AY62" s="46" t="str">
        <f>if((ISBLANK(AX62)),"",SkillIncrease)</f>
        <v/>
      </c>
      <c r="AZ62" s="39"/>
      <c r="BA62" s="46" t="str">
        <f>if((ISBLANK(AZ62)),"",SkillIncrease)</f>
        <v/>
      </c>
    </row>
    <row r="63" hidden="1" outlineLevel="1">
      <c r="A63" s="189" t="s">
        <v>1250</v>
      </c>
      <c r="B63" s="46" t="s">
        <v>70</v>
      </c>
      <c r="C63" s="35"/>
      <c r="D63" s="37">
        <v>1.0</v>
      </c>
      <c r="E63" s="46">
        <f>if((ISBLANK(D63)),"",SkillIncrease)</f>
        <v>5</v>
      </c>
      <c r="F63" s="46"/>
      <c r="G63" s="46" t="str">
        <f>if((ISBLANK(F63)),"",SkillIncrease)</f>
        <v/>
      </c>
      <c r="H63" s="39"/>
      <c r="I63" s="46" t="str">
        <f>if((ISBLANK(H63)),"",SkillIncrease)</f>
        <v/>
      </c>
      <c r="J63" s="46"/>
      <c r="K63" s="46" t="str">
        <f>if((ISBLANK(J63)),"",SkillIncrease)</f>
        <v/>
      </c>
      <c r="L63" s="39"/>
      <c r="M63" s="46" t="str">
        <f>if((ISBLANK(L63)),"",SkillIncrease)</f>
        <v/>
      </c>
      <c r="N63" s="39"/>
      <c r="O63" s="46" t="str">
        <f>if((ISBLANK(N63)),"",SkillIncrease)</f>
        <v/>
      </c>
      <c r="P63" s="39"/>
      <c r="Q63" s="46" t="str">
        <f>if((ISBLANK(P63)),"",SkillIncrease)</f>
        <v/>
      </c>
      <c r="R63" s="39"/>
      <c r="S63" s="46" t="str">
        <f>if((ISBLANK(R63)),"",SkillIncrease)</f>
        <v/>
      </c>
      <c r="T63" s="39"/>
      <c r="U63" s="46" t="str">
        <f>if((ISBLANK(T63)),"",SkillIncrease)</f>
        <v/>
      </c>
      <c r="V63" s="39"/>
      <c r="W63" s="46" t="str">
        <f>if((ISBLANK(V63)),"",SkillIncrease)</f>
        <v/>
      </c>
      <c r="X63" s="39"/>
      <c r="Y63" s="46" t="str">
        <f>if((ISBLANK(X63)),"",SkillIncrease)</f>
        <v/>
      </c>
      <c r="Z63" s="39"/>
      <c r="AA63" s="46" t="str">
        <f>if((ISBLANK(Z63)),"",SkillIncrease)</f>
        <v/>
      </c>
      <c r="AB63" s="39"/>
      <c r="AC63" s="46" t="str">
        <f>if((ISBLANK(AB63)),"",SkillIncrease)</f>
        <v/>
      </c>
      <c r="AD63" s="46"/>
      <c r="AE63" s="46" t="str">
        <f>if((ISBLANK(AD63)),"",SkillIncrease)</f>
        <v/>
      </c>
      <c r="AF63" s="39"/>
      <c r="AG63" s="46" t="str">
        <f>if((ISBLANK(AF63)),"",SkillIncrease)</f>
        <v/>
      </c>
      <c r="AH63" s="39"/>
      <c r="AI63" s="46" t="str">
        <f>if((ISBLANK(AH63)),"",SkillIncrease)</f>
        <v/>
      </c>
      <c r="AJ63" s="39"/>
      <c r="AK63" s="46" t="str">
        <f>if((ISBLANK(AJ63)),"",SkillIncrease)</f>
        <v/>
      </c>
      <c r="AL63" s="39"/>
      <c r="AM63" s="46" t="str">
        <f>if((ISBLANK(AL63)),"",SkillIncrease)</f>
        <v/>
      </c>
      <c r="AN63" s="39"/>
      <c r="AO63" s="46" t="str">
        <f>if((ISBLANK(AN63)),"",SkillIncrease)</f>
        <v/>
      </c>
      <c r="AP63" s="39"/>
      <c r="AQ63" s="46" t="str">
        <f>if((ISBLANK(AP63)),"",SkillIncrease)</f>
        <v/>
      </c>
      <c r="AR63" s="39"/>
      <c r="AS63" s="46" t="str">
        <f>if((ISBLANK(AR63)),"",SkillIncrease)</f>
        <v/>
      </c>
      <c r="AT63" s="39"/>
      <c r="AU63" s="46" t="str">
        <f>if((ISBLANK(AT63)),"",SkillIncrease)</f>
        <v/>
      </c>
      <c r="AV63" s="39"/>
      <c r="AW63" s="46" t="str">
        <f>if((ISBLANK(AV63)),"",SkillIncrease)</f>
        <v/>
      </c>
      <c r="AX63" s="39"/>
      <c r="AY63" s="46" t="str">
        <f>if((ISBLANK(AX63)),"",SkillIncrease)</f>
        <v/>
      </c>
      <c r="AZ63" s="39"/>
      <c r="BA63" s="46" t="str">
        <f>if((ISBLANK(AZ63)),"",SkillIncrease)</f>
        <v/>
      </c>
    </row>
    <row r="64" hidden="1" outlineLevel="1">
      <c r="A64" s="37" t="s">
        <v>1263</v>
      </c>
      <c r="B64" s="46" t="s">
        <v>1264</v>
      </c>
      <c r="C64" s="35"/>
      <c r="D64" s="37">
        <v>1.0</v>
      </c>
      <c r="E64" s="46">
        <f>if((ISBLANK(D64)),"",SkillIncrease)</f>
        <v>5</v>
      </c>
      <c r="F64" s="46"/>
      <c r="G64" s="46" t="str">
        <f>if((ISBLANK(F64)),"",SkillIncrease)</f>
        <v/>
      </c>
      <c r="H64" s="39"/>
      <c r="I64" s="46" t="str">
        <f>if((ISBLANK(H64)),"",SkillIncrease)</f>
        <v/>
      </c>
      <c r="J64" s="46"/>
      <c r="K64" s="46" t="str">
        <f>if((ISBLANK(J64)),"",SkillIncrease)</f>
        <v/>
      </c>
      <c r="L64" s="39"/>
      <c r="M64" s="46" t="str">
        <f>if((ISBLANK(L64)),"",SkillIncrease)</f>
        <v/>
      </c>
      <c r="N64" s="39"/>
      <c r="O64" s="46" t="str">
        <f>if((ISBLANK(N64)),"",SkillIncrease)</f>
        <v/>
      </c>
      <c r="P64" s="94">
        <v>1.0</v>
      </c>
      <c r="Q64" s="95">
        <f>if((ISBLANK(P64)),"",SkillIncrease)</f>
        <v>5</v>
      </c>
      <c r="R64" s="94">
        <v>1.0</v>
      </c>
      <c r="S64" s="95">
        <f>if((ISBLANK(R64)),"",SkillIncrease)</f>
        <v>5</v>
      </c>
      <c r="T64" s="39"/>
      <c r="U64" s="46" t="str">
        <f>if((ISBLANK(T64)),"",SkillIncrease)</f>
        <v/>
      </c>
      <c r="V64" s="39"/>
      <c r="W64" s="46" t="str">
        <f>if((ISBLANK(V64)),"",SkillIncrease)</f>
        <v/>
      </c>
      <c r="X64" s="39"/>
      <c r="Y64" s="46" t="str">
        <f>if((ISBLANK(X64)),"",SkillIncrease)</f>
        <v/>
      </c>
      <c r="Z64" s="39"/>
      <c r="AA64" s="46" t="str">
        <f>if((ISBLANK(Z64)),"",SkillIncrease)</f>
        <v/>
      </c>
      <c r="AB64" s="39"/>
      <c r="AC64" s="46" t="str">
        <f>if((ISBLANK(AB64)),"",SkillIncrease)</f>
        <v/>
      </c>
      <c r="AD64" s="46"/>
      <c r="AE64" s="46" t="str">
        <f>if((ISBLANK(AD64)),"",SkillIncrease)</f>
        <v/>
      </c>
      <c r="AF64" s="39"/>
      <c r="AG64" s="46" t="str">
        <f>if((ISBLANK(AF64)),"",SkillIncrease)</f>
        <v/>
      </c>
      <c r="AH64" s="39"/>
      <c r="AI64" s="46" t="str">
        <f>if((ISBLANK(AH64)),"",SkillIncrease)</f>
        <v/>
      </c>
      <c r="AJ64" s="39"/>
      <c r="AK64" s="46" t="str">
        <f>if((ISBLANK(AJ64)),"",SkillIncrease)</f>
        <v/>
      </c>
      <c r="AL64" s="39"/>
      <c r="AM64" s="46" t="str">
        <f>if((ISBLANK(AL64)),"",SkillIncrease)</f>
        <v/>
      </c>
      <c r="AN64" s="39"/>
      <c r="AO64" s="46" t="str">
        <f>if((ISBLANK(AN64)),"",SkillIncrease)</f>
        <v/>
      </c>
      <c r="AP64" s="39"/>
      <c r="AQ64" s="46" t="str">
        <f>if((ISBLANK(AP64)),"",SkillIncrease)</f>
        <v/>
      </c>
      <c r="AR64" s="39"/>
      <c r="AS64" s="46" t="str">
        <f>if((ISBLANK(AR64)),"",SkillIncrease)</f>
        <v/>
      </c>
      <c r="AT64" s="39"/>
      <c r="AU64" s="46" t="str">
        <f>if((ISBLANK(AT64)),"",SkillIncrease)</f>
        <v/>
      </c>
      <c r="AV64" s="39"/>
      <c r="AW64" s="46" t="str">
        <f>if((ISBLANK(AV64)),"",SkillIncrease)</f>
        <v/>
      </c>
      <c r="AX64" s="39"/>
      <c r="AY64" s="46" t="str">
        <f>if((ISBLANK(AX64)),"",SkillIncrease)</f>
        <v/>
      </c>
      <c r="AZ64" s="39"/>
      <c r="BA64" s="46" t="str">
        <f>if((ISBLANK(AZ64)),"",SkillIncrease)</f>
        <v/>
      </c>
    </row>
    <row r="65" hidden="1" outlineLevel="1">
      <c r="A65" s="189" t="s">
        <v>1281</v>
      </c>
      <c r="B65" s="46" t="s">
        <v>40</v>
      </c>
      <c r="C65" s="35"/>
      <c r="D65" s="37">
        <v>1.0</v>
      </c>
      <c r="E65" s="46">
        <f>if((ISBLANK(D65)),"",SkillIncrease)</f>
        <v>5</v>
      </c>
      <c r="F65" s="46"/>
      <c r="G65" s="46" t="str">
        <f>if((ISBLANK(F65)),"",SkillIncrease)</f>
        <v/>
      </c>
      <c r="H65" s="39"/>
      <c r="I65" s="46" t="str">
        <f>if((ISBLANK(H65)),"",SkillIncrease)</f>
        <v/>
      </c>
      <c r="J65" s="39"/>
      <c r="K65" s="46" t="str">
        <f>if((ISBLANK(J65)),"",SkillIncrease)</f>
        <v/>
      </c>
      <c r="L65" s="39"/>
      <c r="M65" s="46" t="str">
        <f>if((ISBLANK(L65)),"",SkillIncrease)</f>
        <v/>
      </c>
      <c r="N65" s="39"/>
      <c r="O65" s="46" t="str">
        <f>if((ISBLANK(N65)),"",SkillIncrease)</f>
        <v/>
      </c>
      <c r="P65" s="39"/>
      <c r="Q65" s="46" t="str">
        <f>if((ISBLANK(P65)),"",SkillIncrease)</f>
        <v/>
      </c>
      <c r="R65" s="39"/>
      <c r="S65" s="46" t="str">
        <f>if((ISBLANK(R65)),"",SkillIncrease)</f>
        <v/>
      </c>
      <c r="T65" s="94">
        <v>1.0</v>
      </c>
      <c r="U65" s="95">
        <f>if((ISBLANK(T65)),"",SkillIncrease)</f>
        <v>5</v>
      </c>
      <c r="V65" s="39"/>
      <c r="W65" s="46" t="str">
        <f>if((ISBLANK(V65)),"",SkillIncrease)</f>
        <v/>
      </c>
      <c r="X65" s="39"/>
      <c r="Y65" s="46" t="str">
        <f>if((ISBLANK(X65)),"",SkillIncrease)</f>
        <v/>
      </c>
      <c r="Z65" s="94">
        <v>1.0</v>
      </c>
      <c r="AA65" s="95">
        <f>if((ISBLANK(Z65)),"",SkillIncrease)</f>
        <v>5</v>
      </c>
      <c r="AB65" s="39"/>
      <c r="AC65" s="46" t="str">
        <f>if((ISBLANK(AB65)),"",SkillIncrease)</f>
        <v/>
      </c>
      <c r="AD65" s="46"/>
      <c r="AE65" s="46" t="str">
        <f>if((ISBLANK(AD65)),"",SkillIncrease)</f>
        <v/>
      </c>
      <c r="AF65" s="39"/>
      <c r="AG65" s="46" t="str">
        <f>if((ISBLANK(AF65)),"",SkillIncrease)</f>
        <v/>
      </c>
      <c r="AH65" s="39"/>
      <c r="AI65" s="46" t="str">
        <f>if((ISBLANK(AH65)),"",SkillIncrease)</f>
        <v/>
      </c>
      <c r="AJ65" s="39"/>
      <c r="AK65" s="46" t="str">
        <f>if((ISBLANK(AJ65)),"",SkillIncrease)</f>
        <v/>
      </c>
      <c r="AL65" s="39"/>
      <c r="AM65" s="46" t="str">
        <f>if((ISBLANK(AL65)),"",SkillIncrease)</f>
        <v/>
      </c>
      <c r="AN65" s="39"/>
      <c r="AO65" s="46" t="str">
        <f>if((ISBLANK(AN65)),"",SkillIncrease)</f>
        <v/>
      </c>
      <c r="AP65" s="39"/>
      <c r="AQ65" s="46" t="str">
        <f>if((ISBLANK(AP65)),"",SkillIncrease)</f>
        <v/>
      </c>
      <c r="AR65" s="39"/>
      <c r="AS65" s="46" t="str">
        <f>if((ISBLANK(AR65)),"",SkillIncrease)</f>
        <v/>
      </c>
      <c r="AT65" s="39"/>
      <c r="AU65" s="46" t="str">
        <f>if((ISBLANK(AT65)),"",SkillIncrease)</f>
        <v/>
      </c>
      <c r="AV65" s="39"/>
      <c r="AW65" s="46" t="str">
        <f>if((ISBLANK(AV65)),"",SkillIncrease)</f>
        <v/>
      </c>
      <c r="AX65" s="39"/>
      <c r="AY65" s="46" t="str">
        <f>if((ISBLANK(AX65)),"",SkillIncrease)</f>
        <v/>
      </c>
      <c r="AZ65" s="39"/>
      <c r="BA65" s="46" t="str">
        <f>if((ISBLANK(AZ65)),"",SkillIncrease)</f>
        <v/>
      </c>
    </row>
    <row r="66" hidden="1" outlineLevel="1">
      <c r="A66" s="37" t="s">
        <v>1289</v>
      </c>
      <c r="B66" s="46" t="s">
        <v>1290</v>
      </c>
      <c r="C66" s="35"/>
      <c r="D66" s="37">
        <v>1.0</v>
      </c>
      <c r="E66" s="46">
        <f>if((ISBLANK(D66)),"",SkillIncrease)</f>
        <v>5</v>
      </c>
      <c r="F66" s="46"/>
      <c r="G66" s="46" t="str">
        <f>if((ISBLANK(F66)),"",SkillIncrease)</f>
        <v/>
      </c>
      <c r="H66" s="39"/>
      <c r="I66" s="46" t="str">
        <f>if((ISBLANK(H66)),"",SkillIncrease)</f>
        <v/>
      </c>
      <c r="J66" s="39"/>
      <c r="K66" s="46" t="str">
        <f>if((ISBLANK(J66)),"",SkillIncrease)</f>
        <v/>
      </c>
      <c r="L66" s="39"/>
      <c r="M66" s="46" t="str">
        <f>if((ISBLANK(L66)),"",SkillIncrease)</f>
        <v/>
      </c>
      <c r="N66" s="39"/>
      <c r="O66" s="46" t="str">
        <f>if((ISBLANK(N66)),"",SkillIncrease)</f>
        <v/>
      </c>
      <c r="P66" s="94">
        <v>1.0</v>
      </c>
      <c r="Q66" s="95">
        <f>if((ISBLANK(P66)),"",SkillIncrease)</f>
        <v>5</v>
      </c>
      <c r="R66" s="94">
        <v>1.0</v>
      </c>
      <c r="S66" s="95">
        <f>if((ISBLANK(R66)),"",SkillIncrease)</f>
        <v>5</v>
      </c>
      <c r="T66" s="39"/>
      <c r="U66" s="46" t="str">
        <f>if((ISBLANK(T66)),"",SkillIncrease)</f>
        <v/>
      </c>
      <c r="V66" s="39"/>
      <c r="W66" s="46" t="str">
        <f>if((ISBLANK(V66)),"",SkillIncrease)</f>
        <v/>
      </c>
      <c r="X66" s="39"/>
      <c r="Y66" s="46" t="str">
        <f>if((ISBLANK(X66)),"",SkillIncrease)</f>
        <v/>
      </c>
      <c r="Z66" s="39"/>
      <c r="AA66" s="46" t="str">
        <f>if((ISBLANK(Z66)),"",SkillIncrease)</f>
        <v/>
      </c>
      <c r="AB66" s="39"/>
      <c r="AC66" s="46" t="str">
        <f>if((ISBLANK(AB66)),"",SkillIncrease)</f>
        <v/>
      </c>
      <c r="AD66" s="46"/>
      <c r="AE66" s="46" t="str">
        <f>if((ISBLANK(AD66)),"",SkillIncrease)</f>
        <v/>
      </c>
      <c r="AF66" s="39"/>
      <c r="AG66" s="46" t="str">
        <f>if((ISBLANK(AF66)),"",SkillIncrease)</f>
        <v/>
      </c>
      <c r="AH66" s="39"/>
      <c r="AI66" s="46" t="str">
        <f>if((ISBLANK(AH66)),"",SkillIncrease)</f>
        <v/>
      </c>
      <c r="AJ66" s="39"/>
      <c r="AK66" s="46" t="str">
        <f>if((ISBLANK(AJ66)),"",SkillIncrease)</f>
        <v/>
      </c>
      <c r="AL66" s="39"/>
      <c r="AM66" s="46" t="str">
        <f>if((ISBLANK(AL66)),"",SkillIncrease)</f>
        <v/>
      </c>
      <c r="AN66" s="39"/>
      <c r="AO66" s="46" t="str">
        <f>if((ISBLANK(AN66)),"",SkillIncrease)</f>
        <v/>
      </c>
      <c r="AP66" s="39"/>
      <c r="AQ66" s="46" t="str">
        <f>if((ISBLANK(AP66)),"",SkillIncrease)</f>
        <v/>
      </c>
      <c r="AR66" s="39"/>
      <c r="AS66" s="46" t="str">
        <f>if((ISBLANK(AR66)),"",SkillIncrease)</f>
        <v/>
      </c>
      <c r="AT66" s="39"/>
      <c r="AU66" s="46" t="str">
        <f>if((ISBLANK(AT66)),"",SkillIncrease)</f>
        <v/>
      </c>
      <c r="AV66" s="39"/>
      <c r="AW66" s="46" t="str">
        <f>if((ISBLANK(AV66)),"",SkillIncrease)</f>
        <v/>
      </c>
      <c r="AX66" s="39"/>
      <c r="AY66" s="46" t="str">
        <f>if((ISBLANK(AX66)),"",SkillIncrease)</f>
        <v/>
      </c>
      <c r="AZ66" s="39"/>
      <c r="BA66" s="46" t="str">
        <f>if((ISBLANK(AZ66)),"",SkillIncrease)</f>
        <v/>
      </c>
    </row>
    <row r="67" hidden="1" outlineLevel="1">
      <c r="A67" s="189" t="s">
        <v>1295</v>
      </c>
      <c r="B67" s="46" t="s">
        <v>38</v>
      </c>
      <c r="C67" s="35"/>
      <c r="D67" s="37">
        <v>1.0</v>
      </c>
      <c r="E67" s="46">
        <f>if((ISBLANK(D67)),"",SkillIncrease)</f>
        <v>5</v>
      </c>
      <c r="F67" s="46"/>
      <c r="G67" s="46" t="str">
        <f>if((ISBLANK(F67)),"",SkillIncrease)</f>
        <v/>
      </c>
      <c r="H67" s="39"/>
      <c r="I67" s="46" t="str">
        <f>if((ISBLANK(H67)),"",SkillIncrease)</f>
        <v/>
      </c>
      <c r="J67" s="39"/>
      <c r="K67" s="46" t="str">
        <f>if((ISBLANK(J67)),"",SkillIncrease)</f>
        <v/>
      </c>
      <c r="L67" s="39"/>
      <c r="M67" s="46" t="str">
        <f>if((ISBLANK(L67)),"",SkillIncrease)</f>
        <v/>
      </c>
      <c r="N67" s="39"/>
      <c r="O67" s="46" t="str">
        <f>if((ISBLANK(N67)),"",SkillIncrease)</f>
        <v/>
      </c>
      <c r="P67" s="39"/>
      <c r="Q67" s="46" t="str">
        <f>if((ISBLANK(P67)),"",SkillIncrease)</f>
        <v/>
      </c>
      <c r="R67" s="39"/>
      <c r="S67" s="46" t="str">
        <f>if((ISBLANK(R67)),"",SkillIncrease)</f>
        <v/>
      </c>
      <c r="T67" s="94">
        <v>1.0</v>
      </c>
      <c r="U67" s="95">
        <f>if((ISBLANK(T67)),"",SkillIncrease)</f>
        <v>5</v>
      </c>
      <c r="V67" s="39"/>
      <c r="W67" s="46" t="str">
        <f>if((ISBLANK(V67)),"",SkillIncrease)</f>
        <v/>
      </c>
      <c r="X67" s="39"/>
      <c r="Y67" s="46" t="str">
        <f>if((ISBLANK(X67)),"",SkillIncrease)</f>
        <v/>
      </c>
      <c r="Z67" s="39"/>
      <c r="AA67" s="46" t="str">
        <f>if((ISBLANK(Z67)),"",SkillIncrease)</f>
        <v/>
      </c>
      <c r="AB67" s="39"/>
      <c r="AC67" s="46" t="str">
        <f>if((ISBLANK(AB67)),"",SkillIncrease)</f>
        <v/>
      </c>
      <c r="AD67" s="46"/>
      <c r="AE67" s="46" t="str">
        <f>if((ISBLANK(AD67)),"",SkillIncrease)</f>
        <v/>
      </c>
      <c r="AF67" s="39"/>
      <c r="AG67" s="46" t="str">
        <f>if((ISBLANK(AF67)),"",SkillIncrease)</f>
        <v/>
      </c>
      <c r="AH67" s="39"/>
      <c r="AI67" s="46" t="str">
        <f>if((ISBLANK(AH67)),"",SkillIncrease)</f>
        <v/>
      </c>
      <c r="AJ67" s="39"/>
      <c r="AK67" s="46" t="str">
        <f>if((ISBLANK(AJ67)),"",SkillIncrease)</f>
        <v/>
      </c>
      <c r="AL67" s="39"/>
      <c r="AM67" s="46" t="str">
        <f>if((ISBLANK(AL67)),"",SkillIncrease)</f>
        <v/>
      </c>
      <c r="AN67" s="39"/>
      <c r="AO67" s="46" t="str">
        <f>if((ISBLANK(AN67)),"",SkillIncrease)</f>
        <v/>
      </c>
      <c r="AP67" s="39"/>
      <c r="AQ67" s="46" t="str">
        <f>if((ISBLANK(AP67)),"",SkillIncrease)</f>
        <v/>
      </c>
      <c r="AR67" s="39"/>
      <c r="AS67" s="46" t="str">
        <f>if((ISBLANK(AR67)),"",SkillIncrease)</f>
        <v/>
      </c>
      <c r="AT67" s="39"/>
      <c r="AU67" s="46" t="str">
        <f>if((ISBLANK(AT67)),"",SkillIncrease)</f>
        <v/>
      </c>
      <c r="AV67" s="39"/>
      <c r="AW67" s="46" t="str">
        <f>if((ISBLANK(AV67)),"",SkillIncrease)</f>
        <v/>
      </c>
      <c r="AX67" s="39"/>
      <c r="AY67" s="46" t="str">
        <f>if((ISBLANK(AX67)),"",SkillIncrease)</f>
        <v/>
      </c>
      <c r="AZ67" s="39"/>
      <c r="BA67" s="46" t="str">
        <f>if((ISBLANK(AZ67)),"",SkillIncrease)</f>
        <v/>
      </c>
    </row>
    <row r="68" hidden="1" outlineLevel="1">
      <c r="A68" s="37" t="s">
        <v>1314</v>
      </c>
      <c r="B68" s="46" t="s">
        <v>1315</v>
      </c>
      <c r="C68" s="35"/>
      <c r="D68" s="37">
        <v>1.0</v>
      </c>
      <c r="E68" s="46">
        <f>if((ISBLANK(D68)),"",SkillIncrease)</f>
        <v>5</v>
      </c>
      <c r="F68" s="46"/>
      <c r="G68" s="46" t="str">
        <f>if((ISBLANK(F68)),"",SkillIncrease)</f>
        <v/>
      </c>
      <c r="H68" s="39"/>
      <c r="I68" s="46" t="str">
        <f>if((ISBLANK(H68)),"",SkillIncrease)</f>
        <v/>
      </c>
      <c r="J68" s="39"/>
      <c r="K68" s="46" t="str">
        <f>if((ISBLANK(J68)),"",SkillIncrease)</f>
        <v/>
      </c>
      <c r="L68" s="39"/>
      <c r="M68" s="46" t="str">
        <f>if((ISBLANK(L68)),"",SkillIncrease)</f>
        <v/>
      </c>
      <c r="N68" s="39"/>
      <c r="O68" s="46" t="str">
        <f>if((ISBLANK(N68)),"",SkillIncrease)</f>
        <v/>
      </c>
      <c r="P68" s="94">
        <v>1.0</v>
      </c>
      <c r="Q68" s="95">
        <f>if((ISBLANK(P68)),"",SkillIncrease)</f>
        <v>5</v>
      </c>
      <c r="R68" s="94">
        <v>1.0</v>
      </c>
      <c r="S68" s="95">
        <f>if((ISBLANK(R68)),"",SkillIncrease)</f>
        <v>5</v>
      </c>
      <c r="T68" s="39"/>
      <c r="U68" s="46" t="str">
        <f>if((ISBLANK(T68)),"",SkillIncrease)</f>
        <v/>
      </c>
      <c r="V68" s="39"/>
      <c r="W68" s="46" t="str">
        <f>if((ISBLANK(V68)),"",SkillIncrease)</f>
        <v/>
      </c>
      <c r="X68" s="39"/>
      <c r="Y68" s="46" t="str">
        <f>if((ISBLANK(X68)),"",SkillIncrease)</f>
        <v/>
      </c>
      <c r="Z68" s="39"/>
      <c r="AA68" s="46" t="str">
        <f>if((ISBLANK(Z68)),"",SkillIncrease)</f>
        <v/>
      </c>
      <c r="AB68" s="39"/>
      <c r="AC68" s="46" t="str">
        <f>if((ISBLANK(AB68)),"",SkillIncrease)</f>
        <v/>
      </c>
      <c r="AD68" s="46"/>
      <c r="AE68" s="46" t="str">
        <f>if((ISBLANK(AD68)),"",SkillIncrease)</f>
        <v/>
      </c>
      <c r="AF68" s="39"/>
      <c r="AG68" s="46" t="str">
        <f>if((ISBLANK(AF68)),"",SkillIncrease)</f>
        <v/>
      </c>
      <c r="AH68" s="39"/>
      <c r="AI68" s="46" t="str">
        <f>if((ISBLANK(AH68)),"",SkillIncrease)</f>
        <v/>
      </c>
      <c r="AJ68" s="39"/>
      <c r="AK68" s="46" t="str">
        <f>if((ISBLANK(AJ68)),"",SkillIncrease)</f>
        <v/>
      </c>
      <c r="AL68" s="39"/>
      <c r="AM68" s="46" t="str">
        <f>if((ISBLANK(AL68)),"",SkillIncrease)</f>
        <v/>
      </c>
      <c r="AN68" s="39"/>
      <c r="AO68" s="46" t="str">
        <f>if((ISBLANK(AN68)),"",SkillIncrease)</f>
        <v/>
      </c>
      <c r="AP68" s="39"/>
      <c r="AQ68" s="46" t="str">
        <f>if((ISBLANK(AP68)),"",SkillIncrease)</f>
        <v/>
      </c>
      <c r="AR68" s="39"/>
      <c r="AS68" s="46" t="str">
        <f>if((ISBLANK(AR68)),"",SkillIncrease)</f>
        <v/>
      </c>
      <c r="AT68" s="39"/>
      <c r="AU68" s="46" t="str">
        <f>if((ISBLANK(AT68)),"",SkillIncrease)</f>
        <v/>
      </c>
      <c r="AV68" s="39"/>
      <c r="AW68" s="46" t="str">
        <f>if((ISBLANK(AV68)),"",SkillIncrease)</f>
        <v/>
      </c>
      <c r="AX68" s="39"/>
      <c r="AY68" s="46" t="str">
        <f>if((ISBLANK(AX68)),"",SkillIncrease)</f>
        <v/>
      </c>
      <c r="AZ68" s="39"/>
      <c r="BA68" s="46" t="str">
        <f>if((ISBLANK(AZ68)),"",SkillIncrease)</f>
        <v/>
      </c>
    </row>
    <row r="69" hidden="1" outlineLevel="1">
      <c r="A69" s="189" t="s">
        <v>1327</v>
      </c>
      <c r="B69" s="46" t="s">
        <v>27</v>
      </c>
      <c r="C69" s="35"/>
      <c r="D69" s="37">
        <v>1.0</v>
      </c>
      <c r="E69" s="46">
        <f>if((ISBLANK(D69)),"",SkillIncrease)</f>
        <v>5</v>
      </c>
      <c r="F69" s="46"/>
      <c r="G69" s="46" t="str">
        <f>if((ISBLANK(F69)),"",SkillIncrease)</f>
        <v/>
      </c>
      <c r="H69" s="39"/>
      <c r="I69" s="46" t="str">
        <f>if((ISBLANK(H69)),"",SkillIncrease)</f>
        <v/>
      </c>
      <c r="J69" s="39"/>
      <c r="K69" s="46" t="str">
        <f>if((ISBLANK(J69)),"",SkillIncrease)</f>
        <v/>
      </c>
      <c r="L69" s="39"/>
      <c r="M69" s="46" t="str">
        <f>if((ISBLANK(L69)),"",SkillIncrease)</f>
        <v/>
      </c>
      <c r="N69" s="39"/>
      <c r="O69" s="46" t="str">
        <f>if((ISBLANK(N69)),"",SkillIncrease)</f>
        <v/>
      </c>
      <c r="P69" s="39"/>
      <c r="Q69" s="46" t="str">
        <f>if((ISBLANK(P69)),"",SkillIncrease)</f>
        <v/>
      </c>
      <c r="R69" s="39"/>
      <c r="S69" s="46" t="str">
        <f>if((ISBLANK(R69)),"",SkillIncrease)</f>
        <v/>
      </c>
      <c r="T69" s="39"/>
      <c r="U69" s="46" t="str">
        <f>if((ISBLANK(T69)),"",SkillIncrease)</f>
        <v/>
      </c>
      <c r="V69" s="39"/>
      <c r="W69" s="46" t="str">
        <f>if((ISBLANK(V69)),"",SkillIncrease)</f>
        <v/>
      </c>
      <c r="X69" s="39"/>
      <c r="Y69" s="46" t="str">
        <f>if((ISBLANK(X69)),"",SkillIncrease)</f>
        <v/>
      </c>
      <c r="Z69" s="39"/>
      <c r="AA69" s="46" t="str">
        <f>if((ISBLANK(Z69)),"",SkillIncrease)</f>
        <v/>
      </c>
      <c r="AB69" s="39"/>
      <c r="AC69" s="46" t="str">
        <f>if((ISBLANK(AB69)),"",SkillIncrease)</f>
        <v/>
      </c>
      <c r="AD69" s="46"/>
      <c r="AE69" s="46" t="str">
        <f>if((ISBLANK(AD69)),"",SkillIncrease)</f>
        <v/>
      </c>
      <c r="AF69" s="39"/>
      <c r="AG69" s="46" t="str">
        <f>if((ISBLANK(AF69)),"",SkillIncrease)</f>
        <v/>
      </c>
      <c r="AH69" s="39"/>
      <c r="AI69" s="46" t="str">
        <f>if((ISBLANK(AH69)),"",SkillIncrease)</f>
        <v/>
      </c>
      <c r="AJ69" s="39"/>
      <c r="AK69" s="46" t="str">
        <f>if((ISBLANK(AJ69)),"",SkillIncrease)</f>
        <v/>
      </c>
      <c r="AL69" s="39"/>
      <c r="AM69" s="46" t="str">
        <f>if((ISBLANK(AL69)),"",SkillIncrease)</f>
        <v/>
      </c>
      <c r="AN69" s="39"/>
      <c r="AO69" s="46" t="str">
        <f>if((ISBLANK(AN69)),"",SkillIncrease)</f>
        <v/>
      </c>
      <c r="AP69" s="39"/>
      <c r="AQ69" s="46" t="str">
        <f>if((ISBLANK(AP69)),"",SkillIncrease)</f>
        <v/>
      </c>
      <c r="AR69" s="39"/>
      <c r="AS69" s="46" t="str">
        <f>if((ISBLANK(AR69)),"",SkillIncrease)</f>
        <v/>
      </c>
      <c r="AT69" s="39"/>
      <c r="AU69" s="46" t="str">
        <f>if((ISBLANK(AT69)),"",SkillIncrease)</f>
        <v/>
      </c>
      <c r="AV69" s="39"/>
      <c r="AW69" s="46" t="str">
        <f>if((ISBLANK(AV69)),"",SkillIncrease)</f>
        <v/>
      </c>
      <c r="AX69" s="39"/>
      <c r="AY69" s="46" t="str">
        <f>if((ISBLANK(AX69)),"",SkillIncrease)</f>
        <v/>
      </c>
      <c r="AZ69" s="39"/>
      <c r="BA69" s="46" t="str">
        <f>if((ISBLANK(AZ69)),"",SkillIncrease)</f>
        <v/>
      </c>
    </row>
    <row r="70" hidden="1" outlineLevel="1">
      <c r="A70" s="37" t="s">
        <v>1344</v>
      </c>
      <c r="B70" s="46" t="s">
        <v>1345</v>
      </c>
      <c r="C70" s="35"/>
      <c r="D70" s="37">
        <v>1.0</v>
      </c>
      <c r="E70" s="46">
        <f>if((ISBLANK(D70)),"",SkillIncrease)</f>
        <v>5</v>
      </c>
      <c r="F70" s="46"/>
      <c r="G70" s="46" t="str">
        <f>if((ISBLANK(F70)),"",SkillIncrease)</f>
        <v/>
      </c>
      <c r="H70" s="39"/>
      <c r="I70" s="46" t="str">
        <f>if((ISBLANK(H70)),"",SkillIncrease)</f>
        <v/>
      </c>
      <c r="J70" s="39"/>
      <c r="K70" s="46" t="str">
        <f>if((ISBLANK(J70)),"",SkillIncrease)</f>
        <v/>
      </c>
      <c r="L70" s="39"/>
      <c r="M70" s="46" t="str">
        <f>if((ISBLANK(L70)),"",SkillIncrease)</f>
        <v/>
      </c>
      <c r="N70" s="39"/>
      <c r="O70" s="46" t="str">
        <f>if((ISBLANK(N70)),"",SkillIncrease)</f>
        <v/>
      </c>
      <c r="P70" s="94">
        <v>1.0</v>
      </c>
      <c r="Q70" s="95">
        <f>if((ISBLANK(P70)),"",SkillIncrease)</f>
        <v>5</v>
      </c>
      <c r="R70" s="94">
        <v>1.0</v>
      </c>
      <c r="S70" s="95">
        <f>if((ISBLANK(R70)),"",SkillIncrease)</f>
        <v>5</v>
      </c>
      <c r="T70" s="39"/>
      <c r="U70" s="46" t="str">
        <f>if((ISBLANK(T70)),"",SkillIncrease)</f>
        <v/>
      </c>
      <c r="V70" s="39"/>
      <c r="W70" s="46" t="str">
        <f>if((ISBLANK(V70)),"",SkillIncrease)</f>
        <v/>
      </c>
      <c r="X70" s="39"/>
      <c r="Y70" s="46" t="str">
        <f>if((ISBLANK(X70)),"",SkillIncrease)</f>
        <v/>
      </c>
      <c r="Z70" s="39"/>
      <c r="AA70" s="46" t="str">
        <f>if((ISBLANK(Z70)),"",SkillIncrease)</f>
        <v/>
      </c>
      <c r="AB70" s="39"/>
      <c r="AC70" s="46" t="str">
        <f>if((ISBLANK(AB70)),"",SkillIncrease)</f>
        <v/>
      </c>
      <c r="AD70" s="46"/>
      <c r="AE70" s="46" t="str">
        <f>if((ISBLANK(AD70)),"",SkillIncrease)</f>
        <v/>
      </c>
      <c r="AF70" s="39"/>
      <c r="AG70" s="46" t="str">
        <f>if((ISBLANK(AF70)),"",SkillIncrease)</f>
        <v/>
      </c>
      <c r="AH70" s="39"/>
      <c r="AI70" s="46" t="str">
        <f>if((ISBLANK(AH70)),"",SkillIncrease)</f>
        <v/>
      </c>
      <c r="AJ70" s="39"/>
      <c r="AK70" s="46" t="str">
        <f>if((ISBLANK(AJ70)),"",SkillIncrease)</f>
        <v/>
      </c>
      <c r="AL70" s="39"/>
      <c r="AM70" s="46" t="str">
        <f>if((ISBLANK(AL70)),"",SkillIncrease)</f>
        <v/>
      </c>
      <c r="AN70" s="39"/>
      <c r="AO70" s="46" t="str">
        <f>if((ISBLANK(AN70)),"",SkillIncrease)</f>
        <v/>
      </c>
      <c r="AP70" s="39"/>
      <c r="AQ70" s="46" t="str">
        <f>if((ISBLANK(AP70)),"",SkillIncrease)</f>
        <v/>
      </c>
      <c r="AR70" s="39"/>
      <c r="AS70" s="46" t="str">
        <f>if((ISBLANK(AR70)),"",SkillIncrease)</f>
        <v/>
      </c>
      <c r="AT70" s="39"/>
      <c r="AU70" s="46" t="str">
        <f>if((ISBLANK(AT70)),"",SkillIncrease)</f>
        <v/>
      </c>
      <c r="AV70" s="39"/>
      <c r="AW70" s="46" t="str">
        <f>if((ISBLANK(AV70)),"",SkillIncrease)</f>
        <v/>
      </c>
      <c r="AX70" s="39"/>
      <c r="AY70" s="46" t="str">
        <f>if((ISBLANK(AX70)),"",SkillIncrease)</f>
        <v/>
      </c>
      <c r="AZ70" s="39"/>
      <c r="BA70" s="46" t="str">
        <f>if((ISBLANK(AZ70)),"",SkillIncrease)</f>
        <v/>
      </c>
    </row>
    <row r="71" hidden="1" outlineLevel="1">
      <c r="A71" s="189" t="s">
        <v>1352</v>
      </c>
      <c r="B71" s="46" t="s">
        <v>37</v>
      </c>
      <c r="C71" s="35"/>
      <c r="D71" s="37">
        <v>1.0</v>
      </c>
      <c r="E71" s="46">
        <f>if((ISBLANK(D71)),"",SkillIncrease)</f>
        <v>5</v>
      </c>
      <c r="F71" s="46"/>
      <c r="G71" s="46" t="str">
        <f>if((ISBLANK(F71)),"",SkillIncrease)</f>
        <v/>
      </c>
      <c r="H71" s="39"/>
      <c r="I71" s="46" t="str">
        <f>if((ISBLANK(H71)),"",SkillIncrease)</f>
        <v/>
      </c>
      <c r="J71" s="39"/>
      <c r="K71" s="46" t="str">
        <f>if((ISBLANK(J71)),"",SkillIncrease)</f>
        <v/>
      </c>
      <c r="L71" s="39"/>
      <c r="M71" s="46" t="str">
        <f>if((ISBLANK(L71)),"",SkillIncrease)</f>
        <v/>
      </c>
      <c r="N71" s="39"/>
      <c r="O71" s="46" t="str">
        <f>if((ISBLANK(N71)),"",SkillIncrease)</f>
        <v/>
      </c>
      <c r="P71" s="39"/>
      <c r="Q71" s="46" t="str">
        <f>if((ISBLANK(P71)),"",SkillIncrease)</f>
        <v/>
      </c>
      <c r="R71" s="39"/>
      <c r="S71" s="46" t="str">
        <f>if((ISBLANK(R71)),"",SkillIncrease)</f>
        <v/>
      </c>
      <c r="T71" s="39"/>
      <c r="U71" s="46" t="str">
        <f>if((ISBLANK(T71)),"",SkillIncrease)</f>
        <v/>
      </c>
      <c r="V71" s="39"/>
      <c r="W71" s="46" t="str">
        <f>if((ISBLANK(V71)),"",SkillIncrease)</f>
        <v/>
      </c>
      <c r="X71" s="39"/>
      <c r="Y71" s="46" t="str">
        <f>if((ISBLANK(X71)),"",SkillIncrease)</f>
        <v/>
      </c>
      <c r="Z71" s="39"/>
      <c r="AA71" s="46" t="str">
        <f>if((ISBLANK(Z71)),"",SkillIncrease)</f>
        <v/>
      </c>
      <c r="AB71" s="39"/>
      <c r="AC71" s="46" t="str">
        <f>if((ISBLANK(AB71)),"",SkillIncrease)</f>
        <v/>
      </c>
      <c r="AD71" s="46"/>
      <c r="AE71" s="46" t="str">
        <f>if((ISBLANK(AD71)),"",SkillIncrease)</f>
        <v/>
      </c>
      <c r="AF71" s="39"/>
      <c r="AG71" s="46" t="str">
        <f>if((ISBLANK(AF71)),"",SkillIncrease)</f>
        <v/>
      </c>
      <c r="AH71" s="39"/>
      <c r="AI71" s="46" t="str">
        <f>if((ISBLANK(AH71)),"",SkillIncrease)</f>
        <v/>
      </c>
      <c r="AJ71" s="39"/>
      <c r="AK71" s="46" t="str">
        <f>if((ISBLANK(AJ71)),"",SkillIncrease)</f>
        <v/>
      </c>
      <c r="AL71" s="39"/>
      <c r="AM71" s="46" t="str">
        <f>if((ISBLANK(AL71)),"",SkillIncrease)</f>
        <v/>
      </c>
      <c r="AN71" s="39"/>
      <c r="AO71" s="46" t="str">
        <f>if((ISBLANK(AN71)),"",SkillIncrease)</f>
        <v/>
      </c>
      <c r="AP71" s="39"/>
      <c r="AQ71" s="46" t="str">
        <f>if((ISBLANK(AP71)),"",SkillIncrease)</f>
        <v/>
      </c>
      <c r="AR71" s="39"/>
      <c r="AS71" s="46" t="str">
        <f>if((ISBLANK(AR71)),"",SkillIncrease)</f>
        <v/>
      </c>
      <c r="AT71" s="39"/>
      <c r="AU71" s="46" t="str">
        <f>if((ISBLANK(AT71)),"",SkillIncrease)</f>
        <v/>
      </c>
      <c r="AV71" s="39"/>
      <c r="AW71" s="46" t="str">
        <f>if((ISBLANK(AV71)),"",SkillIncrease)</f>
        <v/>
      </c>
      <c r="AX71" s="39"/>
      <c r="AY71" s="46" t="str">
        <f>if((ISBLANK(AX71)),"",SkillIncrease)</f>
        <v/>
      </c>
      <c r="AZ71" s="39"/>
      <c r="BA71" s="46" t="str">
        <f>if((ISBLANK(AZ71)),"",SkillIncrease)</f>
        <v/>
      </c>
    </row>
    <row r="72" hidden="1" outlineLevel="1">
      <c r="A72" s="37" t="s">
        <v>1353</v>
      </c>
      <c r="B72" s="46" t="s">
        <v>1354</v>
      </c>
      <c r="C72" s="35"/>
      <c r="D72" s="37">
        <v>1.0</v>
      </c>
      <c r="E72" s="46">
        <f>if((ISBLANK(D72)),"",SkillIncrease)</f>
        <v>5</v>
      </c>
      <c r="F72" s="46"/>
      <c r="G72" s="46" t="str">
        <f>if((ISBLANK(F72)),"",SkillIncrease)</f>
        <v/>
      </c>
      <c r="H72" s="39"/>
      <c r="I72" s="46" t="str">
        <f>if((ISBLANK(H72)),"",SkillIncrease)</f>
        <v/>
      </c>
      <c r="J72" s="39"/>
      <c r="K72" s="46" t="str">
        <f>if((ISBLANK(J72)),"",SkillIncrease)</f>
        <v/>
      </c>
      <c r="L72" s="39"/>
      <c r="M72" s="46" t="str">
        <f>if((ISBLANK(L72)),"",SkillIncrease)</f>
        <v/>
      </c>
      <c r="N72" s="39"/>
      <c r="O72" s="46" t="str">
        <f>if((ISBLANK(N72)),"",SkillIncrease)</f>
        <v/>
      </c>
      <c r="P72" s="94">
        <v>1.0</v>
      </c>
      <c r="Q72" s="95">
        <f>if((ISBLANK(P72)),"",SkillIncrease)</f>
        <v>5</v>
      </c>
      <c r="R72" s="94">
        <v>1.0</v>
      </c>
      <c r="S72" s="95">
        <f>if((ISBLANK(R72)),"",SkillIncrease)</f>
        <v>5</v>
      </c>
      <c r="T72" s="39"/>
      <c r="U72" s="46" t="str">
        <f>if((ISBLANK(T72)),"",SkillIncrease)</f>
        <v/>
      </c>
      <c r="V72" s="39"/>
      <c r="W72" s="46" t="str">
        <f>if((ISBLANK(V72)),"",SkillIncrease)</f>
        <v/>
      </c>
      <c r="X72" s="39"/>
      <c r="Y72" s="46" t="str">
        <f>if((ISBLANK(X72)),"",SkillIncrease)</f>
        <v/>
      </c>
      <c r="Z72" s="39"/>
      <c r="AA72" s="46" t="str">
        <f>if((ISBLANK(Z72)),"",SkillIncrease)</f>
        <v/>
      </c>
      <c r="AB72" s="39"/>
      <c r="AC72" s="46" t="str">
        <f>if((ISBLANK(AB72)),"",SkillIncrease)</f>
        <v/>
      </c>
      <c r="AD72" s="46"/>
      <c r="AE72" s="46" t="str">
        <f>if((ISBLANK(AD72)),"",SkillIncrease)</f>
        <v/>
      </c>
      <c r="AF72" s="39"/>
      <c r="AG72" s="46" t="str">
        <f>if((ISBLANK(AF72)),"",SkillIncrease)</f>
        <v/>
      </c>
      <c r="AH72" s="39"/>
      <c r="AI72" s="46" t="str">
        <f>if((ISBLANK(AH72)),"",SkillIncrease)</f>
        <v/>
      </c>
      <c r="AJ72" s="39"/>
      <c r="AK72" s="46" t="str">
        <f>if((ISBLANK(AJ72)),"",SkillIncrease)</f>
        <v/>
      </c>
      <c r="AL72" s="39"/>
      <c r="AM72" s="46" t="str">
        <f>if((ISBLANK(AL72)),"",SkillIncrease)</f>
        <v/>
      </c>
      <c r="AN72" s="39"/>
      <c r="AO72" s="46" t="str">
        <f>if((ISBLANK(AN72)),"",SkillIncrease)</f>
        <v/>
      </c>
      <c r="AP72" s="39"/>
      <c r="AQ72" s="46" t="str">
        <f>if((ISBLANK(AP72)),"",SkillIncrease)</f>
        <v/>
      </c>
      <c r="AR72" s="39"/>
      <c r="AS72" s="46" t="str">
        <f>if((ISBLANK(AR72)),"",SkillIncrease)</f>
        <v/>
      </c>
      <c r="AT72" s="39"/>
      <c r="AU72" s="46" t="str">
        <f>if((ISBLANK(AT72)),"",SkillIncrease)</f>
        <v/>
      </c>
      <c r="AV72" s="39"/>
      <c r="AW72" s="46" t="str">
        <f>if((ISBLANK(AV72)),"",SkillIncrease)</f>
        <v/>
      </c>
      <c r="AX72" s="39"/>
      <c r="AY72" s="46" t="str">
        <f>if((ISBLANK(AX72)),"",SkillIncrease)</f>
        <v/>
      </c>
      <c r="AZ72" s="39"/>
      <c r="BA72" s="46" t="str">
        <f>if((ISBLANK(AZ72)),"",SkillIncrease)</f>
        <v/>
      </c>
    </row>
    <row r="73" hidden="1" outlineLevel="1">
      <c r="A73" s="189" t="s">
        <v>1358</v>
      </c>
      <c r="B73" s="46" t="s">
        <v>50</v>
      </c>
      <c r="C73" s="35"/>
      <c r="D73" s="37">
        <v>1.0</v>
      </c>
      <c r="E73" s="46">
        <f>if((ISBLANK(D73)),"",SkillIncrease)</f>
        <v>5</v>
      </c>
      <c r="F73" s="46"/>
      <c r="G73" s="46" t="str">
        <f>if((ISBLANK(F73)),"",SkillIncrease)</f>
        <v/>
      </c>
      <c r="H73" s="39"/>
      <c r="I73" s="46" t="str">
        <f>if((ISBLANK(H73)),"",SkillIncrease)</f>
        <v/>
      </c>
      <c r="J73" s="39"/>
      <c r="K73" s="46" t="str">
        <f>if((ISBLANK(J73)),"",SkillIncrease)</f>
        <v/>
      </c>
      <c r="L73" s="39"/>
      <c r="M73" s="46" t="str">
        <f>if((ISBLANK(L73)),"",SkillIncrease)</f>
        <v/>
      </c>
      <c r="N73" s="39"/>
      <c r="O73" s="46" t="str">
        <f>if((ISBLANK(N73)),"",SkillIncrease)</f>
        <v/>
      </c>
      <c r="P73" s="39"/>
      <c r="Q73" s="46" t="str">
        <f>if((ISBLANK(P73)),"",SkillIncrease)</f>
        <v/>
      </c>
      <c r="R73" s="39"/>
      <c r="S73" s="46" t="str">
        <f>if((ISBLANK(R73)),"",SkillIncrease)</f>
        <v/>
      </c>
      <c r="T73" s="94">
        <v>1.0</v>
      </c>
      <c r="U73" s="95">
        <f>if((ISBLANK(T73)),"",SkillIncrease)</f>
        <v>5</v>
      </c>
      <c r="V73" s="39"/>
      <c r="W73" s="46" t="str">
        <f>if((ISBLANK(V73)),"",SkillIncrease)</f>
        <v/>
      </c>
      <c r="X73" s="39"/>
      <c r="Y73" s="46" t="str">
        <f>if((ISBLANK(X73)),"",SkillIncrease)</f>
        <v/>
      </c>
      <c r="Z73" s="94">
        <v>1.0</v>
      </c>
      <c r="AA73" s="95">
        <f>if((ISBLANK(Z73)),"",SkillIncrease)</f>
        <v>5</v>
      </c>
      <c r="AB73" s="39"/>
      <c r="AC73" s="46" t="str">
        <f>if((ISBLANK(AB73)),"",SkillIncrease)</f>
        <v/>
      </c>
      <c r="AD73" s="46"/>
      <c r="AE73" s="46" t="str">
        <f>if((ISBLANK(AD73)),"",SkillIncrease)</f>
        <v/>
      </c>
      <c r="AF73" s="39"/>
      <c r="AG73" s="46" t="str">
        <f>if((ISBLANK(AF73)),"",SkillIncrease)</f>
        <v/>
      </c>
      <c r="AH73" s="39"/>
      <c r="AI73" s="46" t="str">
        <f>if((ISBLANK(AH73)),"",SkillIncrease)</f>
        <v/>
      </c>
      <c r="AJ73" s="39"/>
      <c r="AK73" s="46" t="str">
        <f>if((ISBLANK(AJ73)),"",SkillIncrease)</f>
        <v/>
      </c>
      <c r="AL73" s="39"/>
      <c r="AM73" s="46" t="str">
        <f>if((ISBLANK(AL73)),"",SkillIncrease)</f>
        <v/>
      </c>
      <c r="AN73" s="39"/>
      <c r="AO73" s="46" t="str">
        <f>if((ISBLANK(AN73)),"",SkillIncrease)</f>
        <v/>
      </c>
      <c r="AP73" s="39"/>
      <c r="AQ73" s="46" t="str">
        <f>if((ISBLANK(AP73)),"",SkillIncrease)</f>
        <v/>
      </c>
      <c r="AR73" s="39"/>
      <c r="AS73" s="46" t="str">
        <f>if((ISBLANK(AR73)),"",SkillIncrease)</f>
        <v/>
      </c>
      <c r="AT73" s="39"/>
      <c r="AU73" s="46" t="str">
        <f>if((ISBLANK(AT73)),"",SkillIncrease)</f>
        <v/>
      </c>
      <c r="AV73" s="39"/>
      <c r="AW73" s="46" t="str">
        <f>if((ISBLANK(AV73)),"",SkillIncrease)</f>
        <v/>
      </c>
      <c r="AX73" s="39"/>
      <c r="AY73" s="46" t="str">
        <f>if((ISBLANK(AX73)),"",SkillIncrease)</f>
        <v/>
      </c>
      <c r="AZ73" s="39"/>
      <c r="BA73" s="46" t="str">
        <f>if((ISBLANK(AZ73)),"",SkillIncrease)</f>
        <v/>
      </c>
    </row>
    <row r="74" hidden="1" outlineLevel="1">
      <c r="A74" s="37" t="s">
        <v>1359</v>
      </c>
      <c r="B74" s="46" t="s">
        <v>1360</v>
      </c>
      <c r="C74" s="35"/>
      <c r="D74" s="37">
        <v>1.0</v>
      </c>
      <c r="E74" s="46">
        <f>if((ISBLANK(D74)),"",SkillIncrease)</f>
        <v>5</v>
      </c>
      <c r="F74" s="46"/>
      <c r="G74" s="46" t="str">
        <f>if((ISBLANK(F74)),"",SkillIncrease)</f>
        <v/>
      </c>
      <c r="H74" s="39"/>
      <c r="I74" s="46" t="str">
        <f>if((ISBLANK(H74)),"",SkillIncrease)</f>
        <v/>
      </c>
      <c r="J74" s="39"/>
      <c r="K74" s="46" t="str">
        <f>if((ISBLANK(J74)),"",SkillIncrease)</f>
        <v/>
      </c>
      <c r="L74" s="39"/>
      <c r="M74" s="46" t="str">
        <f>if((ISBLANK(L74)),"",SkillIncrease)</f>
        <v/>
      </c>
      <c r="N74" s="39"/>
      <c r="O74" s="46" t="str">
        <f>if((ISBLANK(N74)),"",SkillIncrease)</f>
        <v/>
      </c>
      <c r="P74" s="94">
        <v>1.0</v>
      </c>
      <c r="Q74" s="95">
        <f>if((ISBLANK(P74)),"",SkillIncrease)</f>
        <v>5</v>
      </c>
      <c r="R74" s="94">
        <v>1.0</v>
      </c>
      <c r="S74" s="95">
        <f>if((ISBLANK(R74)),"",SkillIncrease)</f>
        <v>5</v>
      </c>
      <c r="T74" s="39"/>
      <c r="U74" s="46" t="str">
        <f>if((ISBLANK(T74)),"",SkillIncrease)</f>
        <v/>
      </c>
      <c r="V74" s="39"/>
      <c r="W74" s="46" t="str">
        <f>if((ISBLANK(V74)),"",SkillIncrease)</f>
        <v/>
      </c>
      <c r="X74" s="39"/>
      <c r="Y74" s="46" t="str">
        <f>if((ISBLANK(X74)),"",SkillIncrease)</f>
        <v/>
      </c>
      <c r="Z74" s="39"/>
      <c r="AA74" s="46" t="str">
        <f>if((ISBLANK(Z74)),"",SkillIncrease)</f>
        <v/>
      </c>
      <c r="AB74" s="39"/>
      <c r="AC74" s="46" t="str">
        <f>if((ISBLANK(AB74)),"",SkillIncrease)</f>
        <v/>
      </c>
      <c r="AD74" s="46"/>
      <c r="AE74" s="46" t="str">
        <f>if((ISBLANK(AD74)),"",SkillIncrease)</f>
        <v/>
      </c>
      <c r="AF74" s="39"/>
      <c r="AG74" s="46" t="str">
        <f>if((ISBLANK(AF74)),"",SkillIncrease)</f>
        <v/>
      </c>
      <c r="AH74" s="39"/>
      <c r="AI74" s="46" t="str">
        <f>if((ISBLANK(AH74)),"",SkillIncrease)</f>
        <v/>
      </c>
      <c r="AJ74" s="39"/>
      <c r="AK74" s="46" t="str">
        <f>if((ISBLANK(AJ74)),"",SkillIncrease)</f>
        <v/>
      </c>
      <c r="AL74" s="39"/>
      <c r="AM74" s="46" t="str">
        <f>if((ISBLANK(AL74)),"",SkillIncrease)</f>
        <v/>
      </c>
      <c r="AN74" s="39"/>
      <c r="AO74" s="46" t="str">
        <f>if((ISBLANK(AN74)),"",SkillIncrease)</f>
        <v/>
      </c>
      <c r="AP74" s="39"/>
      <c r="AQ74" s="46" t="str">
        <f>if((ISBLANK(AP74)),"",SkillIncrease)</f>
        <v/>
      </c>
      <c r="AR74" s="39"/>
      <c r="AS74" s="46" t="str">
        <f>if((ISBLANK(AR74)),"",SkillIncrease)</f>
        <v/>
      </c>
      <c r="AT74" s="39"/>
      <c r="AU74" s="46" t="str">
        <f>if((ISBLANK(AT74)),"",SkillIncrease)</f>
        <v/>
      </c>
      <c r="AV74" s="39"/>
      <c r="AW74" s="46" t="str">
        <f>if((ISBLANK(AV74)),"",SkillIncrease)</f>
        <v/>
      </c>
      <c r="AX74" s="39"/>
      <c r="AY74" s="46" t="str">
        <f>if((ISBLANK(AX74)),"",SkillIncrease)</f>
        <v/>
      </c>
      <c r="AZ74" s="39"/>
      <c r="BA74" s="46" t="str">
        <f>if((ISBLANK(AZ74)),"",SkillIncrease)</f>
        <v/>
      </c>
    </row>
    <row r="75" hidden="1" outlineLevel="1">
      <c r="A75" s="189" t="s">
        <v>1361</v>
      </c>
      <c r="B75" s="46" t="s">
        <v>48</v>
      </c>
      <c r="C75" s="35"/>
      <c r="D75" s="37">
        <v>1.0</v>
      </c>
      <c r="E75" s="46">
        <f>if((ISBLANK(D75)),"",SkillIncrease)</f>
        <v>5</v>
      </c>
      <c r="F75" s="46"/>
      <c r="G75" s="46" t="str">
        <f>if((ISBLANK(F75)),"",SkillIncrease)</f>
        <v/>
      </c>
      <c r="H75" s="39"/>
      <c r="I75" s="46" t="str">
        <f>if((ISBLANK(H75)),"",SkillIncrease)</f>
        <v/>
      </c>
      <c r="J75" s="39"/>
      <c r="K75" s="46" t="str">
        <f>if((ISBLANK(J75)),"",SkillIncrease)</f>
        <v/>
      </c>
      <c r="L75" s="39"/>
      <c r="M75" s="46" t="str">
        <f>if((ISBLANK(L75)),"",SkillIncrease)</f>
        <v/>
      </c>
      <c r="N75" s="39"/>
      <c r="O75" s="46" t="str">
        <f>if((ISBLANK(N75)),"",SkillIncrease)</f>
        <v/>
      </c>
      <c r="P75" s="39"/>
      <c r="Q75" s="46" t="str">
        <f>if((ISBLANK(P75)),"",SkillIncrease)</f>
        <v/>
      </c>
      <c r="R75" s="39"/>
      <c r="S75" s="46" t="str">
        <f>if((ISBLANK(R75)),"",SkillIncrease)</f>
        <v/>
      </c>
      <c r="T75" s="94">
        <v>1.0</v>
      </c>
      <c r="U75" s="95">
        <f>if((ISBLANK(T75)),"",SkillIncrease)</f>
        <v>5</v>
      </c>
      <c r="V75" s="39"/>
      <c r="W75" s="46" t="str">
        <f>if((ISBLANK(V75)),"",SkillIncrease)</f>
        <v/>
      </c>
      <c r="X75" s="39"/>
      <c r="Y75" s="46" t="str">
        <f>if((ISBLANK(X75)),"",SkillIncrease)</f>
        <v/>
      </c>
      <c r="Z75" s="39"/>
      <c r="AA75" s="46" t="str">
        <f>if((ISBLANK(Z75)),"",SkillIncrease)</f>
        <v/>
      </c>
      <c r="AB75" s="39"/>
      <c r="AC75" s="46" t="str">
        <f>if((ISBLANK(AB75)),"",SkillIncrease)</f>
        <v/>
      </c>
      <c r="AD75" s="46"/>
      <c r="AE75" s="46" t="str">
        <f>if((ISBLANK(AD75)),"",SkillIncrease)</f>
        <v/>
      </c>
      <c r="AF75" s="39"/>
      <c r="AG75" s="46" t="str">
        <f>if((ISBLANK(AF75)),"",SkillIncrease)</f>
        <v/>
      </c>
      <c r="AH75" s="39"/>
      <c r="AI75" s="46" t="str">
        <f>if((ISBLANK(AH75)),"",SkillIncrease)</f>
        <v/>
      </c>
      <c r="AJ75" s="39"/>
      <c r="AK75" s="46" t="str">
        <f>if((ISBLANK(AJ75)),"",SkillIncrease)</f>
        <v/>
      </c>
      <c r="AL75" s="39"/>
      <c r="AM75" s="46" t="str">
        <f>if((ISBLANK(AL75)),"",SkillIncrease)</f>
        <v/>
      </c>
      <c r="AN75" s="39"/>
      <c r="AO75" s="46" t="str">
        <f>if((ISBLANK(AN75)),"",SkillIncrease)</f>
        <v/>
      </c>
      <c r="AP75" s="39"/>
      <c r="AQ75" s="46" t="str">
        <f>if((ISBLANK(AP75)),"",SkillIncrease)</f>
        <v/>
      </c>
      <c r="AR75" s="39"/>
      <c r="AS75" s="46" t="str">
        <f>if((ISBLANK(AR75)),"",SkillIncrease)</f>
        <v/>
      </c>
      <c r="AT75" s="39"/>
      <c r="AU75" s="46" t="str">
        <f>if((ISBLANK(AT75)),"",SkillIncrease)</f>
        <v/>
      </c>
      <c r="AV75" s="39"/>
      <c r="AW75" s="46" t="str">
        <f>if((ISBLANK(AV75)),"",SkillIncrease)</f>
        <v/>
      </c>
      <c r="AX75" s="39"/>
      <c r="AY75" s="46" t="str">
        <f>if((ISBLANK(AX75)),"",SkillIncrease)</f>
        <v/>
      </c>
      <c r="AZ75" s="39"/>
      <c r="BA75" s="46" t="str">
        <f>if((ISBLANK(AZ75)),"",SkillIncrease)</f>
        <v/>
      </c>
    </row>
    <row r="76" hidden="1" outlineLevel="1">
      <c r="A76" s="37" t="s">
        <v>1362</v>
      </c>
      <c r="B76" s="46" t="s">
        <v>1363</v>
      </c>
      <c r="C76" s="35"/>
      <c r="D76" s="37">
        <v>1.0</v>
      </c>
      <c r="E76" s="46">
        <f>if((ISBLANK(D76)),"",SkillIncrease)</f>
        <v>5</v>
      </c>
      <c r="F76" s="46"/>
      <c r="G76" s="46" t="str">
        <f>if((ISBLANK(F76)),"",SkillIncrease)</f>
        <v/>
      </c>
      <c r="H76" s="39"/>
      <c r="I76" s="46" t="str">
        <f>if((ISBLANK(H76)),"",SkillIncrease)</f>
        <v/>
      </c>
      <c r="J76" s="39"/>
      <c r="K76" s="46" t="str">
        <f>if((ISBLANK(J76)),"",SkillIncrease)</f>
        <v/>
      </c>
      <c r="L76" s="39"/>
      <c r="M76" s="46" t="str">
        <f>if((ISBLANK(L76)),"",SkillIncrease)</f>
        <v/>
      </c>
      <c r="N76" s="39"/>
      <c r="O76" s="46" t="str">
        <f>if((ISBLANK(N76)),"",SkillIncrease)</f>
        <v/>
      </c>
      <c r="P76" s="94">
        <v>1.0</v>
      </c>
      <c r="Q76" s="95">
        <f>if((ISBLANK(P76)),"",SkillIncrease)</f>
        <v>5</v>
      </c>
      <c r="R76" s="94">
        <v>1.0</v>
      </c>
      <c r="S76" s="95">
        <f>if((ISBLANK(R76)),"",SkillIncrease)</f>
        <v>5</v>
      </c>
      <c r="T76" s="39"/>
      <c r="U76" s="46" t="str">
        <f>if((ISBLANK(T76)),"",SkillIncrease)</f>
        <v/>
      </c>
      <c r="V76" s="39"/>
      <c r="W76" s="46" t="str">
        <f>if((ISBLANK(V76)),"",SkillIncrease)</f>
        <v/>
      </c>
      <c r="X76" s="39"/>
      <c r="Y76" s="46" t="str">
        <f>if((ISBLANK(X76)),"",SkillIncrease)</f>
        <v/>
      </c>
      <c r="Z76" s="39"/>
      <c r="AA76" s="46" t="str">
        <f>if((ISBLANK(Z76)),"",SkillIncrease)</f>
        <v/>
      </c>
      <c r="AB76" s="39"/>
      <c r="AC76" s="46" t="str">
        <f>if((ISBLANK(AB76)),"",SkillIncrease)</f>
        <v/>
      </c>
      <c r="AD76" s="46"/>
      <c r="AE76" s="46" t="str">
        <f>if((ISBLANK(AD76)),"",SkillIncrease)</f>
        <v/>
      </c>
      <c r="AF76" s="39"/>
      <c r="AG76" s="46" t="str">
        <f>if((ISBLANK(AF76)),"",SkillIncrease)</f>
        <v/>
      </c>
      <c r="AH76" s="39"/>
      <c r="AI76" s="46" t="str">
        <f>if((ISBLANK(AH76)),"",SkillIncrease)</f>
        <v/>
      </c>
      <c r="AJ76" s="39"/>
      <c r="AK76" s="46" t="str">
        <f>if((ISBLANK(AJ76)),"",SkillIncrease)</f>
        <v/>
      </c>
      <c r="AL76" s="39"/>
      <c r="AM76" s="46" t="str">
        <f>if((ISBLANK(AL76)),"",SkillIncrease)</f>
        <v/>
      </c>
      <c r="AN76" s="39"/>
      <c r="AO76" s="46" t="str">
        <f>if((ISBLANK(AN76)),"",SkillIncrease)</f>
        <v/>
      </c>
      <c r="AP76" s="39"/>
      <c r="AQ76" s="46" t="str">
        <f>if((ISBLANK(AP76)),"",SkillIncrease)</f>
        <v/>
      </c>
      <c r="AR76" s="39"/>
      <c r="AS76" s="46" t="str">
        <f>if((ISBLANK(AR76)),"",SkillIncrease)</f>
        <v/>
      </c>
      <c r="AT76" s="39"/>
      <c r="AU76" s="46" t="str">
        <f>if((ISBLANK(AT76)),"",SkillIncrease)</f>
        <v/>
      </c>
      <c r="AV76" s="39"/>
      <c r="AW76" s="46" t="str">
        <f>if((ISBLANK(AV76)),"",SkillIncrease)</f>
        <v/>
      </c>
      <c r="AX76" s="39"/>
      <c r="AY76" s="46" t="str">
        <f>if((ISBLANK(AX76)),"",SkillIncrease)</f>
        <v/>
      </c>
      <c r="AZ76" s="39"/>
      <c r="BA76" s="46" t="str">
        <f>if((ISBLANK(AZ76)),"",SkillIncrease)</f>
        <v/>
      </c>
    </row>
    <row r="77" hidden="1" outlineLevel="1">
      <c r="A77" s="189" t="s">
        <v>1364</v>
      </c>
      <c r="B77" s="46" t="s">
        <v>81</v>
      </c>
      <c r="C77" s="35"/>
      <c r="D77" s="37">
        <v>1.0</v>
      </c>
      <c r="E77" s="46">
        <f>if((ISBLANK(D77)),"",SkillIncrease)</f>
        <v>5</v>
      </c>
      <c r="F77" s="46"/>
      <c r="G77" s="46" t="str">
        <f>if((ISBLANK(F77)),"",SkillIncrease)</f>
        <v/>
      </c>
      <c r="H77" s="39"/>
      <c r="I77" s="46" t="str">
        <f>if((ISBLANK(H77)),"",SkillIncrease)</f>
        <v/>
      </c>
      <c r="J77" s="39"/>
      <c r="K77" s="46" t="str">
        <f>if((ISBLANK(J77)),"",SkillIncrease)</f>
        <v/>
      </c>
      <c r="L77" s="39"/>
      <c r="M77" s="46" t="str">
        <f>if((ISBLANK(L77)),"",SkillIncrease)</f>
        <v/>
      </c>
      <c r="N77" s="39"/>
      <c r="O77" s="46" t="str">
        <f>if((ISBLANK(N77)),"",SkillIncrease)</f>
        <v/>
      </c>
      <c r="P77" s="39"/>
      <c r="Q77" s="46" t="str">
        <f>if((ISBLANK(P77)),"",SkillIncrease)</f>
        <v/>
      </c>
      <c r="R77" s="39"/>
      <c r="S77" s="46" t="str">
        <f>if((ISBLANK(R77)),"",SkillIncrease)</f>
        <v/>
      </c>
      <c r="T77" s="39"/>
      <c r="U77" s="46" t="str">
        <f>if((ISBLANK(T77)),"",SkillIncrease)</f>
        <v/>
      </c>
      <c r="V77" s="39"/>
      <c r="W77" s="46" t="str">
        <f>if((ISBLANK(V77)),"",SkillIncrease)</f>
        <v/>
      </c>
      <c r="X77" s="39"/>
      <c r="Y77" s="46" t="str">
        <f>if((ISBLANK(X77)),"",SkillIncrease)</f>
        <v/>
      </c>
      <c r="Z77" s="39"/>
      <c r="AA77" s="46" t="str">
        <f>if((ISBLANK(Z77)),"",SkillIncrease)</f>
        <v/>
      </c>
      <c r="AB77" s="39"/>
      <c r="AC77" s="46" t="str">
        <f>if((ISBLANK(AB77)),"",SkillIncrease)</f>
        <v/>
      </c>
      <c r="AD77" s="46"/>
      <c r="AE77" s="46" t="str">
        <f>if((ISBLANK(AD77)),"",SkillIncrease)</f>
        <v/>
      </c>
      <c r="AF77" s="39"/>
      <c r="AG77" s="46" t="str">
        <f>if((ISBLANK(AF77)),"",SkillIncrease)</f>
        <v/>
      </c>
      <c r="AH77" s="39"/>
      <c r="AI77" s="46" t="str">
        <f>if((ISBLANK(AH77)),"",SkillIncrease)</f>
        <v/>
      </c>
      <c r="AJ77" s="39"/>
      <c r="AK77" s="46" t="str">
        <f>if((ISBLANK(AJ77)),"",SkillIncrease)</f>
        <v/>
      </c>
      <c r="AL77" s="39"/>
      <c r="AM77" s="46" t="str">
        <f>if((ISBLANK(AL77)),"",SkillIncrease)</f>
        <v/>
      </c>
      <c r="AN77" s="39"/>
      <c r="AO77" s="46" t="str">
        <f>if((ISBLANK(AN77)),"",SkillIncrease)</f>
        <v/>
      </c>
      <c r="AP77" s="39"/>
      <c r="AQ77" s="46" t="str">
        <f>if((ISBLANK(AP77)),"",SkillIncrease)</f>
        <v/>
      </c>
      <c r="AR77" s="39"/>
      <c r="AS77" s="46" t="str">
        <f>if((ISBLANK(AR77)),"",SkillIncrease)</f>
        <v/>
      </c>
      <c r="AT77" s="39"/>
      <c r="AU77" s="46" t="str">
        <f>if((ISBLANK(AT77)),"",SkillIncrease)</f>
        <v/>
      </c>
      <c r="AV77" s="39"/>
      <c r="AW77" s="46" t="str">
        <f>if((ISBLANK(AV77)),"",SkillIncrease)</f>
        <v/>
      </c>
      <c r="AX77" s="39"/>
      <c r="AY77" s="46" t="str">
        <f>if((ISBLANK(AX77)),"",SkillIncrease)</f>
        <v/>
      </c>
      <c r="AZ77" s="39"/>
      <c r="BA77" s="46" t="str">
        <f>if((ISBLANK(AZ77)),"",SkillIncrease)</f>
        <v/>
      </c>
    </row>
    <row r="78" hidden="1" outlineLevel="1">
      <c r="A78" s="37" t="s">
        <v>1365</v>
      </c>
      <c r="B78" s="46" t="s">
        <v>1366</v>
      </c>
      <c r="C78" s="35"/>
      <c r="D78" s="37">
        <v>1.0</v>
      </c>
      <c r="E78" s="46">
        <f>if((ISBLANK(D78)),"",SkillIncrease)</f>
        <v>5</v>
      </c>
      <c r="F78" s="46"/>
      <c r="G78" s="46" t="str">
        <f>if((ISBLANK(F78)),"",SkillIncrease)</f>
        <v/>
      </c>
      <c r="H78" s="39"/>
      <c r="I78" s="46" t="str">
        <f>if((ISBLANK(H78)),"",SkillIncrease)</f>
        <v/>
      </c>
      <c r="J78" s="39"/>
      <c r="K78" s="46" t="str">
        <f>if((ISBLANK(J78)),"",SkillIncrease)</f>
        <v/>
      </c>
      <c r="L78" s="39"/>
      <c r="M78" s="46" t="str">
        <f>if((ISBLANK(L78)),"",SkillIncrease)</f>
        <v/>
      </c>
      <c r="N78" s="39"/>
      <c r="O78" s="46" t="str">
        <f>if((ISBLANK(N78)),"",SkillIncrease)</f>
        <v/>
      </c>
      <c r="P78" s="94">
        <v>1.0</v>
      </c>
      <c r="Q78" s="95">
        <f>if((ISBLANK(P78)),"",SkillIncrease)</f>
        <v>5</v>
      </c>
      <c r="R78" s="94">
        <v>1.0</v>
      </c>
      <c r="S78" s="95">
        <f>if((ISBLANK(R78)),"",SkillIncrease)</f>
        <v>5</v>
      </c>
      <c r="T78" s="39"/>
      <c r="U78" s="46" t="str">
        <f>if((ISBLANK(T78)),"",SkillIncrease)</f>
        <v/>
      </c>
      <c r="V78" s="39"/>
      <c r="W78" s="46" t="str">
        <f>if((ISBLANK(V78)),"",SkillIncrease)</f>
        <v/>
      </c>
      <c r="X78" s="39"/>
      <c r="Y78" s="46" t="str">
        <f>if((ISBLANK(X78)),"",SkillIncrease)</f>
        <v/>
      </c>
      <c r="Z78" s="39"/>
      <c r="AA78" s="46" t="str">
        <f>if((ISBLANK(Z78)),"",SkillIncrease)</f>
        <v/>
      </c>
      <c r="AB78" s="39"/>
      <c r="AC78" s="46" t="str">
        <f>if((ISBLANK(AB78)),"",SkillIncrease)</f>
        <v/>
      </c>
      <c r="AD78" s="46"/>
      <c r="AE78" s="46" t="str">
        <f>if((ISBLANK(AD78)),"",SkillIncrease)</f>
        <v/>
      </c>
      <c r="AF78" s="39"/>
      <c r="AG78" s="46" t="str">
        <f>if((ISBLANK(AF78)),"",SkillIncrease)</f>
        <v/>
      </c>
      <c r="AH78" s="39"/>
      <c r="AI78" s="46" t="str">
        <f>if((ISBLANK(AH78)),"",SkillIncrease)</f>
        <v/>
      </c>
      <c r="AJ78" s="39"/>
      <c r="AK78" s="46" t="str">
        <f>if((ISBLANK(AJ78)),"",SkillIncrease)</f>
        <v/>
      </c>
      <c r="AL78" s="39"/>
      <c r="AM78" s="46" t="str">
        <f>if((ISBLANK(AL78)),"",SkillIncrease)</f>
        <v/>
      </c>
      <c r="AN78" s="39"/>
      <c r="AO78" s="46" t="str">
        <f>if((ISBLANK(AN78)),"",SkillIncrease)</f>
        <v/>
      </c>
      <c r="AP78" s="39"/>
      <c r="AQ78" s="46" t="str">
        <f>if((ISBLANK(AP78)),"",SkillIncrease)</f>
        <v/>
      </c>
      <c r="AR78" s="39"/>
      <c r="AS78" s="46" t="str">
        <f>if((ISBLANK(AR78)),"",SkillIncrease)</f>
        <v/>
      </c>
      <c r="AT78" s="39"/>
      <c r="AU78" s="46" t="str">
        <f>if((ISBLANK(AT78)),"",SkillIncrease)</f>
        <v/>
      </c>
      <c r="AV78" s="39"/>
      <c r="AW78" s="46" t="str">
        <f>if((ISBLANK(AV78)),"",SkillIncrease)</f>
        <v/>
      </c>
      <c r="AX78" s="39"/>
      <c r="AY78" s="46" t="str">
        <f>if((ISBLANK(AX78)),"",SkillIncrease)</f>
        <v/>
      </c>
      <c r="AZ78" s="39"/>
      <c r="BA78" s="46" t="str">
        <f>if((ISBLANK(AZ78)),"",SkillIncrease)</f>
        <v/>
      </c>
    </row>
    <row r="79" hidden="1" outlineLevel="1">
      <c r="A79" s="37" t="s">
        <v>1367</v>
      </c>
      <c r="B79" s="46"/>
      <c r="C79" s="35"/>
      <c r="D79" s="35">
        <f t="shared" ref="D79:AC79" si="26">SUM(D60:D78)</f>
        <v>19</v>
      </c>
      <c r="E79" s="35">
        <f t="shared" si="26"/>
        <v>95</v>
      </c>
      <c r="F79" s="95">
        <f t="shared" si="26"/>
        <v>0</v>
      </c>
      <c r="G79" s="95">
        <f t="shared" si="26"/>
        <v>0</v>
      </c>
      <c r="H79" s="95">
        <f t="shared" si="26"/>
        <v>0</v>
      </c>
      <c r="I79" s="95">
        <f t="shared" si="26"/>
        <v>0</v>
      </c>
      <c r="J79" s="95">
        <f t="shared" si="26"/>
        <v>0</v>
      </c>
      <c r="K79" s="95">
        <f t="shared" si="26"/>
        <v>0</v>
      </c>
      <c r="L79" s="95">
        <f t="shared" si="26"/>
        <v>0</v>
      </c>
      <c r="M79" s="95">
        <f t="shared" si="26"/>
        <v>0</v>
      </c>
      <c r="N79" s="95">
        <f t="shared" si="26"/>
        <v>0</v>
      </c>
      <c r="O79" s="95">
        <f t="shared" si="26"/>
        <v>0</v>
      </c>
      <c r="P79" s="95">
        <f t="shared" si="26"/>
        <v>10</v>
      </c>
      <c r="Q79" s="95">
        <f t="shared" si="26"/>
        <v>50</v>
      </c>
      <c r="R79" s="95">
        <f t="shared" si="26"/>
        <v>10</v>
      </c>
      <c r="S79" s="95">
        <f t="shared" si="26"/>
        <v>50</v>
      </c>
      <c r="T79" s="95">
        <f t="shared" si="26"/>
        <v>5</v>
      </c>
      <c r="U79" s="95">
        <f t="shared" si="26"/>
        <v>25</v>
      </c>
      <c r="V79" s="95">
        <f t="shared" si="26"/>
        <v>0</v>
      </c>
      <c r="W79" s="95">
        <f t="shared" si="26"/>
        <v>0</v>
      </c>
      <c r="X79" s="95">
        <f t="shared" si="26"/>
        <v>0</v>
      </c>
      <c r="Y79" s="95">
        <f t="shared" si="26"/>
        <v>0</v>
      </c>
      <c r="Z79" s="95">
        <f t="shared" si="26"/>
        <v>3</v>
      </c>
      <c r="AA79" s="95">
        <f t="shared" si="26"/>
        <v>15</v>
      </c>
      <c r="AB79" s="95">
        <f t="shared" si="26"/>
        <v>0</v>
      </c>
      <c r="AC79" s="95">
        <f t="shared" si="26"/>
        <v>0</v>
      </c>
      <c r="AD79" s="46"/>
      <c r="AE79" s="95">
        <f t="shared" ref="AE79:BA79" si="27">SUM(AE60:AE78)</f>
        <v>0</v>
      </c>
      <c r="AF79" s="95">
        <f t="shared" si="27"/>
        <v>0</v>
      </c>
      <c r="AG79" s="95">
        <f t="shared" si="27"/>
        <v>0</v>
      </c>
      <c r="AH79" s="95">
        <f t="shared" si="27"/>
        <v>0</v>
      </c>
      <c r="AI79" s="95">
        <f t="shared" si="27"/>
        <v>0</v>
      </c>
      <c r="AJ79" s="95">
        <f t="shared" si="27"/>
        <v>0</v>
      </c>
      <c r="AK79" s="95">
        <f t="shared" si="27"/>
        <v>0</v>
      </c>
      <c r="AL79" s="95">
        <f t="shared" si="27"/>
        <v>0</v>
      </c>
      <c r="AM79" s="95">
        <f t="shared" si="27"/>
        <v>0</v>
      </c>
      <c r="AN79" s="95">
        <f t="shared" si="27"/>
        <v>0</v>
      </c>
      <c r="AO79" s="95">
        <f t="shared" si="27"/>
        <v>0</v>
      </c>
      <c r="AP79" s="95">
        <f t="shared" si="27"/>
        <v>0</v>
      </c>
      <c r="AQ79" s="95">
        <f t="shared" si="27"/>
        <v>0</v>
      </c>
      <c r="AR79" s="95">
        <f t="shared" si="27"/>
        <v>0</v>
      </c>
      <c r="AS79" s="95">
        <f t="shared" si="27"/>
        <v>0</v>
      </c>
      <c r="AT79" s="95">
        <f t="shared" si="27"/>
        <v>0</v>
      </c>
      <c r="AU79" s="95">
        <f t="shared" si="27"/>
        <v>0</v>
      </c>
      <c r="AV79" s="95">
        <f t="shared" si="27"/>
        <v>0</v>
      </c>
      <c r="AW79" s="95">
        <f t="shared" si="27"/>
        <v>0</v>
      </c>
      <c r="AX79" s="95">
        <f t="shared" si="27"/>
        <v>0</v>
      </c>
      <c r="AY79" s="95">
        <f t="shared" si="27"/>
        <v>0</v>
      </c>
      <c r="AZ79" s="95">
        <f t="shared" si="27"/>
        <v>0</v>
      </c>
      <c r="BA79" s="95">
        <f t="shared" si="27"/>
        <v>0</v>
      </c>
    </row>
    <row r="80" hidden="1" outlineLevel="1">
      <c r="A80" s="37" t="s">
        <v>1368</v>
      </c>
      <c r="B80" s="46" t="s">
        <v>36</v>
      </c>
      <c r="C80" s="35"/>
      <c r="D80" s="37">
        <v>1.0</v>
      </c>
      <c r="E80" s="46">
        <f>if((ISBLANK(D80)),"",SkillFeat)</f>
        <v>5</v>
      </c>
      <c r="F80" s="46"/>
      <c r="G80" s="46" t="str">
        <f>if((ISBLANK(F80)),"",SkillFeat)</f>
        <v/>
      </c>
      <c r="H80" s="39"/>
      <c r="I80" s="46" t="str">
        <f>if((ISBLANK(H80)),"",SkillFeat)</f>
        <v/>
      </c>
      <c r="J80" s="39"/>
      <c r="K80" s="46" t="str">
        <f>if((ISBLANK(J80)),"",SkillFeat)</f>
        <v/>
      </c>
      <c r="L80" s="39"/>
      <c r="M80" s="46" t="str">
        <f>if((ISBLANK(L80)),"",SkillFeat)</f>
        <v/>
      </c>
      <c r="N80" s="39"/>
      <c r="O80" s="46" t="str">
        <f>if((ISBLANK(N80)),"",SkillFeat)</f>
        <v/>
      </c>
      <c r="P80" s="94">
        <v>1.0</v>
      </c>
      <c r="Q80" s="95">
        <f>if((ISBLANK(P80)),"",SkillFeat)</f>
        <v>5</v>
      </c>
      <c r="R80" s="39"/>
      <c r="S80" s="46" t="str">
        <f>if((ISBLANK(R80)),"",SkillFeat)</f>
        <v/>
      </c>
      <c r="T80" s="94">
        <v>1.0</v>
      </c>
      <c r="U80" s="95">
        <f>if((ISBLANK(T80)),"",SkillFeat)</f>
        <v>5</v>
      </c>
      <c r="V80" s="39"/>
      <c r="W80" s="46" t="str">
        <f>if((ISBLANK(V80)),"",SkillFeat)</f>
        <v/>
      </c>
      <c r="X80" s="39"/>
      <c r="Y80" s="46" t="str">
        <f>if((ISBLANK(X80)),"",SkillFeat)</f>
        <v/>
      </c>
      <c r="Z80" s="94">
        <v>1.0</v>
      </c>
      <c r="AA80" s="95">
        <f>if((ISBLANK(Z80)),"",SkillFeat)</f>
        <v>5</v>
      </c>
      <c r="AB80" s="94">
        <v>1.0</v>
      </c>
      <c r="AC80" s="39"/>
      <c r="AD80" s="46"/>
      <c r="AE80" s="46" t="str">
        <f>if((ISBLANK(AD80)),"",SkillFeat)</f>
        <v/>
      </c>
      <c r="AF80" s="39"/>
      <c r="AG80" s="46" t="str">
        <f>if((ISBLANK(AF80)),"",SkillFeat)</f>
        <v/>
      </c>
      <c r="AH80" s="39"/>
      <c r="AI80" s="46" t="str">
        <f>if((ISBLANK(AH80)),"",SkillFeat)</f>
        <v/>
      </c>
      <c r="AJ80" s="39"/>
      <c r="AK80" s="46" t="str">
        <f>if((ISBLANK(AJ80)),"",SkillFeat)</f>
        <v/>
      </c>
      <c r="AL80" s="39"/>
      <c r="AM80" s="46" t="str">
        <f>if((ISBLANK(AL80)),"",SkillFeat)</f>
        <v/>
      </c>
      <c r="AN80" s="39"/>
      <c r="AO80" s="46" t="str">
        <f>if((ISBLANK(AN80)),"",SkillFeat)</f>
        <v/>
      </c>
      <c r="AP80" s="39"/>
      <c r="AQ80" s="46" t="str">
        <f>if((ISBLANK(AP80)),"",SkillFeat)</f>
        <v/>
      </c>
      <c r="AR80" s="39"/>
      <c r="AS80" s="46" t="str">
        <f>if((ISBLANK(AR80)),"",SkillFeat)</f>
        <v/>
      </c>
      <c r="AT80" s="39"/>
      <c r="AU80" s="46" t="str">
        <f>if((ISBLANK(AT80)),"",SkillFeat)</f>
        <v/>
      </c>
      <c r="AV80" s="39"/>
      <c r="AW80" s="46" t="str">
        <f>if((ISBLANK(AV80)),"",SkillFeat)</f>
        <v/>
      </c>
      <c r="AX80" s="39"/>
      <c r="AY80" s="46" t="str">
        <f>if((ISBLANK(AX80)),"",SkillFeat)</f>
        <v/>
      </c>
      <c r="AZ80" s="39"/>
      <c r="BA80" s="46" t="str">
        <f>if((ISBLANK(AZ80)),"",SkillFeat)</f>
        <v/>
      </c>
    </row>
    <row r="81" hidden="1" outlineLevel="1">
      <c r="A81" s="189" t="s">
        <v>1392</v>
      </c>
      <c r="B81" s="46" t="s">
        <v>1183</v>
      </c>
      <c r="C81" s="35"/>
      <c r="D81" s="37">
        <v>1.0</v>
      </c>
      <c r="E81" s="46">
        <f>if((ISBLANK(D81)),"",SkillFeat)</f>
        <v>5</v>
      </c>
      <c r="F81" s="46"/>
      <c r="G81" s="46" t="str">
        <f>if((ISBLANK(F81)),"",SkillFeat)</f>
        <v/>
      </c>
      <c r="H81" s="39"/>
      <c r="I81" s="46" t="str">
        <f>if((ISBLANK(H81)),"",SkillFeat)</f>
        <v/>
      </c>
      <c r="J81" s="39"/>
      <c r="K81" s="46" t="str">
        <f>if((ISBLANK(J81)),"",SkillFeat)</f>
        <v/>
      </c>
      <c r="L81" s="39"/>
      <c r="M81" s="46" t="str">
        <f>if((ISBLANK(L81)),"",SkillFeat)</f>
        <v/>
      </c>
      <c r="N81" s="39"/>
      <c r="O81" s="46" t="str">
        <f>if((ISBLANK(N81)),"",SkillFeat)</f>
        <v/>
      </c>
      <c r="P81" s="39"/>
      <c r="Q81" s="46" t="str">
        <f>if((ISBLANK(P81)),"",SkillFeat)</f>
        <v/>
      </c>
      <c r="R81" s="39"/>
      <c r="S81" s="46" t="str">
        <f>if((ISBLANK(R81)),"",SkillFeat)</f>
        <v/>
      </c>
      <c r="T81" s="39"/>
      <c r="U81" s="46" t="str">
        <f>if((ISBLANK(T81)),"",SkillFeat)</f>
        <v/>
      </c>
      <c r="V81" s="39"/>
      <c r="W81" s="46" t="str">
        <f>if((ISBLANK(V81)),"",SkillFeat)</f>
        <v/>
      </c>
      <c r="X81" s="39"/>
      <c r="Y81" s="46" t="str">
        <f>if((ISBLANK(X81)),"",SkillFeat)</f>
        <v/>
      </c>
      <c r="Z81" s="39"/>
      <c r="AA81" s="46" t="str">
        <f>if((ISBLANK(Z81)),"",SkillFeat)</f>
        <v/>
      </c>
      <c r="AB81" s="39"/>
      <c r="AC81" s="46" t="str">
        <f>if((ISBLANK(AB81)),"",SkillFeat)</f>
        <v/>
      </c>
      <c r="AD81" s="46"/>
      <c r="AE81" s="46" t="str">
        <f>if((ISBLANK(AD81)),"",SkillFeat)</f>
        <v/>
      </c>
      <c r="AF81" s="39"/>
      <c r="AG81" s="46" t="str">
        <f>if((ISBLANK(AF81)),"",SkillFeat)</f>
        <v/>
      </c>
      <c r="AH81" s="39"/>
      <c r="AI81" s="46" t="str">
        <f>if((ISBLANK(AH81)),"",SkillFeat)</f>
        <v/>
      </c>
      <c r="AJ81" s="39"/>
      <c r="AK81" s="46" t="str">
        <f>if((ISBLANK(AJ81)),"",SkillFeat)</f>
        <v/>
      </c>
      <c r="AL81" s="39"/>
      <c r="AM81" s="46" t="str">
        <f>if((ISBLANK(AL81)),"",SkillFeat)</f>
        <v/>
      </c>
      <c r="AN81" s="39"/>
      <c r="AO81" s="46" t="str">
        <f>if((ISBLANK(AN81)),"",SkillFeat)</f>
        <v/>
      </c>
      <c r="AP81" s="39"/>
      <c r="AQ81" s="46" t="str">
        <f>if((ISBLANK(AP81)),"",SkillFeat)</f>
        <v/>
      </c>
      <c r="AR81" s="39"/>
      <c r="AS81" s="46" t="str">
        <f>if((ISBLANK(AR81)),"",SkillFeat)</f>
        <v/>
      </c>
      <c r="AT81" s="39"/>
      <c r="AU81" s="46" t="str">
        <f>if((ISBLANK(AT81)),"",SkillFeat)</f>
        <v/>
      </c>
      <c r="AV81" s="39"/>
      <c r="AW81" s="46" t="str">
        <f>if((ISBLANK(AV81)),"",SkillFeat)</f>
        <v/>
      </c>
      <c r="AX81" s="39"/>
      <c r="AY81" s="46" t="str">
        <f>if((ISBLANK(AX81)),"",SkillFeat)</f>
        <v/>
      </c>
      <c r="AZ81" s="39"/>
      <c r="BA81" s="46" t="str">
        <f>if((ISBLANK(AZ81)),"",SkillFeat)</f>
        <v/>
      </c>
    </row>
    <row r="82" hidden="1" outlineLevel="1">
      <c r="A82" s="37" t="s">
        <v>1395</v>
      </c>
      <c r="B82" s="46" t="s">
        <v>62</v>
      </c>
      <c r="C82" s="35"/>
      <c r="D82" s="37">
        <v>1.0</v>
      </c>
      <c r="E82" s="46">
        <f>if((ISBLANK(D82)),"",SkillFeat)</f>
        <v>5</v>
      </c>
      <c r="F82" s="46"/>
      <c r="G82" s="46" t="str">
        <f>if((ISBLANK(F82)),"",SkillFeat)</f>
        <v/>
      </c>
      <c r="H82" s="39"/>
      <c r="I82" s="46" t="str">
        <f>if((ISBLANK(H82)),"",SkillFeat)</f>
        <v/>
      </c>
      <c r="J82" s="39"/>
      <c r="K82" s="46" t="str">
        <f>if((ISBLANK(J82)),"",SkillFeat)</f>
        <v/>
      </c>
      <c r="L82" s="39"/>
      <c r="M82" s="46" t="str">
        <f>if((ISBLANK(L82)),"",SkillFeat)</f>
        <v/>
      </c>
      <c r="N82" s="39"/>
      <c r="O82" s="46" t="str">
        <f>if((ISBLANK(N82)),"",SkillFeat)</f>
        <v/>
      </c>
      <c r="P82" s="94">
        <v>1.0</v>
      </c>
      <c r="Q82" s="95">
        <f>if((ISBLANK(P82)),"",SkillFeat)</f>
        <v>5</v>
      </c>
      <c r="R82" s="94">
        <v>1.0</v>
      </c>
      <c r="S82" s="95">
        <f>if((ISBLANK(R82)),"",SkillFeat)</f>
        <v>5</v>
      </c>
      <c r="T82" s="39"/>
      <c r="U82" s="46" t="str">
        <f>if((ISBLANK(T82)),"",SkillFeat)</f>
        <v/>
      </c>
      <c r="V82" s="94">
        <v>1.0</v>
      </c>
      <c r="W82" s="95">
        <f>if((ISBLANK(V82)),"",SkillFeat)</f>
        <v>5</v>
      </c>
      <c r="X82" s="39"/>
      <c r="Y82" s="46" t="str">
        <f>if((ISBLANK(X82)),"",SkillFeat)</f>
        <v/>
      </c>
      <c r="Z82" s="39"/>
      <c r="AA82" s="46" t="str">
        <f>if((ISBLANK(Z82)),"",SkillFeat)</f>
        <v/>
      </c>
      <c r="AB82" s="39"/>
      <c r="AC82" s="46" t="str">
        <f>if((ISBLANK(AB82)),"",SkillFeat)</f>
        <v/>
      </c>
      <c r="AD82" s="46"/>
      <c r="AE82" s="46" t="str">
        <f>if((ISBLANK(AD82)),"",SkillFeat)</f>
        <v/>
      </c>
      <c r="AF82" s="39"/>
      <c r="AG82" s="46" t="str">
        <f>if((ISBLANK(AF82)),"",SkillFeat)</f>
        <v/>
      </c>
      <c r="AH82" s="39"/>
      <c r="AI82" s="46" t="str">
        <f>if((ISBLANK(AH82)),"",SkillFeat)</f>
        <v/>
      </c>
      <c r="AJ82" s="39"/>
      <c r="AK82" s="46" t="str">
        <f>if((ISBLANK(AJ82)),"",SkillFeat)</f>
        <v/>
      </c>
      <c r="AL82" s="39"/>
      <c r="AM82" s="46" t="str">
        <f>if((ISBLANK(AL82)),"",SkillFeat)</f>
        <v/>
      </c>
      <c r="AN82" s="39"/>
      <c r="AO82" s="46" t="str">
        <f>if((ISBLANK(AN82)),"",SkillFeat)</f>
        <v/>
      </c>
      <c r="AP82" s="39"/>
      <c r="AQ82" s="46" t="str">
        <f>if((ISBLANK(AP82)),"",SkillFeat)</f>
        <v/>
      </c>
      <c r="AR82" s="39"/>
      <c r="AS82" s="46" t="str">
        <f>if((ISBLANK(AR82)),"",SkillFeat)</f>
        <v/>
      </c>
      <c r="AT82" s="39"/>
      <c r="AU82" s="46" t="str">
        <f>if((ISBLANK(AT82)),"",SkillFeat)</f>
        <v/>
      </c>
      <c r="AV82" s="39"/>
      <c r="AW82" s="46" t="str">
        <f>if((ISBLANK(AV82)),"",SkillFeat)</f>
        <v/>
      </c>
      <c r="AX82" s="39"/>
      <c r="AY82" s="46" t="str">
        <f>if((ISBLANK(AX82)),"",SkillFeat)</f>
        <v/>
      </c>
      <c r="AZ82" s="39"/>
      <c r="BA82" s="46" t="str">
        <f>if((ISBLANK(AZ82)),"",SkillFeat)</f>
        <v/>
      </c>
    </row>
    <row r="83" hidden="1" outlineLevel="1">
      <c r="A83" s="189" t="s">
        <v>1399</v>
      </c>
      <c r="B83" s="46" t="s">
        <v>1239</v>
      </c>
      <c r="C83" s="35"/>
      <c r="D83" s="37">
        <v>1.0</v>
      </c>
      <c r="E83" s="46">
        <f>if((ISBLANK(D83)),"",SkillFeat)</f>
        <v>5</v>
      </c>
      <c r="F83" s="46"/>
      <c r="G83" s="46" t="str">
        <f>if((ISBLANK(F83)),"",SkillFeat)</f>
        <v/>
      </c>
      <c r="H83" s="39"/>
      <c r="I83" s="46" t="str">
        <f>if((ISBLANK(H83)),"",SkillFeat)</f>
        <v/>
      </c>
      <c r="J83" s="39"/>
      <c r="K83" s="46" t="str">
        <f>if((ISBLANK(J83)),"",SkillFeat)</f>
        <v/>
      </c>
      <c r="L83" s="39"/>
      <c r="M83" s="46" t="str">
        <f>if((ISBLANK(L83)),"",SkillFeat)</f>
        <v/>
      </c>
      <c r="N83" s="39"/>
      <c r="O83" s="46" t="str">
        <f>if((ISBLANK(N83)),"",SkillFeat)</f>
        <v/>
      </c>
      <c r="P83" s="39"/>
      <c r="Q83" s="46" t="str">
        <f>if((ISBLANK(P83)),"",SkillFeat)</f>
        <v/>
      </c>
      <c r="R83" s="39"/>
      <c r="S83" s="46" t="str">
        <f>if((ISBLANK(R83)),"",SkillFeat)</f>
        <v/>
      </c>
      <c r="T83" s="39"/>
      <c r="U83" s="46" t="str">
        <f>if((ISBLANK(T83)),"",SkillFeat)</f>
        <v/>
      </c>
      <c r="V83" s="39"/>
      <c r="W83" s="46" t="str">
        <f>if((ISBLANK(V83)),"",SkillFeat)</f>
        <v/>
      </c>
      <c r="X83" s="39"/>
      <c r="Y83" s="46" t="str">
        <f>if((ISBLANK(X83)),"",SkillFeat)</f>
        <v/>
      </c>
      <c r="Z83" s="39"/>
      <c r="AA83" s="46" t="str">
        <f>if((ISBLANK(Z83)),"",SkillFeat)</f>
        <v/>
      </c>
      <c r="AB83" s="39"/>
      <c r="AC83" s="46" t="str">
        <f>if((ISBLANK(AB83)),"",SkillFeat)</f>
        <v/>
      </c>
      <c r="AD83" s="46"/>
      <c r="AE83" s="46" t="str">
        <f>if((ISBLANK(AD83)),"",SkillFeat)</f>
        <v/>
      </c>
      <c r="AF83" s="39"/>
      <c r="AG83" s="46" t="str">
        <f>if((ISBLANK(AF83)),"",SkillFeat)</f>
        <v/>
      </c>
      <c r="AH83" s="39"/>
      <c r="AI83" s="46" t="str">
        <f>if((ISBLANK(AH83)),"",SkillFeat)</f>
        <v/>
      </c>
      <c r="AJ83" s="39"/>
      <c r="AK83" s="46" t="str">
        <f>if((ISBLANK(AJ83)),"",SkillFeat)</f>
        <v/>
      </c>
      <c r="AL83" s="39"/>
      <c r="AM83" s="46" t="str">
        <f>if((ISBLANK(AL83)),"",SkillFeat)</f>
        <v/>
      </c>
      <c r="AN83" s="39"/>
      <c r="AO83" s="46" t="str">
        <f>if((ISBLANK(AN83)),"",SkillFeat)</f>
        <v/>
      </c>
      <c r="AP83" s="39"/>
      <c r="AQ83" s="46" t="str">
        <f>if((ISBLANK(AP83)),"",SkillFeat)</f>
        <v/>
      </c>
      <c r="AR83" s="39"/>
      <c r="AS83" s="46" t="str">
        <f>if((ISBLANK(AR83)),"",SkillFeat)</f>
        <v/>
      </c>
      <c r="AT83" s="39"/>
      <c r="AU83" s="46" t="str">
        <f>if((ISBLANK(AT83)),"",SkillFeat)</f>
        <v/>
      </c>
      <c r="AV83" s="39"/>
      <c r="AW83" s="46" t="str">
        <f>if((ISBLANK(AV83)),"",SkillFeat)</f>
        <v/>
      </c>
      <c r="AX83" s="39"/>
      <c r="AY83" s="46" t="str">
        <f>if((ISBLANK(AX83)),"",SkillFeat)</f>
        <v/>
      </c>
      <c r="AZ83" s="39"/>
      <c r="BA83" s="46" t="str">
        <f>if((ISBLANK(AZ83)),"",SkillFeat)</f>
        <v/>
      </c>
    </row>
    <row r="84" hidden="1" outlineLevel="1">
      <c r="A84" s="37" t="s">
        <v>1403</v>
      </c>
      <c r="B84" s="46" t="s">
        <v>70</v>
      </c>
      <c r="C84" s="35"/>
      <c r="D84" s="37">
        <v>1.0</v>
      </c>
      <c r="E84" s="46">
        <f>if((ISBLANK(D84)),"",SkillFeat)</f>
        <v>5</v>
      </c>
      <c r="F84" s="46"/>
      <c r="G84" s="46" t="str">
        <f>if((ISBLANK(F84)),"",SkillFeat)</f>
        <v/>
      </c>
      <c r="H84" s="39"/>
      <c r="I84" s="46" t="str">
        <f>if((ISBLANK(H84)),"",SkillFeat)</f>
        <v/>
      </c>
      <c r="J84" s="39"/>
      <c r="K84" s="46" t="str">
        <f>if((ISBLANK(J84)),"",SkillFeat)</f>
        <v/>
      </c>
      <c r="L84" s="39"/>
      <c r="M84" s="46" t="str">
        <f>if((ISBLANK(L84)),"",SkillFeat)</f>
        <v/>
      </c>
      <c r="N84" s="39"/>
      <c r="O84" s="46" t="str">
        <f>if((ISBLANK(N84)),"",SkillFeat)</f>
        <v/>
      </c>
      <c r="P84" s="94">
        <v>1.0</v>
      </c>
      <c r="Q84" s="95">
        <f>if((ISBLANK(P84)),"",SkillFeat)</f>
        <v>5</v>
      </c>
      <c r="R84" s="94">
        <v>1.0</v>
      </c>
      <c r="S84" s="95">
        <f>if((ISBLANK(R84)),"",SkillFeat)</f>
        <v>5</v>
      </c>
      <c r="T84" s="39"/>
      <c r="U84" s="46" t="str">
        <f>if((ISBLANK(T84)),"",SkillFeat)</f>
        <v/>
      </c>
      <c r="V84" s="39"/>
      <c r="W84" s="46" t="str">
        <f>if((ISBLANK(V84)),"",SkillFeat)</f>
        <v/>
      </c>
      <c r="X84" s="39"/>
      <c r="Y84" s="46" t="str">
        <f>if((ISBLANK(X84)),"",SkillFeat)</f>
        <v/>
      </c>
      <c r="Z84" s="39"/>
      <c r="AA84" s="46" t="str">
        <f>if((ISBLANK(Z84)),"",SkillFeat)</f>
        <v/>
      </c>
      <c r="AB84" s="39"/>
      <c r="AC84" s="46" t="str">
        <f>if((ISBLANK(AB84)),"",SkillFeat)</f>
        <v/>
      </c>
      <c r="AD84" s="46"/>
      <c r="AE84" s="46" t="str">
        <f>if((ISBLANK(AD84)),"",SkillFeat)</f>
        <v/>
      </c>
      <c r="AF84" s="39"/>
      <c r="AG84" s="46" t="str">
        <f>if((ISBLANK(AF84)),"",SkillFeat)</f>
        <v/>
      </c>
      <c r="AH84" s="39"/>
      <c r="AI84" s="46" t="str">
        <f>if((ISBLANK(AH84)),"",SkillFeat)</f>
        <v/>
      </c>
      <c r="AJ84" s="39"/>
      <c r="AK84" s="46" t="str">
        <f>if((ISBLANK(AJ84)),"",SkillFeat)</f>
        <v/>
      </c>
      <c r="AL84" s="39"/>
      <c r="AM84" s="46" t="str">
        <f>if((ISBLANK(AL84)),"",SkillFeat)</f>
        <v/>
      </c>
      <c r="AN84" s="39"/>
      <c r="AO84" s="46" t="str">
        <f>if((ISBLANK(AN84)),"",SkillFeat)</f>
        <v/>
      </c>
      <c r="AP84" s="39"/>
      <c r="AQ84" s="46" t="str">
        <f>if((ISBLANK(AP84)),"",SkillFeat)</f>
        <v/>
      </c>
      <c r="AR84" s="39"/>
      <c r="AS84" s="46" t="str">
        <f>if((ISBLANK(AR84)),"",SkillFeat)</f>
        <v/>
      </c>
      <c r="AT84" s="39"/>
      <c r="AU84" s="46" t="str">
        <f>if((ISBLANK(AT84)),"",SkillFeat)</f>
        <v/>
      </c>
      <c r="AV84" s="39"/>
      <c r="AW84" s="46" t="str">
        <f>if((ISBLANK(AV84)),"",SkillFeat)</f>
        <v/>
      </c>
      <c r="AX84" s="39"/>
      <c r="AY84" s="46" t="str">
        <f>if((ISBLANK(AX84)),"",SkillFeat)</f>
        <v/>
      </c>
      <c r="AZ84" s="39"/>
      <c r="BA84" s="46" t="str">
        <f>if((ISBLANK(AZ84)),"",SkillFeat)</f>
        <v/>
      </c>
    </row>
    <row r="85" hidden="1" outlineLevel="1">
      <c r="A85" s="189" t="s">
        <v>1412</v>
      </c>
      <c r="B85" s="46" t="s">
        <v>1264</v>
      </c>
      <c r="C85" s="35"/>
      <c r="D85" s="37">
        <v>1.0</v>
      </c>
      <c r="E85" s="46">
        <f>if((ISBLANK(D85)),"",SkillFeat)</f>
        <v>5</v>
      </c>
      <c r="F85" s="46"/>
      <c r="G85" s="46" t="str">
        <f>if((ISBLANK(F85)),"",SkillFeat)</f>
        <v/>
      </c>
      <c r="H85" s="39"/>
      <c r="I85" s="46" t="str">
        <f>if((ISBLANK(H85)),"",SkillFeat)</f>
        <v/>
      </c>
      <c r="J85" s="39"/>
      <c r="K85" s="46" t="str">
        <f>if((ISBLANK(J85)),"",SkillFeat)</f>
        <v/>
      </c>
      <c r="L85" s="39"/>
      <c r="M85" s="46" t="str">
        <f>if((ISBLANK(L85)),"",SkillFeat)</f>
        <v/>
      </c>
      <c r="N85" s="39"/>
      <c r="O85" s="46" t="str">
        <f>if((ISBLANK(N85)),"",SkillFeat)</f>
        <v/>
      </c>
      <c r="P85" s="39"/>
      <c r="Q85" s="46" t="str">
        <f>if((ISBLANK(P85)),"",SkillFeat)</f>
        <v/>
      </c>
      <c r="R85" s="39"/>
      <c r="S85" s="46" t="str">
        <f>if((ISBLANK(R85)),"",SkillFeat)</f>
        <v/>
      </c>
      <c r="T85" s="39"/>
      <c r="U85" s="46" t="str">
        <f>if((ISBLANK(T85)),"",SkillFeat)</f>
        <v/>
      </c>
      <c r="V85" s="39"/>
      <c r="W85" s="46" t="str">
        <f>if((ISBLANK(V85)),"",SkillFeat)</f>
        <v/>
      </c>
      <c r="X85" s="39"/>
      <c r="Y85" s="46" t="str">
        <f>if((ISBLANK(X85)),"",SkillFeat)</f>
        <v/>
      </c>
      <c r="Z85" s="39"/>
      <c r="AA85" s="46" t="str">
        <f>if((ISBLANK(Z85)),"",SkillFeat)</f>
        <v/>
      </c>
      <c r="AB85" s="39"/>
      <c r="AC85" s="46" t="str">
        <f>if((ISBLANK(AB85)),"",SkillFeat)</f>
        <v/>
      </c>
      <c r="AD85" s="46"/>
      <c r="AE85" s="46" t="str">
        <f>if((ISBLANK(AD85)),"",SkillFeat)</f>
        <v/>
      </c>
      <c r="AF85" s="39"/>
      <c r="AG85" s="46" t="str">
        <f>if((ISBLANK(AF85)),"",SkillFeat)</f>
        <v/>
      </c>
      <c r="AH85" s="39"/>
      <c r="AI85" s="46" t="str">
        <f>if((ISBLANK(AH85)),"",SkillFeat)</f>
        <v/>
      </c>
      <c r="AJ85" s="39"/>
      <c r="AK85" s="46" t="str">
        <f>if((ISBLANK(AJ85)),"",SkillFeat)</f>
        <v/>
      </c>
      <c r="AL85" s="39"/>
      <c r="AM85" s="46" t="str">
        <f>if((ISBLANK(AL85)),"",SkillFeat)</f>
        <v/>
      </c>
      <c r="AN85" s="39"/>
      <c r="AO85" s="46" t="str">
        <f>if((ISBLANK(AN85)),"",SkillFeat)</f>
        <v/>
      </c>
      <c r="AP85" s="39"/>
      <c r="AQ85" s="46" t="str">
        <f>if((ISBLANK(AP85)),"",SkillFeat)</f>
        <v/>
      </c>
      <c r="AR85" s="39"/>
      <c r="AS85" s="46" t="str">
        <f>if((ISBLANK(AR85)),"",SkillFeat)</f>
        <v/>
      </c>
      <c r="AT85" s="39"/>
      <c r="AU85" s="46" t="str">
        <f>if((ISBLANK(AT85)),"",SkillFeat)</f>
        <v/>
      </c>
      <c r="AV85" s="39"/>
      <c r="AW85" s="46" t="str">
        <f>if((ISBLANK(AV85)),"",SkillFeat)</f>
        <v/>
      </c>
      <c r="AX85" s="39"/>
      <c r="AY85" s="46" t="str">
        <f>if((ISBLANK(AX85)),"",SkillFeat)</f>
        <v/>
      </c>
      <c r="AZ85" s="39"/>
      <c r="BA85" s="46" t="str">
        <f>if((ISBLANK(AZ85)),"",SkillFeat)</f>
        <v/>
      </c>
    </row>
    <row r="86" hidden="1" outlineLevel="1">
      <c r="A86" s="37" t="s">
        <v>1417</v>
      </c>
      <c r="B86" s="46" t="s">
        <v>40</v>
      </c>
      <c r="C86" s="35"/>
      <c r="D86" s="37">
        <v>1.0</v>
      </c>
      <c r="E86" s="46">
        <f>if((ISBLANK(D86)),"",SkillFeat)</f>
        <v>5</v>
      </c>
      <c r="F86" s="46"/>
      <c r="G86" s="46" t="str">
        <f>if((ISBLANK(F86)),"",SkillFeat)</f>
        <v/>
      </c>
      <c r="H86" s="39"/>
      <c r="I86" s="46" t="str">
        <f>if((ISBLANK(H86)),"",SkillFeat)</f>
        <v/>
      </c>
      <c r="J86" s="39"/>
      <c r="K86" s="46" t="str">
        <f>if((ISBLANK(J86)),"",SkillFeat)</f>
        <v/>
      </c>
      <c r="L86" s="39"/>
      <c r="M86" s="46" t="str">
        <f>if((ISBLANK(L86)),"",SkillFeat)</f>
        <v/>
      </c>
      <c r="N86" s="39"/>
      <c r="O86" s="46" t="str">
        <f>if((ISBLANK(N86)),"",SkillFeat)</f>
        <v/>
      </c>
      <c r="P86" s="94">
        <v>1.0</v>
      </c>
      <c r="Q86" s="95">
        <f>if((ISBLANK(P86)),"",SkillFeat)</f>
        <v>5</v>
      </c>
      <c r="R86" s="94">
        <v>1.0</v>
      </c>
      <c r="S86" s="95">
        <f>if((ISBLANK(R86)),"",SkillFeat)</f>
        <v>5</v>
      </c>
      <c r="T86" s="39"/>
      <c r="U86" s="46" t="str">
        <f>if((ISBLANK(T86)),"",SkillFeat)</f>
        <v/>
      </c>
      <c r="V86" s="94">
        <v>1.0</v>
      </c>
      <c r="W86" s="95">
        <f>if((ISBLANK(V86)),"",SkillFeat)</f>
        <v>5</v>
      </c>
      <c r="X86" s="39"/>
      <c r="Y86" s="46" t="str">
        <f>if((ISBLANK(X86)),"",SkillFeat)</f>
        <v/>
      </c>
      <c r="Z86" s="39"/>
      <c r="AA86" s="46" t="str">
        <f>if((ISBLANK(Z86)),"",SkillFeat)</f>
        <v/>
      </c>
      <c r="AB86" s="39"/>
      <c r="AC86" s="46" t="str">
        <f>if((ISBLANK(AB86)),"",SkillFeat)</f>
        <v/>
      </c>
      <c r="AD86" s="46"/>
      <c r="AE86" s="46" t="str">
        <f>if((ISBLANK(AD86)),"",SkillFeat)</f>
        <v/>
      </c>
      <c r="AF86" s="39"/>
      <c r="AG86" s="46" t="str">
        <f>if((ISBLANK(AF86)),"",SkillFeat)</f>
        <v/>
      </c>
      <c r="AH86" s="39"/>
      <c r="AI86" s="46" t="str">
        <f>if((ISBLANK(AH86)),"",SkillFeat)</f>
        <v/>
      </c>
      <c r="AJ86" s="39"/>
      <c r="AK86" s="46" t="str">
        <f>if((ISBLANK(AJ86)),"",SkillFeat)</f>
        <v/>
      </c>
      <c r="AL86" s="39"/>
      <c r="AM86" s="46" t="str">
        <f>if((ISBLANK(AL86)),"",SkillFeat)</f>
        <v/>
      </c>
      <c r="AN86" s="39"/>
      <c r="AO86" s="46" t="str">
        <f>if((ISBLANK(AN86)),"",SkillFeat)</f>
        <v/>
      </c>
      <c r="AP86" s="39"/>
      <c r="AQ86" s="46" t="str">
        <f>if((ISBLANK(AP86)),"",SkillFeat)</f>
        <v/>
      </c>
      <c r="AR86" s="39"/>
      <c r="AS86" s="46" t="str">
        <f>if((ISBLANK(AR86)),"",SkillFeat)</f>
        <v/>
      </c>
      <c r="AT86" s="39"/>
      <c r="AU86" s="46" t="str">
        <f>if((ISBLANK(AT86)),"",SkillFeat)</f>
        <v/>
      </c>
      <c r="AV86" s="39"/>
      <c r="AW86" s="46" t="str">
        <f>if((ISBLANK(AV86)),"",SkillFeat)</f>
        <v/>
      </c>
      <c r="AX86" s="39"/>
      <c r="AY86" s="46" t="str">
        <f>if((ISBLANK(AX86)),"",SkillFeat)</f>
        <v/>
      </c>
      <c r="AZ86" s="39"/>
      <c r="BA86" s="46" t="str">
        <f>if((ISBLANK(AZ86)),"",SkillFeat)</f>
        <v/>
      </c>
    </row>
    <row r="87" hidden="1" outlineLevel="1">
      <c r="A87" s="189" t="s">
        <v>1422</v>
      </c>
      <c r="B87" s="46" t="s">
        <v>1290</v>
      </c>
      <c r="C87" s="35"/>
      <c r="D87" s="37">
        <v>1.0</v>
      </c>
      <c r="E87" s="46">
        <f>if((ISBLANK(D87)),"",SkillFeat)</f>
        <v>5</v>
      </c>
      <c r="F87" s="46"/>
      <c r="G87" s="46" t="str">
        <f>if((ISBLANK(F87)),"",SkillFeat)</f>
        <v/>
      </c>
      <c r="H87" s="39"/>
      <c r="I87" s="46" t="str">
        <f>if((ISBLANK(H87)),"",SkillFeat)</f>
        <v/>
      </c>
      <c r="J87" s="39"/>
      <c r="K87" s="46" t="str">
        <f>if((ISBLANK(J87)),"",SkillFeat)</f>
        <v/>
      </c>
      <c r="L87" s="39"/>
      <c r="M87" s="46" t="str">
        <f>if((ISBLANK(L87)),"",SkillFeat)</f>
        <v/>
      </c>
      <c r="N87" s="39"/>
      <c r="O87" s="46" t="str">
        <f>if((ISBLANK(N87)),"",SkillFeat)</f>
        <v/>
      </c>
      <c r="P87" s="39"/>
      <c r="Q87" s="46" t="str">
        <f>if((ISBLANK(P87)),"",SkillFeat)</f>
        <v/>
      </c>
      <c r="R87" s="39"/>
      <c r="S87" s="46" t="str">
        <f>if((ISBLANK(R87)),"",SkillFeat)</f>
        <v/>
      </c>
      <c r="T87" s="39"/>
      <c r="U87" s="46" t="str">
        <f>if((ISBLANK(T87)),"",SkillFeat)</f>
        <v/>
      </c>
      <c r="V87" s="39"/>
      <c r="W87" s="46" t="str">
        <f>if((ISBLANK(V87)),"",SkillFeat)</f>
        <v/>
      </c>
      <c r="X87" s="39"/>
      <c r="Y87" s="46" t="str">
        <f>if((ISBLANK(X87)),"",SkillFeat)</f>
        <v/>
      </c>
      <c r="Z87" s="39"/>
      <c r="AA87" s="46" t="str">
        <f>if((ISBLANK(Z87)),"",SkillFeat)</f>
        <v/>
      </c>
      <c r="AB87" s="39"/>
      <c r="AC87" s="46" t="str">
        <f>if((ISBLANK(AB87)),"",SkillFeat)</f>
        <v/>
      </c>
      <c r="AD87" s="46"/>
      <c r="AE87" s="46" t="str">
        <f>if((ISBLANK(AD87)),"",SkillFeat)</f>
        <v/>
      </c>
      <c r="AF87" s="39"/>
      <c r="AG87" s="46" t="str">
        <f>if((ISBLANK(AF87)),"",SkillFeat)</f>
        <v/>
      </c>
      <c r="AH87" s="39"/>
      <c r="AI87" s="46" t="str">
        <f>if((ISBLANK(AH87)),"",SkillFeat)</f>
        <v/>
      </c>
      <c r="AJ87" s="39"/>
      <c r="AK87" s="46" t="str">
        <f>if((ISBLANK(AJ87)),"",SkillFeat)</f>
        <v/>
      </c>
      <c r="AL87" s="39"/>
      <c r="AM87" s="46" t="str">
        <f>if((ISBLANK(AL87)),"",SkillFeat)</f>
        <v/>
      </c>
      <c r="AN87" s="39"/>
      <c r="AO87" s="46" t="str">
        <f>if((ISBLANK(AN87)),"",SkillFeat)</f>
        <v/>
      </c>
      <c r="AP87" s="39"/>
      <c r="AQ87" s="46" t="str">
        <f>if((ISBLANK(AP87)),"",SkillFeat)</f>
        <v/>
      </c>
      <c r="AR87" s="39"/>
      <c r="AS87" s="46" t="str">
        <f>if((ISBLANK(AR87)),"",SkillFeat)</f>
        <v/>
      </c>
      <c r="AT87" s="39"/>
      <c r="AU87" s="46" t="str">
        <f>if((ISBLANK(AT87)),"",SkillFeat)</f>
        <v/>
      </c>
      <c r="AV87" s="39"/>
      <c r="AW87" s="46" t="str">
        <f>if((ISBLANK(AV87)),"",SkillFeat)</f>
        <v/>
      </c>
      <c r="AX87" s="39"/>
      <c r="AY87" s="46" t="str">
        <f>if((ISBLANK(AX87)),"",SkillFeat)</f>
        <v/>
      </c>
      <c r="AZ87" s="39"/>
      <c r="BA87" s="46" t="str">
        <f>if((ISBLANK(AZ87)),"",SkillFeat)</f>
        <v/>
      </c>
    </row>
    <row r="88" hidden="1" outlineLevel="1">
      <c r="A88" s="37" t="s">
        <v>1428</v>
      </c>
      <c r="B88" s="46" t="s">
        <v>38</v>
      </c>
      <c r="C88" s="35"/>
      <c r="D88" s="37">
        <v>1.0</v>
      </c>
      <c r="E88" s="46">
        <f>if((ISBLANK(D88)),"",SkillFeat)</f>
        <v>5</v>
      </c>
      <c r="F88" s="46"/>
      <c r="G88" s="46" t="str">
        <f>if((ISBLANK(F88)),"",SkillFeat)</f>
        <v/>
      </c>
      <c r="H88" s="39"/>
      <c r="I88" s="46" t="str">
        <f>if((ISBLANK(H88)),"",SkillFeat)</f>
        <v/>
      </c>
      <c r="J88" s="39"/>
      <c r="K88" s="46" t="str">
        <f>if((ISBLANK(J88)),"",SkillFeat)</f>
        <v/>
      </c>
      <c r="L88" s="39"/>
      <c r="M88" s="46" t="str">
        <f>if((ISBLANK(L88)),"",SkillFeat)</f>
        <v/>
      </c>
      <c r="N88" s="39"/>
      <c r="O88" s="46" t="str">
        <f>if((ISBLANK(N88)),"",SkillFeat)</f>
        <v/>
      </c>
      <c r="P88" s="94">
        <v>1.0</v>
      </c>
      <c r="Q88" s="95">
        <f>if((ISBLANK(P88)),"",SkillFeat)</f>
        <v>5</v>
      </c>
      <c r="R88" s="94">
        <v>1.0</v>
      </c>
      <c r="S88" s="95">
        <f>if((ISBLANK(R88)),"",SkillFeat)</f>
        <v>5</v>
      </c>
      <c r="T88" s="39"/>
      <c r="U88" s="46" t="str">
        <f>if((ISBLANK(T88)),"",SkillFeat)</f>
        <v/>
      </c>
      <c r="V88" s="39"/>
      <c r="W88" s="46" t="str">
        <f>if((ISBLANK(V88)),"",SkillFeat)</f>
        <v/>
      </c>
      <c r="X88" s="39"/>
      <c r="Y88" s="46" t="str">
        <f>if((ISBLANK(X88)),"",SkillFeat)</f>
        <v/>
      </c>
      <c r="Z88" s="39"/>
      <c r="AA88" s="46" t="str">
        <f>if((ISBLANK(Z88)),"",SkillFeat)</f>
        <v/>
      </c>
      <c r="AB88" s="39"/>
      <c r="AC88" s="46" t="str">
        <f>if((ISBLANK(AB88)),"",SkillFeat)</f>
        <v/>
      </c>
      <c r="AD88" s="46"/>
      <c r="AE88" s="46" t="str">
        <f>if((ISBLANK(AD88)),"",SkillFeat)</f>
        <v/>
      </c>
      <c r="AF88" s="39"/>
      <c r="AG88" s="46" t="str">
        <f>if((ISBLANK(AF88)),"",SkillFeat)</f>
        <v/>
      </c>
      <c r="AH88" s="39"/>
      <c r="AI88" s="46" t="str">
        <f>if((ISBLANK(AH88)),"",SkillFeat)</f>
        <v/>
      </c>
      <c r="AJ88" s="39"/>
      <c r="AK88" s="46" t="str">
        <f>if((ISBLANK(AJ88)),"",SkillFeat)</f>
        <v/>
      </c>
      <c r="AL88" s="39"/>
      <c r="AM88" s="46" t="str">
        <f>if((ISBLANK(AL88)),"",SkillFeat)</f>
        <v/>
      </c>
      <c r="AN88" s="39"/>
      <c r="AO88" s="46" t="str">
        <f>if((ISBLANK(AN88)),"",SkillFeat)</f>
        <v/>
      </c>
      <c r="AP88" s="39"/>
      <c r="AQ88" s="46" t="str">
        <f>if((ISBLANK(AP88)),"",SkillFeat)</f>
        <v/>
      </c>
      <c r="AR88" s="39"/>
      <c r="AS88" s="46" t="str">
        <f>if((ISBLANK(AR88)),"",SkillFeat)</f>
        <v/>
      </c>
      <c r="AT88" s="39"/>
      <c r="AU88" s="46" t="str">
        <f>if((ISBLANK(AT88)),"",SkillFeat)</f>
        <v/>
      </c>
      <c r="AV88" s="39"/>
      <c r="AW88" s="46" t="str">
        <f>if((ISBLANK(AV88)),"",SkillFeat)</f>
        <v/>
      </c>
      <c r="AX88" s="39"/>
      <c r="AY88" s="46" t="str">
        <f>if((ISBLANK(AX88)),"",SkillFeat)</f>
        <v/>
      </c>
      <c r="AZ88" s="39"/>
      <c r="BA88" s="46" t="str">
        <f>if((ISBLANK(AZ88)),"",SkillFeat)</f>
        <v/>
      </c>
    </row>
    <row r="89" hidden="1" outlineLevel="1">
      <c r="A89" s="189" t="s">
        <v>1433</v>
      </c>
      <c r="B89" s="46" t="s">
        <v>1315</v>
      </c>
      <c r="C89" s="35"/>
      <c r="D89" s="37">
        <v>1.0</v>
      </c>
      <c r="E89" s="46">
        <f>if((ISBLANK(D89)),"",SkillFeat)</f>
        <v>5</v>
      </c>
      <c r="F89" s="46"/>
      <c r="G89" s="46" t="str">
        <f>if((ISBLANK(F89)),"",SkillFeat)</f>
        <v/>
      </c>
      <c r="H89" s="39"/>
      <c r="I89" s="46" t="str">
        <f>if((ISBLANK(H89)),"",SkillFeat)</f>
        <v/>
      </c>
      <c r="J89" s="39"/>
      <c r="K89" s="46" t="str">
        <f>if((ISBLANK(J89)),"",SkillFeat)</f>
        <v/>
      </c>
      <c r="L89" s="39"/>
      <c r="M89" s="46" t="str">
        <f>if((ISBLANK(L89)),"",SkillFeat)</f>
        <v/>
      </c>
      <c r="N89" s="39"/>
      <c r="O89" s="46" t="str">
        <f>if((ISBLANK(N89)),"",SkillFeat)</f>
        <v/>
      </c>
      <c r="P89" s="39"/>
      <c r="Q89" s="46" t="str">
        <f>if((ISBLANK(P89)),"",SkillFeat)</f>
        <v/>
      </c>
      <c r="R89" s="39"/>
      <c r="S89" s="46" t="str">
        <f>if((ISBLANK(R89)),"",SkillFeat)</f>
        <v/>
      </c>
      <c r="T89" s="39"/>
      <c r="U89" s="46" t="str">
        <f>if((ISBLANK(T89)),"",SkillFeat)</f>
        <v/>
      </c>
      <c r="V89" s="39"/>
      <c r="W89" s="46" t="str">
        <f>if((ISBLANK(V89)),"",SkillFeat)</f>
        <v/>
      </c>
      <c r="X89" s="39"/>
      <c r="Y89" s="46" t="str">
        <f>if((ISBLANK(X89)),"",SkillFeat)</f>
        <v/>
      </c>
      <c r="Z89" s="39"/>
      <c r="AA89" s="46" t="str">
        <f>if((ISBLANK(Z89)),"",SkillFeat)</f>
        <v/>
      </c>
      <c r="AB89" s="39"/>
      <c r="AC89" s="46" t="str">
        <f>if((ISBLANK(AB89)),"",SkillFeat)</f>
        <v/>
      </c>
      <c r="AD89" s="46"/>
      <c r="AE89" s="46" t="str">
        <f>if((ISBLANK(AD89)),"",SkillFeat)</f>
        <v/>
      </c>
      <c r="AF89" s="39"/>
      <c r="AG89" s="46" t="str">
        <f>if((ISBLANK(AF89)),"",SkillFeat)</f>
        <v/>
      </c>
      <c r="AH89" s="39"/>
      <c r="AI89" s="46" t="str">
        <f>if((ISBLANK(AH89)),"",SkillFeat)</f>
        <v/>
      </c>
      <c r="AJ89" s="39"/>
      <c r="AK89" s="46" t="str">
        <f>if((ISBLANK(AJ89)),"",SkillFeat)</f>
        <v/>
      </c>
      <c r="AL89" s="39"/>
      <c r="AM89" s="46" t="str">
        <f>if((ISBLANK(AL89)),"",SkillFeat)</f>
        <v/>
      </c>
      <c r="AN89" s="39"/>
      <c r="AO89" s="46" t="str">
        <f>if((ISBLANK(AN89)),"",SkillFeat)</f>
        <v/>
      </c>
      <c r="AP89" s="39"/>
      <c r="AQ89" s="46" t="str">
        <f>if((ISBLANK(AP89)),"",SkillFeat)</f>
        <v/>
      </c>
      <c r="AR89" s="39"/>
      <c r="AS89" s="46" t="str">
        <f>if((ISBLANK(AR89)),"",SkillFeat)</f>
        <v/>
      </c>
      <c r="AT89" s="39"/>
      <c r="AU89" s="46" t="str">
        <f>if((ISBLANK(AT89)),"",SkillFeat)</f>
        <v/>
      </c>
      <c r="AV89" s="39"/>
      <c r="AW89" s="46" t="str">
        <f>if((ISBLANK(AV89)),"",SkillFeat)</f>
        <v/>
      </c>
      <c r="AX89" s="39"/>
      <c r="AY89" s="46" t="str">
        <f>if((ISBLANK(AX89)),"",SkillFeat)</f>
        <v/>
      </c>
      <c r="AZ89" s="39"/>
      <c r="BA89" s="46" t="str">
        <f>if((ISBLANK(AZ89)),"",SkillFeat)</f>
        <v/>
      </c>
    </row>
    <row r="90" hidden="1" outlineLevel="1">
      <c r="A90" s="37" t="s">
        <v>1437</v>
      </c>
      <c r="B90" s="46" t="s">
        <v>27</v>
      </c>
      <c r="C90" s="35"/>
      <c r="D90" s="37">
        <v>1.0</v>
      </c>
      <c r="E90" s="46">
        <f>if((ISBLANK(D90)),"",SkillFeat)</f>
        <v>5</v>
      </c>
      <c r="F90" s="46"/>
      <c r="G90" s="46" t="str">
        <f>if((ISBLANK(F90)),"",SkillFeat)</f>
        <v/>
      </c>
      <c r="H90" s="39"/>
      <c r="I90" s="46" t="str">
        <f>if((ISBLANK(H90)),"",SkillFeat)</f>
        <v/>
      </c>
      <c r="J90" s="39"/>
      <c r="K90" s="46" t="str">
        <f>if((ISBLANK(J90)),"",SkillFeat)</f>
        <v/>
      </c>
      <c r="L90" s="39"/>
      <c r="M90" s="46" t="str">
        <f>if((ISBLANK(L90)),"",SkillFeat)</f>
        <v/>
      </c>
      <c r="N90" s="39"/>
      <c r="O90" s="46" t="str">
        <f>if((ISBLANK(N90)),"",SkillFeat)</f>
        <v/>
      </c>
      <c r="P90" s="94">
        <v>1.0</v>
      </c>
      <c r="Q90" s="95">
        <f>if((ISBLANK(P90)),"",SkillFeat)</f>
        <v>5</v>
      </c>
      <c r="R90" s="94">
        <v>1.0</v>
      </c>
      <c r="S90" s="95">
        <f>if((ISBLANK(R90)),"",SkillFeat)</f>
        <v>5</v>
      </c>
      <c r="T90" s="39"/>
      <c r="U90" s="46" t="str">
        <f>if((ISBLANK(T90)),"",SkillFeat)</f>
        <v/>
      </c>
      <c r="V90" s="39"/>
      <c r="W90" s="46" t="str">
        <f>if((ISBLANK(V90)),"",SkillFeat)</f>
        <v/>
      </c>
      <c r="X90" s="39"/>
      <c r="Y90" s="46" t="str">
        <f>if((ISBLANK(X90)),"",SkillFeat)</f>
        <v/>
      </c>
      <c r="Z90" s="39"/>
      <c r="AA90" s="46" t="str">
        <f>if((ISBLANK(Z90)),"",SkillFeat)</f>
        <v/>
      </c>
      <c r="AB90" s="39"/>
      <c r="AC90" s="46" t="str">
        <f>if((ISBLANK(AB90)),"",SkillFeat)</f>
        <v/>
      </c>
      <c r="AD90" s="46"/>
      <c r="AE90" s="46" t="str">
        <f>if((ISBLANK(AD90)),"",SkillFeat)</f>
        <v/>
      </c>
      <c r="AF90" s="39"/>
      <c r="AG90" s="46" t="str">
        <f>if((ISBLANK(AF90)),"",SkillFeat)</f>
        <v/>
      </c>
      <c r="AH90" s="39"/>
      <c r="AI90" s="46" t="str">
        <f>if((ISBLANK(AH90)),"",SkillFeat)</f>
        <v/>
      </c>
      <c r="AJ90" s="39"/>
      <c r="AK90" s="46" t="str">
        <f>if((ISBLANK(AJ90)),"",SkillFeat)</f>
        <v/>
      </c>
      <c r="AL90" s="39"/>
      <c r="AM90" s="46" t="str">
        <f>if((ISBLANK(AL90)),"",SkillFeat)</f>
        <v/>
      </c>
      <c r="AN90" s="39"/>
      <c r="AO90" s="46" t="str">
        <f>if((ISBLANK(AN90)),"",SkillFeat)</f>
        <v/>
      </c>
      <c r="AP90" s="39"/>
      <c r="AQ90" s="46" t="str">
        <f>if((ISBLANK(AP90)),"",SkillFeat)</f>
        <v/>
      </c>
      <c r="AR90" s="39"/>
      <c r="AS90" s="46" t="str">
        <f>if((ISBLANK(AR90)),"",SkillFeat)</f>
        <v/>
      </c>
      <c r="AT90" s="39"/>
      <c r="AU90" s="46" t="str">
        <f>if((ISBLANK(AT90)),"",SkillFeat)</f>
        <v/>
      </c>
      <c r="AV90" s="39"/>
      <c r="AW90" s="46" t="str">
        <f>if((ISBLANK(AV90)),"",SkillFeat)</f>
        <v/>
      </c>
      <c r="AX90" s="39"/>
      <c r="AY90" s="46" t="str">
        <f>if((ISBLANK(AX90)),"",SkillFeat)</f>
        <v/>
      </c>
      <c r="AZ90" s="39"/>
      <c r="BA90" s="46" t="str">
        <f>if((ISBLANK(AZ90)),"",SkillFeat)</f>
        <v/>
      </c>
    </row>
    <row r="91" hidden="1" outlineLevel="1">
      <c r="A91" s="37" t="s">
        <v>1441</v>
      </c>
      <c r="B91" s="46" t="s">
        <v>1345</v>
      </c>
      <c r="C91" s="35"/>
      <c r="D91" s="37">
        <v>1.0</v>
      </c>
      <c r="E91" s="46">
        <f>if((ISBLANK(D91)),"",SkillFeat)</f>
        <v>5</v>
      </c>
      <c r="F91" s="46"/>
      <c r="G91" s="46" t="str">
        <f>if((ISBLANK(F91)),"",SkillFeat)</f>
        <v/>
      </c>
      <c r="H91" s="39"/>
      <c r="I91" s="46" t="str">
        <f>if((ISBLANK(H91)),"",SkillFeat)</f>
        <v/>
      </c>
      <c r="J91" s="39"/>
      <c r="K91" s="46" t="str">
        <f>if((ISBLANK(J91)),"",SkillFeat)</f>
        <v/>
      </c>
      <c r="L91" s="39"/>
      <c r="M91" s="46" t="str">
        <f>if((ISBLANK(L91)),"",SkillFeat)</f>
        <v/>
      </c>
      <c r="N91" s="39"/>
      <c r="O91" s="46" t="str">
        <f>if((ISBLANK(N91)),"",SkillFeat)</f>
        <v/>
      </c>
      <c r="P91" s="39"/>
      <c r="Q91" s="46" t="str">
        <f>if((ISBLANK(P91)),"",SkillFeat)</f>
        <v/>
      </c>
      <c r="R91" s="39"/>
      <c r="S91" s="46" t="str">
        <f>if((ISBLANK(R91)),"",SkillFeat)</f>
        <v/>
      </c>
      <c r="T91" s="39"/>
      <c r="U91" s="46" t="str">
        <f>if((ISBLANK(T91)),"",SkillFeat)</f>
        <v/>
      </c>
      <c r="V91" s="39"/>
      <c r="W91" s="46" t="str">
        <f>if((ISBLANK(V91)),"",SkillFeat)</f>
        <v/>
      </c>
      <c r="X91" s="39"/>
      <c r="Y91" s="46" t="str">
        <f>if((ISBLANK(X91)),"",SkillFeat)</f>
        <v/>
      </c>
      <c r="Z91" s="39"/>
      <c r="AA91" s="46" t="str">
        <f>if((ISBLANK(Z91)),"",SkillFeat)</f>
        <v/>
      </c>
      <c r="AB91" s="39"/>
      <c r="AC91" s="46" t="str">
        <f>if((ISBLANK(AB91)),"",SkillFeat)</f>
        <v/>
      </c>
      <c r="AD91" s="46"/>
      <c r="AE91" s="46" t="str">
        <f>if((ISBLANK(AD91)),"",SkillFeat)</f>
        <v/>
      </c>
      <c r="AF91" s="39"/>
      <c r="AG91" s="46" t="str">
        <f>if((ISBLANK(AF91)),"",SkillFeat)</f>
        <v/>
      </c>
      <c r="AH91" s="39"/>
      <c r="AI91" s="46" t="str">
        <f>if((ISBLANK(AH91)),"",SkillFeat)</f>
        <v/>
      </c>
      <c r="AJ91" s="39"/>
      <c r="AK91" s="46" t="str">
        <f>if((ISBLANK(AJ91)),"",SkillFeat)</f>
        <v/>
      </c>
      <c r="AL91" s="39"/>
      <c r="AM91" s="46" t="str">
        <f>if((ISBLANK(AL91)),"",SkillFeat)</f>
        <v/>
      </c>
      <c r="AN91" s="39"/>
      <c r="AO91" s="46" t="str">
        <f>if((ISBLANK(AN91)),"",SkillFeat)</f>
        <v/>
      </c>
      <c r="AP91" s="39"/>
      <c r="AQ91" s="46" t="str">
        <f>if((ISBLANK(AP91)),"",SkillFeat)</f>
        <v/>
      </c>
      <c r="AR91" s="39"/>
      <c r="AS91" s="46" t="str">
        <f>if((ISBLANK(AR91)),"",SkillFeat)</f>
        <v/>
      </c>
      <c r="AT91" s="39"/>
      <c r="AU91" s="46" t="str">
        <f>if((ISBLANK(AT91)),"",SkillFeat)</f>
        <v/>
      </c>
      <c r="AV91" s="39"/>
      <c r="AW91" s="46" t="str">
        <f>if((ISBLANK(AV91)),"",SkillFeat)</f>
        <v/>
      </c>
      <c r="AX91" s="39"/>
      <c r="AY91" s="46" t="str">
        <f>if((ISBLANK(AX91)),"",SkillFeat)</f>
        <v/>
      </c>
      <c r="AZ91" s="39"/>
      <c r="BA91" s="46" t="str">
        <f>if((ISBLANK(AZ91)),"",SkillFeat)</f>
        <v/>
      </c>
    </row>
    <row r="92" hidden="1" outlineLevel="1">
      <c r="A92" s="37" t="s">
        <v>1445</v>
      </c>
      <c r="B92" s="46" t="s">
        <v>37</v>
      </c>
      <c r="C92" s="35"/>
      <c r="D92" s="37">
        <v>1.0</v>
      </c>
      <c r="E92" s="46">
        <f>if((ISBLANK(D92)),"",SkillFeat)</f>
        <v>5</v>
      </c>
      <c r="F92" s="46"/>
      <c r="G92" s="46" t="str">
        <f>if((ISBLANK(F92)),"",SkillFeat)</f>
        <v/>
      </c>
      <c r="H92" s="39"/>
      <c r="I92" s="46" t="str">
        <f>if((ISBLANK(H92)),"",SkillFeat)</f>
        <v/>
      </c>
      <c r="J92" s="39"/>
      <c r="K92" s="46" t="str">
        <f>if((ISBLANK(J92)),"",SkillFeat)</f>
        <v/>
      </c>
      <c r="L92" s="39"/>
      <c r="M92" s="46" t="str">
        <f>if((ISBLANK(L92)),"",SkillFeat)</f>
        <v/>
      </c>
      <c r="N92" s="39"/>
      <c r="O92" s="46" t="str">
        <f>if((ISBLANK(N92)),"",SkillFeat)</f>
        <v/>
      </c>
      <c r="P92" s="94">
        <v>1.0</v>
      </c>
      <c r="Q92" s="95">
        <f>if((ISBLANK(P92)),"",SkillFeat)</f>
        <v>5</v>
      </c>
      <c r="R92" s="94">
        <v>1.0</v>
      </c>
      <c r="S92" s="95">
        <f>if((ISBLANK(R92)),"",SkillFeat)</f>
        <v>5</v>
      </c>
      <c r="T92" s="39"/>
      <c r="U92" s="46" t="str">
        <f>if((ISBLANK(T92)),"",SkillFeat)</f>
        <v/>
      </c>
      <c r="V92" s="39"/>
      <c r="W92" s="46" t="str">
        <f>if((ISBLANK(V92)),"",SkillFeat)</f>
        <v/>
      </c>
      <c r="X92" s="39"/>
      <c r="Y92" s="46" t="str">
        <f>if((ISBLANK(X92)),"",SkillFeat)</f>
        <v/>
      </c>
      <c r="Z92" s="39"/>
      <c r="AA92" s="46" t="str">
        <f>if((ISBLANK(Z92)),"",SkillFeat)</f>
        <v/>
      </c>
      <c r="AB92" s="39"/>
      <c r="AC92" s="46" t="str">
        <f>if((ISBLANK(AB92)),"",SkillFeat)</f>
        <v/>
      </c>
      <c r="AD92" s="46"/>
      <c r="AE92" s="46" t="str">
        <f>if((ISBLANK(AD92)),"",SkillFeat)</f>
        <v/>
      </c>
      <c r="AF92" s="39"/>
      <c r="AG92" s="46" t="str">
        <f>if((ISBLANK(AF92)),"",SkillFeat)</f>
        <v/>
      </c>
      <c r="AH92" s="39"/>
      <c r="AI92" s="46" t="str">
        <f>if((ISBLANK(AH92)),"",SkillFeat)</f>
        <v/>
      </c>
      <c r="AJ92" s="39"/>
      <c r="AK92" s="46" t="str">
        <f>if((ISBLANK(AJ92)),"",SkillFeat)</f>
        <v/>
      </c>
      <c r="AL92" s="39"/>
      <c r="AM92" s="46" t="str">
        <f>if((ISBLANK(AL92)),"",SkillFeat)</f>
        <v/>
      </c>
      <c r="AN92" s="39"/>
      <c r="AO92" s="46" t="str">
        <f>if((ISBLANK(AN92)),"",SkillFeat)</f>
        <v/>
      </c>
      <c r="AP92" s="39"/>
      <c r="AQ92" s="46" t="str">
        <f>if((ISBLANK(AP92)),"",SkillFeat)</f>
        <v/>
      </c>
      <c r="AR92" s="39"/>
      <c r="AS92" s="46" t="str">
        <f>if((ISBLANK(AR92)),"",SkillFeat)</f>
        <v/>
      </c>
      <c r="AT92" s="39"/>
      <c r="AU92" s="46" t="str">
        <f>if((ISBLANK(AT92)),"",SkillFeat)</f>
        <v/>
      </c>
      <c r="AV92" s="39"/>
      <c r="AW92" s="46" t="str">
        <f>if((ISBLANK(AV92)),"",SkillFeat)</f>
        <v/>
      </c>
      <c r="AX92" s="39"/>
      <c r="AY92" s="46" t="str">
        <f>if((ISBLANK(AX92)),"",SkillFeat)</f>
        <v/>
      </c>
      <c r="AZ92" s="39"/>
      <c r="BA92" s="46" t="str">
        <f>if((ISBLANK(AZ92)),"",SkillFeat)</f>
        <v/>
      </c>
    </row>
    <row r="93" hidden="1" outlineLevel="1">
      <c r="A93" s="37" t="s">
        <v>1448</v>
      </c>
      <c r="B93" s="46" t="s">
        <v>1354</v>
      </c>
      <c r="C93" s="35"/>
      <c r="D93" s="37">
        <v>1.0</v>
      </c>
      <c r="E93" s="46">
        <f>if((ISBLANK(D93)),"",SkillFeat)</f>
        <v>5</v>
      </c>
      <c r="F93" s="46"/>
      <c r="G93" s="46" t="str">
        <f>if((ISBLANK(F93)),"",SkillFeat)</f>
        <v/>
      </c>
      <c r="H93" s="39"/>
      <c r="I93" s="46" t="str">
        <f>if((ISBLANK(H93)),"",SkillFeat)</f>
        <v/>
      </c>
      <c r="J93" s="39"/>
      <c r="K93" s="46" t="str">
        <f>if((ISBLANK(J93)),"",SkillFeat)</f>
        <v/>
      </c>
      <c r="L93" s="39"/>
      <c r="M93" s="46" t="str">
        <f>if((ISBLANK(L93)),"",SkillFeat)</f>
        <v/>
      </c>
      <c r="N93" s="39"/>
      <c r="O93" s="46" t="str">
        <f>if((ISBLANK(N93)),"",SkillFeat)</f>
        <v/>
      </c>
      <c r="P93" s="39"/>
      <c r="Q93" s="46" t="str">
        <f>if((ISBLANK(P93)),"",SkillFeat)</f>
        <v/>
      </c>
      <c r="R93" s="39"/>
      <c r="S93" s="46" t="str">
        <f>if((ISBLANK(R93)),"",SkillFeat)</f>
        <v/>
      </c>
      <c r="T93" s="39"/>
      <c r="U93" s="46" t="str">
        <f>if((ISBLANK(T93)),"",SkillFeat)</f>
        <v/>
      </c>
      <c r="V93" s="39"/>
      <c r="W93" s="46" t="str">
        <f>if((ISBLANK(V93)),"",SkillFeat)</f>
        <v/>
      </c>
      <c r="X93" s="39"/>
      <c r="Y93" s="46" t="str">
        <f>if((ISBLANK(X93)),"",SkillFeat)</f>
        <v/>
      </c>
      <c r="Z93" s="39"/>
      <c r="AA93" s="46" t="str">
        <f>if((ISBLANK(Z93)),"",SkillFeat)</f>
        <v/>
      </c>
      <c r="AB93" s="39"/>
      <c r="AC93" s="46" t="str">
        <f>if((ISBLANK(AB93)),"",SkillFeat)</f>
        <v/>
      </c>
      <c r="AD93" s="46"/>
      <c r="AE93" s="46" t="str">
        <f>if((ISBLANK(AD93)),"",SkillFeat)</f>
        <v/>
      </c>
      <c r="AF93" s="39"/>
      <c r="AG93" s="46" t="str">
        <f>if((ISBLANK(AF93)),"",SkillFeat)</f>
        <v/>
      </c>
      <c r="AH93" s="39"/>
      <c r="AI93" s="46" t="str">
        <f>if((ISBLANK(AH93)),"",SkillFeat)</f>
        <v/>
      </c>
      <c r="AJ93" s="39"/>
      <c r="AK93" s="46" t="str">
        <f>if((ISBLANK(AJ93)),"",SkillFeat)</f>
        <v/>
      </c>
      <c r="AL93" s="39"/>
      <c r="AM93" s="46" t="str">
        <f>if((ISBLANK(AL93)),"",SkillFeat)</f>
        <v/>
      </c>
      <c r="AN93" s="39"/>
      <c r="AO93" s="46" t="str">
        <f>if((ISBLANK(AN93)),"",SkillFeat)</f>
        <v/>
      </c>
      <c r="AP93" s="39"/>
      <c r="AQ93" s="46" t="str">
        <f>if((ISBLANK(AP93)),"",SkillFeat)</f>
        <v/>
      </c>
      <c r="AR93" s="39"/>
      <c r="AS93" s="46" t="str">
        <f>if((ISBLANK(AR93)),"",SkillFeat)</f>
        <v/>
      </c>
      <c r="AT93" s="39"/>
      <c r="AU93" s="46" t="str">
        <f>if((ISBLANK(AT93)),"",SkillFeat)</f>
        <v/>
      </c>
      <c r="AV93" s="39"/>
      <c r="AW93" s="46" t="str">
        <f>if((ISBLANK(AV93)),"",SkillFeat)</f>
        <v/>
      </c>
      <c r="AX93" s="39"/>
      <c r="AY93" s="46" t="str">
        <f>if((ISBLANK(AX93)),"",SkillFeat)</f>
        <v/>
      </c>
      <c r="AZ93" s="39"/>
      <c r="BA93" s="46" t="str">
        <f>if((ISBLANK(AZ93)),"",SkillFeat)</f>
        <v/>
      </c>
    </row>
    <row r="94" hidden="1" outlineLevel="1">
      <c r="A94" s="37" t="s">
        <v>1452</v>
      </c>
      <c r="B94" s="46" t="s">
        <v>50</v>
      </c>
      <c r="C94" s="35"/>
      <c r="D94" s="37">
        <v>1.0</v>
      </c>
      <c r="E94" s="46">
        <f>if((ISBLANK(D94)),"",SkillFeat)</f>
        <v>5</v>
      </c>
      <c r="F94" s="46"/>
      <c r="G94" s="46" t="str">
        <f>if((ISBLANK(F94)),"",SkillFeat)</f>
        <v/>
      </c>
      <c r="H94" s="39"/>
      <c r="I94" s="46" t="str">
        <f>if((ISBLANK(H94)),"",SkillFeat)</f>
        <v/>
      </c>
      <c r="J94" s="39"/>
      <c r="K94" s="46" t="str">
        <f>if((ISBLANK(J94)),"",SkillFeat)</f>
        <v/>
      </c>
      <c r="L94" s="39"/>
      <c r="M94" s="46" t="str">
        <f>if((ISBLANK(L94)),"",SkillFeat)</f>
        <v/>
      </c>
      <c r="N94" s="39"/>
      <c r="O94" s="46" t="str">
        <f>if((ISBLANK(N94)),"",SkillFeat)</f>
        <v/>
      </c>
      <c r="P94" s="94">
        <v>1.0</v>
      </c>
      <c r="Q94" s="95">
        <f>if((ISBLANK(P94)),"",SkillFeat)</f>
        <v>5</v>
      </c>
      <c r="R94" s="94">
        <v>1.0</v>
      </c>
      <c r="S94" s="95">
        <f>if((ISBLANK(R94)),"",SkillFeat)</f>
        <v>5</v>
      </c>
      <c r="T94" s="39"/>
      <c r="U94" s="46" t="str">
        <f>if((ISBLANK(T94)),"",SkillFeat)</f>
        <v/>
      </c>
      <c r="V94" s="94">
        <v>1.0</v>
      </c>
      <c r="W94" s="95">
        <f>if((ISBLANK(V94)),"",SkillFeat)</f>
        <v>5</v>
      </c>
      <c r="X94" s="39"/>
      <c r="Y94" s="46" t="str">
        <f>if((ISBLANK(X94)),"",SkillFeat)</f>
        <v/>
      </c>
      <c r="Z94" s="39"/>
      <c r="AA94" s="46" t="str">
        <f>if((ISBLANK(Z94)),"",SkillFeat)</f>
        <v/>
      </c>
      <c r="AB94" s="39"/>
      <c r="AC94" s="46" t="str">
        <f>if((ISBLANK(AB94)),"",SkillFeat)</f>
        <v/>
      </c>
      <c r="AD94" s="46"/>
      <c r="AE94" s="46" t="str">
        <f>if((ISBLANK(AD94)),"",SkillFeat)</f>
        <v/>
      </c>
      <c r="AF94" s="39"/>
      <c r="AG94" s="46" t="str">
        <f>if((ISBLANK(AF94)),"",SkillFeat)</f>
        <v/>
      </c>
      <c r="AH94" s="39"/>
      <c r="AI94" s="46" t="str">
        <f>if((ISBLANK(AH94)),"",SkillFeat)</f>
        <v/>
      </c>
      <c r="AJ94" s="39"/>
      <c r="AK94" s="46" t="str">
        <f>if((ISBLANK(AJ94)),"",SkillFeat)</f>
        <v/>
      </c>
      <c r="AL94" s="39"/>
      <c r="AM94" s="46" t="str">
        <f>if((ISBLANK(AL94)),"",SkillFeat)</f>
        <v/>
      </c>
      <c r="AN94" s="39"/>
      <c r="AO94" s="46" t="str">
        <f>if((ISBLANK(AN94)),"",SkillFeat)</f>
        <v/>
      </c>
      <c r="AP94" s="39"/>
      <c r="AQ94" s="46" t="str">
        <f>if((ISBLANK(AP94)),"",SkillFeat)</f>
        <v/>
      </c>
      <c r="AR94" s="39"/>
      <c r="AS94" s="46" t="str">
        <f>if((ISBLANK(AR94)),"",SkillFeat)</f>
        <v/>
      </c>
      <c r="AT94" s="39"/>
      <c r="AU94" s="46" t="str">
        <f>if((ISBLANK(AT94)),"",SkillFeat)</f>
        <v/>
      </c>
      <c r="AV94" s="39"/>
      <c r="AW94" s="46" t="str">
        <f>if((ISBLANK(AV94)),"",SkillFeat)</f>
        <v/>
      </c>
      <c r="AX94" s="39"/>
      <c r="AY94" s="46" t="str">
        <f>if((ISBLANK(AX94)),"",SkillFeat)</f>
        <v/>
      </c>
      <c r="AZ94" s="39"/>
      <c r="BA94" s="46" t="str">
        <f>if((ISBLANK(AZ94)),"",SkillFeat)</f>
        <v/>
      </c>
    </row>
    <row r="95" hidden="1" outlineLevel="1">
      <c r="A95" s="37" t="s">
        <v>1455</v>
      </c>
      <c r="B95" s="46" t="s">
        <v>1360</v>
      </c>
      <c r="C95" s="35"/>
      <c r="D95" s="37">
        <v>1.0</v>
      </c>
      <c r="E95" s="46">
        <f>if((ISBLANK(D95)),"",SkillFeat)</f>
        <v>5</v>
      </c>
      <c r="F95" s="46"/>
      <c r="G95" s="46" t="str">
        <f>if((ISBLANK(F95)),"",SkillFeat)</f>
        <v/>
      </c>
      <c r="H95" s="39"/>
      <c r="I95" s="46" t="str">
        <f>if((ISBLANK(H95)),"",SkillFeat)</f>
        <v/>
      </c>
      <c r="J95" s="39"/>
      <c r="K95" s="46" t="str">
        <f>if((ISBLANK(J95)),"",SkillFeat)</f>
        <v/>
      </c>
      <c r="L95" s="39"/>
      <c r="M95" s="46" t="str">
        <f>if((ISBLANK(L95)),"",SkillFeat)</f>
        <v/>
      </c>
      <c r="N95" s="39"/>
      <c r="O95" s="46" t="str">
        <f>if((ISBLANK(N95)),"",SkillFeat)</f>
        <v/>
      </c>
      <c r="P95" s="39"/>
      <c r="Q95" s="46" t="str">
        <f>if((ISBLANK(P95)),"",SkillFeat)</f>
        <v/>
      </c>
      <c r="R95" s="39"/>
      <c r="S95" s="46" t="str">
        <f>if((ISBLANK(R95)),"",SkillFeat)</f>
        <v/>
      </c>
      <c r="T95" s="39"/>
      <c r="U95" s="46" t="str">
        <f>if((ISBLANK(T95)),"",SkillFeat)</f>
        <v/>
      </c>
      <c r="V95" s="39"/>
      <c r="W95" s="46" t="str">
        <f>if((ISBLANK(V95)),"",SkillFeat)</f>
        <v/>
      </c>
      <c r="X95" s="39"/>
      <c r="Y95" s="46" t="str">
        <f>if((ISBLANK(X95)),"",SkillFeat)</f>
        <v/>
      </c>
      <c r="Z95" s="39"/>
      <c r="AA95" s="46" t="str">
        <f>if((ISBLANK(Z95)),"",SkillFeat)</f>
        <v/>
      </c>
      <c r="AB95" s="39"/>
      <c r="AC95" s="46" t="str">
        <f>if((ISBLANK(AB95)),"",SkillFeat)</f>
        <v/>
      </c>
      <c r="AD95" s="46"/>
      <c r="AE95" s="46" t="str">
        <f>if((ISBLANK(AD95)),"",SkillFeat)</f>
        <v/>
      </c>
      <c r="AF95" s="39"/>
      <c r="AG95" s="46" t="str">
        <f>if((ISBLANK(AF95)),"",SkillFeat)</f>
        <v/>
      </c>
      <c r="AH95" s="39"/>
      <c r="AI95" s="46" t="str">
        <f>if((ISBLANK(AH95)),"",SkillFeat)</f>
        <v/>
      </c>
      <c r="AJ95" s="39"/>
      <c r="AK95" s="46" t="str">
        <f>if((ISBLANK(AJ95)),"",SkillFeat)</f>
        <v/>
      </c>
      <c r="AL95" s="39"/>
      <c r="AM95" s="46" t="str">
        <f>if((ISBLANK(AL95)),"",SkillFeat)</f>
        <v/>
      </c>
      <c r="AN95" s="39"/>
      <c r="AO95" s="46" t="str">
        <f>if((ISBLANK(AN95)),"",SkillFeat)</f>
        <v/>
      </c>
      <c r="AP95" s="39"/>
      <c r="AQ95" s="46" t="str">
        <f>if((ISBLANK(AP95)),"",SkillFeat)</f>
        <v/>
      </c>
      <c r="AR95" s="39"/>
      <c r="AS95" s="46" t="str">
        <f>if((ISBLANK(AR95)),"",SkillFeat)</f>
        <v/>
      </c>
      <c r="AT95" s="39"/>
      <c r="AU95" s="46" t="str">
        <f>if((ISBLANK(AT95)),"",SkillFeat)</f>
        <v/>
      </c>
      <c r="AV95" s="39"/>
      <c r="AW95" s="46" t="str">
        <f>if((ISBLANK(AV95)),"",SkillFeat)</f>
        <v/>
      </c>
      <c r="AX95" s="39"/>
      <c r="AY95" s="46" t="str">
        <f>if((ISBLANK(AX95)),"",SkillFeat)</f>
        <v/>
      </c>
      <c r="AZ95" s="39"/>
      <c r="BA95" s="46" t="str">
        <f>if((ISBLANK(AZ95)),"",SkillFeat)</f>
        <v/>
      </c>
    </row>
    <row r="96" hidden="1" outlineLevel="1">
      <c r="A96" s="37" t="s">
        <v>1456</v>
      </c>
      <c r="B96" s="46" t="s">
        <v>48</v>
      </c>
      <c r="C96" s="35"/>
      <c r="D96" s="37">
        <v>1.0</v>
      </c>
      <c r="E96" s="46">
        <f>if((ISBLANK(D96)),"",SkillFeat)</f>
        <v>5</v>
      </c>
      <c r="F96" s="46"/>
      <c r="G96" s="46" t="str">
        <f>if((ISBLANK(F96)),"",SkillFeat)</f>
        <v/>
      </c>
      <c r="H96" s="39"/>
      <c r="I96" s="46" t="str">
        <f>if((ISBLANK(H96)),"",SkillFeat)</f>
        <v/>
      </c>
      <c r="J96" s="39"/>
      <c r="K96" s="46" t="str">
        <f>if((ISBLANK(J96)),"",SkillFeat)</f>
        <v/>
      </c>
      <c r="L96" s="39"/>
      <c r="M96" s="46" t="str">
        <f>if((ISBLANK(L96)),"",SkillFeat)</f>
        <v/>
      </c>
      <c r="N96" s="39"/>
      <c r="O96" s="46" t="str">
        <f>if((ISBLANK(N96)),"",SkillFeat)</f>
        <v/>
      </c>
      <c r="P96" s="94">
        <v>1.0</v>
      </c>
      <c r="Q96" s="95">
        <f>if((ISBLANK(P96)),"",SkillFeat)</f>
        <v>5</v>
      </c>
      <c r="R96" s="94">
        <v>1.0</v>
      </c>
      <c r="S96" s="95">
        <f>if((ISBLANK(R96)),"",SkillFeat)</f>
        <v>5</v>
      </c>
      <c r="T96" s="39"/>
      <c r="U96" s="46" t="str">
        <f>if((ISBLANK(T96)),"",SkillFeat)</f>
        <v/>
      </c>
      <c r="V96" s="39"/>
      <c r="W96" s="46" t="str">
        <f>if((ISBLANK(V96)),"",SkillFeat)</f>
        <v/>
      </c>
      <c r="X96" s="39"/>
      <c r="Y96" s="46" t="str">
        <f>if((ISBLANK(X96)),"",SkillFeat)</f>
        <v/>
      </c>
      <c r="Z96" s="39"/>
      <c r="AA96" s="46" t="str">
        <f>if((ISBLANK(Z96)),"",SkillFeat)</f>
        <v/>
      </c>
      <c r="AB96" s="39"/>
      <c r="AC96" s="46" t="str">
        <f>if((ISBLANK(AB96)),"",SkillFeat)</f>
        <v/>
      </c>
      <c r="AD96" s="46"/>
      <c r="AE96" s="46" t="str">
        <f>if((ISBLANK(AD96)),"",SkillFeat)</f>
        <v/>
      </c>
      <c r="AF96" s="39"/>
      <c r="AG96" s="46" t="str">
        <f>if((ISBLANK(AF96)),"",SkillFeat)</f>
        <v/>
      </c>
      <c r="AH96" s="39"/>
      <c r="AI96" s="46" t="str">
        <f>if((ISBLANK(AH96)),"",SkillFeat)</f>
        <v/>
      </c>
      <c r="AJ96" s="39"/>
      <c r="AK96" s="46" t="str">
        <f>if((ISBLANK(AJ96)),"",SkillFeat)</f>
        <v/>
      </c>
      <c r="AL96" s="39"/>
      <c r="AM96" s="46" t="str">
        <f>if((ISBLANK(AL96)),"",SkillFeat)</f>
        <v/>
      </c>
      <c r="AN96" s="39"/>
      <c r="AO96" s="46" t="str">
        <f>if((ISBLANK(AN96)),"",SkillFeat)</f>
        <v/>
      </c>
      <c r="AP96" s="39"/>
      <c r="AQ96" s="46" t="str">
        <f>if((ISBLANK(AP96)),"",SkillFeat)</f>
        <v/>
      </c>
      <c r="AR96" s="39"/>
      <c r="AS96" s="46" t="str">
        <f>if((ISBLANK(AR96)),"",SkillFeat)</f>
        <v/>
      </c>
      <c r="AT96" s="39"/>
      <c r="AU96" s="46" t="str">
        <f>if((ISBLANK(AT96)),"",SkillFeat)</f>
        <v/>
      </c>
      <c r="AV96" s="39"/>
      <c r="AW96" s="46" t="str">
        <f>if((ISBLANK(AV96)),"",SkillFeat)</f>
        <v/>
      </c>
      <c r="AX96" s="39"/>
      <c r="AY96" s="46" t="str">
        <f>if((ISBLANK(AX96)),"",SkillFeat)</f>
        <v/>
      </c>
      <c r="AZ96" s="39"/>
      <c r="BA96" s="46" t="str">
        <f>if((ISBLANK(AZ96)),"",SkillFeat)</f>
        <v/>
      </c>
    </row>
    <row r="97" hidden="1" outlineLevel="1">
      <c r="A97" s="37" t="s">
        <v>1457</v>
      </c>
      <c r="B97" s="46" t="s">
        <v>1363</v>
      </c>
      <c r="C97" s="35"/>
      <c r="D97" s="37">
        <v>1.0</v>
      </c>
      <c r="E97" s="46">
        <f>if((ISBLANK(D97)),"",SkillFeat)</f>
        <v>5</v>
      </c>
      <c r="F97" s="46"/>
      <c r="G97" s="46" t="str">
        <f>if((ISBLANK(F97)),"",SkillFeat)</f>
        <v/>
      </c>
      <c r="H97" s="39"/>
      <c r="I97" s="46" t="str">
        <f>if((ISBLANK(H97)),"",SkillFeat)</f>
        <v/>
      </c>
      <c r="J97" s="39"/>
      <c r="K97" s="46" t="str">
        <f>if((ISBLANK(J97)),"",SkillFeat)</f>
        <v/>
      </c>
      <c r="L97" s="39"/>
      <c r="M97" s="46" t="str">
        <f>if((ISBLANK(L97)),"",SkillFeat)</f>
        <v/>
      </c>
      <c r="N97" s="39"/>
      <c r="O97" s="46" t="str">
        <f>if((ISBLANK(N97)),"",SkillFeat)</f>
        <v/>
      </c>
      <c r="P97" s="39"/>
      <c r="Q97" s="46" t="str">
        <f>if((ISBLANK(P97)),"",SkillFeat)</f>
        <v/>
      </c>
      <c r="R97" s="39"/>
      <c r="S97" s="46" t="str">
        <f>if((ISBLANK(R97)),"",SkillFeat)</f>
        <v/>
      </c>
      <c r="T97" s="39"/>
      <c r="U97" s="46" t="str">
        <f>if((ISBLANK(T97)),"",SkillFeat)</f>
        <v/>
      </c>
      <c r="V97" s="39"/>
      <c r="W97" s="46" t="str">
        <f>if((ISBLANK(V97)),"",SkillFeat)</f>
        <v/>
      </c>
      <c r="X97" s="39"/>
      <c r="Y97" s="46" t="str">
        <f>if((ISBLANK(X97)),"",SkillFeat)</f>
        <v/>
      </c>
      <c r="Z97" s="39"/>
      <c r="AA97" s="46" t="str">
        <f>if((ISBLANK(Z97)),"",SkillFeat)</f>
        <v/>
      </c>
      <c r="AB97" s="39"/>
      <c r="AC97" s="46" t="str">
        <f>if((ISBLANK(AB97)),"",SkillFeat)</f>
        <v/>
      </c>
      <c r="AD97" s="46"/>
      <c r="AE97" s="46" t="str">
        <f>if((ISBLANK(AD97)),"",SkillFeat)</f>
        <v/>
      </c>
      <c r="AF97" s="39"/>
      <c r="AG97" s="46" t="str">
        <f>if((ISBLANK(AF97)),"",SkillFeat)</f>
        <v/>
      </c>
      <c r="AH97" s="39"/>
      <c r="AI97" s="46" t="str">
        <f>if((ISBLANK(AH97)),"",SkillFeat)</f>
        <v/>
      </c>
      <c r="AJ97" s="39"/>
      <c r="AK97" s="46" t="str">
        <f>if((ISBLANK(AJ97)),"",SkillFeat)</f>
        <v/>
      </c>
      <c r="AL97" s="39"/>
      <c r="AM97" s="46" t="str">
        <f>if((ISBLANK(AL97)),"",SkillFeat)</f>
        <v/>
      </c>
      <c r="AN97" s="39"/>
      <c r="AO97" s="46" t="str">
        <f>if((ISBLANK(AN97)),"",SkillFeat)</f>
        <v/>
      </c>
      <c r="AP97" s="39"/>
      <c r="AQ97" s="46" t="str">
        <f>if((ISBLANK(AP97)),"",SkillFeat)</f>
        <v/>
      </c>
      <c r="AR97" s="39"/>
      <c r="AS97" s="46" t="str">
        <f>if((ISBLANK(AR97)),"",SkillFeat)</f>
        <v/>
      </c>
      <c r="AT97" s="39"/>
      <c r="AU97" s="46" t="str">
        <f>if((ISBLANK(AT97)),"",SkillFeat)</f>
        <v/>
      </c>
      <c r="AV97" s="39"/>
      <c r="AW97" s="46" t="str">
        <f>if((ISBLANK(AV97)),"",SkillFeat)</f>
        <v/>
      </c>
      <c r="AX97" s="39"/>
      <c r="AY97" s="46" t="str">
        <f>if((ISBLANK(AX97)),"",SkillFeat)</f>
        <v/>
      </c>
      <c r="AZ97" s="39"/>
      <c r="BA97" s="46" t="str">
        <f>if((ISBLANK(AZ97)),"",SkillFeat)</f>
        <v/>
      </c>
    </row>
    <row r="98" hidden="1" outlineLevel="1">
      <c r="A98" s="37" t="s">
        <v>1458</v>
      </c>
      <c r="B98" s="46" t="s">
        <v>81</v>
      </c>
      <c r="C98" s="35"/>
      <c r="D98" s="37">
        <v>1.0</v>
      </c>
      <c r="E98" s="46">
        <f>if((ISBLANK(D98)),"",SkillFeat)</f>
        <v>5</v>
      </c>
      <c r="F98" s="46"/>
      <c r="G98" s="46" t="str">
        <f>if((ISBLANK(F98)),"",SkillFeat)</f>
        <v/>
      </c>
      <c r="H98" s="39"/>
      <c r="I98" s="46" t="str">
        <f>if((ISBLANK(H98)),"",SkillFeat)</f>
        <v/>
      </c>
      <c r="J98" s="39"/>
      <c r="K98" s="46" t="str">
        <f>if((ISBLANK(J98)),"",SkillFeat)</f>
        <v/>
      </c>
      <c r="L98" s="39"/>
      <c r="M98" s="46" t="str">
        <f>if((ISBLANK(L98)),"",SkillFeat)</f>
        <v/>
      </c>
      <c r="N98" s="39"/>
      <c r="O98" s="46" t="str">
        <f>if((ISBLANK(N98)),"",SkillFeat)</f>
        <v/>
      </c>
      <c r="P98" s="94">
        <v>1.0</v>
      </c>
      <c r="Q98" s="95">
        <f>if((ISBLANK(P98)),"",SkillFeat)</f>
        <v>5</v>
      </c>
      <c r="R98" s="94">
        <v>1.0</v>
      </c>
      <c r="S98" s="95">
        <f>if((ISBLANK(R98)),"",SkillFeat)</f>
        <v>5</v>
      </c>
      <c r="T98" s="39"/>
      <c r="U98" s="46" t="str">
        <f>if((ISBLANK(T98)),"",SkillFeat)</f>
        <v/>
      </c>
      <c r="V98" s="39"/>
      <c r="W98" s="46" t="str">
        <f>if((ISBLANK(V98)),"",SkillFeat)</f>
        <v/>
      </c>
      <c r="X98" s="39"/>
      <c r="Y98" s="46" t="str">
        <f>if((ISBLANK(X98)),"",SkillFeat)</f>
        <v/>
      </c>
      <c r="Z98" s="39"/>
      <c r="AA98" s="46" t="str">
        <f>if((ISBLANK(Z98)),"",SkillFeat)</f>
        <v/>
      </c>
      <c r="AB98" s="39"/>
      <c r="AC98" s="46" t="str">
        <f>if((ISBLANK(AB98)),"",SkillFeat)</f>
        <v/>
      </c>
      <c r="AD98" s="46"/>
      <c r="AE98" s="46" t="str">
        <f>if((ISBLANK(AD98)),"",SkillFeat)</f>
        <v/>
      </c>
      <c r="AF98" s="39"/>
      <c r="AG98" s="46" t="str">
        <f>if((ISBLANK(AF98)),"",SkillFeat)</f>
        <v/>
      </c>
      <c r="AH98" s="39"/>
      <c r="AI98" s="46" t="str">
        <f>if((ISBLANK(AH98)),"",SkillFeat)</f>
        <v/>
      </c>
      <c r="AJ98" s="39"/>
      <c r="AK98" s="46" t="str">
        <f>if((ISBLANK(AJ98)),"",SkillFeat)</f>
        <v/>
      </c>
      <c r="AL98" s="39"/>
      <c r="AM98" s="46" t="str">
        <f>if((ISBLANK(AL98)),"",SkillFeat)</f>
        <v/>
      </c>
      <c r="AN98" s="39"/>
      <c r="AO98" s="46" t="str">
        <f>if((ISBLANK(AN98)),"",SkillFeat)</f>
        <v/>
      </c>
      <c r="AP98" s="39"/>
      <c r="AQ98" s="46" t="str">
        <f>if((ISBLANK(AP98)),"",SkillFeat)</f>
        <v/>
      </c>
      <c r="AR98" s="39"/>
      <c r="AS98" s="46" t="str">
        <f>if((ISBLANK(AR98)),"",SkillFeat)</f>
        <v/>
      </c>
      <c r="AT98" s="39"/>
      <c r="AU98" s="46" t="str">
        <f>if((ISBLANK(AT98)),"",SkillFeat)</f>
        <v/>
      </c>
      <c r="AV98" s="39"/>
      <c r="AW98" s="46" t="str">
        <f>if((ISBLANK(AV98)),"",SkillFeat)</f>
        <v/>
      </c>
      <c r="AX98" s="39"/>
      <c r="AY98" s="46" t="str">
        <f>if((ISBLANK(AX98)),"",SkillFeat)</f>
        <v/>
      </c>
      <c r="AZ98" s="39"/>
      <c r="BA98" s="46" t="str">
        <f>if((ISBLANK(AZ98)),"",SkillFeat)</f>
        <v/>
      </c>
    </row>
    <row r="99" hidden="1" outlineLevel="1">
      <c r="A99" s="37" t="s">
        <v>1459</v>
      </c>
      <c r="B99" s="46" t="s">
        <v>1366</v>
      </c>
      <c r="C99" s="35"/>
      <c r="D99" s="37">
        <v>1.0</v>
      </c>
      <c r="E99" s="46">
        <f>if((ISBLANK(D99)),"",SkillFeat)</f>
        <v>5</v>
      </c>
      <c r="F99" s="46"/>
      <c r="G99" s="46" t="str">
        <f>if((ISBLANK(F99)),"",SkillFeat)</f>
        <v/>
      </c>
      <c r="H99" s="46"/>
      <c r="I99" s="46" t="str">
        <f>if((ISBLANK(H99)),"",SkillFeat)</f>
        <v/>
      </c>
      <c r="J99" s="46"/>
      <c r="K99" s="46" t="str">
        <f>if((ISBLANK(J99)),"",SkillFeat)</f>
        <v/>
      </c>
      <c r="L99" s="46"/>
      <c r="M99" s="46" t="str">
        <f>if((ISBLANK(L99)),"",SkillFeat)</f>
        <v/>
      </c>
      <c r="N99" s="46"/>
      <c r="O99" s="46" t="str">
        <f>if((ISBLANK(N99)),"",SkillFeat)</f>
        <v/>
      </c>
      <c r="P99" s="46"/>
      <c r="Q99" s="46" t="str">
        <f>if((ISBLANK(P99)),"",SkillFeat)</f>
        <v/>
      </c>
      <c r="R99" s="46"/>
      <c r="S99" s="46" t="str">
        <f>if((ISBLANK(R99)),"",SkillFeat)</f>
        <v/>
      </c>
      <c r="T99" s="46"/>
      <c r="U99" s="46" t="str">
        <f>if((ISBLANK(T99)),"",SkillFeat)</f>
        <v/>
      </c>
      <c r="V99" s="46"/>
      <c r="W99" s="46" t="str">
        <f>if((ISBLANK(V99)),"",SkillFeat)</f>
        <v/>
      </c>
      <c r="X99" s="46"/>
      <c r="Y99" s="46" t="str">
        <f>if((ISBLANK(X99)),"",SkillFeat)</f>
        <v/>
      </c>
      <c r="Z99" s="46"/>
      <c r="AA99" s="46" t="str">
        <f>if((ISBLANK(Z99)),"",SkillFeat)</f>
        <v/>
      </c>
      <c r="AB99" s="46"/>
      <c r="AC99" s="46" t="str">
        <f>if((ISBLANK(AB99)),"",SkillFeat)</f>
        <v/>
      </c>
      <c r="AD99" s="46"/>
      <c r="AE99" s="46" t="str">
        <f>if((ISBLANK(AD99)),"",SkillFeat)</f>
        <v/>
      </c>
      <c r="AF99" s="46"/>
      <c r="AG99" s="46" t="str">
        <f>if((ISBLANK(AF99)),"",SkillFeat)</f>
        <v/>
      </c>
      <c r="AH99" s="46"/>
      <c r="AI99" s="46" t="str">
        <f>if((ISBLANK(AH99)),"",SkillFeat)</f>
        <v/>
      </c>
      <c r="AJ99" s="46"/>
      <c r="AK99" s="46" t="str">
        <f>if((ISBLANK(AJ99)),"",SkillFeat)</f>
        <v/>
      </c>
      <c r="AL99" s="46"/>
      <c r="AM99" s="46" t="str">
        <f>if((ISBLANK(AL99)),"",SkillFeat)</f>
        <v/>
      </c>
      <c r="AN99" s="46"/>
      <c r="AO99" s="46" t="str">
        <f>if((ISBLANK(AN99)),"",SkillFeat)</f>
        <v/>
      </c>
      <c r="AP99" s="46"/>
      <c r="AQ99" s="46" t="str">
        <f>if((ISBLANK(AP99)),"",SkillFeat)</f>
        <v/>
      </c>
      <c r="AR99" s="46"/>
      <c r="AS99" s="46" t="str">
        <f>if((ISBLANK(AR99)),"",SkillFeat)</f>
        <v/>
      </c>
      <c r="AT99" s="46"/>
      <c r="AU99" s="46" t="str">
        <f>if((ISBLANK(AT99)),"",SkillFeat)</f>
        <v/>
      </c>
      <c r="AV99" s="46"/>
      <c r="AW99" s="46" t="str">
        <f>if((ISBLANK(AV99)),"",SkillFeat)</f>
        <v/>
      </c>
      <c r="AX99" s="46"/>
      <c r="AY99" s="46" t="str">
        <f>if((ISBLANK(AX99)),"",SkillFeat)</f>
        <v/>
      </c>
      <c r="AZ99" s="46"/>
      <c r="BA99" s="46" t="str">
        <f>if((ISBLANK(AZ99)),"",SkillFeat)</f>
        <v/>
      </c>
    </row>
    <row r="100" hidden="1" outlineLevel="1">
      <c r="A100" s="37" t="s">
        <v>1460</v>
      </c>
      <c r="B100" s="46"/>
      <c r="C100" s="35"/>
      <c r="D100" s="35">
        <f t="shared" ref="D100:AC100" si="28">SUM(D80:D99)</f>
        <v>20</v>
      </c>
      <c r="E100" s="35">
        <f t="shared" si="28"/>
        <v>100</v>
      </c>
      <c r="F100" s="95">
        <f t="shared" si="28"/>
        <v>0</v>
      </c>
      <c r="G100" s="95">
        <f t="shared" si="28"/>
        <v>0</v>
      </c>
      <c r="H100" s="95">
        <f t="shared" si="28"/>
        <v>0</v>
      </c>
      <c r="I100" s="95">
        <f t="shared" si="28"/>
        <v>0</v>
      </c>
      <c r="J100" s="95">
        <f t="shared" si="28"/>
        <v>0</v>
      </c>
      <c r="K100" s="95">
        <f t="shared" si="28"/>
        <v>0</v>
      </c>
      <c r="L100" s="95">
        <f t="shared" si="28"/>
        <v>0</v>
      </c>
      <c r="M100" s="95">
        <f t="shared" si="28"/>
        <v>0</v>
      </c>
      <c r="N100" s="95">
        <f t="shared" si="28"/>
        <v>0</v>
      </c>
      <c r="O100" s="95">
        <f t="shared" si="28"/>
        <v>0</v>
      </c>
      <c r="P100" s="95">
        <f t="shared" si="28"/>
        <v>10</v>
      </c>
      <c r="Q100" s="95">
        <f t="shared" si="28"/>
        <v>50</v>
      </c>
      <c r="R100" s="95">
        <f t="shared" si="28"/>
        <v>9</v>
      </c>
      <c r="S100" s="95">
        <f t="shared" si="28"/>
        <v>45</v>
      </c>
      <c r="T100" s="95">
        <f t="shared" si="28"/>
        <v>1</v>
      </c>
      <c r="U100" s="95">
        <f t="shared" si="28"/>
        <v>5</v>
      </c>
      <c r="V100" s="95">
        <f t="shared" si="28"/>
        <v>3</v>
      </c>
      <c r="W100" s="95">
        <f t="shared" si="28"/>
        <v>15</v>
      </c>
      <c r="X100" s="95">
        <f t="shared" si="28"/>
        <v>0</v>
      </c>
      <c r="Y100" s="95">
        <f t="shared" si="28"/>
        <v>0</v>
      </c>
      <c r="Z100" s="95">
        <f t="shared" si="28"/>
        <v>1</v>
      </c>
      <c r="AA100" s="95">
        <f t="shared" si="28"/>
        <v>5</v>
      </c>
      <c r="AB100" s="95">
        <f t="shared" si="28"/>
        <v>1</v>
      </c>
      <c r="AC100" s="95">
        <f t="shared" si="28"/>
        <v>0</v>
      </c>
      <c r="AD100" s="46"/>
      <c r="AE100" s="95">
        <f t="shared" ref="AE100:BA100" si="29">SUM(AE80:AE99)</f>
        <v>0</v>
      </c>
      <c r="AF100" s="95">
        <f t="shared" si="29"/>
        <v>0</v>
      </c>
      <c r="AG100" s="95">
        <f t="shared" si="29"/>
        <v>0</v>
      </c>
      <c r="AH100" s="95">
        <f t="shared" si="29"/>
        <v>0</v>
      </c>
      <c r="AI100" s="95">
        <f t="shared" si="29"/>
        <v>0</v>
      </c>
      <c r="AJ100" s="95">
        <f t="shared" si="29"/>
        <v>0</v>
      </c>
      <c r="AK100" s="95">
        <f t="shared" si="29"/>
        <v>0</v>
      </c>
      <c r="AL100" s="95">
        <f t="shared" si="29"/>
        <v>0</v>
      </c>
      <c r="AM100" s="95">
        <f t="shared" si="29"/>
        <v>0</v>
      </c>
      <c r="AN100" s="95">
        <f t="shared" si="29"/>
        <v>0</v>
      </c>
      <c r="AO100" s="95">
        <f t="shared" si="29"/>
        <v>0</v>
      </c>
      <c r="AP100" s="95">
        <f t="shared" si="29"/>
        <v>0</v>
      </c>
      <c r="AQ100" s="95">
        <f t="shared" si="29"/>
        <v>0</v>
      </c>
      <c r="AR100" s="95">
        <f t="shared" si="29"/>
        <v>0</v>
      </c>
      <c r="AS100" s="95">
        <f t="shared" si="29"/>
        <v>0</v>
      </c>
      <c r="AT100" s="95">
        <f t="shared" si="29"/>
        <v>0</v>
      </c>
      <c r="AU100" s="95">
        <f t="shared" si="29"/>
        <v>0</v>
      </c>
      <c r="AV100" s="95">
        <f t="shared" si="29"/>
        <v>0</v>
      </c>
      <c r="AW100" s="95">
        <f t="shared" si="29"/>
        <v>0</v>
      </c>
      <c r="AX100" s="95">
        <f t="shared" si="29"/>
        <v>0</v>
      </c>
      <c r="AY100" s="95">
        <f t="shared" si="29"/>
        <v>0</v>
      </c>
      <c r="AZ100" s="95">
        <f t="shared" si="29"/>
        <v>0</v>
      </c>
      <c r="BA100" s="95">
        <f t="shared" si="29"/>
        <v>0</v>
      </c>
    </row>
    <row r="101" collapsed="1">
      <c r="A101" s="121" t="s">
        <v>1461</v>
      </c>
      <c r="B101" s="122"/>
      <c r="C101" s="173"/>
      <c r="D101" s="122"/>
      <c r="E101" s="75">
        <f>sum(E102:E132)</f>
        <v>2090</v>
      </c>
      <c r="F101" s="221"/>
      <c r="G101" s="78">
        <f>sum(G102:G132)</f>
        <v>410</v>
      </c>
      <c r="H101" s="221"/>
      <c r="I101" s="78">
        <f>sum(I102:I132)</f>
        <v>400</v>
      </c>
      <c r="J101" s="221"/>
      <c r="K101" s="78">
        <f>sum(K102:K132)</f>
        <v>660</v>
      </c>
      <c r="L101" s="221"/>
      <c r="M101" s="78">
        <f>sum(M102:M132)</f>
        <v>460</v>
      </c>
      <c r="N101" s="221"/>
      <c r="O101" s="78">
        <f>sum(O102:O132)</f>
        <v>460</v>
      </c>
      <c r="P101" s="221"/>
      <c r="Q101" s="78">
        <f>sum(Q102:Q132)</f>
        <v>460</v>
      </c>
      <c r="R101" s="221"/>
      <c r="S101" s="78">
        <f>sum(S102:S132)</f>
        <v>410</v>
      </c>
      <c r="T101" s="221"/>
      <c r="U101" s="78">
        <f>sum(U102:U132)</f>
        <v>410</v>
      </c>
      <c r="V101" s="221"/>
      <c r="W101" s="78">
        <f>sum(W102:W132)</f>
        <v>460</v>
      </c>
      <c r="X101" s="221"/>
      <c r="Y101" s="78">
        <f>sum(Y102:Y132)</f>
        <v>660</v>
      </c>
      <c r="Z101" s="221"/>
      <c r="AA101" s="78">
        <f>sum(AA102:AA132)</f>
        <v>410</v>
      </c>
      <c r="AB101" s="221"/>
      <c r="AC101" s="78">
        <f>sum(AC102:AC132)</f>
        <v>150</v>
      </c>
      <c r="AD101" s="221"/>
      <c r="AE101" s="78">
        <f>sum(AE102:AE132)</f>
        <v>140</v>
      </c>
      <c r="AF101" s="221"/>
      <c r="AG101" s="78">
        <f>sum(AG102:AG132)</f>
        <v>140</v>
      </c>
      <c r="AH101" s="221"/>
      <c r="AI101" s="78">
        <f>sum(AI102:AI132)</f>
        <v>410</v>
      </c>
      <c r="AJ101" s="221"/>
      <c r="AK101" s="78">
        <f>sum(AK102:AK132)</f>
        <v>210</v>
      </c>
      <c r="AL101" s="221"/>
      <c r="AM101" s="78">
        <f>sum(AM102:AM132)</f>
        <v>200</v>
      </c>
      <c r="AN101" s="221"/>
      <c r="AO101" s="78">
        <f>sum(AO102:AO132)</f>
        <v>200</v>
      </c>
      <c r="AP101" s="221"/>
      <c r="AQ101" s="78">
        <f>sum(AQ102:AQ132)</f>
        <v>140</v>
      </c>
      <c r="AR101" s="221"/>
      <c r="AS101" s="78">
        <f>sum(AS102:AS132)</f>
        <v>140</v>
      </c>
      <c r="AT101" s="221"/>
      <c r="AU101" s="78">
        <f>sum(AU102:AU132)</f>
        <v>140</v>
      </c>
      <c r="AV101" s="221"/>
      <c r="AW101" s="78">
        <f>sum(AW102:AW132)</f>
        <v>140</v>
      </c>
      <c r="AX101" s="221"/>
      <c r="AY101" s="78">
        <f>sum(AY102:AY132)</f>
        <v>140</v>
      </c>
      <c r="AZ101" s="221"/>
      <c r="BA101" s="78">
        <f>sum(BA102:BA132)</f>
        <v>140</v>
      </c>
    </row>
    <row r="102" hidden="1" outlineLevel="1">
      <c r="A102" s="90" t="s">
        <v>1463</v>
      </c>
      <c r="B102" s="46"/>
      <c r="C102" s="35"/>
      <c r="D102" s="17" t="s">
        <v>153</v>
      </c>
      <c r="E102" s="46">
        <f>IF((ISBLANK(D102)),"",WeaponCS)</f>
        <v>50</v>
      </c>
      <c r="F102" s="118"/>
      <c r="G102" s="46" t="str">
        <f>IF((ISBLANK(F102)),"",WeaponCS)</f>
        <v/>
      </c>
      <c r="H102" s="118"/>
      <c r="I102" s="46" t="str">
        <f>IF((ISBLANK(H102)),"",WeaponCS)</f>
        <v/>
      </c>
      <c r="J102" s="118" t="s">
        <v>153</v>
      </c>
      <c r="K102" s="95">
        <f>IF((ISBLANK(J102)),"",WeaponCS)</f>
        <v>50</v>
      </c>
      <c r="L102" s="118" t="s">
        <v>153</v>
      </c>
      <c r="M102" s="95">
        <f>IF((ISBLANK(L102)),"",WeaponCS)</f>
        <v>50</v>
      </c>
      <c r="N102" s="118" t="s">
        <v>153</v>
      </c>
      <c r="O102" s="95">
        <f>IF((ISBLANK(N102)),"",WeaponCS)</f>
        <v>50</v>
      </c>
      <c r="P102" s="118" t="s">
        <v>153</v>
      </c>
      <c r="Q102" s="95">
        <f>IF((ISBLANK(P102)),"",WeaponCS)</f>
        <v>50</v>
      </c>
      <c r="R102" s="118"/>
      <c r="S102" s="46" t="str">
        <f>IF((ISBLANK(R102)),"",WeaponCS)</f>
        <v/>
      </c>
      <c r="T102" s="118"/>
      <c r="U102" s="46" t="str">
        <f>IF((ISBLANK(T102)),"",WeaponCS)</f>
        <v/>
      </c>
      <c r="V102" s="118" t="s">
        <v>153</v>
      </c>
      <c r="W102" s="95">
        <f>IF((ISBLANK(V102)),"",WeaponCS)</f>
        <v>50</v>
      </c>
      <c r="X102" s="118" t="s">
        <v>153</v>
      </c>
      <c r="Y102" s="95">
        <f>IF((ISBLANK(X102)),"",WeaponCS)</f>
        <v>50</v>
      </c>
      <c r="Z102" s="118"/>
      <c r="AA102" s="46" t="str">
        <f>IF((ISBLANK(Z102)),"",WeaponCS)</f>
        <v/>
      </c>
      <c r="AB102" s="118"/>
      <c r="AC102" s="46" t="str">
        <f>IF((ISBLANK(AB102)),"",WeaponCS)</f>
        <v/>
      </c>
      <c r="AD102" s="118"/>
      <c r="AE102" s="95" t="str">
        <f>IF((ISBLANK(AD102)),"",WeaponCS)</f>
        <v/>
      </c>
      <c r="AF102" s="118"/>
      <c r="AG102" s="46" t="str">
        <f>IF((ISBLANK(AF102)),"",WeaponCS)</f>
        <v/>
      </c>
      <c r="AH102" s="118"/>
      <c r="AI102" s="46" t="str">
        <f>IF((ISBLANK(AH102)),"",WeaponCS)</f>
        <v/>
      </c>
      <c r="AJ102" s="118" t="s">
        <v>155</v>
      </c>
      <c r="AK102" s="95">
        <f>IF((ISBLANK(AJ102)),"",WeaponCS)</f>
        <v>50</v>
      </c>
      <c r="AL102" s="118" t="s">
        <v>159</v>
      </c>
      <c r="AM102" s="95">
        <f>IF((ISBLANK(AL102)),"",WeaponCS)</f>
        <v>50</v>
      </c>
      <c r="AN102" s="118" t="s">
        <v>159</v>
      </c>
      <c r="AO102" s="95">
        <f>IF((ISBLANK(AN102)),"",WeaponCS)</f>
        <v>50</v>
      </c>
      <c r="AP102" s="118"/>
      <c r="AQ102" s="46" t="str">
        <f>IF((ISBLANK(AP102)),"",WeaponCS)</f>
        <v/>
      </c>
      <c r="AR102" s="118"/>
      <c r="AS102" s="46" t="str">
        <f>IF((ISBLANK(AR102)),"",WeaponCS)</f>
        <v/>
      </c>
      <c r="AT102" s="118"/>
      <c r="AU102" s="46" t="str">
        <f>IF((ISBLANK(AT102)),"",WeaponCS)</f>
        <v/>
      </c>
      <c r="AV102" s="118"/>
      <c r="AW102" s="46" t="str">
        <f>IF((ISBLANK(AV102)),"",WeaponCS)</f>
        <v/>
      </c>
      <c r="AX102" s="118"/>
      <c r="AY102" s="46" t="str">
        <f>IF((ISBLANK(AX102)),"",WeaponCS)</f>
        <v/>
      </c>
      <c r="AZ102" s="118"/>
      <c r="BA102" s="46" t="str">
        <f>IF((ISBLANK(AZ102)),"",WeaponCS)</f>
        <v/>
      </c>
    </row>
    <row r="103" hidden="1" outlineLevel="1">
      <c r="A103" s="90" t="s">
        <v>1464</v>
      </c>
      <c r="B103" s="46"/>
      <c r="C103" s="35"/>
      <c r="D103" s="17" t="s">
        <v>155</v>
      </c>
      <c r="E103" s="46">
        <f>IF((ISBLANK(D103)),"",WeaponWS)</f>
        <v>70</v>
      </c>
      <c r="F103" s="118" t="s">
        <v>155</v>
      </c>
      <c r="G103" s="95">
        <f>IF((ISBLANK(F103)),"",WeaponWS)</f>
        <v>70</v>
      </c>
      <c r="H103" s="118" t="s">
        <v>155</v>
      </c>
      <c r="I103" s="95">
        <f>IF((ISBLANK(H103)),"",WeaponWS)</f>
        <v>70</v>
      </c>
      <c r="J103" s="118" t="s">
        <v>155</v>
      </c>
      <c r="K103" s="95">
        <f>IF((ISBLANK(J103)),"",WeaponWS)</f>
        <v>70</v>
      </c>
      <c r="L103" s="118" t="s">
        <v>155</v>
      </c>
      <c r="M103" s="95">
        <f>IF((ISBLANK(L103)),"",WeaponWS)</f>
        <v>70</v>
      </c>
      <c r="N103" s="118" t="s">
        <v>155</v>
      </c>
      <c r="O103" s="95">
        <f>IF((ISBLANK(N103)),"",WeaponWS)</f>
        <v>70</v>
      </c>
      <c r="P103" s="118" t="s">
        <v>155</v>
      </c>
      <c r="Q103" s="95">
        <f>IF((ISBLANK(P103)),"",WeaponWS)</f>
        <v>70</v>
      </c>
      <c r="R103" s="118" t="s">
        <v>155</v>
      </c>
      <c r="S103" s="95">
        <f>IF((ISBLANK(R103)),"",WeaponWS)</f>
        <v>70</v>
      </c>
      <c r="T103" s="118" t="s">
        <v>155</v>
      </c>
      <c r="U103" s="95">
        <f>IF((ISBLANK(T103)),"",WeaponWS)</f>
        <v>70</v>
      </c>
      <c r="V103" s="118" t="s">
        <v>155</v>
      </c>
      <c r="W103" s="95">
        <f>IF((ISBLANK(V103)),"",WeaponWS)</f>
        <v>70</v>
      </c>
      <c r="X103" s="118" t="s">
        <v>155</v>
      </c>
      <c r="Y103" s="95">
        <f>IF((ISBLANK(X103)),"",WeaponWS)</f>
        <v>70</v>
      </c>
      <c r="Z103" s="118" t="s">
        <v>155</v>
      </c>
      <c r="AA103" s="95">
        <f>IF((ISBLANK(Z103)),"",WeaponWS)</f>
        <v>70</v>
      </c>
      <c r="AB103" s="118" t="s">
        <v>161</v>
      </c>
      <c r="AC103" s="95">
        <f>IF((ISBLANK(AB103)),"",WeaponWS)</f>
        <v>70</v>
      </c>
      <c r="AD103" s="118" t="s">
        <v>161</v>
      </c>
      <c r="AE103" s="95">
        <f>IF((ISBLANK(AD103)),"",WeaponWS)</f>
        <v>70</v>
      </c>
      <c r="AF103" s="118" t="s">
        <v>161</v>
      </c>
      <c r="AG103" s="95">
        <f>IF((ISBLANK(AF103)),"",WeaponWS)</f>
        <v>70</v>
      </c>
      <c r="AH103" s="118" t="s">
        <v>155</v>
      </c>
      <c r="AI103" s="95">
        <f>IF((ISBLANK(AH103)),"",WeaponWS)</f>
        <v>70</v>
      </c>
      <c r="AJ103" s="118" t="s">
        <v>161</v>
      </c>
      <c r="AK103" s="95">
        <f>IF((ISBLANK(AJ103)),"",WeaponWS)</f>
        <v>70</v>
      </c>
      <c r="AL103" s="118" t="s">
        <v>161</v>
      </c>
      <c r="AM103" s="95">
        <f>IF((ISBLANK(AL103)),"",WeaponWS)</f>
        <v>70</v>
      </c>
      <c r="AN103" s="118" t="s">
        <v>161</v>
      </c>
      <c r="AO103" s="95">
        <f>IF((ISBLANK(AN103)),"",WeaponWS)</f>
        <v>70</v>
      </c>
      <c r="AP103" s="118" t="s">
        <v>161</v>
      </c>
      <c r="AQ103" s="95">
        <f>IF((ISBLANK(AP103)),"",WeaponWS)</f>
        <v>70</v>
      </c>
      <c r="AR103" s="118" t="s">
        <v>161</v>
      </c>
      <c r="AS103" s="95">
        <f>IF((ISBLANK(AR103)),"",WeaponWS)</f>
        <v>70</v>
      </c>
      <c r="AT103" s="118" t="s">
        <v>161</v>
      </c>
      <c r="AU103" s="95">
        <f>IF((ISBLANK(AT103)),"",WeaponWS)</f>
        <v>70</v>
      </c>
      <c r="AV103" s="118" t="s">
        <v>161</v>
      </c>
      <c r="AW103" s="95">
        <f>IF((ISBLANK(AV103)),"",WeaponWS)</f>
        <v>70</v>
      </c>
      <c r="AX103" s="118" t="s">
        <v>161</v>
      </c>
      <c r="AY103" s="95">
        <f>IF((ISBLANK(AX103)),"",WeaponWS)</f>
        <v>70</v>
      </c>
      <c r="AZ103" s="118" t="s">
        <v>161</v>
      </c>
      <c r="BA103" s="95">
        <f>IF((ISBLANK(AZ103)),"",WeaponWS)</f>
        <v>70</v>
      </c>
    </row>
    <row r="104" hidden="1" outlineLevel="1">
      <c r="A104" s="90" t="s">
        <v>1467</v>
      </c>
      <c r="B104" s="46"/>
      <c r="C104" s="35"/>
      <c r="D104" s="17" t="s">
        <v>163</v>
      </c>
      <c r="E104" s="46">
        <f>IF((ISBLANK(D104)),"",WeaponGWS)</f>
        <v>150</v>
      </c>
      <c r="F104" s="118" t="s">
        <v>163</v>
      </c>
      <c r="G104" s="95">
        <f>IF((ISBLANK(F104)),"",WeaponGWS)</f>
        <v>150</v>
      </c>
      <c r="H104" s="118" t="s">
        <v>163</v>
      </c>
      <c r="I104" s="95">
        <f>IF((ISBLANK(H104)),"",WeaponGWS)</f>
        <v>150</v>
      </c>
      <c r="J104" s="118" t="s">
        <v>163</v>
      </c>
      <c r="K104" s="95">
        <f>IF((ISBLANK(J104)),"",WeaponGWS)</f>
        <v>150</v>
      </c>
      <c r="L104" s="118" t="s">
        <v>163</v>
      </c>
      <c r="M104" s="95">
        <f>IF((ISBLANK(L104)),"",WeaponGWS)</f>
        <v>150</v>
      </c>
      <c r="N104" s="118" t="s">
        <v>163</v>
      </c>
      <c r="O104" s="95">
        <f>IF((ISBLANK(N104)),"",WeaponGWS)</f>
        <v>150</v>
      </c>
      <c r="P104" s="118" t="s">
        <v>163</v>
      </c>
      <c r="Q104" s="95">
        <f>IF((ISBLANK(P104)),"",WeaponGWS)</f>
        <v>150</v>
      </c>
      <c r="R104" s="118" t="s">
        <v>163</v>
      </c>
      <c r="S104" s="95">
        <f>IF((ISBLANK(R104)),"",WeaponGWS)</f>
        <v>150</v>
      </c>
      <c r="T104" s="118" t="s">
        <v>163</v>
      </c>
      <c r="U104" s="95">
        <f>IF((ISBLANK(T104)),"",WeaponGWS)</f>
        <v>150</v>
      </c>
      <c r="V104" s="118" t="s">
        <v>163</v>
      </c>
      <c r="W104" s="95">
        <f>IF((ISBLANK(V104)),"",WeaponGWS)</f>
        <v>150</v>
      </c>
      <c r="X104" s="118" t="s">
        <v>163</v>
      </c>
      <c r="Y104" s="95">
        <f>IF((ISBLANK(X104)),"",WeaponGWS)</f>
        <v>150</v>
      </c>
      <c r="Z104" s="118" t="s">
        <v>163</v>
      </c>
      <c r="AA104" s="95">
        <f>IF((ISBLANK(Z104)),"",WeaponGWS)</f>
        <v>150</v>
      </c>
      <c r="AB104" s="118"/>
      <c r="AC104" s="46" t="str">
        <f>IF((ISBLANK(AB104)),"",WeaponGWS)</f>
        <v/>
      </c>
      <c r="AD104" s="118"/>
      <c r="AE104" s="95" t="str">
        <f>IF((ISBLANK(AD104)),"",WeaponGWS)</f>
        <v/>
      </c>
      <c r="AF104" s="118"/>
      <c r="AG104" s="46" t="str">
        <f>IF((ISBLANK(AF104)),"",WeaponGWS)</f>
        <v/>
      </c>
      <c r="AH104" s="118" t="s">
        <v>163</v>
      </c>
      <c r="AI104" s="95">
        <f>IF((ISBLANK(AH104)),"",WeaponGWS)</f>
        <v>150</v>
      </c>
      <c r="AJ104" s="118"/>
      <c r="AK104" s="46" t="str">
        <f>IF((ISBLANK(AJ104)),"",WeaponGWS)</f>
        <v/>
      </c>
      <c r="AL104" s="118"/>
      <c r="AM104" s="46" t="str">
        <f>IF((ISBLANK(AL104)),"",WeaponGWS)</f>
        <v/>
      </c>
      <c r="AN104" s="118"/>
      <c r="AO104" s="46" t="str">
        <f>IF((ISBLANK(AN104)),"",WeaponGWS)</f>
        <v/>
      </c>
      <c r="AP104" s="118"/>
      <c r="AQ104" s="46" t="str">
        <f>IF((ISBLANK(AP104)),"",WeaponGWS)</f>
        <v/>
      </c>
      <c r="AR104" s="118"/>
      <c r="AS104" s="46" t="str">
        <f>IF((ISBLANK(AR104)),"",WeaponGWS)</f>
        <v/>
      </c>
      <c r="AT104" s="118"/>
      <c r="AU104" s="46" t="str">
        <f>IF((ISBLANK(AT104)),"",WeaponGWS)</f>
        <v/>
      </c>
      <c r="AV104" s="118"/>
      <c r="AW104" s="46" t="str">
        <f>IF((ISBLANK(AV104)),"",WeaponGWS)</f>
        <v/>
      </c>
      <c r="AX104" s="118"/>
      <c r="AY104" s="46" t="str">
        <f>IF((ISBLANK(AX104)),"",WeaponGWS)</f>
        <v/>
      </c>
      <c r="AZ104" s="118"/>
      <c r="BA104" s="46" t="str">
        <f>IF((ISBLANK(AZ104)),"",WeaponGWS)</f>
        <v/>
      </c>
    </row>
    <row r="105" hidden="1" outlineLevel="1">
      <c r="A105" s="90" t="s">
        <v>1468</v>
      </c>
      <c r="B105" s="46"/>
      <c r="C105" s="35"/>
      <c r="D105" s="17" t="s">
        <v>149</v>
      </c>
      <c r="E105" s="46">
        <f>IF((ISBLANK(D105)),"",Trained)</f>
        <v>10</v>
      </c>
      <c r="F105" s="118" t="s">
        <v>149</v>
      </c>
      <c r="G105" s="95">
        <f>IF((ISBLANK(F105)),"",Trained)</f>
        <v>10</v>
      </c>
      <c r="H105" s="118" t="s">
        <v>149</v>
      </c>
      <c r="I105" s="95">
        <f>IF((ISBLANK(H105)),"",Trained)</f>
        <v>10</v>
      </c>
      <c r="J105" s="118" t="s">
        <v>622</v>
      </c>
      <c r="K105" s="95">
        <f>IF((ISBLANK(J105)),"",Trained)</f>
        <v>10</v>
      </c>
      <c r="L105" s="118" t="s">
        <v>149</v>
      </c>
      <c r="M105" s="95">
        <f>IF((ISBLANK(L105)),"",Trained)</f>
        <v>10</v>
      </c>
      <c r="N105" s="118" t="s">
        <v>149</v>
      </c>
      <c r="O105" s="95">
        <f>IF((ISBLANK(N105)),"",Trained)</f>
        <v>10</v>
      </c>
      <c r="P105" s="118" t="s">
        <v>149</v>
      </c>
      <c r="Q105" s="95">
        <f>IF((ISBLANK(P105)),"",Trained)</f>
        <v>10</v>
      </c>
      <c r="R105" s="118" t="s">
        <v>149</v>
      </c>
      <c r="S105" s="95">
        <f>IF((ISBLANK(R105)),"",Trained)</f>
        <v>10</v>
      </c>
      <c r="T105" s="118" t="s">
        <v>149</v>
      </c>
      <c r="U105" s="95">
        <f>IF((ISBLANK(T105)),"",Trained)</f>
        <v>10</v>
      </c>
      <c r="V105" s="118" t="s">
        <v>149</v>
      </c>
      <c r="W105" s="95">
        <f>IF((ISBLANK(V105)),"",Trained)</f>
        <v>10</v>
      </c>
      <c r="X105" s="118" t="s">
        <v>149</v>
      </c>
      <c r="Y105" s="95">
        <f>IF((ISBLANK(X105)),"",Trained)</f>
        <v>10</v>
      </c>
      <c r="Z105" s="118" t="s">
        <v>149</v>
      </c>
      <c r="AA105" s="95">
        <f>IF((ISBLANK(Z105)),"",Trained)</f>
        <v>10</v>
      </c>
      <c r="AB105" s="118" t="s">
        <v>149</v>
      </c>
      <c r="AC105" s="95">
        <f>IF((ISBLANK(AB105)),"",Trained)</f>
        <v>10</v>
      </c>
      <c r="AD105" s="118" t="s">
        <v>149</v>
      </c>
      <c r="AE105" s="95">
        <f>IF((ISBLANK(AD105)),"",Trained)</f>
        <v>10</v>
      </c>
      <c r="AF105" s="118" t="s">
        <v>149</v>
      </c>
      <c r="AG105" s="95">
        <f>IF((ISBLANK(AF105)),"",Trained)</f>
        <v>10</v>
      </c>
      <c r="AH105" s="118" t="s">
        <v>149</v>
      </c>
      <c r="AI105" s="95">
        <f>IF((ISBLANK(AH105)),"",Trained)</f>
        <v>10</v>
      </c>
      <c r="AJ105" s="118" t="s">
        <v>149</v>
      </c>
      <c r="AK105" s="95">
        <f>IF((ISBLANK(AJ105)),"",Trained)</f>
        <v>10</v>
      </c>
      <c r="AL105" s="118" t="s">
        <v>149</v>
      </c>
      <c r="AM105" s="95">
        <f>IF((ISBLANK(AL105)),"",Trained)</f>
        <v>10</v>
      </c>
      <c r="AN105" s="118" t="s">
        <v>149</v>
      </c>
      <c r="AO105" s="95">
        <f>IF((ISBLANK(AN105)),"",Trained)</f>
        <v>10</v>
      </c>
      <c r="AP105" s="118" t="s">
        <v>149</v>
      </c>
      <c r="AQ105" s="95">
        <f>IF((ISBLANK(AP105)),"",Trained)</f>
        <v>10</v>
      </c>
      <c r="AR105" s="118" t="s">
        <v>149</v>
      </c>
      <c r="AS105" s="95">
        <f>IF((ISBLANK(AR105)),"",Trained)</f>
        <v>10</v>
      </c>
      <c r="AT105" s="118" t="s">
        <v>149</v>
      </c>
      <c r="AU105" s="95">
        <f>IF((ISBLANK(AT105)),"",Trained)</f>
        <v>10</v>
      </c>
      <c r="AV105" s="118" t="s">
        <v>149</v>
      </c>
      <c r="AW105" s="95">
        <f>IF((ISBLANK(AV105)),"",Trained)</f>
        <v>10</v>
      </c>
      <c r="AX105" s="118" t="s">
        <v>149</v>
      </c>
      <c r="AY105" s="95">
        <f>IF((ISBLANK(AX105)),"",Trained)</f>
        <v>10</v>
      </c>
      <c r="AZ105" s="118" t="s">
        <v>149</v>
      </c>
      <c r="BA105" s="95">
        <f>IF((ISBLANK(AZ105)),"",Trained)</f>
        <v>10</v>
      </c>
    </row>
    <row r="106" hidden="1" outlineLevel="1">
      <c r="A106" s="37" t="s">
        <v>1469</v>
      </c>
      <c r="B106" s="46"/>
      <c r="C106" s="35"/>
      <c r="D106" s="17" t="s">
        <v>151</v>
      </c>
      <c r="E106" s="46">
        <f>IF((ISBLANK(D106)),"",Expert)</f>
        <v>50</v>
      </c>
      <c r="F106" s="118" t="s">
        <v>153</v>
      </c>
      <c r="G106" s="39" t="s">
        <v>436</v>
      </c>
      <c r="H106" s="118" t="s">
        <v>153</v>
      </c>
      <c r="I106" s="39" t="s">
        <v>436</v>
      </c>
      <c r="J106" s="118" t="s">
        <v>149</v>
      </c>
      <c r="K106" s="39" t="s">
        <v>436</v>
      </c>
      <c r="L106" s="118" t="s">
        <v>153</v>
      </c>
      <c r="M106" s="39" t="s">
        <v>436</v>
      </c>
      <c r="N106" s="118" t="s">
        <v>153</v>
      </c>
      <c r="O106" s="39" t="s">
        <v>436</v>
      </c>
      <c r="P106" s="118" t="s">
        <v>153</v>
      </c>
      <c r="Q106" s="39" t="s">
        <v>436</v>
      </c>
      <c r="R106" s="118" t="s">
        <v>153</v>
      </c>
      <c r="S106" s="39" t="s">
        <v>436</v>
      </c>
      <c r="T106" s="118" t="s">
        <v>153</v>
      </c>
      <c r="U106" s="39" t="s">
        <v>436</v>
      </c>
      <c r="V106" s="118" t="s">
        <v>153</v>
      </c>
      <c r="W106" s="39" t="s">
        <v>436</v>
      </c>
      <c r="X106" s="118" t="s">
        <v>153</v>
      </c>
      <c r="Y106" s="39" t="s">
        <v>436</v>
      </c>
      <c r="Z106" s="118" t="s">
        <v>153</v>
      </c>
      <c r="AA106" s="39" t="s">
        <v>436</v>
      </c>
      <c r="AB106" s="118" t="s">
        <v>155</v>
      </c>
      <c r="AC106" s="39" t="s">
        <v>436</v>
      </c>
      <c r="AD106" s="118" t="s">
        <v>159</v>
      </c>
      <c r="AE106" s="39" t="s">
        <v>436</v>
      </c>
      <c r="AF106" s="118" t="s">
        <v>159</v>
      </c>
      <c r="AG106" s="39" t="s">
        <v>436</v>
      </c>
      <c r="AH106" s="118" t="s">
        <v>153</v>
      </c>
      <c r="AI106" s="39" t="s">
        <v>436</v>
      </c>
      <c r="AJ106" s="118" t="s">
        <v>155</v>
      </c>
      <c r="AK106" s="224" t="s">
        <v>436</v>
      </c>
      <c r="AL106" s="118" t="s">
        <v>159</v>
      </c>
      <c r="AM106" s="224" t="s">
        <v>436</v>
      </c>
      <c r="AN106" s="118" t="s">
        <v>159</v>
      </c>
      <c r="AO106" s="39" t="s">
        <v>436</v>
      </c>
      <c r="AP106" s="118" t="s">
        <v>159</v>
      </c>
      <c r="AQ106" s="39" t="s">
        <v>436</v>
      </c>
      <c r="AR106" s="118" t="s">
        <v>159</v>
      </c>
      <c r="AS106" s="39" t="s">
        <v>436</v>
      </c>
      <c r="AT106" s="118" t="s">
        <v>159</v>
      </c>
      <c r="AU106" s="39" t="s">
        <v>436</v>
      </c>
      <c r="AV106" s="118" t="s">
        <v>159</v>
      </c>
      <c r="AW106" s="39" t="s">
        <v>436</v>
      </c>
      <c r="AX106" s="118" t="s">
        <v>159</v>
      </c>
      <c r="AY106" s="39" t="s">
        <v>436</v>
      </c>
      <c r="AZ106" s="118" t="s">
        <v>159</v>
      </c>
      <c r="BA106" s="39" t="s">
        <v>436</v>
      </c>
    </row>
    <row r="107" hidden="1" outlineLevel="1">
      <c r="A107" s="37" t="s">
        <v>1470</v>
      </c>
      <c r="B107" s="46"/>
      <c r="C107" s="35"/>
      <c r="D107" s="17" t="s">
        <v>153</v>
      </c>
      <c r="E107" s="46">
        <f>IF((ISBLANK(D107)),"",Master)</f>
        <v>110</v>
      </c>
      <c r="F107" s="118" t="s">
        <v>161</v>
      </c>
      <c r="G107" s="39" t="s">
        <v>437</v>
      </c>
      <c r="H107" s="118" t="s">
        <v>161</v>
      </c>
      <c r="I107" s="39" t="s">
        <v>437</v>
      </c>
      <c r="J107" s="118" t="s">
        <v>161</v>
      </c>
      <c r="K107" s="39" t="s">
        <v>437</v>
      </c>
      <c r="L107" s="118" t="s">
        <v>161</v>
      </c>
      <c r="M107" s="39" t="s">
        <v>437</v>
      </c>
      <c r="N107" s="118" t="s">
        <v>161</v>
      </c>
      <c r="O107" s="39" t="s">
        <v>437</v>
      </c>
      <c r="P107" s="118" t="s">
        <v>161</v>
      </c>
      <c r="Q107" s="39" t="s">
        <v>437</v>
      </c>
      <c r="R107" s="118" t="s">
        <v>161</v>
      </c>
      <c r="S107" s="39" t="s">
        <v>437</v>
      </c>
      <c r="T107" s="118" t="s">
        <v>161</v>
      </c>
      <c r="U107" s="39" t="s">
        <v>437</v>
      </c>
      <c r="V107" s="118" t="s">
        <v>161</v>
      </c>
      <c r="W107" s="39" t="s">
        <v>437</v>
      </c>
      <c r="X107" s="118" t="s">
        <v>161</v>
      </c>
      <c r="Y107" s="39" t="s">
        <v>437</v>
      </c>
      <c r="Z107" s="118" t="s">
        <v>161</v>
      </c>
      <c r="AA107" s="39" t="s">
        <v>437</v>
      </c>
      <c r="AB107" s="118"/>
      <c r="AC107" s="46" t="str">
        <f>IF((ISBLANK(AB107)),"",Master)</f>
        <v/>
      </c>
      <c r="AD107" s="118"/>
      <c r="AE107" s="46" t="str">
        <f>IF((ISBLANK(AD107)),"",Master)</f>
        <v/>
      </c>
      <c r="AF107" s="118"/>
      <c r="AG107" s="46" t="str">
        <f>IF((ISBLANK(AF107)),"",Master)</f>
        <v/>
      </c>
      <c r="AH107" s="118" t="s">
        <v>161</v>
      </c>
      <c r="AI107" s="39" t="s">
        <v>437</v>
      </c>
      <c r="AJ107" s="118"/>
      <c r="AK107" s="46" t="str">
        <f>IF((ISBLANK(AJ107)),"",Master)</f>
        <v/>
      </c>
      <c r="AL107" s="118"/>
      <c r="AM107" s="46" t="str">
        <f>IF((ISBLANK(AL107)),"",Master)</f>
        <v/>
      </c>
      <c r="AN107" s="118"/>
      <c r="AO107" s="46" t="str">
        <f>IF((ISBLANK(AN107)),"",Master)</f>
        <v/>
      </c>
      <c r="AP107" s="118"/>
      <c r="AQ107" s="46" t="str">
        <f>IF((ISBLANK(AP107)),"",Master)</f>
        <v/>
      </c>
      <c r="AR107" s="118"/>
      <c r="AS107" s="46" t="str">
        <f>IF((ISBLANK(AR107)),"",Master)</f>
        <v/>
      </c>
      <c r="AT107" s="118"/>
      <c r="AU107" s="46" t="str">
        <f>IF((ISBLANK(AT107)),"",Master)</f>
        <v/>
      </c>
      <c r="AV107" s="118"/>
      <c r="AW107" s="46" t="str">
        <f>IF((ISBLANK(AV107)),"",Master)</f>
        <v/>
      </c>
      <c r="AX107" s="118"/>
      <c r="AY107" s="46" t="str">
        <f>IF((ISBLANK(AX107)),"",Master)</f>
        <v/>
      </c>
      <c r="AZ107" s="118"/>
      <c r="BA107" s="46" t="str">
        <f>IF((ISBLANK(AZ107)),"",Master)</f>
        <v/>
      </c>
    </row>
    <row r="108" hidden="1" outlineLevel="1">
      <c r="A108" s="37" t="s">
        <v>1471</v>
      </c>
      <c r="B108" s="46"/>
      <c r="C108" s="35"/>
      <c r="D108" s="17" t="s">
        <v>155</v>
      </c>
      <c r="E108" s="46">
        <f>IF((ISBLANK(D108)),"",Legendary)</f>
        <v>190</v>
      </c>
      <c r="F108" s="118"/>
      <c r="G108" s="46" t="str">
        <f>IF((ISBLANK(F108)),"",Legendary)</f>
        <v/>
      </c>
      <c r="H108" s="118"/>
      <c r="I108" s="46" t="str">
        <f>IF((ISBLANK(H108)),"",Legendary)</f>
        <v/>
      </c>
      <c r="J108" s="118" t="s">
        <v>167</v>
      </c>
      <c r="K108" s="39" t="s">
        <v>466</v>
      </c>
      <c r="L108" s="118"/>
      <c r="M108" s="46" t="str">
        <f>IF((ISBLANK(L108)),"",Legendary)</f>
        <v/>
      </c>
      <c r="N108" s="118"/>
      <c r="O108" s="46" t="str">
        <f>IF((ISBLANK(N108)),"",Legendary)</f>
        <v/>
      </c>
      <c r="P108" s="118"/>
      <c r="Q108" s="46" t="str">
        <f>IF((ISBLANK(P108)),"",Legendary)</f>
        <v/>
      </c>
      <c r="R108" s="118"/>
      <c r="S108" s="46" t="str">
        <f>IF((ISBLANK(R108)),"",Legendary)</f>
        <v/>
      </c>
      <c r="T108" s="118"/>
      <c r="U108" s="46" t="str">
        <f>IF((ISBLANK(T108)),"",Legendary)</f>
        <v/>
      </c>
      <c r="V108" s="118"/>
      <c r="W108" s="46" t="str">
        <f>IF((ISBLANK(V108)),"",Legendary)</f>
        <v/>
      </c>
      <c r="X108" s="118"/>
      <c r="Y108" s="46" t="str">
        <f>IF((ISBLANK(X108)),"",Legendary)</f>
        <v/>
      </c>
      <c r="Z108" s="118"/>
      <c r="AA108" s="46" t="str">
        <f>IF((ISBLANK(Z108)),"",Legendary)</f>
        <v/>
      </c>
      <c r="AB108" s="118"/>
      <c r="AC108" s="46" t="str">
        <f>IF((ISBLANK(AB108)),"",Legendary)</f>
        <v/>
      </c>
      <c r="AD108" s="118"/>
      <c r="AE108" s="46" t="str">
        <f>IF((ISBLANK(AD108)),"",Legendary)</f>
        <v/>
      </c>
      <c r="AF108" s="118"/>
      <c r="AG108" s="46" t="str">
        <f>IF((ISBLANK(AF108)),"",Legendary)</f>
        <v/>
      </c>
      <c r="AH108" s="118"/>
      <c r="AI108" s="46" t="str">
        <f>IF((ISBLANK(AH108)),"",Legendary)</f>
        <v/>
      </c>
      <c r="AJ108" s="118"/>
      <c r="AK108" s="46" t="str">
        <f>IF((ISBLANK(AJ108)),"",Legendary)</f>
        <v/>
      </c>
      <c r="AL108" s="118"/>
      <c r="AM108" s="46" t="str">
        <f>IF((ISBLANK(AL108)),"",Legendary)</f>
        <v/>
      </c>
      <c r="AN108" s="118"/>
      <c r="AO108" s="46" t="str">
        <f>IF((ISBLANK(AN108)),"",Legendary)</f>
        <v/>
      </c>
      <c r="AP108" s="118"/>
      <c r="AQ108" s="46" t="str">
        <f>IF((ISBLANK(AP108)),"",Legendary)</f>
        <v/>
      </c>
      <c r="AR108" s="118"/>
      <c r="AS108" s="46" t="str">
        <f>IF((ISBLANK(AR108)),"",Legendary)</f>
        <v/>
      </c>
      <c r="AT108" s="118"/>
      <c r="AU108" s="46" t="str">
        <f>IF((ISBLANK(AT108)),"",Legendary)</f>
        <v/>
      </c>
      <c r="AV108" s="118"/>
      <c r="AW108" s="46" t="str">
        <f>IF((ISBLANK(AV108)),"",Legendary)</f>
        <v/>
      </c>
      <c r="AX108" s="118"/>
      <c r="AY108" s="46" t="str">
        <f>IF((ISBLANK(AX108)),"",Legendary)</f>
        <v/>
      </c>
      <c r="AZ108" s="118"/>
      <c r="BA108" s="46" t="str">
        <f>IF((ISBLANK(AZ108)),"",Legendary)</f>
        <v/>
      </c>
    </row>
    <row r="109" hidden="1" outlineLevel="1">
      <c r="A109" s="37" t="s">
        <v>1472</v>
      </c>
      <c r="B109" s="46"/>
      <c r="C109" s="35"/>
      <c r="D109" s="17" t="s">
        <v>149</v>
      </c>
      <c r="E109" s="46">
        <f>IF((ISBLANK(D109)),"",Trained)</f>
        <v>10</v>
      </c>
      <c r="F109" s="118"/>
      <c r="G109" s="46" t="str">
        <f>IF((ISBLANK(F109)),"",Trained)</f>
        <v/>
      </c>
      <c r="H109" s="118"/>
      <c r="I109" s="46" t="str">
        <f>IF((ISBLANK(H109)),"",Trained)</f>
        <v/>
      </c>
      <c r="J109" s="118"/>
      <c r="K109" s="118"/>
      <c r="L109" s="118"/>
      <c r="M109" s="46" t="str">
        <f>IF((ISBLANK(L109)),"",Trained)</f>
        <v/>
      </c>
      <c r="N109" s="118"/>
      <c r="O109" s="46" t="str">
        <f>IF((ISBLANK(N109)),"",Trained)</f>
        <v/>
      </c>
      <c r="P109" s="118"/>
      <c r="Q109" s="46" t="str">
        <f>IF((ISBLANK(P109)),"",Trained)</f>
        <v/>
      </c>
      <c r="R109" s="118"/>
      <c r="S109" s="46" t="str">
        <f>IF((ISBLANK(R109)),"",Trained)</f>
        <v/>
      </c>
      <c r="T109" s="118"/>
      <c r="U109" s="46" t="str">
        <f>IF((ISBLANK(T109)),"",Trained)</f>
        <v/>
      </c>
      <c r="V109" s="118"/>
      <c r="W109" s="46" t="str">
        <f>IF((ISBLANK(V109)),"",Trained)</f>
        <v/>
      </c>
      <c r="X109" s="118" t="s">
        <v>622</v>
      </c>
      <c r="Y109" s="225" t="s">
        <v>435</v>
      </c>
      <c r="Z109" s="118"/>
      <c r="AA109" s="46" t="str">
        <f>IF((ISBLANK(Z109)),"",Trained)</f>
        <v/>
      </c>
      <c r="AB109" s="118"/>
      <c r="AC109" s="46" t="str">
        <f>IF((ISBLANK(AB109)),"",Trained)</f>
        <v/>
      </c>
      <c r="AD109" s="118"/>
      <c r="AE109" s="46" t="str">
        <f>IF((ISBLANK(AD109)),"",Trained)</f>
        <v/>
      </c>
      <c r="AF109" s="118"/>
      <c r="AG109" s="46" t="str">
        <f>IF((ISBLANK(AF109)),"",Trained)</f>
        <v/>
      </c>
      <c r="AH109" s="118"/>
      <c r="AI109" s="46" t="str">
        <f>IF((ISBLANK(AH109)),"",Trained)</f>
        <v/>
      </c>
      <c r="AJ109" s="118"/>
      <c r="AK109" s="46" t="str">
        <f>IF((ISBLANK(AJ109)),"",Trained)</f>
        <v/>
      </c>
      <c r="AL109" s="118"/>
      <c r="AM109" s="46" t="str">
        <f>IF((ISBLANK(AL109)),"",Trained)</f>
        <v/>
      </c>
      <c r="AN109" s="118"/>
      <c r="AO109" s="46" t="str">
        <f>IF((ISBLANK(AN109)),"",Trained)</f>
        <v/>
      </c>
      <c r="AP109" s="118"/>
      <c r="AQ109" s="46" t="str">
        <f>IF((ISBLANK(AP109)),"",Trained)</f>
        <v/>
      </c>
      <c r="AR109" s="118"/>
      <c r="AS109" s="46" t="str">
        <f>IF((ISBLANK(AR109)),"",Trained)</f>
        <v/>
      </c>
      <c r="AT109" s="118"/>
      <c r="AU109" s="46" t="str">
        <f>IF((ISBLANK(AT109)),"",Trained)</f>
        <v/>
      </c>
      <c r="AV109" s="118" t="s">
        <v>149</v>
      </c>
      <c r="AW109" s="95">
        <f>IF((ISBLANK(AV109)),"",Trained)</f>
        <v>10</v>
      </c>
      <c r="AX109" s="118"/>
      <c r="AY109" s="46" t="str">
        <f>IF((ISBLANK(AX109)),"",Trained)</f>
        <v/>
      </c>
      <c r="AZ109" s="118"/>
      <c r="BA109" s="46" t="str">
        <f>IF((ISBLANK(AZ109)),"",Trained)</f>
        <v/>
      </c>
    </row>
    <row r="110" hidden="1" outlineLevel="1">
      <c r="A110" s="37" t="s">
        <v>1473</v>
      </c>
      <c r="B110" s="46"/>
      <c r="C110" s="35"/>
      <c r="D110" s="17" t="s">
        <v>151</v>
      </c>
      <c r="E110" s="46">
        <f>IF((ISBLANK(D110)),"",Expert)</f>
        <v>50</v>
      </c>
      <c r="F110" s="118"/>
      <c r="G110" s="46" t="str">
        <f>IF((ISBLANK(F110)),"",Expert)</f>
        <v/>
      </c>
      <c r="H110" s="118"/>
      <c r="I110" s="46" t="str">
        <f>IF((ISBLANK(H110)),"",Expert)</f>
        <v/>
      </c>
      <c r="J110" s="118"/>
      <c r="K110" s="118"/>
      <c r="L110" s="118"/>
      <c r="M110" s="46" t="str">
        <f>IF((ISBLANK(L110)),"",Expert)</f>
        <v/>
      </c>
      <c r="N110" s="118"/>
      <c r="O110" s="46" t="str">
        <f>IF((ISBLANK(N110)),"",Expert)</f>
        <v/>
      </c>
      <c r="P110" s="118"/>
      <c r="Q110" s="46" t="str">
        <f>IF((ISBLANK(P110)),"",Expert)</f>
        <v/>
      </c>
      <c r="R110" s="118"/>
      <c r="S110" s="46" t="str">
        <f>IF((ISBLANK(R110)),"",Expert)</f>
        <v/>
      </c>
      <c r="T110" s="118"/>
      <c r="U110" s="46" t="str">
        <f>IF((ISBLANK(T110)),"",Expert)</f>
        <v/>
      </c>
      <c r="V110" s="118"/>
      <c r="W110" s="46" t="str">
        <f>IF((ISBLANK(V110)),"",Expert)</f>
        <v/>
      </c>
      <c r="X110" s="118" t="s">
        <v>149</v>
      </c>
      <c r="Y110" s="225" t="s">
        <v>436</v>
      </c>
      <c r="Z110" s="118"/>
      <c r="AA110" s="46" t="str">
        <f>IF((ISBLANK(Z110)),"",Expert)</f>
        <v/>
      </c>
      <c r="AB110" s="118"/>
      <c r="AC110" s="46" t="str">
        <f>IF((ISBLANK(AB110)),"",Expert)</f>
        <v/>
      </c>
      <c r="AD110" s="118"/>
      <c r="AE110" s="46" t="str">
        <f>IF((ISBLANK(AD110)),"",Expert)</f>
        <v/>
      </c>
      <c r="AF110" s="118"/>
      <c r="AG110" s="46" t="str">
        <f>IF((ISBLANK(AF110)),"",Expert)</f>
        <v/>
      </c>
      <c r="AH110" s="118"/>
      <c r="AI110" s="46" t="str">
        <f>IF((ISBLANK(AH110)),"",Expert)</f>
        <v/>
      </c>
      <c r="AJ110" s="118"/>
      <c r="AK110" s="46" t="str">
        <f>IF((ISBLANK(AJ110)),"",Expert)</f>
        <v/>
      </c>
      <c r="AL110" s="118"/>
      <c r="AM110" s="46" t="str">
        <f>IF((ISBLANK(AL110)),"",Expert)</f>
        <v/>
      </c>
      <c r="AN110" s="118"/>
      <c r="AO110" s="46" t="str">
        <f>IF((ISBLANK(AN110)),"",Expert)</f>
        <v/>
      </c>
      <c r="AP110" s="118"/>
      <c r="AQ110" s="46" t="str">
        <f>IF((ISBLANK(AP110)),"",Expert)</f>
        <v/>
      </c>
      <c r="AR110" s="118"/>
      <c r="AS110" s="46" t="str">
        <f>IF((ISBLANK(AR110)),"",Expert)</f>
        <v/>
      </c>
      <c r="AT110" s="118"/>
      <c r="AU110" s="46" t="str">
        <f>IF((ISBLANK(AT110)),"",Expert)</f>
        <v/>
      </c>
      <c r="AV110" s="118" t="s">
        <v>159</v>
      </c>
      <c r="AW110" s="95">
        <f>IF((ISBLANK(AV110)),"",Expert)</f>
        <v>50</v>
      </c>
      <c r="AX110" s="118"/>
      <c r="AY110" s="46" t="str">
        <f>IF((ISBLANK(AX110)),"",Expert)</f>
        <v/>
      </c>
      <c r="AZ110" s="118"/>
      <c r="BA110" s="46" t="str">
        <f>IF((ISBLANK(AZ110)),"",Expert)</f>
        <v/>
      </c>
    </row>
    <row r="111" hidden="1" outlineLevel="1">
      <c r="A111" s="37" t="s">
        <v>1474</v>
      </c>
      <c r="B111" s="46"/>
      <c r="C111" s="35"/>
      <c r="D111" s="17" t="s">
        <v>153</v>
      </c>
      <c r="E111" s="46">
        <f>IF((ISBLANK(D111)),"",Master)</f>
        <v>110</v>
      </c>
      <c r="F111" s="118"/>
      <c r="G111" s="46" t="str">
        <f>IF((ISBLANK(F111)),"",Master)</f>
        <v/>
      </c>
      <c r="H111" s="118"/>
      <c r="I111" s="46" t="str">
        <f>IF((ISBLANK(H111)),"",Master)</f>
        <v/>
      </c>
      <c r="J111" s="118" t="s">
        <v>153</v>
      </c>
      <c r="K111" s="225" t="s">
        <v>437</v>
      </c>
      <c r="L111" s="118"/>
      <c r="M111" s="46" t="str">
        <f>IF((ISBLANK(L111)),"",Master)</f>
        <v/>
      </c>
      <c r="N111" s="118"/>
      <c r="O111" s="46" t="str">
        <f>IF((ISBLANK(N111)),"",Master)</f>
        <v/>
      </c>
      <c r="P111" s="118"/>
      <c r="Q111" s="46" t="str">
        <f>IF((ISBLANK(P111)),"",Master)</f>
        <v/>
      </c>
      <c r="R111" s="118"/>
      <c r="S111" s="46" t="str">
        <f>IF((ISBLANK(R111)),"",Master)</f>
        <v/>
      </c>
      <c r="T111" s="118"/>
      <c r="U111" s="46" t="str">
        <f>IF((ISBLANK(T111)),"",Master)</f>
        <v/>
      </c>
      <c r="V111" s="118"/>
      <c r="W111" s="46" t="str">
        <f>IF((ISBLANK(V111)),"",Master)</f>
        <v/>
      </c>
      <c r="X111" s="118" t="s">
        <v>153</v>
      </c>
      <c r="Y111" s="225" t="s">
        <v>437</v>
      </c>
      <c r="Z111" s="118"/>
      <c r="AA111" s="46" t="str">
        <f>IF((ISBLANK(Z111)),"",Master)</f>
        <v/>
      </c>
      <c r="AB111" s="118"/>
      <c r="AC111" s="46" t="str">
        <f>IF((ISBLANK(AB111)),"",Master)</f>
        <v/>
      </c>
      <c r="AD111" s="118"/>
      <c r="AE111" s="46" t="str">
        <f>IF((ISBLANK(AD111)),"",Master)</f>
        <v/>
      </c>
      <c r="AF111" s="118"/>
      <c r="AG111" s="46" t="str">
        <f>IF((ISBLANK(AF111)),"",Master)</f>
        <v/>
      </c>
      <c r="AH111" s="118"/>
      <c r="AI111" s="46" t="str">
        <f>IF((ISBLANK(AH111)),"",Master)</f>
        <v/>
      </c>
      <c r="AJ111" s="118"/>
      <c r="AK111" s="46" t="str">
        <f>IF((ISBLANK(AJ111)),"",Master)</f>
        <v/>
      </c>
      <c r="AL111" s="118"/>
      <c r="AM111" s="46" t="str">
        <f>IF((ISBLANK(AL111)),"",Master)</f>
        <v/>
      </c>
      <c r="AN111" s="118"/>
      <c r="AO111" s="46" t="str">
        <f>IF((ISBLANK(AN111)),"",Master)</f>
        <v/>
      </c>
      <c r="AP111" s="118"/>
      <c r="AQ111" s="46" t="str">
        <f>IF((ISBLANK(AP111)),"",Master)</f>
        <v/>
      </c>
      <c r="AR111" s="118"/>
      <c r="AS111" s="46" t="str">
        <f>IF((ISBLANK(AR111)),"",Master)</f>
        <v/>
      </c>
      <c r="AT111" s="118"/>
      <c r="AU111" s="46" t="str">
        <f>IF((ISBLANK(AT111)),"",Master)</f>
        <v/>
      </c>
      <c r="AV111" s="118"/>
      <c r="AW111" s="46" t="str">
        <f>IF((ISBLANK(AV111)),"",Master)</f>
        <v/>
      </c>
      <c r="AX111" s="118"/>
      <c r="AY111" s="46" t="str">
        <f>IF((ISBLANK(AX111)),"",Master)</f>
        <v/>
      </c>
      <c r="AZ111" s="118"/>
      <c r="BA111" s="46" t="str">
        <f>IF((ISBLANK(AZ111)),"",Master)</f>
        <v/>
      </c>
    </row>
    <row r="112" hidden="1" outlineLevel="1">
      <c r="A112" s="37" t="s">
        <v>1475</v>
      </c>
      <c r="B112" s="46"/>
      <c r="C112" s="35"/>
      <c r="D112" s="17" t="s">
        <v>155</v>
      </c>
      <c r="E112" s="46">
        <f>IF((ISBLANK(D112)),"",Legendary)</f>
        <v>190</v>
      </c>
      <c r="F112" s="118"/>
      <c r="G112" s="46" t="str">
        <f>IF((ISBLANK(F112)),"",Legendary)</f>
        <v/>
      </c>
      <c r="H112" s="118"/>
      <c r="I112" s="46" t="str">
        <f>IF((ISBLANK(H112)),"",Legendary)</f>
        <v/>
      </c>
      <c r="J112" s="118" t="s">
        <v>161</v>
      </c>
      <c r="K112" s="225" t="s">
        <v>466</v>
      </c>
      <c r="L112" s="118"/>
      <c r="M112" s="46" t="str">
        <f>IF((ISBLANK(L112)),"",Legendary)</f>
        <v/>
      </c>
      <c r="N112" s="118"/>
      <c r="O112" s="46" t="str">
        <f>IF((ISBLANK(N112)),"",Legendary)</f>
        <v/>
      </c>
      <c r="P112" s="118"/>
      <c r="Q112" s="46" t="str">
        <f>IF((ISBLANK(P112)),"",Legendary)</f>
        <v/>
      </c>
      <c r="R112" s="118"/>
      <c r="S112" s="46" t="str">
        <f>IF((ISBLANK(R112)),"",Legendary)</f>
        <v/>
      </c>
      <c r="T112" s="118"/>
      <c r="U112" s="46" t="str">
        <f>IF((ISBLANK(T112)),"",Legendary)</f>
        <v/>
      </c>
      <c r="V112" s="118"/>
      <c r="W112" s="46" t="str">
        <f>IF((ISBLANK(V112)),"",Legendary)</f>
        <v/>
      </c>
      <c r="X112" s="118" t="s">
        <v>161</v>
      </c>
      <c r="Y112" s="225" t="s">
        <v>466</v>
      </c>
      <c r="Z112" s="118"/>
      <c r="AA112" s="46" t="str">
        <f>IF((ISBLANK(Z112)),"",Legendary)</f>
        <v/>
      </c>
      <c r="AB112" s="118"/>
      <c r="AC112" s="46" t="str">
        <f>IF((ISBLANK(AB112)),"",Legendary)</f>
        <v/>
      </c>
      <c r="AD112" s="118"/>
      <c r="AE112" s="46" t="str">
        <f>IF((ISBLANK(AD112)),"",Legendary)</f>
        <v/>
      </c>
      <c r="AF112" s="118"/>
      <c r="AG112" s="46" t="str">
        <f>IF((ISBLANK(AF112)),"",Legendary)</f>
        <v/>
      </c>
      <c r="AH112" s="118"/>
      <c r="AI112" s="46" t="str">
        <f>IF((ISBLANK(AH112)),"",Legendary)</f>
        <v/>
      </c>
      <c r="AJ112" s="118"/>
      <c r="AK112" s="46" t="str">
        <f>IF((ISBLANK(AJ112)),"",Legendary)</f>
        <v/>
      </c>
      <c r="AL112" s="118"/>
      <c r="AM112" s="46" t="str">
        <f>IF((ISBLANK(AL112)),"",Legendary)</f>
        <v/>
      </c>
      <c r="AN112" s="118"/>
      <c r="AO112" s="46" t="str">
        <f>IF((ISBLANK(AN112)),"",Legendary)</f>
        <v/>
      </c>
      <c r="AP112" s="118"/>
      <c r="AQ112" s="46" t="str">
        <f>IF((ISBLANK(AP112)),"",Legendary)</f>
        <v/>
      </c>
      <c r="AR112" s="118"/>
      <c r="AS112" s="46" t="str">
        <f>IF((ISBLANK(AR112)),"",Legendary)</f>
        <v/>
      </c>
      <c r="AT112" s="118"/>
      <c r="AU112" s="46" t="str">
        <f>IF((ISBLANK(AT112)),"",Legendary)</f>
        <v/>
      </c>
      <c r="AV112" s="118"/>
      <c r="AW112" s="46" t="str">
        <f>IF((ISBLANK(AV112)),"",Legendary)</f>
        <v/>
      </c>
      <c r="AX112" s="118"/>
      <c r="AY112" s="46" t="str">
        <f>IF((ISBLANK(AX112)),"",Legendary)</f>
        <v/>
      </c>
      <c r="AZ112" s="118"/>
      <c r="BA112" s="46" t="str">
        <f>IF((ISBLANK(AZ112)),"",Legendary)</f>
        <v/>
      </c>
    </row>
    <row r="113" hidden="1" outlineLevel="1">
      <c r="A113" s="90" t="s">
        <v>1476</v>
      </c>
      <c r="B113" s="46"/>
      <c r="C113" s="35"/>
      <c r="D113" s="17" t="s">
        <v>149</v>
      </c>
      <c r="E113" s="46">
        <f>IF((ISBLANK(D113)),"",Trained)</f>
        <v>10</v>
      </c>
      <c r="F113" s="118" t="s">
        <v>149</v>
      </c>
      <c r="G113" s="95">
        <f>IF((ISBLANK(F113)),"",Trained)</f>
        <v>10</v>
      </c>
      <c r="H113" s="118" t="s">
        <v>149</v>
      </c>
      <c r="I113" s="95">
        <f>IF((ISBLANK(H113)),"",Trained)</f>
        <v>10</v>
      </c>
      <c r="J113" s="118" t="s">
        <v>622</v>
      </c>
      <c r="K113" s="226">
        <f>IF((ISBLANK(J113)),"",Trained)</f>
        <v>10</v>
      </c>
      <c r="L113" s="118" t="s">
        <v>149</v>
      </c>
      <c r="M113" s="95">
        <f>IF((ISBLANK(L113)),"",Trained)</f>
        <v>10</v>
      </c>
      <c r="N113" s="118" t="s">
        <v>149</v>
      </c>
      <c r="O113" s="95">
        <f>IF((ISBLANK(N113)),"",Trained)</f>
        <v>10</v>
      </c>
      <c r="P113" s="118" t="s">
        <v>149</v>
      </c>
      <c r="Q113" s="95">
        <f>IF((ISBLANK(P113)),"",Trained)</f>
        <v>10</v>
      </c>
      <c r="R113" s="118" t="s">
        <v>149</v>
      </c>
      <c r="S113" s="95">
        <f>IF((ISBLANK(R113)),"",Trained)</f>
        <v>10</v>
      </c>
      <c r="T113" s="118" t="s">
        <v>149</v>
      </c>
      <c r="U113" s="95">
        <f>IF((ISBLANK(T113)),"",Trained)</f>
        <v>10</v>
      </c>
      <c r="V113" s="118" t="s">
        <v>149</v>
      </c>
      <c r="W113" s="95">
        <f>IF((ISBLANK(V113)),"",Trained)</f>
        <v>10</v>
      </c>
      <c r="X113" s="118" t="s">
        <v>149</v>
      </c>
      <c r="Y113" s="226">
        <f>IF((ISBLANK(X113)),"",Trained)</f>
        <v>10</v>
      </c>
      <c r="Z113" s="118" t="s">
        <v>149</v>
      </c>
      <c r="AA113" s="95">
        <f>IF((ISBLANK(Z113)),"",Trained)</f>
        <v>10</v>
      </c>
      <c r="AB113" s="118" t="s">
        <v>149</v>
      </c>
      <c r="AC113" s="95">
        <f>IF((ISBLANK(AB113)),"",Trained)</f>
        <v>10</v>
      </c>
      <c r="AD113" s="118" t="s">
        <v>149</v>
      </c>
      <c r="AE113" s="95">
        <f>IF((ISBLANK(AD113)),"",Trained)</f>
        <v>10</v>
      </c>
      <c r="AF113" s="118" t="s">
        <v>149</v>
      </c>
      <c r="AG113" s="95">
        <f>IF((ISBLANK(AF113)),"",Trained)</f>
        <v>10</v>
      </c>
      <c r="AH113" s="118" t="s">
        <v>149</v>
      </c>
      <c r="AI113" s="95">
        <f>IF((ISBLANK(AH113)),"",Trained)</f>
        <v>10</v>
      </c>
      <c r="AJ113" s="118" t="s">
        <v>149</v>
      </c>
      <c r="AK113" s="95">
        <f>IF((ISBLANK(AJ113)),"",Trained)</f>
        <v>10</v>
      </c>
      <c r="AL113" s="118" t="s">
        <v>149</v>
      </c>
      <c r="AM113" s="95">
        <f>IF((ISBLANK(AL113)),"",Trained)</f>
        <v>10</v>
      </c>
      <c r="AN113" s="118" t="s">
        <v>149</v>
      </c>
      <c r="AO113" s="95">
        <f>IF((ISBLANK(AN113)),"",Trained)</f>
        <v>10</v>
      </c>
      <c r="AP113" s="118" t="s">
        <v>149</v>
      </c>
      <c r="AQ113" s="95">
        <f>IF((ISBLANK(AP113)),"",Trained)</f>
        <v>10</v>
      </c>
      <c r="AR113" s="118" t="s">
        <v>149</v>
      </c>
      <c r="AS113" s="95">
        <f>IF((ISBLANK(AR113)),"",Trained)</f>
        <v>10</v>
      </c>
      <c r="AT113" s="118" t="s">
        <v>149</v>
      </c>
      <c r="AU113" s="95">
        <f>IF((ISBLANK(AT113)),"",Trained)</f>
        <v>10</v>
      </c>
      <c r="AV113" s="118"/>
      <c r="AW113" s="46" t="str">
        <f>IF((ISBLANK(AV113)),"",Trained)</f>
        <v/>
      </c>
      <c r="AX113" s="118" t="s">
        <v>149</v>
      </c>
      <c r="AY113" s="95">
        <f>IF((ISBLANK(AX113)),"",Trained)</f>
        <v>10</v>
      </c>
      <c r="AZ113" s="118" t="s">
        <v>149</v>
      </c>
      <c r="BA113" s="95">
        <f>IF((ISBLANK(AZ113)),"",Trained)</f>
        <v>10</v>
      </c>
    </row>
    <row r="114" hidden="1" outlineLevel="1">
      <c r="A114" s="37" t="s">
        <v>1477</v>
      </c>
      <c r="B114" s="46"/>
      <c r="C114" s="35"/>
      <c r="D114" s="17" t="s">
        <v>151</v>
      </c>
      <c r="E114" s="46">
        <f>IF((ISBLANK(D114)),"",Expert)</f>
        <v>50</v>
      </c>
      <c r="F114" s="118" t="s">
        <v>153</v>
      </c>
      <c r="G114" s="39" t="s">
        <v>436</v>
      </c>
      <c r="H114" s="118" t="s">
        <v>153</v>
      </c>
      <c r="I114" s="95">
        <f>IF((ISBLANK(H114)),"",Expert)</f>
        <v>50</v>
      </c>
      <c r="J114" s="118" t="s">
        <v>149</v>
      </c>
      <c r="K114" s="225" t="s">
        <v>436</v>
      </c>
      <c r="L114" s="118" t="s">
        <v>153</v>
      </c>
      <c r="M114" s="39" t="s">
        <v>436</v>
      </c>
      <c r="N114" s="118" t="s">
        <v>153</v>
      </c>
      <c r="O114" s="39" t="s">
        <v>436</v>
      </c>
      <c r="P114" s="118" t="s">
        <v>153</v>
      </c>
      <c r="Q114" s="39" t="s">
        <v>436</v>
      </c>
      <c r="R114" s="118" t="s">
        <v>153</v>
      </c>
      <c r="S114" s="39" t="s">
        <v>436</v>
      </c>
      <c r="T114" s="118" t="s">
        <v>153</v>
      </c>
      <c r="U114" s="39" t="s">
        <v>436</v>
      </c>
      <c r="V114" s="118" t="s">
        <v>153</v>
      </c>
      <c r="W114" s="39" t="s">
        <v>436</v>
      </c>
      <c r="X114" s="118" t="s">
        <v>153</v>
      </c>
      <c r="Y114" s="225" t="s">
        <v>436</v>
      </c>
      <c r="Z114" s="118" t="s">
        <v>153</v>
      </c>
      <c r="AA114" s="39" t="s">
        <v>436</v>
      </c>
      <c r="AB114" s="118" t="s">
        <v>155</v>
      </c>
      <c r="AC114" s="39" t="s">
        <v>436</v>
      </c>
      <c r="AD114" s="118" t="s">
        <v>159</v>
      </c>
      <c r="AE114" s="95">
        <f>IF((ISBLANK(AD114)),"",Expert)</f>
        <v>50</v>
      </c>
      <c r="AF114" s="118" t="s">
        <v>159</v>
      </c>
      <c r="AG114" s="95">
        <f>IF((ISBLANK(AF114)),"",Expert)</f>
        <v>50</v>
      </c>
      <c r="AH114" s="118" t="s">
        <v>153</v>
      </c>
      <c r="AI114" s="39" t="s">
        <v>436</v>
      </c>
      <c r="AJ114" s="118" t="s">
        <v>155</v>
      </c>
      <c r="AK114" s="224" t="s">
        <v>436</v>
      </c>
      <c r="AL114" s="118" t="s">
        <v>159</v>
      </c>
      <c r="AM114" s="224" t="s">
        <v>436</v>
      </c>
      <c r="AN114" s="118" t="s">
        <v>159</v>
      </c>
      <c r="AO114" s="39" t="s">
        <v>436</v>
      </c>
      <c r="AP114" s="118" t="s">
        <v>159</v>
      </c>
      <c r="AQ114" s="95">
        <f>IF((ISBLANK(AP114)),"",Expert)</f>
        <v>50</v>
      </c>
      <c r="AR114" s="118" t="s">
        <v>159</v>
      </c>
      <c r="AS114" s="95">
        <f>IF((ISBLANK(AR114)),"",Expert)</f>
        <v>50</v>
      </c>
      <c r="AT114" s="118" t="s">
        <v>159</v>
      </c>
      <c r="AU114" s="95">
        <f>IF((ISBLANK(AT114)),"",Expert)</f>
        <v>50</v>
      </c>
      <c r="AV114" s="118"/>
      <c r="AW114" s="46" t="str">
        <f>IF((ISBLANK(AV114)),"",Expert)</f>
        <v/>
      </c>
      <c r="AX114" s="118" t="s">
        <v>159</v>
      </c>
      <c r="AY114" s="95">
        <f>IF((ISBLANK(AX114)),"",Expert)</f>
        <v>50</v>
      </c>
      <c r="AZ114" s="118" t="s">
        <v>159</v>
      </c>
      <c r="BA114" s="95">
        <f>IF((ISBLANK(AZ114)),"",Expert)</f>
        <v>50</v>
      </c>
    </row>
    <row r="115" hidden="1" outlineLevel="1">
      <c r="A115" s="37" t="s">
        <v>1478</v>
      </c>
      <c r="B115" s="46"/>
      <c r="C115" s="35"/>
      <c r="D115" s="17" t="s">
        <v>153</v>
      </c>
      <c r="E115" s="46">
        <f>IF((ISBLANK(D115)),"",Master)</f>
        <v>110</v>
      </c>
      <c r="F115" s="118" t="s">
        <v>161</v>
      </c>
      <c r="G115" s="39" t="s">
        <v>437</v>
      </c>
      <c r="H115" s="118" t="s">
        <v>161</v>
      </c>
      <c r="I115" s="95">
        <f>IF((ISBLANK(H115)),"",Master)</f>
        <v>110</v>
      </c>
      <c r="J115" s="118" t="s">
        <v>161</v>
      </c>
      <c r="K115" s="225" t="s">
        <v>437</v>
      </c>
      <c r="L115" s="118" t="s">
        <v>161</v>
      </c>
      <c r="M115" s="39" t="s">
        <v>437</v>
      </c>
      <c r="N115" s="118" t="s">
        <v>161</v>
      </c>
      <c r="O115" s="39" t="s">
        <v>437</v>
      </c>
      <c r="P115" s="118" t="s">
        <v>161</v>
      </c>
      <c r="Q115" s="39" t="s">
        <v>437</v>
      </c>
      <c r="R115" s="118" t="s">
        <v>161</v>
      </c>
      <c r="S115" s="39" t="s">
        <v>437</v>
      </c>
      <c r="T115" s="118" t="s">
        <v>161</v>
      </c>
      <c r="U115" s="39" t="s">
        <v>437</v>
      </c>
      <c r="V115" s="118" t="s">
        <v>161</v>
      </c>
      <c r="W115" s="39" t="s">
        <v>437</v>
      </c>
      <c r="X115" s="118" t="s">
        <v>161</v>
      </c>
      <c r="Y115" s="225" t="s">
        <v>437</v>
      </c>
      <c r="Z115" s="118" t="s">
        <v>161</v>
      </c>
      <c r="AA115" s="39" t="s">
        <v>437</v>
      </c>
      <c r="AB115" s="118"/>
      <c r="AC115" s="46" t="str">
        <f>IF((ISBLANK(AB115)),"",Master)</f>
        <v/>
      </c>
      <c r="AD115" s="118"/>
      <c r="AE115" s="95" t="str">
        <f>IF((ISBLANK(AD115)),"",Master)</f>
        <v/>
      </c>
      <c r="AF115" s="118"/>
      <c r="AG115" s="46" t="str">
        <f>IF((ISBLANK(AF115)),"",Master)</f>
        <v/>
      </c>
      <c r="AH115" s="118" t="s">
        <v>161</v>
      </c>
      <c r="AI115" s="39" t="s">
        <v>437</v>
      </c>
      <c r="AJ115" s="118"/>
      <c r="AK115" s="46"/>
      <c r="AL115" s="118"/>
      <c r="AM115" s="46" t="str">
        <f>IF((ISBLANK(AL115)),"",Master)</f>
        <v/>
      </c>
      <c r="AN115" s="118"/>
      <c r="AO115" s="46" t="str">
        <f>IF((ISBLANK(AN115)),"",Master)</f>
        <v/>
      </c>
      <c r="AP115" s="118"/>
      <c r="AQ115" s="46" t="str">
        <f>IF((ISBLANK(AP115)),"",Master)</f>
        <v/>
      </c>
      <c r="AR115" s="118"/>
      <c r="AS115" s="46" t="str">
        <f>IF((ISBLANK(AR115)),"",Master)</f>
        <v/>
      </c>
      <c r="AT115" s="118"/>
      <c r="AU115" s="46" t="str">
        <f>IF((ISBLANK(AT115)),"",Master)</f>
        <v/>
      </c>
      <c r="AV115" s="118"/>
      <c r="AW115" s="46" t="str">
        <f>IF((ISBLANK(AV115)),"",Master)</f>
        <v/>
      </c>
      <c r="AX115" s="118"/>
      <c r="AY115" s="46" t="str">
        <f>IF((ISBLANK(AX115)),"",Master)</f>
        <v/>
      </c>
      <c r="AZ115" s="118"/>
      <c r="BA115" s="46" t="str">
        <f>IF((ISBLANK(AZ115)),"",Master)</f>
        <v/>
      </c>
    </row>
    <row r="116" hidden="1" outlineLevel="1">
      <c r="A116" s="37" t="s">
        <v>1479</v>
      </c>
      <c r="B116" s="46"/>
      <c r="C116" s="35"/>
      <c r="D116" s="17" t="s">
        <v>155</v>
      </c>
      <c r="E116" s="46">
        <f>IF((ISBLANK(D116)),"",Legendary)</f>
        <v>190</v>
      </c>
      <c r="F116" s="118"/>
      <c r="G116" s="46" t="str">
        <f>IF((ISBLANK(F116)),"",Legendary)</f>
        <v/>
      </c>
      <c r="H116" s="118"/>
      <c r="I116" s="46" t="str">
        <f>IF((ISBLANK(H116)),"",Legendary)</f>
        <v/>
      </c>
      <c r="J116" s="118" t="s">
        <v>167</v>
      </c>
      <c r="K116" s="225" t="s">
        <v>466</v>
      </c>
      <c r="L116" s="118"/>
      <c r="M116" s="46" t="str">
        <f>IF((ISBLANK(L116)),"",Legendary)</f>
        <v/>
      </c>
      <c r="N116" s="118"/>
      <c r="O116" s="46" t="str">
        <f>IF((ISBLANK(N116)),"",Legendary)</f>
        <v/>
      </c>
      <c r="P116" s="118"/>
      <c r="Q116" s="46" t="str">
        <f>IF((ISBLANK(P116)),"",Legendary)</f>
        <v/>
      </c>
      <c r="R116" s="118"/>
      <c r="S116" s="46" t="str">
        <f>IF((ISBLANK(R116)),"",Legendary)</f>
        <v/>
      </c>
      <c r="T116" s="118"/>
      <c r="U116" s="46" t="str">
        <f>IF((ISBLANK(T116)),"",Legendary)</f>
        <v/>
      </c>
      <c r="V116" s="118"/>
      <c r="W116" s="46" t="str">
        <f>IF((ISBLANK(V116)),"",Legendary)</f>
        <v/>
      </c>
      <c r="X116" s="118"/>
      <c r="Y116" s="46" t="str">
        <f>IF((ISBLANK(X116)),"",Legendary)</f>
        <v/>
      </c>
      <c r="Z116" s="118"/>
      <c r="AA116" s="46" t="str">
        <f>IF((ISBLANK(Z116)),"",Legendary)</f>
        <v/>
      </c>
      <c r="AB116" s="118"/>
      <c r="AC116" s="46" t="str">
        <f>IF((ISBLANK(AB116)),"",Legendary)</f>
        <v/>
      </c>
      <c r="AD116" s="118"/>
      <c r="AE116" s="46" t="str">
        <f>IF((ISBLANK(AD116)),"",Legendary)</f>
        <v/>
      </c>
      <c r="AF116" s="118"/>
      <c r="AG116" s="46" t="str">
        <f>IF((ISBLANK(AF116)),"",Legendary)</f>
        <v/>
      </c>
      <c r="AH116" s="118"/>
      <c r="AI116" s="46" t="str">
        <f>IF((ISBLANK(AH116)),"",Legendary)</f>
        <v/>
      </c>
      <c r="AJ116" s="118"/>
      <c r="AK116" s="46" t="str">
        <f>IF((ISBLANK(AJ116)),"",Legendary)</f>
        <v/>
      </c>
      <c r="AL116" s="118"/>
      <c r="AM116" s="46" t="str">
        <f>IF((ISBLANK(AL116)),"",Legendary)</f>
        <v/>
      </c>
      <c r="AN116" s="118"/>
      <c r="AO116" s="46" t="str">
        <f>IF((ISBLANK(AN116)),"",Legendary)</f>
        <v/>
      </c>
      <c r="AP116" s="118"/>
      <c r="AQ116" s="46" t="str">
        <f>IF((ISBLANK(AP116)),"",Legendary)</f>
        <v/>
      </c>
      <c r="AR116" s="118"/>
      <c r="AS116" s="46" t="str">
        <f>IF((ISBLANK(AR116)),"",Legendary)</f>
        <v/>
      </c>
      <c r="AT116" s="118"/>
      <c r="AU116" s="46" t="str">
        <f>IF((ISBLANK(AT116)),"",Legendary)</f>
        <v/>
      </c>
      <c r="AV116" s="118"/>
      <c r="AW116" s="46" t="str">
        <f>IF((ISBLANK(AV116)),"",Legendary)</f>
        <v/>
      </c>
      <c r="AX116" s="118"/>
      <c r="AY116" s="46" t="str">
        <f>IF((ISBLANK(AX116)),"",Legendary)</f>
        <v/>
      </c>
      <c r="AZ116" s="118"/>
      <c r="BA116" s="46" t="str">
        <f>IF((ISBLANK(AZ116)),"",Legendary)</f>
        <v/>
      </c>
    </row>
    <row r="117" hidden="1" outlineLevel="1">
      <c r="A117" s="37" t="s">
        <v>1480</v>
      </c>
      <c r="B117" s="46"/>
      <c r="C117" s="35"/>
      <c r="D117" s="17" t="s">
        <v>149</v>
      </c>
      <c r="E117" s="46">
        <f>IF((ISBLANK(D117)),"",Trained)</f>
        <v>10</v>
      </c>
      <c r="F117" s="118"/>
      <c r="G117" s="46" t="str">
        <f>IF((ISBLANK(F117)),"",Trained)</f>
        <v/>
      </c>
      <c r="H117" s="118"/>
      <c r="I117" s="46" t="str">
        <f>IF((ISBLANK(H117)),"",Trained)</f>
        <v/>
      </c>
      <c r="J117" s="118"/>
      <c r="K117" s="118"/>
      <c r="L117" s="118"/>
      <c r="M117" s="46" t="str">
        <f>IF((ISBLANK(L117)),"",Trained)</f>
        <v/>
      </c>
      <c r="N117" s="118"/>
      <c r="O117" s="46" t="str">
        <f>IF((ISBLANK(N117)),"",Trained)</f>
        <v/>
      </c>
      <c r="P117" s="118" t="s">
        <v>149</v>
      </c>
      <c r="Q117" s="95">
        <f>IF((ISBLANK(P117)),"",Trained)</f>
        <v>10</v>
      </c>
      <c r="R117" s="118"/>
      <c r="S117" s="46" t="str">
        <f>IF((ISBLANK(R117)),"",Trained)</f>
        <v/>
      </c>
      <c r="T117" s="118"/>
      <c r="U117" s="46" t="str">
        <f>IF((ISBLANK(T117)),"",Trained)</f>
        <v/>
      </c>
      <c r="V117" s="118"/>
      <c r="W117" s="46" t="str">
        <f>IF((ISBLANK(V117)),"",Trained)</f>
        <v/>
      </c>
      <c r="X117" s="118" t="s">
        <v>622</v>
      </c>
      <c r="Y117" s="225" t="s">
        <v>435</v>
      </c>
      <c r="Z117" s="118"/>
      <c r="AA117" s="46" t="str">
        <f>IF((ISBLANK(Z117)),"",Trained)</f>
        <v/>
      </c>
      <c r="AB117" s="118" t="s">
        <v>149</v>
      </c>
      <c r="AC117" s="95">
        <f>IF((ISBLANK(AB117)),"",Trained)</f>
        <v>10</v>
      </c>
      <c r="AD117" s="118"/>
      <c r="AE117" s="46" t="str">
        <f>IF((ISBLANK(AD117)),"",Trained)</f>
        <v/>
      </c>
      <c r="AF117" s="118"/>
      <c r="AG117" s="46" t="str">
        <f>IF((ISBLANK(AF117)),"",Trained)</f>
        <v/>
      </c>
      <c r="AH117" s="118"/>
      <c r="AI117" s="46" t="str">
        <f>IF((ISBLANK(AH117)),"",Trained)</f>
        <v/>
      </c>
      <c r="AJ117" s="118" t="s">
        <v>149</v>
      </c>
      <c r="AK117" s="95">
        <f>IF((ISBLANK(AJ117)),"",Trained)</f>
        <v>10</v>
      </c>
      <c r="AL117" s="118" t="s">
        <v>149</v>
      </c>
      <c r="AM117" s="95">
        <f>IF((ISBLANK(AL117)),"",Trained)</f>
        <v>10</v>
      </c>
      <c r="AN117" s="118" t="s">
        <v>149</v>
      </c>
      <c r="AO117" s="95">
        <f>IF((ISBLANK(AN117)),"",Trained)</f>
        <v>10</v>
      </c>
      <c r="AP117" s="118"/>
      <c r="AQ117" s="46" t="str">
        <f>IF((ISBLANK(AP117)),"",Trained)</f>
        <v/>
      </c>
      <c r="AR117" s="118"/>
      <c r="AS117" s="46" t="str">
        <f>IF((ISBLANK(AR117)),"",Trained)</f>
        <v/>
      </c>
      <c r="AT117" s="118"/>
      <c r="AU117" s="46" t="str">
        <f>IF((ISBLANK(AT117)),"",Trained)</f>
        <v/>
      </c>
      <c r="AV117" s="118"/>
      <c r="AW117" s="46" t="str">
        <f>IF((ISBLANK(AV117)),"",Trained)</f>
        <v/>
      </c>
      <c r="AX117" s="118"/>
      <c r="AY117" s="46" t="str">
        <f>IF((ISBLANK(AX117)),"",Trained)</f>
        <v/>
      </c>
      <c r="AZ117" s="118"/>
      <c r="BA117" s="46" t="str">
        <f>IF((ISBLANK(AZ117)),"",Trained)</f>
        <v/>
      </c>
    </row>
    <row r="118" hidden="1" outlineLevel="1">
      <c r="A118" s="37" t="s">
        <v>1481</v>
      </c>
      <c r="B118" s="46"/>
      <c r="C118" s="35"/>
      <c r="D118" s="17" t="s">
        <v>151</v>
      </c>
      <c r="E118" s="46">
        <f>IF((ISBLANK(D118)),"",Expert)</f>
        <v>50</v>
      </c>
      <c r="F118" s="118"/>
      <c r="G118" s="46" t="str">
        <f>IF((ISBLANK(F118)),"",Expert)</f>
        <v/>
      </c>
      <c r="H118" s="118"/>
      <c r="I118" s="46" t="str">
        <f>IF((ISBLANK(H118)),"",Expert)</f>
        <v/>
      </c>
      <c r="J118" s="118"/>
      <c r="K118" s="118"/>
      <c r="L118" s="118"/>
      <c r="M118" s="46" t="str">
        <f>IF((ISBLANK(L118)),"",Expert)</f>
        <v/>
      </c>
      <c r="N118" s="118"/>
      <c r="O118" s="46" t="str">
        <f>IF((ISBLANK(N118)),"",Expert)</f>
        <v/>
      </c>
      <c r="P118" s="118" t="s">
        <v>153</v>
      </c>
      <c r="Q118" s="95">
        <f>IF((ISBLANK(P118)),"",Expert)</f>
        <v>50</v>
      </c>
      <c r="R118" s="118"/>
      <c r="S118" s="46" t="str">
        <f>IF((ISBLANK(R118)),"",Expert)</f>
        <v/>
      </c>
      <c r="T118" s="118"/>
      <c r="U118" s="46" t="str">
        <f>IF((ISBLANK(T118)),"",Expert)</f>
        <v/>
      </c>
      <c r="V118" s="118"/>
      <c r="W118" s="46" t="str">
        <f>IF((ISBLANK(V118)),"",Expert)</f>
        <v/>
      </c>
      <c r="X118" s="118" t="s">
        <v>149</v>
      </c>
      <c r="Y118" s="226">
        <f>IF((ISBLANK(X118)),"",Expert)</f>
        <v>50</v>
      </c>
      <c r="Z118" s="118"/>
      <c r="AA118" s="46" t="str">
        <f>IF((ISBLANK(Z118)),"",Expert)</f>
        <v/>
      </c>
      <c r="AB118" s="118" t="s">
        <v>155</v>
      </c>
      <c r="AC118" s="95">
        <f>IF((ISBLANK(AB118)),"",Expert)</f>
        <v>50</v>
      </c>
      <c r="AD118" s="118"/>
      <c r="AE118" s="46" t="str">
        <f>IF((ISBLANK(AD118)),"",Expert)</f>
        <v/>
      </c>
      <c r="AF118" s="118"/>
      <c r="AG118" s="46" t="str">
        <f>IF((ISBLANK(AF118)),"",Expert)</f>
        <v/>
      </c>
      <c r="AH118" s="118"/>
      <c r="AI118" s="46" t="str">
        <f>IF((ISBLANK(AH118)),"",Expert)</f>
        <v/>
      </c>
      <c r="AJ118" s="118" t="s">
        <v>155</v>
      </c>
      <c r="AK118" s="95">
        <v>50.0</v>
      </c>
      <c r="AL118" s="118" t="s">
        <v>159</v>
      </c>
      <c r="AM118" s="95">
        <f>IF((ISBLANK(AL118)),"",Expert)</f>
        <v>50</v>
      </c>
      <c r="AN118" s="118" t="s">
        <v>159</v>
      </c>
      <c r="AO118" s="95">
        <f>IF((ISBLANK(AN118)),"",Expert)</f>
        <v>50</v>
      </c>
      <c r="AP118" s="118"/>
      <c r="AQ118" s="46" t="str">
        <f>IF((ISBLANK(AP118)),"",Expert)</f>
        <v/>
      </c>
      <c r="AR118" s="118"/>
      <c r="AS118" s="46" t="str">
        <f>IF((ISBLANK(AR118)),"",Expert)</f>
        <v/>
      </c>
      <c r="AT118" s="118"/>
      <c r="AU118" s="46" t="str">
        <f>IF((ISBLANK(AT118)),"",Expert)</f>
        <v/>
      </c>
      <c r="AV118" s="118"/>
      <c r="AW118" s="46" t="str">
        <f>IF((ISBLANK(AV118)),"",Expert)</f>
        <v/>
      </c>
      <c r="AX118" s="118"/>
      <c r="AY118" s="46" t="str">
        <f>IF((ISBLANK(AX118)),"",Expert)</f>
        <v/>
      </c>
      <c r="AZ118" s="118"/>
      <c r="BA118" s="46" t="str">
        <f>IF((ISBLANK(AZ118)),"",Expert)</f>
        <v/>
      </c>
    </row>
    <row r="119" hidden="1" outlineLevel="1">
      <c r="A119" s="37" t="s">
        <v>1482</v>
      </c>
      <c r="B119" s="46"/>
      <c r="C119" s="35"/>
      <c r="D119" s="17" t="s">
        <v>153</v>
      </c>
      <c r="E119" s="46">
        <f>IF((ISBLANK(D119)),"",Master)</f>
        <v>110</v>
      </c>
      <c r="F119" s="118"/>
      <c r="G119" s="46" t="str">
        <f>IF((ISBLANK(F119)),"",Master)</f>
        <v/>
      </c>
      <c r="H119" s="118"/>
      <c r="I119" s="46" t="str">
        <f>IF((ISBLANK(H119)),"",Master)</f>
        <v/>
      </c>
      <c r="J119" s="118" t="s">
        <v>153</v>
      </c>
      <c r="K119" s="225" t="s">
        <v>437</v>
      </c>
      <c r="L119" s="118"/>
      <c r="M119" s="46" t="str">
        <f>IF((ISBLANK(L119)),"",Master)</f>
        <v/>
      </c>
      <c r="N119" s="118"/>
      <c r="O119" s="46" t="str">
        <f>IF((ISBLANK(N119)),"",Master)</f>
        <v/>
      </c>
      <c r="P119" s="118" t="s">
        <v>161</v>
      </c>
      <c r="Q119" s="95">
        <f>IF((ISBLANK(P119)),"",Master)</f>
        <v>110</v>
      </c>
      <c r="R119" s="118"/>
      <c r="S119" s="46" t="str">
        <f>IF((ISBLANK(R119)),"",Master)</f>
        <v/>
      </c>
      <c r="T119" s="118"/>
      <c r="U119" s="46" t="str">
        <f>IF((ISBLANK(T119)),"",Master)</f>
        <v/>
      </c>
      <c r="V119" s="118"/>
      <c r="W119" s="46" t="str">
        <f>IF((ISBLANK(V119)),"",Master)</f>
        <v/>
      </c>
      <c r="X119" s="118" t="s">
        <v>153</v>
      </c>
      <c r="Y119" s="227">
        <v>110.0</v>
      </c>
      <c r="Z119" s="118"/>
      <c r="AA119" s="46" t="str">
        <f>IF((ISBLANK(Z119)),"",Master)</f>
        <v/>
      </c>
      <c r="AB119" s="118"/>
      <c r="AC119" s="46" t="str">
        <f>IF((ISBLANK(AB119)),"",Master)</f>
        <v/>
      </c>
      <c r="AD119" s="118"/>
      <c r="AE119" s="46" t="str">
        <f>IF((ISBLANK(AD119)),"",Master)</f>
        <v/>
      </c>
      <c r="AF119" s="118"/>
      <c r="AG119" s="46" t="str">
        <f>IF((ISBLANK(AF119)),"",Master)</f>
        <v/>
      </c>
      <c r="AH119" s="118"/>
      <c r="AI119" s="46" t="str">
        <f>IF((ISBLANK(AH119)),"",Master)</f>
        <v/>
      </c>
      <c r="AJ119" s="118"/>
      <c r="AK119" s="46" t="str">
        <f>IF((ISBLANK(AJ119)),"",Master)</f>
        <v/>
      </c>
      <c r="AL119" s="118"/>
      <c r="AM119" s="46" t="str">
        <f>IF((ISBLANK(AL119)),"",Master)</f>
        <v/>
      </c>
      <c r="AN119" s="118"/>
      <c r="AO119" s="46" t="str">
        <f>IF((ISBLANK(AN119)),"",Master)</f>
        <v/>
      </c>
      <c r="AP119" s="118"/>
      <c r="AQ119" s="46" t="str">
        <f>IF((ISBLANK(AP119)),"",Master)</f>
        <v/>
      </c>
      <c r="AR119" s="118"/>
      <c r="AS119" s="46" t="str">
        <f>IF((ISBLANK(AR119)),"",Master)</f>
        <v/>
      </c>
      <c r="AT119" s="118"/>
      <c r="AU119" s="46" t="str">
        <f>IF((ISBLANK(AT119)),"",Master)</f>
        <v/>
      </c>
      <c r="AV119" s="118"/>
      <c r="AW119" s="46" t="str">
        <f>IF((ISBLANK(AV119)),"",Master)</f>
        <v/>
      </c>
      <c r="AX119" s="118"/>
      <c r="AY119" s="46" t="str">
        <f>IF((ISBLANK(AX119)),"",Master)</f>
        <v/>
      </c>
      <c r="AZ119" s="118"/>
      <c r="BA119" s="46" t="str">
        <f>IF((ISBLANK(AZ119)),"",Master)</f>
        <v/>
      </c>
    </row>
    <row r="120" hidden="1" outlineLevel="1">
      <c r="A120" s="37" t="s">
        <v>1483</v>
      </c>
      <c r="B120" s="46"/>
      <c r="C120" s="35"/>
      <c r="D120" s="17" t="s">
        <v>155</v>
      </c>
      <c r="E120" s="46">
        <f>IF((ISBLANK(D120)),"",Legendary)</f>
        <v>190</v>
      </c>
      <c r="F120" s="118"/>
      <c r="G120" s="46" t="str">
        <f>IF((ISBLANK(F120)),"",Legendary)</f>
        <v/>
      </c>
      <c r="H120" s="118"/>
      <c r="I120" s="46" t="str">
        <f>IF((ISBLANK(H120)),"",Legendary)</f>
        <v/>
      </c>
      <c r="J120" s="118" t="s">
        <v>161</v>
      </c>
      <c r="K120" s="225" t="s">
        <v>466</v>
      </c>
      <c r="L120" s="118"/>
      <c r="M120" s="46" t="str">
        <f>IF((ISBLANK(L120)),"",Legendary)</f>
        <v/>
      </c>
      <c r="N120" s="118"/>
      <c r="O120" s="46" t="str">
        <f>IF((ISBLANK(N120)),"",Legendary)</f>
        <v/>
      </c>
      <c r="P120" s="118"/>
      <c r="Q120" s="46" t="str">
        <f>IF((ISBLANK(P120)),"",Legendary)</f>
        <v/>
      </c>
      <c r="R120" s="118"/>
      <c r="S120" s="46" t="str">
        <f>IF((ISBLANK(R120)),"",Legendary)</f>
        <v/>
      </c>
      <c r="T120" s="118"/>
      <c r="U120" s="46" t="str">
        <f>IF((ISBLANK(T120)),"",Legendary)</f>
        <v/>
      </c>
      <c r="V120" s="118"/>
      <c r="W120" s="46" t="str">
        <f>IF((ISBLANK(V120)),"",Legendary)</f>
        <v/>
      </c>
      <c r="X120" s="118" t="s">
        <v>161</v>
      </c>
      <c r="Y120" s="227">
        <v>190.0</v>
      </c>
      <c r="Z120" s="118"/>
      <c r="AA120" s="46" t="str">
        <f>IF((ISBLANK(Z120)),"",Legendary)</f>
        <v/>
      </c>
      <c r="AB120" s="118"/>
      <c r="AC120" s="46" t="str">
        <f>IF((ISBLANK(AB120)),"",Legendary)</f>
        <v/>
      </c>
      <c r="AD120" s="118"/>
      <c r="AE120" s="46" t="str">
        <f>IF((ISBLANK(AD120)),"",Legendary)</f>
        <v/>
      </c>
      <c r="AF120" s="118"/>
      <c r="AG120" s="46" t="str">
        <f>IF((ISBLANK(AF120)),"",Legendary)</f>
        <v/>
      </c>
      <c r="AH120" s="118"/>
      <c r="AI120" s="46" t="str">
        <f>IF((ISBLANK(AH120)),"",Legendary)</f>
        <v/>
      </c>
      <c r="AJ120" s="118"/>
      <c r="AK120" s="46" t="str">
        <f>IF((ISBLANK(AJ120)),"",Legendary)</f>
        <v/>
      </c>
      <c r="AL120" s="118"/>
      <c r="AM120" s="46" t="str">
        <f>IF((ISBLANK(AL120)),"",Legendary)</f>
        <v/>
      </c>
      <c r="AN120" s="118"/>
      <c r="AO120" s="46" t="str">
        <f>IF((ISBLANK(AN120)),"",Legendary)</f>
        <v/>
      </c>
      <c r="AP120" s="118"/>
      <c r="AQ120" s="46" t="str">
        <f>IF((ISBLANK(AP120)),"",Legendary)</f>
        <v/>
      </c>
      <c r="AR120" s="118"/>
      <c r="AS120" s="46" t="str">
        <f>IF((ISBLANK(AR120)),"",Legendary)</f>
        <v/>
      </c>
      <c r="AT120" s="118"/>
      <c r="AU120" s="46" t="str">
        <f>IF((ISBLANK(AT120)),"",Legendary)</f>
        <v/>
      </c>
      <c r="AV120" s="118"/>
      <c r="AW120" s="46" t="str">
        <f>IF((ISBLANK(AV120)),"",Legendary)</f>
        <v/>
      </c>
      <c r="AX120" s="118"/>
      <c r="AY120" s="46" t="str">
        <f>IF((ISBLANK(AX120)),"",Legendary)</f>
        <v/>
      </c>
      <c r="AZ120" s="118"/>
      <c r="BA120" s="46" t="str">
        <f>IF((ISBLANK(AZ120)),"",Legendary)</f>
        <v/>
      </c>
    </row>
    <row r="121" hidden="1" outlineLevel="1">
      <c r="A121" s="90" t="s">
        <v>1484</v>
      </c>
      <c r="B121" s="46"/>
      <c r="C121" s="35"/>
      <c r="D121" s="17" t="s">
        <v>149</v>
      </c>
      <c r="E121" s="46">
        <f>IF((ISBLANK(D121)),"",Trained)</f>
        <v>10</v>
      </c>
      <c r="F121" s="118" t="s">
        <v>149</v>
      </c>
      <c r="G121" s="95">
        <f>IF((ISBLANK(F121)),"",Trained)</f>
        <v>10</v>
      </c>
      <c r="H121" s="118"/>
      <c r="I121" s="46" t="str">
        <f>IF((ISBLANK(H121)),"",Trained)</f>
        <v/>
      </c>
      <c r="J121" s="118" t="s">
        <v>622</v>
      </c>
      <c r="K121" s="226">
        <f>IF((ISBLANK(J121)),"",Trained)</f>
        <v>10</v>
      </c>
      <c r="L121" s="118" t="s">
        <v>149</v>
      </c>
      <c r="M121" s="95">
        <f>IF((ISBLANK(L121)),"",Trained)</f>
        <v>10</v>
      </c>
      <c r="N121" s="118" t="s">
        <v>149</v>
      </c>
      <c r="O121" s="95">
        <f>IF((ISBLANK(N121)),"",Trained)</f>
        <v>10</v>
      </c>
      <c r="P121" s="118"/>
      <c r="Q121" s="46" t="str">
        <f>IF((ISBLANK(P121)),"",Trained)</f>
        <v/>
      </c>
      <c r="R121" s="118" t="s">
        <v>149</v>
      </c>
      <c r="S121" s="95">
        <f>IF((ISBLANK(R121)),"",Trained)</f>
        <v>10</v>
      </c>
      <c r="T121" s="118" t="s">
        <v>149</v>
      </c>
      <c r="U121" s="95">
        <f>IF((ISBLANK(T121)),"",Trained)</f>
        <v>10</v>
      </c>
      <c r="V121" s="118" t="s">
        <v>149</v>
      </c>
      <c r="W121" s="95">
        <f>IF((ISBLANK(V121)),"",Trained)</f>
        <v>10</v>
      </c>
      <c r="X121" s="118" t="s">
        <v>149</v>
      </c>
      <c r="Y121" s="226">
        <f>IF((ISBLANK(X121)),"",Trained)</f>
        <v>10</v>
      </c>
      <c r="Z121" s="118" t="s">
        <v>149</v>
      </c>
      <c r="AA121" s="95">
        <f>IF((ISBLANK(Z121)),"",Trained)</f>
        <v>10</v>
      </c>
      <c r="AB121" s="118"/>
      <c r="AC121" s="46" t="str">
        <f>IF((ISBLANK(AB121)),"",Trained)</f>
        <v/>
      </c>
      <c r="AD121" s="118"/>
      <c r="AE121" s="46" t="str">
        <f>IF((ISBLANK(AD121)),"",Trained)</f>
        <v/>
      </c>
      <c r="AF121" s="118"/>
      <c r="AG121" s="46" t="str">
        <f>IF((ISBLANK(AF121)),"",Trained)</f>
        <v/>
      </c>
      <c r="AH121" s="118" t="s">
        <v>149</v>
      </c>
      <c r="AI121" s="95">
        <f>IF((ISBLANK(AH121)),"",Trained)</f>
        <v>10</v>
      </c>
      <c r="AJ121" s="118" t="s">
        <v>151</v>
      </c>
      <c r="AK121" s="95">
        <f>IF((ISBLANK(AJ121)),"",Trained)</f>
        <v>10</v>
      </c>
      <c r="AL121" s="118"/>
      <c r="AM121" s="46" t="str">
        <f>IF((ISBLANK(AL121)),"",Trained)</f>
        <v/>
      </c>
      <c r="AN121" s="118"/>
      <c r="AO121" s="46" t="str">
        <f>IF((ISBLANK(AN121)),"",Trained)</f>
        <v/>
      </c>
      <c r="AP121" s="118"/>
      <c r="AQ121" s="46" t="str">
        <f>IF((ISBLANK(AP121)),"",Trained)</f>
        <v/>
      </c>
      <c r="AR121" s="118"/>
      <c r="AS121" s="46" t="str">
        <f>IF((ISBLANK(AR121)),"",Trained)</f>
        <v/>
      </c>
      <c r="AT121" s="118"/>
      <c r="AU121" s="46" t="str">
        <f>IF((ISBLANK(AT121)),"",Trained)</f>
        <v/>
      </c>
      <c r="AV121" s="118"/>
      <c r="AW121" s="46" t="str">
        <f>IF((ISBLANK(AV121)),"",Trained)</f>
        <v/>
      </c>
      <c r="AX121" s="118"/>
      <c r="AY121" s="46" t="str">
        <f>IF((ISBLANK(AX121)),"",Trained)</f>
        <v/>
      </c>
      <c r="AZ121" s="118"/>
      <c r="BA121" s="46" t="str">
        <f>IF((ISBLANK(AZ121)),"",Trained)</f>
        <v/>
      </c>
    </row>
    <row r="122" hidden="1" outlineLevel="1">
      <c r="A122" s="37" t="s">
        <v>1486</v>
      </c>
      <c r="B122" s="46"/>
      <c r="C122" s="35"/>
      <c r="D122" s="17" t="s">
        <v>151</v>
      </c>
      <c r="E122" s="46">
        <f>IF((ISBLANK(D122)),"",Expert)</f>
        <v>50</v>
      </c>
      <c r="F122" s="118" t="s">
        <v>153</v>
      </c>
      <c r="G122" s="95">
        <f>IF((ISBLANK(F122)),"",Expert)</f>
        <v>50</v>
      </c>
      <c r="H122" s="118"/>
      <c r="I122" s="46" t="str">
        <f>IF((ISBLANK(H122)),"",Expert)</f>
        <v/>
      </c>
      <c r="J122" s="118" t="s">
        <v>149</v>
      </c>
      <c r="K122" s="226">
        <f>IF((ISBLANK(J122)),"",Expert)</f>
        <v>50</v>
      </c>
      <c r="L122" s="118" t="s">
        <v>153</v>
      </c>
      <c r="M122" s="95">
        <f>IF((ISBLANK(L122)),"",Expert)</f>
        <v>50</v>
      </c>
      <c r="N122" s="118" t="s">
        <v>153</v>
      </c>
      <c r="O122" s="95">
        <f>IF((ISBLANK(N122)),"",Expert)</f>
        <v>50</v>
      </c>
      <c r="P122" s="118"/>
      <c r="Q122" s="46" t="str">
        <f>IF((ISBLANK(P122)),"",Expert)</f>
        <v/>
      </c>
      <c r="R122" s="118" t="s">
        <v>153</v>
      </c>
      <c r="S122" s="95">
        <f>IF((ISBLANK(R122)),"",Expert)</f>
        <v>50</v>
      </c>
      <c r="T122" s="118" t="s">
        <v>153</v>
      </c>
      <c r="U122" s="95">
        <f>IF((ISBLANK(T122)),"",Expert)</f>
        <v>50</v>
      </c>
      <c r="V122" s="118" t="s">
        <v>153</v>
      </c>
      <c r="W122" s="95">
        <f>IF((ISBLANK(V122)),"",Expert)</f>
        <v>50</v>
      </c>
      <c r="X122" s="118" t="s">
        <v>153</v>
      </c>
      <c r="Y122" s="225" t="s">
        <v>436</v>
      </c>
      <c r="Z122" s="118" t="s">
        <v>153</v>
      </c>
      <c r="AA122" s="95">
        <f>IF((ISBLANK(Z122)),"",Expert)</f>
        <v>50</v>
      </c>
      <c r="AB122" s="118"/>
      <c r="AC122" s="46" t="str">
        <f>IF((ISBLANK(AB122)),"",Expert)</f>
        <v/>
      </c>
      <c r="AD122" s="118"/>
      <c r="AE122" s="46" t="str">
        <f>IF((ISBLANK(AD122)),"",Expert)</f>
        <v/>
      </c>
      <c r="AF122" s="118"/>
      <c r="AG122" s="46" t="str">
        <f>IF((ISBLANK(AF122)),"",Expert)</f>
        <v/>
      </c>
      <c r="AH122" s="118" t="s">
        <v>153</v>
      </c>
      <c r="AI122" s="95">
        <f>IF((ISBLANK(AH122)),"",Expert)</f>
        <v>50</v>
      </c>
      <c r="AJ122" s="118"/>
      <c r="AK122" s="229"/>
      <c r="AL122" s="118"/>
      <c r="AM122" s="46" t="str">
        <f>IF((ISBLANK(AL122)),"",Expert)</f>
        <v/>
      </c>
      <c r="AN122" s="118"/>
      <c r="AO122" s="46" t="str">
        <f>IF((ISBLANK(AN122)),"",Expert)</f>
        <v/>
      </c>
      <c r="AP122" s="118"/>
      <c r="AQ122" s="46" t="str">
        <f>IF((ISBLANK(AP122)),"",Expert)</f>
        <v/>
      </c>
      <c r="AR122" s="118"/>
      <c r="AS122" s="46" t="str">
        <f>IF((ISBLANK(AR122)),"",Expert)</f>
        <v/>
      </c>
      <c r="AT122" s="118"/>
      <c r="AU122" s="46" t="str">
        <f>IF((ISBLANK(AT122)),"",Expert)</f>
        <v/>
      </c>
      <c r="AV122" s="118"/>
      <c r="AW122" s="46" t="str">
        <f>IF((ISBLANK(AV122)),"",Expert)</f>
        <v/>
      </c>
      <c r="AX122" s="118"/>
      <c r="AY122" s="46" t="str">
        <f>IF((ISBLANK(AX122)),"",Expert)</f>
        <v/>
      </c>
      <c r="AZ122" s="118"/>
      <c r="BA122" s="46" t="str">
        <f>IF((ISBLANK(AZ122)),"",Expert)</f>
        <v/>
      </c>
    </row>
    <row r="123" hidden="1" outlineLevel="1">
      <c r="A123" s="37" t="s">
        <v>1487</v>
      </c>
      <c r="B123" s="46"/>
      <c r="C123" s="35"/>
      <c r="D123" s="17" t="s">
        <v>153</v>
      </c>
      <c r="E123" s="46">
        <f>IF((ISBLANK(D123)),"",Master)</f>
        <v>110</v>
      </c>
      <c r="F123" s="118" t="s">
        <v>161</v>
      </c>
      <c r="G123" s="95">
        <f>IF((ISBLANK(F123)),"",Master)</f>
        <v>110</v>
      </c>
      <c r="H123" s="118"/>
      <c r="I123" s="46" t="str">
        <f>IF((ISBLANK(H123)),"",Master)</f>
        <v/>
      </c>
      <c r="J123" s="118" t="s">
        <v>161</v>
      </c>
      <c r="K123" s="226">
        <f>IF((ISBLANK(J123)),"",Master)</f>
        <v>110</v>
      </c>
      <c r="L123" s="118" t="s">
        <v>161</v>
      </c>
      <c r="M123" s="95">
        <f>IF((ISBLANK(L123)),"",Master)</f>
        <v>110</v>
      </c>
      <c r="N123" s="118" t="s">
        <v>161</v>
      </c>
      <c r="O123" s="95">
        <f>IF((ISBLANK(N123)),"",Master)</f>
        <v>110</v>
      </c>
      <c r="P123" s="118"/>
      <c r="Q123" s="46" t="str">
        <f>IF((ISBLANK(P123)),"",Master)</f>
        <v/>
      </c>
      <c r="R123" s="118" t="s">
        <v>161</v>
      </c>
      <c r="S123" s="95">
        <f>IF((ISBLANK(R123)),"",Master)</f>
        <v>110</v>
      </c>
      <c r="T123" s="118" t="s">
        <v>161</v>
      </c>
      <c r="U123" s="95">
        <f>IF((ISBLANK(T123)),"",Master)</f>
        <v>110</v>
      </c>
      <c r="V123" s="118" t="s">
        <v>161</v>
      </c>
      <c r="W123" s="95">
        <f>IF((ISBLANK(V123)),"",Master)</f>
        <v>110</v>
      </c>
      <c r="X123" s="118" t="s">
        <v>161</v>
      </c>
      <c r="Y123" s="225" t="s">
        <v>437</v>
      </c>
      <c r="Z123" s="118" t="s">
        <v>161</v>
      </c>
      <c r="AA123" s="95">
        <f>IF((ISBLANK(Z123)),"",Master)</f>
        <v>110</v>
      </c>
      <c r="AB123" s="118"/>
      <c r="AC123" s="46" t="str">
        <f>IF((ISBLANK(AB123)),"",Master)</f>
        <v/>
      </c>
      <c r="AD123" s="118"/>
      <c r="AE123" s="46" t="str">
        <f>IF((ISBLANK(AD123)),"",Master)</f>
        <v/>
      </c>
      <c r="AF123" s="118"/>
      <c r="AG123" s="46" t="str">
        <f>IF((ISBLANK(AF123)),"",Master)</f>
        <v/>
      </c>
      <c r="AH123" s="118" t="s">
        <v>161</v>
      </c>
      <c r="AI123" s="95">
        <f>IF((ISBLANK(AH123)),"",Master)</f>
        <v>110</v>
      </c>
      <c r="AJ123" s="118"/>
      <c r="AK123" s="46" t="str">
        <f>IF((ISBLANK(AJ123)),"",Master)</f>
        <v/>
      </c>
      <c r="AL123" s="118"/>
      <c r="AM123" s="46" t="str">
        <f>IF((ISBLANK(AL123)),"",Master)</f>
        <v/>
      </c>
      <c r="AN123" s="118"/>
      <c r="AO123" s="46" t="str">
        <f>IF((ISBLANK(AN123)),"",Master)</f>
        <v/>
      </c>
      <c r="AP123" s="118"/>
      <c r="AQ123" s="46" t="str">
        <f>IF((ISBLANK(AP123)),"",Master)</f>
        <v/>
      </c>
      <c r="AR123" s="118"/>
      <c r="AS123" s="46" t="str">
        <f>IF((ISBLANK(AR123)),"",Master)</f>
        <v/>
      </c>
      <c r="AT123" s="118"/>
      <c r="AU123" s="46" t="str">
        <f>IF((ISBLANK(AT123)),"",Master)</f>
        <v/>
      </c>
      <c r="AV123" s="118"/>
      <c r="AW123" s="46" t="str">
        <f>IF((ISBLANK(AV123)),"",Master)</f>
        <v/>
      </c>
      <c r="AX123" s="118"/>
      <c r="AY123" s="46" t="str">
        <f>IF((ISBLANK(AX123)),"",Master)</f>
        <v/>
      </c>
      <c r="AZ123" s="118"/>
      <c r="BA123" s="46" t="str">
        <f>IF((ISBLANK(AZ123)),"",Master)</f>
        <v/>
      </c>
    </row>
    <row r="124" hidden="1" outlineLevel="1">
      <c r="A124" s="37" t="s">
        <v>1488</v>
      </c>
      <c r="B124" s="46"/>
      <c r="C124" s="35"/>
      <c r="D124" s="17" t="s">
        <v>155</v>
      </c>
      <c r="E124" s="46">
        <f>IF((ISBLANK(D124)),"",Legendary)</f>
        <v>190</v>
      </c>
      <c r="F124" s="118"/>
      <c r="G124" s="46" t="str">
        <f>IF((ISBLANK(F124)),"",Legendary)</f>
        <v/>
      </c>
      <c r="H124" s="118"/>
      <c r="I124" s="46" t="str">
        <f>IF((ISBLANK(H124)),"",Legendary)</f>
        <v/>
      </c>
      <c r="J124" s="118" t="s">
        <v>167</v>
      </c>
      <c r="K124" s="226">
        <f>IF((ISBLANK(J124)),"",Legendary)</f>
        <v>190</v>
      </c>
      <c r="L124" s="118"/>
      <c r="M124" s="46" t="str">
        <f>IF((ISBLANK(L124)),"",Legendary)</f>
        <v/>
      </c>
      <c r="N124" s="118"/>
      <c r="O124" s="46" t="str">
        <f>IF((ISBLANK(N124)),"",Legendary)</f>
        <v/>
      </c>
      <c r="P124" s="118"/>
      <c r="Q124" s="46" t="str">
        <f>IF((ISBLANK(P124)),"",Legendary)</f>
        <v/>
      </c>
      <c r="R124" s="118"/>
      <c r="S124" s="46" t="str">
        <f>IF((ISBLANK(R124)),"",Legendary)</f>
        <v/>
      </c>
      <c r="T124" s="118"/>
      <c r="U124" s="46" t="str">
        <f>IF((ISBLANK(T124)),"",Legendary)</f>
        <v/>
      </c>
      <c r="V124" s="118"/>
      <c r="W124" s="46" t="str">
        <f>IF((ISBLANK(V124)),"",Legendary)</f>
        <v/>
      </c>
      <c r="X124" s="118"/>
      <c r="Y124" s="46" t="str">
        <f>IF((ISBLANK(X124)),"",Legendary)</f>
        <v/>
      </c>
      <c r="Z124" s="118"/>
      <c r="AA124" s="46" t="str">
        <f>IF((ISBLANK(Z124)),"",Legendary)</f>
        <v/>
      </c>
      <c r="AB124" s="118"/>
      <c r="AC124" s="46" t="str">
        <f>IF((ISBLANK(AB124)),"",Legendary)</f>
        <v/>
      </c>
      <c r="AD124" s="118"/>
      <c r="AE124" s="46" t="str">
        <f>IF((ISBLANK(AD124)),"",Legendary)</f>
        <v/>
      </c>
      <c r="AF124" s="118"/>
      <c r="AG124" s="46" t="str">
        <f>IF((ISBLANK(AF124)),"",Legendary)</f>
        <v/>
      </c>
      <c r="AH124" s="118"/>
      <c r="AI124" s="46" t="str">
        <f>IF((ISBLANK(AH124)),"",Legendary)</f>
        <v/>
      </c>
      <c r="AJ124" s="118"/>
      <c r="AK124" s="46" t="str">
        <f>IF((ISBLANK(AJ124)),"",Legendary)</f>
        <v/>
      </c>
      <c r="AL124" s="118"/>
      <c r="AM124" s="46" t="str">
        <f>IF((ISBLANK(AL124)),"",Legendary)</f>
        <v/>
      </c>
      <c r="AN124" s="118"/>
      <c r="AO124" s="46" t="str">
        <f>IF((ISBLANK(AN124)),"",Legendary)</f>
        <v/>
      </c>
      <c r="AP124" s="118"/>
      <c r="AQ124" s="46" t="str">
        <f>IF((ISBLANK(AP124)),"",Legendary)</f>
        <v/>
      </c>
      <c r="AR124" s="118"/>
      <c r="AS124" s="46" t="str">
        <f>IF((ISBLANK(AR124)),"",Legendary)</f>
        <v/>
      </c>
      <c r="AT124" s="118"/>
      <c r="AU124" s="46" t="str">
        <f>IF((ISBLANK(AT124)),"",Legendary)</f>
        <v/>
      </c>
      <c r="AV124" s="118"/>
      <c r="AW124" s="46" t="str">
        <f>IF((ISBLANK(AV124)),"",Legendary)</f>
        <v/>
      </c>
      <c r="AX124" s="118"/>
      <c r="AY124" s="46" t="str">
        <f>IF((ISBLANK(AX124)),"",Legendary)</f>
        <v/>
      </c>
      <c r="AZ124" s="118"/>
      <c r="BA124" s="46" t="str">
        <f>IF((ISBLANK(AZ124)),"",Legendary)</f>
        <v/>
      </c>
    </row>
    <row r="125" hidden="1" outlineLevel="1">
      <c r="A125" s="231" t="s">
        <v>1489</v>
      </c>
      <c r="B125" s="46"/>
      <c r="C125" s="35"/>
      <c r="D125" s="17" t="s">
        <v>149</v>
      </c>
      <c r="E125" s="46">
        <f>IF((ISBLANK(D125)),"",Trained)</f>
        <v>10</v>
      </c>
      <c r="F125" s="118"/>
      <c r="G125" s="46" t="str">
        <f>IF((ISBLANK(F125)),"",Trained)</f>
        <v/>
      </c>
      <c r="H125" s="118"/>
      <c r="I125" s="46" t="str">
        <f>IF((ISBLANK(H125)),"",Trained)</f>
        <v/>
      </c>
      <c r="J125" s="118"/>
      <c r="K125" s="46" t="str">
        <f>IF((ISBLANK(J125)),"",Trained)</f>
        <v/>
      </c>
      <c r="L125" s="118"/>
      <c r="M125" s="46" t="str">
        <f>IF((ISBLANK(L125)),"",Trained)</f>
        <v/>
      </c>
      <c r="N125" s="118"/>
      <c r="O125" s="46" t="str">
        <f>IF((ISBLANK(N125)),"",Trained)</f>
        <v/>
      </c>
      <c r="P125" s="118"/>
      <c r="Q125" s="46" t="str">
        <f>IF((ISBLANK(P125)),"",Trained)</f>
        <v/>
      </c>
      <c r="R125" s="118"/>
      <c r="S125" s="46" t="str">
        <f>IF((ISBLANK(R125)),"",Trained)</f>
        <v/>
      </c>
      <c r="T125" s="118"/>
      <c r="U125" s="46" t="str">
        <f>IF((ISBLANK(T125)),"",Trained)</f>
        <v/>
      </c>
      <c r="V125" s="118"/>
      <c r="W125" s="46" t="str">
        <f>IF((ISBLANK(V125)),"",Trained)</f>
        <v/>
      </c>
      <c r="X125" s="118" t="s">
        <v>149</v>
      </c>
      <c r="Y125" s="226">
        <f>IF((ISBLANK(X125)),"",Trained)</f>
        <v>10</v>
      </c>
      <c r="Z125" s="118"/>
      <c r="AA125" s="46" t="str">
        <f>IF((ISBLANK(Z125)),"",Trained)</f>
        <v/>
      </c>
      <c r="AB125" s="118"/>
      <c r="AC125" s="46" t="str">
        <f>IF((ISBLANK(AB125)),"",Trained)</f>
        <v/>
      </c>
      <c r="AD125" s="118"/>
      <c r="AE125" s="46" t="str">
        <f>IF((ISBLANK(AD125)),"",Trained)</f>
        <v/>
      </c>
      <c r="AF125" s="118"/>
      <c r="AG125" s="46" t="str">
        <f>IF((ISBLANK(AF125)),"",Trained)</f>
        <v/>
      </c>
      <c r="AH125" s="118"/>
      <c r="AI125" s="46" t="str">
        <f>IF((ISBLANK(AH125)),"",Trained)</f>
        <v/>
      </c>
      <c r="AJ125" s="118"/>
      <c r="AK125" s="46" t="str">
        <f>IF((ISBLANK(AJ125)),"",Trained)</f>
        <v/>
      </c>
      <c r="AL125" s="118"/>
      <c r="AM125" s="46" t="str">
        <f>IF((ISBLANK(AL125)),"",Trained)</f>
        <v/>
      </c>
      <c r="AN125" s="118"/>
      <c r="AO125" s="46" t="str">
        <f>IF((ISBLANK(AN125)),"",Trained)</f>
        <v/>
      </c>
      <c r="AP125" s="118"/>
      <c r="AQ125" s="46" t="str">
        <f>IF((ISBLANK(AP125)),"",Trained)</f>
        <v/>
      </c>
      <c r="AR125" s="118"/>
      <c r="AS125" s="46" t="str">
        <f>IF((ISBLANK(AR125)),"",Trained)</f>
        <v/>
      </c>
      <c r="AT125" s="118"/>
      <c r="AU125" s="46" t="str">
        <f>IF((ISBLANK(AT125)),"",Trained)</f>
        <v/>
      </c>
      <c r="AV125" s="118"/>
      <c r="AW125" s="46" t="str">
        <f>IF((ISBLANK(AV125)),"",Trained)</f>
        <v/>
      </c>
      <c r="AX125" s="118"/>
      <c r="AY125" s="46" t="str">
        <f>IF((ISBLANK(AX125)),"",Trained)</f>
        <v/>
      </c>
      <c r="AZ125" s="118"/>
      <c r="BA125" s="46" t="str">
        <f>IF((ISBLANK(AZ125)),"",Trained)</f>
        <v/>
      </c>
    </row>
    <row r="126" hidden="1" outlineLevel="1">
      <c r="A126" s="37" t="s">
        <v>1490</v>
      </c>
      <c r="B126" s="46"/>
      <c r="C126" s="35"/>
      <c r="D126" s="17" t="s">
        <v>151</v>
      </c>
      <c r="E126" s="46"/>
      <c r="F126" s="118"/>
      <c r="G126" s="46"/>
      <c r="H126" s="118"/>
      <c r="I126" s="46"/>
      <c r="J126" s="118" t="s">
        <v>153</v>
      </c>
      <c r="K126" s="225" t="s">
        <v>436</v>
      </c>
      <c r="L126" s="118"/>
      <c r="M126" s="46"/>
      <c r="N126" s="118"/>
      <c r="O126" s="46"/>
      <c r="P126" s="118"/>
      <c r="Q126" s="46"/>
      <c r="R126" s="118"/>
      <c r="S126" s="46"/>
      <c r="T126" s="118"/>
      <c r="U126" s="46"/>
      <c r="V126" s="118"/>
      <c r="W126" s="46"/>
      <c r="X126" s="118" t="s">
        <v>153</v>
      </c>
      <c r="Y126" s="225" t="s">
        <v>436</v>
      </c>
      <c r="Z126" s="118"/>
      <c r="AA126" s="46"/>
      <c r="AB126" s="118"/>
      <c r="AC126" s="46"/>
      <c r="AD126" s="118"/>
      <c r="AE126" s="46"/>
      <c r="AF126" s="118"/>
      <c r="AG126" s="46"/>
      <c r="AH126" s="118"/>
      <c r="AI126" s="46"/>
      <c r="AJ126" s="118"/>
      <c r="AK126" s="46"/>
      <c r="AL126" s="118"/>
      <c r="AM126" s="46"/>
      <c r="AN126" s="118"/>
      <c r="AO126" s="46"/>
      <c r="AP126" s="118"/>
      <c r="AQ126" s="46"/>
      <c r="AR126" s="118"/>
      <c r="AS126" s="46"/>
      <c r="AT126" s="118"/>
      <c r="AU126" s="46"/>
      <c r="AV126" s="118"/>
      <c r="AW126" s="46"/>
      <c r="AX126" s="118"/>
      <c r="AY126" s="46"/>
      <c r="AZ126" s="118"/>
      <c r="BA126" s="46"/>
    </row>
    <row r="127" hidden="1" outlineLevel="1">
      <c r="A127" s="37" t="s">
        <v>1491</v>
      </c>
      <c r="B127" s="46"/>
      <c r="C127" s="35"/>
      <c r="D127" s="17" t="s">
        <v>153</v>
      </c>
      <c r="E127" s="46"/>
      <c r="F127" s="118"/>
      <c r="G127" s="46"/>
      <c r="H127" s="118"/>
      <c r="I127" s="46"/>
      <c r="J127" s="118" t="s">
        <v>161</v>
      </c>
      <c r="K127" s="225" t="s">
        <v>437</v>
      </c>
      <c r="L127" s="118"/>
      <c r="M127" s="46"/>
      <c r="N127" s="118"/>
      <c r="O127" s="46"/>
      <c r="P127" s="118"/>
      <c r="Q127" s="46"/>
      <c r="R127" s="118"/>
      <c r="S127" s="46"/>
      <c r="T127" s="118"/>
      <c r="U127" s="46"/>
      <c r="V127" s="118"/>
      <c r="W127" s="46"/>
      <c r="X127" s="118" t="s">
        <v>161</v>
      </c>
      <c r="Y127" s="225" t="s">
        <v>437</v>
      </c>
      <c r="Z127" s="118"/>
      <c r="AA127" s="46"/>
      <c r="AB127" s="118"/>
      <c r="AC127" s="46"/>
      <c r="AD127" s="118"/>
      <c r="AE127" s="46"/>
      <c r="AF127" s="118"/>
      <c r="AG127" s="46"/>
      <c r="AH127" s="118"/>
      <c r="AI127" s="46"/>
      <c r="AJ127" s="118"/>
      <c r="AK127" s="46"/>
      <c r="AL127" s="118"/>
      <c r="AM127" s="46"/>
      <c r="AN127" s="118"/>
      <c r="AO127" s="46"/>
      <c r="AP127" s="118"/>
      <c r="AQ127" s="46"/>
      <c r="AR127" s="118"/>
      <c r="AS127" s="46"/>
      <c r="AT127" s="118"/>
      <c r="AU127" s="46"/>
      <c r="AV127" s="118"/>
      <c r="AW127" s="46"/>
      <c r="AX127" s="118"/>
      <c r="AY127" s="46"/>
      <c r="AZ127" s="118"/>
      <c r="BA127" s="46"/>
    </row>
    <row r="128" hidden="1" outlineLevel="1">
      <c r="A128" s="37" t="s">
        <v>1492</v>
      </c>
      <c r="B128" s="46"/>
      <c r="C128" s="35"/>
      <c r="D128" s="17" t="s">
        <v>155</v>
      </c>
      <c r="E128" s="46"/>
      <c r="F128" s="118"/>
      <c r="G128" s="46"/>
      <c r="H128" s="118"/>
      <c r="I128" s="46"/>
      <c r="J128" s="118"/>
      <c r="K128" s="46"/>
      <c r="L128" s="118"/>
      <c r="M128" s="46"/>
      <c r="N128" s="118"/>
      <c r="O128" s="46"/>
      <c r="P128" s="118"/>
      <c r="Q128" s="46"/>
      <c r="R128" s="118"/>
      <c r="S128" s="46"/>
      <c r="T128" s="118"/>
      <c r="U128" s="46"/>
      <c r="V128" s="118"/>
      <c r="W128" s="46"/>
      <c r="X128" s="118"/>
      <c r="Y128" s="46"/>
      <c r="Z128" s="118"/>
      <c r="AA128" s="46"/>
      <c r="AB128" s="118"/>
      <c r="AC128" s="46"/>
      <c r="AD128" s="118"/>
      <c r="AE128" s="46"/>
      <c r="AF128" s="118"/>
      <c r="AG128" s="46"/>
      <c r="AH128" s="118"/>
      <c r="AI128" s="46"/>
      <c r="AJ128" s="118"/>
      <c r="AK128" s="46"/>
      <c r="AL128" s="118"/>
      <c r="AM128" s="46"/>
      <c r="AN128" s="118"/>
      <c r="AO128" s="46"/>
      <c r="AP128" s="118"/>
      <c r="AQ128" s="46"/>
      <c r="AR128" s="118"/>
      <c r="AS128" s="46"/>
      <c r="AT128" s="118"/>
      <c r="AU128" s="46"/>
      <c r="AV128" s="118"/>
      <c r="AW128" s="46"/>
      <c r="AX128" s="118"/>
      <c r="AY128" s="46"/>
      <c r="AZ128" s="118"/>
      <c r="BA128" s="46"/>
    </row>
    <row r="129" hidden="1" outlineLevel="1">
      <c r="A129" s="90" t="s">
        <v>1493</v>
      </c>
      <c r="B129" s="46"/>
      <c r="C129" s="35"/>
      <c r="D129" s="17" t="s">
        <v>149</v>
      </c>
      <c r="E129" s="46">
        <f>IF((ISBLANK(D129)),"",Trained)</f>
        <v>10</v>
      </c>
      <c r="F129" s="118"/>
      <c r="G129" s="46" t="str">
        <f>IF((ISBLANK(F129)),"",Trained)</f>
        <v/>
      </c>
      <c r="H129" s="118"/>
      <c r="I129" s="46" t="str">
        <f>IF((ISBLANK(H129)),"",Trained)</f>
        <v/>
      </c>
      <c r="J129" s="118" t="s">
        <v>149</v>
      </c>
      <c r="K129" s="226">
        <f>IF((ISBLANK(J129)),"",Trained)</f>
        <v>10</v>
      </c>
      <c r="L129" s="118"/>
      <c r="M129" s="46" t="str">
        <f>IF((ISBLANK(L129)),"",Trained)</f>
        <v/>
      </c>
      <c r="N129" s="118"/>
      <c r="O129" s="46" t="str">
        <f>IF((ISBLANK(N129)),"",Trained)</f>
        <v/>
      </c>
      <c r="P129" s="118"/>
      <c r="Q129" s="46" t="str">
        <f>IF((ISBLANK(P129)),"",Trained)</f>
        <v/>
      </c>
      <c r="R129" s="118"/>
      <c r="S129" s="46" t="str">
        <f>IF((ISBLANK(R129)),"",Trained)</f>
        <v/>
      </c>
      <c r="T129" s="118"/>
      <c r="U129" s="46" t="str">
        <f>IF((ISBLANK(T129)),"",Trained)</f>
        <v/>
      </c>
      <c r="V129" s="118"/>
      <c r="W129" s="46" t="str">
        <f>IF((ISBLANK(V129)),"",Trained)</f>
        <v/>
      </c>
      <c r="X129" s="118"/>
      <c r="Y129" s="46" t="str">
        <f>IF((ISBLANK(X129)),"",Trained)</f>
        <v/>
      </c>
      <c r="Z129" s="118"/>
      <c r="AA129" s="46" t="str">
        <f>IF((ISBLANK(Z129)),"",Trained)</f>
        <v/>
      </c>
      <c r="AB129" s="118"/>
      <c r="AC129" s="46" t="str">
        <f>IF((ISBLANK(AB129)),"",Trained)</f>
        <v/>
      </c>
      <c r="AD129" s="118"/>
      <c r="AE129" s="46" t="str">
        <f>IF((ISBLANK(AD129)),"",Trained)</f>
        <v/>
      </c>
      <c r="AF129" s="118"/>
      <c r="AG129" s="46" t="str">
        <f>IF((ISBLANK(AF129)),"",Trained)</f>
        <v/>
      </c>
      <c r="AH129" s="118"/>
      <c r="AI129" s="46" t="str">
        <f>IF((ISBLANK(AH129)),"",Trained)</f>
        <v/>
      </c>
      <c r="AJ129" s="118"/>
      <c r="AK129" s="46" t="str">
        <f>IF((ISBLANK(AJ129)),"",Trained)</f>
        <v/>
      </c>
      <c r="AL129" s="118"/>
      <c r="AM129" s="46" t="str">
        <f>IF((ISBLANK(AL129)),"",Trained)</f>
        <v/>
      </c>
      <c r="AN129" s="118"/>
      <c r="AO129" s="46" t="str">
        <f>IF((ISBLANK(AN129)),"",Trained)</f>
        <v/>
      </c>
      <c r="AP129" s="118"/>
      <c r="AQ129" s="46" t="str">
        <f>IF((ISBLANK(AP129)),"",Trained)</f>
        <v/>
      </c>
      <c r="AR129" s="118"/>
      <c r="AS129" s="46" t="str">
        <f>IF((ISBLANK(AR129)),"",Trained)</f>
        <v/>
      </c>
      <c r="AT129" s="118"/>
      <c r="AU129" s="46" t="str">
        <f>IF((ISBLANK(AT129)),"",Trained)</f>
        <v/>
      </c>
      <c r="AV129" s="118"/>
      <c r="AW129" s="46" t="str">
        <f>IF((ISBLANK(AV129)),"",Trained)</f>
        <v/>
      </c>
      <c r="AX129" s="118"/>
      <c r="AY129" s="46" t="str">
        <f>IF((ISBLANK(AX129)),"",Trained)</f>
        <v/>
      </c>
      <c r="AZ129" s="118"/>
      <c r="BA129" s="46" t="str">
        <f>IF((ISBLANK(AZ129)),"",Trained)</f>
        <v/>
      </c>
    </row>
    <row r="130" hidden="1" outlineLevel="1">
      <c r="A130" s="37" t="s">
        <v>1494</v>
      </c>
      <c r="B130" s="46"/>
      <c r="C130" s="35"/>
      <c r="D130" s="17" t="s">
        <v>151</v>
      </c>
      <c r="E130" s="46"/>
      <c r="F130" s="118"/>
      <c r="G130" s="46"/>
      <c r="H130" s="118"/>
      <c r="I130" s="46"/>
      <c r="J130" s="118" t="s">
        <v>161</v>
      </c>
      <c r="K130" s="225" t="s">
        <v>436</v>
      </c>
      <c r="L130" s="118"/>
      <c r="M130" s="46"/>
      <c r="N130" s="118"/>
      <c r="O130" s="46"/>
      <c r="P130" s="118"/>
      <c r="Q130" s="46"/>
      <c r="R130" s="118"/>
      <c r="S130" s="46"/>
      <c r="T130" s="118"/>
      <c r="U130" s="46"/>
      <c r="V130" s="118"/>
      <c r="W130" s="46"/>
      <c r="X130" s="118"/>
      <c r="Y130" s="46"/>
      <c r="Z130" s="118"/>
      <c r="AA130" s="46"/>
      <c r="AB130" s="118"/>
      <c r="AC130" s="46"/>
      <c r="AD130" s="118"/>
      <c r="AE130" s="46"/>
      <c r="AF130" s="118"/>
      <c r="AG130" s="46"/>
      <c r="AH130" s="118"/>
      <c r="AI130" s="46"/>
      <c r="AJ130" s="118"/>
      <c r="AK130" s="46"/>
      <c r="AL130" s="118"/>
      <c r="AM130" s="46"/>
      <c r="AN130" s="118"/>
      <c r="AO130" s="46"/>
      <c r="AP130" s="118"/>
      <c r="AQ130" s="46"/>
      <c r="AR130" s="118"/>
      <c r="AS130" s="46"/>
      <c r="AT130" s="118"/>
      <c r="AU130" s="46"/>
      <c r="AV130" s="118"/>
      <c r="AW130" s="46"/>
      <c r="AX130" s="118"/>
      <c r="AY130" s="46"/>
      <c r="AZ130" s="118"/>
      <c r="BA130" s="46"/>
    </row>
    <row r="131" hidden="1" outlineLevel="1">
      <c r="A131" s="37" t="s">
        <v>1495</v>
      </c>
      <c r="B131" s="46"/>
      <c r="C131" s="35"/>
      <c r="D131" s="17" t="s">
        <v>153</v>
      </c>
      <c r="E131" s="46"/>
      <c r="F131" s="118"/>
      <c r="G131" s="46"/>
      <c r="H131" s="118"/>
      <c r="I131" s="46"/>
      <c r="J131" s="118" t="s">
        <v>167</v>
      </c>
      <c r="K131" s="225" t="s">
        <v>437</v>
      </c>
      <c r="L131" s="118"/>
      <c r="M131" s="46"/>
      <c r="N131" s="118"/>
      <c r="O131" s="46"/>
      <c r="P131" s="118"/>
      <c r="Q131" s="46"/>
      <c r="R131" s="118"/>
      <c r="S131" s="46"/>
      <c r="T131" s="118"/>
      <c r="U131" s="46"/>
      <c r="V131" s="118"/>
      <c r="W131" s="46"/>
      <c r="X131" s="118"/>
      <c r="Y131" s="46"/>
      <c r="Z131" s="118"/>
      <c r="AA131" s="46"/>
      <c r="AB131" s="118"/>
      <c r="AC131" s="46"/>
      <c r="AD131" s="118"/>
      <c r="AE131" s="46"/>
      <c r="AF131" s="118"/>
      <c r="AG131" s="46"/>
      <c r="AH131" s="118"/>
      <c r="AI131" s="46"/>
      <c r="AJ131" s="118"/>
      <c r="AK131" s="46"/>
      <c r="AL131" s="118"/>
      <c r="AM131" s="46"/>
      <c r="AN131" s="118"/>
      <c r="AO131" s="46"/>
      <c r="AP131" s="118"/>
      <c r="AQ131" s="46"/>
      <c r="AR131" s="118"/>
      <c r="AS131" s="46"/>
      <c r="AT131" s="118"/>
      <c r="AU131" s="46"/>
      <c r="AV131" s="118"/>
      <c r="AW131" s="46"/>
      <c r="AX131" s="118"/>
      <c r="AY131" s="46"/>
      <c r="AZ131" s="118"/>
      <c r="BA131" s="46"/>
    </row>
    <row r="132" hidden="1" outlineLevel="1">
      <c r="A132" s="37" t="s">
        <v>1496</v>
      </c>
      <c r="B132" s="46"/>
      <c r="C132" s="35"/>
      <c r="D132" s="17" t="s">
        <v>155</v>
      </c>
      <c r="E132" s="46"/>
      <c r="F132" s="118"/>
      <c r="G132" s="46"/>
      <c r="H132" s="118"/>
      <c r="I132" s="46"/>
      <c r="J132" s="118"/>
      <c r="K132" s="46" t="str">
        <f>IF((ISBLANK(J132)),"",#REF!)</f>
        <v/>
      </c>
      <c r="L132" s="118"/>
      <c r="M132" s="46"/>
      <c r="N132" s="118"/>
      <c r="O132" s="46"/>
      <c r="P132" s="118"/>
      <c r="Q132" s="46"/>
      <c r="R132" s="118"/>
      <c r="S132" s="46"/>
      <c r="T132" s="118"/>
      <c r="U132" s="46"/>
      <c r="V132" s="118"/>
      <c r="W132" s="46"/>
      <c r="X132" s="118"/>
      <c r="Y132" s="46"/>
      <c r="Z132" s="118"/>
      <c r="AA132" s="46"/>
      <c r="AB132" s="118"/>
      <c r="AC132" s="46"/>
      <c r="AD132" s="118"/>
      <c r="AE132" s="46"/>
      <c r="AF132" s="118"/>
      <c r="AG132" s="46"/>
      <c r="AH132" s="118"/>
      <c r="AI132" s="46"/>
      <c r="AJ132" s="118"/>
      <c r="AK132" s="46"/>
      <c r="AL132" s="118"/>
      <c r="AM132" s="46"/>
      <c r="AN132" s="118"/>
      <c r="AO132" s="46"/>
      <c r="AP132" s="118"/>
      <c r="AQ132" s="46"/>
      <c r="AR132" s="118"/>
      <c r="AS132" s="46"/>
      <c r="AT132" s="118"/>
      <c r="AU132" s="46"/>
      <c r="AV132" s="118"/>
      <c r="AW132" s="46"/>
      <c r="AX132" s="118"/>
      <c r="AY132" s="46"/>
      <c r="AZ132" s="118"/>
      <c r="BA132" s="46"/>
    </row>
    <row r="133" collapsed="1">
      <c r="A133" s="121" t="s">
        <v>1498</v>
      </c>
      <c r="B133" s="122"/>
      <c r="C133" s="173"/>
      <c r="D133" s="122"/>
      <c r="E133" s="75">
        <f>sum(E134:E150)</f>
        <v>1490</v>
      </c>
      <c r="F133" s="221"/>
      <c r="G133" s="78">
        <f>sum(G134:G150)</f>
        <v>440</v>
      </c>
      <c r="H133" s="221"/>
      <c r="I133" s="78">
        <f>sum(I134:I150)</f>
        <v>360</v>
      </c>
      <c r="J133" s="221"/>
      <c r="K133" s="78">
        <f>sum(K134:K150)</f>
        <v>250</v>
      </c>
      <c r="L133" s="221"/>
      <c r="M133" s="78">
        <f>sum(M134:M150)</f>
        <v>190</v>
      </c>
      <c r="N133" s="221"/>
      <c r="O133" s="78">
        <f>sum(O134:O150)</f>
        <v>190</v>
      </c>
      <c r="P133" s="221"/>
      <c r="Q133" s="78">
        <f>sum(Q134:Q150)</f>
        <v>180</v>
      </c>
      <c r="R133" s="221"/>
      <c r="S133" s="78">
        <f>sum(S134:S150)</f>
        <v>180</v>
      </c>
      <c r="T133" s="221"/>
      <c r="U133" s="78">
        <f>sum(U134:U150)</f>
        <v>190</v>
      </c>
      <c r="V133" s="221"/>
      <c r="W133" s="78">
        <f>sum(W134:W150)</f>
        <v>180</v>
      </c>
      <c r="X133" s="221"/>
      <c r="Y133" s="78">
        <f>sum(Y134:Y150)</f>
        <v>190</v>
      </c>
      <c r="Z133" s="221"/>
      <c r="AA133" s="78">
        <f>sum(AA134:AA150)</f>
        <v>190</v>
      </c>
      <c r="AB133" s="221"/>
      <c r="AC133" s="78">
        <f>sum(AC134:AC150)</f>
        <v>190</v>
      </c>
      <c r="AD133" s="221"/>
      <c r="AE133" s="78">
        <f>sum(AE134:AE150)</f>
        <v>180</v>
      </c>
      <c r="AF133" s="221"/>
      <c r="AG133" s="78">
        <f>sum(AG134:AG150)</f>
        <v>60</v>
      </c>
      <c r="AH133" s="221"/>
      <c r="AI133" s="78">
        <f>sum(AI134:AI150)</f>
        <v>190</v>
      </c>
      <c r="AJ133" s="221"/>
      <c r="AK133" s="78">
        <f>sum(AK134:AK150)</f>
        <v>80</v>
      </c>
      <c r="AL133" s="221"/>
      <c r="AM133" s="78">
        <f>sum(AM134:AM150)</f>
        <v>60</v>
      </c>
      <c r="AN133" s="221"/>
      <c r="AO133" s="78">
        <f>sum(AO134:AO150)</f>
        <v>70</v>
      </c>
      <c r="AP133" s="221"/>
      <c r="AQ133" s="78">
        <f>sum(AQ134:AQ150)</f>
        <v>70</v>
      </c>
      <c r="AR133" s="221"/>
      <c r="AS133" s="78">
        <f>sum(AS134:AS150)</f>
        <v>80</v>
      </c>
      <c r="AT133" s="221"/>
      <c r="AU133" s="78">
        <f>sum(AU134:AU150)</f>
        <v>60</v>
      </c>
      <c r="AV133" s="221"/>
      <c r="AW133" s="78">
        <f>sum(AW134:AW150)</f>
        <v>60</v>
      </c>
      <c r="AX133" s="221"/>
      <c r="AY133" s="78">
        <f>sum(AY134:AY150)</f>
        <v>60</v>
      </c>
      <c r="AZ133" s="221"/>
      <c r="BA133" s="78">
        <f>sum(BA134:BA150)</f>
        <v>60</v>
      </c>
    </row>
    <row r="134" hidden="1" outlineLevel="1">
      <c r="A134" s="90" t="s">
        <v>1506</v>
      </c>
      <c r="B134" s="17"/>
      <c r="C134" s="35"/>
      <c r="D134" s="17" t="s">
        <v>155</v>
      </c>
      <c r="E134" s="46">
        <f>IF((ISBLANK(D134)),"",ArmorAS)</f>
        <v>50</v>
      </c>
      <c r="F134" s="118" t="s">
        <v>155</v>
      </c>
      <c r="G134" s="95">
        <f>IF((ISBLANK(F134)),"",ArmorAS)</f>
        <v>50</v>
      </c>
      <c r="H134" s="118"/>
      <c r="I134" s="46" t="str">
        <f>IF((ISBLANK(H134)),"",ArmorAS)</f>
        <v/>
      </c>
      <c r="J134" s="118" t="s">
        <v>159</v>
      </c>
      <c r="K134" s="95">
        <f>IF((ISBLANK(J134)),"",ArmorAS)</f>
        <v>50</v>
      </c>
      <c r="L134" s="118"/>
      <c r="M134" s="46" t="str">
        <f>IF((ISBLANK(L134)),"",ArmorAS)</f>
        <v/>
      </c>
      <c r="N134" s="118"/>
      <c r="O134" s="46" t="str">
        <f>IF((ISBLANK(N134)),"",ArmorAS)</f>
        <v/>
      </c>
      <c r="P134" s="118"/>
      <c r="Q134" s="46" t="str">
        <f>IF((ISBLANK(P134)),"",ArmorAS)</f>
        <v/>
      </c>
      <c r="R134" s="118"/>
      <c r="S134" s="46" t="str">
        <f>IF((ISBLANK(R134)),"",ArmorAS)</f>
        <v/>
      </c>
      <c r="T134" s="118"/>
      <c r="U134" s="46" t="str">
        <f>IF((ISBLANK(T134)),"",ArmorAS)</f>
        <v/>
      </c>
      <c r="V134" s="118"/>
      <c r="W134" s="46" t="str">
        <f>IF((ISBLANK(V134)),"",ArmorAS)</f>
        <v/>
      </c>
      <c r="X134" s="118"/>
      <c r="Y134" s="46" t="str">
        <f>IF((ISBLANK(X134)),"",ArmorAS)</f>
        <v/>
      </c>
      <c r="Z134" s="118"/>
      <c r="AA134" s="46" t="str">
        <f>IF((ISBLANK(Z134)),"",ArmorAS)</f>
        <v/>
      </c>
      <c r="AB134" s="118"/>
      <c r="AC134" s="46" t="str">
        <f>IF((ISBLANK(AB134)),"",ArmorAS)</f>
        <v/>
      </c>
      <c r="AD134" s="118"/>
      <c r="AE134" s="46" t="str">
        <f>IF((ISBLANK(AD134)),"",ArmorAS)</f>
        <v/>
      </c>
      <c r="AF134" s="118"/>
      <c r="AG134" s="46" t="str">
        <f>IF((ISBLANK(AF134)),"",ArmorAS)</f>
        <v/>
      </c>
      <c r="AH134" s="118"/>
      <c r="AI134" s="46" t="str">
        <f>IF((ISBLANK(AH134)),"",ArmorAS)</f>
        <v/>
      </c>
      <c r="AJ134" s="118"/>
      <c r="AK134" s="46" t="str">
        <f>IF((ISBLANK(AJ134)),"",ArmorAS)</f>
        <v/>
      </c>
      <c r="AL134" s="118"/>
      <c r="AM134" s="46" t="str">
        <f>IF((ISBLANK(AL134)),"",ArmorAS)</f>
        <v/>
      </c>
      <c r="AN134" s="118"/>
      <c r="AO134" s="46" t="str">
        <f>IF((ISBLANK(AN134)),"",ArmorAS)</f>
        <v/>
      </c>
      <c r="AP134" s="118"/>
      <c r="AQ134" s="46" t="str">
        <f>IF((ISBLANK(AP134)),"",ArmorAS)</f>
        <v/>
      </c>
      <c r="AR134" s="118"/>
      <c r="AS134" s="46" t="str">
        <f>IF((ISBLANK(AR134)),"",ArmorAS)</f>
        <v/>
      </c>
      <c r="AT134" s="118"/>
      <c r="AU134" s="46" t="str">
        <f>IF((ISBLANK(AT134)),"",ArmorAS)</f>
        <v/>
      </c>
      <c r="AV134" s="118"/>
      <c r="AW134" s="46" t="str">
        <f>IF((ISBLANK(AV134)),"",ArmorAS)</f>
        <v/>
      </c>
      <c r="AX134" s="118"/>
      <c r="AY134" s="46" t="str">
        <f>IF((ISBLANK(AX134)),"",ArmorAS)</f>
        <v/>
      </c>
      <c r="AZ134" s="118"/>
      <c r="BA134" s="46" t="str">
        <f>IF((ISBLANK(AZ134)),"",ArmorAS)</f>
        <v/>
      </c>
    </row>
    <row r="135" hidden="1" outlineLevel="1">
      <c r="A135" s="90" t="s">
        <v>1510</v>
      </c>
      <c r="B135" s="17"/>
      <c r="C135" s="35"/>
      <c r="D135" s="17" t="s">
        <v>149</v>
      </c>
      <c r="E135" s="46">
        <f>IF((ISBLANK(D135)),"",Trained)</f>
        <v>10</v>
      </c>
      <c r="F135" s="118" t="s">
        <v>149</v>
      </c>
      <c r="G135" s="95">
        <f>IF((ISBLANK(F135)),"",Trained)</f>
        <v>10</v>
      </c>
      <c r="H135" s="118" t="s">
        <v>622</v>
      </c>
      <c r="I135" s="95">
        <f>IF((ISBLANK(H135)),"",Trained)</f>
        <v>10</v>
      </c>
      <c r="J135" s="118" t="s">
        <v>149</v>
      </c>
      <c r="K135" s="95">
        <f>IF((ISBLANK(J135)),"",Trained)</f>
        <v>10</v>
      </c>
      <c r="L135" s="118" t="s">
        <v>149</v>
      </c>
      <c r="M135" s="95">
        <f>IF((ISBLANK(L135)),"",Trained)</f>
        <v>10</v>
      </c>
      <c r="N135" s="118" t="s">
        <v>149</v>
      </c>
      <c r="O135" s="95">
        <f>IF((ISBLANK(N135)),"",Trained)</f>
        <v>10</v>
      </c>
      <c r="P135" s="118" t="s">
        <v>149</v>
      </c>
      <c r="Q135" s="95">
        <f>IF((ISBLANK(P135)),"",Trained)</f>
        <v>10</v>
      </c>
      <c r="R135" s="118" t="s">
        <v>149</v>
      </c>
      <c r="S135" s="95">
        <f>IF((ISBLANK(R135)),"",Trained)</f>
        <v>10</v>
      </c>
      <c r="T135" s="118" t="s">
        <v>149</v>
      </c>
      <c r="U135" s="95">
        <f>IF((ISBLANK(T135)),"",Trained)</f>
        <v>10</v>
      </c>
      <c r="V135" s="118" t="s">
        <v>149</v>
      </c>
      <c r="W135" s="95">
        <f>IF((ISBLANK(V135)),"",Trained)</f>
        <v>10</v>
      </c>
      <c r="X135" s="118" t="s">
        <v>149</v>
      </c>
      <c r="Y135" s="95">
        <f>IF((ISBLANK(X135)),"",Trained)</f>
        <v>10</v>
      </c>
      <c r="Z135" s="118" t="s">
        <v>149</v>
      </c>
      <c r="AA135" s="95">
        <f>IF((ISBLANK(Z135)),"",Trained)</f>
        <v>10</v>
      </c>
      <c r="AB135" s="118" t="s">
        <v>149</v>
      </c>
      <c r="AC135" s="95">
        <f>IF((ISBLANK(AB135)),"",Trained)</f>
        <v>10</v>
      </c>
      <c r="AD135" s="118" t="s">
        <v>149</v>
      </c>
      <c r="AE135" s="95">
        <f>IF((ISBLANK(AD135)),"",Trained)</f>
        <v>10</v>
      </c>
      <c r="AF135" s="118" t="s">
        <v>149</v>
      </c>
      <c r="AG135" s="95">
        <f>IF((ISBLANK(AF135)),"",Trained)</f>
        <v>10</v>
      </c>
      <c r="AH135" s="118" t="s">
        <v>149</v>
      </c>
      <c r="AI135" s="95">
        <f>IF((ISBLANK(AH135)),"",Trained)</f>
        <v>10</v>
      </c>
      <c r="AJ135" s="118" t="s">
        <v>149</v>
      </c>
      <c r="AK135" s="95">
        <f>IF((ISBLANK(AJ135)),"",Trained)</f>
        <v>10</v>
      </c>
      <c r="AL135" s="118" t="s">
        <v>149</v>
      </c>
      <c r="AM135" s="95">
        <f>IF((ISBLANK(AL135)),"",Trained)</f>
        <v>10</v>
      </c>
      <c r="AN135" s="118" t="s">
        <v>149</v>
      </c>
      <c r="AO135" s="95">
        <f>IF((ISBLANK(AN135)),"",Trained)</f>
        <v>10</v>
      </c>
      <c r="AP135" s="118" t="s">
        <v>149</v>
      </c>
      <c r="AQ135" s="95">
        <f>IF((ISBLANK(AP135)),"",Trained)</f>
        <v>10</v>
      </c>
      <c r="AR135" s="118" t="s">
        <v>149</v>
      </c>
      <c r="AS135" s="95">
        <f>IF((ISBLANK(AR135)),"",Trained)</f>
        <v>10</v>
      </c>
      <c r="AT135" s="118" t="s">
        <v>149</v>
      </c>
      <c r="AU135" s="95">
        <f>IF((ISBLANK(AT135)),"",Trained)</f>
        <v>10</v>
      </c>
      <c r="AV135" s="118" t="s">
        <v>149</v>
      </c>
      <c r="AW135" s="95">
        <f>IF((ISBLANK(AV135)),"",Trained)</f>
        <v>10</v>
      </c>
      <c r="AX135" s="118" t="s">
        <v>149</v>
      </c>
      <c r="AY135" s="95">
        <f>IF((ISBLANK(AX135)),"",Trained)</f>
        <v>10</v>
      </c>
      <c r="AZ135" s="118" t="s">
        <v>149</v>
      </c>
      <c r="BA135" s="95">
        <f>IF((ISBLANK(AZ135)),"",Trained)</f>
        <v>10</v>
      </c>
    </row>
    <row r="136" hidden="1" outlineLevel="1">
      <c r="A136" s="37" t="s">
        <v>1511</v>
      </c>
      <c r="B136" s="17"/>
      <c r="C136" s="35"/>
      <c r="D136" s="17" t="s">
        <v>151</v>
      </c>
      <c r="E136" s="46">
        <f>IF((ISBLANK(D136)),"",Expert)</f>
        <v>50</v>
      </c>
      <c r="F136" s="118" t="s">
        <v>155</v>
      </c>
      <c r="G136" s="39" t="s">
        <v>436</v>
      </c>
      <c r="H136" s="118" t="s">
        <v>149</v>
      </c>
      <c r="I136" s="95">
        <f>IF((ISBLANK(H136)),"",Expert)</f>
        <v>50</v>
      </c>
      <c r="J136" s="118" t="s">
        <v>159</v>
      </c>
      <c r="K136" s="39" t="s">
        <v>436</v>
      </c>
      <c r="L136" s="118" t="s">
        <v>161</v>
      </c>
      <c r="M136" s="39" t="s">
        <v>436</v>
      </c>
      <c r="N136" s="118" t="s">
        <v>159</v>
      </c>
      <c r="O136" s="39" t="s">
        <v>436</v>
      </c>
      <c r="P136" s="118" t="s">
        <v>161</v>
      </c>
      <c r="Q136" s="39" t="s">
        <v>436</v>
      </c>
      <c r="R136" s="118" t="s">
        <v>161</v>
      </c>
      <c r="S136" s="39" t="s">
        <v>436</v>
      </c>
      <c r="T136" s="118" t="s">
        <v>159</v>
      </c>
      <c r="U136" s="39" t="s">
        <v>436</v>
      </c>
      <c r="V136" s="118" t="s">
        <v>161</v>
      </c>
      <c r="W136" s="39" t="s">
        <v>436</v>
      </c>
      <c r="X136" s="118" t="s">
        <v>161</v>
      </c>
      <c r="Y136" s="39" t="s">
        <v>436</v>
      </c>
      <c r="Z136" s="118" t="s">
        <v>159</v>
      </c>
      <c r="AA136" s="39" t="s">
        <v>436</v>
      </c>
      <c r="AB136" s="118" t="s">
        <v>161</v>
      </c>
      <c r="AC136" s="39" t="s">
        <v>436</v>
      </c>
      <c r="AD136" s="118" t="s">
        <v>161</v>
      </c>
      <c r="AE136" s="46" t="s">
        <v>436</v>
      </c>
      <c r="AF136" s="118" t="s">
        <v>161</v>
      </c>
      <c r="AG136" s="95">
        <f>IF((ISBLANK(AF136)),"",Expert)</f>
        <v>50</v>
      </c>
      <c r="AH136" s="118" t="s">
        <v>159</v>
      </c>
      <c r="AI136" s="39" t="s">
        <v>436</v>
      </c>
      <c r="AJ136" s="118" t="s">
        <v>161</v>
      </c>
      <c r="AK136" s="39" t="s">
        <v>436</v>
      </c>
      <c r="AL136" s="118" t="s">
        <v>161</v>
      </c>
      <c r="AM136" s="95">
        <f>IF((ISBLANK(AL136)),"",Expert)</f>
        <v>50</v>
      </c>
      <c r="AN136" s="118" t="s">
        <v>161</v>
      </c>
      <c r="AO136" s="39" t="s">
        <v>436</v>
      </c>
      <c r="AP136" s="118" t="s">
        <v>161</v>
      </c>
      <c r="AQ136" s="39" t="s">
        <v>436</v>
      </c>
      <c r="AR136" s="118" t="s">
        <v>159</v>
      </c>
      <c r="AS136" s="39" t="s">
        <v>436</v>
      </c>
      <c r="AT136" s="118" t="s">
        <v>161</v>
      </c>
      <c r="AU136" s="95">
        <f>IF((ISBLANK(AT136)),"",Expert)</f>
        <v>50</v>
      </c>
      <c r="AV136" s="118" t="s">
        <v>161</v>
      </c>
      <c r="AW136" s="95">
        <f>IF((ISBLANK(AV136)),"",Expert)</f>
        <v>50</v>
      </c>
      <c r="AX136" s="118" t="s">
        <v>161</v>
      </c>
      <c r="AY136" s="95">
        <f>IF((ISBLANK(AX136)),"",Expert)</f>
        <v>50</v>
      </c>
      <c r="AZ136" s="118" t="s">
        <v>161</v>
      </c>
      <c r="BA136" s="95">
        <f>IF((ISBLANK(AZ136)),"",Expert)</f>
        <v>50</v>
      </c>
    </row>
    <row r="137" hidden="1" outlineLevel="1">
      <c r="A137" s="37" t="s">
        <v>1512</v>
      </c>
      <c r="B137" s="17"/>
      <c r="C137" s="35"/>
      <c r="D137" s="17" t="s">
        <v>153</v>
      </c>
      <c r="E137" s="46">
        <f>IF((ISBLANK(D137)),"",Master)</f>
        <v>110</v>
      </c>
      <c r="F137" s="118" t="s">
        <v>161</v>
      </c>
      <c r="G137" s="39" t="s">
        <v>437</v>
      </c>
      <c r="H137" s="118" t="s">
        <v>159</v>
      </c>
      <c r="I137" s="95">
        <f>IF((ISBLANK(H137)),"",Master)</f>
        <v>110</v>
      </c>
      <c r="J137" s="118" t="s">
        <v>165</v>
      </c>
      <c r="K137" s="39" t="s">
        <v>437</v>
      </c>
      <c r="L137" s="118" t="s">
        <v>167</v>
      </c>
      <c r="M137" s="39" t="s">
        <v>437</v>
      </c>
      <c r="N137" s="118" t="s">
        <v>167</v>
      </c>
      <c r="O137" s="39" t="s">
        <v>437</v>
      </c>
      <c r="P137" s="118" t="s">
        <v>167</v>
      </c>
      <c r="Q137" s="39" t="s">
        <v>437</v>
      </c>
      <c r="R137" s="118" t="s">
        <v>167</v>
      </c>
      <c r="S137" s="39" t="s">
        <v>437</v>
      </c>
      <c r="T137" s="118" t="s">
        <v>167</v>
      </c>
      <c r="U137" s="39" t="s">
        <v>437</v>
      </c>
      <c r="V137" s="118" t="s">
        <v>167</v>
      </c>
      <c r="W137" s="39" t="s">
        <v>437</v>
      </c>
      <c r="X137" s="118" t="s">
        <v>167</v>
      </c>
      <c r="Y137" s="39" t="s">
        <v>437</v>
      </c>
      <c r="Z137" s="118" t="s">
        <v>167</v>
      </c>
      <c r="AA137" s="39" t="s">
        <v>437</v>
      </c>
      <c r="AB137" s="118" t="s">
        <v>167</v>
      </c>
      <c r="AC137" s="39" t="s">
        <v>437</v>
      </c>
      <c r="AD137" s="118" t="s">
        <v>167</v>
      </c>
      <c r="AE137" s="46" t="s">
        <v>437</v>
      </c>
      <c r="AF137" s="118"/>
      <c r="AG137" s="46" t="str">
        <f>IF((ISBLANK(AF137)),"",Master)</f>
        <v/>
      </c>
      <c r="AH137" s="118" t="s">
        <v>165</v>
      </c>
      <c r="AI137" s="39" t="s">
        <v>437</v>
      </c>
      <c r="AJ137" s="118"/>
      <c r="AK137" s="46" t="str">
        <f>IF((ISBLANK(AJ137)),"",Master)</f>
        <v/>
      </c>
      <c r="AL137" s="118"/>
      <c r="AM137" s="46" t="str">
        <f>IF((ISBLANK(AL137)),"",Master)</f>
        <v/>
      </c>
      <c r="AN137" s="118"/>
      <c r="AO137" s="46" t="str">
        <f>IF((ISBLANK(AN137)),"",Master)</f>
        <v/>
      </c>
      <c r="AP137" s="118"/>
      <c r="AQ137" s="46" t="str">
        <f>IF((ISBLANK(AP137)),"",Master)</f>
        <v/>
      </c>
      <c r="AR137" s="118"/>
      <c r="AS137" s="46" t="str">
        <f>IF((ISBLANK(AR137)),"",Master)</f>
        <v/>
      </c>
      <c r="AT137" s="118"/>
      <c r="AU137" s="46" t="str">
        <f>IF((ISBLANK(AT137)),"",Master)</f>
        <v/>
      </c>
      <c r="AV137" s="118"/>
      <c r="AW137" s="46" t="str">
        <f>IF((ISBLANK(AV137)),"",Master)</f>
        <v/>
      </c>
      <c r="AX137" s="118"/>
      <c r="AY137" s="46" t="str">
        <f>IF((ISBLANK(AX137)),"",Master)</f>
        <v/>
      </c>
      <c r="AZ137" s="118"/>
      <c r="BA137" s="46" t="str">
        <f>IF((ISBLANK(AZ137)),"",Master)</f>
        <v/>
      </c>
    </row>
    <row r="138" hidden="1" outlineLevel="1">
      <c r="A138" s="37" t="s">
        <v>1514</v>
      </c>
      <c r="B138" s="17"/>
      <c r="C138" s="35"/>
      <c r="D138" s="17" t="s">
        <v>155</v>
      </c>
      <c r="E138" s="46">
        <f>IF((ISBLANK(D138)),"",Legendary)</f>
        <v>190</v>
      </c>
      <c r="F138" s="118" t="s">
        <v>165</v>
      </c>
      <c r="G138" s="39" t="s">
        <v>466</v>
      </c>
      <c r="H138" s="118" t="s">
        <v>165</v>
      </c>
      <c r="I138" s="95">
        <f>IF((ISBLANK(H138)),"",Legendary)</f>
        <v>190</v>
      </c>
      <c r="J138" s="118"/>
      <c r="K138" s="46" t="str">
        <f>IF((ISBLANK(J138)),"",Legendary)</f>
        <v/>
      </c>
      <c r="L138" s="118"/>
      <c r="M138" s="46" t="str">
        <f>IF((ISBLANK(L138)),"",Legendary)</f>
        <v/>
      </c>
      <c r="N138" s="118"/>
      <c r="O138" s="46" t="str">
        <f>IF((ISBLANK(N138)),"",Legendary)</f>
        <v/>
      </c>
      <c r="P138" s="118"/>
      <c r="Q138" s="46" t="str">
        <f>IF((ISBLANK(P138)),"",Legendary)</f>
        <v/>
      </c>
      <c r="R138" s="118"/>
      <c r="S138" s="46" t="str">
        <f>IF((ISBLANK(R138)),"",Legendary)</f>
        <v/>
      </c>
      <c r="T138" s="118"/>
      <c r="U138" s="46" t="str">
        <f>IF((ISBLANK(T138)),"",Legendary)</f>
        <v/>
      </c>
      <c r="V138" s="118"/>
      <c r="W138" s="46" t="str">
        <f>IF((ISBLANK(V138)),"",Legendary)</f>
        <v/>
      </c>
      <c r="X138" s="118"/>
      <c r="Y138" s="46" t="str">
        <f>IF((ISBLANK(X138)),"",Legendary)</f>
        <v/>
      </c>
      <c r="Z138" s="118"/>
      <c r="AA138" s="46" t="str">
        <f>IF((ISBLANK(Z138)),"",Legendary)</f>
        <v/>
      </c>
      <c r="AB138" s="118"/>
      <c r="AC138" s="46" t="str">
        <f>IF((ISBLANK(AB138)),"",Legendary)</f>
        <v/>
      </c>
      <c r="AD138" s="118"/>
      <c r="AE138" s="46" t="str">
        <f>IF((ISBLANK(AD138)),"",Legendary)</f>
        <v/>
      </c>
      <c r="AF138" s="118"/>
      <c r="AG138" s="46" t="str">
        <f>IF((ISBLANK(AF138)),"",Legendary)</f>
        <v/>
      </c>
      <c r="AH138" s="118"/>
      <c r="AI138" s="46" t="str">
        <f>IF((ISBLANK(AH138)),"",Legendary)</f>
        <v/>
      </c>
      <c r="AJ138" s="118"/>
      <c r="AK138" s="46" t="str">
        <f>IF((ISBLANK(AJ138)),"",Legendary)</f>
        <v/>
      </c>
      <c r="AL138" s="118"/>
      <c r="AM138" s="46" t="str">
        <f>IF((ISBLANK(AL138)),"",Legendary)</f>
        <v/>
      </c>
      <c r="AN138" s="118"/>
      <c r="AO138" s="46" t="str">
        <f>IF((ISBLANK(AN138)),"",Legendary)</f>
        <v/>
      </c>
      <c r="AP138" s="118"/>
      <c r="AQ138" s="46" t="str">
        <f>IF((ISBLANK(AP138)),"",Legendary)</f>
        <v/>
      </c>
      <c r="AR138" s="118"/>
      <c r="AS138" s="46" t="str">
        <f>IF((ISBLANK(AR138)),"",Legendary)</f>
        <v/>
      </c>
      <c r="AT138" s="118"/>
      <c r="AU138" s="46" t="str">
        <f>IF((ISBLANK(AT138)),"",Legendary)</f>
        <v/>
      </c>
      <c r="AV138" s="118"/>
      <c r="AW138" s="46" t="str">
        <f>IF((ISBLANK(AV138)),"",Legendary)</f>
        <v/>
      </c>
      <c r="AX138" s="118"/>
      <c r="AY138" s="46" t="str">
        <f>IF((ISBLANK(AX138)),"",Legendary)</f>
        <v/>
      </c>
      <c r="AZ138" s="118"/>
      <c r="BA138" s="46" t="str">
        <f>IF((ISBLANK(AZ138)),"",Legendary)</f>
        <v/>
      </c>
    </row>
    <row r="139" hidden="1" outlineLevel="1">
      <c r="A139" s="90" t="s">
        <v>1516</v>
      </c>
      <c r="B139" s="17"/>
      <c r="C139" s="35"/>
      <c r="D139" s="17" t="s">
        <v>149</v>
      </c>
      <c r="E139" s="46">
        <f>IF((ISBLANK(D139)),"",Trained)</f>
        <v>10</v>
      </c>
      <c r="F139" s="118" t="s">
        <v>149</v>
      </c>
      <c r="G139" s="95">
        <f>IF((ISBLANK(F139)),"",Trained)</f>
        <v>10</v>
      </c>
      <c r="H139" s="118"/>
      <c r="I139" s="46" t="str">
        <f>IF((ISBLANK(H139)),"",Trained)</f>
        <v/>
      </c>
      <c r="J139" s="118" t="s">
        <v>149</v>
      </c>
      <c r="K139" s="95">
        <f>IF((ISBLANK(J139)),"",Trained)</f>
        <v>10</v>
      </c>
      <c r="L139" s="118" t="s">
        <v>149</v>
      </c>
      <c r="M139" s="95">
        <f>IF((ISBLANK(L139)),"",Trained)</f>
        <v>10</v>
      </c>
      <c r="N139" s="118" t="s">
        <v>149</v>
      </c>
      <c r="O139" s="95">
        <f>IF((ISBLANK(N139)),"",Trained)</f>
        <v>10</v>
      </c>
      <c r="P139" s="118" t="s">
        <v>149</v>
      </c>
      <c r="Q139" s="95">
        <f>IF((ISBLANK(P139)),"",Trained)</f>
        <v>10</v>
      </c>
      <c r="R139" s="118" t="s">
        <v>149</v>
      </c>
      <c r="S139" s="95">
        <f>IF((ISBLANK(R139)),"",Trained)</f>
        <v>10</v>
      </c>
      <c r="T139" s="118" t="s">
        <v>149</v>
      </c>
      <c r="U139" s="95">
        <f>IF((ISBLANK(T139)),"",Trained)</f>
        <v>10</v>
      </c>
      <c r="V139" s="118" t="s">
        <v>149</v>
      </c>
      <c r="W139" s="95">
        <f>IF((ISBLANK(V139)),"",Trained)</f>
        <v>10</v>
      </c>
      <c r="X139" s="118" t="s">
        <v>149</v>
      </c>
      <c r="Y139" s="95">
        <f>IF((ISBLANK(X139)),"",Trained)</f>
        <v>10</v>
      </c>
      <c r="Z139" s="118" t="s">
        <v>149</v>
      </c>
      <c r="AA139" s="95">
        <f>IF((ISBLANK(Z139)),"",Trained)</f>
        <v>10</v>
      </c>
      <c r="AB139" s="118" t="s">
        <v>149</v>
      </c>
      <c r="AC139" s="95">
        <f>IF((ISBLANK(AB139)),"",Trained)</f>
        <v>10</v>
      </c>
      <c r="AD139" s="118" t="s">
        <v>149</v>
      </c>
      <c r="AE139" s="95">
        <f>IF((ISBLANK(AD139)),"",Trained)</f>
        <v>10</v>
      </c>
      <c r="AF139" s="118"/>
      <c r="AG139" s="46" t="str">
        <f>IF((ISBLANK(AF139)),"",Trained)</f>
        <v/>
      </c>
      <c r="AH139" s="118" t="s">
        <v>149</v>
      </c>
      <c r="AI139" s="95">
        <f>IF((ISBLANK(AH139)),"",Trained)</f>
        <v>10</v>
      </c>
      <c r="AJ139" s="118" t="s">
        <v>149</v>
      </c>
      <c r="AK139" s="95">
        <f>IF((ISBLANK(AJ139)),"",Trained)</f>
        <v>10</v>
      </c>
      <c r="AL139" s="118"/>
      <c r="AM139" s="46" t="str">
        <f>IF((ISBLANK(AL139)),"",Trained)</f>
        <v/>
      </c>
      <c r="AN139" s="118" t="s">
        <v>149</v>
      </c>
      <c r="AO139" s="95">
        <f>IF((ISBLANK(AN139)),"",Trained)</f>
        <v>10</v>
      </c>
      <c r="AP139" s="118" t="s">
        <v>149</v>
      </c>
      <c r="AQ139" s="95">
        <f>IF((ISBLANK(AP139)),"",Trained)</f>
        <v>10</v>
      </c>
      <c r="AR139" s="118" t="s">
        <v>149</v>
      </c>
      <c r="AS139" s="95">
        <f>IF((ISBLANK(AR139)),"",Trained)</f>
        <v>10</v>
      </c>
      <c r="AT139" s="118"/>
      <c r="AU139" s="46" t="str">
        <f>IF((ISBLANK(AT139)),"",Trained)</f>
        <v/>
      </c>
      <c r="AV139" s="118"/>
      <c r="AW139" s="46" t="str">
        <f>IF((ISBLANK(AV139)),"",Trained)</f>
        <v/>
      </c>
      <c r="AX139" s="118"/>
      <c r="AY139" s="46" t="str">
        <f>IF((ISBLANK(AX139)),"",Trained)</f>
        <v/>
      </c>
      <c r="AZ139" s="118"/>
      <c r="BA139" s="46" t="str">
        <f>IF((ISBLANK(AZ139)),"",Trained)</f>
        <v/>
      </c>
    </row>
    <row r="140" hidden="1" outlineLevel="1">
      <c r="A140" s="37" t="s">
        <v>1517</v>
      </c>
      <c r="B140" s="17"/>
      <c r="C140" s="35"/>
      <c r="D140" s="17" t="s">
        <v>151</v>
      </c>
      <c r="E140" s="46">
        <f>IF((ISBLANK(D140)),"",Expert)</f>
        <v>50</v>
      </c>
      <c r="F140" s="118" t="s">
        <v>155</v>
      </c>
      <c r="G140" s="39" t="s">
        <v>436</v>
      </c>
      <c r="H140" s="118"/>
      <c r="I140" s="46" t="str">
        <f>IF((ISBLANK(H140)),"",Expert)</f>
        <v/>
      </c>
      <c r="J140" s="118" t="s">
        <v>159</v>
      </c>
      <c r="K140" s="39" t="s">
        <v>436</v>
      </c>
      <c r="L140" s="118" t="s">
        <v>161</v>
      </c>
      <c r="M140" s="39" t="s">
        <v>436</v>
      </c>
      <c r="N140" s="118" t="s">
        <v>159</v>
      </c>
      <c r="O140" s="39" t="s">
        <v>436</v>
      </c>
      <c r="P140" s="118" t="s">
        <v>161</v>
      </c>
      <c r="Q140" s="95">
        <f>IF((ISBLANK(P140)),"",Expert)</f>
        <v>50</v>
      </c>
      <c r="R140" s="118" t="s">
        <v>161</v>
      </c>
      <c r="S140" s="95">
        <f>IF((ISBLANK(R140)),"",Expert)</f>
        <v>50</v>
      </c>
      <c r="T140" s="118" t="s">
        <v>159</v>
      </c>
      <c r="U140" s="39" t="s">
        <v>436</v>
      </c>
      <c r="V140" s="118" t="s">
        <v>161</v>
      </c>
      <c r="W140" s="95">
        <f>IF((ISBLANK(V140)),"",Expert)</f>
        <v>50</v>
      </c>
      <c r="X140" s="118" t="s">
        <v>161</v>
      </c>
      <c r="Y140" s="39" t="s">
        <v>436</v>
      </c>
      <c r="Z140" s="118" t="s">
        <v>159</v>
      </c>
      <c r="AA140" s="39" t="s">
        <v>436</v>
      </c>
      <c r="AB140" s="118" t="s">
        <v>161</v>
      </c>
      <c r="AC140" s="95">
        <f>IF((ISBLANK(AB140)),"",Expert)</f>
        <v>50</v>
      </c>
      <c r="AD140" s="118" t="s">
        <v>161</v>
      </c>
      <c r="AE140" s="95">
        <f>IF((ISBLANK(AD140)),"",Expert)</f>
        <v>50</v>
      </c>
      <c r="AF140" s="118"/>
      <c r="AG140" s="46" t="str">
        <f>IF((ISBLANK(AF140)),"",Expert)</f>
        <v/>
      </c>
      <c r="AH140" s="118" t="s">
        <v>159</v>
      </c>
      <c r="AI140" s="39" t="s">
        <v>436</v>
      </c>
      <c r="AJ140" s="118" t="s">
        <v>161</v>
      </c>
      <c r="AK140" s="39" t="s">
        <v>436</v>
      </c>
      <c r="AL140" s="118"/>
      <c r="AM140" s="46" t="str">
        <f>IF((ISBLANK(AL140)),"",Expert)</f>
        <v/>
      </c>
      <c r="AN140" s="118" t="s">
        <v>161</v>
      </c>
      <c r="AO140" s="95">
        <f>IF((ISBLANK(AN140)),"",Expert)</f>
        <v>50</v>
      </c>
      <c r="AP140" s="118" t="s">
        <v>161</v>
      </c>
      <c r="AQ140" s="95">
        <f>IF((ISBLANK(AP140)),"",Expert)</f>
        <v>50</v>
      </c>
      <c r="AR140" s="118" t="s">
        <v>159</v>
      </c>
      <c r="AS140" s="39" t="s">
        <v>436</v>
      </c>
      <c r="AT140" s="118"/>
      <c r="AU140" s="46" t="str">
        <f>IF((ISBLANK(AT140)),"",Expert)</f>
        <v/>
      </c>
      <c r="AV140" s="118"/>
      <c r="AW140" s="46" t="str">
        <f>IF((ISBLANK(AV140)),"",Expert)</f>
        <v/>
      </c>
      <c r="AX140" s="118"/>
      <c r="AY140" s="46" t="str">
        <f>IF((ISBLANK(AX140)),"",Expert)</f>
        <v/>
      </c>
      <c r="AZ140" s="118"/>
      <c r="BA140" s="46" t="str">
        <f>IF((ISBLANK(AZ140)),"",Expert)</f>
        <v/>
      </c>
    </row>
    <row r="141" hidden="1" outlineLevel="1">
      <c r="A141" s="37" t="s">
        <v>1518</v>
      </c>
      <c r="B141" s="17"/>
      <c r="C141" s="35"/>
      <c r="D141" s="17" t="s">
        <v>153</v>
      </c>
      <c r="E141" s="46">
        <f>IF((ISBLANK(D141)),"",Master)</f>
        <v>110</v>
      </c>
      <c r="F141" s="118" t="s">
        <v>161</v>
      </c>
      <c r="G141" s="39" t="s">
        <v>437</v>
      </c>
      <c r="H141" s="118"/>
      <c r="I141" s="46" t="str">
        <f>IF((ISBLANK(H141)),"",Master)</f>
        <v/>
      </c>
      <c r="J141" s="118" t="s">
        <v>165</v>
      </c>
      <c r="K141" s="39" t="s">
        <v>437</v>
      </c>
      <c r="L141" s="118" t="s">
        <v>167</v>
      </c>
      <c r="M141" s="39" t="s">
        <v>437</v>
      </c>
      <c r="N141" s="118" t="s">
        <v>167</v>
      </c>
      <c r="O141" s="39" t="s">
        <v>437</v>
      </c>
      <c r="P141" s="118" t="s">
        <v>167</v>
      </c>
      <c r="Q141" s="95">
        <f>IF((ISBLANK(P141)),"",Master)</f>
        <v>110</v>
      </c>
      <c r="R141" s="118" t="s">
        <v>167</v>
      </c>
      <c r="S141" s="95">
        <f>IF((ISBLANK(R141)),"",Master)</f>
        <v>110</v>
      </c>
      <c r="T141" s="118" t="s">
        <v>167</v>
      </c>
      <c r="U141" s="39" t="s">
        <v>437</v>
      </c>
      <c r="V141" s="118" t="s">
        <v>167</v>
      </c>
      <c r="W141" s="95">
        <f>IF((ISBLANK(V141)),"",Master)</f>
        <v>110</v>
      </c>
      <c r="X141" s="118" t="s">
        <v>167</v>
      </c>
      <c r="Y141" s="39" t="s">
        <v>437</v>
      </c>
      <c r="Z141" s="118" t="s">
        <v>167</v>
      </c>
      <c r="AA141" s="39" t="s">
        <v>437</v>
      </c>
      <c r="AB141" s="118" t="s">
        <v>167</v>
      </c>
      <c r="AC141" s="95">
        <f>IF((ISBLANK(AB141)),"",Master)</f>
        <v>110</v>
      </c>
      <c r="AD141" s="118" t="s">
        <v>167</v>
      </c>
      <c r="AE141" s="95">
        <f>IF((ISBLANK(AD141)),"",Master)</f>
        <v>110</v>
      </c>
      <c r="AF141" s="118"/>
      <c r="AG141" s="46" t="str">
        <f>IF((ISBLANK(AF141)),"",Master)</f>
        <v/>
      </c>
      <c r="AH141" s="118" t="s">
        <v>165</v>
      </c>
      <c r="AI141" s="39" t="s">
        <v>437</v>
      </c>
      <c r="AJ141" s="118"/>
      <c r="AK141" s="46" t="str">
        <f>IF((ISBLANK(AJ141)),"",Master)</f>
        <v/>
      </c>
      <c r="AL141" s="118"/>
      <c r="AM141" s="46" t="str">
        <f>IF((ISBLANK(AL141)),"",Master)</f>
        <v/>
      </c>
      <c r="AN141" s="118"/>
      <c r="AO141" s="46" t="str">
        <f>IF((ISBLANK(AN141)),"",Master)</f>
        <v/>
      </c>
      <c r="AP141" s="118"/>
      <c r="AQ141" s="46" t="str">
        <f>IF((ISBLANK(AP141)),"",Master)</f>
        <v/>
      </c>
      <c r="AR141" s="118"/>
      <c r="AS141" s="46" t="str">
        <f>IF((ISBLANK(AR141)),"",Master)</f>
        <v/>
      </c>
      <c r="AT141" s="118"/>
      <c r="AU141" s="46" t="str">
        <f>IF((ISBLANK(AT141)),"",Master)</f>
        <v/>
      </c>
      <c r="AV141" s="118"/>
      <c r="AW141" s="46" t="str">
        <f>IF((ISBLANK(AV141)),"",Master)</f>
        <v/>
      </c>
      <c r="AX141" s="118"/>
      <c r="AY141" s="46" t="str">
        <f>IF((ISBLANK(AX141)),"",Master)</f>
        <v/>
      </c>
      <c r="AZ141" s="118"/>
      <c r="BA141" s="46" t="str">
        <f>IF((ISBLANK(AZ141)),"",Master)</f>
        <v/>
      </c>
    </row>
    <row r="142" hidden="1" outlineLevel="1">
      <c r="A142" s="37" t="s">
        <v>1519</v>
      </c>
      <c r="B142" s="17"/>
      <c r="C142" s="35"/>
      <c r="D142" s="17" t="s">
        <v>155</v>
      </c>
      <c r="E142" s="46">
        <f>IF((ISBLANK(D142)),"",Legendary)</f>
        <v>190</v>
      </c>
      <c r="F142" s="118" t="s">
        <v>165</v>
      </c>
      <c r="G142" s="39" t="s">
        <v>466</v>
      </c>
      <c r="H142" s="118"/>
      <c r="I142" s="46" t="str">
        <f>IF((ISBLANK(H142)),"",Legendary)</f>
        <v/>
      </c>
      <c r="J142" s="118"/>
      <c r="K142" s="46" t="str">
        <f>IF((ISBLANK(J142)),"",Legendary)</f>
        <v/>
      </c>
      <c r="L142" s="118"/>
      <c r="M142" s="46" t="str">
        <f>IF((ISBLANK(L142)),"",Legendary)</f>
        <v/>
      </c>
      <c r="N142" s="118"/>
      <c r="O142" s="46" t="str">
        <f>IF((ISBLANK(N142)),"",Legendary)</f>
        <v/>
      </c>
      <c r="P142" s="118"/>
      <c r="Q142" s="46" t="str">
        <f>IF((ISBLANK(P142)),"",Legendary)</f>
        <v/>
      </c>
      <c r="R142" s="118"/>
      <c r="S142" s="46" t="str">
        <f>IF((ISBLANK(R142)),"",Legendary)</f>
        <v/>
      </c>
      <c r="T142" s="118"/>
      <c r="U142" s="46" t="str">
        <f>IF((ISBLANK(T142)),"",Legendary)</f>
        <v/>
      </c>
      <c r="V142" s="118"/>
      <c r="W142" s="46" t="str">
        <f>IF((ISBLANK(V142)),"",Legendary)</f>
        <v/>
      </c>
      <c r="X142" s="118"/>
      <c r="Y142" s="46" t="str">
        <f>IF((ISBLANK(X142)),"",Legendary)</f>
        <v/>
      </c>
      <c r="Z142" s="118"/>
      <c r="AA142" s="46" t="str">
        <f>IF((ISBLANK(Z142)),"",Legendary)</f>
        <v/>
      </c>
      <c r="AB142" s="118"/>
      <c r="AC142" s="46" t="str">
        <f>IF((ISBLANK(AB142)),"",Legendary)</f>
        <v/>
      </c>
      <c r="AD142" s="118"/>
      <c r="AE142" s="46" t="str">
        <f>IF((ISBLANK(AD142)),"",Legendary)</f>
        <v/>
      </c>
      <c r="AF142" s="118"/>
      <c r="AG142" s="46" t="str">
        <f>IF((ISBLANK(AF142)),"",Legendary)</f>
        <v/>
      </c>
      <c r="AH142" s="118"/>
      <c r="AI142" s="46" t="str">
        <f>IF((ISBLANK(AH142)),"",Legendary)</f>
        <v/>
      </c>
      <c r="AJ142" s="118"/>
      <c r="AK142" s="46" t="str">
        <f>IF((ISBLANK(AJ142)),"",Legendary)</f>
        <v/>
      </c>
      <c r="AL142" s="118"/>
      <c r="AM142" s="46" t="str">
        <f>IF((ISBLANK(AL142)),"",Legendary)</f>
        <v/>
      </c>
      <c r="AN142" s="118"/>
      <c r="AO142" s="46" t="str">
        <f>IF((ISBLANK(AN142)),"",Legendary)</f>
        <v/>
      </c>
      <c r="AP142" s="118"/>
      <c r="AQ142" s="46" t="str">
        <f>IF((ISBLANK(AP142)),"",Legendary)</f>
        <v/>
      </c>
      <c r="AR142" s="118"/>
      <c r="AS142" s="46" t="str">
        <f>IF((ISBLANK(AR142)),"",Legendary)</f>
        <v/>
      </c>
      <c r="AT142" s="118"/>
      <c r="AU142" s="46" t="str">
        <f>IF((ISBLANK(AT142)),"",Legendary)</f>
        <v/>
      </c>
      <c r="AV142" s="118"/>
      <c r="AW142" s="46" t="str">
        <f>IF((ISBLANK(AV142)),"",Legendary)</f>
        <v/>
      </c>
      <c r="AX142" s="118"/>
      <c r="AY142" s="46" t="str">
        <f>IF((ISBLANK(AX142)),"",Legendary)</f>
        <v/>
      </c>
      <c r="AZ142" s="118"/>
      <c r="BA142" s="46" t="str">
        <f>IF((ISBLANK(AZ142)),"",Legendary)</f>
        <v/>
      </c>
    </row>
    <row r="143" hidden="1" outlineLevel="1">
      <c r="A143" s="90" t="s">
        <v>1520</v>
      </c>
      <c r="B143" s="17"/>
      <c r="C143" s="35"/>
      <c r="D143" s="17" t="s">
        <v>149</v>
      </c>
      <c r="E143" s="46">
        <f>IF((ISBLANK(D143)),"",Trained)</f>
        <v>10</v>
      </c>
      <c r="F143" s="118" t="s">
        <v>149</v>
      </c>
      <c r="G143" s="95">
        <f>IF((ISBLANK(F143)),"",Trained)</f>
        <v>10</v>
      </c>
      <c r="H143" s="118"/>
      <c r="I143" s="46" t="str">
        <f>IF((ISBLANK(H143)),"",Trained)</f>
        <v/>
      </c>
      <c r="J143" s="118" t="s">
        <v>149</v>
      </c>
      <c r="K143" s="95">
        <f>IF((ISBLANK(J143)),"",Trained)</f>
        <v>10</v>
      </c>
      <c r="L143" s="118" t="s">
        <v>149</v>
      </c>
      <c r="M143" s="95">
        <f>IF((ISBLANK(L143)),"",Trained)</f>
        <v>10</v>
      </c>
      <c r="N143" s="118" t="s">
        <v>149</v>
      </c>
      <c r="O143" s="95">
        <f>IF((ISBLANK(N143)),"",Trained)</f>
        <v>10</v>
      </c>
      <c r="P143" s="118"/>
      <c r="Q143" s="46" t="str">
        <f>IF((ISBLANK(P143)),"",Trained)</f>
        <v/>
      </c>
      <c r="R143" s="118"/>
      <c r="S143" s="46" t="str">
        <f>IF((ISBLANK(R143)),"",Trained)</f>
        <v/>
      </c>
      <c r="T143" s="118" t="s">
        <v>149</v>
      </c>
      <c r="U143" s="95">
        <f>IF((ISBLANK(T143)),"",Trained)</f>
        <v>10</v>
      </c>
      <c r="V143" s="118"/>
      <c r="W143" s="46" t="str">
        <f>IF((ISBLANK(V143)),"",Trained)</f>
        <v/>
      </c>
      <c r="X143" s="118" t="s">
        <v>149</v>
      </c>
      <c r="Y143" s="95">
        <f>IF((ISBLANK(X143)),"",Trained)</f>
        <v>10</v>
      </c>
      <c r="Z143" s="118" t="s">
        <v>149</v>
      </c>
      <c r="AA143" s="95">
        <f>IF((ISBLANK(Z143)),"",Trained)</f>
        <v>10</v>
      </c>
      <c r="AB143" s="118" t="s">
        <v>149</v>
      </c>
      <c r="AC143" s="95">
        <f>IF((ISBLANK(AB143)),"",Trained)</f>
        <v>10</v>
      </c>
      <c r="AD143" s="118"/>
      <c r="AE143" s="46" t="str">
        <f>IF((ISBLANK(AD143)),"",Trained)</f>
        <v/>
      </c>
      <c r="AF143" s="118"/>
      <c r="AG143" s="46" t="str">
        <f>IF((ISBLANK(AF143)),"",Trained)</f>
        <v/>
      </c>
      <c r="AH143" s="118" t="s">
        <v>149</v>
      </c>
      <c r="AI143" s="95">
        <f>IF((ISBLANK(AH143)),"",Trained)</f>
        <v>10</v>
      </c>
      <c r="AJ143" s="118" t="s">
        <v>149</v>
      </c>
      <c r="AK143" s="95">
        <f>IF((ISBLANK(AJ143)),"",Trained)</f>
        <v>10</v>
      </c>
      <c r="AL143" s="118"/>
      <c r="AM143" s="46" t="str">
        <f>IF((ISBLANK(AL143)),"",Trained)</f>
        <v/>
      </c>
      <c r="AN143" s="118"/>
      <c r="AO143" s="46" t="str">
        <f>IF((ISBLANK(AN143)),"",Trained)</f>
        <v/>
      </c>
      <c r="AP143" s="118"/>
      <c r="AQ143" s="46" t="str">
        <f>IF((ISBLANK(AP143)),"",Trained)</f>
        <v/>
      </c>
      <c r="AR143" s="118" t="s">
        <v>149</v>
      </c>
      <c r="AS143" s="95">
        <f>IF((ISBLANK(AR143)),"",Trained)</f>
        <v>10</v>
      </c>
      <c r="AT143" s="118"/>
      <c r="AU143" s="46" t="str">
        <f>IF((ISBLANK(AT143)),"",Trained)</f>
        <v/>
      </c>
      <c r="AV143" s="118"/>
      <c r="AW143" s="46" t="str">
        <f>IF((ISBLANK(AV143)),"",Trained)</f>
        <v/>
      </c>
      <c r="AX143" s="118"/>
      <c r="AY143" s="46" t="str">
        <f>IF((ISBLANK(AX143)),"",Trained)</f>
        <v/>
      </c>
      <c r="AZ143" s="118"/>
      <c r="BA143" s="46" t="str">
        <f>IF((ISBLANK(AZ143)),"",Trained)</f>
        <v/>
      </c>
    </row>
    <row r="144" hidden="1" outlineLevel="1">
      <c r="A144" s="37" t="s">
        <v>1521</v>
      </c>
      <c r="B144" s="17"/>
      <c r="C144" s="35"/>
      <c r="D144" s="17" t="s">
        <v>151</v>
      </c>
      <c r="E144" s="46">
        <f>IF((ISBLANK(D144)),"",Expert)</f>
        <v>50</v>
      </c>
      <c r="F144" s="118" t="s">
        <v>155</v>
      </c>
      <c r="G144" s="39" t="s">
        <v>436</v>
      </c>
      <c r="H144" s="118"/>
      <c r="I144" s="46" t="str">
        <f>IF((ISBLANK(H144)),"",Expert)</f>
        <v/>
      </c>
      <c r="J144" s="118" t="s">
        <v>159</v>
      </c>
      <c r="K144" s="39" t="s">
        <v>436</v>
      </c>
      <c r="L144" s="118" t="s">
        <v>161</v>
      </c>
      <c r="M144" s="95">
        <f>IF((ISBLANK(L144)),"",Expert)</f>
        <v>50</v>
      </c>
      <c r="N144" s="118" t="s">
        <v>159</v>
      </c>
      <c r="O144" s="95">
        <f>IF((ISBLANK(N144)),"",Expert)</f>
        <v>50</v>
      </c>
      <c r="P144" s="118"/>
      <c r="Q144" s="46" t="str">
        <f>IF((ISBLANK(P144)),"",Expert)</f>
        <v/>
      </c>
      <c r="R144" s="118"/>
      <c r="S144" s="46" t="str">
        <f>IF((ISBLANK(R144)),"",Expert)</f>
        <v/>
      </c>
      <c r="T144" s="118" t="s">
        <v>159</v>
      </c>
      <c r="U144" s="95">
        <f>IF((ISBLANK(T144)),"",Expert)</f>
        <v>50</v>
      </c>
      <c r="V144" s="118"/>
      <c r="W144" s="46" t="str">
        <f>IF((ISBLANK(V144)),"",Expert)</f>
        <v/>
      </c>
      <c r="X144" s="118" t="s">
        <v>161</v>
      </c>
      <c r="Y144" s="95">
        <f>IF((ISBLANK(X144)),"",Expert)</f>
        <v>50</v>
      </c>
      <c r="Z144" s="118" t="s">
        <v>159</v>
      </c>
      <c r="AA144" s="95">
        <f>IF((ISBLANK(Z144)),"",Expert)</f>
        <v>50</v>
      </c>
      <c r="AB144" s="118" t="s">
        <v>161</v>
      </c>
      <c r="AC144" s="39" t="s">
        <v>436</v>
      </c>
      <c r="AD144" s="118"/>
      <c r="AE144" s="46" t="str">
        <f>IF((ISBLANK(AD144)),"",Expert)</f>
        <v/>
      </c>
      <c r="AF144" s="118"/>
      <c r="AG144" s="46" t="str">
        <f>IF((ISBLANK(AF144)),"",Expert)</f>
        <v/>
      </c>
      <c r="AH144" s="118" t="s">
        <v>159</v>
      </c>
      <c r="AI144" s="95">
        <f>IF((ISBLANK(AH144)),"",Expert)</f>
        <v>50</v>
      </c>
      <c r="AJ144" s="118" t="s">
        <v>161</v>
      </c>
      <c r="AK144" s="95">
        <f>IF((ISBLANK(AJ144)),"",Expert)</f>
        <v>50</v>
      </c>
      <c r="AL144" s="118"/>
      <c r="AM144" s="46" t="str">
        <f>IF((ISBLANK(AL144)),"",Expert)</f>
        <v/>
      </c>
      <c r="AN144" s="118"/>
      <c r="AO144" s="46" t="str">
        <f>IF((ISBLANK(AN144)),"",Expert)</f>
        <v/>
      </c>
      <c r="AP144" s="118"/>
      <c r="AQ144" s="46" t="str">
        <f>IF((ISBLANK(AP144)),"",Expert)</f>
        <v/>
      </c>
      <c r="AR144" s="118" t="s">
        <v>159</v>
      </c>
      <c r="AS144" s="95">
        <f>IF((ISBLANK(AR144)),"",Expert)</f>
        <v>50</v>
      </c>
      <c r="AT144" s="118"/>
      <c r="AU144" s="46" t="str">
        <f>IF((ISBLANK(AT144)),"",Expert)</f>
        <v/>
      </c>
      <c r="AV144" s="118"/>
      <c r="AW144" s="46" t="str">
        <f>IF((ISBLANK(AV144)),"",Expert)</f>
        <v/>
      </c>
      <c r="AX144" s="118"/>
      <c r="AY144" s="46" t="str">
        <f>IF((ISBLANK(AX144)),"",Expert)</f>
        <v/>
      </c>
      <c r="AZ144" s="118"/>
      <c r="BA144" s="46" t="str">
        <f>IF((ISBLANK(AZ144)),"",Expert)</f>
        <v/>
      </c>
    </row>
    <row r="145" hidden="1" outlineLevel="1">
      <c r="A145" s="37" t="s">
        <v>1522</v>
      </c>
      <c r="B145" s="17"/>
      <c r="C145" s="35"/>
      <c r="D145" s="17" t="s">
        <v>153</v>
      </c>
      <c r="E145" s="46">
        <f>IF((ISBLANK(D145)),"",Master)</f>
        <v>110</v>
      </c>
      <c r="F145" s="118" t="s">
        <v>161</v>
      </c>
      <c r="G145" s="39" t="s">
        <v>437</v>
      </c>
      <c r="H145" s="118"/>
      <c r="I145" s="46" t="str">
        <f>IF((ISBLANK(H145)),"",Master)</f>
        <v/>
      </c>
      <c r="J145" s="118" t="s">
        <v>165</v>
      </c>
      <c r="K145" s="39" t="s">
        <v>437</v>
      </c>
      <c r="L145" s="118" t="s">
        <v>167</v>
      </c>
      <c r="M145" s="95">
        <f>IF((ISBLANK(L145)),"",Master)</f>
        <v>110</v>
      </c>
      <c r="N145" s="118" t="s">
        <v>167</v>
      </c>
      <c r="O145" s="95">
        <f>IF((ISBLANK(N145)),"",Master)</f>
        <v>110</v>
      </c>
      <c r="P145" s="118"/>
      <c r="Q145" s="46" t="str">
        <f>IF((ISBLANK(P145)),"",Master)</f>
        <v/>
      </c>
      <c r="R145" s="118"/>
      <c r="S145" s="46" t="str">
        <f>IF((ISBLANK(R145)),"",Master)</f>
        <v/>
      </c>
      <c r="T145" s="118" t="s">
        <v>167</v>
      </c>
      <c r="U145" s="95">
        <f>IF((ISBLANK(T145)),"",Master)</f>
        <v>110</v>
      </c>
      <c r="V145" s="118"/>
      <c r="W145" s="46" t="str">
        <f>IF((ISBLANK(V145)),"",Master)</f>
        <v/>
      </c>
      <c r="X145" s="118" t="s">
        <v>167</v>
      </c>
      <c r="Y145" s="95">
        <f>IF((ISBLANK(X145)),"",Master)</f>
        <v>110</v>
      </c>
      <c r="Z145" s="118" t="s">
        <v>167</v>
      </c>
      <c r="AA145" s="95">
        <f>IF((ISBLANK(Z145)),"",Master)</f>
        <v>110</v>
      </c>
      <c r="AB145" s="118" t="s">
        <v>167</v>
      </c>
      <c r="AC145" s="39" t="s">
        <v>437</v>
      </c>
      <c r="AD145" s="118"/>
      <c r="AE145" s="46" t="str">
        <f>IF((ISBLANK(AD145)),"",Master)</f>
        <v/>
      </c>
      <c r="AF145" s="118"/>
      <c r="AG145" s="46" t="str">
        <f>IF((ISBLANK(AF145)),"",Master)</f>
        <v/>
      </c>
      <c r="AH145" s="118" t="s">
        <v>165</v>
      </c>
      <c r="AI145" s="95">
        <f>IF((ISBLANK(AH145)),"",Master)</f>
        <v>110</v>
      </c>
      <c r="AJ145" s="118"/>
      <c r="AK145" s="46" t="str">
        <f>IF((ISBLANK(AJ145)),"",Master)</f>
        <v/>
      </c>
      <c r="AL145" s="118"/>
      <c r="AM145" s="46" t="str">
        <f>IF((ISBLANK(AL145)),"",Master)</f>
        <v/>
      </c>
      <c r="AN145" s="118"/>
      <c r="AO145" s="46" t="str">
        <f>IF((ISBLANK(AN145)),"",Master)</f>
        <v/>
      </c>
      <c r="AP145" s="118"/>
      <c r="AQ145" s="46" t="str">
        <f>IF((ISBLANK(AP145)),"",Master)</f>
        <v/>
      </c>
      <c r="AR145" s="118"/>
      <c r="AS145" s="46" t="str">
        <f>IF((ISBLANK(AR145)),"",Master)</f>
        <v/>
      </c>
      <c r="AT145" s="118"/>
      <c r="AU145" s="46" t="str">
        <f>IF((ISBLANK(AT145)),"",Master)</f>
        <v/>
      </c>
      <c r="AV145" s="118"/>
      <c r="AW145" s="46" t="str">
        <f>IF((ISBLANK(AV145)),"",Master)</f>
        <v/>
      </c>
      <c r="AX145" s="118"/>
      <c r="AY145" s="46" t="str">
        <f>IF((ISBLANK(AX145)),"",Master)</f>
        <v/>
      </c>
      <c r="AZ145" s="118"/>
      <c r="BA145" s="46" t="str">
        <f>IF((ISBLANK(AZ145)),"",Master)</f>
        <v/>
      </c>
    </row>
    <row r="146" hidden="1" outlineLevel="1">
      <c r="A146" s="37" t="s">
        <v>1523</v>
      </c>
      <c r="B146" s="17"/>
      <c r="C146" s="35"/>
      <c r="D146" s="17" t="s">
        <v>155</v>
      </c>
      <c r="E146" s="46">
        <f>IF((ISBLANK(D146)),"",Legendary)</f>
        <v>190</v>
      </c>
      <c r="F146" s="118" t="s">
        <v>165</v>
      </c>
      <c r="G146" s="39" t="s">
        <v>466</v>
      </c>
      <c r="H146" s="118"/>
      <c r="I146" s="46" t="str">
        <f>IF((ISBLANK(H146)),"",Legendary)</f>
        <v/>
      </c>
      <c r="J146" s="118"/>
      <c r="K146" s="46" t="str">
        <f>IF((ISBLANK(J146)),"",Legendary)</f>
        <v/>
      </c>
      <c r="L146" s="118"/>
      <c r="M146" s="46" t="str">
        <f>IF((ISBLANK(L146)),"",Legendary)</f>
        <v/>
      </c>
      <c r="N146" s="118"/>
      <c r="O146" s="46" t="str">
        <f>IF((ISBLANK(N146)),"",Legendary)</f>
        <v/>
      </c>
      <c r="P146" s="118"/>
      <c r="Q146" s="46" t="str">
        <f>IF((ISBLANK(P146)),"",Legendary)</f>
        <v/>
      </c>
      <c r="R146" s="118"/>
      <c r="S146" s="46" t="str">
        <f>IF((ISBLANK(R146)),"",Legendary)</f>
        <v/>
      </c>
      <c r="T146" s="118"/>
      <c r="U146" s="46" t="str">
        <f>IF((ISBLANK(T146)),"",Legendary)</f>
        <v/>
      </c>
      <c r="V146" s="118"/>
      <c r="W146" s="46" t="str">
        <f>IF((ISBLANK(V146)),"",Legendary)</f>
        <v/>
      </c>
      <c r="X146" s="118"/>
      <c r="Y146" s="46" t="str">
        <f>IF((ISBLANK(X146)),"",Legendary)</f>
        <v/>
      </c>
      <c r="Z146" s="118"/>
      <c r="AA146" s="46" t="str">
        <f>IF((ISBLANK(Z146)),"",Legendary)</f>
        <v/>
      </c>
      <c r="AB146" s="118"/>
      <c r="AC146" s="46" t="str">
        <f>IF((ISBLANK(AB146)),"",Legendary)</f>
        <v/>
      </c>
      <c r="AD146" s="118"/>
      <c r="AE146" s="46" t="str">
        <f>IF((ISBLANK(AD146)),"",Legendary)</f>
        <v/>
      </c>
      <c r="AF146" s="118"/>
      <c r="AG146" s="46" t="str">
        <f>IF((ISBLANK(AF146)),"",Legendary)</f>
        <v/>
      </c>
      <c r="AH146" s="118"/>
      <c r="AI146" s="46" t="str">
        <f>IF((ISBLANK(AH146)),"",Legendary)</f>
        <v/>
      </c>
      <c r="AJ146" s="118"/>
      <c r="AK146" s="46" t="str">
        <f>IF((ISBLANK(AJ146)),"",Legendary)</f>
        <v/>
      </c>
      <c r="AL146" s="118"/>
      <c r="AM146" s="46" t="str">
        <f>IF((ISBLANK(AL146)),"",Legendary)</f>
        <v/>
      </c>
      <c r="AN146" s="118"/>
      <c r="AO146" s="46" t="str">
        <f>IF((ISBLANK(AN146)),"",Legendary)</f>
        <v/>
      </c>
      <c r="AP146" s="118"/>
      <c r="AQ146" s="46" t="str">
        <f>IF((ISBLANK(AP146)),"",Legendary)</f>
        <v/>
      </c>
      <c r="AR146" s="118"/>
      <c r="AS146" s="46" t="str">
        <f>IF((ISBLANK(AR146)),"",Legendary)</f>
        <v/>
      </c>
      <c r="AT146" s="118"/>
      <c r="AU146" s="46" t="str">
        <f>IF((ISBLANK(AT146)),"",Legendary)</f>
        <v/>
      </c>
      <c r="AV146" s="118"/>
      <c r="AW146" s="46" t="str">
        <f>IF((ISBLANK(AV146)),"",Legendary)</f>
        <v/>
      </c>
      <c r="AX146" s="118"/>
      <c r="AY146" s="46" t="str">
        <f>IF((ISBLANK(AX146)),"",Legendary)</f>
        <v/>
      </c>
      <c r="AZ146" s="118"/>
      <c r="BA146" s="46" t="str">
        <f>IF((ISBLANK(AZ146)),"",Legendary)</f>
        <v/>
      </c>
    </row>
    <row r="147" hidden="1" outlineLevel="1">
      <c r="A147" s="90" t="s">
        <v>1524</v>
      </c>
      <c r="B147" s="17"/>
      <c r="C147" s="35"/>
      <c r="D147" s="17" t="s">
        <v>149</v>
      </c>
      <c r="E147" s="46">
        <f>IF((ISBLANK(D147)),"",Trained)</f>
        <v>10</v>
      </c>
      <c r="F147" s="118" t="s">
        <v>149</v>
      </c>
      <c r="G147" s="95">
        <f>IF((ISBLANK(F147)),"",Trained)</f>
        <v>10</v>
      </c>
      <c r="H147" s="118"/>
      <c r="I147" s="46" t="str">
        <f>IF((ISBLANK(H147)),"",Trained)</f>
        <v/>
      </c>
      <c r="J147" s="118" t="s">
        <v>149</v>
      </c>
      <c r="K147" s="95">
        <f>IF((ISBLANK(J147)),"",Trained)</f>
        <v>10</v>
      </c>
      <c r="L147" s="118"/>
      <c r="M147" s="46" t="str">
        <f>IF((ISBLANK(L147)),"",Trained)</f>
        <v/>
      </c>
      <c r="N147" s="118"/>
      <c r="O147" s="46" t="str">
        <f>IF((ISBLANK(N147)),"",Trained)</f>
        <v/>
      </c>
      <c r="P147" s="118"/>
      <c r="Q147" s="46" t="str">
        <f>IF((ISBLANK(P147)),"",Trained)</f>
        <v/>
      </c>
      <c r="R147" s="118"/>
      <c r="S147" s="46" t="str">
        <f>IF((ISBLANK(R147)),"",Trained)</f>
        <v/>
      </c>
      <c r="T147" s="118"/>
      <c r="U147" s="46" t="str">
        <f>IF((ISBLANK(T147)),"",Trained)</f>
        <v/>
      </c>
      <c r="V147" s="118"/>
      <c r="W147" s="46" t="str">
        <f>IF((ISBLANK(V147)),"",Trained)</f>
        <v/>
      </c>
      <c r="X147" s="118"/>
      <c r="Y147" s="46" t="str">
        <f>IF((ISBLANK(X147)),"",Trained)</f>
        <v/>
      </c>
      <c r="Z147" s="118"/>
      <c r="AA147" s="46" t="str">
        <f>IF((ISBLANK(Z147)),"",Trained)</f>
        <v/>
      </c>
      <c r="AB147" s="118"/>
      <c r="AC147" s="46" t="str">
        <f>IF((ISBLANK(AB147)),"",Trained)</f>
        <v/>
      </c>
      <c r="AD147" s="118"/>
      <c r="AE147" s="46" t="str">
        <f>IF((ISBLANK(AD147)),"",Trained)</f>
        <v/>
      </c>
      <c r="AF147" s="118"/>
      <c r="AG147" s="46" t="str">
        <f>IF((ISBLANK(AF147)),"",Trained)</f>
        <v/>
      </c>
      <c r="AH147" s="118"/>
      <c r="AI147" s="46" t="str">
        <f>IF((ISBLANK(AH147)),"",Trained)</f>
        <v/>
      </c>
      <c r="AJ147" s="118"/>
      <c r="AK147" s="46" t="str">
        <f>IF((ISBLANK(AJ147)),"",Trained)</f>
        <v/>
      </c>
      <c r="AL147" s="118"/>
      <c r="AM147" s="46" t="str">
        <f>IF((ISBLANK(AL147)),"",Trained)</f>
        <v/>
      </c>
      <c r="AN147" s="118"/>
      <c r="AO147" s="46" t="str">
        <f>IF((ISBLANK(AN147)),"",Trained)</f>
        <v/>
      </c>
      <c r="AP147" s="118"/>
      <c r="AQ147" s="46" t="str">
        <f>IF((ISBLANK(AP147)),"",Trained)</f>
        <v/>
      </c>
      <c r="AR147" s="118"/>
      <c r="AS147" s="46" t="str">
        <f>IF((ISBLANK(AR147)),"",Trained)</f>
        <v/>
      </c>
      <c r="AT147" s="118"/>
      <c r="AU147" s="46" t="str">
        <f>IF((ISBLANK(AT147)),"",Trained)</f>
        <v/>
      </c>
      <c r="AV147" s="118"/>
      <c r="AW147" s="46" t="str">
        <f>IF((ISBLANK(AV147)),"",Trained)</f>
        <v/>
      </c>
      <c r="AX147" s="118"/>
      <c r="AY147" s="46" t="str">
        <f>IF((ISBLANK(AX147)),"",Trained)</f>
        <v/>
      </c>
      <c r="AZ147" s="118"/>
      <c r="BA147" s="46" t="str">
        <f>IF((ISBLANK(AZ147)),"",Trained)</f>
        <v/>
      </c>
    </row>
    <row r="148" hidden="1" outlineLevel="1">
      <c r="A148" s="37" t="s">
        <v>1525</v>
      </c>
      <c r="B148" s="17"/>
      <c r="C148" s="35"/>
      <c r="D148" s="17" t="s">
        <v>151</v>
      </c>
      <c r="E148" s="46">
        <f>IF((ISBLANK(D148)),"",Expert)</f>
        <v>50</v>
      </c>
      <c r="F148" s="118" t="s">
        <v>155</v>
      </c>
      <c r="G148" s="95">
        <f>IF((ISBLANK(F148)),"",Expert)</f>
        <v>50</v>
      </c>
      <c r="H148" s="118"/>
      <c r="I148" s="46" t="str">
        <f>IF((ISBLANK(H148)),"",Expert)</f>
        <v/>
      </c>
      <c r="J148" s="118" t="s">
        <v>159</v>
      </c>
      <c r="K148" s="95">
        <f>IF((ISBLANK(J148)),"",Expert)</f>
        <v>50</v>
      </c>
      <c r="L148" s="118"/>
      <c r="M148" s="46" t="str">
        <f>IF((ISBLANK(L148)),"",Expert)</f>
        <v/>
      </c>
      <c r="N148" s="118"/>
      <c r="O148" s="46" t="str">
        <f>IF((ISBLANK(N148)),"",Expert)</f>
        <v/>
      </c>
      <c r="P148" s="118"/>
      <c r="Q148" s="46" t="str">
        <f>IF((ISBLANK(P148)),"",Expert)</f>
        <v/>
      </c>
      <c r="R148" s="118"/>
      <c r="S148" s="46" t="str">
        <f>IF((ISBLANK(R148)),"",Expert)</f>
        <v/>
      </c>
      <c r="T148" s="118"/>
      <c r="U148" s="46" t="str">
        <f>IF((ISBLANK(T148)),"",Expert)</f>
        <v/>
      </c>
      <c r="V148" s="118"/>
      <c r="W148" s="46" t="str">
        <f>IF((ISBLANK(V148)),"",Expert)</f>
        <v/>
      </c>
      <c r="X148" s="118"/>
      <c r="Y148" s="46" t="str">
        <f>IF((ISBLANK(X148)),"",Expert)</f>
        <v/>
      </c>
      <c r="Z148" s="118"/>
      <c r="AA148" s="46" t="str">
        <f>IF((ISBLANK(Z148)),"",Expert)</f>
        <v/>
      </c>
      <c r="AB148" s="118"/>
      <c r="AC148" s="46" t="str">
        <f>IF((ISBLANK(AB148)),"",Expert)</f>
        <v/>
      </c>
      <c r="AD148" s="118"/>
      <c r="AE148" s="46" t="str">
        <f>IF((ISBLANK(AD148)),"",Expert)</f>
        <v/>
      </c>
      <c r="AF148" s="118"/>
      <c r="AG148" s="46" t="str">
        <f>IF((ISBLANK(AF148)),"",Expert)</f>
        <v/>
      </c>
      <c r="AH148" s="118"/>
      <c r="AI148" s="46" t="str">
        <f>IF((ISBLANK(AH148)),"",Expert)</f>
        <v/>
      </c>
      <c r="AJ148" s="118"/>
      <c r="AK148" s="46" t="str">
        <f>IF((ISBLANK(AJ148)),"",Expert)</f>
        <v/>
      </c>
      <c r="AL148" s="118"/>
      <c r="AM148" s="46" t="str">
        <f>IF((ISBLANK(AL148)),"",Expert)</f>
        <v/>
      </c>
      <c r="AN148" s="118"/>
      <c r="AO148" s="46" t="str">
        <f>IF((ISBLANK(AN148)),"",Expert)</f>
        <v/>
      </c>
      <c r="AP148" s="118"/>
      <c r="AQ148" s="46" t="str">
        <f>IF((ISBLANK(AP148)),"",Expert)</f>
        <v/>
      </c>
      <c r="AR148" s="118"/>
      <c r="AS148" s="46" t="str">
        <f>IF((ISBLANK(AR148)),"",Expert)</f>
        <v/>
      </c>
      <c r="AT148" s="118"/>
      <c r="AU148" s="46" t="str">
        <f>IF((ISBLANK(AT148)),"",Expert)</f>
        <v/>
      </c>
      <c r="AV148" s="118"/>
      <c r="AW148" s="46" t="str">
        <f>IF((ISBLANK(AV148)),"",Expert)</f>
        <v/>
      </c>
      <c r="AX148" s="118"/>
      <c r="AY148" s="46" t="str">
        <f>IF((ISBLANK(AX148)),"",Expert)</f>
        <v/>
      </c>
      <c r="AZ148" s="118"/>
      <c r="BA148" s="46" t="str">
        <f>IF((ISBLANK(AZ148)),"",Expert)</f>
        <v/>
      </c>
    </row>
    <row r="149" hidden="1" outlineLevel="1">
      <c r="A149" s="37" t="s">
        <v>1526</v>
      </c>
      <c r="B149" s="17"/>
      <c r="C149" s="35"/>
      <c r="D149" s="17" t="s">
        <v>153</v>
      </c>
      <c r="E149" s="46">
        <f>IF((ISBLANK(D149)),"",Master)</f>
        <v>110</v>
      </c>
      <c r="F149" s="118" t="s">
        <v>161</v>
      </c>
      <c r="G149" s="95">
        <f>IF((ISBLANK(F149)),"",Master)</f>
        <v>110</v>
      </c>
      <c r="H149" s="118"/>
      <c r="I149" s="46" t="str">
        <f>IF((ISBLANK(H149)),"",Master)</f>
        <v/>
      </c>
      <c r="J149" s="118" t="s">
        <v>165</v>
      </c>
      <c r="K149" s="95">
        <f>IF((ISBLANK(J149)),"",Master)</f>
        <v>110</v>
      </c>
      <c r="L149" s="118"/>
      <c r="M149" s="46" t="str">
        <f>IF((ISBLANK(L149)),"",Master)</f>
        <v/>
      </c>
      <c r="N149" s="118"/>
      <c r="O149" s="46" t="str">
        <f>IF((ISBLANK(N149)),"",Master)</f>
        <v/>
      </c>
      <c r="P149" s="118"/>
      <c r="Q149" s="46" t="str">
        <f>IF((ISBLANK(P149)),"",Master)</f>
        <v/>
      </c>
      <c r="R149" s="118"/>
      <c r="S149" s="46" t="str">
        <f>IF((ISBLANK(R149)),"",Master)</f>
        <v/>
      </c>
      <c r="T149" s="118"/>
      <c r="U149" s="46" t="str">
        <f>IF((ISBLANK(T149)),"",Master)</f>
        <v/>
      </c>
      <c r="V149" s="118"/>
      <c r="W149" s="46" t="str">
        <f>IF((ISBLANK(V149)),"",Master)</f>
        <v/>
      </c>
      <c r="X149" s="118"/>
      <c r="Y149" s="46" t="str">
        <f>IF((ISBLANK(X149)),"",Master)</f>
        <v/>
      </c>
      <c r="Z149" s="118"/>
      <c r="AA149" s="46" t="str">
        <f>IF((ISBLANK(Z149)),"",Master)</f>
        <v/>
      </c>
      <c r="AB149" s="118"/>
      <c r="AC149" s="46" t="str">
        <f>IF((ISBLANK(AB149)),"",Master)</f>
        <v/>
      </c>
      <c r="AD149" s="118"/>
      <c r="AE149" s="46" t="str">
        <f>IF((ISBLANK(AD149)),"",Master)</f>
        <v/>
      </c>
      <c r="AF149" s="118"/>
      <c r="AG149" s="46" t="str">
        <f>IF((ISBLANK(AF149)),"",Master)</f>
        <v/>
      </c>
      <c r="AH149" s="118"/>
      <c r="AI149" s="46" t="str">
        <f>IF((ISBLANK(AH149)),"",Master)</f>
        <v/>
      </c>
      <c r="AJ149" s="118"/>
      <c r="AK149" s="46" t="str">
        <f>IF((ISBLANK(AJ149)),"",Master)</f>
        <v/>
      </c>
      <c r="AL149" s="118"/>
      <c r="AM149" s="46" t="str">
        <f>IF((ISBLANK(AL149)),"",Master)</f>
        <v/>
      </c>
      <c r="AN149" s="118"/>
      <c r="AO149" s="46" t="str">
        <f>IF((ISBLANK(AN149)),"",Master)</f>
        <v/>
      </c>
      <c r="AP149" s="118"/>
      <c r="AQ149" s="46" t="str">
        <f>IF((ISBLANK(AP149)),"",Master)</f>
        <v/>
      </c>
      <c r="AR149" s="118"/>
      <c r="AS149" s="46" t="str">
        <f>IF((ISBLANK(AR149)),"",Master)</f>
        <v/>
      </c>
      <c r="AT149" s="118"/>
      <c r="AU149" s="46" t="str">
        <f>IF((ISBLANK(AT149)),"",Master)</f>
        <v/>
      </c>
      <c r="AV149" s="118"/>
      <c r="AW149" s="46" t="str">
        <f>IF((ISBLANK(AV149)),"",Master)</f>
        <v/>
      </c>
      <c r="AX149" s="118"/>
      <c r="AY149" s="46" t="str">
        <f>IF((ISBLANK(AX149)),"",Master)</f>
        <v/>
      </c>
      <c r="AZ149" s="118"/>
      <c r="BA149" s="46" t="str">
        <f>IF((ISBLANK(AZ149)),"",Master)</f>
        <v/>
      </c>
    </row>
    <row r="150" hidden="1" outlineLevel="1">
      <c r="A150" s="37" t="s">
        <v>1527</v>
      </c>
      <c r="B150" s="17"/>
      <c r="C150" s="35"/>
      <c r="D150" s="17" t="s">
        <v>155</v>
      </c>
      <c r="E150" s="46">
        <f>IF((ISBLANK(D150)),"",Legendary)</f>
        <v>190</v>
      </c>
      <c r="F150" s="118" t="s">
        <v>165</v>
      </c>
      <c r="G150" s="95">
        <f>IF((ISBLANK(F150)),"",Legendary)</f>
        <v>190</v>
      </c>
      <c r="H150" s="118"/>
      <c r="I150" s="46" t="str">
        <f>IF((ISBLANK(H150)),"",Legendary)</f>
        <v/>
      </c>
      <c r="J150" s="118"/>
      <c r="K150" s="46" t="str">
        <f>IF((ISBLANK(J150)),"",Legendary)</f>
        <v/>
      </c>
      <c r="L150" s="118"/>
      <c r="M150" s="46" t="str">
        <f>IF((ISBLANK(L150)),"",Legendary)</f>
        <v/>
      </c>
      <c r="N150" s="118"/>
      <c r="O150" s="46" t="str">
        <f>IF((ISBLANK(N150)),"",Legendary)</f>
        <v/>
      </c>
      <c r="P150" s="118"/>
      <c r="Q150" s="46" t="str">
        <f>IF((ISBLANK(P150)),"",Legendary)</f>
        <v/>
      </c>
      <c r="R150" s="118"/>
      <c r="S150" s="46" t="str">
        <f>IF((ISBLANK(R150)),"",Legendary)</f>
        <v/>
      </c>
      <c r="T150" s="118"/>
      <c r="U150" s="46" t="str">
        <f>IF((ISBLANK(T150)),"",Legendary)</f>
        <v/>
      </c>
      <c r="V150" s="118"/>
      <c r="W150" s="46" t="str">
        <f>IF((ISBLANK(V150)),"",Legendary)</f>
        <v/>
      </c>
      <c r="X150" s="118"/>
      <c r="Y150" s="46" t="str">
        <f>IF((ISBLANK(X150)),"",Legendary)</f>
        <v/>
      </c>
      <c r="Z150" s="118"/>
      <c r="AA150" s="46" t="str">
        <f>IF((ISBLANK(Z150)),"",Legendary)</f>
        <v/>
      </c>
      <c r="AB150" s="118"/>
      <c r="AC150" s="46" t="str">
        <f>IF((ISBLANK(AB150)),"",Legendary)</f>
        <v/>
      </c>
      <c r="AD150" s="118"/>
      <c r="AE150" s="46" t="str">
        <f>IF((ISBLANK(AD150)),"",Legendary)</f>
        <v/>
      </c>
      <c r="AF150" s="118"/>
      <c r="AG150" s="46" t="str">
        <f>IF((ISBLANK(AF150)),"",Legendary)</f>
        <v/>
      </c>
      <c r="AH150" s="118"/>
      <c r="AI150" s="46" t="str">
        <f>IF((ISBLANK(AH150)),"",Legendary)</f>
        <v/>
      </c>
      <c r="AJ150" s="118"/>
      <c r="AK150" s="46" t="str">
        <f>IF((ISBLANK(AJ150)),"",Legendary)</f>
        <v/>
      </c>
      <c r="AL150" s="118"/>
      <c r="AM150" s="46" t="str">
        <f>IF((ISBLANK(AL150)),"",Legendary)</f>
        <v/>
      </c>
      <c r="AN150" s="118"/>
      <c r="AO150" s="46" t="str">
        <f>IF((ISBLANK(AN150)),"",Legendary)</f>
        <v/>
      </c>
      <c r="AP150" s="118"/>
      <c r="AQ150" s="46" t="str">
        <f>IF((ISBLANK(AP150)),"",Legendary)</f>
        <v/>
      </c>
      <c r="AR150" s="118"/>
      <c r="AS150" s="46" t="str">
        <f>IF((ISBLANK(AR150)),"",Legendary)</f>
        <v/>
      </c>
      <c r="AT150" s="118"/>
      <c r="AU150" s="46" t="str">
        <f>IF((ISBLANK(AT150)),"",Legendary)</f>
        <v/>
      </c>
      <c r="AV150" s="118"/>
      <c r="AW150" s="46" t="str">
        <f>IF((ISBLANK(AV150)),"",Legendary)</f>
        <v/>
      </c>
      <c r="AX150" s="118"/>
      <c r="AY150" s="46" t="str">
        <f>IF((ISBLANK(AX150)),"",Legendary)</f>
        <v/>
      </c>
      <c r="AZ150" s="118"/>
      <c r="BA150" s="46" t="str">
        <f>IF((ISBLANK(AZ150)),"",Legendary)</f>
        <v/>
      </c>
    </row>
    <row r="151" collapsed="1">
      <c r="A151" s="121" t="s">
        <v>1528</v>
      </c>
      <c r="B151" s="122"/>
      <c r="C151" s="173"/>
      <c r="D151" s="173"/>
      <c r="E151" s="75">
        <f>sum(E152:E153)</f>
        <v>0</v>
      </c>
      <c r="F151" s="75"/>
      <c r="G151" s="78">
        <f>sum(G152:G153)</f>
        <v>0</v>
      </c>
      <c r="H151" s="75"/>
      <c r="I151" s="78">
        <f>sum(I152:I153)</f>
        <v>0</v>
      </c>
      <c r="J151" s="75"/>
      <c r="K151" s="78">
        <f>sum(K152:K153)</f>
        <v>0</v>
      </c>
      <c r="L151" s="75"/>
      <c r="M151" s="78">
        <f>sum(M152:M153)</f>
        <v>0</v>
      </c>
      <c r="N151" s="75"/>
      <c r="O151" s="78">
        <f>sum(O152:O153)</f>
        <v>0</v>
      </c>
      <c r="P151" s="75"/>
      <c r="Q151" s="78">
        <f>sum(Q152:Q153)</f>
        <v>0</v>
      </c>
      <c r="R151" s="75"/>
      <c r="S151" s="78">
        <f>sum(S152:S153)</f>
        <v>0</v>
      </c>
      <c r="T151" s="75"/>
      <c r="U151" s="78">
        <f>sum(U152:U153)</f>
        <v>0</v>
      </c>
      <c r="V151" s="75"/>
      <c r="W151" s="78">
        <f>sum(W152:W153)</f>
        <v>0</v>
      </c>
      <c r="X151" s="75"/>
      <c r="Y151" s="78">
        <f>sum(Y152:Y153)</f>
        <v>0</v>
      </c>
      <c r="Z151" s="75"/>
      <c r="AA151" s="78">
        <f>sum(AA152:AA153)</f>
        <v>0</v>
      </c>
      <c r="AB151" s="75"/>
      <c r="AC151" s="78">
        <f>sum(AC152:AC153)</f>
        <v>0</v>
      </c>
      <c r="AD151" s="75"/>
      <c r="AE151" s="78">
        <f>sum(AE152:AE153)</f>
        <v>0</v>
      </c>
      <c r="AF151" s="75"/>
      <c r="AG151" s="78">
        <f>sum(AG152:AG153)</f>
        <v>0</v>
      </c>
      <c r="AH151" s="75"/>
      <c r="AI151" s="78">
        <f>sum(AI152:AI153)</f>
        <v>15</v>
      </c>
      <c r="AJ151" s="75"/>
      <c r="AK151" s="78">
        <f>sum(AK152:AK153)</f>
        <v>0</v>
      </c>
      <c r="AL151" s="75"/>
      <c r="AM151" s="78">
        <f>sum(AM152:AM153)</f>
        <v>0</v>
      </c>
      <c r="AN151" s="75"/>
      <c r="AO151" s="78">
        <f>sum(AO152:AO153)</f>
        <v>0</v>
      </c>
      <c r="AP151" s="75"/>
      <c r="AQ151" s="78">
        <f>sum(AQ152:AQ153)</f>
        <v>5</v>
      </c>
      <c r="AR151" s="75"/>
      <c r="AS151" s="78">
        <f>sum(AS152:AS153)</f>
        <v>0</v>
      </c>
      <c r="AT151" s="75"/>
      <c r="AU151" s="78">
        <f>sum(AU152:AU153)</f>
        <v>0</v>
      </c>
      <c r="AV151" s="75"/>
      <c r="AW151" s="84">
        <f>sum(AW152:AW153)</f>
        <v>25</v>
      </c>
      <c r="AX151" s="75"/>
      <c r="AY151" s="84">
        <f>sum(AY152:AY153)</f>
        <v>25</v>
      </c>
      <c r="AZ151" s="75"/>
      <c r="BA151" s="78">
        <f>sum(BA152:BA153)</f>
        <v>0</v>
      </c>
    </row>
    <row r="152" hidden="1" outlineLevel="1">
      <c r="A152" s="248" t="s">
        <v>1529</v>
      </c>
      <c r="B152" s="44" t="s">
        <v>148</v>
      </c>
      <c r="C152" s="37" t="s">
        <v>653</v>
      </c>
      <c r="D152" s="17" t="s">
        <v>1530</v>
      </c>
      <c r="E152" s="46">
        <f>IF((ISBLANK(D152)),"",((D152-5)*CantripSlot))</f>
        <v>0</v>
      </c>
      <c r="F152" s="118"/>
      <c r="G152" s="46" t="str">
        <f>IF((ISBLANK(F152)),"",((F152-5)*CantripSlot))</f>
        <v/>
      </c>
      <c r="H152" s="118"/>
      <c r="I152" s="46" t="str">
        <f>IF((ISBLANK(H152)),"",((H152-5)*CantripSlot))</f>
        <v/>
      </c>
      <c r="J152" s="118"/>
      <c r="K152" s="46" t="str">
        <f>IF((ISBLANK(J152)),"",((J152-5)*CantripSlot))</f>
        <v/>
      </c>
      <c r="L152" s="118"/>
      <c r="M152" s="46" t="str">
        <f>IF((ISBLANK(L152)),"",((L152-5)*CantripSlot))</f>
        <v/>
      </c>
      <c r="N152" s="118"/>
      <c r="O152" s="46" t="str">
        <f>IF((ISBLANK(N152)),"",((N152-5)*CantripSlot))</f>
        <v/>
      </c>
      <c r="P152" s="118"/>
      <c r="Q152" s="46" t="str">
        <f>IF((ISBLANK(P152)),"",((P152-5)*CantripSlot))</f>
        <v/>
      </c>
      <c r="R152" s="118"/>
      <c r="S152" s="46" t="str">
        <f>IF((ISBLANK(R152)),"",((R152-5)*CantripSlot))</f>
        <v/>
      </c>
      <c r="T152" s="118"/>
      <c r="U152" s="95" t="str">
        <f>IF((ISBLANK(T152)),"",((T152-5)*CantripSlot))</f>
        <v/>
      </c>
      <c r="V152" s="118"/>
      <c r="W152" s="46" t="str">
        <f>IF((ISBLANK(V152)),"",((V152-5)*CantripSlot))</f>
        <v/>
      </c>
      <c r="X152" s="118"/>
      <c r="Y152" s="46" t="str">
        <f>IF((ISBLANK(X152)),"",((X152-5)*CantripSlot))</f>
        <v/>
      </c>
      <c r="Z152" s="118"/>
      <c r="AA152" s="46" t="str">
        <f>IF((ISBLANK(Z152)),"",((Z152-5)*CantripSlot))</f>
        <v/>
      </c>
      <c r="AB152" s="118"/>
      <c r="AC152" s="46" t="str">
        <f>IF((ISBLANK(AB152)),"",((AB152-5)*CantripSlot))</f>
        <v/>
      </c>
      <c r="AD152" s="118"/>
      <c r="AE152" s="46" t="str">
        <f>IF((ISBLANK(AD152)),"",((AD152-5)*CantripSlot))</f>
        <v/>
      </c>
      <c r="AF152" s="118"/>
      <c r="AG152" s="95"/>
      <c r="AH152" s="118" t="s">
        <v>1530</v>
      </c>
      <c r="AI152" s="95">
        <f>IF((ISBLANK(AH152)),"",((AH152-5)*CantripSlot))</f>
        <v>0</v>
      </c>
      <c r="AJ152" s="118" t="s">
        <v>1530</v>
      </c>
      <c r="AK152" s="95">
        <f>IF((ISBLANK(AJ152)),"",((AJ152-5)*CantripSlot))</f>
        <v>0</v>
      </c>
      <c r="AL152" s="118" t="s">
        <v>1530</v>
      </c>
      <c r="AM152" s="95">
        <f>IF((ISBLANK(AL152)),"",((AL152-5)*CantripSlot))</f>
        <v>0</v>
      </c>
      <c r="AN152" s="118"/>
      <c r="AO152" s="95"/>
      <c r="AP152" s="118"/>
      <c r="AQ152" s="95"/>
      <c r="AR152" s="118" t="s">
        <v>1530</v>
      </c>
      <c r="AS152" s="95">
        <f>IF((ISBLANK(AR152)),"",((AR152-5)*CantripSlot))</f>
        <v>0</v>
      </c>
      <c r="AT152" s="118"/>
      <c r="AU152" s="95"/>
      <c r="AV152" s="118" t="s">
        <v>1530</v>
      </c>
      <c r="AW152" s="95">
        <f>IF((ISBLANK(AV152)),"",((AV152-5)*CantripSlot))</f>
        <v>0</v>
      </c>
      <c r="AX152" s="118" t="s">
        <v>1530</v>
      </c>
      <c r="AY152" s="95">
        <f>IF((ISBLANK(AX152)),"",((AX152-5)*CantripSlot))</f>
        <v>0</v>
      </c>
      <c r="AZ152" s="118"/>
      <c r="BA152" s="95"/>
    </row>
    <row r="153" hidden="1" outlineLevel="1">
      <c r="A153" s="248" t="s">
        <v>1531</v>
      </c>
      <c r="B153" s="44" t="s">
        <v>148</v>
      </c>
      <c r="C153" s="37" t="s">
        <v>653</v>
      </c>
      <c r="D153" s="17" t="s">
        <v>1530</v>
      </c>
      <c r="E153" s="46">
        <f>IF((ISBLANK(D153)),"",((D153-5)*CantripLearned))</f>
        <v>0</v>
      </c>
      <c r="F153" s="118"/>
      <c r="G153" s="46" t="str">
        <f>IF((ISBLANK(F153)),"",((F153-5)*CantripLearned))</f>
        <v/>
      </c>
      <c r="H153" s="118"/>
      <c r="I153" s="46" t="str">
        <f>IF((ISBLANK(H153)),"",((H153-5)*CantripLearned))</f>
        <v/>
      </c>
      <c r="J153" s="118"/>
      <c r="K153" s="46" t="str">
        <f>IF((ISBLANK(J153)),"",((J153-5)*CantripLearned))</f>
        <v/>
      </c>
      <c r="L153" s="118"/>
      <c r="M153" s="46" t="str">
        <f>IF((ISBLANK(L153)),"",((L153-5)*CantripLearned))</f>
        <v/>
      </c>
      <c r="N153" s="118"/>
      <c r="O153" s="46" t="str">
        <f>IF((ISBLANK(N153)),"",((N153-5)*CantripLearned))</f>
        <v/>
      </c>
      <c r="P153" s="118"/>
      <c r="Q153" s="46" t="str">
        <f>IF((ISBLANK(P153)),"",((P153-5)*CantripLearned))</f>
        <v/>
      </c>
      <c r="R153" s="118"/>
      <c r="S153" s="46" t="str">
        <f>IF((ISBLANK(R153)),"",((R153-5)*CantripLearned))</f>
        <v/>
      </c>
      <c r="T153" s="118"/>
      <c r="U153" s="95" t="str">
        <f>IF((ISBLANK(T153)),"",((T153-5)*CantripLearned))</f>
        <v/>
      </c>
      <c r="V153" s="118"/>
      <c r="W153" s="46" t="str">
        <f>IF((ISBLANK(V153)),"",((V153-5)*CantripLearned))</f>
        <v/>
      </c>
      <c r="X153" s="118"/>
      <c r="Y153" s="46" t="str">
        <f>IF((ISBLANK(X153)),"",((X153-5)*CantripLearned))</f>
        <v/>
      </c>
      <c r="Z153" s="118"/>
      <c r="AA153" s="46" t="str">
        <f>IF((ISBLANK(Z153)),"",((Z153-5)*CantripLearned))</f>
        <v/>
      </c>
      <c r="AB153" s="118"/>
      <c r="AC153" s="46" t="str">
        <f>IF((ISBLANK(AB153)),"",((AB153-5)*CantripLearned))</f>
        <v/>
      </c>
      <c r="AD153" s="118"/>
      <c r="AE153" s="46" t="str">
        <f>IF((ISBLANK(AD153)),"",((AD153-5)*CantripLearned))</f>
        <v/>
      </c>
      <c r="AF153" s="118" t="s">
        <v>1530</v>
      </c>
      <c r="AG153" s="95">
        <f>IF((ISBLANK(AF153)),"",((AF153-5)*CantripLearned))</f>
        <v>0</v>
      </c>
      <c r="AH153" s="118" t="s">
        <v>1532</v>
      </c>
      <c r="AI153" s="95">
        <f>IF((ISBLANK(AH153)),"",((AH153-5)*CantripLearned))</f>
        <v>15</v>
      </c>
      <c r="AJ153" s="118"/>
      <c r="AK153" s="95"/>
      <c r="AL153" s="118"/>
      <c r="AM153" s="95"/>
      <c r="AN153" s="118" t="s">
        <v>1530</v>
      </c>
      <c r="AO153" s="95">
        <f>IF((ISBLANK(AN153)),"",((AN153-5)*CantripLearned))</f>
        <v>0</v>
      </c>
      <c r="AP153" s="118" t="s">
        <v>1533</v>
      </c>
      <c r="AQ153" s="95">
        <f>IF((ISBLANK(AP153)),"",((AP153-5)*CantripLearned))</f>
        <v>5</v>
      </c>
      <c r="AR153" s="118"/>
      <c r="AS153" s="95"/>
      <c r="AT153" s="118" t="s">
        <v>1530</v>
      </c>
      <c r="AU153" s="95">
        <f>IF((ISBLANK(AT153)),"",((AT153-5)*CantripLearned))</f>
        <v>0</v>
      </c>
      <c r="AV153" s="118" t="s">
        <v>158</v>
      </c>
      <c r="AW153" s="95">
        <f>IF((ISBLANK(AV153)),"",((AV153-5)*CantripLearned))</f>
        <v>25</v>
      </c>
      <c r="AX153" s="118" t="s">
        <v>158</v>
      </c>
      <c r="AY153" s="95">
        <f>IF((ISBLANK(AX153)),"",((AX153-5)*CantripLearned))</f>
        <v>25</v>
      </c>
      <c r="AZ153" s="118" t="s">
        <v>1530</v>
      </c>
      <c r="BA153" s="95">
        <f>IF((ISBLANK(AZ153)),"",((AZ153-5)*CantripLearned))</f>
        <v>0</v>
      </c>
    </row>
    <row r="154" collapsed="1">
      <c r="A154" s="121" t="s">
        <v>1534</v>
      </c>
      <c r="B154" s="75"/>
      <c r="C154" s="173"/>
      <c r="D154" s="122"/>
      <c r="E154" s="75">
        <f>sum(E155:E174)</f>
        <v>560</v>
      </c>
      <c r="F154" s="221"/>
      <c r="G154" s="78">
        <f>sum(G155:G174)</f>
        <v>0</v>
      </c>
      <c r="H154" s="221"/>
      <c r="I154" s="78">
        <f>sum(I155:I174)</f>
        <v>0</v>
      </c>
      <c r="J154" s="221"/>
      <c r="K154" s="78">
        <f>sum(K155:K174)</f>
        <v>0</v>
      </c>
      <c r="L154" s="221"/>
      <c r="M154" s="78">
        <f>sum(M155:M174)</f>
        <v>0</v>
      </c>
      <c r="N154" s="221"/>
      <c r="O154" s="78">
        <f>sum(O155:O174)</f>
        <v>0</v>
      </c>
      <c r="P154" s="221"/>
      <c r="Q154" s="78">
        <f>sum(Q155:Q174)</f>
        <v>0</v>
      </c>
      <c r="R154" s="221"/>
      <c r="S154" s="78">
        <f>sum(S155:S174)</f>
        <v>0</v>
      </c>
      <c r="T154" s="221"/>
      <c r="U154" s="78">
        <f>sum(U155:U174)</f>
        <v>0</v>
      </c>
      <c r="V154" s="221"/>
      <c r="W154" s="78">
        <f>sum(W155:W174)</f>
        <v>0</v>
      </c>
      <c r="X154" s="221"/>
      <c r="Y154" s="78">
        <f>sum(Y155:Y174)</f>
        <v>0</v>
      </c>
      <c r="Z154" s="221"/>
      <c r="AA154" s="78">
        <f>sum(AA155:AA174)</f>
        <v>0</v>
      </c>
      <c r="AB154" s="221"/>
      <c r="AC154" s="78">
        <f>sum(AC155:AC174)</f>
        <v>0</v>
      </c>
      <c r="AD154" s="221"/>
      <c r="AE154" s="78">
        <f>sum(AE155:AE174)</f>
        <v>0</v>
      </c>
      <c r="AF154" s="221"/>
      <c r="AG154" s="78">
        <f>sum(AG155:AG174)</f>
        <v>40</v>
      </c>
      <c r="AH154" s="221"/>
      <c r="AI154" s="78">
        <f>sum(AI155:AI174)</f>
        <v>60</v>
      </c>
      <c r="AJ154" s="221"/>
      <c r="AK154" s="78">
        <f>sum(AK155:AK174)</f>
        <v>460</v>
      </c>
      <c r="AL154" s="221"/>
      <c r="AM154" s="78">
        <f>sum(AM155:AM174)</f>
        <v>460</v>
      </c>
      <c r="AN154" s="221"/>
      <c r="AO154" s="78">
        <f>sum(AO155:AO174)</f>
        <v>460</v>
      </c>
      <c r="AP154" s="221"/>
      <c r="AQ154" s="78">
        <f>sum(AQ155:AQ174)</f>
        <v>460</v>
      </c>
      <c r="AR154" s="221"/>
      <c r="AS154" s="78">
        <f>sum(AS155:AS174)</f>
        <v>460</v>
      </c>
      <c r="AT154" s="221"/>
      <c r="AU154" s="78">
        <f>sum(AU155:AU174)</f>
        <v>370</v>
      </c>
      <c r="AV154" s="221"/>
      <c r="AW154" s="78">
        <f>sum(AW155:AW174)</f>
        <v>550</v>
      </c>
      <c r="AX154" s="221"/>
      <c r="AY154" s="78">
        <f>sum(AY155:AY174)</f>
        <v>460</v>
      </c>
      <c r="AZ154" s="221"/>
      <c r="BA154" s="78">
        <f>sum(BA155:BA174)</f>
        <v>550</v>
      </c>
    </row>
    <row r="155" hidden="1" outlineLevel="1">
      <c r="A155" s="37" t="s">
        <v>1535</v>
      </c>
      <c r="B155" s="46" t="s">
        <v>36</v>
      </c>
      <c r="C155" s="37" t="s">
        <v>1536</v>
      </c>
      <c r="D155" s="17" t="s">
        <v>1537</v>
      </c>
      <c r="E155" s="46">
        <f>IF((ISBLANK(D155)),"",(D155*SpellSlot))</f>
        <v>10</v>
      </c>
      <c r="F155" s="118"/>
      <c r="G155" s="46" t="str">
        <f>IF((ISBLANK(F155)),"",(F155*SpellSlot))</f>
        <v/>
      </c>
      <c r="H155" s="118"/>
      <c r="I155" s="46" t="str">
        <f>IF((ISBLANK(H155)),"",(H155*SpellSlot))</f>
        <v/>
      </c>
      <c r="J155" s="118"/>
      <c r="K155" s="46" t="str">
        <f>IF((ISBLANK(J155)),"",(J155*SpellSlot))</f>
        <v/>
      </c>
      <c r="L155" s="118"/>
      <c r="M155" s="46" t="str">
        <f>IF((ISBLANK(L155)),"",(L155*SpellSlot))</f>
        <v/>
      </c>
      <c r="N155" s="118"/>
      <c r="O155" s="46" t="str">
        <f>IF((ISBLANK(N155)),"",(N155*SpellSlot))</f>
        <v/>
      </c>
      <c r="P155" s="118"/>
      <c r="Q155" s="46" t="str">
        <f>IF((ISBLANK(P155)),"",(P155*SpellSlot))</f>
        <v/>
      </c>
      <c r="R155" s="118"/>
      <c r="S155" s="46" t="str">
        <f>IF((ISBLANK(R155)),"",(R155*SpellSlot))</f>
        <v/>
      </c>
      <c r="T155" s="118"/>
      <c r="U155" s="95" t="str">
        <f>IF((ISBLANK(T155)),"",(T155*SpellSlot))</f>
        <v/>
      </c>
      <c r="V155" s="118"/>
      <c r="W155" s="46" t="str">
        <f>IF((ISBLANK(V155)),"",(V155*SpellSlot))</f>
        <v/>
      </c>
      <c r="X155" s="118"/>
      <c r="Y155" s="46" t="str">
        <f>IF((ISBLANK(X155)),"",(X155*SpellSlot))</f>
        <v/>
      </c>
      <c r="Z155" s="118"/>
      <c r="AA155" s="46" t="str">
        <f>IF((ISBLANK(Z155)),"",(Z155*SpellSlot))</f>
        <v/>
      </c>
      <c r="AB155" s="118"/>
      <c r="AC155" s="46" t="str">
        <f>IF((ISBLANK(AB155)),"",(AB155*SpellSlot))</f>
        <v/>
      </c>
      <c r="AD155" s="118"/>
      <c r="AE155" s="46" t="str">
        <f>IF((ISBLANK(AD155)),"",(AD155*SpellSlot))</f>
        <v/>
      </c>
      <c r="AF155" s="118" t="s">
        <v>1537</v>
      </c>
      <c r="AG155" s="95">
        <f>IF((ISBLANK(AF155)),"",(AF155*SpellSlot))</f>
        <v>10</v>
      </c>
      <c r="AH155" s="118" t="s">
        <v>1537</v>
      </c>
      <c r="AI155" s="95">
        <f>IF((ISBLANK(AH155)),"",(AH155*SpellSlot))</f>
        <v>10</v>
      </c>
      <c r="AJ155" s="118" t="s">
        <v>1538</v>
      </c>
      <c r="AK155" s="95">
        <f>IF((ISBLANK(AJ155)),"",(AJ155*SpellSlot))</f>
        <v>20</v>
      </c>
      <c r="AL155" s="118" t="s">
        <v>1538</v>
      </c>
      <c r="AM155" s="95">
        <f>IF((ISBLANK(AL155)),"",(AL155*SpellSlot))</f>
        <v>20</v>
      </c>
      <c r="AN155" s="118" t="s">
        <v>1538</v>
      </c>
      <c r="AO155" s="95">
        <f>IF((ISBLANK(AN155)),"",(AN155*SpellSlot))</f>
        <v>20</v>
      </c>
      <c r="AP155" s="118" t="s">
        <v>1538</v>
      </c>
      <c r="AQ155" s="95">
        <f>IF((ISBLANK(AP155)),"",(AP155*SpellSlot))</f>
        <v>20</v>
      </c>
      <c r="AR155" s="118" t="s">
        <v>1538</v>
      </c>
      <c r="AS155" s="95">
        <f>IF((ISBLANK(AR155)),"",(AR155*SpellSlot))</f>
        <v>20</v>
      </c>
      <c r="AT155" s="118" t="s">
        <v>1537</v>
      </c>
      <c r="AU155" s="95">
        <f>IF((ISBLANK(AT155)),"",(AT155*SpellSlot))</f>
        <v>10</v>
      </c>
      <c r="AV155" s="118" t="s">
        <v>1539</v>
      </c>
      <c r="AW155" s="95">
        <f>IF((ISBLANK(AV155)),"",(AV155*SpellSlot))</f>
        <v>30</v>
      </c>
      <c r="AX155" s="118" t="s">
        <v>1538</v>
      </c>
      <c r="AY155" s="95">
        <f>IF((ISBLANK(AX155)),"",(AX155*SpellSlot))</f>
        <v>20</v>
      </c>
      <c r="AZ155" s="118" t="s">
        <v>1539</v>
      </c>
      <c r="BA155" s="95">
        <f>IF((ISBLANK(AZ155)),"",(AZ155*SpellSlot))</f>
        <v>30</v>
      </c>
    </row>
    <row r="156" hidden="1" outlineLevel="1">
      <c r="A156" s="37" t="s">
        <v>1540</v>
      </c>
      <c r="B156" s="46" t="s">
        <v>1183</v>
      </c>
      <c r="C156" s="37" t="s">
        <v>1536</v>
      </c>
      <c r="D156" s="17" t="s">
        <v>1537</v>
      </c>
      <c r="E156" s="46">
        <f>IF((ISBLANK(D156)),"",(D156*SpellSlot))</f>
        <v>10</v>
      </c>
      <c r="F156" s="118"/>
      <c r="G156" s="46" t="str">
        <f>IF((ISBLANK(F156)),"",(F156*SpellSlot))</f>
        <v/>
      </c>
      <c r="H156" s="118"/>
      <c r="I156" s="46" t="str">
        <f>IF((ISBLANK(H156)),"",(H156*SpellSlot))</f>
        <v/>
      </c>
      <c r="J156" s="118"/>
      <c r="K156" s="46" t="str">
        <f>IF((ISBLANK(J156)),"",(J156*SpellSlot))</f>
        <v/>
      </c>
      <c r="L156" s="118"/>
      <c r="M156" s="46" t="str">
        <f>IF((ISBLANK(L156)),"",(L156*SpellSlot))</f>
        <v/>
      </c>
      <c r="N156" s="118"/>
      <c r="O156" s="46" t="str">
        <f>IF((ISBLANK(N156)),"",(N156*SpellSlot))</f>
        <v/>
      </c>
      <c r="P156" s="118"/>
      <c r="Q156" s="46" t="str">
        <f>IF((ISBLANK(P156)),"",(P156*SpellSlot))</f>
        <v/>
      </c>
      <c r="R156" s="118"/>
      <c r="S156" s="46" t="str">
        <f>IF((ISBLANK(R156)),"",(R156*SpellSlot))</f>
        <v/>
      </c>
      <c r="T156" s="118"/>
      <c r="U156" s="95" t="str">
        <f>IF((ISBLANK(T156)),"",(T156*SpellSlot))</f>
        <v/>
      </c>
      <c r="V156" s="118"/>
      <c r="W156" s="46" t="str">
        <f>IF((ISBLANK(V156)),"",(V156*SpellSlot))</f>
        <v/>
      </c>
      <c r="X156" s="118"/>
      <c r="Y156" s="46" t="str">
        <f>IF((ISBLANK(X156)),"",(X156*SpellSlot))</f>
        <v/>
      </c>
      <c r="Z156" s="118"/>
      <c r="AA156" s="46" t="str">
        <f>IF((ISBLANK(Z156)),"",(Z156*SpellSlot))</f>
        <v/>
      </c>
      <c r="AB156" s="118"/>
      <c r="AC156" s="46" t="str">
        <f>IF((ISBLANK(AB156)),"",(AB156*SpellSlot))</f>
        <v/>
      </c>
      <c r="AD156" s="118"/>
      <c r="AE156" s="46" t="str">
        <f>IF((ISBLANK(AD156)),"",(AD156*SpellSlot))</f>
        <v/>
      </c>
      <c r="AF156" s="118" t="s">
        <v>1537</v>
      </c>
      <c r="AG156" s="95">
        <f>IF((ISBLANK(AF156)),"",(AF156*SpellSlot))</f>
        <v>10</v>
      </c>
      <c r="AH156" s="118" t="s">
        <v>1537</v>
      </c>
      <c r="AI156" s="95">
        <f>IF((ISBLANK(AH156)),"",(AH156*SpellSlot))</f>
        <v>10</v>
      </c>
      <c r="AJ156" s="118" t="s">
        <v>1537</v>
      </c>
      <c r="AK156" s="95">
        <f>IF((ISBLANK(AJ156)),"",(AJ156*SpellSlot))</f>
        <v>10</v>
      </c>
      <c r="AL156" s="118" t="s">
        <v>1537</v>
      </c>
      <c r="AM156" s="95">
        <f>IF((ISBLANK(AL156)),"",(AL156*SpellSlot))</f>
        <v>10</v>
      </c>
      <c r="AN156" s="118" t="s">
        <v>1537</v>
      </c>
      <c r="AO156" s="95">
        <f>IF((ISBLANK(AN156)),"",(AN156*SpellSlot))</f>
        <v>10</v>
      </c>
      <c r="AP156" s="118" t="s">
        <v>1537</v>
      </c>
      <c r="AQ156" s="95">
        <f>IF((ISBLANK(AP156)),"",(AP156*SpellSlot))</f>
        <v>10</v>
      </c>
      <c r="AR156" s="118" t="s">
        <v>1537</v>
      </c>
      <c r="AS156" s="95">
        <f>IF((ISBLANK(AR156)),"",(AR156*SpellSlot))</f>
        <v>10</v>
      </c>
      <c r="AT156" s="118" t="s">
        <v>1537</v>
      </c>
      <c r="AU156" s="95">
        <f>IF((ISBLANK(AT156)),"",(AT156*SpellSlot))</f>
        <v>10</v>
      </c>
      <c r="AV156" s="118" t="s">
        <v>1537</v>
      </c>
      <c r="AW156" s="95">
        <f>IF((ISBLANK(AV156)),"",(AV156*SpellSlot))</f>
        <v>10</v>
      </c>
      <c r="AX156" s="118" t="s">
        <v>1537</v>
      </c>
      <c r="AY156" s="95">
        <f>IF((ISBLANK(AX156)),"",(AX156*SpellSlot))</f>
        <v>10</v>
      </c>
      <c r="AZ156" s="118" t="s">
        <v>1537</v>
      </c>
      <c r="BA156" s="95">
        <f>IF((ISBLANK(AZ156)),"",(AZ156*SpellSlot))</f>
        <v>10</v>
      </c>
    </row>
    <row r="157" hidden="1" outlineLevel="1">
      <c r="A157" s="37" t="s">
        <v>1541</v>
      </c>
      <c r="B157" s="46" t="s">
        <v>62</v>
      </c>
      <c r="C157" s="37" t="s">
        <v>1542</v>
      </c>
      <c r="D157" s="17" t="s">
        <v>1537</v>
      </c>
      <c r="E157" s="46">
        <f>IF((ISBLANK(D157)),"",(D157*SpellSlot))</f>
        <v>10</v>
      </c>
      <c r="F157" s="118"/>
      <c r="G157" s="46" t="str">
        <f>IF((ISBLANK(F157)),"",(F157*SpellSlot))</f>
        <v/>
      </c>
      <c r="H157" s="118"/>
      <c r="I157" s="46" t="str">
        <f>IF((ISBLANK(H157)),"",(H157*SpellSlot))</f>
        <v/>
      </c>
      <c r="J157" s="118"/>
      <c r="K157" s="46" t="str">
        <f>IF((ISBLANK(J157)),"",(J157*SpellSlot))</f>
        <v/>
      </c>
      <c r="L157" s="118"/>
      <c r="M157" s="46" t="str">
        <f>IF((ISBLANK(L157)),"",(L157*SpellSlot))</f>
        <v/>
      </c>
      <c r="N157" s="118"/>
      <c r="O157" s="46" t="str">
        <f>IF((ISBLANK(N157)),"",(N157*SpellSlot))</f>
        <v/>
      </c>
      <c r="P157" s="118"/>
      <c r="Q157" s="46" t="str">
        <f>IF((ISBLANK(P157)),"",(P157*SpellSlot))</f>
        <v/>
      </c>
      <c r="R157" s="118"/>
      <c r="S157" s="46" t="str">
        <f>IF((ISBLANK(R157)),"",(R157*SpellSlot))</f>
        <v/>
      </c>
      <c r="T157" s="118"/>
      <c r="U157" s="95" t="str">
        <f>IF((ISBLANK(T157)),"",(T157*SpellSlot))</f>
        <v/>
      </c>
      <c r="V157" s="118"/>
      <c r="W157" s="46" t="str">
        <f>IF((ISBLANK(V157)),"",(V157*SpellSlot))</f>
        <v/>
      </c>
      <c r="X157" s="118"/>
      <c r="Y157" s="46" t="str">
        <f>IF((ISBLANK(X157)),"",(X157*SpellSlot))</f>
        <v/>
      </c>
      <c r="Z157" s="118"/>
      <c r="AA157" s="46" t="str">
        <f>IF((ISBLANK(Z157)),"",(Z157*SpellSlot))</f>
        <v/>
      </c>
      <c r="AB157" s="118"/>
      <c r="AC157" s="46" t="str">
        <f>IF((ISBLANK(AB157)),"",(AB157*SpellSlot))</f>
        <v/>
      </c>
      <c r="AD157" s="118"/>
      <c r="AE157" s="46" t="str">
        <f>IF((ISBLANK(AD157)),"",(AD157*SpellSlot))</f>
        <v/>
      </c>
      <c r="AF157" s="118" t="s">
        <v>1537</v>
      </c>
      <c r="AG157" s="95">
        <f>IF((ISBLANK(AF157)),"",(AF157*SpellSlot))</f>
        <v>10</v>
      </c>
      <c r="AH157" s="118" t="s">
        <v>1537</v>
      </c>
      <c r="AI157" s="95">
        <f>IF((ISBLANK(AH157)),"",(AH157*SpellSlot))</f>
        <v>10</v>
      </c>
      <c r="AJ157" s="118" t="s">
        <v>1538</v>
      </c>
      <c r="AK157" s="95">
        <f>IF((ISBLANK(AJ157)),"",(AJ157*SpellSlot))</f>
        <v>20</v>
      </c>
      <c r="AL157" s="118" t="s">
        <v>1538</v>
      </c>
      <c r="AM157" s="95">
        <f>IF((ISBLANK(AL157)),"",(AL157*SpellSlot))</f>
        <v>20</v>
      </c>
      <c r="AN157" s="118" t="s">
        <v>1538</v>
      </c>
      <c r="AO157" s="95">
        <f>IF((ISBLANK(AN157)),"",(AN157*SpellSlot))</f>
        <v>20</v>
      </c>
      <c r="AP157" s="118" t="s">
        <v>1538</v>
      </c>
      <c r="AQ157" s="95">
        <f>IF((ISBLANK(AP157)),"",(AP157*SpellSlot))</f>
        <v>20</v>
      </c>
      <c r="AR157" s="118" t="s">
        <v>1538</v>
      </c>
      <c r="AS157" s="95">
        <f>IF((ISBLANK(AR157)),"",(AR157*SpellSlot))</f>
        <v>20</v>
      </c>
      <c r="AT157" s="118" t="s">
        <v>1537</v>
      </c>
      <c r="AU157" s="95">
        <f>IF((ISBLANK(AT157)),"",(AT157*SpellSlot))</f>
        <v>10</v>
      </c>
      <c r="AV157" s="118" t="s">
        <v>1539</v>
      </c>
      <c r="AW157" s="95">
        <f>IF((ISBLANK(AV157)),"",(AV157*SpellSlot))</f>
        <v>30</v>
      </c>
      <c r="AX157" s="118" t="s">
        <v>1538</v>
      </c>
      <c r="AY157" s="95">
        <f>IF((ISBLANK(AX157)),"",(AX157*SpellSlot))</f>
        <v>20</v>
      </c>
      <c r="AZ157" s="118" t="s">
        <v>1539</v>
      </c>
      <c r="BA157" s="95">
        <f>IF((ISBLANK(AZ157)),"",(AZ157*SpellSlot))</f>
        <v>30</v>
      </c>
    </row>
    <row r="158" hidden="1" outlineLevel="1">
      <c r="A158" s="37" t="s">
        <v>1543</v>
      </c>
      <c r="B158" s="46" t="s">
        <v>1239</v>
      </c>
      <c r="C158" s="37" t="s">
        <v>1542</v>
      </c>
      <c r="D158" s="17" t="s">
        <v>1537</v>
      </c>
      <c r="E158" s="46">
        <f>IF((ISBLANK(D158)),"",(D158*SpellSlot))</f>
        <v>10</v>
      </c>
      <c r="F158" s="118"/>
      <c r="G158" s="46" t="str">
        <f>IF((ISBLANK(F158)),"",(F158*SpellSlot))</f>
        <v/>
      </c>
      <c r="H158" s="118"/>
      <c r="I158" s="46" t="str">
        <f>IF((ISBLANK(H158)),"",(H158*SpellSlot))</f>
        <v/>
      </c>
      <c r="J158" s="118"/>
      <c r="K158" s="46" t="str">
        <f>IF((ISBLANK(J158)),"",(J158*SpellSlot))</f>
        <v/>
      </c>
      <c r="L158" s="118"/>
      <c r="M158" s="46" t="str">
        <f>IF((ISBLANK(L158)),"",(L158*SpellSlot))</f>
        <v/>
      </c>
      <c r="N158" s="118"/>
      <c r="O158" s="46" t="str">
        <f>IF((ISBLANK(N158)),"",(N158*SpellSlot))</f>
        <v/>
      </c>
      <c r="P158" s="46"/>
      <c r="Q158" s="46" t="str">
        <f>IF((ISBLANK(P158)),"",(P158*SpellSlot))</f>
        <v/>
      </c>
      <c r="R158" s="46"/>
      <c r="S158" s="46" t="str">
        <f>IF((ISBLANK(R158)),"",(R158*SpellSlot))</f>
        <v/>
      </c>
      <c r="T158" s="118"/>
      <c r="U158" s="95" t="str">
        <f>IF((ISBLANK(T158)),"",(T158*SpellSlot))</f>
        <v/>
      </c>
      <c r="V158" s="118"/>
      <c r="W158" s="46" t="str">
        <f>IF((ISBLANK(V158)),"",(V158*SpellSlot))</f>
        <v/>
      </c>
      <c r="X158" s="118"/>
      <c r="Y158" s="46" t="str">
        <f>IF((ISBLANK(X158)),"",(X158*SpellSlot))</f>
        <v/>
      </c>
      <c r="Z158" s="118"/>
      <c r="AA158" s="46" t="str">
        <f>IF((ISBLANK(Z158)),"",(Z158*SpellSlot))</f>
        <v/>
      </c>
      <c r="AB158" s="46"/>
      <c r="AC158" s="46" t="str">
        <f>IF((ISBLANK(AB158)),"",(AB158*SpellSlot))</f>
        <v/>
      </c>
      <c r="AD158" s="118"/>
      <c r="AE158" s="46" t="str">
        <f>IF((ISBLANK(AD158)),"",(AD158*SpellSlot))</f>
        <v/>
      </c>
      <c r="AF158" s="118" t="s">
        <v>1537</v>
      </c>
      <c r="AG158" s="95">
        <f>IF((ISBLANK(AF158)),"",(AF158*SpellSlot))</f>
        <v>10</v>
      </c>
      <c r="AH158" s="118" t="s">
        <v>1537</v>
      </c>
      <c r="AI158" s="95">
        <f>IF((ISBLANK(AH158)),"",(AH158*SpellSlot))</f>
        <v>10</v>
      </c>
      <c r="AJ158" s="118" t="s">
        <v>1537</v>
      </c>
      <c r="AK158" s="95">
        <f>IF((ISBLANK(AJ158)),"",(AJ158*SpellSlot))</f>
        <v>10</v>
      </c>
      <c r="AL158" s="118" t="s">
        <v>1537</v>
      </c>
      <c r="AM158" s="95">
        <f>IF((ISBLANK(AL158)),"",(AL158*SpellSlot))</f>
        <v>10</v>
      </c>
      <c r="AN158" s="118" t="s">
        <v>1537</v>
      </c>
      <c r="AO158" s="95">
        <f>IF((ISBLANK(AN158)),"",(AN158*SpellSlot))</f>
        <v>10</v>
      </c>
      <c r="AP158" s="118" t="s">
        <v>1537</v>
      </c>
      <c r="AQ158" s="95">
        <f>IF((ISBLANK(AP158)),"",(AP158*SpellSlot))</f>
        <v>10</v>
      </c>
      <c r="AR158" s="118" t="s">
        <v>1537</v>
      </c>
      <c r="AS158" s="95">
        <f>IF((ISBLANK(AR158)),"",(AR158*SpellSlot))</f>
        <v>10</v>
      </c>
      <c r="AT158" s="118" t="s">
        <v>1537</v>
      </c>
      <c r="AU158" s="95">
        <f>IF((ISBLANK(AT158)),"",(AT158*SpellSlot))</f>
        <v>10</v>
      </c>
      <c r="AV158" s="118" t="s">
        <v>1537</v>
      </c>
      <c r="AW158" s="95">
        <f>IF((ISBLANK(AV158)),"",(AV158*SpellSlot))</f>
        <v>10</v>
      </c>
      <c r="AX158" s="118" t="s">
        <v>1537</v>
      </c>
      <c r="AY158" s="95">
        <f>IF((ISBLANK(AX158)),"",(AX158*SpellSlot))</f>
        <v>10</v>
      </c>
      <c r="AZ158" s="118" t="s">
        <v>1537</v>
      </c>
      <c r="BA158" s="95">
        <f>IF((ISBLANK(AZ158)),"",(AZ158*SpellSlot))</f>
        <v>10</v>
      </c>
    </row>
    <row r="159" hidden="1" outlineLevel="1">
      <c r="A159" s="37" t="s">
        <v>1544</v>
      </c>
      <c r="B159" s="46" t="s">
        <v>70</v>
      </c>
      <c r="C159" s="37" t="s">
        <v>1545</v>
      </c>
      <c r="D159" s="17" t="s">
        <v>1537</v>
      </c>
      <c r="E159" s="46">
        <f>IF((ISBLANK(D159)),"",(D159*SpellSlot))</f>
        <v>10</v>
      </c>
      <c r="F159" s="118"/>
      <c r="G159" s="46" t="str">
        <f>IF((ISBLANK(F159)),"",(F159*SpellSlot))</f>
        <v/>
      </c>
      <c r="H159" s="118"/>
      <c r="I159" s="46" t="str">
        <f>IF((ISBLANK(H159)),"",(H159*SpellSlot))</f>
        <v/>
      </c>
      <c r="J159" s="118"/>
      <c r="K159" s="46" t="str">
        <f>IF((ISBLANK(J159)),"",(J159*SpellSlot))</f>
        <v/>
      </c>
      <c r="L159" s="118"/>
      <c r="M159" s="46" t="str">
        <f>IF((ISBLANK(L159)),"",(L159*SpellSlot))</f>
        <v/>
      </c>
      <c r="N159" s="118"/>
      <c r="O159" s="46" t="str">
        <f>IF((ISBLANK(N159)),"",(N159*SpellSlot))</f>
        <v/>
      </c>
      <c r="P159" s="46"/>
      <c r="Q159" s="46" t="str">
        <f>IF((ISBLANK(P159)),"",(P159*SpellSlot))</f>
        <v/>
      </c>
      <c r="R159" s="46"/>
      <c r="S159" s="46" t="str">
        <f>IF((ISBLANK(R159)),"",(R159*SpellSlot))</f>
        <v/>
      </c>
      <c r="T159" s="118"/>
      <c r="U159" s="95" t="str">
        <f>IF((ISBLANK(T159)),"",(T159*SpellSlot))</f>
        <v/>
      </c>
      <c r="V159" s="118"/>
      <c r="W159" s="46" t="str">
        <f>IF((ISBLANK(V159)),"",(V159*SpellSlot))</f>
        <v/>
      </c>
      <c r="X159" s="118"/>
      <c r="Y159" s="46" t="str">
        <f>IF((ISBLANK(X159)),"",(X159*SpellSlot))</f>
        <v/>
      </c>
      <c r="Z159" s="118"/>
      <c r="AA159" s="46" t="str">
        <f>IF((ISBLANK(Z159)),"",(Z159*SpellSlot))</f>
        <v/>
      </c>
      <c r="AB159" s="46"/>
      <c r="AC159" s="46" t="str">
        <f>IF((ISBLANK(AB159)),"",(AB159*SpellSlot))</f>
        <v/>
      </c>
      <c r="AD159" s="118"/>
      <c r="AE159" s="46" t="str">
        <f>IF((ISBLANK(AD159)),"",(AD159*SpellSlot))</f>
        <v/>
      </c>
      <c r="AF159" s="118"/>
      <c r="AG159" s="46" t="str">
        <f>IF((ISBLANK(AF159)),"",(AF159*SpellSlot))</f>
        <v/>
      </c>
      <c r="AH159" s="118"/>
      <c r="AI159" s="46" t="str">
        <f>IF((ISBLANK(AH159)),"",(AH159*SpellSlot))</f>
        <v/>
      </c>
      <c r="AJ159" s="118" t="s">
        <v>1538</v>
      </c>
      <c r="AK159" s="95">
        <f>IF((ISBLANK(AJ159)),"",(AJ159*SpellSlot))</f>
        <v>20</v>
      </c>
      <c r="AL159" s="118" t="s">
        <v>1538</v>
      </c>
      <c r="AM159" s="95">
        <f>IF((ISBLANK(AL159)),"",(AL159*SpellSlot))</f>
        <v>20</v>
      </c>
      <c r="AN159" s="118" t="s">
        <v>1538</v>
      </c>
      <c r="AO159" s="95">
        <f>IF((ISBLANK(AN159)),"",(AN159*SpellSlot))</f>
        <v>20</v>
      </c>
      <c r="AP159" s="118" t="s">
        <v>1538</v>
      </c>
      <c r="AQ159" s="95">
        <f>IF((ISBLANK(AP159)),"",(AP159*SpellSlot))</f>
        <v>20</v>
      </c>
      <c r="AR159" s="118" t="s">
        <v>1538</v>
      </c>
      <c r="AS159" s="95">
        <f>IF((ISBLANK(AR159)),"",(AR159*SpellSlot))</f>
        <v>20</v>
      </c>
      <c r="AT159" s="118" t="s">
        <v>1537</v>
      </c>
      <c r="AU159" s="95">
        <f>IF((ISBLANK(AT159)),"",(AT159*SpellSlot))</f>
        <v>10</v>
      </c>
      <c r="AV159" s="118" t="s">
        <v>1539</v>
      </c>
      <c r="AW159" s="95">
        <f>IF((ISBLANK(AV159)),"",(AV159*SpellSlot))</f>
        <v>30</v>
      </c>
      <c r="AX159" s="118" t="s">
        <v>1538</v>
      </c>
      <c r="AY159" s="95">
        <f>IF((ISBLANK(AX159)),"",(AX159*SpellSlot))</f>
        <v>20</v>
      </c>
      <c r="AZ159" s="118" t="s">
        <v>1539</v>
      </c>
      <c r="BA159" s="95">
        <f>IF((ISBLANK(AZ159)),"",(AZ159*SpellSlot))</f>
        <v>30</v>
      </c>
    </row>
    <row r="160" hidden="1" outlineLevel="1">
      <c r="A160" s="37" t="s">
        <v>1546</v>
      </c>
      <c r="B160" s="46" t="s">
        <v>1264</v>
      </c>
      <c r="C160" s="37" t="s">
        <v>1545</v>
      </c>
      <c r="D160" s="17" t="s">
        <v>1537</v>
      </c>
      <c r="E160" s="46">
        <f>IF((ISBLANK(D160)),"",(D160*SpellSlot))</f>
        <v>10</v>
      </c>
      <c r="F160" s="118"/>
      <c r="G160" s="46" t="str">
        <f>IF((ISBLANK(F160)),"",(F160*SpellSlot))</f>
        <v/>
      </c>
      <c r="H160" s="118"/>
      <c r="I160" s="46" t="str">
        <f>IF((ISBLANK(H160)),"",(H160*SpellSlot))</f>
        <v/>
      </c>
      <c r="J160" s="118"/>
      <c r="K160" s="46" t="str">
        <f>IF((ISBLANK(J160)),"",(J160*SpellSlot))</f>
        <v/>
      </c>
      <c r="L160" s="118"/>
      <c r="M160" s="46" t="str">
        <f>IF((ISBLANK(L160)),"",(L160*SpellSlot))</f>
        <v/>
      </c>
      <c r="N160" s="118"/>
      <c r="O160" s="46" t="str">
        <f>IF((ISBLANK(N160)),"",(N160*SpellSlot))</f>
        <v/>
      </c>
      <c r="P160" s="46"/>
      <c r="Q160" s="46" t="str">
        <f>IF((ISBLANK(P160)),"",(P160*SpellSlot))</f>
        <v/>
      </c>
      <c r="R160" s="46"/>
      <c r="S160" s="46" t="str">
        <f>IF((ISBLANK(R160)),"",(R160*SpellSlot))</f>
        <v/>
      </c>
      <c r="T160" s="118"/>
      <c r="U160" s="95" t="str">
        <f>IF((ISBLANK(T160)),"",(T160*SpellSlot))</f>
        <v/>
      </c>
      <c r="V160" s="118"/>
      <c r="W160" s="46" t="str">
        <f>IF((ISBLANK(V160)),"",(V160*SpellSlot))</f>
        <v/>
      </c>
      <c r="X160" s="118"/>
      <c r="Y160" s="46" t="str">
        <f>IF((ISBLANK(X160)),"",(X160*SpellSlot))</f>
        <v/>
      </c>
      <c r="Z160" s="118"/>
      <c r="AA160" s="46" t="str">
        <f>IF((ISBLANK(Z160)),"",(Z160*SpellSlot))</f>
        <v/>
      </c>
      <c r="AB160" s="46"/>
      <c r="AC160" s="46" t="str">
        <f>IF((ISBLANK(AB160)),"",(AB160*SpellSlot))</f>
        <v/>
      </c>
      <c r="AD160" s="118"/>
      <c r="AE160" s="46" t="str">
        <f>IF((ISBLANK(AD160)),"",(AD160*SpellSlot))</f>
        <v/>
      </c>
      <c r="AF160" s="118"/>
      <c r="AG160" s="46" t="str">
        <f>IF((ISBLANK(AF160)),"",(AF160*SpellSlot))</f>
        <v/>
      </c>
      <c r="AH160" s="118"/>
      <c r="AI160" s="46" t="str">
        <f>IF((ISBLANK(AH160)),"",(AH160*SpellSlot))</f>
        <v/>
      </c>
      <c r="AJ160" s="118" t="s">
        <v>1537</v>
      </c>
      <c r="AK160" s="95">
        <f>IF((ISBLANK(AJ160)),"",(AJ160*SpellSlot))</f>
        <v>10</v>
      </c>
      <c r="AL160" s="118" t="s">
        <v>1537</v>
      </c>
      <c r="AM160" s="95">
        <f>IF((ISBLANK(AL160)),"",(AL160*SpellSlot))</f>
        <v>10</v>
      </c>
      <c r="AN160" s="118" t="s">
        <v>1537</v>
      </c>
      <c r="AO160" s="95">
        <f>IF((ISBLANK(AN160)),"",(AN160*SpellSlot))</f>
        <v>10</v>
      </c>
      <c r="AP160" s="118" t="s">
        <v>1537</v>
      </c>
      <c r="AQ160" s="95">
        <f>IF((ISBLANK(AP160)),"",(AP160*SpellSlot))</f>
        <v>10</v>
      </c>
      <c r="AR160" s="118" t="s">
        <v>1537</v>
      </c>
      <c r="AS160" s="95">
        <f>IF((ISBLANK(AR160)),"",(AR160*SpellSlot))</f>
        <v>10</v>
      </c>
      <c r="AT160" s="118" t="s">
        <v>1537</v>
      </c>
      <c r="AU160" s="95">
        <f>IF((ISBLANK(AT160)),"",(AT160*SpellSlot))</f>
        <v>10</v>
      </c>
      <c r="AV160" s="118" t="s">
        <v>1537</v>
      </c>
      <c r="AW160" s="95">
        <f>IF((ISBLANK(AV160)),"",(AV160*SpellSlot))</f>
        <v>10</v>
      </c>
      <c r="AX160" s="118" t="s">
        <v>1537</v>
      </c>
      <c r="AY160" s="95">
        <f>IF((ISBLANK(AX160)),"",(AX160*SpellSlot))</f>
        <v>10</v>
      </c>
      <c r="AZ160" s="118" t="s">
        <v>1537</v>
      </c>
      <c r="BA160" s="95">
        <f>IF((ISBLANK(AZ160)),"",(AZ160*SpellSlot))</f>
        <v>10</v>
      </c>
    </row>
    <row r="161" hidden="1" outlineLevel="1">
      <c r="A161" s="37" t="s">
        <v>1547</v>
      </c>
      <c r="B161" s="46" t="s">
        <v>40</v>
      </c>
      <c r="C161" s="37" t="s">
        <v>1548</v>
      </c>
      <c r="D161" s="17" t="s">
        <v>1537</v>
      </c>
      <c r="E161" s="46">
        <f>IF((ISBLANK(D161)),"",(D161*SpellSlot))</f>
        <v>10</v>
      </c>
      <c r="F161" s="118"/>
      <c r="G161" s="46" t="str">
        <f>IF((ISBLANK(F161)),"",(F161*SpellSlot))</f>
        <v/>
      </c>
      <c r="H161" s="118"/>
      <c r="I161" s="46" t="str">
        <f>IF((ISBLANK(H161)),"",(H161*SpellSlot))</f>
        <v/>
      </c>
      <c r="J161" s="118"/>
      <c r="K161" s="46" t="str">
        <f>IF((ISBLANK(J161)),"",(J161*SpellSlot))</f>
        <v/>
      </c>
      <c r="L161" s="118"/>
      <c r="M161" s="46" t="str">
        <f>IF((ISBLANK(L161)),"",(L161*SpellSlot))</f>
        <v/>
      </c>
      <c r="N161" s="118"/>
      <c r="O161" s="46" t="str">
        <f>IF((ISBLANK(N161)),"",(N161*SpellSlot))</f>
        <v/>
      </c>
      <c r="P161" s="46"/>
      <c r="Q161" s="46" t="str">
        <f>IF((ISBLANK(P161)),"",(P161*SpellSlot))</f>
        <v/>
      </c>
      <c r="R161" s="46"/>
      <c r="S161" s="46" t="str">
        <f>IF((ISBLANK(R161)),"",(R161*SpellSlot))</f>
        <v/>
      </c>
      <c r="T161" s="118"/>
      <c r="U161" s="95" t="str">
        <f>IF((ISBLANK(T161)),"",(T161*SpellSlot))</f>
        <v/>
      </c>
      <c r="V161" s="118"/>
      <c r="W161" s="46" t="str">
        <f>IF((ISBLANK(V161)),"",(V161*SpellSlot))</f>
        <v/>
      </c>
      <c r="X161" s="118"/>
      <c r="Y161" s="46" t="str">
        <f>IF((ISBLANK(X161)),"",(X161*SpellSlot))</f>
        <v/>
      </c>
      <c r="Z161" s="118"/>
      <c r="AA161" s="46" t="str">
        <f>IF((ISBLANK(Z161)),"",(Z161*SpellSlot))</f>
        <v/>
      </c>
      <c r="AB161" s="46"/>
      <c r="AC161" s="46" t="str">
        <f>IF((ISBLANK(AB161)),"",(AB161*SpellSlot))</f>
        <v/>
      </c>
      <c r="AD161" s="118"/>
      <c r="AE161" s="46" t="str">
        <f>IF((ISBLANK(AD161)),"",(AD161*SpellSlot))</f>
        <v/>
      </c>
      <c r="AF161" s="118"/>
      <c r="AG161" s="46" t="str">
        <f>IF((ISBLANK(AF161)),"",(AF161*SpellSlot))</f>
        <v/>
      </c>
      <c r="AH161" s="118" t="s">
        <v>1538</v>
      </c>
      <c r="AI161" s="95">
        <f>IF((ISBLANK(AH161)),"",(AH161*SpellSlot))</f>
        <v>20</v>
      </c>
      <c r="AJ161" s="118" t="s">
        <v>1538</v>
      </c>
      <c r="AK161" s="95">
        <f>IF((ISBLANK(AJ161)),"",(AJ161*SpellSlot))</f>
        <v>20</v>
      </c>
      <c r="AL161" s="118" t="s">
        <v>1538</v>
      </c>
      <c r="AM161" s="95">
        <f>IF((ISBLANK(AL161)),"",(AL161*SpellSlot))</f>
        <v>20</v>
      </c>
      <c r="AN161" s="118" t="s">
        <v>1538</v>
      </c>
      <c r="AO161" s="95">
        <f>IF((ISBLANK(AN161)),"",(AN161*SpellSlot))</f>
        <v>20</v>
      </c>
      <c r="AP161" s="118" t="s">
        <v>1538</v>
      </c>
      <c r="AQ161" s="95">
        <f>IF((ISBLANK(AP161)),"",(AP161*SpellSlot))</f>
        <v>20</v>
      </c>
      <c r="AR161" s="118" t="s">
        <v>1538</v>
      </c>
      <c r="AS161" s="95">
        <f>IF((ISBLANK(AR161)),"",(AR161*SpellSlot))</f>
        <v>20</v>
      </c>
      <c r="AT161" s="118" t="s">
        <v>1537</v>
      </c>
      <c r="AU161" s="95">
        <f>IF((ISBLANK(AT161)),"",(AT161*SpellSlot))</f>
        <v>10</v>
      </c>
      <c r="AV161" s="118" t="s">
        <v>1539</v>
      </c>
      <c r="AW161" s="95">
        <f>IF((ISBLANK(AV161)),"",(AV161*SpellSlot))</f>
        <v>30</v>
      </c>
      <c r="AX161" s="118" t="s">
        <v>1538</v>
      </c>
      <c r="AY161" s="95">
        <f>IF((ISBLANK(AX161)),"",(AX161*SpellSlot))</f>
        <v>20</v>
      </c>
      <c r="AZ161" s="118" t="s">
        <v>1539</v>
      </c>
      <c r="BA161" s="95">
        <f>IF((ISBLANK(AZ161)),"",(AZ161*SpellSlot))</f>
        <v>30</v>
      </c>
    </row>
    <row r="162" hidden="1" outlineLevel="1">
      <c r="A162" s="37" t="s">
        <v>1551</v>
      </c>
      <c r="B162" s="46" t="s">
        <v>1290</v>
      </c>
      <c r="C162" s="37" t="s">
        <v>1548</v>
      </c>
      <c r="D162" s="17" t="s">
        <v>1537</v>
      </c>
      <c r="E162" s="46">
        <f>IF((ISBLANK(D162)),"",(D162*SpellSlot))</f>
        <v>10</v>
      </c>
      <c r="F162" s="118"/>
      <c r="G162" s="46" t="str">
        <f>IF((ISBLANK(F162)),"",(F162*SpellSlot))</f>
        <v/>
      </c>
      <c r="H162" s="118"/>
      <c r="I162" s="46" t="str">
        <f>IF((ISBLANK(H162)),"",(H162*SpellSlot))</f>
        <v/>
      </c>
      <c r="J162" s="118"/>
      <c r="K162" s="46" t="str">
        <f>IF((ISBLANK(J162)),"",(J162*SpellSlot))</f>
        <v/>
      </c>
      <c r="L162" s="118"/>
      <c r="M162" s="46" t="str">
        <f>IF((ISBLANK(L162)),"",(L162*SpellSlot))</f>
        <v/>
      </c>
      <c r="N162" s="118"/>
      <c r="O162" s="46" t="str">
        <f>IF((ISBLANK(N162)),"",(N162*SpellSlot))</f>
        <v/>
      </c>
      <c r="P162" s="46"/>
      <c r="Q162" s="46" t="str">
        <f>IF((ISBLANK(P162)),"",(P162*SpellSlot))</f>
        <v/>
      </c>
      <c r="R162" s="46"/>
      <c r="S162" s="46" t="str">
        <f>IF((ISBLANK(R162)),"",(R162*SpellSlot))</f>
        <v/>
      </c>
      <c r="T162" s="118"/>
      <c r="U162" s="95" t="str">
        <f>IF((ISBLANK(T162)),"",(T162*SpellSlot))</f>
        <v/>
      </c>
      <c r="V162" s="118"/>
      <c r="W162" s="46" t="str">
        <f>IF((ISBLANK(V162)),"",(V162*SpellSlot))</f>
        <v/>
      </c>
      <c r="X162" s="118"/>
      <c r="Y162" s="46" t="str">
        <f>IF((ISBLANK(X162)),"",(X162*SpellSlot))</f>
        <v/>
      </c>
      <c r="Z162" s="118"/>
      <c r="AA162" s="46" t="str">
        <f>IF((ISBLANK(Z162)),"",(Z162*SpellSlot))</f>
        <v/>
      </c>
      <c r="AB162" s="46"/>
      <c r="AC162" s="46" t="str">
        <f>IF((ISBLANK(AB162)),"",(AB162*SpellSlot))</f>
        <v/>
      </c>
      <c r="AD162" s="118"/>
      <c r="AE162" s="46" t="str">
        <f>IF((ISBLANK(AD162)),"",(AD162*SpellSlot))</f>
        <v/>
      </c>
      <c r="AF162" s="118"/>
      <c r="AG162" s="46" t="str">
        <f>IF((ISBLANK(AF162)),"",(AF162*SpellSlot))</f>
        <v/>
      </c>
      <c r="AH162" s="118"/>
      <c r="AI162" s="46" t="str">
        <f>IF((ISBLANK(AH162)),"",(AH162*SpellSlot))</f>
        <v/>
      </c>
      <c r="AJ162" s="118" t="s">
        <v>1537</v>
      </c>
      <c r="AK162" s="95">
        <f>IF((ISBLANK(AJ162)),"",(AJ162*SpellSlot))</f>
        <v>10</v>
      </c>
      <c r="AL162" s="118" t="s">
        <v>1537</v>
      </c>
      <c r="AM162" s="95">
        <f>IF((ISBLANK(AL162)),"",(AL162*SpellSlot))</f>
        <v>10</v>
      </c>
      <c r="AN162" s="118" t="s">
        <v>1537</v>
      </c>
      <c r="AO162" s="95">
        <f>IF((ISBLANK(AN162)),"",(AN162*SpellSlot))</f>
        <v>10</v>
      </c>
      <c r="AP162" s="118" t="s">
        <v>1537</v>
      </c>
      <c r="AQ162" s="95">
        <f>IF((ISBLANK(AP162)),"",(AP162*SpellSlot))</f>
        <v>10</v>
      </c>
      <c r="AR162" s="118" t="s">
        <v>1537</v>
      </c>
      <c r="AS162" s="95">
        <f>IF((ISBLANK(AR162)),"",(AR162*SpellSlot))</f>
        <v>10</v>
      </c>
      <c r="AT162" s="118" t="s">
        <v>1537</v>
      </c>
      <c r="AU162" s="95">
        <f>IF((ISBLANK(AT162)),"",(AT162*SpellSlot))</f>
        <v>10</v>
      </c>
      <c r="AV162" s="118" t="s">
        <v>1537</v>
      </c>
      <c r="AW162" s="95">
        <f>IF((ISBLANK(AV162)),"",(AV162*SpellSlot))</f>
        <v>10</v>
      </c>
      <c r="AX162" s="118" t="s">
        <v>1537</v>
      </c>
      <c r="AY162" s="95">
        <f>IF((ISBLANK(AX162)),"",(AX162*SpellSlot))</f>
        <v>10</v>
      </c>
      <c r="AZ162" s="118" t="s">
        <v>1537</v>
      </c>
      <c r="BA162" s="95">
        <f>IF((ISBLANK(AZ162)),"",(AZ162*SpellSlot))</f>
        <v>10</v>
      </c>
    </row>
    <row r="163" hidden="1" outlineLevel="1">
      <c r="A163" s="37" t="s">
        <v>1552</v>
      </c>
      <c r="B163" s="46" t="s">
        <v>38</v>
      </c>
      <c r="C163" s="37" t="s">
        <v>1553</v>
      </c>
      <c r="D163" s="17" t="s">
        <v>1537</v>
      </c>
      <c r="E163" s="46">
        <f>IF((ISBLANK(D163)),"",(D163*SpellSlot))</f>
        <v>10</v>
      </c>
      <c r="F163" s="118"/>
      <c r="G163" s="46" t="str">
        <f>IF((ISBLANK(F163)),"",(F163*SpellSlot))</f>
        <v/>
      </c>
      <c r="H163" s="118"/>
      <c r="I163" s="46" t="str">
        <f>IF((ISBLANK(H163)),"",(H163*SpellSlot))</f>
        <v/>
      </c>
      <c r="J163" s="118"/>
      <c r="K163" s="46" t="str">
        <f>IF((ISBLANK(J163)),"",(J163*SpellSlot))</f>
        <v/>
      </c>
      <c r="L163" s="118"/>
      <c r="M163" s="46" t="str">
        <f>IF((ISBLANK(L163)),"",(L163*SpellSlot))</f>
        <v/>
      </c>
      <c r="N163" s="118"/>
      <c r="O163" s="46" t="str">
        <f>IF((ISBLANK(N163)),"",(N163*SpellSlot))</f>
        <v/>
      </c>
      <c r="P163" s="46"/>
      <c r="Q163" s="46" t="str">
        <f>IF((ISBLANK(P163)),"",(P163*SpellSlot))</f>
        <v/>
      </c>
      <c r="R163" s="46"/>
      <c r="S163" s="46" t="str">
        <f>IF((ISBLANK(R163)),"",(R163*SpellSlot))</f>
        <v/>
      </c>
      <c r="T163" s="118"/>
      <c r="U163" s="95" t="str">
        <f>IF((ISBLANK(T163)),"",(T163*SpellSlot))</f>
        <v/>
      </c>
      <c r="V163" s="118"/>
      <c r="W163" s="46" t="str">
        <f>IF((ISBLANK(V163)),"",(V163*SpellSlot))</f>
        <v/>
      </c>
      <c r="X163" s="118"/>
      <c r="Y163" s="46" t="str">
        <f>IF((ISBLANK(X163)),"",(X163*SpellSlot))</f>
        <v/>
      </c>
      <c r="Z163" s="118"/>
      <c r="AA163" s="46" t="str">
        <f>IF((ISBLANK(Z163)),"",(Z163*SpellSlot))</f>
        <v/>
      </c>
      <c r="AB163" s="46"/>
      <c r="AC163" s="46" t="str">
        <f>IF((ISBLANK(AB163)),"",(AB163*SpellSlot))</f>
        <v/>
      </c>
      <c r="AD163" s="118"/>
      <c r="AE163" s="46" t="str">
        <f>IF((ISBLANK(AD163)),"",(AD163*SpellSlot))</f>
        <v/>
      </c>
      <c r="AF163" s="118"/>
      <c r="AG163" s="46" t="str">
        <f>IF((ISBLANK(AF163)),"",(AF163*SpellSlot))</f>
        <v/>
      </c>
      <c r="AH163" s="118"/>
      <c r="AI163" s="46" t="str">
        <f>IF((ISBLANK(AH163)),"",(AH163*SpellSlot))</f>
        <v/>
      </c>
      <c r="AJ163" s="118" t="s">
        <v>1538</v>
      </c>
      <c r="AK163" s="95">
        <f>IF((ISBLANK(AJ163)),"",(AJ163*SpellSlot))</f>
        <v>20</v>
      </c>
      <c r="AL163" s="118" t="s">
        <v>1538</v>
      </c>
      <c r="AM163" s="95">
        <f>IF((ISBLANK(AL163)),"",(AL163*SpellSlot))</f>
        <v>20</v>
      </c>
      <c r="AN163" s="118" t="s">
        <v>1538</v>
      </c>
      <c r="AO163" s="95">
        <f>IF((ISBLANK(AN163)),"",(AN163*SpellSlot))</f>
        <v>20</v>
      </c>
      <c r="AP163" s="118" t="s">
        <v>1538</v>
      </c>
      <c r="AQ163" s="95">
        <f>IF((ISBLANK(AP163)),"",(AP163*SpellSlot))</f>
        <v>20</v>
      </c>
      <c r="AR163" s="118" t="s">
        <v>1538</v>
      </c>
      <c r="AS163" s="95">
        <f>IF((ISBLANK(AR163)),"",(AR163*SpellSlot))</f>
        <v>20</v>
      </c>
      <c r="AT163" s="118" t="s">
        <v>1537</v>
      </c>
      <c r="AU163" s="95">
        <f>IF((ISBLANK(AT163)),"",(AT163*SpellSlot))</f>
        <v>10</v>
      </c>
      <c r="AV163" s="118" t="s">
        <v>1539</v>
      </c>
      <c r="AW163" s="95">
        <f>IF((ISBLANK(AV163)),"",(AV163*SpellSlot))</f>
        <v>30</v>
      </c>
      <c r="AX163" s="118" t="s">
        <v>1538</v>
      </c>
      <c r="AY163" s="95">
        <f>IF((ISBLANK(AX163)),"",(AX163*SpellSlot))</f>
        <v>20</v>
      </c>
      <c r="AZ163" s="118" t="s">
        <v>1539</v>
      </c>
      <c r="BA163" s="95">
        <f>IF((ISBLANK(AZ163)),"",(AZ163*SpellSlot))</f>
        <v>30</v>
      </c>
    </row>
    <row r="164" hidden="1" outlineLevel="1">
      <c r="A164" s="37" t="s">
        <v>1554</v>
      </c>
      <c r="B164" s="46" t="s">
        <v>1315</v>
      </c>
      <c r="C164" s="37" t="s">
        <v>1553</v>
      </c>
      <c r="D164" s="17" t="s">
        <v>1537</v>
      </c>
      <c r="E164" s="46">
        <f>IF((ISBLANK(D164)),"",(D164*SpellSlot))</f>
        <v>10</v>
      </c>
      <c r="F164" s="118"/>
      <c r="G164" s="46" t="str">
        <f>IF((ISBLANK(F164)),"",(F164*SpellSlot))</f>
        <v/>
      </c>
      <c r="H164" s="118"/>
      <c r="I164" s="46" t="str">
        <f>IF((ISBLANK(H164)),"",(H164*SpellSlot))</f>
        <v/>
      </c>
      <c r="J164" s="118"/>
      <c r="K164" s="46" t="str">
        <f>IF((ISBLANK(J164)),"",(J164*SpellSlot))</f>
        <v/>
      </c>
      <c r="L164" s="118"/>
      <c r="M164" s="46" t="str">
        <f>IF((ISBLANK(L164)),"",(L164*SpellSlot))</f>
        <v/>
      </c>
      <c r="N164" s="118"/>
      <c r="O164" s="46" t="str">
        <f>IF((ISBLANK(N164)),"",(N164*SpellSlot))</f>
        <v/>
      </c>
      <c r="P164" s="46"/>
      <c r="Q164" s="46" t="str">
        <f>IF((ISBLANK(P164)),"",(P164*SpellSlot))</f>
        <v/>
      </c>
      <c r="R164" s="46"/>
      <c r="S164" s="46" t="str">
        <f>IF((ISBLANK(R164)),"",(R164*SpellSlot))</f>
        <v/>
      </c>
      <c r="T164" s="118"/>
      <c r="U164" s="95" t="str">
        <f>IF((ISBLANK(T164)),"",(T164*SpellSlot))</f>
        <v/>
      </c>
      <c r="V164" s="118"/>
      <c r="W164" s="46" t="str">
        <f>IF((ISBLANK(V164)),"",(V164*SpellSlot))</f>
        <v/>
      </c>
      <c r="X164" s="118"/>
      <c r="Y164" s="46" t="str">
        <f>IF((ISBLANK(X164)),"",(X164*SpellSlot))</f>
        <v/>
      </c>
      <c r="Z164" s="118"/>
      <c r="AA164" s="46" t="str">
        <f>IF((ISBLANK(Z164)),"",(Z164*SpellSlot))</f>
        <v/>
      </c>
      <c r="AB164" s="46"/>
      <c r="AC164" s="46" t="str">
        <f>IF((ISBLANK(AB164)),"",(AB164*SpellSlot))</f>
        <v/>
      </c>
      <c r="AD164" s="118"/>
      <c r="AE164" s="46" t="str">
        <f>IF((ISBLANK(AD164)),"",(AD164*SpellSlot))</f>
        <v/>
      </c>
      <c r="AF164" s="118"/>
      <c r="AG164" s="46" t="str">
        <f>IF((ISBLANK(AF164)),"",(AF164*SpellSlot))</f>
        <v/>
      </c>
      <c r="AH164" s="118"/>
      <c r="AI164" s="46" t="str">
        <f>IF((ISBLANK(AH164)),"",(AH164*SpellSlot))</f>
        <v/>
      </c>
      <c r="AJ164" s="118" t="s">
        <v>1537</v>
      </c>
      <c r="AK164" s="95">
        <f>IF((ISBLANK(AJ164)),"",(AJ164*SpellSlot))</f>
        <v>10</v>
      </c>
      <c r="AL164" s="118" t="s">
        <v>1537</v>
      </c>
      <c r="AM164" s="95">
        <f>IF((ISBLANK(AL164)),"",(AL164*SpellSlot))</f>
        <v>10</v>
      </c>
      <c r="AN164" s="118" t="s">
        <v>1537</v>
      </c>
      <c r="AO164" s="95">
        <f>IF((ISBLANK(AN164)),"",(AN164*SpellSlot))</f>
        <v>10</v>
      </c>
      <c r="AP164" s="118" t="s">
        <v>1537</v>
      </c>
      <c r="AQ164" s="95">
        <f>IF((ISBLANK(AP164)),"",(AP164*SpellSlot))</f>
        <v>10</v>
      </c>
      <c r="AR164" s="118" t="s">
        <v>1537</v>
      </c>
      <c r="AS164" s="95">
        <f>IF((ISBLANK(AR164)),"",(AR164*SpellSlot))</f>
        <v>10</v>
      </c>
      <c r="AT164" s="118" t="s">
        <v>1537</v>
      </c>
      <c r="AU164" s="95">
        <f>IF((ISBLANK(AT164)),"",(AT164*SpellSlot))</f>
        <v>10</v>
      </c>
      <c r="AV164" s="118" t="s">
        <v>1537</v>
      </c>
      <c r="AW164" s="95">
        <f>IF((ISBLANK(AV164)),"",(AV164*SpellSlot))</f>
        <v>10</v>
      </c>
      <c r="AX164" s="118" t="s">
        <v>1537</v>
      </c>
      <c r="AY164" s="95">
        <f>IF((ISBLANK(AX164)),"",(AX164*SpellSlot))</f>
        <v>10</v>
      </c>
      <c r="AZ164" s="118" t="s">
        <v>1537</v>
      </c>
      <c r="BA164" s="95">
        <f>IF((ISBLANK(AZ164)),"",(AZ164*SpellSlot))</f>
        <v>10</v>
      </c>
    </row>
    <row r="165" hidden="1" outlineLevel="1">
      <c r="A165" s="37" t="s">
        <v>1555</v>
      </c>
      <c r="B165" s="46" t="s">
        <v>27</v>
      </c>
      <c r="C165" s="37" t="s">
        <v>1556</v>
      </c>
      <c r="D165" s="17" t="s">
        <v>1537</v>
      </c>
      <c r="E165" s="46">
        <f>IF((ISBLANK(D165)),"",(D165*SpellSlot))</f>
        <v>10</v>
      </c>
      <c r="F165" s="118"/>
      <c r="G165" s="46" t="str">
        <f>IF((ISBLANK(F165)),"",(F165*SpellSlot))</f>
        <v/>
      </c>
      <c r="H165" s="118"/>
      <c r="I165" s="46" t="str">
        <f>IF((ISBLANK(H165)),"",(H165*SpellSlot))</f>
        <v/>
      </c>
      <c r="J165" s="118"/>
      <c r="K165" s="46" t="str">
        <f>IF((ISBLANK(J165)),"",(J165*SpellSlot))</f>
        <v/>
      </c>
      <c r="L165" s="118"/>
      <c r="M165" s="46" t="str">
        <f>IF((ISBLANK(L165)),"",(L165*SpellSlot))</f>
        <v/>
      </c>
      <c r="N165" s="118"/>
      <c r="O165" s="46" t="str">
        <f>IF((ISBLANK(N165)),"",(N165*SpellSlot))</f>
        <v/>
      </c>
      <c r="P165" s="46"/>
      <c r="Q165" s="46" t="str">
        <f>IF((ISBLANK(P165)),"",(P165*SpellSlot))</f>
        <v/>
      </c>
      <c r="R165" s="46"/>
      <c r="S165" s="46" t="str">
        <f>IF((ISBLANK(R165)),"",(R165*SpellSlot))</f>
        <v/>
      </c>
      <c r="T165" s="118"/>
      <c r="U165" s="95" t="str">
        <f>IF((ISBLANK(T165)),"",(T165*SpellSlot))</f>
        <v/>
      </c>
      <c r="V165" s="118"/>
      <c r="W165" s="46" t="str">
        <f>IF((ISBLANK(V165)),"",(V165*SpellSlot))</f>
        <v/>
      </c>
      <c r="X165" s="118"/>
      <c r="Y165" s="46" t="str">
        <f>IF((ISBLANK(X165)),"",(X165*SpellSlot))</f>
        <v/>
      </c>
      <c r="Z165" s="118"/>
      <c r="AA165" s="46" t="str">
        <f>IF((ISBLANK(Z165)),"",(Z165*SpellSlot))</f>
        <v/>
      </c>
      <c r="AB165" s="46"/>
      <c r="AC165" s="46" t="str">
        <f>IF((ISBLANK(AB165)),"",(AB165*SpellSlot))</f>
        <v/>
      </c>
      <c r="AD165" s="118"/>
      <c r="AE165" s="46" t="str">
        <f>IF((ISBLANK(AD165)),"",(AD165*SpellSlot))</f>
        <v/>
      </c>
      <c r="AF165" s="118"/>
      <c r="AG165" s="46" t="str">
        <f>IF((ISBLANK(AF165)),"",(AF165*SpellSlot))</f>
        <v/>
      </c>
      <c r="AH165" s="118"/>
      <c r="AI165" s="46" t="str">
        <f>IF((ISBLANK(AH165)),"",(AH165*SpellSlot))</f>
        <v/>
      </c>
      <c r="AJ165" s="118" t="s">
        <v>1538</v>
      </c>
      <c r="AK165" s="95">
        <f>IF((ISBLANK(AJ165)),"",(AJ165*SpellSlot))</f>
        <v>20</v>
      </c>
      <c r="AL165" s="118" t="s">
        <v>1538</v>
      </c>
      <c r="AM165" s="95">
        <f>IF((ISBLANK(AL165)),"",(AL165*SpellSlot))</f>
        <v>20</v>
      </c>
      <c r="AN165" s="118" t="s">
        <v>1538</v>
      </c>
      <c r="AO165" s="95">
        <f>IF((ISBLANK(AN165)),"",(AN165*SpellSlot))</f>
        <v>20</v>
      </c>
      <c r="AP165" s="118" t="s">
        <v>1538</v>
      </c>
      <c r="AQ165" s="95">
        <f>IF((ISBLANK(AP165)),"",(AP165*SpellSlot))</f>
        <v>20</v>
      </c>
      <c r="AR165" s="118" t="s">
        <v>1538</v>
      </c>
      <c r="AS165" s="95">
        <f>IF((ISBLANK(AR165)),"",(AR165*SpellSlot))</f>
        <v>20</v>
      </c>
      <c r="AT165" s="118" t="s">
        <v>1537</v>
      </c>
      <c r="AU165" s="95">
        <f>IF((ISBLANK(AT165)),"",(AT165*SpellSlot))</f>
        <v>10</v>
      </c>
      <c r="AV165" s="118" t="s">
        <v>1539</v>
      </c>
      <c r="AW165" s="95">
        <f>IF((ISBLANK(AV165)),"",(AV165*SpellSlot))</f>
        <v>30</v>
      </c>
      <c r="AX165" s="118" t="s">
        <v>1538</v>
      </c>
      <c r="AY165" s="95">
        <f>IF((ISBLANK(AX165)),"",(AX165*SpellSlot))</f>
        <v>20</v>
      </c>
      <c r="AZ165" s="118" t="s">
        <v>1539</v>
      </c>
      <c r="BA165" s="95">
        <f>IF((ISBLANK(AZ165)),"",(AZ165*SpellSlot))</f>
        <v>30</v>
      </c>
    </row>
    <row r="166" hidden="1" outlineLevel="1">
      <c r="A166" s="37" t="s">
        <v>1557</v>
      </c>
      <c r="B166" s="46" t="s">
        <v>1345</v>
      </c>
      <c r="C166" s="37" t="s">
        <v>1556</v>
      </c>
      <c r="D166" s="17" t="s">
        <v>1537</v>
      </c>
      <c r="E166" s="46">
        <f>IF((ISBLANK(D166)),"",(D166*SpellSlot))</f>
        <v>10</v>
      </c>
      <c r="F166" s="118"/>
      <c r="G166" s="46" t="str">
        <f>IF((ISBLANK(F166)),"",(F166*SpellSlot))</f>
        <v/>
      </c>
      <c r="H166" s="118"/>
      <c r="I166" s="46" t="str">
        <f>IF((ISBLANK(H166)),"",(H166*SpellSlot))</f>
        <v/>
      </c>
      <c r="J166" s="118"/>
      <c r="K166" s="46" t="str">
        <f>IF((ISBLANK(J166)),"",(J166*SpellSlot))</f>
        <v/>
      </c>
      <c r="L166" s="118"/>
      <c r="M166" s="46" t="str">
        <f>IF((ISBLANK(L166)),"",(L166*SpellSlot))</f>
        <v/>
      </c>
      <c r="N166" s="118"/>
      <c r="O166" s="46" t="str">
        <f>IF((ISBLANK(N166)),"",(N166*SpellSlot))</f>
        <v/>
      </c>
      <c r="P166" s="46"/>
      <c r="Q166" s="46" t="str">
        <f>IF((ISBLANK(P166)),"",(P166*SpellSlot))</f>
        <v/>
      </c>
      <c r="R166" s="46"/>
      <c r="S166" s="46" t="str">
        <f>IF((ISBLANK(R166)),"",(R166*SpellSlot))</f>
        <v/>
      </c>
      <c r="T166" s="118"/>
      <c r="U166" s="95" t="str">
        <f>IF((ISBLANK(T166)),"",(T166*SpellSlot))</f>
        <v/>
      </c>
      <c r="V166" s="118"/>
      <c r="W166" s="46" t="str">
        <f>IF((ISBLANK(V166)),"",(V166*SpellSlot))</f>
        <v/>
      </c>
      <c r="X166" s="118"/>
      <c r="Y166" s="46" t="str">
        <f>IF((ISBLANK(X166)),"",(X166*SpellSlot))</f>
        <v/>
      </c>
      <c r="Z166" s="118"/>
      <c r="AA166" s="46" t="str">
        <f>IF((ISBLANK(Z166)),"",(Z166*SpellSlot))</f>
        <v/>
      </c>
      <c r="AB166" s="46"/>
      <c r="AC166" s="46" t="str">
        <f>IF((ISBLANK(AB166)),"",(AB166*SpellSlot))</f>
        <v/>
      </c>
      <c r="AD166" s="118"/>
      <c r="AE166" s="46" t="str">
        <f>IF((ISBLANK(AD166)),"",(AD166*SpellSlot))</f>
        <v/>
      </c>
      <c r="AF166" s="118"/>
      <c r="AG166" s="46" t="str">
        <f>IF((ISBLANK(AF166)),"",(AF166*SpellSlot))</f>
        <v/>
      </c>
      <c r="AH166" s="118"/>
      <c r="AI166" s="46" t="str">
        <f>IF((ISBLANK(AH166)),"",(AH166*SpellSlot))</f>
        <v/>
      </c>
      <c r="AJ166" s="118" t="s">
        <v>1537</v>
      </c>
      <c r="AK166" s="95">
        <f>IF((ISBLANK(AJ166)),"",(AJ166*SpellSlot))</f>
        <v>10</v>
      </c>
      <c r="AL166" s="118" t="s">
        <v>1537</v>
      </c>
      <c r="AM166" s="95">
        <f>IF((ISBLANK(AL166)),"",(AL166*SpellSlot))</f>
        <v>10</v>
      </c>
      <c r="AN166" s="118" t="s">
        <v>1537</v>
      </c>
      <c r="AO166" s="95">
        <f>IF((ISBLANK(AN166)),"",(AN166*SpellSlot))</f>
        <v>10</v>
      </c>
      <c r="AP166" s="118" t="s">
        <v>1537</v>
      </c>
      <c r="AQ166" s="95">
        <f>IF((ISBLANK(AP166)),"",(AP166*SpellSlot))</f>
        <v>10</v>
      </c>
      <c r="AR166" s="118" t="s">
        <v>1537</v>
      </c>
      <c r="AS166" s="95">
        <f>IF((ISBLANK(AR166)),"",(AR166*SpellSlot))</f>
        <v>10</v>
      </c>
      <c r="AT166" s="118" t="s">
        <v>1537</v>
      </c>
      <c r="AU166" s="95">
        <f>IF((ISBLANK(AT166)),"",(AT166*SpellSlot))</f>
        <v>10</v>
      </c>
      <c r="AV166" s="118" t="s">
        <v>1537</v>
      </c>
      <c r="AW166" s="95">
        <f>IF((ISBLANK(AV166)),"",(AV166*SpellSlot))</f>
        <v>10</v>
      </c>
      <c r="AX166" s="118" t="s">
        <v>1537</v>
      </c>
      <c r="AY166" s="95">
        <f>IF((ISBLANK(AX166)),"",(AX166*SpellSlot))</f>
        <v>10</v>
      </c>
      <c r="AZ166" s="118" t="s">
        <v>1537</v>
      </c>
      <c r="BA166" s="95">
        <f>IF((ISBLANK(AZ166)),"",(AZ166*SpellSlot))</f>
        <v>10</v>
      </c>
    </row>
    <row r="167" hidden="1" outlineLevel="1">
      <c r="A167" s="37" t="s">
        <v>1558</v>
      </c>
      <c r="B167" s="46" t="s">
        <v>37</v>
      </c>
      <c r="C167" s="37" t="s">
        <v>1559</v>
      </c>
      <c r="D167" s="17" t="s">
        <v>1537</v>
      </c>
      <c r="E167" s="46">
        <f>IF((ISBLANK(D167)),"",(D167*SpellSlot))</f>
        <v>10</v>
      </c>
      <c r="F167" s="118"/>
      <c r="G167" s="46" t="str">
        <f>IF((ISBLANK(F167)),"",(F167*SpellSlot))</f>
        <v/>
      </c>
      <c r="H167" s="118"/>
      <c r="I167" s="46" t="str">
        <f>IF((ISBLANK(H167)),"",(H167*SpellSlot))</f>
        <v/>
      </c>
      <c r="J167" s="118"/>
      <c r="K167" s="46" t="str">
        <f>IF((ISBLANK(J167)),"",(J167*SpellSlot))</f>
        <v/>
      </c>
      <c r="L167" s="118"/>
      <c r="M167" s="46" t="str">
        <f>IF((ISBLANK(L167)),"",(L167*SpellSlot))</f>
        <v/>
      </c>
      <c r="N167" s="118"/>
      <c r="O167" s="46" t="str">
        <f>IF((ISBLANK(N167)),"",(N167*SpellSlot))</f>
        <v/>
      </c>
      <c r="P167" s="46"/>
      <c r="Q167" s="46" t="str">
        <f>IF((ISBLANK(P167)),"",(P167*SpellSlot))</f>
        <v/>
      </c>
      <c r="R167" s="46"/>
      <c r="S167" s="46" t="str">
        <f>IF((ISBLANK(R167)),"",(R167*SpellSlot))</f>
        <v/>
      </c>
      <c r="T167" s="118"/>
      <c r="U167" s="95" t="str">
        <f>IF((ISBLANK(T167)),"",(T167*SpellSlot))</f>
        <v/>
      </c>
      <c r="V167" s="118"/>
      <c r="W167" s="46" t="str">
        <f>IF((ISBLANK(V167)),"",(V167*SpellSlot))</f>
        <v/>
      </c>
      <c r="X167" s="118"/>
      <c r="Y167" s="46" t="str">
        <f>IF((ISBLANK(X167)),"",(X167*SpellSlot))</f>
        <v/>
      </c>
      <c r="Z167" s="118"/>
      <c r="AA167" s="46" t="str">
        <f>IF((ISBLANK(Z167)),"",(Z167*SpellSlot))</f>
        <v/>
      </c>
      <c r="AB167" s="46"/>
      <c r="AC167" s="46" t="str">
        <f>IF((ISBLANK(AB167)),"",(AB167*SpellSlot))</f>
        <v/>
      </c>
      <c r="AD167" s="118"/>
      <c r="AE167" s="46" t="str">
        <f>IF((ISBLANK(AD167)),"",(AD167*SpellSlot))</f>
        <v/>
      </c>
      <c r="AF167" s="118"/>
      <c r="AG167" s="46" t="str">
        <f>IF((ISBLANK(AF167)),"",(AF167*SpellSlot))</f>
        <v/>
      </c>
      <c r="AH167" s="118"/>
      <c r="AI167" s="46" t="str">
        <f>IF((ISBLANK(AH167)),"",(AH167*SpellSlot))</f>
        <v/>
      </c>
      <c r="AJ167" s="118" t="s">
        <v>1538</v>
      </c>
      <c r="AK167" s="95">
        <f>IF((ISBLANK(AJ167)),"",(AJ167*SpellSlot))</f>
        <v>20</v>
      </c>
      <c r="AL167" s="118" t="s">
        <v>1538</v>
      </c>
      <c r="AM167" s="95">
        <f>IF((ISBLANK(AL167)),"",(AL167*SpellSlot))</f>
        <v>20</v>
      </c>
      <c r="AN167" s="118" t="s">
        <v>1538</v>
      </c>
      <c r="AO167" s="95">
        <f>IF((ISBLANK(AN167)),"",(AN167*SpellSlot))</f>
        <v>20</v>
      </c>
      <c r="AP167" s="118" t="s">
        <v>1538</v>
      </c>
      <c r="AQ167" s="95">
        <f>IF((ISBLANK(AP167)),"",(AP167*SpellSlot))</f>
        <v>20</v>
      </c>
      <c r="AR167" s="118" t="s">
        <v>1538</v>
      </c>
      <c r="AS167" s="95">
        <f>IF((ISBLANK(AR167)),"",(AR167*SpellSlot))</f>
        <v>20</v>
      </c>
      <c r="AT167" s="118" t="s">
        <v>1537</v>
      </c>
      <c r="AU167" s="95">
        <f>IF((ISBLANK(AT167)),"",(AT167*SpellSlot))</f>
        <v>10</v>
      </c>
      <c r="AV167" s="118" t="s">
        <v>1539</v>
      </c>
      <c r="AW167" s="95">
        <f>IF((ISBLANK(AV167)),"",(AV167*SpellSlot))</f>
        <v>30</v>
      </c>
      <c r="AX167" s="118" t="s">
        <v>1538</v>
      </c>
      <c r="AY167" s="95">
        <f>IF((ISBLANK(AX167)),"",(AX167*SpellSlot))</f>
        <v>20</v>
      </c>
      <c r="AZ167" s="118" t="s">
        <v>1539</v>
      </c>
      <c r="BA167" s="95">
        <f>IF((ISBLANK(AZ167)),"",(AZ167*SpellSlot))</f>
        <v>30</v>
      </c>
    </row>
    <row r="168" hidden="1" outlineLevel="1">
      <c r="A168" s="37" t="s">
        <v>1560</v>
      </c>
      <c r="B168" s="46" t="s">
        <v>1354</v>
      </c>
      <c r="C168" s="37" t="s">
        <v>1559</v>
      </c>
      <c r="D168" s="17" t="s">
        <v>1537</v>
      </c>
      <c r="E168" s="46">
        <f>IF((ISBLANK(D168)),"",(D168*SpellSlot))</f>
        <v>10</v>
      </c>
      <c r="F168" s="118"/>
      <c r="G168" s="46" t="str">
        <f>IF((ISBLANK(F168)),"",(F168*SpellSlot))</f>
        <v/>
      </c>
      <c r="H168" s="118"/>
      <c r="I168" s="46" t="str">
        <f>IF((ISBLANK(H168)),"",(H168*SpellSlot))</f>
        <v/>
      </c>
      <c r="J168" s="118"/>
      <c r="K168" s="46" t="str">
        <f>IF((ISBLANK(J168)),"",(J168*SpellSlot))</f>
        <v/>
      </c>
      <c r="L168" s="118"/>
      <c r="M168" s="46" t="str">
        <f>IF((ISBLANK(L168)),"",(L168*SpellSlot))</f>
        <v/>
      </c>
      <c r="N168" s="118"/>
      <c r="O168" s="46" t="str">
        <f>IF((ISBLANK(N168)),"",(N168*SpellSlot))</f>
        <v/>
      </c>
      <c r="P168" s="46"/>
      <c r="Q168" s="46" t="str">
        <f>IF((ISBLANK(P168)),"",(P168*SpellSlot))</f>
        <v/>
      </c>
      <c r="R168" s="46"/>
      <c r="S168" s="46" t="str">
        <f>IF((ISBLANK(R168)),"",(R168*SpellSlot))</f>
        <v/>
      </c>
      <c r="T168" s="118"/>
      <c r="U168" s="95" t="str">
        <f>IF((ISBLANK(T168)),"",(T168*SpellSlot))</f>
        <v/>
      </c>
      <c r="V168" s="118"/>
      <c r="W168" s="46" t="str">
        <f>IF((ISBLANK(V168)),"",(V168*SpellSlot))</f>
        <v/>
      </c>
      <c r="X168" s="118"/>
      <c r="Y168" s="46" t="str">
        <f>IF((ISBLANK(X168)),"",(X168*SpellSlot))</f>
        <v/>
      </c>
      <c r="Z168" s="118"/>
      <c r="AA168" s="46" t="str">
        <f>IF((ISBLANK(Z168)),"",(Z168*SpellSlot))</f>
        <v/>
      </c>
      <c r="AB168" s="46"/>
      <c r="AC168" s="46" t="str">
        <f>IF((ISBLANK(AB168)),"",(AB168*SpellSlot))</f>
        <v/>
      </c>
      <c r="AD168" s="118"/>
      <c r="AE168" s="46" t="str">
        <f>IF((ISBLANK(AD168)),"",(AD168*SpellSlot))</f>
        <v/>
      </c>
      <c r="AF168" s="118"/>
      <c r="AG168" s="46" t="str">
        <f>IF((ISBLANK(AF168)),"",(AF168*SpellSlot))</f>
        <v/>
      </c>
      <c r="AH168" s="118"/>
      <c r="AI168" s="46" t="str">
        <f>IF((ISBLANK(AH168)),"",(AH168*SpellSlot))</f>
        <v/>
      </c>
      <c r="AJ168" s="118" t="s">
        <v>1537</v>
      </c>
      <c r="AK168" s="95">
        <f>IF((ISBLANK(AJ168)),"",(AJ168*SpellSlot))</f>
        <v>10</v>
      </c>
      <c r="AL168" s="118" t="s">
        <v>1537</v>
      </c>
      <c r="AM168" s="95">
        <f>IF((ISBLANK(AL168)),"",(AL168*SpellSlot))</f>
        <v>10</v>
      </c>
      <c r="AN168" s="118" t="s">
        <v>1537</v>
      </c>
      <c r="AO168" s="95">
        <f>IF((ISBLANK(AN168)),"",(AN168*SpellSlot))</f>
        <v>10</v>
      </c>
      <c r="AP168" s="118" t="s">
        <v>1537</v>
      </c>
      <c r="AQ168" s="95">
        <f>IF((ISBLANK(AP168)),"",(AP168*SpellSlot))</f>
        <v>10</v>
      </c>
      <c r="AR168" s="118" t="s">
        <v>1537</v>
      </c>
      <c r="AS168" s="95">
        <f>IF((ISBLANK(AR168)),"",(AR168*SpellSlot))</f>
        <v>10</v>
      </c>
      <c r="AT168" s="118" t="s">
        <v>1537</v>
      </c>
      <c r="AU168" s="95">
        <f>IF((ISBLANK(AT168)),"",(AT168*SpellSlot))</f>
        <v>10</v>
      </c>
      <c r="AV168" s="118" t="s">
        <v>1537</v>
      </c>
      <c r="AW168" s="95">
        <f>IF((ISBLANK(AV168)),"",(AV168*SpellSlot))</f>
        <v>10</v>
      </c>
      <c r="AX168" s="118" t="s">
        <v>1537</v>
      </c>
      <c r="AY168" s="95">
        <f>IF((ISBLANK(AX168)),"",(AX168*SpellSlot))</f>
        <v>10</v>
      </c>
      <c r="AZ168" s="118" t="s">
        <v>1537</v>
      </c>
      <c r="BA168" s="95">
        <f>IF((ISBLANK(AZ168)),"",(AZ168*SpellSlot))</f>
        <v>10</v>
      </c>
    </row>
    <row r="169" hidden="1" outlineLevel="1">
      <c r="A169" s="37" t="s">
        <v>1561</v>
      </c>
      <c r="B169" s="46" t="s">
        <v>50</v>
      </c>
      <c r="C169" s="37" t="s">
        <v>1562</v>
      </c>
      <c r="D169" s="17" t="s">
        <v>1537</v>
      </c>
      <c r="E169" s="46">
        <f>IF((ISBLANK(D169)),"",(D169*SpellSlot))</f>
        <v>10</v>
      </c>
      <c r="F169" s="118"/>
      <c r="G169" s="46" t="str">
        <f>IF((ISBLANK(F169)),"",(F169*SpellSlot))</f>
        <v/>
      </c>
      <c r="H169" s="118"/>
      <c r="I169" s="46" t="str">
        <f>IF((ISBLANK(H169)),"",(H169*SpellSlot))</f>
        <v/>
      </c>
      <c r="J169" s="118"/>
      <c r="K169" s="46" t="str">
        <f>IF((ISBLANK(J169)),"",(J169*SpellSlot))</f>
        <v/>
      </c>
      <c r="L169" s="118"/>
      <c r="M169" s="46" t="str">
        <f>IF((ISBLANK(L169)),"",(L169*SpellSlot))</f>
        <v/>
      </c>
      <c r="N169" s="118"/>
      <c r="O169" s="46" t="str">
        <f>IF((ISBLANK(N169)),"",(N169*SpellSlot))</f>
        <v/>
      </c>
      <c r="P169" s="46"/>
      <c r="Q169" s="46" t="str">
        <f>IF((ISBLANK(P169)),"",(P169*SpellSlot))</f>
        <v/>
      </c>
      <c r="R169" s="46"/>
      <c r="S169" s="46" t="str">
        <f>IF((ISBLANK(R169)),"",(R169*SpellSlot))</f>
        <v/>
      </c>
      <c r="T169" s="118"/>
      <c r="U169" s="95" t="str">
        <f>IF((ISBLANK(T169)),"",(T169*SpellSlot))</f>
        <v/>
      </c>
      <c r="V169" s="118"/>
      <c r="W169" s="46" t="str">
        <f>IF((ISBLANK(V169)),"",(V169*SpellSlot))</f>
        <v/>
      </c>
      <c r="X169" s="118"/>
      <c r="Y169" s="46" t="str">
        <f>IF((ISBLANK(X169)),"",(X169*SpellSlot))</f>
        <v/>
      </c>
      <c r="Z169" s="118"/>
      <c r="AA169" s="46" t="str">
        <f>IF((ISBLANK(Z169)),"",(Z169*SpellSlot))</f>
        <v/>
      </c>
      <c r="AB169" s="46"/>
      <c r="AC169" s="46" t="str">
        <f>IF((ISBLANK(AB169)),"",(AB169*SpellSlot))</f>
        <v/>
      </c>
      <c r="AD169" s="118"/>
      <c r="AE169" s="46" t="str">
        <f>IF((ISBLANK(AD169)),"",(AD169*SpellSlot))</f>
        <v/>
      </c>
      <c r="AF169" s="118"/>
      <c r="AG169" s="46" t="str">
        <f>IF((ISBLANK(AF169)),"",(AF169*SpellSlot))</f>
        <v/>
      </c>
      <c r="AH169" s="118"/>
      <c r="AI169" s="46" t="str">
        <f>IF((ISBLANK(AH169)),"",(AH169*SpellSlot))</f>
        <v/>
      </c>
      <c r="AJ169" s="118" t="s">
        <v>1538</v>
      </c>
      <c r="AK169" s="95">
        <f>IF((ISBLANK(AJ169)),"",(AJ169*SpellSlot))</f>
        <v>20</v>
      </c>
      <c r="AL169" s="118" t="s">
        <v>1538</v>
      </c>
      <c r="AM169" s="95">
        <f>IF((ISBLANK(AL169)),"",(AL169*SpellSlot))</f>
        <v>20</v>
      </c>
      <c r="AN169" s="118" t="s">
        <v>1538</v>
      </c>
      <c r="AO169" s="95">
        <f>IF((ISBLANK(AN169)),"",(AN169*SpellSlot))</f>
        <v>20</v>
      </c>
      <c r="AP169" s="118" t="s">
        <v>1538</v>
      </c>
      <c r="AQ169" s="95">
        <f>IF((ISBLANK(AP169)),"",(AP169*SpellSlot))</f>
        <v>20</v>
      </c>
      <c r="AR169" s="118" t="s">
        <v>1538</v>
      </c>
      <c r="AS169" s="95">
        <f>IF((ISBLANK(AR169)),"",(AR169*SpellSlot))</f>
        <v>20</v>
      </c>
      <c r="AT169" s="118" t="s">
        <v>1537</v>
      </c>
      <c r="AU169" s="95">
        <f>IF((ISBLANK(AT169)),"",(AT169*SpellSlot))</f>
        <v>10</v>
      </c>
      <c r="AV169" s="118" t="s">
        <v>1539</v>
      </c>
      <c r="AW169" s="95">
        <f>IF((ISBLANK(AV169)),"",(AV169*SpellSlot))</f>
        <v>30</v>
      </c>
      <c r="AX169" s="118" t="s">
        <v>1538</v>
      </c>
      <c r="AY169" s="95">
        <f>IF((ISBLANK(AX169)),"",(AX169*SpellSlot))</f>
        <v>20</v>
      </c>
      <c r="AZ169" s="118" t="s">
        <v>1539</v>
      </c>
      <c r="BA169" s="95">
        <f>IF((ISBLANK(AZ169)),"",(AZ169*SpellSlot))</f>
        <v>30</v>
      </c>
    </row>
    <row r="170" hidden="1" outlineLevel="1">
      <c r="A170" s="37" t="s">
        <v>1563</v>
      </c>
      <c r="B170" s="46" t="s">
        <v>1360</v>
      </c>
      <c r="C170" s="37" t="s">
        <v>1562</v>
      </c>
      <c r="D170" s="17" t="s">
        <v>1537</v>
      </c>
      <c r="E170" s="46">
        <f>IF((ISBLANK(D170)),"",(D170*SpellSlot))</f>
        <v>10</v>
      </c>
      <c r="F170" s="118"/>
      <c r="G170" s="46" t="str">
        <f>IF((ISBLANK(F170)),"",(F170*SpellSlot))</f>
        <v/>
      </c>
      <c r="H170" s="118"/>
      <c r="I170" s="46" t="str">
        <f>IF((ISBLANK(H170)),"",(H170*SpellSlot))</f>
        <v/>
      </c>
      <c r="J170" s="118"/>
      <c r="K170" s="46" t="str">
        <f>IF((ISBLANK(J170)),"",(J170*SpellSlot))</f>
        <v/>
      </c>
      <c r="L170" s="118"/>
      <c r="M170" s="46" t="str">
        <f>IF((ISBLANK(L170)),"",(L170*SpellSlot))</f>
        <v/>
      </c>
      <c r="N170" s="118"/>
      <c r="O170" s="46" t="str">
        <f>IF((ISBLANK(N170)),"",(N170*SpellSlot))</f>
        <v/>
      </c>
      <c r="P170" s="46"/>
      <c r="Q170" s="46" t="str">
        <f>IF((ISBLANK(P170)),"",(P170*SpellSlot))</f>
        <v/>
      </c>
      <c r="R170" s="46"/>
      <c r="S170" s="46" t="str">
        <f>IF((ISBLANK(R170)),"",(R170*SpellSlot))</f>
        <v/>
      </c>
      <c r="T170" s="118"/>
      <c r="U170" s="95" t="str">
        <f>IF((ISBLANK(T170)),"",(T170*SpellSlot))</f>
        <v/>
      </c>
      <c r="V170" s="118"/>
      <c r="W170" s="46" t="str">
        <f>IF((ISBLANK(V170)),"",(V170*SpellSlot))</f>
        <v/>
      </c>
      <c r="X170" s="118"/>
      <c r="Y170" s="46" t="str">
        <f>IF((ISBLANK(X170)),"",(X170*SpellSlot))</f>
        <v/>
      </c>
      <c r="Z170" s="118"/>
      <c r="AA170" s="46" t="str">
        <f>IF((ISBLANK(Z170)),"",(Z170*SpellSlot))</f>
        <v/>
      </c>
      <c r="AB170" s="46"/>
      <c r="AC170" s="46" t="str">
        <f>IF((ISBLANK(AB170)),"",(AB170*SpellSlot))</f>
        <v/>
      </c>
      <c r="AD170" s="118"/>
      <c r="AE170" s="46" t="str">
        <f>IF((ISBLANK(AD170)),"",(AD170*SpellSlot))</f>
        <v/>
      </c>
      <c r="AF170" s="118"/>
      <c r="AG170" s="46" t="str">
        <f>IF((ISBLANK(AF170)),"",(AF170*SpellSlot))</f>
        <v/>
      </c>
      <c r="AH170" s="118"/>
      <c r="AI170" s="46" t="str">
        <f>IF((ISBLANK(AH170)),"",(AH170*SpellSlot))</f>
        <v/>
      </c>
      <c r="AJ170" s="118" t="s">
        <v>1537</v>
      </c>
      <c r="AK170" s="95">
        <f>IF((ISBLANK(AJ170)),"",(AJ170*SpellSlot))</f>
        <v>10</v>
      </c>
      <c r="AL170" s="118" t="s">
        <v>1537</v>
      </c>
      <c r="AM170" s="95">
        <f>IF((ISBLANK(AL170)),"",(AL170*SpellSlot))</f>
        <v>10</v>
      </c>
      <c r="AN170" s="118" t="s">
        <v>1537</v>
      </c>
      <c r="AO170" s="95">
        <f>IF((ISBLANK(AN170)),"",(AN170*SpellSlot))</f>
        <v>10</v>
      </c>
      <c r="AP170" s="118" t="s">
        <v>1537</v>
      </c>
      <c r="AQ170" s="95">
        <f>IF((ISBLANK(AP170)),"",(AP170*SpellSlot))</f>
        <v>10</v>
      </c>
      <c r="AR170" s="118" t="s">
        <v>1537</v>
      </c>
      <c r="AS170" s="95">
        <f>IF((ISBLANK(AR170)),"",(AR170*SpellSlot))</f>
        <v>10</v>
      </c>
      <c r="AT170" s="118" t="s">
        <v>1537</v>
      </c>
      <c r="AU170" s="95">
        <f>IF((ISBLANK(AT170)),"",(AT170*SpellSlot))</f>
        <v>10</v>
      </c>
      <c r="AV170" s="118" t="s">
        <v>1537</v>
      </c>
      <c r="AW170" s="95">
        <f>IF((ISBLANK(AV170)),"",(AV170*SpellSlot))</f>
        <v>10</v>
      </c>
      <c r="AX170" s="118" t="s">
        <v>1537</v>
      </c>
      <c r="AY170" s="95">
        <f>IF((ISBLANK(AX170)),"",(AX170*SpellSlot))</f>
        <v>10</v>
      </c>
      <c r="AZ170" s="118" t="s">
        <v>1537</v>
      </c>
      <c r="BA170" s="95">
        <f>IF((ISBLANK(AZ170)),"",(AZ170*SpellSlot))</f>
        <v>10</v>
      </c>
    </row>
    <row r="171" hidden="1" outlineLevel="1">
      <c r="A171" s="37" t="s">
        <v>1564</v>
      </c>
      <c r="B171" s="46" t="s">
        <v>48</v>
      </c>
      <c r="C171" s="37" t="s">
        <v>1565</v>
      </c>
      <c r="D171" s="17" t="s">
        <v>1537</v>
      </c>
      <c r="E171" s="46">
        <f>IF((ISBLANK(D171)),"",(D171*SpellSlot))</f>
        <v>10</v>
      </c>
      <c r="F171" s="118"/>
      <c r="G171" s="46" t="str">
        <f>IF((ISBLANK(F171)),"",(F171*SpellSlot))</f>
        <v/>
      </c>
      <c r="H171" s="118"/>
      <c r="I171" s="46" t="str">
        <f>IF((ISBLANK(H171)),"",(H171*SpellSlot))</f>
        <v/>
      </c>
      <c r="J171" s="118"/>
      <c r="K171" s="46" t="str">
        <f>IF((ISBLANK(J171)),"",(J171*SpellSlot))</f>
        <v/>
      </c>
      <c r="L171" s="118"/>
      <c r="M171" s="46" t="str">
        <f>IF((ISBLANK(L171)),"",(L171*SpellSlot))</f>
        <v/>
      </c>
      <c r="N171" s="118"/>
      <c r="O171" s="46" t="str">
        <f>IF((ISBLANK(N171)),"",(N171*SpellSlot))</f>
        <v/>
      </c>
      <c r="P171" s="46"/>
      <c r="Q171" s="46" t="str">
        <f>IF((ISBLANK(P171)),"",(P171*SpellSlot))</f>
        <v/>
      </c>
      <c r="R171" s="46"/>
      <c r="S171" s="46" t="str">
        <f>IF((ISBLANK(R171)),"",(R171*SpellSlot))</f>
        <v/>
      </c>
      <c r="T171" s="118"/>
      <c r="U171" s="95" t="str">
        <f>IF((ISBLANK(T171)),"",(T171*SpellSlot))</f>
        <v/>
      </c>
      <c r="V171" s="118"/>
      <c r="W171" s="46" t="str">
        <f>IF((ISBLANK(V171)),"",(V171*SpellSlot))</f>
        <v/>
      </c>
      <c r="X171" s="118"/>
      <c r="Y171" s="46" t="str">
        <f>IF((ISBLANK(X171)),"",(X171*SpellSlot))</f>
        <v/>
      </c>
      <c r="Z171" s="118"/>
      <c r="AA171" s="46" t="str">
        <f>IF((ISBLANK(Z171)),"",(Z171*SpellSlot))</f>
        <v/>
      </c>
      <c r="AB171" s="46"/>
      <c r="AC171" s="46" t="str">
        <f>IF((ISBLANK(AB171)),"",(AB171*SpellSlot))</f>
        <v/>
      </c>
      <c r="AD171" s="118"/>
      <c r="AE171" s="46" t="str">
        <f>IF((ISBLANK(AD171)),"",(AD171*SpellSlot))</f>
        <v/>
      </c>
      <c r="AF171" s="118"/>
      <c r="AG171" s="46" t="str">
        <f>IF((ISBLANK(AF171)),"",(AF171*SpellSlot))</f>
        <v/>
      </c>
      <c r="AH171" s="118"/>
      <c r="AI171" s="46" t="str">
        <f>IF((ISBLANK(AH171)),"",(AH171*SpellSlot))</f>
        <v/>
      </c>
      <c r="AJ171" s="118" t="s">
        <v>1538</v>
      </c>
      <c r="AK171" s="95">
        <f>IF((ISBLANK(AJ171)),"",(AJ171*SpellSlot))</f>
        <v>20</v>
      </c>
      <c r="AL171" s="118" t="s">
        <v>1538</v>
      </c>
      <c r="AM171" s="95">
        <f>IF((ISBLANK(AL171)),"",(AL171*SpellSlot))</f>
        <v>20</v>
      </c>
      <c r="AN171" s="118" t="s">
        <v>1538</v>
      </c>
      <c r="AO171" s="95">
        <f>IF((ISBLANK(AN171)),"",(AN171*SpellSlot))</f>
        <v>20</v>
      </c>
      <c r="AP171" s="118" t="s">
        <v>1538</v>
      </c>
      <c r="AQ171" s="95">
        <f>IF((ISBLANK(AP171)),"",(AP171*SpellSlot))</f>
        <v>20</v>
      </c>
      <c r="AR171" s="118" t="s">
        <v>1538</v>
      </c>
      <c r="AS171" s="95">
        <f>IF((ISBLANK(AR171)),"",(AR171*SpellSlot))</f>
        <v>20</v>
      </c>
      <c r="AT171" s="118" t="s">
        <v>1537</v>
      </c>
      <c r="AU171" s="95">
        <f>IF((ISBLANK(AT171)),"",(AT171*SpellSlot))</f>
        <v>10</v>
      </c>
      <c r="AV171" s="118" t="s">
        <v>1539</v>
      </c>
      <c r="AW171" s="95">
        <f>IF((ISBLANK(AV171)),"",(AV171*SpellSlot))</f>
        <v>30</v>
      </c>
      <c r="AX171" s="118" t="s">
        <v>1538</v>
      </c>
      <c r="AY171" s="95">
        <f>IF((ISBLANK(AX171)),"",(AX171*SpellSlot))</f>
        <v>20</v>
      </c>
      <c r="AZ171" s="118" t="s">
        <v>1539</v>
      </c>
      <c r="BA171" s="95">
        <f>IF((ISBLANK(AZ171)),"",(AZ171*SpellSlot))</f>
        <v>30</v>
      </c>
    </row>
    <row r="172" hidden="1" outlineLevel="1">
      <c r="A172" s="37" t="s">
        <v>1566</v>
      </c>
      <c r="B172" s="46" t="s">
        <v>1363</v>
      </c>
      <c r="C172" s="37" t="s">
        <v>1565</v>
      </c>
      <c r="D172" s="17" t="s">
        <v>1537</v>
      </c>
      <c r="E172" s="46">
        <f>IF((ISBLANK(D172)),"",(D172*SpellSlot))</f>
        <v>10</v>
      </c>
      <c r="F172" s="118"/>
      <c r="G172" s="46" t="str">
        <f>IF((ISBLANK(F172)),"",(F172*SpellSlot))</f>
        <v/>
      </c>
      <c r="H172" s="118"/>
      <c r="I172" s="46" t="str">
        <f>IF((ISBLANK(H172)),"",(H172*SpellSlot))</f>
        <v/>
      </c>
      <c r="J172" s="118"/>
      <c r="K172" s="46" t="str">
        <f>IF((ISBLANK(J172)),"",(J172*SpellSlot))</f>
        <v/>
      </c>
      <c r="L172" s="118"/>
      <c r="M172" s="46" t="str">
        <f>IF((ISBLANK(L172)),"",(L172*SpellSlot))</f>
        <v/>
      </c>
      <c r="N172" s="118"/>
      <c r="O172" s="46" t="str">
        <f>IF((ISBLANK(N172)),"",(N172*SpellSlot))</f>
        <v/>
      </c>
      <c r="P172" s="46"/>
      <c r="Q172" s="46" t="str">
        <f>IF((ISBLANK(P172)),"",(P172*SpellSlot))</f>
        <v/>
      </c>
      <c r="R172" s="46"/>
      <c r="S172" s="46" t="str">
        <f>IF((ISBLANK(R172)),"",(R172*SpellSlot))</f>
        <v/>
      </c>
      <c r="T172" s="118"/>
      <c r="U172" s="95" t="str">
        <f>IF((ISBLANK(T172)),"",(T172*SpellSlot))</f>
        <v/>
      </c>
      <c r="V172" s="118"/>
      <c r="W172" s="46" t="str">
        <f>IF((ISBLANK(V172)),"",(V172*SpellSlot))</f>
        <v/>
      </c>
      <c r="X172" s="118"/>
      <c r="Y172" s="46" t="str">
        <f>IF((ISBLANK(X172)),"",(X172*SpellSlot))</f>
        <v/>
      </c>
      <c r="Z172" s="118"/>
      <c r="AA172" s="46" t="str">
        <f>IF((ISBLANK(Z172)),"",(Z172*SpellSlot))</f>
        <v/>
      </c>
      <c r="AB172" s="46"/>
      <c r="AC172" s="46" t="str">
        <f>IF((ISBLANK(AB172)),"",(AB172*SpellSlot))</f>
        <v/>
      </c>
      <c r="AD172" s="118"/>
      <c r="AE172" s="46" t="str">
        <f>IF((ISBLANK(AD172)),"",(AD172*SpellSlot))</f>
        <v/>
      </c>
      <c r="AF172" s="118"/>
      <c r="AG172" s="46" t="str">
        <f>IF((ISBLANK(AF172)),"",(AF172*SpellSlot))</f>
        <v/>
      </c>
      <c r="AH172" s="118"/>
      <c r="AI172" s="46" t="str">
        <f>IF((ISBLANK(AH172)),"",(AH172*SpellSlot))</f>
        <v/>
      </c>
      <c r="AJ172" s="118" t="s">
        <v>1537</v>
      </c>
      <c r="AK172" s="95">
        <f>IF((ISBLANK(AJ172)),"",(AJ172*SpellSlot))</f>
        <v>10</v>
      </c>
      <c r="AL172" s="118" t="s">
        <v>1537</v>
      </c>
      <c r="AM172" s="95">
        <f>IF((ISBLANK(AL172)),"",(AL172*SpellSlot))</f>
        <v>10</v>
      </c>
      <c r="AN172" s="118" t="s">
        <v>1537</v>
      </c>
      <c r="AO172" s="95">
        <f>IF((ISBLANK(AN172)),"",(AN172*SpellSlot))</f>
        <v>10</v>
      </c>
      <c r="AP172" s="118" t="s">
        <v>1537</v>
      </c>
      <c r="AQ172" s="95">
        <f>IF((ISBLANK(AP172)),"",(AP172*SpellSlot))</f>
        <v>10</v>
      </c>
      <c r="AR172" s="118" t="s">
        <v>1537</v>
      </c>
      <c r="AS172" s="95">
        <f>IF((ISBLANK(AR172)),"",(AR172*SpellSlot))</f>
        <v>10</v>
      </c>
      <c r="AT172" s="118" t="s">
        <v>1537</v>
      </c>
      <c r="AU172" s="95">
        <f>IF((ISBLANK(AT172)),"",(AT172*SpellSlot))</f>
        <v>10</v>
      </c>
      <c r="AV172" s="118" t="s">
        <v>1537</v>
      </c>
      <c r="AW172" s="95">
        <f>IF((ISBLANK(AV172)),"",(AV172*SpellSlot))</f>
        <v>10</v>
      </c>
      <c r="AX172" s="118" t="s">
        <v>1537</v>
      </c>
      <c r="AY172" s="95">
        <f>IF((ISBLANK(AX172)),"",(AX172*SpellSlot))</f>
        <v>10</v>
      </c>
      <c r="AZ172" s="118" t="s">
        <v>1537</v>
      </c>
      <c r="BA172" s="95">
        <f>IF((ISBLANK(AZ172)),"",(AZ172*SpellSlot))</f>
        <v>10</v>
      </c>
    </row>
    <row r="173" hidden="1" outlineLevel="1">
      <c r="A173" s="37" t="s">
        <v>1567</v>
      </c>
      <c r="B173" s="46" t="s">
        <v>81</v>
      </c>
      <c r="C173" s="37" t="s">
        <v>1568</v>
      </c>
      <c r="D173" s="17" t="s">
        <v>1537</v>
      </c>
      <c r="E173" s="46">
        <f>IF((ISBLANK(D173)),"",(D173*SpellSlotS10))</f>
        <v>190</v>
      </c>
      <c r="F173" s="118"/>
      <c r="G173" s="46" t="str">
        <f>IF((ISBLANK(F173)),"",(F173*SpellSlotS10))</f>
        <v/>
      </c>
      <c r="H173" s="118"/>
      <c r="I173" s="46" t="str">
        <f>IF((ISBLANK(H173)),"",(H173*SpellSlotS10))</f>
        <v/>
      </c>
      <c r="J173" s="118"/>
      <c r="K173" s="46" t="str">
        <f>IF((ISBLANK(J173)),"",(J173*SpellSlotS10))</f>
        <v/>
      </c>
      <c r="L173" s="118"/>
      <c r="M173" s="46" t="str">
        <f>IF((ISBLANK(L173)),"",(L173*SpellSlotS10))</f>
        <v/>
      </c>
      <c r="N173" s="118"/>
      <c r="O173" s="46" t="str">
        <f>IF((ISBLANK(N173)),"",(N173*SpellSlotS10))</f>
        <v/>
      </c>
      <c r="P173" s="46"/>
      <c r="Q173" s="46" t="str">
        <f>IF((ISBLANK(P173)),"",(P173*SpellSlotS10))</f>
        <v/>
      </c>
      <c r="R173" s="46"/>
      <c r="S173" s="46" t="str">
        <f>IF((ISBLANK(R173)),"",(R173*SpellSlotS10))</f>
        <v/>
      </c>
      <c r="T173" s="118"/>
      <c r="U173" s="95" t="str">
        <f>IF((ISBLANK(T173)),"",(T173*SpellSlotS10))</f>
        <v/>
      </c>
      <c r="V173" s="118"/>
      <c r="W173" s="46" t="str">
        <f>IF((ISBLANK(V173)),"",(V173*SpellSlotS10))</f>
        <v/>
      </c>
      <c r="X173" s="118"/>
      <c r="Y173" s="46" t="str">
        <f>IF((ISBLANK(X173)),"",(X173*SpellSlotS10))</f>
        <v/>
      </c>
      <c r="Z173" s="118"/>
      <c r="AA173" s="46" t="str">
        <f>IF((ISBLANK(Z173)),"",(Z173*SpellSlotS10))</f>
        <v/>
      </c>
      <c r="AB173" s="46"/>
      <c r="AC173" s="46" t="str">
        <f>IF((ISBLANK(AB173)),"",(AB173*SpellSlotS10))</f>
        <v/>
      </c>
      <c r="AD173" s="118"/>
      <c r="AE173" s="46" t="str">
        <f>IF((ISBLANK(AD173)),"",(AD173*SpellSlotS10))</f>
        <v/>
      </c>
      <c r="AF173" s="118"/>
      <c r="AG173" s="46" t="str">
        <f>IF((ISBLANK(AF173)),"",(AF173*SpellSlotS10))</f>
        <v/>
      </c>
      <c r="AH173" s="118"/>
      <c r="AI173" s="46" t="str">
        <f>IF((ISBLANK(AH173)),"",(AH173*SpellSlotS10))</f>
        <v/>
      </c>
      <c r="AJ173" s="118" t="s">
        <v>1537</v>
      </c>
      <c r="AK173" s="95">
        <f>IF((ISBLANK(AJ173)),"",(AJ173*SpellSlotS10))</f>
        <v>190</v>
      </c>
      <c r="AL173" s="118" t="s">
        <v>1537</v>
      </c>
      <c r="AM173" s="95">
        <f>IF((ISBLANK(AL173)),"",(AL173*SpellSlotS10))</f>
        <v>190</v>
      </c>
      <c r="AN173" s="118" t="s">
        <v>1537</v>
      </c>
      <c r="AO173" s="95">
        <f>IF((ISBLANK(AN173)),"",(AN173*SpellSlotS10))</f>
        <v>190</v>
      </c>
      <c r="AP173" s="118" t="s">
        <v>1537</v>
      </c>
      <c r="AQ173" s="95">
        <f>IF((ISBLANK(AP173)),"",(AP173*SpellSlotS10))</f>
        <v>190</v>
      </c>
      <c r="AR173" s="118" t="s">
        <v>1537</v>
      </c>
      <c r="AS173" s="95">
        <f>IF((ISBLANK(AR173)),"",(AR173*SpellSlotS10))</f>
        <v>190</v>
      </c>
      <c r="AT173" s="118" t="s">
        <v>1537</v>
      </c>
      <c r="AU173" s="95">
        <f>IF((ISBLANK(AT173)),"",(AT173*SpellSlotS10))</f>
        <v>190</v>
      </c>
      <c r="AV173" s="118" t="s">
        <v>1537</v>
      </c>
      <c r="AW173" s="95">
        <f>IF((ISBLANK(AV173)),"",(AV173*SpellSlotS10))</f>
        <v>190</v>
      </c>
      <c r="AX173" s="118" t="s">
        <v>1537</v>
      </c>
      <c r="AY173" s="95">
        <f>IF((ISBLANK(AX173)),"",(AX173*SpellSlotS10))</f>
        <v>190</v>
      </c>
      <c r="AZ173" s="118" t="s">
        <v>1537</v>
      </c>
      <c r="BA173" s="95">
        <f>IF((ISBLANK(AZ173)),"",(AZ173*SpellSlotS10))</f>
        <v>190</v>
      </c>
    </row>
    <row r="174" hidden="1" outlineLevel="1">
      <c r="A174" s="37" t="s">
        <v>1569</v>
      </c>
      <c r="B174" s="46" t="s">
        <v>1366</v>
      </c>
      <c r="C174" s="37" t="s">
        <v>1568</v>
      </c>
      <c r="D174" s="17" t="s">
        <v>1537</v>
      </c>
      <c r="E174" s="46">
        <f>IF((ISBLANK(D174)),"",(D174*SpellSlotS10))</f>
        <v>190</v>
      </c>
      <c r="F174" s="118"/>
      <c r="G174" s="46" t="str">
        <f>IF((ISBLANK(F174)),"",(F174*SpellSlotS10))</f>
        <v/>
      </c>
      <c r="H174" s="118"/>
      <c r="I174" s="46" t="str">
        <f>IF((ISBLANK(H174)),"",(H174*SpellSlotS10))</f>
        <v/>
      </c>
      <c r="J174" s="118"/>
      <c r="K174" s="46" t="str">
        <f>IF((ISBLANK(J174)),"",(J174*SpellSlotS10))</f>
        <v/>
      </c>
      <c r="L174" s="118"/>
      <c r="M174" s="46" t="str">
        <f>IF((ISBLANK(L174)),"",(L174*SpellSlotS10))</f>
        <v/>
      </c>
      <c r="N174" s="118"/>
      <c r="O174" s="46" t="str">
        <f>IF((ISBLANK(N174)),"",(N174*SpellSlotS10))</f>
        <v/>
      </c>
      <c r="P174" s="46"/>
      <c r="Q174" s="46" t="str">
        <f>IF((ISBLANK(P174)),"",(P174*SpellSlotS10))</f>
        <v/>
      </c>
      <c r="R174" s="46"/>
      <c r="S174" s="46" t="str">
        <f>IF((ISBLANK(R174)),"",(R174*SpellSlotS10))</f>
        <v/>
      </c>
      <c r="T174" s="118"/>
      <c r="U174" s="46" t="str">
        <f>IF((ISBLANK(T174)),"",(T174*SpellSlotS10))</f>
        <v/>
      </c>
      <c r="V174" s="118"/>
      <c r="W174" s="46" t="str">
        <f>IF((ISBLANK(V174)),"",(V174*SpellSlotS10))</f>
        <v/>
      </c>
      <c r="X174" s="118"/>
      <c r="Y174" s="46" t="str">
        <f>IF((ISBLANK(X174)),"",(X174*SpellSlotS10))</f>
        <v/>
      </c>
      <c r="Z174" s="118"/>
      <c r="AA174" s="46" t="str">
        <f>IF((ISBLANK(Z174)),"",(Z174*SpellSlotS10))</f>
        <v/>
      </c>
      <c r="AB174" s="46"/>
      <c r="AC174" s="46" t="str">
        <f>IF((ISBLANK(AB174)),"",(AB174*SpellSlotS10))</f>
        <v/>
      </c>
      <c r="AD174" s="118"/>
      <c r="AE174" s="46" t="str">
        <f>IF((ISBLANK(AD174)),"",(AD174*SpellSlotS10))</f>
        <v/>
      </c>
      <c r="AF174" s="118"/>
      <c r="AG174" s="46" t="str">
        <f>IF((ISBLANK(AF174)),"",(AF174*SpellSlotS10))</f>
        <v/>
      </c>
      <c r="AH174" s="118"/>
      <c r="AI174" s="46" t="str">
        <f>IF((ISBLANK(AH174)),"",(AH174*SpellSlotS10))</f>
        <v/>
      </c>
      <c r="AJ174" s="118"/>
      <c r="AK174" s="46" t="str">
        <f>IF((ISBLANK(AJ174)),"",(AJ174*SpellSlotS10))</f>
        <v/>
      </c>
      <c r="AL174" s="118"/>
      <c r="AM174" s="46" t="str">
        <f>IF((ISBLANK(AL174)),"",(AL174*SpellSlotS10))</f>
        <v/>
      </c>
      <c r="AN174" s="118"/>
      <c r="AO174" s="46" t="str">
        <f>IF((ISBLANK(AN174)),"",(AN174*SpellSlotS10))</f>
        <v/>
      </c>
      <c r="AP174" s="118"/>
      <c r="AQ174" s="46" t="str">
        <f>IF((ISBLANK(AP174)),"",(AP174*SpellSlotS10))</f>
        <v/>
      </c>
      <c r="AR174" s="118"/>
      <c r="AS174" s="46" t="str">
        <f>IF((ISBLANK(AR174)),"",(AR174*SpellSlotS10))</f>
        <v/>
      </c>
      <c r="AT174" s="118"/>
      <c r="AU174" s="46" t="str">
        <f>IF((ISBLANK(AT174)),"",(AT174*SpellSlotS10))</f>
        <v/>
      </c>
      <c r="AV174" s="118"/>
      <c r="AW174" s="46" t="str">
        <f>IF((ISBLANK(AV174)),"",(AV174*SpellSlotS10))</f>
        <v/>
      </c>
      <c r="AX174" s="118"/>
      <c r="AY174" s="46" t="str">
        <f>IF((ISBLANK(AX174)),"",(AX174*SpellSlotS10))</f>
        <v/>
      </c>
      <c r="AZ174" s="118"/>
      <c r="BA174" s="46" t="str">
        <f>IF((ISBLANK(AZ174)),"",(AZ174*SpellSlotS10))</f>
        <v/>
      </c>
    </row>
    <row r="175" collapsed="1">
      <c r="A175" s="74" t="s">
        <v>1570</v>
      </c>
      <c r="B175" s="122"/>
      <c r="C175" s="173"/>
      <c r="D175" s="122"/>
      <c r="E175" s="75">
        <f>sum(E176:E195)</f>
        <v>200</v>
      </c>
      <c r="F175" s="221"/>
      <c r="G175" s="78">
        <f>sum(G176:G195)</f>
        <v>0</v>
      </c>
      <c r="H175" s="221"/>
      <c r="I175" s="78">
        <f>sum(I176:I195)</f>
        <v>0</v>
      </c>
      <c r="J175" s="221"/>
      <c r="K175" s="78">
        <f>sum(K176:K195)</f>
        <v>0</v>
      </c>
      <c r="L175" s="221"/>
      <c r="M175" s="78">
        <f>sum(M176:M195)</f>
        <v>0</v>
      </c>
      <c r="N175" s="221"/>
      <c r="O175" s="78">
        <f>sum(O176:O195)</f>
        <v>0</v>
      </c>
      <c r="P175" s="75"/>
      <c r="Q175" s="78">
        <f>sum(Q176:Q195)</f>
        <v>0</v>
      </c>
      <c r="R175" s="75"/>
      <c r="S175" s="78">
        <f>sum(S176:S195)</f>
        <v>0</v>
      </c>
      <c r="T175" s="221"/>
      <c r="U175" s="78">
        <f>sum(U176:U195)</f>
        <v>0</v>
      </c>
      <c r="V175" s="221"/>
      <c r="W175" s="78">
        <f>sum(W176:W195)</f>
        <v>0</v>
      </c>
      <c r="X175" s="221"/>
      <c r="Y175" s="78">
        <f>sum(Y176:Y195)</f>
        <v>0</v>
      </c>
      <c r="Z175" s="221"/>
      <c r="AA175" s="78">
        <f>sum(AA176:AA195)</f>
        <v>0</v>
      </c>
      <c r="AB175" s="75"/>
      <c r="AC175" s="78">
        <f>sum(AC176:AC195)</f>
        <v>260</v>
      </c>
      <c r="AD175" s="221"/>
      <c r="AE175" s="78">
        <f>sum(AE176:AE195)</f>
        <v>0</v>
      </c>
      <c r="AF175" s="75"/>
      <c r="AG175" s="78">
        <f>sum(AG176:AG195)</f>
        <v>50</v>
      </c>
      <c r="AH175" s="75"/>
      <c r="AI175" s="78">
        <f>sum(AI176:AI195)</f>
        <v>500</v>
      </c>
      <c r="AJ175" s="75"/>
      <c r="AK175" s="78">
        <f>sum(AK176:AK195)</f>
        <v>540</v>
      </c>
      <c r="AL175" s="75"/>
      <c r="AM175" s="78">
        <f>sum(AM176:AM195)</f>
        <v>540</v>
      </c>
      <c r="AN175" s="75"/>
      <c r="AO175" s="78">
        <f>sum(AO176:AO195)</f>
        <v>280</v>
      </c>
      <c r="AP175" s="75"/>
      <c r="AQ175" s="78">
        <f>sum(AQ176:AQ195)</f>
        <v>270</v>
      </c>
      <c r="AR175" s="75"/>
      <c r="AS175" s="78">
        <f>sum(AS176:AS195)</f>
        <v>540</v>
      </c>
      <c r="AT175" s="75"/>
      <c r="AU175" s="78">
        <f>sum(AU176:AU195)</f>
        <v>270</v>
      </c>
      <c r="AV175" s="75"/>
      <c r="AW175" s="78">
        <f>sum(AW176:AW195)</f>
        <v>440</v>
      </c>
      <c r="AX175" s="75"/>
      <c r="AY175" s="78">
        <f>sum(AY176:AY195)</f>
        <v>440</v>
      </c>
      <c r="AZ175" s="75"/>
      <c r="BA175" s="78">
        <f>sum(BA176:BA195)</f>
        <v>360</v>
      </c>
    </row>
    <row r="176" hidden="1" outlineLevel="1">
      <c r="A176" s="37" t="s">
        <v>1571</v>
      </c>
      <c r="B176" s="46" t="s">
        <v>36</v>
      </c>
      <c r="C176" s="37" t="s">
        <v>1536</v>
      </c>
      <c r="D176" s="17" t="s">
        <v>1537</v>
      </c>
      <c r="E176" s="46">
        <f>IF((ISBLANK(D176)),"",(D176*SpellLearned))</f>
        <v>10</v>
      </c>
      <c r="F176" s="118"/>
      <c r="G176" s="46" t="str">
        <f>IF((ISBLANK(F176)),"",(F176*SpellLearned))</f>
        <v/>
      </c>
      <c r="H176" s="118"/>
      <c r="I176" s="46" t="str">
        <f>IF((ISBLANK(H176)),"",(H176*SpellLearned))</f>
        <v/>
      </c>
      <c r="J176" s="118"/>
      <c r="K176" s="46" t="str">
        <f>IF((ISBLANK(J176)),"",(J176*SpellLearned))</f>
        <v/>
      </c>
      <c r="L176" s="118"/>
      <c r="M176" s="46" t="str">
        <f>IF((ISBLANK(L176)),"",(L176*SpellLearned))</f>
        <v/>
      </c>
      <c r="N176" s="46"/>
      <c r="O176" s="46" t="str">
        <f>IF((ISBLANK(N176)),"",(N176*SpellLearned))</f>
        <v/>
      </c>
      <c r="P176" s="46"/>
      <c r="Q176" s="46" t="str">
        <f>IF((ISBLANK(P176)),"",(P176*SpellLearned))</f>
        <v/>
      </c>
      <c r="R176" s="46"/>
      <c r="S176" s="46" t="str">
        <f>IF((ISBLANK(R176)),"",(R176*SpellLearned))</f>
        <v/>
      </c>
      <c r="T176" s="118"/>
      <c r="U176" s="46" t="str">
        <f>IF((ISBLANK(T176)),"",SpellLearned)</f>
        <v/>
      </c>
      <c r="V176" s="46"/>
      <c r="W176" s="46" t="str">
        <f>IF((ISBLANK(V176)),"",(V176*SpellLearned))</f>
        <v/>
      </c>
      <c r="X176" s="118"/>
      <c r="Y176" s="46" t="str">
        <f>IF((ISBLANK(X176)),"",(X176*SpellLearned))</f>
        <v/>
      </c>
      <c r="Z176" s="46"/>
      <c r="AA176" s="46" t="str">
        <f>IF((ISBLANK(Z176)),"",(Z176*SpellLearned))</f>
        <v/>
      </c>
      <c r="AB176" s="118" t="s">
        <v>1532</v>
      </c>
      <c r="AC176" s="95">
        <f>IF((ISBLANK(AB176)),"",(AB176*AlchemicalFormula))</f>
        <v>40</v>
      </c>
      <c r="AD176" s="118"/>
      <c r="AE176" s="46" t="str">
        <f>IF((ISBLANK(AD176)),"",(AD176*SpellLearned))</f>
        <v/>
      </c>
      <c r="AF176" s="118" t="s">
        <v>1538</v>
      </c>
      <c r="AG176" s="95">
        <f>IF((ISBLANK(AF176)),"",(AF176*SpellLearned))</f>
        <v>20</v>
      </c>
      <c r="AH176" s="118" t="s">
        <v>1573</v>
      </c>
      <c r="AI176" s="95">
        <f>IF((ISBLANK(AH176)),"",(AH176*SpellLearned))</f>
        <v>40</v>
      </c>
      <c r="AJ176" s="118" t="s">
        <v>1573</v>
      </c>
      <c r="AK176" s="95">
        <f>IF((ISBLANK(AJ176)),"",(AJ176*SpellLearned))</f>
        <v>40</v>
      </c>
      <c r="AL176" s="118" t="s">
        <v>1573</v>
      </c>
      <c r="AM176" s="95">
        <f>IF((ISBLANK(AL176)),"",(AL176*SpellLearned))</f>
        <v>40</v>
      </c>
      <c r="AN176" s="118" t="s">
        <v>1539</v>
      </c>
      <c r="AO176" s="95">
        <f>IF((ISBLANK(AN176)),"",(AN176*SpellLearned))</f>
        <v>30</v>
      </c>
      <c r="AP176" s="118" t="s">
        <v>1538</v>
      </c>
      <c r="AQ176" s="95">
        <f>IF((ISBLANK(AP176)),"",(AP176*SpellLearned))</f>
        <v>20</v>
      </c>
      <c r="AR176" s="118" t="s">
        <v>1573</v>
      </c>
      <c r="AS176" s="95">
        <f>IF((ISBLANK(AR176)),"",(AR176*SpellLearned))</f>
        <v>40</v>
      </c>
      <c r="AT176" s="118" t="s">
        <v>1538</v>
      </c>
      <c r="AU176" s="95">
        <f>IF((ISBLANK(AT176)),"",(AT176*SpellLearned))</f>
        <v>20</v>
      </c>
      <c r="AV176" s="118" t="s">
        <v>1533</v>
      </c>
      <c r="AW176" s="95">
        <f>IF((ISBLANK(AV176)),"",(AV176*SpellLearned))</f>
        <v>60</v>
      </c>
      <c r="AX176" s="118" t="s">
        <v>1533</v>
      </c>
      <c r="AY176" s="95">
        <f>IF((ISBLANK(AX176)),"",(AX176*SpellLearned))</f>
        <v>60</v>
      </c>
      <c r="AZ176" s="118" t="s">
        <v>1539</v>
      </c>
      <c r="BA176" s="95">
        <f>IF((ISBLANK(AZ176)),"",(AZ176*SpellLearned))</f>
        <v>30</v>
      </c>
    </row>
    <row r="177" hidden="1" outlineLevel="1">
      <c r="A177" s="37" t="s">
        <v>1574</v>
      </c>
      <c r="B177" s="46" t="s">
        <v>1183</v>
      </c>
      <c r="C177" s="37" t="s">
        <v>1536</v>
      </c>
      <c r="D177" s="17" t="s">
        <v>1537</v>
      </c>
      <c r="E177" s="46">
        <f>IF((ISBLANK(D177)),"",(D177*SpellLearned))</f>
        <v>10</v>
      </c>
      <c r="F177" s="118"/>
      <c r="G177" s="46" t="str">
        <f>IF((ISBLANK(F177)),"",(F177*SpellLearned))</f>
        <v/>
      </c>
      <c r="H177" s="118"/>
      <c r="I177" s="46" t="str">
        <f>IF((ISBLANK(H177)),"",(H177*SpellLearned))</f>
        <v/>
      </c>
      <c r="J177" s="118"/>
      <c r="K177" s="46" t="str">
        <f>IF((ISBLANK(J177)),"",(J177*SpellLearned))</f>
        <v/>
      </c>
      <c r="L177" s="118"/>
      <c r="M177" s="46" t="str">
        <f>IF((ISBLANK(L177)),"",(L177*SpellLearned))</f>
        <v/>
      </c>
      <c r="N177" s="46"/>
      <c r="O177" s="46" t="str">
        <f>IF((ISBLANK(N177)),"",(N177*SpellLearned))</f>
        <v/>
      </c>
      <c r="P177" s="46"/>
      <c r="Q177" s="46" t="str">
        <f>IF((ISBLANK(P177)),"",(P177*SpellLearned))</f>
        <v/>
      </c>
      <c r="R177" s="46"/>
      <c r="S177" s="46" t="str">
        <f>IF((ISBLANK(R177)),"",(R177*SpellLearned))</f>
        <v/>
      </c>
      <c r="T177" s="118"/>
      <c r="U177" s="46" t="str">
        <f>IF((ISBLANK(T177)),"",SpellLearned)</f>
        <v/>
      </c>
      <c r="V177" s="46"/>
      <c r="W177" s="46" t="str">
        <f>IF((ISBLANK(V177)),"",(V177*SpellLearned))</f>
        <v/>
      </c>
      <c r="X177" s="118"/>
      <c r="Y177" s="46" t="str">
        <f>IF((ISBLANK(X177)),"",(X177*SpellLearned))</f>
        <v/>
      </c>
      <c r="Z177" s="46"/>
      <c r="AA177" s="46" t="str">
        <f>IF((ISBLANK(Z177)),"",(Z177*SpellLearned))</f>
        <v/>
      </c>
      <c r="AB177" s="251" t="s">
        <v>1538</v>
      </c>
      <c r="AC177" s="95">
        <f>IF((ISBLANK(AB177)),"",(AB177*AlchemicalFormula))</f>
        <v>10</v>
      </c>
      <c r="AD177" s="118"/>
      <c r="AE177" s="46" t="str">
        <f>IF((ISBLANK(AD177)),"",(AD177*SpellLearned))</f>
        <v/>
      </c>
      <c r="AF177" s="118" t="s">
        <v>1537</v>
      </c>
      <c r="AG177" s="95">
        <f>IF((ISBLANK(AF177)),"",(AF177*SpellLearned))</f>
        <v>10</v>
      </c>
      <c r="AH177" s="118" t="s">
        <v>1538</v>
      </c>
      <c r="AI177" s="95">
        <f>IF((ISBLANK(AH177)),"",(AH177*SpellLearned))</f>
        <v>20</v>
      </c>
      <c r="AJ177" s="118" t="s">
        <v>1538</v>
      </c>
      <c r="AK177" s="95">
        <f>IF((ISBLANK(AJ177)),"",(AJ177*SpellLearned))</f>
        <v>20</v>
      </c>
      <c r="AL177" s="118" t="s">
        <v>1538</v>
      </c>
      <c r="AM177" s="95">
        <f>IF((ISBLANK(AL177)),"",(AL177*SpellLearned))</f>
        <v>20</v>
      </c>
      <c r="AN177" s="118" t="s">
        <v>1537</v>
      </c>
      <c r="AO177" s="95">
        <f>IF((ISBLANK(AN177)),"",(AN177*SpellLearned))</f>
        <v>10</v>
      </c>
      <c r="AP177" s="118" t="s">
        <v>1537</v>
      </c>
      <c r="AQ177" s="95">
        <f>IF((ISBLANK(AP177)),"",(AP177*SpellLearned))</f>
        <v>10</v>
      </c>
      <c r="AR177" s="118" t="s">
        <v>1538</v>
      </c>
      <c r="AS177" s="95">
        <f>IF((ISBLANK(AR177)),"",(AR177*SpellLearned))</f>
        <v>20</v>
      </c>
      <c r="AT177" s="118" t="s">
        <v>1537</v>
      </c>
      <c r="AU177" s="95">
        <f>IF((ISBLANK(AT177)),"",(AT177*SpellLearned))</f>
        <v>10</v>
      </c>
      <c r="AV177" s="118" t="s">
        <v>1538</v>
      </c>
      <c r="AW177" s="95">
        <f>IF((ISBLANK(AV177)),"",(AV177*SpellLearned))</f>
        <v>20</v>
      </c>
      <c r="AX177" s="118" t="s">
        <v>1538</v>
      </c>
      <c r="AY177" s="95">
        <f>IF((ISBLANK(AX177)),"",(AX177*SpellLearned))</f>
        <v>20</v>
      </c>
      <c r="AZ177" s="118" t="s">
        <v>1537</v>
      </c>
      <c r="BA177" s="95">
        <f>IF((ISBLANK(AZ177)),"",(AZ177*SpellLearned))</f>
        <v>10</v>
      </c>
    </row>
    <row r="178" hidden="1" outlineLevel="1">
      <c r="A178" s="37" t="s">
        <v>1575</v>
      </c>
      <c r="B178" s="46" t="s">
        <v>62</v>
      </c>
      <c r="C178" s="37" t="s">
        <v>1542</v>
      </c>
      <c r="D178" s="17" t="s">
        <v>1537</v>
      </c>
      <c r="E178" s="46">
        <f>IF((ISBLANK(D178)),"",(D178*SpellLearned))</f>
        <v>10</v>
      </c>
      <c r="F178" s="118"/>
      <c r="G178" s="46" t="str">
        <f>IF((ISBLANK(F178)),"",(F178*SpellLearned))</f>
        <v/>
      </c>
      <c r="H178" s="118"/>
      <c r="I178" s="46" t="str">
        <f>IF((ISBLANK(H178)),"",(H178*SpellLearned))</f>
        <v/>
      </c>
      <c r="J178" s="118"/>
      <c r="K178" s="46" t="str">
        <f>IF((ISBLANK(J178)),"",(J178*SpellLearned))</f>
        <v/>
      </c>
      <c r="L178" s="118"/>
      <c r="M178" s="46" t="str">
        <f>IF((ISBLANK(L178)),"",(L178*SpellLearned))</f>
        <v/>
      </c>
      <c r="N178" s="46"/>
      <c r="O178" s="46" t="str">
        <f>IF((ISBLANK(N178)),"",(N178*SpellLearned))</f>
        <v/>
      </c>
      <c r="P178" s="118"/>
      <c r="Q178" s="46" t="str">
        <f>IF((ISBLANK(P178)),"",(P178*SpellLearned))</f>
        <v/>
      </c>
      <c r="R178" s="118"/>
      <c r="S178" s="46" t="str">
        <f>IF((ISBLANK(R178)),"",(R178*SpellLearned))</f>
        <v/>
      </c>
      <c r="T178" s="118"/>
      <c r="U178" s="46" t="str">
        <f>IF((ISBLANK(T178)),"",SpellLearned)</f>
        <v/>
      </c>
      <c r="V178" s="46"/>
      <c r="W178" s="46" t="str">
        <f>IF((ISBLANK(V178)),"",(V178*SpellLearned))</f>
        <v/>
      </c>
      <c r="X178" s="118"/>
      <c r="Y178" s="46" t="str">
        <f>IF((ISBLANK(X178)),"",(X178*SpellLearned))</f>
        <v/>
      </c>
      <c r="Z178" s="46"/>
      <c r="AA178" s="46" t="str">
        <f>IF((ISBLANK(Z178)),"",(Z178*SpellLearned))</f>
        <v/>
      </c>
      <c r="AB178" s="251" t="s">
        <v>1538</v>
      </c>
      <c r="AC178" s="95">
        <f>IF((ISBLANK(AB178)),"",(AB178*AlchemicalFormula))</f>
        <v>10</v>
      </c>
      <c r="AD178" s="118"/>
      <c r="AE178" s="46" t="str">
        <f>IF((ISBLANK(AD178)),"",(AD178*SpellLearned))</f>
        <v/>
      </c>
      <c r="AF178" s="118" t="s">
        <v>1537</v>
      </c>
      <c r="AG178" s="95">
        <f>IF((ISBLANK(AF178)),"",(AF178*SpellLearned))</f>
        <v>10</v>
      </c>
      <c r="AH178" s="118" t="s">
        <v>1538</v>
      </c>
      <c r="AI178" s="95">
        <f>IF((ISBLANK(AH178)),"",(AH178*SpellLearned))</f>
        <v>20</v>
      </c>
      <c r="AJ178" s="118" t="s">
        <v>1573</v>
      </c>
      <c r="AK178" s="95">
        <f>IF((ISBLANK(AJ178)),"",(AJ178*SpellLearned))</f>
        <v>40</v>
      </c>
      <c r="AL178" s="118" t="s">
        <v>1573</v>
      </c>
      <c r="AM178" s="95">
        <f>IF((ISBLANK(AL178)),"",(AL178*SpellLearned))</f>
        <v>40</v>
      </c>
      <c r="AN178" s="118" t="s">
        <v>1538</v>
      </c>
      <c r="AO178" s="95">
        <f>IF((ISBLANK(AN178)),"",(AN178*SpellLearned))</f>
        <v>20</v>
      </c>
      <c r="AP178" s="118" t="s">
        <v>1538</v>
      </c>
      <c r="AQ178" s="95">
        <f>IF((ISBLANK(AP178)),"",(AP178*SpellLearned))</f>
        <v>20</v>
      </c>
      <c r="AR178" s="118" t="s">
        <v>1573</v>
      </c>
      <c r="AS178" s="95">
        <f>IF((ISBLANK(AR178)),"",(AR178*SpellLearned))</f>
        <v>40</v>
      </c>
      <c r="AT178" s="118" t="s">
        <v>1538</v>
      </c>
      <c r="AU178" s="95">
        <f>IF((ISBLANK(AT178)),"",(AT178*SpellLearned))</f>
        <v>20</v>
      </c>
      <c r="AV178" s="118" t="s">
        <v>1538</v>
      </c>
      <c r="AW178" s="95">
        <f>IF((ISBLANK(AV178)),"",(AV178*SpellLearned))</f>
        <v>20</v>
      </c>
      <c r="AX178" s="118" t="s">
        <v>1538</v>
      </c>
      <c r="AY178" s="95">
        <f>IF((ISBLANK(AX178)),"",(AX178*SpellLearned))</f>
        <v>20</v>
      </c>
      <c r="AZ178" s="118" t="s">
        <v>1539</v>
      </c>
      <c r="BA178" s="95">
        <f>IF((ISBLANK(AZ178)),"",(AZ178*SpellLearned))</f>
        <v>30</v>
      </c>
    </row>
    <row r="179" hidden="1" outlineLevel="1">
      <c r="A179" s="37" t="s">
        <v>1576</v>
      </c>
      <c r="B179" s="46" t="s">
        <v>1239</v>
      </c>
      <c r="C179" s="37" t="s">
        <v>1542</v>
      </c>
      <c r="D179" s="17" t="s">
        <v>1537</v>
      </c>
      <c r="E179" s="46">
        <f>IF((ISBLANK(D179)),"",(D179*SpellLearned))</f>
        <v>10</v>
      </c>
      <c r="F179" s="118"/>
      <c r="G179" s="46" t="str">
        <f>IF((ISBLANK(F179)),"",(F179*SpellLearned))</f>
        <v/>
      </c>
      <c r="H179" s="118"/>
      <c r="I179" s="46" t="str">
        <f>IF((ISBLANK(H179)),"",(H179*SpellLearned))</f>
        <v/>
      </c>
      <c r="J179" s="118"/>
      <c r="K179" s="46" t="str">
        <f>IF((ISBLANK(J179)),"",(J179*SpellLearned))</f>
        <v/>
      </c>
      <c r="L179" s="118"/>
      <c r="M179" s="46" t="str">
        <f>IF((ISBLANK(L179)),"",(L179*SpellLearned))</f>
        <v/>
      </c>
      <c r="N179" s="46"/>
      <c r="O179" s="46" t="str">
        <f>IF((ISBLANK(N179)),"",(N179*SpellLearned))</f>
        <v/>
      </c>
      <c r="P179" s="46"/>
      <c r="Q179" s="46" t="str">
        <f>IF((ISBLANK(P179)),"",(P179*SpellLearned))</f>
        <v/>
      </c>
      <c r="R179" s="46"/>
      <c r="S179" s="46" t="str">
        <f>IF((ISBLANK(R179)),"",(R179*SpellLearned))</f>
        <v/>
      </c>
      <c r="T179" s="118"/>
      <c r="U179" s="46" t="str">
        <f>IF((ISBLANK(T179)),"",SpellLearned)</f>
        <v/>
      </c>
      <c r="V179" s="46"/>
      <c r="W179" s="46" t="str">
        <f>IF((ISBLANK(V179)),"",(V179*SpellLearned))</f>
        <v/>
      </c>
      <c r="X179" s="118"/>
      <c r="Y179" s="46" t="str">
        <f>IF((ISBLANK(X179)),"",(X179*SpellLearned))</f>
        <v/>
      </c>
      <c r="Z179" s="46"/>
      <c r="AA179" s="46" t="str">
        <f>IF((ISBLANK(Z179)),"",(Z179*SpellLearned))</f>
        <v/>
      </c>
      <c r="AB179" s="251" t="s">
        <v>1538</v>
      </c>
      <c r="AC179" s="95">
        <f>IF((ISBLANK(AB179)),"",(AB179*AlchemicalFormula))</f>
        <v>10</v>
      </c>
      <c r="AD179" s="118"/>
      <c r="AE179" s="46" t="str">
        <f>IF((ISBLANK(AD179)),"",(AD179*SpellLearned))</f>
        <v/>
      </c>
      <c r="AF179" s="118" t="s">
        <v>1537</v>
      </c>
      <c r="AG179" s="95">
        <f>IF((ISBLANK(AF179)),"",(AF179*SpellLearned))</f>
        <v>10</v>
      </c>
      <c r="AH179" s="118" t="s">
        <v>1538</v>
      </c>
      <c r="AI179" s="95">
        <f>IF((ISBLANK(AH179)),"",(AH179*SpellLearned))</f>
        <v>20</v>
      </c>
      <c r="AJ179" s="118" t="s">
        <v>1538</v>
      </c>
      <c r="AK179" s="95">
        <f>IF((ISBLANK(AJ179)),"",(AJ179*SpellLearned))</f>
        <v>20</v>
      </c>
      <c r="AL179" s="118" t="s">
        <v>1538</v>
      </c>
      <c r="AM179" s="95">
        <f>IF((ISBLANK(AL179)),"",(AL179*SpellLearned))</f>
        <v>20</v>
      </c>
      <c r="AN179" s="118" t="s">
        <v>1537</v>
      </c>
      <c r="AO179" s="95">
        <f>IF((ISBLANK(AN179)),"",(AN179*SpellLearned))</f>
        <v>10</v>
      </c>
      <c r="AP179" s="118" t="s">
        <v>1537</v>
      </c>
      <c r="AQ179" s="95">
        <f>IF((ISBLANK(AP179)),"",(AP179*SpellLearned))</f>
        <v>10</v>
      </c>
      <c r="AR179" s="118" t="s">
        <v>1538</v>
      </c>
      <c r="AS179" s="95">
        <f>IF((ISBLANK(AR179)),"",(AR179*SpellLearned))</f>
        <v>20</v>
      </c>
      <c r="AT179" s="118" t="s">
        <v>1537</v>
      </c>
      <c r="AU179" s="95">
        <f>IF((ISBLANK(AT179)),"",(AT179*SpellLearned))</f>
        <v>10</v>
      </c>
      <c r="AV179" s="118" t="s">
        <v>1538</v>
      </c>
      <c r="AW179" s="95">
        <f>IF((ISBLANK(AV179)),"",(AV179*SpellLearned))</f>
        <v>20</v>
      </c>
      <c r="AX179" s="118" t="s">
        <v>1538</v>
      </c>
      <c r="AY179" s="95">
        <f>IF((ISBLANK(AX179)),"",(AX179*SpellLearned))</f>
        <v>20</v>
      </c>
      <c r="AZ179" s="118" t="s">
        <v>1537</v>
      </c>
      <c r="BA179" s="95">
        <f>IF((ISBLANK(AZ179)),"",(AZ179*SpellLearned))</f>
        <v>10</v>
      </c>
    </row>
    <row r="180" hidden="1" outlineLevel="1">
      <c r="A180" s="37" t="s">
        <v>1577</v>
      </c>
      <c r="B180" s="46" t="s">
        <v>70</v>
      </c>
      <c r="C180" s="37" t="s">
        <v>1545</v>
      </c>
      <c r="D180" s="17" t="s">
        <v>1537</v>
      </c>
      <c r="E180" s="46">
        <f>IF((ISBLANK(D180)),"",(D180*SpellLearned))</f>
        <v>10</v>
      </c>
      <c r="F180" s="118"/>
      <c r="G180" s="46" t="str">
        <f>IF((ISBLANK(F180)),"",(F180*SpellLearned))</f>
        <v/>
      </c>
      <c r="H180" s="118"/>
      <c r="I180" s="46" t="str">
        <f>IF((ISBLANK(H180)),"",(H180*SpellLearned))</f>
        <v/>
      </c>
      <c r="J180" s="118"/>
      <c r="K180" s="46" t="str">
        <f>IF((ISBLANK(J180)),"",(J180*SpellLearned))</f>
        <v/>
      </c>
      <c r="L180" s="118"/>
      <c r="M180" s="46" t="str">
        <f>IF((ISBLANK(L180)),"",(L180*SpellLearned))</f>
        <v/>
      </c>
      <c r="N180" s="46"/>
      <c r="O180" s="46" t="str">
        <f>IF((ISBLANK(N180)),"",(N180*SpellLearned))</f>
        <v/>
      </c>
      <c r="P180" s="46"/>
      <c r="Q180" s="46" t="str">
        <f>IF((ISBLANK(P180)),"",(P180*SpellLearned))</f>
        <v/>
      </c>
      <c r="R180" s="46"/>
      <c r="S180" s="46" t="str">
        <f>IF((ISBLANK(R180)),"",(R180*SpellLearned))</f>
        <v/>
      </c>
      <c r="T180" s="118"/>
      <c r="U180" s="46" t="str">
        <f>IF((ISBLANK(T180)),"",SpellLearned)</f>
        <v/>
      </c>
      <c r="V180" s="46"/>
      <c r="W180" s="46" t="str">
        <f>IF((ISBLANK(V180)),"",(V180*SpellLearned))</f>
        <v/>
      </c>
      <c r="X180" s="118"/>
      <c r="Y180" s="46" t="str">
        <f>IF((ISBLANK(X180)),"",(X180*SpellLearned))</f>
        <v/>
      </c>
      <c r="Z180" s="46"/>
      <c r="AA180" s="46" t="str">
        <f>IF((ISBLANK(Z180)),"",(Z180*SpellLearned))</f>
        <v/>
      </c>
      <c r="AB180" s="251" t="s">
        <v>1538</v>
      </c>
      <c r="AC180" s="95">
        <f>IF((ISBLANK(AB180)),"",(AB180*AlchemicalFormula))</f>
        <v>10</v>
      </c>
      <c r="AD180" s="118"/>
      <c r="AE180" s="46" t="str">
        <f>IF((ISBLANK(AD180)),"",(AD180*SpellLearned))</f>
        <v/>
      </c>
      <c r="AF180" s="118"/>
      <c r="AG180" s="46" t="str">
        <f>IF((ISBLANK(AF180)),"",(AF180*SpellLearned))</f>
        <v/>
      </c>
      <c r="AH180" s="118" t="s">
        <v>1538</v>
      </c>
      <c r="AI180" s="95">
        <f>IF((ISBLANK(AH180)),"",(AH180*SpellLearned))</f>
        <v>20</v>
      </c>
      <c r="AJ180" s="118" t="s">
        <v>1573</v>
      </c>
      <c r="AK180" s="95">
        <f>IF((ISBLANK(AJ180)),"",(AJ180*SpellLearned))</f>
        <v>40</v>
      </c>
      <c r="AL180" s="118" t="s">
        <v>1573</v>
      </c>
      <c r="AM180" s="95">
        <f>IF((ISBLANK(AL180)),"",(AL180*SpellLearned))</f>
        <v>40</v>
      </c>
      <c r="AN180" s="118" t="s">
        <v>1538</v>
      </c>
      <c r="AO180" s="95">
        <f>IF((ISBLANK(AN180)),"",(AN180*SpellLearned))</f>
        <v>20</v>
      </c>
      <c r="AP180" s="118" t="s">
        <v>1538</v>
      </c>
      <c r="AQ180" s="95">
        <f>IF((ISBLANK(AP180)),"",(AP180*SpellLearned))</f>
        <v>20</v>
      </c>
      <c r="AR180" s="118" t="s">
        <v>1573</v>
      </c>
      <c r="AS180" s="95">
        <f>IF((ISBLANK(AR180)),"",(AR180*SpellLearned))</f>
        <v>40</v>
      </c>
      <c r="AT180" s="118" t="s">
        <v>1538</v>
      </c>
      <c r="AU180" s="95">
        <f>IF((ISBLANK(AT180)),"",(AT180*SpellLearned))</f>
        <v>20</v>
      </c>
      <c r="AV180" s="118" t="s">
        <v>1538</v>
      </c>
      <c r="AW180" s="95">
        <f>IF((ISBLANK(AV180)),"",(AV180*SpellLearned))</f>
        <v>20</v>
      </c>
      <c r="AX180" s="118" t="s">
        <v>1538</v>
      </c>
      <c r="AY180" s="95">
        <f>IF((ISBLANK(AX180)),"",(AX180*SpellLearned))</f>
        <v>20</v>
      </c>
      <c r="AZ180" s="118" t="s">
        <v>1539</v>
      </c>
      <c r="BA180" s="95">
        <f>IF((ISBLANK(AZ180)),"",(AZ180*SpellLearned))</f>
        <v>30</v>
      </c>
    </row>
    <row r="181" hidden="1" outlineLevel="1">
      <c r="A181" s="37" t="s">
        <v>1578</v>
      </c>
      <c r="B181" s="46" t="s">
        <v>1264</v>
      </c>
      <c r="C181" s="37" t="s">
        <v>1545</v>
      </c>
      <c r="D181" s="17" t="s">
        <v>1537</v>
      </c>
      <c r="E181" s="46">
        <f>IF((ISBLANK(D181)),"",(D181*SpellLearned))</f>
        <v>10</v>
      </c>
      <c r="F181" s="118"/>
      <c r="G181" s="46" t="str">
        <f>IF((ISBLANK(F181)),"",(F181*SpellLearned))</f>
        <v/>
      </c>
      <c r="H181" s="118"/>
      <c r="I181" s="46" t="str">
        <f>IF((ISBLANK(H181)),"",(H181*SpellLearned))</f>
        <v/>
      </c>
      <c r="J181" s="118"/>
      <c r="K181" s="46" t="str">
        <f>IF((ISBLANK(J181)),"",(J181*SpellLearned))</f>
        <v/>
      </c>
      <c r="L181" s="118"/>
      <c r="M181" s="46" t="str">
        <f>IF((ISBLANK(L181)),"",(L181*SpellLearned))</f>
        <v/>
      </c>
      <c r="N181" s="46"/>
      <c r="O181" s="46" t="str">
        <f>IF((ISBLANK(N181)),"",(N181*SpellLearned))</f>
        <v/>
      </c>
      <c r="P181" s="46"/>
      <c r="Q181" s="46" t="str">
        <f>IF((ISBLANK(P181)),"",(P181*SpellLearned))</f>
        <v/>
      </c>
      <c r="R181" s="46"/>
      <c r="S181" s="46" t="str">
        <f>IF((ISBLANK(R181)),"",(R181*SpellLearned))</f>
        <v/>
      </c>
      <c r="T181" s="118"/>
      <c r="U181" s="46" t="str">
        <f>IF((ISBLANK(T181)),"",SpellLearned)</f>
        <v/>
      </c>
      <c r="V181" s="46"/>
      <c r="W181" s="46" t="str">
        <f>IF((ISBLANK(V181)),"",(V181*SpellLearned))</f>
        <v/>
      </c>
      <c r="X181" s="118"/>
      <c r="Y181" s="46" t="str">
        <f>IF((ISBLANK(X181)),"",(X181*SpellLearned))</f>
        <v/>
      </c>
      <c r="Z181" s="46"/>
      <c r="AA181" s="46" t="str">
        <f>IF((ISBLANK(Z181)),"",(Z181*SpellLearned))</f>
        <v/>
      </c>
      <c r="AB181" s="251" t="s">
        <v>1538</v>
      </c>
      <c r="AC181" s="95">
        <f>IF((ISBLANK(AB181)),"",(AB181*AlchemicalFormula))</f>
        <v>10</v>
      </c>
      <c r="AD181" s="118"/>
      <c r="AE181" s="46" t="str">
        <f>IF((ISBLANK(AD181)),"",(AD181*SpellLearned))</f>
        <v/>
      </c>
      <c r="AF181" s="118"/>
      <c r="AG181" s="46" t="str">
        <f>IF((ISBLANK(AF181)),"",(AF181*SpellLearned))</f>
        <v/>
      </c>
      <c r="AH181" s="118" t="s">
        <v>1538</v>
      </c>
      <c r="AI181" s="95">
        <f>IF((ISBLANK(AH181)),"",(AH181*SpellLearned))</f>
        <v>20</v>
      </c>
      <c r="AJ181" s="118" t="s">
        <v>1538</v>
      </c>
      <c r="AK181" s="95">
        <f>IF((ISBLANK(AJ181)),"",(AJ181*SpellLearned))</f>
        <v>20</v>
      </c>
      <c r="AL181" s="118" t="s">
        <v>1538</v>
      </c>
      <c r="AM181" s="95">
        <f>IF((ISBLANK(AL181)),"",(AL181*SpellLearned))</f>
        <v>20</v>
      </c>
      <c r="AN181" s="118" t="s">
        <v>1537</v>
      </c>
      <c r="AO181" s="95">
        <f>IF((ISBLANK(AN181)),"",(AN181*SpellLearned))</f>
        <v>10</v>
      </c>
      <c r="AP181" s="118" t="s">
        <v>1537</v>
      </c>
      <c r="AQ181" s="95">
        <f>IF((ISBLANK(AP181)),"",(AP181*SpellLearned))</f>
        <v>10</v>
      </c>
      <c r="AR181" s="118" t="s">
        <v>1538</v>
      </c>
      <c r="AS181" s="95">
        <f>IF((ISBLANK(AR181)),"",(AR181*SpellLearned))</f>
        <v>20</v>
      </c>
      <c r="AT181" s="118" t="s">
        <v>1537</v>
      </c>
      <c r="AU181" s="95">
        <f>IF((ISBLANK(AT181)),"",(AT181*SpellLearned))</f>
        <v>10</v>
      </c>
      <c r="AV181" s="118" t="s">
        <v>1538</v>
      </c>
      <c r="AW181" s="95">
        <f>IF((ISBLANK(AV181)),"",(AV181*SpellLearned))</f>
        <v>20</v>
      </c>
      <c r="AX181" s="118" t="s">
        <v>1538</v>
      </c>
      <c r="AY181" s="95">
        <f>IF((ISBLANK(AX181)),"",(AX181*SpellLearned))</f>
        <v>20</v>
      </c>
      <c r="AZ181" s="118" t="s">
        <v>1537</v>
      </c>
      <c r="BA181" s="95">
        <f>IF((ISBLANK(AZ181)),"",(AZ181*SpellLearned))</f>
        <v>10</v>
      </c>
    </row>
    <row r="182" hidden="1" outlineLevel="1">
      <c r="A182" s="37" t="s">
        <v>1579</v>
      </c>
      <c r="B182" s="46" t="s">
        <v>40</v>
      </c>
      <c r="C182" s="37" t="s">
        <v>1548</v>
      </c>
      <c r="D182" s="17" t="s">
        <v>1537</v>
      </c>
      <c r="E182" s="46">
        <f>IF((ISBLANK(D182)),"",(D182*SpellLearned))</f>
        <v>10</v>
      </c>
      <c r="F182" s="118"/>
      <c r="G182" s="46" t="str">
        <f>IF((ISBLANK(F182)),"",(F182*SpellLearned))</f>
        <v/>
      </c>
      <c r="H182" s="118"/>
      <c r="I182" s="46" t="str">
        <f>IF((ISBLANK(H182)),"",(H182*SpellLearned))</f>
        <v/>
      </c>
      <c r="J182" s="118"/>
      <c r="K182" s="46" t="str">
        <f>IF((ISBLANK(J182)),"",(J182*SpellLearned))</f>
        <v/>
      </c>
      <c r="L182" s="118"/>
      <c r="M182" s="46" t="str">
        <f>IF((ISBLANK(L182)),"",(L182*SpellLearned))</f>
        <v/>
      </c>
      <c r="N182" s="46"/>
      <c r="O182" s="46" t="str">
        <f>IF((ISBLANK(N182)),"",(N182*SpellLearned))</f>
        <v/>
      </c>
      <c r="P182" s="46"/>
      <c r="Q182" s="46" t="str">
        <f>IF((ISBLANK(P182)),"",(P182*SpellLearned))</f>
        <v/>
      </c>
      <c r="R182" s="46"/>
      <c r="S182" s="46" t="str">
        <f>IF((ISBLANK(R182)),"",(R182*SpellLearned))</f>
        <v/>
      </c>
      <c r="T182" s="118"/>
      <c r="U182" s="46" t="str">
        <f>IF((ISBLANK(T182)),"",SpellLearned)</f>
        <v/>
      </c>
      <c r="V182" s="46"/>
      <c r="W182" s="46" t="str">
        <f>IF((ISBLANK(V182)),"",(V182*SpellLearned))</f>
        <v/>
      </c>
      <c r="X182" s="118"/>
      <c r="Y182" s="46" t="str">
        <f>IF((ISBLANK(X182)),"",(X182*SpellLearned))</f>
        <v/>
      </c>
      <c r="Z182" s="46"/>
      <c r="AA182" s="46" t="str">
        <f>IF((ISBLANK(Z182)),"",(Z182*SpellLearned))</f>
        <v/>
      </c>
      <c r="AB182" s="251" t="s">
        <v>1573</v>
      </c>
      <c r="AC182" s="95">
        <f>IF((ISBLANK(AB182)),"",(AB182*AlchemicalFormula))</f>
        <v>20</v>
      </c>
      <c r="AD182" s="118"/>
      <c r="AE182" s="46" t="str">
        <f>IF((ISBLANK(AD182)),"",(AD182*SpellLearned))</f>
        <v/>
      </c>
      <c r="AF182" s="118"/>
      <c r="AG182" s="46" t="str">
        <f>IF((ISBLANK(AF182)),"",(AF182*SpellLearned))</f>
        <v/>
      </c>
      <c r="AH182" s="118" t="s">
        <v>1533</v>
      </c>
      <c r="AI182" s="95">
        <f>IF((ISBLANK(AH182)),"",(AH182*SpellLearned))</f>
        <v>60</v>
      </c>
      <c r="AJ182" s="118" t="s">
        <v>1573</v>
      </c>
      <c r="AK182" s="95">
        <f>IF((ISBLANK(AJ182)),"",(AJ182*SpellLearned))</f>
        <v>40</v>
      </c>
      <c r="AL182" s="118" t="s">
        <v>1573</v>
      </c>
      <c r="AM182" s="95">
        <f>IF((ISBLANK(AL182)),"",(AL182*SpellLearned))</f>
        <v>40</v>
      </c>
      <c r="AN182" s="118" t="s">
        <v>1538</v>
      </c>
      <c r="AO182" s="95">
        <f>IF((ISBLANK(AN182)),"",(AN182*SpellLearned))</f>
        <v>20</v>
      </c>
      <c r="AP182" s="118" t="s">
        <v>1538</v>
      </c>
      <c r="AQ182" s="95">
        <f>IF((ISBLANK(AP182)),"",(AP182*SpellLearned))</f>
        <v>20</v>
      </c>
      <c r="AR182" s="118" t="s">
        <v>1573</v>
      </c>
      <c r="AS182" s="95">
        <f>IF((ISBLANK(AR182)),"",(AR182*SpellLearned))</f>
        <v>40</v>
      </c>
      <c r="AT182" s="118" t="s">
        <v>1538</v>
      </c>
      <c r="AU182" s="95">
        <f>IF((ISBLANK(AT182)),"",(AT182*SpellLearned))</f>
        <v>20</v>
      </c>
      <c r="AV182" s="118" t="s">
        <v>1538</v>
      </c>
      <c r="AW182" s="95">
        <f>IF((ISBLANK(AV182)),"",(AV182*SpellLearned))</f>
        <v>20</v>
      </c>
      <c r="AX182" s="118" t="s">
        <v>1538</v>
      </c>
      <c r="AY182" s="95">
        <f>IF((ISBLANK(AX182)),"",(AX182*SpellLearned))</f>
        <v>20</v>
      </c>
      <c r="AZ182" s="118" t="s">
        <v>1539</v>
      </c>
      <c r="BA182" s="95">
        <f>IF((ISBLANK(AZ182)),"",(AZ182*SpellLearned))</f>
        <v>30</v>
      </c>
    </row>
    <row r="183" hidden="1" outlineLevel="1">
      <c r="A183" s="37" t="s">
        <v>1580</v>
      </c>
      <c r="B183" s="46" t="s">
        <v>1290</v>
      </c>
      <c r="C183" s="37" t="s">
        <v>1548</v>
      </c>
      <c r="D183" s="17" t="s">
        <v>1537</v>
      </c>
      <c r="E183" s="46">
        <f>IF((ISBLANK(D183)),"",(D183*SpellLearned))</f>
        <v>10</v>
      </c>
      <c r="F183" s="118"/>
      <c r="G183" s="46" t="str">
        <f>IF((ISBLANK(F183)),"",(F183*SpellLearned))</f>
        <v/>
      </c>
      <c r="H183" s="118"/>
      <c r="I183" s="46" t="str">
        <f>IF((ISBLANK(H183)),"",(H183*SpellLearned))</f>
        <v/>
      </c>
      <c r="J183" s="118"/>
      <c r="K183" s="46" t="str">
        <f>IF((ISBLANK(J183)),"",(J183*SpellLearned))</f>
        <v/>
      </c>
      <c r="L183" s="118"/>
      <c r="M183" s="46" t="str">
        <f>IF((ISBLANK(L183)),"",(L183*SpellLearned))</f>
        <v/>
      </c>
      <c r="N183" s="46"/>
      <c r="O183" s="46" t="str">
        <f>IF((ISBLANK(N183)),"",(N183*SpellLearned))</f>
        <v/>
      </c>
      <c r="P183" s="46"/>
      <c r="Q183" s="46" t="str">
        <f>IF((ISBLANK(P183)),"",(P183*SpellLearned))</f>
        <v/>
      </c>
      <c r="R183" s="46"/>
      <c r="S183" s="46" t="str">
        <f>IF((ISBLANK(R183)),"",(R183*SpellLearned))</f>
        <v/>
      </c>
      <c r="T183" s="118"/>
      <c r="U183" s="46" t="str">
        <f>IF((ISBLANK(T183)),"",SpellLearned)</f>
        <v/>
      </c>
      <c r="V183" s="46"/>
      <c r="W183" s="46" t="str">
        <f>IF((ISBLANK(V183)),"",(V183*SpellLearned))</f>
        <v/>
      </c>
      <c r="X183" s="118"/>
      <c r="Y183" s="46" t="str">
        <f>IF((ISBLANK(X183)),"",(X183*SpellLearned))</f>
        <v/>
      </c>
      <c r="Z183" s="46"/>
      <c r="AA183" s="46" t="str">
        <f>IF((ISBLANK(Z183)),"",(Z183*SpellLearned))</f>
        <v/>
      </c>
      <c r="AB183" s="251" t="s">
        <v>1538</v>
      </c>
      <c r="AC183" s="95">
        <f>IF((ISBLANK(AB183)),"",(AB183*AlchemicalFormula))</f>
        <v>10</v>
      </c>
      <c r="AD183" s="118"/>
      <c r="AE183" s="46" t="str">
        <f>IF((ISBLANK(AD183)),"",(AD183*SpellLearned))</f>
        <v/>
      </c>
      <c r="AF183" s="118"/>
      <c r="AG183" s="46" t="str">
        <f>IF((ISBLANK(AF183)),"",(AF183*SpellLearned))</f>
        <v/>
      </c>
      <c r="AH183" s="118" t="s">
        <v>1538</v>
      </c>
      <c r="AI183" s="95">
        <f>IF((ISBLANK(AH183)),"",(AH183*SpellLearned))</f>
        <v>20</v>
      </c>
      <c r="AJ183" s="118" t="s">
        <v>1538</v>
      </c>
      <c r="AK183" s="95">
        <f>IF((ISBLANK(AJ183)),"",(AJ183*SpellLearned))</f>
        <v>20</v>
      </c>
      <c r="AL183" s="118" t="s">
        <v>1538</v>
      </c>
      <c r="AM183" s="95">
        <f>IF((ISBLANK(AL183)),"",(AL183*SpellLearned))</f>
        <v>20</v>
      </c>
      <c r="AN183" s="118" t="s">
        <v>1537</v>
      </c>
      <c r="AO183" s="95">
        <f>IF((ISBLANK(AN183)),"",(AN183*SpellLearned))</f>
        <v>10</v>
      </c>
      <c r="AP183" s="118" t="s">
        <v>1537</v>
      </c>
      <c r="AQ183" s="95">
        <f>IF((ISBLANK(AP183)),"",(AP183*SpellLearned))</f>
        <v>10</v>
      </c>
      <c r="AR183" s="118" t="s">
        <v>1538</v>
      </c>
      <c r="AS183" s="95">
        <f>IF((ISBLANK(AR183)),"",(AR183*SpellLearned))</f>
        <v>20</v>
      </c>
      <c r="AT183" s="118" t="s">
        <v>1537</v>
      </c>
      <c r="AU183" s="95">
        <f>IF((ISBLANK(AT183)),"",(AT183*SpellLearned))</f>
        <v>10</v>
      </c>
      <c r="AV183" s="118" t="s">
        <v>1538</v>
      </c>
      <c r="AW183" s="95">
        <f>IF((ISBLANK(AV183)),"",(AV183*SpellLearned))</f>
        <v>20</v>
      </c>
      <c r="AX183" s="118" t="s">
        <v>1538</v>
      </c>
      <c r="AY183" s="95">
        <f>IF((ISBLANK(AX183)),"",(AX183*SpellLearned))</f>
        <v>20</v>
      </c>
      <c r="AZ183" s="118" t="s">
        <v>1537</v>
      </c>
      <c r="BA183" s="95">
        <f>IF((ISBLANK(AZ183)),"",(AZ183*SpellLearned))</f>
        <v>10</v>
      </c>
    </row>
    <row r="184" hidden="1" outlineLevel="1">
      <c r="A184" s="37" t="s">
        <v>1581</v>
      </c>
      <c r="B184" s="46" t="s">
        <v>38</v>
      </c>
      <c r="C184" s="37" t="s">
        <v>1553</v>
      </c>
      <c r="D184" s="17" t="s">
        <v>1537</v>
      </c>
      <c r="E184" s="46">
        <f>IF((ISBLANK(D184)),"",(D184*SpellLearned))</f>
        <v>10</v>
      </c>
      <c r="F184" s="118"/>
      <c r="G184" s="46" t="str">
        <f>IF((ISBLANK(F184)),"",(F184*SpellLearned))</f>
        <v/>
      </c>
      <c r="H184" s="118"/>
      <c r="I184" s="46" t="str">
        <f>IF((ISBLANK(H184)),"",(H184*SpellLearned))</f>
        <v/>
      </c>
      <c r="J184" s="118"/>
      <c r="K184" s="46" t="str">
        <f>IF((ISBLANK(J184)),"",(J184*SpellLearned))</f>
        <v/>
      </c>
      <c r="L184" s="118"/>
      <c r="M184" s="46" t="str">
        <f>IF((ISBLANK(L184)),"",(L184*SpellLearned))</f>
        <v/>
      </c>
      <c r="N184" s="46"/>
      <c r="O184" s="46" t="str">
        <f>IF((ISBLANK(N184)),"",(N184*SpellLearned))</f>
        <v/>
      </c>
      <c r="P184" s="46"/>
      <c r="Q184" s="46" t="str">
        <f>IF((ISBLANK(P184)),"",(P184*SpellLearned))</f>
        <v/>
      </c>
      <c r="R184" s="46"/>
      <c r="S184" s="46" t="str">
        <f>IF((ISBLANK(R184)),"",(R184*SpellLearned))</f>
        <v/>
      </c>
      <c r="T184" s="118"/>
      <c r="U184" s="46" t="str">
        <f>IF((ISBLANK(T184)),"",SpellLearned)</f>
        <v/>
      </c>
      <c r="V184" s="46"/>
      <c r="W184" s="46" t="str">
        <f>IF((ISBLANK(V184)),"",(V184*SpellLearned))</f>
        <v/>
      </c>
      <c r="X184" s="118"/>
      <c r="Y184" s="46" t="str">
        <f>IF((ISBLANK(X184)),"",(X184*SpellLearned))</f>
        <v/>
      </c>
      <c r="Z184" s="46"/>
      <c r="AA184" s="46" t="str">
        <f>IF((ISBLANK(Z184)),"",(Z184*SpellLearned))</f>
        <v/>
      </c>
      <c r="AB184" s="251" t="s">
        <v>1538</v>
      </c>
      <c r="AC184" s="95">
        <f>IF((ISBLANK(AB184)),"",(AB184*AlchemicalFormula))</f>
        <v>10</v>
      </c>
      <c r="AD184" s="118"/>
      <c r="AE184" s="46" t="str">
        <f>IF((ISBLANK(AD184)),"",(AD184*SpellLearned))</f>
        <v/>
      </c>
      <c r="AF184" s="118"/>
      <c r="AG184" s="46" t="str">
        <f>IF((ISBLANK(AF184)),"",(AF184*SpellLearned))</f>
        <v/>
      </c>
      <c r="AH184" s="118" t="s">
        <v>1538</v>
      </c>
      <c r="AI184" s="95">
        <f>IF((ISBLANK(AH184)),"",(AH184*SpellLearned))</f>
        <v>20</v>
      </c>
      <c r="AJ184" s="118" t="s">
        <v>1573</v>
      </c>
      <c r="AK184" s="95">
        <f>IF((ISBLANK(AJ184)),"",(AJ184*SpellLearned))</f>
        <v>40</v>
      </c>
      <c r="AL184" s="118" t="s">
        <v>1573</v>
      </c>
      <c r="AM184" s="95">
        <f>IF((ISBLANK(AL184)),"",(AL184*SpellLearned))</f>
        <v>40</v>
      </c>
      <c r="AN184" s="118" t="s">
        <v>1538</v>
      </c>
      <c r="AO184" s="95">
        <f>IF((ISBLANK(AN184)),"",(AN184*SpellLearned))</f>
        <v>20</v>
      </c>
      <c r="AP184" s="118" t="s">
        <v>1538</v>
      </c>
      <c r="AQ184" s="95">
        <f>IF((ISBLANK(AP184)),"",(AP184*SpellLearned))</f>
        <v>20</v>
      </c>
      <c r="AR184" s="118" t="s">
        <v>1573</v>
      </c>
      <c r="AS184" s="95">
        <f>IF((ISBLANK(AR184)),"",(AR184*SpellLearned))</f>
        <v>40</v>
      </c>
      <c r="AT184" s="118" t="s">
        <v>1538</v>
      </c>
      <c r="AU184" s="95">
        <f>IF((ISBLANK(AT184)),"",(AT184*SpellLearned))</f>
        <v>20</v>
      </c>
      <c r="AV184" s="118" t="s">
        <v>1538</v>
      </c>
      <c r="AW184" s="95">
        <f>IF((ISBLANK(AV184)),"",(AV184*SpellLearned))</f>
        <v>20</v>
      </c>
      <c r="AX184" s="118" t="s">
        <v>1538</v>
      </c>
      <c r="AY184" s="95">
        <f>IF((ISBLANK(AX184)),"",(AX184*SpellLearned))</f>
        <v>20</v>
      </c>
      <c r="AZ184" s="118" t="s">
        <v>1539</v>
      </c>
      <c r="BA184" s="95">
        <f>IF((ISBLANK(AZ184)),"",(AZ184*SpellLearned))</f>
        <v>30</v>
      </c>
    </row>
    <row r="185" hidden="1" outlineLevel="1">
      <c r="A185" s="37" t="s">
        <v>1582</v>
      </c>
      <c r="B185" s="46" t="s">
        <v>1315</v>
      </c>
      <c r="C185" s="37" t="s">
        <v>1553</v>
      </c>
      <c r="D185" s="17" t="s">
        <v>1537</v>
      </c>
      <c r="E185" s="46">
        <f>IF((ISBLANK(D185)),"",(D185*SpellLearned))</f>
        <v>10</v>
      </c>
      <c r="F185" s="118"/>
      <c r="G185" s="46" t="str">
        <f>IF((ISBLANK(F185)),"",(F185*SpellLearned))</f>
        <v/>
      </c>
      <c r="H185" s="118"/>
      <c r="I185" s="46" t="str">
        <f>IF((ISBLANK(H185)),"",(H185*SpellLearned))</f>
        <v/>
      </c>
      <c r="J185" s="118"/>
      <c r="K185" s="46" t="str">
        <f>IF((ISBLANK(J185)),"",(J185*SpellLearned))</f>
        <v/>
      </c>
      <c r="L185" s="118"/>
      <c r="M185" s="46" t="str">
        <f>IF((ISBLANK(L185)),"",(L185*SpellLearned))</f>
        <v/>
      </c>
      <c r="N185" s="46"/>
      <c r="O185" s="46" t="str">
        <f>IF((ISBLANK(N185)),"",(N185*SpellLearned))</f>
        <v/>
      </c>
      <c r="P185" s="46"/>
      <c r="Q185" s="46" t="str">
        <f>IF((ISBLANK(P185)),"",(P185*SpellLearned))</f>
        <v/>
      </c>
      <c r="R185" s="46"/>
      <c r="S185" s="46" t="str">
        <f>IF((ISBLANK(R185)),"",(R185*SpellLearned))</f>
        <v/>
      </c>
      <c r="T185" s="118"/>
      <c r="U185" s="46" t="str">
        <f>IF((ISBLANK(T185)),"",SpellLearned)</f>
        <v/>
      </c>
      <c r="V185" s="46"/>
      <c r="W185" s="46" t="str">
        <f>IF((ISBLANK(V185)),"",(V185*SpellLearned))</f>
        <v/>
      </c>
      <c r="X185" s="118"/>
      <c r="Y185" s="46" t="str">
        <f>IF((ISBLANK(X185)),"",(X185*SpellLearned))</f>
        <v/>
      </c>
      <c r="Z185" s="46"/>
      <c r="AA185" s="46" t="str">
        <f>IF((ISBLANK(Z185)),"",(Z185*SpellLearned))</f>
        <v/>
      </c>
      <c r="AB185" s="251" t="s">
        <v>1538</v>
      </c>
      <c r="AC185" s="95">
        <f>IF((ISBLANK(AB185)),"",(AB185*AlchemicalFormula))</f>
        <v>10</v>
      </c>
      <c r="AD185" s="118"/>
      <c r="AE185" s="46" t="str">
        <f>IF((ISBLANK(AD185)),"",(AD185*SpellLearned))</f>
        <v/>
      </c>
      <c r="AF185" s="118"/>
      <c r="AG185" s="46" t="str">
        <f>IF((ISBLANK(AF185)),"",(AF185*SpellLearned))</f>
        <v/>
      </c>
      <c r="AH185" s="118" t="s">
        <v>1538</v>
      </c>
      <c r="AI185" s="95">
        <f>IF((ISBLANK(AH185)),"",(AH185*SpellLearned))</f>
        <v>20</v>
      </c>
      <c r="AJ185" s="118" t="s">
        <v>1538</v>
      </c>
      <c r="AK185" s="95">
        <f>IF((ISBLANK(AJ185)),"",(AJ185*SpellLearned))</f>
        <v>20</v>
      </c>
      <c r="AL185" s="118" t="s">
        <v>1538</v>
      </c>
      <c r="AM185" s="95">
        <f>IF((ISBLANK(AL185)),"",(AL185*SpellLearned))</f>
        <v>20</v>
      </c>
      <c r="AN185" s="118" t="s">
        <v>1537</v>
      </c>
      <c r="AO185" s="95">
        <f>IF((ISBLANK(AN185)),"",(AN185*SpellLearned))</f>
        <v>10</v>
      </c>
      <c r="AP185" s="118" t="s">
        <v>1537</v>
      </c>
      <c r="AQ185" s="95">
        <f>IF((ISBLANK(AP185)),"",(AP185*SpellLearned))</f>
        <v>10</v>
      </c>
      <c r="AR185" s="118" t="s">
        <v>1538</v>
      </c>
      <c r="AS185" s="95">
        <f>IF((ISBLANK(AR185)),"",(AR185*SpellLearned))</f>
        <v>20</v>
      </c>
      <c r="AT185" s="118" t="s">
        <v>1537</v>
      </c>
      <c r="AU185" s="95">
        <f>IF((ISBLANK(AT185)),"",(AT185*SpellLearned))</f>
        <v>10</v>
      </c>
      <c r="AV185" s="118" t="s">
        <v>1538</v>
      </c>
      <c r="AW185" s="95">
        <f>IF((ISBLANK(AV185)),"",(AV185*SpellLearned))</f>
        <v>20</v>
      </c>
      <c r="AX185" s="118" t="s">
        <v>1538</v>
      </c>
      <c r="AY185" s="95">
        <f>IF((ISBLANK(AX185)),"",(AX185*SpellLearned))</f>
        <v>20</v>
      </c>
      <c r="AZ185" s="118" t="s">
        <v>1537</v>
      </c>
      <c r="BA185" s="95">
        <f>IF((ISBLANK(AZ185)),"",(AZ185*SpellLearned))</f>
        <v>10</v>
      </c>
    </row>
    <row r="186" hidden="1" outlineLevel="1">
      <c r="A186" s="37" t="s">
        <v>1583</v>
      </c>
      <c r="B186" s="46" t="s">
        <v>27</v>
      </c>
      <c r="C186" s="37" t="s">
        <v>1556</v>
      </c>
      <c r="D186" s="17" t="s">
        <v>1537</v>
      </c>
      <c r="E186" s="46">
        <f>IF((ISBLANK(D186)),"",(D186*SpellLearned))</f>
        <v>10</v>
      </c>
      <c r="F186" s="118"/>
      <c r="G186" s="46" t="str">
        <f>IF((ISBLANK(F186)),"",(F186*SpellLearned))</f>
        <v/>
      </c>
      <c r="H186" s="118"/>
      <c r="I186" s="46" t="str">
        <f>IF((ISBLANK(H186)),"",(H186*SpellLearned))</f>
        <v/>
      </c>
      <c r="J186" s="118"/>
      <c r="K186" s="46" t="str">
        <f>IF((ISBLANK(J186)),"",(J186*SpellLearned))</f>
        <v/>
      </c>
      <c r="L186" s="118"/>
      <c r="M186" s="46" t="str">
        <f>IF((ISBLANK(L186)),"",(L186*SpellLearned))</f>
        <v/>
      </c>
      <c r="N186" s="46"/>
      <c r="O186" s="46" t="str">
        <f>IF((ISBLANK(N186)),"",(N186*SpellLearned))</f>
        <v/>
      </c>
      <c r="P186" s="46"/>
      <c r="Q186" s="46" t="str">
        <f>IF((ISBLANK(P186)),"",(P186*SpellLearned))</f>
        <v/>
      </c>
      <c r="R186" s="46"/>
      <c r="S186" s="46" t="str">
        <f>IF((ISBLANK(R186)),"",(R186*SpellLearned))</f>
        <v/>
      </c>
      <c r="T186" s="118"/>
      <c r="U186" s="46" t="str">
        <f>IF((ISBLANK(T186)),"",SpellLearned)</f>
        <v/>
      </c>
      <c r="V186" s="46"/>
      <c r="W186" s="46" t="str">
        <f>IF((ISBLANK(V186)),"",(V186*SpellLearned))</f>
        <v/>
      </c>
      <c r="X186" s="118"/>
      <c r="Y186" s="46" t="str">
        <f>IF((ISBLANK(X186)),"",(X186*SpellLearned))</f>
        <v/>
      </c>
      <c r="Z186" s="46"/>
      <c r="AA186" s="46" t="str">
        <f>IF((ISBLANK(Z186)),"",(Z186*SpellLearned))</f>
        <v/>
      </c>
      <c r="AB186" s="251" t="s">
        <v>1573</v>
      </c>
      <c r="AC186" s="95">
        <f>IF((ISBLANK(AB186)),"",(AB186*AlchemicalFormula))</f>
        <v>20</v>
      </c>
      <c r="AD186" s="118"/>
      <c r="AE186" s="46" t="str">
        <f>IF((ISBLANK(AD186)),"",(AD186*SpellLearned))</f>
        <v/>
      </c>
      <c r="AF186" s="118"/>
      <c r="AG186" s="46" t="str">
        <f>IF((ISBLANK(AF186)),"",(AF186*SpellLearned))</f>
        <v/>
      </c>
      <c r="AH186" s="118" t="s">
        <v>1573</v>
      </c>
      <c r="AI186" s="95">
        <f>IF((ISBLANK(AH186)),"",(AH186*SpellLearned))</f>
        <v>40</v>
      </c>
      <c r="AJ186" s="118" t="s">
        <v>1573</v>
      </c>
      <c r="AK186" s="95">
        <f>IF((ISBLANK(AJ186)),"",(AJ186*SpellLearned))</f>
        <v>40</v>
      </c>
      <c r="AL186" s="118" t="s">
        <v>1573</v>
      </c>
      <c r="AM186" s="95">
        <f>IF((ISBLANK(AL186)),"",(AL186*SpellLearned))</f>
        <v>40</v>
      </c>
      <c r="AN186" s="118" t="s">
        <v>1538</v>
      </c>
      <c r="AO186" s="95">
        <f>IF((ISBLANK(AN186)),"",(AN186*SpellLearned))</f>
        <v>20</v>
      </c>
      <c r="AP186" s="118" t="s">
        <v>1538</v>
      </c>
      <c r="AQ186" s="95">
        <f>IF((ISBLANK(AP186)),"",(AP186*SpellLearned))</f>
        <v>20</v>
      </c>
      <c r="AR186" s="118" t="s">
        <v>1573</v>
      </c>
      <c r="AS186" s="95">
        <f>IF((ISBLANK(AR186)),"",(AR186*SpellLearned))</f>
        <v>40</v>
      </c>
      <c r="AT186" s="118" t="s">
        <v>1538</v>
      </c>
      <c r="AU186" s="95">
        <f>IF((ISBLANK(AT186)),"",(AT186*SpellLearned))</f>
        <v>20</v>
      </c>
      <c r="AV186" s="118" t="s">
        <v>1538</v>
      </c>
      <c r="AW186" s="95">
        <f>IF((ISBLANK(AV186)),"",(AV186*SpellLearned))</f>
        <v>20</v>
      </c>
      <c r="AX186" s="118" t="s">
        <v>1538</v>
      </c>
      <c r="AY186" s="95">
        <f>IF((ISBLANK(AX186)),"",(AX186*SpellLearned))</f>
        <v>20</v>
      </c>
      <c r="AZ186" s="118" t="s">
        <v>1539</v>
      </c>
      <c r="BA186" s="95">
        <f>IF((ISBLANK(AZ186)),"",(AZ186*SpellLearned))</f>
        <v>30</v>
      </c>
    </row>
    <row r="187" hidden="1" outlineLevel="1">
      <c r="A187" s="37" t="s">
        <v>1584</v>
      </c>
      <c r="B187" s="46" t="s">
        <v>1345</v>
      </c>
      <c r="C187" s="37" t="s">
        <v>1556</v>
      </c>
      <c r="D187" s="17" t="s">
        <v>1537</v>
      </c>
      <c r="E187" s="46">
        <f>IF((ISBLANK(D187)),"",(D187*SpellLearned))</f>
        <v>10</v>
      </c>
      <c r="F187" s="118"/>
      <c r="G187" s="46" t="str">
        <f>IF((ISBLANK(F187)),"",(F187*SpellLearned))</f>
        <v/>
      </c>
      <c r="H187" s="118"/>
      <c r="I187" s="46" t="str">
        <f>IF((ISBLANK(H187)),"",(H187*SpellLearned))</f>
        <v/>
      </c>
      <c r="J187" s="118"/>
      <c r="K187" s="46" t="str">
        <f>IF((ISBLANK(J187)),"",(J187*SpellLearned))</f>
        <v/>
      </c>
      <c r="L187" s="118"/>
      <c r="M187" s="46" t="str">
        <f>IF((ISBLANK(L187)),"",(L187*SpellLearned))</f>
        <v/>
      </c>
      <c r="N187" s="46"/>
      <c r="O187" s="46" t="str">
        <f>IF((ISBLANK(N187)),"",(N187*SpellLearned))</f>
        <v/>
      </c>
      <c r="P187" s="46"/>
      <c r="Q187" s="46" t="str">
        <f>IF((ISBLANK(P187)),"",(P187*SpellLearned))</f>
        <v/>
      </c>
      <c r="R187" s="46"/>
      <c r="S187" s="46" t="str">
        <f>IF((ISBLANK(R187)),"",(R187*SpellLearned))</f>
        <v/>
      </c>
      <c r="T187" s="118"/>
      <c r="U187" s="46" t="str">
        <f>IF((ISBLANK(T187)),"",SpellLearned)</f>
        <v/>
      </c>
      <c r="V187" s="46"/>
      <c r="W187" s="46" t="str">
        <f>IF((ISBLANK(V187)),"",(V187*SpellLearned))</f>
        <v/>
      </c>
      <c r="X187" s="118"/>
      <c r="Y187" s="46" t="str">
        <f>IF((ISBLANK(X187)),"",(X187*SpellLearned))</f>
        <v/>
      </c>
      <c r="Z187" s="46"/>
      <c r="AA187" s="46" t="str">
        <f>IF((ISBLANK(Z187)),"",(Z187*SpellLearned))</f>
        <v/>
      </c>
      <c r="AB187" s="251" t="s">
        <v>1538</v>
      </c>
      <c r="AC187" s="95">
        <f>IF((ISBLANK(AB187)),"",(AB187*AlchemicalFormula))</f>
        <v>10</v>
      </c>
      <c r="AD187" s="118"/>
      <c r="AE187" s="46" t="str">
        <f>IF((ISBLANK(AD187)),"",(AD187*SpellLearned))</f>
        <v/>
      </c>
      <c r="AF187" s="118"/>
      <c r="AG187" s="46" t="str">
        <f>IF((ISBLANK(AF187)),"",(AF187*SpellLearned))</f>
        <v/>
      </c>
      <c r="AH187" s="118" t="s">
        <v>1538</v>
      </c>
      <c r="AI187" s="95">
        <f>IF((ISBLANK(AH187)),"",(AH187*SpellLearned))</f>
        <v>20</v>
      </c>
      <c r="AJ187" s="118" t="s">
        <v>1538</v>
      </c>
      <c r="AK187" s="95">
        <f>IF((ISBLANK(AJ187)),"",(AJ187*SpellLearned))</f>
        <v>20</v>
      </c>
      <c r="AL187" s="118" t="s">
        <v>1538</v>
      </c>
      <c r="AM187" s="95">
        <f>IF((ISBLANK(AL187)),"",(AL187*SpellLearned))</f>
        <v>20</v>
      </c>
      <c r="AN187" s="118" t="s">
        <v>1537</v>
      </c>
      <c r="AO187" s="95">
        <f>IF((ISBLANK(AN187)),"",(AN187*SpellLearned))</f>
        <v>10</v>
      </c>
      <c r="AP187" s="118" t="s">
        <v>1537</v>
      </c>
      <c r="AQ187" s="95">
        <f>IF((ISBLANK(AP187)),"",(AP187*SpellLearned))</f>
        <v>10</v>
      </c>
      <c r="AR187" s="118" t="s">
        <v>1538</v>
      </c>
      <c r="AS187" s="95">
        <f>IF((ISBLANK(AR187)),"",(AR187*SpellLearned))</f>
        <v>20</v>
      </c>
      <c r="AT187" s="118" t="s">
        <v>1537</v>
      </c>
      <c r="AU187" s="95">
        <f>IF((ISBLANK(AT187)),"",(AT187*SpellLearned))</f>
        <v>10</v>
      </c>
      <c r="AV187" s="118" t="s">
        <v>1538</v>
      </c>
      <c r="AW187" s="95">
        <f>IF((ISBLANK(AV187)),"",(AV187*SpellLearned))</f>
        <v>20</v>
      </c>
      <c r="AX187" s="118" t="s">
        <v>1538</v>
      </c>
      <c r="AY187" s="95">
        <f>IF((ISBLANK(AX187)),"",(AX187*SpellLearned))</f>
        <v>20</v>
      </c>
      <c r="AZ187" s="118" t="s">
        <v>1537</v>
      </c>
      <c r="BA187" s="95">
        <f>IF((ISBLANK(AZ187)),"",(AZ187*SpellLearned))</f>
        <v>10</v>
      </c>
    </row>
    <row r="188" hidden="1" outlineLevel="1">
      <c r="A188" s="37" t="s">
        <v>1585</v>
      </c>
      <c r="B188" s="46" t="s">
        <v>37</v>
      </c>
      <c r="C188" s="37" t="s">
        <v>1559</v>
      </c>
      <c r="D188" s="17" t="s">
        <v>1537</v>
      </c>
      <c r="E188" s="46">
        <f>IF((ISBLANK(D188)),"",(D188*SpellLearned))</f>
        <v>10</v>
      </c>
      <c r="F188" s="118"/>
      <c r="G188" s="46" t="str">
        <f>IF((ISBLANK(F188)),"",(F188*SpellLearned))</f>
        <v/>
      </c>
      <c r="H188" s="118"/>
      <c r="I188" s="46" t="str">
        <f>IF((ISBLANK(H188)),"",(H188*SpellLearned))</f>
        <v/>
      </c>
      <c r="J188" s="118"/>
      <c r="K188" s="46" t="str">
        <f>IF((ISBLANK(J188)),"",(J188*SpellLearned))</f>
        <v/>
      </c>
      <c r="L188" s="118"/>
      <c r="M188" s="46" t="str">
        <f>IF((ISBLANK(L188)),"",(L188*SpellLearned))</f>
        <v/>
      </c>
      <c r="N188" s="46"/>
      <c r="O188" s="46" t="str">
        <f>IF((ISBLANK(N188)),"",(N188*SpellLearned))</f>
        <v/>
      </c>
      <c r="P188" s="46"/>
      <c r="Q188" s="46" t="str">
        <f>IF((ISBLANK(P188)),"",(P188*SpellLearned))</f>
        <v/>
      </c>
      <c r="R188" s="46"/>
      <c r="S188" s="46" t="str">
        <f>IF((ISBLANK(R188)),"",(R188*SpellLearned))</f>
        <v/>
      </c>
      <c r="T188" s="118"/>
      <c r="U188" s="46" t="str">
        <f>IF((ISBLANK(T188)),"",SpellLearned)</f>
        <v/>
      </c>
      <c r="V188" s="46"/>
      <c r="W188" s="46" t="str">
        <f>IF((ISBLANK(V188)),"",(V188*SpellLearned))</f>
        <v/>
      </c>
      <c r="X188" s="118"/>
      <c r="Y188" s="46" t="str">
        <f>IF((ISBLANK(X188)),"",(X188*SpellLearned))</f>
        <v/>
      </c>
      <c r="Z188" s="46"/>
      <c r="AA188" s="46" t="str">
        <f>IF((ISBLANK(Z188)),"",(Z188*SpellLearned))</f>
        <v/>
      </c>
      <c r="AB188" s="251" t="s">
        <v>1538</v>
      </c>
      <c r="AC188" s="95">
        <f>IF((ISBLANK(AB188)),"",(AB188*AlchemicalFormula))</f>
        <v>10</v>
      </c>
      <c r="AD188" s="118"/>
      <c r="AE188" s="46" t="str">
        <f>IF((ISBLANK(AD188)),"",(AD188*SpellLearned))</f>
        <v/>
      </c>
      <c r="AF188" s="118"/>
      <c r="AG188" s="46" t="str">
        <f>IF((ISBLANK(AF188)),"",(AF188*SpellLearned))</f>
        <v/>
      </c>
      <c r="AH188" s="118" t="s">
        <v>1573</v>
      </c>
      <c r="AI188" s="95">
        <f>IF((ISBLANK(AH188)),"",(AH188*SpellLearned))</f>
        <v>40</v>
      </c>
      <c r="AJ188" s="118" t="s">
        <v>1573</v>
      </c>
      <c r="AK188" s="95">
        <f>IF((ISBLANK(AJ188)),"",(AJ188*SpellLearned))</f>
        <v>40</v>
      </c>
      <c r="AL188" s="118" t="s">
        <v>1573</v>
      </c>
      <c r="AM188" s="95">
        <f>IF((ISBLANK(AL188)),"",(AL188*SpellLearned))</f>
        <v>40</v>
      </c>
      <c r="AN188" s="118" t="s">
        <v>1538</v>
      </c>
      <c r="AO188" s="95">
        <f>IF((ISBLANK(AN188)),"",(AN188*SpellLearned))</f>
        <v>20</v>
      </c>
      <c r="AP188" s="118" t="s">
        <v>1538</v>
      </c>
      <c r="AQ188" s="95">
        <f>IF((ISBLANK(AP188)),"",(AP188*SpellLearned))</f>
        <v>20</v>
      </c>
      <c r="AR188" s="118" t="s">
        <v>1573</v>
      </c>
      <c r="AS188" s="95">
        <f>IF((ISBLANK(AR188)),"",(AR188*SpellLearned))</f>
        <v>40</v>
      </c>
      <c r="AT188" s="118" t="s">
        <v>1538</v>
      </c>
      <c r="AU188" s="95">
        <f>IF((ISBLANK(AT188)),"",(AT188*SpellLearned))</f>
        <v>20</v>
      </c>
      <c r="AV188" s="118" t="s">
        <v>1538</v>
      </c>
      <c r="AW188" s="95">
        <f>IF((ISBLANK(AV188)),"",(AV188*SpellLearned))</f>
        <v>20</v>
      </c>
      <c r="AX188" s="118" t="s">
        <v>1538</v>
      </c>
      <c r="AY188" s="95">
        <f>IF((ISBLANK(AX188)),"",(AX188*SpellLearned))</f>
        <v>20</v>
      </c>
      <c r="AZ188" s="118" t="s">
        <v>1539</v>
      </c>
      <c r="BA188" s="95">
        <f>IF((ISBLANK(AZ188)),"",(AZ188*SpellLearned))</f>
        <v>30</v>
      </c>
    </row>
    <row r="189" hidden="1" outlineLevel="1">
      <c r="A189" s="37" t="s">
        <v>1586</v>
      </c>
      <c r="B189" s="46" t="s">
        <v>1354</v>
      </c>
      <c r="C189" s="37" t="s">
        <v>1559</v>
      </c>
      <c r="D189" s="17" t="s">
        <v>1537</v>
      </c>
      <c r="E189" s="46">
        <f>IF((ISBLANK(D189)),"",(D189*SpellLearned))</f>
        <v>10</v>
      </c>
      <c r="F189" s="118"/>
      <c r="G189" s="46" t="str">
        <f>IF((ISBLANK(F189)),"",(F189*SpellLearned))</f>
        <v/>
      </c>
      <c r="H189" s="118"/>
      <c r="I189" s="46" t="str">
        <f>IF((ISBLANK(H189)),"",(H189*SpellLearned))</f>
        <v/>
      </c>
      <c r="J189" s="118"/>
      <c r="K189" s="46" t="str">
        <f>IF((ISBLANK(J189)),"",(J189*SpellLearned))</f>
        <v/>
      </c>
      <c r="L189" s="118"/>
      <c r="M189" s="46" t="str">
        <f>IF((ISBLANK(L189)),"",(L189*SpellLearned))</f>
        <v/>
      </c>
      <c r="N189" s="46"/>
      <c r="O189" s="46" t="str">
        <f>IF((ISBLANK(N189)),"",(N189*SpellLearned))</f>
        <v/>
      </c>
      <c r="P189" s="46"/>
      <c r="Q189" s="46" t="str">
        <f>IF((ISBLANK(P189)),"",(P189*SpellLearned))</f>
        <v/>
      </c>
      <c r="R189" s="46"/>
      <c r="S189" s="46" t="str">
        <f>IF((ISBLANK(R189)),"",(R189*SpellLearned))</f>
        <v/>
      </c>
      <c r="T189" s="118"/>
      <c r="U189" s="46" t="str">
        <f>IF((ISBLANK(T189)),"",SpellLearned)</f>
        <v/>
      </c>
      <c r="V189" s="46"/>
      <c r="W189" s="46" t="str">
        <f>IF((ISBLANK(V189)),"",(V189*SpellLearned))</f>
        <v/>
      </c>
      <c r="X189" s="118"/>
      <c r="Y189" s="46" t="str">
        <f>IF((ISBLANK(X189)),"",(X189*SpellLearned))</f>
        <v/>
      </c>
      <c r="Z189" s="46"/>
      <c r="AA189" s="46" t="str">
        <f>IF((ISBLANK(Z189)),"",(Z189*SpellLearned))</f>
        <v/>
      </c>
      <c r="AB189" s="251" t="s">
        <v>1538</v>
      </c>
      <c r="AC189" s="95">
        <f>IF((ISBLANK(AB189)),"",(AB189*AlchemicalFormula))</f>
        <v>10</v>
      </c>
      <c r="AD189" s="118"/>
      <c r="AE189" s="46" t="str">
        <f>IF((ISBLANK(AD189)),"",(AD189*SpellLearned))</f>
        <v/>
      </c>
      <c r="AF189" s="118"/>
      <c r="AG189" s="46" t="str">
        <f>IF((ISBLANK(AF189)),"",(AF189*SpellLearned))</f>
        <v/>
      </c>
      <c r="AH189" s="118" t="s">
        <v>1538</v>
      </c>
      <c r="AI189" s="95">
        <f>IF((ISBLANK(AH189)),"",(AH189*SpellLearned))</f>
        <v>20</v>
      </c>
      <c r="AJ189" s="118" t="s">
        <v>1538</v>
      </c>
      <c r="AK189" s="95">
        <f>IF((ISBLANK(AJ189)),"",(AJ189*SpellLearned))</f>
        <v>20</v>
      </c>
      <c r="AL189" s="118" t="s">
        <v>1538</v>
      </c>
      <c r="AM189" s="95">
        <f>IF((ISBLANK(AL189)),"",(AL189*SpellLearned))</f>
        <v>20</v>
      </c>
      <c r="AN189" s="118" t="s">
        <v>1537</v>
      </c>
      <c r="AO189" s="95">
        <f>IF((ISBLANK(AN189)),"",(AN189*SpellLearned))</f>
        <v>10</v>
      </c>
      <c r="AP189" s="118" t="s">
        <v>1537</v>
      </c>
      <c r="AQ189" s="95">
        <f>IF((ISBLANK(AP189)),"",(AP189*SpellLearned))</f>
        <v>10</v>
      </c>
      <c r="AR189" s="118" t="s">
        <v>1538</v>
      </c>
      <c r="AS189" s="95">
        <f>IF((ISBLANK(AR189)),"",(AR189*SpellLearned))</f>
        <v>20</v>
      </c>
      <c r="AT189" s="118" t="s">
        <v>1537</v>
      </c>
      <c r="AU189" s="95">
        <f>IF((ISBLANK(AT189)),"",(AT189*SpellLearned))</f>
        <v>10</v>
      </c>
      <c r="AV189" s="118" t="s">
        <v>1538</v>
      </c>
      <c r="AW189" s="95">
        <f>IF((ISBLANK(AV189)),"",(AV189*SpellLearned))</f>
        <v>20</v>
      </c>
      <c r="AX189" s="118" t="s">
        <v>1538</v>
      </c>
      <c r="AY189" s="95">
        <f>IF((ISBLANK(AX189)),"",(AX189*SpellLearned))</f>
        <v>20</v>
      </c>
      <c r="AZ189" s="118" t="s">
        <v>1537</v>
      </c>
      <c r="BA189" s="95">
        <f>IF((ISBLANK(AZ189)),"",(AZ189*SpellLearned))</f>
        <v>10</v>
      </c>
    </row>
    <row r="190" hidden="1" outlineLevel="1">
      <c r="A190" s="37" t="s">
        <v>1587</v>
      </c>
      <c r="B190" s="46" t="s">
        <v>50</v>
      </c>
      <c r="C190" s="37" t="s">
        <v>1562</v>
      </c>
      <c r="D190" s="17" t="s">
        <v>1537</v>
      </c>
      <c r="E190" s="46">
        <f>IF((ISBLANK(D190)),"",(D190*SpellLearned))</f>
        <v>10</v>
      </c>
      <c r="F190" s="118"/>
      <c r="G190" s="46" t="str">
        <f>IF((ISBLANK(F190)),"",(F190*SpellLearned))</f>
        <v/>
      </c>
      <c r="H190" s="118"/>
      <c r="I190" s="46" t="str">
        <f>IF((ISBLANK(H190)),"",(H190*SpellLearned))</f>
        <v/>
      </c>
      <c r="J190" s="118"/>
      <c r="K190" s="46" t="str">
        <f>IF((ISBLANK(J190)),"",(J190*SpellLearned))</f>
        <v/>
      </c>
      <c r="L190" s="118"/>
      <c r="M190" s="46" t="str">
        <f>IF((ISBLANK(L190)),"",(L190*SpellLearned))</f>
        <v/>
      </c>
      <c r="N190" s="46"/>
      <c r="O190" s="46" t="str">
        <f>IF((ISBLANK(N190)),"",(N190*SpellLearned))</f>
        <v/>
      </c>
      <c r="P190" s="46"/>
      <c r="Q190" s="46" t="str">
        <f>IF((ISBLANK(P190)),"",(P190*SpellLearned))</f>
        <v/>
      </c>
      <c r="R190" s="46"/>
      <c r="S190" s="46" t="str">
        <f>IF((ISBLANK(R190)),"",(R190*SpellLearned))</f>
        <v/>
      </c>
      <c r="T190" s="118"/>
      <c r="U190" s="46" t="str">
        <f>IF((ISBLANK(T190)),"",SpellLearned)</f>
        <v/>
      </c>
      <c r="V190" s="46"/>
      <c r="W190" s="46" t="str">
        <f>IF((ISBLANK(V190)),"",(V190*SpellLearned))</f>
        <v/>
      </c>
      <c r="X190" s="118"/>
      <c r="Y190" s="46" t="str">
        <f>IF((ISBLANK(X190)),"",(X190*SpellLearned))</f>
        <v/>
      </c>
      <c r="Z190" s="46"/>
      <c r="AA190" s="46" t="str">
        <f>IF((ISBLANK(Z190)),"",(Z190*SpellLearned))</f>
        <v/>
      </c>
      <c r="AB190" s="251" t="s">
        <v>1538</v>
      </c>
      <c r="AC190" s="95">
        <f>IF((ISBLANK(AB190)),"",(AB190*AlchemicalFormula))</f>
        <v>10</v>
      </c>
      <c r="AD190" s="118"/>
      <c r="AE190" s="46" t="str">
        <f>IF((ISBLANK(AD190)),"",(AD190*SpellLearned))</f>
        <v/>
      </c>
      <c r="AF190" s="118"/>
      <c r="AG190" s="46" t="str">
        <f>IF((ISBLANK(AF190)),"",(AF190*SpellLearned))</f>
        <v/>
      </c>
      <c r="AH190" s="118" t="s">
        <v>1538</v>
      </c>
      <c r="AI190" s="95">
        <f>IF((ISBLANK(AH190)),"",(AH190*SpellLearned))</f>
        <v>20</v>
      </c>
      <c r="AJ190" s="118" t="s">
        <v>1573</v>
      </c>
      <c r="AK190" s="95">
        <f>IF((ISBLANK(AJ190)),"",(AJ190*SpellLearned))</f>
        <v>40</v>
      </c>
      <c r="AL190" s="118" t="s">
        <v>1573</v>
      </c>
      <c r="AM190" s="95">
        <f>IF((ISBLANK(AL190)),"",(AL190*SpellLearned))</f>
        <v>40</v>
      </c>
      <c r="AN190" s="118" t="s">
        <v>1538</v>
      </c>
      <c r="AO190" s="95">
        <f>IF((ISBLANK(AN190)),"",(AN190*SpellLearned))</f>
        <v>20</v>
      </c>
      <c r="AP190" s="118" t="s">
        <v>1538</v>
      </c>
      <c r="AQ190" s="95">
        <f>IF((ISBLANK(AP190)),"",(AP190*SpellLearned))</f>
        <v>20</v>
      </c>
      <c r="AR190" s="118" t="s">
        <v>1573</v>
      </c>
      <c r="AS190" s="95">
        <f>IF((ISBLANK(AR190)),"",(AR190*SpellLearned))</f>
        <v>40</v>
      </c>
      <c r="AT190" s="118" t="s">
        <v>1538</v>
      </c>
      <c r="AU190" s="95">
        <f>IF((ISBLANK(AT190)),"",(AT190*SpellLearned))</f>
        <v>20</v>
      </c>
      <c r="AV190" s="118" t="s">
        <v>1538</v>
      </c>
      <c r="AW190" s="95">
        <f>IF((ISBLANK(AV190)),"",(AV190*SpellLearned))</f>
        <v>20</v>
      </c>
      <c r="AX190" s="118" t="s">
        <v>1538</v>
      </c>
      <c r="AY190" s="95">
        <f>IF((ISBLANK(AX190)),"",(AX190*SpellLearned))</f>
        <v>20</v>
      </c>
      <c r="AZ190" s="118" t="s">
        <v>1539</v>
      </c>
      <c r="BA190" s="95">
        <f>IF((ISBLANK(AZ190)),"",(AZ190*SpellLearned))</f>
        <v>30</v>
      </c>
    </row>
    <row r="191" hidden="1" outlineLevel="1">
      <c r="A191" s="37" t="s">
        <v>1588</v>
      </c>
      <c r="B191" s="46" t="s">
        <v>1360</v>
      </c>
      <c r="C191" s="37" t="s">
        <v>1562</v>
      </c>
      <c r="D191" s="17" t="s">
        <v>1537</v>
      </c>
      <c r="E191" s="46">
        <f>IF((ISBLANK(D191)),"",(D191*SpellLearned))</f>
        <v>10</v>
      </c>
      <c r="F191" s="118"/>
      <c r="G191" s="46" t="str">
        <f>IF((ISBLANK(F191)),"",(F191*SpellLearned))</f>
        <v/>
      </c>
      <c r="H191" s="118"/>
      <c r="I191" s="46" t="str">
        <f>IF((ISBLANK(H191)),"",(H191*SpellLearned))</f>
        <v/>
      </c>
      <c r="J191" s="118"/>
      <c r="K191" s="46" t="str">
        <f>IF((ISBLANK(J191)),"",(J191*SpellLearned))</f>
        <v/>
      </c>
      <c r="L191" s="118"/>
      <c r="M191" s="46" t="str">
        <f>IF((ISBLANK(L191)),"",(L191*SpellLearned))</f>
        <v/>
      </c>
      <c r="N191" s="46"/>
      <c r="O191" s="46" t="str">
        <f>IF((ISBLANK(N191)),"",(N191*SpellLearned))</f>
        <v/>
      </c>
      <c r="P191" s="46"/>
      <c r="Q191" s="46" t="str">
        <f>IF((ISBLANK(P191)),"",(P191*SpellLearned))</f>
        <v/>
      </c>
      <c r="R191" s="46"/>
      <c r="S191" s="46" t="str">
        <f>IF((ISBLANK(R191)),"",(R191*SpellLearned))</f>
        <v/>
      </c>
      <c r="T191" s="118"/>
      <c r="U191" s="46" t="str">
        <f>IF((ISBLANK(T191)),"",SpellLearned)</f>
        <v/>
      </c>
      <c r="V191" s="46"/>
      <c r="W191" s="46" t="str">
        <f>IF((ISBLANK(V191)),"",(V191*SpellLearned))</f>
        <v/>
      </c>
      <c r="X191" s="118"/>
      <c r="Y191" s="46" t="str">
        <f>IF((ISBLANK(X191)),"",(X191*SpellLearned))</f>
        <v/>
      </c>
      <c r="Z191" s="46"/>
      <c r="AA191" s="46" t="str">
        <f>IF((ISBLANK(Z191)),"",(Z191*SpellLearned))</f>
        <v/>
      </c>
      <c r="AB191" s="251" t="s">
        <v>1538</v>
      </c>
      <c r="AC191" s="95">
        <f>IF((ISBLANK(AB191)),"",(AB191*AlchemicalFormula))</f>
        <v>10</v>
      </c>
      <c r="AD191" s="118"/>
      <c r="AE191" s="46" t="str">
        <f>IF((ISBLANK(AD191)),"",(AD191*SpellLearned))</f>
        <v/>
      </c>
      <c r="AF191" s="118"/>
      <c r="AG191" s="46" t="str">
        <f>IF((ISBLANK(AF191)),"",(AF191*SpellLearned))</f>
        <v/>
      </c>
      <c r="AH191" s="118" t="s">
        <v>1538</v>
      </c>
      <c r="AI191" s="95">
        <f>IF((ISBLANK(AH191)),"",(AH191*SpellLearned))</f>
        <v>20</v>
      </c>
      <c r="AJ191" s="118" t="s">
        <v>1538</v>
      </c>
      <c r="AK191" s="95">
        <f>IF((ISBLANK(AJ191)),"",(AJ191*SpellLearned))</f>
        <v>20</v>
      </c>
      <c r="AL191" s="118" t="s">
        <v>1538</v>
      </c>
      <c r="AM191" s="95">
        <f>IF((ISBLANK(AL191)),"",(AL191*SpellLearned))</f>
        <v>20</v>
      </c>
      <c r="AN191" s="118" t="s">
        <v>1537</v>
      </c>
      <c r="AO191" s="95">
        <f>IF((ISBLANK(AN191)),"",(AN191*SpellLearned))</f>
        <v>10</v>
      </c>
      <c r="AP191" s="118" t="s">
        <v>1537</v>
      </c>
      <c r="AQ191" s="95">
        <f>IF((ISBLANK(AP191)),"",(AP191*SpellLearned))</f>
        <v>10</v>
      </c>
      <c r="AR191" s="118" t="s">
        <v>1538</v>
      </c>
      <c r="AS191" s="95">
        <f>IF((ISBLANK(AR191)),"",(AR191*SpellLearned))</f>
        <v>20</v>
      </c>
      <c r="AT191" s="118" t="s">
        <v>1537</v>
      </c>
      <c r="AU191" s="95">
        <f>IF((ISBLANK(AT191)),"",(AT191*SpellLearned))</f>
        <v>10</v>
      </c>
      <c r="AV191" s="118" t="s">
        <v>1538</v>
      </c>
      <c r="AW191" s="95">
        <f>IF((ISBLANK(AV191)),"",(AV191*SpellLearned))</f>
        <v>20</v>
      </c>
      <c r="AX191" s="118" t="s">
        <v>1538</v>
      </c>
      <c r="AY191" s="95">
        <f>IF((ISBLANK(AX191)),"",(AX191*SpellLearned))</f>
        <v>20</v>
      </c>
      <c r="AZ191" s="118" t="s">
        <v>1537</v>
      </c>
      <c r="BA191" s="95">
        <f>IF((ISBLANK(AZ191)),"",(AZ191*SpellLearned))</f>
        <v>10</v>
      </c>
    </row>
    <row r="192" hidden="1" outlineLevel="1">
      <c r="A192" s="37" t="s">
        <v>1589</v>
      </c>
      <c r="B192" s="46" t="s">
        <v>48</v>
      </c>
      <c r="C192" s="37" t="s">
        <v>1565</v>
      </c>
      <c r="D192" s="17" t="s">
        <v>1537</v>
      </c>
      <c r="E192" s="46">
        <f>IF((ISBLANK(D192)),"",(D192*SpellLearned))</f>
        <v>10</v>
      </c>
      <c r="F192" s="118"/>
      <c r="G192" s="46" t="str">
        <f>IF((ISBLANK(F192)),"",(F192*SpellLearned))</f>
        <v/>
      </c>
      <c r="H192" s="118"/>
      <c r="I192" s="46" t="str">
        <f>IF((ISBLANK(H192)),"",(H192*SpellLearned))</f>
        <v/>
      </c>
      <c r="J192" s="118"/>
      <c r="K192" s="46" t="str">
        <f>IF((ISBLANK(J192)),"",(J192*SpellLearned))</f>
        <v/>
      </c>
      <c r="L192" s="118"/>
      <c r="M192" s="46" t="str">
        <f>IF((ISBLANK(L192)),"",(L192*SpellLearned))</f>
        <v/>
      </c>
      <c r="N192" s="46"/>
      <c r="O192" s="46" t="str">
        <f>IF((ISBLANK(N192)),"",(N192*SpellLearned))</f>
        <v/>
      </c>
      <c r="P192" s="46"/>
      <c r="Q192" s="46" t="str">
        <f>IF((ISBLANK(P192)),"",(P192*SpellLearned))</f>
        <v/>
      </c>
      <c r="R192" s="46"/>
      <c r="S192" s="46" t="str">
        <f>IF((ISBLANK(R192)),"",(R192*SpellLearned))</f>
        <v/>
      </c>
      <c r="T192" s="118"/>
      <c r="U192" s="46" t="str">
        <f>IF((ISBLANK(T192)),"",SpellLearned)</f>
        <v/>
      </c>
      <c r="V192" s="46"/>
      <c r="W192" s="46" t="str">
        <f>IF((ISBLANK(V192)),"",(V192*SpellLearned))</f>
        <v/>
      </c>
      <c r="X192" s="118"/>
      <c r="Y192" s="46" t="str">
        <f>IF((ISBLANK(X192)),"",(X192*SpellLearned))</f>
        <v/>
      </c>
      <c r="Z192" s="46"/>
      <c r="AA192" s="46" t="str">
        <f>IF((ISBLANK(Z192)),"",(Z192*SpellLearned))</f>
        <v/>
      </c>
      <c r="AB192" s="251" t="s">
        <v>1573</v>
      </c>
      <c r="AC192" s="95">
        <f>IF((ISBLANK(AB192)),"",(AB192*AlchemicalFormula))</f>
        <v>20</v>
      </c>
      <c r="AD192" s="118"/>
      <c r="AE192" s="46" t="str">
        <f>IF((ISBLANK(AD192)),"",(AD192*SpellLearned))</f>
        <v/>
      </c>
      <c r="AF192" s="118"/>
      <c r="AG192" s="46" t="str">
        <f>IF((ISBLANK(AF192)),"",(AF192*SpellLearned))</f>
        <v/>
      </c>
      <c r="AH192" s="118" t="s">
        <v>1538</v>
      </c>
      <c r="AI192" s="95">
        <f>IF((ISBLANK(AH192)),"",(AH192*SpellLearned))</f>
        <v>20</v>
      </c>
      <c r="AJ192" s="118" t="s">
        <v>1573</v>
      </c>
      <c r="AK192" s="95">
        <f>IF((ISBLANK(AJ192)),"",(AJ192*SpellLearned))</f>
        <v>40</v>
      </c>
      <c r="AL192" s="118" t="s">
        <v>1573</v>
      </c>
      <c r="AM192" s="95">
        <f>IF((ISBLANK(AL192)),"",(AL192*SpellLearned))</f>
        <v>40</v>
      </c>
      <c r="AN192" s="118" t="s">
        <v>1538</v>
      </c>
      <c r="AO192" s="95">
        <f>IF((ISBLANK(AN192)),"",(AN192*SpellLearned))</f>
        <v>20</v>
      </c>
      <c r="AP192" s="118" t="s">
        <v>1538</v>
      </c>
      <c r="AQ192" s="95">
        <f>IF((ISBLANK(AP192)),"",(AP192*SpellLearned))</f>
        <v>20</v>
      </c>
      <c r="AR192" s="118" t="s">
        <v>1573</v>
      </c>
      <c r="AS192" s="95">
        <f>IF((ISBLANK(AR192)),"",(AR192*SpellLearned))</f>
        <v>40</v>
      </c>
      <c r="AT192" s="118" t="s">
        <v>1538</v>
      </c>
      <c r="AU192" s="95">
        <f>IF((ISBLANK(AT192)),"",(AT192*SpellLearned))</f>
        <v>20</v>
      </c>
      <c r="AV192" s="118" t="s">
        <v>1538</v>
      </c>
      <c r="AW192" s="95">
        <f>IF((ISBLANK(AV192)),"",(AV192*SpellLearned))</f>
        <v>20</v>
      </c>
      <c r="AX192" s="118" t="s">
        <v>1538</v>
      </c>
      <c r="AY192" s="95">
        <f>IF((ISBLANK(AX192)),"",(AX192*SpellLearned))</f>
        <v>20</v>
      </c>
      <c r="AZ192" s="118" t="s">
        <v>1539</v>
      </c>
      <c r="BA192" s="95">
        <f>IF((ISBLANK(AZ192)),"",(AZ192*SpellLearned))</f>
        <v>30</v>
      </c>
    </row>
    <row r="193" hidden="1" outlineLevel="1">
      <c r="A193" s="37" t="s">
        <v>1590</v>
      </c>
      <c r="B193" s="46" t="s">
        <v>1363</v>
      </c>
      <c r="C193" s="37" t="s">
        <v>1565</v>
      </c>
      <c r="D193" s="17" t="s">
        <v>1537</v>
      </c>
      <c r="E193" s="46">
        <f>IF((ISBLANK(D193)),"",(D193*SpellLearned))</f>
        <v>10</v>
      </c>
      <c r="F193" s="118"/>
      <c r="G193" s="46" t="str">
        <f>IF((ISBLANK(F193)),"",(F193*SpellLearned))</f>
        <v/>
      </c>
      <c r="H193" s="118"/>
      <c r="I193" s="46" t="str">
        <f>IF((ISBLANK(H193)),"",(H193*SpellLearned))</f>
        <v/>
      </c>
      <c r="J193" s="118"/>
      <c r="K193" s="46" t="str">
        <f>IF((ISBLANK(J193)),"",(J193*SpellLearned))</f>
        <v/>
      </c>
      <c r="L193" s="118"/>
      <c r="M193" s="46" t="str">
        <f>IF((ISBLANK(L193)),"",(L193*SpellLearned))</f>
        <v/>
      </c>
      <c r="N193" s="46"/>
      <c r="O193" s="46" t="str">
        <f>IF((ISBLANK(N193)),"",(N193*SpellLearned))</f>
        <v/>
      </c>
      <c r="P193" s="46"/>
      <c r="Q193" s="46" t="str">
        <f>IF((ISBLANK(P193)),"",(P193*SpellLearned))</f>
        <v/>
      </c>
      <c r="R193" s="46"/>
      <c r="S193" s="46" t="str">
        <f>IF((ISBLANK(R193)),"",(R193*SpellLearned))</f>
        <v/>
      </c>
      <c r="T193" s="118"/>
      <c r="U193" s="46" t="str">
        <f>IF((ISBLANK(T193)),"",SpellLearned)</f>
        <v/>
      </c>
      <c r="V193" s="46"/>
      <c r="W193" s="46" t="str">
        <f>IF((ISBLANK(V193)),"",(V193*SpellLearned))</f>
        <v/>
      </c>
      <c r="X193" s="118"/>
      <c r="Y193" s="46" t="str">
        <f>IF((ISBLANK(X193)),"",(X193*SpellLearned))</f>
        <v/>
      </c>
      <c r="Z193" s="46"/>
      <c r="AA193" s="46" t="str">
        <f>IF((ISBLANK(Z193)),"",(Z193*SpellLearned))</f>
        <v/>
      </c>
      <c r="AB193" s="251" t="s">
        <v>1538</v>
      </c>
      <c r="AC193" s="95">
        <f>IF((ISBLANK(AB193)),"",(AB193*AlchemicalFormula))</f>
        <v>10</v>
      </c>
      <c r="AD193" s="118"/>
      <c r="AE193" s="46" t="str">
        <f>IF((ISBLANK(AD193)),"",(AD193*SpellLearned))</f>
        <v/>
      </c>
      <c r="AF193" s="118"/>
      <c r="AG193" s="46" t="str">
        <f>IF((ISBLANK(AF193)),"",(AF193*SpellLearned))</f>
        <v/>
      </c>
      <c r="AH193" s="118" t="s">
        <v>1538</v>
      </c>
      <c r="AI193" s="95">
        <f>IF((ISBLANK(AH193)),"",(AH193*SpellLearned))</f>
        <v>20</v>
      </c>
      <c r="AJ193" s="118" t="s">
        <v>1538</v>
      </c>
      <c r="AK193" s="95">
        <f>IF((ISBLANK(AJ193)),"",(AJ193*SpellLearned))</f>
        <v>20</v>
      </c>
      <c r="AL193" s="118" t="s">
        <v>1538</v>
      </c>
      <c r="AM193" s="95">
        <f>IF((ISBLANK(AL193)),"",(AL193*SpellLearned))</f>
        <v>20</v>
      </c>
      <c r="AN193" s="118" t="s">
        <v>1537</v>
      </c>
      <c r="AO193" s="95">
        <f>IF((ISBLANK(AN193)),"",(AN193*SpellLearned))</f>
        <v>10</v>
      </c>
      <c r="AP193" s="118" t="s">
        <v>1537</v>
      </c>
      <c r="AQ193" s="95">
        <f>IF((ISBLANK(AP193)),"",(AP193*SpellLearned))</f>
        <v>10</v>
      </c>
      <c r="AR193" s="118" t="s">
        <v>1538</v>
      </c>
      <c r="AS193" s="95">
        <f>IF((ISBLANK(AR193)),"",(AR193*SpellLearned))</f>
        <v>20</v>
      </c>
      <c r="AT193" s="118" t="s">
        <v>1537</v>
      </c>
      <c r="AU193" s="95">
        <f>IF((ISBLANK(AT193)),"",(AT193*SpellLearned))</f>
        <v>10</v>
      </c>
      <c r="AV193" s="118" t="s">
        <v>1538</v>
      </c>
      <c r="AW193" s="95">
        <f>IF((ISBLANK(AV193)),"",(AV193*SpellLearned))</f>
        <v>20</v>
      </c>
      <c r="AX193" s="118" t="s">
        <v>1538</v>
      </c>
      <c r="AY193" s="95">
        <f>IF((ISBLANK(AX193)),"",(AX193*SpellLearned))</f>
        <v>20</v>
      </c>
      <c r="AZ193" s="118" t="s">
        <v>1537</v>
      </c>
      <c r="BA193" s="95">
        <f>IF((ISBLANK(AZ193)),"",(AZ193*SpellLearned))</f>
        <v>10</v>
      </c>
    </row>
    <row r="194" hidden="1" outlineLevel="1">
      <c r="A194" s="37" t="s">
        <v>1592</v>
      </c>
      <c r="B194" s="46" t="s">
        <v>81</v>
      </c>
      <c r="C194" s="37" t="s">
        <v>1568</v>
      </c>
      <c r="D194" s="17" t="s">
        <v>1537</v>
      </c>
      <c r="E194" s="46">
        <f>IF((ISBLANK(D194)),"",(D194*SpellLearned))</f>
        <v>10</v>
      </c>
      <c r="F194" s="118"/>
      <c r="G194" s="46" t="str">
        <f>IF((ISBLANK(F194)),"",(F194*SpellLearned))</f>
        <v/>
      </c>
      <c r="H194" s="118"/>
      <c r="I194" s="46" t="str">
        <f>IF((ISBLANK(H194)),"",(H194*SpellLearned))</f>
        <v/>
      </c>
      <c r="J194" s="118"/>
      <c r="K194" s="46" t="str">
        <f>IF((ISBLANK(J194)),"",(J194*SpellLearned))</f>
        <v/>
      </c>
      <c r="L194" s="118"/>
      <c r="M194" s="46" t="str">
        <f>IF((ISBLANK(L194)),"",(L194*SpellLearned))</f>
        <v/>
      </c>
      <c r="N194" s="46"/>
      <c r="O194" s="46" t="str">
        <f>IF((ISBLANK(N194)),"",(N194*SpellLearned))</f>
        <v/>
      </c>
      <c r="P194" s="46"/>
      <c r="Q194" s="46" t="str">
        <f>IF((ISBLANK(P194)),"",(P194*SpellLearned))</f>
        <v/>
      </c>
      <c r="R194" s="46"/>
      <c r="S194" s="46" t="str">
        <f>IF((ISBLANK(R194)),"",(R194*SpellLearned))</f>
        <v/>
      </c>
      <c r="T194" s="118"/>
      <c r="U194" s="46" t="str">
        <f>IF((ISBLANK(T194)),"",SpellLearned)</f>
        <v/>
      </c>
      <c r="V194" s="46"/>
      <c r="W194" s="46" t="str">
        <f>IF((ISBLANK(V194)),"",(V194*SpellLearned))</f>
        <v/>
      </c>
      <c r="X194" s="118"/>
      <c r="Y194" s="46" t="str">
        <f>IF((ISBLANK(X194)),"",(X194*SpellLearned))</f>
        <v/>
      </c>
      <c r="Z194" s="46"/>
      <c r="AA194" s="46" t="str">
        <f>IF((ISBLANK(Z194)),"",(Z194*SpellLearned))</f>
        <v/>
      </c>
      <c r="AB194" s="251" t="s">
        <v>1538</v>
      </c>
      <c r="AC194" s="95">
        <f>IF((ISBLANK(AB194)),"",(AB194*AlchemicalFormula))</f>
        <v>10</v>
      </c>
      <c r="AD194" s="118"/>
      <c r="AE194" s="39" t="str">
        <f>IF((ISBLANK(AD194)),"",(AD194*SpellLearned))</f>
        <v/>
      </c>
      <c r="AF194" s="46"/>
      <c r="AG194" s="46" t="str">
        <f>IF((ISBLANK(AF194)),"",(AF194*SpellLearned))</f>
        <v/>
      </c>
      <c r="AH194" s="118" t="s">
        <v>1538</v>
      </c>
      <c r="AI194" s="95">
        <f>IF((ISBLANK(AH194)),"",(AH194*SpellLearned))</f>
        <v>20</v>
      </c>
      <c r="AJ194" s="118" t="s">
        <v>1538</v>
      </c>
      <c r="AK194" s="94">
        <v>0.0</v>
      </c>
      <c r="AL194" s="118" t="s">
        <v>1538</v>
      </c>
      <c r="AM194" s="94">
        <v>0.0</v>
      </c>
      <c r="AN194" s="118" t="s">
        <v>1538</v>
      </c>
      <c r="AO194" s="94">
        <v>0.0</v>
      </c>
      <c r="AP194" s="118" t="s">
        <v>1538</v>
      </c>
      <c r="AQ194" s="94">
        <v>0.0</v>
      </c>
      <c r="AR194" s="118"/>
      <c r="AS194" s="94">
        <v>0.0</v>
      </c>
      <c r="AT194" s="118" t="s">
        <v>1538</v>
      </c>
      <c r="AU194" s="94">
        <v>0.0</v>
      </c>
      <c r="AV194" s="118" t="s">
        <v>1538</v>
      </c>
      <c r="AW194" s="95">
        <f>IF((ISBLANK(AV194)),"",(AV194*SpellLearned))</f>
        <v>20</v>
      </c>
      <c r="AX194" s="118" t="s">
        <v>1538</v>
      </c>
      <c r="AY194" s="95">
        <f>IF((ISBLANK(AX194)),"",(AX194*SpellLearned))</f>
        <v>20</v>
      </c>
      <c r="AZ194" s="118" t="s">
        <v>1538</v>
      </c>
      <c r="BA194" s="94">
        <v>0.0</v>
      </c>
    </row>
    <row r="195" hidden="1" outlineLevel="1">
      <c r="A195" s="37" t="s">
        <v>1593</v>
      </c>
      <c r="B195" s="46" t="s">
        <v>1366</v>
      </c>
      <c r="C195" s="37" t="s">
        <v>1568</v>
      </c>
      <c r="D195" s="17" t="s">
        <v>1537</v>
      </c>
      <c r="E195" s="46">
        <f>IF((ISBLANK(D195)),"",(D195*SpellLearned))</f>
        <v>10</v>
      </c>
      <c r="F195" s="118"/>
      <c r="G195" s="46" t="str">
        <f>IF((ISBLANK(F195)),"",(F195*SpellLearned))</f>
        <v/>
      </c>
      <c r="H195" s="118"/>
      <c r="I195" s="46" t="str">
        <f>IF((ISBLANK(H195)),"",(H195*SpellLearned))</f>
        <v/>
      </c>
      <c r="J195" s="118"/>
      <c r="K195" s="46" t="str">
        <f>IF((ISBLANK(J195)),"",(J195*SpellLearned))</f>
        <v/>
      </c>
      <c r="L195" s="118"/>
      <c r="M195" s="46" t="str">
        <f>IF((ISBLANK(L195)),"",(L195*SpellLearned))</f>
        <v/>
      </c>
      <c r="N195" s="46"/>
      <c r="O195" s="46" t="str">
        <f>IF((ISBLANK(N195)),"",(N195*SpellLearned))</f>
        <v/>
      </c>
      <c r="P195" s="46"/>
      <c r="Q195" s="46" t="str">
        <f>IF((ISBLANK(P195)),"",(P195*SpellLearned))</f>
        <v/>
      </c>
      <c r="R195" s="46"/>
      <c r="S195" s="46" t="str">
        <f>IF((ISBLANK(R195)),"",(R195*SpellLearned))</f>
        <v/>
      </c>
      <c r="T195" s="118"/>
      <c r="U195" s="46" t="str">
        <f>IF((ISBLANK(T195)),"",SpellLearned)</f>
        <v/>
      </c>
      <c r="V195" s="46"/>
      <c r="W195" s="46" t="str">
        <f>IF((ISBLANK(V195)),"",(V195*SpellLearned))</f>
        <v/>
      </c>
      <c r="X195" s="118"/>
      <c r="Y195" s="46" t="str">
        <f>IF((ISBLANK(X195)),"",(X195*SpellLearned))</f>
        <v/>
      </c>
      <c r="Z195" s="46"/>
      <c r="AA195" s="46" t="str">
        <f>IF((ISBLANK(Z195)),"",(Z195*SpellLearned))</f>
        <v/>
      </c>
      <c r="AB195" s="251" t="s">
        <v>1538</v>
      </c>
      <c r="AC195" s="95">
        <f>IF((ISBLANK(AB195)),"",(AB195*AlchemicalFormula))</f>
        <v>10</v>
      </c>
      <c r="AD195" s="118"/>
      <c r="AE195" s="46" t="str">
        <f>IF((ISBLANK(AD195)),"",(AD195*SpellLearned))</f>
        <v/>
      </c>
      <c r="AF195" s="46"/>
      <c r="AG195" s="46" t="str">
        <f>IF((ISBLANK(AF195)),"",(AF195*SpellLearned))</f>
        <v/>
      </c>
      <c r="AH195" s="118" t="s">
        <v>1538</v>
      </c>
      <c r="AI195" s="95">
        <f>IF((ISBLANK(AH195)),"",(AH195*SpellLearned))</f>
        <v>20</v>
      </c>
      <c r="AJ195" s="46"/>
      <c r="AK195" s="46" t="str">
        <f>IF((ISBLANK(AJ195)),"",(AJ195*SpellLearned))</f>
        <v/>
      </c>
      <c r="AL195" s="46"/>
      <c r="AM195" s="46" t="str">
        <f>IF((ISBLANK(AL195)),"",(AL195*SpellLearned))</f>
        <v/>
      </c>
      <c r="AN195" s="46"/>
      <c r="AO195" s="46" t="str">
        <f>IF((ISBLANK(AN195)),"",(AN195*SpellLearned))</f>
        <v/>
      </c>
      <c r="AP195" s="46"/>
      <c r="AQ195" s="46" t="str">
        <f>IF((ISBLANK(AP195)),"",(AP195*SpellLearned))</f>
        <v/>
      </c>
      <c r="AR195" s="46"/>
      <c r="AS195" s="46" t="str">
        <f>IF((ISBLANK(AR195)),"",(AR195*SpellLearned))</f>
        <v/>
      </c>
      <c r="AT195" s="46"/>
      <c r="AU195" s="46" t="str">
        <f>IF((ISBLANK(AT195)),"",(AT195*SpellLearned))</f>
        <v/>
      </c>
      <c r="AV195" s="118" t="s">
        <v>1538</v>
      </c>
      <c r="AW195" s="95">
        <f>IF((ISBLANK(AV195)),"",(AV195*SpellLearned))</f>
        <v>20</v>
      </c>
      <c r="AX195" s="118" t="s">
        <v>1538</v>
      </c>
      <c r="AY195" s="95">
        <f>IF((ISBLANK(AX195)),"",(AX195*SpellLearned))</f>
        <v>20</v>
      </c>
      <c r="AZ195" s="46"/>
      <c r="BA195" s="46" t="str">
        <f>IF((ISBLANK(AZ195)),"",(AZ195*SpellLearned))</f>
        <v/>
      </c>
    </row>
    <row r="196" collapsed="1">
      <c r="A196" s="121" t="s">
        <v>1594</v>
      </c>
      <c r="B196" s="173"/>
      <c r="C196" s="173"/>
      <c r="D196" s="122"/>
      <c r="E196" s="75">
        <f>E202</f>
        <v>0</v>
      </c>
      <c r="F196" s="221"/>
      <c r="G196" s="78">
        <f>G202</f>
        <v>10</v>
      </c>
      <c r="H196" s="221"/>
      <c r="I196" s="78">
        <f>I202</f>
        <v>0</v>
      </c>
      <c r="J196" s="221"/>
      <c r="K196" s="78">
        <f>K202</f>
        <v>0</v>
      </c>
      <c r="L196" s="221"/>
      <c r="M196" s="78">
        <f>M202</f>
        <v>0</v>
      </c>
      <c r="N196" s="221"/>
      <c r="O196" s="78">
        <f>O202</f>
        <v>0</v>
      </c>
      <c r="P196" s="221"/>
      <c r="Q196" s="78">
        <f>Q202</f>
        <v>0</v>
      </c>
      <c r="R196" s="221"/>
      <c r="S196" s="78">
        <f>S202</f>
        <v>0</v>
      </c>
      <c r="T196" s="221"/>
      <c r="U196" s="78">
        <f>U202</f>
        <v>0</v>
      </c>
      <c r="V196" s="221"/>
      <c r="W196" s="78">
        <f>W202</f>
        <v>0</v>
      </c>
      <c r="X196" s="221"/>
      <c r="Y196" s="78">
        <f>Y202</f>
        <v>0</v>
      </c>
      <c r="Z196" s="221"/>
      <c r="AA196" s="78">
        <f>AA202</f>
        <v>0</v>
      </c>
      <c r="AB196" s="221"/>
      <c r="AC196" s="78">
        <f>AC202</f>
        <v>0</v>
      </c>
      <c r="AD196" s="221"/>
      <c r="AE196" s="78">
        <f>AE202</f>
        <v>0</v>
      </c>
      <c r="AF196" s="221"/>
      <c r="AG196" s="78">
        <f>AG202</f>
        <v>15</v>
      </c>
      <c r="AH196" s="221"/>
      <c r="AI196" s="78">
        <f>AI202</f>
        <v>10</v>
      </c>
      <c r="AJ196" s="221"/>
      <c r="AK196" s="78">
        <f>AK202</f>
        <v>0</v>
      </c>
      <c r="AL196" s="221"/>
      <c r="AM196" s="78">
        <f>AM202</f>
        <v>0</v>
      </c>
      <c r="AN196" s="221"/>
      <c r="AO196" s="78">
        <f>AO202</f>
        <v>120</v>
      </c>
      <c r="AP196" s="221"/>
      <c r="AQ196" s="78">
        <f>AQ202</f>
        <v>20</v>
      </c>
      <c r="AR196" s="221"/>
      <c r="AS196" s="78">
        <f>AS202</f>
        <v>10</v>
      </c>
      <c r="AT196" s="221"/>
      <c r="AU196" s="78">
        <f>AU202</f>
        <v>150</v>
      </c>
      <c r="AV196" s="221"/>
      <c r="AW196" s="78">
        <f>AW202</f>
        <v>10</v>
      </c>
      <c r="AX196" s="221"/>
      <c r="AY196" s="78">
        <f>AY202</f>
        <v>15</v>
      </c>
      <c r="AZ196" s="221"/>
      <c r="BA196" s="78">
        <f>BA202</f>
        <v>10</v>
      </c>
    </row>
    <row r="197" hidden="1" outlineLevel="1">
      <c r="A197" s="248" t="s">
        <v>1595</v>
      </c>
      <c r="B197" s="44" t="s">
        <v>148</v>
      </c>
      <c r="C197" s="35"/>
      <c r="D197" s="17" t="s">
        <v>1537</v>
      </c>
      <c r="E197" s="46"/>
      <c r="F197" s="39" t="s">
        <v>477</v>
      </c>
      <c r="G197" s="94">
        <v>10.0</v>
      </c>
      <c r="H197" s="118"/>
      <c r="I197" s="46"/>
      <c r="J197" s="118"/>
      <c r="K197" s="46"/>
      <c r="L197" s="118"/>
      <c r="M197" s="46"/>
      <c r="N197" s="118"/>
      <c r="O197" s="46"/>
      <c r="P197" s="118"/>
      <c r="Q197" s="46"/>
      <c r="R197" s="118"/>
      <c r="S197" s="46"/>
      <c r="T197" s="118"/>
      <c r="U197" s="46"/>
      <c r="V197" s="118"/>
      <c r="W197" s="46"/>
      <c r="X197" s="118"/>
      <c r="Y197" s="46"/>
      <c r="Z197" s="118"/>
      <c r="AA197" s="46"/>
      <c r="AB197" s="118"/>
      <c r="AC197" s="46"/>
      <c r="AD197" s="118"/>
      <c r="AE197" s="39"/>
      <c r="AF197" s="118" t="s">
        <v>1596</v>
      </c>
      <c r="AG197" s="253">
        <v>10.0</v>
      </c>
      <c r="AH197" s="118" t="s">
        <v>1597</v>
      </c>
      <c r="AI197" s="94">
        <v>10.0</v>
      </c>
      <c r="AJ197" s="118"/>
      <c r="AK197" s="46"/>
      <c r="AL197" s="118"/>
      <c r="AM197" s="46"/>
      <c r="AN197" s="118" t="s">
        <v>1598</v>
      </c>
      <c r="AO197" s="94">
        <v>50.0</v>
      </c>
      <c r="AP197" s="39" t="s">
        <v>1599</v>
      </c>
      <c r="AQ197" s="94">
        <v>10.0</v>
      </c>
      <c r="AR197" s="118" t="s">
        <v>1600</v>
      </c>
      <c r="AS197" s="254">
        <v>10.0</v>
      </c>
      <c r="AT197" s="118" t="s">
        <v>1601</v>
      </c>
      <c r="AU197" s="95">
        <v>10.0</v>
      </c>
      <c r="AV197" s="118" t="s">
        <v>1602</v>
      </c>
      <c r="AW197" s="94">
        <v>10.0</v>
      </c>
      <c r="AX197" s="118" t="s">
        <v>1603</v>
      </c>
      <c r="AY197" s="253">
        <v>10.0</v>
      </c>
      <c r="AZ197" s="118" t="s">
        <v>1604</v>
      </c>
      <c r="BA197" s="94">
        <v>10.0</v>
      </c>
    </row>
    <row r="198" hidden="1" outlineLevel="1">
      <c r="A198" s="248" t="s">
        <v>1605</v>
      </c>
      <c r="B198" s="44" t="s">
        <v>148</v>
      </c>
      <c r="C198" s="35"/>
      <c r="D198" s="17" t="s">
        <v>1537</v>
      </c>
      <c r="E198" s="46"/>
      <c r="F198" s="118"/>
      <c r="G198" s="46"/>
      <c r="H198" s="118"/>
      <c r="I198" s="46"/>
      <c r="J198" s="118"/>
      <c r="K198" s="46"/>
      <c r="L198" s="118"/>
      <c r="M198" s="46"/>
      <c r="N198" s="118"/>
      <c r="O198" s="46"/>
      <c r="P198" s="118"/>
      <c r="Q198" s="46"/>
      <c r="R198" s="118"/>
      <c r="S198" s="46"/>
      <c r="T198" s="118"/>
      <c r="U198" s="46"/>
      <c r="V198" s="118"/>
      <c r="W198" s="46"/>
      <c r="X198" s="118"/>
      <c r="Y198" s="46"/>
      <c r="Z198" s="118"/>
      <c r="AA198" s="46"/>
      <c r="AB198" s="118"/>
      <c r="AC198" s="46"/>
      <c r="AD198" s="118"/>
      <c r="AE198" s="39"/>
      <c r="AF198" s="118" t="s">
        <v>1606</v>
      </c>
      <c r="AG198" s="253">
        <v>5.0</v>
      </c>
      <c r="AH198" s="118"/>
      <c r="AI198" s="46"/>
      <c r="AJ198" s="118"/>
      <c r="AK198" s="46"/>
      <c r="AL198" s="118"/>
      <c r="AM198" s="46"/>
      <c r="AN198" s="118" t="s">
        <v>1607</v>
      </c>
      <c r="AO198" s="94">
        <v>70.0</v>
      </c>
      <c r="AP198" s="39" t="s">
        <v>1608</v>
      </c>
      <c r="AQ198" s="94">
        <v>10.0</v>
      </c>
      <c r="AR198" s="118"/>
      <c r="AS198" s="46"/>
      <c r="AT198" s="118" t="s">
        <v>1609</v>
      </c>
      <c r="AU198" s="95">
        <v>50.0</v>
      </c>
      <c r="AV198" s="118"/>
      <c r="AW198" s="46"/>
      <c r="AX198" s="118" t="s">
        <v>1610</v>
      </c>
      <c r="AY198" s="253">
        <v>5.0</v>
      </c>
      <c r="AZ198" s="118"/>
      <c r="BA198" s="39"/>
    </row>
    <row r="199" hidden="1" outlineLevel="1">
      <c r="A199" s="248" t="s">
        <v>1611</v>
      </c>
      <c r="B199" s="44" t="s">
        <v>148</v>
      </c>
      <c r="C199" s="35"/>
      <c r="D199" s="17" t="s">
        <v>1537</v>
      </c>
      <c r="E199" s="44"/>
      <c r="F199" s="118"/>
      <c r="G199" s="39"/>
      <c r="H199" s="118"/>
      <c r="I199" s="46"/>
      <c r="J199" s="118"/>
      <c r="K199" s="46"/>
      <c r="L199" s="118"/>
      <c r="M199" s="46"/>
      <c r="N199" s="118"/>
      <c r="O199" s="46"/>
      <c r="P199" s="118"/>
      <c r="Q199" s="46"/>
      <c r="R199" s="118"/>
      <c r="S199" s="46"/>
      <c r="T199" s="118"/>
      <c r="U199" s="46"/>
      <c r="V199" s="118"/>
      <c r="W199" s="46"/>
      <c r="X199" s="118"/>
      <c r="Y199" s="46"/>
      <c r="Z199" s="118"/>
      <c r="AA199" s="46"/>
      <c r="AB199" s="118"/>
      <c r="AC199" s="46"/>
      <c r="AD199" s="118"/>
      <c r="AE199" s="46"/>
      <c r="AF199" s="118"/>
      <c r="AG199" s="46"/>
      <c r="AH199" s="118"/>
      <c r="AI199" s="46"/>
      <c r="AJ199" s="118"/>
      <c r="AK199" s="46"/>
      <c r="AL199" s="118"/>
      <c r="AM199" s="46"/>
      <c r="AN199" s="118"/>
      <c r="AO199" s="46"/>
      <c r="AP199" s="118"/>
      <c r="AQ199" s="46"/>
      <c r="AR199" s="118"/>
      <c r="AS199" s="46"/>
      <c r="AT199" s="118" t="s">
        <v>1612</v>
      </c>
      <c r="AU199" s="95">
        <v>90.0</v>
      </c>
      <c r="AV199" s="118"/>
      <c r="AW199" s="46"/>
      <c r="AX199" s="118"/>
      <c r="AY199" s="118"/>
      <c r="AZ199" s="118"/>
      <c r="BA199" s="46"/>
    </row>
    <row r="200" hidden="1" outlineLevel="1">
      <c r="A200" s="248" t="s">
        <v>1613</v>
      </c>
      <c r="B200" s="44" t="s">
        <v>148</v>
      </c>
      <c r="C200" s="35"/>
      <c r="D200" s="17" t="s">
        <v>1537</v>
      </c>
      <c r="E200" s="46"/>
      <c r="F200" s="118"/>
      <c r="G200" s="46"/>
      <c r="H200" s="118"/>
      <c r="I200" s="46"/>
      <c r="J200" s="118"/>
      <c r="K200" s="46"/>
      <c r="L200" s="118"/>
      <c r="M200" s="46"/>
      <c r="N200" s="118"/>
      <c r="O200" s="46"/>
      <c r="P200" s="118"/>
      <c r="Q200" s="46"/>
      <c r="R200" s="118"/>
      <c r="S200" s="46"/>
      <c r="T200" s="118"/>
      <c r="U200" s="46"/>
      <c r="V200" s="118"/>
      <c r="W200" s="46"/>
      <c r="X200" s="118"/>
      <c r="Y200" s="46"/>
      <c r="Z200" s="118"/>
      <c r="AA200" s="46"/>
      <c r="AB200" s="118"/>
      <c r="AC200" s="46"/>
      <c r="AD200" s="118"/>
      <c r="AE200" s="46"/>
      <c r="AF200" s="118"/>
      <c r="AG200" s="46"/>
      <c r="AH200" s="118"/>
      <c r="AI200" s="46"/>
      <c r="AJ200" s="118"/>
      <c r="AK200" s="46"/>
      <c r="AL200" s="118"/>
      <c r="AM200" s="46"/>
      <c r="AN200" s="118"/>
      <c r="AO200" s="46"/>
      <c r="AP200" s="118"/>
      <c r="AQ200" s="46"/>
      <c r="AR200" s="118"/>
      <c r="AS200" s="46"/>
      <c r="AT200" s="118"/>
      <c r="AU200" s="46"/>
      <c r="AV200" s="118"/>
      <c r="AW200" s="46"/>
      <c r="AX200" s="118"/>
      <c r="AY200" s="118"/>
      <c r="AZ200" s="118"/>
      <c r="BA200" s="46"/>
    </row>
    <row r="201" hidden="1" outlineLevel="1">
      <c r="A201" s="248" t="s">
        <v>1614</v>
      </c>
      <c r="B201" s="44" t="s">
        <v>148</v>
      </c>
      <c r="C201" s="35"/>
      <c r="D201" s="17" t="s">
        <v>1537</v>
      </c>
      <c r="E201" s="46"/>
      <c r="F201" s="118"/>
      <c r="G201" s="46"/>
      <c r="H201" s="118"/>
      <c r="I201" s="46"/>
      <c r="J201" s="118"/>
      <c r="K201" s="46"/>
      <c r="L201" s="118"/>
      <c r="M201" s="46"/>
      <c r="N201" s="118"/>
      <c r="O201" s="46"/>
      <c r="P201" s="118"/>
      <c r="Q201" s="46"/>
      <c r="R201" s="118"/>
      <c r="S201" s="46"/>
      <c r="T201" s="118"/>
      <c r="U201" s="46"/>
      <c r="V201" s="118"/>
      <c r="W201" s="46"/>
      <c r="X201" s="118"/>
      <c r="Y201" s="46"/>
      <c r="Z201" s="118"/>
      <c r="AA201" s="46"/>
      <c r="AB201" s="118"/>
      <c r="AC201" s="46"/>
      <c r="AD201" s="118"/>
      <c r="AE201" s="46"/>
      <c r="AF201" s="118"/>
      <c r="AG201" s="46"/>
      <c r="AH201" s="118"/>
      <c r="AI201" s="46"/>
      <c r="AJ201" s="118"/>
      <c r="AK201" s="46"/>
      <c r="AL201" s="118"/>
      <c r="AM201" s="46"/>
      <c r="AN201" s="118"/>
      <c r="AO201" s="46"/>
      <c r="AP201" s="118"/>
      <c r="AQ201" s="46"/>
      <c r="AR201" s="118"/>
      <c r="AS201" s="46"/>
      <c r="AT201" s="118"/>
      <c r="AU201" s="46"/>
      <c r="AV201" s="118"/>
      <c r="AW201" s="46"/>
      <c r="AX201" s="118"/>
      <c r="AY201" s="46"/>
      <c r="AZ201" s="118"/>
      <c r="BA201" s="46"/>
    </row>
    <row r="202" hidden="1" outlineLevel="1">
      <c r="A202" s="37" t="s">
        <v>1615</v>
      </c>
      <c r="B202" s="44"/>
      <c r="C202" s="35"/>
      <c r="D202" s="17">
        <f>COUNTA(D197:D201)</f>
        <v>5</v>
      </c>
      <c r="E202" s="46">
        <f>sum(E197:E201)</f>
        <v>0</v>
      </c>
      <c r="F202" s="118">
        <f>COUNTA(F197:F201)</f>
        <v>1</v>
      </c>
      <c r="G202" s="95">
        <f>sum(G197:G201)</f>
        <v>10</v>
      </c>
      <c r="H202" s="118">
        <f>COUNTA(H197:H201)</f>
        <v>0</v>
      </c>
      <c r="I202" s="95">
        <f>sum(I197:I201)</f>
        <v>0</v>
      </c>
      <c r="J202" s="118">
        <f>COUNTA(J197:J201)</f>
        <v>0</v>
      </c>
      <c r="K202" s="95">
        <f>sum(K197:K201)</f>
        <v>0</v>
      </c>
      <c r="L202" s="118">
        <f>COUNTA(L197:L201)</f>
        <v>0</v>
      </c>
      <c r="M202" s="95">
        <f>sum(M197:M201)</f>
        <v>0</v>
      </c>
      <c r="N202" s="118">
        <f>COUNTA(N197:N201)</f>
        <v>0</v>
      </c>
      <c r="O202" s="95">
        <f>sum(O197:O201)</f>
        <v>0</v>
      </c>
      <c r="P202" s="118">
        <f>COUNTA(P197:P201)</f>
        <v>0</v>
      </c>
      <c r="Q202" s="95">
        <f>sum(Q197:Q201)</f>
        <v>0</v>
      </c>
      <c r="R202" s="118">
        <f>COUNTA(R197:R201)</f>
        <v>0</v>
      </c>
      <c r="S202" s="95">
        <f>sum(S197:S201)</f>
        <v>0</v>
      </c>
      <c r="T202" s="118">
        <f>COUNTA(T197:T201)</f>
        <v>0</v>
      </c>
      <c r="U202" s="95">
        <f>sum(U197:U201)</f>
        <v>0</v>
      </c>
      <c r="V202" s="118">
        <f>COUNTA(V197:V201)</f>
        <v>0</v>
      </c>
      <c r="W202" s="95">
        <f>sum(W197:W201)</f>
        <v>0</v>
      </c>
      <c r="X202" s="118">
        <f>COUNTA(X197:X201)</f>
        <v>0</v>
      </c>
      <c r="Y202" s="95">
        <f>sum(Y197:Y201)</f>
        <v>0</v>
      </c>
      <c r="Z202" s="118">
        <f>COUNTA(Z197:Z201)</f>
        <v>0</v>
      </c>
      <c r="AA202" s="95">
        <f>sum(AA197:AA201)</f>
        <v>0</v>
      </c>
      <c r="AB202" s="118">
        <f>COUNTA(AB197:AB201)</f>
        <v>0</v>
      </c>
      <c r="AC202" s="95">
        <f>sum(AC197:AC201)</f>
        <v>0</v>
      </c>
      <c r="AD202" s="118"/>
      <c r="AE202" s="95">
        <f>sum(AE197:AE201)</f>
        <v>0</v>
      </c>
      <c r="AF202" s="118">
        <f>COUNTA(AF197:AF201)</f>
        <v>2</v>
      </c>
      <c r="AG202" s="95">
        <f>sum(AG197:AG201)</f>
        <v>15</v>
      </c>
      <c r="AH202" s="118">
        <f>COUNTA(AH197:AH201)</f>
        <v>1</v>
      </c>
      <c r="AI202" s="95">
        <f>sum(AI197:AI201)</f>
        <v>10</v>
      </c>
      <c r="AJ202" s="118">
        <f>COUNTA(AJ197:AJ201)</f>
        <v>0</v>
      </c>
      <c r="AK202" s="95">
        <f>sum(AK197:AK201)</f>
        <v>0</v>
      </c>
      <c r="AL202" s="118">
        <f>COUNTA(AL197:AL201)</f>
        <v>0</v>
      </c>
      <c r="AM202" s="95">
        <f>sum(AM197:AM201)</f>
        <v>0</v>
      </c>
      <c r="AN202" s="118">
        <f>COUNTA(AN197:AN201)</f>
        <v>2</v>
      </c>
      <c r="AO202" s="95">
        <f>sum(AO197:AO201)</f>
        <v>120</v>
      </c>
      <c r="AP202" s="118">
        <f>COUNTA(AP197:AP201)</f>
        <v>2</v>
      </c>
      <c r="AQ202" s="95">
        <f>sum(AQ197:AQ201)</f>
        <v>20</v>
      </c>
      <c r="AR202" s="118">
        <f>COUNTA(AR197:AR201)</f>
        <v>1</v>
      </c>
      <c r="AS202" s="95">
        <f>sum(AS197:AS201)</f>
        <v>10</v>
      </c>
      <c r="AT202" s="118">
        <f>COUNTA(AT197:AT201)</f>
        <v>3</v>
      </c>
      <c r="AU202" s="95">
        <f>sum(AU197:AU201)</f>
        <v>150</v>
      </c>
      <c r="AV202" s="118">
        <f>COUNTA(AV197:AV201)</f>
        <v>1</v>
      </c>
      <c r="AW202" s="95">
        <f>sum(AW197:AW201)</f>
        <v>10</v>
      </c>
      <c r="AX202" s="118">
        <f>COUNTA(AX197:AX201)</f>
        <v>2</v>
      </c>
      <c r="AY202" s="95">
        <f>sum(AY197:AY201)</f>
        <v>15</v>
      </c>
      <c r="AZ202" s="118">
        <f>COUNTA(AZ197:AZ201)</f>
        <v>1</v>
      </c>
      <c r="BA202" s="95">
        <f>sum(BA197:BA201)</f>
        <v>10</v>
      </c>
    </row>
    <row r="203">
      <c r="A203" s="74" t="s">
        <v>1616</v>
      </c>
      <c r="B203" s="122"/>
      <c r="C203" s="173"/>
      <c r="D203" s="173"/>
      <c r="E203" s="75">
        <f>sum(E204:E249)</f>
        <v>0</v>
      </c>
      <c r="F203" s="75"/>
      <c r="G203" s="78">
        <f>sum(G204:G249)</f>
        <v>220</v>
      </c>
      <c r="H203" s="75"/>
      <c r="I203" s="78">
        <f>sum(I204:I249)</f>
        <v>800</v>
      </c>
      <c r="J203" s="75"/>
      <c r="K203" s="78">
        <f>sum(K204:K249)</f>
        <v>310</v>
      </c>
      <c r="L203" s="75"/>
      <c r="M203" s="78">
        <f>sum(M204:M249)</f>
        <v>340</v>
      </c>
      <c r="N203" s="75"/>
      <c r="O203" s="78">
        <f>sum(O204:O249)</f>
        <v>140</v>
      </c>
      <c r="P203" s="75"/>
      <c r="Q203" s="78">
        <f>sum(Q204:Q249)</f>
        <v>80</v>
      </c>
      <c r="R203" s="75"/>
      <c r="S203" s="78">
        <f>sum(S204:S249)</f>
        <v>160</v>
      </c>
      <c r="T203" s="75"/>
      <c r="U203" s="78">
        <f>sum(U204:U249)</f>
        <v>70</v>
      </c>
      <c r="V203" s="75"/>
      <c r="W203" s="78">
        <f>sum(W204:W249)</f>
        <v>340</v>
      </c>
      <c r="X203" s="75"/>
      <c r="Y203" s="78">
        <f>sum(Y204:Y249)</f>
        <v>50</v>
      </c>
      <c r="Z203" s="75"/>
      <c r="AA203" s="78">
        <f>sum(AA204:AA249)</f>
        <v>310</v>
      </c>
      <c r="AB203" s="75"/>
      <c r="AC203" s="78">
        <f>sum(AC204:AC249)</f>
        <v>230</v>
      </c>
      <c r="AD203" s="75"/>
      <c r="AE203" s="78">
        <f>sum(AE204:AE249)</f>
        <v>440</v>
      </c>
      <c r="AF203" s="75"/>
      <c r="AG203" s="78">
        <f>sum(AG204:AG249)</f>
        <v>200</v>
      </c>
      <c r="AH203" s="75"/>
      <c r="AI203" s="78">
        <f>sum(AI204:AI249)</f>
        <v>180</v>
      </c>
      <c r="AJ203" s="75"/>
      <c r="AK203" s="78">
        <f>sum(AK204:AK249)</f>
        <v>20</v>
      </c>
      <c r="AL203" s="75"/>
      <c r="AM203" s="78">
        <f>sum(AM204:AM249)</f>
        <v>20</v>
      </c>
      <c r="AN203" s="75"/>
      <c r="AO203" s="78">
        <f>sum(AO204:AO249)</f>
        <v>-160</v>
      </c>
      <c r="AP203" s="75"/>
      <c r="AQ203" s="78">
        <f>sum(AQ204:AQ249)</f>
        <v>40</v>
      </c>
      <c r="AR203" s="75"/>
      <c r="AS203" s="78">
        <f>sum(AS204:AS249)</f>
        <v>20</v>
      </c>
      <c r="AT203" s="75"/>
      <c r="AU203" s="78">
        <f>sum(AU204:AU249)</f>
        <v>120</v>
      </c>
      <c r="AV203" s="75"/>
      <c r="AW203" s="78">
        <f>sum(AW204:AW249)</f>
        <v>10</v>
      </c>
      <c r="AX203" s="75"/>
      <c r="AY203" s="78">
        <f>sum(AY204:AY249)</f>
        <v>170</v>
      </c>
      <c r="AZ203" s="75"/>
      <c r="BA203" s="78">
        <f>sum(BA204:BA249)</f>
        <v>40</v>
      </c>
    </row>
    <row r="204" outlineLevel="1">
      <c r="A204" s="248" t="s">
        <v>1617</v>
      </c>
      <c r="B204" s="44" t="s">
        <v>148</v>
      </c>
      <c r="C204" s="35"/>
      <c r="D204" s="35"/>
      <c r="E204" s="46"/>
      <c r="F204" s="39" t="s">
        <v>617</v>
      </c>
      <c r="G204" s="46"/>
      <c r="H204" s="39" t="s">
        <v>919</v>
      </c>
      <c r="I204" s="94">
        <v>90.0</v>
      </c>
      <c r="J204" s="39" t="s">
        <v>1618</v>
      </c>
      <c r="K204" s="94">
        <v>30.0</v>
      </c>
      <c r="L204" s="39" t="s">
        <v>819</v>
      </c>
      <c r="M204" s="94">
        <v>10.0</v>
      </c>
      <c r="N204" s="39" t="s">
        <v>940</v>
      </c>
      <c r="O204" s="94">
        <v>10.0</v>
      </c>
      <c r="P204" s="39" t="s">
        <v>1619</v>
      </c>
      <c r="Q204" s="46"/>
      <c r="R204" s="39" t="s">
        <v>1620</v>
      </c>
      <c r="S204" s="94">
        <v>10.0</v>
      </c>
      <c r="T204" s="39" t="s">
        <v>948</v>
      </c>
      <c r="U204" s="39"/>
      <c r="V204" s="39" t="s">
        <v>1029</v>
      </c>
      <c r="W204" s="253">
        <v>10.0</v>
      </c>
      <c r="X204" s="39" t="s">
        <v>1621</v>
      </c>
      <c r="Y204" s="253">
        <v>10.0</v>
      </c>
      <c r="Z204" s="39" t="s">
        <v>1056</v>
      </c>
      <c r="AA204" s="253">
        <v>10.0</v>
      </c>
      <c r="AB204" s="39" t="s">
        <v>483</v>
      </c>
      <c r="AC204" s="46"/>
      <c r="AD204" s="46"/>
      <c r="AE204" s="46"/>
      <c r="AF204" s="39" t="s">
        <v>1622</v>
      </c>
      <c r="AG204" s="95">
        <v>10.0</v>
      </c>
      <c r="AH204" s="39" t="s">
        <v>1623</v>
      </c>
      <c r="AI204" s="95">
        <v>10.0</v>
      </c>
      <c r="AJ204" s="39" t="s">
        <v>642</v>
      </c>
      <c r="AK204" s="46"/>
      <c r="AL204" s="39" t="s">
        <v>642</v>
      </c>
      <c r="AM204" s="46"/>
      <c r="AN204" s="39" t="s">
        <v>1624</v>
      </c>
      <c r="AO204" s="46"/>
      <c r="AP204" s="39" t="s">
        <v>642</v>
      </c>
      <c r="AQ204" s="95">
        <v>10.0</v>
      </c>
      <c r="AR204" s="39" t="s">
        <v>1625</v>
      </c>
      <c r="AS204" s="46"/>
      <c r="AT204" s="39" t="s">
        <v>1626</v>
      </c>
      <c r="AU204" s="95">
        <v>20.0</v>
      </c>
      <c r="AV204" s="39" t="s">
        <v>1623</v>
      </c>
      <c r="AW204" s="46"/>
      <c r="AX204" s="39" t="s">
        <v>1627</v>
      </c>
      <c r="AY204" s="46"/>
      <c r="AZ204" s="39" t="s">
        <v>1628</v>
      </c>
      <c r="BA204" s="95">
        <v>10.0</v>
      </c>
    </row>
    <row r="205" outlineLevel="1">
      <c r="A205" s="248" t="s">
        <v>1629</v>
      </c>
      <c r="B205" s="44" t="s">
        <v>148</v>
      </c>
      <c r="C205" s="35"/>
      <c r="D205" s="35"/>
      <c r="E205" s="46"/>
      <c r="F205" s="39" t="s">
        <v>618</v>
      </c>
      <c r="G205" s="255"/>
      <c r="H205" s="39" t="s">
        <v>1630</v>
      </c>
      <c r="I205" s="94">
        <v>10.0</v>
      </c>
      <c r="J205" s="39" t="s">
        <v>387</v>
      </c>
      <c r="K205" s="39"/>
      <c r="L205" s="46"/>
      <c r="M205" s="46"/>
      <c r="N205" s="46"/>
      <c r="O205" s="46"/>
      <c r="P205" s="39" t="s">
        <v>951</v>
      </c>
      <c r="Q205" s="94">
        <v>10.0</v>
      </c>
      <c r="R205" s="39" t="s">
        <v>1631</v>
      </c>
      <c r="S205" s="253">
        <v>10.0</v>
      </c>
      <c r="T205" s="39" t="s">
        <v>1632</v>
      </c>
      <c r="U205" s="39"/>
      <c r="V205" s="39" t="s">
        <v>1633</v>
      </c>
      <c r="W205" s="253">
        <v>10.0</v>
      </c>
      <c r="X205" s="46"/>
      <c r="Y205" s="46"/>
      <c r="Z205" s="39" t="s">
        <v>1047</v>
      </c>
      <c r="AA205" s="94">
        <v>30.0</v>
      </c>
      <c r="AB205" s="39" t="s">
        <v>1636</v>
      </c>
      <c r="AC205" s="255"/>
      <c r="AD205" s="46" t="s">
        <v>1637</v>
      </c>
      <c r="AE205" s="95">
        <v>10.0</v>
      </c>
      <c r="AF205" s="39" t="s">
        <v>1638</v>
      </c>
      <c r="AG205" s="46"/>
      <c r="AH205" s="39" t="s">
        <v>1639</v>
      </c>
      <c r="AI205" s="46"/>
      <c r="AJ205" s="39" t="s">
        <v>643</v>
      </c>
      <c r="AK205" s="46"/>
      <c r="AL205" s="39" t="s">
        <v>643</v>
      </c>
      <c r="AM205" s="46"/>
      <c r="AN205" s="39" t="s">
        <v>1638</v>
      </c>
      <c r="AO205" s="46"/>
      <c r="AP205" s="39" t="s">
        <v>1638</v>
      </c>
      <c r="AQ205" s="46"/>
      <c r="AR205" s="39" t="s">
        <v>387</v>
      </c>
      <c r="AS205" s="46"/>
      <c r="AT205" s="39" t="s">
        <v>1638</v>
      </c>
      <c r="AU205" s="46"/>
      <c r="AV205" s="39" t="s">
        <v>1639</v>
      </c>
      <c r="AW205" s="46"/>
      <c r="AX205" s="39" t="s">
        <v>1640</v>
      </c>
      <c r="AY205" s="253">
        <v>170.0</v>
      </c>
      <c r="AZ205" s="39" t="s">
        <v>1638</v>
      </c>
      <c r="BA205" s="46"/>
    </row>
    <row r="206" outlineLevel="1">
      <c r="A206" s="248" t="s">
        <v>1641</v>
      </c>
      <c r="B206" s="44" t="s">
        <v>148</v>
      </c>
      <c r="C206" s="35"/>
      <c r="D206" s="35"/>
      <c r="E206" s="46"/>
      <c r="F206" s="39" t="s">
        <v>619</v>
      </c>
      <c r="G206" s="46"/>
      <c r="H206" s="46"/>
      <c r="I206" s="46"/>
      <c r="J206" s="46"/>
      <c r="K206" s="46"/>
      <c r="L206" s="46"/>
      <c r="M206" s="46"/>
      <c r="N206" s="46"/>
      <c r="O206" s="46"/>
      <c r="P206" s="39" t="s">
        <v>1642</v>
      </c>
      <c r="Q206" s="94">
        <v>10.0</v>
      </c>
      <c r="R206" s="39" t="s">
        <v>1643</v>
      </c>
      <c r="S206" s="253">
        <v>10.0</v>
      </c>
      <c r="T206" s="39" t="s">
        <v>1644</v>
      </c>
      <c r="U206" s="253">
        <v>10.0</v>
      </c>
      <c r="V206" s="39" t="s">
        <v>1013</v>
      </c>
      <c r="W206" s="253">
        <v>30.0</v>
      </c>
      <c r="X206" s="46"/>
      <c r="Y206" s="46"/>
      <c r="Z206" s="39" t="s">
        <v>1645</v>
      </c>
      <c r="AA206" s="46"/>
      <c r="AB206" s="39" t="s">
        <v>1646</v>
      </c>
      <c r="AC206" s="255"/>
      <c r="AD206" s="46" t="s">
        <v>1647</v>
      </c>
      <c r="AE206" s="95">
        <v>10.0</v>
      </c>
      <c r="AF206" s="39" t="s">
        <v>1307</v>
      </c>
      <c r="AG206" s="253">
        <v>10.0</v>
      </c>
      <c r="AH206" s="39" t="s">
        <v>1648</v>
      </c>
      <c r="AI206" s="253">
        <v>30.0</v>
      </c>
      <c r="AJ206" s="39" t="s">
        <v>644</v>
      </c>
      <c r="AK206" s="46"/>
      <c r="AL206" s="39" t="s">
        <v>644</v>
      </c>
      <c r="AM206" s="46"/>
      <c r="AN206" s="39" t="s">
        <v>1649</v>
      </c>
      <c r="AO206" s="46"/>
      <c r="AP206" s="39" t="s">
        <v>1650</v>
      </c>
      <c r="AQ206" s="46"/>
      <c r="AR206" s="39" t="s">
        <v>1651</v>
      </c>
      <c r="AS206" s="94">
        <v>10.0</v>
      </c>
      <c r="AT206" s="39" t="s">
        <v>1652</v>
      </c>
      <c r="AU206" s="253">
        <v>10.0</v>
      </c>
      <c r="AV206" s="39" t="s">
        <v>1176</v>
      </c>
      <c r="AW206" s="253">
        <v>10.0</v>
      </c>
      <c r="AX206" s="39" t="s">
        <v>1653</v>
      </c>
      <c r="AY206" s="46"/>
      <c r="AZ206" s="46"/>
      <c r="BA206" s="46"/>
    </row>
    <row r="207" outlineLevel="1">
      <c r="A207" s="248" t="s">
        <v>1654</v>
      </c>
      <c r="B207" s="44" t="s">
        <v>148</v>
      </c>
      <c r="C207" s="35"/>
      <c r="D207" s="35"/>
      <c r="E207" s="46"/>
      <c r="F207" s="39" t="s">
        <v>620</v>
      </c>
      <c r="G207" s="46"/>
      <c r="H207" s="46"/>
      <c r="I207" s="46"/>
      <c r="J207" s="46"/>
      <c r="K207" s="46"/>
      <c r="L207" s="46"/>
      <c r="M207" s="46"/>
      <c r="N207" s="46"/>
      <c r="O207" s="46"/>
      <c r="P207" s="39" t="s">
        <v>1655</v>
      </c>
      <c r="Q207" s="46"/>
      <c r="R207" s="46" t="s">
        <v>1081</v>
      </c>
      <c r="S207" s="94">
        <v>30.0</v>
      </c>
      <c r="T207" s="46" t="s">
        <v>1656</v>
      </c>
      <c r="U207" s="95">
        <v>50.0</v>
      </c>
      <c r="V207" s="46"/>
      <c r="W207" s="46"/>
      <c r="X207" s="46"/>
      <c r="Y207" s="46"/>
      <c r="Z207" s="39" t="s">
        <v>387</v>
      </c>
      <c r="AA207" s="39"/>
      <c r="AB207" s="39" t="s">
        <v>1109</v>
      </c>
      <c r="AC207" s="253">
        <v>30.0</v>
      </c>
      <c r="AD207" s="46" t="s">
        <v>1657</v>
      </c>
      <c r="AE207" s="46"/>
      <c r="AF207" s="39" t="s">
        <v>1308</v>
      </c>
      <c r="AG207" s="256">
        <v>10.0</v>
      </c>
      <c r="AH207" s="39" t="s">
        <v>1658</v>
      </c>
      <c r="AI207" s="46"/>
      <c r="AJ207" s="39" t="s">
        <v>645</v>
      </c>
      <c r="AK207" s="253">
        <v>20.0</v>
      </c>
      <c r="AL207" s="39" t="s">
        <v>645</v>
      </c>
      <c r="AM207" s="253">
        <v>20.0</v>
      </c>
      <c r="AN207" s="46"/>
      <c r="AO207" s="46"/>
      <c r="AP207" s="46"/>
      <c r="AQ207" s="46"/>
      <c r="AR207" s="39" t="s">
        <v>644</v>
      </c>
      <c r="AS207" s="46"/>
      <c r="AT207" s="46" t="s">
        <v>1659</v>
      </c>
      <c r="AU207" s="253">
        <v>10.0</v>
      </c>
      <c r="AV207" s="46"/>
      <c r="AW207" s="46"/>
      <c r="AX207" s="46"/>
      <c r="AY207" s="46"/>
      <c r="AZ207" s="46"/>
      <c r="BA207" s="46"/>
    </row>
    <row r="208" outlineLevel="1">
      <c r="A208" s="248" t="s">
        <v>1660</v>
      </c>
      <c r="B208" s="44" t="s">
        <v>148</v>
      </c>
      <c r="C208" s="35"/>
      <c r="D208" s="35"/>
      <c r="E208" s="46"/>
      <c r="F208" s="39" t="s">
        <v>387</v>
      </c>
      <c r="G208" s="39"/>
      <c r="H208" s="46"/>
      <c r="I208" s="46"/>
      <c r="J208" s="46"/>
      <c r="K208" s="46"/>
      <c r="L208" s="46"/>
      <c r="M208" s="46"/>
      <c r="N208" s="46"/>
      <c r="O208" s="46"/>
      <c r="P208" s="46"/>
      <c r="Q208" s="46"/>
      <c r="R208" s="39" t="s">
        <v>1655</v>
      </c>
      <c r="S208" s="46"/>
      <c r="T208" s="46"/>
      <c r="U208" s="46"/>
      <c r="V208" s="46"/>
      <c r="W208" s="46"/>
      <c r="X208" s="46"/>
      <c r="Y208" s="46"/>
      <c r="Z208" s="46"/>
      <c r="AA208" s="46"/>
      <c r="AB208" s="39" t="s">
        <v>1661</v>
      </c>
      <c r="AC208" s="46"/>
      <c r="AD208" s="46" t="s">
        <v>1662</v>
      </c>
      <c r="AE208" s="95">
        <v>10.0</v>
      </c>
      <c r="AF208" s="39" t="s">
        <v>1309</v>
      </c>
      <c r="AG208" s="253">
        <v>50.0</v>
      </c>
      <c r="AH208" s="39" t="s">
        <v>1140</v>
      </c>
      <c r="AI208" s="94">
        <v>30.0</v>
      </c>
      <c r="AJ208" s="257" t="s">
        <v>646</v>
      </c>
      <c r="AK208" s="258"/>
      <c r="AL208" s="46"/>
      <c r="AM208" s="46"/>
      <c r="AN208" s="46"/>
      <c r="AO208" s="46"/>
      <c r="AP208" s="46"/>
      <c r="AQ208" s="46"/>
      <c r="AR208" s="39" t="s">
        <v>1663</v>
      </c>
      <c r="AS208" s="94">
        <v>10.0</v>
      </c>
      <c r="AT208" s="46"/>
      <c r="AU208" s="46"/>
      <c r="AV208" s="46"/>
      <c r="AW208" s="46"/>
      <c r="AX208" s="46"/>
      <c r="AY208" s="46"/>
      <c r="AZ208" s="46"/>
      <c r="BA208" s="46"/>
    </row>
    <row r="209" outlineLevel="1">
      <c r="A209" s="248" t="s">
        <v>1664</v>
      </c>
      <c r="B209" s="44" t="s">
        <v>148</v>
      </c>
      <c r="C209" s="35"/>
      <c r="D209" s="35"/>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224" t="s">
        <v>1665</v>
      </c>
      <c r="AC209" s="259">
        <v>-10.0</v>
      </c>
      <c r="AD209" s="46" t="s">
        <v>1666</v>
      </c>
      <c r="AE209" s="95">
        <v>10.0</v>
      </c>
      <c r="AF209" s="39" t="s">
        <v>1667</v>
      </c>
      <c r="AG209" s="46"/>
      <c r="AH209" s="46"/>
      <c r="AI209" s="46"/>
      <c r="AJ209" s="46"/>
      <c r="AK209" s="46"/>
      <c r="AL209" s="46"/>
      <c r="AM209" s="46"/>
      <c r="AN209" s="46"/>
      <c r="AO209" s="46"/>
      <c r="AP209" s="46"/>
      <c r="AQ209" s="46"/>
      <c r="AR209" s="224" t="s">
        <v>1668</v>
      </c>
      <c r="AS209" s="224"/>
      <c r="AT209" s="39"/>
      <c r="AU209" s="39"/>
      <c r="AV209" s="46"/>
      <c r="AW209" s="46"/>
      <c r="AX209" s="46"/>
      <c r="AY209" s="46"/>
      <c r="AZ209" s="46"/>
      <c r="BA209" s="46"/>
    </row>
    <row r="210" outlineLevel="1">
      <c r="A210" s="248" t="s">
        <v>1669</v>
      </c>
      <c r="B210" s="44" t="s">
        <v>148</v>
      </c>
      <c r="C210" s="35"/>
      <c r="D210" s="35"/>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257" t="s">
        <v>1670</v>
      </c>
      <c r="AC210" s="253">
        <v>-30.0</v>
      </c>
      <c r="AD210" s="46"/>
      <c r="AE210" s="46"/>
      <c r="AF210" s="46"/>
      <c r="AG210" s="46"/>
      <c r="AH210" s="46"/>
      <c r="AI210" s="46"/>
      <c r="AJ210" s="46"/>
      <c r="AK210" s="46"/>
      <c r="AL210" s="46"/>
      <c r="AM210" s="46"/>
      <c r="AN210" s="46"/>
      <c r="AO210" s="46"/>
      <c r="AP210" s="46"/>
      <c r="AQ210" s="46"/>
      <c r="AR210" s="224" t="s">
        <v>1671</v>
      </c>
      <c r="AS210" s="224"/>
      <c r="AT210" s="46"/>
      <c r="AU210" s="46"/>
      <c r="AV210" s="46"/>
      <c r="AW210" s="46"/>
      <c r="AX210" s="46"/>
      <c r="AY210" s="46"/>
      <c r="AZ210" s="46"/>
      <c r="BA210" s="46"/>
    </row>
    <row r="211" outlineLevel="1">
      <c r="A211" s="248" t="s">
        <v>1672</v>
      </c>
      <c r="B211" s="44" t="s">
        <v>148</v>
      </c>
      <c r="C211" s="35"/>
      <c r="D211" s="35"/>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row>
    <row r="212" outlineLevel="1">
      <c r="A212" s="248" t="s">
        <v>1673</v>
      </c>
      <c r="B212" s="44" t="s">
        <v>148</v>
      </c>
      <c r="C212" s="35"/>
      <c r="D212" s="35"/>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row>
    <row r="213" outlineLevel="1">
      <c r="A213" s="248" t="s">
        <v>1674</v>
      </c>
      <c r="B213" s="44" t="s">
        <v>148</v>
      </c>
      <c r="C213" s="35"/>
      <c r="D213" s="35"/>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row>
    <row r="214" outlineLevel="1">
      <c r="A214" s="35" t="s">
        <v>1675</v>
      </c>
      <c r="B214" s="46" t="s">
        <v>62</v>
      </c>
      <c r="C214" s="35"/>
      <c r="D214" s="35"/>
      <c r="E214" s="46"/>
      <c r="F214" s="39" t="s">
        <v>827</v>
      </c>
      <c r="G214" s="94">
        <v>30.0</v>
      </c>
      <c r="H214" s="39" t="s">
        <v>1676</v>
      </c>
      <c r="I214" s="253">
        <v>30.0</v>
      </c>
      <c r="J214" s="39" t="s">
        <v>868</v>
      </c>
      <c r="K214" s="94">
        <v>30.0</v>
      </c>
      <c r="L214" s="46" t="s">
        <v>800</v>
      </c>
      <c r="M214" s="253">
        <v>30.0</v>
      </c>
      <c r="N214" s="39" t="s">
        <v>332</v>
      </c>
      <c r="O214" s="46"/>
      <c r="P214" s="39" t="s">
        <v>800</v>
      </c>
      <c r="Q214" s="253">
        <v>30.0</v>
      </c>
      <c r="R214" s="39" t="s">
        <v>1677</v>
      </c>
      <c r="S214" s="253">
        <v>30.0</v>
      </c>
      <c r="T214" s="39" t="s">
        <v>323</v>
      </c>
      <c r="U214" s="46"/>
      <c r="V214" s="39" t="s">
        <v>314</v>
      </c>
      <c r="W214" s="46"/>
      <c r="X214" s="39" t="s">
        <v>987</v>
      </c>
      <c r="Y214" s="253">
        <v>30.0</v>
      </c>
      <c r="Z214" s="39" t="s">
        <v>1678</v>
      </c>
      <c r="AA214" s="94">
        <v>10.0</v>
      </c>
      <c r="AB214" s="46"/>
      <c r="AC214" s="46"/>
      <c r="AD214" s="39" t="s">
        <v>1679</v>
      </c>
      <c r="AE214" s="94">
        <v>30.0</v>
      </c>
      <c r="AF214" s="39" t="s">
        <v>1297</v>
      </c>
      <c r="AG214" s="94">
        <v>30.0</v>
      </c>
      <c r="AH214" s="46"/>
      <c r="AI214" s="46"/>
      <c r="AJ214" s="46"/>
      <c r="AK214" s="46"/>
      <c r="AL214" s="46"/>
      <c r="AM214" s="46"/>
      <c r="AN214" s="39" t="s">
        <v>1251</v>
      </c>
      <c r="AO214" s="94">
        <v>30.0</v>
      </c>
      <c r="AP214" s="39" t="s">
        <v>1251</v>
      </c>
      <c r="AQ214" s="94">
        <v>30.0</v>
      </c>
      <c r="AR214" s="39" t="s">
        <v>305</v>
      </c>
      <c r="AS214" s="46"/>
      <c r="AT214" s="39" t="s">
        <v>1251</v>
      </c>
      <c r="AU214" s="94">
        <v>30.0</v>
      </c>
      <c r="AV214" s="46"/>
      <c r="AW214" s="46"/>
      <c r="AX214" s="46"/>
      <c r="AY214" s="46"/>
      <c r="AZ214" s="39" t="s">
        <v>1251</v>
      </c>
      <c r="BA214" s="94">
        <v>30.0</v>
      </c>
    </row>
    <row r="215" outlineLevel="1">
      <c r="A215" s="35" t="s">
        <v>1680</v>
      </c>
      <c r="B215" s="46" t="s">
        <v>62</v>
      </c>
      <c r="C215" s="35"/>
      <c r="D215" s="35"/>
      <c r="E215" s="46"/>
      <c r="F215" s="46"/>
      <c r="G215" s="46"/>
      <c r="H215" s="39" t="s">
        <v>1681</v>
      </c>
      <c r="I215" s="255"/>
      <c r="J215" s="46"/>
      <c r="K215" s="46"/>
      <c r="L215" s="46"/>
      <c r="M215" s="46"/>
      <c r="N215" s="46"/>
      <c r="O215" s="46"/>
      <c r="P215" s="46"/>
      <c r="Q215" s="46"/>
      <c r="R215" s="39" t="s">
        <v>1682</v>
      </c>
      <c r="S215" s="46"/>
      <c r="T215" s="46"/>
      <c r="U215" s="46"/>
      <c r="V215" s="39" t="s">
        <v>1683</v>
      </c>
      <c r="W215" s="94">
        <v>50.0</v>
      </c>
      <c r="X215" s="46"/>
      <c r="Y215" s="46"/>
      <c r="Z215" s="46"/>
      <c r="AA215" s="46"/>
      <c r="AB215" s="46"/>
      <c r="AC215" s="46"/>
      <c r="AD215" s="46" t="s">
        <v>1684</v>
      </c>
      <c r="AE215" s="46"/>
      <c r="AF215" s="39" t="s">
        <v>1685</v>
      </c>
      <c r="AG215" s="46"/>
      <c r="AH215" s="46"/>
      <c r="AI215" s="46"/>
      <c r="AJ215" s="46"/>
      <c r="AK215" s="46"/>
      <c r="AL215" s="46"/>
      <c r="AM215" s="46"/>
      <c r="AN215" s="39" t="s">
        <v>323</v>
      </c>
      <c r="AO215" s="46"/>
      <c r="AP215" s="46"/>
      <c r="AQ215" s="46"/>
      <c r="AR215" s="39" t="s">
        <v>314</v>
      </c>
      <c r="AS215" s="46"/>
      <c r="AT215" s="46"/>
      <c r="AU215" s="46"/>
      <c r="AV215" s="46"/>
      <c r="AW215" s="46"/>
      <c r="AX215" s="46"/>
      <c r="AY215" s="46"/>
      <c r="AZ215" s="46"/>
      <c r="BA215" s="46"/>
    </row>
    <row r="216" outlineLevel="1">
      <c r="A216" s="37" t="s">
        <v>1686</v>
      </c>
      <c r="B216" s="46" t="s">
        <v>62</v>
      </c>
      <c r="C216" s="35"/>
      <c r="D216" s="35"/>
      <c r="E216" s="46"/>
      <c r="F216" s="46"/>
      <c r="G216" s="46"/>
      <c r="H216" s="46"/>
      <c r="I216" s="46"/>
      <c r="J216" s="46"/>
      <c r="K216" s="46"/>
      <c r="L216" s="39"/>
      <c r="M216" s="46"/>
      <c r="N216" s="46"/>
      <c r="O216" s="46"/>
      <c r="P216" s="46"/>
      <c r="Q216" s="46"/>
      <c r="R216" s="46"/>
      <c r="S216" s="46"/>
      <c r="T216" s="46"/>
      <c r="U216" s="46"/>
      <c r="V216" s="39" t="s">
        <v>1687</v>
      </c>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row>
    <row r="217" outlineLevel="1">
      <c r="A217" s="37" t="s">
        <v>1688</v>
      </c>
      <c r="B217" s="46" t="s">
        <v>62</v>
      </c>
      <c r="C217" s="35"/>
      <c r="D217" s="35"/>
      <c r="E217" s="46"/>
      <c r="F217" s="46"/>
      <c r="G217" s="46"/>
      <c r="H217" s="46"/>
      <c r="I217" s="46"/>
      <c r="J217" s="46"/>
      <c r="K217" s="46"/>
      <c r="L217" s="39"/>
      <c r="M217" s="46"/>
      <c r="N217" s="46"/>
      <c r="O217" s="46"/>
      <c r="P217" s="46"/>
      <c r="Q217" s="46"/>
      <c r="R217" s="46"/>
      <c r="S217" s="46"/>
      <c r="T217" s="46"/>
      <c r="U217" s="46"/>
      <c r="V217" s="39" t="s">
        <v>1689</v>
      </c>
      <c r="W217" s="94">
        <v>50.0</v>
      </c>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row>
    <row r="218" outlineLevel="1">
      <c r="A218" s="35" t="s">
        <v>1690</v>
      </c>
      <c r="B218" s="46" t="s">
        <v>70</v>
      </c>
      <c r="C218" s="35"/>
      <c r="D218" s="35"/>
      <c r="E218" s="46"/>
      <c r="F218" s="39" t="s">
        <v>359</v>
      </c>
      <c r="G218" s="46"/>
      <c r="H218" s="39" t="s">
        <v>1691</v>
      </c>
      <c r="I218" s="46"/>
      <c r="J218" s="39" t="s">
        <v>869</v>
      </c>
      <c r="K218" s="46"/>
      <c r="L218" s="39" t="s">
        <v>801</v>
      </c>
      <c r="M218" s="46"/>
      <c r="N218" s="39" t="s">
        <v>1692</v>
      </c>
      <c r="O218" s="46"/>
      <c r="P218" s="39" t="s">
        <v>1693</v>
      </c>
      <c r="Q218" s="46"/>
      <c r="R218" s="39" t="s">
        <v>359</v>
      </c>
      <c r="S218" s="46"/>
      <c r="T218" s="39" t="s">
        <v>359</v>
      </c>
      <c r="U218" s="46"/>
      <c r="V218" s="39" t="s">
        <v>359</v>
      </c>
      <c r="W218" s="46"/>
      <c r="X218" s="39" t="s">
        <v>1694</v>
      </c>
      <c r="Y218" s="46"/>
      <c r="Z218" s="39" t="s">
        <v>1695</v>
      </c>
      <c r="AA218" s="94">
        <v>25.0</v>
      </c>
      <c r="AB218" s="39" t="s">
        <v>1696</v>
      </c>
      <c r="AC218" s="94">
        <v>80.0</v>
      </c>
      <c r="AD218" s="46"/>
      <c r="AE218" s="46"/>
      <c r="AF218" s="46"/>
      <c r="AG218" s="46"/>
      <c r="AH218" s="39" t="s">
        <v>359</v>
      </c>
      <c r="AI218" s="46"/>
      <c r="AJ218" s="39" t="s">
        <v>305</v>
      </c>
      <c r="AK218" s="46"/>
      <c r="AL218" s="39" t="s">
        <v>305</v>
      </c>
      <c r="AM218" s="46"/>
      <c r="AN218" s="46"/>
      <c r="AO218" s="46"/>
      <c r="AP218" s="46"/>
      <c r="AQ218" s="46"/>
      <c r="AR218" s="39" t="s">
        <v>323</v>
      </c>
      <c r="AS218" s="46"/>
      <c r="AT218" s="39" t="s">
        <v>1697</v>
      </c>
      <c r="AU218" s="46"/>
      <c r="AV218" s="39" t="s">
        <v>323</v>
      </c>
      <c r="AW218" s="46"/>
      <c r="AX218" s="39" t="s">
        <v>1698</v>
      </c>
      <c r="AY218" s="46"/>
      <c r="AZ218" s="39" t="s">
        <v>1698</v>
      </c>
      <c r="BA218" s="46"/>
    </row>
    <row r="219" outlineLevel="1">
      <c r="A219" s="35" t="s">
        <v>1699</v>
      </c>
      <c r="B219" s="46" t="s">
        <v>70</v>
      </c>
      <c r="C219" s="35"/>
      <c r="D219" s="35"/>
      <c r="E219" s="46"/>
      <c r="F219" s="46"/>
      <c r="G219" s="46"/>
      <c r="H219" s="39" t="s">
        <v>305</v>
      </c>
      <c r="I219" s="46"/>
      <c r="J219" s="46"/>
      <c r="K219" s="46"/>
      <c r="L219" s="46"/>
      <c r="M219" s="46"/>
      <c r="N219" s="46" t="s">
        <v>927</v>
      </c>
      <c r="O219" s="94">
        <v>10.0</v>
      </c>
      <c r="P219" s="46"/>
      <c r="Q219" s="46"/>
      <c r="R219" s="46"/>
      <c r="S219" s="46"/>
      <c r="T219" s="46"/>
      <c r="U219" s="46"/>
      <c r="V219" s="46"/>
      <c r="W219" s="46"/>
      <c r="X219" s="46"/>
      <c r="Y219" s="46"/>
      <c r="Z219" s="46"/>
      <c r="AA219" s="46"/>
      <c r="AB219" s="224" t="s">
        <v>1700</v>
      </c>
      <c r="AC219" s="259">
        <v>-80.0</v>
      </c>
      <c r="AD219" s="46"/>
      <c r="AE219" s="46"/>
      <c r="AF219" s="46"/>
      <c r="AG219" s="46"/>
      <c r="AH219" s="39" t="s">
        <v>323</v>
      </c>
      <c r="AI219" s="46"/>
      <c r="AJ219" s="46"/>
      <c r="AK219" s="46"/>
      <c r="AL219" s="46"/>
      <c r="AM219" s="46"/>
      <c r="AN219" s="46"/>
      <c r="AO219" s="46"/>
      <c r="AP219" s="46"/>
      <c r="AQ219" s="46"/>
      <c r="AR219" s="46"/>
      <c r="AS219" s="46"/>
      <c r="AT219" s="46" t="s">
        <v>1701</v>
      </c>
      <c r="AU219" s="256">
        <v>50.0</v>
      </c>
      <c r="AV219" s="46"/>
      <c r="AW219" s="46"/>
      <c r="AX219" s="46"/>
      <c r="AY219" s="46"/>
      <c r="AZ219" s="46"/>
      <c r="BA219" s="46"/>
    </row>
    <row r="220" outlineLevel="1">
      <c r="A220" s="37" t="s">
        <v>1702</v>
      </c>
      <c r="B220" s="46" t="s">
        <v>70</v>
      </c>
      <c r="C220" s="35"/>
      <c r="D220" s="35"/>
      <c r="E220" s="46"/>
      <c r="F220" s="46"/>
      <c r="G220" s="46"/>
      <c r="H220" s="46"/>
      <c r="I220" s="46"/>
      <c r="J220" s="46"/>
      <c r="K220" s="46"/>
      <c r="L220" s="39"/>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row>
    <row r="221" outlineLevel="1">
      <c r="A221" s="37" t="s">
        <v>1703</v>
      </c>
      <c r="B221" s="46" t="s">
        <v>70</v>
      </c>
      <c r="C221" s="35"/>
      <c r="D221" s="35"/>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row>
    <row r="222" outlineLevel="1">
      <c r="A222" s="35" t="s">
        <v>1704</v>
      </c>
      <c r="B222" s="46" t="s">
        <v>40</v>
      </c>
      <c r="C222" s="35"/>
      <c r="D222" s="35"/>
      <c r="E222" s="46"/>
      <c r="F222" s="39" t="s">
        <v>369</v>
      </c>
      <c r="G222" s="46"/>
      <c r="H222" s="39" t="s">
        <v>369</v>
      </c>
      <c r="I222" s="46"/>
      <c r="J222" s="39" t="s">
        <v>369</v>
      </c>
      <c r="K222" s="46"/>
      <c r="L222" s="39" t="s">
        <v>369</v>
      </c>
      <c r="M222" s="46"/>
      <c r="N222" s="39" t="s">
        <v>369</v>
      </c>
      <c r="O222" s="46"/>
      <c r="P222" s="39" t="s">
        <v>369</v>
      </c>
      <c r="Q222" s="46"/>
      <c r="R222" s="39" t="s">
        <v>369</v>
      </c>
      <c r="S222" s="46"/>
      <c r="T222" s="39" t="s">
        <v>335</v>
      </c>
      <c r="U222" s="46"/>
      <c r="V222" s="39" t="s">
        <v>369</v>
      </c>
      <c r="W222" s="46"/>
      <c r="X222" s="39" t="s">
        <v>369</v>
      </c>
      <c r="Y222" s="46"/>
      <c r="Z222" s="39" t="s">
        <v>369</v>
      </c>
      <c r="AA222" s="46"/>
      <c r="AB222" s="39" t="s">
        <v>1705</v>
      </c>
      <c r="AC222" s="46"/>
      <c r="AD222" s="46" t="s">
        <v>1706</v>
      </c>
      <c r="AE222" s="46"/>
      <c r="AF222" s="46"/>
      <c r="AG222" s="46"/>
      <c r="AH222" s="39" t="s">
        <v>369</v>
      </c>
      <c r="AI222" s="46"/>
      <c r="AJ222" s="46"/>
      <c r="AK222" s="46"/>
      <c r="AL222" s="46"/>
      <c r="AM222" s="46"/>
      <c r="AN222" s="39" t="s">
        <v>350</v>
      </c>
      <c r="AO222" s="46"/>
      <c r="AP222" s="39" t="s">
        <v>350</v>
      </c>
      <c r="AQ222" s="46"/>
      <c r="AR222" s="39" t="s">
        <v>350</v>
      </c>
      <c r="AS222" s="46"/>
      <c r="AT222" s="39" t="s">
        <v>350</v>
      </c>
      <c r="AU222" s="46"/>
      <c r="AV222" s="39" t="s">
        <v>350</v>
      </c>
      <c r="AW222" s="46"/>
      <c r="AX222" s="39" t="s">
        <v>350</v>
      </c>
      <c r="AY222" s="46"/>
      <c r="AZ222" s="39" t="s">
        <v>350</v>
      </c>
      <c r="BA222" s="46"/>
    </row>
    <row r="223" outlineLevel="1">
      <c r="A223" s="35" t="s">
        <v>1707</v>
      </c>
      <c r="B223" s="46" t="s">
        <v>40</v>
      </c>
      <c r="C223" s="35"/>
      <c r="D223" s="35"/>
      <c r="E223" s="46"/>
      <c r="F223" s="39" t="s">
        <v>374</v>
      </c>
      <c r="G223" s="46"/>
      <c r="H223" s="257" t="s">
        <v>904</v>
      </c>
      <c r="I223" s="262">
        <f>Master</f>
        <v>110</v>
      </c>
      <c r="J223" s="39" t="s">
        <v>1708</v>
      </c>
      <c r="K223" s="263">
        <v>10.0</v>
      </c>
      <c r="L223" s="39" t="s">
        <v>317</v>
      </c>
      <c r="M223" s="46"/>
      <c r="N223" s="39" t="s">
        <v>326</v>
      </c>
      <c r="O223" s="46"/>
      <c r="P223" s="39" t="s">
        <v>326</v>
      </c>
      <c r="Q223" s="46"/>
      <c r="R223" s="39" t="s">
        <v>308</v>
      </c>
      <c r="S223" s="46"/>
      <c r="T223" s="39" t="s">
        <v>369</v>
      </c>
      <c r="U223" s="46"/>
      <c r="V223" s="39" t="s">
        <v>326</v>
      </c>
      <c r="W223" s="46"/>
      <c r="X223" s="39" t="s">
        <v>308</v>
      </c>
      <c r="Y223" s="46"/>
      <c r="Z223" s="39" t="s">
        <v>1709</v>
      </c>
      <c r="AA223" s="46"/>
      <c r="AB223" s="39" t="s">
        <v>332</v>
      </c>
      <c r="AC223" s="46"/>
      <c r="AD223" s="46" t="s">
        <v>1710</v>
      </c>
      <c r="AE223" s="46"/>
      <c r="AF223" s="46"/>
      <c r="AG223" s="46"/>
      <c r="AH223" s="46"/>
      <c r="AI223" s="46"/>
      <c r="AJ223" s="46"/>
      <c r="AK223" s="46"/>
      <c r="AL223" s="46"/>
      <c r="AM223" s="46"/>
      <c r="AN223" s="46"/>
      <c r="AO223" s="46"/>
      <c r="AP223" s="39" t="s">
        <v>335</v>
      </c>
      <c r="AQ223" s="46"/>
      <c r="AR223" s="46"/>
      <c r="AS223" s="46"/>
      <c r="AT223" s="46"/>
      <c r="AU223" s="46"/>
      <c r="AV223" s="46"/>
      <c r="AW223" s="46"/>
      <c r="AX223" s="46"/>
      <c r="AY223" s="46"/>
      <c r="AZ223" s="46"/>
      <c r="BA223" s="46"/>
    </row>
    <row r="224" outlineLevel="1">
      <c r="A224" s="37" t="s">
        <v>1711</v>
      </c>
      <c r="B224" s="46" t="s">
        <v>40</v>
      </c>
      <c r="C224" s="35"/>
      <c r="D224" s="35"/>
      <c r="E224" s="46"/>
      <c r="F224" s="46"/>
      <c r="G224" s="46"/>
      <c r="H224" s="46"/>
      <c r="I224" s="46"/>
      <c r="J224" s="46"/>
      <c r="K224" s="46"/>
      <c r="L224" s="39"/>
      <c r="M224" s="46"/>
      <c r="N224" s="39" t="s">
        <v>308</v>
      </c>
      <c r="O224" s="46"/>
      <c r="P224" s="39" t="s">
        <v>308</v>
      </c>
      <c r="Q224" s="46"/>
      <c r="R224" s="46"/>
      <c r="S224" s="46"/>
      <c r="T224" s="46"/>
      <c r="U224" s="46"/>
      <c r="V224" s="46"/>
      <c r="W224" s="46"/>
      <c r="X224" s="46"/>
      <c r="Y224" s="46"/>
      <c r="Z224" s="39" t="s">
        <v>1712</v>
      </c>
      <c r="AA224" s="94">
        <v>10.0</v>
      </c>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row>
    <row r="225" outlineLevel="1">
      <c r="A225" s="37" t="s">
        <v>1713</v>
      </c>
      <c r="B225" s="46" t="s">
        <v>40</v>
      </c>
      <c r="C225" s="35"/>
      <c r="D225" s="35"/>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row>
    <row r="226" outlineLevel="1">
      <c r="A226" s="35" t="s">
        <v>1714</v>
      </c>
      <c r="B226" s="46" t="s">
        <v>38</v>
      </c>
      <c r="C226" s="35"/>
      <c r="D226" s="35"/>
      <c r="E226" s="46"/>
      <c r="F226" s="39" t="s">
        <v>829</v>
      </c>
      <c r="G226" s="46"/>
      <c r="H226" s="39" t="s">
        <v>1715</v>
      </c>
      <c r="I226" s="46"/>
      <c r="J226" s="39" t="s">
        <v>871</v>
      </c>
      <c r="K226" s="94">
        <v>90.0</v>
      </c>
      <c r="L226" s="39" t="s">
        <v>1716</v>
      </c>
      <c r="M226" s="94">
        <v>30.0</v>
      </c>
      <c r="N226" s="39" t="s">
        <v>1717</v>
      </c>
      <c r="O226" s="46"/>
      <c r="P226" s="39" t="s">
        <v>1718</v>
      </c>
      <c r="Q226" s="253">
        <v>10.0</v>
      </c>
      <c r="R226" s="39" t="s">
        <v>1069</v>
      </c>
      <c r="S226" s="94">
        <v>10.0</v>
      </c>
      <c r="T226" s="39" t="s">
        <v>308</v>
      </c>
      <c r="U226" s="46"/>
      <c r="V226" s="39" t="s">
        <v>1719</v>
      </c>
      <c r="W226" s="46"/>
      <c r="X226" s="39" t="s">
        <v>1720</v>
      </c>
      <c r="Y226" s="46"/>
      <c r="Z226" s="39" t="s">
        <v>1721</v>
      </c>
      <c r="AA226" s="46"/>
      <c r="AB226" s="39" t="s">
        <v>1722</v>
      </c>
      <c r="AC226" s="46"/>
      <c r="AD226" s="46" t="s">
        <v>1723</v>
      </c>
      <c r="AE226" s="46"/>
      <c r="AF226" s="39" t="s">
        <v>350</v>
      </c>
      <c r="AG226" s="46"/>
      <c r="AH226" s="39" t="s">
        <v>350</v>
      </c>
      <c r="AI226" s="46"/>
      <c r="AJ226" s="39" t="s">
        <v>335</v>
      </c>
      <c r="AK226" s="46"/>
      <c r="AL226" s="39" t="s">
        <v>335</v>
      </c>
      <c r="AM226" s="46"/>
      <c r="AN226" s="39" t="s">
        <v>314</v>
      </c>
      <c r="AO226" s="46"/>
      <c r="AP226" s="39" t="s">
        <v>1698</v>
      </c>
      <c r="AQ226" s="46"/>
      <c r="AR226" s="46"/>
      <c r="AS226" s="46"/>
      <c r="AT226" s="39" t="s">
        <v>314</v>
      </c>
      <c r="AU226" s="46"/>
      <c r="AV226" s="39" t="s">
        <v>1698</v>
      </c>
      <c r="AW226" s="46"/>
      <c r="AX226" s="39" t="s">
        <v>323</v>
      </c>
      <c r="AY226" s="46"/>
      <c r="AZ226" s="39" t="s">
        <v>323</v>
      </c>
      <c r="BA226" s="46"/>
    </row>
    <row r="227" outlineLevel="1">
      <c r="A227" s="35" t="s">
        <v>1724</v>
      </c>
      <c r="B227" s="46" t="s">
        <v>38</v>
      </c>
      <c r="C227" s="35"/>
      <c r="D227" s="35"/>
      <c r="E227" s="46"/>
      <c r="F227" s="39" t="s">
        <v>323</v>
      </c>
      <c r="G227" s="46"/>
      <c r="H227" s="39" t="s">
        <v>905</v>
      </c>
      <c r="I227" s="94">
        <v>70.0</v>
      </c>
      <c r="J227" s="39" t="s">
        <v>317</v>
      </c>
      <c r="K227" s="46"/>
      <c r="L227" s="39" t="s">
        <v>323</v>
      </c>
      <c r="M227" s="46"/>
      <c r="N227" s="46" t="s">
        <v>928</v>
      </c>
      <c r="O227" s="253">
        <v>10.0</v>
      </c>
      <c r="P227" s="39" t="s">
        <v>314</v>
      </c>
      <c r="Q227" s="46"/>
      <c r="R227" s="39" t="s">
        <v>314</v>
      </c>
      <c r="S227" s="46"/>
      <c r="T227" s="39" t="s">
        <v>1725</v>
      </c>
      <c r="U227" s="39"/>
      <c r="V227" s="46"/>
      <c r="W227" s="46"/>
      <c r="X227" s="46"/>
      <c r="Y227" s="46"/>
      <c r="Z227" s="46"/>
      <c r="AA227" s="46"/>
      <c r="AB227" s="39" t="s">
        <v>305</v>
      </c>
      <c r="AC227" s="46"/>
      <c r="AD227" s="46"/>
      <c r="AE227" s="46"/>
      <c r="AF227" s="39" t="s">
        <v>1726</v>
      </c>
      <c r="AG227" s="46"/>
      <c r="AH227" s="39" t="s">
        <v>305</v>
      </c>
      <c r="AI227" s="46"/>
      <c r="AJ227" s="46"/>
      <c r="AK227" s="46"/>
      <c r="AL227" s="46"/>
      <c r="AM227" s="46"/>
      <c r="AN227" s="39" t="s">
        <v>335</v>
      </c>
      <c r="AO227" s="46"/>
      <c r="AP227" s="46"/>
      <c r="AQ227" s="46"/>
      <c r="AR227" s="46"/>
      <c r="AS227" s="46"/>
      <c r="AT227" s="46"/>
      <c r="AU227" s="46"/>
      <c r="AV227" s="46"/>
      <c r="AW227" s="46"/>
      <c r="AX227" s="46"/>
      <c r="AY227" s="46"/>
      <c r="AZ227" s="46"/>
      <c r="BA227" s="46"/>
    </row>
    <row r="228" outlineLevel="1">
      <c r="A228" s="37" t="s">
        <v>1727</v>
      </c>
      <c r="B228" s="46" t="s">
        <v>38</v>
      </c>
      <c r="C228" s="35"/>
      <c r="D228" s="35"/>
      <c r="E228" s="46"/>
      <c r="F228" s="39" t="s">
        <v>317</v>
      </c>
      <c r="G228" s="46"/>
      <c r="H228" s="46"/>
      <c r="I228" s="46"/>
      <c r="J228" s="46"/>
      <c r="K228" s="46"/>
      <c r="L228" s="39"/>
      <c r="M228" s="46"/>
      <c r="N228" s="46"/>
      <c r="O228" s="46"/>
      <c r="P228" s="46"/>
      <c r="Q228" s="46"/>
      <c r="R228" s="46"/>
      <c r="S228" s="46"/>
      <c r="T228" s="46"/>
      <c r="U228" s="46"/>
      <c r="V228" s="46"/>
      <c r="W228" s="46"/>
      <c r="X228" s="46"/>
      <c r="Y228" s="46"/>
      <c r="Z228" s="46"/>
      <c r="AA228" s="46"/>
      <c r="AB228" s="39" t="s">
        <v>1095</v>
      </c>
      <c r="AC228" s="253">
        <v>90.0</v>
      </c>
      <c r="AD228" s="46"/>
      <c r="AE228" s="46"/>
      <c r="AF228" s="46"/>
      <c r="AG228" s="46"/>
      <c r="AH228" s="39" t="s">
        <v>335</v>
      </c>
      <c r="AI228" s="46"/>
      <c r="AJ228" s="46"/>
      <c r="AK228" s="46"/>
      <c r="AL228" s="46"/>
      <c r="AM228" s="46"/>
      <c r="AN228" s="46"/>
      <c r="AO228" s="46"/>
      <c r="AP228" s="46"/>
      <c r="AQ228" s="46"/>
      <c r="AR228" s="46"/>
      <c r="AS228" s="46"/>
      <c r="AT228" s="46"/>
      <c r="AU228" s="46"/>
      <c r="AV228" s="46"/>
      <c r="AW228" s="46"/>
      <c r="AX228" s="46"/>
      <c r="AY228" s="46"/>
      <c r="AZ228" s="46"/>
      <c r="BA228" s="46"/>
    </row>
    <row r="229" outlineLevel="1">
      <c r="A229" s="37" t="s">
        <v>1728</v>
      </c>
      <c r="B229" s="46" t="s">
        <v>38</v>
      </c>
      <c r="C229" s="35"/>
      <c r="D229" s="35"/>
      <c r="E229" s="46"/>
      <c r="F229" s="46"/>
      <c r="G229" s="46"/>
      <c r="H229" s="46"/>
      <c r="I229" s="46"/>
      <c r="J229" s="46"/>
      <c r="K229" s="46"/>
      <c r="L229" s="39"/>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row>
    <row r="230" outlineLevel="1">
      <c r="A230" s="35" t="s">
        <v>1729</v>
      </c>
      <c r="B230" s="46" t="s">
        <v>27</v>
      </c>
      <c r="C230" s="35"/>
      <c r="D230" s="35"/>
      <c r="E230" s="46"/>
      <c r="F230" s="39" t="s">
        <v>305</v>
      </c>
      <c r="G230" s="46"/>
      <c r="H230" s="257" t="s">
        <v>906</v>
      </c>
      <c r="I230" s="262">
        <f>Master</f>
        <v>110</v>
      </c>
      <c r="J230" s="39" t="s">
        <v>374</v>
      </c>
      <c r="K230" s="46"/>
      <c r="L230" s="39" t="s">
        <v>1730</v>
      </c>
      <c r="M230" s="253">
        <v>110.0</v>
      </c>
      <c r="N230" s="39" t="s">
        <v>1731</v>
      </c>
      <c r="O230" s="46"/>
      <c r="P230" s="39" t="s">
        <v>1732</v>
      </c>
      <c r="Q230" s="46"/>
      <c r="R230" s="39" t="s">
        <v>1070</v>
      </c>
      <c r="S230" s="253">
        <v>50.0</v>
      </c>
      <c r="T230" s="39" t="s">
        <v>1731</v>
      </c>
      <c r="U230" s="46"/>
      <c r="V230" s="39" t="s">
        <v>1733</v>
      </c>
      <c r="W230" s="253">
        <v>10.0</v>
      </c>
      <c r="X230" s="39" t="s">
        <v>326</v>
      </c>
      <c r="Y230" s="46"/>
      <c r="Z230" s="39" t="s">
        <v>1731</v>
      </c>
      <c r="AA230" s="94">
        <v>25.0</v>
      </c>
      <c r="AB230" s="39" t="s">
        <v>317</v>
      </c>
      <c r="AC230" s="46"/>
      <c r="AD230" s="46" t="s">
        <v>359</v>
      </c>
      <c r="AE230" s="95"/>
      <c r="AF230" s="39" t="s">
        <v>1734</v>
      </c>
      <c r="AG230" s="46"/>
      <c r="AH230" s="39" t="s">
        <v>1731</v>
      </c>
      <c r="AI230" s="46"/>
      <c r="AJ230" s="39" t="s">
        <v>323</v>
      </c>
      <c r="AK230" s="46"/>
      <c r="AL230" s="39" t="s">
        <v>323</v>
      </c>
      <c r="AM230" s="46"/>
      <c r="AN230" s="39" t="s">
        <v>1735</v>
      </c>
      <c r="AO230" s="46"/>
      <c r="AP230" s="39" t="s">
        <v>359</v>
      </c>
      <c r="AQ230" s="46"/>
      <c r="AR230" s="39" t="s">
        <v>1736</v>
      </c>
      <c r="AS230" s="46"/>
      <c r="AT230" s="39" t="s">
        <v>1737</v>
      </c>
      <c r="AU230" s="46"/>
      <c r="AV230" s="39" t="s">
        <v>1738</v>
      </c>
      <c r="AW230" s="46"/>
      <c r="AX230" s="39" t="s">
        <v>359</v>
      </c>
      <c r="AY230" s="46"/>
      <c r="AZ230" s="39" t="s">
        <v>359</v>
      </c>
      <c r="BA230" s="46"/>
    </row>
    <row r="231" outlineLevel="1">
      <c r="A231" s="35" t="s">
        <v>1739</v>
      </c>
      <c r="B231" s="46" t="s">
        <v>27</v>
      </c>
      <c r="C231" s="35"/>
      <c r="D231" s="35"/>
      <c r="E231" s="46"/>
      <c r="F231" s="39" t="s">
        <v>1008</v>
      </c>
      <c r="G231" s="46"/>
      <c r="H231" s="46"/>
      <c r="I231" s="46"/>
      <c r="J231" s="39" t="s">
        <v>1740</v>
      </c>
      <c r="K231" s="46"/>
      <c r="L231" s="46"/>
      <c r="M231" s="46"/>
      <c r="N231" s="46" t="s">
        <v>929</v>
      </c>
      <c r="O231" s="253">
        <v>10.0</v>
      </c>
      <c r="P231" s="46"/>
      <c r="Q231" s="46"/>
      <c r="R231" s="39" t="s">
        <v>335</v>
      </c>
      <c r="S231" s="46"/>
      <c r="T231" s="39"/>
      <c r="U231" s="46"/>
      <c r="V231" s="39" t="s">
        <v>308</v>
      </c>
      <c r="W231" s="46"/>
      <c r="X231" s="46"/>
      <c r="Y231" s="46"/>
      <c r="Z231" s="39" t="s">
        <v>335</v>
      </c>
      <c r="AA231" s="46"/>
      <c r="AB231" s="46"/>
      <c r="AC231" s="46"/>
      <c r="AD231" s="46" t="s">
        <v>1741</v>
      </c>
      <c r="AE231" s="46"/>
      <c r="AF231" s="46"/>
      <c r="AG231" s="46"/>
      <c r="AH231" s="46"/>
      <c r="AI231" s="46"/>
      <c r="AJ231" s="46"/>
      <c r="AK231" s="46"/>
      <c r="AL231" s="46"/>
      <c r="AM231" s="46"/>
      <c r="AN231" s="39" t="s">
        <v>308</v>
      </c>
      <c r="AO231" s="46"/>
      <c r="AP231" s="39" t="s">
        <v>305</v>
      </c>
      <c r="AQ231" s="46"/>
      <c r="AR231" s="39" t="s">
        <v>335</v>
      </c>
      <c r="AS231" s="46"/>
      <c r="AT231" s="39" t="s">
        <v>1742</v>
      </c>
      <c r="AU231" s="46"/>
      <c r="AV231" s="39" t="s">
        <v>305</v>
      </c>
      <c r="AW231" s="46"/>
      <c r="AX231" s="39" t="s">
        <v>305</v>
      </c>
      <c r="AY231" s="46"/>
      <c r="AZ231" s="39" t="s">
        <v>305</v>
      </c>
      <c r="BA231" s="46"/>
    </row>
    <row r="232" outlineLevel="1">
      <c r="A232" s="37" t="s">
        <v>1743</v>
      </c>
      <c r="B232" s="46" t="s">
        <v>27</v>
      </c>
      <c r="C232" s="35"/>
      <c r="D232" s="35"/>
      <c r="E232" s="46"/>
      <c r="F232" s="46"/>
      <c r="G232" s="46"/>
      <c r="H232" s="46"/>
      <c r="I232" s="46"/>
      <c r="J232" s="46"/>
      <c r="K232" s="46"/>
      <c r="L232" s="39"/>
      <c r="M232" s="46"/>
      <c r="N232" s="39" t="s">
        <v>317</v>
      </c>
      <c r="O232" s="46"/>
      <c r="P232" s="46"/>
      <c r="Q232" s="46"/>
      <c r="R232" s="46"/>
      <c r="S232" s="46"/>
      <c r="T232" s="46"/>
      <c r="U232" s="46"/>
      <c r="V232" s="46"/>
      <c r="W232" s="46"/>
      <c r="X232" s="46"/>
      <c r="Y232" s="46"/>
      <c r="Z232" s="46"/>
      <c r="AA232" s="46"/>
      <c r="AB232" s="46"/>
      <c r="AC232" s="46"/>
      <c r="AD232" s="46" t="s">
        <v>1744</v>
      </c>
      <c r="AE232" s="95">
        <v>110.0</v>
      </c>
      <c r="AF232" s="39" t="s">
        <v>1745</v>
      </c>
      <c r="AG232" s="46"/>
      <c r="AH232" s="46"/>
      <c r="AI232" s="46"/>
      <c r="AJ232" s="46"/>
      <c r="AK232" s="46"/>
      <c r="AL232" s="46"/>
      <c r="AM232" s="46"/>
      <c r="AN232" s="46"/>
      <c r="AO232" s="46"/>
      <c r="AP232" s="46"/>
      <c r="AQ232" s="46"/>
      <c r="AR232" s="46"/>
      <c r="AS232" s="46"/>
      <c r="AT232" s="46" t="s">
        <v>1746</v>
      </c>
      <c r="AU232" s="46"/>
      <c r="AV232" s="46"/>
      <c r="AW232" s="46"/>
      <c r="AX232" s="46"/>
      <c r="AY232" s="46"/>
      <c r="AZ232" s="46"/>
      <c r="BA232" s="46"/>
    </row>
    <row r="233" outlineLevel="1">
      <c r="A233" s="37" t="s">
        <v>1747</v>
      </c>
      <c r="B233" s="46" t="s">
        <v>27</v>
      </c>
      <c r="C233" s="35"/>
      <c r="D233" s="35"/>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95"/>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row>
    <row r="234" outlineLevel="1">
      <c r="A234" s="35" t="s">
        <v>1748</v>
      </c>
      <c r="B234" s="46" t="s">
        <v>37</v>
      </c>
      <c r="C234" s="35"/>
      <c r="D234" s="35"/>
      <c r="E234" s="46"/>
      <c r="F234" s="39" t="s">
        <v>362</v>
      </c>
      <c r="G234" s="46"/>
      <c r="H234" s="39" t="s">
        <v>953</v>
      </c>
      <c r="I234" s="46"/>
      <c r="J234" s="39" t="s">
        <v>365</v>
      </c>
      <c r="K234" s="46"/>
      <c r="L234" s="39" t="s">
        <v>1749</v>
      </c>
      <c r="M234" s="46"/>
      <c r="N234" s="39" t="s">
        <v>362</v>
      </c>
      <c r="O234" s="46"/>
      <c r="P234" s="39" t="s">
        <v>1750</v>
      </c>
      <c r="Q234" s="46"/>
      <c r="R234" s="39" t="s">
        <v>362</v>
      </c>
      <c r="S234" s="46"/>
      <c r="T234" s="39" t="s">
        <v>338</v>
      </c>
      <c r="U234" s="46"/>
      <c r="V234" s="39" t="s">
        <v>362</v>
      </c>
      <c r="W234" s="46"/>
      <c r="X234" s="39" t="s">
        <v>1751</v>
      </c>
      <c r="Y234" s="46"/>
      <c r="Z234" s="39" t="s">
        <v>1752</v>
      </c>
      <c r="AA234" s="46"/>
      <c r="AB234" s="39" t="s">
        <v>369</v>
      </c>
      <c r="AC234" s="46"/>
      <c r="AD234" s="46" t="s">
        <v>369</v>
      </c>
      <c r="AE234" s="46"/>
      <c r="AF234" s="39" t="s">
        <v>369</v>
      </c>
      <c r="AG234" s="46"/>
      <c r="AH234" s="39" t="s">
        <v>362</v>
      </c>
      <c r="AI234" s="46"/>
      <c r="AJ234" s="39" t="s">
        <v>369</v>
      </c>
      <c r="AK234" s="46"/>
      <c r="AL234" s="39" t="s">
        <v>369</v>
      </c>
      <c r="AM234" s="46"/>
      <c r="AN234" s="39" t="s">
        <v>369</v>
      </c>
      <c r="AO234" s="46"/>
      <c r="AP234" s="39" t="s">
        <v>369</v>
      </c>
      <c r="AQ234" s="46"/>
      <c r="AR234" s="39" t="s">
        <v>369</v>
      </c>
      <c r="AS234" s="46"/>
      <c r="AT234" s="39" t="s">
        <v>369</v>
      </c>
      <c r="AU234" s="46"/>
      <c r="AV234" s="39" t="s">
        <v>369</v>
      </c>
      <c r="AW234" s="46"/>
      <c r="AX234" s="39" t="s">
        <v>369</v>
      </c>
      <c r="AY234" s="46"/>
      <c r="AZ234" s="39" t="s">
        <v>369</v>
      </c>
      <c r="BA234" s="46"/>
    </row>
    <row r="235" outlineLevel="1">
      <c r="A235" s="35" t="s">
        <v>1753</v>
      </c>
      <c r="B235" s="46" t="s">
        <v>37</v>
      </c>
      <c r="C235" s="35"/>
      <c r="D235" s="35"/>
      <c r="E235" s="46"/>
      <c r="F235" s="39" t="s">
        <v>380</v>
      </c>
      <c r="G235" s="46"/>
      <c r="H235" s="39" t="s">
        <v>1754</v>
      </c>
      <c r="I235" s="46"/>
      <c r="J235" s="46"/>
      <c r="K235" s="46"/>
      <c r="L235" s="39" t="s">
        <v>1731</v>
      </c>
      <c r="M235" s="46"/>
      <c r="N235" s="46"/>
      <c r="O235" s="46"/>
      <c r="P235" s="39" t="s">
        <v>1755</v>
      </c>
      <c r="Q235" s="46"/>
      <c r="R235" s="39" t="s">
        <v>1755</v>
      </c>
      <c r="S235" s="46"/>
      <c r="T235" s="39" t="s">
        <v>362</v>
      </c>
      <c r="U235" s="46"/>
      <c r="V235" s="39" t="s">
        <v>1755</v>
      </c>
      <c r="W235" s="46"/>
      <c r="X235" s="39" t="s">
        <v>1731</v>
      </c>
      <c r="Y235" s="46"/>
      <c r="Z235" s="39" t="s">
        <v>305</v>
      </c>
      <c r="AA235" s="46"/>
      <c r="AB235" s="39" t="s">
        <v>1755</v>
      </c>
      <c r="AC235" s="46"/>
      <c r="AD235" s="46" t="s">
        <v>1755</v>
      </c>
      <c r="AE235" s="46"/>
      <c r="AF235" s="39" t="s">
        <v>1756</v>
      </c>
      <c r="AG235" s="46"/>
      <c r="AH235" s="46"/>
      <c r="AI235" s="46"/>
      <c r="AJ235" s="39" t="s">
        <v>1316</v>
      </c>
      <c r="AK235" s="46"/>
      <c r="AL235" s="39" t="s">
        <v>1316</v>
      </c>
      <c r="AM235" s="46"/>
      <c r="AN235" s="39" t="s">
        <v>1755</v>
      </c>
      <c r="AO235" s="46"/>
      <c r="AP235" s="39" t="s">
        <v>1755</v>
      </c>
      <c r="AQ235" s="46"/>
      <c r="AR235" s="39" t="s">
        <v>1731</v>
      </c>
      <c r="AS235" s="46"/>
      <c r="AT235" s="46" t="s">
        <v>1757</v>
      </c>
      <c r="AU235" s="46"/>
      <c r="AV235" s="39" t="s">
        <v>1756</v>
      </c>
      <c r="AW235" s="46"/>
      <c r="AX235" s="39" t="s">
        <v>1756</v>
      </c>
      <c r="AY235" s="46"/>
      <c r="AZ235" s="39" t="s">
        <v>1756</v>
      </c>
      <c r="BA235" s="46"/>
    </row>
    <row r="236" outlineLevel="1">
      <c r="A236" s="37" t="s">
        <v>1758</v>
      </c>
      <c r="B236" s="46" t="s">
        <v>37</v>
      </c>
      <c r="C236" s="35"/>
      <c r="D236" s="35"/>
      <c r="E236" s="46"/>
      <c r="F236" s="46"/>
      <c r="G236" s="46"/>
      <c r="H236" s="46"/>
      <c r="I236" s="46"/>
      <c r="J236" s="46"/>
      <c r="K236" s="46"/>
      <c r="L236" s="39" t="s">
        <v>320</v>
      </c>
      <c r="M236" s="46"/>
      <c r="N236" s="46"/>
      <c r="O236" s="46"/>
      <c r="P236" s="39" t="s">
        <v>329</v>
      </c>
      <c r="Q236" s="46"/>
      <c r="R236" s="39" t="s">
        <v>311</v>
      </c>
      <c r="S236" s="46"/>
      <c r="T236" s="46"/>
      <c r="U236" s="46"/>
      <c r="V236" s="39" t="s">
        <v>329</v>
      </c>
      <c r="W236" s="46"/>
      <c r="X236" s="46"/>
      <c r="Y236" s="46"/>
      <c r="Z236" s="46"/>
      <c r="AA236" s="46"/>
      <c r="AB236" s="46"/>
      <c r="AC236" s="46"/>
      <c r="AD236" s="46"/>
      <c r="AE236" s="46"/>
      <c r="AF236" s="46"/>
      <c r="AG236" s="46"/>
      <c r="AH236" s="46"/>
      <c r="AI236" s="46"/>
      <c r="AJ236" s="46"/>
      <c r="AK236" s="46"/>
      <c r="AL236" s="46"/>
      <c r="AM236" s="46"/>
      <c r="AN236" s="46"/>
      <c r="AO236" s="46"/>
      <c r="AP236" s="39" t="s">
        <v>323</v>
      </c>
      <c r="AQ236" s="46"/>
      <c r="AR236" s="46"/>
      <c r="AS236" s="46"/>
      <c r="AT236" s="46"/>
      <c r="AU236" s="46"/>
      <c r="AV236" s="46"/>
      <c r="AW236" s="46"/>
      <c r="AX236" s="46"/>
      <c r="AY236" s="46"/>
      <c r="AZ236" s="46"/>
      <c r="BA236" s="46"/>
    </row>
    <row r="237" outlineLevel="1">
      <c r="A237" s="37" t="s">
        <v>1759</v>
      </c>
      <c r="B237" s="46" t="s">
        <v>37</v>
      </c>
      <c r="C237" s="35"/>
      <c r="D237" s="35"/>
      <c r="E237" s="46"/>
      <c r="F237" s="46"/>
      <c r="G237" s="46"/>
      <c r="H237" s="46"/>
      <c r="I237" s="46"/>
      <c r="J237" s="46"/>
      <c r="K237" s="46"/>
      <c r="L237" s="46"/>
      <c r="M237" s="46"/>
      <c r="N237" s="46"/>
      <c r="O237" s="46"/>
      <c r="P237" s="39" t="s">
        <v>311</v>
      </c>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row>
    <row r="238" outlineLevel="1">
      <c r="A238" s="35" t="s">
        <v>1760</v>
      </c>
      <c r="B238" s="46" t="s">
        <v>50</v>
      </c>
      <c r="C238" s="35"/>
      <c r="D238" s="35"/>
      <c r="E238" s="46"/>
      <c r="F238" s="39" t="s">
        <v>371</v>
      </c>
      <c r="G238" s="46"/>
      <c r="H238" s="39" t="s">
        <v>371</v>
      </c>
      <c r="I238" s="46"/>
      <c r="J238" s="39" t="s">
        <v>371</v>
      </c>
      <c r="K238" s="46"/>
      <c r="L238" s="39" t="s">
        <v>371</v>
      </c>
      <c r="M238" s="46"/>
      <c r="N238" s="39" t="s">
        <v>371</v>
      </c>
      <c r="O238" s="46"/>
      <c r="P238" s="39" t="s">
        <v>371</v>
      </c>
      <c r="Q238" s="46"/>
      <c r="R238" s="39" t="s">
        <v>371</v>
      </c>
      <c r="S238" s="46"/>
      <c r="T238" s="39" t="s">
        <v>371</v>
      </c>
      <c r="U238" s="46"/>
      <c r="V238" s="39" t="s">
        <v>371</v>
      </c>
      <c r="W238" s="46"/>
      <c r="X238" s="39" t="s">
        <v>371</v>
      </c>
      <c r="Y238" s="46"/>
      <c r="Z238" s="39" t="s">
        <v>371</v>
      </c>
      <c r="AA238" s="46"/>
      <c r="AB238" s="39" t="s">
        <v>1098</v>
      </c>
      <c r="AC238" s="253">
        <v>150.0</v>
      </c>
      <c r="AD238" s="46" t="s">
        <v>1761</v>
      </c>
      <c r="AE238" s="46"/>
      <c r="AF238" s="39" t="s">
        <v>1762</v>
      </c>
      <c r="AG238" s="46"/>
      <c r="AH238" s="39" t="s">
        <v>371</v>
      </c>
      <c r="AI238" s="46"/>
      <c r="AJ238" s="46"/>
      <c r="AK238" s="46"/>
      <c r="AL238" s="46"/>
      <c r="AM238" s="46"/>
      <c r="AN238" s="39" t="s">
        <v>353</v>
      </c>
      <c r="AO238" s="46"/>
      <c r="AP238" s="39" t="s">
        <v>353</v>
      </c>
      <c r="AQ238" s="46"/>
      <c r="AR238" s="39" t="s">
        <v>353</v>
      </c>
      <c r="AS238" s="46"/>
      <c r="AT238" s="39" t="s">
        <v>353</v>
      </c>
      <c r="AU238" s="46"/>
      <c r="AV238" s="39" t="s">
        <v>353</v>
      </c>
      <c r="AW238" s="46"/>
      <c r="AX238" s="39" t="s">
        <v>353</v>
      </c>
      <c r="AY238" s="46"/>
      <c r="AZ238" s="39" t="s">
        <v>353</v>
      </c>
      <c r="BA238" s="46"/>
    </row>
    <row r="239" outlineLevel="1">
      <c r="A239" s="35" t="s">
        <v>1763</v>
      </c>
      <c r="B239" s="46" t="s">
        <v>50</v>
      </c>
      <c r="C239" s="35"/>
      <c r="D239" s="35"/>
      <c r="E239" s="46"/>
      <c r="F239" s="46"/>
      <c r="G239" s="46"/>
      <c r="H239" s="257" t="s">
        <v>907</v>
      </c>
      <c r="I239" s="262">
        <f>Legendary</f>
        <v>190</v>
      </c>
      <c r="J239" s="39" t="s">
        <v>873</v>
      </c>
      <c r="K239" s="94">
        <v>150.0</v>
      </c>
      <c r="L239" s="39" t="s">
        <v>1764</v>
      </c>
      <c r="M239" s="46"/>
      <c r="N239" s="39" t="s">
        <v>329</v>
      </c>
      <c r="O239" s="46"/>
      <c r="P239" s="39" t="s">
        <v>952</v>
      </c>
      <c r="Q239" s="253">
        <v>10.0</v>
      </c>
      <c r="R239" s="39" t="s">
        <v>326</v>
      </c>
      <c r="S239" s="46"/>
      <c r="T239" s="46" t="s">
        <v>317</v>
      </c>
      <c r="U239" s="46"/>
      <c r="V239" s="39" t="s">
        <v>1765</v>
      </c>
      <c r="W239" s="253">
        <v>170.0</v>
      </c>
      <c r="X239" s="46"/>
      <c r="Y239" s="46"/>
      <c r="Z239" s="39" t="s">
        <v>1766</v>
      </c>
      <c r="AA239" s="94">
        <v>10.0</v>
      </c>
      <c r="AB239" s="39" t="s">
        <v>326</v>
      </c>
      <c r="AC239" s="46"/>
      <c r="AD239" s="46" t="s">
        <v>1767</v>
      </c>
      <c r="AE239" s="46"/>
      <c r="AF239" s="46"/>
      <c r="AG239" s="46"/>
      <c r="AH239" s="39" t="s">
        <v>317</v>
      </c>
      <c r="AI239" s="46"/>
      <c r="AJ239" s="46"/>
      <c r="AK239" s="46"/>
      <c r="AL239" s="46"/>
      <c r="AM239" s="46"/>
      <c r="AN239" s="46"/>
      <c r="AO239" s="46"/>
      <c r="AP239" s="46"/>
      <c r="AQ239" s="46"/>
      <c r="AR239" s="46"/>
      <c r="AS239" s="46"/>
      <c r="AT239" s="46"/>
      <c r="AU239" s="46"/>
      <c r="AV239" s="46"/>
      <c r="AW239" s="46"/>
      <c r="AX239" s="46"/>
      <c r="AY239" s="46"/>
      <c r="AZ239" s="46"/>
      <c r="BA239" s="46"/>
    </row>
    <row r="240" outlineLevel="1">
      <c r="A240" s="37" t="s">
        <v>1768</v>
      </c>
      <c r="B240" s="46" t="s">
        <v>50</v>
      </c>
      <c r="C240" s="35"/>
      <c r="D240" s="35"/>
      <c r="E240" s="46"/>
      <c r="F240" s="46"/>
      <c r="G240" s="46"/>
      <c r="H240" s="46"/>
      <c r="I240" s="46"/>
      <c r="J240" s="39" t="s">
        <v>326</v>
      </c>
      <c r="K240" s="39"/>
      <c r="L240" s="46"/>
      <c r="M240" s="46"/>
      <c r="N240" s="39" t="s">
        <v>311</v>
      </c>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row>
    <row r="241" outlineLevel="1">
      <c r="A241" s="37" t="s">
        <v>1769</v>
      </c>
      <c r="B241" s="46" t="s">
        <v>50</v>
      </c>
      <c r="C241" s="35"/>
      <c r="D241" s="35"/>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row>
    <row r="242" outlineLevel="1">
      <c r="A242" s="35" t="s">
        <v>1770</v>
      </c>
      <c r="B242" s="46" t="s">
        <v>48</v>
      </c>
      <c r="C242" s="35"/>
      <c r="D242" s="35"/>
      <c r="E242" s="46"/>
      <c r="F242" s="39" t="s">
        <v>834</v>
      </c>
      <c r="G242" s="46"/>
      <c r="H242" s="39" t="s">
        <v>1771</v>
      </c>
      <c r="I242" s="46"/>
      <c r="J242" s="39" t="s">
        <v>380</v>
      </c>
      <c r="K242" s="46"/>
      <c r="L242" s="39" t="s">
        <v>805</v>
      </c>
      <c r="M242" s="253">
        <v>50.0</v>
      </c>
      <c r="N242" s="46"/>
      <c r="O242" s="46"/>
      <c r="P242" s="39" t="s">
        <v>1772</v>
      </c>
      <c r="Q242" s="46"/>
      <c r="R242" s="39" t="s">
        <v>338</v>
      </c>
      <c r="S242" s="46"/>
      <c r="T242" s="39" t="s">
        <v>1773</v>
      </c>
      <c r="U242" s="39"/>
      <c r="V242" s="39" t="s">
        <v>335</v>
      </c>
      <c r="W242" s="46"/>
      <c r="X242" s="39" t="s">
        <v>1774</v>
      </c>
      <c r="Y242" s="253">
        <v>10.0</v>
      </c>
      <c r="Z242" s="39" t="s">
        <v>1775</v>
      </c>
      <c r="AA242" s="46"/>
      <c r="AB242" s="39" t="s">
        <v>1776</v>
      </c>
      <c r="AC242" s="46"/>
      <c r="AD242" s="39" t="s">
        <v>1777</v>
      </c>
      <c r="AE242" s="94">
        <v>170.0</v>
      </c>
      <c r="AF242" s="39" t="s">
        <v>353</v>
      </c>
      <c r="AG242" s="46"/>
      <c r="AH242" s="39" t="s">
        <v>353</v>
      </c>
      <c r="AI242" s="46"/>
      <c r="AJ242" s="46"/>
      <c r="AK242" s="46"/>
      <c r="AL242" s="46"/>
      <c r="AM242" s="46"/>
      <c r="AN242" s="39" t="s">
        <v>338</v>
      </c>
      <c r="AO242" s="39"/>
      <c r="AP242" s="39" t="s">
        <v>338</v>
      </c>
      <c r="AQ242" s="46"/>
      <c r="AR242" s="46"/>
      <c r="AS242" s="46"/>
      <c r="AT242" s="39" t="s">
        <v>1778</v>
      </c>
      <c r="AU242" s="46"/>
      <c r="AV242" s="39" t="s">
        <v>335</v>
      </c>
      <c r="AW242" s="46"/>
      <c r="AX242" s="39" t="s">
        <v>335</v>
      </c>
      <c r="AY242" s="46"/>
      <c r="AZ242" s="224" t="s">
        <v>1779</v>
      </c>
      <c r="BA242" s="224"/>
    </row>
    <row r="243" outlineLevel="1">
      <c r="A243" s="35" t="s">
        <v>1780</v>
      </c>
      <c r="B243" s="46" t="s">
        <v>48</v>
      </c>
      <c r="C243" s="35"/>
      <c r="D243" s="35"/>
      <c r="E243" s="46"/>
      <c r="F243" s="39" t="s">
        <v>1009</v>
      </c>
      <c r="G243" s="46"/>
      <c r="H243" s="39" t="s">
        <v>908</v>
      </c>
      <c r="I243" s="94">
        <v>0.0</v>
      </c>
      <c r="J243" s="46"/>
      <c r="K243" s="46"/>
      <c r="L243" s="39" t="s">
        <v>1781</v>
      </c>
      <c r="M243" s="46"/>
      <c r="N243" s="46"/>
      <c r="O243" s="46"/>
      <c r="P243" s="46"/>
      <c r="Q243" s="46"/>
      <c r="R243" s="46"/>
      <c r="S243" s="46"/>
      <c r="T243" s="46"/>
      <c r="U243" s="46"/>
      <c r="V243" s="46"/>
      <c r="W243" s="46"/>
      <c r="X243" s="39" t="s">
        <v>317</v>
      </c>
      <c r="Y243" s="46"/>
      <c r="Z243" s="39" t="s">
        <v>317</v>
      </c>
      <c r="AA243" s="46"/>
      <c r="AB243" s="46"/>
      <c r="AC243" s="46"/>
      <c r="AD243" s="39"/>
      <c r="AE243" s="39"/>
      <c r="AF243" s="46"/>
      <c r="AG243" s="46"/>
      <c r="AH243" s="39" t="s">
        <v>1782</v>
      </c>
      <c r="AI243" s="46"/>
      <c r="AJ243" s="46"/>
      <c r="AK243" s="46"/>
      <c r="AL243" s="46"/>
      <c r="AM243" s="46"/>
      <c r="AN243" s="257" t="s">
        <v>1783</v>
      </c>
      <c r="AO243" s="264">
        <v>-190.0</v>
      </c>
      <c r="AP243" s="46"/>
      <c r="AQ243" s="46"/>
      <c r="AR243" s="46"/>
      <c r="AS243" s="46"/>
      <c r="AT243" s="46"/>
      <c r="AU243" s="46"/>
      <c r="AV243" s="46"/>
      <c r="AW243" s="46"/>
      <c r="AX243" s="46"/>
      <c r="AY243" s="46"/>
      <c r="AZ243" s="46"/>
      <c r="BA243" s="39"/>
    </row>
    <row r="244" outlineLevel="1">
      <c r="A244" s="37" t="s">
        <v>1784</v>
      </c>
      <c r="B244" s="46" t="s">
        <v>48</v>
      </c>
      <c r="C244" s="35"/>
      <c r="D244" s="35"/>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row>
    <row r="245" outlineLevel="1">
      <c r="A245" s="37" t="s">
        <v>1785</v>
      </c>
      <c r="B245" s="46" t="s">
        <v>48</v>
      </c>
      <c r="C245" s="35"/>
      <c r="D245" s="35"/>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row>
    <row r="246" outlineLevel="1">
      <c r="A246" s="35" t="s">
        <v>1786</v>
      </c>
      <c r="B246" s="46" t="s">
        <v>81</v>
      </c>
      <c r="C246" s="35"/>
      <c r="D246" s="35"/>
      <c r="E246" s="46"/>
      <c r="F246" s="39" t="s">
        <v>835</v>
      </c>
      <c r="G246" s="253">
        <v>190.0</v>
      </c>
      <c r="H246" s="39" t="s">
        <v>1787</v>
      </c>
      <c r="I246" s="253">
        <v>190.0</v>
      </c>
      <c r="J246" s="39" t="s">
        <v>874</v>
      </c>
      <c r="K246" s="46"/>
      <c r="L246" s="39" t="s">
        <v>806</v>
      </c>
      <c r="M246" s="253">
        <v>110.0</v>
      </c>
      <c r="N246" s="39" t="s">
        <v>1788</v>
      </c>
      <c r="O246" s="265">
        <v>10.0</v>
      </c>
      <c r="P246" s="39" t="s">
        <v>1789</v>
      </c>
      <c r="Q246" s="265">
        <v>10.0</v>
      </c>
      <c r="R246" s="39" t="s">
        <v>1071</v>
      </c>
      <c r="S246" s="253">
        <v>10.0</v>
      </c>
      <c r="T246" s="39" t="s">
        <v>1790</v>
      </c>
      <c r="U246" s="265">
        <v>10.0</v>
      </c>
      <c r="V246" s="39" t="s">
        <v>1791</v>
      </c>
      <c r="W246" s="253">
        <v>10.0</v>
      </c>
      <c r="X246" s="39" t="s">
        <v>311</v>
      </c>
      <c r="Y246" s="46"/>
      <c r="Z246" s="39" t="s">
        <v>1792</v>
      </c>
      <c r="AA246" s="256">
        <v>190.0</v>
      </c>
      <c r="AB246" s="39" t="s">
        <v>1793</v>
      </c>
      <c r="AC246" s="46"/>
      <c r="AD246" s="46" t="s">
        <v>1794</v>
      </c>
      <c r="AE246" s="95">
        <v>90.0</v>
      </c>
      <c r="AF246" s="39" t="s">
        <v>1300</v>
      </c>
      <c r="AG246" s="253">
        <v>90.0</v>
      </c>
      <c r="AH246" s="39" t="s">
        <v>1135</v>
      </c>
      <c r="AI246" s="253">
        <v>110.0</v>
      </c>
      <c r="AJ246" s="39" t="s">
        <v>1148</v>
      </c>
      <c r="AK246" s="46"/>
      <c r="AL246" s="39" t="s">
        <v>1148</v>
      </c>
      <c r="AM246" s="46"/>
      <c r="AN246" s="39" t="s">
        <v>1252</v>
      </c>
      <c r="AO246" s="46"/>
      <c r="AP246" s="39" t="s">
        <v>1271</v>
      </c>
      <c r="AQ246" s="46"/>
      <c r="AR246" s="39" t="s">
        <v>1237</v>
      </c>
      <c r="AS246" s="46"/>
      <c r="AT246" s="39" t="s">
        <v>1795</v>
      </c>
      <c r="AU246" s="46"/>
      <c r="AV246" s="39" t="s">
        <v>1173</v>
      </c>
      <c r="AW246" s="46"/>
      <c r="AX246" s="39" t="s">
        <v>1796</v>
      </c>
      <c r="AY246" s="46"/>
      <c r="AZ246" s="39" t="s">
        <v>1287</v>
      </c>
      <c r="BA246" s="46"/>
    </row>
    <row r="247" outlineLevel="1">
      <c r="A247" s="35" t="s">
        <v>1797</v>
      </c>
      <c r="B247" s="46" t="s">
        <v>81</v>
      </c>
      <c r="C247" s="35"/>
      <c r="D247" s="35"/>
      <c r="E247" s="46"/>
      <c r="F247" s="46"/>
      <c r="G247" s="46"/>
      <c r="H247" s="46"/>
      <c r="I247" s="46"/>
      <c r="J247" s="46"/>
      <c r="K247" s="46"/>
      <c r="L247" s="39" t="s">
        <v>1798</v>
      </c>
      <c r="M247" s="46"/>
      <c r="N247" s="39" t="s">
        <v>1799</v>
      </c>
      <c r="O247" s="253">
        <v>90.0</v>
      </c>
      <c r="P247" s="39" t="s">
        <v>1793</v>
      </c>
      <c r="Q247" s="46"/>
      <c r="R247" s="39" t="s">
        <v>1793</v>
      </c>
      <c r="S247" s="46"/>
      <c r="T247" s="39" t="s">
        <v>1782</v>
      </c>
      <c r="U247" s="39"/>
      <c r="V247" s="39" t="s">
        <v>1793</v>
      </c>
      <c r="W247" s="46"/>
      <c r="X247" s="39" t="s">
        <v>1782</v>
      </c>
      <c r="Y247" s="46"/>
      <c r="Z247" s="46" t="s">
        <v>1782</v>
      </c>
      <c r="AA247" s="46"/>
      <c r="AB247" s="46"/>
      <c r="AC247" s="46"/>
      <c r="AD247" s="46" t="s">
        <v>1800</v>
      </c>
      <c r="AE247" s="46"/>
      <c r="AF247" s="46"/>
      <c r="AG247" s="46"/>
      <c r="AH247" s="46"/>
      <c r="AI247" s="46"/>
      <c r="AJ247" s="46"/>
      <c r="AK247" s="46"/>
      <c r="AL247" s="46"/>
      <c r="AM247" s="46"/>
      <c r="AN247" s="39" t="s">
        <v>356</v>
      </c>
      <c r="AO247" s="46"/>
      <c r="AP247" s="39" t="s">
        <v>356</v>
      </c>
      <c r="AQ247" s="46"/>
      <c r="AR247" s="39" t="s">
        <v>356</v>
      </c>
      <c r="AS247" s="46"/>
      <c r="AT247" s="39" t="s">
        <v>356</v>
      </c>
      <c r="AU247" s="46"/>
      <c r="AV247" s="39" t="s">
        <v>356</v>
      </c>
      <c r="AW247" s="46"/>
      <c r="AX247" s="39" t="s">
        <v>356</v>
      </c>
      <c r="AY247" s="46"/>
      <c r="AZ247" s="39" t="s">
        <v>356</v>
      </c>
      <c r="BA247" s="46"/>
    </row>
    <row r="248" outlineLevel="1">
      <c r="A248" s="37" t="s">
        <v>1801</v>
      </c>
      <c r="B248" s="46" t="s">
        <v>81</v>
      </c>
      <c r="C248" s="35"/>
      <c r="D248" s="35"/>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t="s">
        <v>1793</v>
      </c>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row>
    <row r="249" outlineLevel="1">
      <c r="A249" s="37" t="s">
        <v>1802</v>
      </c>
      <c r="B249" s="46" t="s">
        <v>81</v>
      </c>
      <c r="C249" s="35"/>
      <c r="D249" s="35"/>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row>
    <row r="250" collapsed="1">
      <c r="A250" s="74" t="s">
        <v>1803</v>
      </c>
      <c r="B250" s="122"/>
      <c r="C250" s="122"/>
      <c r="D250" s="173"/>
      <c r="E250" s="75">
        <f>sum(E251:E279)</f>
        <v>0</v>
      </c>
      <c r="F250" s="75"/>
      <c r="G250" s="78">
        <f>sum(G251:G279)</f>
        <v>250</v>
      </c>
      <c r="H250" s="75"/>
      <c r="I250" s="78">
        <f>sum(I251:I279)</f>
        <v>0</v>
      </c>
      <c r="J250" s="75"/>
      <c r="K250" s="78">
        <f>sum(K251:K279)</f>
        <v>0</v>
      </c>
      <c r="L250" s="75"/>
      <c r="M250" s="78">
        <f>sum(M251:M279)</f>
        <v>30</v>
      </c>
      <c r="N250" s="75"/>
      <c r="O250" s="78">
        <f>sum(O251:O279)</f>
        <v>50</v>
      </c>
      <c r="P250" s="75"/>
      <c r="Q250" s="78">
        <f>sum(Q251:Q279)</f>
        <v>30</v>
      </c>
      <c r="R250" s="75"/>
      <c r="S250" s="78">
        <f>sum(S251:S279)</f>
        <v>20</v>
      </c>
      <c r="T250" s="75"/>
      <c r="U250" s="78">
        <f>sum(U251:U279)</f>
        <v>340</v>
      </c>
      <c r="V250" s="75"/>
      <c r="W250" s="78">
        <f>sum(W251:W279)</f>
        <v>40</v>
      </c>
      <c r="X250" s="75"/>
      <c r="Y250" s="78">
        <f>sum(Y251:Y279)</f>
        <v>160</v>
      </c>
      <c r="Z250" s="75"/>
      <c r="AA250" s="78">
        <f>sum(AA251:AA279)</f>
        <v>420</v>
      </c>
      <c r="AB250" s="75"/>
      <c r="AC250" s="78">
        <f>sum(AC251:AC279)</f>
        <v>530</v>
      </c>
      <c r="AD250" s="75"/>
      <c r="AE250" s="78">
        <f>sum(AE251:AE279)</f>
        <v>220</v>
      </c>
      <c r="AF250" s="75"/>
      <c r="AG250" s="78">
        <f>sum(AG251:AG279)</f>
        <v>840</v>
      </c>
      <c r="AH250" s="75"/>
      <c r="AI250" s="78">
        <f>sum(AI251:AI279)</f>
        <v>10</v>
      </c>
      <c r="AJ250" s="75"/>
      <c r="AK250" s="78">
        <f>sum(AK251:AK279)</f>
        <v>0</v>
      </c>
      <c r="AL250" s="75"/>
      <c r="AM250" s="78">
        <f>sum(AM251:AM279)</f>
        <v>0</v>
      </c>
      <c r="AN250" s="75"/>
      <c r="AO250" s="78">
        <f>sum(AO251:AO279)</f>
        <v>0</v>
      </c>
      <c r="AP250" s="75"/>
      <c r="AQ250" s="78">
        <f>sum(AQ251:AQ279)</f>
        <v>90</v>
      </c>
      <c r="AR250" s="75"/>
      <c r="AS250" s="78">
        <f>sum(AS251:AS279)</f>
        <v>0</v>
      </c>
      <c r="AT250" s="75"/>
      <c r="AU250" s="78">
        <f>sum(AU251:AU279)</f>
        <v>10</v>
      </c>
      <c r="AV250" s="75"/>
      <c r="AW250" s="78">
        <f>sum(AW251:AW279)</f>
        <v>80</v>
      </c>
      <c r="AX250" s="75"/>
      <c r="AY250" s="78">
        <f>sum(AY251:AY279)</f>
        <v>0</v>
      </c>
      <c r="AZ250" s="75"/>
      <c r="BA250" s="78">
        <f>sum(BA251:BA279)</f>
        <v>150</v>
      </c>
    </row>
    <row r="251" hidden="1" outlineLevel="1">
      <c r="A251" s="37" t="s">
        <v>1804</v>
      </c>
      <c r="B251" s="44" t="s">
        <v>148</v>
      </c>
      <c r="C251" s="35"/>
      <c r="D251" s="35"/>
      <c r="E251" s="46"/>
      <c r="F251" s="45" t="s">
        <v>851</v>
      </c>
      <c r="G251" s="46"/>
      <c r="H251" s="39" t="s">
        <v>910</v>
      </c>
      <c r="I251" s="46"/>
      <c r="J251" s="39" t="s">
        <v>875</v>
      </c>
      <c r="K251" s="46"/>
      <c r="L251" s="45" t="s">
        <v>807</v>
      </c>
      <c r="M251" s="46"/>
      <c r="N251" s="45" t="s">
        <v>933</v>
      </c>
      <c r="O251" s="46"/>
      <c r="P251" s="45" t="s">
        <v>954</v>
      </c>
      <c r="Q251" s="46"/>
      <c r="R251" s="45" t="s">
        <v>1072</v>
      </c>
      <c r="S251" s="46"/>
      <c r="T251" s="266" t="s">
        <v>1805</v>
      </c>
      <c r="U251" s="46"/>
      <c r="V251" s="45" t="s">
        <v>1019</v>
      </c>
      <c r="W251" s="46"/>
      <c r="X251" s="45" t="s">
        <v>991</v>
      </c>
      <c r="Y251" s="46"/>
      <c r="Z251" s="45" t="s">
        <v>1045</v>
      </c>
      <c r="AA251" s="46"/>
      <c r="AB251" s="45" t="s">
        <v>1100</v>
      </c>
      <c r="AC251" s="46"/>
      <c r="AD251" s="39" t="s">
        <v>1806</v>
      </c>
      <c r="AE251" s="46"/>
      <c r="AF251" s="45" t="s">
        <v>1301</v>
      </c>
      <c r="AG251" s="46"/>
      <c r="AH251" s="45" t="s">
        <v>1136</v>
      </c>
      <c r="AI251" s="46"/>
      <c r="AJ251" s="45" t="s">
        <v>1193</v>
      </c>
      <c r="AK251" s="46"/>
      <c r="AL251" s="45" t="s">
        <v>1193</v>
      </c>
      <c r="AM251" s="46"/>
      <c r="AN251" s="45" t="s">
        <v>1253</v>
      </c>
      <c r="AO251" s="46"/>
      <c r="AP251" s="45" t="s">
        <v>1272</v>
      </c>
      <c r="AQ251" s="46"/>
      <c r="AR251" s="45" t="s">
        <v>1240</v>
      </c>
      <c r="AS251" s="46"/>
      <c r="AT251" s="45" t="s">
        <v>1807</v>
      </c>
      <c r="AU251" s="46"/>
      <c r="AV251" s="45" t="s">
        <v>1174</v>
      </c>
      <c r="AW251" s="46"/>
      <c r="AX251" s="45" t="s">
        <v>1157</v>
      </c>
      <c r="AY251" s="46"/>
      <c r="AZ251" s="45" t="s">
        <v>1288</v>
      </c>
      <c r="BA251" s="46"/>
    </row>
    <row r="252" hidden="1" outlineLevel="1">
      <c r="A252" s="37" t="s">
        <v>1808</v>
      </c>
      <c r="B252" s="44" t="s">
        <v>148</v>
      </c>
      <c r="C252" s="35"/>
      <c r="D252" s="35"/>
      <c r="E252" s="46"/>
      <c r="F252" s="39" t="s">
        <v>621</v>
      </c>
      <c r="G252" s="94">
        <v>50.0</v>
      </c>
      <c r="H252" s="46"/>
      <c r="I252" s="46"/>
      <c r="J252" s="46"/>
      <c r="K252" s="46"/>
      <c r="L252" s="39" t="s">
        <v>1809</v>
      </c>
      <c r="M252" s="253">
        <v>10.0</v>
      </c>
      <c r="N252" s="39" t="s">
        <v>1810</v>
      </c>
      <c r="O252" s="253">
        <v>10.0</v>
      </c>
      <c r="P252" s="39" t="s">
        <v>1811</v>
      </c>
      <c r="Q252" s="253">
        <v>30.0</v>
      </c>
      <c r="R252" s="39" t="s">
        <v>1812</v>
      </c>
      <c r="S252" s="253">
        <v>20.0</v>
      </c>
      <c r="T252" s="39" t="s">
        <v>1813</v>
      </c>
      <c r="U252" s="39"/>
      <c r="V252" s="39" t="s">
        <v>1814</v>
      </c>
      <c r="W252" s="253">
        <v>10.0</v>
      </c>
      <c r="X252" s="39" t="s">
        <v>1815</v>
      </c>
      <c r="Y252" s="94">
        <v>50.0</v>
      </c>
      <c r="Z252" s="39" t="s">
        <v>1816</v>
      </c>
      <c r="AA252" s="94">
        <v>70.0</v>
      </c>
      <c r="AB252" s="39" t="s">
        <v>1817</v>
      </c>
      <c r="AC252" s="94">
        <v>10.0</v>
      </c>
      <c r="AD252" s="39" t="s">
        <v>1818</v>
      </c>
      <c r="AE252" s="94">
        <v>20.0</v>
      </c>
      <c r="AF252" s="39" t="s">
        <v>1819</v>
      </c>
      <c r="AG252" s="94">
        <v>30.0</v>
      </c>
      <c r="AH252" s="39" t="s">
        <v>1820</v>
      </c>
      <c r="AI252" s="253">
        <v>10.0</v>
      </c>
      <c r="AJ252" s="39" t="s">
        <v>648</v>
      </c>
      <c r="AK252" s="39"/>
      <c r="AL252" s="39" t="s">
        <v>648</v>
      </c>
      <c r="AM252" s="39"/>
      <c r="AN252" s="39" t="s">
        <v>1821</v>
      </c>
      <c r="AO252" s="46"/>
      <c r="AP252" s="39" t="s">
        <v>1822</v>
      </c>
      <c r="AQ252" s="255"/>
      <c r="AR252" s="39" t="s">
        <v>1823</v>
      </c>
      <c r="AS252" s="255"/>
      <c r="AT252" s="45" t="s">
        <v>1824</v>
      </c>
      <c r="AU252" s="39"/>
      <c r="AV252" s="39" t="s">
        <v>1825</v>
      </c>
      <c r="AW252" s="94">
        <v>10.0</v>
      </c>
      <c r="AX252" s="39" t="s">
        <v>1826</v>
      </c>
      <c r="AY252" s="46"/>
      <c r="AZ252" s="39" t="s">
        <v>1827</v>
      </c>
      <c r="BA252" s="253">
        <v>150.0</v>
      </c>
    </row>
    <row r="253" hidden="1" outlineLevel="1">
      <c r="A253" s="37" t="s">
        <v>1828</v>
      </c>
      <c r="B253" s="44" t="s">
        <v>148</v>
      </c>
      <c r="C253" s="35"/>
      <c r="D253" s="35"/>
      <c r="E253" s="46"/>
      <c r="F253" s="46"/>
      <c r="G253" s="46"/>
      <c r="H253" s="46"/>
      <c r="I253" s="46"/>
      <c r="J253" s="46"/>
      <c r="K253" s="46"/>
      <c r="L253" s="39" t="s">
        <v>1829</v>
      </c>
      <c r="M253" s="94">
        <v>10.0</v>
      </c>
      <c r="N253" s="46"/>
      <c r="O253" s="46"/>
      <c r="P253" s="46"/>
      <c r="Q253" s="46"/>
      <c r="R253" s="46"/>
      <c r="S253" s="46"/>
      <c r="T253" s="46" t="s">
        <v>1830</v>
      </c>
      <c r="U253" s="95">
        <v>50.0</v>
      </c>
      <c r="V253" s="46"/>
      <c r="W253" s="46"/>
      <c r="X253" s="39" t="s">
        <v>1831</v>
      </c>
      <c r="Y253" s="253">
        <v>10.0</v>
      </c>
      <c r="Z253" s="46"/>
      <c r="AA253" s="46"/>
      <c r="AB253" s="224" t="s">
        <v>1832</v>
      </c>
      <c r="AC253" s="259">
        <v>-10.0</v>
      </c>
      <c r="AD253" s="46"/>
      <c r="AE253" s="46"/>
      <c r="AF253" s="39" t="s">
        <v>1833</v>
      </c>
      <c r="AG253" s="95">
        <v>10.0</v>
      </c>
      <c r="AH253" s="46"/>
      <c r="AI253" s="46"/>
      <c r="AJ253" s="46"/>
      <c r="AK253" s="46"/>
      <c r="AL253" s="46"/>
      <c r="AM253" s="46"/>
      <c r="AN253" s="46"/>
      <c r="AO253" s="46"/>
      <c r="AP253" s="39" t="s">
        <v>1834</v>
      </c>
      <c r="AQ253" s="253">
        <v>90.0</v>
      </c>
      <c r="AR253" s="46"/>
      <c r="AS253" s="46"/>
      <c r="AT253" s="46" t="s">
        <v>1835</v>
      </c>
      <c r="AU253" s="95">
        <v>10.0</v>
      </c>
      <c r="AV253" s="45" t="s">
        <v>1836</v>
      </c>
      <c r="AW253" s="253">
        <v>70.0</v>
      </c>
      <c r="AX253" s="45" t="s">
        <v>1837</v>
      </c>
      <c r="AY253" s="46"/>
      <c r="AZ253" s="46"/>
      <c r="BA253" s="46"/>
    </row>
    <row r="254" hidden="1" outlineLevel="1">
      <c r="A254" s="37" t="s">
        <v>1838</v>
      </c>
      <c r="B254" s="44" t="s">
        <v>148</v>
      </c>
      <c r="C254" s="35"/>
      <c r="D254" s="35"/>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39" t="s">
        <v>1839</v>
      </c>
      <c r="AG254" s="46"/>
      <c r="AH254" s="46"/>
      <c r="AI254" s="46"/>
      <c r="AJ254" s="46"/>
      <c r="AK254" s="46"/>
      <c r="AL254" s="46"/>
      <c r="AM254" s="46"/>
      <c r="AN254" s="46"/>
      <c r="AO254" s="46"/>
      <c r="AP254" s="46" t="s">
        <v>1840</v>
      </c>
      <c r="AQ254" s="267"/>
      <c r="AR254" s="46"/>
      <c r="AS254" s="46"/>
      <c r="AT254" s="46"/>
      <c r="AU254" s="46"/>
      <c r="AV254" s="46"/>
      <c r="AW254" s="46"/>
      <c r="AX254" s="46"/>
      <c r="AY254" s="46"/>
      <c r="AZ254" s="46"/>
      <c r="BA254" s="46"/>
    </row>
    <row r="255" hidden="1" outlineLevel="1">
      <c r="A255" s="37" t="s">
        <v>1841</v>
      </c>
      <c r="B255" s="44" t="s">
        <v>148</v>
      </c>
      <c r="C255" s="35"/>
      <c r="D255" s="35"/>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39" t="s">
        <v>1842</v>
      </c>
      <c r="AG255" s="94">
        <v>10.0</v>
      </c>
      <c r="AH255" s="46"/>
      <c r="AI255" s="46"/>
      <c r="AJ255" s="46"/>
      <c r="AK255" s="46"/>
      <c r="AL255" s="46"/>
      <c r="AM255" s="46"/>
      <c r="AN255" s="46"/>
      <c r="AO255" s="46"/>
      <c r="AP255" s="46"/>
      <c r="AQ255" s="46"/>
      <c r="AR255" s="46"/>
      <c r="AS255" s="46"/>
      <c r="AT255" s="46"/>
      <c r="AU255" s="46"/>
      <c r="AV255" s="46"/>
      <c r="AW255" s="46"/>
      <c r="AX255" s="46"/>
      <c r="AY255" s="46"/>
      <c r="AZ255" s="46"/>
      <c r="BA255" s="46"/>
    </row>
    <row r="256" hidden="1" outlineLevel="1">
      <c r="A256" s="37" t="s">
        <v>1843</v>
      </c>
      <c r="B256" s="44" t="s">
        <v>148</v>
      </c>
      <c r="C256" s="35"/>
      <c r="D256" s="35"/>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39" t="s">
        <v>1844</v>
      </c>
      <c r="AG256" s="94">
        <v>10.0</v>
      </c>
      <c r="AH256" s="46"/>
      <c r="AI256" s="46"/>
      <c r="AJ256" s="46"/>
      <c r="AK256" s="46"/>
      <c r="AL256" s="46"/>
      <c r="AM256" s="46"/>
      <c r="AN256" s="46"/>
      <c r="AO256" s="46"/>
      <c r="AP256" s="46"/>
      <c r="AQ256" s="46"/>
      <c r="AR256" s="46"/>
      <c r="AS256" s="46"/>
      <c r="AT256" s="46"/>
      <c r="AU256" s="46"/>
      <c r="AV256" s="46"/>
      <c r="AW256" s="46"/>
      <c r="AX256" s="46"/>
      <c r="AY256" s="46"/>
      <c r="AZ256" s="46"/>
      <c r="BA256" s="46"/>
    </row>
    <row r="257" hidden="1" outlineLevel="1">
      <c r="A257" s="37" t="s">
        <v>1845</v>
      </c>
      <c r="B257" s="44" t="s">
        <v>148</v>
      </c>
      <c r="C257" s="35"/>
      <c r="D257" s="35"/>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row>
    <row r="258" hidden="1" outlineLevel="1">
      <c r="A258" s="37" t="s">
        <v>1846</v>
      </c>
      <c r="B258" s="44" t="s">
        <v>148</v>
      </c>
      <c r="C258" s="35"/>
      <c r="D258" s="35"/>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row>
    <row r="259" hidden="1" outlineLevel="1">
      <c r="A259" s="37" t="s">
        <v>1847</v>
      </c>
      <c r="B259" s="44" t="s">
        <v>148</v>
      </c>
      <c r="C259" s="35"/>
      <c r="D259" s="35"/>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row>
    <row r="260" hidden="1" outlineLevel="1">
      <c r="A260" s="37" t="s">
        <v>1848</v>
      </c>
      <c r="B260" s="44" t="s">
        <v>148</v>
      </c>
      <c r="C260" s="35"/>
      <c r="D260" s="35"/>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row>
    <row r="261" hidden="1" outlineLevel="1">
      <c r="A261" s="37" t="s">
        <v>1849</v>
      </c>
      <c r="B261" s="44" t="s">
        <v>148</v>
      </c>
      <c r="C261" s="35"/>
      <c r="D261" s="35"/>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row>
    <row r="262" hidden="1" outlineLevel="1">
      <c r="A262" s="248" t="s">
        <v>1850</v>
      </c>
      <c r="B262" s="46" t="s">
        <v>62</v>
      </c>
      <c r="C262" s="35"/>
      <c r="D262" s="35"/>
      <c r="E262" s="46"/>
      <c r="F262" s="46"/>
      <c r="G262" s="46"/>
      <c r="H262" s="46"/>
      <c r="I262" s="46"/>
      <c r="J262" s="46"/>
      <c r="K262" s="46"/>
      <c r="L262" s="46"/>
      <c r="M262" s="46"/>
      <c r="N262" s="46"/>
      <c r="O262" s="46"/>
      <c r="P262" s="46"/>
      <c r="Q262" s="46"/>
      <c r="R262" s="46"/>
      <c r="S262" s="46"/>
      <c r="T262" s="46"/>
      <c r="U262" s="46"/>
      <c r="V262" s="46"/>
      <c r="W262" s="46"/>
      <c r="X262" s="46"/>
      <c r="Y262" s="46"/>
      <c r="Z262" s="46" t="s">
        <v>1851</v>
      </c>
      <c r="AA262" s="256">
        <v>30.0</v>
      </c>
      <c r="AB262" s="46"/>
      <c r="AC262" s="46"/>
      <c r="AD262" s="46"/>
      <c r="AE262" s="46"/>
      <c r="AF262" s="46"/>
      <c r="AG262" s="46"/>
      <c r="AH262" s="46"/>
      <c r="AI262" s="46"/>
      <c r="AJ262" s="39" t="s">
        <v>1188</v>
      </c>
      <c r="AK262" s="46"/>
      <c r="AL262" s="39" t="s">
        <v>1188</v>
      </c>
      <c r="AM262" s="46"/>
      <c r="AN262" s="46"/>
      <c r="AO262" s="46"/>
      <c r="AP262" s="46"/>
      <c r="AQ262" s="46"/>
      <c r="AR262" s="46"/>
      <c r="AS262" s="46"/>
      <c r="AT262" s="46"/>
      <c r="AU262" s="46"/>
      <c r="AV262" s="46"/>
      <c r="AW262" s="46"/>
      <c r="AX262" s="46"/>
      <c r="AY262" s="46"/>
      <c r="AZ262" s="46"/>
      <c r="BA262" s="46"/>
    </row>
    <row r="263" hidden="1" outlineLevel="1">
      <c r="A263" s="248" t="s">
        <v>1852</v>
      </c>
      <c r="B263" s="46" t="s">
        <v>62</v>
      </c>
      <c r="C263" s="35"/>
      <c r="D263" s="35"/>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row>
    <row r="264" hidden="1" outlineLevel="1">
      <c r="A264" s="248" t="s">
        <v>1853</v>
      </c>
      <c r="B264" s="46" t="s">
        <v>70</v>
      </c>
      <c r="C264" s="35"/>
      <c r="D264" s="35"/>
      <c r="E264" s="46"/>
      <c r="F264" s="46"/>
      <c r="G264" s="46"/>
      <c r="H264" s="46"/>
      <c r="I264" s="46"/>
      <c r="J264" s="46"/>
      <c r="K264" s="46"/>
      <c r="L264" s="46"/>
      <c r="M264" s="46"/>
      <c r="N264" s="46"/>
      <c r="O264" s="46"/>
      <c r="P264" s="46"/>
      <c r="Q264" s="46"/>
      <c r="R264" s="46"/>
      <c r="S264" s="46"/>
      <c r="T264" s="39" t="s">
        <v>1854</v>
      </c>
      <c r="U264" s="94">
        <v>50.0</v>
      </c>
      <c r="V264" s="46"/>
      <c r="W264" s="46"/>
      <c r="X264" s="46"/>
      <c r="Y264" s="46"/>
      <c r="Z264" s="39"/>
      <c r="AA264" s="39"/>
      <c r="AB264" s="39" t="s">
        <v>1855</v>
      </c>
      <c r="AC264" s="253">
        <v>50.0</v>
      </c>
      <c r="AD264" s="46" t="s">
        <v>1856</v>
      </c>
      <c r="AE264" s="95">
        <v>200.0</v>
      </c>
      <c r="AF264" s="39" t="s">
        <v>1857</v>
      </c>
      <c r="AG264" s="94">
        <v>50.0</v>
      </c>
      <c r="AH264" s="46"/>
      <c r="AI264" s="46"/>
      <c r="AJ264" s="46"/>
      <c r="AK264" s="46"/>
      <c r="AL264" s="46"/>
      <c r="AM264" s="46"/>
      <c r="AN264" s="46"/>
      <c r="AO264" s="46"/>
      <c r="AP264" s="46"/>
      <c r="AQ264" s="46"/>
      <c r="AR264" s="46"/>
      <c r="AS264" s="46"/>
      <c r="AT264" s="46"/>
      <c r="AU264" s="46"/>
      <c r="AV264" s="46"/>
      <c r="AW264" s="46"/>
      <c r="AX264" s="46"/>
      <c r="AY264" s="46"/>
      <c r="AZ264" s="46"/>
      <c r="BA264" s="46"/>
    </row>
    <row r="265" hidden="1" outlineLevel="1">
      <c r="A265" s="248" t="s">
        <v>1858</v>
      </c>
      <c r="B265" s="46" t="s">
        <v>70</v>
      </c>
      <c r="C265" s="35"/>
      <c r="D265" s="35"/>
      <c r="E265" s="46"/>
      <c r="F265" s="46"/>
      <c r="G265" s="46"/>
      <c r="H265" s="46"/>
      <c r="I265" s="46"/>
      <c r="J265" s="46"/>
      <c r="K265" s="46"/>
      <c r="L265" s="46"/>
      <c r="M265" s="46"/>
      <c r="N265" s="46"/>
      <c r="O265" s="46"/>
      <c r="P265" s="46"/>
      <c r="Q265" s="46"/>
      <c r="R265" s="46"/>
      <c r="S265" s="46"/>
      <c r="T265" s="46" t="s">
        <v>1859</v>
      </c>
      <c r="U265" s="268">
        <v>10.0</v>
      </c>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row>
    <row r="266" hidden="1" outlineLevel="1">
      <c r="A266" s="248" t="s">
        <v>1860</v>
      </c>
      <c r="B266" s="46" t="s">
        <v>40</v>
      </c>
      <c r="C266" s="35"/>
      <c r="D266" s="35"/>
      <c r="E266" s="46"/>
      <c r="F266" s="46"/>
      <c r="G266" s="46"/>
      <c r="H266" s="46"/>
      <c r="I266" s="46"/>
      <c r="J266" s="46"/>
      <c r="K266" s="46"/>
      <c r="L266" s="39" t="s">
        <v>1861</v>
      </c>
      <c r="M266" s="253">
        <v>10.0</v>
      </c>
      <c r="N266" s="46"/>
      <c r="O266" s="46"/>
      <c r="P266" s="46"/>
      <c r="Q266" s="46"/>
      <c r="R266" s="46"/>
      <c r="S266" s="46"/>
      <c r="T266" s="39" t="s">
        <v>1862</v>
      </c>
      <c r="U266" s="269">
        <v>50.0</v>
      </c>
      <c r="V266" s="46"/>
      <c r="W266" s="46"/>
      <c r="X266" s="46"/>
      <c r="Y266" s="46"/>
      <c r="Z266" s="39" t="s">
        <v>1863</v>
      </c>
      <c r="AA266" s="94">
        <v>70.0</v>
      </c>
      <c r="AB266" s="39" t="s">
        <v>1094</v>
      </c>
      <c r="AC266" s="253">
        <v>70.0</v>
      </c>
      <c r="AD266" s="46"/>
      <c r="AE266" s="46"/>
      <c r="AF266" s="39" t="s">
        <v>1298</v>
      </c>
      <c r="AG266" s="253">
        <v>70.0</v>
      </c>
      <c r="AH266" s="39" t="s">
        <v>1864</v>
      </c>
      <c r="AI266" s="46"/>
      <c r="AJ266" s="224" t="s">
        <v>1189</v>
      </c>
      <c r="AK266" s="270"/>
      <c r="AL266" s="39" t="s">
        <v>1189</v>
      </c>
      <c r="AM266" s="46"/>
      <c r="AN266" s="46"/>
      <c r="AO266" s="46"/>
      <c r="AP266" s="46"/>
      <c r="AQ266" s="46"/>
      <c r="AR266" s="46"/>
      <c r="AS266" s="46"/>
      <c r="AT266" s="46"/>
      <c r="AU266" s="46"/>
      <c r="AV266" s="46"/>
      <c r="AW266" s="46"/>
      <c r="AX266" s="46"/>
      <c r="AY266" s="46"/>
      <c r="AZ266" s="46"/>
      <c r="BA266" s="46"/>
    </row>
    <row r="267" hidden="1" outlineLevel="1">
      <c r="A267" s="248" t="s">
        <v>1865</v>
      </c>
      <c r="B267" s="46" t="s">
        <v>40</v>
      </c>
      <c r="C267" s="35"/>
      <c r="D267" s="35"/>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39" t="s">
        <v>1866</v>
      </c>
      <c r="AG267" s="94">
        <v>70.0</v>
      </c>
      <c r="AH267" s="46"/>
      <c r="AI267" s="46"/>
      <c r="AJ267" s="46"/>
      <c r="AK267" s="46"/>
      <c r="AL267" s="46"/>
      <c r="AM267" s="46"/>
      <c r="AN267" s="46"/>
      <c r="AO267" s="46"/>
      <c r="AP267" s="46"/>
      <c r="AQ267" s="46"/>
      <c r="AR267" s="46"/>
      <c r="AS267" s="46"/>
      <c r="AT267" s="46"/>
      <c r="AU267" s="46"/>
      <c r="AV267" s="46"/>
      <c r="AW267" s="46"/>
      <c r="AX267" s="46"/>
      <c r="AY267" s="46"/>
      <c r="AZ267" s="46"/>
      <c r="BA267" s="46"/>
    </row>
    <row r="268" hidden="1" outlineLevel="1">
      <c r="A268" s="248" t="s">
        <v>1867</v>
      </c>
      <c r="B268" s="46" t="s">
        <v>38</v>
      </c>
      <c r="C268" s="35"/>
      <c r="D268" s="35"/>
      <c r="E268" s="46"/>
      <c r="F268" s="39" t="s">
        <v>1356</v>
      </c>
      <c r="G268" s="253">
        <v>90.0</v>
      </c>
      <c r="H268" s="46"/>
      <c r="I268" s="46"/>
      <c r="J268" s="46"/>
      <c r="K268" s="46"/>
      <c r="L268" s="39" t="s">
        <v>1716</v>
      </c>
      <c r="M268" s="46"/>
      <c r="N268" s="46"/>
      <c r="O268" s="46"/>
      <c r="P268" s="46"/>
      <c r="Q268" s="46"/>
      <c r="R268" s="46"/>
      <c r="S268" s="46"/>
      <c r="T268" s="46" t="s">
        <v>1868</v>
      </c>
      <c r="U268" s="271">
        <v>10.0</v>
      </c>
      <c r="V268" s="39" t="s">
        <v>1869</v>
      </c>
      <c r="W268" s="253">
        <v>30.0</v>
      </c>
      <c r="X268" s="39" t="s">
        <v>988</v>
      </c>
      <c r="Y268" s="269">
        <v>50.0</v>
      </c>
      <c r="Z268" s="39" t="s">
        <v>1870</v>
      </c>
      <c r="AA268" s="94">
        <v>50.0</v>
      </c>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row>
    <row r="269" hidden="1" outlineLevel="1">
      <c r="A269" s="248" t="s">
        <v>1871</v>
      </c>
      <c r="B269" s="46" t="s">
        <v>38</v>
      </c>
      <c r="C269" s="35"/>
      <c r="D269" s="35"/>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row>
    <row r="270" hidden="1" outlineLevel="1">
      <c r="A270" s="248" t="s">
        <v>1872</v>
      </c>
      <c r="B270" s="46" t="s">
        <v>27</v>
      </c>
      <c r="C270" s="35"/>
      <c r="D270" s="35"/>
      <c r="E270" s="46"/>
      <c r="F270" s="39" t="s">
        <v>1357</v>
      </c>
      <c r="G270" s="253">
        <v>110.0</v>
      </c>
      <c r="H270" s="46"/>
      <c r="I270" s="46"/>
      <c r="J270" s="46"/>
      <c r="K270" s="46"/>
      <c r="L270" s="46"/>
      <c r="M270" s="46"/>
      <c r="N270" s="46"/>
      <c r="O270" s="46"/>
      <c r="P270" s="46"/>
      <c r="Q270" s="46"/>
      <c r="R270" s="46"/>
      <c r="S270" s="46"/>
      <c r="T270" s="46" t="s">
        <v>1873</v>
      </c>
      <c r="U270" s="271">
        <v>50.0</v>
      </c>
      <c r="V270" s="46"/>
      <c r="W270" s="46"/>
      <c r="X270" s="46"/>
      <c r="Y270" s="46"/>
      <c r="Z270" s="46"/>
      <c r="AA270" s="46"/>
      <c r="AB270" s="39" t="s">
        <v>1096</v>
      </c>
      <c r="AC270" s="253">
        <v>110.0</v>
      </c>
      <c r="AD270" s="46"/>
      <c r="AE270" s="46"/>
      <c r="AF270" s="39" t="s">
        <v>1874</v>
      </c>
      <c r="AG270" s="94">
        <v>50.0</v>
      </c>
      <c r="AH270" s="46"/>
      <c r="AI270" s="46"/>
      <c r="AJ270" s="39" t="s">
        <v>1190</v>
      </c>
      <c r="AK270" s="46"/>
      <c r="AL270" s="224" t="s">
        <v>1190</v>
      </c>
      <c r="AM270" s="270"/>
      <c r="AN270" s="46"/>
      <c r="AO270" s="46"/>
      <c r="AP270" s="39" t="s">
        <v>1269</v>
      </c>
      <c r="AQ270" s="255"/>
      <c r="AR270" s="46"/>
      <c r="AS270" s="46"/>
      <c r="AT270" s="46"/>
      <c r="AU270" s="46"/>
      <c r="AV270" s="46"/>
      <c r="AW270" s="46"/>
      <c r="AX270" s="46"/>
      <c r="AY270" s="46"/>
      <c r="AZ270" s="46"/>
      <c r="BA270" s="46"/>
    </row>
    <row r="271" hidden="1" outlineLevel="1">
      <c r="A271" s="248" t="s">
        <v>1875</v>
      </c>
      <c r="B271" s="46" t="s">
        <v>27</v>
      </c>
      <c r="C271" s="35"/>
      <c r="D271" s="35"/>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row>
    <row r="272" hidden="1" outlineLevel="1">
      <c r="A272" s="248" t="s">
        <v>1876</v>
      </c>
      <c r="B272" s="46" t="s">
        <v>37</v>
      </c>
      <c r="C272" s="35"/>
      <c r="D272" s="35"/>
      <c r="E272" s="46"/>
      <c r="F272" s="46"/>
      <c r="G272" s="46"/>
      <c r="H272" s="46"/>
      <c r="I272" s="46"/>
      <c r="J272" s="46"/>
      <c r="K272" s="46"/>
      <c r="L272" s="46"/>
      <c r="M272" s="46"/>
      <c r="N272" s="46"/>
      <c r="O272" s="46"/>
      <c r="P272" s="46"/>
      <c r="Q272" s="46"/>
      <c r="R272" s="46"/>
      <c r="S272" s="46"/>
      <c r="T272" s="46"/>
      <c r="U272" s="46"/>
      <c r="V272" s="46"/>
      <c r="W272" s="46"/>
      <c r="X272" s="46"/>
      <c r="Y272" s="46"/>
      <c r="Z272" s="39" t="s">
        <v>1877</v>
      </c>
      <c r="AA272" s="253">
        <v>130.0</v>
      </c>
      <c r="AB272" s="39" t="s">
        <v>1097</v>
      </c>
      <c r="AC272" s="253">
        <v>130.0</v>
      </c>
      <c r="AD272" s="46"/>
      <c r="AE272" s="46"/>
      <c r="AF272" s="39" t="s">
        <v>1878</v>
      </c>
      <c r="AG272" s="94">
        <v>110.0</v>
      </c>
      <c r="AH272" s="46"/>
      <c r="AI272" s="46"/>
      <c r="AJ272" s="46"/>
      <c r="AK272" s="46"/>
      <c r="AL272" s="46"/>
      <c r="AM272" s="46"/>
      <c r="AN272" s="46"/>
      <c r="AO272" s="46"/>
      <c r="AP272" s="46"/>
      <c r="AQ272" s="46"/>
      <c r="AR272" s="46"/>
      <c r="AS272" s="46"/>
      <c r="AT272" s="46"/>
      <c r="AU272" s="46"/>
      <c r="AV272" s="46"/>
      <c r="AW272" s="46"/>
      <c r="AX272" s="46"/>
      <c r="AY272" s="46"/>
      <c r="AZ272" s="46"/>
      <c r="BA272" s="46"/>
    </row>
    <row r="273" hidden="1" outlineLevel="1">
      <c r="A273" s="248" t="s">
        <v>1879</v>
      </c>
      <c r="B273" s="46" t="s">
        <v>37</v>
      </c>
      <c r="C273" s="35"/>
      <c r="D273" s="35"/>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row>
    <row r="274" hidden="1" outlineLevel="1">
      <c r="A274" s="248" t="s">
        <v>1880</v>
      </c>
      <c r="B274" s="46" t="s">
        <v>50</v>
      </c>
      <c r="C274" s="35"/>
      <c r="D274" s="35"/>
      <c r="E274" s="46"/>
      <c r="F274" s="46"/>
      <c r="G274" s="46"/>
      <c r="H274" s="46"/>
      <c r="I274" s="46"/>
      <c r="J274" s="46"/>
      <c r="K274" s="46"/>
      <c r="L274" s="46"/>
      <c r="M274" s="46"/>
      <c r="N274" s="46"/>
      <c r="O274" s="46"/>
      <c r="P274" s="46"/>
      <c r="Q274" s="46"/>
      <c r="R274" s="46"/>
      <c r="S274" s="46"/>
      <c r="T274" s="39" t="s">
        <v>1881</v>
      </c>
      <c r="U274" s="94">
        <v>50.0</v>
      </c>
      <c r="V274" s="46"/>
      <c r="W274" s="46"/>
      <c r="X274" s="39" t="s">
        <v>989</v>
      </c>
      <c r="Y274" s="269">
        <v>50.0</v>
      </c>
      <c r="Z274" s="39" t="s">
        <v>1882</v>
      </c>
      <c r="AA274" s="94">
        <v>70.0</v>
      </c>
      <c r="AB274" s="46"/>
      <c r="AC274" s="46"/>
      <c r="AD274" s="46"/>
      <c r="AE274" s="46"/>
      <c r="AF274" s="39" t="s">
        <v>1883</v>
      </c>
      <c r="AG274" s="94">
        <v>150.0</v>
      </c>
      <c r="AH274" s="46"/>
      <c r="AI274" s="46"/>
      <c r="AJ274" s="39" t="s">
        <v>1191</v>
      </c>
      <c r="AK274" s="46"/>
      <c r="AL274" s="39" t="s">
        <v>1191</v>
      </c>
      <c r="AM274" s="46"/>
      <c r="AN274" s="46"/>
      <c r="AO274" s="46"/>
      <c r="AP274" s="46"/>
      <c r="AQ274" s="46"/>
      <c r="AR274" s="46"/>
      <c r="AS274" s="46"/>
      <c r="AT274" s="46"/>
      <c r="AU274" s="46"/>
      <c r="AV274" s="46"/>
      <c r="AW274" s="46"/>
      <c r="AX274" s="46"/>
      <c r="AY274" s="46"/>
      <c r="AZ274" s="46"/>
      <c r="BA274" s="46"/>
    </row>
    <row r="275" hidden="1" outlineLevel="1">
      <c r="A275" s="248" t="s">
        <v>1884</v>
      </c>
      <c r="B275" s="46" t="s">
        <v>50</v>
      </c>
      <c r="C275" s="35"/>
      <c r="D275" s="35"/>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row>
    <row r="276" hidden="1" outlineLevel="1">
      <c r="A276" s="248" t="s">
        <v>1885</v>
      </c>
      <c r="B276" s="46" t="s">
        <v>48</v>
      </c>
      <c r="C276" s="35"/>
      <c r="D276" s="35"/>
      <c r="E276" s="46"/>
      <c r="F276" s="46"/>
      <c r="G276" s="46"/>
      <c r="H276" s="46"/>
      <c r="I276" s="46"/>
      <c r="J276" s="46"/>
      <c r="K276" s="46"/>
      <c r="L276" s="46"/>
      <c r="M276" s="46"/>
      <c r="N276" s="39" t="s">
        <v>1886</v>
      </c>
      <c r="O276" s="253">
        <v>40.0</v>
      </c>
      <c r="P276" s="46"/>
      <c r="Q276" s="46"/>
      <c r="R276" s="46"/>
      <c r="S276" s="46"/>
      <c r="T276" s="39" t="s">
        <v>1887</v>
      </c>
      <c r="U276" s="269">
        <v>70.0</v>
      </c>
      <c r="V276" s="46"/>
      <c r="W276" s="46"/>
      <c r="X276" s="46"/>
      <c r="Y276" s="46"/>
      <c r="Z276" s="46"/>
      <c r="AA276" s="46"/>
      <c r="AB276" s="39" t="s">
        <v>1099</v>
      </c>
      <c r="AC276" s="253">
        <v>170.0</v>
      </c>
      <c r="AD276" s="46"/>
      <c r="AE276" s="46"/>
      <c r="AF276" s="39" t="s">
        <v>1299</v>
      </c>
      <c r="AG276" s="94">
        <v>170.0</v>
      </c>
      <c r="AH276" s="46"/>
      <c r="AI276" s="46"/>
      <c r="AJ276" s="46"/>
      <c r="AK276" s="46"/>
      <c r="AL276" s="46"/>
      <c r="AM276" s="46"/>
      <c r="AN276" s="46"/>
      <c r="AO276" s="46"/>
      <c r="AP276" s="39" t="s">
        <v>1888</v>
      </c>
      <c r="AQ276" s="255"/>
      <c r="AR276" s="46"/>
      <c r="AS276" s="46"/>
      <c r="AT276" s="46"/>
      <c r="AU276" s="46"/>
      <c r="AV276" s="46"/>
      <c r="AW276" s="46"/>
      <c r="AX276" s="46"/>
      <c r="AY276" s="46"/>
      <c r="AZ276" s="46"/>
      <c r="BA276" s="46"/>
    </row>
    <row r="277" hidden="1" outlineLevel="1">
      <c r="A277" s="248" t="s">
        <v>1889</v>
      </c>
      <c r="B277" s="46" t="s">
        <v>48</v>
      </c>
      <c r="C277" s="35"/>
      <c r="D277" s="35"/>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row>
    <row r="278" hidden="1" outlineLevel="1">
      <c r="A278" s="248" t="s">
        <v>1890</v>
      </c>
      <c r="B278" s="46" t="s">
        <v>81</v>
      </c>
      <c r="C278" s="35"/>
      <c r="D278" s="35"/>
      <c r="E278" s="46"/>
      <c r="F278" s="46"/>
      <c r="G278" s="46"/>
      <c r="H278" s="46"/>
      <c r="I278" s="46"/>
      <c r="J278" s="46"/>
      <c r="K278" s="46"/>
      <c r="L278" s="46"/>
      <c r="M278" s="46"/>
      <c r="N278" s="46"/>
      <c r="O278" s="46"/>
      <c r="P278" s="46"/>
      <c r="Q278" s="46"/>
      <c r="R278" s="46"/>
      <c r="S278" s="46"/>
      <c r="T278" s="46"/>
      <c r="U278" s="46"/>
      <c r="V278" s="46"/>
      <c r="W278" s="46"/>
      <c r="X278" s="46"/>
      <c r="Y278" s="46"/>
      <c r="Z278" s="39"/>
      <c r="AA278" s="39"/>
      <c r="AB278" s="46"/>
      <c r="AC278" s="46"/>
      <c r="AD278" s="46"/>
      <c r="AE278" s="46"/>
      <c r="AF278" s="39" t="s">
        <v>1891</v>
      </c>
      <c r="AG278" s="94">
        <v>110.0</v>
      </c>
      <c r="AH278" s="46"/>
      <c r="AI278" s="46"/>
      <c r="AJ278" s="39" t="s">
        <v>1462</v>
      </c>
      <c r="AK278" s="46"/>
      <c r="AL278" s="39" t="s">
        <v>1462</v>
      </c>
      <c r="AM278" s="46"/>
      <c r="AN278" s="46"/>
      <c r="AO278" s="46"/>
      <c r="AP278" s="46"/>
      <c r="AQ278" s="46"/>
      <c r="AR278" s="46"/>
      <c r="AS278" s="46"/>
      <c r="AT278" s="46"/>
      <c r="AU278" s="46"/>
      <c r="AV278" s="46"/>
      <c r="AW278" s="46"/>
      <c r="AX278" s="46"/>
      <c r="AY278" s="46"/>
      <c r="AZ278" s="46"/>
      <c r="BA278" s="46"/>
    </row>
    <row r="279" hidden="1" outlineLevel="1">
      <c r="A279" s="248" t="s">
        <v>1892</v>
      </c>
      <c r="B279" s="46" t="s">
        <v>81</v>
      </c>
      <c r="C279" s="35"/>
      <c r="D279" s="35"/>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row>
    <row r="280">
      <c r="A280" s="35"/>
      <c r="B280" s="35"/>
      <c r="C280" s="35"/>
      <c r="D280" s="35"/>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row>
    <row r="281">
      <c r="A281" s="35"/>
      <c r="B281" s="35"/>
      <c r="C281" s="35"/>
      <c r="D281" s="35"/>
      <c r="E281" s="35"/>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row>
    <row r="282">
      <c r="A282" s="35"/>
      <c r="B282" s="35"/>
      <c r="C282" s="35"/>
      <c r="D282" s="35"/>
      <c r="E282" s="35"/>
      <c r="F282" s="39"/>
      <c r="G282" s="39"/>
      <c r="H282" s="39"/>
      <c r="I282" s="39"/>
      <c r="J282" s="39"/>
      <c r="K282" s="39"/>
      <c r="L282" s="39"/>
      <c r="M282" s="39"/>
      <c r="N282" s="39"/>
      <c r="O282" s="39"/>
      <c r="P282" s="39"/>
      <c r="Q282" s="39"/>
      <c r="R282" s="39"/>
      <c r="S282" s="39"/>
      <c r="T282" s="46"/>
      <c r="U282" s="46"/>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row>
    <row r="283">
      <c r="A283" s="35"/>
      <c r="B283" s="35"/>
      <c r="C283" s="35"/>
      <c r="D283" s="35"/>
      <c r="E283" s="35"/>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row>
    <row r="284">
      <c r="A284" s="35"/>
      <c r="B284" s="35"/>
      <c r="C284" s="35"/>
      <c r="D284" s="35"/>
      <c r="E284" s="35"/>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row>
    <row r="285">
      <c r="A285" s="35"/>
      <c r="B285" s="35"/>
      <c r="C285" s="35"/>
      <c r="D285" s="35"/>
      <c r="E285" s="35"/>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4"/>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row>
    <row r="286">
      <c r="A286" s="35"/>
      <c r="B286" s="35"/>
      <c r="C286" s="35"/>
      <c r="D286" s="35"/>
      <c r="E286" s="35"/>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row>
    <row r="287">
      <c r="A287" s="35"/>
      <c r="B287" s="35"/>
      <c r="C287" s="35"/>
      <c r="D287" s="35"/>
      <c r="E287" s="35"/>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row>
    <row r="288">
      <c r="A288" s="35"/>
      <c r="B288" s="35"/>
      <c r="C288" s="35"/>
      <c r="D288" s="35"/>
      <c r="E288" s="35"/>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row>
    <row r="289">
      <c r="A289" s="35"/>
      <c r="B289" s="35"/>
      <c r="C289" s="35"/>
      <c r="D289" s="35"/>
      <c r="E289" s="35"/>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row>
    <row r="290">
      <c r="A290" s="35"/>
      <c r="B290" s="35"/>
      <c r="C290" s="35"/>
      <c r="D290" s="35"/>
      <c r="E290" s="35"/>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row>
  </sheetData>
  <conditionalFormatting sqref="E4 G4 I4 K4 M4 O4 Q4 S4 U4 W4 Y4 AA4 AC4:AE4 AG4 AI4 AK4 AM4 AO4 AQ4 AS4 AU4 AW4 AY4 BA4">
    <cfRule type="cellIs" dxfId="0" priority="1" operator="notEqual">
      <formula>2100</formula>
    </cfRule>
  </conditionalFormatting>
  <hyperlinks>
    <hyperlink r:id="rId2" ref="F3"/>
    <hyperlink r:id="rId3" ref="H3"/>
    <hyperlink r:id="rId4" ref="J3"/>
    <hyperlink r:id="rId5" ref="L3"/>
    <hyperlink r:id="rId6" ref="N3"/>
    <hyperlink r:id="rId7" ref="P3"/>
    <hyperlink r:id="rId8" ref="R3"/>
    <hyperlink r:id="rId9" ref="T3"/>
    <hyperlink r:id="rId10" ref="V3"/>
    <hyperlink r:id="rId11" ref="X3"/>
    <hyperlink r:id="rId12" ref="Z3"/>
    <hyperlink r:id="rId13" ref="AB3"/>
    <hyperlink r:id="rId14" ref="AF3"/>
    <hyperlink r:id="rId15" ref="AH3"/>
    <hyperlink r:id="rId16" ref="AJ3"/>
    <hyperlink r:id="rId17" ref="AL3"/>
    <hyperlink r:id="rId18" ref="AN3"/>
    <hyperlink r:id="rId19" ref="AP3"/>
    <hyperlink r:id="rId20" ref="AR3"/>
    <hyperlink r:id="rId21" ref="AT3"/>
    <hyperlink r:id="rId22" ref="AV3"/>
    <hyperlink r:id="rId23" ref="AX3"/>
    <hyperlink r:id="rId24" ref="AZ3"/>
    <hyperlink display="ClassType" location="CLASSPROFILES!A1" ref="A5"/>
    <hyperlink r:id="rId25" ref="A6"/>
    <hyperlink r:id="rId26" ref="A7"/>
    <hyperlink r:id="rId27" ref="A8"/>
    <hyperlink r:id="rId28" ref="A9"/>
    <hyperlink r:id="rId29" ref="A10"/>
    <hyperlink r:id="rId30" ref="A11"/>
    <hyperlink r:id="rId31" ref="A12"/>
    <hyperlink r:id="rId32" ref="A21"/>
    <hyperlink r:id="rId33" ref="A26"/>
    <hyperlink r:id="rId34" ref="A39"/>
    <hyperlink r:id="rId35" ref="A101"/>
    <hyperlink r:id="rId36" ref="A102"/>
    <hyperlink r:id="rId37" ref="A103"/>
    <hyperlink r:id="rId38" ref="A104"/>
    <hyperlink r:id="rId39" ref="A105"/>
    <hyperlink r:id="rId40" ref="A113"/>
    <hyperlink r:id="rId41" ref="A121"/>
    <hyperlink r:id="rId42" ref="A129"/>
    <hyperlink r:id="rId43" ref="A133"/>
    <hyperlink r:id="rId44" ref="A134"/>
    <hyperlink r:id="rId45" ref="A135"/>
    <hyperlink r:id="rId46" ref="A139"/>
    <hyperlink r:id="rId47" ref="A143"/>
    <hyperlink r:id="rId48" ref="A147"/>
    <hyperlink r:id="rId49" ref="A151"/>
    <hyperlink r:id="rId50" ref="A154"/>
    <hyperlink r:id="rId51" ref="A196"/>
    <hyperlink r:id="rId52" ref="F251"/>
    <hyperlink r:id="rId53" ref="L251"/>
    <hyperlink r:id="rId54" ref="N251"/>
    <hyperlink r:id="rId55" ref="P251"/>
    <hyperlink r:id="rId56" ref="R251"/>
    <hyperlink r:id="rId57" ref="T251"/>
    <hyperlink r:id="rId58" ref="V251"/>
    <hyperlink r:id="rId59" ref="X251"/>
    <hyperlink r:id="rId60" ref="Z251"/>
    <hyperlink r:id="rId61" ref="AB251"/>
    <hyperlink r:id="rId62" ref="AF251"/>
    <hyperlink r:id="rId63" ref="AH251"/>
    <hyperlink r:id="rId64" ref="AJ251"/>
    <hyperlink r:id="rId65" ref="AL251"/>
    <hyperlink r:id="rId66" ref="AN251"/>
    <hyperlink r:id="rId67" ref="AP251"/>
    <hyperlink r:id="rId68" ref="AR251"/>
    <hyperlink r:id="rId69" ref="AT251"/>
    <hyperlink r:id="rId70" ref="AV251"/>
    <hyperlink r:id="rId71" ref="AX251"/>
    <hyperlink r:id="rId72" ref="AZ251"/>
    <hyperlink r:id="rId73" ref="AT252"/>
    <hyperlink r:id="rId74" ref="AV253"/>
    <hyperlink r:id="rId75" ref="AX253"/>
  </hyperlinks>
  <drawing r:id="rId76"/>
  <legacyDrawing r:id="rId7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1.88"/>
    <col customWidth="1" hidden="1" min="2" max="2" width="3.0"/>
    <col customWidth="1" min="3" max="3" width="11.88"/>
    <col customWidth="1" min="4" max="4" width="13.63"/>
    <col customWidth="1" min="5" max="5" width="19.63"/>
    <col customWidth="1" min="6" max="6" width="6.75"/>
    <col customWidth="1" min="7" max="7" width="6.63"/>
    <col customWidth="1" min="8" max="8" width="8.25"/>
    <col customWidth="1" min="9" max="9" width="5.0"/>
    <col customWidth="1" min="10" max="10" width="8.25"/>
    <col customWidth="1" min="11" max="11" width="4.63"/>
    <col customWidth="1" min="12" max="12" width="8.25"/>
    <col customWidth="1" min="13" max="13" width="4.88"/>
    <col customWidth="1" min="14" max="14" width="8.25"/>
    <col customWidth="1" min="15" max="15" width="4.88"/>
    <col customWidth="1" min="16" max="16" width="8.25"/>
    <col customWidth="1" min="17" max="17" width="4.75"/>
    <col customWidth="1" min="18" max="18" width="8.25"/>
    <col customWidth="1" min="19" max="19" width="4.75"/>
    <col customWidth="1" min="20" max="20" width="8.25"/>
    <col customWidth="1" min="21" max="21" width="4.75"/>
    <col customWidth="1" min="22" max="22" width="8.25"/>
    <col customWidth="1" min="23" max="23" width="5.0"/>
    <col customWidth="1" min="24" max="24" width="8.25"/>
    <col customWidth="1" min="25" max="25" width="4.5"/>
    <col customWidth="1" min="26" max="26" width="8.25"/>
    <col customWidth="1" min="27" max="27" width="4.75"/>
    <col customWidth="1" min="28" max="29" width="6.5"/>
  </cols>
  <sheetData>
    <row r="1">
      <c r="A1" s="3"/>
      <c r="B1" s="5"/>
      <c r="C1" s="5"/>
      <c r="D1" s="5"/>
      <c r="E1" s="5"/>
      <c r="F1" s="5"/>
      <c r="G1" s="47"/>
      <c r="H1" s="5"/>
      <c r="I1" s="5"/>
      <c r="J1" s="5"/>
      <c r="K1" s="5"/>
      <c r="L1" s="5"/>
      <c r="M1" s="5"/>
      <c r="N1" s="5"/>
      <c r="O1" s="5"/>
      <c r="P1" s="5"/>
      <c r="Q1" s="5"/>
      <c r="R1" s="5"/>
      <c r="S1" s="5"/>
      <c r="T1" s="5"/>
      <c r="U1" s="5"/>
      <c r="V1" s="5"/>
      <c r="W1" s="5"/>
      <c r="X1" s="5"/>
      <c r="Y1" s="5"/>
      <c r="Z1" s="5"/>
      <c r="AA1" s="5"/>
      <c r="AB1" s="5"/>
      <c r="AC1" s="47"/>
    </row>
    <row r="2">
      <c r="A2" s="48" t="s">
        <v>55</v>
      </c>
      <c r="B2" s="48"/>
      <c r="C2" s="48"/>
      <c r="D2" s="48" t="s">
        <v>145</v>
      </c>
      <c r="E2" s="48" t="s">
        <v>146</v>
      </c>
      <c r="F2" s="48" t="s">
        <v>147</v>
      </c>
      <c r="G2" s="49" t="s">
        <v>148</v>
      </c>
      <c r="H2" s="50" t="s">
        <v>149</v>
      </c>
      <c r="I2" s="50" t="s">
        <v>150</v>
      </c>
      <c r="J2" s="50" t="s">
        <v>151</v>
      </c>
      <c r="K2" s="50" t="s">
        <v>152</v>
      </c>
      <c r="L2" s="50" t="s">
        <v>153</v>
      </c>
      <c r="M2" s="50" t="s">
        <v>154</v>
      </c>
      <c r="N2" s="50" t="s">
        <v>155</v>
      </c>
      <c r="O2" s="50" t="s">
        <v>156</v>
      </c>
      <c r="P2" s="50" t="s">
        <v>157</v>
      </c>
      <c r="Q2" s="50" t="s">
        <v>158</v>
      </c>
      <c r="R2" s="50" t="s">
        <v>159</v>
      </c>
      <c r="S2" s="50" t="s">
        <v>160</v>
      </c>
      <c r="T2" s="50" t="s">
        <v>161</v>
      </c>
      <c r="U2" s="50" t="s">
        <v>162</v>
      </c>
      <c r="V2" s="50" t="s">
        <v>163</v>
      </c>
      <c r="W2" s="50" t="s">
        <v>164</v>
      </c>
      <c r="X2" s="50" t="s">
        <v>165</v>
      </c>
      <c r="Y2" s="50" t="s">
        <v>166</v>
      </c>
      <c r="Z2" s="50" t="s">
        <v>167</v>
      </c>
      <c r="AA2" s="50" t="s">
        <v>169</v>
      </c>
      <c r="AB2" s="51" t="s">
        <v>171</v>
      </c>
      <c r="AC2" s="52" t="s">
        <v>172</v>
      </c>
    </row>
    <row r="3">
      <c r="A3" s="55">
        <f>VLOOKUP($C3, CLASSNUMBERFINDER, 2, false)</f>
        <v>1</v>
      </c>
      <c r="B3" s="58"/>
      <c r="C3" s="70" t="s">
        <v>65</v>
      </c>
      <c r="D3" s="71"/>
      <c r="E3" s="71"/>
      <c r="F3" s="71"/>
      <c r="G3" s="72"/>
      <c r="H3" s="71"/>
      <c r="I3" s="71"/>
      <c r="J3" s="71"/>
      <c r="K3" s="71"/>
      <c r="L3" s="71"/>
      <c r="M3" s="71"/>
      <c r="N3" s="71"/>
      <c r="O3" s="71"/>
      <c r="P3" s="71"/>
      <c r="Q3" s="71"/>
      <c r="R3" s="71"/>
      <c r="S3" s="71"/>
      <c r="T3" s="71"/>
      <c r="U3" s="71"/>
      <c r="V3" s="71"/>
      <c r="W3" s="71"/>
      <c r="X3" s="71"/>
      <c r="Y3" s="71"/>
      <c r="Z3" s="71"/>
      <c r="AA3" s="71"/>
      <c r="AB3" s="71"/>
      <c r="AC3" s="73"/>
    </row>
    <row r="4" hidden="1">
      <c r="A4" s="76" t="str">
        <f t="array" ref="A4:A5">{"FormulaRow01";(INDEX(CLASSLIST,A3,1))}</f>
        <v>FormulaRow01</v>
      </c>
      <c r="B4" s="77" t="s">
        <v>236</v>
      </c>
      <c r="C4" s="76" t="str">
        <f t="array" ref="C4:C5">{"CLASSTYPE";(INDEX(ALLCLASSDATA,MATCH("ClassType",CLASSFEATUREHEADERS,0),MATCH($A5,CLASSNAMEHEADERS,0)))}</f>
        <v>CLASSTYPE</v>
      </c>
      <c r="D4" s="81" t="str">
        <f t="array" ref="D4:D5">{"TOTAL";("Total: " &amp; H5+J5+L5+N5+P5+R5+T5+V5+X5+Z5)}</f>
        <v>TOTAL</v>
      </c>
      <c r="E4" s="81" t="str">
        <f t="array" ref="E4:E5">{"BALANCE";(IF((H5+J5+L5+N5+P5+R5+T5+V5+X5+Z5)=2100,"(balanced)",(IF((H5+J5+L5+N5+P5+R5+T5+V5+X5+Z5)&gt;2100,"OVERBUDGET: ","UNDERBUDGET: ")) &amp; (H5+J5+L5+N5+P5+R5+T5+V5+X5+Z5-2100)))}</f>
        <v>BALANCE</v>
      </c>
      <c r="F4" s="81"/>
      <c r="G4" s="81"/>
      <c r="H4" s="81" t="str">
        <f t="array" ref="H4:H5">{"SUM LVL0/1/2";((SUMIF(F6:I85,"&lt;&gt;#REF!")+(SUMIF(J6:AA13,"&lt;&gt;#REF!"))))}</f>
        <v>SUM LVL0/1/2</v>
      </c>
      <c r="I4" s="81"/>
      <c r="J4" s="81" t="str">
        <f t="array" ref="J4:J5">{"SUM LVL3/4";(SUMIF(J14:K85,"&lt;&gt;#REF!"))}</f>
        <v>SUM LVL3/4</v>
      </c>
      <c r="K4" s="81"/>
      <c r="L4" s="81" t="str">
        <f t="array" ref="L4:L5">{"SUM LVL5/6";(SUMIF(L14:M85,"&lt;&gt;#REF!"))}</f>
        <v>SUM LVL5/6</v>
      </c>
      <c r="M4" s="81"/>
      <c r="N4" s="81" t="str">
        <f t="array" ref="N4:N5">{"SUM LVL7/8";(SUMIF(N14:O85,"&lt;&gt;#REF!"))}</f>
        <v>SUM LVL7/8</v>
      </c>
      <c r="O4" s="81"/>
      <c r="P4" s="81" t="str">
        <f t="array" ref="P4:P5">{"SUM LVL9/10";(SUMIF(P14:Q85,"&lt;&gt;#REF!"))}</f>
        <v>SUM LVL9/10</v>
      </c>
      <c r="Q4" s="81"/>
      <c r="R4" s="81" t="str">
        <f t="array" ref="R4:R5">{"SUM LVL11/12";(SUMIF(R14:S85,"&lt;&gt;#REF!"))}</f>
        <v>SUM LVL11/12</v>
      </c>
      <c r="S4" s="81"/>
      <c r="T4" s="81" t="str">
        <f t="array" ref="T4:T5">{"SUM LVL13/14";(SUMIF(T14:U85,"&lt;&gt;#REF!"))}</f>
        <v>SUM LVL13/14</v>
      </c>
      <c r="U4" s="81"/>
      <c r="V4" s="81" t="str">
        <f t="array" ref="V4:V5">{"SUM LVL15/16";(SUMIF(V14:W85,"&lt;&gt;#REF!"))}</f>
        <v>SUM LVL15/16</v>
      </c>
      <c r="W4" s="81"/>
      <c r="X4" s="81" t="str">
        <f t="array" ref="X4:X5">{"SUM LVL17/18";(SUMIF(X14:Y85,"&lt;&gt;#REF!"))}</f>
        <v>SUM LVL17/18</v>
      </c>
      <c r="Y4" s="81"/>
      <c r="Z4" s="81" t="str">
        <f t="array" ref="Z4:Z5">{"SUM LVL19/20";(SUMIF(Z14:AA85,"&lt;&gt;#REF!"))}</f>
        <v>SUM LVL19/20</v>
      </c>
      <c r="AA4" s="81"/>
      <c r="AB4" s="76"/>
      <c r="AC4" s="76" t="str">
        <f t="array" ref="AC4:AC5">{"SUM ROWTOTALS";(SUMIF(AC7:AC93,"&lt;&gt;#REF!"))}</f>
        <v>SUM ROWTOTALS</v>
      </c>
    </row>
    <row r="5">
      <c r="A5" s="48" t="s">
        <v>65</v>
      </c>
      <c r="B5" s="48"/>
      <c r="C5" s="48" t="s">
        <v>406</v>
      </c>
      <c r="D5" s="91" t="s">
        <v>416</v>
      </c>
      <c r="E5" s="92" t="s">
        <v>419</v>
      </c>
      <c r="F5" s="91"/>
      <c r="G5" s="93"/>
      <c r="H5" s="92">
        <v>420.0</v>
      </c>
      <c r="I5" s="92"/>
      <c r="J5" s="92">
        <v>30.0</v>
      </c>
      <c r="K5" s="92"/>
      <c r="L5" s="92">
        <v>50.0</v>
      </c>
      <c r="M5" s="92"/>
      <c r="N5" s="92">
        <v>170.0</v>
      </c>
      <c r="O5" s="92"/>
      <c r="P5" s="92">
        <v>300.0</v>
      </c>
      <c r="Q5" s="92"/>
      <c r="R5" s="92">
        <v>270.0</v>
      </c>
      <c r="S5" s="92"/>
      <c r="T5" s="92">
        <v>220.0</v>
      </c>
      <c r="U5" s="92"/>
      <c r="V5" s="92">
        <v>150.0</v>
      </c>
      <c r="W5" s="92"/>
      <c r="X5" s="92">
        <v>300.0</v>
      </c>
      <c r="Y5" s="92"/>
      <c r="Z5" s="92">
        <v>190.0</v>
      </c>
      <c r="AA5" s="92"/>
      <c r="AB5" s="5"/>
      <c r="AC5" s="47">
        <v>2100.0</v>
      </c>
    </row>
    <row r="6" hidden="1">
      <c r="A6" s="76" t="str">
        <f t="array" ref="A6:A7">{"FormulaRow02";(INDEX(CLASSLIST,A3,1))}</f>
        <v>FormulaRow02</v>
      </c>
      <c r="B6" s="77" t="s">
        <v>236</v>
      </c>
      <c r="C6" s="76" t="str">
        <f t="array" ref="C6:C7">{"CLASSTYPE";((INDEX(ALLCLASSDATA,MATCH("ClassType",CLASSFEATUREHEADERS,0),MATCH($A7,CLASSNAMEHEADERS,0))))}</f>
        <v>CLASSTYPE</v>
      </c>
      <c r="D6" s="81" t="str">
        <f t="array" ref="D6:D7">{"FEATURES";"Features"}</f>
        <v>FEATURES</v>
      </c>
      <c r="E6" s="81" t="str">
        <f t="array" ref="E6:E7">{"INITIALFEATURES";"Initial Features"}</f>
        <v>INITIALFEATURES</v>
      </c>
      <c r="F6" s="81" t="str">
        <f t="array" ref="F6:F7">{"KEY";"Key"}</f>
        <v>KEY</v>
      </c>
      <c r="G6" s="81" t="str">
        <f t="array" ref="G6:G7">{"HP";"HP"}</f>
        <v>HP</v>
      </c>
      <c r="H6" s="81" t="str">
        <f t="array" ref="H6:H7">{"CLASSFEATL01";"ClassFeatL01"}</f>
        <v>CLASSFEATL01</v>
      </c>
      <c r="I6" s="81" t="str">
        <f t="array" ref="I6:I7">{"SHIELDBLOCKL01";"ShieldBlockL01"}</f>
        <v>SHIELDBLOCKL01</v>
      </c>
      <c r="J6" s="81" t="str">
        <f t="array" ref="J6:J7">{"INITIALSKILLS";"InitialSkills"}</f>
        <v>INITIALSKILLS</v>
      </c>
      <c r="K6" s="81" t="str">
        <f t="array" ref="K6:K7">{"SUBCLASSSKILLS";"SubclassSkills"}</f>
        <v>SUBCLASSSKILLS</v>
      </c>
      <c r="L6" s="81" t="str">
        <f t="array" ref="L6:L7">{"GRANTEDSKILLS";"GrantedSkills"}</f>
        <v>GRANTEDSKILLS</v>
      </c>
      <c r="M6" s="81"/>
      <c r="N6" s="81"/>
      <c r="O6" s="81"/>
      <c r="P6" s="81" t="str">
        <f t="array" ref="P6:P7">{"FOCUSSPELLS";"FocusSpells:"}</f>
        <v>FOCUSSPELLS</v>
      </c>
      <c r="Q6" s="81" t="str">
        <f t="array" ref="Q6:Q7">{"FOCUSSPELL1-L00";((INDEX(ALLCLASSDATA,MATCH("FocusSpell1-L00",CLASSFEATUREHEADERS,0),MATCH(($A7),CLASSNAMEHEADERS,0))))}</f>
        <v>FOCUSSPELL1-L00</v>
      </c>
      <c r="R6" s="81" t="str">
        <f t="array" ref="R6:R7">{"FOCUSSPELL2-L00";((INDEX(ALLCLASSDATA,MATCH("FocusSpell2-L00",CLASSFEATUREHEADERS,0),MATCH(($A7),CLASSNAMEHEADERS,0))))}</f>
        <v>FOCUSSPELL2-L00</v>
      </c>
      <c r="S6" s="81" t="str">
        <f t="array" ref="S6:S7">{"FOCUSSPELL3-L00";((INDEX(ALLCLASSDATA,MATCH("FocusSpell3-L00",CLASSFEATUREHEADERS,0),MATCH(($A7),CLASSNAMEHEADERS,0))))}</f>
        <v>FOCUSSPELL3-L00</v>
      </c>
      <c r="T6" s="81" t="str">
        <f t="array" ref="T6:T7">{"FOCUSSPELL4-L00";((INDEX(ALLCLASSDATA,MATCH("FocusSpell4-L00",CLASSFEATUREHEADERS,0),MATCH(($A7),CLASSNAMEHEADERS,0))))}</f>
        <v>FOCUSSPELL4-L00</v>
      </c>
      <c r="U6" s="81" t="str">
        <f t="array" ref="U6:U7">{"FOCUSSPELL5-L00";((INDEX(ALLCLASSDATA,MATCH("FocusSpell5-L00",CLASSFEATUREHEADERS,0),MATCH(($A7),CLASSNAMEHEADERS,0))))}</f>
        <v>FOCUSSPELL5-L00</v>
      </c>
      <c r="V6" s="81"/>
      <c r="W6" s="81"/>
      <c r="X6" s="81"/>
      <c r="Y6" s="81"/>
      <c r="Z6" s="81"/>
      <c r="AA6" s="81"/>
      <c r="AB6" s="76"/>
      <c r="AC6" s="76"/>
    </row>
    <row r="7">
      <c r="A7" s="48" t="s">
        <v>65</v>
      </c>
      <c r="B7" s="48"/>
      <c r="C7" s="48" t="s">
        <v>406</v>
      </c>
      <c r="D7" s="48" t="s">
        <v>467</v>
      </c>
      <c r="E7" s="48" t="s">
        <v>468</v>
      </c>
      <c r="F7" s="48" t="s">
        <v>469</v>
      </c>
      <c r="G7" s="114" t="s">
        <v>15</v>
      </c>
      <c r="H7" s="8" t="s">
        <v>451</v>
      </c>
      <c r="I7" s="8" t="s">
        <v>463</v>
      </c>
      <c r="J7" s="8" t="s">
        <v>473</v>
      </c>
      <c r="K7" s="8" t="s">
        <v>474</v>
      </c>
      <c r="L7" s="8" t="s">
        <v>475</v>
      </c>
      <c r="M7" s="8"/>
      <c r="N7" s="8"/>
      <c r="O7" s="8"/>
      <c r="P7" s="8" t="s">
        <v>476</v>
      </c>
      <c r="Q7" s="8" t="s">
        <v>477</v>
      </c>
      <c r="R7" s="116"/>
      <c r="S7" s="116"/>
      <c r="T7" s="116"/>
      <c r="U7" s="116"/>
      <c r="V7" s="8"/>
      <c r="W7" s="8"/>
      <c r="X7" s="8"/>
      <c r="Y7" s="8"/>
      <c r="Z7" s="5"/>
      <c r="AA7" s="5"/>
      <c r="AB7" s="5"/>
      <c r="AC7" s="47"/>
    </row>
    <row r="8" hidden="1">
      <c r="A8" s="76" t="str">
        <f t="array" ref="A8:A9">{"FormulaRow03";(INDEX(CLASSLIST,A3,1))}</f>
        <v>FormulaRow03</v>
      </c>
      <c r="B8" s="77" t="s">
        <v>236</v>
      </c>
      <c r="C8" s="76" t="str">
        <f t="array" ref="C8:C9">{"CLASSTYPE";((INDEX(ALLCLASSDATA,MATCH("ClassType",CLASSFEATUREHEADERS,0),MATCH($A9,CLASSNAMEHEADERS,0))))}</f>
        <v>CLASSTYPE</v>
      </c>
      <c r="D8" s="76" t="str">
        <f t="array" ref="D8:D9">{"FEATUREPTS";"FeaturesPts"}</f>
        <v>FEATUREPTS</v>
      </c>
      <c r="E8" s="76" t="str">
        <f t="array" ref="E8:E9">{"INITIALFEATURES";"Initial Features"}</f>
        <v>INITIALFEATURES</v>
      </c>
      <c r="F8" s="76" t="str">
        <f t="array" ref="F8:F9">{"KEYABILITY";((INDEX(ALLCLASSDATA,MATCH("KEYABILITY",CLASSFEATUREHEADERS,0),MATCH($A9,CLASSNAMEHEADERS,0))))}</f>
        <v>KEYABILITY</v>
      </c>
      <c r="G8" s="76" t="str">
        <f t="array" ref="G8:G9">{"HP";((INDEX(ALLCLASSDATA,MATCH("HP",CLASSFEATUREHEADERS,0),MATCH(($A9 &amp; "Points"),CLASSNAMEHEADERS,0))))}</f>
        <v>HP</v>
      </c>
      <c r="H8" s="76" t="str">
        <f t="array" ref="H8:H9">{"CLASSFEATL01";((INDEX(ALLCLASSDATA,MATCH("ClassFeatL01",CLASSFEATUREHEADERS,0),MATCH(($A9 &amp; "Points"),CLASSNAMEHEADERS,0))))}</f>
        <v>CLASSFEATL01</v>
      </c>
      <c r="I8" s="76" t="str">
        <f t="array" ref="I8:I9">{"SHIELDBLOCKL01";((INDEX(ALLCLASSDATA,MATCH("ShieldBlockL01",CLASSFEATUREHEADERS,0),MATCH(($A9 &amp; "Points"),CLASSNAMEHEADERS,0))))}</f>
        <v>SHIELDBLOCKL01</v>
      </c>
      <c r="J8" s="76" t="str">
        <f t="array" ref="J8:J9">{"INITIALSKILLINCREASES";((INDEX(ALLCLASSDATA,MATCH("InitialSkillIncreases",CLASSFEATUREHEADERS,0),MATCH(($A9 &amp; "Points"),CLASSNAMEHEADERS,0))))}</f>
        <v>INITIALSKILLINCREASES</v>
      </c>
      <c r="K8" s="76" t="str">
        <f t="array" ref="K8:K9">{"SUBCLASSSKILLINCREASES";((INDEX(ALLCLASSDATA,MATCH("SubclassSkillIncreases",CLASSFEATUREHEADERS,0),MATCH(($A9 &amp; "Points"),CLASSNAMEHEADERS,0))))}</f>
        <v>SUBCLASSSKILLINCREASES</v>
      </c>
      <c r="L8" s="76" t="str">
        <f t="array" ref="L8:L9">{"GRANTEDSKILLS";(((INDEX(ALLCLASSDATA,MATCH("SkillsGrantedTotal",CLASSFEATUREHEADERS,0),MATCH(($A9 &amp; "Points"),CLASSNAMEHEADERS,0)))-(INDEX(ALLCLASSDATA,MATCH("InitialSkillIncreases",CLASSFEATUREHEADERS,0),MATCH(($A9 &amp; "Points"),CLASSNAMEHEADERS,0)))-(INDEX(ALLCLASSDATA,MATCH("SubclassSkillIncreases",CLASSFEATUREHEADERS,0),MATCH(($A9 &amp; "Points"),CLASSNAMEHEADERS,0)))))}</f>
        <v>GRANTEDSKILLS</v>
      </c>
      <c r="M8" s="76"/>
      <c r="N8" s="76"/>
      <c r="O8" s="76"/>
      <c r="P8" s="76"/>
      <c r="Q8" s="76" t="str">
        <f t="array" ref="Q8:Q9">{"FOCUSSPELL1-L00";((INDEX(ALLCLASSDATA,MATCH("FocusSpell1-L00",CLASSFEATUREHEADERS,0),MATCH(($A9 &amp; "Points"),CLASSNAMEHEADERS,0))))}</f>
        <v>FOCUSSPELL1-L00</v>
      </c>
      <c r="R8" s="76" t="str">
        <f t="array" ref="R8:R9">{"FOCUSSPELL2-L00";((INDEX(ALLCLASSDATA,MATCH("FocusSpell2-L00",CLASSFEATUREHEADERS,0),MATCH(($A9 &amp; "Points"),CLASSNAMEHEADERS,0))))}</f>
        <v>FOCUSSPELL2-L00</v>
      </c>
      <c r="S8" s="76" t="str">
        <f t="array" ref="S8:S9">{"FOCUSSPELL3-L00";((INDEX(ALLCLASSDATA,MATCH("FocusSpell3-L00",CLASSFEATUREHEADERS,0),MATCH(($A9 &amp; "Points"),CLASSNAMEHEADERS,0))))}</f>
        <v>FOCUSSPELL3-L00</v>
      </c>
      <c r="T8" s="76" t="str">
        <f t="array" ref="T8:T9">{"FOCUSSPELL4-L00";((INDEX(ALLCLASSDATA,MATCH("FocusSpell4-L00",CLASSFEATUREHEADERS,0),MATCH(($A9 &amp; "Points"),CLASSNAMEHEADERS,0))))}</f>
        <v>FOCUSSPELL4-L00</v>
      </c>
      <c r="U8" s="76" t="str">
        <f t="array" ref="U8:U9">{"FOCUSSPELL5-L00";((INDEX(ALLCLASSDATA,MATCH("FocusSpell5-L00",CLASSFEATUREHEADERS,0),MATCH(($A9 &amp; "Points"),CLASSNAMEHEADERS,0))))}</f>
        <v>FOCUSSPELL5-L00</v>
      </c>
      <c r="V8" s="76"/>
      <c r="W8" s="76"/>
      <c r="X8" s="76"/>
      <c r="Y8" s="76"/>
      <c r="Z8" s="76"/>
      <c r="AA8" s="76"/>
      <c r="AB8" s="76"/>
      <c r="AC8" s="76" t="str">
        <f t="array" ref="AC8:AC9">{"FEATUREPTS TOTAL";(sum(G9:AA9))}</f>
        <v>FEATUREPTS TOTAL</v>
      </c>
    </row>
    <row r="9">
      <c r="A9" s="48" t="s">
        <v>65</v>
      </c>
      <c r="B9" s="48"/>
      <c r="C9" s="48" t="s">
        <v>406</v>
      </c>
      <c r="D9" s="97" t="s">
        <v>559</v>
      </c>
      <c r="E9" s="97" t="s">
        <v>468</v>
      </c>
      <c r="F9" s="97" t="s">
        <v>421</v>
      </c>
      <c r="G9" s="132">
        <v>100.0</v>
      </c>
      <c r="H9" s="98">
        <v>10.0</v>
      </c>
      <c r="I9" s="98">
        <v>10.0</v>
      </c>
      <c r="J9" s="98">
        <v>10.0</v>
      </c>
      <c r="K9" s="98">
        <v>5.0</v>
      </c>
      <c r="L9" s="98">
        <v>5.0</v>
      </c>
      <c r="M9" s="98"/>
      <c r="N9" s="98"/>
      <c r="O9" s="98"/>
      <c r="P9" s="98"/>
      <c r="Q9" s="98">
        <v>10.0</v>
      </c>
      <c r="R9" s="98"/>
      <c r="S9" s="98"/>
      <c r="T9" s="98"/>
      <c r="U9" s="98"/>
      <c r="V9" s="98"/>
      <c r="W9" s="98"/>
      <c r="X9" s="98"/>
      <c r="Y9" s="98"/>
      <c r="Z9" s="98"/>
      <c r="AA9" s="98"/>
      <c r="AB9" s="5"/>
      <c r="AC9" s="47">
        <v>150.0</v>
      </c>
    </row>
    <row r="10" hidden="1">
      <c r="A10" s="76" t="str">
        <f t="array" ref="A10:A11">{"FormulaRow04";(INDEX(CLASSLIST,A3,1))}</f>
        <v>FormulaRow04</v>
      </c>
      <c r="B10" s="77" t="s">
        <v>236</v>
      </c>
      <c r="C10" s="76" t="str">
        <f t="array" ref="C10:C11">{"CLASSTYPE";((INDEX(ALLCLASSDATA,MATCH("ClassType",CLASSFEATUREHEADERS,0),MATCH($A11,CLASSNAMEHEADERS,0))))}</f>
        <v>CLASSTYPE</v>
      </c>
      <c r="D10" s="81" t="str">
        <f t="array" ref="D10:D11">{"INITIALFEATURES";"InitialFeatures"}</f>
        <v>INITIALFEATURES</v>
      </c>
      <c r="E10" s="81" t="str">
        <f t="array" ref="E10:E11">{"CLASS/SUBCLASSFEATURES";"Class/Subclass Features"}</f>
        <v>CLASS/SUBCLASSFEATURES</v>
      </c>
      <c r="F10" s="81"/>
      <c r="G10" s="136"/>
      <c r="H10" s="81" t="str">
        <f t="array" ref="H10:H11">{"CLASSINITIALABILITY1-L00";((INDEX(ALLCLASSDATA,MATCH("ClassInitialAbility1-L00",CLASSFEATUREHEADERS,0),MATCH(($A11),CLASSNAMEHEADERS,0))))}</f>
        <v>CLASSINITIALABILITY1-L00</v>
      </c>
      <c r="I10" s="81" t="str">
        <f t="array" ref="I10:I11">{"CLASSINITIALABILITY2-L00";((INDEX(ALLCLASSDATA,MATCH("ClassInitialAbility2-L00",CLASSFEATUREHEADERS,0),MATCH(($A11),CLASSNAMEHEADERS,0))))}</f>
        <v>CLASSINITIALABILITY2-L00</v>
      </c>
      <c r="J10" s="81" t="str">
        <f t="array" ref="J10:J11">{"CLASSINITIALABILITY3-L00";((INDEX(ALLCLASSDATA,MATCH("ClassInitialAbility3-L00",CLASSFEATUREHEADERS,0),MATCH(($A11),CLASSNAMEHEADERS,0))))}</f>
        <v>CLASSINITIALABILITY3-L00</v>
      </c>
      <c r="K10" s="81" t="str">
        <f t="array" ref="K10:K11">{"CLASSINITIALABILITY4-L00";((INDEX(ALLCLASSDATA,MATCH("ClassInitialAbility4-L00",CLASSFEATUREHEADERS,0),MATCH(($A11),CLASSNAMEHEADERS,0))))}</f>
        <v>CLASSINITIALABILITY4-L00</v>
      </c>
      <c r="L10" s="81" t="str">
        <f t="array" ref="L10:L11">{"CLASSINITIALABILITY5-L00";((INDEX(ALLCLASSDATA,MATCH("ClassInitialAbility5-L00",CLASSFEATUREHEADERS,0),MATCH(($A11),CLASSNAMEHEADERS,0))))}</f>
        <v>CLASSINITIALABILITY5-L00</v>
      </c>
      <c r="M10" s="81" t="str">
        <f t="array" ref="M10:M11">{"CLASSINITIALABILITY6-L00";((INDEX(ALLCLASSDATA,MATCH("ClassInitialAbility6-L00",CLASSFEATUREHEADERS,0),MATCH(($A11),CLASSNAMEHEADERS,0))))}</f>
        <v>CLASSINITIALABILITY6-L00</v>
      </c>
      <c r="N10" s="81" t="str">
        <f t="array" ref="N10:N11">{"CLASSINITIALABILITY7-L00";((INDEX(ALLCLASSDATA,MATCH("ClassInitialAbility7-L00",CLASSFEATUREHEADERS,0),MATCH(($A11),CLASSNAMEHEADERS,0))))}</f>
        <v>CLASSINITIALABILITY7-L00</v>
      </c>
      <c r="O10" s="81" t="str">
        <f t="array" ref="O10:O11">{"CLASSINITIALABILITY8-L00";((INDEX(ALLCLASSDATA,MATCH("ClassInitialAbility8-L00",CLASSFEATUREHEADERS,0),MATCH(($A11),CLASSNAMEHEADERS,0))))}</f>
        <v>CLASSINITIALABILITY8-L00</v>
      </c>
      <c r="P10" s="81" t="str">
        <f t="array" ref="P10:P11">{"CLASSINITIALABILITY9-L00";((INDEX(ALLCLASSDATA,MATCH("ClassInitialAbility9-L00",CLASSFEATUREHEADERS,0),MATCH(($A11),CLASSNAMEHEADERS,0))))}</f>
        <v>CLASSINITIALABILITY9-L00</v>
      </c>
      <c r="Q10" s="81" t="str">
        <f t="array" ref="Q10:Q11">{"CLASSINITIALABILITY10-L00";((INDEX(ALLCLASSDATA,MATCH("ClassInitialAbility10-L00",CLASSFEATUREHEADERS,0),MATCH(($A11),CLASSNAMEHEADERS,0))))}</f>
        <v>CLASSINITIALABILITY10-L00</v>
      </c>
      <c r="R10" s="81" t="str">
        <f t="array" ref="R10:R11">{"SUBCLASSINITIAL1-L00";((INDEX(ALLCLASSDATA,MATCH("SubclassInitial1-L00",CLASSFEATUREHEADERS,0),MATCH(($A11),CLASSNAMEHEADERS,0))))}</f>
        <v>SUBCLASSINITIAL1-L00</v>
      </c>
      <c r="S10" s="81" t="str">
        <f t="array" ref="S10:S11">{"SUBCLASSINITIAL2-L00";((INDEX(ALLCLASSDATA,MATCH("SubclassInitial2-L00",CLASSFEATUREHEADERS,0),MATCH(($A11),CLASSNAMEHEADERS,0))))}</f>
        <v>SUBCLASSINITIAL2-L00</v>
      </c>
      <c r="T10" s="81" t="str">
        <f t="array" ref="T10:T11">{"SUBCLASSINITIAL3-L00";((INDEX(ALLCLASSDATA,MATCH("SubclassInitial3-L00",CLASSFEATUREHEADERS,0),MATCH(($A11),CLASSNAMEHEADERS,0))))}</f>
        <v>SUBCLASSINITIAL3-L00</v>
      </c>
      <c r="U10" s="81" t="str">
        <f t="array" ref="U10:U11">{"SUBCLASSINITIAL4-L00";((INDEX(ALLCLASSDATA,MATCH("SubclassInitial4-L00",CLASSFEATUREHEADERS,0),MATCH(($A11),CLASSNAMEHEADERS,0))))}</f>
        <v>SUBCLASSINITIAL4-L00</v>
      </c>
      <c r="V10" s="81" t="str">
        <f t="array" ref="V10:V11">{"SUBCLASSINITIAL5-L00";((INDEX(ALLCLASSDATA,MATCH("SubclassInitial5-L00",CLASSFEATUREHEADERS,0),MATCH(($A11),CLASSNAMEHEADERS,0))))}</f>
        <v>SUBCLASSINITIAL5-L00</v>
      </c>
      <c r="W10" s="81" t="str">
        <f t="array" ref="W10:W11">{"SUBCLASSINITIAL6-L00";((INDEX(ALLCLASSDATA,MATCH("SubclassInitial6-L00",CLASSFEATUREHEADERS,0),MATCH(($A11),CLASSNAMEHEADERS,0))))}</f>
        <v>SUBCLASSINITIAL6-L00</v>
      </c>
      <c r="X10" s="81" t="str">
        <f t="array" ref="X10:X11">{"SUBCLASSINITIAL7-L00";((INDEX(ALLCLASSDATA,MATCH("SubclassInitial7-L00",CLASSFEATUREHEADERS,0),MATCH(($A11),CLASSNAMEHEADERS,0))))}</f>
        <v>SUBCLASSINITIAL7-L00</v>
      </c>
      <c r="Y10" s="81" t="str">
        <f t="array" ref="Y10:Y11">{"SUBCLASSINITIAL8-L00";((INDEX(ALLCLASSDATA,MATCH("SubclassInitial8-L00",CLASSFEATUREHEADERS,0),MATCH(($A11),CLASSNAMEHEADERS,0))))}</f>
        <v>SUBCLASSINITIAL8-L00</v>
      </c>
      <c r="Z10" s="81" t="str">
        <f t="array" ref="Z10:Z11">{"SUBCLASSINITIAL9-L00";((INDEX(ALLCLASSDATA,MATCH("SubclassInitial9-L00",CLASSFEATUREHEADERS,0),MATCH(($A11),CLASSNAMEHEADERS,0))))}</f>
        <v>SUBCLASSINITIAL9-L00</v>
      </c>
      <c r="AA10" s="81" t="str">
        <f t="array" ref="AA10:AA11">{"SUBCLASSINITIAL10-L00";((INDEX(ALLCLASSDATA,MATCH("SubclassInitial10-L00",CLASSFEATUREHEADERS,0),MATCH(($A11),CLASSNAMEHEADERS,0))))}</f>
        <v>SUBCLASSINITIAL10-L00</v>
      </c>
      <c r="AB10" s="76"/>
      <c r="AC10" s="76"/>
    </row>
    <row r="11">
      <c r="A11" s="48" t="s">
        <v>65</v>
      </c>
      <c r="B11" s="48"/>
      <c r="C11" s="48" t="s">
        <v>406</v>
      </c>
      <c r="D11" s="155" t="s">
        <v>614</v>
      </c>
      <c r="E11" s="155" t="s">
        <v>616</v>
      </c>
      <c r="F11" s="155"/>
      <c r="G11" s="156"/>
      <c r="H11" s="157" t="s">
        <v>617</v>
      </c>
      <c r="I11" s="157" t="s">
        <v>618</v>
      </c>
      <c r="J11" s="157" t="s">
        <v>619</v>
      </c>
      <c r="K11" s="157" t="s">
        <v>620</v>
      </c>
      <c r="L11" s="157" t="s">
        <v>387</v>
      </c>
      <c r="M11" s="157"/>
      <c r="N11" s="157"/>
      <c r="O11" s="157"/>
      <c r="P11" s="157"/>
      <c r="Q11" s="157"/>
      <c r="R11" s="157" t="s">
        <v>621</v>
      </c>
      <c r="S11" s="157"/>
      <c r="T11" s="157"/>
      <c r="U11" s="157"/>
      <c r="V11" s="157"/>
      <c r="W11" s="157"/>
      <c r="X11" s="157"/>
      <c r="Y11" s="157"/>
      <c r="Z11" s="157"/>
      <c r="AA11" s="157"/>
      <c r="AB11" s="5"/>
      <c r="AC11" s="47"/>
    </row>
    <row r="12" hidden="1">
      <c r="A12" s="76" t="str">
        <f t="array" ref="A12:A13">{"FormulaRow05";(INDEX(CLASSLIST,A3,1))}</f>
        <v>FormulaRow05</v>
      </c>
      <c r="B12" s="77" t="s">
        <v>236</v>
      </c>
      <c r="C12" s="76" t="str">
        <f t="array" ref="C12:C13">{"CLASSTYPE";((INDEX(ALLCLASSDATA,MATCH("ClassType",CLASSFEATUREHEADERS,0),MATCH($A13,CLASSNAMEHEADERS,0))))}</f>
        <v>CLASSTYPE</v>
      </c>
      <c r="D12" s="76" t="str">
        <f t="array" ref="D12:D13">{"INITIALFEATURESPTS";"InitialFeaturesPts"}</f>
        <v>INITIALFEATURESPTS</v>
      </c>
      <c r="E12" s="76" t="str">
        <f t="array" ref="E12:E13">{"CLASS/SUBCLASSFEATURES";"Class/Subclass Features"}</f>
        <v>CLASS/SUBCLASSFEATURES</v>
      </c>
      <c r="F12" s="76"/>
      <c r="G12" s="76"/>
      <c r="H12" s="76" t="str">
        <f t="array" ref="H12:H13">{"CLASSINITIALABILITY1-L00PTS";((INDEX(ALLCLASSDATA,MATCH("ClassInitialAbility1-L00",CLASSFEATUREHEADERS,0),MATCH(($A13 &amp; "Points"),CLASSNAMEHEADERS,0))))}</f>
        <v>CLASSINITIALABILITY1-L00PTS</v>
      </c>
      <c r="I12" s="76" t="str">
        <f t="array" ref="I12:I13">{"CLASSINITIALABILITY2-L00PTS";((INDEX(ALLCLASSDATA,MATCH("ClassInitialAbility2-L00",CLASSFEATUREHEADERS,0),MATCH(($A13 &amp; "Points"),CLASSNAMEHEADERS,0))))}</f>
        <v>CLASSINITIALABILITY2-L00PTS</v>
      </c>
      <c r="J12" s="76" t="str">
        <f t="array" ref="J12:J13">{"CLASSINITIALABILITY3-L00PTS";((INDEX(ALLCLASSDATA,MATCH("ClassInitialAbility3-L00",CLASSFEATUREHEADERS,0),MATCH(($A13 &amp; "Points"),CLASSNAMEHEADERS,0))))}</f>
        <v>CLASSINITIALABILITY3-L00PTS</v>
      </c>
      <c r="K12" s="76" t="str">
        <f t="array" ref="K12:K13">{"CLASSINITIALABILITY4-L00PTS";((INDEX(ALLCLASSDATA,MATCH("ClassInitialAbility4-L00",CLASSFEATUREHEADERS,0),MATCH(($A13 &amp; "Points"),CLASSNAMEHEADERS,0))))}</f>
        <v>CLASSINITIALABILITY4-L00PTS</v>
      </c>
      <c r="L12" s="76" t="str">
        <f t="array" ref="L12:L13">{"CLASSINITIALABILITY5-L00PTS";((INDEX(ALLCLASSDATA,MATCH("ClassInitialAbility5-L00",CLASSFEATUREHEADERS,0),MATCH(($A13 &amp; "Points"),CLASSNAMEHEADERS,0))))}</f>
        <v>CLASSINITIALABILITY5-L00PTS</v>
      </c>
      <c r="M12" s="76" t="str">
        <f t="array" ref="M12:M13">{"CLASSINITIALABILITY6-L00PTS";((INDEX(ALLCLASSDATA,MATCH("ClassInitialAbility6-L00",CLASSFEATUREHEADERS,0),MATCH(($A13 &amp; "Points"),CLASSNAMEHEADERS,0))))}</f>
        <v>CLASSINITIALABILITY6-L00PTS</v>
      </c>
      <c r="N12" s="76" t="str">
        <f t="array" ref="N12:N13">{"CLASSINITIALABILITY7-L00PTS";((INDEX(ALLCLASSDATA,MATCH("ClassInitialAbility7-L00",CLASSFEATUREHEADERS,0),MATCH(($A13 &amp; "Points"),CLASSNAMEHEADERS,0))))}</f>
        <v>CLASSINITIALABILITY7-L00PTS</v>
      </c>
      <c r="O12" s="76" t="str">
        <f t="array" ref="O12:O13">{"CLASSINITIALABILITY8-L00PTS";((INDEX(ALLCLASSDATA,MATCH("ClassInitialAbility8-L00",CLASSFEATUREHEADERS,0),MATCH(($A13 &amp; "Points"),CLASSNAMEHEADERS,0))))}</f>
        <v>CLASSINITIALABILITY8-L00PTS</v>
      </c>
      <c r="P12" s="76" t="str">
        <f t="array" ref="P12:P13">{"CLASSINITIALABILITY9-L00PTS";((INDEX(ALLCLASSDATA,MATCH("ClassInitialAbility9-L00",CLASSFEATUREHEADERS,0),MATCH(($A13 &amp; "Points"),CLASSNAMEHEADERS,0))))}</f>
        <v>CLASSINITIALABILITY9-L00PTS</v>
      </c>
      <c r="Q12" s="76" t="str">
        <f t="array" ref="Q12:Q13">{"CLASSINITIALABILITY10-L00PTS";((INDEX(ALLCLASSDATA,MATCH("ClassInitialAbility10-L00",CLASSFEATUREHEADERS,0),MATCH(($A13 &amp; "Points"),CLASSNAMEHEADERS,0))))}</f>
        <v>CLASSINITIALABILITY10-L00PTS</v>
      </c>
      <c r="R12" s="76" t="str">
        <f t="array" ref="R12:R13">{"SUBCLASSINITIAL1-L00PTS";((INDEX(ALLCLASSDATA,MATCH("SubclassInitial1-L00",CLASSFEATUREHEADERS,0),MATCH(($A13 &amp; "Points"),CLASSNAMEHEADERS,0))))}</f>
        <v>SUBCLASSINITIAL1-L00PTS</v>
      </c>
      <c r="S12" s="76" t="str">
        <f t="array" ref="S12:S13">{"SUBCLASSINITIAL2-L00PTS";((INDEX(ALLCLASSDATA,MATCH("SubclassInitial2-L00",CLASSFEATUREHEADERS,0),MATCH(($A13 &amp; "Points"),CLASSNAMEHEADERS,0))))}</f>
        <v>SUBCLASSINITIAL2-L00PTS</v>
      </c>
      <c r="T12" s="76" t="str">
        <f t="array" ref="T12:T13">{"SUBCLASSINITIAL3-L00PTS";((INDEX(ALLCLASSDATA,MATCH("SubclassInitial3-L00",CLASSFEATUREHEADERS,0),MATCH(($A13 &amp; "Points"),CLASSNAMEHEADERS,0))))}</f>
        <v>SUBCLASSINITIAL3-L00PTS</v>
      </c>
      <c r="U12" s="76" t="str">
        <f t="array" ref="U12:U13">{"SUBCLASSINITIAL4-L00PTS";((INDEX(ALLCLASSDATA,MATCH("SubclassInitial4-L00",CLASSFEATUREHEADERS,0),MATCH(($A13 &amp; "Points"),CLASSNAMEHEADERS,0))))}</f>
        <v>SUBCLASSINITIAL4-L00PTS</v>
      </c>
      <c r="V12" s="76" t="str">
        <f t="array" ref="V12:V13">{"SUBCLASSINITIAL5-L00PTS";((INDEX(ALLCLASSDATA,MATCH("SubclassInitial5-L00",CLASSFEATUREHEADERS,0),MATCH(($A13 &amp; "Points"),CLASSNAMEHEADERS,0))))}</f>
        <v>SUBCLASSINITIAL5-L00PTS</v>
      </c>
      <c r="W12" s="76" t="str">
        <f t="array" ref="W12:W13">{"SUBCLASSINITIAL6-L00PTS";((INDEX(ALLCLASSDATA,MATCH("SubclassInitial6-L00",CLASSFEATUREHEADERS,0),MATCH(($A13 &amp; "Points"),CLASSNAMEHEADERS,0))))}</f>
        <v>SUBCLASSINITIAL6-L00PTS</v>
      </c>
      <c r="X12" s="76" t="str">
        <f t="array" ref="X12:X13">{"SUBCLASSINITIAL7-L00PTS";((INDEX(ALLCLASSDATA,MATCH("SubclassInitial7-L00",CLASSFEATUREHEADERS,0),MATCH(($A13 &amp; "Points"),CLASSNAMEHEADERS,0))))}</f>
        <v>SUBCLASSINITIAL7-L00PTS</v>
      </c>
      <c r="Y12" s="76" t="str">
        <f t="array" ref="Y12:Y13">{"SUBCLASSINITIAL8-L00PTS";((INDEX(ALLCLASSDATA,MATCH("SubclassInitial8-L00",CLASSFEATUREHEADERS,0),MATCH(($A13 &amp; "Points"),CLASSNAMEHEADERS,0))))}</f>
        <v>SUBCLASSINITIAL8-L00PTS</v>
      </c>
      <c r="Z12" s="76" t="str">
        <f t="array" ref="Z12:Z13">{"SUBCLASSINITIAL9-L00PTS";((INDEX(ALLCLASSDATA,MATCH("SubclassInitial9-L00",CLASSFEATUREHEADERS,0),MATCH(($A13 &amp; "Points"),CLASSNAMEHEADERS,0))))}</f>
        <v>SUBCLASSINITIAL9-L00PTS</v>
      </c>
      <c r="AA12" s="76" t="str">
        <f t="array" ref="AA12:AA13">{"SUBCLASSINITIAL10-L00PTS";((INDEX(ALLCLASSDATA,MATCH("SubclassInitial10-L00",CLASSFEATUREHEADERS,0),MATCH(($A13 &amp; "Points"),CLASSNAMEHEADERS,0))))}</f>
        <v>SUBCLASSINITIAL10-L00PTS</v>
      </c>
      <c r="AB12" s="76"/>
      <c r="AC12" s="76" t="str">
        <f t="array" ref="AC12:AC13">{"INITIALFEATUREPTS TOTAL";(sum(G13:AA13))}</f>
        <v>INITIALFEATUREPTS TOTAL</v>
      </c>
    </row>
    <row r="13">
      <c r="A13" s="48" t="s">
        <v>65</v>
      </c>
      <c r="B13" s="48"/>
      <c r="C13" s="48" t="s">
        <v>406</v>
      </c>
      <c r="D13" s="97" t="s">
        <v>651</v>
      </c>
      <c r="E13" s="97" t="s">
        <v>616</v>
      </c>
      <c r="F13" s="97"/>
      <c r="G13" s="132"/>
      <c r="H13" s="98"/>
      <c r="I13" s="98"/>
      <c r="J13" s="97"/>
      <c r="K13" s="98"/>
      <c r="L13" s="171"/>
      <c r="M13" s="97"/>
      <c r="N13" s="98"/>
      <c r="O13" s="98"/>
      <c r="P13" s="98"/>
      <c r="Q13" s="98"/>
      <c r="R13" s="98">
        <v>50.0</v>
      </c>
      <c r="S13" s="98"/>
      <c r="T13" s="98"/>
      <c r="U13" s="98"/>
      <c r="V13" s="98"/>
      <c r="W13" s="98"/>
      <c r="X13" s="98"/>
      <c r="Y13" s="98"/>
      <c r="Z13" s="98"/>
      <c r="AA13" s="98"/>
      <c r="AB13" s="5"/>
      <c r="AC13" s="47">
        <v>50.0</v>
      </c>
    </row>
    <row r="14" hidden="1">
      <c r="A14" s="76" t="str">
        <f t="array" ref="A14:A15">{"FormulaRow06";(INDEX(CLASSLIST,A3,1))}</f>
        <v>FormulaRow06</v>
      </c>
      <c r="B14" s="77" t="s">
        <v>236</v>
      </c>
      <c r="C14" s="76" t="str">
        <f t="array" ref="C14:C15">{"CLASSTYPE";((INDEX(ALLCLASSDATA,MATCH("ClassType",CLASSFEATUREHEADERS,0),MATCH($A15,CLASSNAMEHEADERS,0))))}</f>
        <v>CLASSTYPE</v>
      </c>
      <c r="D14" s="81" t="str">
        <f t="array" ref="D14:D15">{"SKILLS";"Skills"}</f>
        <v>SKILLS</v>
      </c>
      <c r="E14" s="81" t="str">
        <f t="array" ref="E14:E15">{"EXTRASKILLINCREASES";"Extra Skill Increases"}</f>
        <v>EXTRASKILLINCREASES</v>
      </c>
      <c r="F14" s="81"/>
      <c r="G14" s="81"/>
      <c r="H14" s="81"/>
      <c r="I14" s="81" t="str">
        <f t="array" ref="I14:I15">{"SKILLINCREASEEXTRA-L02";((INDEX(ALLCLASSDATA,MATCH("SkillIncreaseExtra-L02",CLASSFEATUREHEADERS,0),MATCH(($A15 &amp; "Points"),CLASSNAMEHEADERS,0))))}</f>
        <v>SKILLINCREASEEXTRA-L02</v>
      </c>
      <c r="J14" s="81" t="str">
        <f t="array" ref="J14:J15">{"SKILLINCREASEEXTRA-L03";((INDEX(ALLCLASSDATA,MATCH("SkillIncreaseExtra-L03",CLASSFEATUREHEADERS,0),MATCH(($A15 &amp; "Points"),CLASSNAMEHEADERS,0))))}</f>
        <v>SKILLINCREASEEXTRA-L03</v>
      </c>
      <c r="K14" s="81" t="str">
        <f t="array" ref="K14:K15">{"SKILLINCREASEEXTRA-L04";((INDEX(ALLCLASSDATA,MATCH("SkillIncreaseExtra-L04",CLASSFEATUREHEADERS,0),MATCH(($A15 &amp; "Points"),CLASSNAMEHEADERS,0))))}</f>
        <v>SKILLINCREASEEXTRA-L04</v>
      </c>
      <c r="L14" s="81" t="str">
        <f t="array" ref="L14:L15">{"SKILLINCREASEEXTRA-L05";((INDEX(ALLCLASSDATA,MATCH("SkillIncreaseExtra-L05",CLASSFEATUREHEADERS,0),MATCH(($A15 &amp; "Points"),CLASSNAMEHEADERS,0))))}</f>
        <v>SKILLINCREASEEXTRA-L05</v>
      </c>
      <c r="M14" s="81" t="str">
        <f t="array" ref="M14:M15">{"SKILLINCREASEEXTRA-L06";((INDEX(ALLCLASSDATA,MATCH("SkillIncreaseExtra-L06",CLASSFEATUREHEADERS,0),MATCH(($A15 &amp; "Points"),CLASSNAMEHEADERS,0))))}</f>
        <v>SKILLINCREASEEXTRA-L06</v>
      </c>
      <c r="N14" s="81" t="str">
        <f t="array" ref="N14:N15">{"SKILLINCREASEEXTRA-L07";((INDEX(ALLCLASSDATA,MATCH("SkillIncreaseExtra-L07",CLASSFEATUREHEADERS,0),MATCH(($A15 &amp; "Points"),CLASSNAMEHEADERS,0))))}</f>
        <v>SKILLINCREASEEXTRA-L07</v>
      </c>
      <c r="O14" s="81" t="str">
        <f t="array" ref="O14:O15">{"SKILLINCREASEEXTRA-L08";((INDEX(ALLCLASSDATA,MATCH("SkillIncreaseExtra-L08",CLASSFEATUREHEADERS,0),MATCH(($A15 &amp; "Points"),CLASSNAMEHEADERS,0))))}</f>
        <v>SKILLINCREASEEXTRA-L08</v>
      </c>
      <c r="P14" s="81" t="str">
        <f t="array" ref="P14:P15">{"SKILLINCREASEEXTRA-L09";((INDEX(ALLCLASSDATA,MATCH("SkillIncreaseExtra-L09",CLASSFEATUREHEADERS,0),MATCH(($A15 &amp; "Points"),CLASSNAMEHEADERS,0))))}</f>
        <v>SKILLINCREASEEXTRA-L09</v>
      </c>
      <c r="Q14" s="81" t="str">
        <f t="array" ref="Q14:Q15">{"SKILLINCREASEEXTRA-L10";((INDEX(ALLCLASSDATA,MATCH("SkillIncreaseExtra-L10",CLASSFEATUREHEADERS,0),MATCH(($A15 &amp; "Points"),CLASSNAMEHEADERS,0))))}</f>
        <v>SKILLINCREASEEXTRA-L10</v>
      </c>
      <c r="R14" s="81" t="str">
        <f t="array" ref="R14:R15">{"SKILLINCREASEEXTRA-L11";((INDEX(ALLCLASSDATA,MATCH("SkillIncreaseExtra-L11",CLASSFEATUREHEADERS,0),MATCH(($A15 &amp; "Points"),CLASSNAMEHEADERS,0))))}</f>
        <v>SKILLINCREASEEXTRA-L11</v>
      </c>
      <c r="S14" s="81" t="str">
        <f t="array" ref="S14:S15">{"SKILLINCREASEEXTRA-L12";((INDEX(ALLCLASSDATA,MATCH("SkillIncreaseExtra-L12",CLASSFEATUREHEADERS,0),MATCH(($A15 &amp; "Points"),CLASSNAMEHEADERS,0))))}</f>
        <v>SKILLINCREASEEXTRA-L12</v>
      </c>
      <c r="T14" s="81" t="str">
        <f t="array" ref="T14:T15">{"SKILLINCREASEEXTRA-L13";((INDEX(ALLCLASSDATA,MATCH("SkillIncreaseExtra-L13",CLASSFEATUREHEADERS,0),MATCH(($A15 &amp; "Points"),CLASSNAMEHEADERS,0))))}</f>
        <v>SKILLINCREASEEXTRA-L13</v>
      </c>
      <c r="U14" s="81" t="str">
        <f t="array" ref="U14:U15">{"SKILLINCREASEEXTRA-L14";((INDEX(ALLCLASSDATA,MATCH("SkillIncreaseExtra-L14",CLASSFEATUREHEADERS,0),MATCH(($A15 &amp; "Points"),CLASSNAMEHEADERS,0))))}</f>
        <v>SKILLINCREASEEXTRA-L14</v>
      </c>
      <c r="V14" s="81" t="str">
        <f t="array" ref="V14:V15">{"SKILLINCREASEEXTRA-L15";((INDEX(ALLCLASSDATA,MATCH("SkillIncreaseExtra-L15",CLASSFEATUREHEADERS,0),MATCH(($A15 &amp; "Points"),CLASSNAMEHEADERS,0))))}</f>
        <v>SKILLINCREASEEXTRA-L15</v>
      </c>
      <c r="W14" s="81" t="str">
        <f t="array" ref="W14:W15">{"SKILLINCREASEEXTRA-L16";((INDEX(ALLCLASSDATA,MATCH("SkillIncreaseExtra-L16",CLASSFEATUREHEADERS,0),MATCH(($A15 &amp; "Points"),CLASSNAMEHEADERS,0))))}</f>
        <v>SKILLINCREASEEXTRA-L16</v>
      </c>
      <c r="X14" s="81" t="str">
        <f t="array" ref="X14:X15">{"SKILLINCREASEEXTRA-L17";((INDEX(ALLCLASSDATA,MATCH("SkillIncreaseExtra-L17",CLASSFEATUREHEADERS,0),MATCH(($A15 &amp; "Points"),CLASSNAMEHEADERS,0))))}</f>
        <v>SKILLINCREASEEXTRA-L17</v>
      </c>
      <c r="Y14" s="81" t="str">
        <f t="array" ref="Y14:Y15">{"SKILLINCREASEEXTRA-L18";((INDEX(ALLCLASSDATA,MATCH("SkillIncreaseExtra-L18",CLASSFEATUREHEADERS,0),MATCH(($A15 &amp; "Points"),CLASSNAMEHEADERS,0))))}</f>
        <v>SKILLINCREASEEXTRA-L18</v>
      </c>
      <c r="Z14" s="81" t="str">
        <f t="array" ref="Z14:Z15">{"SKILLINCREASEEXTRA-L19";((INDEX(ALLCLASSDATA,MATCH("SkillIncreaseExtra-L19",CLASSFEATUREHEADERS,0),MATCH(($A15 &amp; "Points"),CLASSNAMEHEADERS,0))))}</f>
        <v>SKILLINCREASEEXTRA-L19</v>
      </c>
      <c r="AA14" s="81" t="str">
        <f t="array" ref="AA14:AA15">{"SKILLINCREASEEXTRA-L20";((INDEX(ALLCLASSDATA,MATCH("SkillIncreaseExtra-L20",CLASSFEATUREHEADERS,0),MATCH(($A15 &amp; "Points"),CLASSNAMEHEADERS,0))))}</f>
        <v>SKILLINCREASEEXTRA-L20</v>
      </c>
      <c r="AB14" s="76"/>
      <c r="AC14" s="76" t="str">
        <f t="array" ref="AC14:AC15">{"SKILLINCREASE TOTAL";(sum(G15:AA15))}</f>
        <v>SKILLINCREASE TOTAL</v>
      </c>
    </row>
    <row r="15">
      <c r="A15" s="48" t="s">
        <v>65</v>
      </c>
      <c r="B15" s="48"/>
      <c r="C15" s="48" t="s">
        <v>406</v>
      </c>
      <c r="D15" s="155" t="s">
        <v>659</v>
      </c>
      <c r="E15" s="155" t="s">
        <v>661</v>
      </c>
      <c r="F15" s="155"/>
      <c r="G15" s="156"/>
      <c r="H15" s="157"/>
      <c r="I15" s="157" t="s">
        <v>603</v>
      </c>
      <c r="J15" s="157" t="s">
        <v>603</v>
      </c>
      <c r="K15" s="157" t="s">
        <v>603</v>
      </c>
      <c r="L15" s="155" t="s">
        <v>603</v>
      </c>
      <c r="M15" s="157" t="s">
        <v>603</v>
      </c>
      <c r="N15" s="157" t="s">
        <v>603</v>
      </c>
      <c r="O15" s="157" t="s">
        <v>603</v>
      </c>
      <c r="P15" s="157" t="s">
        <v>603</v>
      </c>
      <c r="Q15" s="157" t="s">
        <v>603</v>
      </c>
      <c r="R15" s="155" t="s">
        <v>603</v>
      </c>
      <c r="S15" s="157" t="s">
        <v>603</v>
      </c>
      <c r="T15" s="157" t="s">
        <v>603</v>
      </c>
      <c r="U15" s="157" t="s">
        <v>603</v>
      </c>
      <c r="V15" s="157" t="s">
        <v>603</v>
      </c>
      <c r="W15" s="157" t="s">
        <v>603</v>
      </c>
      <c r="X15" s="157" t="s">
        <v>603</v>
      </c>
      <c r="Y15" s="157" t="s">
        <v>603</v>
      </c>
      <c r="Z15" s="157" t="s">
        <v>603</v>
      </c>
      <c r="AA15" s="157" t="s">
        <v>603</v>
      </c>
      <c r="AB15" s="5"/>
      <c r="AC15" s="47">
        <v>0.0</v>
      </c>
    </row>
    <row r="16" hidden="1">
      <c r="A16" s="76" t="str">
        <f t="array" ref="A16:A17">{"FormulaRow07";(INDEX(CLASSLIST,A3,1))}</f>
        <v>FormulaRow07</v>
      </c>
      <c r="B16" s="77" t="s">
        <v>236</v>
      </c>
      <c r="C16" s="76" t="str">
        <f t="array" ref="C16:C17">{"CLASSTYPE";((INDEX(ALLCLASSDATA,MATCH("ClassType",CLASSFEATUREHEADERS,0),MATCH($A17,CLASSNAMEHEADERS,0))))}</f>
        <v>CLASSTYPE</v>
      </c>
      <c r="D16" s="76" t="str">
        <f t="array" ref="D16:D17">{"SKILLS";"Skills"}</f>
        <v>SKILLS</v>
      </c>
      <c r="E16" s="76" t="str">
        <f t="array" ref="E16:E17">{"EXTRASKILLFEATS";"Extra Skill Feats"}</f>
        <v>EXTRASKILLFEATS</v>
      </c>
      <c r="F16" s="76"/>
      <c r="G16" s="76"/>
      <c r="H16" s="76" t="str">
        <f t="array" ref="H16:H17">{"SKILLFEATEXTRA-L01";((INDEX(ALLCLASSDATA,MATCH("SkillFeatExtra-L01",CLASSFEATUREHEADERS,0),MATCH(($A17 &amp; "Points"),CLASSNAMEHEADERS,0))))}</f>
        <v>SKILLFEATEXTRA-L01</v>
      </c>
      <c r="I16" s="76" t="str">
        <f t="array" ref="I16:I17">{"SKILLFEATEXTRA-L02";((INDEX(ALLCLASSDATA,MATCH("SkillFeatExtra-L02",CLASSFEATUREHEADERS,0),MATCH(($A17 &amp; "Points"),CLASSNAMEHEADERS,0))))}</f>
        <v>SKILLFEATEXTRA-L02</v>
      </c>
      <c r="J16" s="76" t="str">
        <f t="array" ref="J16:J17">{"SKILLFEATEXTRA-L03";((INDEX(ALLCLASSDATA,MATCH("SkillFeatExtra-L03",CLASSFEATUREHEADERS,0),MATCH(($A17 &amp; "Points"),CLASSNAMEHEADERS,0))))}</f>
        <v>SKILLFEATEXTRA-L03</v>
      </c>
      <c r="K16" s="76" t="str">
        <f t="array" ref="K16:K17">{"SKILLFEATEXTRA-L04";((INDEX(ALLCLASSDATA,MATCH("SkillFeatExtra-L04",CLASSFEATUREHEADERS,0),MATCH(($A17 &amp; "Points"),CLASSNAMEHEADERS,0))))}</f>
        <v>SKILLFEATEXTRA-L04</v>
      </c>
      <c r="L16" s="76" t="str">
        <f t="array" ref="L16:L17">{"SKILLFEATEXTRA-L05";((INDEX(ALLCLASSDATA,MATCH("SkillFeatExtra-L05",CLASSFEATUREHEADERS,0),MATCH(($A17 &amp; "Points"),CLASSNAMEHEADERS,0))))}</f>
        <v>SKILLFEATEXTRA-L05</v>
      </c>
      <c r="M16" s="76" t="str">
        <f t="array" ref="M16:M17">{"SKILLFEATEXTRA-L06";((INDEX(ALLCLASSDATA,MATCH("SkillFeatExtra-L06",CLASSFEATUREHEADERS,0),MATCH(($A17 &amp; "Points"),CLASSNAMEHEADERS,0))))}</f>
        <v>SKILLFEATEXTRA-L06</v>
      </c>
      <c r="N16" s="76" t="str">
        <f t="array" ref="N16:N17">{"SKILLFEATEXTRA-L07";((INDEX(ALLCLASSDATA,MATCH("SkillFeatExtra-L07",CLASSFEATUREHEADERS,0),MATCH(($A17 &amp; "Points"),CLASSNAMEHEADERS,0))))}</f>
        <v>SKILLFEATEXTRA-L07</v>
      </c>
      <c r="O16" s="76" t="str">
        <f t="array" ref="O16:O17">{"SKILLFEATEXTRA-L08";((INDEX(ALLCLASSDATA,MATCH("SkillFeatExtra-L08",CLASSFEATUREHEADERS,0),MATCH(($A17 &amp; "Points"),CLASSNAMEHEADERS,0))))}</f>
        <v>SKILLFEATEXTRA-L08</v>
      </c>
      <c r="P16" s="76" t="str">
        <f t="array" ref="P16:P17">{"SKILLFEATEXTRA-L09";((INDEX(ALLCLASSDATA,MATCH("SkillFeatExtra-L09",CLASSFEATUREHEADERS,0),MATCH(($A17 &amp; "Points"),CLASSNAMEHEADERS,0))))}</f>
        <v>SKILLFEATEXTRA-L09</v>
      </c>
      <c r="Q16" s="76" t="str">
        <f t="array" ref="Q16:Q17">{"SKILLFEATEXTRA-L10";((INDEX(ALLCLASSDATA,MATCH("SkillFeatExtra-L10",CLASSFEATUREHEADERS,0),MATCH(($A17 &amp; "Points"),CLASSNAMEHEADERS,0))))}</f>
        <v>SKILLFEATEXTRA-L10</v>
      </c>
      <c r="R16" s="76" t="str">
        <f t="array" ref="R16:R17">{"SKILLFEATEXTRA-L11";((INDEX(ALLCLASSDATA,MATCH("SkillFeatExtra-L11",CLASSFEATUREHEADERS,0),MATCH(($A17 &amp; "Points"),CLASSNAMEHEADERS,0))))}</f>
        <v>SKILLFEATEXTRA-L11</v>
      </c>
      <c r="S16" s="76" t="str">
        <f t="array" ref="S16:S17">{"SKILLFEATEXTRA-L12";((INDEX(ALLCLASSDATA,MATCH("SkillFeatExtra-L12",CLASSFEATUREHEADERS,0),MATCH(($A17 &amp; "Points"),CLASSNAMEHEADERS,0))))}</f>
        <v>SKILLFEATEXTRA-L12</v>
      </c>
      <c r="T16" s="76" t="str">
        <f t="array" ref="T16:T17">{"SKILLFEATEXTRA-L13";((INDEX(ALLCLASSDATA,MATCH("SkillFeatExtra-L13",CLASSFEATUREHEADERS,0),MATCH(($A17 &amp; "Points"),CLASSNAMEHEADERS,0))))}</f>
        <v>SKILLFEATEXTRA-L13</v>
      </c>
      <c r="U16" s="76" t="str">
        <f t="array" ref="U16:U17">{"SKILLFEATEXTRA-L14";((INDEX(ALLCLASSDATA,MATCH("SkillFeatExtra-L14",CLASSFEATUREHEADERS,0),MATCH(($A17 &amp; "Points"),CLASSNAMEHEADERS,0))))}</f>
        <v>SKILLFEATEXTRA-L14</v>
      </c>
      <c r="V16" s="76" t="str">
        <f t="array" ref="V16:V17">{"SKILLFEATEXTRA-L15";((INDEX(ALLCLASSDATA,MATCH("SkillFeatExtra-L15",CLASSFEATUREHEADERS,0),MATCH(($A17 &amp; "Points"),CLASSNAMEHEADERS,0))))}</f>
        <v>SKILLFEATEXTRA-L15</v>
      </c>
      <c r="W16" s="76" t="str">
        <f t="array" ref="W16:W17">{"SKILLFEATEXTRA-L16";((INDEX(ALLCLASSDATA,MATCH("SkillFeatExtra-L16",CLASSFEATUREHEADERS,0),MATCH(($A17 &amp; "Points"),CLASSNAMEHEADERS,0))))}</f>
        <v>SKILLFEATEXTRA-L16</v>
      </c>
      <c r="X16" s="76" t="str">
        <f t="array" ref="X16:X17">{"SKILLFEATEXTRA-L17";((INDEX(ALLCLASSDATA,MATCH("SkillFeatExtra-L17",CLASSFEATUREHEADERS,0),MATCH(($A17 &amp; "Points"),CLASSNAMEHEADERS,0))))}</f>
        <v>SKILLFEATEXTRA-L17</v>
      </c>
      <c r="Y16" s="76" t="str">
        <f t="array" ref="Y16:Y17">{"SKILLFEATEXTRA-L18";((INDEX(ALLCLASSDATA,MATCH("SkillFeatExtra-L18",CLASSFEATUREHEADERS,0),MATCH(($A17 &amp; "Points"),CLASSNAMEHEADERS,0))))}</f>
        <v>SKILLFEATEXTRA-L18</v>
      </c>
      <c r="Z16" s="76" t="str">
        <f t="array" ref="Z16:Z17">{"SKILLFEATEXTRA-L19";((INDEX(ALLCLASSDATA,MATCH("SkillFeatExtra-L19",CLASSFEATUREHEADERS,0),MATCH(($A17 &amp; "Points"),CLASSNAMEHEADERS,0))))}</f>
        <v>SKILLFEATEXTRA-L19</v>
      </c>
      <c r="AA16" s="76" t="str">
        <f t="array" ref="AA16:AA17">{"SKILLFEATEXTRA-L20";((INDEX(ALLCLASSDATA,MATCH("SkillFeatExtra-L20",CLASSFEATUREHEADERS,0),MATCH(($A17 &amp; "Points"),CLASSNAMEHEADERS,0))))}</f>
        <v>SKILLFEATEXTRA-L20</v>
      </c>
      <c r="AB16" s="76"/>
      <c r="AC16" s="76" t="str">
        <f t="array" ref="AC16:AC17">{"SKILLFEAT TOTAL";(sum(G17:AA17))}</f>
        <v>SKILLFEAT TOTAL</v>
      </c>
    </row>
    <row r="17">
      <c r="A17" s="48" t="s">
        <v>65</v>
      </c>
      <c r="B17" s="48"/>
      <c r="C17" s="48" t="s">
        <v>406</v>
      </c>
      <c r="D17" s="97" t="s">
        <v>659</v>
      </c>
      <c r="E17" s="97" t="s">
        <v>722</v>
      </c>
      <c r="F17" s="97"/>
      <c r="G17" s="132"/>
      <c r="H17" s="98" t="s">
        <v>603</v>
      </c>
      <c r="I17" s="98" t="s">
        <v>603</v>
      </c>
      <c r="J17" s="97" t="s">
        <v>603</v>
      </c>
      <c r="K17" s="97" t="s">
        <v>603</v>
      </c>
      <c r="L17" s="97" t="s">
        <v>603</v>
      </c>
      <c r="M17" s="98" t="s">
        <v>603</v>
      </c>
      <c r="N17" s="98" t="s">
        <v>603</v>
      </c>
      <c r="O17" s="98" t="s">
        <v>603</v>
      </c>
      <c r="P17" s="98" t="s">
        <v>603</v>
      </c>
      <c r="Q17" s="98" t="s">
        <v>603</v>
      </c>
      <c r="R17" s="98" t="s">
        <v>603</v>
      </c>
      <c r="S17" s="98" t="s">
        <v>603</v>
      </c>
      <c r="T17" s="98" t="s">
        <v>603</v>
      </c>
      <c r="U17" s="98" t="s">
        <v>603</v>
      </c>
      <c r="V17" s="98" t="s">
        <v>603</v>
      </c>
      <c r="W17" s="98" t="s">
        <v>603</v>
      </c>
      <c r="X17" s="98" t="s">
        <v>603</v>
      </c>
      <c r="Y17" s="98" t="s">
        <v>603</v>
      </c>
      <c r="Z17" s="98" t="s">
        <v>603</v>
      </c>
      <c r="AA17" s="98" t="s">
        <v>603</v>
      </c>
      <c r="AB17" s="5"/>
      <c r="AC17" s="47">
        <v>0.0</v>
      </c>
    </row>
    <row r="18" hidden="1">
      <c r="A18" s="76" t="str">
        <f t="array" ref="A18:A19">{"FormulaRow08";(INDEX(CLASSLIST,A3,1))}</f>
        <v>FormulaRow08</v>
      </c>
      <c r="B18" s="77" t="s">
        <v>236</v>
      </c>
      <c r="C18" s="76" t="str">
        <f t="array" ref="C18:C19">{"CLASSTYPE";((INDEX(ALLCLASSDATA,MATCH("ClassType",CLASSFEATUREHEADERS,0),MATCH($A19,CLASSNAMEHEADERS,0))))}</f>
        <v>CLASSTYPE</v>
      </c>
      <c r="D18" s="81" t="str">
        <f t="array" ref="D18:D19">{"CLASSABILITY";"ClassAbility"}</f>
        <v>CLASSABILITY</v>
      </c>
      <c r="E18" s="81" t="str">
        <f t="array" ref="E18:E19">{"CLASSABILITY1";"ClassAbility1"}</f>
        <v>CLASSABILITY1</v>
      </c>
      <c r="F18" s="81"/>
      <c r="G18" s="81"/>
      <c r="H18" s="81"/>
      <c r="I18" s="81"/>
      <c r="J18" s="81" t="str">
        <f t="array" ref="J18:J19">{"CLASSABILITY1-L03";((INDEX(ALLCLASSDATA,MATCH("ClassAbility1-L03",CLASSFEATUREHEADERS,0),MATCH(($A19),CLASSNAMEHEADERS,0))))}</f>
        <v>CLASSABILITY1-L03</v>
      </c>
      <c r="K18" s="81"/>
      <c r="L18" s="81" t="str">
        <f t="array" ref="L18:L19">{"CLASSABILITY1-L05";((INDEX(ALLCLASSDATA,MATCH("ClassAbility1-L05",CLASSFEATUREHEADERS,0),MATCH(($A19),CLASSNAMEHEADERS,0))))}</f>
        <v>CLASSABILITY1-L05</v>
      </c>
      <c r="M18" s="81"/>
      <c r="N18" s="81" t="str">
        <f t="array" ref="N18:N19">{"CLASSABILITY1-L07";((INDEX(ALLCLASSDATA,MATCH("ClassAbility1-L07",CLASSFEATUREHEADERS,0),MATCH(($A19),CLASSNAMEHEADERS,0))))}</f>
        <v>CLASSABILITY1-L07</v>
      </c>
      <c r="O18" s="81"/>
      <c r="P18" s="81" t="str">
        <f t="array" ref="P18:P19">{"CLASSABILITY1-L09";((INDEX(ALLCLASSDATA,MATCH("ClassAbility1-L09",CLASSFEATUREHEADERS,0),MATCH(($A19),CLASSNAMEHEADERS,0))))}</f>
        <v>CLASSABILITY1-L09</v>
      </c>
      <c r="Q18" s="81"/>
      <c r="R18" s="81" t="str">
        <f t="array" ref="R18:R19">{"CLASSABILITY1-L11";((INDEX(ALLCLASSDATA,MATCH("ClassAbility1-L11",CLASSFEATUREHEADERS,0),MATCH(($A19),CLASSNAMEHEADERS,0))))}</f>
        <v>CLASSABILITY1-L11</v>
      </c>
      <c r="S18" s="81"/>
      <c r="T18" s="81" t="str">
        <f t="array" ref="T18:T19">{"CLASSABILITY1-L13";((INDEX(ALLCLASSDATA,MATCH("ClassAbility1-L13",CLASSFEATUREHEADERS,0),MATCH(($A19),CLASSNAMEHEADERS,0))))}</f>
        <v>CLASSABILITY1-L13</v>
      </c>
      <c r="U18" s="81"/>
      <c r="V18" s="81" t="str">
        <f t="array" ref="V18:V19">{"CLASSABILITY1-L15";((INDEX(ALLCLASSDATA,MATCH("ClassAbility1-L15",CLASSFEATUREHEADERS,0),MATCH(($A19),CLASSNAMEHEADERS,0))))}</f>
        <v>CLASSABILITY1-L15</v>
      </c>
      <c r="W18" s="81"/>
      <c r="X18" s="81" t="str">
        <f t="array" ref="X18:X19">{"CLASSABILITY1-L17";((INDEX(ALLCLASSDATA,MATCH("ClassAbility1-L17",CLASSFEATUREHEADERS,0),MATCH(($A19),CLASSNAMEHEADERS,0))))}</f>
        <v>CLASSABILITY1-L17</v>
      </c>
      <c r="Y18" s="81"/>
      <c r="Z18" s="81" t="str">
        <f t="array" ref="Z18:Z19">{"CLASSABILITY1-L19";((INDEX(ALLCLASSDATA,MATCH("ClassAbility1-L19",CLASSFEATUREHEADERS,0),MATCH(($A19),CLASSNAMEHEADERS,0))))}</f>
        <v>CLASSABILITY1-L19</v>
      </c>
      <c r="AA18" s="81"/>
      <c r="AB18" s="76"/>
      <c r="AC18" s="76"/>
    </row>
    <row r="19">
      <c r="A19" s="48" t="s">
        <v>65</v>
      </c>
      <c r="B19" s="48"/>
      <c r="C19" s="48" t="s">
        <v>406</v>
      </c>
      <c r="D19" s="48" t="s">
        <v>825</v>
      </c>
      <c r="E19" s="48" t="s">
        <v>826</v>
      </c>
      <c r="F19" s="5"/>
      <c r="G19" s="47"/>
      <c r="H19" s="5"/>
      <c r="I19" s="5"/>
      <c r="J19" s="5" t="s">
        <v>827</v>
      </c>
      <c r="K19" s="5"/>
      <c r="L19" s="5" t="s">
        <v>359</v>
      </c>
      <c r="M19" s="5"/>
      <c r="N19" s="5" t="s">
        <v>369</v>
      </c>
      <c r="O19" s="5"/>
      <c r="P19" s="5" t="s">
        <v>829</v>
      </c>
      <c r="Q19" s="5"/>
      <c r="R19" s="5" t="s">
        <v>305</v>
      </c>
      <c r="S19" s="5"/>
      <c r="T19" s="5" t="s">
        <v>362</v>
      </c>
      <c r="U19" s="5"/>
      <c r="V19" s="5" t="s">
        <v>371</v>
      </c>
      <c r="W19" s="5"/>
      <c r="X19" s="5" t="s">
        <v>834</v>
      </c>
      <c r="Y19" s="5"/>
      <c r="Z19" s="5" t="s">
        <v>835</v>
      </c>
      <c r="AA19" s="5"/>
      <c r="AB19" s="5"/>
      <c r="AC19" s="47"/>
    </row>
    <row r="20" hidden="1">
      <c r="A20" s="76" t="str">
        <f t="array" ref="A20:A21">{"FormulaRow09";(INDEX(CLASSLIST,A3,1))}</f>
        <v>FormulaRow09</v>
      </c>
      <c r="B20" s="77" t="s">
        <v>236</v>
      </c>
      <c r="C20" s="76" t="str">
        <f t="array" ref="C20:C21">{"CLASSTYPE";((INDEX(ALLCLASSDATA,MATCH("ClassType",CLASSFEATUREHEADERS,0),MATCH($A21,CLASSNAMEHEADERS,0))))}</f>
        <v>CLASSTYPE</v>
      </c>
      <c r="D20" s="76" t="str">
        <f t="array" ref="D20:D21">{"CLASSABILITYPTS";"ClassAbilityPts"}</f>
        <v>CLASSABILITYPTS</v>
      </c>
      <c r="E20" s="76" t="str">
        <f t="array" ref="E20:E21">{"CLASSABILITY1";"ClassAbility1"}</f>
        <v>CLASSABILITY1</v>
      </c>
      <c r="F20" s="76"/>
      <c r="G20" s="76"/>
      <c r="H20" s="76"/>
      <c r="I20" s="76"/>
      <c r="J20" s="76" t="str">
        <f t="array" ref="J20:J21">{"CLASSABILITY1-L03PTS";((INDEX(ALLCLASSDATA,MATCH("ClassAbility1-L03",CLASSFEATUREHEADERS,0),MATCH(($A21 &amp; "Points"),CLASSNAMEHEADERS,0))))}</f>
        <v>CLASSABILITY1-L03PTS</v>
      </c>
      <c r="K20" s="76"/>
      <c r="L20" s="76" t="str">
        <f t="array" ref="L20:L21">{"CLASSABILITY1-L05PTS";((INDEX(ALLCLASSDATA,MATCH("ClassAbility1-L05",CLASSFEATUREHEADERS,0),MATCH(($A21 &amp; "Points"),CLASSNAMEHEADERS,0))))}</f>
        <v>CLASSABILITY1-L05PTS</v>
      </c>
      <c r="M20" s="76"/>
      <c r="N20" s="76" t="str">
        <f t="array" ref="N20:N21">{"CLASSABILITY1-L07PTS";((INDEX(ALLCLASSDATA,MATCH("ClassAbility1-L07",CLASSFEATUREHEADERS,0),MATCH(($A21 &amp; "Points"),CLASSNAMEHEADERS,0))))}</f>
        <v>CLASSABILITY1-L07PTS</v>
      </c>
      <c r="O20" s="76"/>
      <c r="P20" s="76" t="str">
        <f t="array" ref="P20:P21">{"CLASSABILITY1-L09PTS";((INDEX(ALLCLASSDATA,MATCH("ClassAbility1-L09",CLASSFEATUREHEADERS,0),MATCH(($A21 &amp; "Points"),CLASSNAMEHEADERS,0))))}</f>
        <v>CLASSABILITY1-L09PTS</v>
      </c>
      <c r="Q20" s="76"/>
      <c r="R20" s="76" t="str">
        <f t="array" ref="R20:R21">{"CLASSABILITY1-L11PTS";((INDEX(ALLCLASSDATA,MATCH("ClassAbility1-L11",CLASSFEATUREHEADERS,0),MATCH(($A21 &amp; "Points"),CLASSNAMEHEADERS,0))))}</f>
        <v>CLASSABILITY1-L11PTS</v>
      </c>
      <c r="S20" s="76"/>
      <c r="T20" s="76" t="str">
        <f t="array" ref="T20:T21">{"CLASSABILITY1-L13PTS";((INDEX(ALLCLASSDATA,MATCH("ClassAbility1-L13",CLASSFEATUREHEADERS,0),MATCH(($A21 &amp; "Points"),CLASSNAMEHEADERS,0))))}</f>
        <v>CLASSABILITY1-L13PTS</v>
      </c>
      <c r="U20" s="76"/>
      <c r="V20" s="76" t="str">
        <f t="array" ref="V20:V21">{"CLASSABILITY1-L15PTS";((INDEX(ALLCLASSDATA,MATCH("ClassAbility1-L15",CLASSFEATUREHEADERS,0),MATCH(($A21 &amp; "Points"),CLASSNAMEHEADERS,0))))}</f>
        <v>CLASSABILITY1-L15PTS</v>
      </c>
      <c r="W20" s="76"/>
      <c r="X20" s="76" t="str">
        <f t="array" ref="X20:X21">{"CLASSABILITY1-L17PTS";((INDEX(ALLCLASSDATA,MATCH("ClassAbility1-L17",CLASSFEATUREHEADERS,0),MATCH(($A21 &amp; "Points"),CLASSNAMEHEADERS,0))))}</f>
        <v>CLASSABILITY1-L17PTS</v>
      </c>
      <c r="Y20" s="76"/>
      <c r="Z20" s="76" t="str">
        <f t="array" ref="Z20:Z21">{"CLASSABILITY1-L19PTS";((INDEX(ALLCLASSDATA,MATCH("ClassAbility1-L19",CLASSFEATUREHEADERS,0),MATCH(($A21 &amp; "Points"),CLASSNAMEHEADERS,0))))}</f>
        <v>CLASSABILITY1-L19PTS</v>
      </c>
      <c r="AA20" s="76"/>
      <c r="AB20" s="76"/>
      <c r="AC20" s="76" t="str">
        <f t="array" ref="AC20:AC21">{"CLASSABILITY1 TOTAL";(sum(G21:AA21))}</f>
        <v>CLASSABILITY1 TOTAL</v>
      </c>
    </row>
    <row r="21">
      <c r="A21" s="48" t="s">
        <v>65</v>
      </c>
      <c r="B21" s="48"/>
      <c r="C21" s="48" t="s">
        <v>406</v>
      </c>
      <c r="D21" s="48" t="s">
        <v>930</v>
      </c>
      <c r="E21" s="48" t="s">
        <v>826</v>
      </c>
      <c r="F21" s="5"/>
      <c r="G21" s="5"/>
      <c r="H21" s="5"/>
      <c r="I21" s="5"/>
      <c r="J21" s="48">
        <v>30.0</v>
      </c>
      <c r="K21" s="5"/>
      <c r="L21" s="5"/>
      <c r="M21" s="5"/>
      <c r="N21" s="5"/>
      <c r="O21" s="5"/>
      <c r="P21" s="5"/>
      <c r="Q21" s="5"/>
      <c r="R21" s="5"/>
      <c r="S21" s="5"/>
      <c r="T21" s="5"/>
      <c r="U21" s="5"/>
      <c r="V21" s="5"/>
      <c r="W21" s="5"/>
      <c r="X21" s="5"/>
      <c r="Y21" s="5"/>
      <c r="Z21" s="5">
        <v>190.0</v>
      </c>
      <c r="AA21" s="5"/>
      <c r="AB21" s="5"/>
      <c r="AC21" s="47">
        <v>220.0</v>
      </c>
    </row>
    <row r="22" hidden="1">
      <c r="A22" s="76" t="str">
        <f t="array" ref="A22:A23">{"FormulaRow10";(INDEX(CLASSLIST,A3,1))}</f>
        <v>FormulaRow10</v>
      </c>
      <c r="B22" s="77" t="s">
        <v>236</v>
      </c>
      <c r="C22" s="76" t="str">
        <f t="array" ref="C22:C23">{"CLASSTYPE";((INDEX(ALLCLASSDATA,MATCH("ClassType",CLASSFEATUREHEADERS,0),MATCH($A23,CLASSNAMEHEADERS,0))))}</f>
        <v>CLASSTYPE</v>
      </c>
      <c r="D22" s="76" t="str">
        <f t="array" ref="D22:D23">{"CLASSABILITY";"ClassAbility"}</f>
        <v>CLASSABILITY</v>
      </c>
      <c r="E22" s="76" t="str">
        <f t="array" ref="E22:E23">{"CLASSABILITY2";"ClassAbility2"}</f>
        <v>CLASSABILITY2</v>
      </c>
      <c r="F22" s="76"/>
      <c r="G22" s="76"/>
      <c r="H22" s="76"/>
      <c r="I22" s="76"/>
      <c r="J22" s="76" t="str">
        <f t="array" ref="J22:J23">{"CLASSABILITY2-L03";((INDEX(ALLCLASSDATA,MATCH("ClassAbility2-L03",CLASSFEATUREHEADERS,0),MATCH(($A23),CLASSNAMEHEADERS,0))))}</f>
        <v>CLASSABILITY2-L03</v>
      </c>
      <c r="K22" s="76"/>
      <c r="L22" s="76" t="str">
        <f t="array" ref="L22:L23">{"CLASSABILITY2-L05";((INDEX(ALLCLASSDATA,MATCH("ClassAbility2-L05",CLASSFEATUREHEADERS,0),MATCH(($A23),CLASSNAMEHEADERS,0))))}</f>
        <v>CLASSABILITY2-L05</v>
      </c>
      <c r="M22" s="76"/>
      <c r="N22" s="76" t="str">
        <f t="array" ref="N22:N23">{"CLASSABILITY2-L07";((INDEX(ALLCLASSDATA,MATCH("ClassAbility2-L07",CLASSFEATUREHEADERS,0),MATCH(($A23),CLASSNAMEHEADERS,0))))}</f>
        <v>CLASSABILITY2-L07</v>
      </c>
      <c r="O22" s="76"/>
      <c r="P22" s="76" t="str">
        <f t="array" ref="P22:P23">{"CLASSABILITY2-L09";((INDEX(ALLCLASSDATA,MATCH("ClassAbility2-L09",CLASSFEATUREHEADERS,0),MATCH(($A23),CLASSNAMEHEADERS,0))))}</f>
        <v>CLASSABILITY2-L09</v>
      </c>
      <c r="Q22" s="76"/>
      <c r="R22" s="76" t="str">
        <f t="array" ref="R22:R23">{"CLASSABILITY2-L11";((INDEX(ALLCLASSDATA,MATCH("ClassAbility2-L11",CLASSFEATUREHEADERS,0),MATCH(($A23),CLASSNAMEHEADERS,0))))}</f>
        <v>CLASSABILITY2-L11</v>
      </c>
      <c r="S22" s="76"/>
      <c r="T22" s="76" t="str">
        <f t="array" ref="T22:T23">{"CLASSABILITY2-L13";((INDEX(ALLCLASSDATA,MATCH("ClassAbility2-L13",CLASSFEATUREHEADERS,0),MATCH(($A23),CLASSNAMEHEADERS,0))))}</f>
        <v>CLASSABILITY2-L13</v>
      </c>
      <c r="U22" s="76"/>
      <c r="V22" s="76" t="str">
        <f t="array" ref="V22:V23">{"CLASSABILITY2-L15";((INDEX(ALLCLASSDATA,MATCH("ClassAbility2-L15",CLASSFEATUREHEADERS,0),MATCH(($A23),CLASSNAMEHEADERS,0))))}</f>
        <v>CLASSABILITY2-L15</v>
      </c>
      <c r="W22" s="76"/>
      <c r="X22" s="76" t="str">
        <f t="array" ref="X22:X23">{"CLASSABILITY2-L17";((INDEX(ALLCLASSDATA,MATCH("ClassAbility2-L17",CLASSFEATUREHEADERS,0),MATCH(($A23),CLASSNAMEHEADERS,0))))}</f>
        <v>CLASSABILITY2-L17</v>
      </c>
      <c r="Y22" s="76"/>
      <c r="Z22" s="76" t="str">
        <f t="array" ref="Z22:Z23">{"CLASSABILITY2-L19";((INDEX(ALLCLASSDATA,MATCH("ClassAbility2-L19",CLASSFEATUREHEADERS,0),MATCH(($A23),CLASSNAMEHEADERS,0))))}</f>
        <v>CLASSABILITY2-L19</v>
      </c>
      <c r="AA22" s="76"/>
      <c r="AB22" s="76"/>
      <c r="AC22" s="76"/>
    </row>
    <row r="23">
      <c r="A23" s="48" t="s">
        <v>65</v>
      </c>
      <c r="B23" s="48"/>
      <c r="C23" s="48" t="s">
        <v>406</v>
      </c>
      <c r="D23" s="48" t="s">
        <v>825</v>
      </c>
      <c r="E23" s="48" t="s">
        <v>1007</v>
      </c>
      <c r="F23" s="48"/>
      <c r="G23" s="47"/>
      <c r="H23" s="5"/>
      <c r="I23" s="5"/>
      <c r="J23" s="5"/>
      <c r="K23" s="5"/>
      <c r="L23" s="5"/>
      <c r="M23" s="5"/>
      <c r="N23" s="5" t="s">
        <v>374</v>
      </c>
      <c r="O23" s="5"/>
      <c r="P23" s="5" t="s">
        <v>323</v>
      </c>
      <c r="Q23" s="5"/>
      <c r="R23" s="5" t="s">
        <v>1008</v>
      </c>
      <c r="S23" s="5"/>
      <c r="T23" s="5" t="s">
        <v>380</v>
      </c>
      <c r="U23" s="5"/>
      <c r="V23" s="5"/>
      <c r="W23" s="5"/>
      <c r="X23" s="5" t="s">
        <v>1009</v>
      </c>
      <c r="Y23" s="5"/>
      <c r="Z23" s="5"/>
      <c r="AA23" s="5"/>
      <c r="AB23" s="5"/>
      <c r="AC23" s="47"/>
    </row>
    <row r="24" hidden="1">
      <c r="A24" s="76" t="str">
        <f t="array" ref="A24:A25">{"FormulaRow11";(INDEX(CLASSLIST,A3,1))}</f>
        <v>FormulaRow11</v>
      </c>
      <c r="B24" s="77" t="s">
        <v>236</v>
      </c>
      <c r="C24" s="76" t="str">
        <f t="array" ref="C24:C25">{"CLASSTYPE";((INDEX(ALLCLASSDATA,MATCH("ClassType",CLASSFEATUREHEADERS,0),MATCH($A25,CLASSNAMEHEADERS,0))))}</f>
        <v>CLASSTYPE</v>
      </c>
      <c r="D24" s="76" t="str">
        <f t="array" ref="D24:D25">{"CLASSABILITYPTS";"ClassAbilityPts"}</f>
        <v>CLASSABILITYPTS</v>
      </c>
      <c r="E24" s="76" t="str">
        <f t="array" ref="E24:E25">{"CLASSABILITY2";"ClassAbility2"}</f>
        <v>CLASSABILITY2</v>
      </c>
      <c r="F24" s="76"/>
      <c r="G24" s="76"/>
      <c r="H24" s="76"/>
      <c r="I24" s="76"/>
      <c r="J24" s="76" t="str">
        <f t="array" ref="J24:J25">{"CLASSABILITY2-L03PTS";((INDEX(ALLCLASSDATA,MATCH("ClassAbility2-L03",CLASSFEATUREHEADERS,0),MATCH(($A25 &amp; "Points"),CLASSNAMEHEADERS,0))))}</f>
        <v>CLASSABILITY2-L03PTS</v>
      </c>
      <c r="K24" s="76"/>
      <c r="L24" s="76" t="str">
        <f t="array" ref="L24:L25">{"CLASSABILITY2-L05PTS";((INDEX(ALLCLASSDATA,MATCH("ClassAbility2-L05",CLASSFEATUREHEADERS,0),MATCH(($A25 &amp; "Points"),CLASSNAMEHEADERS,0))))}</f>
        <v>CLASSABILITY2-L05PTS</v>
      </c>
      <c r="M24" s="76"/>
      <c r="N24" s="76" t="str">
        <f t="array" ref="N24:N25">{"CLASSABILITY2-L07PTS";((INDEX(ALLCLASSDATA,MATCH("ClassAbility2-L07",CLASSFEATUREHEADERS,0),MATCH(($A25 &amp; "Points"),CLASSNAMEHEADERS,0))))}</f>
        <v>CLASSABILITY2-L07PTS</v>
      </c>
      <c r="O24" s="76"/>
      <c r="P24" s="76" t="str">
        <f t="array" ref="P24:P25">{"CLASSABILITY2-L09PTS";((INDEX(ALLCLASSDATA,MATCH("ClassAbility2-L09",CLASSFEATUREHEADERS,0),MATCH(($A25 &amp; "Points"),CLASSNAMEHEADERS,0))))}</f>
        <v>CLASSABILITY2-L09PTS</v>
      </c>
      <c r="Q24" s="76"/>
      <c r="R24" s="76" t="str">
        <f t="array" ref="R24:R25">{"CLASSABILITY2-L11PTS";((INDEX(ALLCLASSDATA,MATCH("ClassAbility2-L11",CLASSFEATUREHEADERS,0),MATCH(($A25 &amp; "Points"),CLASSNAMEHEADERS,0))))}</f>
        <v>CLASSABILITY2-L11PTS</v>
      </c>
      <c r="S24" s="76"/>
      <c r="T24" s="76" t="str">
        <f t="array" ref="T24:T25">{"CLASSABILITY2-L13PTS";((INDEX(ALLCLASSDATA,MATCH("ClassAbility2-L13",CLASSFEATUREHEADERS,0),MATCH(($A25 &amp; "Points"),CLASSNAMEHEADERS,0))))}</f>
        <v>CLASSABILITY2-L13PTS</v>
      </c>
      <c r="U24" s="76"/>
      <c r="V24" s="76" t="str">
        <f t="array" ref="V24:V25">{"CLASSABILITY2-L15PTS";((INDEX(ALLCLASSDATA,MATCH("ClassAbility2-L15",CLASSFEATUREHEADERS,0),MATCH(($A25 &amp; "Points"),CLASSNAMEHEADERS,0))))}</f>
        <v>CLASSABILITY2-L15PTS</v>
      </c>
      <c r="W24" s="76"/>
      <c r="X24" s="76" t="str">
        <f t="array" ref="X24:X25">{"CLASSABILITY2-L17PTS";((INDEX(ALLCLASSDATA,MATCH("ClassAbility2-L17",CLASSFEATUREHEADERS,0),MATCH(($A25 &amp; "Points"),CLASSNAMEHEADERS,0))))}</f>
        <v>CLASSABILITY2-L17PTS</v>
      </c>
      <c r="Y24" s="76"/>
      <c r="Z24" s="76" t="str">
        <f t="array" ref="Z24:Z25">{"CLASSABILITY2-L19PTS";((INDEX(ALLCLASSDATA,MATCH("ClassAbility2-L19",CLASSFEATUREHEADERS,0),MATCH(($A25 &amp; "Points"),CLASSNAMEHEADERS,0))))}</f>
        <v>CLASSABILITY2-L19PTS</v>
      </c>
      <c r="AA24" s="76"/>
      <c r="AB24" s="76"/>
      <c r="AC24" s="76" t="str">
        <f t="array" ref="AC24:AC25">{"CLASSABILITY2 TOTAL";(sum(G25:AA25))}</f>
        <v>CLASSABILITY2 TOTAL</v>
      </c>
    </row>
    <row r="25">
      <c r="A25" s="48" t="s">
        <v>65</v>
      </c>
      <c r="B25" s="48"/>
      <c r="C25" s="48" t="s">
        <v>406</v>
      </c>
      <c r="D25" s="48" t="s">
        <v>930</v>
      </c>
      <c r="E25" s="48" t="s">
        <v>1007</v>
      </c>
      <c r="F25" s="48"/>
      <c r="G25" s="47"/>
      <c r="H25" s="5"/>
      <c r="I25" s="5"/>
      <c r="J25" s="5"/>
      <c r="K25" s="5"/>
      <c r="L25" s="48"/>
      <c r="M25" s="5"/>
      <c r="N25" s="5"/>
      <c r="O25" s="5"/>
      <c r="P25" s="5"/>
      <c r="Q25" s="5"/>
      <c r="R25" s="5"/>
      <c r="S25" s="5"/>
      <c r="T25" s="5"/>
      <c r="U25" s="5"/>
      <c r="V25" s="5"/>
      <c r="W25" s="5"/>
      <c r="X25" s="5"/>
      <c r="Y25" s="5"/>
      <c r="Z25" s="5"/>
      <c r="AA25" s="5"/>
      <c r="AB25" s="5"/>
      <c r="AC25" s="47">
        <v>0.0</v>
      </c>
    </row>
    <row r="26" hidden="1">
      <c r="A26" s="76" t="str">
        <f t="array" ref="A26:A27">{"FormulaRow12";(INDEX(CLASSLIST,A3,1))}</f>
        <v>FormulaRow12</v>
      </c>
      <c r="B26" s="77" t="s">
        <v>236</v>
      </c>
      <c r="C26" s="76" t="str">
        <f t="array" ref="C26:C27">{"CLASSTYPE";((INDEX(ALLCLASSDATA,MATCH("ClassType",CLASSFEATUREHEADERS,0),MATCH($A27,CLASSNAMEHEADERS,0))))}</f>
        <v>CLASSTYPE</v>
      </c>
      <c r="D26" s="76" t="str">
        <f t="array" ref="D26:D27">{"CLASSABILITY";"ClassAbility"}</f>
        <v>CLASSABILITY</v>
      </c>
      <c r="E26" s="76" t="str">
        <f t="array" ref="E26:E27">{"CLASSABILITY3";"ClassAbility3"}</f>
        <v>CLASSABILITY3</v>
      </c>
      <c r="F26" s="76"/>
      <c r="G26" s="76"/>
      <c r="H26" s="76"/>
      <c r="I26" s="76"/>
      <c r="J26" s="76" t="str">
        <f t="array" ref="J26:J27">{"CLASSABILITY3-L03";((INDEX(ALLCLASSDATA,MATCH("ClassAbility3-L03",CLASSFEATUREHEADERS,0),MATCH(($A27),CLASSNAMEHEADERS,0))))}</f>
        <v>CLASSABILITY3-L03</v>
      </c>
      <c r="K26" s="76"/>
      <c r="L26" s="76" t="str">
        <f t="array" ref="L26:L27">{"CLASSABILITY3-L05";((INDEX(ALLCLASSDATA,MATCH("ClassAbility3-L05",CLASSFEATUREHEADERS,0),MATCH(($A27),CLASSNAMEHEADERS,0))))}</f>
        <v>CLASSABILITY3-L05</v>
      </c>
      <c r="M26" s="76"/>
      <c r="N26" s="76" t="str">
        <f t="array" ref="N26:N27">{"CLASSABILITY3-L07";((INDEX(ALLCLASSDATA,MATCH("ClassAbility3-L07",CLASSFEATUREHEADERS,0),MATCH(($A27),CLASSNAMEHEADERS,0))))}</f>
        <v>CLASSABILITY3-L07</v>
      </c>
      <c r="O26" s="76"/>
      <c r="P26" s="76" t="str">
        <f t="array" ref="P26:P27">{"CLASSABILITY3-L09";((INDEX(ALLCLASSDATA,MATCH("ClassAbility3-L09",CLASSFEATUREHEADERS,0),MATCH(($A27),CLASSNAMEHEADERS,0))))}</f>
        <v>CLASSABILITY3-L09</v>
      </c>
      <c r="Q26" s="76"/>
      <c r="R26" s="76" t="str">
        <f t="array" ref="R26:R27">{"CLASSABILITY3-L11";((INDEX(ALLCLASSDATA,MATCH("ClassAbility3-L11",CLASSFEATUREHEADERS,0),MATCH(($A27),CLASSNAMEHEADERS,0))))}</f>
        <v>CLASSABILITY3-L11</v>
      </c>
      <c r="S26" s="76"/>
      <c r="T26" s="76" t="str">
        <f t="array" ref="T26:T27">{"CLASSABILITY3-L13";((INDEX(ALLCLASSDATA,MATCH("ClassAbility3-L13",CLASSFEATUREHEADERS,0),MATCH(($A27),CLASSNAMEHEADERS,0))))}</f>
        <v>CLASSABILITY3-L13</v>
      </c>
      <c r="U26" s="76"/>
      <c r="V26" s="76" t="str">
        <f t="array" ref="V26:V27">{"CLASSABILITY3-L15";((INDEX(ALLCLASSDATA,MATCH("ClassAbility3-L15",CLASSFEATUREHEADERS,0),MATCH(($A27),CLASSNAMEHEADERS,0))))}</f>
        <v>CLASSABILITY3-L15</v>
      </c>
      <c r="W26" s="76"/>
      <c r="X26" s="76" t="str">
        <f t="array" ref="X26:X27">{"CLASSABILITY3-L17";((INDEX(ALLCLASSDATA,MATCH("ClassAbility3-L17",CLASSFEATUREHEADERS,0),MATCH(($A27),CLASSNAMEHEADERS,0))))}</f>
        <v>CLASSABILITY3-L17</v>
      </c>
      <c r="Y26" s="76"/>
      <c r="Z26" s="76" t="str">
        <f t="array" ref="Z26:Z27">{"CLASSABILITY3-L19";((INDEX(ALLCLASSDATA,MATCH("ClassAbility3-L19",CLASSFEATUREHEADERS,0),MATCH(($A27),CLASSNAMEHEADERS,0))))}</f>
        <v>CLASSABILITY3-L19</v>
      </c>
      <c r="AA26" s="76"/>
      <c r="AB26" s="76"/>
      <c r="AC26" s="76"/>
    </row>
    <row r="27">
      <c r="A27" s="48" t="s">
        <v>65</v>
      </c>
      <c r="B27" s="48"/>
      <c r="C27" s="48" t="s">
        <v>406</v>
      </c>
      <c r="D27" s="48" t="s">
        <v>825</v>
      </c>
      <c r="E27" s="48" t="s">
        <v>1144</v>
      </c>
      <c r="F27" s="48"/>
      <c r="G27" s="47"/>
      <c r="H27" s="5"/>
      <c r="I27" s="5"/>
      <c r="J27" s="48"/>
      <c r="K27" s="48"/>
      <c r="L27" s="5"/>
      <c r="M27" s="5"/>
      <c r="N27" s="5"/>
      <c r="O27" s="5"/>
      <c r="P27" s="5" t="s">
        <v>317</v>
      </c>
      <c r="Q27" s="5"/>
      <c r="R27" s="5"/>
      <c r="S27" s="5"/>
      <c r="T27" s="5"/>
      <c r="U27" s="5"/>
      <c r="V27" s="5"/>
      <c r="W27" s="5"/>
      <c r="X27" s="5"/>
      <c r="Y27" s="5"/>
      <c r="Z27" s="5"/>
      <c r="AA27" s="5"/>
      <c r="AB27" s="5"/>
      <c r="AC27" s="47"/>
    </row>
    <row r="28" hidden="1">
      <c r="A28" s="76" t="str">
        <f t="array" ref="A28:A29">{"FormulaRow13";(INDEX(CLASSLIST,A3,1))}</f>
        <v>FormulaRow13</v>
      </c>
      <c r="B28" s="77" t="s">
        <v>236</v>
      </c>
      <c r="C28" s="76" t="str">
        <f t="array" ref="C28:C29">{"CLASSTYPE";((INDEX(ALLCLASSDATA,MATCH("ClassType",CLASSFEATUREHEADERS,0),MATCH($A29,CLASSNAMEHEADERS,0))))}</f>
        <v>CLASSTYPE</v>
      </c>
      <c r="D28" s="76" t="str">
        <f t="array" ref="D28:D29">{"CLASSABILITYPTS";"ClassAbilityPts"}</f>
        <v>CLASSABILITYPTS</v>
      </c>
      <c r="E28" s="76" t="str">
        <f t="array" ref="E28:E29">{"CLASSABILITY3";"ClassAbility3"}</f>
        <v>CLASSABILITY3</v>
      </c>
      <c r="F28" s="76"/>
      <c r="G28" s="76"/>
      <c r="H28" s="76"/>
      <c r="I28" s="76"/>
      <c r="J28" s="76" t="str">
        <f t="array" ref="J28:J29">{"CLASSABILITY3-L03PTS";((INDEX(ALLCLASSDATA,MATCH("ClassAbility3-L03",CLASSFEATUREHEADERS,0),MATCH(($A29 &amp; "Points"),CLASSNAMEHEADERS,0))))}</f>
        <v>CLASSABILITY3-L03PTS</v>
      </c>
      <c r="K28" s="76"/>
      <c r="L28" s="76" t="str">
        <f t="array" ref="L28:L29">{"CLASSABILITY3-L05PTS";((INDEX(ALLCLASSDATA,MATCH("ClassAbility3-L05",CLASSFEATUREHEADERS,0),MATCH(($A29 &amp; "Points"),CLASSNAMEHEADERS,0))))}</f>
        <v>CLASSABILITY3-L05PTS</v>
      </c>
      <c r="M28" s="76"/>
      <c r="N28" s="76" t="str">
        <f t="array" ref="N28:N29">{"CLASSABILITY3-L07PTS";((INDEX(ALLCLASSDATA,MATCH("ClassAbility3-L07",CLASSFEATUREHEADERS,0),MATCH(($A29 &amp; "Points"),CLASSNAMEHEADERS,0))))}</f>
        <v>CLASSABILITY3-L07PTS</v>
      </c>
      <c r="O28" s="76"/>
      <c r="P28" s="76" t="str">
        <f t="array" ref="P28:P29">{"CLASSABILITY3-L09PTS";((INDEX(ALLCLASSDATA,MATCH("ClassAbility3-L09",CLASSFEATUREHEADERS,0),MATCH(($A29 &amp; "Points"),CLASSNAMEHEADERS,0))))}</f>
        <v>CLASSABILITY3-L09PTS</v>
      </c>
      <c r="Q28" s="76"/>
      <c r="R28" s="76" t="str">
        <f t="array" ref="R28:R29">{"CLASSABILITY3-L11PTS";((INDEX(ALLCLASSDATA,MATCH("ClassAbility3-L11",CLASSFEATUREHEADERS,0),MATCH(($A29 &amp; "Points"),CLASSNAMEHEADERS,0))))}</f>
        <v>CLASSABILITY3-L11PTS</v>
      </c>
      <c r="S28" s="76"/>
      <c r="T28" s="76" t="str">
        <f t="array" ref="T28:T29">{"CLASSABILITY3-L13PTS";((INDEX(ALLCLASSDATA,MATCH("ClassAbility3-L13",CLASSFEATUREHEADERS,0),MATCH(($A29 &amp; "Points"),CLASSNAMEHEADERS,0))))}</f>
        <v>CLASSABILITY3-L13PTS</v>
      </c>
      <c r="U28" s="76"/>
      <c r="V28" s="76" t="str">
        <f t="array" ref="V28:V29">{"CLASSABILITY3-L15PTS";((INDEX(ALLCLASSDATA,MATCH("ClassAbility3-L15",CLASSFEATUREHEADERS,0),MATCH(($A29 &amp; "Points"),CLASSNAMEHEADERS,0))))}</f>
        <v>CLASSABILITY3-L15PTS</v>
      </c>
      <c r="W28" s="76"/>
      <c r="X28" s="76" t="str">
        <f t="array" ref="X28:X29">{"CLASSABILITY3-L17PTS";((INDEX(ALLCLASSDATA,MATCH("ClassAbility3-L17",CLASSFEATUREHEADERS,0),MATCH(($A29 &amp; "Points"),CLASSNAMEHEADERS,0))))}</f>
        <v>CLASSABILITY3-L17PTS</v>
      </c>
      <c r="Y28" s="76"/>
      <c r="Z28" s="76" t="str">
        <f t="array" ref="Z28:Z29">{"CLASSABILITY3-L19PTS";((INDEX(ALLCLASSDATA,MATCH("ClassAbility3-L19",CLASSFEATUREHEADERS,0),MATCH(($A29 &amp; "Points"),CLASSNAMEHEADERS,0))))}</f>
        <v>CLASSABILITY3-L19PTS</v>
      </c>
      <c r="AA28" s="76"/>
      <c r="AB28" s="76"/>
      <c r="AC28" s="76" t="str">
        <f t="array" ref="AC28:AC29">{"CLASSABILITY3 TOTAL";(sum(G29:AA29))}</f>
        <v>CLASSABILITY3 TOTAL</v>
      </c>
    </row>
    <row r="29">
      <c r="A29" s="48" t="s">
        <v>65</v>
      </c>
      <c r="B29" s="48"/>
      <c r="C29" s="48" t="s">
        <v>406</v>
      </c>
      <c r="D29" s="48" t="s">
        <v>930</v>
      </c>
      <c r="E29" s="48" t="s">
        <v>1144</v>
      </c>
      <c r="F29" s="48"/>
      <c r="G29" s="47"/>
      <c r="H29" s="5"/>
      <c r="I29" s="5"/>
      <c r="J29" s="48"/>
      <c r="K29" s="5"/>
      <c r="L29" s="48"/>
      <c r="M29" s="48"/>
      <c r="N29" s="5"/>
      <c r="O29" s="5"/>
      <c r="P29" s="5"/>
      <c r="Q29" s="5"/>
      <c r="R29" s="5"/>
      <c r="S29" s="5"/>
      <c r="T29" s="5"/>
      <c r="U29" s="5"/>
      <c r="V29" s="5"/>
      <c r="W29" s="5"/>
      <c r="X29" s="5"/>
      <c r="Y29" s="5"/>
      <c r="Z29" s="5"/>
      <c r="AA29" s="5"/>
      <c r="AB29" s="5"/>
      <c r="AC29" s="47">
        <v>0.0</v>
      </c>
    </row>
    <row r="30" hidden="1">
      <c r="A30" s="76" t="str">
        <f t="array" ref="A30:A31">{"FormulaRow14";(INDEX(CLASSLIST,A3,1))}</f>
        <v>FormulaRow14</v>
      </c>
      <c r="B30" s="77" t="s">
        <v>236</v>
      </c>
      <c r="C30" s="76" t="str">
        <f t="array" ref="C30:C31">{"CLASSTYPE";((INDEX(ALLCLASSDATA,MATCH("ClassType",CLASSFEATUREHEADERS,0),MATCH($A31,CLASSNAMEHEADERS,0))))}</f>
        <v>CLASSTYPE</v>
      </c>
      <c r="D30" s="76" t="str">
        <f t="array" ref="D30:D31">{"CLASSABILITY";"ClassAbility"}</f>
        <v>CLASSABILITY</v>
      </c>
      <c r="E30" s="76" t="str">
        <f t="array" ref="E30:E31">{"CLASSABILITY4";"ClassAbility4"}</f>
        <v>CLASSABILITY4</v>
      </c>
      <c r="F30" s="76"/>
      <c r="G30" s="76"/>
      <c r="H30" s="76"/>
      <c r="I30" s="76"/>
      <c r="J30" s="76" t="str">
        <f t="array" ref="J30:J31">{"CLASSABILITY4-L03";((INDEX(ALLCLASSDATA,MATCH("ClassAbility4-L03",CLASSFEATUREHEADERS,0),MATCH(($A31),CLASSNAMEHEADERS,0))))}</f>
        <v>CLASSABILITY4-L03</v>
      </c>
      <c r="K30" s="76"/>
      <c r="L30" s="76" t="str">
        <f t="array" ref="L30:L31">{"CLASSABILITY4-L05";((INDEX(ALLCLASSDATA,MATCH("ClassAbility4-L05",CLASSFEATUREHEADERS,0),MATCH(($A31),CLASSNAMEHEADERS,0))))}</f>
        <v>CLASSABILITY4-L05</v>
      </c>
      <c r="M30" s="76"/>
      <c r="N30" s="76" t="str">
        <f t="array" ref="N30:N31">{"CLASSABILITY4-L07";((INDEX(ALLCLASSDATA,MATCH("ClassAbility4-L07",CLASSFEATUREHEADERS,0),MATCH(($A31),CLASSNAMEHEADERS,0))))}</f>
        <v>CLASSABILITY4-L07</v>
      </c>
      <c r="O30" s="76"/>
      <c r="P30" s="76" t="str">
        <f t="array" ref="P30:P31">{"CLASSABILITY4-L09";((INDEX(ALLCLASSDATA,MATCH("ClassAbility4-L09",CLASSFEATUREHEADERS,0),MATCH(($A31),CLASSNAMEHEADERS,0))))}</f>
        <v>CLASSABILITY4-L09</v>
      </c>
      <c r="Q30" s="76"/>
      <c r="R30" s="76" t="str">
        <f t="array" ref="R30:R31">{"CLASSABILITY4-L11";((INDEX(ALLCLASSDATA,MATCH("ClassAbility4-L11",CLASSFEATUREHEADERS,0),MATCH(($A31),CLASSNAMEHEADERS,0))))}</f>
        <v>CLASSABILITY4-L11</v>
      </c>
      <c r="S30" s="76"/>
      <c r="T30" s="76" t="str">
        <f t="array" ref="T30:T31">{"CLASSABILITY4-L13";((INDEX(ALLCLASSDATA,MATCH("ClassAbility4-L13",CLASSFEATUREHEADERS,0),MATCH(($A31),CLASSNAMEHEADERS,0))))}</f>
        <v>CLASSABILITY4-L13</v>
      </c>
      <c r="U30" s="76"/>
      <c r="V30" s="76" t="str">
        <f t="array" ref="V30:V31">{"CLASSABILITY4-L15";((INDEX(ALLCLASSDATA,MATCH("ClassAbility4-L15",CLASSFEATUREHEADERS,0),MATCH(($A31),CLASSNAMEHEADERS,0))))}</f>
        <v>CLASSABILITY4-L15</v>
      </c>
      <c r="W30" s="76"/>
      <c r="X30" s="76" t="str">
        <f t="array" ref="X30:X31">{"CLASSABILITY4-L17";((INDEX(ALLCLASSDATA,MATCH("ClassAbility4-L17",CLASSFEATUREHEADERS,0),MATCH(($A31),CLASSNAMEHEADERS,0))))}</f>
        <v>CLASSABILITY4-L17</v>
      </c>
      <c r="Y30" s="76"/>
      <c r="Z30" s="76" t="str">
        <f t="array" ref="Z30:Z31">{"CLASSABILITY4-L19";((INDEX(ALLCLASSDATA,MATCH("ClassAbility4-L19",CLASSFEATUREHEADERS,0),MATCH(($A31),CLASSNAMEHEADERS,0))))}</f>
        <v>CLASSABILITY4-L19</v>
      </c>
      <c r="AA30" s="76"/>
      <c r="AB30" s="76"/>
      <c r="AC30" s="76"/>
    </row>
    <row r="31">
      <c r="A31" s="48" t="s">
        <v>65</v>
      </c>
      <c r="B31" s="48"/>
      <c r="C31" s="48" t="s">
        <v>406</v>
      </c>
      <c r="D31" s="48" t="s">
        <v>825</v>
      </c>
      <c r="E31" s="48" t="s">
        <v>1273</v>
      </c>
      <c r="F31" s="48"/>
      <c r="G31" s="47"/>
      <c r="H31" s="5"/>
      <c r="I31" s="5"/>
      <c r="J31" s="5"/>
      <c r="K31" s="5"/>
      <c r="L31" s="5"/>
      <c r="M31" s="5"/>
      <c r="N31" s="5"/>
      <c r="O31" s="5"/>
      <c r="P31" s="5"/>
      <c r="Q31" s="5"/>
      <c r="R31" s="5"/>
      <c r="S31" s="5"/>
      <c r="T31" s="5"/>
      <c r="U31" s="5"/>
      <c r="V31" s="5"/>
      <c r="W31" s="5"/>
      <c r="X31" s="5"/>
      <c r="Y31" s="5"/>
      <c r="Z31" s="5"/>
      <c r="AA31" s="5"/>
      <c r="AB31" s="5"/>
      <c r="AC31" s="47"/>
    </row>
    <row r="32" hidden="1">
      <c r="A32" s="76" t="str">
        <f t="array" ref="A32:A33">{"FormulaRow15";(INDEX(CLASSLIST,A3,1))}</f>
        <v>FormulaRow15</v>
      </c>
      <c r="B32" s="77" t="s">
        <v>236</v>
      </c>
      <c r="C32" s="76" t="str">
        <f t="array" ref="C32:C33">{"CLASSTYPE";((INDEX(ALLCLASSDATA,MATCH("ClassType",CLASSFEATUREHEADERS,0),MATCH($A33,CLASSNAMEHEADERS,0))))}</f>
        <v>CLASSTYPE</v>
      </c>
      <c r="D32" s="76" t="str">
        <f t="array" ref="D32:D33">{"CLASSABILITYPTS";"ClassAbilityPts"}</f>
        <v>CLASSABILITYPTS</v>
      </c>
      <c r="E32" s="76" t="str">
        <f t="array" ref="E32:E33">{"CLASSABILITY4";"ClassAbility4"}</f>
        <v>CLASSABILITY4</v>
      </c>
      <c r="F32" s="76"/>
      <c r="G32" s="76"/>
      <c r="H32" s="76"/>
      <c r="I32" s="76"/>
      <c r="J32" s="76" t="str">
        <f t="array" ref="J32:J33">{"CLASSABILITY4-L03PTS";((INDEX(ALLCLASSDATA,MATCH("ClassAbility4-L03",CLASSFEATUREHEADERS,0),MATCH(($A33 &amp; "Points"),CLASSNAMEHEADERS,0))))}</f>
        <v>CLASSABILITY4-L03PTS</v>
      </c>
      <c r="K32" s="76"/>
      <c r="L32" s="76" t="str">
        <f t="array" ref="L32:L33">{"CLASSABILITY4-L05PTS";((INDEX(ALLCLASSDATA,MATCH("ClassAbility4-L05",CLASSFEATUREHEADERS,0),MATCH(($A33 &amp; "Points"),CLASSNAMEHEADERS,0))))}</f>
        <v>CLASSABILITY4-L05PTS</v>
      </c>
      <c r="M32" s="76"/>
      <c r="N32" s="76" t="str">
        <f t="array" ref="N32:N33">{"CLASSABILITY4-L07PTS";((INDEX(ALLCLASSDATA,MATCH("ClassAbility4-L07",CLASSFEATUREHEADERS,0),MATCH(($A33 &amp; "Points"),CLASSNAMEHEADERS,0))))}</f>
        <v>CLASSABILITY4-L07PTS</v>
      </c>
      <c r="O32" s="76"/>
      <c r="P32" s="76" t="str">
        <f t="array" ref="P32:P33">{"CLASSABILITY4-L09PTS";((INDEX(ALLCLASSDATA,MATCH("ClassAbility4-L09",CLASSFEATUREHEADERS,0),MATCH(($A33 &amp; "Points"),CLASSNAMEHEADERS,0))))}</f>
        <v>CLASSABILITY4-L09PTS</v>
      </c>
      <c r="Q32" s="76"/>
      <c r="R32" s="76" t="str">
        <f t="array" ref="R32:R33">{"CLASSABILITY4-L11PTS";((INDEX(ALLCLASSDATA,MATCH("ClassAbility4-L11",CLASSFEATUREHEADERS,0),MATCH(($A33 &amp; "Points"),CLASSNAMEHEADERS,0))))}</f>
        <v>CLASSABILITY4-L11PTS</v>
      </c>
      <c r="S32" s="76"/>
      <c r="T32" s="76" t="str">
        <f t="array" ref="T32:T33">{"CLASSABILITY4-L13PTS";((INDEX(ALLCLASSDATA,MATCH("ClassAbility4-L13",CLASSFEATUREHEADERS,0),MATCH(($A33 &amp; "Points"),CLASSNAMEHEADERS,0))))}</f>
        <v>CLASSABILITY4-L13PTS</v>
      </c>
      <c r="U32" s="76"/>
      <c r="V32" s="76" t="str">
        <f t="array" ref="V32:V33">{"CLASSABILITY4-L15PTS";((INDEX(ALLCLASSDATA,MATCH("ClassAbility4-L15",CLASSFEATUREHEADERS,0),MATCH(($A33 &amp; "Points"),CLASSNAMEHEADERS,0))))}</f>
        <v>CLASSABILITY4-L15PTS</v>
      </c>
      <c r="W32" s="76"/>
      <c r="X32" s="76" t="str">
        <f t="array" ref="X32:X33">{"CLASSABILITY4-L17PTS";((INDEX(ALLCLASSDATA,MATCH("ClassAbility4-L17",CLASSFEATUREHEADERS,0),MATCH(($A33 &amp; "Points"),CLASSNAMEHEADERS,0))))}</f>
        <v>CLASSABILITY4-L17PTS</v>
      </c>
      <c r="Y32" s="76"/>
      <c r="Z32" s="76" t="str">
        <f t="array" ref="Z32:Z33">{"CLASSABILITY4-L19PTS";((INDEX(ALLCLASSDATA,MATCH("ClassAbility4-L19",CLASSFEATUREHEADERS,0),MATCH(($A33 &amp; "Points"),CLASSNAMEHEADERS,0))))}</f>
        <v>CLASSABILITY4-L19PTS</v>
      </c>
      <c r="AA32" s="76"/>
      <c r="AB32" s="76"/>
      <c r="AC32" s="76" t="str">
        <f t="array" ref="AC32:AC33">{"CLASSABILITY4 TOTAL";(sum(G33:AA33))}</f>
        <v>CLASSABILITY4 TOTAL</v>
      </c>
    </row>
    <row r="33">
      <c r="A33" s="48" t="s">
        <v>65</v>
      </c>
      <c r="B33" s="48"/>
      <c r="C33" s="48" t="s">
        <v>406</v>
      </c>
      <c r="D33" s="48" t="s">
        <v>930</v>
      </c>
      <c r="E33" s="48" t="s">
        <v>1273</v>
      </c>
      <c r="F33" s="48"/>
      <c r="G33" s="47"/>
      <c r="H33" s="5"/>
      <c r="I33" s="5"/>
      <c r="J33" s="5"/>
      <c r="K33" s="5"/>
      <c r="L33" s="5"/>
      <c r="M33" s="5"/>
      <c r="N33" s="5"/>
      <c r="O33" s="5"/>
      <c r="P33" s="5"/>
      <c r="Q33" s="5"/>
      <c r="R33" s="5"/>
      <c r="S33" s="5"/>
      <c r="T33" s="5"/>
      <c r="U33" s="5"/>
      <c r="V33" s="5"/>
      <c r="W33" s="5"/>
      <c r="X33" s="5"/>
      <c r="Y33" s="5"/>
      <c r="Z33" s="5"/>
      <c r="AA33" s="5"/>
      <c r="AB33" s="5"/>
      <c r="AC33" s="47">
        <v>0.0</v>
      </c>
    </row>
    <row r="34" hidden="1">
      <c r="A34" s="76" t="str">
        <f t="array" ref="A34:A35">{"FormulaRow16";(INDEX(CLASSLIST,A3,1))}</f>
        <v>FormulaRow16</v>
      </c>
      <c r="B34" s="77" t="s">
        <v>236</v>
      </c>
      <c r="C34" s="76" t="str">
        <f t="array" ref="C34:C35">{"CLASSTYPE";((INDEX(ALLCLASSDATA,MATCH("ClassType",CLASSFEATUREHEADERS,0),MATCH($A35,CLASSNAMEHEADERS,0))))}</f>
        <v>CLASSTYPE</v>
      </c>
      <c r="D34" s="76" t="str">
        <f t="array" ref="D34:D35">{"CLASSABILITY";"ClassAbility"}</f>
        <v>CLASSABILITY</v>
      </c>
      <c r="E34" s="76" t="str">
        <f t="array" ref="E34:E35">{"SUBCLASSABILITY1";"SubclassAbility1"}</f>
        <v>SUBCLASSABILITY1</v>
      </c>
      <c r="F34" s="76"/>
      <c r="G34" s="76"/>
      <c r="H34" s="76"/>
      <c r="I34" s="76"/>
      <c r="J34" s="76" t="str">
        <f t="array" ref="J34:J35">{"SUBCLASSABILITY1-L03";((INDEX(ALLCLASSDATA,MATCH("SubclassAbility1-L03",CLASSFEATUREHEADERS,0),MATCH(($A35),CLASSNAMEHEADERS,0))))}</f>
        <v>SUBCLASSABILITY1-L03</v>
      </c>
      <c r="K34" s="76"/>
      <c r="L34" s="76" t="str">
        <f t="array" ref="L34:L35">{"SUBCLASSABILITY1-L05";((INDEX(ALLCLASSDATA,MATCH("SubclassAbility1-L05",CLASSFEATUREHEADERS,0),MATCH(($A35),CLASSNAMEHEADERS,0))))}</f>
        <v>SUBCLASSABILITY1-L05</v>
      </c>
      <c r="M34" s="76"/>
      <c r="N34" s="76" t="str">
        <f t="array" ref="N34:N35">{"SUBCLASSABILITY1-L07";((INDEX(ALLCLASSDATA,MATCH("SubclassAbility1-L07",CLASSFEATUREHEADERS,0),MATCH(($A35),CLASSNAMEHEADERS,0))))}</f>
        <v>SUBCLASSABILITY1-L07</v>
      </c>
      <c r="O34" s="76"/>
      <c r="P34" s="76" t="str">
        <f t="array" ref="P34:P35">{"SUBCLASSABILITY1-L09";((INDEX(ALLCLASSDATA,MATCH("SubclassAbility1-L09",CLASSFEATUREHEADERS,0),MATCH(($A35),CLASSNAMEHEADERS,0))))}</f>
        <v>SUBCLASSABILITY1-L09</v>
      </c>
      <c r="Q34" s="76"/>
      <c r="R34" s="76" t="str">
        <f t="array" ref="R34:R35">{"SUBCLASSABILITY1-L11";((INDEX(ALLCLASSDATA,MATCH("SubclassAbility1-L11",CLASSFEATUREHEADERS,0),MATCH(($A35),CLASSNAMEHEADERS,0))))}</f>
        <v>SUBCLASSABILITY1-L11</v>
      </c>
      <c r="S34" s="76"/>
      <c r="T34" s="76" t="str">
        <f t="array" ref="T34:T35">{"SUBCLASSABILITY1-L13";((INDEX(ALLCLASSDATA,MATCH("SubclassAbility1-L13",CLASSFEATUREHEADERS,0),MATCH(($A35),CLASSNAMEHEADERS,0))))}</f>
        <v>SUBCLASSABILITY1-L13</v>
      </c>
      <c r="U34" s="76"/>
      <c r="V34" s="76" t="str">
        <f t="array" ref="V34:V35">{"SUBCLASSABILITY1-L15";((INDEX(ALLCLASSDATA,MATCH("SubclassAbility1-L15",CLASSFEATUREHEADERS,0),MATCH(($A35),CLASSNAMEHEADERS,0))))}</f>
        <v>SUBCLASSABILITY1-L15</v>
      </c>
      <c r="W34" s="76"/>
      <c r="X34" s="76" t="str">
        <f t="array" ref="X34:X35">{"SUBCLASSABILITY1-L17";((INDEX(ALLCLASSDATA,MATCH("SubclassAbility1-L17",CLASSFEATUREHEADERS,0),MATCH(($A35),CLASSNAMEHEADERS,0))))}</f>
        <v>SUBCLASSABILITY1-L17</v>
      </c>
      <c r="Y34" s="76"/>
      <c r="Z34" s="76" t="str">
        <f t="array" ref="Z34:Z35">{"SUBCLASSABILITY1-L19";((INDEX(ALLCLASSDATA,MATCH("SubclassAbility1-L19",CLASSFEATUREHEADERS,0),MATCH(($A35),CLASSNAMEHEADERS,0))))}</f>
        <v>SUBCLASSABILITY1-L19</v>
      </c>
      <c r="AA34" s="76"/>
      <c r="AB34" s="76"/>
      <c r="AC34" s="76"/>
    </row>
    <row r="35">
      <c r="A35" s="48" t="s">
        <v>65</v>
      </c>
      <c r="B35" s="48"/>
      <c r="C35" s="48" t="s">
        <v>406</v>
      </c>
      <c r="D35" s="48" t="s">
        <v>825</v>
      </c>
      <c r="E35" s="28" t="s">
        <v>1355</v>
      </c>
      <c r="F35" s="5"/>
      <c r="G35" s="47"/>
      <c r="H35" s="5"/>
      <c r="I35" s="5"/>
      <c r="J35" s="5"/>
      <c r="K35" s="5"/>
      <c r="L35" s="5"/>
      <c r="M35" s="5"/>
      <c r="N35" s="5"/>
      <c r="O35" s="5"/>
      <c r="P35" s="5" t="s">
        <v>1356</v>
      </c>
      <c r="Q35" s="5"/>
      <c r="R35" s="5" t="s">
        <v>1357</v>
      </c>
      <c r="S35" s="5"/>
      <c r="T35" s="48"/>
      <c r="U35" s="5"/>
      <c r="V35" s="5"/>
      <c r="W35" s="5"/>
      <c r="X35" s="5"/>
      <c r="Y35" s="5"/>
      <c r="Z35" s="5"/>
      <c r="AA35" s="5"/>
      <c r="AB35" s="5"/>
      <c r="AC35" s="47"/>
    </row>
    <row r="36" hidden="1">
      <c r="A36" s="76" t="str">
        <f t="array" ref="A36:A37">{"FormulaRow17";(INDEX(CLASSLIST,A3,1))}</f>
        <v>FormulaRow17</v>
      </c>
      <c r="B36" s="77" t="s">
        <v>236</v>
      </c>
      <c r="C36" s="76" t="str">
        <f t="array" ref="C36:C37">{"CLASSTYPE";((INDEX(ALLCLASSDATA,MATCH("ClassType",CLASSFEATUREHEADERS,0),MATCH($A37,CLASSNAMEHEADERS,0))))}</f>
        <v>CLASSTYPE</v>
      </c>
      <c r="D36" s="76" t="str">
        <f t="array" ref="D36:D37">{"CLASSABILITYPTS";"ClassAbilityPts"}</f>
        <v>CLASSABILITYPTS</v>
      </c>
      <c r="E36" s="76" t="str">
        <f t="array" ref="E36:E37">{"SUBCLASSABILITY1";"SubclassAbility1"}</f>
        <v>SUBCLASSABILITY1</v>
      </c>
      <c r="F36" s="76"/>
      <c r="G36" s="76"/>
      <c r="H36" s="76"/>
      <c r="I36" s="76"/>
      <c r="J36" s="76" t="str">
        <f t="array" ref="J36:J37">{"SUBCLASSABILITY1-L03PTS";((INDEX(ALLCLASSDATA,MATCH("SubclassAbility1-L03",CLASSFEATUREHEADERS,0),MATCH(($A37 &amp; "Points"),CLASSNAMEHEADERS,0))))}</f>
        <v>SUBCLASSABILITY1-L03PTS</v>
      </c>
      <c r="K36" s="76"/>
      <c r="L36" s="76" t="str">
        <f t="array" ref="L36:L37">{"SUBCLASSABILITY1-L05PTS";((INDEX(ALLCLASSDATA,MATCH("SubclassAbility1-L05",CLASSFEATUREHEADERS,0),MATCH(($A37 &amp; "Points"),CLASSNAMEHEADERS,0))))}</f>
        <v>SUBCLASSABILITY1-L05PTS</v>
      </c>
      <c r="M36" s="76"/>
      <c r="N36" s="76" t="str">
        <f t="array" ref="N36:N37">{"SUBCLASSABILITY1-L07PTS";((INDEX(ALLCLASSDATA,MATCH("SubclassAbility1-L07",CLASSFEATUREHEADERS,0),MATCH(($A37 &amp; "Points"),CLASSNAMEHEADERS,0))))}</f>
        <v>SUBCLASSABILITY1-L07PTS</v>
      </c>
      <c r="O36" s="76"/>
      <c r="P36" s="76" t="str">
        <f t="array" ref="P36:P37">{"SUBCLASSABILITY1-L09PTS";((INDEX(ALLCLASSDATA,MATCH("SubclassAbility1-L09",CLASSFEATUREHEADERS,0),MATCH(($A37 &amp; "Points"),CLASSNAMEHEADERS,0))))}</f>
        <v>SUBCLASSABILITY1-L09PTS</v>
      </c>
      <c r="Q36" s="76"/>
      <c r="R36" s="76" t="str">
        <f t="array" ref="R36:R37">{"SUBCLASSABILITY1-L11PTS";((INDEX(ALLCLASSDATA,MATCH("SubclassAbility1-L11",CLASSFEATUREHEADERS,0),MATCH(($A37 &amp; "Points"),CLASSNAMEHEADERS,0))))}</f>
        <v>SUBCLASSABILITY1-L11PTS</v>
      </c>
      <c r="S36" s="76"/>
      <c r="T36" s="76" t="str">
        <f t="array" ref="T36:T37">{"SUBCLASSABILITY1-L13PTS";((INDEX(ALLCLASSDATA,MATCH("SubclassAbility1-L13",CLASSFEATUREHEADERS,0),MATCH(($A37 &amp; "Points"),CLASSNAMEHEADERS,0))))}</f>
        <v>SUBCLASSABILITY1-L13PTS</v>
      </c>
      <c r="U36" s="76"/>
      <c r="V36" s="76" t="str">
        <f t="array" ref="V36:V37">{"SUBCLASSABILITY1-L15PTS";((INDEX(ALLCLASSDATA,MATCH("SubclassAbility1-L15",CLASSFEATUREHEADERS,0),MATCH(($A37 &amp; "Points"),CLASSNAMEHEADERS,0))))}</f>
        <v>SUBCLASSABILITY1-L15PTS</v>
      </c>
      <c r="W36" s="76"/>
      <c r="X36" s="76" t="str">
        <f t="array" ref="X36:X37">{"SUBCLASSABILITY1-L17PTS";((INDEX(ALLCLASSDATA,MATCH("SubclassAbility1-L17",CLASSFEATUREHEADERS,0),MATCH(($A37 &amp; "Points"),CLASSNAMEHEADERS,0))))}</f>
        <v>SUBCLASSABILITY1-L17PTS</v>
      </c>
      <c r="Y36" s="76"/>
      <c r="Z36" s="76" t="str">
        <f t="array" ref="Z36:Z37">{"SUBCLASSABILITY1-L19PTS";((INDEX(ALLCLASSDATA,MATCH("SubclassAbility1-L19",CLASSFEATUREHEADERS,0),MATCH(($A37 &amp; "Points"),CLASSNAMEHEADERS,0))))}</f>
        <v>SUBCLASSABILITY1-L19PTS</v>
      </c>
      <c r="AA36" s="76"/>
      <c r="AB36" s="76"/>
      <c r="AC36" s="76" t="str">
        <f t="array" ref="AC36:AC37">{"SUBCLASSABILITY1 TOTAL";(sum(G37:AA37))}</f>
        <v>SUBCLASSABILITY1 TOTAL</v>
      </c>
    </row>
    <row r="37">
      <c r="A37" s="48" t="s">
        <v>65</v>
      </c>
      <c r="B37" s="48"/>
      <c r="C37" s="48" t="s">
        <v>406</v>
      </c>
      <c r="D37" s="48" t="s">
        <v>930</v>
      </c>
      <c r="E37" s="28" t="s">
        <v>1355</v>
      </c>
      <c r="F37" s="5"/>
      <c r="G37" s="47"/>
      <c r="H37" s="5"/>
      <c r="I37" s="5"/>
      <c r="J37" s="5"/>
      <c r="K37" s="5"/>
      <c r="L37" s="5"/>
      <c r="M37" s="5"/>
      <c r="N37" s="5"/>
      <c r="O37" s="5"/>
      <c r="P37" s="5">
        <v>90.0</v>
      </c>
      <c r="Q37" s="5"/>
      <c r="R37" s="5">
        <v>110.0</v>
      </c>
      <c r="S37" s="5"/>
      <c r="T37" s="5"/>
      <c r="U37" s="5"/>
      <c r="V37" s="5"/>
      <c r="W37" s="5"/>
      <c r="X37" s="5"/>
      <c r="Y37" s="5"/>
      <c r="Z37" s="5"/>
      <c r="AA37" s="5"/>
      <c r="AB37" s="5"/>
      <c r="AC37" s="47">
        <v>200.0</v>
      </c>
    </row>
    <row r="38" hidden="1">
      <c r="A38" s="76" t="str">
        <f t="array" ref="A38:A39">{"FormulaRow18";(INDEX(CLASSLIST,A3,1))}</f>
        <v>FormulaRow18</v>
      </c>
      <c r="B38" s="77" t="s">
        <v>236</v>
      </c>
      <c r="C38" s="76" t="str">
        <f t="array" ref="C38:C39">{"CLASSTYPE";((INDEX(ALLCLASSDATA,MATCH("ClassType",CLASSFEATUREHEADERS,0),MATCH($A39,CLASSNAMEHEADERS,0))))}</f>
        <v>CLASSTYPE</v>
      </c>
      <c r="D38" s="76" t="str">
        <f t="array" ref="D38:D39">{"CLASSABILITY";"ClassAbility"}</f>
        <v>CLASSABILITY</v>
      </c>
      <c r="E38" s="76" t="str">
        <f t="array" ref="E38:E39">{"SUBCLASSABILITY2";"SubclassAbility2"}</f>
        <v>SUBCLASSABILITY2</v>
      </c>
      <c r="F38" s="76"/>
      <c r="G38" s="76"/>
      <c r="H38" s="76"/>
      <c r="I38" s="76"/>
      <c r="J38" s="76" t="str">
        <f t="array" ref="J38:J39">{"SUBCLASSABILITY2-L03";((INDEX(ALLCLASSDATA,MATCH("SubclassAbility2-L03",CLASSFEATUREHEADERS,0),MATCH(($A39),CLASSNAMEHEADERS,0))))}</f>
        <v>SUBCLASSABILITY2-L03</v>
      </c>
      <c r="K38" s="76"/>
      <c r="L38" s="76" t="str">
        <f t="array" ref="L38:L39">{"SUBCLASSABILITY2-L05";((INDEX(ALLCLASSDATA,MATCH("SubclassAbility2-L05",CLASSFEATUREHEADERS,0),MATCH(($A39),CLASSNAMEHEADERS,0))))}</f>
        <v>SUBCLASSABILITY2-L05</v>
      </c>
      <c r="M38" s="76"/>
      <c r="N38" s="76" t="str">
        <f t="array" ref="N38:N39">{"SUBCLASSABILITY2-L07";((INDEX(ALLCLASSDATA,MATCH("SubclassAbility2-L07",CLASSFEATUREHEADERS,0),MATCH(($A39),CLASSNAMEHEADERS,0))))}</f>
        <v>SUBCLASSABILITY2-L07</v>
      </c>
      <c r="O38" s="76"/>
      <c r="P38" s="76" t="str">
        <f t="array" ref="P38:P39">{"SUBCLASSABILITY2-L09";((INDEX(ALLCLASSDATA,MATCH("SubclassAbility2-L09",CLASSFEATUREHEADERS,0),MATCH(($A39),CLASSNAMEHEADERS,0))))}</f>
        <v>SUBCLASSABILITY2-L09</v>
      </c>
      <c r="Q38" s="76"/>
      <c r="R38" s="76" t="str">
        <f t="array" ref="R38:R39">{"SUBCLASSABILITY2-L11";((INDEX(ALLCLASSDATA,MATCH("SubclassAbility2-L11",CLASSFEATUREHEADERS,0),MATCH(($A39),CLASSNAMEHEADERS,0))))}</f>
        <v>SUBCLASSABILITY2-L11</v>
      </c>
      <c r="S38" s="76"/>
      <c r="T38" s="76" t="str">
        <f t="array" ref="T38:T39">{"SUBCLASSABILITY2-L13";((INDEX(ALLCLASSDATA,MATCH("SubclassAbility2-L13",CLASSFEATUREHEADERS,0),MATCH(($A39),CLASSNAMEHEADERS,0))))}</f>
        <v>SUBCLASSABILITY2-L13</v>
      </c>
      <c r="U38" s="76"/>
      <c r="V38" s="76" t="str">
        <f t="array" ref="V38:V39">{"SUBCLASSABILITY2-L15";((INDEX(ALLCLASSDATA,MATCH("SubclassAbility2-L15",CLASSFEATUREHEADERS,0),MATCH(($A39),CLASSNAMEHEADERS,0))))}</f>
        <v>SUBCLASSABILITY2-L15</v>
      </c>
      <c r="W38" s="76"/>
      <c r="X38" s="76" t="str">
        <f t="array" ref="X38:X39">{"SUBCLASSABILITY2-L17";((INDEX(ALLCLASSDATA,MATCH("SubclassAbility2-L17",CLASSFEATUREHEADERS,0),MATCH(($A39),CLASSNAMEHEADERS,0))))}</f>
        <v>SUBCLASSABILITY2-L17</v>
      </c>
      <c r="Y38" s="76"/>
      <c r="Z38" s="76" t="str">
        <f t="array" ref="Z38:Z39">{"SUBCLASSABILITY2-L19";((INDEX(ALLCLASSDATA,MATCH("SubclassAbility2-L19",CLASSFEATUREHEADERS,0),MATCH(($A39),CLASSNAMEHEADERS,0))))}</f>
        <v>SUBCLASSABILITY2-L19</v>
      </c>
      <c r="AA38" s="76"/>
      <c r="AB38" s="76"/>
      <c r="AC38" s="76"/>
    </row>
    <row r="39">
      <c r="A39" s="48" t="s">
        <v>65</v>
      </c>
      <c r="B39" s="48"/>
      <c r="C39" s="48" t="s">
        <v>406</v>
      </c>
      <c r="D39" s="48" t="s">
        <v>825</v>
      </c>
      <c r="E39" s="28" t="s">
        <v>1370</v>
      </c>
      <c r="F39" s="5"/>
      <c r="G39" s="47"/>
      <c r="H39" s="5"/>
      <c r="I39" s="5"/>
      <c r="J39" s="5"/>
      <c r="K39" s="5"/>
      <c r="L39" s="5"/>
      <c r="M39" s="5"/>
      <c r="N39" s="5"/>
      <c r="O39" s="5"/>
      <c r="P39" s="5"/>
      <c r="Q39" s="5"/>
      <c r="R39" s="5"/>
      <c r="S39" s="5"/>
      <c r="T39" s="5"/>
      <c r="U39" s="5"/>
      <c r="V39" s="5"/>
      <c r="W39" s="5"/>
      <c r="X39" s="5"/>
      <c r="Y39" s="5"/>
      <c r="Z39" s="5"/>
      <c r="AA39" s="5"/>
      <c r="AB39" s="5"/>
      <c r="AC39" s="47"/>
    </row>
    <row r="40" hidden="1">
      <c r="A40" s="76" t="str">
        <f t="array" ref="A40:A41">{"FormulaRow19";(INDEX(CLASSLIST,A3,1))}</f>
        <v>FormulaRow19</v>
      </c>
      <c r="B40" s="77" t="s">
        <v>236</v>
      </c>
      <c r="C40" s="76" t="str">
        <f t="array" ref="C40:C41">{"CLASSTYPE";((INDEX(ALLCLASSDATA,MATCH("ClassType",CLASSFEATUREHEADERS,0),MATCH($A41,CLASSNAMEHEADERS,0))))}</f>
        <v>CLASSTYPE</v>
      </c>
      <c r="D40" s="76" t="str">
        <f t="array" ref="D40:D41">{"CLASSABILITYPTS";"ClassAbilityPts"}</f>
        <v>CLASSABILITYPTS</v>
      </c>
      <c r="E40" s="76" t="str">
        <f t="array" ref="E40:E41">{"SUBCLASSABILITY2";"SubclassAbility2"}</f>
        <v>SUBCLASSABILITY2</v>
      </c>
      <c r="F40" s="76"/>
      <c r="G40" s="76"/>
      <c r="H40" s="76"/>
      <c r="I40" s="76"/>
      <c r="J40" s="76" t="str">
        <f t="array" ref="J40:J41">{"SUBCLASSABILITY2-L03PTS";((INDEX(ALLCLASSDATA,MATCH("SubclassAbility2-L03",CLASSFEATUREHEADERS,0),MATCH(($A41 &amp; "Points"),CLASSNAMEHEADERS,0))))}</f>
        <v>SUBCLASSABILITY2-L03PTS</v>
      </c>
      <c r="K40" s="76"/>
      <c r="L40" s="76" t="str">
        <f t="array" ref="L40:L41">{"SUBCLASSABILITY2-L05PTS";((INDEX(ALLCLASSDATA,MATCH("SubclassAbility2-L05",CLASSFEATUREHEADERS,0),MATCH(($A41 &amp; "Points"),CLASSNAMEHEADERS,0))))}</f>
        <v>SUBCLASSABILITY2-L05PTS</v>
      </c>
      <c r="M40" s="76"/>
      <c r="N40" s="76" t="str">
        <f t="array" ref="N40:N41">{"SUBCLASSABILITY2-L07PTS";((INDEX(ALLCLASSDATA,MATCH("SubclassAbility2-L07",CLASSFEATUREHEADERS,0),MATCH(($A41 &amp; "Points"),CLASSNAMEHEADERS,0))))}</f>
        <v>SUBCLASSABILITY2-L07PTS</v>
      </c>
      <c r="O40" s="76"/>
      <c r="P40" s="76" t="str">
        <f t="array" ref="P40:P41">{"SUBCLASSABILITY2-L09PTS";((INDEX(ALLCLASSDATA,MATCH("SubclassAbility2-L09",CLASSFEATUREHEADERS,0),MATCH(($A41 &amp; "Points"),CLASSNAMEHEADERS,0))))}</f>
        <v>SUBCLASSABILITY2-L09PTS</v>
      </c>
      <c r="Q40" s="76"/>
      <c r="R40" s="76" t="str">
        <f t="array" ref="R40:R41">{"SUBCLASSABILITY2-L11PTS";((INDEX(ALLCLASSDATA,MATCH("SubclassAbility2-L11",CLASSFEATUREHEADERS,0),MATCH(($A41 &amp; "Points"),CLASSNAMEHEADERS,0))))}</f>
        <v>SUBCLASSABILITY2-L11PTS</v>
      </c>
      <c r="S40" s="76"/>
      <c r="T40" s="76" t="str">
        <f t="array" ref="T40:T41">{"SUBCLASSABILITY2-L13PTS";((INDEX(ALLCLASSDATA,MATCH("SubclassAbility2-L13",CLASSFEATUREHEADERS,0),MATCH(($A41 &amp; "Points"),CLASSNAMEHEADERS,0))))}</f>
        <v>SUBCLASSABILITY2-L13PTS</v>
      </c>
      <c r="U40" s="76"/>
      <c r="V40" s="76" t="str">
        <f t="array" ref="V40:V41">{"SUBCLASSABILITY2-L15PTS";((INDEX(ALLCLASSDATA,MATCH("SubclassAbility2-L15",CLASSFEATUREHEADERS,0),MATCH(($A41 &amp; "Points"),CLASSNAMEHEADERS,0))))}</f>
        <v>SUBCLASSABILITY2-L15PTS</v>
      </c>
      <c r="W40" s="76"/>
      <c r="X40" s="76" t="str">
        <f t="array" ref="X40:X41">{"SUBCLASSABILITY2-L17PTS";((INDEX(ALLCLASSDATA,MATCH("SubclassAbility2-L17",CLASSFEATUREHEADERS,0),MATCH(($A41 &amp; "Points"),CLASSNAMEHEADERS,0))))}</f>
        <v>SUBCLASSABILITY2-L17PTS</v>
      </c>
      <c r="Y40" s="76"/>
      <c r="Z40" s="76" t="str">
        <f t="array" ref="Z40:Z41">{"SUBCLASSABILITY2-L19PTS";((INDEX(ALLCLASSDATA,MATCH("SubclassAbility2-L19",CLASSFEATUREHEADERS,0),MATCH(($A41 &amp; "Points"),CLASSNAMEHEADERS,0))))}</f>
        <v>SUBCLASSABILITY2-L19PTS</v>
      </c>
      <c r="AA40" s="76"/>
      <c r="AB40" s="76"/>
      <c r="AC40" s="76" t="str">
        <f t="array" ref="AC40:AC41">{"SUBCLASSABILITY2 TOTAL";(sum(G41:AA41))}</f>
        <v>SUBCLASSABILITY2 TOTAL</v>
      </c>
    </row>
    <row r="41">
      <c r="A41" s="48" t="s">
        <v>65</v>
      </c>
      <c r="B41" s="48"/>
      <c r="C41" s="48" t="s">
        <v>406</v>
      </c>
      <c r="D41" s="97" t="s">
        <v>930</v>
      </c>
      <c r="E41" s="215" t="s">
        <v>1370</v>
      </c>
      <c r="F41" s="98"/>
      <c r="G41" s="132"/>
      <c r="H41" s="98"/>
      <c r="I41" s="98"/>
      <c r="J41" s="98"/>
      <c r="K41" s="98"/>
      <c r="L41" s="98"/>
      <c r="M41" s="98"/>
      <c r="N41" s="98"/>
      <c r="O41" s="98"/>
      <c r="P41" s="98"/>
      <c r="Q41" s="98"/>
      <c r="R41" s="98"/>
      <c r="S41" s="98"/>
      <c r="T41" s="98"/>
      <c r="U41" s="98"/>
      <c r="V41" s="98"/>
      <c r="W41" s="98"/>
      <c r="X41" s="98"/>
      <c r="Y41" s="98"/>
      <c r="Z41" s="98"/>
      <c r="AA41" s="98"/>
      <c r="AB41" s="5"/>
      <c r="AC41" s="47">
        <v>0.0</v>
      </c>
    </row>
    <row r="42" hidden="1">
      <c r="A42" s="76" t="str">
        <f t="array" ref="A42:A43">{"FormulaRow20";(INDEX(CLASSLIST,A3,1))}</f>
        <v>FormulaRow20</v>
      </c>
      <c r="B42" s="77" t="s">
        <v>236</v>
      </c>
      <c r="C42" s="76" t="str">
        <f t="array" ref="C42:C43">{"CLASSTYPE";((INDEX(ALLCLASSDATA,MATCH("ClassType",CLASSFEATUREHEADERS,0),MATCH($A43,CLASSNAMEHEADERS,0))))}</f>
        <v>CLASSTYPE</v>
      </c>
      <c r="D42" s="81" t="str">
        <f t="array" ref="D42:D43">{"DC";"DC"}</f>
        <v>DC</v>
      </c>
      <c r="E42" s="81" t="str">
        <f t="array" ref="E42:E43">{"CLASSDC";"ClassDC"}</f>
        <v>CLASSDC</v>
      </c>
      <c r="F42" s="81" t="str">
        <f t="array" ref="F42:F43">{"CLASSDCINITIAL";((IF(H43=10,"T",(IF(H43=50,"E","")))))}</f>
        <v>CLASSDCINITIAL</v>
      </c>
      <c r="G42" s="81" t="str">
        <f t="array" ref="G42:G43">{"CLASSDCINITIALPTS";((IF("00"=(INDEX(ALLCLASSDATA,MATCH("ClassDCLegendary",CLASSFEATUREHEADERS,0),MATCH($A43,CLASSNAMEHEADERS,0))),(INDEX(ALLCLASSDATA,MATCH("ClassDCLegendary",CLASSFEATUREHEADERS,0),MATCH(($A43 &amp; "Points"),CLASSNAMEHEADERS,0))),(IF("00"=(INDEX(ALLCLASSDATA,MATCH("ClassDCMaster",CLASSFEATUREHEADERS,0),MATCH($A43,CLASSNAMEHEADERS,0))),(INDEX(ALLCLASSDATA,MATCH("ClassDCMaster",CLASSFEATUREHEADERS,0),MATCH(($A43 &amp; "Points"),CLASSNAMEHEADERS,0))),(IF("00"=(INDEX(ALLCLASSDATA,MATCH("ClassDCExpert",CLASSFEATUREHEADERS,0),MATCH($A43,CLASSNAMEHEADERS,0))),(INDEX(ALLCLASSDATA,MATCH("ClassDCExpert",CLASSFEATUREHEADERS,0),MATCH(($A43 &amp; "Points"),CLASSNAMEHEADERS,0))),(IF("00"=(INDEX(ALLCLASSDATA,MATCH("ClassDCTrained",CLASSFEATUREHEADERS,0),MATCH($A43,CLASSNAMEHEADERS,0))),(INDEX(ALLCLASSDATA,MATCH("ClassDCTrained",CLASSFEATUREHEADERS,0),MATCH(($A43 &amp; "Points"),CLASSNAMEHEADERS,0))),"")))))))))}</f>
        <v>CLASSDCINITIALPTS</v>
      </c>
      <c r="H42" s="81" t="str">
        <f t="array" ref="H42:H43">{"CLASSDCL01";((IF("01"=(INDEX(ALLCLASSDATA,MATCH("ClassDCLegendary",CLASSFEATUREHEADERS,0),MATCH($A43,CLASSNAMEHEADERS,0))),(INDEX(ALLCLASSDATA,MATCH("ClassDCLegendary",CLASSFEATUREHEADERS,0),MATCH(($A43 &amp; "Points"),CLASSNAMEHEADERS,0))),(IF("01"=(INDEX(ALLCLASSDATA,MATCH("ClassDCMaster",CLASSFEATUREHEADERS,0),MATCH($A43,CLASSNAMEHEADERS,0))),(INDEX(ALLCLASSDATA,MATCH("ClassDCMaster",CLASSFEATUREHEADERS,0),MATCH(($A43 &amp; "Points"),CLASSNAMEHEADERS,0))),(IF("01"=(INDEX(ALLCLASSDATA,MATCH("ClassDCExpert",CLASSFEATUREHEADERS,0),MATCH($A43,CLASSNAMEHEADERS,0))),(INDEX(ALLCLASSDATA,MATCH("ClassDCExpert",CLASSFEATUREHEADERS,0),MATCH(($A43 &amp; "Points"),CLASSNAMEHEADERS,0))),(IF("01"=(INDEX(ALLCLASSDATA,MATCH("ClassDCTrained",CLASSFEATUREHEADERS,0),MATCH($A43,CLASSNAMEHEADERS,0))),(INDEX(ALLCLASSDATA,MATCH("ClassDCTrained",CLASSFEATUREHEADERS,0),MATCH(($A43 &amp; "Points"),CLASSNAMEHEADERS,0))),"")))))))))}</f>
        <v>CLASSDCL01</v>
      </c>
      <c r="I42" s="81"/>
      <c r="J42" s="81" t="str">
        <f t="array" ref="J42:J43">{"CLASSDCL03";((IF("03"=(INDEX(ALLCLASSDATA,MATCH("ClassDCLegendary",CLASSFEATUREHEADERS,0),MATCH($A43,CLASSNAMEHEADERS,0))),(INDEX(ALLCLASSDATA,MATCH("ClassDCLegendary",CLASSFEATUREHEADERS,0),MATCH(($A43 &amp; "Points"),CLASSNAMEHEADERS,0))),(IF("03"=(INDEX(ALLCLASSDATA,MATCH("ClassDCMaster",CLASSFEATUREHEADERS,0),MATCH($A43,CLASSNAMEHEADERS,0))),(INDEX(ALLCLASSDATA,MATCH("ClassDCMaster",CLASSFEATUREHEADERS,0),MATCH(($A43 &amp; "Points"),CLASSNAMEHEADERS,0))),(IF("03"=(INDEX(ALLCLASSDATA,MATCH("ClassDCExpert",CLASSFEATUREHEADERS,0),MATCH($A43,CLASSNAMEHEADERS,0))),(INDEX(ALLCLASSDATA,MATCH("ClassDCExpert",CLASSFEATUREHEADERS,0),MATCH(($A43 &amp; "Points"),CLASSNAMEHEADERS,0))),(IF("03"=(INDEX(ALLCLASSDATA,MATCH("ClassDCTrained",CLASSFEATUREHEADERS,0),MATCH($A43,CLASSNAMEHEADERS,0))),(INDEX(ALLCLASSDATA,MATCH("ClassDCTrained",CLASSFEATUREHEADERS,0),MATCH(($A43 &amp; "Points"),CLASSNAMEHEADERS,0))),"")))))))))}</f>
        <v>CLASSDCL03</v>
      </c>
      <c r="K42" s="81"/>
      <c r="L42" s="81" t="str">
        <f t="array" ref="L42:L43">{"CLASSDCL05";((IF("05"=(INDEX(ALLCLASSDATA,MATCH("ClassDCLegendary",CLASSFEATUREHEADERS,0),MATCH($A43,CLASSNAMEHEADERS,0))),(INDEX(ALLCLASSDATA,MATCH("ClassDCLegendary",CLASSFEATUREHEADERS,0),MATCH(($A43 &amp; "Points"),CLASSNAMEHEADERS,0))),(IF("05"=(INDEX(ALLCLASSDATA,MATCH("ClassDCMaster",CLASSFEATUREHEADERS,0),MATCH($A43,CLASSNAMEHEADERS,0))),(INDEX(ALLCLASSDATA,MATCH("ClassDCMaster",CLASSFEATUREHEADERS,0),MATCH(($A43 &amp; "Points"),CLASSNAMEHEADERS,0))),(IF("05"=(INDEX(ALLCLASSDATA,MATCH("ClassDCExpert",CLASSFEATUREHEADERS,0),MATCH($A43,CLASSNAMEHEADERS,0))),(INDEX(ALLCLASSDATA,MATCH("ClassDCExpert",CLASSFEATUREHEADERS,0),MATCH(($A43 &amp; "Points"),CLASSNAMEHEADERS,0))),(IF("05"=(INDEX(ALLCLASSDATA,MATCH("ClassDCTrained",CLASSFEATUREHEADERS,0),MATCH($A43,CLASSNAMEHEADERS,0))),(INDEX(ALLCLASSDATA,MATCH("ClassDCTrained",CLASSFEATUREHEADERS,0),MATCH(($A43 &amp; "Points"),CLASSNAMEHEADERS,0))),"")))))))))}</f>
        <v>CLASSDCL05</v>
      </c>
      <c r="M42" s="81"/>
      <c r="N42" s="81" t="str">
        <f t="array" ref="N42:N43">{"CLASSDCL07";((IF("07"=(INDEX(ALLCLASSDATA,MATCH("ClassDCLegendary",CLASSFEATUREHEADERS,0),MATCH($A43,CLASSNAMEHEADERS,0))),(INDEX(ALLCLASSDATA,MATCH("ClassDCLegendary",CLASSFEATUREHEADERS,0),MATCH(($A43 &amp; "Points"),CLASSNAMEHEADERS,0))),(IF("07"=(INDEX(ALLCLASSDATA,MATCH("ClassDCMaster",CLASSFEATUREHEADERS,0),MATCH($A43,CLASSNAMEHEADERS,0))),(INDEX(ALLCLASSDATA,MATCH("ClassDCMaster",CLASSFEATUREHEADERS,0),MATCH(($A43 &amp; "Points"),CLASSNAMEHEADERS,0))),(IF("07"=(INDEX(ALLCLASSDATA,MATCH("ClassDCExpert",CLASSFEATUREHEADERS,0),MATCH($A43,CLASSNAMEHEADERS,0))),(INDEX(ALLCLASSDATA,MATCH("ClassDCExpert",CLASSFEATUREHEADERS,0),MATCH(($A43 &amp; "Points"),CLASSNAMEHEADERS,0))),(IF("07"=(INDEX(ALLCLASSDATA,MATCH("ClassDCTrained",CLASSFEATUREHEADERS,0),MATCH($A43,CLASSNAMEHEADERS,0))),(INDEX(ALLCLASSDATA,MATCH("ClassDCTrained",CLASSFEATUREHEADERS,0),MATCH(($A43 &amp; "Points"),CLASSNAMEHEADERS,0))),"")))))))))}</f>
        <v>CLASSDCL07</v>
      </c>
      <c r="O42" s="81"/>
      <c r="P42" s="81" t="str">
        <f t="array" ref="P42:P43">{"CLASSDCL09";((IF("09"=(INDEX(ALLCLASSDATA,MATCH("ClassDCLegendary",CLASSFEATUREHEADERS,0),MATCH($A43,CLASSNAMEHEADERS,0))),(INDEX(ALLCLASSDATA,MATCH("ClassDCLegendary",CLASSFEATUREHEADERS,0),MATCH(($A43 &amp; "Points"),CLASSNAMEHEADERS,0))),(IF("09"=(INDEX(ALLCLASSDATA,MATCH("ClassDCMaster",CLASSFEATUREHEADERS,0),MATCH($A43,CLASSNAMEHEADERS,0))),(INDEX(ALLCLASSDATA,MATCH("ClassDCMaster",CLASSFEATUREHEADERS,0),MATCH(($A43 &amp; "Points"),CLASSNAMEHEADERS,0))),(IF("09"=(INDEX(ALLCLASSDATA,MATCH("ClassDCExpert",CLASSFEATUREHEADERS,0),MATCH($A43,CLASSNAMEHEADERS,0))),(INDEX(ALLCLASSDATA,MATCH("ClassDCExpert",CLASSFEATUREHEADERS,0),MATCH(($A43 &amp; "Points"),CLASSNAMEHEADERS,0))),(IF("09"=(INDEX(ALLCLASSDATA,MATCH("ClassDCTrained",CLASSFEATUREHEADERS,0),MATCH($A43,CLASSNAMEHEADERS,0))),(INDEX(ALLCLASSDATA,MATCH("ClassDCTrained",CLASSFEATUREHEADERS,0),MATCH(($A43 &amp; "Points"),CLASSNAMEHEADERS,0))),"")))))))))}</f>
        <v>CLASSDCL09</v>
      </c>
      <c r="Q42" s="81"/>
      <c r="R42" s="81" t="str">
        <f t="array" ref="R42:R43">{"CLASSDCL11";((IF("11"=(INDEX(ALLCLASSDATA,MATCH("ClassDCLegendary",CLASSFEATUREHEADERS,0),MATCH($A43,CLASSNAMEHEADERS,0))),(INDEX(ALLCLASSDATA,MATCH("ClassDCLegendary",CLASSFEATUREHEADERS,0),MATCH(($A43 &amp; "Points"),CLASSNAMEHEADERS,0))),(IF("11"=(INDEX(ALLCLASSDATA,MATCH("ClassDCMaster",CLASSFEATUREHEADERS,0),MATCH($A43,CLASSNAMEHEADERS,0))),(INDEX(ALLCLASSDATA,MATCH("ClassDCMaster",CLASSFEATUREHEADERS,0),MATCH(($A43 &amp; "Points"),CLASSNAMEHEADERS,0))),(IF("11"=(INDEX(ALLCLASSDATA,MATCH("ClassDCExpert",CLASSFEATUREHEADERS,0),MATCH($A43,CLASSNAMEHEADERS,0))),(INDEX(ALLCLASSDATA,MATCH("ClassDCExpert",CLASSFEATUREHEADERS,0),MATCH(($A43 &amp; "Points"),CLASSNAMEHEADERS,0))),(IF("11"=(INDEX(ALLCLASSDATA,MATCH("ClassDCTrained",CLASSFEATUREHEADERS,0),MATCH($A43,CLASSNAMEHEADERS,0))),(INDEX(ALLCLASSDATA,MATCH("ClassDCTrained",CLASSFEATUREHEADERS,0),MATCH(($A43 &amp; "Points"),CLASSNAMEHEADERS,0))),"")))))))))}</f>
        <v>CLASSDCL11</v>
      </c>
      <c r="S42" s="81"/>
      <c r="T42" s="81" t="str">
        <f t="array" ref="T42:T43">{"CLASSDCL13";((IF("13"=(INDEX(ALLCLASSDATA,MATCH("ClassDCLegendary",CLASSFEATUREHEADERS,0),MATCH($A43,CLASSNAMEHEADERS,0))),(INDEX(ALLCLASSDATA,MATCH("ClassDCLegendary",CLASSFEATUREHEADERS,0),MATCH(($A43 &amp; "Points"),CLASSNAMEHEADERS,0))),(IF("13"=(INDEX(ALLCLASSDATA,MATCH("ClassDCMaster",CLASSFEATUREHEADERS,0),MATCH($A43,CLASSNAMEHEADERS,0))),(INDEX(ALLCLASSDATA,MATCH("ClassDCMaster",CLASSFEATUREHEADERS,0),MATCH(($A43 &amp; "Points"),CLASSNAMEHEADERS,0))),(IF("13"=(INDEX(ALLCLASSDATA,MATCH("ClassDCExpert",CLASSFEATUREHEADERS,0),MATCH($A43,CLASSNAMEHEADERS,0))),(INDEX(ALLCLASSDATA,MATCH("ClassDCExpert",CLASSFEATUREHEADERS,0),MATCH(($A43 &amp; "Points"),CLASSNAMEHEADERS,0))),(IF("13"=(INDEX(ALLCLASSDATA,MATCH("ClassDCTrained",CLASSFEATUREHEADERS,0),MATCH($A43,CLASSNAMEHEADERS,0))),(INDEX(ALLCLASSDATA,MATCH("ClassDCTrained",CLASSFEATUREHEADERS,0),MATCH(($A43 &amp; "Points"),CLASSNAMEHEADERS,0))),"")))))))))}</f>
        <v>CLASSDCL13</v>
      </c>
      <c r="U42" s="81"/>
      <c r="V42" s="81" t="str">
        <f t="array" ref="V42:V43">{"CLASSDCL15";((IF("15"=(INDEX(ALLCLASSDATA,MATCH("ClassDCLegendary",CLASSFEATUREHEADERS,0),MATCH($A43,CLASSNAMEHEADERS,0))),(INDEX(ALLCLASSDATA,MATCH("ClassDCLegendary",CLASSFEATUREHEADERS,0),MATCH(($A43 &amp; "Points"),CLASSNAMEHEADERS,0))),(IF("15"=(INDEX(ALLCLASSDATA,MATCH("ClassDCMaster",CLASSFEATUREHEADERS,0),MATCH($A43,CLASSNAMEHEADERS,0))),(INDEX(ALLCLASSDATA,MATCH("ClassDCMaster",CLASSFEATUREHEADERS,0),MATCH(($A43 &amp; "Points"),CLASSNAMEHEADERS,0))),(IF("15"=(INDEX(ALLCLASSDATA,MATCH("ClassDCExpert",CLASSFEATUREHEADERS,0),MATCH($A43,CLASSNAMEHEADERS,0))),(INDEX(ALLCLASSDATA,MATCH("ClassDCExpert",CLASSFEATUREHEADERS,0),MATCH(($A43 &amp; "Points"),CLASSNAMEHEADERS,0))),(IF("15"=(INDEX(ALLCLASSDATA,MATCH("ClassDCTrained",CLASSFEATUREHEADERS,0),MATCH($A43,CLASSNAMEHEADERS,0))),(INDEX(ALLCLASSDATA,MATCH("ClassDCTrained",CLASSFEATUREHEADERS,0),MATCH(($A43 &amp; "Points"),CLASSNAMEHEADERS,0))),"")))))))))}</f>
        <v>CLASSDCL15</v>
      </c>
      <c r="W42" s="81"/>
      <c r="X42" s="81" t="str">
        <f t="array" ref="X42:X43">{"CLASSDCL17";((IF("17"=(INDEX(ALLCLASSDATA,MATCH("ClassDCLegendary",CLASSFEATUREHEADERS,0),MATCH($A43,CLASSNAMEHEADERS,0))),(INDEX(ALLCLASSDATA,MATCH("ClassDCLegendary",CLASSFEATUREHEADERS,0),MATCH(($A43 &amp; "Points"),CLASSNAMEHEADERS,0))),(IF("17"=(INDEX(ALLCLASSDATA,MATCH("ClassDCMaster",CLASSFEATUREHEADERS,0),MATCH($A43,CLASSNAMEHEADERS,0))),(INDEX(ALLCLASSDATA,MATCH("ClassDCMaster",CLASSFEATUREHEADERS,0),MATCH(($A43 &amp; "Points"),CLASSNAMEHEADERS,0))),(IF("17"=(INDEX(ALLCLASSDATA,MATCH("ClassDCExpert",CLASSFEATUREHEADERS,0),MATCH($A43,CLASSNAMEHEADERS,0))),(INDEX(ALLCLASSDATA,MATCH("ClassDCExpert",CLASSFEATUREHEADERS,0),MATCH(($A43 &amp; "Points"),CLASSNAMEHEADERS,0))),(IF("17"=(INDEX(ALLCLASSDATA,MATCH("ClassDCTrained",CLASSFEATUREHEADERS,0),MATCH($A43,CLASSNAMEHEADERS,0))),(INDEX(ALLCLASSDATA,MATCH("ClassDCTrained",CLASSFEATUREHEADERS,0),MATCH(($A43 &amp; "Points"),CLASSNAMEHEADERS,0))),"")))))))))}</f>
        <v>CLASSDCL17</v>
      </c>
      <c r="Y42" s="81"/>
      <c r="Z42" s="81" t="str">
        <f t="array" ref="Z42:Z43">{"CLASSDCL19";((IF("19"=(INDEX(ALLCLASSDATA,MATCH("ClassDCLegendary",CLASSFEATUREHEADERS,0),MATCH($A43,CLASSNAMEHEADERS,0))),(INDEX(ALLCLASSDATA,MATCH("ClassDCLegendary",CLASSFEATUREHEADERS,0),MATCH(($A43 &amp; "Points"),CLASSNAMEHEADERS,0))),(IF("19"=(INDEX(ALLCLASSDATA,MATCH("ClassDCMaster",CLASSFEATUREHEADERS,0),MATCH($A43,CLASSNAMEHEADERS,0))),(INDEX(ALLCLASSDATA,MATCH("ClassDCMaster",CLASSFEATUREHEADERS,0),MATCH(($A43 &amp; "Points"),CLASSNAMEHEADERS,0))),(IF("19"=(INDEX(ALLCLASSDATA,MATCH("ClassDCExpert",CLASSFEATUREHEADERS,0),MATCH($A43,CLASSNAMEHEADERS,0))),(INDEX(ALLCLASSDATA,MATCH("ClassDCExpert",CLASSFEATUREHEADERS,0),MATCH(($A43 &amp; "Points"),CLASSNAMEHEADERS,0))),(IF("19"=(INDEX(ALLCLASSDATA,MATCH("ClassDCTrained",CLASSFEATUREHEADERS,0),MATCH($A43,CLASSNAMEHEADERS,0))),(INDEX(ALLCLASSDATA,MATCH("ClassDCTrained",CLASSFEATUREHEADERS,0),MATCH(($A43 &amp; "Points"),CLASSNAMEHEADERS,0))),"")))))))))}</f>
        <v>CLASSDCL19</v>
      </c>
      <c r="AA42" s="81"/>
      <c r="AB42" s="76" t="str">
        <f t="array" ref="AB42:AB43">{"CLASSDC TOTAL";(IF(COUNTBLANK(G43:AA43)=17,"L",(IF(COUNTBLANK(G43:AA43)=18,"M",(IF(COUNTBLANK(G43:AA43)=19,"E",(IF(COUNTBLANK(G43:AA43)=20,"T",""))))))))}</f>
        <v>CLASSDC TOTAL</v>
      </c>
      <c r="AC42" s="76" t="str">
        <f t="array" ref="AC42:AC43">{"CLASSDC TOTAL";(sum(G43:AA43))}</f>
        <v>CLASSDC TOTAL</v>
      </c>
    </row>
    <row r="43">
      <c r="A43" s="48" t="s">
        <v>65</v>
      </c>
      <c r="B43" s="48"/>
      <c r="C43" s="48" t="s">
        <v>406</v>
      </c>
      <c r="D43" s="48" t="s">
        <v>1465</v>
      </c>
      <c r="E43" s="48" t="s">
        <v>1466</v>
      </c>
      <c r="F43" s="5" t="s">
        <v>435</v>
      </c>
      <c r="G43" s="47" t="s">
        <v>603</v>
      </c>
      <c r="H43" s="5">
        <v>10.0</v>
      </c>
      <c r="I43" s="5"/>
      <c r="J43" s="5" t="s">
        <v>603</v>
      </c>
      <c r="K43" s="5"/>
      <c r="L43" s="5" t="s">
        <v>603</v>
      </c>
      <c r="M43" s="5"/>
      <c r="N43" s="5" t="s">
        <v>603</v>
      </c>
      <c r="O43" s="5"/>
      <c r="P43" s="5">
        <v>50.0</v>
      </c>
      <c r="Q43" s="5"/>
      <c r="R43" s="5" t="s">
        <v>603</v>
      </c>
      <c r="S43" s="5"/>
      <c r="T43" s="5" t="s">
        <v>603</v>
      </c>
      <c r="U43" s="5"/>
      <c r="V43" s="5" t="s">
        <v>603</v>
      </c>
      <c r="W43" s="5"/>
      <c r="X43" s="5">
        <v>110.0</v>
      </c>
      <c r="Y43" s="5"/>
      <c r="Z43" s="5" t="s">
        <v>603</v>
      </c>
      <c r="AA43" s="5"/>
      <c r="AB43" s="5" t="s">
        <v>437</v>
      </c>
      <c r="AC43" s="47">
        <v>170.0</v>
      </c>
    </row>
    <row r="44" hidden="1">
      <c r="A44" s="222" t="str">
        <f t="array" ref="A44:A45">{"FormulaRow21";(INDEX(CLASSLIST,A3,1))}</f>
        <v>FormulaRow21</v>
      </c>
      <c r="B44" s="77" t="s">
        <v>236</v>
      </c>
      <c r="C44" s="222" t="str">
        <f t="array" ref="C44:C45">{"CLASSTYPE";((INDEX(ALLCLASSDATA,MATCH("ClassType",CLASSFEATUREHEADERS,0),MATCH($A45,CLASSNAMEHEADERS,0))))}</f>
        <v>CLASSTYPE</v>
      </c>
      <c r="D44" s="222" t="str">
        <f t="array" ref="D44:D45">{"DC";"DC"}</f>
        <v>DC</v>
      </c>
      <c r="E44" s="222" t="str">
        <f t="array" ref="E44:E45">{"SPELLDC";"SpellDC"}</f>
        <v>SPELLDC</v>
      </c>
      <c r="F44" s="223" t="str">
        <f t="array" ref="F44:F45">{"SPELLDCINITIAL";((IF(H45=10,"T",(IF(H45=50,"E","")))))}</f>
        <v>SPELLDCINITIAL</v>
      </c>
      <c r="G44" s="223" t="str">
        <f t="array" ref="G44:G45">{"SPELLDCINITIALPTS";((IF("00"=(INDEX(ALLCLASSDATA,MATCH("SpellDCLegendary",CLASSFEATUREHEADERS,0),MATCH($A45,CLASSNAMEHEADERS,0))),(INDEX(ALLCLASSDATA,MATCH("SpellDCLegendary",CLASSFEATUREHEADERS,0),MATCH(($A45 &amp; "Points"),CLASSNAMEHEADERS,0))),(IF("00"=(INDEX(ALLCLASSDATA,MATCH("SpellDCMaster",CLASSFEATUREHEADERS,0),MATCH($A45,CLASSNAMEHEADERS,0))),(INDEX(ALLCLASSDATA,MATCH("SpellDCMaster",CLASSFEATUREHEADERS,0),MATCH(($A45 &amp; "Points"),CLASSNAMEHEADERS,0))),(IF("00"=(INDEX(ALLCLASSDATA,MATCH("SpellDCExpert",CLASSFEATUREHEADERS,0),MATCH($A45,CLASSNAMEHEADERS,0))),(INDEX(ALLCLASSDATA,MATCH("SpellDCExpert",CLASSFEATUREHEADERS,0),MATCH(($A45 &amp; "Points"),CLASSNAMEHEADERS,0))),(IF("00"=(INDEX(ALLCLASSDATA,MATCH("SpellDCTrained",CLASSFEATUREHEADERS,0),MATCH($A45,CLASSNAMEHEADERS,0))),(INDEX(ALLCLASSDATA,MATCH("SpellDCTrained",CLASSFEATUREHEADERS,0),MATCH(($A45 &amp; "Points"),CLASSNAMEHEADERS,0))),"")))))))))}</f>
        <v>SPELLDCINITIALPTS</v>
      </c>
      <c r="H44" s="223" t="str">
        <f t="array" ref="H44:H45">{"SPELLDCL01";((IF("01"=(INDEX(ALLCLASSDATA,MATCH("SpellDCLegendary",CLASSFEATUREHEADERS,0),MATCH($A45,CLASSNAMEHEADERS,0))),(INDEX(ALLCLASSDATA,MATCH("SpellDCLegendary",CLASSFEATUREHEADERS,0),MATCH(($A45 &amp; "Points"),CLASSNAMEHEADERS,0))),(IF("01"=(INDEX(ALLCLASSDATA,MATCH("SpellDCMaster",CLASSFEATUREHEADERS,0),MATCH($A45,CLASSNAMEHEADERS,0))),(INDEX(ALLCLASSDATA,MATCH("SpellDCMaster",CLASSFEATUREHEADERS,0),MATCH(($A45 &amp; "Points"),CLASSNAMEHEADERS,0))),(IF("01"=(INDEX(ALLCLASSDATA,MATCH("SpellDCExpert",CLASSFEATUREHEADERS,0),MATCH($A45,CLASSNAMEHEADERS,0))),(INDEX(ALLCLASSDATA,MATCH("SpellDCExpert",CLASSFEATUREHEADERS,0),MATCH(($A45 &amp; "Points"),CLASSNAMEHEADERS,0))),(IF("01"=(INDEX(ALLCLASSDATA,MATCH("SpellDCTrained",CLASSFEATUREHEADERS,0),MATCH($A45,CLASSNAMEHEADERS,0))),(INDEX(ALLCLASSDATA,MATCH("SpellDCTrained",CLASSFEATUREHEADERS,0),MATCH(($A45 &amp; "Points"),CLASSNAMEHEADERS,0))),"")))))))))}</f>
        <v>SPELLDCL01</v>
      </c>
      <c r="I44" s="223"/>
      <c r="J44" s="223" t="str">
        <f t="array" ref="J44:J45">{"SPELLDCL03";((IF("03"=(INDEX(ALLCLASSDATA,MATCH("SpellDCLegendary",CLASSFEATUREHEADERS,0),MATCH($A45,CLASSNAMEHEADERS,0))),(INDEX(ALLCLASSDATA,MATCH("SpellDCLegendary",CLASSFEATUREHEADERS,0),MATCH(($A45 &amp; "Points"),CLASSNAMEHEADERS,0))),(IF("03"=(INDEX(ALLCLASSDATA,MATCH("SpellDCMaster",CLASSFEATUREHEADERS,0),MATCH($A45,CLASSNAMEHEADERS,0))),(INDEX(ALLCLASSDATA,MATCH("SpellDCMaster",CLASSFEATUREHEADERS,0),MATCH(($A45 &amp; "Points"),CLASSNAMEHEADERS,0))),(IF("03"=(INDEX(ALLCLASSDATA,MATCH("SpellDCExpert",CLASSFEATUREHEADERS,0),MATCH($A45,CLASSNAMEHEADERS,0))),(INDEX(ALLCLASSDATA,MATCH("SpellDCExpert",CLASSFEATUREHEADERS,0),MATCH(($A45 &amp; "Points"),CLASSNAMEHEADERS,0))),(IF("03"=(INDEX(ALLCLASSDATA,MATCH("SpellDCTrained",CLASSFEATUREHEADERS,0),MATCH($A45,CLASSNAMEHEADERS,0))),(INDEX(ALLCLASSDATA,MATCH("SpellDCTrained",CLASSFEATUREHEADERS,0),MATCH(($A45 &amp; "Points"),CLASSNAMEHEADERS,0))),"")))))))))}</f>
        <v>SPELLDCL03</v>
      </c>
      <c r="K44" s="223"/>
      <c r="L44" s="223" t="str">
        <f t="array" ref="L44:L45">{"SPELLDCL05";((IF("05"=(INDEX(ALLCLASSDATA,MATCH("SpellDCLegendary",CLASSFEATUREHEADERS,0),MATCH($A45,CLASSNAMEHEADERS,0))),(INDEX(ALLCLASSDATA,MATCH("SpellDCLegendary",CLASSFEATUREHEADERS,0),MATCH(($A45 &amp; "Points"),CLASSNAMEHEADERS,0))),(IF("05"=(INDEX(ALLCLASSDATA,MATCH("SpellDCMaster",CLASSFEATUREHEADERS,0),MATCH($A45,CLASSNAMEHEADERS,0))),(INDEX(ALLCLASSDATA,MATCH("SpellDCMaster",CLASSFEATUREHEADERS,0),MATCH(($A45 &amp; "Points"),CLASSNAMEHEADERS,0))),(IF("05"=(INDEX(ALLCLASSDATA,MATCH("SpellDCExpert",CLASSFEATUREHEADERS,0),MATCH($A45,CLASSNAMEHEADERS,0))),(INDEX(ALLCLASSDATA,MATCH("SpellDCExpert",CLASSFEATUREHEADERS,0),MATCH(($A45 &amp; "Points"),CLASSNAMEHEADERS,0))),(IF("05"=(INDEX(ALLCLASSDATA,MATCH("SpellDCTrained",CLASSFEATUREHEADERS,0),MATCH($A45,CLASSNAMEHEADERS,0))),(INDEX(ALLCLASSDATA,MATCH("SpellDCTrained",CLASSFEATUREHEADERS,0),MATCH(($A45 &amp; "Points"),CLASSNAMEHEADERS,0))),"")))))))))}</f>
        <v>SPELLDCL05</v>
      </c>
      <c r="M44" s="223"/>
      <c r="N44" s="223" t="str">
        <f t="array" ref="N44:N45">{"SPELLDCL07";((IF("07"=(INDEX(ALLCLASSDATA,MATCH("SpellDCLegendary",CLASSFEATUREHEADERS,0),MATCH($A45,CLASSNAMEHEADERS,0))),(INDEX(ALLCLASSDATA,MATCH("SpellDCLegendary",CLASSFEATUREHEADERS,0),MATCH(($A45 &amp; "Points"),CLASSNAMEHEADERS,0))),(IF("07"=(INDEX(ALLCLASSDATA,MATCH("SpellDCMaster",CLASSFEATUREHEADERS,0),MATCH($A45,CLASSNAMEHEADERS,0))),(INDEX(ALLCLASSDATA,MATCH("SpellDCMaster",CLASSFEATUREHEADERS,0),MATCH(($A45 &amp; "Points"),CLASSNAMEHEADERS,0))),(IF("07"=(INDEX(ALLCLASSDATA,MATCH("SpellDCExpert",CLASSFEATUREHEADERS,0),MATCH($A45,CLASSNAMEHEADERS,0))),(INDEX(ALLCLASSDATA,MATCH("SpellDCExpert",CLASSFEATUREHEADERS,0),MATCH(($A45 &amp; "Points"),CLASSNAMEHEADERS,0))),(IF("07"=(INDEX(ALLCLASSDATA,MATCH("SpellDCTrained",CLASSFEATUREHEADERS,0),MATCH($A45,CLASSNAMEHEADERS,0))),(INDEX(ALLCLASSDATA,MATCH("SpellDCTrained",CLASSFEATUREHEADERS,0),MATCH(($A45 &amp; "Points"),CLASSNAMEHEADERS,0))),"")))))))))}</f>
        <v>SPELLDCL07</v>
      </c>
      <c r="O44" s="223"/>
      <c r="P44" s="223" t="str">
        <f t="array" ref="P44:P45">{"SPELLDCL09";((IF("09"=(INDEX(ALLCLASSDATA,MATCH("SpellDCLegendary",CLASSFEATUREHEADERS,0),MATCH($A45,CLASSNAMEHEADERS,0))),(INDEX(ALLCLASSDATA,MATCH("SpellDCLegendary",CLASSFEATUREHEADERS,0),MATCH(($A45 &amp; "Points"),CLASSNAMEHEADERS,0))),(IF("09"=(INDEX(ALLCLASSDATA,MATCH("SpellDCMaster",CLASSFEATUREHEADERS,0),MATCH($A45,CLASSNAMEHEADERS,0))),(INDEX(ALLCLASSDATA,MATCH("SpellDCMaster",CLASSFEATUREHEADERS,0),MATCH(($A45 &amp; "Points"),CLASSNAMEHEADERS,0))),(IF("09"=(INDEX(ALLCLASSDATA,MATCH("SpellDCExpert",CLASSFEATUREHEADERS,0),MATCH($A45,CLASSNAMEHEADERS,0))),(INDEX(ALLCLASSDATA,MATCH("SpellDCExpert",CLASSFEATUREHEADERS,0),MATCH(($A45 &amp; "Points"),CLASSNAMEHEADERS,0))),(IF("09"=(INDEX(ALLCLASSDATA,MATCH("SpellDCTrained",CLASSFEATUREHEADERS,0),MATCH($A45,CLASSNAMEHEADERS,0))),(INDEX(ALLCLASSDATA,MATCH("SpellDCTrained",CLASSFEATUREHEADERS,0),MATCH(($A45 &amp; "Points"),CLASSNAMEHEADERS,0))),"")))))))))}</f>
        <v>SPELLDCL09</v>
      </c>
      <c r="Q44" s="223"/>
      <c r="R44" s="223" t="str">
        <f t="array" ref="R44:R45">{"SPELLDCL11";((IF("11"=(INDEX(ALLCLASSDATA,MATCH("SpellDCLegendary",CLASSFEATUREHEADERS,0),MATCH($A45,CLASSNAMEHEADERS,0))),(INDEX(ALLCLASSDATA,MATCH("SpellDCLegendary",CLASSFEATUREHEADERS,0),MATCH(($A45 &amp; "Points"),CLASSNAMEHEADERS,0))),(IF("11"=(INDEX(ALLCLASSDATA,MATCH("SpellDCMaster",CLASSFEATUREHEADERS,0),MATCH($A45,CLASSNAMEHEADERS,0))),(INDEX(ALLCLASSDATA,MATCH("SpellDCMaster",CLASSFEATUREHEADERS,0),MATCH(($A45 &amp; "Points"),CLASSNAMEHEADERS,0))),(IF("11"=(INDEX(ALLCLASSDATA,MATCH("SpellDCExpert",CLASSFEATUREHEADERS,0),MATCH($A45,CLASSNAMEHEADERS,0))),(INDEX(ALLCLASSDATA,MATCH("SpellDCExpert",CLASSFEATUREHEADERS,0),MATCH(($A45 &amp; "Points"),CLASSNAMEHEADERS,0))),(IF("11"=(INDEX(ALLCLASSDATA,MATCH("SpellDCTrained",CLASSFEATUREHEADERS,0),MATCH($A45,CLASSNAMEHEADERS,0))),(INDEX(ALLCLASSDATA,MATCH("SpellDCTrained",CLASSFEATUREHEADERS,0),MATCH(($A45 &amp; "Points"),CLASSNAMEHEADERS,0))),"")))))))))}</f>
        <v>SPELLDCL11</v>
      </c>
      <c r="S44" s="223"/>
      <c r="T44" s="223" t="str">
        <f t="array" ref="T44:T45">{"SPELLDCL13";((IF("13"=(INDEX(ALLCLASSDATA,MATCH("SpellDCLegendary",CLASSFEATUREHEADERS,0),MATCH($A45,CLASSNAMEHEADERS,0))),(INDEX(ALLCLASSDATA,MATCH("SpellDCLegendary",CLASSFEATUREHEADERS,0),MATCH(($A45 &amp; "Points"),CLASSNAMEHEADERS,0))),(IF("13"=(INDEX(ALLCLASSDATA,MATCH("SpellDCMaster",CLASSFEATUREHEADERS,0),MATCH($A45,CLASSNAMEHEADERS,0))),(INDEX(ALLCLASSDATA,MATCH("SpellDCMaster",CLASSFEATUREHEADERS,0),MATCH(($A45 &amp; "Points"),CLASSNAMEHEADERS,0))),(IF("13"=(INDEX(ALLCLASSDATA,MATCH("SpellDCExpert",CLASSFEATUREHEADERS,0),MATCH($A45,CLASSNAMEHEADERS,0))),(INDEX(ALLCLASSDATA,MATCH("SpellDCExpert",CLASSFEATUREHEADERS,0),MATCH(($A45 &amp; "Points"),CLASSNAMEHEADERS,0))),(IF("13"=(INDEX(ALLCLASSDATA,MATCH("SpellDCTrained",CLASSFEATUREHEADERS,0),MATCH($A45,CLASSNAMEHEADERS,0))),(INDEX(ALLCLASSDATA,MATCH("SpellDCTrained",CLASSFEATUREHEADERS,0),MATCH(($A45 &amp; "Points"),CLASSNAMEHEADERS,0))),"")))))))))}</f>
        <v>SPELLDCL13</v>
      </c>
      <c r="U44" s="223"/>
      <c r="V44" s="223" t="str">
        <f t="array" ref="V44:V45">{"SPELLDCL15";((IF("15"=(INDEX(ALLCLASSDATA,MATCH("SpellDCLegendary",CLASSFEATUREHEADERS,0),MATCH($A45,CLASSNAMEHEADERS,0))),(INDEX(ALLCLASSDATA,MATCH("SpellDCLegendary",CLASSFEATUREHEADERS,0),MATCH(($A45 &amp; "Points"),CLASSNAMEHEADERS,0))),(IF("15"=(INDEX(ALLCLASSDATA,MATCH("SpellDCMaster",CLASSFEATUREHEADERS,0),MATCH($A45,CLASSNAMEHEADERS,0))),(INDEX(ALLCLASSDATA,MATCH("SpellDCMaster",CLASSFEATUREHEADERS,0),MATCH(($A45 &amp; "Points"),CLASSNAMEHEADERS,0))),(IF("15"=(INDEX(ALLCLASSDATA,MATCH("SpellDCExpert",CLASSFEATUREHEADERS,0),MATCH($A45,CLASSNAMEHEADERS,0))),(INDEX(ALLCLASSDATA,MATCH("SpellDCExpert",CLASSFEATUREHEADERS,0),MATCH(($A45 &amp; "Points"),CLASSNAMEHEADERS,0))),(IF("15"=(INDEX(ALLCLASSDATA,MATCH("SpellDCTrained",CLASSFEATUREHEADERS,0),MATCH($A45,CLASSNAMEHEADERS,0))),(INDEX(ALLCLASSDATA,MATCH("SpellDCTrained",CLASSFEATUREHEADERS,0),MATCH(($A45 &amp; "Points"),CLASSNAMEHEADERS,0))),"")))))))))}</f>
        <v>SPELLDCL15</v>
      </c>
      <c r="W44" s="223"/>
      <c r="X44" s="223" t="str">
        <f t="array" ref="X44:X45">{"SPELLDCL17";((IF("17"=(INDEX(ALLCLASSDATA,MATCH("SpellDCLegendary",CLASSFEATUREHEADERS,0),MATCH($A45,CLASSNAMEHEADERS,0))),(INDEX(ALLCLASSDATA,MATCH("SpellDCLegendary",CLASSFEATUREHEADERS,0),MATCH(($A45 &amp; "Points"),CLASSNAMEHEADERS,0))),(IF("17"=(INDEX(ALLCLASSDATA,MATCH("SpellDCMaster",CLASSFEATUREHEADERS,0),MATCH($A45,CLASSNAMEHEADERS,0))),(INDEX(ALLCLASSDATA,MATCH("SpellDCMaster",CLASSFEATUREHEADERS,0),MATCH(($A45 &amp; "Points"),CLASSNAMEHEADERS,0))),(IF("17"=(INDEX(ALLCLASSDATA,MATCH("SpellDCExpert",CLASSFEATUREHEADERS,0),MATCH($A45,CLASSNAMEHEADERS,0))),(INDEX(ALLCLASSDATA,MATCH("SpellDCExpert",CLASSFEATUREHEADERS,0),MATCH(($A45 &amp; "Points"),CLASSNAMEHEADERS,0))),(IF("17"=(INDEX(ALLCLASSDATA,MATCH("SpellDCTrained",CLASSFEATUREHEADERS,0),MATCH($A45,CLASSNAMEHEADERS,0))),(INDEX(ALLCLASSDATA,MATCH("SpellDCTrained",CLASSFEATUREHEADERS,0),MATCH(($A45 &amp; "Points"),CLASSNAMEHEADERS,0))),"")))))))))}</f>
        <v>SPELLDCL17</v>
      </c>
      <c r="Y44" s="223"/>
      <c r="Z44" s="223" t="str">
        <f t="array" ref="Z44:Z45">{"SPELLDCL19";((IF("19"=(INDEX(ALLCLASSDATA,MATCH("SpellDCLegendary",CLASSFEATUREHEADERS,0),MATCH($A45,CLASSNAMEHEADERS,0))),(INDEX(ALLCLASSDATA,MATCH("SpellDCLegendary",CLASSFEATUREHEADERS,0),MATCH(($A45 &amp; "Points"),CLASSNAMEHEADERS,0))),(IF("19"=(INDEX(ALLCLASSDATA,MATCH("SpellDCMaster",CLASSFEATUREHEADERS,0),MATCH($A45,CLASSNAMEHEADERS,0))),(INDEX(ALLCLASSDATA,MATCH("SpellDCMaster",CLASSFEATUREHEADERS,0),MATCH(($A45 &amp; "Points"),CLASSNAMEHEADERS,0))),(IF("19"=(INDEX(ALLCLASSDATA,MATCH("SpellDCExpert",CLASSFEATUREHEADERS,0),MATCH($A45,CLASSNAMEHEADERS,0))),(INDEX(ALLCLASSDATA,MATCH("SpellDCExpert",CLASSFEATUREHEADERS,0),MATCH(($A45 &amp; "Points"),CLASSNAMEHEADERS,0))),(IF("19"=(INDEX(ALLCLASSDATA,MATCH("SpellDCTrained",CLASSFEATUREHEADERS,0),MATCH($A45,CLASSNAMEHEADERS,0))),(INDEX(ALLCLASSDATA,MATCH("SpellDCTrained",CLASSFEATUREHEADERS,0),MATCH(($A45 &amp; "Points"),CLASSNAMEHEADERS,0))),"")))))))))}</f>
        <v>SPELLDCL19</v>
      </c>
      <c r="AA44" s="223"/>
      <c r="AB44" s="76" t="str">
        <f t="array" ref="AB44:AB45">{"SPELLDC TOTAL";(IF(COUNTBLANK(G45:AA45)=17,"L",(IF(COUNTBLANK(G45:AA45)=18,"M",(IF(COUNTBLANK(G45:AA45)=19,"E",(IF(COUNTBLANK(G45:AA45)=20,"T",""))))))))}</f>
        <v>SPELLDC TOTAL</v>
      </c>
      <c r="AC44" s="76" t="str">
        <f t="array" ref="AC44:AC45">{"SPELLDC TOTAL";(sum(G45:AA45))}</f>
        <v>SPELLDC TOTAL</v>
      </c>
    </row>
    <row r="45">
      <c r="A45" s="48" t="s">
        <v>65</v>
      </c>
      <c r="B45" s="48"/>
      <c r="C45" s="48" t="s">
        <v>406</v>
      </c>
      <c r="D45" s="97" t="s">
        <v>1465</v>
      </c>
      <c r="E45" s="97" t="s">
        <v>1485</v>
      </c>
      <c r="F45" s="98" t="s">
        <v>603</v>
      </c>
      <c r="G45" s="132" t="s">
        <v>603</v>
      </c>
      <c r="H45" s="98" t="s">
        <v>603</v>
      </c>
      <c r="I45" s="98"/>
      <c r="J45" s="98" t="s">
        <v>603</v>
      </c>
      <c r="K45" s="98"/>
      <c r="L45" s="98" t="s">
        <v>603</v>
      </c>
      <c r="M45" s="98"/>
      <c r="N45" s="98" t="s">
        <v>603</v>
      </c>
      <c r="O45" s="98"/>
      <c r="P45" s="98" t="s">
        <v>603</v>
      </c>
      <c r="Q45" s="98"/>
      <c r="R45" s="98" t="s">
        <v>603</v>
      </c>
      <c r="S45" s="98"/>
      <c r="T45" s="98" t="s">
        <v>603</v>
      </c>
      <c r="U45" s="98"/>
      <c r="V45" s="98" t="s">
        <v>603</v>
      </c>
      <c r="W45" s="98"/>
      <c r="X45" s="98" t="s">
        <v>603</v>
      </c>
      <c r="Y45" s="98"/>
      <c r="Z45" s="98" t="s">
        <v>603</v>
      </c>
      <c r="AA45" s="98"/>
      <c r="AB45" s="5" t="s">
        <v>603</v>
      </c>
      <c r="AC45" s="47">
        <v>0.0</v>
      </c>
    </row>
    <row r="46" hidden="1">
      <c r="A46" s="222" t="str">
        <f t="array" ref="A46:A47">{"FormulaRow22";(INDEX(CLASSLIST,A3,1))}</f>
        <v>FormulaRow22</v>
      </c>
      <c r="B46" s="77" t="s">
        <v>236</v>
      </c>
      <c r="C46" s="222" t="str">
        <f t="array" ref="C46:C47">{"CLASSTYPE";((INDEX(ALLCLASSDATA,MATCH("ClassType",CLASSFEATUREHEADERS,0),MATCH($A47,CLASSNAMEHEADERS,0))))}</f>
        <v>CLASSTYPE</v>
      </c>
      <c r="D46" s="228" t="str">
        <f t="shared" ref="D46:E46" si="1">{"PERCEPTION";"Perception"}</f>
        <v>PERCEPTION</v>
      </c>
      <c r="E46" s="228" t="str">
        <f t="shared" si="1"/>
        <v>PERCEPTION</v>
      </c>
      <c r="F46" s="230" t="str">
        <f t="array" ref="F46:F47">{"PERCEPTIONINITIAL";((IF(H47=10,"T",(IF(H47=50,"E","")))))}</f>
        <v>PERCEPTIONINITIAL</v>
      </c>
      <c r="G46" s="230" t="str">
        <f t="array" ref="G46:G47">{"PERCEPTIONINITIALPTS";((IF("00"=(INDEX(ALLCLASSDATA,MATCH("PerceptionLegendary",CLASSFEATUREHEADERS,0),MATCH($A47,CLASSNAMEHEADERS,0))),(INDEX(ALLCLASSDATA,MATCH("PerceptionLegendary",CLASSFEATUREHEADERS,0),MATCH(($A47 &amp; "Points"),CLASSNAMEHEADERS,0))),(IF("00"=(INDEX(ALLCLASSDATA,MATCH("PerceptionMaster",CLASSFEATUREHEADERS,0),MATCH($A47,CLASSNAMEHEADERS,0))),(INDEX(ALLCLASSDATA,MATCH("PerceptionMaster",CLASSFEATUREHEADERS,0),MATCH(($A47 &amp; "Points"),CLASSNAMEHEADERS,0))),(IF("00"=(INDEX(ALLCLASSDATA,MATCH("PerceptionExpert",CLASSFEATUREHEADERS,0),MATCH($A47,CLASSNAMEHEADERS,0))),(INDEX(ALLCLASSDATA,MATCH("PerceptionExpert",CLASSFEATUREHEADERS,0),MATCH(($A47 &amp; "Points"),CLASSNAMEHEADERS,0))),(IF("00"=(INDEX(ALLCLASSDATA,MATCH("PerceptionTrained",CLASSFEATUREHEADERS,0),MATCH($A47,CLASSNAMEHEADERS,0))),(INDEX(ALLCLASSDATA,MATCH("PerceptionTrained",CLASSFEATUREHEADERS,0),MATCH(($A47 &amp; "Points"),CLASSNAMEHEADERS,0))),"")))))))))}</f>
        <v>PERCEPTIONINITIALPTS</v>
      </c>
      <c r="H46" s="230" t="str">
        <f t="array" ref="H46:H47">{"PERCEPTIONL01";((IF("01"=(INDEX(ALLCLASSDATA,MATCH("PerceptionLegendary",CLASSFEATUREHEADERS,0),MATCH($A47,CLASSNAMEHEADERS,0))),(INDEX(ALLCLASSDATA,MATCH("PerceptionLegendary",CLASSFEATUREHEADERS,0),MATCH(($A47 &amp; "Points"),CLASSNAMEHEADERS,0))),(IF("01"=(INDEX(ALLCLASSDATA,MATCH("PerceptionMaster",CLASSFEATUREHEADERS,0),MATCH($A47,CLASSNAMEHEADERS,0))),(INDEX(ALLCLASSDATA,MATCH("PerceptionMaster",CLASSFEATUREHEADERS,0),MATCH(($A47 &amp; "Points"),CLASSNAMEHEADERS,0))),(IF("01"=(INDEX(ALLCLASSDATA,MATCH("PerceptionExpert",CLASSFEATUREHEADERS,0),MATCH($A47,CLASSNAMEHEADERS,0))),(INDEX(ALLCLASSDATA,MATCH("PerceptionExpert",CLASSFEATUREHEADERS,0),MATCH(($A47 &amp; "Points"),CLASSNAMEHEADERS,0))),(IF("01"=(INDEX(ALLCLASSDATA,MATCH("PerceptionTrained",CLASSFEATUREHEADERS,0),MATCH($A47,CLASSNAMEHEADERS,0))),(INDEX(ALLCLASSDATA,MATCH("PerceptionTrained",CLASSFEATUREHEADERS,0),MATCH(($A47 &amp; "Points"),CLASSNAMEHEADERS,0))),"")))))))))}</f>
        <v>PERCEPTIONL01</v>
      </c>
      <c r="I46" s="230"/>
      <c r="J46" s="230" t="str">
        <f t="array" ref="J46:J47">{"PERCEPTIONL03";((IF("03"=(INDEX(ALLCLASSDATA,MATCH("PerceptionLegendary",CLASSFEATUREHEADERS,0),MATCH($A47,CLASSNAMEHEADERS,0))),(INDEX(ALLCLASSDATA,MATCH("PerceptionLegendary",CLASSFEATUREHEADERS,0),MATCH(($A47 &amp; "Points"),CLASSNAMEHEADERS,0))),(IF("03"=(INDEX(ALLCLASSDATA,MATCH("PerceptionMaster",CLASSFEATUREHEADERS,0),MATCH($A47,CLASSNAMEHEADERS,0))),(INDEX(ALLCLASSDATA,MATCH("PerceptionMaster",CLASSFEATUREHEADERS,0),MATCH(($A47 &amp; "Points"),CLASSNAMEHEADERS,0))),(IF("03"=(INDEX(ALLCLASSDATA,MATCH("PerceptionExpert",CLASSFEATUREHEADERS,0),MATCH($A47,CLASSNAMEHEADERS,0))),(INDEX(ALLCLASSDATA,MATCH("PerceptionExpert",CLASSFEATUREHEADERS,0),MATCH(($A47 &amp; "Points"),CLASSNAMEHEADERS,0))),(IF("03"=(INDEX(ALLCLASSDATA,MATCH("PerceptionTrained",CLASSFEATUREHEADERS,0),MATCH($A47,CLASSNAMEHEADERS,0))),(INDEX(ALLCLASSDATA,MATCH("PerceptionTrained",CLASSFEATUREHEADERS,0),MATCH(($A47 &amp; "Points"),CLASSNAMEHEADERS,0))),"")))))))))}</f>
        <v>PERCEPTIONL03</v>
      </c>
      <c r="K46" s="230"/>
      <c r="L46" s="230" t="str">
        <f t="array" ref="L46:L47">{"PERCEPTIONL05";((IF("05"=(INDEX(ALLCLASSDATA,MATCH("PerceptionLegendary",CLASSFEATUREHEADERS,0),MATCH($A47,CLASSNAMEHEADERS,0))),(INDEX(ALLCLASSDATA,MATCH("PerceptionLegendary",CLASSFEATUREHEADERS,0),MATCH(($A47 &amp; "Points"),CLASSNAMEHEADERS,0))),(IF("05"=(INDEX(ALLCLASSDATA,MATCH("PerceptionMaster",CLASSFEATUREHEADERS,0),MATCH($A47,CLASSNAMEHEADERS,0))),(INDEX(ALLCLASSDATA,MATCH("PerceptionMaster",CLASSFEATUREHEADERS,0),MATCH(($A47 &amp; "Points"),CLASSNAMEHEADERS,0))),(IF("05"=(INDEX(ALLCLASSDATA,MATCH("PerceptionExpert",CLASSFEATUREHEADERS,0),MATCH($A47,CLASSNAMEHEADERS,0))),(INDEX(ALLCLASSDATA,MATCH("PerceptionExpert",CLASSFEATUREHEADERS,0),MATCH(($A47 &amp; "Points"),CLASSNAMEHEADERS,0))),(IF("05"=(INDEX(ALLCLASSDATA,MATCH("PerceptionTrained",CLASSFEATUREHEADERS,0),MATCH($A47,CLASSNAMEHEADERS,0))),(INDEX(ALLCLASSDATA,MATCH("PerceptionTrained",CLASSFEATUREHEADERS,0),MATCH(($A47 &amp; "Points"),CLASSNAMEHEADERS,0))),"")))))))))}</f>
        <v>PERCEPTIONL05</v>
      </c>
      <c r="M46" s="230"/>
      <c r="N46" s="230" t="str">
        <f t="array" ref="N46:N47">{"PERCEPTIONL07";((IF("07"=(INDEX(ALLCLASSDATA,MATCH("PerceptionLegendary",CLASSFEATUREHEADERS,0),MATCH($A47,CLASSNAMEHEADERS,0))),(INDEX(ALLCLASSDATA,MATCH("PerceptionLegendary",CLASSFEATUREHEADERS,0),MATCH(($A47 &amp; "Points"),CLASSNAMEHEADERS,0))),(IF("07"=(INDEX(ALLCLASSDATA,MATCH("PerceptionMaster",CLASSFEATUREHEADERS,0),MATCH($A47,CLASSNAMEHEADERS,0))),(INDEX(ALLCLASSDATA,MATCH("PerceptionMaster",CLASSFEATUREHEADERS,0),MATCH(($A47 &amp; "Points"),CLASSNAMEHEADERS,0))),(IF("07"=(INDEX(ALLCLASSDATA,MATCH("PerceptionExpert",CLASSFEATUREHEADERS,0),MATCH($A47,CLASSNAMEHEADERS,0))),(INDEX(ALLCLASSDATA,MATCH("PerceptionExpert",CLASSFEATUREHEADERS,0),MATCH(($A47 &amp; "Points"),CLASSNAMEHEADERS,0))),(IF("07"=(INDEX(ALLCLASSDATA,MATCH("PerceptionTrained",CLASSFEATUREHEADERS,0),MATCH($A47,CLASSNAMEHEADERS,0))),(INDEX(ALLCLASSDATA,MATCH("PerceptionTrained",CLASSFEATUREHEADERS,0),MATCH(($A47 &amp; "Points"),CLASSNAMEHEADERS,0))),"")))))))))}</f>
        <v>PERCEPTIONL07</v>
      </c>
      <c r="O46" s="230"/>
      <c r="P46" s="230" t="str">
        <f t="array" ref="P46:P47">{"PERCEPTIONL09";((IF("09"=(INDEX(ALLCLASSDATA,MATCH("PerceptionLegendary",CLASSFEATUREHEADERS,0),MATCH($A47,CLASSNAMEHEADERS,0))),(INDEX(ALLCLASSDATA,MATCH("PerceptionLegendary",CLASSFEATUREHEADERS,0),MATCH(($A47 &amp; "Points"),CLASSNAMEHEADERS,0))),(IF("09"=(INDEX(ALLCLASSDATA,MATCH("PerceptionMaster",CLASSFEATUREHEADERS,0),MATCH($A47,CLASSNAMEHEADERS,0))),(INDEX(ALLCLASSDATA,MATCH("PerceptionMaster",CLASSFEATUREHEADERS,0),MATCH(($A47 &amp; "Points"),CLASSNAMEHEADERS,0))),(IF("09"=(INDEX(ALLCLASSDATA,MATCH("PerceptionExpert",CLASSFEATUREHEADERS,0),MATCH($A47,CLASSNAMEHEADERS,0))),(INDEX(ALLCLASSDATA,MATCH("PerceptionExpert",CLASSFEATUREHEADERS,0),MATCH(($A47 &amp; "Points"),CLASSNAMEHEADERS,0))),(IF("09"=(INDEX(ALLCLASSDATA,MATCH("PerceptionTrained",CLASSFEATUREHEADERS,0),MATCH($A47,CLASSNAMEHEADERS,0))),(INDEX(ALLCLASSDATA,MATCH("PerceptionTrained",CLASSFEATUREHEADERS,0),MATCH(($A47 &amp; "Points"),CLASSNAMEHEADERS,0))),"")))))))))}</f>
        <v>PERCEPTIONL09</v>
      </c>
      <c r="Q46" s="230"/>
      <c r="R46" s="230" t="str">
        <f t="array" ref="R46:R47">{"PERCEPTIONL11";((IF("11"=(INDEX(ALLCLASSDATA,MATCH("PerceptionLegendary",CLASSFEATUREHEADERS,0),MATCH($A47,CLASSNAMEHEADERS,0))),(INDEX(ALLCLASSDATA,MATCH("PerceptionLegendary",CLASSFEATUREHEADERS,0),MATCH(($A47 &amp; "Points"),CLASSNAMEHEADERS,0))),(IF("11"=(INDEX(ALLCLASSDATA,MATCH("PerceptionMaster",CLASSFEATUREHEADERS,0),MATCH($A47,CLASSNAMEHEADERS,0))),(INDEX(ALLCLASSDATA,MATCH("PerceptionMaster",CLASSFEATUREHEADERS,0),MATCH(($A47 &amp; "Points"),CLASSNAMEHEADERS,0))),(IF("11"=(INDEX(ALLCLASSDATA,MATCH("PerceptionExpert",CLASSFEATUREHEADERS,0),MATCH($A47,CLASSNAMEHEADERS,0))),(INDEX(ALLCLASSDATA,MATCH("PerceptionExpert",CLASSFEATUREHEADERS,0),MATCH(($A47 &amp; "Points"),CLASSNAMEHEADERS,0))),(IF("11"=(INDEX(ALLCLASSDATA,MATCH("PerceptionTrained",CLASSFEATUREHEADERS,0),MATCH($A47,CLASSNAMEHEADERS,0))),(INDEX(ALLCLASSDATA,MATCH("PerceptionTrained",CLASSFEATUREHEADERS,0),MATCH(($A47 &amp; "Points"),CLASSNAMEHEADERS,0))),"")))))))))}</f>
        <v>PERCEPTIONL11</v>
      </c>
      <c r="S46" s="230"/>
      <c r="T46" s="230" t="str">
        <f t="array" ref="T46:T47">{"PERCEPTIONL13";((IF("13"=(INDEX(ALLCLASSDATA,MATCH("PerceptionLegendary",CLASSFEATUREHEADERS,0),MATCH($A47,CLASSNAMEHEADERS,0))),(INDEX(ALLCLASSDATA,MATCH("PerceptionLegendary",CLASSFEATUREHEADERS,0),MATCH(($A47 &amp; "Points"),CLASSNAMEHEADERS,0))),(IF("13"=(INDEX(ALLCLASSDATA,MATCH("PerceptionMaster",CLASSFEATUREHEADERS,0),MATCH($A47,CLASSNAMEHEADERS,0))),(INDEX(ALLCLASSDATA,MATCH("PerceptionMaster",CLASSFEATUREHEADERS,0),MATCH(($A47 &amp; "Points"),CLASSNAMEHEADERS,0))),(IF("13"=(INDEX(ALLCLASSDATA,MATCH("PerceptionExpert",CLASSFEATUREHEADERS,0),MATCH($A47,CLASSNAMEHEADERS,0))),(INDEX(ALLCLASSDATA,MATCH("PerceptionExpert",CLASSFEATUREHEADERS,0),MATCH(($A47 &amp; "Points"),CLASSNAMEHEADERS,0))),(IF("13"=(INDEX(ALLCLASSDATA,MATCH("PerceptionTrained",CLASSFEATUREHEADERS,0),MATCH($A47,CLASSNAMEHEADERS,0))),(INDEX(ALLCLASSDATA,MATCH("PerceptionTrained",CLASSFEATUREHEADERS,0),MATCH(($A47 &amp; "Points"),CLASSNAMEHEADERS,0))),"")))))))))}</f>
        <v>PERCEPTIONL13</v>
      </c>
      <c r="U46" s="230"/>
      <c r="V46" s="230" t="str">
        <f t="array" ref="V46:V47">{"PERCEPTIONL15";((IF("15"=(INDEX(ALLCLASSDATA,MATCH("PerceptionLegendary",CLASSFEATUREHEADERS,0),MATCH($A47,CLASSNAMEHEADERS,0))),(INDEX(ALLCLASSDATA,MATCH("PerceptionLegendary",CLASSFEATUREHEADERS,0),MATCH(($A47 &amp; "Points"),CLASSNAMEHEADERS,0))),(IF("15"=(INDEX(ALLCLASSDATA,MATCH("PerceptionMaster",CLASSFEATUREHEADERS,0),MATCH($A47,CLASSNAMEHEADERS,0))),(INDEX(ALLCLASSDATA,MATCH("PerceptionMaster",CLASSFEATUREHEADERS,0),MATCH(($A47 &amp; "Points"),CLASSNAMEHEADERS,0))),(IF("15"=(INDEX(ALLCLASSDATA,MATCH("PerceptionExpert",CLASSFEATUREHEADERS,0),MATCH($A47,CLASSNAMEHEADERS,0))),(INDEX(ALLCLASSDATA,MATCH("PerceptionExpert",CLASSFEATUREHEADERS,0),MATCH(($A47 &amp; "Points"),CLASSNAMEHEADERS,0))),(IF("15"=(INDEX(ALLCLASSDATA,MATCH("PerceptionTrained",CLASSFEATUREHEADERS,0),MATCH($A47,CLASSNAMEHEADERS,0))),(INDEX(ALLCLASSDATA,MATCH("PerceptionTrained",CLASSFEATUREHEADERS,0),MATCH(($A47 &amp; "Points"),CLASSNAMEHEADERS,0))),"")))))))))}</f>
        <v>PERCEPTIONL15</v>
      </c>
      <c r="W46" s="230"/>
      <c r="X46" s="230" t="str">
        <f t="array" ref="X46:X47">{"PERCEPTIONL17";((IF("17"=(INDEX(ALLCLASSDATA,MATCH("PerceptionLegendary",CLASSFEATUREHEADERS,0),MATCH($A47,CLASSNAMEHEADERS,0))),(INDEX(ALLCLASSDATA,MATCH("PerceptionLegendary",CLASSFEATUREHEADERS,0),MATCH(($A47 &amp; "Points"),CLASSNAMEHEADERS,0))),(IF("17"=(INDEX(ALLCLASSDATA,MATCH("PerceptionMaster",CLASSFEATUREHEADERS,0),MATCH($A47,CLASSNAMEHEADERS,0))),(INDEX(ALLCLASSDATA,MATCH("PerceptionMaster",CLASSFEATUREHEADERS,0),MATCH(($A47 &amp; "Points"),CLASSNAMEHEADERS,0))),(IF("17"=(INDEX(ALLCLASSDATA,MATCH("PerceptionExpert",CLASSFEATUREHEADERS,0),MATCH($A47,CLASSNAMEHEADERS,0))),(INDEX(ALLCLASSDATA,MATCH("PerceptionExpert",CLASSFEATUREHEADERS,0),MATCH(($A47 &amp; "Points"),CLASSNAMEHEADERS,0))),(IF("17"=(INDEX(ALLCLASSDATA,MATCH("PerceptionTrained",CLASSFEATUREHEADERS,0),MATCH($A47,CLASSNAMEHEADERS,0))),(INDEX(ALLCLASSDATA,MATCH("PerceptionTrained",CLASSFEATUREHEADERS,0),MATCH(($A47 &amp; "Points"),CLASSNAMEHEADERS,0))),"")))))))))}</f>
        <v>PERCEPTIONL17</v>
      </c>
      <c r="Y46" s="230"/>
      <c r="Z46" s="230" t="str">
        <f t="array" ref="Z46:Z47">{"PERCEPTIONL19";((IF("19"=(INDEX(ALLCLASSDATA,MATCH("PerceptionLegendary",CLASSFEATUREHEADERS,0),MATCH($A47,CLASSNAMEHEADERS,0))),(INDEX(ALLCLASSDATA,MATCH("PerceptionLegendary",CLASSFEATUREHEADERS,0),MATCH(($A47 &amp; "Points"),CLASSNAMEHEADERS,0))),(IF("19"=(INDEX(ALLCLASSDATA,MATCH("PerceptionMaster",CLASSFEATUREHEADERS,0),MATCH($A47,CLASSNAMEHEADERS,0))),(INDEX(ALLCLASSDATA,MATCH("PerceptionMaster",CLASSFEATUREHEADERS,0),MATCH(($A47 &amp; "Points"),CLASSNAMEHEADERS,0))),(IF("19"=(INDEX(ALLCLASSDATA,MATCH("PerceptionExpert",CLASSFEATUREHEADERS,0),MATCH($A47,CLASSNAMEHEADERS,0))),(INDEX(ALLCLASSDATA,MATCH("PerceptionExpert",CLASSFEATUREHEADERS,0),MATCH(($A47 &amp; "Points"),CLASSNAMEHEADERS,0))),(IF("19"=(INDEX(ALLCLASSDATA,MATCH("PerceptionTrained",CLASSFEATUREHEADERS,0),MATCH($A47,CLASSNAMEHEADERS,0))),(INDEX(ALLCLASSDATA,MATCH("PerceptionTrained",CLASSFEATUREHEADERS,0),MATCH(($A47 &amp; "Points"),CLASSNAMEHEADERS,0))),"")))))))))}</f>
        <v>PERCEPTIONL19</v>
      </c>
      <c r="AA46" s="230"/>
      <c r="AB46" s="76" t="str">
        <f t="array" ref="AB46:AB47">{"PERCEPTION TOTAL";(IF(COUNTBLANK(G47:AA47)=17,"L",(IF(COUNTBLANK(G47:AA47)=18,"M",(IF(COUNTBLANK(G47:AA47)=19,"E",(IF(COUNTBLANK(G47:AA47)=20,"T",""))))))))}</f>
        <v>PERCEPTION TOTAL</v>
      </c>
      <c r="AC46" s="76" t="str">
        <f t="array" ref="AC46:AC47">{"PERCEPTION TOTAL";(sum(G47:AA47))}</f>
        <v>PERCEPTION TOTAL</v>
      </c>
    </row>
    <row r="47">
      <c r="A47" s="48" t="s">
        <v>65</v>
      </c>
      <c r="B47" s="48"/>
      <c r="C47" s="48" t="s">
        <v>406</v>
      </c>
      <c r="D47" s="97" t="s">
        <v>637</v>
      </c>
      <c r="E47" s="97" t="s">
        <v>637</v>
      </c>
      <c r="F47" s="98" t="s">
        <v>435</v>
      </c>
      <c r="G47" s="132" t="s">
        <v>603</v>
      </c>
      <c r="H47" s="98">
        <v>10.0</v>
      </c>
      <c r="I47" s="98"/>
      <c r="J47" s="98" t="s">
        <v>603</v>
      </c>
      <c r="K47" s="98"/>
      <c r="L47" s="98" t="s">
        <v>603</v>
      </c>
      <c r="M47" s="98"/>
      <c r="N47" s="98" t="s">
        <v>603</v>
      </c>
      <c r="O47" s="98"/>
      <c r="P47" s="98" t="s">
        <v>603</v>
      </c>
      <c r="Q47" s="98"/>
      <c r="R47" s="98">
        <v>50.0</v>
      </c>
      <c r="S47" s="98"/>
      <c r="T47" s="98" t="s">
        <v>603</v>
      </c>
      <c r="U47" s="98"/>
      <c r="V47" s="98" t="s">
        <v>603</v>
      </c>
      <c r="W47" s="98"/>
      <c r="X47" s="98" t="s">
        <v>603</v>
      </c>
      <c r="Y47" s="98"/>
      <c r="Z47" s="98" t="s">
        <v>603</v>
      </c>
      <c r="AA47" s="98"/>
      <c r="AB47" s="5" t="s">
        <v>436</v>
      </c>
      <c r="AC47" s="47">
        <v>60.0</v>
      </c>
    </row>
    <row r="48" hidden="1">
      <c r="A48" s="222" t="str">
        <f t="array" ref="A48:A49">{"FormulaRow23";(INDEX(CLASSLIST,A3,1))}</f>
        <v>FormulaRow23</v>
      </c>
      <c r="B48" s="77" t="s">
        <v>236</v>
      </c>
      <c r="C48" s="222" t="str">
        <f t="array" ref="C48:C49">{"CLASSTYPE";((INDEX(ALLCLASSDATA,MATCH("ClassType",CLASSFEATUREHEADERS,0),MATCH($A49,CLASSNAMEHEADERS,0))))}</f>
        <v>CLASSTYPE</v>
      </c>
      <c r="D48" s="228" t="str">
        <f t="array" ref="D48:D49">{"SAVES";"Saves"}</f>
        <v>SAVES</v>
      </c>
      <c r="E48" s="228" t="str">
        <f t="array" ref="E48:E49">{"FORTITUDESAVE";"FortitudeSave"}</f>
        <v>FORTITUDESAVE</v>
      </c>
      <c r="F48" s="230" t="str">
        <f t="array" ref="F48:F49">{"FORTITUDEINITIAL";((IF(H49=10,"T",(IF(H49=50,"E","")))))}</f>
        <v>FORTITUDEINITIAL</v>
      </c>
      <c r="G48" s="230" t="str">
        <f t="array" ref="G48:G49">{"FORTITUDEINITIALPTS";((IF("00"=(INDEX(ALLCLASSDATA,MATCH("FortitudeSaveLegendary",CLASSFEATUREHEADERS,0),MATCH($A49,CLASSNAMEHEADERS,0))),(INDEX(ALLCLASSDATA,MATCH("FortitudeSaveLegendary",CLASSFEATUREHEADERS,0),MATCH(($A49 &amp; "Points"),CLASSNAMEHEADERS,0))),(IF("00"=(INDEX(ALLCLASSDATA,MATCH("FortitudeSaveMaster",CLASSFEATUREHEADERS,0),MATCH($A49,CLASSNAMEHEADERS,0))),(INDEX(ALLCLASSDATA,MATCH("FortitudeSaveMaster",CLASSFEATUREHEADERS,0),MATCH(($A49 &amp; "Points"),CLASSNAMEHEADERS,0))),(IF("00"=(INDEX(ALLCLASSDATA,MATCH("FortitudeSaveExpert",CLASSFEATUREHEADERS,0),MATCH($A49,CLASSNAMEHEADERS,0))),(INDEX(ALLCLASSDATA,MATCH("FortitudeSaveExpert",CLASSFEATUREHEADERS,0),MATCH(($A49 &amp; "Points"),CLASSNAMEHEADERS,0))),(IF("00"=(INDEX(ALLCLASSDATA,MATCH("FortitudeSaveTrained",CLASSFEATUREHEADERS,0),MATCH($A49,CLASSNAMEHEADERS,0))),(INDEX(ALLCLASSDATA,MATCH("FortitudeSaveTrained",CLASSFEATUREHEADERS,0),MATCH(($A49 &amp; "Points"),CLASSNAMEHEADERS,0))),"")))))))))}</f>
        <v>FORTITUDEINITIALPTS</v>
      </c>
      <c r="H48" s="230" t="str">
        <f t="array" ref="H48:H49">{"FORTITUDEL01";((IF("01"=(INDEX(ALLCLASSDATA,MATCH("FortitudeSaveLegendary",CLASSFEATUREHEADERS,0),MATCH($A49,CLASSNAMEHEADERS,0))),(INDEX(ALLCLASSDATA,MATCH("FortitudeSaveLegendary",CLASSFEATUREHEADERS,0),MATCH(($A49 &amp; "Points"),CLASSNAMEHEADERS,0))),(IF("01"=(INDEX(ALLCLASSDATA,MATCH("FortitudeSaveMaster",CLASSFEATUREHEADERS,0),MATCH($A49,CLASSNAMEHEADERS,0))),(INDEX(ALLCLASSDATA,MATCH("FortitudeSaveMaster",CLASSFEATUREHEADERS,0),MATCH(($A49 &amp; "Points"),CLASSNAMEHEADERS,0))),(IF("01"=(INDEX(ALLCLASSDATA,MATCH("FortitudeSaveExpert",CLASSFEATUREHEADERS,0),MATCH($A49,CLASSNAMEHEADERS,0))),(INDEX(ALLCLASSDATA,MATCH("FortitudeSaveExpert",CLASSFEATUREHEADERS,0),MATCH(($A49 &amp; "Points"),CLASSNAMEHEADERS,0))),(IF("01"=(INDEX(ALLCLASSDATA,MATCH("FortitudeSaveTrained",CLASSFEATUREHEADERS,0),MATCH($A49,CLASSNAMEHEADERS,0))),(INDEX(ALLCLASSDATA,MATCH("FortitudeSaveTrained",CLASSFEATUREHEADERS,0),MATCH(($A49 &amp; "Points"),CLASSNAMEHEADERS,0))),"")))))))))}</f>
        <v>FORTITUDEL01</v>
      </c>
      <c r="I48" s="230"/>
      <c r="J48" s="230" t="str">
        <f t="array" ref="J48:J49">{"FORTITUDEL03";((IF("03"=(INDEX(ALLCLASSDATA,MATCH("FortitudeSaveLegendary",CLASSFEATUREHEADERS,0),MATCH($A49,CLASSNAMEHEADERS,0))),(INDEX(ALLCLASSDATA,MATCH("FortitudeSaveLegendary",CLASSFEATUREHEADERS,0),MATCH(($A49 &amp; "Points"),CLASSNAMEHEADERS,0))),(IF("03"=(INDEX(ALLCLASSDATA,MATCH("FortitudeSaveMaster",CLASSFEATUREHEADERS,0),MATCH($A49,CLASSNAMEHEADERS,0))),(INDEX(ALLCLASSDATA,MATCH("FortitudeSaveMaster",CLASSFEATUREHEADERS,0),MATCH(($A49 &amp; "Points"),CLASSNAMEHEADERS,0))),(IF("03"=(INDEX(ALLCLASSDATA,MATCH("FortitudeSaveExpert",CLASSFEATUREHEADERS,0),MATCH($A49,CLASSNAMEHEADERS,0))),(INDEX(ALLCLASSDATA,MATCH("FortitudeSaveExpert",CLASSFEATUREHEADERS,0),MATCH(($A49 &amp; "Points"),CLASSNAMEHEADERS,0))),(IF("03"=(INDEX(ALLCLASSDATA,MATCH("FortitudeSaveTrained",CLASSFEATUREHEADERS,0),MATCH($A49,CLASSNAMEHEADERS,0))),(INDEX(ALLCLASSDATA,MATCH("FortitudeSaveTrained",CLASSFEATUREHEADERS,0),MATCH(($A49 &amp; "Points"),CLASSNAMEHEADERS,0))),"")))))))))}</f>
        <v>FORTITUDEL03</v>
      </c>
      <c r="K48" s="230"/>
      <c r="L48" s="230" t="str">
        <f t="array" ref="L48:L49">{"FORTITUDEL05";((IF("05"=(INDEX(ALLCLASSDATA,MATCH("FortitudeSaveLegendary",CLASSFEATUREHEADERS,0),MATCH($A49,CLASSNAMEHEADERS,0))),(INDEX(ALLCLASSDATA,MATCH("FortitudeSaveLegendary",CLASSFEATUREHEADERS,0),MATCH(($A49 &amp; "Points"),CLASSNAMEHEADERS,0))),(IF("05"=(INDEX(ALLCLASSDATA,MATCH("FortitudeSaveMaster",CLASSFEATUREHEADERS,0),MATCH($A49,CLASSNAMEHEADERS,0))),(INDEX(ALLCLASSDATA,MATCH("FortitudeSaveMaster",CLASSFEATUREHEADERS,0),MATCH(($A49 &amp; "Points"),CLASSNAMEHEADERS,0))),(IF("05"=(INDEX(ALLCLASSDATA,MATCH("FortitudeSaveExpert",CLASSFEATUREHEADERS,0),MATCH($A49,CLASSNAMEHEADERS,0))),(INDEX(ALLCLASSDATA,MATCH("FortitudeSaveExpert",CLASSFEATUREHEADERS,0),MATCH(($A49 &amp; "Points"),CLASSNAMEHEADERS,0))),(IF("05"=(INDEX(ALLCLASSDATA,MATCH("FortitudeSaveTrained",CLASSFEATUREHEADERS,0),MATCH($A49,CLASSNAMEHEADERS,0))),(INDEX(ALLCLASSDATA,MATCH("FortitudeSaveTrained",CLASSFEATUREHEADERS,0),MATCH(($A49 &amp; "Points"),CLASSNAMEHEADERS,0))),"")))))))))}</f>
        <v>FORTITUDEL05</v>
      </c>
      <c r="M48" s="230"/>
      <c r="N48" s="230" t="str">
        <f t="array" ref="N48:N49">{"FORTITUDEL07";((IF("07"=(INDEX(ALLCLASSDATA,MATCH("FortitudeSaveLegendary",CLASSFEATUREHEADERS,0),MATCH($A49,CLASSNAMEHEADERS,0))),(INDEX(ALLCLASSDATA,MATCH("FortitudeSaveLegendary",CLASSFEATUREHEADERS,0),MATCH(($A49 &amp; "Points"),CLASSNAMEHEADERS,0))),(IF("07"=(INDEX(ALLCLASSDATA,MATCH("FortitudeSaveMaster",CLASSFEATUREHEADERS,0),MATCH($A49,CLASSNAMEHEADERS,0))),(INDEX(ALLCLASSDATA,MATCH("FortitudeSaveMaster",CLASSFEATUREHEADERS,0),MATCH(($A49 &amp; "Points"),CLASSNAMEHEADERS,0))),(IF("07"=(INDEX(ALLCLASSDATA,MATCH("FortitudeSaveExpert",CLASSFEATUREHEADERS,0),MATCH($A49,CLASSNAMEHEADERS,0))),(INDEX(ALLCLASSDATA,MATCH("FortitudeSaveExpert",CLASSFEATUREHEADERS,0),MATCH(($A49 &amp; "Points"),CLASSNAMEHEADERS,0))),(IF("07"=(INDEX(ALLCLASSDATA,MATCH("FortitudeSaveTrained",CLASSFEATUREHEADERS,0),MATCH($A49,CLASSNAMEHEADERS,0))),(INDEX(ALLCLASSDATA,MATCH("FortitudeSaveTrained",CLASSFEATUREHEADERS,0),MATCH(($A49 &amp; "Points"),CLASSNAMEHEADERS,0))),"")))))))))}</f>
        <v>FORTITUDEL07</v>
      </c>
      <c r="O48" s="230"/>
      <c r="P48" s="230" t="str">
        <f t="array" ref="P48:P49">{"FORTITUDEL09";((IF("09"=(INDEX(ALLCLASSDATA,MATCH("FortitudeSaveLegendary",CLASSFEATUREHEADERS,0),MATCH($A49,CLASSNAMEHEADERS,0))),(INDEX(ALLCLASSDATA,MATCH("FortitudeSaveLegendary",CLASSFEATUREHEADERS,0),MATCH(($A49 &amp; "Points"),CLASSNAMEHEADERS,0))),(IF("09"=(INDEX(ALLCLASSDATA,MATCH("FortitudeSaveMaster",CLASSFEATUREHEADERS,0),MATCH($A49,CLASSNAMEHEADERS,0))),(INDEX(ALLCLASSDATA,MATCH("FortitudeSaveMaster",CLASSFEATUREHEADERS,0),MATCH(($A49 &amp; "Points"),CLASSNAMEHEADERS,0))),(IF("09"=(INDEX(ALLCLASSDATA,MATCH("FortitudeSaveExpert",CLASSFEATUREHEADERS,0),MATCH($A49,CLASSNAMEHEADERS,0))),(INDEX(ALLCLASSDATA,MATCH("FortitudeSaveExpert",CLASSFEATUREHEADERS,0),MATCH(($A49 &amp; "Points"),CLASSNAMEHEADERS,0))),(IF("09"=(INDEX(ALLCLASSDATA,MATCH("FortitudeSaveTrained",CLASSFEATUREHEADERS,0),MATCH($A49,CLASSNAMEHEADERS,0))),(INDEX(ALLCLASSDATA,MATCH("FortitudeSaveTrained",CLASSFEATUREHEADERS,0),MATCH(($A49 &amp; "Points"),CLASSNAMEHEADERS,0))),"")))))))))}</f>
        <v>FORTITUDEL09</v>
      </c>
      <c r="Q48" s="230"/>
      <c r="R48" s="230" t="str">
        <f t="array" ref="R48:R49">{"FORTITUDEL11";((IF("11"=(INDEX(ALLCLASSDATA,MATCH("FortitudeSaveLegendary",CLASSFEATUREHEADERS,0),MATCH($A49,CLASSNAMEHEADERS,0))),(INDEX(ALLCLASSDATA,MATCH("FortitudeSaveLegendary",CLASSFEATUREHEADERS,0),MATCH(($A49 &amp; "Points"),CLASSNAMEHEADERS,0))),(IF("11"=(INDEX(ALLCLASSDATA,MATCH("FortitudeSaveMaster",CLASSFEATUREHEADERS,0),MATCH($A49,CLASSNAMEHEADERS,0))),(INDEX(ALLCLASSDATA,MATCH("FortitudeSaveMaster",CLASSFEATUREHEADERS,0),MATCH(($A49 &amp; "Points"),CLASSNAMEHEADERS,0))),(IF("11"=(INDEX(ALLCLASSDATA,MATCH("FortitudeSaveExpert",CLASSFEATUREHEADERS,0),MATCH($A49,CLASSNAMEHEADERS,0))),(INDEX(ALLCLASSDATA,MATCH("FortitudeSaveExpert",CLASSFEATUREHEADERS,0),MATCH(($A49 &amp; "Points"),CLASSNAMEHEADERS,0))),(IF("11"=(INDEX(ALLCLASSDATA,MATCH("FortitudeSaveTrained",CLASSFEATUREHEADERS,0),MATCH($A49,CLASSNAMEHEADERS,0))),(INDEX(ALLCLASSDATA,MATCH("FortitudeSaveTrained",CLASSFEATUREHEADERS,0),MATCH(($A49 &amp; "Points"),CLASSNAMEHEADERS,0))),"")))))))))}</f>
        <v>FORTITUDEL11</v>
      </c>
      <c r="S48" s="230"/>
      <c r="T48" s="230" t="str">
        <f t="array" ref="T48:T49">{"FORTITUDEL13";((IF("13"=(INDEX(ALLCLASSDATA,MATCH("FortitudeSaveLegendary",CLASSFEATUREHEADERS,0),MATCH($A49,CLASSNAMEHEADERS,0))),(INDEX(ALLCLASSDATA,MATCH("FortitudeSaveLegendary",CLASSFEATUREHEADERS,0),MATCH(($A49 &amp; "Points"),CLASSNAMEHEADERS,0))),(IF("13"=(INDEX(ALLCLASSDATA,MATCH("FortitudeSaveMaster",CLASSFEATUREHEADERS,0),MATCH($A49,CLASSNAMEHEADERS,0))),(INDEX(ALLCLASSDATA,MATCH("FortitudeSaveMaster",CLASSFEATUREHEADERS,0),MATCH(($A49 &amp; "Points"),CLASSNAMEHEADERS,0))),(IF("13"=(INDEX(ALLCLASSDATA,MATCH("FortitudeSaveExpert",CLASSFEATUREHEADERS,0),MATCH($A49,CLASSNAMEHEADERS,0))),(INDEX(ALLCLASSDATA,MATCH("FortitudeSaveExpert",CLASSFEATUREHEADERS,0),MATCH(($A49 &amp; "Points"),CLASSNAMEHEADERS,0))),(IF("13"=(INDEX(ALLCLASSDATA,MATCH("FortitudeSaveTrained",CLASSFEATUREHEADERS,0),MATCH($A49,CLASSNAMEHEADERS,0))),(INDEX(ALLCLASSDATA,MATCH("FortitudeSaveTrained",CLASSFEATUREHEADERS,0),MATCH(($A49 &amp; "Points"),CLASSNAMEHEADERS,0))),"")))))))))}</f>
        <v>FORTITUDEL13</v>
      </c>
      <c r="U48" s="230"/>
      <c r="V48" s="230" t="str">
        <f t="array" ref="V48:V49">{"FORTITUDEL15";((IF("15"=(INDEX(ALLCLASSDATA,MATCH("FortitudeSaveLegendary",CLASSFEATUREHEADERS,0),MATCH($A49,CLASSNAMEHEADERS,0))),(INDEX(ALLCLASSDATA,MATCH("FortitudeSaveLegendary",CLASSFEATUREHEADERS,0),MATCH(($A49 &amp; "Points"),CLASSNAMEHEADERS,0))),(IF("15"=(INDEX(ALLCLASSDATA,MATCH("FortitudeSaveMaster",CLASSFEATUREHEADERS,0),MATCH($A49,CLASSNAMEHEADERS,0))),(INDEX(ALLCLASSDATA,MATCH("FortitudeSaveMaster",CLASSFEATUREHEADERS,0),MATCH(($A49 &amp; "Points"),CLASSNAMEHEADERS,0))),(IF("15"=(INDEX(ALLCLASSDATA,MATCH("FortitudeSaveExpert",CLASSFEATUREHEADERS,0),MATCH($A49,CLASSNAMEHEADERS,0))),(INDEX(ALLCLASSDATA,MATCH("FortitudeSaveExpert",CLASSFEATUREHEADERS,0),MATCH(($A49 &amp; "Points"),CLASSNAMEHEADERS,0))),(IF("15"=(INDEX(ALLCLASSDATA,MATCH("FortitudeSaveTrained",CLASSFEATUREHEADERS,0),MATCH($A49,CLASSNAMEHEADERS,0))),(INDEX(ALLCLASSDATA,MATCH("FortitudeSaveTrained",CLASSFEATUREHEADERS,0),MATCH(($A49 &amp; "Points"),CLASSNAMEHEADERS,0))),"")))))))))}</f>
        <v>FORTITUDEL15</v>
      </c>
      <c r="W48" s="230"/>
      <c r="X48" s="230" t="str">
        <f t="array" ref="X48:X49">{"FORTITUDEL17";((IF("17"=(INDEX(ALLCLASSDATA,MATCH("FortitudeSaveLegendary",CLASSFEATUREHEADERS,0),MATCH($A49,CLASSNAMEHEADERS,0))),(INDEX(ALLCLASSDATA,MATCH("FortitudeSaveLegendary",CLASSFEATUREHEADERS,0),MATCH(($A49 &amp; "Points"),CLASSNAMEHEADERS,0))),(IF("17"=(INDEX(ALLCLASSDATA,MATCH("FortitudeSaveMaster",CLASSFEATUREHEADERS,0),MATCH($A49,CLASSNAMEHEADERS,0))),(INDEX(ALLCLASSDATA,MATCH("FortitudeSaveMaster",CLASSFEATUREHEADERS,0),MATCH(($A49 &amp; "Points"),CLASSNAMEHEADERS,0))),(IF("17"=(INDEX(ALLCLASSDATA,MATCH("FortitudeSaveExpert",CLASSFEATUREHEADERS,0),MATCH($A49,CLASSNAMEHEADERS,0))),(INDEX(ALLCLASSDATA,MATCH("FortitudeSaveExpert",CLASSFEATUREHEADERS,0),MATCH(($A49 &amp; "Points"),CLASSNAMEHEADERS,0))),(IF("17"=(INDEX(ALLCLASSDATA,MATCH("FortitudeSaveTrained",CLASSFEATUREHEADERS,0),MATCH($A49,CLASSNAMEHEADERS,0))),(INDEX(ALLCLASSDATA,MATCH("FortitudeSaveTrained",CLASSFEATUREHEADERS,0),MATCH(($A49 &amp; "Points"),CLASSNAMEHEADERS,0))),"")))))))))}</f>
        <v>FORTITUDEL17</v>
      </c>
      <c r="Y48" s="230"/>
      <c r="Z48" s="230" t="str">
        <f t="array" ref="Z48:Z49">{"FORTITUDEL19";((IF("19"=(INDEX(ALLCLASSDATA,MATCH("FortitudeSaveLegendary",CLASSFEATUREHEADERS,0),MATCH($A49,CLASSNAMEHEADERS,0))),(INDEX(ALLCLASSDATA,MATCH("FortitudeSaveLegendary",CLASSFEATUREHEADERS,0),MATCH(($A49 &amp; "Points"),CLASSNAMEHEADERS,0))),(IF("19"=(INDEX(ALLCLASSDATA,MATCH("FortitudeSaveMaster",CLASSFEATUREHEADERS,0),MATCH($A49,CLASSNAMEHEADERS,0))),(INDEX(ALLCLASSDATA,MATCH("FortitudeSaveMaster",CLASSFEATUREHEADERS,0),MATCH(($A49 &amp; "Points"),CLASSNAMEHEADERS,0))),(IF("19"=(INDEX(ALLCLASSDATA,MATCH("FortitudeSaveExpert",CLASSFEATUREHEADERS,0),MATCH($A49,CLASSNAMEHEADERS,0))),(INDEX(ALLCLASSDATA,MATCH("FortitudeSaveExpert",CLASSFEATUREHEADERS,0),MATCH(($A49 &amp; "Points"),CLASSNAMEHEADERS,0))),(IF("19"=(INDEX(ALLCLASSDATA,MATCH("FortitudeSaveTrained",CLASSFEATUREHEADERS,0),MATCH($A49,CLASSNAMEHEADERS,0))),(INDEX(ALLCLASSDATA,MATCH("FortitudeSaveTrained",CLASSFEATUREHEADERS,0),MATCH(($A49 &amp; "Points"),CLASSNAMEHEADERS,0))),"")))))))))}</f>
        <v>FORTITUDEL19</v>
      </c>
      <c r="AA48" s="230"/>
      <c r="AB48" s="76" t="str">
        <f t="array" ref="AB48:AB49">{"FORTITUDE TOTAL";(IF(COUNTBLANK(G49:AA49)=17,"L",(IF(COUNTBLANK(G49:AA49)=18,"M",(IF(COUNTBLANK(G49:AA49)=19,"E",(IF(COUNTBLANK(G49:AA49)=20,"T",""))))))))}</f>
        <v>FORTITUDE TOTAL</v>
      </c>
      <c r="AC48" s="76" t="str">
        <f t="array" ref="AC48:AC49">{"FORTITUDE TOTAL";(sum(G49:AA49))}</f>
        <v>FORTITUDE TOTAL</v>
      </c>
    </row>
    <row r="49">
      <c r="A49" s="48" t="s">
        <v>65</v>
      </c>
      <c r="B49" s="48"/>
      <c r="C49" s="48" t="s">
        <v>406</v>
      </c>
      <c r="D49" s="48" t="s">
        <v>1549</v>
      </c>
      <c r="E49" s="48" t="s">
        <v>1550</v>
      </c>
      <c r="F49" s="5" t="s">
        <v>436</v>
      </c>
      <c r="G49" s="47">
        <v>10.0</v>
      </c>
      <c r="H49" s="5">
        <v>50.0</v>
      </c>
      <c r="I49" s="5"/>
      <c r="J49" s="5" t="s">
        <v>603</v>
      </c>
      <c r="K49" s="5"/>
      <c r="L49" s="5" t="s">
        <v>603</v>
      </c>
      <c r="M49" s="5"/>
      <c r="N49" s="5" t="s">
        <v>603</v>
      </c>
      <c r="O49" s="5"/>
      <c r="P49" s="5">
        <v>110.0</v>
      </c>
      <c r="Q49" s="5"/>
      <c r="R49" s="5" t="s">
        <v>603</v>
      </c>
      <c r="S49" s="5"/>
      <c r="T49" s="5" t="s">
        <v>603</v>
      </c>
      <c r="U49" s="5"/>
      <c r="V49" s="5" t="s">
        <v>603</v>
      </c>
      <c r="W49" s="5"/>
      <c r="X49" s="5" t="s">
        <v>603</v>
      </c>
      <c r="Y49" s="5"/>
      <c r="Z49" s="5" t="s">
        <v>603</v>
      </c>
      <c r="AA49" s="5"/>
      <c r="AB49" s="5" t="s">
        <v>437</v>
      </c>
      <c r="AC49" s="47">
        <v>170.0</v>
      </c>
    </row>
    <row r="50" hidden="1">
      <c r="A50" s="222" t="str">
        <f t="array" ref="A50:A51">{"FormulaRow24";(INDEX(CLASSLIST,A3,1))}</f>
        <v>FormulaRow24</v>
      </c>
      <c r="B50" s="77" t="s">
        <v>236</v>
      </c>
      <c r="C50" s="222" t="str">
        <f t="array" ref="C50:C51">{"CLASSTYPE";((INDEX(ALLCLASSDATA,MATCH("ClassType",CLASSFEATUREHEADERS,0),MATCH($A51,CLASSNAMEHEADERS,0))))}</f>
        <v>CLASSTYPE</v>
      </c>
      <c r="D50" s="222" t="str">
        <f t="array" ref="D50:D51">{"SAVES";"Saves"}</f>
        <v>SAVES</v>
      </c>
      <c r="E50" s="222" t="str">
        <f t="array" ref="E50:E51">{"REFLEXSAVE";"ReflexSave"}</f>
        <v>REFLEXSAVE</v>
      </c>
      <c r="F50" s="223" t="str">
        <f t="array" ref="F50:F51">{"REFLEXINITIAL";((IF(H51=10,"T",(IF(H51=50,"E","")))))}</f>
        <v>REFLEXINITIAL</v>
      </c>
      <c r="G50" s="223" t="str">
        <f t="array" ref="G50:G51">{"REFLEXINITIALPTS";((IF("00"=(INDEX(ALLCLASSDATA,MATCH("ReflexSaveLegendary",CLASSFEATUREHEADERS,0),MATCH($A51,CLASSNAMEHEADERS,0))),(INDEX(ALLCLASSDATA,MATCH("ReflexSaveLegendary",CLASSFEATUREHEADERS,0),MATCH(($A51 &amp; "Points"),CLASSNAMEHEADERS,0))),(IF("00"=(INDEX(ALLCLASSDATA,MATCH("ReflexSaveMaster",CLASSFEATUREHEADERS,0),MATCH($A51,CLASSNAMEHEADERS,0))),(INDEX(ALLCLASSDATA,MATCH("ReflexSaveMaster",CLASSFEATUREHEADERS,0),MATCH(($A51 &amp; "Points"),CLASSNAMEHEADERS,0))),(IF("00"=(INDEX(ALLCLASSDATA,MATCH("ReflexSaveExpert",CLASSFEATUREHEADERS,0),MATCH($A51,CLASSNAMEHEADERS,0))),(INDEX(ALLCLASSDATA,MATCH("ReflexSaveExpert",CLASSFEATUREHEADERS,0),MATCH(($A51 &amp; "Points"),CLASSNAMEHEADERS,0))),(IF("00"=(INDEX(ALLCLASSDATA,MATCH("ReflexSaveTrained",CLASSFEATUREHEADERS,0),MATCH($A51,CLASSNAMEHEADERS,0))),(INDEX(ALLCLASSDATA,MATCH("ReflexSaveTrained",CLASSFEATUREHEADERS,0),MATCH(($A51 &amp; "Points"),CLASSNAMEHEADERS,0))),"")))))))))}</f>
        <v>REFLEXINITIALPTS</v>
      </c>
      <c r="H50" s="223" t="str">
        <f t="array" ref="H50:H51">{"REFLEXL01";((IF("01"=(INDEX(ALLCLASSDATA,MATCH("ReflexSaveLegendary",CLASSFEATUREHEADERS,0),MATCH($A51,CLASSNAMEHEADERS,0))),(INDEX(ALLCLASSDATA,MATCH("ReflexSaveLegendary",CLASSFEATUREHEADERS,0),MATCH(($A51 &amp; "Points"),CLASSNAMEHEADERS,0))),(IF("01"=(INDEX(ALLCLASSDATA,MATCH("ReflexSaveMaster",CLASSFEATUREHEADERS,0),MATCH($A51,CLASSNAMEHEADERS,0))),(INDEX(ALLCLASSDATA,MATCH("ReflexSaveMaster",CLASSFEATUREHEADERS,0),MATCH(($A51 &amp; "Points"),CLASSNAMEHEADERS,0))),(IF("01"=(INDEX(ALLCLASSDATA,MATCH("ReflexSaveExpert",CLASSFEATUREHEADERS,0),MATCH($A51,CLASSNAMEHEADERS,0))),(INDEX(ALLCLASSDATA,MATCH("ReflexSaveExpert",CLASSFEATUREHEADERS,0),MATCH(($A51 &amp; "Points"),CLASSNAMEHEADERS,0))),(IF("01"=(INDEX(ALLCLASSDATA,MATCH("ReflexSaveTrained",CLASSFEATUREHEADERS,0),MATCH($A51,CLASSNAMEHEADERS,0))),(INDEX(ALLCLASSDATA,MATCH("ReflexSaveTrained",CLASSFEATUREHEADERS,0),MATCH(($A51 &amp; "Points"),CLASSNAMEHEADERS,0))),"")))))))))}</f>
        <v>REFLEXL01</v>
      </c>
      <c r="I50" s="223"/>
      <c r="J50" s="223" t="str">
        <f t="array" ref="J50:J51">{"REFLEXL03";((IF("03"=(INDEX(ALLCLASSDATA,MATCH("ReflexSaveLegendary",CLASSFEATUREHEADERS,0),MATCH($A51,CLASSNAMEHEADERS,0))),(INDEX(ALLCLASSDATA,MATCH("ReflexSaveLegendary",CLASSFEATUREHEADERS,0),MATCH(($A51 &amp; "Points"),CLASSNAMEHEADERS,0))),(IF("03"=(INDEX(ALLCLASSDATA,MATCH("ReflexSaveMaster",CLASSFEATUREHEADERS,0),MATCH($A51,CLASSNAMEHEADERS,0))),(INDEX(ALLCLASSDATA,MATCH("ReflexSaveMaster",CLASSFEATUREHEADERS,0),MATCH(($A51 &amp; "Points"),CLASSNAMEHEADERS,0))),(IF("03"=(INDEX(ALLCLASSDATA,MATCH("ReflexSaveExpert",CLASSFEATUREHEADERS,0),MATCH($A51,CLASSNAMEHEADERS,0))),(INDEX(ALLCLASSDATA,MATCH("ReflexSaveExpert",CLASSFEATUREHEADERS,0),MATCH(($A51 &amp; "Points"),CLASSNAMEHEADERS,0))),(IF("03"=(INDEX(ALLCLASSDATA,MATCH("ReflexSaveTrained",CLASSFEATUREHEADERS,0),MATCH($A51,CLASSNAMEHEADERS,0))),(INDEX(ALLCLASSDATA,MATCH("ReflexSaveTrained",CLASSFEATUREHEADERS,0),MATCH(($A51 &amp; "Points"),CLASSNAMEHEADERS,0))),"")))))))))}</f>
        <v>REFLEXL03</v>
      </c>
      <c r="K50" s="223"/>
      <c r="L50" s="223" t="str">
        <f t="array" ref="L50:L51">{"REFLEXL05";((IF("05"=(INDEX(ALLCLASSDATA,MATCH("ReflexSaveLegendary",CLASSFEATUREHEADERS,0),MATCH($A51,CLASSNAMEHEADERS,0))),(INDEX(ALLCLASSDATA,MATCH("ReflexSaveLegendary",CLASSFEATUREHEADERS,0),MATCH(($A51 &amp; "Points"),CLASSNAMEHEADERS,0))),(IF("05"=(INDEX(ALLCLASSDATA,MATCH("ReflexSaveMaster",CLASSFEATUREHEADERS,0),MATCH($A51,CLASSNAMEHEADERS,0))),(INDEX(ALLCLASSDATA,MATCH("ReflexSaveMaster",CLASSFEATUREHEADERS,0),MATCH(($A51 &amp; "Points"),CLASSNAMEHEADERS,0))),(IF("05"=(INDEX(ALLCLASSDATA,MATCH("ReflexSaveExpert",CLASSFEATUREHEADERS,0),MATCH($A51,CLASSNAMEHEADERS,0))),(INDEX(ALLCLASSDATA,MATCH("ReflexSaveExpert",CLASSFEATUREHEADERS,0),MATCH(($A51 &amp; "Points"),CLASSNAMEHEADERS,0))),(IF("05"=(INDEX(ALLCLASSDATA,MATCH("ReflexSaveTrained",CLASSFEATUREHEADERS,0),MATCH($A51,CLASSNAMEHEADERS,0))),(INDEX(ALLCLASSDATA,MATCH("ReflexSaveTrained",CLASSFEATUREHEADERS,0),MATCH(($A51 &amp; "Points"),CLASSNAMEHEADERS,0))),"")))))))))}</f>
        <v>REFLEXL05</v>
      </c>
      <c r="M50" s="223"/>
      <c r="N50" s="223" t="str">
        <f t="array" ref="N50:N51">{"REFLEXL07";((IF("07"=(INDEX(ALLCLASSDATA,MATCH("ReflexSaveLegendary",CLASSFEATUREHEADERS,0),MATCH($A51,CLASSNAMEHEADERS,0))),(INDEX(ALLCLASSDATA,MATCH("ReflexSaveLegendary",CLASSFEATUREHEADERS,0),MATCH(($A51 &amp; "Points"),CLASSNAMEHEADERS,0))),(IF("07"=(INDEX(ALLCLASSDATA,MATCH("ReflexSaveMaster",CLASSFEATUREHEADERS,0),MATCH($A51,CLASSNAMEHEADERS,0))),(INDEX(ALLCLASSDATA,MATCH("ReflexSaveMaster",CLASSFEATUREHEADERS,0),MATCH(($A51 &amp; "Points"),CLASSNAMEHEADERS,0))),(IF("07"=(INDEX(ALLCLASSDATA,MATCH("ReflexSaveExpert",CLASSFEATUREHEADERS,0),MATCH($A51,CLASSNAMEHEADERS,0))),(INDEX(ALLCLASSDATA,MATCH("ReflexSaveExpert",CLASSFEATUREHEADERS,0),MATCH(($A51 &amp; "Points"),CLASSNAMEHEADERS,0))),(IF("07"=(INDEX(ALLCLASSDATA,MATCH("ReflexSaveTrained",CLASSFEATUREHEADERS,0),MATCH($A51,CLASSNAMEHEADERS,0))),(INDEX(ALLCLASSDATA,MATCH("ReflexSaveTrained",CLASSFEATUREHEADERS,0),MATCH(($A51 &amp; "Points"),CLASSNAMEHEADERS,0))),"")))))))))}</f>
        <v>REFLEXL07</v>
      </c>
      <c r="O50" s="223"/>
      <c r="P50" s="223" t="str">
        <f t="array" ref="P50:P51">{"REFLEXL09";((IF("09"=(INDEX(ALLCLASSDATA,MATCH("ReflexSaveLegendary",CLASSFEATUREHEADERS,0),MATCH($A51,CLASSNAMEHEADERS,0))),(INDEX(ALLCLASSDATA,MATCH("ReflexSaveLegendary",CLASSFEATUREHEADERS,0),MATCH(($A51 &amp; "Points"),CLASSNAMEHEADERS,0))),(IF("09"=(INDEX(ALLCLASSDATA,MATCH("ReflexSaveMaster",CLASSFEATUREHEADERS,0),MATCH($A51,CLASSNAMEHEADERS,0))),(INDEX(ALLCLASSDATA,MATCH("ReflexSaveMaster",CLASSFEATUREHEADERS,0),MATCH(($A51 &amp; "Points"),CLASSNAMEHEADERS,0))),(IF("09"=(INDEX(ALLCLASSDATA,MATCH("ReflexSaveExpert",CLASSFEATUREHEADERS,0),MATCH($A51,CLASSNAMEHEADERS,0))),(INDEX(ALLCLASSDATA,MATCH("ReflexSaveExpert",CLASSFEATUREHEADERS,0),MATCH(($A51 &amp; "Points"),CLASSNAMEHEADERS,0))),(IF("09"=(INDEX(ALLCLASSDATA,MATCH("ReflexSaveTrained",CLASSFEATUREHEADERS,0),MATCH($A51,CLASSNAMEHEADERS,0))),(INDEX(ALLCLASSDATA,MATCH("ReflexSaveTrained",CLASSFEATUREHEADERS,0),MATCH(($A51 &amp; "Points"),CLASSNAMEHEADERS,0))),"")))))))))}</f>
        <v>REFLEXL09</v>
      </c>
      <c r="Q50" s="223"/>
      <c r="R50" s="223" t="str">
        <f t="array" ref="R50:R51">{"REFLEXL11";((IF("11"=(INDEX(ALLCLASSDATA,MATCH("ReflexSaveLegendary",CLASSFEATUREHEADERS,0),MATCH($A51,CLASSNAMEHEADERS,0))),(INDEX(ALLCLASSDATA,MATCH("ReflexSaveLegendary",CLASSFEATUREHEADERS,0),MATCH(($A51 &amp; "Points"),CLASSNAMEHEADERS,0))),(IF("11"=(INDEX(ALLCLASSDATA,MATCH("ReflexSaveMaster",CLASSFEATUREHEADERS,0),MATCH($A51,CLASSNAMEHEADERS,0))),(INDEX(ALLCLASSDATA,MATCH("ReflexSaveMaster",CLASSFEATUREHEADERS,0),MATCH(($A51 &amp; "Points"),CLASSNAMEHEADERS,0))),(IF("11"=(INDEX(ALLCLASSDATA,MATCH("ReflexSaveExpert",CLASSFEATUREHEADERS,0),MATCH($A51,CLASSNAMEHEADERS,0))),(INDEX(ALLCLASSDATA,MATCH("ReflexSaveExpert",CLASSFEATUREHEADERS,0),MATCH(($A51 &amp; "Points"),CLASSNAMEHEADERS,0))),(IF("11"=(INDEX(ALLCLASSDATA,MATCH("ReflexSaveTrained",CLASSFEATUREHEADERS,0),MATCH($A51,CLASSNAMEHEADERS,0))),(INDEX(ALLCLASSDATA,MATCH("ReflexSaveTrained",CLASSFEATUREHEADERS,0),MATCH(($A51 &amp; "Points"),CLASSNAMEHEADERS,0))),"")))))))))}</f>
        <v>REFLEXL11</v>
      </c>
      <c r="S50" s="223"/>
      <c r="T50" s="223" t="str">
        <f t="array" ref="T50:T51">{"REFLEXL13";((IF("13"=(INDEX(ALLCLASSDATA,MATCH("ReflexSaveLegendary",CLASSFEATUREHEADERS,0),MATCH($A51,CLASSNAMEHEADERS,0))),(INDEX(ALLCLASSDATA,MATCH("ReflexSaveLegendary",CLASSFEATUREHEADERS,0),MATCH(($A51 &amp; "Points"),CLASSNAMEHEADERS,0))),(IF("13"=(INDEX(ALLCLASSDATA,MATCH("ReflexSaveMaster",CLASSFEATUREHEADERS,0),MATCH($A51,CLASSNAMEHEADERS,0))),(INDEX(ALLCLASSDATA,MATCH("ReflexSaveMaster",CLASSFEATUREHEADERS,0),MATCH(($A51 &amp; "Points"),CLASSNAMEHEADERS,0))),(IF("13"=(INDEX(ALLCLASSDATA,MATCH("ReflexSaveExpert",CLASSFEATUREHEADERS,0),MATCH($A51,CLASSNAMEHEADERS,0))),(INDEX(ALLCLASSDATA,MATCH("ReflexSaveExpert",CLASSFEATUREHEADERS,0),MATCH(($A51 &amp; "Points"),CLASSNAMEHEADERS,0))),(IF("13"=(INDEX(ALLCLASSDATA,MATCH("ReflexSaveTrained",CLASSFEATUREHEADERS,0),MATCH($A51,CLASSNAMEHEADERS,0))),(INDEX(ALLCLASSDATA,MATCH("ReflexSaveTrained",CLASSFEATUREHEADERS,0),MATCH(($A51 &amp; "Points"),CLASSNAMEHEADERS,0))),"")))))))))}</f>
        <v>REFLEXL13</v>
      </c>
      <c r="U50" s="223"/>
      <c r="V50" s="223" t="str">
        <f t="array" ref="V50:V51">{"REFLEXL15";((IF("15"=(INDEX(ALLCLASSDATA,MATCH("ReflexSaveLegendary",CLASSFEATUREHEADERS,0),MATCH($A51,CLASSNAMEHEADERS,0))),(INDEX(ALLCLASSDATA,MATCH("ReflexSaveLegendary",CLASSFEATUREHEADERS,0),MATCH(($A51 &amp; "Points"),CLASSNAMEHEADERS,0))),(IF("15"=(INDEX(ALLCLASSDATA,MATCH("ReflexSaveMaster",CLASSFEATUREHEADERS,0),MATCH($A51,CLASSNAMEHEADERS,0))),(INDEX(ALLCLASSDATA,MATCH("ReflexSaveMaster",CLASSFEATUREHEADERS,0),MATCH(($A51 &amp; "Points"),CLASSNAMEHEADERS,0))),(IF("15"=(INDEX(ALLCLASSDATA,MATCH("ReflexSaveExpert",CLASSFEATUREHEADERS,0),MATCH($A51,CLASSNAMEHEADERS,0))),(INDEX(ALLCLASSDATA,MATCH("ReflexSaveExpert",CLASSFEATUREHEADERS,0),MATCH(($A51 &amp; "Points"),CLASSNAMEHEADERS,0))),(IF("15"=(INDEX(ALLCLASSDATA,MATCH("ReflexSaveTrained",CLASSFEATUREHEADERS,0),MATCH($A51,CLASSNAMEHEADERS,0))),(INDEX(ALLCLASSDATA,MATCH("ReflexSaveTrained",CLASSFEATUREHEADERS,0),MATCH(($A51 &amp; "Points"),CLASSNAMEHEADERS,0))),"")))))))))}</f>
        <v>REFLEXL15</v>
      </c>
      <c r="W50" s="223"/>
      <c r="X50" s="223" t="str">
        <f t="array" ref="X50:X51">{"REFLEXL17";((IF("17"=(INDEX(ALLCLASSDATA,MATCH("ReflexSaveLegendary",CLASSFEATUREHEADERS,0),MATCH($A51,CLASSNAMEHEADERS,0))),(INDEX(ALLCLASSDATA,MATCH("ReflexSaveLegendary",CLASSFEATUREHEADERS,0),MATCH(($A51 &amp; "Points"),CLASSNAMEHEADERS,0))),(IF("17"=(INDEX(ALLCLASSDATA,MATCH("ReflexSaveMaster",CLASSFEATUREHEADERS,0),MATCH($A51,CLASSNAMEHEADERS,0))),(INDEX(ALLCLASSDATA,MATCH("ReflexSaveMaster",CLASSFEATUREHEADERS,0),MATCH(($A51 &amp; "Points"),CLASSNAMEHEADERS,0))),(IF("17"=(INDEX(ALLCLASSDATA,MATCH("ReflexSaveExpert",CLASSFEATUREHEADERS,0),MATCH($A51,CLASSNAMEHEADERS,0))),(INDEX(ALLCLASSDATA,MATCH("ReflexSaveExpert",CLASSFEATUREHEADERS,0),MATCH(($A51 &amp; "Points"),CLASSNAMEHEADERS,0))),(IF("17"=(INDEX(ALLCLASSDATA,MATCH("ReflexSaveTrained",CLASSFEATUREHEADERS,0),MATCH($A51,CLASSNAMEHEADERS,0))),(INDEX(ALLCLASSDATA,MATCH("ReflexSaveTrained",CLASSFEATUREHEADERS,0),MATCH(($A51 &amp; "Points"),CLASSNAMEHEADERS,0))),"")))))))))}</f>
        <v>REFLEXL17</v>
      </c>
      <c r="Y50" s="223"/>
      <c r="Z50" s="223" t="str">
        <f t="array" ref="Z50:Z51">{"REFLEXL19";((IF("19"=(INDEX(ALLCLASSDATA,MATCH("ReflexSaveLegendary",CLASSFEATUREHEADERS,0),MATCH($A51,CLASSNAMEHEADERS,0))),(INDEX(ALLCLASSDATA,MATCH("ReflexSaveLegendary",CLASSFEATUREHEADERS,0),MATCH(($A51 &amp; "Points"),CLASSNAMEHEADERS,0))),(IF("19"=(INDEX(ALLCLASSDATA,MATCH("ReflexSaveMaster",CLASSFEATUREHEADERS,0),MATCH($A51,CLASSNAMEHEADERS,0))),(INDEX(ALLCLASSDATA,MATCH("ReflexSaveMaster",CLASSFEATUREHEADERS,0),MATCH(($A51 &amp; "Points"),CLASSNAMEHEADERS,0))),(IF("19"=(INDEX(ALLCLASSDATA,MATCH("ReflexSaveExpert",CLASSFEATUREHEADERS,0),MATCH($A51,CLASSNAMEHEADERS,0))),(INDEX(ALLCLASSDATA,MATCH("ReflexSaveExpert",CLASSFEATUREHEADERS,0),MATCH(($A51 &amp; "Points"),CLASSNAMEHEADERS,0))),(IF("19"=(INDEX(ALLCLASSDATA,MATCH("ReflexSaveTrained",CLASSFEATUREHEADERS,0),MATCH($A51,CLASSNAMEHEADERS,0))),(INDEX(ALLCLASSDATA,MATCH("ReflexSaveTrained",CLASSFEATUREHEADERS,0),MATCH(($A51 &amp; "Points"),CLASSNAMEHEADERS,0))),"")))))))))}</f>
        <v>REFLEXL19</v>
      </c>
      <c r="AA50" s="223"/>
      <c r="AB50" s="76" t="str">
        <f t="array" ref="AB50:AB51">{"REFLEX TOTAL";(IF(COUNTBLANK(G51:AA51)=17,"L",(IF(COUNTBLANK(G51:AA51)=18,"M",(IF(COUNTBLANK(G51:AA51)=19,"E",(IF(COUNTBLANK(G51:AA51)=20,"T",""))))))))}</f>
        <v>REFLEX TOTAL</v>
      </c>
      <c r="AC50" s="76" t="str">
        <f t="array" ref="AC50:AC51">{"REFLEX TOTAL";(sum(G51:AA51))}</f>
        <v>REFLEX TOTAL</v>
      </c>
    </row>
    <row r="51">
      <c r="A51" s="48" t="s">
        <v>65</v>
      </c>
      <c r="B51" s="48"/>
      <c r="C51" s="48" t="s">
        <v>406</v>
      </c>
      <c r="D51" s="48" t="s">
        <v>1549</v>
      </c>
      <c r="E51" s="48" t="s">
        <v>1572</v>
      </c>
      <c r="F51" s="5" t="s">
        <v>435</v>
      </c>
      <c r="G51" s="47" t="s">
        <v>603</v>
      </c>
      <c r="H51" s="5">
        <v>10.0</v>
      </c>
      <c r="I51" s="5"/>
      <c r="J51" s="5" t="s">
        <v>603</v>
      </c>
      <c r="K51" s="5"/>
      <c r="L51" s="5" t="s">
        <v>603</v>
      </c>
      <c r="M51" s="5"/>
      <c r="N51" s="5" t="s">
        <v>603</v>
      </c>
      <c r="O51" s="5"/>
      <c r="P51" s="5">
        <v>50.0</v>
      </c>
      <c r="Q51" s="5"/>
      <c r="R51" s="5" t="s">
        <v>603</v>
      </c>
      <c r="S51" s="5"/>
      <c r="T51" s="5" t="s">
        <v>603</v>
      </c>
      <c r="U51" s="5"/>
      <c r="V51" s="5" t="s">
        <v>603</v>
      </c>
      <c r="W51" s="5"/>
      <c r="X51" s="5" t="s">
        <v>603</v>
      </c>
      <c r="Y51" s="5"/>
      <c r="Z51" s="5" t="s">
        <v>603</v>
      </c>
      <c r="AA51" s="5"/>
      <c r="AB51" s="5" t="s">
        <v>436</v>
      </c>
      <c r="AC51" s="47">
        <v>60.0</v>
      </c>
    </row>
    <row r="52" hidden="1">
      <c r="A52" s="222" t="str">
        <f t="array" ref="A52:A53">{"FormulaRow25";(INDEX(CLASSLIST,A3,1))}</f>
        <v>FormulaRow25</v>
      </c>
      <c r="B52" s="77" t="s">
        <v>236</v>
      </c>
      <c r="C52" s="222" t="str">
        <f t="array" ref="C52:C53">{"CLASSTYPE";((INDEX(ALLCLASSDATA,MATCH("ClassType",CLASSFEATUREHEADERS,0),MATCH($A53,CLASSNAMEHEADERS,0))))}</f>
        <v>CLASSTYPE</v>
      </c>
      <c r="D52" s="222" t="str">
        <f t="array" ref="D52:D53">{"SAVES";"Saves"}</f>
        <v>SAVES</v>
      </c>
      <c r="E52" s="222" t="str">
        <f t="array" ref="E52:E53">{"WILLSAVE";"WillSave"}</f>
        <v>WILLSAVE</v>
      </c>
      <c r="F52" s="223" t="str">
        <f t="array" ref="F52:F53">{"WILLINITIAL";((IF(H53=10,"T",(IF(H53=50,"E","")))))}</f>
        <v>WILLINITIAL</v>
      </c>
      <c r="G52" s="223" t="str">
        <f t="array" ref="G52:G53">{"WILLINITIALPTS";((IF("00"=(INDEX(ALLCLASSDATA,MATCH("WillSaveLegendary",CLASSFEATUREHEADERS,0),MATCH($A53,CLASSNAMEHEADERS,0))),(INDEX(ALLCLASSDATA,MATCH("WillSaveLegendary",CLASSFEATUREHEADERS,0),MATCH(($A53 &amp; "Points"),CLASSNAMEHEADERS,0))),(IF("00"=(INDEX(ALLCLASSDATA,MATCH("WillSaveMaster",CLASSFEATUREHEADERS,0),MATCH($A53,CLASSNAMEHEADERS,0))),(INDEX(ALLCLASSDATA,MATCH("WillSaveMaster",CLASSFEATUREHEADERS,0),MATCH(($A53 &amp; "Points"),CLASSNAMEHEADERS,0))),(IF("00"=(INDEX(ALLCLASSDATA,MATCH("WillSaveExpert",CLASSFEATUREHEADERS,0),MATCH($A53,CLASSNAMEHEADERS,0))),(INDEX(ALLCLASSDATA,MATCH("WillSaveExpert",CLASSFEATUREHEADERS,0),MATCH(($A53 &amp; "Points"),CLASSNAMEHEADERS,0))),(IF("00"=(INDEX(ALLCLASSDATA,MATCH("WillSaveTrained",CLASSFEATUREHEADERS,0),MATCH($A53,CLASSNAMEHEADERS,0))),(INDEX(ALLCLASSDATA,MATCH("WillSaveTrained",CLASSFEATUREHEADERS,0),MATCH(($A53 &amp; "Points"),CLASSNAMEHEADERS,0))),"")))))))))}</f>
        <v>WILLINITIALPTS</v>
      </c>
      <c r="H52" s="223" t="str">
        <f t="array" ref="H52:H53">{"WILLL01";((IF("01"=(INDEX(ALLCLASSDATA,MATCH("WillSaveLegendary",CLASSFEATUREHEADERS,0),MATCH($A53,CLASSNAMEHEADERS,0))),(INDEX(ALLCLASSDATA,MATCH("WillSaveLegendary",CLASSFEATUREHEADERS,0),MATCH(($A53 &amp; "Points"),CLASSNAMEHEADERS,0))),(IF("01"=(INDEX(ALLCLASSDATA,MATCH("WillSaveMaster",CLASSFEATUREHEADERS,0),MATCH($A53,CLASSNAMEHEADERS,0))),(INDEX(ALLCLASSDATA,MATCH("WillSaveMaster",CLASSFEATUREHEADERS,0),MATCH(($A53 &amp; "Points"),CLASSNAMEHEADERS,0))),(IF("01"=(INDEX(ALLCLASSDATA,MATCH("WillSaveExpert",CLASSFEATUREHEADERS,0),MATCH($A53,CLASSNAMEHEADERS,0))),(INDEX(ALLCLASSDATA,MATCH("WillSaveExpert",CLASSFEATUREHEADERS,0),MATCH(($A53 &amp; "Points"),CLASSNAMEHEADERS,0))),(IF("01"=(INDEX(ALLCLASSDATA,MATCH("WillSaveTrained",CLASSFEATUREHEADERS,0),MATCH($A53,CLASSNAMEHEADERS,0))),(INDEX(ALLCLASSDATA,MATCH("WillSaveTrained",CLASSFEATUREHEADERS,0),MATCH(($A53 &amp; "Points"),CLASSNAMEHEADERS,0))),"")))))))))}</f>
        <v>WILLL01</v>
      </c>
      <c r="I52" s="223"/>
      <c r="J52" s="223" t="str">
        <f t="array" ref="J52:J53">{"WILLL03";((IF("03"=(INDEX(ALLCLASSDATA,MATCH("WillSaveLegendary",CLASSFEATUREHEADERS,0),MATCH($A53,CLASSNAMEHEADERS,0))),(INDEX(ALLCLASSDATA,MATCH("WillSaveLegendary",CLASSFEATUREHEADERS,0),MATCH(($A53 &amp; "Points"),CLASSNAMEHEADERS,0))),(IF("03"=(INDEX(ALLCLASSDATA,MATCH("WillSaveMaster",CLASSFEATUREHEADERS,0),MATCH($A53,CLASSNAMEHEADERS,0))),(INDEX(ALLCLASSDATA,MATCH("WillSaveMaster",CLASSFEATUREHEADERS,0),MATCH(($A53 &amp; "Points"),CLASSNAMEHEADERS,0))),(IF("03"=(INDEX(ALLCLASSDATA,MATCH("WillSaveExpert",CLASSFEATUREHEADERS,0),MATCH($A53,CLASSNAMEHEADERS,0))),(INDEX(ALLCLASSDATA,MATCH("WillSaveExpert",CLASSFEATUREHEADERS,0),MATCH(($A53 &amp; "Points"),CLASSNAMEHEADERS,0))),(IF("03"=(INDEX(ALLCLASSDATA,MATCH("WillSaveTrained",CLASSFEATUREHEADERS,0),MATCH($A53,CLASSNAMEHEADERS,0))),(INDEX(ALLCLASSDATA,MATCH("WillSaveTrained",CLASSFEATUREHEADERS,0),MATCH(($A53 &amp; "Points"),CLASSNAMEHEADERS,0))),"")))))))))}</f>
        <v>WILLL03</v>
      </c>
      <c r="K52" s="223"/>
      <c r="L52" s="223" t="str">
        <f t="array" ref="L52:L53">{"WILLL05";((IF("05"=(INDEX(ALLCLASSDATA,MATCH("WillSaveLegendary",CLASSFEATUREHEADERS,0),MATCH($A53,CLASSNAMEHEADERS,0))),(INDEX(ALLCLASSDATA,MATCH("WillSaveLegendary",CLASSFEATUREHEADERS,0),MATCH(($A53 &amp; "Points"),CLASSNAMEHEADERS,0))),(IF("05"=(INDEX(ALLCLASSDATA,MATCH("WillSaveMaster",CLASSFEATUREHEADERS,0),MATCH($A53,CLASSNAMEHEADERS,0))),(INDEX(ALLCLASSDATA,MATCH("WillSaveMaster",CLASSFEATUREHEADERS,0),MATCH(($A53 &amp; "Points"),CLASSNAMEHEADERS,0))),(IF("05"=(INDEX(ALLCLASSDATA,MATCH("WillSaveExpert",CLASSFEATUREHEADERS,0),MATCH($A53,CLASSNAMEHEADERS,0))),(INDEX(ALLCLASSDATA,MATCH("WillSaveExpert",CLASSFEATUREHEADERS,0),MATCH(($A53 &amp; "Points"),CLASSNAMEHEADERS,0))),(IF("05"=(INDEX(ALLCLASSDATA,MATCH("WillSaveTrained",CLASSFEATUREHEADERS,0),MATCH($A53,CLASSNAMEHEADERS,0))),(INDEX(ALLCLASSDATA,MATCH("WillSaveTrained",CLASSFEATUREHEADERS,0),MATCH(($A53 &amp; "Points"),CLASSNAMEHEADERS,0))),"")))))))))}</f>
        <v>WILLL05</v>
      </c>
      <c r="M52" s="223"/>
      <c r="N52" s="223" t="str">
        <f t="array" ref="N52:N53">{"WILLL07";((IF("07"=(INDEX(ALLCLASSDATA,MATCH("WillSaveLegendary",CLASSFEATUREHEADERS,0),MATCH($A53,CLASSNAMEHEADERS,0))),(INDEX(ALLCLASSDATA,MATCH("WillSaveLegendary",CLASSFEATUREHEADERS,0),MATCH(($A53 &amp; "Points"),CLASSNAMEHEADERS,0))),(IF("07"=(INDEX(ALLCLASSDATA,MATCH("WillSaveMaster",CLASSFEATUREHEADERS,0),MATCH($A53,CLASSNAMEHEADERS,0))),(INDEX(ALLCLASSDATA,MATCH("WillSaveMaster",CLASSFEATUREHEADERS,0),MATCH(($A53 &amp; "Points"),CLASSNAMEHEADERS,0))),(IF("07"=(INDEX(ALLCLASSDATA,MATCH("WillSaveExpert",CLASSFEATUREHEADERS,0),MATCH($A53,CLASSNAMEHEADERS,0))),(INDEX(ALLCLASSDATA,MATCH("WillSaveExpert",CLASSFEATUREHEADERS,0),MATCH(($A53 &amp; "Points"),CLASSNAMEHEADERS,0))),(IF("07"=(INDEX(ALLCLASSDATA,MATCH("WillSaveTrained",CLASSFEATUREHEADERS,0),MATCH($A53,CLASSNAMEHEADERS,0))),(INDEX(ALLCLASSDATA,MATCH("WillSaveTrained",CLASSFEATUREHEADERS,0),MATCH(($A53 &amp; "Points"),CLASSNAMEHEADERS,0))),"")))))))))}</f>
        <v>WILLL07</v>
      </c>
      <c r="O52" s="223"/>
      <c r="P52" s="223" t="str">
        <f t="array" ref="P52:P53">{"WILLL09";((IF("09"=(INDEX(ALLCLASSDATA,MATCH("WillSaveLegendary",CLASSFEATUREHEADERS,0),MATCH($A53,CLASSNAMEHEADERS,0))),(INDEX(ALLCLASSDATA,MATCH("WillSaveLegendary",CLASSFEATUREHEADERS,0),MATCH(($A53 &amp; "Points"),CLASSNAMEHEADERS,0))),(IF("09"=(INDEX(ALLCLASSDATA,MATCH("WillSaveMaster",CLASSFEATUREHEADERS,0),MATCH($A53,CLASSNAMEHEADERS,0))),(INDEX(ALLCLASSDATA,MATCH("WillSaveMaster",CLASSFEATUREHEADERS,0),MATCH(($A53 &amp; "Points"),CLASSNAMEHEADERS,0))),(IF("09"=(INDEX(ALLCLASSDATA,MATCH("WillSaveExpert",CLASSFEATUREHEADERS,0),MATCH($A53,CLASSNAMEHEADERS,0))),(INDEX(ALLCLASSDATA,MATCH("WillSaveExpert",CLASSFEATUREHEADERS,0),MATCH(($A53 &amp; "Points"),CLASSNAMEHEADERS,0))),(IF("09"=(INDEX(ALLCLASSDATA,MATCH("WillSaveTrained",CLASSFEATUREHEADERS,0),MATCH($A53,CLASSNAMEHEADERS,0))),(INDEX(ALLCLASSDATA,MATCH("WillSaveTrained",CLASSFEATUREHEADERS,0),MATCH(($A53 &amp; "Points"),CLASSNAMEHEADERS,0))),"")))))))))}</f>
        <v>WILLL09</v>
      </c>
      <c r="Q52" s="223"/>
      <c r="R52" s="223" t="str">
        <f t="array" ref="R52:R53">{"WILLL11";((IF("11"=(INDEX(ALLCLASSDATA,MATCH("WillSaveLegendary",CLASSFEATUREHEADERS,0),MATCH($A53,CLASSNAMEHEADERS,0))),(INDEX(ALLCLASSDATA,MATCH("WillSaveLegendary",CLASSFEATUREHEADERS,0),MATCH(($A53 &amp; "Points"),CLASSNAMEHEADERS,0))),(IF("11"=(INDEX(ALLCLASSDATA,MATCH("WillSaveMaster",CLASSFEATUREHEADERS,0),MATCH($A53,CLASSNAMEHEADERS,0))),(INDEX(ALLCLASSDATA,MATCH("WillSaveMaster",CLASSFEATUREHEADERS,0),MATCH(($A53 &amp; "Points"),CLASSNAMEHEADERS,0))),(IF("11"=(INDEX(ALLCLASSDATA,MATCH("WillSaveExpert",CLASSFEATUREHEADERS,0),MATCH($A53,CLASSNAMEHEADERS,0))),(INDEX(ALLCLASSDATA,MATCH("WillSaveExpert",CLASSFEATUREHEADERS,0),MATCH(($A53 &amp; "Points"),CLASSNAMEHEADERS,0))),(IF("11"=(INDEX(ALLCLASSDATA,MATCH("WillSaveTrained",CLASSFEATUREHEADERS,0),MATCH($A53,CLASSNAMEHEADERS,0))),(INDEX(ALLCLASSDATA,MATCH("WillSaveTrained",CLASSFEATUREHEADERS,0),MATCH(($A53 &amp; "Points"),CLASSNAMEHEADERS,0))),"")))))))))}</f>
        <v>WILLL11</v>
      </c>
      <c r="S52" s="223"/>
      <c r="T52" s="223" t="str">
        <f t="array" ref="T52:T53">{"WILLL13";((IF("13"=(INDEX(ALLCLASSDATA,MATCH("WillSaveLegendary",CLASSFEATUREHEADERS,0),MATCH($A53,CLASSNAMEHEADERS,0))),(INDEX(ALLCLASSDATA,MATCH("WillSaveLegendary",CLASSFEATUREHEADERS,0),MATCH(($A53 &amp; "Points"),CLASSNAMEHEADERS,0))),(IF("13"=(INDEX(ALLCLASSDATA,MATCH("WillSaveMaster",CLASSFEATUREHEADERS,0),MATCH($A53,CLASSNAMEHEADERS,0))),(INDEX(ALLCLASSDATA,MATCH("WillSaveMaster",CLASSFEATUREHEADERS,0),MATCH(($A53 &amp; "Points"),CLASSNAMEHEADERS,0))),(IF("13"=(INDEX(ALLCLASSDATA,MATCH("WillSaveExpert",CLASSFEATUREHEADERS,0),MATCH($A53,CLASSNAMEHEADERS,0))),(INDEX(ALLCLASSDATA,MATCH("WillSaveExpert",CLASSFEATUREHEADERS,0),MATCH(($A53 &amp; "Points"),CLASSNAMEHEADERS,0))),(IF("13"=(INDEX(ALLCLASSDATA,MATCH("WillSaveTrained",CLASSFEATUREHEADERS,0),MATCH($A53,CLASSNAMEHEADERS,0))),(INDEX(ALLCLASSDATA,MATCH("WillSaveTrained",CLASSFEATUREHEADERS,0),MATCH(($A53 &amp; "Points"),CLASSNAMEHEADERS,0))),"")))))))))}</f>
        <v>WILLL13</v>
      </c>
      <c r="U52" s="223"/>
      <c r="V52" s="223" t="str">
        <f t="array" ref="V52:V53">{"WILLL15";((IF("15"=(INDEX(ALLCLASSDATA,MATCH("WillSaveLegendary",CLASSFEATUREHEADERS,0),MATCH($A53,CLASSNAMEHEADERS,0))),(INDEX(ALLCLASSDATA,MATCH("WillSaveLegendary",CLASSFEATUREHEADERS,0),MATCH(($A53 &amp; "Points"),CLASSNAMEHEADERS,0))),(IF("15"=(INDEX(ALLCLASSDATA,MATCH("WillSaveMaster",CLASSFEATUREHEADERS,0),MATCH($A53,CLASSNAMEHEADERS,0))),(INDEX(ALLCLASSDATA,MATCH("WillSaveMaster",CLASSFEATUREHEADERS,0),MATCH(($A53 &amp; "Points"),CLASSNAMEHEADERS,0))),(IF("15"=(INDEX(ALLCLASSDATA,MATCH("WillSaveExpert",CLASSFEATUREHEADERS,0),MATCH($A53,CLASSNAMEHEADERS,0))),(INDEX(ALLCLASSDATA,MATCH("WillSaveExpert",CLASSFEATUREHEADERS,0),MATCH(($A53 &amp; "Points"),CLASSNAMEHEADERS,0))),(IF("15"=(INDEX(ALLCLASSDATA,MATCH("WillSaveTrained",CLASSFEATUREHEADERS,0),MATCH($A53,CLASSNAMEHEADERS,0))),(INDEX(ALLCLASSDATA,MATCH("WillSaveTrained",CLASSFEATUREHEADERS,0),MATCH(($A53 &amp; "Points"),CLASSNAMEHEADERS,0))),"")))))))))}</f>
        <v>WILLL15</v>
      </c>
      <c r="W52" s="223"/>
      <c r="X52" s="223" t="str">
        <f t="array" ref="X52:X53">{"WILLL17";((IF("17"=(INDEX(ALLCLASSDATA,MATCH("WillSaveLegendary",CLASSFEATUREHEADERS,0),MATCH($A53,CLASSNAMEHEADERS,0))),(INDEX(ALLCLASSDATA,MATCH("WillSaveLegendary",CLASSFEATUREHEADERS,0),MATCH(($A53 &amp; "Points"),CLASSNAMEHEADERS,0))),(IF("17"=(INDEX(ALLCLASSDATA,MATCH("WillSaveMaster",CLASSFEATUREHEADERS,0),MATCH($A53,CLASSNAMEHEADERS,0))),(INDEX(ALLCLASSDATA,MATCH("WillSaveMaster",CLASSFEATUREHEADERS,0),MATCH(($A53 &amp; "Points"),CLASSNAMEHEADERS,0))),(IF("17"=(INDEX(ALLCLASSDATA,MATCH("WillSaveExpert",CLASSFEATUREHEADERS,0),MATCH($A53,CLASSNAMEHEADERS,0))),(INDEX(ALLCLASSDATA,MATCH("WillSaveExpert",CLASSFEATUREHEADERS,0),MATCH(($A53 &amp; "Points"),CLASSNAMEHEADERS,0))),(IF("17"=(INDEX(ALLCLASSDATA,MATCH("WillSaveTrained",CLASSFEATUREHEADERS,0),MATCH($A53,CLASSNAMEHEADERS,0))),(INDEX(ALLCLASSDATA,MATCH("WillSaveTrained",CLASSFEATUREHEADERS,0),MATCH(($A53 &amp; "Points"),CLASSNAMEHEADERS,0))),"")))))))))}</f>
        <v>WILLL17</v>
      </c>
      <c r="Y52" s="223"/>
      <c r="Z52" s="223" t="str">
        <f t="array" ref="Z52:Z53">{"WILLL19";((IF("19"=(INDEX(ALLCLASSDATA,MATCH("WillSaveLegendary",CLASSFEATUREHEADERS,0),MATCH($A53,CLASSNAMEHEADERS,0))),(INDEX(ALLCLASSDATA,MATCH("WillSaveLegendary",CLASSFEATUREHEADERS,0),MATCH(($A53 &amp; "Points"),CLASSNAMEHEADERS,0))),(IF("19"=(INDEX(ALLCLASSDATA,MATCH("WillSaveMaster",CLASSFEATUREHEADERS,0),MATCH($A53,CLASSNAMEHEADERS,0))),(INDEX(ALLCLASSDATA,MATCH("WillSaveMaster",CLASSFEATUREHEADERS,0),MATCH(($A53 &amp; "Points"),CLASSNAMEHEADERS,0))),(IF("19"=(INDEX(ALLCLASSDATA,MATCH("WillSaveExpert",CLASSFEATUREHEADERS,0),MATCH($A53,CLASSNAMEHEADERS,0))),(INDEX(ALLCLASSDATA,MATCH("WillSaveExpert",CLASSFEATUREHEADERS,0),MATCH(($A53 &amp; "Points"),CLASSNAMEHEADERS,0))),(IF("19"=(INDEX(ALLCLASSDATA,MATCH("WillSaveTrained",CLASSFEATUREHEADERS,0),MATCH($A53,CLASSNAMEHEADERS,0))),(INDEX(ALLCLASSDATA,MATCH("WillSaveTrained",CLASSFEATUREHEADERS,0),MATCH(($A53 &amp; "Points"),CLASSNAMEHEADERS,0))),"")))))))))}</f>
        <v>WILLL19</v>
      </c>
      <c r="AA52" s="223"/>
      <c r="AB52" s="76" t="str">
        <f t="array" ref="AB52:AB53">{"WILL TOTAL";(IF(COUNTBLANK(G53:AA53)=17,"L",(IF(COUNTBLANK(G53:AA53)=18,"M",(IF(COUNTBLANK(G53:AA53)=19,"E",(IF(COUNTBLANK(G53:AA53)=20,"T",""))))))))}</f>
        <v>WILL TOTAL</v>
      </c>
      <c r="AC52" s="76" t="str">
        <f t="array" ref="AC52:AC53">{"WILL TOTAL";(sum(G53:AA53))}</f>
        <v>WILL TOTAL</v>
      </c>
    </row>
    <row r="53">
      <c r="A53" s="48" t="s">
        <v>65</v>
      </c>
      <c r="B53" s="48"/>
      <c r="C53" s="48" t="s">
        <v>406</v>
      </c>
      <c r="D53" s="97" t="s">
        <v>1549</v>
      </c>
      <c r="E53" s="97" t="s">
        <v>1591</v>
      </c>
      <c r="F53" s="98" t="s">
        <v>436</v>
      </c>
      <c r="G53" s="132">
        <v>10.0</v>
      </c>
      <c r="H53" s="98">
        <v>50.0</v>
      </c>
      <c r="I53" s="98"/>
      <c r="J53" s="98" t="s">
        <v>603</v>
      </c>
      <c r="K53" s="98"/>
      <c r="L53" s="98" t="s">
        <v>603</v>
      </c>
      <c r="M53" s="97"/>
      <c r="N53" s="98" t="s">
        <v>603</v>
      </c>
      <c r="O53" s="98"/>
      <c r="P53" s="98" t="s">
        <v>603</v>
      </c>
      <c r="Q53" s="97"/>
      <c r="R53" s="98">
        <v>110.0</v>
      </c>
      <c r="S53" s="98"/>
      <c r="T53" s="98" t="s">
        <v>603</v>
      </c>
      <c r="U53" s="98"/>
      <c r="V53" s="98" t="s">
        <v>603</v>
      </c>
      <c r="W53" s="98"/>
      <c r="X53" s="98" t="s">
        <v>603</v>
      </c>
      <c r="Y53" s="98"/>
      <c r="Z53" s="98" t="s">
        <v>603</v>
      </c>
      <c r="AA53" s="98"/>
      <c r="AB53" s="5" t="s">
        <v>437</v>
      </c>
      <c r="AC53" s="47">
        <v>170.0</v>
      </c>
    </row>
    <row r="54" hidden="1">
      <c r="A54" s="222" t="str">
        <f t="array" ref="A54:A55">{"FormulaRow26";(INDEX(CLASSLIST,A3,1))}</f>
        <v>FormulaRow26</v>
      </c>
      <c r="B54" s="77" t="s">
        <v>236</v>
      </c>
      <c r="C54" s="222" t="str">
        <f t="array" ref="C54:C55">{"CLASSTYPE";((INDEX(ALLCLASSDATA,MATCH("ClassType",CLASSFEATUREHEADERS,0),MATCH($A55,CLASSNAMEHEADERS,0))))}</f>
        <v>CLASSTYPE</v>
      </c>
      <c r="D54" s="228" t="str">
        <f t="array" ref="D54:D55">{"ATTACK";"Attack"}</f>
        <v>ATTACK</v>
      </c>
      <c r="E54" s="228" t="str">
        <f t="array" ref="E54:E55">{"WEAPONSPECIAL";"WeaponCS/WS/GWS"}</f>
        <v>WEAPONSPECIAL</v>
      </c>
      <c r="F54" s="230"/>
      <c r="G54" s="230"/>
      <c r="H54" s="230" t="str">
        <f t="array" ref="H54:H55">{"WEAPONSPECIALL01";((IF("01"=INDEX(ALLCLASSDATA,MATCH("WeaponGreaterSpecialization",CLASSFEATUREHEADERS,0),MATCH($A55,CLASSNAMEHEADERS,0)),WeaponGWS,(IF("01"=INDEX(ALLCLASSDATA,MATCH("WeaponSpecialization",CLASSFEATUREHEADERS,0),MATCH($A55,CLASSNAMEHEADERS,0)),WeaponWS,(IF("01"=INDEX(ALLCLASSDATA,MATCH("WeaponCriticalSpecialization",CLASSFEATUREHEADERS,0),MATCH($A55,CLASSNAMEHEADERS,0)),WeaponCS,"")))))))}</f>
        <v>WEAPONSPECIALL01</v>
      </c>
      <c r="I54" s="230"/>
      <c r="J54" s="230" t="str">
        <f t="array" ref="J54:J55">{"WEAPONSPECIALL03";((IF("03"=INDEX(ALLCLASSDATA,MATCH("WeaponGreaterSpecialization",CLASSFEATUREHEADERS,0),MATCH($A55,CLASSNAMEHEADERS,0)),WeaponGWS,(IF("03"=INDEX(ALLCLASSDATA,MATCH("WeaponSpecialization",CLASSFEATUREHEADERS,0),MATCH($A55,CLASSNAMEHEADERS,0)),WeaponWS,(IF("03"=INDEX(ALLCLASSDATA,MATCH("WeaponCriticalSpecialization",CLASSFEATUREHEADERS,0),MATCH($A55,CLASSNAMEHEADERS,0)),WeaponCS,"")))))))}</f>
        <v>WEAPONSPECIALL03</v>
      </c>
      <c r="K54" s="230"/>
      <c r="L54" s="230" t="str">
        <f t="array" ref="L54:L55">{"WEAPONSPECIALL05";((IF("05"=INDEX(ALLCLASSDATA,MATCH("WeaponGreaterSpecialization",CLASSFEATUREHEADERS,0),MATCH($A55,CLASSNAMEHEADERS,0)),WeaponGWS,(IF("05"=INDEX(ALLCLASSDATA,MATCH("WeaponSpecialization",CLASSFEATUREHEADERS,0),MATCH($A55,CLASSNAMEHEADERS,0)),WeaponWS,(IF("05"=INDEX(ALLCLASSDATA,MATCH("WeaponCriticalSpecialization",CLASSFEATUREHEADERS,0),MATCH($A55,CLASSNAMEHEADERS,0)),WeaponCS,"")))))))}</f>
        <v>WEAPONSPECIALL05</v>
      </c>
      <c r="M54" s="230"/>
      <c r="N54" s="230" t="str">
        <f t="array" ref="N54:N55">{"WEAPONSPECIALL07";((IF("07"=INDEX(ALLCLASSDATA,MATCH("WeaponGreaterSpecialization",CLASSFEATUREHEADERS,0),MATCH($A55,CLASSNAMEHEADERS,0)),WeaponGWS,(IF("07"=INDEX(ALLCLASSDATA,MATCH("WeaponSpecialization",CLASSFEATUREHEADERS,0),MATCH($A55,CLASSNAMEHEADERS,0)),WeaponWS,(IF("07"=INDEX(ALLCLASSDATA,MATCH("WeaponCriticalSpecialization",CLASSFEATUREHEADERS,0),MATCH($A55,CLASSNAMEHEADERS,0)),WeaponCS,"")))))))}</f>
        <v>WEAPONSPECIALL07</v>
      </c>
      <c r="O54" s="230"/>
      <c r="P54" s="230" t="str">
        <f t="array" ref="P54:P55">{"WEAPONSPECIALL09";((IF("09"=INDEX(ALLCLASSDATA,MATCH("WeaponGreaterSpecialization",CLASSFEATUREHEADERS,0),MATCH($A55,CLASSNAMEHEADERS,0)),WeaponGWS,(IF("09"=INDEX(ALLCLASSDATA,MATCH("WeaponSpecialization",CLASSFEATUREHEADERS,0),MATCH($A55,CLASSNAMEHEADERS,0)),WeaponWS,(IF("09"=INDEX(ALLCLASSDATA,MATCH("WeaponCriticalSpecialization",CLASSFEATUREHEADERS,0),MATCH($A55,CLASSNAMEHEADERS,0)),WeaponCS,"")))))))}</f>
        <v>WEAPONSPECIALL09</v>
      </c>
      <c r="Q54" s="230"/>
      <c r="R54" s="230" t="str">
        <f t="array" ref="R54:R55">{"WEAPONSPECIALL11";((IF("11"=INDEX(ALLCLASSDATA,MATCH("WeaponGreaterSpecialization",CLASSFEATUREHEADERS,0),MATCH($A55,CLASSNAMEHEADERS,0)),WeaponGWS,(IF("11"=INDEX(ALLCLASSDATA,MATCH("WeaponSpecialization",CLASSFEATUREHEADERS,0),MATCH($A55,CLASSNAMEHEADERS,0)),WeaponWS,(IF("11"=INDEX(ALLCLASSDATA,MATCH("WeaponCriticalSpecialization",CLASSFEATUREHEADERS,0),MATCH($A55,CLASSNAMEHEADERS,0)),WeaponCS,"")))))))}</f>
        <v>WEAPONSPECIALL11</v>
      </c>
      <c r="S54" s="230"/>
      <c r="T54" s="230" t="str">
        <f t="array" ref="T54:T55">{"WEAPONSPECIALL13";((IF("13"=INDEX(ALLCLASSDATA,MATCH("WeaponGreaterSpecialization",CLASSFEATUREHEADERS,0),MATCH($A55,CLASSNAMEHEADERS,0)),WeaponGWS,(IF("13"=INDEX(ALLCLASSDATA,MATCH("WeaponSpecialization",CLASSFEATUREHEADERS,0),MATCH($A55,CLASSNAMEHEADERS,0)),WeaponWS,(IF("13"=INDEX(ALLCLASSDATA,MATCH("WeaponCriticalSpecialization",CLASSFEATUREHEADERS,0),MATCH($A55,CLASSNAMEHEADERS,0)),WeaponCS,"")))))))}</f>
        <v>WEAPONSPECIALL13</v>
      </c>
      <c r="U54" s="230"/>
      <c r="V54" s="230" t="str">
        <f t="array" ref="V54:V55">{"WEAPONSPECIALL15";((IF("15"=INDEX(ALLCLASSDATA,MATCH("WeaponGreaterSpecialization",CLASSFEATUREHEADERS,0),MATCH($A55,CLASSNAMEHEADERS,0)),WeaponGWS,(IF("15"=INDEX(ALLCLASSDATA,MATCH("WeaponSpecialization",CLASSFEATUREHEADERS,0),MATCH($A55,CLASSNAMEHEADERS,0)),WeaponWS,(IF("15"=INDEX(ALLCLASSDATA,MATCH("WeaponCriticalSpecialization",CLASSFEATUREHEADERS,0),MATCH($A55,CLASSNAMEHEADERS,0)),WeaponCS,"")))))))}</f>
        <v>WEAPONSPECIALL15</v>
      </c>
      <c r="W54" s="230"/>
      <c r="X54" s="230" t="str">
        <f t="array" ref="X54:X55">{"WEAPONSPECIALL17";((IF("17"=INDEX(ALLCLASSDATA,MATCH("WeaponGreaterSpecialization",CLASSFEATUREHEADERS,0),MATCH($A55,CLASSNAMEHEADERS,0)),WeaponGWS,(IF("17"=INDEX(ALLCLASSDATA,MATCH("WeaponSpecialization",CLASSFEATUREHEADERS,0),MATCH($A55,CLASSNAMEHEADERS,0)),WeaponWS,(IF("17"=INDEX(ALLCLASSDATA,MATCH("WeaponCriticalSpecialization",CLASSFEATUREHEADERS,0),MATCH($A55,CLASSNAMEHEADERS,0)),WeaponCS,"")))))))}</f>
        <v>WEAPONSPECIALL17</v>
      </c>
      <c r="Y54" s="230"/>
      <c r="Z54" s="230" t="str">
        <f t="array" ref="Z54:Z55">{"WEAPONSPECIALL19";((IF("19"=INDEX(ALLCLASSDATA,MATCH("WeaponGreaterSpecialization",CLASSFEATUREHEADERS,0),MATCH($A55,CLASSNAMEHEADERS,0)),WeaponGWS,(IF("19"=INDEX(ALLCLASSDATA,MATCH("WeaponSpecialization",CLASSFEATUREHEADERS,0),MATCH($A55,CLASSNAMEHEADERS,0)),WeaponWS,(IF("19"=INDEX(ALLCLASSDATA,MATCH("WeaponCriticalSpecialization",CLASSFEATUREHEADERS,0),MATCH($A55,CLASSNAMEHEADERS,0)),WeaponCS,"")))))))}</f>
        <v>WEAPONSPECIALL19</v>
      </c>
      <c r="AA54" s="230"/>
      <c r="AB54" s="76"/>
      <c r="AC54" s="76" t="str">
        <f t="array" ref="AC54:AC55">{"WEAPONSPECIAL TOTAL";(sum(G55:AA55))}</f>
        <v>WEAPONSPECIAL TOTAL</v>
      </c>
    </row>
    <row r="55">
      <c r="A55" s="48" t="s">
        <v>65</v>
      </c>
      <c r="B55" s="48"/>
      <c r="C55" s="48" t="s">
        <v>406</v>
      </c>
      <c r="D55" s="48" t="s">
        <v>1634</v>
      </c>
      <c r="E55" s="48" t="s">
        <v>1635</v>
      </c>
      <c r="F55" s="5"/>
      <c r="G55" s="47"/>
      <c r="H55" s="5" t="s">
        <v>603</v>
      </c>
      <c r="I55" s="5"/>
      <c r="J55" s="5" t="s">
        <v>603</v>
      </c>
      <c r="K55" s="5"/>
      <c r="L55" s="5" t="s">
        <v>603</v>
      </c>
      <c r="M55" s="5"/>
      <c r="N55" s="5">
        <v>70.0</v>
      </c>
      <c r="O55" s="5"/>
      <c r="P55" s="5" t="s">
        <v>603</v>
      </c>
      <c r="Q55" s="5"/>
      <c r="R55" s="5" t="s">
        <v>603</v>
      </c>
      <c r="S55" s="5"/>
      <c r="T55" s="5" t="s">
        <v>603</v>
      </c>
      <c r="U55" s="5"/>
      <c r="V55" s="5">
        <v>150.0</v>
      </c>
      <c r="W55" s="5"/>
      <c r="X55" s="5" t="s">
        <v>603</v>
      </c>
      <c r="Y55" s="5"/>
      <c r="Z55" s="5" t="s">
        <v>603</v>
      </c>
      <c r="AA55" s="5"/>
      <c r="AB55" s="5"/>
      <c r="AC55" s="47">
        <v>220.0</v>
      </c>
    </row>
    <row r="56" hidden="1">
      <c r="A56" s="222" t="str">
        <f t="array" ref="A56:A57">{"FormulaRow27";(INDEX(CLASSLIST,A3,1))}</f>
        <v>FormulaRow27</v>
      </c>
      <c r="B56" s="77" t="s">
        <v>236</v>
      </c>
      <c r="C56" s="222" t="str">
        <f t="array" ref="C56:C57">{"CLASSTYPE";((INDEX(ALLCLASSDATA,MATCH("ClassType",CLASSFEATUREHEADERS,0),MATCH($A57,CLASSNAMEHEADERS,0))))}</f>
        <v>CLASSTYPE</v>
      </c>
      <c r="D56" s="222" t="str">
        <f t="array" ref="D56:D57">{"ATTACK";"Attack"}</f>
        <v>ATTACK</v>
      </c>
      <c r="E56" s="222" t="str">
        <f t="array" ref="E56:E57">{"UNARMED";"Unarmed"}</f>
        <v>UNARMED</v>
      </c>
      <c r="F56" s="223" t="str">
        <f t="array" ref="F56:F57">{"UNARMEDINITIAL";((IF(H57=10,"T",(IF(H57=50,"E","")))))}</f>
        <v>UNARMEDINITIAL</v>
      </c>
      <c r="G56" s="223" t="str">
        <f t="array" ref="G56:G57">{"UNARMEDINITIALPTS";((IF("00"=(INDEX(ALLCLASSDATA,MATCH("UnarmedLegendary",CLASSFEATUREHEADERS,0),MATCH($A57,CLASSNAMEHEADERS,0))),(INDEX(ALLCLASSDATA,MATCH("UnarmedLegendary",CLASSFEATUREHEADERS,0),MATCH(($A57 &amp; "Points"),CLASSNAMEHEADERS,0))),(IF("00"=(INDEX(ALLCLASSDATA,MATCH("UnarmedMaster",CLASSFEATUREHEADERS,0),MATCH($A57,CLASSNAMEHEADERS,0))),(INDEX(ALLCLASSDATA,MATCH("UnarmedMaster",CLASSFEATUREHEADERS,0),MATCH(($A57 &amp; "Points"),CLASSNAMEHEADERS,0))),(IF("00"=(INDEX(ALLCLASSDATA,MATCH("UnarmedExpert",CLASSFEATUREHEADERS,0),MATCH($A57,CLASSNAMEHEADERS,0))),(INDEX(ALLCLASSDATA,MATCH("UnarmedExpert",CLASSFEATUREHEADERS,0),MATCH(($A57 &amp; "Points"),CLASSNAMEHEADERS,0))),(IF("00"=(INDEX(ALLCLASSDATA,MATCH("UnarmedTrained",CLASSFEATUREHEADERS,0),MATCH($A57,CLASSNAMEHEADERS,0))),(INDEX(ALLCLASSDATA,MATCH("UnarmedTrained",CLASSFEATUREHEADERS,0),MATCH(($A57 &amp; "Points"),CLASSNAMEHEADERS,0))),"")))))))))}</f>
        <v>UNARMEDINITIALPTS</v>
      </c>
      <c r="H56" s="223" t="str">
        <f t="array" ref="H56:H57">{"UNARMEDL01";((IF("01"=(INDEX(ALLCLASSDATA,MATCH("UnarmedLegendary",CLASSFEATUREHEADERS,0),MATCH($A57,CLASSNAMEHEADERS,0))),(INDEX(ALLCLASSDATA,MATCH("UnarmedLegendary",CLASSFEATUREHEADERS,0),MATCH(($A57 &amp; "Points"),CLASSNAMEHEADERS,0))),(IF("01"=(INDEX(ALLCLASSDATA,MATCH("UnarmedMaster",CLASSFEATUREHEADERS,0),MATCH($A57,CLASSNAMEHEADERS,0))),(INDEX(ALLCLASSDATA,MATCH("UnarmedMaster",CLASSFEATUREHEADERS,0),MATCH(($A57 &amp; "Points"),CLASSNAMEHEADERS,0))),(IF("01"=(INDEX(ALLCLASSDATA,MATCH("UnarmedExpert",CLASSFEATUREHEADERS,0),MATCH($A57,CLASSNAMEHEADERS,0))),(INDEX(ALLCLASSDATA,MATCH("UnarmedExpert",CLASSFEATUREHEADERS,0),MATCH(($A57 &amp; "Points"),CLASSNAMEHEADERS,0))),(IF("01"=(INDEX(ALLCLASSDATA,MATCH("UnarmedTrained",CLASSFEATUREHEADERS,0),MATCH($A57,CLASSNAMEHEADERS,0))),(INDEX(ALLCLASSDATA,MATCH("UnarmedTrained",CLASSFEATUREHEADERS,0),MATCH(($A57 &amp; "Points"),CLASSNAMEHEADERS,0))),"")))))))))}</f>
        <v>UNARMEDL01</v>
      </c>
      <c r="I56" s="223"/>
      <c r="J56" s="223" t="str">
        <f t="array" ref="J56:J57">{"UNARMEDL03";((IF("03"=(INDEX(ALLCLASSDATA,MATCH("UnarmedLegendary",CLASSFEATUREHEADERS,0),MATCH($A57,CLASSNAMEHEADERS,0))),(INDEX(ALLCLASSDATA,MATCH("UnarmedLegendary",CLASSFEATUREHEADERS,0),MATCH(($A57 &amp; "Points"),CLASSNAMEHEADERS,0))),(IF("03"=(INDEX(ALLCLASSDATA,MATCH("UnarmedMaster",CLASSFEATUREHEADERS,0),MATCH($A57,CLASSNAMEHEADERS,0))),(INDEX(ALLCLASSDATA,MATCH("UnarmedMaster",CLASSFEATUREHEADERS,0),MATCH(($A57 &amp; "Points"),CLASSNAMEHEADERS,0))),(IF("03"=(INDEX(ALLCLASSDATA,MATCH("UnarmedExpert",CLASSFEATUREHEADERS,0),MATCH($A57,CLASSNAMEHEADERS,0))),(INDEX(ALLCLASSDATA,MATCH("UnarmedExpert",CLASSFEATUREHEADERS,0),MATCH(($A57 &amp; "Points"),CLASSNAMEHEADERS,0))),(IF("03"=(INDEX(ALLCLASSDATA,MATCH("UnarmedTrained",CLASSFEATUREHEADERS,0),MATCH($A57,CLASSNAMEHEADERS,0))),(INDEX(ALLCLASSDATA,MATCH("UnarmedTrained",CLASSFEATUREHEADERS,0),MATCH(($A57 &amp; "Points"),CLASSNAMEHEADERS,0))),"")))))))))}</f>
        <v>UNARMEDL03</v>
      </c>
      <c r="K56" s="223"/>
      <c r="L56" s="223" t="str">
        <f t="array" ref="L56:L57">{"UNARMEDL05";((IF("05"=(INDEX(ALLCLASSDATA,MATCH("UnarmedLegendary",CLASSFEATUREHEADERS,0),MATCH($A57,CLASSNAMEHEADERS,0))),(INDEX(ALLCLASSDATA,MATCH("UnarmedLegendary",CLASSFEATUREHEADERS,0),MATCH(($A57 &amp; "Points"),CLASSNAMEHEADERS,0))),(IF("05"=(INDEX(ALLCLASSDATA,MATCH("UnarmedMaster",CLASSFEATUREHEADERS,0),MATCH($A57,CLASSNAMEHEADERS,0))),(INDEX(ALLCLASSDATA,MATCH("UnarmedMaster",CLASSFEATUREHEADERS,0),MATCH(($A57 &amp; "Points"),CLASSNAMEHEADERS,0))),(IF("05"=(INDEX(ALLCLASSDATA,MATCH("UnarmedExpert",CLASSFEATUREHEADERS,0),MATCH($A57,CLASSNAMEHEADERS,0))),(INDEX(ALLCLASSDATA,MATCH("UnarmedExpert",CLASSFEATUREHEADERS,0),MATCH(($A57 &amp; "Points"),CLASSNAMEHEADERS,0))),(IF("05"=(INDEX(ALLCLASSDATA,MATCH("UnarmedTrained",CLASSFEATUREHEADERS,0),MATCH($A57,CLASSNAMEHEADERS,0))),(INDEX(ALLCLASSDATA,MATCH("UnarmedTrained",CLASSFEATUREHEADERS,0),MATCH(($A57 &amp; "Points"),CLASSNAMEHEADERS,0))),"")))))))))}</f>
        <v>UNARMEDL05</v>
      </c>
      <c r="M56" s="223"/>
      <c r="N56" s="223" t="str">
        <f t="array" ref="N56:N57">{"UNARMEDL07";((IF("07"=(INDEX(ALLCLASSDATA,MATCH("UnarmedLegendary",CLASSFEATUREHEADERS,0),MATCH($A57,CLASSNAMEHEADERS,0))),(INDEX(ALLCLASSDATA,MATCH("UnarmedLegendary",CLASSFEATUREHEADERS,0),MATCH(($A57 &amp; "Points"),CLASSNAMEHEADERS,0))),(IF("07"=(INDEX(ALLCLASSDATA,MATCH("UnarmedMaster",CLASSFEATUREHEADERS,0),MATCH($A57,CLASSNAMEHEADERS,0))),(INDEX(ALLCLASSDATA,MATCH("UnarmedMaster",CLASSFEATUREHEADERS,0),MATCH(($A57 &amp; "Points"),CLASSNAMEHEADERS,0))),(IF("07"=(INDEX(ALLCLASSDATA,MATCH("UnarmedExpert",CLASSFEATUREHEADERS,0),MATCH($A57,CLASSNAMEHEADERS,0))),(INDEX(ALLCLASSDATA,MATCH("UnarmedExpert",CLASSFEATUREHEADERS,0),MATCH(($A57 &amp; "Points"),CLASSNAMEHEADERS,0))),(IF("07"=(INDEX(ALLCLASSDATA,MATCH("UnarmedTrained",CLASSFEATUREHEADERS,0),MATCH($A57,CLASSNAMEHEADERS,0))),(INDEX(ALLCLASSDATA,MATCH("UnarmedTrained",CLASSFEATUREHEADERS,0),MATCH(($A57 &amp; "Points"),CLASSNAMEHEADERS,0))),"")))))))))}</f>
        <v>UNARMEDL07</v>
      </c>
      <c r="O56" s="223"/>
      <c r="P56" s="223" t="str">
        <f t="array" ref="P56:P57">{"UNARMEDL09";((IF("09"=(INDEX(ALLCLASSDATA,MATCH("UnarmedLegendary",CLASSFEATUREHEADERS,0),MATCH($A57,CLASSNAMEHEADERS,0))),(INDEX(ALLCLASSDATA,MATCH("UnarmedLegendary",CLASSFEATUREHEADERS,0),MATCH(($A57 &amp; "Points"),CLASSNAMEHEADERS,0))),(IF("09"=(INDEX(ALLCLASSDATA,MATCH("UnarmedMaster",CLASSFEATUREHEADERS,0),MATCH($A57,CLASSNAMEHEADERS,0))),(INDEX(ALLCLASSDATA,MATCH("UnarmedMaster",CLASSFEATUREHEADERS,0),MATCH(($A57 &amp; "Points"),CLASSNAMEHEADERS,0))),(IF("09"=(INDEX(ALLCLASSDATA,MATCH("UnarmedExpert",CLASSFEATUREHEADERS,0),MATCH($A57,CLASSNAMEHEADERS,0))),(INDEX(ALLCLASSDATA,MATCH("UnarmedExpert",CLASSFEATUREHEADERS,0),MATCH(($A57 &amp; "Points"),CLASSNAMEHEADERS,0))),(IF("09"=(INDEX(ALLCLASSDATA,MATCH("UnarmedTrained",CLASSFEATUREHEADERS,0),MATCH($A57,CLASSNAMEHEADERS,0))),(INDEX(ALLCLASSDATA,MATCH("UnarmedTrained",CLASSFEATUREHEADERS,0),MATCH(($A57 &amp; "Points"),CLASSNAMEHEADERS,0))),"")))))))))}</f>
        <v>UNARMEDL09</v>
      </c>
      <c r="Q56" s="223"/>
      <c r="R56" s="223" t="str">
        <f t="array" ref="R56:R57">{"UNARMEDL11";((IF("11"=(INDEX(ALLCLASSDATA,MATCH("UnarmedLegendary",CLASSFEATUREHEADERS,0),MATCH($A57,CLASSNAMEHEADERS,0))),(INDEX(ALLCLASSDATA,MATCH("UnarmedLegendary",CLASSFEATUREHEADERS,0),MATCH(($A57 &amp; "Points"),CLASSNAMEHEADERS,0))),(IF("11"=(INDEX(ALLCLASSDATA,MATCH("UnarmedMaster",CLASSFEATUREHEADERS,0),MATCH($A57,CLASSNAMEHEADERS,0))),(INDEX(ALLCLASSDATA,MATCH("UnarmedMaster",CLASSFEATUREHEADERS,0),MATCH(($A57 &amp; "Points"),CLASSNAMEHEADERS,0))),(IF("11"=(INDEX(ALLCLASSDATA,MATCH("UnarmedExpert",CLASSFEATUREHEADERS,0),MATCH($A57,CLASSNAMEHEADERS,0))),(INDEX(ALLCLASSDATA,MATCH("UnarmedExpert",CLASSFEATUREHEADERS,0),MATCH(($A57 &amp; "Points"),CLASSNAMEHEADERS,0))),(IF("11"=(INDEX(ALLCLASSDATA,MATCH("UnarmedTrained",CLASSFEATUREHEADERS,0),MATCH($A57,CLASSNAMEHEADERS,0))),(INDEX(ALLCLASSDATA,MATCH("UnarmedTrained",CLASSFEATUREHEADERS,0),MATCH(($A57 &amp; "Points"),CLASSNAMEHEADERS,0))),"")))))))))}</f>
        <v>UNARMEDL11</v>
      </c>
      <c r="S56" s="223"/>
      <c r="T56" s="223" t="str">
        <f t="array" ref="T56:T57">{"UNARMEDL13";((IF("13"=(INDEX(ALLCLASSDATA,MATCH("UnarmedLegendary",CLASSFEATUREHEADERS,0),MATCH($A57,CLASSNAMEHEADERS,0))),(INDEX(ALLCLASSDATA,MATCH("UnarmedLegendary",CLASSFEATUREHEADERS,0),MATCH(($A57 &amp; "Points"),CLASSNAMEHEADERS,0))),(IF("13"=(INDEX(ALLCLASSDATA,MATCH("UnarmedMaster",CLASSFEATUREHEADERS,0),MATCH($A57,CLASSNAMEHEADERS,0))),(INDEX(ALLCLASSDATA,MATCH("UnarmedMaster",CLASSFEATUREHEADERS,0),MATCH(($A57 &amp; "Points"),CLASSNAMEHEADERS,0))),(IF("13"=(INDEX(ALLCLASSDATA,MATCH("UnarmedExpert",CLASSFEATUREHEADERS,0),MATCH($A57,CLASSNAMEHEADERS,0))),(INDEX(ALLCLASSDATA,MATCH("UnarmedExpert",CLASSFEATUREHEADERS,0),MATCH(($A57 &amp; "Points"),CLASSNAMEHEADERS,0))),(IF("13"=(INDEX(ALLCLASSDATA,MATCH("UnarmedTrained",CLASSFEATUREHEADERS,0),MATCH($A57,CLASSNAMEHEADERS,0))),(INDEX(ALLCLASSDATA,MATCH("UnarmedTrained",CLASSFEATUREHEADERS,0),MATCH(($A57 &amp; "Points"),CLASSNAMEHEADERS,0))),"")))))))))}</f>
        <v>UNARMEDL13</v>
      </c>
      <c r="U56" s="223"/>
      <c r="V56" s="223" t="str">
        <f t="array" ref="V56:V57">{"UNARMEDL15";((IF("15"=(INDEX(ALLCLASSDATA,MATCH("UnarmedLegendary",CLASSFEATUREHEADERS,0),MATCH($A57,CLASSNAMEHEADERS,0))),(INDEX(ALLCLASSDATA,MATCH("UnarmedLegendary",CLASSFEATUREHEADERS,0),MATCH(($A57 &amp; "Points"),CLASSNAMEHEADERS,0))),(IF("15"=(INDEX(ALLCLASSDATA,MATCH("UnarmedMaster",CLASSFEATUREHEADERS,0),MATCH($A57,CLASSNAMEHEADERS,0))),(INDEX(ALLCLASSDATA,MATCH("UnarmedMaster",CLASSFEATUREHEADERS,0),MATCH(($A57 &amp; "Points"),CLASSNAMEHEADERS,0))),(IF("15"=(INDEX(ALLCLASSDATA,MATCH("UnarmedExpert",CLASSFEATUREHEADERS,0),MATCH($A57,CLASSNAMEHEADERS,0))),(INDEX(ALLCLASSDATA,MATCH("UnarmedExpert",CLASSFEATUREHEADERS,0),MATCH(($A57 &amp; "Points"),CLASSNAMEHEADERS,0))),(IF("15"=(INDEX(ALLCLASSDATA,MATCH("UnarmedTrained",CLASSFEATUREHEADERS,0),MATCH($A57,CLASSNAMEHEADERS,0))),(INDEX(ALLCLASSDATA,MATCH("UnarmedTrained",CLASSFEATUREHEADERS,0),MATCH(($A57 &amp; "Points"),CLASSNAMEHEADERS,0))),"")))))))))}</f>
        <v>UNARMEDL15</v>
      </c>
      <c r="W56" s="223"/>
      <c r="X56" s="223" t="str">
        <f t="array" ref="X56:X57">{"UNARMEDL17";((IF("17"=(INDEX(ALLCLASSDATA,MATCH("UnarmedLegendary",CLASSFEATUREHEADERS,0),MATCH($A57,CLASSNAMEHEADERS,0))),(INDEX(ALLCLASSDATA,MATCH("UnarmedLegendary",CLASSFEATUREHEADERS,0),MATCH(($A57 &amp; "Points"),CLASSNAMEHEADERS,0))),(IF("17"=(INDEX(ALLCLASSDATA,MATCH("UnarmedMaster",CLASSFEATUREHEADERS,0),MATCH($A57,CLASSNAMEHEADERS,0))),(INDEX(ALLCLASSDATA,MATCH("UnarmedMaster",CLASSFEATUREHEADERS,0),MATCH(($A57 &amp; "Points"),CLASSNAMEHEADERS,0))),(IF("17"=(INDEX(ALLCLASSDATA,MATCH("UnarmedExpert",CLASSFEATUREHEADERS,0),MATCH($A57,CLASSNAMEHEADERS,0))),(INDEX(ALLCLASSDATA,MATCH("UnarmedExpert",CLASSFEATUREHEADERS,0),MATCH(($A57 &amp; "Points"),CLASSNAMEHEADERS,0))),(IF("17"=(INDEX(ALLCLASSDATA,MATCH("UnarmedTrained",CLASSFEATUREHEADERS,0),MATCH($A57,CLASSNAMEHEADERS,0))),(INDEX(ALLCLASSDATA,MATCH("UnarmedTrained",CLASSFEATUREHEADERS,0),MATCH(($A57 &amp; "Points"),CLASSNAMEHEADERS,0))),"")))))))))}</f>
        <v>UNARMEDL17</v>
      </c>
      <c r="Y56" s="223"/>
      <c r="Z56" s="223" t="str">
        <f t="array" ref="Z56:Z57">{"UNARMEDL19";((IF("19"=(INDEX(ALLCLASSDATA,MATCH("UnarmedLegendary",CLASSFEATUREHEADERS,0),MATCH($A57,CLASSNAMEHEADERS,0))),(INDEX(ALLCLASSDATA,MATCH("UnarmedLegendary",CLASSFEATUREHEADERS,0),MATCH(($A57 &amp; "Points"),CLASSNAMEHEADERS,0))),(IF("19"=(INDEX(ALLCLASSDATA,MATCH("UnarmedMaster",CLASSFEATUREHEADERS,0),MATCH($A57,CLASSNAMEHEADERS,0))),(INDEX(ALLCLASSDATA,MATCH("UnarmedMaster",CLASSFEATUREHEADERS,0),MATCH(($A57 &amp; "Points"),CLASSNAMEHEADERS,0))),(IF("19"=(INDEX(ALLCLASSDATA,MATCH("UnarmedExpert",CLASSFEATUREHEADERS,0),MATCH($A57,CLASSNAMEHEADERS,0))),(INDEX(ALLCLASSDATA,MATCH("UnarmedExpert",CLASSFEATUREHEADERS,0),MATCH(($A57 &amp; "Points"),CLASSNAMEHEADERS,0))),(IF("19"=(INDEX(ALLCLASSDATA,MATCH("UnarmedTrained",CLASSFEATUREHEADERS,0),MATCH($A57,CLASSNAMEHEADERS,0))),(INDEX(ALLCLASSDATA,MATCH("UnarmedTrained",CLASSFEATUREHEADERS,0),MATCH(($A57 &amp; "Points"),CLASSNAMEHEADERS,0))),"")))))))))}</f>
        <v>UNARMEDL19</v>
      </c>
      <c r="AA56" s="223"/>
      <c r="AB56" s="76" t="str">
        <f t="array" ref="AB56:AB57">{"UNARMED TOTAL";(IF(COUNTBLANK(G57:AA57)=17,"L",(IF(COUNTBLANK(G57:AA57)=18,"M",(IF(COUNTBLANK(G57:AA57)=19,"E",(IF(COUNTBLANK(G57:AA57)=20,"T",""))))))))}</f>
        <v>UNARMED TOTAL</v>
      </c>
      <c r="AC56" s="76" t="str">
        <f t="array" ref="AC56:AC57">{"UNARMED TOTAL";(sum(G57:AA57))}</f>
        <v>UNARMED TOTAL</v>
      </c>
    </row>
    <row r="57">
      <c r="A57" s="48" t="s">
        <v>65</v>
      </c>
      <c r="B57" s="48"/>
      <c r="C57" s="48" t="s">
        <v>406</v>
      </c>
      <c r="D57" s="48" t="s">
        <v>1634</v>
      </c>
      <c r="E57" s="48" t="s">
        <v>257</v>
      </c>
      <c r="F57" s="5" t="s">
        <v>435</v>
      </c>
      <c r="G57" s="47" t="s">
        <v>603</v>
      </c>
      <c r="H57" s="5">
        <v>10.0</v>
      </c>
      <c r="I57" s="5"/>
      <c r="J57" s="5" t="s">
        <v>603</v>
      </c>
      <c r="K57" s="5"/>
      <c r="L57" s="5" t="s">
        <v>436</v>
      </c>
      <c r="M57" s="5"/>
      <c r="N57" s="5" t="s">
        <v>603</v>
      </c>
      <c r="O57" s="5"/>
      <c r="P57" s="5" t="s">
        <v>603</v>
      </c>
      <c r="Q57" s="5"/>
      <c r="R57" s="5" t="s">
        <v>603</v>
      </c>
      <c r="S57" s="5"/>
      <c r="T57" s="5" t="s">
        <v>437</v>
      </c>
      <c r="U57" s="5"/>
      <c r="V57" s="5" t="s">
        <v>603</v>
      </c>
      <c r="W57" s="5"/>
      <c r="X57" s="5" t="s">
        <v>603</v>
      </c>
      <c r="Y57" s="5"/>
      <c r="Z57" s="5" t="s">
        <v>603</v>
      </c>
      <c r="AA57" s="5"/>
      <c r="AB57" s="5" t="s">
        <v>437</v>
      </c>
      <c r="AC57" s="47">
        <v>10.0</v>
      </c>
    </row>
    <row r="58" hidden="1">
      <c r="A58" s="222" t="str">
        <f t="array" ref="A58:A59">{"FormulaRow28";(INDEX(CLASSLIST,A3,1))}</f>
        <v>FormulaRow28</v>
      </c>
      <c r="B58" s="77" t="s">
        <v>236</v>
      </c>
      <c r="C58" s="222" t="str">
        <f t="array" ref="C58:C59">{"CLASSTYPE";((INDEX(ALLCLASSDATA,MATCH("ClassType",CLASSFEATUREHEADERS,0),MATCH($A59,CLASSNAMEHEADERS,0))))}</f>
        <v>CLASSTYPE</v>
      </c>
      <c r="D58" s="222" t="str">
        <f t="array" ref="D58:D59">{"ATTACK";"Attack"}</f>
        <v>ATTACK</v>
      </c>
      <c r="E58" s="222" t="str">
        <f t="array" ref="E58:E59">{"SIMPLELIMITED";"SimpleLimited"}</f>
        <v>SIMPLELIMITED</v>
      </c>
      <c r="F58" s="223" t="str">
        <f t="array" ref="F58:F59">{"SIMPLELIMITEDINITIAL";((IF(H59=10,"T",(IF(H59=50,"E","")))))}</f>
        <v>SIMPLELIMITEDINITIAL</v>
      </c>
      <c r="G58" s="223" t="str">
        <f t="array" ref="G58:G59">{"SIMPLELIMITEDINITIALPTS";((IF("00"=(INDEX(ALLCLASSDATA,MATCH("SimpleLimitedLegendary",CLASSFEATUREHEADERS,0),MATCH($A59,CLASSNAMEHEADERS,0))),(INDEX(ALLCLASSDATA,MATCH("SimpleLimitedLegendary",CLASSFEATUREHEADERS,0),MATCH(($A59 &amp; "Points"),CLASSNAMEHEADERS,0))),(IF("00"=(INDEX(ALLCLASSDATA,MATCH("SimpleLimitedMaster",CLASSFEATUREHEADERS,0),MATCH($A59,CLASSNAMEHEADERS,0))),(INDEX(ALLCLASSDATA,MATCH("SimpleLimitedMaster",CLASSFEATUREHEADERS,0),MATCH(($A59 &amp; "Points"),CLASSNAMEHEADERS,0))),(IF("00"=(INDEX(ALLCLASSDATA,MATCH("SimpleLimitedExpert",CLASSFEATUREHEADERS,0),MATCH($A59,CLASSNAMEHEADERS,0))),(INDEX(ALLCLASSDATA,MATCH("SimpleLimitedExpert",CLASSFEATUREHEADERS,0),MATCH(($A59 &amp; "Points"),CLASSNAMEHEADERS,0))),(IF("00"=(INDEX(ALLCLASSDATA,MATCH("SimpleLimitedTrained",CLASSFEATUREHEADERS,0),MATCH($A59,CLASSNAMEHEADERS,0))),(INDEX(ALLCLASSDATA,MATCH("SimpleLimitedTrained",CLASSFEATUREHEADERS,0),MATCH(($A59 &amp; "Points"),CLASSNAMEHEADERS,0))),"")))))))))}</f>
        <v>SIMPLELIMITEDINITIALPTS</v>
      </c>
      <c r="H58" s="223" t="str">
        <f t="array" ref="H58:H59">{"SIMPLELIMITEDL01";((IF("01"=(INDEX(ALLCLASSDATA,MATCH("SimpleLimitedLegendary",CLASSFEATUREHEADERS,0),MATCH($A59,CLASSNAMEHEADERS,0))),(INDEX(ALLCLASSDATA,MATCH("SimpleLimitedLegendary",CLASSFEATUREHEADERS,0),MATCH(($A59 &amp; "Points"),CLASSNAMEHEADERS,0))),(IF("01"=(INDEX(ALLCLASSDATA,MATCH("SimpleLimitedMaster",CLASSFEATUREHEADERS,0),MATCH($A59,CLASSNAMEHEADERS,0))),(INDEX(ALLCLASSDATA,MATCH("SimpleLimitedMaster",CLASSFEATUREHEADERS,0),MATCH(($A59 &amp; "Points"),CLASSNAMEHEADERS,0))),(IF("01"=(INDEX(ALLCLASSDATA,MATCH("SimpleLimitedExpert",CLASSFEATUREHEADERS,0),MATCH($A59,CLASSNAMEHEADERS,0))),(INDEX(ALLCLASSDATA,MATCH("SimpleLimitedExpert",CLASSFEATUREHEADERS,0),MATCH(($A59 &amp; "Points"),CLASSNAMEHEADERS,0))),(IF("01"=(INDEX(ALLCLASSDATA,MATCH("SimpleLimitedTrained",CLASSFEATUREHEADERS,0),MATCH($A59,CLASSNAMEHEADERS,0))),(INDEX(ALLCLASSDATA,MATCH("SimpleLimitedTrained",CLASSFEATUREHEADERS,0),MATCH(($A59 &amp; "Points"),CLASSNAMEHEADERS,0))),"")))))))))}</f>
        <v>SIMPLELIMITEDL01</v>
      </c>
      <c r="I58" s="223"/>
      <c r="J58" s="223" t="str">
        <f t="array" ref="J58:J59">{"SIMPLELIMITEDL03";((IF("03"=(INDEX(ALLCLASSDATA,MATCH("SimpleLimitedLegendary",CLASSFEATUREHEADERS,0),MATCH($A59,CLASSNAMEHEADERS,0))),(INDEX(ALLCLASSDATA,MATCH("SimpleLimitedLegendary",CLASSFEATUREHEADERS,0),MATCH(($A59 &amp; "Points"),CLASSNAMEHEADERS,0))),(IF("03"=(INDEX(ALLCLASSDATA,MATCH("SimpleLimitedMaster",CLASSFEATUREHEADERS,0),MATCH($A59,CLASSNAMEHEADERS,0))),(INDEX(ALLCLASSDATA,MATCH("SimpleLimitedMaster",CLASSFEATUREHEADERS,0),MATCH(($A59 &amp; "Points"),CLASSNAMEHEADERS,0))),(IF("03"=(INDEX(ALLCLASSDATA,MATCH("SimpleLimitedExpert",CLASSFEATUREHEADERS,0),MATCH($A59,CLASSNAMEHEADERS,0))),(INDEX(ALLCLASSDATA,MATCH("SimpleLimitedExpert",CLASSFEATUREHEADERS,0),MATCH(($A59 &amp; "Points"),CLASSNAMEHEADERS,0))),(IF("03"=(INDEX(ALLCLASSDATA,MATCH("SimpleLimitedTrained",CLASSFEATUREHEADERS,0),MATCH($A59,CLASSNAMEHEADERS,0))),(INDEX(ALLCLASSDATA,MATCH("SimpleLimitedTrained",CLASSFEATUREHEADERS,0),MATCH(($A59 &amp; "Points"),CLASSNAMEHEADERS,0))),"")))))))))}</f>
        <v>SIMPLELIMITEDL03</v>
      </c>
      <c r="K58" s="223"/>
      <c r="L58" s="223" t="str">
        <f t="array" ref="L58:L59">{"SIMPLELIMITEDL05";((IF("05"=(INDEX(ALLCLASSDATA,MATCH("SimpleLimitedLegendary",CLASSFEATUREHEADERS,0),MATCH($A59,CLASSNAMEHEADERS,0))),(INDEX(ALLCLASSDATA,MATCH("SimpleLimitedLegendary",CLASSFEATUREHEADERS,0),MATCH(($A59 &amp; "Points"),CLASSNAMEHEADERS,0))),(IF("05"=(INDEX(ALLCLASSDATA,MATCH("SimpleLimitedMaster",CLASSFEATUREHEADERS,0),MATCH($A59,CLASSNAMEHEADERS,0))),(INDEX(ALLCLASSDATA,MATCH("SimpleLimitedMaster",CLASSFEATUREHEADERS,0),MATCH(($A59 &amp; "Points"),CLASSNAMEHEADERS,0))),(IF("05"=(INDEX(ALLCLASSDATA,MATCH("SimpleLimitedExpert",CLASSFEATUREHEADERS,0),MATCH($A59,CLASSNAMEHEADERS,0))),(INDEX(ALLCLASSDATA,MATCH("SimpleLimitedExpert",CLASSFEATUREHEADERS,0),MATCH(($A59 &amp; "Points"),CLASSNAMEHEADERS,0))),(IF("05"=(INDEX(ALLCLASSDATA,MATCH("SimpleLimitedTrained",CLASSFEATUREHEADERS,0),MATCH($A59,CLASSNAMEHEADERS,0))),(INDEX(ALLCLASSDATA,MATCH("SimpleLimitedTrained",CLASSFEATUREHEADERS,0),MATCH(($A59 &amp; "Points"),CLASSNAMEHEADERS,0))),"")))))))))}</f>
        <v>SIMPLELIMITEDL05</v>
      </c>
      <c r="M58" s="223"/>
      <c r="N58" s="223" t="str">
        <f t="array" ref="N58:N59">{"SIMPLELIMITEDL07";((IF("07"=(INDEX(ALLCLASSDATA,MATCH("SimpleLimitedLegendary",CLASSFEATUREHEADERS,0),MATCH($A59,CLASSNAMEHEADERS,0))),(INDEX(ALLCLASSDATA,MATCH("SimpleLimitedLegendary",CLASSFEATUREHEADERS,0),MATCH(($A59 &amp; "Points"),CLASSNAMEHEADERS,0))),(IF("07"=(INDEX(ALLCLASSDATA,MATCH("SimpleLimitedMaster",CLASSFEATUREHEADERS,0),MATCH($A59,CLASSNAMEHEADERS,0))),(INDEX(ALLCLASSDATA,MATCH("SimpleLimitedMaster",CLASSFEATUREHEADERS,0),MATCH(($A59 &amp; "Points"),CLASSNAMEHEADERS,0))),(IF("07"=(INDEX(ALLCLASSDATA,MATCH("SimpleLimitedExpert",CLASSFEATUREHEADERS,0),MATCH($A59,CLASSNAMEHEADERS,0))),(INDEX(ALLCLASSDATA,MATCH("SimpleLimitedExpert",CLASSFEATUREHEADERS,0),MATCH(($A59 &amp; "Points"),CLASSNAMEHEADERS,0))),(IF("07"=(INDEX(ALLCLASSDATA,MATCH("SimpleLimitedTrained",CLASSFEATUREHEADERS,0),MATCH($A59,CLASSNAMEHEADERS,0))),(INDEX(ALLCLASSDATA,MATCH("SimpleLimitedTrained",CLASSFEATUREHEADERS,0),MATCH(($A59 &amp; "Points"),CLASSNAMEHEADERS,0))),"")))))))))}</f>
        <v>SIMPLELIMITEDL07</v>
      </c>
      <c r="O58" s="223"/>
      <c r="P58" s="223" t="str">
        <f t="array" ref="P58:P59">{"SIMPLELIMITEDL09";((IF("09"=(INDEX(ALLCLASSDATA,MATCH("SimpleLimitedLegendary",CLASSFEATUREHEADERS,0),MATCH($A59,CLASSNAMEHEADERS,0))),(INDEX(ALLCLASSDATA,MATCH("SimpleLimitedLegendary",CLASSFEATUREHEADERS,0),MATCH(($A59 &amp; "Points"),CLASSNAMEHEADERS,0))),(IF("09"=(INDEX(ALLCLASSDATA,MATCH("SimpleLimitedMaster",CLASSFEATUREHEADERS,0),MATCH($A59,CLASSNAMEHEADERS,0))),(INDEX(ALLCLASSDATA,MATCH("SimpleLimitedMaster",CLASSFEATUREHEADERS,0),MATCH(($A59 &amp; "Points"),CLASSNAMEHEADERS,0))),(IF("09"=(INDEX(ALLCLASSDATA,MATCH("SimpleLimitedExpert",CLASSFEATUREHEADERS,0),MATCH($A59,CLASSNAMEHEADERS,0))),(INDEX(ALLCLASSDATA,MATCH("SimpleLimitedExpert",CLASSFEATUREHEADERS,0),MATCH(($A59 &amp; "Points"),CLASSNAMEHEADERS,0))),(IF("09"=(INDEX(ALLCLASSDATA,MATCH("SimpleLimitedTrained",CLASSFEATUREHEADERS,0),MATCH($A59,CLASSNAMEHEADERS,0))),(INDEX(ALLCLASSDATA,MATCH("SimpleLimitedTrained",CLASSFEATUREHEADERS,0),MATCH(($A59 &amp; "Points"),CLASSNAMEHEADERS,0))),"")))))))))}</f>
        <v>SIMPLELIMITEDL09</v>
      </c>
      <c r="Q58" s="223"/>
      <c r="R58" s="223" t="str">
        <f t="array" ref="R58:R59">{"SIMPLELIMITEDL11";((IF("11"=(INDEX(ALLCLASSDATA,MATCH("SimpleLimitedLegendary",CLASSFEATUREHEADERS,0),MATCH($A59,CLASSNAMEHEADERS,0))),(INDEX(ALLCLASSDATA,MATCH("SimpleLimitedLegendary",CLASSFEATUREHEADERS,0),MATCH(($A59 &amp; "Points"),CLASSNAMEHEADERS,0))),(IF("11"=(INDEX(ALLCLASSDATA,MATCH("SimpleLimitedMaster",CLASSFEATUREHEADERS,0),MATCH($A59,CLASSNAMEHEADERS,0))),(INDEX(ALLCLASSDATA,MATCH("SimpleLimitedMaster",CLASSFEATUREHEADERS,0),MATCH(($A59 &amp; "Points"),CLASSNAMEHEADERS,0))),(IF("11"=(INDEX(ALLCLASSDATA,MATCH("SimpleLimitedExpert",CLASSFEATUREHEADERS,0),MATCH($A59,CLASSNAMEHEADERS,0))),(INDEX(ALLCLASSDATA,MATCH("SimpleLimitedExpert",CLASSFEATUREHEADERS,0),MATCH(($A59 &amp; "Points"),CLASSNAMEHEADERS,0))),(IF("11"=(INDEX(ALLCLASSDATA,MATCH("SimpleLimitedTrained",CLASSFEATUREHEADERS,0),MATCH($A59,CLASSNAMEHEADERS,0))),(INDEX(ALLCLASSDATA,MATCH("SimpleLimitedTrained",CLASSFEATUREHEADERS,0),MATCH(($A59 &amp; "Points"),CLASSNAMEHEADERS,0))),"")))))))))}</f>
        <v>SIMPLELIMITEDL11</v>
      </c>
      <c r="S58" s="223"/>
      <c r="T58" s="223" t="str">
        <f t="array" ref="T58:T59">{"SIMPLELIMITEDL13";((IF("13"=(INDEX(ALLCLASSDATA,MATCH("SimpleLimitedLegendary",CLASSFEATUREHEADERS,0),MATCH($A59,CLASSNAMEHEADERS,0))),(INDEX(ALLCLASSDATA,MATCH("SimpleLimitedLegendary",CLASSFEATUREHEADERS,0),MATCH(($A59 &amp; "Points"),CLASSNAMEHEADERS,0))),(IF("13"=(INDEX(ALLCLASSDATA,MATCH("SimpleLimitedMaster",CLASSFEATUREHEADERS,0),MATCH($A59,CLASSNAMEHEADERS,0))),(INDEX(ALLCLASSDATA,MATCH("SimpleLimitedMaster",CLASSFEATUREHEADERS,0),MATCH(($A59 &amp; "Points"),CLASSNAMEHEADERS,0))),(IF("13"=(INDEX(ALLCLASSDATA,MATCH("SimpleLimitedExpert",CLASSFEATUREHEADERS,0),MATCH($A59,CLASSNAMEHEADERS,0))),(INDEX(ALLCLASSDATA,MATCH("SimpleLimitedExpert",CLASSFEATUREHEADERS,0),MATCH(($A59 &amp; "Points"),CLASSNAMEHEADERS,0))),(IF("13"=(INDEX(ALLCLASSDATA,MATCH("SimpleLimitedTrained",CLASSFEATUREHEADERS,0),MATCH($A59,CLASSNAMEHEADERS,0))),(INDEX(ALLCLASSDATA,MATCH("SimpleLimitedTrained",CLASSFEATUREHEADERS,0),MATCH(($A59 &amp; "Points"),CLASSNAMEHEADERS,0))),"")))))))))}</f>
        <v>SIMPLELIMITEDL13</v>
      </c>
      <c r="U58" s="223"/>
      <c r="V58" s="223" t="str">
        <f t="array" ref="V58:V59">{"SIMPLELIMITEDL15";((IF("15"=(INDEX(ALLCLASSDATA,MATCH("SimpleLimitedLegendary",CLASSFEATUREHEADERS,0),MATCH($A59,CLASSNAMEHEADERS,0))),(INDEX(ALLCLASSDATA,MATCH("SimpleLimitedLegendary",CLASSFEATUREHEADERS,0),MATCH(($A59 &amp; "Points"),CLASSNAMEHEADERS,0))),(IF("15"=(INDEX(ALLCLASSDATA,MATCH("SimpleLimitedMaster",CLASSFEATUREHEADERS,0),MATCH($A59,CLASSNAMEHEADERS,0))),(INDEX(ALLCLASSDATA,MATCH("SimpleLimitedMaster",CLASSFEATUREHEADERS,0),MATCH(($A59 &amp; "Points"),CLASSNAMEHEADERS,0))),(IF("15"=(INDEX(ALLCLASSDATA,MATCH("SimpleLimitedExpert",CLASSFEATUREHEADERS,0),MATCH($A59,CLASSNAMEHEADERS,0))),(INDEX(ALLCLASSDATA,MATCH("SimpleLimitedExpert",CLASSFEATUREHEADERS,0),MATCH(($A59 &amp; "Points"),CLASSNAMEHEADERS,0))),(IF("15"=(INDEX(ALLCLASSDATA,MATCH("SimpleLimitedTrained",CLASSFEATUREHEADERS,0),MATCH($A59,CLASSNAMEHEADERS,0))),(INDEX(ALLCLASSDATA,MATCH("SimpleLimitedTrained",CLASSFEATUREHEADERS,0),MATCH(($A59 &amp; "Points"),CLASSNAMEHEADERS,0))),"")))))))))}</f>
        <v>SIMPLELIMITEDL15</v>
      </c>
      <c r="W58" s="223"/>
      <c r="X58" s="223" t="str">
        <f t="array" ref="X58:X59">{"SIMPLELIMITEDL17";((IF("17"=(INDEX(ALLCLASSDATA,MATCH("SimpleLimitedLegendary",CLASSFEATUREHEADERS,0),MATCH($A59,CLASSNAMEHEADERS,0))),(INDEX(ALLCLASSDATA,MATCH("SimpleLimitedLegendary",CLASSFEATUREHEADERS,0),MATCH(($A59 &amp; "Points"),CLASSNAMEHEADERS,0))),(IF("17"=(INDEX(ALLCLASSDATA,MATCH("SimpleLimitedMaster",CLASSFEATUREHEADERS,0),MATCH($A59,CLASSNAMEHEADERS,0))),(INDEX(ALLCLASSDATA,MATCH("SimpleLimitedMaster",CLASSFEATUREHEADERS,0),MATCH(($A59 &amp; "Points"),CLASSNAMEHEADERS,0))),(IF("17"=(INDEX(ALLCLASSDATA,MATCH("SimpleLimitedExpert",CLASSFEATUREHEADERS,0),MATCH($A59,CLASSNAMEHEADERS,0))),(INDEX(ALLCLASSDATA,MATCH("SimpleLimitedExpert",CLASSFEATUREHEADERS,0),MATCH(($A59 &amp; "Points"),CLASSNAMEHEADERS,0))),(IF("17"=(INDEX(ALLCLASSDATA,MATCH("SimpleLimitedTrained",CLASSFEATUREHEADERS,0),MATCH($A59,CLASSNAMEHEADERS,0))),(INDEX(ALLCLASSDATA,MATCH("SimpleLimitedTrained",CLASSFEATUREHEADERS,0),MATCH(($A59 &amp; "Points"),CLASSNAMEHEADERS,0))),"")))))))))}</f>
        <v>SIMPLELIMITEDL17</v>
      </c>
      <c r="Y58" s="223"/>
      <c r="Z58" s="223" t="str">
        <f t="array" ref="Z58:Z59">{"SIMPLELIMITEDL19";((IF("19"=(INDEX(ALLCLASSDATA,MATCH("SimpleLimitedLegendary",CLASSFEATUREHEADERS,0),MATCH($A59,CLASSNAMEHEADERS,0))),(INDEX(ALLCLASSDATA,MATCH("SimpleLimitedLegendary",CLASSFEATUREHEADERS,0),MATCH(($A59 &amp; "Points"),CLASSNAMEHEADERS,0))),(IF("19"=(INDEX(ALLCLASSDATA,MATCH("SimpleLimitedMaster",CLASSFEATUREHEADERS,0),MATCH($A59,CLASSNAMEHEADERS,0))),(INDEX(ALLCLASSDATA,MATCH("SimpleLimitedMaster",CLASSFEATUREHEADERS,0),MATCH(($A59 &amp; "Points"),CLASSNAMEHEADERS,0))),(IF("19"=(INDEX(ALLCLASSDATA,MATCH("SimpleLimitedExpert",CLASSFEATUREHEADERS,0),MATCH($A59,CLASSNAMEHEADERS,0))),(INDEX(ALLCLASSDATA,MATCH("SimpleLimitedExpert",CLASSFEATUREHEADERS,0),MATCH(($A59 &amp; "Points"),CLASSNAMEHEADERS,0))),(IF("19"=(INDEX(ALLCLASSDATA,MATCH("SimpleLimitedTrained",CLASSFEATUREHEADERS,0),MATCH($A59,CLASSNAMEHEADERS,0))),(INDEX(ALLCLASSDATA,MATCH("SimpleLimitedTrained",CLASSFEATUREHEADERS,0),MATCH(($A59 &amp; "Points"),CLASSNAMEHEADERS,0))),"")))))))))}</f>
        <v>SIMPLELIMITEDL19</v>
      </c>
      <c r="AA58" s="223"/>
      <c r="AB58" s="76" t="str">
        <f t="array" ref="AB58:AB59">{"SIMPLELIMITED TOTAL";(IF(COUNTBLANK(G59:AA59)=17,"L",(IF(COUNTBLANK(G59:AA59)=18,"M",(IF(COUNTBLANK(G59:AA59)=19,"E",(IF(COUNTBLANK(G59:AA59)=20,"T",""))))))))}</f>
        <v>SIMPLELIMITED TOTAL</v>
      </c>
      <c r="AC58" s="76" t="str">
        <f t="array" ref="AC58:AC59">{"SIMPLELIMITED TOTAL";(sum(G59:AA59))}</f>
        <v>SIMPLELIMITED TOTAL</v>
      </c>
    </row>
    <row r="59">
      <c r="A59" s="48" t="s">
        <v>65</v>
      </c>
      <c r="B59" s="48"/>
      <c r="C59" s="48" t="s">
        <v>406</v>
      </c>
      <c r="D59" s="48" t="s">
        <v>1634</v>
      </c>
      <c r="E59" s="48" t="s">
        <v>599</v>
      </c>
      <c r="F59" s="5" t="s">
        <v>603</v>
      </c>
      <c r="G59" s="47" t="s">
        <v>603</v>
      </c>
      <c r="H59" s="5" t="s">
        <v>603</v>
      </c>
      <c r="I59" s="5"/>
      <c r="J59" s="5" t="s">
        <v>603</v>
      </c>
      <c r="K59" s="5"/>
      <c r="L59" s="5" t="s">
        <v>603</v>
      </c>
      <c r="M59" s="5"/>
      <c r="N59" s="5" t="s">
        <v>603</v>
      </c>
      <c r="O59" s="5"/>
      <c r="P59" s="5" t="s">
        <v>603</v>
      </c>
      <c r="Q59" s="5"/>
      <c r="R59" s="5" t="s">
        <v>603</v>
      </c>
      <c r="S59" s="5"/>
      <c r="T59" s="5" t="s">
        <v>603</v>
      </c>
      <c r="U59" s="5"/>
      <c r="V59" s="5" t="s">
        <v>603</v>
      </c>
      <c r="W59" s="5"/>
      <c r="X59" s="5" t="s">
        <v>603</v>
      </c>
      <c r="Y59" s="5"/>
      <c r="Z59" s="5" t="s">
        <v>603</v>
      </c>
      <c r="AA59" s="5"/>
      <c r="AB59" s="5" t="s">
        <v>603</v>
      </c>
      <c r="AC59" s="47">
        <v>0.0</v>
      </c>
    </row>
    <row r="60" hidden="1">
      <c r="A60" s="222" t="str">
        <f t="array" ref="A60:A61">{"FormulaRow29";(INDEX(CLASSLIST,A3,1))}</f>
        <v>FormulaRow29</v>
      </c>
      <c r="B60" s="77" t="s">
        <v>236</v>
      </c>
      <c r="C60" s="222" t="str">
        <f t="array" ref="C60:C61">{"CLASSTYPE";((INDEX(ALLCLASSDATA,MATCH("ClassType",CLASSFEATUREHEADERS,0),MATCH($A61,CLASSNAMEHEADERS,0))))}</f>
        <v>CLASSTYPE</v>
      </c>
      <c r="D60" s="222" t="str">
        <f t="array" ref="D60:D61">{"ATTACK";"Attack"}</f>
        <v>ATTACK</v>
      </c>
      <c r="E60" s="222" t="str">
        <f t="array" ref="E60:E61">{"SIMPLE";"Simple"}</f>
        <v>SIMPLE</v>
      </c>
      <c r="F60" s="223" t="str">
        <f t="array" ref="F60:F61">{"SIMPLEINITIAL";((IF(H61=10,"T",(IF(H61=50,"E","")))))}</f>
        <v>SIMPLEINITIAL</v>
      </c>
      <c r="G60" s="223" t="str">
        <f t="array" ref="G60:G61">{"SIMPLEINITIALPTS";((IF("00"=(INDEX(ALLCLASSDATA,MATCH("SimpleLegendary",CLASSFEATUREHEADERS,0),MATCH($A61,CLASSNAMEHEADERS,0))),(INDEX(ALLCLASSDATA,MATCH("SimpleLegendary",CLASSFEATUREHEADERS,0),MATCH(($A61 &amp; "Points"),CLASSNAMEHEADERS,0))),(IF("00"=(INDEX(ALLCLASSDATA,MATCH("SimpleMaster",CLASSFEATUREHEADERS,0),MATCH($A61,CLASSNAMEHEADERS,0))),(INDEX(ALLCLASSDATA,MATCH("SimpleMaster",CLASSFEATUREHEADERS,0),MATCH(($A61 &amp; "Points"),CLASSNAMEHEADERS,0))),(IF("00"=(INDEX(ALLCLASSDATA,MATCH("SimpleExpert",CLASSFEATUREHEADERS,0),MATCH($A61,CLASSNAMEHEADERS,0))),(INDEX(ALLCLASSDATA,MATCH("SimpleExpert",CLASSFEATUREHEADERS,0),MATCH(($A61 &amp; "Points"),CLASSNAMEHEADERS,0))),(IF("00"=(INDEX(ALLCLASSDATA,MATCH("SimpleTrained",CLASSFEATUREHEADERS,0),MATCH($A61,CLASSNAMEHEADERS,0))),(INDEX(ALLCLASSDATA,MATCH("SimpleTrained",CLASSFEATUREHEADERS,0),MATCH(($A61 &amp; "Points"),CLASSNAMEHEADERS,0))),"")))))))))}</f>
        <v>SIMPLEINITIALPTS</v>
      </c>
      <c r="H60" s="223" t="str">
        <f t="array" ref="H60:H61">{"SIMPLEL01";((IF("01"=(INDEX(ALLCLASSDATA,MATCH("SimpleLegendary",CLASSFEATUREHEADERS,0),MATCH($A61,CLASSNAMEHEADERS,0))),(INDEX(ALLCLASSDATA,MATCH("SimpleLegendary",CLASSFEATUREHEADERS,0),MATCH(($A61 &amp; "Points"),CLASSNAMEHEADERS,0))),(IF("01"=(INDEX(ALLCLASSDATA,MATCH("SimpleMaster",CLASSFEATUREHEADERS,0),MATCH($A61,CLASSNAMEHEADERS,0))),(INDEX(ALLCLASSDATA,MATCH("SimpleMaster",CLASSFEATUREHEADERS,0),MATCH(($A61 &amp; "Points"),CLASSNAMEHEADERS,0))),(IF("01"=(INDEX(ALLCLASSDATA,MATCH("SimpleExpert",CLASSFEATUREHEADERS,0),MATCH($A61,CLASSNAMEHEADERS,0))),(INDEX(ALLCLASSDATA,MATCH("SimpleExpert",CLASSFEATUREHEADERS,0),MATCH(($A61 &amp; "Points"),CLASSNAMEHEADERS,0))),(IF("01"=(INDEX(ALLCLASSDATA,MATCH("SimpleTrained",CLASSFEATUREHEADERS,0),MATCH($A61,CLASSNAMEHEADERS,0))),(INDEX(ALLCLASSDATA,MATCH("SimpleTrained",CLASSFEATUREHEADERS,0),MATCH(($A61 &amp; "Points"),CLASSNAMEHEADERS,0))),"")))))))))}</f>
        <v>SIMPLEL01</v>
      </c>
      <c r="I60" s="223"/>
      <c r="J60" s="223" t="str">
        <f t="array" ref="J60:J61">{"SIMPLEL03";((IF("03"=(INDEX(ALLCLASSDATA,MATCH("SimpleLegendary",CLASSFEATUREHEADERS,0),MATCH($A61,CLASSNAMEHEADERS,0))),(INDEX(ALLCLASSDATA,MATCH("SimpleLegendary",CLASSFEATUREHEADERS,0),MATCH(($A61 &amp; "Points"),CLASSNAMEHEADERS,0))),(IF("03"=(INDEX(ALLCLASSDATA,MATCH("SimpleMaster",CLASSFEATUREHEADERS,0),MATCH($A61,CLASSNAMEHEADERS,0))),(INDEX(ALLCLASSDATA,MATCH("SimpleMaster",CLASSFEATUREHEADERS,0),MATCH(($A61 &amp; "Points"),CLASSNAMEHEADERS,0))),(IF("03"=(INDEX(ALLCLASSDATA,MATCH("SimpleExpert",CLASSFEATUREHEADERS,0),MATCH($A61,CLASSNAMEHEADERS,0))),(INDEX(ALLCLASSDATA,MATCH("SimpleExpert",CLASSFEATUREHEADERS,0),MATCH(($A61 &amp; "Points"),CLASSNAMEHEADERS,0))),(IF("03"=(INDEX(ALLCLASSDATA,MATCH("SimpleTrained",CLASSFEATUREHEADERS,0),MATCH($A61,CLASSNAMEHEADERS,0))),(INDEX(ALLCLASSDATA,MATCH("SimpleTrained",CLASSFEATUREHEADERS,0),MATCH(($A61 &amp; "Points"),CLASSNAMEHEADERS,0))),"")))))))))}</f>
        <v>SIMPLEL03</v>
      </c>
      <c r="K60" s="223"/>
      <c r="L60" s="223" t="str">
        <f t="array" ref="L60:L61">{"SIMPLEL05";((IF("05"=(INDEX(ALLCLASSDATA,MATCH("SimpleLegendary",CLASSFEATUREHEADERS,0),MATCH($A61,CLASSNAMEHEADERS,0))),(INDEX(ALLCLASSDATA,MATCH("SimpleLegendary",CLASSFEATUREHEADERS,0),MATCH(($A61 &amp; "Points"),CLASSNAMEHEADERS,0))),(IF("05"=(INDEX(ALLCLASSDATA,MATCH("SimpleMaster",CLASSFEATUREHEADERS,0),MATCH($A61,CLASSNAMEHEADERS,0))),(INDEX(ALLCLASSDATA,MATCH("SimpleMaster",CLASSFEATUREHEADERS,0),MATCH(($A61 &amp; "Points"),CLASSNAMEHEADERS,0))),(IF("05"=(INDEX(ALLCLASSDATA,MATCH("SimpleExpert",CLASSFEATUREHEADERS,0),MATCH($A61,CLASSNAMEHEADERS,0))),(INDEX(ALLCLASSDATA,MATCH("SimpleExpert",CLASSFEATUREHEADERS,0),MATCH(($A61 &amp; "Points"),CLASSNAMEHEADERS,0))),(IF("05"=(INDEX(ALLCLASSDATA,MATCH("SimpleTrained",CLASSFEATUREHEADERS,0),MATCH($A61,CLASSNAMEHEADERS,0))),(INDEX(ALLCLASSDATA,MATCH("SimpleTrained",CLASSFEATUREHEADERS,0),MATCH(($A61 &amp; "Points"),CLASSNAMEHEADERS,0))),"")))))))))}</f>
        <v>SIMPLEL05</v>
      </c>
      <c r="M60" s="223"/>
      <c r="N60" s="223" t="str">
        <f t="array" ref="N60:N61">{"SIMPLEL07";((IF("07"=(INDEX(ALLCLASSDATA,MATCH("SimpleLegendary",CLASSFEATUREHEADERS,0),MATCH($A61,CLASSNAMEHEADERS,0))),(INDEX(ALLCLASSDATA,MATCH("SimpleLegendary",CLASSFEATUREHEADERS,0),MATCH(($A61 &amp; "Points"),CLASSNAMEHEADERS,0))),(IF("07"=(INDEX(ALLCLASSDATA,MATCH("SimpleMaster",CLASSFEATUREHEADERS,0),MATCH($A61,CLASSNAMEHEADERS,0))),(INDEX(ALLCLASSDATA,MATCH("SimpleMaster",CLASSFEATUREHEADERS,0),MATCH(($A61 &amp; "Points"),CLASSNAMEHEADERS,0))),(IF("07"=(INDEX(ALLCLASSDATA,MATCH("SimpleExpert",CLASSFEATUREHEADERS,0),MATCH($A61,CLASSNAMEHEADERS,0))),(INDEX(ALLCLASSDATA,MATCH("SimpleExpert",CLASSFEATUREHEADERS,0),MATCH(($A61 &amp; "Points"),CLASSNAMEHEADERS,0))),(IF("07"=(INDEX(ALLCLASSDATA,MATCH("SimpleTrained",CLASSFEATUREHEADERS,0),MATCH($A61,CLASSNAMEHEADERS,0))),(INDEX(ALLCLASSDATA,MATCH("SimpleTrained",CLASSFEATUREHEADERS,0),MATCH(($A61 &amp; "Points"),CLASSNAMEHEADERS,0))),"")))))))))}</f>
        <v>SIMPLEL07</v>
      </c>
      <c r="O60" s="223"/>
      <c r="P60" s="223" t="str">
        <f t="array" ref="P60:P61">{"SIMPLEL09";((IF("09"=(INDEX(ALLCLASSDATA,MATCH("SimpleLegendary",CLASSFEATUREHEADERS,0),MATCH($A61,CLASSNAMEHEADERS,0))),(INDEX(ALLCLASSDATA,MATCH("SimpleLegendary",CLASSFEATUREHEADERS,0),MATCH(($A61 &amp; "Points"),CLASSNAMEHEADERS,0))),(IF("09"=(INDEX(ALLCLASSDATA,MATCH("SimpleMaster",CLASSFEATUREHEADERS,0),MATCH($A61,CLASSNAMEHEADERS,0))),(INDEX(ALLCLASSDATA,MATCH("SimpleMaster",CLASSFEATUREHEADERS,0),MATCH(($A61 &amp; "Points"),CLASSNAMEHEADERS,0))),(IF("09"=(INDEX(ALLCLASSDATA,MATCH("SimpleExpert",CLASSFEATUREHEADERS,0),MATCH($A61,CLASSNAMEHEADERS,0))),(INDEX(ALLCLASSDATA,MATCH("SimpleExpert",CLASSFEATUREHEADERS,0),MATCH(($A61 &amp; "Points"),CLASSNAMEHEADERS,0))),(IF("09"=(INDEX(ALLCLASSDATA,MATCH("SimpleTrained",CLASSFEATUREHEADERS,0),MATCH($A61,CLASSNAMEHEADERS,0))),(INDEX(ALLCLASSDATA,MATCH("SimpleTrained",CLASSFEATUREHEADERS,0),MATCH(($A61 &amp; "Points"),CLASSNAMEHEADERS,0))),"")))))))))}</f>
        <v>SIMPLEL09</v>
      </c>
      <c r="Q60" s="223"/>
      <c r="R60" s="223" t="str">
        <f t="array" ref="R60:R61">{"SIMPLEL11";((IF("11"=(INDEX(ALLCLASSDATA,MATCH("SimpleLegendary",CLASSFEATUREHEADERS,0),MATCH($A61,CLASSNAMEHEADERS,0))),(INDEX(ALLCLASSDATA,MATCH("SimpleLegendary",CLASSFEATUREHEADERS,0),MATCH(($A61 &amp; "Points"),CLASSNAMEHEADERS,0))),(IF("11"=(INDEX(ALLCLASSDATA,MATCH("SimpleMaster",CLASSFEATUREHEADERS,0),MATCH($A61,CLASSNAMEHEADERS,0))),(INDEX(ALLCLASSDATA,MATCH("SimpleMaster",CLASSFEATUREHEADERS,0),MATCH(($A61 &amp; "Points"),CLASSNAMEHEADERS,0))),(IF("11"=(INDEX(ALLCLASSDATA,MATCH("SimpleExpert",CLASSFEATUREHEADERS,0),MATCH($A61,CLASSNAMEHEADERS,0))),(INDEX(ALLCLASSDATA,MATCH("SimpleExpert",CLASSFEATUREHEADERS,0),MATCH(($A61 &amp; "Points"),CLASSNAMEHEADERS,0))),(IF("11"=(INDEX(ALLCLASSDATA,MATCH("SimpleTrained",CLASSFEATUREHEADERS,0),MATCH($A61,CLASSNAMEHEADERS,0))),(INDEX(ALLCLASSDATA,MATCH("SimpleTrained",CLASSFEATUREHEADERS,0),MATCH(($A61 &amp; "Points"),CLASSNAMEHEADERS,0))),"")))))))))}</f>
        <v>SIMPLEL11</v>
      </c>
      <c r="S60" s="223"/>
      <c r="T60" s="223" t="str">
        <f t="array" ref="T60:T61">{"SIMPLEL13";((IF("13"=(INDEX(ALLCLASSDATA,MATCH("SimpleLegendary",CLASSFEATUREHEADERS,0),MATCH($A61,CLASSNAMEHEADERS,0))),(INDEX(ALLCLASSDATA,MATCH("SimpleLegendary",CLASSFEATUREHEADERS,0),MATCH(($A61 &amp; "Points"),CLASSNAMEHEADERS,0))),(IF("13"=(INDEX(ALLCLASSDATA,MATCH("SimpleMaster",CLASSFEATUREHEADERS,0),MATCH($A61,CLASSNAMEHEADERS,0))),(INDEX(ALLCLASSDATA,MATCH("SimpleMaster",CLASSFEATUREHEADERS,0),MATCH(($A61 &amp; "Points"),CLASSNAMEHEADERS,0))),(IF("13"=(INDEX(ALLCLASSDATA,MATCH("SimpleExpert",CLASSFEATUREHEADERS,0),MATCH($A61,CLASSNAMEHEADERS,0))),(INDEX(ALLCLASSDATA,MATCH("SimpleExpert",CLASSFEATUREHEADERS,0),MATCH(($A61 &amp; "Points"),CLASSNAMEHEADERS,0))),(IF("13"=(INDEX(ALLCLASSDATA,MATCH("SimpleTrained",CLASSFEATUREHEADERS,0),MATCH($A61,CLASSNAMEHEADERS,0))),(INDEX(ALLCLASSDATA,MATCH("SimpleTrained",CLASSFEATUREHEADERS,0),MATCH(($A61 &amp; "Points"),CLASSNAMEHEADERS,0))),"")))))))))}</f>
        <v>SIMPLEL13</v>
      </c>
      <c r="U60" s="223"/>
      <c r="V60" s="223" t="str">
        <f t="array" ref="V60:V61">{"SIMPLEL15";((IF("15"=(INDEX(ALLCLASSDATA,MATCH("SimpleLegendary",CLASSFEATUREHEADERS,0),MATCH($A61,CLASSNAMEHEADERS,0))),(INDEX(ALLCLASSDATA,MATCH("SimpleLegendary",CLASSFEATUREHEADERS,0),MATCH(($A61 &amp; "Points"),CLASSNAMEHEADERS,0))),(IF("15"=(INDEX(ALLCLASSDATA,MATCH("SimpleMaster",CLASSFEATUREHEADERS,0),MATCH($A61,CLASSNAMEHEADERS,0))),(INDEX(ALLCLASSDATA,MATCH("SimpleMaster",CLASSFEATUREHEADERS,0),MATCH(($A61 &amp; "Points"),CLASSNAMEHEADERS,0))),(IF("15"=(INDEX(ALLCLASSDATA,MATCH("SimpleExpert",CLASSFEATUREHEADERS,0),MATCH($A61,CLASSNAMEHEADERS,0))),(INDEX(ALLCLASSDATA,MATCH("SimpleExpert",CLASSFEATUREHEADERS,0),MATCH(($A61 &amp; "Points"),CLASSNAMEHEADERS,0))),(IF("15"=(INDEX(ALLCLASSDATA,MATCH("SimpleTrained",CLASSFEATUREHEADERS,0),MATCH($A61,CLASSNAMEHEADERS,0))),(INDEX(ALLCLASSDATA,MATCH("SimpleTrained",CLASSFEATUREHEADERS,0),MATCH(($A61 &amp; "Points"),CLASSNAMEHEADERS,0))),"")))))))))}</f>
        <v>SIMPLEL15</v>
      </c>
      <c r="W60" s="223"/>
      <c r="X60" s="223" t="str">
        <f t="array" ref="X60:X61">{"SIMPLEL17";((IF("17"=(INDEX(ALLCLASSDATA,MATCH("SimpleLegendary",CLASSFEATUREHEADERS,0),MATCH($A61,CLASSNAMEHEADERS,0))),(INDEX(ALLCLASSDATA,MATCH("SimpleLegendary",CLASSFEATUREHEADERS,0),MATCH(($A61 &amp; "Points"),CLASSNAMEHEADERS,0))),(IF("17"=(INDEX(ALLCLASSDATA,MATCH("SimpleMaster",CLASSFEATUREHEADERS,0),MATCH($A61,CLASSNAMEHEADERS,0))),(INDEX(ALLCLASSDATA,MATCH("SimpleMaster",CLASSFEATUREHEADERS,0),MATCH(($A61 &amp; "Points"),CLASSNAMEHEADERS,0))),(IF("17"=(INDEX(ALLCLASSDATA,MATCH("SimpleExpert",CLASSFEATUREHEADERS,0),MATCH($A61,CLASSNAMEHEADERS,0))),(INDEX(ALLCLASSDATA,MATCH("SimpleExpert",CLASSFEATUREHEADERS,0),MATCH(($A61 &amp; "Points"),CLASSNAMEHEADERS,0))),(IF("17"=(INDEX(ALLCLASSDATA,MATCH("SimpleTrained",CLASSFEATUREHEADERS,0),MATCH($A61,CLASSNAMEHEADERS,0))),(INDEX(ALLCLASSDATA,MATCH("SimpleTrained",CLASSFEATUREHEADERS,0),MATCH(($A61 &amp; "Points"),CLASSNAMEHEADERS,0))),"")))))))))}</f>
        <v>SIMPLEL17</v>
      </c>
      <c r="Y60" s="223"/>
      <c r="Z60" s="223" t="str">
        <f t="array" ref="Z60:Z61">{"SIMPLEL19";((IF("19"=(INDEX(ALLCLASSDATA,MATCH("SimpleLegendary",CLASSFEATUREHEADERS,0),MATCH($A61,CLASSNAMEHEADERS,0))),(INDEX(ALLCLASSDATA,MATCH("SimpleLegendary",CLASSFEATUREHEADERS,0),MATCH(($A61 &amp; "Points"),CLASSNAMEHEADERS,0))),(IF("19"=(INDEX(ALLCLASSDATA,MATCH("SimpleMaster",CLASSFEATUREHEADERS,0),MATCH($A61,CLASSNAMEHEADERS,0))),(INDEX(ALLCLASSDATA,MATCH("SimpleMaster",CLASSFEATUREHEADERS,0),MATCH(($A61 &amp; "Points"),CLASSNAMEHEADERS,0))),(IF("19"=(INDEX(ALLCLASSDATA,MATCH("SimpleExpert",CLASSFEATUREHEADERS,0),MATCH($A61,CLASSNAMEHEADERS,0))),(INDEX(ALLCLASSDATA,MATCH("SimpleExpert",CLASSFEATUREHEADERS,0),MATCH(($A61 &amp; "Points"),CLASSNAMEHEADERS,0))),(IF("19"=(INDEX(ALLCLASSDATA,MATCH("SimpleTrained",CLASSFEATUREHEADERS,0),MATCH($A61,CLASSNAMEHEADERS,0))),(INDEX(ALLCLASSDATA,MATCH("SimpleTrained",CLASSFEATUREHEADERS,0),MATCH(($A61 &amp; "Points"),CLASSNAMEHEADERS,0))),"")))))))))}</f>
        <v>SIMPLEL19</v>
      </c>
      <c r="AA60" s="223"/>
      <c r="AB60" s="76" t="str">
        <f t="array" ref="AB60:AB61">{"SIMPLE TOTAL";(IF(COUNTBLANK(G61:AA61)=17,"L",(IF(COUNTBLANK(G61:AA61)=18,"M",(IF(COUNTBLANK(G61:AA61)=19,"E",(IF(COUNTBLANK(G61:AA61)=20,"T",""))))))))}</f>
        <v>SIMPLE TOTAL</v>
      </c>
      <c r="AC60" s="76" t="str">
        <f t="array" ref="AC60:AC61">{"SIMPLE TOTAL";(sum(G61:AA61))}</f>
        <v>SIMPLE TOTAL</v>
      </c>
    </row>
    <row r="61">
      <c r="A61" s="48" t="s">
        <v>65</v>
      </c>
      <c r="B61" s="48"/>
      <c r="C61" s="48" t="s">
        <v>406</v>
      </c>
      <c r="D61" s="48" t="s">
        <v>1634</v>
      </c>
      <c r="E61" s="48" t="s">
        <v>68</v>
      </c>
      <c r="F61" s="5" t="s">
        <v>435</v>
      </c>
      <c r="G61" s="47" t="s">
        <v>603</v>
      </c>
      <c r="H61" s="5">
        <v>10.0</v>
      </c>
      <c r="I61" s="5"/>
      <c r="J61" s="5" t="s">
        <v>603</v>
      </c>
      <c r="K61" s="5"/>
      <c r="L61" s="48" t="s">
        <v>436</v>
      </c>
      <c r="M61" s="5"/>
      <c r="N61" s="5" t="s">
        <v>603</v>
      </c>
      <c r="O61" s="5"/>
      <c r="P61" s="5" t="s">
        <v>603</v>
      </c>
      <c r="Q61" s="5"/>
      <c r="R61" s="5" t="s">
        <v>603</v>
      </c>
      <c r="S61" s="5"/>
      <c r="T61" s="5" t="s">
        <v>437</v>
      </c>
      <c r="U61" s="5"/>
      <c r="V61" s="5" t="s">
        <v>603</v>
      </c>
      <c r="W61" s="5"/>
      <c r="X61" s="5" t="s">
        <v>603</v>
      </c>
      <c r="Y61" s="5"/>
      <c r="Z61" s="5" t="s">
        <v>603</v>
      </c>
      <c r="AA61" s="5"/>
      <c r="AB61" s="5" t="s">
        <v>437</v>
      </c>
      <c r="AC61" s="47">
        <v>10.0</v>
      </c>
    </row>
    <row r="62" hidden="1">
      <c r="A62" s="222" t="str">
        <f t="array" ref="A62:A63">{"FormulaRow30";(INDEX(CLASSLIST,A3,1))}</f>
        <v>FormulaRow30</v>
      </c>
      <c r="B62" s="77" t="s">
        <v>236</v>
      </c>
      <c r="C62" s="222" t="str">
        <f t="array" ref="C62:C63">{"CLASSTYPE";((INDEX(ALLCLASSDATA,MATCH("ClassType",CLASSFEATUREHEADERS,0),MATCH($A63,CLASSNAMEHEADERS,0))))}</f>
        <v>CLASSTYPE</v>
      </c>
      <c r="D62" s="222" t="str">
        <f t="array" ref="D62:D63">{"ATTACK";"Attack"}</f>
        <v>ATTACK</v>
      </c>
      <c r="E62" s="222" t="str">
        <f t="array" ref="E62:E63">{"MARTIALLIMITED";"MartialLimited"}</f>
        <v>MARTIALLIMITED</v>
      </c>
      <c r="F62" s="223" t="str">
        <f t="array" ref="F62:F63">{"MARTIALLIMITEDINITIAL";((IF(H63=10,"T",(IF(H63=50,"E","")))))}</f>
        <v>MARTIALLIMITEDINITIAL</v>
      </c>
      <c r="G62" s="223" t="str">
        <f t="array" ref="G62:G63">{"MARTIALLIMITEDINITIALPTS";((IF("00"=(INDEX(ALLCLASSDATA,MATCH("MartialLimitedLegendary",CLASSFEATUREHEADERS,0),MATCH($A63,CLASSNAMEHEADERS,0))),(INDEX(ALLCLASSDATA,MATCH("MartialLimitedLegendary",CLASSFEATUREHEADERS,0),MATCH(($A63 &amp; "Points"),CLASSNAMEHEADERS,0))),(IF("00"=(INDEX(ALLCLASSDATA,MATCH("MartialLimitedMaster",CLASSFEATUREHEADERS,0),MATCH($A63,CLASSNAMEHEADERS,0))),(INDEX(ALLCLASSDATA,MATCH("MartialLimitedMaster",CLASSFEATUREHEADERS,0),MATCH(($A63 &amp; "Points"),CLASSNAMEHEADERS,0))),(IF("00"=(INDEX(ALLCLASSDATA,MATCH("MartialLimitedExpert",CLASSFEATUREHEADERS,0),MATCH($A63,CLASSNAMEHEADERS,0))),(INDEX(ALLCLASSDATA,MATCH("MartialLimitedExpert",CLASSFEATUREHEADERS,0),MATCH(($A63 &amp; "Points"),CLASSNAMEHEADERS,0))),(IF("00"=(INDEX(ALLCLASSDATA,MATCH("MartialLimitedTrained",CLASSFEATUREHEADERS,0),MATCH($A63,CLASSNAMEHEADERS,0))),(INDEX(ALLCLASSDATA,MATCH("MartialLimitedTrained",CLASSFEATUREHEADERS,0),MATCH(($A63 &amp; "Points"),CLASSNAMEHEADERS,0))),"")))))))))}</f>
        <v>MARTIALLIMITEDINITIALPTS</v>
      </c>
      <c r="H62" s="223" t="str">
        <f t="array" ref="H62:H63">{"MARTIALLIMITEDL01";((IF("01"=(INDEX(ALLCLASSDATA,MATCH("MartialLimitedLegendary",CLASSFEATUREHEADERS,0),MATCH($A63,CLASSNAMEHEADERS,0))),(INDEX(ALLCLASSDATA,MATCH("MartialLimitedLegendary",CLASSFEATUREHEADERS,0),MATCH(($A63 &amp; "Points"),CLASSNAMEHEADERS,0))),(IF("01"=(INDEX(ALLCLASSDATA,MATCH("MartialLimitedMaster",CLASSFEATUREHEADERS,0),MATCH($A63,CLASSNAMEHEADERS,0))),(INDEX(ALLCLASSDATA,MATCH("MartialLimitedMaster",CLASSFEATUREHEADERS,0),MATCH(($A63 &amp; "Points"),CLASSNAMEHEADERS,0))),(IF("01"=(INDEX(ALLCLASSDATA,MATCH("MartialLimitedExpert",CLASSFEATUREHEADERS,0),MATCH($A63,CLASSNAMEHEADERS,0))),(INDEX(ALLCLASSDATA,MATCH("MartialLimitedExpert",CLASSFEATUREHEADERS,0),MATCH(($A63 &amp; "Points"),CLASSNAMEHEADERS,0))),(IF("01"=(INDEX(ALLCLASSDATA,MATCH("MartialLimitedTrained",CLASSFEATUREHEADERS,0),MATCH($A63,CLASSNAMEHEADERS,0))),(INDEX(ALLCLASSDATA,MATCH("MartialLimitedTrained",CLASSFEATUREHEADERS,0),MATCH(($A63 &amp; "Points"),CLASSNAMEHEADERS,0))),"")))))))))}</f>
        <v>MARTIALLIMITEDL01</v>
      </c>
      <c r="I62" s="223"/>
      <c r="J62" s="223" t="str">
        <f t="array" ref="J62:J63">{"MARTIALLIMITEDL03";((IF("03"=(INDEX(ALLCLASSDATA,MATCH("MartialLimitedLegendary",CLASSFEATUREHEADERS,0),MATCH($A63,CLASSNAMEHEADERS,0))),(INDEX(ALLCLASSDATA,MATCH("MartialLimitedLegendary",CLASSFEATUREHEADERS,0),MATCH(($A63 &amp; "Points"),CLASSNAMEHEADERS,0))),(IF("03"=(INDEX(ALLCLASSDATA,MATCH("MartialLimitedMaster",CLASSFEATUREHEADERS,0),MATCH($A63,CLASSNAMEHEADERS,0))),(INDEX(ALLCLASSDATA,MATCH("MartialLimitedMaster",CLASSFEATUREHEADERS,0),MATCH(($A63 &amp; "Points"),CLASSNAMEHEADERS,0))),(IF("03"=(INDEX(ALLCLASSDATA,MATCH("MartialLimitedExpert",CLASSFEATUREHEADERS,0),MATCH($A63,CLASSNAMEHEADERS,0))),(INDEX(ALLCLASSDATA,MATCH("MartialLimitedExpert",CLASSFEATUREHEADERS,0),MATCH(($A63 &amp; "Points"),CLASSNAMEHEADERS,0))),(IF("03"=(INDEX(ALLCLASSDATA,MATCH("MartialLimitedTrained",CLASSFEATUREHEADERS,0),MATCH($A63,CLASSNAMEHEADERS,0))),(INDEX(ALLCLASSDATA,MATCH("MartialLimitedTrained",CLASSFEATUREHEADERS,0),MATCH(($A63 &amp; "Points"),CLASSNAMEHEADERS,0))),"")))))))))}</f>
        <v>MARTIALLIMITEDL03</v>
      </c>
      <c r="K62" s="223"/>
      <c r="L62" s="223" t="str">
        <f t="array" ref="L62:L63">{"MARTIALLIMITEDL05";((IF("05"=(INDEX(ALLCLASSDATA,MATCH("MartialLimitedLegendary",CLASSFEATUREHEADERS,0),MATCH($A63,CLASSNAMEHEADERS,0))),(INDEX(ALLCLASSDATA,MATCH("MartialLimitedLegendary",CLASSFEATUREHEADERS,0),MATCH(($A63 &amp; "Points"),CLASSNAMEHEADERS,0))),(IF("05"=(INDEX(ALLCLASSDATA,MATCH("MartialLimitedMaster",CLASSFEATUREHEADERS,0),MATCH($A63,CLASSNAMEHEADERS,0))),(INDEX(ALLCLASSDATA,MATCH("MartialLimitedMaster",CLASSFEATUREHEADERS,0),MATCH(($A63 &amp; "Points"),CLASSNAMEHEADERS,0))),(IF("05"=(INDEX(ALLCLASSDATA,MATCH("MartialLimitedExpert",CLASSFEATUREHEADERS,0),MATCH($A63,CLASSNAMEHEADERS,0))),(INDEX(ALLCLASSDATA,MATCH("MartialLimitedExpert",CLASSFEATUREHEADERS,0),MATCH(($A63 &amp; "Points"),CLASSNAMEHEADERS,0))),(IF("05"=(INDEX(ALLCLASSDATA,MATCH("MartialLimitedTrained",CLASSFEATUREHEADERS,0),MATCH($A63,CLASSNAMEHEADERS,0))),(INDEX(ALLCLASSDATA,MATCH("MartialLimitedTrained",CLASSFEATUREHEADERS,0),MATCH(($A63 &amp; "Points"),CLASSNAMEHEADERS,0))),"")))))))))}</f>
        <v>MARTIALLIMITEDL05</v>
      </c>
      <c r="M62" s="223"/>
      <c r="N62" s="223" t="str">
        <f t="array" ref="N62:N63">{"MARTIALLIMITEDL07";((IF("07"=(INDEX(ALLCLASSDATA,MATCH("MartialLimitedLegendary",CLASSFEATUREHEADERS,0),MATCH($A63,CLASSNAMEHEADERS,0))),(INDEX(ALLCLASSDATA,MATCH("MartialLimitedLegendary",CLASSFEATUREHEADERS,0),MATCH(($A63 &amp; "Points"),CLASSNAMEHEADERS,0))),(IF("07"=(INDEX(ALLCLASSDATA,MATCH("MartialLimitedMaster",CLASSFEATUREHEADERS,0),MATCH($A63,CLASSNAMEHEADERS,0))),(INDEX(ALLCLASSDATA,MATCH("MartialLimitedMaster",CLASSFEATUREHEADERS,0),MATCH(($A63 &amp; "Points"),CLASSNAMEHEADERS,0))),(IF("07"=(INDEX(ALLCLASSDATA,MATCH("MartialLimitedExpert",CLASSFEATUREHEADERS,0),MATCH($A63,CLASSNAMEHEADERS,0))),(INDEX(ALLCLASSDATA,MATCH("MartialLimitedExpert",CLASSFEATUREHEADERS,0),MATCH(($A63 &amp; "Points"),CLASSNAMEHEADERS,0))),(IF("07"=(INDEX(ALLCLASSDATA,MATCH("MartialLimitedTrained",CLASSFEATUREHEADERS,0),MATCH($A63,CLASSNAMEHEADERS,0))),(INDEX(ALLCLASSDATA,MATCH("MartialLimitedTrained",CLASSFEATUREHEADERS,0),MATCH(($A63 &amp; "Points"),CLASSNAMEHEADERS,0))),"")))))))))}</f>
        <v>MARTIALLIMITEDL07</v>
      </c>
      <c r="O62" s="223"/>
      <c r="P62" s="223" t="str">
        <f t="array" ref="P62:P63">{"MARTIALLIMITEDL09";((IF("09"=(INDEX(ALLCLASSDATA,MATCH("MartialLimitedLegendary",CLASSFEATUREHEADERS,0),MATCH($A63,CLASSNAMEHEADERS,0))),(INDEX(ALLCLASSDATA,MATCH("MartialLimitedLegendary",CLASSFEATUREHEADERS,0),MATCH(($A63 &amp; "Points"),CLASSNAMEHEADERS,0))),(IF("09"=(INDEX(ALLCLASSDATA,MATCH("MartialLimitedMaster",CLASSFEATUREHEADERS,0),MATCH($A63,CLASSNAMEHEADERS,0))),(INDEX(ALLCLASSDATA,MATCH("MartialLimitedMaster",CLASSFEATUREHEADERS,0),MATCH(($A63 &amp; "Points"),CLASSNAMEHEADERS,0))),(IF("09"=(INDEX(ALLCLASSDATA,MATCH("MartialLimitedExpert",CLASSFEATUREHEADERS,0),MATCH($A63,CLASSNAMEHEADERS,0))),(INDEX(ALLCLASSDATA,MATCH("MartialLimitedExpert",CLASSFEATUREHEADERS,0),MATCH(($A63 &amp; "Points"),CLASSNAMEHEADERS,0))),(IF("09"=(INDEX(ALLCLASSDATA,MATCH("MartialLimitedTrained",CLASSFEATUREHEADERS,0),MATCH($A63,CLASSNAMEHEADERS,0))),(INDEX(ALLCLASSDATA,MATCH("MartialLimitedTrained",CLASSFEATUREHEADERS,0),MATCH(($A63 &amp; "Points"),CLASSNAMEHEADERS,0))),"")))))))))}</f>
        <v>MARTIALLIMITEDL09</v>
      </c>
      <c r="Q62" s="223"/>
      <c r="R62" s="223" t="str">
        <f t="array" ref="R62:R63">{"MARTIALLIMITEDL11";((IF("11"=(INDEX(ALLCLASSDATA,MATCH("MartialLimitedLegendary",CLASSFEATUREHEADERS,0),MATCH($A63,CLASSNAMEHEADERS,0))),(INDEX(ALLCLASSDATA,MATCH("MartialLimitedLegendary",CLASSFEATUREHEADERS,0),MATCH(($A63 &amp; "Points"),CLASSNAMEHEADERS,0))),(IF("11"=(INDEX(ALLCLASSDATA,MATCH("MartialLimitedMaster",CLASSFEATUREHEADERS,0),MATCH($A63,CLASSNAMEHEADERS,0))),(INDEX(ALLCLASSDATA,MATCH("MartialLimitedMaster",CLASSFEATUREHEADERS,0),MATCH(($A63 &amp; "Points"),CLASSNAMEHEADERS,0))),(IF("11"=(INDEX(ALLCLASSDATA,MATCH("MartialLimitedExpert",CLASSFEATUREHEADERS,0),MATCH($A63,CLASSNAMEHEADERS,0))),(INDEX(ALLCLASSDATA,MATCH("MartialLimitedExpert",CLASSFEATUREHEADERS,0),MATCH(($A63 &amp; "Points"),CLASSNAMEHEADERS,0))),(IF("11"=(INDEX(ALLCLASSDATA,MATCH("MartialLimitedTrained",CLASSFEATUREHEADERS,0),MATCH($A63,CLASSNAMEHEADERS,0))),(INDEX(ALLCLASSDATA,MATCH("MartialLimitedTrained",CLASSFEATUREHEADERS,0),MATCH(($A63 &amp; "Points"),CLASSNAMEHEADERS,0))),"")))))))))}</f>
        <v>MARTIALLIMITEDL11</v>
      </c>
      <c r="S62" s="223"/>
      <c r="T62" s="223" t="str">
        <f t="array" ref="T62:T63">{"MARTIALLIMITEDL13";((IF("13"=(INDEX(ALLCLASSDATA,MATCH("MartialLimitedLegendary",CLASSFEATUREHEADERS,0),MATCH($A63,CLASSNAMEHEADERS,0))),(INDEX(ALLCLASSDATA,MATCH("MartialLimitedLegendary",CLASSFEATUREHEADERS,0),MATCH(($A63 &amp; "Points"),CLASSNAMEHEADERS,0))),(IF("13"=(INDEX(ALLCLASSDATA,MATCH("MartialLimitedMaster",CLASSFEATUREHEADERS,0),MATCH($A63,CLASSNAMEHEADERS,0))),(INDEX(ALLCLASSDATA,MATCH("MartialLimitedMaster",CLASSFEATUREHEADERS,0),MATCH(($A63 &amp; "Points"),CLASSNAMEHEADERS,0))),(IF("13"=(INDEX(ALLCLASSDATA,MATCH("MartialLimitedExpert",CLASSFEATUREHEADERS,0),MATCH($A63,CLASSNAMEHEADERS,0))),(INDEX(ALLCLASSDATA,MATCH("MartialLimitedExpert",CLASSFEATUREHEADERS,0),MATCH(($A63 &amp; "Points"),CLASSNAMEHEADERS,0))),(IF("13"=(INDEX(ALLCLASSDATA,MATCH("MartialLimitedTrained",CLASSFEATUREHEADERS,0),MATCH($A63,CLASSNAMEHEADERS,0))),(INDEX(ALLCLASSDATA,MATCH("MartialLimitedTrained",CLASSFEATUREHEADERS,0),MATCH(($A63 &amp; "Points"),CLASSNAMEHEADERS,0))),"")))))))))}</f>
        <v>MARTIALLIMITEDL13</v>
      </c>
      <c r="U62" s="223"/>
      <c r="V62" s="223" t="str">
        <f t="array" ref="V62:V63">{"MARTIALLIMITEDL15";((IF("15"=(INDEX(ALLCLASSDATA,MATCH("MartialLimitedLegendary",CLASSFEATUREHEADERS,0),MATCH($A63,CLASSNAMEHEADERS,0))),(INDEX(ALLCLASSDATA,MATCH("MartialLimitedLegendary",CLASSFEATUREHEADERS,0),MATCH(($A63 &amp; "Points"),CLASSNAMEHEADERS,0))),(IF("15"=(INDEX(ALLCLASSDATA,MATCH("MartialLimitedMaster",CLASSFEATUREHEADERS,0),MATCH($A63,CLASSNAMEHEADERS,0))),(INDEX(ALLCLASSDATA,MATCH("MartialLimitedMaster",CLASSFEATUREHEADERS,0),MATCH(($A63 &amp; "Points"),CLASSNAMEHEADERS,0))),(IF("15"=(INDEX(ALLCLASSDATA,MATCH("MartialLimitedExpert",CLASSFEATUREHEADERS,0),MATCH($A63,CLASSNAMEHEADERS,0))),(INDEX(ALLCLASSDATA,MATCH("MartialLimitedExpert",CLASSFEATUREHEADERS,0),MATCH(($A63 &amp; "Points"),CLASSNAMEHEADERS,0))),(IF("15"=(INDEX(ALLCLASSDATA,MATCH("MartialLimitedTrained",CLASSFEATUREHEADERS,0),MATCH($A63,CLASSNAMEHEADERS,0))),(INDEX(ALLCLASSDATA,MATCH("MartialLimitedTrained",CLASSFEATUREHEADERS,0),MATCH(($A63 &amp; "Points"),CLASSNAMEHEADERS,0))),"")))))))))}</f>
        <v>MARTIALLIMITEDL15</v>
      </c>
      <c r="W62" s="223"/>
      <c r="X62" s="223" t="str">
        <f t="array" ref="X62:X63">{"MARTIALLIMITEDL17";((IF("17"=(INDEX(ALLCLASSDATA,MATCH("MartialLimitedLegendary",CLASSFEATUREHEADERS,0),MATCH($A63,CLASSNAMEHEADERS,0))),(INDEX(ALLCLASSDATA,MATCH("MartialLimitedLegendary",CLASSFEATUREHEADERS,0),MATCH(($A63 &amp; "Points"),CLASSNAMEHEADERS,0))),(IF("17"=(INDEX(ALLCLASSDATA,MATCH("MartialLimitedMaster",CLASSFEATUREHEADERS,0),MATCH($A63,CLASSNAMEHEADERS,0))),(INDEX(ALLCLASSDATA,MATCH("MartialLimitedMaster",CLASSFEATUREHEADERS,0),MATCH(($A63 &amp; "Points"),CLASSNAMEHEADERS,0))),(IF("17"=(INDEX(ALLCLASSDATA,MATCH("MartialLimitedExpert",CLASSFEATUREHEADERS,0),MATCH($A63,CLASSNAMEHEADERS,0))),(INDEX(ALLCLASSDATA,MATCH("MartialLimitedExpert",CLASSFEATUREHEADERS,0),MATCH(($A63 &amp; "Points"),CLASSNAMEHEADERS,0))),(IF("17"=(INDEX(ALLCLASSDATA,MATCH("MartialLimitedTrained",CLASSFEATUREHEADERS,0),MATCH($A63,CLASSNAMEHEADERS,0))),(INDEX(ALLCLASSDATA,MATCH("MartialLimitedTrained",CLASSFEATUREHEADERS,0),MATCH(($A63 &amp; "Points"),CLASSNAMEHEADERS,0))),"")))))))))}</f>
        <v>MARTIALLIMITEDL17</v>
      </c>
      <c r="Y62" s="223"/>
      <c r="Z62" s="223" t="str">
        <f t="array" ref="Z62:Z63">{"MARTIALLIMITEDL19";((IF("19"=(INDEX(ALLCLASSDATA,MATCH("MartialLimitedLegendary",CLASSFEATUREHEADERS,0),MATCH($A63,CLASSNAMEHEADERS,0))),(INDEX(ALLCLASSDATA,MATCH("MartialLimitedLegendary",CLASSFEATUREHEADERS,0),MATCH(($A63 &amp; "Points"),CLASSNAMEHEADERS,0))),(IF("19"=(INDEX(ALLCLASSDATA,MATCH("MartialLimitedMaster",CLASSFEATUREHEADERS,0),MATCH($A63,CLASSNAMEHEADERS,0))),(INDEX(ALLCLASSDATA,MATCH("MartialLimitedMaster",CLASSFEATUREHEADERS,0),MATCH(($A63 &amp; "Points"),CLASSNAMEHEADERS,0))),(IF("19"=(INDEX(ALLCLASSDATA,MATCH("MartialLimitedExpert",CLASSFEATUREHEADERS,0),MATCH($A63,CLASSNAMEHEADERS,0))),(INDEX(ALLCLASSDATA,MATCH("MartialLimitedExpert",CLASSFEATUREHEADERS,0),MATCH(($A63 &amp; "Points"),CLASSNAMEHEADERS,0))),(IF("19"=(INDEX(ALLCLASSDATA,MATCH("MartialLimitedTrained",CLASSFEATUREHEADERS,0),MATCH($A63,CLASSNAMEHEADERS,0))),(INDEX(ALLCLASSDATA,MATCH("MartialLimitedTrained",CLASSFEATUREHEADERS,0),MATCH(($A63 &amp; "Points"),CLASSNAMEHEADERS,0))),"")))))))))}</f>
        <v>MARTIALLIMITEDL19</v>
      </c>
      <c r="AA62" s="223"/>
      <c r="AB62" s="76" t="str">
        <f t="array" ref="AB62:AB63">{"MARTIALLIMITED TOTAL";(IF(COUNTBLANK(G63:AA63)=17,"L",(IF(COUNTBLANK(G63:AA63)=18,"M",(IF(COUNTBLANK(G63:AA63)=19,"E",(IF(COUNTBLANK(G63:AA63)=20,"T",""))))))))}</f>
        <v>MARTIALLIMITED TOTAL</v>
      </c>
      <c r="AC62" s="76" t="str">
        <f t="array" ref="AC62:AC63">{"MARTIALLIMITED TOTAL";(sum(G63:AA63))}</f>
        <v>MARTIALLIMITED TOTAL</v>
      </c>
    </row>
    <row r="63">
      <c r="A63" s="48" t="s">
        <v>65</v>
      </c>
      <c r="B63" s="48"/>
      <c r="C63" s="48" t="s">
        <v>406</v>
      </c>
      <c r="D63" s="48" t="s">
        <v>1634</v>
      </c>
      <c r="E63" s="48" t="s">
        <v>600</v>
      </c>
      <c r="F63" s="5" t="s">
        <v>603</v>
      </c>
      <c r="G63" s="47" t="s">
        <v>603</v>
      </c>
      <c r="H63" s="5" t="s">
        <v>603</v>
      </c>
      <c r="I63" s="5"/>
      <c r="J63" s="5" t="s">
        <v>603</v>
      </c>
      <c r="K63" s="5"/>
      <c r="L63" s="5" t="s">
        <v>603</v>
      </c>
      <c r="M63" s="5"/>
      <c r="N63" s="5" t="s">
        <v>603</v>
      </c>
      <c r="O63" s="5"/>
      <c r="P63" s="5" t="s">
        <v>603</v>
      </c>
      <c r="Q63" s="5"/>
      <c r="R63" s="5" t="s">
        <v>603</v>
      </c>
      <c r="S63" s="5"/>
      <c r="T63" s="5" t="s">
        <v>603</v>
      </c>
      <c r="U63" s="5"/>
      <c r="V63" s="5" t="s">
        <v>603</v>
      </c>
      <c r="W63" s="5"/>
      <c r="X63" s="5" t="s">
        <v>603</v>
      </c>
      <c r="Y63" s="5"/>
      <c r="Z63" s="5" t="s">
        <v>603</v>
      </c>
      <c r="AA63" s="5"/>
      <c r="AB63" s="5" t="s">
        <v>603</v>
      </c>
      <c r="AC63" s="47">
        <v>0.0</v>
      </c>
    </row>
    <row r="64" hidden="1">
      <c r="A64" s="222" t="str">
        <f t="array" ref="A64:A65">{"FormulaRow31";(INDEX(CLASSLIST,A3,1))}</f>
        <v>FormulaRow31</v>
      </c>
      <c r="B64" s="77" t="s">
        <v>236</v>
      </c>
      <c r="C64" s="222" t="str">
        <f t="array" ref="C64:C65">{"CLASSTYPE";((INDEX(ALLCLASSDATA,MATCH("ClassType",CLASSFEATUREHEADERS,0),MATCH($A65,CLASSNAMEHEADERS,0))))}</f>
        <v>CLASSTYPE</v>
      </c>
      <c r="D64" s="222" t="str">
        <f t="array" ref="D64:D65">{"ATTACK";"Attack"}</f>
        <v>ATTACK</v>
      </c>
      <c r="E64" s="222" t="str">
        <f t="array" ref="E64:E65">{"MARTIAL";"Martial"}</f>
        <v>MARTIAL</v>
      </c>
      <c r="F64" s="223" t="str">
        <f t="array" ref="F64:F65">{"MARTIALINITIAL";((IF(H65=10,"T",(IF(H65=50,"E","")))))}</f>
        <v>MARTIALINITIAL</v>
      </c>
      <c r="G64" s="223" t="str">
        <f t="array" ref="G64:G65">{"MARTIALINITIALPTS";((IF("00"=(INDEX(ALLCLASSDATA,MATCH("MartialLegendary",CLASSFEATUREHEADERS,0),MATCH($A65,CLASSNAMEHEADERS,0))),(INDEX(ALLCLASSDATA,MATCH("MartialLegendary",CLASSFEATUREHEADERS,0),MATCH(($A65 &amp; "Points"),CLASSNAMEHEADERS,0))),(IF("00"=(INDEX(ALLCLASSDATA,MATCH("MartialMaster",CLASSFEATUREHEADERS,0),MATCH($A65,CLASSNAMEHEADERS,0))),(INDEX(ALLCLASSDATA,MATCH("MartialMaster",CLASSFEATUREHEADERS,0),MATCH(($A65 &amp; "Points"),CLASSNAMEHEADERS,0))),(IF("00"=(INDEX(ALLCLASSDATA,MATCH("MartialExpert",CLASSFEATUREHEADERS,0),MATCH($A65,CLASSNAMEHEADERS,0))),(INDEX(ALLCLASSDATA,MATCH("MartialExpert",CLASSFEATUREHEADERS,0),MATCH(($A65 &amp; "Points"),CLASSNAMEHEADERS,0))),(IF("00"=(INDEX(ALLCLASSDATA,MATCH("MartialTrained",CLASSFEATUREHEADERS,0),MATCH($A65,CLASSNAMEHEADERS,0))),(INDEX(ALLCLASSDATA,MATCH("MartialTrained",CLASSFEATUREHEADERS,0),MATCH(($A65 &amp; "Points"),CLASSNAMEHEADERS,0))),"")))))))))}</f>
        <v>MARTIALINITIALPTS</v>
      </c>
      <c r="H64" s="223" t="str">
        <f t="array" ref="H64:H65">{"MARTIALL01";((IF("01"=(INDEX(ALLCLASSDATA,MATCH("MartialLegendary",CLASSFEATUREHEADERS,0),MATCH($A65,CLASSNAMEHEADERS,0))),(INDEX(ALLCLASSDATA,MATCH("MartialLegendary",CLASSFEATUREHEADERS,0),MATCH(($A65 &amp; "Points"),CLASSNAMEHEADERS,0))),(IF("01"=(INDEX(ALLCLASSDATA,MATCH("MartialMaster",CLASSFEATUREHEADERS,0),MATCH($A65,CLASSNAMEHEADERS,0))),(INDEX(ALLCLASSDATA,MATCH("MartialMaster",CLASSFEATUREHEADERS,0),MATCH(($A65 &amp; "Points"),CLASSNAMEHEADERS,0))),(IF("01"=(INDEX(ALLCLASSDATA,MATCH("MartialExpert",CLASSFEATUREHEADERS,0),MATCH($A65,CLASSNAMEHEADERS,0))),(INDEX(ALLCLASSDATA,MATCH("MartialExpert",CLASSFEATUREHEADERS,0),MATCH(($A65 &amp; "Points"),CLASSNAMEHEADERS,0))),(IF("01"=(INDEX(ALLCLASSDATA,MATCH("MartialTrained",CLASSFEATUREHEADERS,0),MATCH($A65,CLASSNAMEHEADERS,0))),(INDEX(ALLCLASSDATA,MATCH("MartialTrained",CLASSFEATUREHEADERS,0),MATCH(($A65 &amp; "Points"),CLASSNAMEHEADERS,0))),"")))))))))}</f>
        <v>MARTIALL01</v>
      </c>
      <c r="I64" s="223"/>
      <c r="J64" s="223" t="str">
        <f t="array" ref="J64:J65">{"MARTIALL03";((IF("03"=(INDEX(ALLCLASSDATA,MATCH("MartialLegendary",CLASSFEATUREHEADERS,0),MATCH($A65,CLASSNAMEHEADERS,0))),(INDEX(ALLCLASSDATA,MATCH("MartialLegendary",CLASSFEATUREHEADERS,0),MATCH(($A65 &amp; "Points"),CLASSNAMEHEADERS,0))),(IF("03"=(INDEX(ALLCLASSDATA,MATCH("MartialMaster",CLASSFEATUREHEADERS,0),MATCH($A65,CLASSNAMEHEADERS,0))),(INDEX(ALLCLASSDATA,MATCH("MartialMaster",CLASSFEATUREHEADERS,0),MATCH(($A65 &amp; "Points"),CLASSNAMEHEADERS,0))),(IF("03"=(INDEX(ALLCLASSDATA,MATCH("MartialExpert",CLASSFEATUREHEADERS,0),MATCH($A65,CLASSNAMEHEADERS,0))),(INDEX(ALLCLASSDATA,MATCH("MartialExpert",CLASSFEATUREHEADERS,0),MATCH(($A65 &amp; "Points"),CLASSNAMEHEADERS,0))),(IF("03"=(INDEX(ALLCLASSDATA,MATCH("MartialTrained",CLASSFEATUREHEADERS,0),MATCH($A65,CLASSNAMEHEADERS,0))),(INDEX(ALLCLASSDATA,MATCH("MartialTrained",CLASSFEATUREHEADERS,0),MATCH(($A65 &amp; "Points"),CLASSNAMEHEADERS,0))),"")))))))))}</f>
        <v>MARTIALL03</v>
      </c>
      <c r="K64" s="223"/>
      <c r="L64" s="223" t="str">
        <f t="array" ref="L64:L65">{"MARTIALL05";((IF("05"=(INDEX(ALLCLASSDATA,MATCH("MartialLegendary",CLASSFEATUREHEADERS,0),MATCH($A65,CLASSNAMEHEADERS,0))),(INDEX(ALLCLASSDATA,MATCH("MartialLegendary",CLASSFEATUREHEADERS,0),MATCH(($A65 &amp; "Points"),CLASSNAMEHEADERS,0))),(IF("05"=(INDEX(ALLCLASSDATA,MATCH("MartialMaster",CLASSFEATUREHEADERS,0),MATCH($A65,CLASSNAMEHEADERS,0))),(INDEX(ALLCLASSDATA,MATCH("MartialMaster",CLASSFEATUREHEADERS,0),MATCH(($A65 &amp; "Points"),CLASSNAMEHEADERS,0))),(IF("05"=(INDEX(ALLCLASSDATA,MATCH("MartialExpert",CLASSFEATUREHEADERS,0),MATCH($A65,CLASSNAMEHEADERS,0))),(INDEX(ALLCLASSDATA,MATCH("MartialExpert",CLASSFEATUREHEADERS,0),MATCH(($A65 &amp; "Points"),CLASSNAMEHEADERS,0))),(IF("05"=(INDEX(ALLCLASSDATA,MATCH("MartialTrained",CLASSFEATUREHEADERS,0),MATCH($A65,CLASSNAMEHEADERS,0))),(INDEX(ALLCLASSDATA,MATCH("MartialTrained",CLASSFEATUREHEADERS,0),MATCH(($A65 &amp; "Points"),CLASSNAMEHEADERS,0))),"")))))))))}</f>
        <v>MARTIALL05</v>
      </c>
      <c r="M64" s="223"/>
      <c r="N64" s="223" t="str">
        <f t="array" ref="N64:N65">{"MARTIALL07";((IF("07"=(INDEX(ALLCLASSDATA,MATCH("MartialLegendary",CLASSFEATUREHEADERS,0),MATCH($A65,CLASSNAMEHEADERS,0))),(INDEX(ALLCLASSDATA,MATCH("MartialLegendary",CLASSFEATUREHEADERS,0),MATCH(($A65 &amp; "Points"),CLASSNAMEHEADERS,0))),(IF("07"=(INDEX(ALLCLASSDATA,MATCH("MartialMaster",CLASSFEATUREHEADERS,0),MATCH($A65,CLASSNAMEHEADERS,0))),(INDEX(ALLCLASSDATA,MATCH("MartialMaster",CLASSFEATUREHEADERS,0),MATCH(($A65 &amp; "Points"),CLASSNAMEHEADERS,0))),(IF("07"=(INDEX(ALLCLASSDATA,MATCH("MartialExpert",CLASSFEATUREHEADERS,0),MATCH($A65,CLASSNAMEHEADERS,0))),(INDEX(ALLCLASSDATA,MATCH("MartialExpert",CLASSFEATUREHEADERS,0),MATCH(($A65 &amp; "Points"),CLASSNAMEHEADERS,0))),(IF("07"=(INDEX(ALLCLASSDATA,MATCH("MartialTrained",CLASSFEATUREHEADERS,0),MATCH($A65,CLASSNAMEHEADERS,0))),(INDEX(ALLCLASSDATA,MATCH("MartialTrained",CLASSFEATUREHEADERS,0),MATCH(($A65 &amp; "Points"),CLASSNAMEHEADERS,0))),"")))))))))}</f>
        <v>MARTIALL07</v>
      </c>
      <c r="O64" s="223"/>
      <c r="P64" s="223" t="str">
        <f t="array" ref="P64:P65">{"MARTIALL09";((IF("09"=(INDEX(ALLCLASSDATA,MATCH("MartialLegendary",CLASSFEATUREHEADERS,0),MATCH($A65,CLASSNAMEHEADERS,0))),(INDEX(ALLCLASSDATA,MATCH("MartialLegendary",CLASSFEATUREHEADERS,0),MATCH(($A65 &amp; "Points"),CLASSNAMEHEADERS,0))),(IF("09"=(INDEX(ALLCLASSDATA,MATCH("MartialMaster",CLASSFEATUREHEADERS,0),MATCH($A65,CLASSNAMEHEADERS,0))),(INDEX(ALLCLASSDATA,MATCH("MartialMaster",CLASSFEATUREHEADERS,0),MATCH(($A65 &amp; "Points"),CLASSNAMEHEADERS,0))),(IF("09"=(INDEX(ALLCLASSDATA,MATCH("MartialExpert",CLASSFEATUREHEADERS,0),MATCH($A65,CLASSNAMEHEADERS,0))),(INDEX(ALLCLASSDATA,MATCH("MartialExpert",CLASSFEATUREHEADERS,0),MATCH(($A65 &amp; "Points"),CLASSNAMEHEADERS,0))),(IF("09"=(INDEX(ALLCLASSDATA,MATCH("MartialTrained",CLASSFEATUREHEADERS,0),MATCH($A65,CLASSNAMEHEADERS,0))),(INDEX(ALLCLASSDATA,MATCH("MartialTrained",CLASSFEATUREHEADERS,0),MATCH(($A65 &amp; "Points"),CLASSNAMEHEADERS,0))),"")))))))))}</f>
        <v>MARTIALL09</v>
      </c>
      <c r="Q64" s="223"/>
      <c r="R64" s="223" t="str">
        <f t="array" ref="R64:R65">{"MARTIALL11";((IF("11"=(INDEX(ALLCLASSDATA,MATCH("MartialLegendary",CLASSFEATUREHEADERS,0),MATCH($A65,CLASSNAMEHEADERS,0))),(INDEX(ALLCLASSDATA,MATCH("MartialLegendary",CLASSFEATUREHEADERS,0),MATCH(($A65 &amp; "Points"),CLASSNAMEHEADERS,0))),(IF("11"=(INDEX(ALLCLASSDATA,MATCH("MartialMaster",CLASSFEATUREHEADERS,0),MATCH($A65,CLASSNAMEHEADERS,0))),(INDEX(ALLCLASSDATA,MATCH("MartialMaster",CLASSFEATUREHEADERS,0),MATCH(($A65 &amp; "Points"),CLASSNAMEHEADERS,0))),(IF("11"=(INDEX(ALLCLASSDATA,MATCH("MartialExpert",CLASSFEATUREHEADERS,0),MATCH($A65,CLASSNAMEHEADERS,0))),(INDEX(ALLCLASSDATA,MATCH("MartialExpert",CLASSFEATUREHEADERS,0),MATCH(($A65 &amp; "Points"),CLASSNAMEHEADERS,0))),(IF("11"=(INDEX(ALLCLASSDATA,MATCH("MartialTrained",CLASSFEATUREHEADERS,0),MATCH($A65,CLASSNAMEHEADERS,0))),(INDEX(ALLCLASSDATA,MATCH("MartialTrained",CLASSFEATUREHEADERS,0),MATCH(($A65 &amp; "Points"),CLASSNAMEHEADERS,0))),"")))))))))}</f>
        <v>MARTIALL11</v>
      </c>
      <c r="S64" s="223"/>
      <c r="T64" s="223" t="str">
        <f t="array" ref="T64:T65">{"MARTIALL13";((IF("13"=(INDEX(ALLCLASSDATA,MATCH("MartialLegendary",CLASSFEATUREHEADERS,0),MATCH($A65,CLASSNAMEHEADERS,0))),(INDEX(ALLCLASSDATA,MATCH("MartialLegendary",CLASSFEATUREHEADERS,0),MATCH(($A65 &amp; "Points"),CLASSNAMEHEADERS,0))),(IF("13"=(INDEX(ALLCLASSDATA,MATCH("MartialMaster",CLASSFEATUREHEADERS,0),MATCH($A65,CLASSNAMEHEADERS,0))),(INDEX(ALLCLASSDATA,MATCH("MartialMaster",CLASSFEATUREHEADERS,0),MATCH(($A65 &amp; "Points"),CLASSNAMEHEADERS,0))),(IF("13"=(INDEX(ALLCLASSDATA,MATCH("MartialExpert",CLASSFEATUREHEADERS,0),MATCH($A65,CLASSNAMEHEADERS,0))),(INDEX(ALLCLASSDATA,MATCH("MartialExpert",CLASSFEATUREHEADERS,0),MATCH(($A65 &amp; "Points"),CLASSNAMEHEADERS,0))),(IF("13"=(INDEX(ALLCLASSDATA,MATCH("MartialTrained",CLASSFEATUREHEADERS,0),MATCH($A65,CLASSNAMEHEADERS,0))),(INDEX(ALLCLASSDATA,MATCH("MartialTrained",CLASSFEATUREHEADERS,0),MATCH(($A65 &amp; "Points"),CLASSNAMEHEADERS,0))),"")))))))))}</f>
        <v>MARTIALL13</v>
      </c>
      <c r="U64" s="223"/>
      <c r="V64" s="223" t="str">
        <f t="array" ref="V64:V65">{"MARTIALL15";((IF("15"=(INDEX(ALLCLASSDATA,MATCH("MartialLegendary",CLASSFEATUREHEADERS,0),MATCH($A65,CLASSNAMEHEADERS,0))),(INDEX(ALLCLASSDATA,MATCH("MartialLegendary",CLASSFEATUREHEADERS,0),MATCH(($A65 &amp; "Points"),CLASSNAMEHEADERS,0))),(IF("15"=(INDEX(ALLCLASSDATA,MATCH("MartialMaster",CLASSFEATUREHEADERS,0),MATCH($A65,CLASSNAMEHEADERS,0))),(INDEX(ALLCLASSDATA,MATCH("MartialMaster",CLASSFEATUREHEADERS,0),MATCH(($A65 &amp; "Points"),CLASSNAMEHEADERS,0))),(IF("15"=(INDEX(ALLCLASSDATA,MATCH("MartialExpert",CLASSFEATUREHEADERS,0),MATCH($A65,CLASSNAMEHEADERS,0))),(INDEX(ALLCLASSDATA,MATCH("MartialExpert",CLASSFEATUREHEADERS,0),MATCH(($A65 &amp; "Points"),CLASSNAMEHEADERS,0))),(IF("15"=(INDEX(ALLCLASSDATA,MATCH("MartialTrained",CLASSFEATUREHEADERS,0),MATCH($A65,CLASSNAMEHEADERS,0))),(INDEX(ALLCLASSDATA,MATCH("MartialTrained",CLASSFEATUREHEADERS,0),MATCH(($A65 &amp; "Points"),CLASSNAMEHEADERS,0))),"")))))))))}</f>
        <v>MARTIALL15</v>
      </c>
      <c r="W64" s="223"/>
      <c r="X64" s="223" t="str">
        <f t="array" ref="X64:X65">{"MARTIALL17";((IF("17"=(INDEX(ALLCLASSDATA,MATCH("MartialLegendary",CLASSFEATUREHEADERS,0),MATCH($A65,CLASSNAMEHEADERS,0))),(INDEX(ALLCLASSDATA,MATCH("MartialLegendary",CLASSFEATUREHEADERS,0),MATCH(($A65 &amp; "Points"),CLASSNAMEHEADERS,0))),(IF("17"=(INDEX(ALLCLASSDATA,MATCH("MartialMaster",CLASSFEATUREHEADERS,0),MATCH($A65,CLASSNAMEHEADERS,0))),(INDEX(ALLCLASSDATA,MATCH("MartialMaster",CLASSFEATUREHEADERS,0),MATCH(($A65 &amp; "Points"),CLASSNAMEHEADERS,0))),(IF("17"=(INDEX(ALLCLASSDATA,MATCH("MartialExpert",CLASSFEATUREHEADERS,0),MATCH($A65,CLASSNAMEHEADERS,0))),(INDEX(ALLCLASSDATA,MATCH("MartialExpert",CLASSFEATUREHEADERS,0),MATCH(($A65 &amp; "Points"),CLASSNAMEHEADERS,0))),(IF("17"=(INDEX(ALLCLASSDATA,MATCH("MartialTrained",CLASSFEATUREHEADERS,0),MATCH($A65,CLASSNAMEHEADERS,0))),(INDEX(ALLCLASSDATA,MATCH("MartialTrained",CLASSFEATUREHEADERS,0),MATCH(($A65 &amp; "Points"),CLASSNAMEHEADERS,0))),"")))))))))}</f>
        <v>MARTIALL17</v>
      </c>
      <c r="Y64" s="223"/>
      <c r="Z64" s="223" t="str">
        <f t="array" ref="Z64:Z65">{"MARTIALL19";((IF("19"=(INDEX(ALLCLASSDATA,MATCH("MartialLegendary",CLASSFEATUREHEADERS,0),MATCH($A65,CLASSNAMEHEADERS,0))),(INDEX(ALLCLASSDATA,MATCH("MartialLegendary",CLASSFEATUREHEADERS,0),MATCH(($A65 &amp; "Points"),CLASSNAMEHEADERS,0))),(IF("19"=(INDEX(ALLCLASSDATA,MATCH("MartialMaster",CLASSFEATUREHEADERS,0),MATCH($A65,CLASSNAMEHEADERS,0))),(INDEX(ALLCLASSDATA,MATCH("MartialMaster",CLASSFEATUREHEADERS,0),MATCH(($A65 &amp; "Points"),CLASSNAMEHEADERS,0))),(IF("19"=(INDEX(ALLCLASSDATA,MATCH("MartialExpert",CLASSFEATUREHEADERS,0),MATCH($A65,CLASSNAMEHEADERS,0))),(INDEX(ALLCLASSDATA,MATCH("MartialExpert",CLASSFEATUREHEADERS,0),MATCH(($A65 &amp; "Points"),CLASSNAMEHEADERS,0))),(IF("19"=(INDEX(ALLCLASSDATA,MATCH("MartialTrained",CLASSFEATUREHEADERS,0),MATCH($A65,CLASSNAMEHEADERS,0))),(INDEX(ALLCLASSDATA,MATCH("MartialTrained",CLASSFEATUREHEADERS,0),MATCH(($A65 &amp; "Points"),CLASSNAMEHEADERS,0))),"")))))))))}</f>
        <v>MARTIALL19</v>
      </c>
      <c r="AA64" s="223"/>
      <c r="AB64" s="76" t="str">
        <f t="array" ref="AB64:AB65">{"MARTIAL TOTAL";(IF(COUNTBLANK(G65:AA65)=17,"L",(IF(COUNTBLANK(G65:AA65)=18,"M",(IF(COUNTBLANK(G65:AA65)=19,"E",(IF(COUNTBLANK(G65:AA65)=20,"T",""))))))))}</f>
        <v>MARTIAL TOTAL</v>
      </c>
      <c r="AC64" s="76" t="str">
        <f t="array" ref="AC64:AC65">{"MARTIAL TOTAL";(sum(G65:AA65))}</f>
        <v>MARTIAL TOTAL</v>
      </c>
    </row>
    <row r="65">
      <c r="A65" s="48" t="s">
        <v>65</v>
      </c>
      <c r="B65" s="48"/>
      <c r="C65" s="48" t="s">
        <v>406</v>
      </c>
      <c r="D65" s="48" t="s">
        <v>1634</v>
      </c>
      <c r="E65" s="48" t="s">
        <v>6</v>
      </c>
      <c r="F65" s="5" t="s">
        <v>435</v>
      </c>
      <c r="G65" s="47" t="s">
        <v>603</v>
      </c>
      <c r="H65" s="5">
        <v>10.0</v>
      </c>
      <c r="I65" s="5"/>
      <c r="J65" s="5" t="s">
        <v>603</v>
      </c>
      <c r="K65" s="5"/>
      <c r="L65" s="5">
        <v>50.0</v>
      </c>
      <c r="M65" s="5"/>
      <c r="N65" s="5" t="s">
        <v>603</v>
      </c>
      <c r="O65" s="5"/>
      <c r="P65" s="5" t="s">
        <v>603</v>
      </c>
      <c r="Q65" s="48"/>
      <c r="R65" s="5" t="s">
        <v>603</v>
      </c>
      <c r="S65" s="5"/>
      <c r="T65" s="5">
        <v>110.0</v>
      </c>
      <c r="U65" s="5"/>
      <c r="V65" s="5" t="s">
        <v>603</v>
      </c>
      <c r="W65" s="5"/>
      <c r="X65" s="5" t="s">
        <v>603</v>
      </c>
      <c r="Y65" s="5"/>
      <c r="Z65" s="5" t="s">
        <v>603</v>
      </c>
      <c r="AA65" s="5"/>
      <c r="AB65" s="5" t="s">
        <v>437</v>
      </c>
      <c r="AC65" s="47">
        <v>170.0</v>
      </c>
    </row>
    <row r="66" hidden="1">
      <c r="A66" s="222" t="str">
        <f t="array" ref="A66:A67">{"FormulaRow32";(INDEX(CLASSLIST,A3,1))}</f>
        <v>FormulaRow32</v>
      </c>
      <c r="B66" s="77" t="s">
        <v>236</v>
      </c>
      <c r="C66" s="222" t="str">
        <f t="array" ref="C66:C67">{"CLASSTYPE";((INDEX(ALLCLASSDATA,MATCH("ClassType",CLASSFEATUREHEADERS,0),MATCH($A67,CLASSNAMEHEADERS,0))))}</f>
        <v>CLASSTYPE</v>
      </c>
      <c r="D66" s="222" t="str">
        <f t="array" ref="D66:D67">{"ATTACK";"Attack"}</f>
        <v>ATTACK</v>
      </c>
      <c r="E66" s="222" t="str">
        <f t="array" ref="E66:E67">{"ADVANCEDGROUP";"AdvancedGroup"}</f>
        <v>ADVANCEDGROUP</v>
      </c>
      <c r="F66" s="223" t="str">
        <f t="array" ref="F66:F67">{"ADVANCEDGROUPINITIAL";((IF(H67=10,"T",(IF(H67=50,"E","")))))}</f>
        <v>ADVANCEDGROUPINITIAL</v>
      </c>
      <c r="G66" s="223" t="str">
        <f t="array" ref="G66:G67">{"ADVANCEDGROUPINITIALPTS";((IF("00"=(INDEX(ALLCLASSDATA,MATCH("AdvancedGroupLegendary",CLASSFEATUREHEADERS,0),MATCH($A67,CLASSNAMEHEADERS,0))),(INDEX(ALLCLASSDATA,MATCH("AdvancedGroupLegendary",CLASSFEATUREHEADERS,0),MATCH(($A67 &amp; "Points"),CLASSNAMEHEADERS,0))),(IF("00"=(INDEX(ALLCLASSDATA,MATCH("AdvancedGroupMaster",CLASSFEATUREHEADERS,0),MATCH($A67,CLASSNAMEHEADERS,0))),(INDEX(ALLCLASSDATA,MATCH("AdvancedGroupMaster",CLASSFEATUREHEADERS,0),MATCH(($A67 &amp; "Points"),CLASSNAMEHEADERS,0))),(IF("00"=(INDEX(ALLCLASSDATA,MATCH("AdvancedGroupExpert",CLASSFEATUREHEADERS,0),MATCH($A67,CLASSNAMEHEADERS,0))),(INDEX(ALLCLASSDATA,MATCH("AdvancedGroupExpert",CLASSFEATUREHEADERS,0),MATCH(($A67 &amp; "Points"),CLASSNAMEHEADERS,0))),(IF("00"=(INDEX(ALLCLASSDATA,MATCH("AdvancedGroupTrained",CLASSFEATUREHEADERS,0),MATCH($A67,CLASSNAMEHEADERS,0))),(INDEX(ALLCLASSDATA,MATCH("AdvancedGroupTrained",CLASSFEATUREHEADERS,0),MATCH(($A67 &amp; "Points"),CLASSNAMEHEADERS,0))),"")))))))))}</f>
        <v>ADVANCEDGROUPINITIALPTS</v>
      </c>
      <c r="H66" s="223" t="str">
        <f t="array" ref="H66:H67">{"ADVANCEDGROUPL01";((IF("01"=(INDEX(ALLCLASSDATA,MATCH("AdvancedGroupLegendary",CLASSFEATUREHEADERS,0),MATCH($A67,CLASSNAMEHEADERS,0))),(INDEX(ALLCLASSDATA,MATCH("AdvancedGroupLegendary",CLASSFEATUREHEADERS,0),MATCH(($A67 &amp; "Points"),CLASSNAMEHEADERS,0))),(IF("01"=(INDEX(ALLCLASSDATA,MATCH("AdvancedGroupMaster",CLASSFEATUREHEADERS,0),MATCH($A67,CLASSNAMEHEADERS,0))),(INDEX(ALLCLASSDATA,MATCH("AdvancedGroupMaster",CLASSFEATUREHEADERS,0),MATCH(($A67 &amp; "Points"),CLASSNAMEHEADERS,0))),(IF("01"=(INDEX(ALLCLASSDATA,MATCH("AdvancedGroupExpert",CLASSFEATUREHEADERS,0),MATCH($A67,CLASSNAMEHEADERS,0))),(INDEX(ALLCLASSDATA,MATCH("AdvancedGroupExpert",CLASSFEATUREHEADERS,0),MATCH(($A67 &amp; "Points"),CLASSNAMEHEADERS,0))),(IF("01"=(INDEX(ALLCLASSDATA,MATCH("AdvancedGroupTrained",CLASSFEATUREHEADERS,0),MATCH($A67,CLASSNAMEHEADERS,0))),(INDEX(ALLCLASSDATA,MATCH("AdvancedGroupTrained",CLASSFEATUREHEADERS,0),MATCH(($A67 &amp; "Points"),CLASSNAMEHEADERS,0))),"")))))))))}</f>
        <v>ADVANCEDGROUPL01</v>
      </c>
      <c r="I66" s="223"/>
      <c r="J66" s="223" t="str">
        <f t="array" ref="J66:J67">{"ADVANCEDGROUPL03";((IF("03"=(INDEX(ALLCLASSDATA,MATCH("AdvancedGroupLegendary",CLASSFEATUREHEADERS,0),MATCH($A67,CLASSNAMEHEADERS,0))),(INDEX(ALLCLASSDATA,MATCH("AdvancedGroupLegendary",CLASSFEATUREHEADERS,0),MATCH(($A67 &amp; "Points"),CLASSNAMEHEADERS,0))),(IF("03"=(INDEX(ALLCLASSDATA,MATCH("AdvancedGroupMaster",CLASSFEATUREHEADERS,0),MATCH($A67,CLASSNAMEHEADERS,0))),(INDEX(ALLCLASSDATA,MATCH("AdvancedGroupMaster",CLASSFEATUREHEADERS,0),MATCH(($A67 &amp; "Points"),CLASSNAMEHEADERS,0))),(IF("03"=(INDEX(ALLCLASSDATA,MATCH("AdvancedGroupExpert",CLASSFEATUREHEADERS,0),MATCH($A67,CLASSNAMEHEADERS,0))),(INDEX(ALLCLASSDATA,MATCH("AdvancedGroupExpert",CLASSFEATUREHEADERS,0),MATCH(($A67 &amp; "Points"),CLASSNAMEHEADERS,0))),(IF("03"=(INDEX(ALLCLASSDATA,MATCH("AdvancedGroupTrained",CLASSFEATUREHEADERS,0),MATCH($A67,CLASSNAMEHEADERS,0))),(INDEX(ALLCLASSDATA,MATCH("AdvancedGroupTrained",CLASSFEATUREHEADERS,0),MATCH(($A67 &amp; "Points"),CLASSNAMEHEADERS,0))),"")))))))))}</f>
        <v>ADVANCEDGROUPL03</v>
      </c>
      <c r="K66" s="223"/>
      <c r="L66" s="223" t="str">
        <f t="array" ref="L66:L67">{"ADVANCEDGROUPL05";((IF("05"=(INDEX(ALLCLASSDATA,MATCH("AdvancedGroupLegendary",CLASSFEATUREHEADERS,0),MATCH($A67,CLASSNAMEHEADERS,0))),(INDEX(ALLCLASSDATA,MATCH("AdvancedGroupLegendary",CLASSFEATUREHEADERS,0),MATCH(($A67 &amp; "Points"),CLASSNAMEHEADERS,0))),(IF("05"=(INDEX(ALLCLASSDATA,MATCH("AdvancedGroupMaster",CLASSFEATUREHEADERS,0),MATCH($A67,CLASSNAMEHEADERS,0))),(INDEX(ALLCLASSDATA,MATCH("AdvancedGroupMaster",CLASSFEATUREHEADERS,0),MATCH(($A67 &amp; "Points"),CLASSNAMEHEADERS,0))),(IF("05"=(INDEX(ALLCLASSDATA,MATCH("AdvancedGroupExpert",CLASSFEATUREHEADERS,0),MATCH($A67,CLASSNAMEHEADERS,0))),(INDEX(ALLCLASSDATA,MATCH("AdvancedGroupExpert",CLASSFEATUREHEADERS,0),MATCH(($A67 &amp; "Points"),CLASSNAMEHEADERS,0))),(IF("05"=(INDEX(ALLCLASSDATA,MATCH("AdvancedGroupTrained",CLASSFEATUREHEADERS,0),MATCH($A67,CLASSNAMEHEADERS,0))),(INDEX(ALLCLASSDATA,MATCH("AdvancedGroupTrained",CLASSFEATUREHEADERS,0),MATCH(($A67 &amp; "Points"),CLASSNAMEHEADERS,0))),"")))))))))}</f>
        <v>ADVANCEDGROUPL05</v>
      </c>
      <c r="M66" s="223"/>
      <c r="N66" s="223" t="str">
        <f t="array" ref="N66:N67">{"ADVANCEDGROUPL07";((IF("07"=(INDEX(ALLCLASSDATA,MATCH("AdvancedGroupLegendary",CLASSFEATUREHEADERS,0),MATCH($A67,CLASSNAMEHEADERS,0))),(INDEX(ALLCLASSDATA,MATCH("AdvancedGroupLegendary",CLASSFEATUREHEADERS,0),MATCH(($A67 &amp; "Points"),CLASSNAMEHEADERS,0))),(IF("07"=(INDEX(ALLCLASSDATA,MATCH("AdvancedGroupMaster",CLASSFEATUREHEADERS,0),MATCH($A67,CLASSNAMEHEADERS,0))),(INDEX(ALLCLASSDATA,MATCH("AdvancedGroupMaster",CLASSFEATUREHEADERS,0),MATCH(($A67 &amp; "Points"),CLASSNAMEHEADERS,0))),(IF("07"=(INDEX(ALLCLASSDATA,MATCH("AdvancedGroupExpert",CLASSFEATUREHEADERS,0),MATCH($A67,CLASSNAMEHEADERS,0))),(INDEX(ALLCLASSDATA,MATCH("AdvancedGroupExpert",CLASSFEATUREHEADERS,0),MATCH(($A67 &amp; "Points"),CLASSNAMEHEADERS,0))),(IF("07"=(INDEX(ALLCLASSDATA,MATCH("AdvancedGroupTrained",CLASSFEATUREHEADERS,0),MATCH($A67,CLASSNAMEHEADERS,0))),(INDEX(ALLCLASSDATA,MATCH("AdvancedGroupTrained",CLASSFEATUREHEADERS,0),MATCH(($A67 &amp; "Points"),CLASSNAMEHEADERS,0))),"")))))))))}</f>
        <v>ADVANCEDGROUPL07</v>
      </c>
      <c r="O66" s="223"/>
      <c r="P66" s="223" t="str">
        <f t="array" ref="P66:P67">{"ADVANCEDGROUPL09";((IF("09"=(INDEX(ALLCLASSDATA,MATCH("AdvancedGroupLegendary",CLASSFEATUREHEADERS,0),MATCH($A67,CLASSNAMEHEADERS,0))),(INDEX(ALLCLASSDATA,MATCH("AdvancedGroupLegendary",CLASSFEATUREHEADERS,0),MATCH(($A67 &amp; "Points"),CLASSNAMEHEADERS,0))),(IF("09"=(INDEX(ALLCLASSDATA,MATCH("AdvancedGroupMaster",CLASSFEATUREHEADERS,0),MATCH($A67,CLASSNAMEHEADERS,0))),(INDEX(ALLCLASSDATA,MATCH("AdvancedGroupMaster",CLASSFEATUREHEADERS,0),MATCH(($A67 &amp; "Points"),CLASSNAMEHEADERS,0))),(IF("09"=(INDEX(ALLCLASSDATA,MATCH("AdvancedGroupExpert",CLASSFEATUREHEADERS,0),MATCH($A67,CLASSNAMEHEADERS,0))),(INDEX(ALLCLASSDATA,MATCH("AdvancedGroupExpert",CLASSFEATUREHEADERS,0),MATCH(($A67 &amp; "Points"),CLASSNAMEHEADERS,0))),(IF("09"=(INDEX(ALLCLASSDATA,MATCH("AdvancedGroupTrained",CLASSFEATUREHEADERS,0),MATCH($A67,CLASSNAMEHEADERS,0))),(INDEX(ALLCLASSDATA,MATCH("AdvancedGroupTrained",CLASSFEATUREHEADERS,0),MATCH(($A67 &amp; "Points"),CLASSNAMEHEADERS,0))),"")))))))))}</f>
        <v>ADVANCEDGROUPL09</v>
      </c>
      <c r="Q66" s="223"/>
      <c r="R66" s="223" t="str">
        <f t="array" ref="R66:R67">{"ADVANCEDGROUPL11";((IF("11"=(INDEX(ALLCLASSDATA,MATCH("AdvancedGroupLegendary",CLASSFEATUREHEADERS,0),MATCH($A67,CLASSNAMEHEADERS,0))),(INDEX(ALLCLASSDATA,MATCH("AdvancedGroupLegendary",CLASSFEATUREHEADERS,0),MATCH(($A67 &amp; "Points"),CLASSNAMEHEADERS,0))),(IF("11"=(INDEX(ALLCLASSDATA,MATCH("AdvancedGroupMaster",CLASSFEATUREHEADERS,0),MATCH($A67,CLASSNAMEHEADERS,0))),(INDEX(ALLCLASSDATA,MATCH("AdvancedGroupMaster",CLASSFEATUREHEADERS,0),MATCH(($A67 &amp; "Points"),CLASSNAMEHEADERS,0))),(IF("11"=(INDEX(ALLCLASSDATA,MATCH("AdvancedGroupExpert",CLASSFEATUREHEADERS,0),MATCH($A67,CLASSNAMEHEADERS,0))),(INDEX(ALLCLASSDATA,MATCH("AdvancedGroupExpert",CLASSFEATUREHEADERS,0),MATCH(($A67 &amp; "Points"),CLASSNAMEHEADERS,0))),(IF("11"=(INDEX(ALLCLASSDATA,MATCH("AdvancedGroupTrained",CLASSFEATUREHEADERS,0),MATCH($A67,CLASSNAMEHEADERS,0))),(INDEX(ALLCLASSDATA,MATCH("AdvancedGroupTrained",CLASSFEATUREHEADERS,0),MATCH(($A67 &amp; "Points"),CLASSNAMEHEADERS,0))),"")))))))))}</f>
        <v>ADVANCEDGROUPL11</v>
      </c>
      <c r="S66" s="223"/>
      <c r="T66" s="223" t="str">
        <f t="array" ref="T66:T67">{"ADVANCEDGROUPL13";((IF("13"=(INDEX(ALLCLASSDATA,MATCH("AdvancedGroupLegendary",CLASSFEATUREHEADERS,0),MATCH($A67,CLASSNAMEHEADERS,0))),(INDEX(ALLCLASSDATA,MATCH("AdvancedGroupLegendary",CLASSFEATUREHEADERS,0),MATCH(($A67 &amp; "Points"),CLASSNAMEHEADERS,0))),(IF("13"=(INDEX(ALLCLASSDATA,MATCH("AdvancedGroupMaster",CLASSFEATUREHEADERS,0),MATCH($A67,CLASSNAMEHEADERS,0))),(INDEX(ALLCLASSDATA,MATCH("AdvancedGroupMaster",CLASSFEATUREHEADERS,0),MATCH(($A67 &amp; "Points"),CLASSNAMEHEADERS,0))),(IF("13"=(INDEX(ALLCLASSDATA,MATCH("AdvancedGroupExpert",CLASSFEATUREHEADERS,0),MATCH($A67,CLASSNAMEHEADERS,0))),(INDEX(ALLCLASSDATA,MATCH("AdvancedGroupExpert",CLASSFEATUREHEADERS,0),MATCH(($A67 &amp; "Points"),CLASSNAMEHEADERS,0))),(IF("13"=(INDEX(ALLCLASSDATA,MATCH("AdvancedGroupTrained",CLASSFEATUREHEADERS,0),MATCH($A67,CLASSNAMEHEADERS,0))),(INDEX(ALLCLASSDATA,MATCH("AdvancedGroupTrained",CLASSFEATUREHEADERS,0),MATCH(($A67 &amp; "Points"),CLASSNAMEHEADERS,0))),"")))))))))}</f>
        <v>ADVANCEDGROUPL13</v>
      </c>
      <c r="U66" s="223"/>
      <c r="V66" s="223" t="str">
        <f t="array" ref="V66:V67">{"ADVANCEDGROUPL15";((IF("15"=(INDEX(ALLCLASSDATA,MATCH("AdvancedGroupLegendary",CLASSFEATUREHEADERS,0),MATCH($A67,CLASSNAMEHEADERS,0))),(INDEX(ALLCLASSDATA,MATCH("AdvancedGroupLegendary",CLASSFEATUREHEADERS,0),MATCH(($A67 &amp; "Points"),CLASSNAMEHEADERS,0))),(IF("15"=(INDEX(ALLCLASSDATA,MATCH("AdvancedGroupMaster",CLASSFEATUREHEADERS,0),MATCH($A67,CLASSNAMEHEADERS,0))),(INDEX(ALLCLASSDATA,MATCH("AdvancedGroupMaster",CLASSFEATUREHEADERS,0),MATCH(($A67 &amp; "Points"),CLASSNAMEHEADERS,0))),(IF("15"=(INDEX(ALLCLASSDATA,MATCH("AdvancedGroupExpert",CLASSFEATUREHEADERS,0),MATCH($A67,CLASSNAMEHEADERS,0))),(INDEX(ALLCLASSDATA,MATCH("AdvancedGroupExpert",CLASSFEATUREHEADERS,0),MATCH(($A67 &amp; "Points"),CLASSNAMEHEADERS,0))),(IF("15"=(INDEX(ALLCLASSDATA,MATCH("AdvancedGroupTrained",CLASSFEATUREHEADERS,0),MATCH($A67,CLASSNAMEHEADERS,0))),(INDEX(ALLCLASSDATA,MATCH("AdvancedGroupTrained",CLASSFEATUREHEADERS,0),MATCH(($A67 &amp; "Points"),CLASSNAMEHEADERS,0))),"")))))))))}</f>
        <v>ADVANCEDGROUPL15</v>
      </c>
      <c r="W66" s="223"/>
      <c r="X66" s="223" t="str">
        <f t="array" ref="X66:X67">{"ADVANCEDGROUPL17";((IF("17"=(INDEX(ALLCLASSDATA,MATCH("AdvancedGroupLegendary",CLASSFEATUREHEADERS,0),MATCH($A67,CLASSNAMEHEADERS,0))),(INDEX(ALLCLASSDATA,MATCH("AdvancedGroupLegendary",CLASSFEATUREHEADERS,0),MATCH(($A67 &amp; "Points"),CLASSNAMEHEADERS,0))),(IF("17"=(INDEX(ALLCLASSDATA,MATCH("AdvancedGroupMaster",CLASSFEATUREHEADERS,0),MATCH($A67,CLASSNAMEHEADERS,0))),(INDEX(ALLCLASSDATA,MATCH("AdvancedGroupMaster",CLASSFEATUREHEADERS,0),MATCH(($A67 &amp; "Points"),CLASSNAMEHEADERS,0))),(IF("17"=(INDEX(ALLCLASSDATA,MATCH("AdvancedGroupExpert",CLASSFEATUREHEADERS,0),MATCH($A67,CLASSNAMEHEADERS,0))),(INDEX(ALLCLASSDATA,MATCH("AdvancedGroupExpert",CLASSFEATUREHEADERS,0),MATCH(($A67 &amp; "Points"),CLASSNAMEHEADERS,0))),(IF("17"=(INDEX(ALLCLASSDATA,MATCH("AdvancedGroupTrained",CLASSFEATUREHEADERS,0),MATCH($A67,CLASSNAMEHEADERS,0))),(INDEX(ALLCLASSDATA,MATCH("AdvancedGroupTrained",CLASSFEATUREHEADERS,0),MATCH(($A67 &amp; "Points"),CLASSNAMEHEADERS,0))),"")))))))))}</f>
        <v>ADVANCEDGROUPL17</v>
      </c>
      <c r="Y66" s="223"/>
      <c r="Z66" s="223" t="str">
        <f t="array" ref="Z66:Z67">{"ADVANCEDGROUPL19";((IF("19"=(INDEX(ALLCLASSDATA,MATCH("AdvancedGroupLegendary",CLASSFEATUREHEADERS,0),MATCH($A67,CLASSNAMEHEADERS,0))),(INDEX(ALLCLASSDATA,MATCH("AdvancedGroupLegendary",CLASSFEATUREHEADERS,0),MATCH(($A67 &amp; "Points"),CLASSNAMEHEADERS,0))),(IF("19"=(INDEX(ALLCLASSDATA,MATCH("AdvancedGroupMaster",CLASSFEATUREHEADERS,0),MATCH($A67,CLASSNAMEHEADERS,0))),(INDEX(ALLCLASSDATA,MATCH("AdvancedGroupMaster",CLASSFEATUREHEADERS,0),MATCH(($A67 &amp; "Points"),CLASSNAMEHEADERS,0))),(IF("19"=(INDEX(ALLCLASSDATA,MATCH("AdvancedGroupExpert",CLASSFEATUREHEADERS,0),MATCH($A67,CLASSNAMEHEADERS,0))),(INDEX(ALLCLASSDATA,MATCH("AdvancedGroupExpert",CLASSFEATUREHEADERS,0),MATCH(($A67 &amp; "Points"),CLASSNAMEHEADERS,0))),(IF("19"=(INDEX(ALLCLASSDATA,MATCH("AdvancedGroupTrained",CLASSFEATUREHEADERS,0),MATCH($A67,CLASSNAMEHEADERS,0))),(INDEX(ALLCLASSDATA,MATCH("AdvancedGroupTrained",CLASSFEATUREHEADERS,0),MATCH(($A67 &amp; "Points"),CLASSNAMEHEADERS,0))),"")))))))))}</f>
        <v>ADVANCEDGROUPL19</v>
      </c>
      <c r="AA66" s="223"/>
      <c r="AB66" s="76" t="str">
        <f t="array" ref="AB66:AB67">{"ADVANCEDGROUP TOTAL";(IF(COUNTBLANK(G67:AA67)=17,"L",(IF(COUNTBLANK(G67:AA67)=18,"M",(IF(COUNTBLANK(G67:AA67)=19,"E",(IF(COUNTBLANK(G67:AA67)=20,"T",""))))))))}</f>
        <v>ADVANCEDGROUP TOTAL</v>
      </c>
      <c r="AC66" s="76" t="str">
        <f t="array" ref="AC66:AC67">{"ADVANCEDGROUP TOTAL";(sum(G67:AA67))}</f>
        <v>ADVANCEDGROUP TOTAL</v>
      </c>
    </row>
    <row r="67">
      <c r="A67" s="48" t="s">
        <v>65</v>
      </c>
      <c r="B67" s="48"/>
      <c r="C67" s="48" t="s">
        <v>406</v>
      </c>
      <c r="D67" s="48" t="s">
        <v>1634</v>
      </c>
      <c r="E67" s="48" t="s">
        <v>601</v>
      </c>
      <c r="F67" s="5" t="s">
        <v>603</v>
      </c>
      <c r="G67" s="47" t="s">
        <v>603</v>
      </c>
      <c r="H67" s="5" t="s">
        <v>603</v>
      </c>
      <c r="I67" s="5"/>
      <c r="J67" s="5" t="s">
        <v>603</v>
      </c>
      <c r="K67" s="5"/>
      <c r="L67" s="5" t="s">
        <v>603</v>
      </c>
      <c r="M67" s="5"/>
      <c r="N67" s="5" t="s">
        <v>603</v>
      </c>
      <c r="O67" s="5"/>
      <c r="P67" s="5" t="s">
        <v>603</v>
      </c>
      <c r="Q67" s="5"/>
      <c r="R67" s="5" t="s">
        <v>603</v>
      </c>
      <c r="S67" s="5"/>
      <c r="T67" s="5" t="s">
        <v>603</v>
      </c>
      <c r="U67" s="5"/>
      <c r="V67" s="5" t="s">
        <v>603</v>
      </c>
      <c r="W67" s="5"/>
      <c r="X67" s="5" t="s">
        <v>603</v>
      </c>
      <c r="Y67" s="5"/>
      <c r="Z67" s="5" t="s">
        <v>603</v>
      </c>
      <c r="AA67" s="5"/>
      <c r="AB67" s="5" t="s">
        <v>603</v>
      </c>
      <c r="AC67" s="47">
        <v>0.0</v>
      </c>
    </row>
    <row r="68" hidden="1">
      <c r="A68" s="222" t="str">
        <f t="array" ref="A68:A69">{"FormulaRow33";(INDEX(CLASSLIST,A3,1))}</f>
        <v>FormulaRow33</v>
      </c>
      <c r="B68" s="77" t="s">
        <v>236</v>
      </c>
      <c r="C68" s="222" t="str">
        <f t="array" ref="C68:C69">{"CLASSTYPE";((INDEX(ALLCLASSDATA,MATCH("ClassType",CLASSFEATUREHEADERS,0),MATCH($A69,CLASSNAMEHEADERS,0))))}</f>
        <v>CLASSTYPE</v>
      </c>
      <c r="D68" s="222" t="str">
        <f t="array" ref="D68:D69">{"ATTACK";"Attack"}</f>
        <v>ATTACK</v>
      </c>
      <c r="E68" s="222" t="str">
        <f t="array" ref="E68:E69">{"ADVANCED";"Advanced"}</f>
        <v>ADVANCED</v>
      </c>
      <c r="F68" s="223" t="str">
        <f t="array" ref="F68:F69">{"ADVANCEDINITIAL";((IF(H69=10,"T",(IF(H69=50,"E","")))))}</f>
        <v>ADVANCEDINITIAL</v>
      </c>
      <c r="G68" s="223" t="str">
        <f t="array" ref="G68:G69">{"ADVANCEDINITIALPTS";((IF("00"=(INDEX(ALLCLASSDATA,MATCH("AdvancedLegendary",CLASSFEATUREHEADERS,0),MATCH($A69,CLASSNAMEHEADERS,0))),(INDEX(ALLCLASSDATA,MATCH("AdvancedLegendary",CLASSFEATUREHEADERS,0),MATCH(($A69 &amp; "Points"),CLASSNAMEHEADERS,0))),(IF("00"=(INDEX(ALLCLASSDATA,MATCH("AdvancedMaster",CLASSFEATUREHEADERS,0),MATCH($A69,CLASSNAMEHEADERS,0))),(INDEX(ALLCLASSDATA,MATCH("AdvancedMaster",CLASSFEATUREHEADERS,0),MATCH(($A69 &amp; "Points"),CLASSNAMEHEADERS,0))),(IF("00"=(INDEX(ALLCLASSDATA,MATCH("AdvancedExpert",CLASSFEATUREHEADERS,0),MATCH($A69,CLASSNAMEHEADERS,0))),(INDEX(ALLCLASSDATA,MATCH("AdvancedExpert",CLASSFEATUREHEADERS,0),MATCH(($A69 &amp; "Points"),CLASSNAMEHEADERS,0))),(IF("00"=(INDEX(ALLCLASSDATA,MATCH("AdvancedTrained",CLASSFEATUREHEADERS,0),MATCH($A69,CLASSNAMEHEADERS,0))),(INDEX(ALLCLASSDATA,MATCH("AdvancedTrained",CLASSFEATUREHEADERS,0),MATCH(($A69 &amp; "Points"),CLASSNAMEHEADERS,0))),"")))))))))}</f>
        <v>ADVANCEDINITIALPTS</v>
      </c>
      <c r="H68" s="223" t="str">
        <f t="array" ref="H68:H69">{"ADVANCEDL01";((IF("01"=(INDEX(ALLCLASSDATA,MATCH("AdvancedLegendary",CLASSFEATUREHEADERS,0),MATCH($A69,CLASSNAMEHEADERS,0))),(INDEX(ALLCLASSDATA,MATCH("AdvancedLegendary",CLASSFEATUREHEADERS,0),MATCH(($A69 &amp; "Points"),CLASSNAMEHEADERS,0))),(IF("01"=(INDEX(ALLCLASSDATA,MATCH("AdvancedMaster",CLASSFEATUREHEADERS,0),MATCH($A69,CLASSNAMEHEADERS,0))),(INDEX(ALLCLASSDATA,MATCH("AdvancedMaster",CLASSFEATUREHEADERS,0),MATCH(($A69 &amp; "Points"),CLASSNAMEHEADERS,0))),(IF("01"=(INDEX(ALLCLASSDATA,MATCH("AdvancedExpert",CLASSFEATUREHEADERS,0),MATCH($A69,CLASSNAMEHEADERS,0))),(INDEX(ALLCLASSDATA,MATCH("AdvancedExpert",CLASSFEATUREHEADERS,0),MATCH(($A69 &amp; "Points"),CLASSNAMEHEADERS,0))),(IF("01"=(INDEX(ALLCLASSDATA,MATCH("AdvancedTrained",CLASSFEATUREHEADERS,0),MATCH($A69,CLASSNAMEHEADERS,0))),(INDEX(ALLCLASSDATA,MATCH("AdvancedTrained",CLASSFEATUREHEADERS,0),MATCH(($A69 &amp; "Points"),CLASSNAMEHEADERS,0))),"")))))))))}</f>
        <v>ADVANCEDL01</v>
      </c>
      <c r="I68" s="223"/>
      <c r="J68" s="223" t="str">
        <f t="array" ref="J68:J69">{"ADVANCEDL03";((IF("03"=(INDEX(ALLCLASSDATA,MATCH("AdvancedLegendary",CLASSFEATUREHEADERS,0),MATCH($A69,CLASSNAMEHEADERS,0))),(INDEX(ALLCLASSDATA,MATCH("AdvancedLegendary",CLASSFEATUREHEADERS,0),MATCH(($A69 &amp; "Points"),CLASSNAMEHEADERS,0))),(IF("03"=(INDEX(ALLCLASSDATA,MATCH("AdvancedMaster",CLASSFEATUREHEADERS,0),MATCH($A69,CLASSNAMEHEADERS,0))),(INDEX(ALLCLASSDATA,MATCH("AdvancedMaster",CLASSFEATUREHEADERS,0),MATCH(($A69 &amp; "Points"),CLASSNAMEHEADERS,0))),(IF("03"=(INDEX(ALLCLASSDATA,MATCH("AdvancedExpert",CLASSFEATUREHEADERS,0),MATCH($A69,CLASSNAMEHEADERS,0))),(INDEX(ALLCLASSDATA,MATCH("AdvancedExpert",CLASSFEATUREHEADERS,0),MATCH(($A69 &amp; "Points"),CLASSNAMEHEADERS,0))),(IF("03"=(INDEX(ALLCLASSDATA,MATCH("AdvancedTrained",CLASSFEATUREHEADERS,0),MATCH($A69,CLASSNAMEHEADERS,0))),(INDEX(ALLCLASSDATA,MATCH("AdvancedTrained",CLASSFEATUREHEADERS,0),MATCH(($A69 &amp; "Points"),CLASSNAMEHEADERS,0))),"")))))))))}</f>
        <v>ADVANCEDL03</v>
      </c>
      <c r="K68" s="223"/>
      <c r="L68" s="223" t="str">
        <f t="array" ref="L68:L69">{"ADVANCEDL05";((IF("05"=(INDEX(ALLCLASSDATA,MATCH("AdvancedLegendary",CLASSFEATUREHEADERS,0),MATCH($A69,CLASSNAMEHEADERS,0))),(INDEX(ALLCLASSDATA,MATCH("AdvancedLegendary",CLASSFEATUREHEADERS,0),MATCH(($A69 &amp; "Points"),CLASSNAMEHEADERS,0))),(IF("05"=(INDEX(ALLCLASSDATA,MATCH("AdvancedMaster",CLASSFEATUREHEADERS,0),MATCH($A69,CLASSNAMEHEADERS,0))),(INDEX(ALLCLASSDATA,MATCH("AdvancedMaster",CLASSFEATUREHEADERS,0),MATCH(($A69 &amp; "Points"),CLASSNAMEHEADERS,0))),(IF("05"=(INDEX(ALLCLASSDATA,MATCH("AdvancedExpert",CLASSFEATUREHEADERS,0),MATCH($A69,CLASSNAMEHEADERS,0))),(INDEX(ALLCLASSDATA,MATCH("AdvancedExpert",CLASSFEATUREHEADERS,0),MATCH(($A69 &amp; "Points"),CLASSNAMEHEADERS,0))),(IF("05"=(INDEX(ALLCLASSDATA,MATCH("AdvancedTrained",CLASSFEATUREHEADERS,0),MATCH($A69,CLASSNAMEHEADERS,0))),(INDEX(ALLCLASSDATA,MATCH("AdvancedTrained",CLASSFEATUREHEADERS,0),MATCH(($A69 &amp; "Points"),CLASSNAMEHEADERS,0))),"")))))))))}</f>
        <v>ADVANCEDL05</v>
      </c>
      <c r="M68" s="223"/>
      <c r="N68" s="223" t="str">
        <f t="array" ref="N68:N69">{"ADVANCEDL07";((IF("07"=(INDEX(ALLCLASSDATA,MATCH("AdvancedLegendary",CLASSFEATUREHEADERS,0),MATCH($A69,CLASSNAMEHEADERS,0))),(INDEX(ALLCLASSDATA,MATCH("AdvancedLegendary",CLASSFEATUREHEADERS,0),MATCH(($A69 &amp; "Points"),CLASSNAMEHEADERS,0))),(IF("07"=(INDEX(ALLCLASSDATA,MATCH("AdvancedMaster",CLASSFEATUREHEADERS,0),MATCH($A69,CLASSNAMEHEADERS,0))),(INDEX(ALLCLASSDATA,MATCH("AdvancedMaster",CLASSFEATUREHEADERS,0),MATCH(($A69 &amp; "Points"),CLASSNAMEHEADERS,0))),(IF("07"=(INDEX(ALLCLASSDATA,MATCH("AdvancedExpert",CLASSFEATUREHEADERS,0),MATCH($A69,CLASSNAMEHEADERS,0))),(INDEX(ALLCLASSDATA,MATCH("AdvancedExpert",CLASSFEATUREHEADERS,0),MATCH(($A69 &amp; "Points"),CLASSNAMEHEADERS,0))),(IF("07"=(INDEX(ALLCLASSDATA,MATCH("AdvancedTrained",CLASSFEATUREHEADERS,0),MATCH($A69,CLASSNAMEHEADERS,0))),(INDEX(ALLCLASSDATA,MATCH("AdvancedTrained",CLASSFEATUREHEADERS,0),MATCH(($A69 &amp; "Points"),CLASSNAMEHEADERS,0))),"")))))))))}</f>
        <v>ADVANCEDL07</v>
      </c>
      <c r="O68" s="223"/>
      <c r="P68" s="223" t="str">
        <f t="array" ref="P68:P69">{"ADVANCEDL09";((IF("09"=(INDEX(ALLCLASSDATA,MATCH("AdvancedLegendary",CLASSFEATUREHEADERS,0),MATCH($A69,CLASSNAMEHEADERS,0))),(INDEX(ALLCLASSDATA,MATCH("AdvancedLegendary",CLASSFEATUREHEADERS,0),MATCH(($A69 &amp; "Points"),CLASSNAMEHEADERS,0))),(IF("09"=(INDEX(ALLCLASSDATA,MATCH("AdvancedMaster",CLASSFEATUREHEADERS,0),MATCH($A69,CLASSNAMEHEADERS,0))),(INDEX(ALLCLASSDATA,MATCH("AdvancedMaster",CLASSFEATUREHEADERS,0),MATCH(($A69 &amp; "Points"),CLASSNAMEHEADERS,0))),(IF("09"=(INDEX(ALLCLASSDATA,MATCH("AdvancedExpert",CLASSFEATUREHEADERS,0),MATCH($A69,CLASSNAMEHEADERS,0))),(INDEX(ALLCLASSDATA,MATCH("AdvancedExpert",CLASSFEATUREHEADERS,0),MATCH(($A69 &amp; "Points"),CLASSNAMEHEADERS,0))),(IF("09"=(INDEX(ALLCLASSDATA,MATCH("AdvancedTrained",CLASSFEATUREHEADERS,0),MATCH($A69,CLASSNAMEHEADERS,0))),(INDEX(ALLCLASSDATA,MATCH("AdvancedTrained",CLASSFEATUREHEADERS,0),MATCH(($A69 &amp; "Points"),CLASSNAMEHEADERS,0))),"")))))))))}</f>
        <v>ADVANCEDL09</v>
      </c>
      <c r="Q68" s="223"/>
      <c r="R68" s="223" t="str">
        <f t="array" ref="R68:R69">{"ADVANCEDL11";((IF("11"=(INDEX(ALLCLASSDATA,MATCH("AdvancedLegendary",CLASSFEATUREHEADERS,0),MATCH($A69,CLASSNAMEHEADERS,0))),(INDEX(ALLCLASSDATA,MATCH("AdvancedLegendary",CLASSFEATUREHEADERS,0),MATCH(($A69 &amp; "Points"),CLASSNAMEHEADERS,0))),(IF("11"=(INDEX(ALLCLASSDATA,MATCH("AdvancedMaster",CLASSFEATUREHEADERS,0),MATCH($A69,CLASSNAMEHEADERS,0))),(INDEX(ALLCLASSDATA,MATCH("AdvancedMaster",CLASSFEATUREHEADERS,0),MATCH(($A69 &amp; "Points"),CLASSNAMEHEADERS,0))),(IF("11"=(INDEX(ALLCLASSDATA,MATCH("AdvancedExpert",CLASSFEATUREHEADERS,0),MATCH($A69,CLASSNAMEHEADERS,0))),(INDEX(ALLCLASSDATA,MATCH("AdvancedExpert",CLASSFEATUREHEADERS,0),MATCH(($A69 &amp; "Points"),CLASSNAMEHEADERS,0))),(IF("11"=(INDEX(ALLCLASSDATA,MATCH("AdvancedTrained",CLASSFEATUREHEADERS,0),MATCH($A69,CLASSNAMEHEADERS,0))),(INDEX(ALLCLASSDATA,MATCH("AdvancedTrained",CLASSFEATUREHEADERS,0),MATCH(($A69 &amp; "Points"),CLASSNAMEHEADERS,0))),"")))))))))}</f>
        <v>ADVANCEDL11</v>
      </c>
      <c r="S68" s="223"/>
      <c r="T68" s="223" t="str">
        <f t="array" ref="T68:T69">{"ADVANCEDL13";((IF("13"=(INDEX(ALLCLASSDATA,MATCH("AdvancedLegendary",CLASSFEATUREHEADERS,0),MATCH($A69,CLASSNAMEHEADERS,0))),(INDEX(ALLCLASSDATA,MATCH("AdvancedLegendary",CLASSFEATUREHEADERS,0),MATCH(($A69 &amp; "Points"),CLASSNAMEHEADERS,0))),(IF("13"=(INDEX(ALLCLASSDATA,MATCH("AdvancedMaster",CLASSFEATUREHEADERS,0),MATCH($A69,CLASSNAMEHEADERS,0))),(INDEX(ALLCLASSDATA,MATCH("AdvancedMaster",CLASSFEATUREHEADERS,0),MATCH(($A69 &amp; "Points"),CLASSNAMEHEADERS,0))),(IF("13"=(INDEX(ALLCLASSDATA,MATCH("AdvancedExpert",CLASSFEATUREHEADERS,0),MATCH($A69,CLASSNAMEHEADERS,0))),(INDEX(ALLCLASSDATA,MATCH("AdvancedExpert",CLASSFEATUREHEADERS,0),MATCH(($A69 &amp; "Points"),CLASSNAMEHEADERS,0))),(IF("13"=(INDEX(ALLCLASSDATA,MATCH("AdvancedTrained",CLASSFEATUREHEADERS,0),MATCH($A69,CLASSNAMEHEADERS,0))),(INDEX(ALLCLASSDATA,MATCH("AdvancedTrained",CLASSFEATUREHEADERS,0),MATCH(($A69 &amp; "Points"),CLASSNAMEHEADERS,0))),"")))))))))}</f>
        <v>ADVANCEDL13</v>
      </c>
      <c r="U68" s="223"/>
      <c r="V68" s="223" t="str">
        <f t="array" ref="V68:V69">{"ADVANCEDL15";((IF("15"=(INDEX(ALLCLASSDATA,MATCH("AdvancedLegendary",CLASSFEATUREHEADERS,0),MATCH($A69,CLASSNAMEHEADERS,0))),(INDEX(ALLCLASSDATA,MATCH("AdvancedLegendary",CLASSFEATUREHEADERS,0),MATCH(($A69 &amp; "Points"),CLASSNAMEHEADERS,0))),(IF("15"=(INDEX(ALLCLASSDATA,MATCH("AdvancedMaster",CLASSFEATUREHEADERS,0),MATCH($A69,CLASSNAMEHEADERS,0))),(INDEX(ALLCLASSDATA,MATCH("AdvancedMaster",CLASSFEATUREHEADERS,0),MATCH(($A69 &amp; "Points"),CLASSNAMEHEADERS,0))),(IF("15"=(INDEX(ALLCLASSDATA,MATCH("AdvancedExpert",CLASSFEATUREHEADERS,0),MATCH($A69,CLASSNAMEHEADERS,0))),(INDEX(ALLCLASSDATA,MATCH("AdvancedExpert",CLASSFEATUREHEADERS,0),MATCH(($A69 &amp; "Points"),CLASSNAMEHEADERS,0))),(IF("15"=(INDEX(ALLCLASSDATA,MATCH("AdvancedTrained",CLASSFEATUREHEADERS,0),MATCH($A69,CLASSNAMEHEADERS,0))),(INDEX(ALLCLASSDATA,MATCH("AdvancedTrained",CLASSFEATUREHEADERS,0),MATCH(($A69 &amp; "Points"),CLASSNAMEHEADERS,0))),"")))))))))}</f>
        <v>ADVANCEDL15</v>
      </c>
      <c r="W68" s="223"/>
      <c r="X68" s="223" t="str">
        <f t="array" ref="X68:X69">{"ADVANCEDL17";((IF("17"=(INDEX(ALLCLASSDATA,MATCH("AdvancedLegendary",CLASSFEATUREHEADERS,0),MATCH($A69,CLASSNAMEHEADERS,0))),(INDEX(ALLCLASSDATA,MATCH("AdvancedLegendary",CLASSFEATUREHEADERS,0),MATCH(($A69 &amp; "Points"),CLASSNAMEHEADERS,0))),(IF("17"=(INDEX(ALLCLASSDATA,MATCH("AdvancedMaster",CLASSFEATUREHEADERS,0),MATCH($A69,CLASSNAMEHEADERS,0))),(INDEX(ALLCLASSDATA,MATCH("AdvancedMaster",CLASSFEATUREHEADERS,0),MATCH(($A69 &amp; "Points"),CLASSNAMEHEADERS,0))),(IF("17"=(INDEX(ALLCLASSDATA,MATCH("AdvancedExpert",CLASSFEATUREHEADERS,0),MATCH($A69,CLASSNAMEHEADERS,0))),(INDEX(ALLCLASSDATA,MATCH("AdvancedExpert",CLASSFEATUREHEADERS,0),MATCH(($A69 &amp; "Points"),CLASSNAMEHEADERS,0))),(IF("17"=(INDEX(ALLCLASSDATA,MATCH("AdvancedTrained",CLASSFEATUREHEADERS,0),MATCH($A69,CLASSNAMEHEADERS,0))),(INDEX(ALLCLASSDATA,MATCH("AdvancedTrained",CLASSFEATUREHEADERS,0),MATCH(($A69 &amp; "Points"),CLASSNAMEHEADERS,0))),"")))))))))}</f>
        <v>ADVANCEDL17</v>
      </c>
      <c r="Y68" s="223"/>
      <c r="Z68" s="223" t="str">
        <f t="array" ref="Z68:Z69">{"ADVANCEDL19";((IF("19"=(INDEX(ALLCLASSDATA,MATCH("AdvancedLegendary",CLASSFEATUREHEADERS,0),MATCH($A69,CLASSNAMEHEADERS,0))),(INDEX(ALLCLASSDATA,MATCH("AdvancedLegendary",CLASSFEATUREHEADERS,0),MATCH(($A69 &amp; "Points"),CLASSNAMEHEADERS,0))),(IF("19"=(INDEX(ALLCLASSDATA,MATCH("AdvancedMaster",CLASSFEATUREHEADERS,0),MATCH($A69,CLASSNAMEHEADERS,0))),(INDEX(ALLCLASSDATA,MATCH("AdvancedMaster",CLASSFEATUREHEADERS,0),MATCH(($A69 &amp; "Points"),CLASSNAMEHEADERS,0))),(IF("19"=(INDEX(ALLCLASSDATA,MATCH("AdvancedExpert",CLASSFEATUREHEADERS,0),MATCH($A69,CLASSNAMEHEADERS,0))),(INDEX(ALLCLASSDATA,MATCH("AdvancedExpert",CLASSFEATUREHEADERS,0),MATCH(($A69 &amp; "Points"),CLASSNAMEHEADERS,0))),(IF("19"=(INDEX(ALLCLASSDATA,MATCH("AdvancedTrained",CLASSFEATUREHEADERS,0),MATCH($A69,CLASSNAMEHEADERS,0))),(INDEX(ALLCLASSDATA,MATCH("AdvancedTrained",CLASSFEATUREHEADERS,0),MATCH(($A69 &amp; "Points"),CLASSNAMEHEADERS,0))),"")))))))))}</f>
        <v>ADVANCEDL19</v>
      </c>
      <c r="AA68" s="223"/>
      <c r="AB68" s="76" t="str">
        <f t="array" ref="AB68:AB69">{"ADVANCED TOTAL";(IF(COUNTBLANK(G69:AA69)=17,"L",(IF(COUNTBLANK(G69:AA69)=18,"M",(IF(COUNTBLANK(G69:AA69)=19,"E",(IF(COUNTBLANK(G69:AA69)=20,"T",""))))))))}</f>
        <v>ADVANCED TOTAL</v>
      </c>
      <c r="AC68" s="76" t="str">
        <f t="array" ref="AC68:AC69">{"ADVANCED TOTAL";(sum(G69:AA69))}</f>
        <v>ADVANCED TOTAL</v>
      </c>
    </row>
    <row r="69">
      <c r="A69" s="48" t="s">
        <v>65</v>
      </c>
      <c r="B69" s="48"/>
      <c r="C69" s="48" t="s">
        <v>406</v>
      </c>
      <c r="D69" s="97" t="s">
        <v>1634</v>
      </c>
      <c r="E69" s="97" t="s">
        <v>602</v>
      </c>
      <c r="F69" s="98" t="s">
        <v>603</v>
      </c>
      <c r="G69" s="132" t="s">
        <v>603</v>
      </c>
      <c r="H69" s="98" t="s">
        <v>603</v>
      </c>
      <c r="I69" s="98"/>
      <c r="J69" s="98" t="s">
        <v>603</v>
      </c>
      <c r="K69" s="98"/>
      <c r="L69" s="98" t="s">
        <v>603</v>
      </c>
      <c r="M69" s="98"/>
      <c r="N69" s="98" t="s">
        <v>603</v>
      </c>
      <c r="O69" s="98"/>
      <c r="P69" s="98" t="s">
        <v>603</v>
      </c>
      <c r="Q69" s="98"/>
      <c r="R69" s="98" t="s">
        <v>603</v>
      </c>
      <c r="S69" s="98"/>
      <c r="T69" s="98" t="s">
        <v>603</v>
      </c>
      <c r="U69" s="98"/>
      <c r="V69" s="98" t="s">
        <v>603</v>
      </c>
      <c r="W69" s="98"/>
      <c r="X69" s="98" t="s">
        <v>603</v>
      </c>
      <c r="Y69" s="98"/>
      <c r="Z69" s="98" t="s">
        <v>603</v>
      </c>
      <c r="AA69" s="98"/>
      <c r="AB69" s="5" t="s">
        <v>603</v>
      </c>
      <c r="AC69" s="47">
        <v>0.0</v>
      </c>
    </row>
    <row r="70" hidden="1">
      <c r="A70" s="222" t="str">
        <f t="array" ref="A70:A71">{"FormulaRow34";(INDEX(CLASSLIST,A3,1))}</f>
        <v>FormulaRow34</v>
      </c>
      <c r="B70" s="77" t="s">
        <v>236</v>
      </c>
      <c r="C70" s="222" t="str">
        <f t="array" ref="C70:C71">{"CLASSTYPE";((INDEX(ALLCLASSDATA,MATCH("ClassType",CLASSFEATUREHEADERS,0),MATCH($A71,CLASSNAMEHEADERS,0))))}</f>
        <v>CLASSTYPE</v>
      </c>
      <c r="D70" s="222" t="str">
        <f t="array" ref="D70:D71">{"DEFENSE";"Defense"}</f>
        <v>DEFENSE</v>
      </c>
      <c r="E70" s="222" t="str">
        <f t="array" ref="E70:E71">{"ARMORSPECIAL";"ArmorAS"}</f>
        <v>ARMORSPECIAL</v>
      </c>
      <c r="F70" s="223"/>
      <c r="G70" s="223"/>
      <c r="H70" s="223" t="str">
        <f t="array" ref="H70:H71">{"ARMORSPECIALL01";((IF("01"=INDEX(ALLCLASSDATA,MATCH("ArmorSpecialization",CLASSFEATUREHEADERS,0),MATCH($A71,CLASSNAMEHEADERS,0)),ArmorAS,"")))}</f>
        <v>ARMORSPECIALL01</v>
      </c>
      <c r="I70" s="223"/>
      <c r="J70" s="223" t="str">
        <f t="array" ref="J70:J71">{"ARMORSPECIALL03";((IF("03"=INDEX(ALLCLASSDATA,MATCH("ArmorSpecialization",CLASSFEATUREHEADERS,0),MATCH($A71,CLASSNAMEHEADERS,0)),ArmorAS,"")))}</f>
        <v>ARMORSPECIALL03</v>
      </c>
      <c r="K70" s="223"/>
      <c r="L70" s="223" t="str">
        <f t="array" ref="L70:L71">{"ARMORSPECIALL05";((IF("05"=INDEX(ALLCLASSDATA,MATCH("ArmorSpecialization",CLASSFEATUREHEADERS,0),MATCH($A71,CLASSNAMEHEADERS,0)),ArmorAS,"")))}</f>
        <v>ARMORSPECIALL05</v>
      </c>
      <c r="M70" s="223"/>
      <c r="N70" s="223" t="str">
        <f t="array" ref="N70:N71">{"ARMORSPECIALL07";((IF("07"=INDEX(ALLCLASSDATA,MATCH("ArmorSpecialization",CLASSFEATUREHEADERS,0),MATCH($A71,CLASSNAMEHEADERS,0)),ArmorAS,"")))}</f>
        <v>ARMORSPECIALL07</v>
      </c>
      <c r="O70" s="223"/>
      <c r="P70" s="223" t="str">
        <f t="array" ref="P70:P71">{"ARMORSPECIALL09";((IF("09"=INDEX(ALLCLASSDATA,MATCH("ArmorSpecialization",CLASSFEATUREHEADERS,0),MATCH($A71,CLASSNAMEHEADERS,0)),ArmorAS,"")))}</f>
        <v>ARMORSPECIALL09</v>
      </c>
      <c r="Q70" s="223"/>
      <c r="R70" s="223" t="str">
        <f t="array" ref="R70:R71">{"ARMORSPECIALL11";((IF("11"=INDEX(ALLCLASSDATA,MATCH("ArmorSpecialization",CLASSFEATUREHEADERS,0),MATCH($A71,CLASSNAMEHEADERS,0)),ArmorAS,"")))}</f>
        <v>ARMORSPECIALL11</v>
      </c>
      <c r="S70" s="223"/>
      <c r="T70" s="223" t="str">
        <f t="array" ref="T70:T71">{"ARMORSPECIALL13";((IF("13"=INDEX(ALLCLASSDATA,MATCH("ArmorSpecialization",CLASSFEATUREHEADERS,0),MATCH($A71,CLASSNAMEHEADERS,0)),ArmorAS,"")))}</f>
        <v>ARMORSPECIALL13</v>
      </c>
      <c r="U70" s="223"/>
      <c r="V70" s="223" t="str">
        <f t="array" ref="V70:V71">{"ARMORSPECIALL15";((IF("15"=INDEX(ALLCLASSDATA,MATCH("ArmorSpecialization",CLASSFEATUREHEADERS,0),MATCH($A71,CLASSNAMEHEADERS,0)),ArmorAS,"")))}</f>
        <v>ARMORSPECIALL15</v>
      </c>
      <c r="W70" s="223"/>
      <c r="X70" s="223" t="str">
        <f t="array" ref="X70:X71">{"ARMORSPECIALL17";((IF("17"=INDEX(ALLCLASSDATA,MATCH("ArmorSpecialization",CLASSFEATUREHEADERS,0),MATCH($A71,CLASSNAMEHEADERS,0)),ArmorAS,"")))}</f>
        <v>ARMORSPECIALL17</v>
      </c>
      <c r="Y70" s="223"/>
      <c r="Z70" s="223" t="str">
        <f t="array" ref="Z70:Z71">{"ARMORSPECIALL19";((IF("19"=INDEX(ALLCLASSDATA,MATCH("ArmorSpecialization",CLASSFEATUREHEADERS,0),MATCH($A71,CLASSNAMEHEADERS,0)),ArmorAS,"")))}</f>
        <v>ARMORSPECIALL19</v>
      </c>
      <c r="AA70" s="223"/>
      <c r="AB70" s="76"/>
      <c r="AC70" s="76" t="str">
        <f t="array" ref="AC70:AC71">{"ARMORSPECIAL TOTAL";(sum(G71:AA71))}</f>
        <v>ARMORSPECIAL TOTAL</v>
      </c>
    </row>
    <row r="71">
      <c r="A71" s="48" t="s">
        <v>65</v>
      </c>
      <c r="B71" s="48"/>
      <c r="C71" s="48" t="s">
        <v>406</v>
      </c>
      <c r="D71" s="48" t="s">
        <v>1900</v>
      </c>
      <c r="E71" s="48" t="s">
        <v>51</v>
      </c>
      <c r="F71" s="5"/>
      <c r="G71" s="47"/>
      <c r="H71" s="5" t="s">
        <v>603</v>
      </c>
      <c r="I71" s="5"/>
      <c r="J71" s="5" t="s">
        <v>603</v>
      </c>
      <c r="K71" s="5"/>
      <c r="L71" s="5" t="s">
        <v>603</v>
      </c>
      <c r="M71" s="5"/>
      <c r="N71" s="5">
        <v>50.0</v>
      </c>
      <c r="O71" s="5"/>
      <c r="P71" s="5" t="s">
        <v>603</v>
      </c>
      <c r="Q71" s="5"/>
      <c r="R71" s="5" t="s">
        <v>603</v>
      </c>
      <c r="S71" s="5"/>
      <c r="T71" s="5" t="s">
        <v>603</v>
      </c>
      <c r="U71" s="5"/>
      <c r="V71" s="5" t="s">
        <v>603</v>
      </c>
      <c r="W71" s="5"/>
      <c r="X71" s="5" t="s">
        <v>603</v>
      </c>
      <c r="Y71" s="5"/>
      <c r="Z71" s="5" t="s">
        <v>603</v>
      </c>
      <c r="AA71" s="5"/>
      <c r="AB71" s="5"/>
      <c r="AC71" s="47">
        <v>50.0</v>
      </c>
    </row>
    <row r="72" hidden="1">
      <c r="A72" s="222" t="str">
        <f t="array" ref="A72:A73">{"FormulaRow35";(INDEX(CLASSLIST,A3,1))}</f>
        <v>FormulaRow35</v>
      </c>
      <c r="B72" s="77" t="s">
        <v>236</v>
      </c>
      <c r="C72" s="222" t="str">
        <f t="array" ref="C72:C73">{"CLASSTYPE";((INDEX(ALLCLASSDATA,MATCH("ClassType",CLASSFEATUREHEADERS,0),MATCH($A73,CLASSNAMEHEADERS,0))))}</f>
        <v>CLASSTYPE</v>
      </c>
      <c r="D72" s="222" t="str">
        <f t="array" ref="D72:D73">{"DEFENSE";"Defense"}</f>
        <v>DEFENSE</v>
      </c>
      <c r="E72" s="222" t="str">
        <f t="array" ref="E72:E73">{"UNARMORED";"Unarmored"}</f>
        <v>UNARMORED</v>
      </c>
      <c r="F72" s="223" t="str">
        <f t="array" ref="F72:F73">{"UNARMOREDINITIAL";((IF(H73=10,"T",(IF(H73=50,"E","")))))}</f>
        <v>UNARMOREDINITIAL</v>
      </c>
      <c r="G72" s="223" t="str">
        <f t="array" ref="G72:G73">{"UNARMOREDINITIALPTS";((IF("00"=(INDEX(ALLCLASSDATA,MATCH("UnarmoredLegendary",CLASSFEATUREHEADERS,0),MATCH($A73,CLASSNAMEHEADERS,0))),(INDEX(ALLCLASSDATA,MATCH("UnarmoredLegendary",CLASSFEATUREHEADERS,0),MATCH(($A73 &amp; "Points"),CLASSNAMEHEADERS,0))),(IF("00"=(INDEX(ALLCLASSDATA,MATCH("UnarmoredMaster",CLASSFEATUREHEADERS,0),MATCH($A73,CLASSNAMEHEADERS,0))),(INDEX(ALLCLASSDATA,MATCH("UnarmoredMaster",CLASSFEATUREHEADERS,0),MATCH(($A73 &amp; "Points"),CLASSNAMEHEADERS,0))),(IF("00"=(INDEX(ALLCLASSDATA,MATCH("UnarmoredExpert",CLASSFEATUREHEADERS,0),MATCH($A73,CLASSNAMEHEADERS,0))),(INDEX(ALLCLASSDATA,MATCH("UnarmoredExpert",CLASSFEATUREHEADERS,0),MATCH(($A73 &amp; "Points"),CLASSNAMEHEADERS,0))),(IF("00"=(INDEX(ALLCLASSDATA,MATCH("UnarmoredTrained",CLASSFEATUREHEADERS,0),MATCH($A73,CLASSNAMEHEADERS,0))),(INDEX(ALLCLASSDATA,MATCH("UnarmoredTrained",CLASSFEATUREHEADERS,0),MATCH(($A73 &amp; "Points"),CLASSNAMEHEADERS,0))),"")))))))))}</f>
        <v>UNARMOREDINITIALPTS</v>
      </c>
      <c r="H72" s="223" t="str">
        <f t="array" ref="H72:H73">{"UNARMOREDL01";((IF("01"=(INDEX(ALLCLASSDATA,MATCH("UnarmoredLegendary",CLASSFEATUREHEADERS,0),MATCH($A73,CLASSNAMEHEADERS,0))),(INDEX(ALLCLASSDATA,MATCH("UnarmoredLegendary",CLASSFEATUREHEADERS,0),MATCH(($A73 &amp; "Points"),CLASSNAMEHEADERS,0))),(IF("01"=(INDEX(ALLCLASSDATA,MATCH("UnarmoredMaster",CLASSFEATUREHEADERS,0),MATCH($A73,CLASSNAMEHEADERS,0))),(INDEX(ALLCLASSDATA,MATCH("UnarmoredMaster",CLASSFEATUREHEADERS,0),MATCH(($A73 &amp; "Points"),CLASSNAMEHEADERS,0))),(IF("01"=(INDEX(ALLCLASSDATA,MATCH("UnarmoredExpert",CLASSFEATUREHEADERS,0),MATCH($A73,CLASSNAMEHEADERS,0))),(INDEX(ALLCLASSDATA,MATCH("UnarmoredExpert",CLASSFEATUREHEADERS,0),MATCH(($A73 &amp; "Points"),CLASSNAMEHEADERS,0))),(IF("01"=(INDEX(ALLCLASSDATA,MATCH("UnarmoredTrained",CLASSFEATUREHEADERS,0),MATCH($A73,CLASSNAMEHEADERS,0))),(INDEX(ALLCLASSDATA,MATCH("UnarmoredTrained",CLASSFEATUREHEADERS,0),MATCH(($A73 &amp; "Points"),CLASSNAMEHEADERS,0))),"")))))))))}</f>
        <v>UNARMOREDL01</v>
      </c>
      <c r="I72" s="223"/>
      <c r="J72" s="223" t="str">
        <f t="array" ref="J72:J73">{"UNARMOREDL03";((IF("03"=(INDEX(ALLCLASSDATA,MATCH("UnarmoredLegendary",CLASSFEATUREHEADERS,0),MATCH($A73,CLASSNAMEHEADERS,0))),(INDEX(ALLCLASSDATA,MATCH("UnarmoredLegendary",CLASSFEATUREHEADERS,0),MATCH(($A73 &amp; "Points"),CLASSNAMEHEADERS,0))),(IF("03"=(INDEX(ALLCLASSDATA,MATCH("UnarmoredMaster",CLASSFEATUREHEADERS,0),MATCH($A73,CLASSNAMEHEADERS,0))),(INDEX(ALLCLASSDATA,MATCH("UnarmoredMaster",CLASSFEATUREHEADERS,0),MATCH(($A73 &amp; "Points"),CLASSNAMEHEADERS,0))),(IF("03"=(INDEX(ALLCLASSDATA,MATCH("UnarmoredExpert",CLASSFEATUREHEADERS,0),MATCH($A73,CLASSNAMEHEADERS,0))),(INDEX(ALLCLASSDATA,MATCH("UnarmoredExpert",CLASSFEATUREHEADERS,0),MATCH(($A73 &amp; "Points"),CLASSNAMEHEADERS,0))),(IF("03"=(INDEX(ALLCLASSDATA,MATCH("UnarmoredTrained",CLASSFEATUREHEADERS,0),MATCH($A73,CLASSNAMEHEADERS,0))),(INDEX(ALLCLASSDATA,MATCH("UnarmoredTrained",CLASSFEATUREHEADERS,0),MATCH(($A73 &amp; "Points"),CLASSNAMEHEADERS,0))),"")))))))))}</f>
        <v>UNARMOREDL03</v>
      </c>
      <c r="K72" s="223"/>
      <c r="L72" s="223" t="str">
        <f t="array" ref="L72:L73">{"UNARMOREDL05";((IF("05"=(INDEX(ALLCLASSDATA,MATCH("UnarmoredLegendary",CLASSFEATUREHEADERS,0),MATCH($A73,CLASSNAMEHEADERS,0))),(INDEX(ALLCLASSDATA,MATCH("UnarmoredLegendary",CLASSFEATUREHEADERS,0),MATCH(($A73 &amp; "Points"),CLASSNAMEHEADERS,0))),(IF("05"=(INDEX(ALLCLASSDATA,MATCH("UnarmoredMaster",CLASSFEATUREHEADERS,0),MATCH($A73,CLASSNAMEHEADERS,0))),(INDEX(ALLCLASSDATA,MATCH("UnarmoredMaster",CLASSFEATUREHEADERS,0),MATCH(($A73 &amp; "Points"),CLASSNAMEHEADERS,0))),(IF("05"=(INDEX(ALLCLASSDATA,MATCH("UnarmoredExpert",CLASSFEATUREHEADERS,0),MATCH($A73,CLASSNAMEHEADERS,0))),(INDEX(ALLCLASSDATA,MATCH("UnarmoredExpert",CLASSFEATUREHEADERS,0),MATCH(($A73 &amp; "Points"),CLASSNAMEHEADERS,0))),(IF("05"=(INDEX(ALLCLASSDATA,MATCH("UnarmoredTrained",CLASSFEATUREHEADERS,0),MATCH($A73,CLASSNAMEHEADERS,0))),(INDEX(ALLCLASSDATA,MATCH("UnarmoredTrained",CLASSFEATUREHEADERS,0),MATCH(($A73 &amp; "Points"),CLASSNAMEHEADERS,0))),"")))))))))}</f>
        <v>UNARMOREDL05</v>
      </c>
      <c r="M72" s="223"/>
      <c r="N72" s="223" t="str">
        <f t="array" ref="N72:N73">{"UNARMOREDL07";((IF("07"=(INDEX(ALLCLASSDATA,MATCH("UnarmoredLegendary",CLASSFEATUREHEADERS,0),MATCH($A73,CLASSNAMEHEADERS,0))),(INDEX(ALLCLASSDATA,MATCH("UnarmoredLegendary",CLASSFEATUREHEADERS,0),MATCH(($A73 &amp; "Points"),CLASSNAMEHEADERS,0))),(IF("07"=(INDEX(ALLCLASSDATA,MATCH("UnarmoredMaster",CLASSFEATUREHEADERS,0),MATCH($A73,CLASSNAMEHEADERS,0))),(INDEX(ALLCLASSDATA,MATCH("UnarmoredMaster",CLASSFEATUREHEADERS,0),MATCH(($A73 &amp; "Points"),CLASSNAMEHEADERS,0))),(IF("07"=(INDEX(ALLCLASSDATA,MATCH("UnarmoredExpert",CLASSFEATUREHEADERS,0),MATCH($A73,CLASSNAMEHEADERS,0))),(INDEX(ALLCLASSDATA,MATCH("UnarmoredExpert",CLASSFEATUREHEADERS,0),MATCH(($A73 &amp; "Points"),CLASSNAMEHEADERS,0))),(IF("07"=(INDEX(ALLCLASSDATA,MATCH("UnarmoredTrained",CLASSFEATUREHEADERS,0),MATCH($A73,CLASSNAMEHEADERS,0))),(INDEX(ALLCLASSDATA,MATCH("UnarmoredTrained",CLASSFEATUREHEADERS,0),MATCH(($A73 &amp; "Points"),CLASSNAMEHEADERS,0))),"")))))))))}</f>
        <v>UNARMOREDL07</v>
      </c>
      <c r="O72" s="223"/>
      <c r="P72" s="223" t="str">
        <f t="array" ref="P72:P73">{"UNARMOREDL09";((IF("09"=(INDEX(ALLCLASSDATA,MATCH("UnarmoredLegendary",CLASSFEATUREHEADERS,0),MATCH($A73,CLASSNAMEHEADERS,0))),(INDEX(ALLCLASSDATA,MATCH("UnarmoredLegendary",CLASSFEATUREHEADERS,0),MATCH(($A73 &amp; "Points"),CLASSNAMEHEADERS,0))),(IF("09"=(INDEX(ALLCLASSDATA,MATCH("UnarmoredMaster",CLASSFEATUREHEADERS,0),MATCH($A73,CLASSNAMEHEADERS,0))),(INDEX(ALLCLASSDATA,MATCH("UnarmoredMaster",CLASSFEATUREHEADERS,0),MATCH(($A73 &amp; "Points"),CLASSNAMEHEADERS,0))),(IF("09"=(INDEX(ALLCLASSDATA,MATCH("UnarmoredExpert",CLASSFEATUREHEADERS,0),MATCH($A73,CLASSNAMEHEADERS,0))),(INDEX(ALLCLASSDATA,MATCH("UnarmoredExpert",CLASSFEATUREHEADERS,0),MATCH(($A73 &amp; "Points"),CLASSNAMEHEADERS,0))),(IF("09"=(INDEX(ALLCLASSDATA,MATCH("UnarmoredTrained",CLASSFEATUREHEADERS,0),MATCH($A73,CLASSNAMEHEADERS,0))),(INDEX(ALLCLASSDATA,MATCH("UnarmoredTrained",CLASSFEATUREHEADERS,0),MATCH(($A73 &amp; "Points"),CLASSNAMEHEADERS,0))),"")))))))))}</f>
        <v>UNARMOREDL09</v>
      </c>
      <c r="Q72" s="223"/>
      <c r="R72" s="223" t="str">
        <f t="array" ref="R72:R73">{"UNARMOREDL11";((IF("11"=(INDEX(ALLCLASSDATA,MATCH("UnarmoredLegendary",CLASSFEATUREHEADERS,0),MATCH($A73,CLASSNAMEHEADERS,0))),(INDEX(ALLCLASSDATA,MATCH("UnarmoredLegendary",CLASSFEATUREHEADERS,0),MATCH(($A73 &amp; "Points"),CLASSNAMEHEADERS,0))),(IF("11"=(INDEX(ALLCLASSDATA,MATCH("UnarmoredMaster",CLASSFEATUREHEADERS,0),MATCH($A73,CLASSNAMEHEADERS,0))),(INDEX(ALLCLASSDATA,MATCH("UnarmoredMaster",CLASSFEATUREHEADERS,0),MATCH(($A73 &amp; "Points"),CLASSNAMEHEADERS,0))),(IF("11"=(INDEX(ALLCLASSDATA,MATCH("UnarmoredExpert",CLASSFEATUREHEADERS,0),MATCH($A73,CLASSNAMEHEADERS,0))),(INDEX(ALLCLASSDATA,MATCH("UnarmoredExpert",CLASSFEATUREHEADERS,0),MATCH(($A73 &amp; "Points"),CLASSNAMEHEADERS,0))),(IF("11"=(INDEX(ALLCLASSDATA,MATCH("UnarmoredTrained",CLASSFEATUREHEADERS,0),MATCH($A73,CLASSNAMEHEADERS,0))),(INDEX(ALLCLASSDATA,MATCH("UnarmoredTrained",CLASSFEATUREHEADERS,0),MATCH(($A73 &amp; "Points"),CLASSNAMEHEADERS,0))),"")))))))))}</f>
        <v>UNARMOREDL11</v>
      </c>
      <c r="S72" s="223"/>
      <c r="T72" s="223" t="str">
        <f t="array" ref="T72:T73">{"UNARMOREDL13";((IF("13"=(INDEX(ALLCLASSDATA,MATCH("UnarmoredLegendary",CLASSFEATUREHEADERS,0),MATCH($A73,CLASSNAMEHEADERS,0))),(INDEX(ALLCLASSDATA,MATCH("UnarmoredLegendary",CLASSFEATUREHEADERS,0),MATCH(($A73 &amp; "Points"),CLASSNAMEHEADERS,0))),(IF("13"=(INDEX(ALLCLASSDATA,MATCH("UnarmoredMaster",CLASSFEATUREHEADERS,0),MATCH($A73,CLASSNAMEHEADERS,0))),(INDEX(ALLCLASSDATA,MATCH("UnarmoredMaster",CLASSFEATUREHEADERS,0),MATCH(($A73 &amp; "Points"),CLASSNAMEHEADERS,0))),(IF("13"=(INDEX(ALLCLASSDATA,MATCH("UnarmoredExpert",CLASSFEATUREHEADERS,0),MATCH($A73,CLASSNAMEHEADERS,0))),(INDEX(ALLCLASSDATA,MATCH("UnarmoredExpert",CLASSFEATUREHEADERS,0),MATCH(($A73 &amp; "Points"),CLASSNAMEHEADERS,0))),(IF("13"=(INDEX(ALLCLASSDATA,MATCH("UnarmoredTrained",CLASSFEATUREHEADERS,0),MATCH($A73,CLASSNAMEHEADERS,0))),(INDEX(ALLCLASSDATA,MATCH("UnarmoredTrained",CLASSFEATUREHEADERS,0),MATCH(($A73 &amp; "Points"),CLASSNAMEHEADERS,0))),"")))))))))}</f>
        <v>UNARMOREDL13</v>
      </c>
      <c r="U72" s="223"/>
      <c r="V72" s="223" t="str">
        <f t="array" ref="V72:V73">{"UNARMOREDL15";((IF("15"=(INDEX(ALLCLASSDATA,MATCH("UnarmoredLegendary",CLASSFEATUREHEADERS,0),MATCH($A73,CLASSNAMEHEADERS,0))),(INDEX(ALLCLASSDATA,MATCH("UnarmoredLegendary",CLASSFEATUREHEADERS,0),MATCH(($A73 &amp; "Points"),CLASSNAMEHEADERS,0))),(IF("15"=(INDEX(ALLCLASSDATA,MATCH("UnarmoredMaster",CLASSFEATUREHEADERS,0),MATCH($A73,CLASSNAMEHEADERS,0))),(INDEX(ALLCLASSDATA,MATCH("UnarmoredMaster",CLASSFEATUREHEADERS,0),MATCH(($A73 &amp; "Points"),CLASSNAMEHEADERS,0))),(IF("15"=(INDEX(ALLCLASSDATA,MATCH("UnarmoredExpert",CLASSFEATUREHEADERS,0),MATCH($A73,CLASSNAMEHEADERS,0))),(INDEX(ALLCLASSDATA,MATCH("UnarmoredExpert",CLASSFEATUREHEADERS,0),MATCH(($A73 &amp; "Points"),CLASSNAMEHEADERS,0))),(IF("15"=(INDEX(ALLCLASSDATA,MATCH("UnarmoredTrained",CLASSFEATUREHEADERS,0),MATCH($A73,CLASSNAMEHEADERS,0))),(INDEX(ALLCLASSDATA,MATCH("UnarmoredTrained",CLASSFEATUREHEADERS,0),MATCH(($A73 &amp; "Points"),CLASSNAMEHEADERS,0))),"")))))))))}</f>
        <v>UNARMOREDL15</v>
      </c>
      <c r="W72" s="223"/>
      <c r="X72" s="223" t="str">
        <f t="array" ref="X72:X73">{"UNARMOREDL17";((IF("17"=(INDEX(ALLCLASSDATA,MATCH("UnarmoredLegendary",CLASSFEATUREHEADERS,0),MATCH($A73,CLASSNAMEHEADERS,0))),(INDEX(ALLCLASSDATA,MATCH("UnarmoredLegendary",CLASSFEATUREHEADERS,0),MATCH(($A73 &amp; "Points"),CLASSNAMEHEADERS,0))),(IF("17"=(INDEX(ALLCLASSDATA,MATCH("UnarmoredMaster",CLASSFEATUREHEADERS,0),MATCH($A73,CLASSNAMEHEADERS,0))),(INDEX(ALLCLASSDATA,MATCH("UnarmoredMaster",CLASSFEATUREHEADERS,0),MATCH(($A73 &amp; "Points"),CLASSNAMEHEADERS,0))),(IF("17"=(INDEX(ALLCLASSDATA,MATCH("UnarmoredExpert",CLASSFEATUREHEADERS,0),MATCH($A73,CLASSNAMEHEADERS,0))),(INDEX(ALLCLASSDATA,MATCH("UnarmoredExpert",CLASSFEATUREHEADERS,0),MATCH(($A73 &amp; "Points"),CLASSNAMEHEADERS,0))),(IF("17"=(INDEX(ALLCLASSDATA,MATCH("UnarmoredTrained",CLASSFEATUREHEADERS,0),MATCH($A73,CLASSNAMEHEADERS,0))),(INDEX(ALLCLASSDATA,MATCH("UnarmoredTrained",CLASSFEATUREHEADERS,0),MATCH(($A73 &amp; "Points"),CLASSNAMEHEADERS,0))),"")))))))))}</f>
        <v>UNARMOREDL17</v>
      </c>
      <c r="Y72" s="223"/>
      <c r="Z72" s="223" t="str">
        <f t="array" ref="Z72:Z73">{"UNARMOREDL19";((IF("19"=(INDEX(ALLCLASSDATA,MATCH("UnarmoredLegendary",CLASSFEATUREHEADERS,0),MATCH($A73,CLASSNAMEHEADERS,0))),(INDEX(ALLCLASSDATA,MATCH("UnarmoredLegendary",CLASSFEATUREHEADERS,0),MATCH(($A73 &amp; "Points"),CLASSNAMEHEADERS,0))),(IF("19"=(INDEX(ALLCLASSDATA,MATCH("UnarmoredMaster",CLASSFEATUREHEADERS,0),MATCH($A73,CLASSNAMEHEADERS,0))),(INDEX(ALLCLASSDATA,MATCH("UnarmoredMaster",CLASSFEATUREHEADERS,0),MATCH(($A73 &amp; "Points"),CLASSNAMEHEADERS,0))),(IF("19"=(INDEX(ALLCLASSDATA,MATCH("UnarmoredExpert",CLASSFEATUREHEADERS,0),MATCH($A73,CLASSNAMEHEADERS,0))),(INDEX(ALLCLASSDATA,MATCH("UnarmoredExpert",CLASSFEATUREHEADERS,0),MATCH(($A73 &amp; "Points"),CLASSNAMEHEADERS,0))),(IF("19"=(INDEX(ALLCLASSDATA,MATCH("UnarmoredTrained",CLASSFEATUREHEADERS,0),MATCH($A73,CLASSNAMEHEADERS,0))),(INDEX(ALLCLASSDATA,MATCH("UnarmoredTrained",CLASSFEATUREHEADERS,0),MATCH(($A73 &amp; "Points"),CLASSNAMEHEADERS,0))),"")))))))))}</f>
        <v>UNARMOREDL19</v>
      </c>
      <c r="AA72" s="223"/>
      <c r="AB72" s="76" t="str">
        <f t="array" ref="AB72:AB73">{"UNARMORED TOTAL";(IF(COUNTBLANK(G73:AA73)=17,"L",(IF(COUNTBLANK(G73:AA73)=18,"M",(IF(COUNTBLANK(G73:AA73)=19,"E",(IF(COUNTBLANK(G73:AA73)=20,"T",""))))))))}</f>
        <v>UNARMORED TOTAL</v>
      </c>
      <c r="AC72" s="76" t="str">
        <f t="array" ref="AC72:AC73">{"UNARMORED TOTAL";(sum(G73:AA73))}</f>
        <v>UNARMORED TOTAL</v>
      </c>
    </row>
    <row r="73">
      <c r="A73" s="48" t="s">
        <v>65</v>
      </c>
      <c r="B73" s="48"/>
      <c r="C73" s="48" t="s">
        <v>406</v>
      </c>
      <c r="D73" s="48" t="s">
        <v>1900</v>
      </c>
      <c r="E73" s="48" t="s">
        <v>78</v>
      </c>
      <c r="F73" s="5" t="s">
        <v>435</v>
      </c>
      <c r="G73" s="47" t="s">
        <v>603</v>
      </c>
      <c r="H73" s="5">
        <v>10.0</v>
      </c>
      <c r="I73" s="5"/>
      <c r="J73" s="5" t="s">
        <v>603</v>
      </c>
      <c r="K73" s="5"/>
      <c r="L73" s="5" t="s">
        <v>603</v>
      </c>
      <c r="M73" s="5"/>
      <c r="N73" s="5" t="s">
        <v>436</v>
      </c>
      <c r="O73" s="5"/>
      <c r="P73" s="5" t="s">
        <v>603</v>
      </c>
      <c r="Q73" s="5"/>
      <c r="R73" s="5" t="s">
        <v>603</v>
      </c>
      <c r="S73" s="5"/>
      <c r="T73" s="5" t="s">
        <v>437</v>
      </c>
      <c r="U73" s="5"/>
      <c r="V73" s="5" t="s">
        <v>603</v>
      </c>
      <c r="W73" s="5"/>
      <c r="X73" s="5" t="s">
        <v>466</v>
      </c>
      <c r="Y73" s="5"/>
      <c r="Z73" s="5" t="s">
        <v>603</v>
      </c>
      <c r="AA73" s="5"/>
      <c r="AB73" s="5" t="s">
        <v>466</v>
      </c>
      <c r="AC73" s="47">
        <v>10.0</v>
      </c>
    </row>
    <row r="74" hidden="1">
      <c r="A74" s="222" t="str">
        <f t="array" ref="A74:A75">{"FormulaRow36";(INDEX(CLASSLIST,A3,1))}</f>
        <v>FormulaRow36</v>
      </c>
      <c r="B74" s="77" t="s">
        <v>236</v>
      </c>
      <c r="C74" s="222" t="str">
        <f t="array" ref="C74:C75">{"CLASSTYPE";((INDEX(ALLCLASSDATA,MATCH("ClassType",CLASSFEATUREHEADERS,0),MATCH($A75,CLASSNAMEHEADERS,0))))}</f>
        <v>CLASSTYPE</v>
      </c>
      <c r="D74" s="222" t="str">
        <f t="array" ref="D74:D75">{"DEFENSE";"Defense"}</f>
        <v>DEFENSE</v>
      </c>
      <c r="E74" s="222" t="str">
        <f t="array" ref="E74:E75">{"LIGHT";"Light"}</f>
        <v>LIGHT</v>
      </c>
      <c r="F74" s="223" t="str">
        <f t="array" ref="F74:F75">{"LIGHTINITIAL";((IF(H75=10,"T",(IF(H75=50,"E","")))))}</f>
        <v>LIGHTINITIAL</v>
      </c>
      <c r="G74" s="223" t="str">
        <f t="array" ref="G74:G75">{"LIGHTINITIALPTS";((IF("00"=(INDEX(ALLCLASSDATA,MATCH("LightLegendary",CLASSFEATUREHEADERS,0),MATCH($A75,CLASSNAMEHEADERS,0))),(INDEX(ALLCLASSDATA,MATCH("LightLegendary",CLASSFEATUREHEADERS,0),MATCH(($A75 &amp; "Points"),CLASSNAMEHEADERS,0))),(IF("00"=(INDEX(ALLCLASSDATA,MATCH("LightMaster",CLASSFEATUREHEADERS,0),MATCH($A75,CLASSNAMEHEADERS,0))),(INDEX(ALLCLASSDATA,MATCH("LightMaster",CLASSFEATUREHEADERS,0),MATCH(($A75 &amp; "Points"),CLASSNAMEHEADERS,0))),(IF("00"=(INDEX(ALLCLASSDATA,MATCH("LightExpert",CLASSFEATUREHEADERS,0),MATCH($A75,CLASSNAMEHEADERS,0))),(INDEX(ALLCLASSDATA,MATCH("LightExpert",CLASSFEATUREHEADERS,0),MATCH(($A75 &amp; "Points"),CLASSNAMEHEADERS,0))),(IF("00"=(INDEX(ALLCLASSDATA,MATCH("LightTrained",CLASSFEATUREHEADERS,0),MATCH($A75,CLASSNAMEHEADERS,0))),(INDEX(ALLCLASSDATA,MATCH("LightTrained",CLASSFEATUREHEADERS,0),MATCH(($A75 &amp; "Points"),CLASSNAMEHEADERS,0))),"")))))))))}</f>
        <v>LIGHTINITIALPTS</v>
      </c>
      <c r="H74" s="223" t="str">
        <f t="array" ref="H74:H75">{"LIGHTL01";((IF("01"=(INDEX(ALLCLASSDATA,MATCH("LightLegendary",CLASSFEATUREHEADERS,0),MATCH($A75,CLASSNAMEHEADERS,0))),(INDEX(ALLCLASSDATA,MATCH("LightLegendary",CLASSFEATUREHEADERS,0),MATCH(($A75 &amp; "Points"),CLASSNAMEHEADERS,0))),(IF("01"=(INDEX(ALLCLASSDATA,MATCH("LightMaster",CLASSFEATUREHEADERS,0),MATCH($A75,CLASSNAMEHEADERS,0))),(INDEX(ALLCLASSDATA,MATCH("LightMaster",CLASSFEATUREHEADERS,0),MATCH(($A75 &amp; "Points"),CLASSNAMEHEADERS,0))),(IF("01"=(INDEX(ALLCLASSDATA,MATCH("LightExpert",CLASSFEATUREHEADERS,0),MATCH($A75,CLASSNAMEHEADERS,0))),(INDEX(ALLCLASSDATA,MATCH("LightExpert",CLASSFEATUREHEADERS,0),MATCH(($A75 &amp; "Points"),CLASSNAMEHEADERS,0))),(IF("01"=(INDEX(ALLCLASSDATA,MATCH("LightTrained",CLASSFEATUREHEADERS,0),MATCH($A75,CLASSNAMEHEADERS,0))),(INDEX(ALLCLASSDATA,MATCH("LightTrained",CLASSFEATUREHEADERS,0),MATCH(($A75 &amp; "Points"),CLASSNAMEHEADERS,0))),"")))))))))}</f>
        <v>LIGHTL01</v>
      </c>
      <c r="I74" s="223"/>
      <c r="J74" s="223" t="str">
        <f t="array" ref="J74:J75">{"LIGHTL03";((IF("03"=(INDEX(ALLCLASSDATA,MATCH("LightLegendary",CLASSFEATUREHEADERS,0),MATCH($A75,CLASSNAMEHEADERS,0))),(INDEX(ALLCLASSDATA,MATCH("LightLegendary",CLASSFEATUREHEADERS,0),MATCH(($A75 &amp; "Points"),CLASSNAMEHEADERS,0))),(IF("03"=(INDEX(ALLCLASSDATA,MATCH("LightMaster",CLASSFEATUREHEADERS,0),MATCH($A75,CLASSNAMEHEADERS,0))),(INDEX(ALLCLASSDATA,MATCH("LightMaster",CLASSFEATUREHEADERS,0),MATCH(($A75 &amp; "Points"),CLASSNAMEHEADERS,0))),(IF("03"=(INDEX(ALLCLASSDATA,MATCH("LightExpert",CLASSFEATUREHEADERS,0),MATCH($A75,CLASSNAMEHEADERS,0))),(INDEX(ALLCLASSDATA,MATCH("LightExpert",CLASSFEATUREHEADERS,0),MATCH(($A75 &amp; "Points"),CLASSNAMEHEADERS,0))),(IF("03"=(INDEX(ALLCLASSDATA,MATCH("LightTrained",CLASSFEATUREHEADERS,0),MATCH($A75,CLASSNAMEHEADERS,0))),(INDEX(ALLCLASSDATA,MATCH("LightTrained",CLASSFEATUREHEADERS,0),MATCH(($A75 &amp; "Points"),CLASSNAMEHEADERS,0))),"")))))))))}</f>
        <v>LIGHTL03</v>
      </c>
      <c r="K74" s="223"/>
      <c r="L74" s="223" t="str">
        <f t="array" ref="L74:L75">{"LIGHTL05";((IF("05"=(INDEX(ALLCLASSDATA,MATCH("LightLegendary",CLASSFEATUREHEADERS,0),MATCH($A75,CLASSNAMEHEADERS,0))),(INDEX(ALLCLASSDATA,MATCH("LightLegendary",CLASSFEATUREHEADERS,0),MATCH(($A75 &amp; "Points"),CLASSNAMEHEADERS,0))),(IF("05"=(INDEX(ALLCLASSDATA,MATCH("LightMaster",CLASSFEATUREHEADERS,0),MATCH($A75,CLASSNAMEHEADERS,0))),(INDEX(ALLCLASSDATA,MATCH("LightMaster",CLASSFEATUREHEADERS,0),MATCH(($A75 &amp; "Points"),CLASSNAMEHEADERS,0))),(IF("05"=(INDEX(ALLCLASSDATA,MATCH("LightExpert",CLASSFEATUREHEADERS,0),MATCH($A75,CLASSNAMEHEADERS,0))),(INDEX(ALLCLASSDATA,MATCH("LightExpert",CLASSFEATUREHEADERS,0),MATCH(($A75 &amp; "Points"),CLASSNAMEHEADERS,0))),(IF("05"=(INDEX(ALLCLASSDATA,MATCH("LightTrained",CLASSFEATUREHEADERS,0),MATCH($A75,CLASSNAMEHEADERS,0))),(INDEX(ALLCLASSDATA,MATCH("LightTrained",CLASSFEATUREHEADERS,0),MATCH(($A75 &amp; "Points"),CLASSNAMEHEADERS,0))),"")))))))))}</f>
        <v>LIGHTL05</v>
      </c>
      <c r="M74" s="223"/>
      <c r="N74" s="223" t="str">
        <f t="array" ref="N74:N75">{"LIGHTL07";((IF("07"=(INDEX(ALLCLASSDATA,MATCH("LightLegendary",CLASSFEATUREHEADERS,0),MATCH($A75,CLASSNAMEHEADERS,0))),(INDEX(ALLCLASSDATA,MATCH("LightLegendary",CLASSFEATUREHEADERS,0),MATCH(($A75 &amp; "Points"),CLASSNAMEHEADERS,0))),(IF("07"=(INDEX(ALLCLASSDATA,MATCH("LightMaster",CLASSFEATUREHEADERS,0),MATCH($A75,CLASSNAMEHEADERS,0))),(INDEX(ALLCLASSDATA,MATCH("LightMaster",CLASSFEATUREHEADERS,0),MATCH(($A75 &amp; "Points"),CLASSNAMEHEADERS,0))),(IF("07"=(INDEX(ALLCLASSDATA,MATCH("LightExpert",CLASSFEATUREHEADERS,0),MATCH($A75,CLASSNAMEHEADERS,0))),(INDEX(ALLCLASSDATA,MATCH("LightExpert",CLASSFEATUREHEADERS,0),MATCH(($A75 &amp; "Points"),CLASSNAMEHEADERS,0))),(IF("07"=(INDEX(ALLCLASSDATA,MATCH("LightTrained",CLASSFEATUREHEADERS,0),MATCH($A75,CLASSNAMEHEADERS,0))),(INDEX(ALLCLASSDATA,MATCH("LightTrained",CLASSFEATUREHEADERS,0),MATCH(($A75 &amp; "Points"),CLASSNAMEHEADERS,0))),"")))))))))}</f>
        <v>LIGHTL07</v>
      </c>
      <c r="O74" s="223"/>
      <c r="P74" s="223" t="str">
        <f t="array" ref="P74:P75">{"LIGHTL09";((IF("09"=(INDEX(ALLCLASSDATA,MATCH("LightLegendary",CLASSFEATUREHEADERS,0),MATCH($A75,CLASSNAMEHEADERS,0))),(INDEX(ALLCLASSDATA,MATCH("LightLegendary",CLASSFEATUREHEADERS,0),MATCH(($A75 &amp; "Points"),CLASSNAMEHEADERS,0))),(IF("09"=(INDEX(ALLCLASSDATA,MATCH("LightMaster",CLASSFEATUREHEADERS,0),MATCH($A75,CLASSNAMEHEADERS,0))),(INDEX(ALLCLASSDATA,MATCH("LightMaster",CLASSFEATUREHEADERS,0),MATCH(($A75 &amp; "Points"),CLASSNAMEHEADERS,0))),(IF("09"=(INDEX(ALLCLASSDATA,MATCH("LightExpert",CLASSFEATUREHEADERS,0),MATCH($A75,CLASSNAMEHEADERS,0))),(INDEX(ALLCLASSDATA,MATCH("LightExpert",CLASSFEATUREHEADERS,0),MATCH(($A75 &amp; "Points"),CLASSNAMEHEADERS,0))),(IF("09"=(INDEX(ALLCLASSDATA,MATCH("LightTrained",CLASSFEATUREHEADERS,0),MATCH($A75,CLASSNAMEHEADERS,0))),(INDEX(ALLCLASSDATA,MATCH("LightTrained",CLASSFEATUREHEADERS,0),MATCH(($A75 &amp; "Points"),CLASSNAMEHEADERS,0))),"")))))))))}</f>
        <v>LIGHTL09</v>
      </c>
      <c r="Q74" s="223"/>
      <c r="R74" s="223" t="str">
        <f t="array" ref="R74:R75">{"LIGHTL11";((IF("11"=(INDEX(ALLCLASSDATA,MATCH("LightLegendary",CLASSFEATUREHEADERS,0),MATCH($A75,CLASSNAMEHEADERS,0))),(INDEX(ALLCLASSDATA,MATCH("LightLegendary",CLASSFEATUREHEADERS,0),MATCH(($A75 &amp; "Points"),CLASSNAMEHEADERS,0))),(IF("11"=(INDEX(ALLCLASSDATA,MATCH("LightMaster",CLASSFEATUREHEADERS,0),MATCH($A75,CLASSNAMEHEADERS,0))),(INDEX(ALLCLASSDATA,MATCH("LightMaster",CLASSFEATUREHEADERS,0),MATCH(($A75 &amp; "Points"),CLASSNAMEHEADERS,0))),(IF("11"=(INDEX(ALLCLASSDATA,MATCH("LightExpert",CLASSFEATUREHEADERS,0),MATCH($A75,CLASSNAMEHEADERS,0))),(INDEX(ALLCLASSDATA,MATCH("LightExpert",CLASSFEATUREHEADERS,0),MATCH(($A75 &amp; "Points"),CLASSNAMEHEADERS,0))),(IF("11"=(INDEX(ALLCLASSDATA,MATCH("LightTrained",CLASSFEATUREHEADERS,0),MATCH($A75,CLASSNAMEHEADERS,0))),(INDEX(ALLCLASSDATA,MATCH("LightTrained",CLASSFEATUREHEADERS,0),MATCH(($A75 &amp; "Points"),CLASSNAMEHEADERS,0))),"")))))))))}</f>
        <v>LIGHTL11</v>
      </c>
      <c r="S74" s="223"/>
      <c r="T74" s="223" t="str">
        <f t="array" ref="T74:T75">{"LIGHTL13";((IF("13"=(INDEX(ALLCLASSDATA,MATCH("LightLegendary",CLASSFEATUREHEADERS,0),MATCH($A75,CLASSNAMEHEADERS,0))),(INDEX(ALLCLASSDATA,MATCH("LightLegendary",CLASSFEATUREHEADERS,0),MATCH(($A75 &amp; "Points"),CLASSNAMEHEADERS,0))),(IF("13"=(INDEX(ALLCLASSDATA,MATCH("LightMaster",CLASSFEATUREHEADERS,0),MATCH($A75,CLASSNAMEHEADERS,0))),(INDEX(ALLCLASSDATA,MATCH("LightMaster",CLASSFEATUREHEADERS,0),MATCH(($A75 &amp; "Points"),CLASSNAMEHEADERS,0))),(IF("13"=(INDEX(ALLCLASSDATA,MATCH("LightExpert",CLASSFEATUREHEADERS,0),MATCH($A75,CLASSNAMEHEADERS,0))),(INDEX(ALLCLASSDATA,MATCH("LightExpert",CLASSFEATUREHEADERS,0),MATCH(($A75 &amp; "Points"),CLASSNAMEHEADERS,0))),(IF("13"=(INDEX(ALLCLASSDATA,MATCH("LightTrained",CLASSFEATUREHEADERS,0),MATCH($A75,CLASSNAMEHEADERS,0))),(INDEX(ALLCLASSDATA,MATCH("LightTrained",CLASSFEATUREHEADERS,0),MATCH(($A75 &amp; "Points"),CLASSNAMEHEADERS,0))),"")))))))))}</f>
        <v>LIGHTL13</v>
      </c>
      <c r="U74" s="223"/>
      <c r="V74" s="223" t="str">
        <f t="array" ref="V74:V75">{"LIGHTL15";((IF("15"=(INDEX(ALLCLASSDATA,MATCH("LightLegendary",CLASSFEATUREHEADERS,0),MATCH($A75,CLASSNAMEHEADERS,0))),(INDEX(ALLCLASSDATA,MATCH("LightLegendary",CLASSFEATUREHEADERS,0),MATCH(($A75 &amp; "Points"),CLASSNAMEHEADERS,0))),(IF("15"=(INDEX(ALLCLASSDATA,MATCH("LightMaster",CLASSFEATUREHEADERS,0),MATCH($A75,CLASSNAMEHEADERS,0))),(INDEX(ALLCLASSDATA,MATCH("LightMaster",CLASSFEATUREHEADERS,0),MATCH(($A75 &amp; "Points"),CLASSNAMEHEADERS,0))),(IF("15"=(INDEX(ALLCLASSDATA,MATCH("LightExpert",CLASSFEATUREHEADERS,0),MATCH($A75,CLASSNAMEHEADERS,0))),(INDEX(ALLCLASSDATA,MATCH("LightExpert",CLASSFEATUREHEADERS,0),MATCH(($A75 &amp; "Points"),CLASSNAMEHEADERS,0))),(IF("15"=(INDEX(ALLCLASSDATA,MATCH("LightTrained",CLASSFEATUREHEADERS,0),MATCH($A75,CLASSNAMEHEADERS,0))),(INDEX(ALLCLASSDATA,MATCH("LightTrained",CLASSFEATUREHEADERS,0),MATCH(($A75 &amp; "Points"),CLASSNAMEHEADERS,0))),"")))))))))}</f>
        <v>LIGHTL15</v>
      </c>
      <c r="W74" s="223"/>
      <c r="X74" s="223" t="str">
        <f t="array" ref="X74:X75">{"LIGHTL17";((IF("17"=(INDEX(ALLCLASSDATA,MATCH("LightLegendary",CLASSFEATUREHEADERS,0),MATCH($A75,CLASSNAMEHEADERS,0))),(INDEX(ALLCLASSDATA,MATCH("LightLegendary",CLASSFEATUREHEADERS,0),MATCH(($A75 &amp; "Points"),CLASSNAMEHEADERS,0))),(IF("17"=(INDEX(ALLCLASSDATA,MATCH("LightMaster",CLASSFEATUREHEADERS,0),MATCH($A75,CLASSNAMEHEADERS,0))),(INDEX(ALLCLASSDATA,MATCH("LightMaster",CLASSFEATUREHEADERS,0),MATCH(($A75 &amp; "Points"),CLASSNAMEHEADERS,0))),(IF("17"=(INDEX(ALLCLASSDATA,MATCH("LightExpert",CLASSFEATUREHEADERS,0),MATCH($A75,CLASSNAMEHEADERS,0))),(INDEX(ALLCLASSDATA,MATCH("LightExpert",CLASSFEATUREHEADERS,0),MATCH(($A75 &amp; "Points"),CLASSNAMEHEADERS,0))),(IF("17"=(INDEX(ALLCLASSDATA,MATCH("LightTrained",CLASSFEATUREHEADERS,0),MATCH($A75,CLASSNAMEHEADERS,0))),(INDEX(ALLCLASSDATA,MATCH("LightTrained",CLASSFEATUREHEADERS,0),MATCH(($A75 &amp; "Points"),CLASSNAMEHEADERS,0))),"")))))))))}</f>
        <v>LIGHTL17</v>
      </c>
      <c r="Y74" s="223"/>
      <c r="Z74" s="223" t="str">
        <f t="array" ref="Z74:Z75">{"LIGHTL19";((IF("19"=(INDEX(ALLCLASSDATA,MATCH("LightLegendary",CLASSFEATUREHEADERS,0),MATCH($A75,CLASSNAMEHEADERS,0))),(INDEX(ALLCLASSDATA,MATCH("LightLegendary",CLASSFEATUREHEADERS,0),MATCH(($A75 &amp; "Points"),CLASSNAMEHEADERS,0))),(IF("19"=(INDEX(ALLCLASSDATA,MATCH("LightMaster",CLASSFEATUREHEADERS,0),MATCH($A75,CLASSNAMEHEADERS,0))),(INDEX(ALLCLASSDATA,MATCH("LightMaster",CLASSFEATUREHEADERS,0),MATCH(($A75 &amp; "Points"),CLASSNAMEHEADERS,0))),(IF("19"=(INDEX(ALLCLASSDATA,MATCH("LightExpert",CLASSFEATUREHEADERS,0),MATCH($A75,CLASSNAMEHEADERS,0))),(INDEX(ALLCLASSDATA,MATCH("LightExpert",CLASSFEATUREHEADERS,0),MATCH(($A75 &amp; "Points"),CLASSNAMEHEADERS,0))),(IF("19"=(INDEX(ALLCLASSDATA,MATCH("LightTrained",CLASSFEATUREHEADERS,0),MATCH($A75,CLASSNAMEHEADERS,0))),(INDEX(ALLCLASSDATA,MATCH("LightTrained",CLASSFEATUREHEADERS,0),MATCH(($A75 &amp; "Points"),CLASSNAMEHEADERS,0))),"")))))))))}</f>
        <v>LIGHTL19</v>
      </c>
      <c r="AA74" s="223"/>
      <c r="AB74" s="76" t="str">
        <f t="array" ref="AB74:AB75">{"LIGHT TOTAL";(IF(COUNTBLANK(G75:AA75)=17,"L",(IF(COUNTBLANK(G75:AA75)=18,"M",(IF(COUNTBLANK(G75:AA75)=19,"E",(IF(COUNTBLANK(G75:AA75)=20,"T",""))))))))}</f>
        <v>LIGHT TOTAL</v>
      </c>
      <c r="AC74" s="76" t="str">
        <f t="array" ref="AC74:AC75">{"LIGHT TOTAL";(sum(G75:AA75))}</f>
        <v>LIGHT TOTAL</v>
      </c>
    </row>
    <row r="75">
      <c r="A75" s="48" t="s">
        <v>65</v>
      </c>
      <c r="B75" s="48"/>
      <c r="C75" s="48" t="s">
        <v>406</v>
      </c>
      <c r="D75" s="48" t="s">
        <v>1900</v>
      </c>
      <c r="E75" s="48" t="s">
        <v>77</v>
      </c>
      <c r="F75" s="5" t="s">
        <v>435</v>
      </c>
      <c r="G75" s="47" t="s">
        <v>603</v>
      </c>
      <c r="H75" s="5">
        <v>10.0</v>
      </c>
      <c r="I75" s="5"/>
      <c r="J75" s="5" t="s">
        <v>603</v>
      </c>
      <c r="K75" s="5"/>
      <c r="L75" s="48" t="s">
        <v>603</v>
      </c>
      <c r="M75" s="5"/>
      <c r="N75" s="5" t="s">
        <v>436</v>
      </c>
      <c r="O75" s="5"/>
      <c r="P75" s="5" t="s">
        <v>603</v>
      </c>
      <c r="Q75" s="5"/>
      <c r="R75" s="48" t="s">
        <v>603</v>
      </c>
      <c r="S75" s="5"/>
      <c r="T75" s="5" t="s">
        <v>437</v>
      </c>
      <c r="U75" s="5"/>
      <c r="V75" s="5" t="s">
        <v>603</v>
      </c>
      <c r="W75" s="5"/>
      <c r="X75" s="5" t="s">
        <v>466</v>
      </c>
      <c r="Y75" s="5"/>
      <c r="Z75" s="5" t="s">
        <v>603</v>
      </c>
      <c r="AA75" s="5"/>
      <c r="AB75" s="5" t="s">
        <v>466</v>
      </c>
      <c r="AC75" s="47">
        <v>10.0</v>
      </c>
    </row>
    <row r="76" hidden="1">
      <c r="A76" s="222" t="str">
        <f t="array" ref="A76:A77">{"FormulaRow37";(INDEX(CLASSLIST,A3,1))}</f>
        <v>FormulaRow37</v>
      </c>
      <c r="B76" s="77" t="s">
        <v>236</v>
      </c>
      <c r="C76" s="222" t="str">
        <f t="array" ref="C76:C77">{"CLASSTYPE";((INDEX(ALLCLASSDATA,MATCH("ClassType",CLASSFEATUREHEADERS,0),MATCH($A77,CLASSNAMEHEADERS,0))))}</f>
        <v>CLASSTYPE</v>
      </c>
      <c r="D76" s="222" t="str">
        <f t="array" ref="D76:D77">{"DEFENSE";"Defense"}</f>
        <v>DEFENSE</v>
      </c>
      <c r="E76" s="222" t="str">
        <f t="array" ref="E76:E77">{"MEDIUM";"Medium"}</f>
        <v>MEDIUM</v>
      </c>
      <c r="F76" s="223" t="str">
        <f t="array" ref="F76:F77">{"MEDIUMINITIAL";((IF(H77=10,"T",(IF(H77=50,"E","")))))}</f>
        <v>MEDIUMINITIAL</v>
      </c>
      <c r="G76" s="223" t="str">
        <f t="array" ref="G76:G77">{"MEDIUMINITIALPTS";((IF("00"=(INDEX(ALLCLASSDATA,MATCH("MediumLegendary",CLASSFEATUREHEADERS,0),MATCH($A77,CLASSNAMEHEADERS,0))),(INDEX(ALLCLASSDATA,MATCH("MediumLegendary",CLASSFEATUREHEADERS,0),MATCH(($A77 &amp; "Points"),CLASSNAMEHEADERS,0))),(IF("00"=(INDEX(ALLCLASSDATA,MATCH("MediumMaster",CLASSFEATUREHEADERS,0),MATCH($A77,CLASSNAMEHEADERS,0))),(INDEX(ALLCLASSDATA,MATCH("MediumMaster",CLASSFEATUREHEADERS,0),MATCH(($A77 &amp; "Points"),CLASSNAMEHEADERS,0))),(IF("00"=(INDEX(ALLCLASSDATA,MATCH("MediumExpert",CLASSFEATUREHEADERS,0),MATCH($A77,CLASSNAMEHEADERS,0))),(INDEX(ALLCLASSDATA,MATCH("MediumExpert",CLASSFEATUREHEADERS,0),MATCH(($A77 &amp; "Points"),CLASSNAMEHEADERS,0))),(IF("00"=(INDEX(ALLCLASSDATA,MATCH("MediumTrained",CLASSFEATUREHEADERS,0),MATCH($A77,CLASSNAMEHEADERS,0))),(INDEX(ALLCLASSDATA,MATCH("MediumTrained",CLASSFEATUREHEADERS,0),MATCH(($A77 &amp; "Points"),CLASSNAMEHEADERS,0))),"")))))))))}</f>
        <v>MEDIUMINITIALPTS</v>
      </c>
      <c r="H76" s="223" t="str">
        <f t="array" ref="H76:H77">{"MEDIUML01";((IF("01"=(INDEX(ALLCLASSDATA,MATCH("MediumLegendary",CLASSFEATUREHEADERS,0),MATCH($A77,CLASSNAMEHEADERS,0))),(INDEX(ALLCLASSDATA,MATCH("MediumLegendary",CLASSFEATUREHEADERS,0),MATCH(($A77 &amp; "Points"),CLASSNAMEHEADERS,0))),(IF("01"=(INDEX(ALLCLASSDATA,MATCH("MediumMaster",CLASSFEATUREHEADERS,0),MATCH($A77,CLASSNAMEHEADERS,0))),(INDEX(ALLCLASSDATA,MATCH("MediumMaster",CLASSFEATUREHEADERS,0),MATCH(($A77 &amp; "Points"),CLASSNAMEHEADERS,0))),(IF("01"=(INDEX(ALLCLASSDATA,MATCH("MediumExpert",CLASSFEATUREHEADERS,0),MATCH($A77,CLASSNAMEHEADERS,0))),(INDEX(ALLCLASSDATA,MATCH("MediumExpert",CLASSFEATUREHEADERS,0),MATCH(($A77 &amp; "Points"),CLASSNAMEHEADERS,0))),(IF("01"=(INDEX(ALLCLASSDATA,MATCH("MediumTrained",CLASSFEATUREHEADERS,0),MATCH($A77,CLASSNAMEHEADERS,0))),(INDEX(ALLCLASSDATA,MATCH("MediumTrained",CLASSFEATUREHEADERS,0),MATCH(($A77 &amp; "Points"),CLASSNAMEHEADERS,0))),"")))))))))}</f>
        <v>MEDIUML01</v>
      </c>
      <c r="I76" s="223"/>
      <c r="J76" s="223" t="str">
        <f t="array" ref="J76:J77">{"MEDIUML03";((IF("03"=(INDEX(ALLCLASSDATA,MATCH("MediumLegendary",CLASSFEATUREHEADERS,0),MATCH($A77,CLASSNAMEHEADERS,0))),(INDEX(ALLCLASSDATA,MATCH("MediumLegendary",CLASSFEATUREHEADERS,0),MATCH(($A77 &amp; "Points"),CLASSNAMEHEADERS,0))),(IF("03"=(INDEX(ALLCLASSDATA,MATCH("MediumMaster",CLASSFEATUREHEADERS,0),MATCH($A77,CLASSNAMEHEADERS,0))),(INDEX(ALLCLASSDATA,MATCH("MediumMaster",CLASSFEATUREHEADERS,0),MATCH(($A77 &amp; "Points"),CLASSNAMEHEADERS,0))),(IF("03"=(INDEX(ALLCLASSDATA,MATCH("MediumExpert",CLASSFEATUREHEADERS,0),MATCH($A77,CLASSNAMEHEADERS,0))),(INDEX(ALLCLASSDATA,MATCH("MediumExpert",CLASSFEATUREHEADERS,0),MATCH(($A77 &amp; "Points"),CLASSNAMEHEADERS,0))),(IF("03"=(INDEX(ALLCLASSDATA,MATCH("MediumTrained",CLASSFEATUREHEADERS,0),MATCH($A77,CLASSNAMEHEADERS,0))),(INDEX(ALLCLASSDATA,MATCH("MediumTrained",CLASSFEATUREHEADERS,0),MATCH(($A77 &amp; "Points"),CLASSNAMEHEADERS,0))),"")))))))))}</f>
        <v>MEDIUML03</v>
      </c>
      <c r="K76" s="223"/>
      <c r="L76" s="223" t="str">
        <f t="array" ref="L76:L77">{"MEDIUML05";((IF("05"=(INDEX(ALLCLASSDATA,MATCH("MediumLegendary",CLASSFEATUREHEADERS,0),MATCH($A77,CLASSNAMEHEADERS,0))),(INDEX(ALLCLASSDATA,MATCH("MediumLegendary",CLASSFEATUREHEADERS,0),MATCH(($A77 &amp; "Points"),CLASSNAMEHEADERS,0))),(IF("05"=(INDEX(ALLCLASSDATA,MATCH("MediumMaster",CLASSFEATUREHEADERS,0),MATCH($A77,CLASSNAMEHEADERS,0))),(INDEX(ALLCLASSDATA,MATCH("MediumMaster",CLASSFEATUREHEADERS,0),MATCH(($A77 &amp; "Points"),CLASSNAMEHEADERS,0))),(IF("05"=(INDEX(ALLCLASSDATA,MATCH("MediumExpert",CLASSFEATUREHEADERS,0),MATCH($A77,CLASSNAMEHEADERS,0))),(INDEX(ALLCLASSDATA,MATCH("MediumExpert",CLASSFEATUREHEADERS,0),MATCH(($A77 &amp; "Points"),CLASSNAMEHEADERS,0))),(IF("05"=(INDEX(ALLCLASSDATA,MATCH("MediumTrained",CLASSFEATUREHEADERS,0),MATCH($A77,CLASSNAMEHEADERS,0))),(INDEX(ALLCLASSDATA,MATCH("MediumTrained",CLASSFEATUREHEADERS,0),MATCH(($A77 &amp; "Points"),CLASSNAMEHEADERS,0))),"")))))))))}</f>
        <v>MEDIUML05</v>
      </c>
      <c r="M76" s="223"/>
      <c r="N76" s="223" t="str">
        <f t="array" ref="N76:N77">{"MEDIUML07";((IF("07"=(INDEX(ALLCLASSDATA,MATCH("MediumLegendary",CLASSFEATUREHEADERS,0),MATCH($A77,CLASSNAMEHEADERS,0))),(INDEX(ALLCLASSDATA,MATCH("MediumLegendary",CLASSFEATUREHEADERS,0),MATCH(($A77 &amp; "Points"),CLASSNAMEHEADERS,0))),(IF("07"=(INDEX(ALLCLASSDATA,MATCH("MediumMaster",CLASSFEATUREHEADERS,0),MATCH($A77,CLASSNAMEHEADERS,0))),(INDEX(ALLCLASSDATA,MATCH("MediumMaster",CLASSFEATUREHEADERS,0),MATCH(($A77 &amp; "Points"),CLASSNAMEHEADERS,0))),(IF("07"=(INDEX(ALLCLASSDATA,MATCH("MediumExpert",CLASSFEATUREHEADERS,0),MATCH($A77,CLASSNAMEHEADERS,0))),(INDEX(ALLCLASSDATA,MATCH("MediumExpert",CLASSFEATUREHEADERS,0),MATCH(($A77 &amp; "Points"),CLASSNAMEHEADERS,0))),(IF("07"=(INDEX(ALLCLASSDATA,MATCH("MediumTrained",CLASSFEATUREHEADERS,0),MATCH($A77,CLASSNAMEHEADERS,0))),(INDEX(ALLCLASSDATA,MATCH("MediumTrained",CLASSFEATUREHEADERS,0),MATCH(($A77 &amp; "Points"),CLASSNAMEHEADERS,0))),"")))))))))}</f>
        <v>MEDIUML07</v>
      </c>
      <c r="O76" s="223"/>
      <c r="P76" s="223" t="str">
        <f t="array" ref="P76:P77">{"MEDIUML09";((IF("09"=(INDEX(ALLCLASSDATA,MATCH("MediumLegendary",CLASSFEATUREHEADERS,0),MATCH($A77,CLASSNAMEHEADERS,0))),(INDEX(ALLCLASSDATA,MATCH("MediumLegendary",CLASSFEATUREHEADERS,0),MATCH(($A77 &amp; "Points"),CLASSNAMEHEADERS,0))),(IF("09"=(INDEX(ALLCLASSDATA,MATCH("MediumMaster",CLASSFEATUREHEADERS,0),MATCH($A77,CLASSNAMEHEADERS,0))),(INDEX(ALLCLASSDATA,MATCH("MediumMaster",CLASSFEATUREHEADERS,0),MATCH(($A77 &amp; "Points"),CLASSNAMEHEADERS,0))),(IF("09"=(INDEX(ALLCLASSDATA,MATCH("MediumExpert",CLASSFEATUREHEADERS,0),MATCH($A77,CLASSNAMEHEADERS,0))),(INDEX(ALLCLASSDATA,MATCH("MediumExpert",CLASSFEATUREHEADERS,0),MATCH(($A77 &amp; "Points"),CLASSNAMEHEADERS,0))),(IF("09"=(INDEX(ALLCLASSDATA,MATCH("MediumTrained",CLASSFEATUREHEADERS,0),MATCH($A77,CLASSNAMEHEADERS,0))),(INDEX(ALLCLASSDATA,MATCH("MediumTrained",CLASSFEATUREHEADERS,0),MATCH(($A77 &amp; "Points"),CLASSNAMEHEADERS,0))),"")))))))))}</f>
        <v>MEDIUML09</v>
      </c>
      <c r="Q76" s="223"/>
      <c r="R76" s="223" t="str">
        <f t="array" ref="R76:R77">{"MEDIUML11";((IF("11"=(INDEX(ALLCLASSDATA,MATCH("MediumLegendary",CLASSFEATUREHEADERS,0),MATCH($A77,CLASSNAMEHEADERS,0))),(INDEX(ALLCLASSDATA,MATCH("MediumLegendary",CLASSFEATUREHEADERS,0),MATCH(($A77 &amp; "Points"),CLASSNAMEHEADERS,0))),(IF("11"=(INDEX(ALLCLASSDATA,MATCH("MediumMaster",CLASSFEATUREHEADERS,0),MATCH($A77,CLASSNAMEHEADERS,0))),(INDEX(ALLCLASSDATA,MATCH("MediumMaster",CLASSFEATUREHEADERS,0),MATCH(($A77 &amp; "Points"),CLASSNAMEHEADERS,0))),(IF("11"=(INDEX(ALLCLASSDATA,MATCH("MediumExpert",CLASSFEATUREHEADERS,0),MATCH($A77,CLASSNAMEHEADERS,0))),(INDEX(ALLCLASSDATA,MATCH("MediumExpert",CLASSFEATUREHEADERS,0),MATCH(($A77 &amp; "Points"),CLASSNAMEHEADERS,0))),(IF("11"=(INDEX(ALLCLASSDATA,MATCH("MediumTrained",CLASSFEATUREHEADERS,0),MATCH($A77,CLASSNAMEHEADERS,0))),(INDEX(ALLCLASSDATA,MATCH("MediumTrained",CLASSFEATUREHEADERS,0),MATCH(($A77 &amp; "Points"),CLASSNAMEHEADERS,0))),"")))))))))}</f>
        <v>MEDIUML11</v>
      </c>
      <c r="S76" s="223"/>
      <c r="T76" s="223" t="str">
        <f t="array" ref="T76:T77">{"MEDIUML13";((IF("13"=(INDEX(ALLCLASSDATA,MATCH("MediumLegendary",CLASSFEATUREHEADERS,0),MATCH($A77,CLASSNAMEHEADERS,0))),(INDEX(ALLCLASSDATA,MATCH("MediumLegendary",CLASSFEATUREHEADERS,0),MATCH(($A77 &amp; "Points"),CLASSNAMEHEADERS,0))),(IF("13"=(INDEX(ALLCLASSDATA,MATCH("MediumMaster",CLASSFEATUREHEADERS,0),MATCH($A77,CLASSNAMEHEADERS,0))),(INDEX(ALLCLASSDATA,MATCH("MediumMaster",CLASSFEATUREHEADERS,0),MATCH(($A77 &amp; "Points"),CLASSNAMEHEADERS,0))),(IF("13"=(INDEX(ALLCLASSDATA,MATCH("MediumExpert",CLASSFEATUREHEADERS,0),MATCH($A77,CLASSNAMEHEADERS,0))),(INDEX(ALLCLASSDATA,MATCH("MediumExpert",CLASSFEATUREHEADERS,0),MATCH(($A77 &amp; "Points"),CLASSNAMEHEADERS,0))),(IF("13"=(INDEX(ALLCLASSDATA,MATCH("MediumTrained",CLASSFEATUREHEADERS,0),MATCH($A77,CLASSNAMEHEADERS,0))),(INDEX(ALLCLASSDATA,MATCH("MediumTrained",CLASSFEATUREHEADERS,0),MATCH(($A77 &amp; "Points"),CLASSNAMEHEADERS,0))),"")))))))))}</f>
        <v>MEDIUML13</v>
      </c>
      <c r="U76" s="223"/>
      <c r="V76" s="223" t="str">
        <f t="array" ref="V76:V77">{"MEDIUML15";((IF("15"=(INDEX(ALLCLASSDATA,MATCH("MediumLegendary",CLASSFEATUREHEADERS,0),MATCH($A77,CLASSNAMEHEADERS,0))),(INDEX(ALLCLASSDATA,MATCH("MediumLegendary",CLASSFEATUREHEADERS,0),MATCH(($A77 &amp; "Points"),CLASSNAMEHEADERS,0))),(IF("15"=(INDEX(ALLCLASSDATA,MATCH("MediumMaster",CLASSFEATUREHEADERS,0),MATCH($A77,CLASSNAMEHEADERS,0))),(INDEX(ALLCLASSDATA,MATCH("MediumMaster",CLASSFEATUREHEADERS,0),MATCH(($A77 &amp; "Points"),CLASSNAMEHEADERS,0))),(IF("15"=(INDEX(ALLCLASSDATA,MATCH("MediumExpert",CLASSFEATUREHEADERS,0),MATCH($A77,CLASSNAMEHEADERS,0))),(INDEX(ALLCLASSDATA,MATCH("MediumExpert",CLASSFEATUREHEADERS,0),MATCH(($A77 &amp; "Points"),CLASSNAMEHEADERS,0))),(IF("15"=(INDEX(ALLCLASSDATA,MATCH("MediumTrained",CLASSFEATUREHEADERS,0),MATCH($A77,CLASSNAMEHEADERS,0))),(INDEX(ALLCLASSDATA,MATCH("MediumTrained",CLASSFEATUREHEADERS,0),MATCH(($A77 &amp; "Points"),CLASSNAMEHEADERS,0))),"")))))))))}</f>
        <v>MEDIUML15</v>
      </c>
      <c r="W76" s="223"/>
      <c r="X76" s="223" t="str">
        <f t="array" ref="X76:X77">{"MEDIUML17";((IF("17"=(INDEX(ALLCLASSDATA,MATCH("MediumLegendary",CLASSFEATUREHEADERS,0),MATCH($A77,CLASSNAMEHEADERS,0))),(INDEX(ALLCLASSDATA,MATCH("MediumLegendary",CLASSFEATUREHEADERS,0),MATCH(($A77 &amp; "Points"),CLASSNAMEHEADERS,0))),(IF("17"=(INDEX(ALLCLASSDATA,MATCH("MediumMaster",CLASSFEATUREHEADERS,0),MATCH($A77,CLASSNAMEHEADERS,0))),(INDEX(ALLCLASSDATA,MATCH("MediumMaster",CLASSFEATUREHEADERS,0),MATCH(($A77 &amp; "Points"),CLASSNAMEHEADERS,0))),(IF("17"=(INDEX(ALLCLASSDATA,MATCH("MediumExpert",CLASSFEATUREHEADERS,0),MATCH($A77,CLASSNAMEHEADERS,0))),(INDEX(ALLCLASSDATA,MATCH("MediumExpert",CLASSFEATUREHEADERS,0),MATCH(($A77 &amp; "Points"),CLASSNAMEHEADERS,0))),(IF("17"=(INDEX(ALLCLASSDATA,MATCH("MediumTrained",CLASSFEATUREHEADERS,0),MATCH($A77,CLASSNAMEHEADERS,0))),(INDEX(ALLCLASSDATA,MATCH("MediumTrained",CLASSFEATUREHEADERS,0),MATCH(($A77 &amp; "Points"),CLASSNAMEHEADERS,0))),"")))))))))}</f>
        <v>MEDIUML17</v>
      </c>
      <c r="Y76" s="223"/>
      <c r="Z76" s="223" t="str">
        <f t="array" ref="Z76:Z77">{"MEDIUML19";((IF("19"=(INDEX(ALLCLASSDATA,MATCH("MediumLegendary",CLASSFEATUREHEADERS,0),MATCH($A77,CLASSNAMEHEADERS,0))),(INDEX(ALLCLASSDATA,MATCH("MediumLegendary",CLASSFEATUREHEADERS,0),MATCH(($A77 &amp; "Points"),CLASSNAMEHEADERS,0))),(IF("19"=(INDEX(ALLCLASSDATA,MATCH("MediumMaster",CLASSFEATUREHEADERS,0),MATCH($A77,CLASSNAMEHEADERS,0))),(INDEX(ALLCLASSDATA,MATCH("MediumMaster",CLASSFEATUREHEADERS,0),MATCH(($A77 &amp; "Points"),CLASSNAMEHEADERS,0))),(IF("19"=(INDEX(ALLCLASSDATA,MATCH("MediumExpert",CLASSFEATUREHEADERS,0),MATCH($A77,CLASSNAMEHEADERS,0))),(INDEX(ALLCLASSDATA,MATCH("MediumExpert",CLASSFEATUREHEADERS,0),MATCH(($A77 &amp; "Points"),CLASSNAMEHEADERS,0))),(IF("19"=(INDEX(ALLCLASSDATA,MATCH("MediumTrained",CLASSFEATUREHEADERS,0),MATCH($A77,CLASSNAMEHEADERS,0))),(INDEX(ALLCLASSDATA,MATCH("MediumTrained",CLASSFEATUREHEADERS,0),MATCH(($A77 &amp; "Points"),CLASSNAMEHEADERS,0))),"")))))))))}</f>
        <v>MEDIUML19</v>
      </c>
      <c r="AA76" s="223"/>
      <c r="AB76" s="76" t="str">
        <f t="array" ref="AB76:AB77">{"MEDIUM TOTAL";(IF(COUNTBLANK(G77:AA77)=17,"L",(IF(COUNTBLANK(G77:AA77)=18,"M",(IF(COUNTBLANK(G77:AA77)=19,"E",(IF(COUNTBLANK(G77:AA77)=20,"T",""))))))))}</f>
        <v>MEDIUM TOTAL</v>
      </c>
      <c r="AC76" s="76" t="str">
        <f t="array" ref="AC76:AC77">{"MEDIUM TOTAL";(sum(G77:AA77))}</f>
        <v>MEDIUM TOTAL</v>
      </c>
    </row>
    <row r="77">
      <c r="A77" s="48" t="s">
        <v>65</v>
      </c>
      <c r="B77" s="48"/>
      <c r="C77" s="48" t="s">
        <v>406</v>
      </c>
      <c r="D77" s="48" t="s">
        <v>1900</v>
      </c>
      <c r="E77" s="48" t="s">
        <v>76</v>
      </c>
      <c r="F77" s="5" t="s">
        <v>435</v>
      </c>
      <c r="G77" s="47" t="s">
        <v>603</v>
      </c>
      <c r="H77" s="5">
        <v>10.0</v>
      </c>
      <c r="I77" s="5"/>
      <c r="J77" s="5" t="s">
        <v>603</v>
      </c>
      <c r="K77" s="5"/>
      <c r="L77" s="48" t="s">
        <v>603</v>
      </c>
      <c r="M77" s="5"/>
      <c r="N77" s="5" t="s">
        <v>436</v>
      </c>
      <c r="O77" s="5"/>
      <c r="P77" s="5" t="s">
        <v>603</v>
      </c>
      <c r="Q77" s="5"/>
      <c r="R77" s="5" t="s">
        <v>603</v>
      </c>
      <c r="S77" s="5"/>
      <c r="T77" s="5" t="s">
        <v>437</v>
      </c>
      <c r="U77" s="5"/>
      <c r="V77" s="5" t="s">
        <v>603</v>
      </c>
      <c r="W77" s="5"/>
      <c r="X77" s="5" t="s">
        <v>466</v>
      </c>
      <c r="Y77" s="5"/>
      <c r="Z77" s="5" t="s">
        <v>603</v>
      </c>
      <c r="AA77" s="5"/>
      <c r="AB77" s="5" t="s">
        <v>466</v>
      </c>
      <c r="AC77" s="47">
        <v>10.0</v>
      </c>
    </row>
    <row r="78" hidden="1">
      <c r="A78" s="222" t="str">
        <f t="array" ref="A78:A79">{"FormulaRow38";(INDEX(CLASSLIST,A3,1))}</f>
        <v>FormulaRow38</v>
      </c>
      <c r="B78" s="77" t="s">
        <v>236</v>
      </c>
      <c r="C78" s="222" t="str">
        <f t="array" ref="C78:C79">{"CLASSTYPE";((INDEX(ALLCLASSDATA,MATCH("ClassType",CLASSFEATUREHEADERS,0),MATCH($A79,CLASSNAMEHEADERS,0))))}</f>
        <v>CLASSTYPE</v>
      </c>
      <c r="D78" s="222" t="str">
        <f t="array" ref="D78:D79">{"DEFENSE";"Defense"}</f>
        <v>DEFENSE</v>
      </c>
      <c r="E78" s="222" t="str">
        <f t="array" ref="E78:E79">{"HEAVY";"Heavy"}</f>
        <v>HEAVY</v>
      </c>
      <c r="F78" s="223" t="str">
        <f t="array" ref="F78:F79">{"HEAVYINITIAL";((IF(H79=10,"T",(IF(H79=50,"E","")))))}</f>
        <v>HEAVYINITIAL</v>
      </c>
      <c r="G78" s="223" t="str">
        <f t="array" ref="G78:G79">{"HEAVYINITIALPTS";((IF("00"=(INDEX(ALLCLASSDATA,MATCH("HeavyLegendary",CLASSFEATUREHEADERS,0),MATCH($A79,CLASSNAMEHEADERS,0))),(INDEX(ALLCLASSDATA,MATCH("HeavyLegendary",CLASSFEATUREHEADERS,0),MATCH(($A79 &amp; "Points"),CLASSNAMEHEADERS,0))),(IF("00"=(INDEX(ALLCLASSDATA,MATCH("HeavyMaster",CLASSFEATUREHEADERS,0),MATCH($A79,CLASSNAMEHEADERS,0))),(INDEX(ALLCLASSDATA,MATCH("HeavyMaster",CLASSFEATUREHEADERS,0),MATCH(($A79 &amp; "Points"),CLASSNAMEHEADERS,0))),(IF("00"=(INDEX(ALLCLASSDATA,MATCH("HeavyExpert",CLASSFEATUREHEADERS,0),MATCH($A79,CLASSNAMEHEADERS,0))),(INDEX(ALLCLASSDATA,MATCH("HeavyExpert",CLASSFEATUREHEADERS,0),MATCH(($A79 &amp; "Points"),CLASSNAMEHEADERS,0))),(IF("00"=(INDEX(ALLCLASSDATA,MATCH("HeavyTrained",CLASSFEATUREHEADERS,0),MATCH($A79,CLASSNAMEHEADERS,0))),(INDEX(ALLCLASSDATA,MATCH("HeavyTrained",CLASSFEATUREHEADERS,0),MATCH(($A79 &amp; "Points"),CLASSNAMEHEADERS,0))),"")))))))))}</f>
        <v>HEAVYINITIALPTS</v>
      </c>
      <c r="H78" s="223" t="str">
        <f t="array" ref="H78:H79">{"HEAVYL01";((IF("01"=(INDEX(ALLCLASSDATA,MATCH("HeavyLegendary",CLASSFEATUREHEADERS,0),MATCH($A79,CLASSNAMEHEADERS,0))),(INDEX(ALLCLASSDATA,MATCH("HeavyLegendary",CLASSFEATUREHEADERS,0),MATCH(($A79 &amp; "Points"),CLASSNAMEHEADERS,0))),(IF("01"=(INDEX(ALLCLASSDATA,MATCH("HeavyMaster",CLASSFEATUREHEADERS,0),MATCH($A79,CLASSNAMEHEADERS,0))),(INDEX(ALLCLASSDATA,MATCH("HeavyMaster",CLASSFEATUREHEADERS,0),MATCH(($A79 &amp; "Points"),CLASSNAMEHEADERS,0))),(IF("01"=(INDEX(ALLCLASSDATA,MATCH("HeavyExpert",CLASSFEATUREHEADERS,0),MATCH($A79,CLASSNAMEHEADERS,0))),(INDEX(ALLCLASSDATA,MATCH("HeavyExpert",CLASSFEATUREHEADERS,0),MATCH(($A79 &amp; "Points"),CLASSNAMEHEADERS,0))),(IF("01"=(INDEX(ALLCLASSDATA,MATCH("HeavyTrained",CLASSFEATUREHEADERS,0),MATCH($A79,CLASSNAMEHEADERS,0))),(INDEX(ALLCLASSDATA,MATCH("HeavyTrained",CLASSFEATUREHEADERS,0),MATCH(($A79 &amp; "Points"),CLASSNAMEHEADERS,0))),"")))))))))}</f>
        <v>HEAVYL01</v>
      </c>
      <c r="I78" s="223"/>
      <c r="J78" s="223" t="str">
        <f t="array" ref="J78:J79">{"HEAVYL03";((IF("03"=(INDEX(ALLCLASSDATA,MATCH("HeavyLegendary",CLASSFEATUREHEADERS,0),MATCH($A79,CLASSNAMEHEADERS,0))),(INDEX(ALLCLASSDATA,MATCH("HeavyLegendary",CLASSFEATUREHEADERS,0),MATCH(($A79 &amp; "Points"),CLASSNAMEHEADERS,0))),(IF("03"=(INDEX(ALLCLASSDATA,MATCH("HeavyMaster",CLASSFEATUREHEADERS,0),MATCH($A79,CLASSNAMEHEADERS,0))),(INDEX(ALLCLASSDATA,MATCH("HeavyMaster",CLASSFEATUREHEADERS,0),MATCH(($A79 &amp; "Points"),CLASSNAMEHEADERS,0))),(IF("03"=(INDEX(ALLCLASSDATA,MATCH("HeavyExpert",CLASSFEATUREHEADERS,0),MATCH($A79,CLASSNAMEHEADERS,0))),(INDEX(ALLCLASSDATA,MATCH("HeavyExpert",CLASSFEATUREHEADERS,0),MATCH(($A79 &amp; "Points"),CLASSNAMEHEADERS,0))),(IF("03"=(INDEX(ALLCLASSDATA,MATCH("HeavyTrained",CLASSFEATUREHEADERS,0),MATCH($A79,CLASSNAMEHEADERS,0))),(INDEX(ALLCLASSDATA,MATCH("HeavyTrained",CLASSFEATUREHEADERS,0),MATCH(($A79 &amp; "Points"),CLASSNAMEHEADERS,0))),"")))))))))}</f>
        <v>HEAVYL03</v>
      </c>
      <c r="K78" s="223"/>
      <c r="L78" s="223" t="str">
        <f t="array" ref="L78:L79">{"HEAVYL05";((IF("05"=(INDEX(ALLCLASSDATA,MATCH("HeavyLegendary",CLASSFEATUREHEADERS,0),MATCH($A79,CLASSNAMEHEADERS,0))),(INDEX(ALLCLASSDATA,MATCH("HeavyLegendary",CLASSFEATUREHEADERS,0),MATCH(($A79 &amp; "Points"),CLASSNAMEHEADERS,0))),(IF("05"=(INDEX(ALLCLASSDATA,MATCH("HeavyMaster",CLASSFEATUREHEADERS,0),MATCH($A79,CLASSNAMEHEADERS,0))),(INDEX(ALLCLASSDATA,MATCH("HeavyMaster",CLASSFEATUREHEADERS,0),MATCH(($A79 &amp; "Points"),CLASSNAMEHEADERS,0))),(IF("05"=(INDEX(ALLCLASSDATA,MATCH("HeavyExpert",CLASSFEATUREHEADERS,0),MATCH($A79,CLASSNAMEHEADERS,0))),(INDEX(ALLCLASSDATA,MATCH("HeavyExpert",CLASSFEATUREHEADERS,0),MATCH(($A79 &amp; "Points"),CLASSNAMEHEADERS,0))),(IF("05"=(INDEX(ALLCLASSDATA,MATCH("HeavyTrained",CLASSFEATUREHEADERS,0),MATCH($A79,CLASSNAMEHEADERS,0))),(INDEX(ALLCLASSDATA,MATCH("HeavyTrained",CLASSFEATUREHEADERS,0),MATCH(($A79 &amp; "Points"),CLASSNAMEHEADERS,0))),"")))))))))}</f>
        <v>HEAVYL05</v>
      </c>
      <c r="M78" s="223"/>
      <c r="N78" s="223" t="str">
        <f t="array" ref="N78:N79">{"HEAVYL07";((IF("07"=(INDEX(ALLCLASSDATA,MATCH("HeavyLegendary",CLASSFEATUREHEADERS,0),MATCH($A79,CLASSNAMEHEADERS,0))),(INDEX(ALLCLASSDATA,MATCH("HeavyLegendary",CLASSFEATUREHEADERS,0),MATCH(($A79 &amp; "Points"),CLASSNAMEHEADERS,0))),(IF("07"=(INDEX(ALLCLASSDATA,MATCH("HeavyMaster",CLASSFEATUREHEADERS,0),MATCH($A79,CLASSNAMEHEADERS,0))),(INDEX(ALLCLASSDATA,MATCH("HeavyMaster",CLASSFEATUREHEADERS,0),MATCH(($A79 &amp; "Points"),CLASSNAMEHEADERS,0))),(IF("07"=(INDEX(ALLCLASSDATA,MATCH("HeavyExpert",CLASSFEATUREHEADERS,0),MATCH($A79,CLASSNAMEHEADERS,0))),(INDEX(ALLCLASSDATA,MATCH("HeavyExpert",CLASSFEATUREHEADERS,0),MATCH(($A79 &amp; "Points"),CLASSNAMEHEADERS,0))),(IF("07"=(INDEX(ALLCLASSDATA,MATCH("HeavyTrained",CLASSFEATUREHEADERS,0),MATCH($A79,CLASSNAMEHEADERS,0))),(INDEX(ALLCLASSDATA,MATCH("HeavyTrained",CLASSFEATUREHEADERS,0),MATCH(($A79 &amp; "Points"),CLASSNAMEHEADERS,0))),"")))))))))}</f>
        <v>HEAVYL07</v>
      </c>
      <c r="O78" s="223"/>
      <c r="P78" s="223" t="str">
        <f t="array" ref="P78:P79">{"HEAVYL09";((IF("09"=(INDEX(ALLCLASSDATA,MATCH("HeavyLegendary",CLASSFEATUREHEADERS,0),MATCH($A79,CLASSNAMEHEADERS,0))),(INDEX(ALLCLASSDATA,MATCH("HeavyLegendary",CLASSFEATUREHEADERS,0),MATCH(($A79 &amp; "Points"),CLASSNAMEHEADERS,0))),(IF("09"=(INDEX(ALLCLASSDATA,MATCH("HeavyMaster",CLASSFEATUREHEADERS,0),MATCH($A79,CLASSNAMEHEADERS,0))),(INDEX(ALLCLASSDATA,MATCH("HeavyMaster",CLASSFEATUREHEADERS,0),MATCH(($A79 &amp; "Points"),CLASSNAMEHEADERS,0))),(IF("09"=(INDEX(ALLCLASSDATA,MATCH("HeavyExpert",CLASSFEATUREHEADERS,0),MATCH($A79,CLASSNAMEHEADERS,0))),(INDEX(ALLCLASSDATA,MATCH("HeavyExpert",CLASSFEATUREHEADERS,0),MATCH(($A79 &amp; "Points"),CLASSNAMEHEADERS,0))),(IF("09"=(INDEX(ALLCLASSDATA,MATCH("HeavyTrained",CLASSFEATUREHEADERS,0),MATCH($A79,CLASSNAMEHEADERS,0))),(INDEX(ALLCLASSDATA,MATCH("HeavyTrained",CLASSFEATUREHEADERS,0),MATCH(($A79 &amp; "Points"),CLASSNAMEHEADERS,0))),"")))))))))}</f>
        <v>HEAVYL09</v>
      </c>
      <c r="Q78" s="223"/>
      <c r="R78" s="223" t="str">
        <f t="array" ref="R78:R79">{"HEAVYL11";((IF("11"=(INDEX(ALLCLASSDATA,MATCH("HeavyLegendary",CLASSFEATUREHEADERS,0),MATCH($A79,CLASSNAMEHEADERS,0))),(INDEX(ALLCLASSDATA,MATCH("HeavyLegendary",CLASSFEATUREHEADERS,0),MATCH(($A79 &amp; "Points"),CLASSNAMEHEADERS,0))),(IF("11"=(INDEX(ALLCLASSDATA,MATCH("HeavyMaster",CLASSFEATUREHEADERS,0),MATCH($A79,CLASSNAMEHEADERS,0))),(INDEX(ALLCLASSDATA,MATCH("HeavyMaster",CLASSFEATUREHEADERS,0),MATCH(($A79 &amp; "Points"),CLASSNAMEHEADERS,0))),(IF("11"=(INDEX(ALLCLASSDATA,MATCH("HeavyExpert",CLASSFEATUREHEADERS,0),MATCH($A79,CLASSNAMEHEADERS,0))),(INDEX(ALLCLASSDATA,MATCH("HeavyExpert",CLASSFEATUREHEADERS,0),MATCH(($A79 &amp; "Points"),CLASSNAMEHEADERS,0))),(IF("11"=(INDEX(ALLCLASSDATA,MATCH("HeavyTrained",CLASSFEATUREHEADERS,0),MATCH($A79,CLASSNAMEHEADERS,0))),(INDEX(ALLCLASSDATA,MATCH("HeavyTrained",CLASSFEATUREHEADERS,0),MATCH(($A79 &amp; "Points"),CLASSNAMEHEADERS,0))),"")))))))))}</f>
        <v>HEAVYL11</v>
      </c>
      <c r="S78" s="223"/>
      <c r="T78" s="223" t="str">
        <f t="array" ref="T78:T79">{"HEAVYL13";((IF("13"=(INDEX(ALLCLASSDATA,MATCH("HeavyLegendary",CLASSFEATUREHEADERS,0),MATCH($A79,CLASSNAMEHEADERS,0))),(INDEX(ALLCLASSDATA,MATCH("HeavyLegendary",CLASSFEATUREHEADERS,0),MATCH(($A79 &amp; "Points"),CLASSNAMEHEADERS,0))),(IF("13"=(INDEX(ALLCLASSDATA,MATCH("HeavyMaster",CLASSFEATUREHEADERS,0),MATCH($A79,CLASSNAMEHEADERS,0))),(INDEX(ALLCLASSDATA,MATCH("HeavyMaster",CLASSFEATUREHEADERS,0),MATCH(($A79 &amp; "Points"),CLASSNAMEHEADERS,0))),(IF("13"=(INDEX(ALLCLASSDATA,MATCH("HeavyExpert",CLASSFEATUREHEADERS,0),MATCH($A79,CLASSNAMEHEADERS,0))),(INDEX(ALLCLASSDATA,MATCH("HeavyExpert",CLASSFEATUREHEADERS,0),MATCH(($A79 &amp; "Points"),CLASSNAMEHEADERS,0))),(IF("13"=(INDEX(ALLCLASSDATA,MATCH("HeavyTrained",CLASSFEATUREHEADERS,0),MATCH($A79,CLASSNAMEHEADERS,0))),(INDEX(ALLCLASSDATA,MATCH("HeavyTrained",CLASSFEATUREHEADERS,0),MATCH(($A79 &amp; "Points"),CLASSNAMEHEADERS,0))),"")))))))))}</f>
        <v>HEAVYL13</v>
      </c>
      <c r="U78" s="223"/>
      <c r="V78" s="223" t="str">
        <f t="array" ref="V78:V79">{"HEAVYL15";((IF("15"=(INDEX(ALLCLASSDATA,MATCH("HeavyLegendary",CLASSFEATUREHEADERS,0),MATCH($A79,CLASSNAMEHEADERS,0))),(INDEX(ALLCLASSDATA,MATCH("HeavyLegendary",CLASSFEATUREHEADERS,0),MATCH(($A79 &amp; "Points"),CLASSNAMEHEADERS,0))),(IF("15"=(INDEX(ALLCLASSDATA,MATCH("HeavyMaster",CLASSFEATUREHEADERS,0),MATCH($A79,CLASSNAMEHEADERS,0))),(INDEX(ALLCLASSDATA,MATCH("HeavyMaster",CLASSFEATUREHEADERS,0),MATCH(($A79 &amp; "Points"),CLASSNAMEHEADERS,0))),(IF("15"=(INDEX(ALLCLASSDATA,MATCH("HeavyExpert",CLASSFEATUREHEADERS,0),MATCH($A79,CLASSNAMEHEADERS,0))),(INDEX(ALLCLASSDATA,MATCH("HeavyExpert",CLASSFEATUREHEADERS,0),MATCH(($A79 &amp; "Points"),CLASSNAMEHEADERS,0))),(IF("15"=(INDEX(ALLCLASSDATA,MATCH("HeavyTrained",CLASSFEATUREHEADERS,0),MATCH($A79,CLASSNAMEHEADERS,0))),(INDEX(ALLCLASSDATA,MATCH("HeavyTrained",CLASSFEATUREHEADERS,0),MATCH(($A79 &amp; "Points"),CLASSNAMEHEADERS,0))),"")))))))))}</f>
        <v>HEAVYL15</v>
      </c>
      <c r="W78" s="223"/>
      <c r="X78" s="223" t="str">
        <f t="array" ref="X78:X79">{"HEAVYL17";((IF("17"=(INDEX(ALLCLASSDATA,MATCH("HeavyLegendary",CLASSFEATUREHEADERS,0),MATCH($A79,CLASSNAMEHEADERS,0))),(INDEX(ALLCLASSDATA,MATCH("HeavyLegendary",CLASSFEATUREHEADERS,0),MATCH(($A79 &amp; "Points"),CLASSNAMEHEADERS,0))),(IF("17"=(INDEX(ALLCLASSDATA,MATCH("HeavyMaster",CLASSFEATUREHEADERS,0),MATCH($A79,CLASSNAMEHEADERS,0))),(INDEX(ALLCLASSDATA,MATCH("HeavyMaster",CLASSFEATUREHEADERS,0),MATCH(($A79 &amp; "Points"),CLASSNAMEHEADERS,0))),(IF("17"=(INDEX(ALLCLASSDATA,MATCH("HeavyExpert",CLASSFEATUREHEADERS,0),MATCH($A79,CLASSNAMEHEADERS,0))),(INDEX(ALLCLASSDATA,MATCH("HeavyExpert",CLASSFEATUREHEADERS,0),MATCH(($A79 &amp; "Points"),CLASSNAMEHEADERS,0))),(IF("17"=(INDEX(ALLCLASSDATA,MATCH("HeavyTrained",CLASSFEATUREHEADERS,0),MATCH($A79,CLASSNAMEHEADERS,0))),(INDEX(ALLCLASSDATA,MATCH("HeavyTrained",CLASSFEATUREHEADERS,0),MATCH(($A79 &amp; "Points"),CLASSNAMEHEADERS,0))),"")))))))))}</f>
        <v>HEAVYL17</v>
      </c>
      <c r="Y78" s="223"/>
      <c r="Z78" s="223" t="str">
        <f t="array" ref="Z78:Z79">{"HEAVYL19";((IF("19"=(INDEX(ALLCLASSDATA,MATCH("HeavyLegendary",CLASSFEATUREHEADERS,0),MATCH($A79,CLASSNAMEHEADERS,0))),(INDEX(ALLCLASSDATA,MATCH("HeavyLegendary",CLASSFEATUREHEADERS,0),MATCH(($A79 &amp; "Points"),CLASSNAMEHEADERS,0))),(IF("19"=(INDEX(ALLCLASSDATA,MATCH("HeavyMaster",CLASSFEATUREHEADERS,0),MATCH($A79,CLASSNAMEHEADERS,0))),(INDEX(ALLCLASSDATA,MATCH("HeavyMaster",CLASSFEATUREHEADERS,0),MATCH(($A79 &amp; "Points"),CLASSNAMEHEADERS,0))),(IF("19"=(INDEX(ALLCLASSDATA,MATCH("HeavyExpert",CLASSFEATUREHEADERS,0),MATCH($A79,CLASSNAMEHEADERS,0))),(INDEX(ALLCLASSDATA,MATCH("HeavyExpert",CLASSFEATUREHEADERS,0),MATCH(($A79 &amp; "Points"),CLASSNAMEHEADERS,0))),(IF("19"=(INDEX(ALLCLASSDATA,MATCH("HeavyTrained",CLASSFEATUREHEADERS,0),MATCH($A79,CLASSNAMEHEADERS,0))),(INDEX(ALLCLASSDATA,MATCH("HeavyTrained",CLASSFEATUREHEADERS,0),MATCH(($A79 &amp; "Points"),CLASSNAMEHEADERS,0))),"")))))))))}</f>
        <v>HEAVYL19</v>
      </c>
      <c r="AA78" s="223"/>
      <c r="AB78" s="76" t="str">
        <f t="array" ref="AB78:AB79">{"HEAVY TOTAL";(IF(COUNTBLANK(G79:AA79)=17,"L",(IF(COUNTBLANK(G79:AA79)=18,"M",(IF(COUNTBLANK(G79:AA79)=19,"E",(IF(COUNTBLANK(G79:AA79)=20,"T",""))))))))}</f>
        <v>HEAVY TOTAL</v>
      </c>
      <c r="AC78" s="76" t="str">
        <f t="array" ref="AC78:AC79">{"HEAVY TOTAL";(sum(G79:AA79))}</f>
        <v>HEAVY TOTAL</v>
      </c>
    </row>
    <row r="79">
      <c r="A79" s="48" t="s">
        <v>65</v>
      </c>
      <c r="B79" s="48"/>
      <c r="C79" s="48" t="s">
        <v>406</v>
      </c>
      <c r="D79" s="97" t="s">
        <v>1900</v>
      </c>
      <c r="E79" s="97" t="s">
        <v>533</v>
      </c>
      <c r="F79" s="98" t="s">
        <v>435</v>
      </c>
      <c r="G79" s="132" t="s">
        <v>603</v>
      </c>
      <c r="H79" s="98">
        <v>10.0</v>
      </c>
      <c r="I79" s="98"/>
      <c r="J79" s="98" t="s">
        <v>603</v>
      </c>
      <c r="K79" s="98"/>
      <c r="L79" s="98" t="s">
        <v>603</v>
      </c>
      <c r="M79" s="98"/>
      <c r="N79" s="98">
        <v>50.0</v>
      </c>
      <c r="O79" s="98"/>
      <c r="P79" s="98" t="s">
        <v>603</v>
      </c>
      <c r="Q79" s="98"/>
      <c r="R79" s="97" t="s">
        <v>603</v>
      </c>
      <c r="S79" s="98"/>
      <c r="T79" s="98">
        <v>110.0</v>
      </c>
      <c r="U79" s="98"/>
      <c r="V79" s="98" t="s">
        <v>603</v>
      </c>
      <c r="W79" s="98"/>
      <c r="X79" s="98">
        <v>190.0</v>
      </c>
      <c r="Y79" s="98"/>
      <c r="Z79" s="98" t="s">
        <v>603</v>
      </c>
      <c r="AA79" s="98"/>
      <c r="AB79" s="5" t="s">
        <v>466</v>
      </c>
      <c r="AC79" s="47">
        <v>360.0</v>
      </c>
    </row>
    <row r="80" hidden="1">
      <c r="A80" s="222" t="str">
        <f t="array" ref="A80:A81">{"FormulaRow39";(INDEX(CLASSLIST,A3,1))}</f>
        <v>FormulaRow39</v>
      </c>
      <c r="B80" s="77" t="s">
        <v>236</v>
      </c>
      <c r="C80" s="222" t="str">
        <f t="array" ref="C80:C81">{"CLASSTYPE";((INDEX(ALLCLASSDATA,MATCH("ClassType",CLASSFEATUREHEADERS,0),MATCH($A81,CLASSNAMEHEADERS,0))))}</f>
        <v>CLASSTYPE</v>
      </c>
      <c r="D80" s="222" t="str">
        <f t="array" ref="D80:D81">{"SPELL/ALCHEMY";((IF(INDEX(ALLCLASSDATA,MATCH("CasterType",CLASSFEATUREHEADERS,0),MATCH(($A81),CLASSNAMEHEADERS,0))="","",(IF(INDEX(ALLCLASSDATA,MATCH("CasterType",CLASSFEATUREHEADERS,0),MATCH(($A81),CLASSNAMEHEADERS,0))="Alchemy","Alchemy","Spells")))))}</f>
        <v>SPELL/ALCHEMY</v>
      </c>
      <c r="E80" s="222" t="str">
        <f t="array" ref="E80:E81">{"SPELLLIST";(IF(D81="Spells",((INDEX(ALLCLASSDATA,MATCH("CasterType",CLASSFEATUREHEADERS,0),MATCH(($A81),CLASSNAMEHEADERS,0))) &amp; ":" &amp; (INDEX(ALLCLASSDATA,MATCH("SpellList",CLASSFEATUREHEADERS,0),MATCH(($A81),CLASSNAMEHEADERS,0)))),""))}</f>
        <v>SPELLLIST</v>
      </c>
      <c r="F80" s="223" t="str">
        <f t="array" ref="F80:F81">{"SPL";(IF(D81="Spells","SPL:",""))}</f>
        <v>SPL</v>
      </c>
      <c r="G80" s="223" t="str">
        <f t="array" ref="G80:G81">{"CANTRIP/ALC";(IF(D81="Spells","C",(IF(D81="Alchemy","ALC:",""))))}</f>
        <v>CANTRIP/ALC</v>
      </c>
      <c r="H80" s="223" t="str">
        <f t="array" ref="H80:H81">{"SPELL/ALC L01";(IF(D81="Alchemy","L01",(IF(D81="Spells","S01",""))))}</f>
        <v>SPELL/ALC L01</v>
      </c>
      <c r="I80" s="223" t="str">
        <f t="array" ref="I80:I81">{"SPELL/ALC L02";(IF(D81="Alchemy","L02",(IF(D81="Spells","S01",""))))}</f>
        <v>SPELL/ALC L02</v>
      </c>
      <c r="J80" s="223" t="str">
        <f t="array" ref="J80:J81">{"SPELL/ALC L03";(IF(D81="Alchemy","L03",(IF(D81="Spells","S02",""))))}</f>
        <v>SPELL/ALC L03</v>
      </c>
      <c r="K80" s="223" t="str">
        <f t="array" ref="K80:K81">{"SPELL/ALC L04";(IF(D81="Alchemy","L04",(IF(D81="Spells","S02",""))))}</f>
        <v>SPELL/ALC L04</v>
      </c>
      <c r="L80" s="223" t="str">
        <f t="array" ref="L80:L81">{"SPELL/ALC L05";(IF(D81="Alchemy","L05",(IF(D81="Spells","S03",""))))}</f>
        <v>SPELL/ALC L05</v>
      </c>
      <c r="M80" s="223" t="str">
        <f t="array" ref="M80:M81">{"SPELL/ALC L06";(IF(D81="Alchemy","L06",(IF(D81="Spells","S03",""))))}</f>
        <v>SPELL/ALC L06</v>
      </c>
      <c r="N80" s="223" t="str">
        <f t="array" ref="N80:N81">{"SPELL/ALC L07";(IF(D81="Alchemy","L07",(IF(D81="Spells","S04",""))))}</f>
        <v>SPELL/ALC L07</v>
      </c>
      <c r="O80" s="223" t="str">
        <f t="array" ref="O80:O81">{"SPELL/ALC L08";(IF(D81="Alchemy","L08",(IF(D81="Spells","S04",""))))}</f>
        <v>SPELL/ALC L08</v>
      </c>
      <c r="P80" s="223" t="str">
        <f t="array" ref="P80:P81">{"SPELL/ALC L09";(IF(D81="Alchemy","L09",(IF(D81="Spells","S05",""))))}</f>
        <v>SPELL/ALC L09</v>
      </c>
      <c r="Q80" s="223" t="str">
        <f t="array" ref="Q80:Q81">{"SPELL/ALC L10";(IF(D81="Alchemy","L10",(IF(D81="Spells","S05",""))))}</f>
        <v>SPELL/ALC L10</v>
      </c>
      <c r="R80" s="223" t="str">
        <f t="array" ref="R80:R81">{"SPELL/ALC L11";(IF(D81="Alchemy","L11",(IF(D81="Spells","S06",""))))}</f>
        <v>SPELL/ALC L11</v>
      </c>
      <c r="S80" s="223" t="str">
        <f t="array" ref="S80:S81">{"SPELL/ALC L12";(IF(D81="Alchemy","L12",(IF(D81="Spells","S06",""))))}</f>
        <v>SPELL/ALC L12</v>
      </c>
      <c r="T80" s="223" t="str">
        <f t="array" ref="T80:T81">{"SPELL/ALC L13";(IF(D81="Alchemy","L13",(IF(D81="Spells","S07",""))))}</f>
        <v>SPELL/ALC L13</v>
      </c>
      <c r="U80" s="223" t="str">
        <f t="array" ref="U80:U81">{"SPELL/ALC L14";(IF(D81="Alchemy","L14",(IF(D81="Spells","S07",""))))}</f>
        <v>SPELL/ALC L14</v>
      </c>
      <c r="V80" s="223" t="str">
        <f t="array" ref="V80:V81">{"SPELL/ALC L15";(IF(D81="Alchemy","L15",(IF(D81="Spells","S08",""))))}</f>
        <v>SPELL/ALC L15</v>
      </c>
      <c r="W80" s="223" t="str">
        <f t="array" ref="W80:W81">{"SPELL/ALC L16";(IF(D81="Alchemy","L16",(IF(D81="Spells","S08",""))))}</f>
        <v>SPELL/ALC L16</v>
      </c>
      <c r="X80" s="223" t="str">
        <f t="array" ref="X80:X81">{"SPELL/ALC L17";(IF(D81="Alchemy","L17",(IF(D81="Spells","S09",""))))}</f>
        <v>SPELL/ALC L17</v>
      </c>
      <c r="Y80" s="223" t="str">
        <f t="array" ref="Y80:Y81">{"SPELL/ALC L18";(IF(D81="Alchemy","L18",(IF(D81="Spells","S09",""))))}</f>
        <v>SPELL/ALC L18</v>
      </c>
      <c r="Z80" s="223" t="str">
        <f t="array" ref="Z80:Z81">{"SPELL/ALC L19";(IF(D81="Alchemy","L19",(IF(D81="Spells","S10",""))))}</f>
        <v>SPELL/ALC L19</v>
      </c>
      <c r="AA80" s="223" t="str">
        <f t="array" ref="AA80:AA81">{"SPELL/ALC L20";(IF(D81="Alchemy","L20",(IF(D81="Spells","S10",""))))}</f>
        <v>SPELL/ALC L20</v>
      </c>
      <c r="AB80" s="76"/>
      <c r="AC80" s="76"/>
    </row>
    <row r="81">
      <c r="A81" s="48" t="s">
        <v>65</v>
      </c>
      <c r="B81" s="48"/>
      <c r="C81" s="48" t="s">
        <v>406</v>
      </c>
      <c r="D81" s="48" t="s">
        <v>603</v>
      </c>
      <c r="E81" s="48" t="s">
        <v>603</v>
      </c>
      <c r="F81" s="278" t="s">
        <v>603</v>
      </c>
      <c r="G81" s="114" t="s">
        <v>603</v>
      </c>
      <c r="H81" s="279" t="s">
        <v>603</v>
      </c>
      <c r="I81" s="28" t="s">
        <v>603</v>
      </c>
      <c r="J81" s="28" t="s">
        <v>603</v>
      </c>
      <c r="K81" s="28" t="s">
        <v>603</v>
      </c>
      <c r="L81" s="28" t="s">
        <v>603</v>
      </c>
      <c r="M81" s="28" t="s">
        <v>603</v>
      </c>
      <c r="N81" s="28" t="s">
        <v>603</v>
      </c>
      <c r="O81" s="28" t="s">
        <v>603</v>
      </c>
      <c r="P81" s="28" t="s">
        <v>603</v>
      </c>
      <c r="Q81" s="28" t="s">
        <v>603</v>
      </c>
      <c r="R81" s="28" t="s">
        <v>603</v>
      </c>
      <c r="S81" s="28" t="s">
        <v>603</v>
      </c>
      <c r="T81" s="28" t="s">
        <v>603</v>
      </c>
      <c r="U81" s="28" t="s">
        <v>603</v>
      </c>
      <c r="V81" s="28" t="s">
        <v>603</v>
      </c>
      <c r="W81" s="28" t="s">
        <v>603</v>
      </c>
      <c r="X81" s="28" t="s">
        <v>603</v>
      </c>
      <c r="Y81" s="28" t="s">
        <v>603</v>
      </c>
      <c r="Z81" s="28" t="s">
        <v>603</v>
      </c>
      <c r="AA81" s="28" t="s">
        <v>603</v>
      </c>
      <c r="AB81" s="5"/>
      <c r="AC81" s="47"/>
    </row>
    <row r="82" hidden="1">
      <c r="A82" s="222" t="str">
        <f t="array" ref="A82:A83">{"FormulaRow40";(INDEX(CLASSLIST,A3,1))}</f>
        <v>FormulaRow40</v>
      </c>
      <c r="B82" s="77" t="s">
        <v>236</v>
      </c>
      <c r="C82" s="222" t="str">
        <f t="array" ref="C82:C83">{"CLASSTYPE";((INDEX(ALLCLASSDATA,MATCH("ClassType",CLASSFEATUREHEADERS,0),MATCH($A83,CLASSNAMEHEADERS,0))))}</f>
        <v>CLASSTYPE</v>
      </c>
      <c r="D82" s="222" t="str">
        <f t="array" ref="D82:D83">{"SPELL/ALCHEMY";((IF(INDEX(ALLCLASSDATA,MATCH("CasterType",CLASSFEATUREHEADERS,0),MATCH(($A83),CLASSNAMEHEADERS,0))="","",(IF(INDEX(ALLCLASSDATA,MATCH("CasterType",CLASSFEATUREHEADERS,0),MATCH(($A83),CLASSNAMEHEADERS,0))="Alchemy","","Spells")))))}</f>
        <v>SPELL/ALCHEMY</v>
      </c>
      <c r="E82" s="222" t="str">
        <f t="array" ref="E82:E83">{"SPELLLIST";(IF(D83="Spells",((INDEX(ALLCLASSDATA,MATCH("CasterType",CLASSFEATUREHEADERS,0),MATCH(($A83),CLASSNAMEHEADERS,0))) &amp; ":" &amp; (INDEX(ALLCLASSDATA,MATCH("SpellList",CLASSFEATUREHEADERS,0),MATCH(($A83),CLASSNAMEHEADERS,0)))),""))}</f>
        <v>SPELLLIST</v>
      </c>
      <c r="F82" s="222" t="str">
        <f t="array" ref="F82:F83">{"SLOTCOST";(IF(D83="Spells","SlotCost:",""))}</f>
        <v>SLOTCOST</v>
      </c>
      <c r="G82" s="222" t="str">
        <f t="array" ref="G82:G83">{"SLOTCOST CANTRIP";(INDEX(ALLCLASSDATA,MATCH("CantripSlots-L00",CLASSFEATUREHEADERS,0),MATCH(($A83 &amp; "Points"),CLASSNAMEHEADERS,0)))}</f>
        <v>SLOTCOST CANTRIP</v>
      </c>
      <c r="H82" s="222" t="str">
        <f t="array" ref="H82:H83">{"SLOTCOST L01";(INDEX(ALLCLASSDATA,MATCH("SPL01-L01",CLASSFEATUREHEADERS,0),MATCH(($A83 &amp; "Points"),CLASSNAMEHEADERS,0)))}</f>
        <v>SLOTCOST L01</v>
      </c>
      <c r="I82" s="222" t="str">
        <f t="array" ref="I82:I83">{"SLOTCOST L02";(INDEX(ALLCLASSDATA,MATCH("SPL01-L02",CLASSFEATUREHEADERS,0),MATCH(($A83 &amp; "Points"),CLASSNAMEHEADERS,0)))}</f>
        <v>SLOTCOST L02</v>
      </c>
      <c r="J82" s="222" t="str">
        <f t="array" ref="J82:J83">{"SLOTCOST L03";(INDEX(ALLCLASSDATA,MATCH("SPL02-L03",CLASSFEATUREHEADERS,0),MATCH(($A83 &amp; "Points"),CLASSNAMEHEADERS,0)))}</f>
        <v>SLOTCOST L03</v>
      </c>
      <c r="K82" s="222" t="str">
        <f t="array" ref="K82:K83">{"SLOTCOST L04";(INDEX(ALLCLASSDATA,MATCH("SPL02-L04",CLASSFEATUREHEADERS,0),MATCH(($A83 &amp; "Points"),CLASSNAMEHEADERS,0)))}</f>
        <v>SLOTCOST L04</v>
      </c>
      <c r="L82" s="222" t="str">
        <f t="array" ref="L82:L83">{"SLOTCOST L05";(INDEX(ALLCLASSDATA,MATCH("SPL03-L05",CLASSFEATUREHEADERS,0),MATCH(($A83 &amp; "Points"),CLASSNAMEHEADERS,0)))}</f>
        <v>SLOTCOST L05</v>
      </c>
      <c r="M82" s="222" t="str">
        <f t="array" ref="M82:M83">{"SLOTCOST L06";(INDEX(ALLCLASSDATA,MATCH("SPL03-L06",CLASSFEATUREHEADERS,0),MATCH(($A83 &amp; "Points"),CLASSNAMEHEADERS,0)))}</f>
        <v>SLOTCOST L06</v>
      </c>
      <c r="N82" s="222" t="str">
        <f t="array" ref="N82:N83">{"SLOTCOST L07";(INDEX(ALLCLASSDATA,MATCH("SPL04-L07",CLASSFEATUREHEADERS,0),MATCH(($A83 &amp; "Points"),CLASSNAMEHEADERS,0)))}</f>
        <v>SLOTCOST L07</v>
      </c>
      <c r="O82" s="222" t="str">
        <f t="array" ref="O82:O83">{"SLOTCOST L08";(INDEX(ALLCLASSDATA,MATCH("SPL04-L08",CLASSFEATUREHEADERS,0),MATCH(($A83 &amp; "Points"),CLASSNAMEHEADERS,0)))}</f>
        <v>SLOTCOST L08</v>
      </c>
      <c r="P82" s="222" t="str">
        <f t="array" ref="P82:P83">{"SLOTCOST L09";(INDEX(ALLCLASSDATA,MATCH("SPL05-L09",CLASSFEATUREHEADERS,0),MATCH(($A83 &amp; "Points"),CLASSNAMEHEADERS,0)))}</f>
        <v>SLOTCOST L09</v>
      </c>
      <c r="Q82" s="222" t="str">
        <f t="array" ref="Q82:Q83">{"SLOTCOST L10";(INDEX(ALLCLASSDATA,MATCH("SPL05-L10",CLASSFEATUREHEADERS,0),MATCH(($A83 &amp; "Points"),CLASSNAMEHEADERS,0)))}</f>
        <v>SLOTCOST L10</v>
      </c>
      <c r="R82" s="222" t="str">
        <f t="array" ref="R82:R83">{"SLOTCOST L11";(INDEX(ALLCLASSDATA,MATCH("SPL06-L11",CLASSFEATUREHEADERS,0),MATCH(($A83 &amp; "Points"),CLASSNAMEHEADERS,0)))}</f>
        <v>SLOTCOST L11</v>
      </c>
      <c r="S82" s="222" t="str">
        <f t="array" ref="S82:S83">{"SLOTCOST L12";(INDEX(ALLCLASSDATA,MATCH("SPL06-L12",CLASSFEATUREHEADERS,0),MATCH(($A83 &amp; "Points"),CLASSNAMEHEADERS,0)))}</f>
        <v>SLOTCOST L12</v>
      </c>
      <c r="T82" s="222" t="str">
        <f t="array" ref="T82:T83">{"SLOTCOST L13";(INDEX(ALLCLASSDATA,MATCH("SPL07-L13",CLASSFEATUREHEADERS,0),MATCH(($A83 &amp; "Points"),CLASSNAMEHEADERS,0)))}</f>
        <v>SLOTCOST L13</v>
      </c>
      <c r="U82" s="222" t="str">
        <f t="array" ref="U82:U83">{"SLOTCOST L14";(INDEX(ALLCLASSDATA,MATCH("SPL07-L14",CLASSFEATUREHEADERS,0),MATCH(($A83 &amp; "Points"),CLASSNAMEHEADERS,0)))}</f>
        <v>SLOTCOST L14</v>
      </c>
      <c r="V82" s="222" t="str">
        <f t="array" ref="V82:V83">{"SLOTCOST L15";(INDEX(ALLCLASSDATA,MATCH("SPL08-L15",CLASSFEATUREHEADERS,0),MATCH(($A83 &amp; "Points"),CLASSNAMEHEADERS,0)))}</f>
        <v>SLOTCOST L15</v>
      </c>
      <c r="W82" s="222" t="str">
        <f t="array" ref="W82:W83">{"SLOTCOST L16";(INDEX(ALLCLASSDATA,MATCH("SPL08-L16",CLASSFEATUREHEADERS,0),MATCH(($A83 &amp; "Points"),CLASSNAMEHEADERS,0)))}</f>
        <v>SLOTCOST L16</v>
      </c>
      <c r="X82" s="222" t="str">
        <f t="array" ref="X82:X83">{"SLOTCOST L17";(INDEX(ALLCLASSDATA,MATCH("SPL09-L17",CLASSFEATUREHEADERS,0),MATCH(($A83 &amp; "Points"),CLASSNAMEHEADERS,0)))}</f>
        <v>SLOTCOST L17</v>
      </c>
      <c r="Y82" s="222" t="str">
        <f t="array" ref="Y82:Y83">{"SLOTCOST L18";(INDEX(ALLCLASSDATA,MATCH("SPL09-L18",CLASSFEATUREHEADERS,0),MATCH(($A83 &amp; "Points"),CLASSNAMEHEADERS,0)))}</f>
        <v>SLOTCOST L18</v>
      </c>
      <c r="Z82" s="222" t="str">
        <f t="array" ref="Z82:Z83">{"SLOTCOST L19";(INDEX(ALLCLASSDATA,MATCH("SPL10-L19",CLASSFEATUREHEADERS,0),MATCH(($A83 &amp; "Points"),CLASSNAMEHEADERS,0)))}</f>
        <v>SLOTCOST L19</v>
      </c>
      <c r="AA82" s="222" t="str">
        <f t="array" ref="AA82:AA83">{"SLOTCOST L20";(INDEX(ALLCLASSDATA,MATCH("SPL10-L20",CLASSFEATUREHEADERS,0),MATCH(($A83 &amp; "Points"),CLASSNAMEHEADERS,0)))}</f>
        <v>SLOTCOST L20</v>
      </c>
      <c r="AB82" s="76"/>
      <c r="AC82" s="76" t="str">
        <f t="array" ref="AC82:AC83">{"SLOT TOTAL";(sum(G83:AA83))}</f>
        <v>SLOT TOTAL</v>
      </c>
    </row>
    <row r="83">
      <c r="A83" s="48" t="s">
        <v>65</v>
      </c>
      <c r="B83" s="48"/>
      <c r="C83" s="48" t="s">
        <v>406</v>
      </c>
      <c r="D83" s="48" t="s">
        <v>603</v>
      </c>
      <c r="E83" s="48" t="s">
        <v>603</v>
      </c>
      <c r="F83" s="278" t="s">
        <v>603</v>
      </c>
      <c r="G83" s="47" t="s">
        <v>603</v>
      </c>
      <c r="H83" s="5" t="s">
        <v>603</v>
      </c>
      <c r="I83" s="5" t="s">
        <v>603</v>
      </c>
      <c r="J83" s="5" t="s">
        <v>603</v>
      </c>
      <c r="K83" s="5" t="s">
        <v>603</v>
      </c>
      <c r="L83" s="5" t="s">
        <v>603</v>
      </c>
      <c r="M83" s="48" t="s">
        <v>603</v>
      </c>
      <c r="N83" s="5" t="s">
        <v>603</v>
      </c>
      <c r="O83" s="5" t="s">
        <v>603</v>
      </c>
      <c r="P83" s="5" t="s">
        <v>603</v>
      </c>
      <c r="Q83" s="5" t="s">
        <v>603</v>
      </c>
      <c r="R83" s="5" t="s">
        <v>603</v>
      </c>
      <c r="S83" s="5" t="s">
        <v>603</v>
      </c>
      <c r="T83" s="5" t="s">
        <v>603</v>
      </c>
      <c r="U83" s="5" t="s">
        <v>603</v>
      </c>
      <c r="V83" s="5" t="s">
        <v>603</v>
      </c>
      <c r="W83" s="5" t="s">
        <v>603</v>
      </c>
      <c r="X83" s="5" t="s">
        <v>603</v>
      </c>
      <c r="Y83" s="5" t="s">
        <v>603</v>
      </c>
      <c r="Z83" s="5" t="s">
        <v>603</v>
      </c>
      <c r="AA83" s="5" t="s">
        <v>603</v>
      </c>
      <c r="AB83" s="5"/>
      <c r="AC83" s="47">
        <v>0.0</v>
      </c>
    </row>
    <row r="84" hidden="1">
      <c r="A84" s="222" t="str">
        <f t="array" ref="A84:A85">{"FormulaRow41";(INDEX(CLASSLIST,A3,1))}</f>
        <v>FormulaRow41</v>
      </c>
      <c r="B84" s="77" t="s">
        <v>236</v>
      </c>
      <c r="C84" s="222" t="str">
        <f t="array" ref="C84:C85">{"CLASSTYPE";((INDEX(ALLCLASSDATA,MATCH("ClassType",CLASSFEATUREHEADERS,0),MATCH($A85,CLASSNAMEHEADERS,0))))}</f>
        <v>CLASSTYPE</v>
      </c>
      <c r="D84" s="222" t="str">
        <f t="array" ref="D84:D85">{"SPELL/ALCHEMY";((IF(INDEX(ALLCLASSDATA,MATCH("CasterType",CLASSFEATUREHEADERS,0),MATCH(($A85),CLASSNAMEHEADERS,0))="","",(IF(INDEX(ALLCLASSDATA,MATCH("CasterType",CLASSFEATUREHEADERS,0),MATCH(($A85),CLASSNAMEHEADERS,0))="Alchemy","Alchemy","Spells")))))}</f>
        <v>SPELL/ALCHEMY</v>
      </c>
      <c r="E84" s="222" t="str">
        <f t="array" ref="E84:E85">{"SPELLLIST";(IF(D85="Spells",((INDEX(ALLCLASSDATA,MATCH("CasterType",CLASSFEATUREHEADERS,0),MATCH(($A85),CLASSNAMEHEADERS,0))) &amp; ":" &amp; (INDEX(ALLCLASSDATA,MATCH("SpellList",CLASSFEATUREHEADERS,0),MATCH(($A85),CLASSNAMEHEADERS,0)))),""))}</f>
        <v>SPELLLIST</v>
      </c>
      <c r="F84" s="223" t="str">
        <f t="array" ref="F84:F85">{"LEARNEDCOST";(IF(D85="","","LearnCost:"))}</f>
        <v>LEARNEDCOST</v>
      </c>
      <c r="G84" s="223" t="str">
        <f t="array" ref="G84:G85">{"LEARNED CANTRIPS";(INDEX(ALLCLASSDATA,MATCH("CantripsLearned-L00",CLASSFEATUREHEADERS,0),MATCH(($A85 &amp; "Points"),CLASSNAMEHEADERS,0)))}</f>
        <v>LEARNED CANTRIPS</v>
      </c>
      <c r="H84" s="223" t="str">
        <f t="array" ref="H84:H85">{"LEARNED L01";(INDEX(ALLCLASSDATA,MATCH("Learned-L01",CLASSFEATUREHEADERS,0),MATCH(($A85 &amp; "Points"),CLASSNAMEHEADERS,0)))}</f>
        <v>LEARNED L01</v>
      </c>
      <c r="I84" s="223" t="str">
        <f t="array" ref="I84:I85">{"LEARNED L02";(INDEX(ALLCLASSDATA,MATCH("Learned-L02",CLASSFEATUREHEADERS,0),MATCH(($A85 &amp; "Points"),CLASSNAMEHEADERS,0)))}</f>
        <v>LEARNED L02</v>
      </c>
      <c r="J84" s="223" t="str">
        <f t="array" ref="J84:J85">{"LEARNED L03";(INDEX(ALLCLASSDATA,MATCH("Learned-L03",CLASSFEATUREHEADERS,0),MATCH(($A85 &amp; "Points"),CLASSNAMEHEADERS,0)))}</f>
        <v>LEARNED L03</v>
      </c>
      <c r="K84" s="223" t="str">
        <f t="array" ref="K84:K85">{"LEARNED L04";(INDEX(ALLCLASSDATA,MATCH("Learned-L04",CLASSFEATUREHEADERS,0),MATCH(($A85 &amp; "Points"),CLASSNAMEHEADERS,0)))}</f>
        <v>LEARNED L04</v>
      </c>
      <c r="L84" s="223" t="str">
        <f t="array" ref="L84:L85">{"LEARNED L05";(INDEX(ALLCLASSDATA,MATCH("Learned-L05",CLASSFEATUREHEADERS,0),MATCH(($A85 &amp; "Points"),CLASSNAMEHEADERS,0)))}</f>
        <v>LEARNED L05</v>
      </c>
      <c r="M84" s="223" t="str">
        <f t="array" ref="M84:M85">{"LEARNED L06";(INDEX(ALLCLASSDATA,MATCH("Learned-L06",CLASSFEATUREHEADERS,0),MATCH(($A85 &amp; "Points"),CLASSNAMEHEADERS,0)))}</f>
        <v>LEARNED L06</v>
      </c>
      <c r="N84" s="223" t="str">
        <f t="array" ref="N84:N85">{"LEARNED L07";(INDEX(ALLCLASSDATA,MATCH("Learned-L07",CLASSFEATUREHEADERS,0),MATCH(($A85 &amp; "Points"),CLASSNAMEHEADERS,0)))}</f>
        <v>LEARNED L07</v>
      </c>
      <c r="O84" s="223" t="str">
        <f t="array" ref="O84:O85">{"LEARNED L08";(INDEX(ALLCLASSDATA,MATCH("Learned-L08",CLASSFEATUREHEADERS,0),MATCH(($A85 &amp; "Points"),CLASSNAMEHEADERS,0)))}</f>
        <v>LEARNED L08</v>
      </c>
      <c r="P84" s="223" t="str">
        <f t="array" ref="P84:P85">{"LEARNED L09";(INDEX(ALLCLASSDATA,MATCH("Learned-L09",CLASSFEATUREHEADERS,0),MATCH(($A85 &amp; "Points"),CLASSNAMEHEADERS,0)))}</f>
        <v>LEARNED L09</v>
      </c>
      <c r="Q84" s="223" t="str">
        <f t="array" ref="Q84:Q85">{"LEARNED L10";(INDEX(ALLCLASSDATA,MATCH("Learned-L10",CLASSFEATUREHEADERS,0),MATCH(($A85 &amp; "Points"),CLASSNAMEHEADERS,0)))}</f>
        <v>LEARNED L10</v>
      </c>
      <c r="R84" s="223" t="str">
        <f t="array" ref="R84:R85">{"LEARNED L11";(INDEX(ALLCLASSDATA,MATCH("Learned-L11",CLASSFEATUREHEADERS,0),MATCH(($A85 &amp; "Points"),CLASSNAMEHEADERS,0)))}</f>
        <v>LEARNED L11</v>
      </c>
      <c r="S84" s="223" t="str">
        <f t="array" ref="S84:S85">{"LEARNED L12";(INDEX(ALLCLASSDATA,MATCH("Learned-L12",CLASSFEATUREHEADERS,0),MATCH(($A85 &amp; "Points"),CLASSNAMEHEADERS,0)))}</f>
        <v>LEARNED L12</v>
      </c>
      <c r="T84" s="223" t="str">
        <f t="array" ref="T84:T85">{"LEARNED L13";(INDEX(ALLCLASSDATA,MATCH("Learned-L13",CLASSFEATUREHEADERS,0),MATCH(($A85 &amp; "Points"),CLASSNAMEHEADERS,0)))}</f>
        <v>LEARNED L13</v>
      </c>
      <c r="U84" s="223" t="str">
        <f t="array" ref="U84:U85">{"LEARNED L14";(INDEX(ALLCLASSDATA,MATCH("Learned-L14",CLASSFEATUREHEADERS,0),MATCH(($A85 &amp; "Points"),CLASSNAMEHEADERS,0)))}</f>
        <v>LEARNED L14</v>
      </c>
      <c r="V84" s="223" t="str">
        <f t="array" ref="V84:V85">{"LEARNED L15";(INDEX(ALLCLASSDATA,MATCH("Learned-L15",CLASSFEATUREHEADERS,0),MATCH(($A85 &amp; "Points"),CLASSNAMEHEADERS,0)))}</f>
        <v>LEARNED L15</v>
      </c>
      <c r="W84" s="223" t="str">
        <f t="array" ref="W84:W85">{"LEARNED L16";(INDEX(ALLCLASSDATA,MATCH("Learned-L16",CLASSFEATUREHEADERS,0),MATCH(($A85 &amp; "Points"),CLASSNAMEHEADERS,0)))}</f>
        <v>LEARNED L16</v>
      </c>
      <c r="X84" s="223" t="str">
        <f t="array" ref="X84:X85">{"LEARNED L17";(INDEX(ALLCLASSDATA,MATCH("Learned-L17",CLASSFEATUREHEADERS,0),MATCH(($A85 &amp; "Points"),CLASSNAMEHEADERS,0)))}</f>
        <v>LEARNED L17</v>
      </c>
      <c r="Y84" s="223" t="str">
        <f t="array" ref="Y84:Y85">{"LEARNED L18";(INDEX(ALLCLASSDATA,MATCH("Learned-L18",CLASSFEATUREHEADERS,0),MATCH(($A85 &amp; "Points"),CLASSNAMEHEADERS,0)))}</f>
        <v>LEARNED L18</v>
      </c>
      <c r="Z84" s="223" t="str">
        <f t="array" ref="Z84:Z85">{"LEARNED L19";(INDEX(ALLCLASSDATA,MATCH("Learned-L19",CLASSFEATUREHEADERS,0),MATCH(($A85 &amp; "Points"),CLASSNAMEHEADERS,0)))}</f>
        <v>LEARNED L19</v>
      </c>
      <c r="AA84" s="223" t="str">
        <f t="array" ref="AA84:AA85">{"LEARNED L20";(INDEX(ALLCLASSDATA,MATCH("Learned-L20",CLASSFEATUREHEADERS,0),MATCH(($A85 &amp; "Points"),CLASSNAMEHEADERS,0)))}</f>
        <v>LEARNED L20</v>
      </c>
      <c r="AB84" s="76"/>
      <c r="AC84" s="76" t="str">
        <f t="array" ref="AC84:AC85">{"LEARNED TOTAL";(sum(G85:AA85))}</f>
        <v>LEARNED TOTAL</v>
      </c>
    </row>
    <row r="85">
      <c r="A85" s="48" t="s">
        <v>65</v>
      </c>
      <c r="B85" s="48"/>
      <c r="C85" s="48" t="s">
        <v>406</v>
      </c>
      <c r="D85" s="48" t="s">
        <v>603</v>
      </c>
      <c r="E85" s="48" t="s">
        <v>603</v>
      </c>
      <c r="F85" s="278" t="s">
        <v>603</v>
      </c>
      <c r="G85" s="47" t="s">
        <v>603</v>
      </c>
      <c r="H85" s="5" t="s">
        <v>603</v>
      </c>
      <c r="I85" s="5" t="s">
        <v>603</v>
      </c>
      <c r="J85" s="5" t="s">
        <v>603</v>
      </c>
      <c r="K85" s="5" t="s">
        <v>603</v>
      </c>
      <c r="L85" s="5" t="s">
        <v>603</v>
      </c>
      <c r="M85" s="5" t="s">
        <v>603</v>
      </c>
      <c r="N85" s="48" t="s">
        <v>603</v>
      </c>
      <c r="O85" s="5" t="s">
        <v>603</v>
      </c>
      <c r="P85" s="5" t="s">
        <v>603</v>
      </c>
      <c r="Q85" s="5" t="s">
        <v>603</v>
      </c>
      <c r="R85" s="5" t="s">
        <v>603</v>
      </c>
      <c r="S85" s="5" t="s">
        <v>603</v>
      </c>
      <c r="T85" s="5" t="s">
        <v>603</v>
      </c>
      <c r="U85" s="5" t="s">
        <v>603</v>
      </c>
      <c r="V85" s="5" t="s">
        <v>603</v>
      </c>
      <c r="W85" s="5" t="s">
        <v>603</v>
      </c>
      <c r="X85" s="5" t="s">
        <v>603</v>
      </c>
      <c r="Y85" s="5" t="s">
        <v>603</v>
      </c>
      <c r="Z85" s="5" t="s">
        <v>603</v>
      </c>
      <c r="AA85" s="5" t="s">
        <v>603</v>
      </c>
      <c r="AB85" s="5"/>
      <c r="AC85" s="47">
        <v>0.0</v>
      </c>
    </row>
    <row r="86" hidden="1">
      <c r="A86" s="222" t="str">
        <f t="array" ref="A86:A87">{"FormulaRow42";(INDEX(CLASSLIST,A3,1))}</f>
        <v>FormulaRow42</v>
      </c>
      <c r="B86" s="77" t="s">
        <v>236</v>
      </c>
      <c r="C86" s="222" t="str">
        <f t="array" ref="C86:C87">{"CLASSTYPE";((INDEX(ALLCLASSDATA,MATCH("ClassType",CLASSFEATUREHEADERS,0),MATCH($A87,CLASSNAMEHEADERS,0))))}</f>
        <v>CLASSTYPE</v>
      </c>
      <c r="D86" s="222" t="str">
        <f t="array" ref="D86:D87">{"SPELL/ALCHEMY";((IF(INDEX(ALLCLASSDATA,MATCH("CasterType",CLASSFEATUREHEADERS,0),MATCH(($A87),CLASSNAMEHEADERS,0))="","",(IF(INDEX(ALLCLASSDATA,MATCH("CasterType",CLASSFEATUREHEADERS,0),MATCH(($A87),CLASSNAMEHEADERS,0))="Alchemy","","Spells")))))}</f>
        <v>SPELL/ALCHEMY</v>
      </c>
      <c r="E86" s="222" t="str">
        <f t="array" ref="E86:E87">{"SPELLLIST";(IF(D87="Spells",((INDEX(ALLCLASSDATA,MATCH("CasterType",CLASSFEATUREHEADERS,0),MATCH(($A87),CLASSNAMEHEADERS,0))) &amp; ":" &amp; (INDEX(ALLCLASSDATA,MATCH("SpellList",CLASSFEATUREHEADERS,0),MATCH(($A87),CLASSNAMEHEADERS,0)))),""))}</f>
        <v>SPELLLIST</v>
      </c>
      <c r="F86" s="223" t="str">
        <f t="array" ref="F86:F87">{"SLOT/LVL";(IF(D81="Spells","Slot/LVL:",""))}</f>
        <v>SLOT/LVL</v>
      </c>
      <c r="G86" s="223" t="str">
        <f t="array" ref="G86:G87">{"CANTRIPSLOTS";(INDEX(ALLCLASSDATA,MATCH("CantripSlots-L00",CLASSFEATUREHEADERS,0),MATCH($A87,CLASSNAMEHEADERS,0)))}</f>
        <v>CANTRIPSLOTS</v>
      </c>
      <c r="H86" s="223" t="str">
        <f t="array" ref="H86:H87">{"SPL01-L01";(INDEX(ALLCLASSDATA,MATCH("SPL01-L01",CLASSFEATUREHEADERS,0),MATCH($A87,CLASSNAMEHEADERS,0)))}</f>
        <v>SPL01-L01</v>
      </c>
      <c r="I86" s="223" t="str">
        <f t="array" ref="I86:I87">{"SPL01-L02";(INDEX(ALLCLASSDATA,MATCH("SPL01-L02",CLASSFEATUREHEADERS,0),MATCH($A87,CLASSNAMEHEADERS,0)))}</f>
        <v>SPL01-L02</v>
      </c>
      <c r="J86" s="223" t="str">
        <f t="array" ref="J86:J87">{"SPL02-L03";(INDEX(ALLCLASSDATA,MATCH("SPL02-L03",CLASSFEATUREHEADERS,0),MATCH($A87,CLASSNAMEHEADERS,0)))}</f>
        <v>SPL02-L03</v>
      </c>
      <c r="K86" s="223" t="str">
        <f t="array" ref="K86:K87">{"SPL02-L04";(INDEX(ALLCLASSDATA,MATCH("SPL02-L04",CLASSFEATUREHEADERS,0),MATCH($A87,CLASSNAMEHEADERS,0)))}</f>
        <v>SPL02-L04</v>
      </c>
      <c r="L86" s="223" t="str">
        <f t="array" ref="L86:L87">{"SPL03-L05";(INDEX(ALLCLASSDATA,MATCH("SPL03-L05",CLASSFEATUREHEADERS,0),MATCH($A87,CLASSNAMEHEADERS,0)))}</f>
        <v>SPL03-L05</v>
      </c>
      <c r="M86" s="223" t="str">
        <f t="array" ref="M86:M87">{"SPL03-L06";(INDEX(ALLCLASSDATA,MATCH("SPL03-L06",CLASSFEATUREHEADERS,0),MATCH($A87,CLASSNAMEHEADERS,0)))}</f>
        <v>SPL03-L06</v>
      </c>
      <c r="N86" s="223" t="str">
        <f t="array" ref="N86:N87">{"SPL04-L07";(INDEX(ALLCLASSDATA,MATCH("SPL04-L07",CLASSFEATUREHEADERS,0),MATCH($A87,CLASSNAMEHEADERS,0)))}</f>
        <v>SPL04-L07</v>
      </c>
      <c r="O86" s="223" t="str">
        <f t="array" ref="O86:O87">{"SPL04-L08";(INDEX(ALLCLASSDATA,MATCH("SPL04-L08",CLASSFEATUREHEADERS,0),MATCH($A87,CLASSNAMEHEADERS,0)))}</f>
        <v>SPL04-L08</v>
      </c>
      <c r="P86" s="223" t="str">
        <f t="array" ref="P86:P87">{"SPL05-L09";(INDEX(ALLCLASSDATA,MATCH("SPL05-L09",CLASSFEATUREHEADERS,0),MATCH($A87,CLASSNAMEHEADERS,0)))}</f>
        <v>SPL05-L09</v>
      </c>
      <c r="Q86" s="223" t="str">
        <f t="array" ref="Q86:Q87">{"SPL05-L10";(INDEX(ALLCLASSDATA,MATCH("SPL05-L10",CLASSFEATUREHEADERS,0),MATCH($A87,CLASSNAMEHEADERS,0)))}</f>
        <v>SPL05-L10</v>
      </c>
      <c r="R86" s="223" t="str">
        <f t="array" ref="R86:R87">{"SPL06-L11";(INDEX(ALLCLASSDATA,MATCH("SPL06-L11",CLASSFEATUREHEADERS,0),MATCH($A87,CLASSNAMEHEADERS,0)))}</f>
        <v>SPL06-L11</v>
      </c>
      <c r="S86" s="223" t="str">
        <f t="array" ref="S86:S87">{"SPL06-L12";(INDEX(ALLCLASSDATA,MATCH("SPL06-L12",CLASSFEATUREHEADERS,0),MATCH($A87,CLASSNAMEHEADERS,0)))}</f>
        <v>SPL06-L12</v>
      </c>
      <c r="T86" s="223" t="str">
        <f t="array" ref="T86:T87">{"SPL07-L13";(INDEX(ALLCLASSDATA,MATCH("SPL07-L13",CLASSFEATUREHEADERS,0),MATCH($A87,CLASSNAMEHEADERS,0)))}</f>
        <v>SPL07-L13</v>
      </c>
      <c r="U86" s="223" t="str">
        <f t="array" ref="U86:U87">{"SPL07-L14";(INDEX(ALLCLASSDATA,MATCH("SPL07-L14",CLASSFEATUREHEADERS,0),MATCH($A87,CLASSNAMEHEADERS,0)))}</f>
        <v>SPL07-L14</v>
      </c>
      <c r="V86" s="223" t="str">
        <f t="array" ref="V86:V87">{"SPL08-L15";(INDEX(ALLCLASSDATA,MATCH("SPL08-L15",CLASSFEATUREHEADERS,0),MATCH($A87,CLASSNAMEHEADERS,0)))}</f>
        <v>SPL08-L15</v>
      </c>
      <c r="W86" s="223" t="str">
        <f t="array" ref="W86:W87">{"SPL08-L16";(INDEX(ALLCLASSDATA,MATCH("SPL08-L16",CLASSFEATUREHEADERS,0),MATCH($A87,CLASSNAMEHEADERS,0)))}</f>
        <v>SPL08-L16</v>
      </c>
      <c r="X86" s="223" t="str">
        <f t="array" ref="X86:X87">{"SPL09-L17";(INDEX(ALLCLASSDATA,MATCH("SPL09-L17",CLASSFEATUREHEADERS,0),MATCH($A87,CLASSNAMEHEADERS,0)))}</f>
        <v>SPL09-L17</v>
      </c>
      <c r="Y86" s="223" t="str">
        <f t="array" ref="Y86:Y87">{"SPL09-L18";(INDEX(ALLCLASSDATA,MATCH("SPL09-L18",CLASSFEATUREHEADERS,0),MATCH($A87,CLASSNAMEHEADERS,0)))}</f>
        <v>SPL09-L18</v>
      </c>
      <c r="Z86" s="223" t="str">
        <f t="array" ref="Z86:Z87">{"SPL10-L19";(INDEX(ALLCLASSDATA,MATCH("SPL10-L19",CLASSFEATUREHEADERS,0),MATCH($A87,CLASSNAMEHEADERS,0)))}</f>
        <v>SPL10-L19</v>
      </c>
      <c r="AA86" s="223" t="str">
        <f t="array" ref="AA86:AA87">{"SPL10-L20";(INDEX(ALLCLASSDATA,MATCH("SPL10-L20",CLASSFEATUREHEADERS,0),MATCH($A87,CLASSNAMEHEADERS,0)))}</f>
        <v>SPL10-L20</v>
      </c>
      <c r="AB86" s="76"/>
      <c r="AC86" s="76"/>
    </row>
    <row r="87">
      <c r="A87" s="48" t="s">
        <v>65</v>
      </c>
      <c r="B87" s="48"/>
      <c r="C87" s="48" t="s">
        <v>406</v>
      </c>
      <c r="D87" s="48" t="s">
        <v>603</v>
      </c>
      <c r="E87" s="48" t="s">
        <v>603</v>
      </c>
      <c r="F87" s="278" t="s">
        <v>603</v>
      </c>
      <c r="G87" s="280"/>
      <c r="H87" s="50"/>
      <c r="I87" s="50"/>
      <c r="J87" s="50"/>
      <c r="K87" s="50"/>
      <c r="L87" s="50"/>
      <c r="M87" s="50"/>
      <c r="N87" s="50"/>
      <c r="O87" s="50"/>
      <c r="P87" s="50"/>
      <c r="Q87" s="50"/>
      <c r="R87" s="50"/>
      <c r="S87" s="50"/>
      <c r="T87" s="50"/>
      <c r="U87" s="50"/>
      <c r="V87" s="50"/>
      <c r="W87" s="50"/>
      <c r="X87" s="50"/>
      <c r="Y87" s="50"/>
      <c r="Z87" s="50"/>
      <c r="AA87" s="50"/>
      <c r="AB87" s="278"/>
      <c r="AC87" s="47"/>
    </row>
    <row r="88" hidden="1">
      <c r="A88" s="222" t="str">
        <f t="array" ref="A88:A89">{"FormulaRow43";(INDEX(CLASSLIST,A3,1))}</f>
        <v>FormulaRow43</v>
      </c>
      <c r="B88" s="77" t="s">
        <v>236</v>
      </c>
      <c r="C88" s="222" t="str">
        <f t="array" ref="C88:C89">{"CLASSTYPE";((INDEX(ALLCLASSDATA,MATCH("ClassType",CLASSFEATUREHEADERS,0),MATCH($A89,CLASSNAMEHEADERS,0))))}</f>
        <v>CLASSTYPE</v>
      </c>
      <c r="D88" s="222" t="str">
        <f t="array" ref="D88:D89">{"SPELL/ALCHEMY";((IF(INDEX(ALLCLASSDATA,MATCH("CasterType",CLASSFEATUREHEADERS,0),MATCH(($A89),CLASSNAMEHEADERS,0))="","",(IF(INDEX(ALLCLASSDATA,MATCH("CasterType",CLASSFEATUREHEADERS,0),MATCH(($A89),CLASSNAMEHEADERS,0))="Alchemy","Alchemy","Spells")))))}</f>
        <v>SPELL/ALCHEMY</v>
      </c>
      <c r="E88" s="222" t="str">
        <f t="array" ref="E88:E89">{"SPELLLIST";(IF(D89="Spells",((INDEX(ALLCLASSDATA,MATCH("CasterType",CLASSFEATUREHEADERS,0),MATCH(($A89),CLASSNAMEHEADERS,0))) &amp; ":" &amp; (INDEX(ALLCLASSDATA,MATCH("SpellList",CLASSFEATUREHEADERS,0),MATCH(($A89),CLASSNAMEHEADERS,0)))),""))}</f>
        <v>SPELLLIST</v>
      </c>
      <c r="F88" s="223" t="str">
        <f t="array" ref="F88:F89">{"LEARNED/LVL";(IF(D89="","","Learn/LVL:"))}</f>
        <v>LEARNED/LVL</v>
      </c>
      <c r="G88" s="223" t="str">
        <f t="array" ref="G88:G89">{"LEARNEDCANTRIPS";(INDEX(ALLCLASSDATA,MATCH("CantripsLearned-L00",CLASSFEATUREHEADERS,0),MATCH($A89,CLASSNAMEHEADERS,0)))}</f>
        <v>LEARNEDCANTRIPS</v>
      </c>
      <c r="H88" s="223" t="str">
        <f t="array" ref="H88:H89">{"LEARNED L01";(INDEX(ALLCLASSDATA,MATCH("Learned-L01",CLASSFEATUREHEADERS,0),MATCH($A89,CLASSNAMEHEADERS,0)))}</f>
        <v>LEARNED L01</v>
      </c>
      <c r="I88" s="223" t="str">
        <f t="array" ref="I88:I89">{"LEARNED L02";(INDEX(ALLCLASSDATA,MATCH("Learned-L02",CLASSFEATUREHEADERS,0),MATCH($A89,CLASSNAMEHEADERS,0)))}</f>
        <v>LEARNED L02</v>
      </c>
      <c r="J88" s="223" t="str">
        <f t="array" ref="J88:J89">{"LEARNED L03";(INDEX(ALLCLASSDATA,MATCH("Learned-L03",CLASSFEATUREHEADERS,0),MATCH($A89,CLASSNAMEHEADERS,0)))}</f>
        <v>LEARNED L03</v>
      </c>
      <c r="K88" s="223" t="str">
        <f t="array" ref="K88:K89">{"LEARNED L04";(INDEX(ALLCLASSDATA,MATCH("Learned-L04",CLASSFEATUREHEADERS,0),MATCH($A89,CLASSNAMEHEADERS,0)))}</f>
        <v>LEARNED L04</v>
      </c>
      <c r="L88" s="223" t="str">
        <f t="array" ref="L88:L89">{"LEARNED L05";(INDEX(ALLCLASSDATA,MATCH("Learned-L05",CLASSFEATUREHEADERS,0),MATCH($A89,CLASSNAMEHEADERS,0)))}</f>
        <v>LEARNED L05</v>
      </c>
      <c r="M88" s="223" t="str">
        <f t="array" ref="M88:M89">{"LEARNED L06";(INDEX(ALLCLASSDATA,MATCH("Learned-L06",CLASSFEATUREHEADERS,0),MATCH($A89,CLASSNAMEHEADERS,0)))}</f>
        <v>LEARNED L06</v>
      </c>
      <c r="N88" s="223" t="str">
        <f t="array" ref="N88:N89">{"LEARNED L07";(INDEX(ALLCLASSDATA,MATCH("Learned-L07",CLASSFEATUREHEADERS,0),MATCH($A89,CLASSNAMEHEADERS,0)))}</f>
        <v>LEARNED L07</v>
      </c>
      <c r="O88" s="223" t="str">
        <f t="array" ref="O88:O89">{"LEARNED L08";(INDEX(ALLCLASSDATA,MATCH("Learned-L08",CLASSFEATUREHEADERS,0),MATCH($A89,CLASSNAMEHEADERS,0)))}</f>
        <v>LEARNED L08</v>
      </c>
      <c r="P88" s="223" t="str">
        <f t="array" ref="P88:P89">{"LEARNED L09";(INDEX(ALLCLASSDATA,MATCH("Learned-L09",CLASSFEATUREHEADERS,0),MATCH($A89,CLASSNAMEHEADERS,0)))}</f>
        <v>LEARNED L09</v>
      </c>
      <c r="Q88" s="223" t="str">
        <f t="array" ref="Q88:Q89">{"LEARNED L10";(INDEX(ALLCLASSDATA,MATCH("Learned-L10",CLASSFEATUREHEADERS,0),MATCH($A89,CLASSNAMEHEADERS,0)))}</f>
        <v>LEARNED L10</v>
      </c>
      <c r="R88" s="223" t="str">
        <f t="array" ref="R88:R89">{"LEARNED L11";(INDEX(ALLCLASSDATA,MATCH("Learned-L11",CLASSFEATUREHEADERS,0),MATCH($A89,CLASSNAMEHEADERS,0)))}</f>
        <v>LEARNED L11</v>
      </c>
      <c r="S88" s="223" t="str">
        <f t="array" ref="S88:S89">{"LEARNED L12";(INDEX(ALLCLASSDATA,MATCH("Learned-L12",CLASSFEATUREHEADERS,0),MATCH($A89,CLASSNAMEHEADERS,0)))}</f>
        <v>LEARNED L12</v>
      </c>
      <c r="T88" s="223" t="str">
        <f t="array" ref="T88:T89">{"LEARNED L13";(INDEX(ALLCLASSDATA,MATCH("Learned-L13",CLASSFEATUREHEADERS,0),MATCH($A89,CLASSNAMEHEADERS,0)))}</f>
        <v>LEARNED L13</v>
      </c>
      <c r="U88" s="223" t="str">
        <f t="array" ref="U88:U89">{"LEARNED L14";(INDEX(ALLCLASSDATA,MATCH("Learned-L14",CLASSFEATUREHEADERS,0),MATCH($A89,CLASSNAMEHEADERS,0)))}</f>
        <v>LEARNED L14</v>
      </c>
      <c r="V88" s="223" t="str">
        <f t="array" ref="V88:V89">{"LEARNED L15";(INDEX(ALLCLASSDATA,MATCH("Learned-L15",CLASSFEATUREHEADERS,0),MATCH($A89,CLASSNAMEHEADERS,0)))}</f>
        <v>LEARNED L15</v>
      </c>
      <c r="W88" s="223" t="str">
        <f t="array" ref="W88:W89">{"LEARNED L16";(INDEX(ALLCLASSDATA,MATCH("Learned-L16",CLASSFEATUREHEADERS,0),MATCH($A89,CLASSNAMEHEADERS,0)))}</f>
        <v>LEARNED L16</v>
      </c>
      <c r="X88" s="223" t="str">
        <f t="array" ref="X88:X89">{"LEARNED L17";(INDEX(ALLCLASSDATA,MATCH("Learned-L17",CLASSFEATUREHEADERS,0),MATCH($A89,CLASSNAMEHEADERS,0)))}</f>
        <v>LEARNED L17</v>
      </c>
      <c r="Y88" s="223" t="str">
        <f t="array" ref="Y88:Y89">{"LEARNED L18";(INDEX(ALLCLASSDATA,MATCH("Learned-L18",CLASSFEATUREHEADERS,0),MATCH($A89,CLASSNAMEHEADERS,0)))}</f>
        <v>LEARNED L18</v>
      </c>
      <c r="Z88" s="223" t="str">
        <f t="array" ref="Z88:Z89">{"LEARNED L19";(INDEX(ALLCLASSDATA,MATCH("Learned-L19",CLASSFEATUREHEADERS,0),MATCH($A89,CLASSNAMEHEADERS,0)))}</f>
        <v>LEARNED L19</v>
      </c>
      <c r="AA88" s="223" t="str">
        <f t="array" ref="AA88:AA89">{"LEARNED L20";(INDEX(ALLCLASSDATA,MATCH("Learned-L20",CLASSFEATUREHEADERS,0),MATCH($A89,CLASSNAMEHEADERS,0)))}</f>
        <v>LEARNED L20</v>
      </c>
      <c r="AB88" s="76"/>
      <c r="AC88" s="76"/>
    </row>
    <row r="89">
      <c r="A89" s="48" t="s">
        <v>65</v>
      </c>
      <c r="B89" s="48"/>
      <c r="C89" s="48" t="s">
        <v>406</v>
      </c>
      <c r="D89" s="48" t="s">
        <v>603</v>
      </c>
      <c r="E89" s="48" t="s">
        <v>603</v>
      </c>
      <c r="F89" s="278" t="s">
        <v>603</v>
      </c>
      <c r="G89" s="280"/>
      <c r="H89" s="278"/>
      <c r="I89" s="278"/>
      <c r="J89" s="278"/>
      <c r="K89" s="278"/>
      <c r="L89" s="50"/>
      <c r="M89" s="50"/>
      <c r="N89" s="278"/>
      <c r="O89" s="50"/>
      <c r="P89" s="278"/>
      <c r="Q89" s="278"/>
      <c r="R89" s="278"/>
      <c r="S89" s="278"/>
      <c r="T89" s="278"/>
      <c r="U89" s="278"/>
      <c r="V89" s="278"/>
      <c r="W89" s="278"/>
      <c r="X89" s="278"/>
      <c r="Y89" s="278"/>
      <c r="Z89" s="278"/>
      <c r="AA89" s="278"/>
      <c r="AB89" s="278"/>
      <c r="AC89" s="47"/>
    </row>
    <row r="90" hidden="1">
      <c r="A90" s="222" t="str">
        <f t="array" ref="A90:A91">{"FormulaRow44";(INDEX(CLASSLIST,A3,1))}</f>
        <v>FormulaRow44</v>
      </c>
      <c r="B90" s="77" t="s">
        <v>236</v>
      </c>
      <c r="C90" s="222" t="str">
        <f t="array" ref="C90:C91">{"CLASSTYPE";((INDEX(ALLCLASSDATA,MATCH("ClassType",CLASSFEATUREHEADERS,0),MATCH($A91,CLASSNAMEHEADERS,0))))}</f>
        <v>CLASSTYPE</v>
      </c>
      <c r="D90" s="222" t="str">
        <f t="array" ref="D90:D91">{"SPELL/ALCHEMY";((IF(INDEX(ALLCLASSDATA,MATCH("CasterType",CLASSFEATUREHEADERS,0),MATCH(($A91),CLASSNAMEHEADERS,0))="","",(IF(INDEX(ALLCLASSDATA,MATCH("CasterType",CLASSFEATUREHEADERS,0),MATCH(($A91),CLASSNAMEHEADERS,0))="Alchemy","","Spells")))))}</f>
        <v>SPELL/ALCHEMY</v>
      </c>
      <c r="E90" s="222" t="str">
        <f t="array" ref="E90:E91">{"SPELLLIST";(IF(D91="Spells",((INDEX(ALLCLASSDATA,MATCH("CasterType",CLASSFEATUREHEADERS,0),MATCH(($A91),CLASSNAMEHEADERS,0))) &amp; ":" &amp; (INDEX(ALLCLASSDATA,MATCH("SpellList",CLASSFEATUREHEADERS,0),MATCH(($A91),CLASSNAMEHEADERS,0)))),""))}</f>
        <v>SPELLLIST</v>
      </c>
      <c r="F90" s="223" t="str">
        <f t="array" ref="F90:F91">{"TOTALSLOTS";(IF(D91="","","TotalSlots:"))}</f>
        <v>TOTALSLOTS</v>
      </c>
      <c r="G90" s="223" t="str">
        <f t="array" ref="G90:G91">{"TOTALCANTRIPSLOTS";(G87)}</f>
        <v>TOTALCANTRIPSLOTS</v>
      </c>
      <c r="H90" s="223" t="str">
        <f t="array" ref="H90:H91">{"TOTALSLOTS L01";(H87)}</f>
        <v>TOTALSLOTS L01</v>
      </c>
      <c r="I90" s="223" t="str">
        <f t="array" ref="I90:I91">{"TOTALSLOTS L02";(H91+I87)}</f>
        <v>TOTALSLOTS L02</v>
      </c>
      <c r="J90" s="223" t="str">
        <f t="array" ref="J90:J91">{"TOTALSLOTS L03";(I91+J87)}</f>
        <v>TOTALSLOTS L03</v>
      </c>
      <c r="K90" s="223" t="str">
        <f t="array" ref="K90:K91">{"TOTALSLOTS L04";(J91+K87)}</f>
        <v>TOTALSLOTS L04</v>
      </c>
      <c r="L90" s="223" t="str">
        <f t="array" ref="L90:L91">{"TOTALSLOTS L05";(K91+L87)}</f>
        <v>TOTALSLOTS L05</v>
      </c>
      <c r="M90" s="223" t="str">
        <f t="array" ref="M90:M91">{"TOTALSLOTS L06";(L91+M87)}</f>
        <v>TOTALSLOTS L06</v>
      </c>
      <c r="N90" s="223" t="str">
        <f t="array" ref="N90:N91">{"TOTALSLOTS L07";(M91+N87)}</f>
        <v>TOTALSLOTS L07</v>
      </c>
      <c r="O90" s="223" t="str">
        <f t="array" ref="O90:O91">{"TOTALSLOTS L08";(N91+O87)}</f>
        <v>TOTALSLOTS L08</v>
      </c>
      <c r="P90" s="223" t="str">
        <f t="array" ref="P90:P91">{"TOTALSLOTS L09";(O91+P87)}</f>
        <v>TOTALSLOTS L09</v>
      </c>
      <c r="Q90" s="223" t="str">
        <f t="array" ref="Q90:Q91">{"TOTALSLOTS L10";(P91+Q87)}</f>
        <v>TOTALSLOTS L10</v>
      </c>
      <c r="R90" s="223" t="str">
        <f t="array" ref="R90:R91">{"TOTALSLOTS L11";(Q91+R87)}</f>
        <v>TOTALSLOTS L11</v>
      </c>
      <c r="S90" s="223" t="str">
        <f t="array" ref="S90:S91">{"TOTALSLOTS L12";(R91+S87)}</f>
        <v>TOTALSLOTS L12</v>
      </c>
      <c r="T90" s="223" t="str">
        <f t="array" ref="T90:T91">{"TOTALSLOTS L13";(S91+T87)}</f>
        <v>TOTALSLOTS L13</v>
      </c>
      <c r="U90" s="223" t="str">
        <f t="array" ref="U90:U91">{"TOTALSLOTS L14";(T91+U87)}</f>
        <v>TOTALSLOTS L14</v>
      </c>
      <c r="V90" s="223" t="str">
        <f t="array" ref="V90:V91">{"TOTALSLOTS L15";(U91+V87)}</f>
        <v>TOTALSLOTS L15</v>
      </c>
      <c r="W90" s="223" t="str">
        <f t="array" ref="W90:W91">{"TOTALSLOTS L16";(V91+W87)}</f>
        <v>TOTALSLOTS L16</v>
      </c>
      <c r="X90" s="223" t="str">
        <f t="array" ref="X90:X91">{"TOTALSLOTS L17";(W91+X87)}</f>
        <v>TOTALSLOTS L17</v>
      </c>
      <c r="Y90" s="223" t="str">
        <f t="array" ref="Y90:Y91">{"TOTALSLOTS L18";(X91+Y87)}</f>
        <v>TOTALSLOTS L18</v>
      </c>
      <c r="Z90" s="223" t="str">
        <f t="array" ref="Z90:Z91">{"TOTALSLOTS L19";(Y91+Z87)}</f>
        <v>TOTALSLOTS L19</v>
      </c>
      <c r="AA90" s="223" t="str">
        <f t="array" ref="AA90:AA91">{"TOTALSLOTS L20";(Z91+AA87)}</f>
        <v>TOTALSLOTS L20</v>
      </c>
      <c r="AB90" s="76"/>
      <c r="AC90" s="76"/>
    </row>
    <row r="91">
      <c r="A91" s="48" t="s">
        <v>65</v>
      </c>
      <c r="B91" s="48"/>
      <c r="C91" s="48" t="s">
        <v>406</v>
      </c>
      <c r="D91" s="48" t="s">
        <v>603</v>
      </c>
      <c r="E91" s="48" t="s">
        <v>603</v>
      </c>
      <c r="F91" s="278" t="s">
        <v>603</v>
      </c>
      <c r="G91" s="280"/>
      <c r="H91" s="278"/>
      <c r="I91" s="278">
        <v>0.0</v>
      </c>
      <c r="J91" s="278">
        <v>0.0</v>
      </c>
      <c r="K91" s="278">
        <v>0.0</v>
      </c>
      <c r="L91" s="278">
        <v>0.0</v>
      </c>
      <c r="M91" s="278">
        <v>0.0</v>
      </c>
      <c r="N91" s="278">
        <v>0.0</v>
      </c>
      <c r="O91" s="278">
        <v>0.0</v>
      </c>
      <c r="P91" s="278">
        <v>0.0</v>
      </c>
      <c r="Q91" s="278">
        <v>0.0</v>
      </c>
      <c r="R91" s="278">
        <v>0.0</v>
      </c>
      <c r="S91" s="278">
        <v>0.0</v>
      </c>
      <c r="T91" s="278">
        <v>0.0</v>
      </c>
      <c r="U91" s="278">
        <v>0.0</v>
      </c>
      <c r="V91" s="278">
        <v>0.0</v>
      </c>
      <c r="W91" s="278">
        <v>0.0</v>
      </c>
      <c r="X91" s="278">
        <v>0.0</v>
      </c>
      <c r="Y91" s="278">
        <v>0.0</v>
      </c>
      <c r="Z91" s="278">
        <v>0.0</v>
      </c>
      <c r="AA91" s="278">
        <v>0.0</v>
      </c>
      <c r="AB91" s="5"/>
      <c r="AC91" s="47"/>
    </row>
    <row r="92" hidden="1">
      <c r="A92" s="222" t="str">
        <f t="array" ref="A92:A93">{"FormulaRow45";(INDEX(CLASSLIST,A3,1))}</f>
        <v>FormulaRow45</v>
      </c>
      <c r="B92" s="77" t="s">
        <v>236</v>
      </c>
      <c r="C92" s="222" t="str">
        <f t="array" ref="C92:C93">{"CLASSTYPE";((INDEX(ALLCLASSDATA,MATCH("ClassType",CLASSFEATUREHEADERS,0),MATCH($A93,CLASSNAMEHEADERS,0))))}</f>
        <v>CLASSTYPE</v>
      </c>
      <c r="D92" s="222" t="str">
        <f t="array" ref="D92:D93">{"SPELL/ALCHEMY";((IF(INDEX(ALLCLASSDATA,MATCH("CasterType",CLASSFEATUREHEADERS,0),MATCH(($A93),CLASSNAMEHEADERS,0))="","",(IF(INDEX(ALLCLASSDATA,MATCH("CasterType",CLASSFEATUREHEADERS,0),MATCH(($A93),CLASSNAMEHEADERS,0))="Alchemy","Alchemy","Spells")))))}</f>
        <v>SPELL/ALCHEMY</v>
      </c>
      <c r="E92" s="222" t="str">
        <f t="array" ref="E92:E93">{"SPELLLIST";(IF(D93="Spells",((INDEX(ALLCLASSDATA,MATCH("CasterType",CLASSFEATUREHEADERS,0),MATCH(($A93),CLASSNAMEHEADERS,0))) &amp; ":" &amp; (INDEX(ALLCLASSDATA,MATCH("SpellList",CLASSFEATUREHEADERS,0),MATCH(($A93),CLASSNAMEHEADERS,0)))),""))}</f>
        <v>SPELLLIST</v>
      </c>
      <c r="F92" s="223" t="str">
        <f t="array" ref="F92:F93">{"TOTALLEARNED";(IF(D93="","","TotalLearned:"))}</f>
        <v>TOTALLEARNED</v>
      </c>
      <c r="G92" s="223" t="str">
        <f t="array" ref="G92:G93">{"TOTALCANTRIPSLEARNED";(G89)}</f>
        <v>TOTALCANTRIPSLEARNED</v>
      </c>
      <c r="H92" s="223" t="str">
        <f t="array" ref="H92:H93">{"TOTALLEARNED L01";(H89)}</f>
        <v>TOTALLEARNED L01</v>
      </c>
      <c r="I92" s="223" t="str">
        <f t="array" ref="I92:I93">{"TOTALLEARNED L02";(H93+I89)}</f>
        <v>TOTALLEARNED L02</v>
      </c>
      <c r="J92" s="223" t="str">
        <f t="array" ref="J92:J93">{"TOTALLEARNED L03";(I93+J89)}</f>
        <v>TOTALLEARNED L03</v>
      </c>
      <c r="K92" s="223" t="str">
        <f t="array" ref="K92:K93">{"TOTALLEARNED L04";(J93+K89)}</f>
        <v>TOTALLEARNED L04</v>
      </c>
      <c r="L92" s="223" t="str">
        <f t="array" ref="L92:L93">{"TOTALLEARNED L05";(K93+L89)}</f>
        <v>TOTALLEARNED L05</v>
      </c>
      <c r="M92" s="223" t="str">
        <f t="array" ref="M92:M93">{"TOTALLEARNED L06";(L93+M89)}</f>
        <v>TOTALLEARNED L06</v>
      </c>
      <c r="N92" s="223" t="str">
        <f t="array" ref="N92:N93">{"TOTALLEARNED L07";(M93+N89)}</f>
        <v>TOTALLEARNED L07</v>
      </c>
      <c r="O92" s="223" t="str">
        <f t="array" ref="O92:O93">{"TOTALLEARNED L08";(N93+O89)}</f>
        <v>TOTALLEARNED L08</v>
      </c>
      <c r="P92" s="223" t="str">
        <f t="array" ref="P92:P93">{"TOTALLEARNED L09";(O93+P89)}</f>
        <v>TOTALLEARNED L09</v>
      </c>
      <c r="Q92" s="223" t="str">
        <f t="array" ref="Q92:Q93">{"TOTALLEARNED L10";(P93+Q89)}</f>
        <v>TOTALLEARNED L10</v>
      </c>
      <c r="R92" s="223" t="str">
        <f t="array" ref="R92:R93">{"TOTALLEARNED L11";(Q93+R89)}</f>
        <v>TOTALLEARNED L11</v>
      </c>
      <c r="S92" s="223" t="str">
        <f t="array" ref="S92:S93">{"TOTALLEARNED L12";(R93+S89)}</f>
        <v>TOTALLEARNED L12</v>
      </c>
      <c r="T92" s="223" t="str">
        <f t="array" ref="T92:T93">{"TOTALLEARNED L13";(S93+T89)}</f>
        <v>TOTALLEARNED L13</v>
      </c>
      <c r="U92" s="223" t="str">
        <f t="array" ref="U92:U93">{"TOTALLEARNED L14";(T93+U89)}</f>
        <v>TOTALLEARNED L14</v>
      </c>
      <c r="V92" s="223" t="str">
        <f t="array" ref="V92:V93">{"TOTALLEARNED L15";(U93+V89)}</f>
        <v>TOTALLEARNED L15</v>
      </c>
      <c r="W92" s="223" t="str">
        <f t="array" ref="W92:W93">{"TOTALLEARNED L16";(V93+W89)}</f>
        <v>TOTALLEARNED L16</v>
      </c>
      <c r="X92" s="223" t="str">
        <f t="array" ref="X92:X93">{"TOTALLEARNED L17";(W93+X89)}</f>
        <v>TOTALLEARNED L17</v>
      </c>
      <c r="Y92" s="223" t="str">
        <f t="array" ref="Y92:Y93">{"TOTALLEARNED L18";(X93+Y89)}</f>
        <v>TOTALLEARNED L18</v>
      </c>
      <c r="Z92" s="223" t="str">
        <f t="array" ref="Z92:Z93">{"TOTALLEARNED L19";(Y93+Z89)}</f>
        <v>TOTALLEARNED L19</v>
      </c>
      <c r="AA92" s="223" t="str">
        <f t="array" ref="AA92:AA93">{"TOTALLEARNED L20";(Z93+AA89)}</f>
        <v>TOTALLEARNED L20</v>
      </c>
      <c r="AB92" s="76"/>
      <c r="AC92" s="76"/>
    </row>
    <row r="93">
      <c r="A93" s="97" t="s">
        <v>65</v>
      </c>
      <c r="B93" s="97"/>
      <c r="C93" s="97" t="s">
        <v>406</v>
      </c>
      <c r="D93" s="97" t="s">
        <v>603</v>
      </c>
      <c r="E93" s="97" t="s">
        <v>603</v>
      </c>
      <c r="F93" s="281" t="s">
        <v>603</v>
      </c>
      <c r="G93" s="282"/>
      <c r="H93" s="278"/>
      <c r="I93" s="278">
        <v>0.0</v>
      </c>
      <c r="J93" s="278">
        <v>0.0</v>
      </c>
      <c r="K93" s="278">
        <v>0.0</v>
      </c>
      <c r="L93" s="278">
        <v>0.0</v>
      </c>
      <c r="M93" s="278">
        <v>0.0</v>
      </c>
      <c r="N93" s="278">
        <v>0.0</v>
      </c>
      <c r="O93" s="278">
        <v>0.0</v>
      </c>
      <c r="P93" s="278">
        <v>0.0</v>
      </c>
      <c r="Q93" s="278">
        <v>0.0</v>
      </c>
      <c r="R93" s="278">
        <v>0.0</v>
      </c>
      <c r="S93" s="278">
        <v>0.0</v>
      </c>
      <c r="T93" s="278">
        <v>0.0</v>
      </c>
      <c r="U93" s="278">
        <v>0.0</v>
      </c>
      <c r="V93" s="278">
        <v>0.0</v>
      </c>
      <c r="W93" s="278">
        <v>0.0</v>
      </c>
      <c r="X93" s="278">
        <v>0.0</v>
      </c>
      <c r="Y93" s="278">
        <v>0.0</v>
      </c>
      <c r="Z93" s="278">
        <v>0.0</v>
      </c>
      <c r="AA93" s="278">
        <v>0.0</v>
      </c>
      <c r="AB93" s="5"/>
      <c r="AC93" s="47"/>
    </row>
    <row r="94">
      <c r="A94" s="55">
        <f>VLOOKUP($C94, CLASSNUMBERFINDER, 2, false)</f>
        <v>2</v>
      </c>
      <c r="B94" s="58"/>
      <c r="C94" s="70" t="s">
        <v>95</v>
      </c>
      <c r="D94" s="71"/>
      <c r="E94" s="71"/>
      <c r="F94" s="71"/>
      <c r="G94" s="72"/>
      <c r="H94" s="71"/>
      <c r="I94" s="71"/>
      <c r="J94" s="71"/>
      <c r="K94" s="71"/>
      <c r="L94" s="71"/>
      <c r="M94" s="71"/>
      <c r="N94" s="71"/>
      <c r="O94" s="71"/>
      <c r="P94" s="71"/>
      <c r="Q94" s="71"/>
      <c r="R94" s="71"/>
      <c r="S94" s="71"/>
      <c r="T94" s="71"/>
      <c r="U94" s="71"/>
      <c r="V94" s="71"/>
      <c r="W94" s="71"/>
      <c r="X94" s="71"/>
      <c r="Y94" s="71"/>
      <c r="Z94" s="71"/>
      <c r="AA94" s="71"/>
      <c r="AB94" s="283"/>
      <c r="AC94" s="73"/>
    </row>
    <row r="95" hidden="1">
      <c r="A95" s="76" t="str">
        <f t="array" ref="A95:A96">{"FormulaRow01";(INDEX(CLASSLIST,A94,1))}</f>
        <v>FormulaRow01</v>
      </c>
      <c r="B95" s="77" t="s">
        <v>236</v>
      </c>
      <c r="C95" s="76" t="str">
        <f t="array" ref="C95:C96">{"CLASSTYPE";(INDEX(ALLCLASSDATA,MATCH("ClassType",CLASSFEATUREHEADERS,0),MATCH($A96,CLASSNAMEHEADERS,0)))}</f>
        <v>CLASSTYPE</v>
      </c>
      <c r="D95" s="81" t="str">
        <f t="array" ref="D95:D96">{"TOTAL";("Total: " &amp; H96+J96+L96+N96+P96+R96+T96+V96+X96+Z96)}</f>
        <v>TOTAL</v>
      </c>
      <c r="E95" s="81" t="str">
        <f t="array" ref="E95:E96">{"BALANCE";(IF((H96+J96+L96+N96+P96+R96+T96+V96+X96+Z96)=2100,"(balanced)",(IF((H96+J96+L96+N96+P96+R96+T96+V96+X96+Z96)&gt;2100,"OVERBUDGET: ","UNDERBUDGET: ")) &amp; (H96+J96+L96+N96+P96+R96+T96+V96+X96+Z96-2100)))}</f>
        <v>BALANCE</v>
      </c>
      <c r="F95" s="81"/>
      <c r="G95" s="81"/>
      <c r="H95" s="81" t="str">
        <f t="array" ref="H95:H96">{"SUM LVL0/1/2";((SUMIF(F97:I176,"&lt;&gt;#REF!")+(SUMIF(J97:AA104,"&lt;&gt;#REF!"))))}</f>
        <v>SUM LVL0/1/2</v>
      </c>
      <c r="I95" s="81"/>
      <c r="J95" s="81" t="str">
        <f t="array" ref="J95:J96">{"SUM LVL3/4";(SUMIF(J105:K176,"&lt;&gt;#REF!"))}</f>
        <v>SUM LVL3/4</v>
      </c>
      <c r="K95" s="81"/>
      <c r="L95" s="81" t="str">
        <f t="array" ref="L95:L96">{"SUM LVL5/6";(SUMIF(L105:M176,"&lt;&gt;#REF!"))}</f>
        <v>SUM LVL5/6</v>
      </c>
      <c r="M95" s="81"/>
      <c r="N95" s="81" t="str">
        <f t="array" ref="N95:N96">{"SUM LVL7/8";(SUMIF(N105:O176,"&lt;&gt;#REF!"))}</f>
        <v>SUM LVL7/8</v>
      </c>
      <c r="O95" s="81"/>
      <c r="P95" s="81" t="str">
        <f t="array" ref="P95:P96">{"SUM LVL9/10";(SUMIF(P105:Q176,"&lt;&gt;#REF!"))}</f>
        <v>SUM LVL9/10</v>
      </c>
      <c r="Q95" s="81"/>
      <c r="R95" s="81" t="str">
        <f t="array" ref="R95:R96">{"SUM LVL11/12";(SUMIF(R105:S176,"&lt;&gt;#REF!"))}</f>
        <v>SUM LVL11/12</v>
      </c>
      <c r="S95" s="81"/>
      <c r="T95" s="81" t="str">
        <f t="array" ref="T95:T96">{"SUM LVL13/14";(SUMIF(T105:U176,"&lt;&gt;#REF!"))}</f>
        <v>SUM LVL13/14</v>
      </c>
      <c r="U95" s="81"/>
      <c r="V95" s="81" t="str">
        <f t="array" ref="V95:V96">{"SUM LVL15/16";(SUMIF(V105:W176,"&lt;&gt;#REF!"))}</f>
        <v>SUM LVL15/16</v>
      </c>
      <c r="W95" s="81"/>
      <c r="X95" s="81" t="str">
        <f t="array" ref="X95:X96">{"SUM LVL17/18";(SUMIF(X105:Y176,"&lt;&gt;#REF!"))}</f>
        <v>SUM LVL17/18</v>
      </c>
      <c r="Y95" s="81"/>
      <c r="Z95" s="81" t="str">
        <f t="array" ref="Z95:Z96">{"SUM LVL19/20";(SUMIF(Z105:AA176,"&lt;&gt;#REF!"))}</f>
        <v>SUM LVL19/20</v>
      </c>
      <c r="AA95" s="81"/>
      <c r="AB95" s="76"/>
      <c r="AC95" s="76" t="str">
        <f t="array" ref="AC95:AC96">{"SUM ROWTOTALS";(SUMIF(AC98:AC184,"&lt;&gt;#REF!"))}</f>
        <v>SUM ROWTOTALS</v>
      </c>
    </row>
    <row r="96">
      <c r="A96" s="48" t="s">
        <v>95</v>
      </c>
      <c r="B96" s="48"/>
      <c r="C96" s="48" t="s">
        <v>409</v>
      </c>
      <c r="D96" s="91" t="s">
        <v>416</v>
      </c>
      <c r="E96" s="92" t="s">
        <v>419</v>
      </c>
      <c r="F96" s="91"/>
      <c r="G96" s="93"/>
      <c r="H96" s="92">
        <v>510.0</v>
      </c>
      <c r="I96" s="92"/>
      <c r="J96" s="92">
        <v>30.0</v>
      </c>
      <c r="K96" s="92"/>
      <c r="L96" s="92">
        <v>100.0</v>
      </c>
      <c r="M96" s="92"/>
      <c r="N96" s="92">
        <v>180.0</v>
      </c>
      <c r="O96" s="92"/>
      <c r="P96" s="92">
        <v>120.0</v>
      </c>
      <c r="Q96" s="92"/>
      <c r="R96" s="92">
        <v>220.0</v>
      </c>
      <c r="S96" s="92"/>
      <c r="T96" s="92">
        <v>110.0</v>
      </c>
      <c r="U96" s="92"/>
      <c r="V96" s="92">
        <v>340.0</v>
      </c>
      <c r="W96" s="92"/>
      <c r="X96" s="92">
        <v>300.0</v>
      </c>
      <c r="Y96" s="92"/>
      <c r="Z96" s="92">
        <v>190.0</v>
      </c>
      <c r="AA96" s="92"/>
      <c r="AB96" s="5"/>
      <c r="AC96" s="47">
        <v>2100.0</v>
      </c>
    </row>
    <row r="97" hidden="1">
      <c r="A97" s="76" t="str">
        <f t="array" ref="A97:A98">{"FormulaRow02";(INDEX(CLASSLIST,A94,1))}</f>
        <v>FormulaRow02</v>
      </c>
      <c r="B97" s="77" t="s">
        <v>236</v>
      </c>
      <c r="C97" s="76" t="str">
        <f t="array" ref="C97:C98">{"CLASSTYPE";((INDEX(ALLCLASSDATA,MATCH("ClassType",CLASSFEATUREHEADERS,0),MATCH($A98,CLASSNAMEHEADERS,0))))}</f>
        <v>CLASSTYPE</v>
      </c>
      <c r="D97" s="81" t="str">
        <f t="array" ref="D97:D98">{"FEATURES";"Features"}</f>
        <v>FEATURES</v>
      </c>
      <c r="E97" s="81" t="str">
        <f t="array" ref="E97:E98">{"INITIALFEATURES";"Initial Features"}</f>
        <v>INITIALFEATURES</v>
      </c>
      <c r="F97" s="81" t="str">
        <f t="array" ref="F97:F98">{"KEY";"Key"}</f>
        <v>KEY</v>
      </c>
      <c r="G97" s="81" t="str">
        <f t="array" ref="G97:G98">{"HP";"HP"}</f>
        <v>HP</v>
      </c>
      <c r="H97" s="81" t="str">
        <f t="array" ref="H97:H98">{"CLASSFEATL01";"ClassFeatL01"}</f>
        <v>CLASSFEATL01</v>
      </c>
      <c r="I97" s="81" t="str">
        <f t="array" ref="I97:I98">{"SHIELDBLOCKL01";"ShieldBlockL01"}</f>
        <v>SHIELDBLOCKL01</v>
      </c>
      <c r="J97" s="81" t="str">
        <f t="array" ref="J97:J98">{"INITIALSKILLS";"InitialSkills"}</f>
        <v>INITIALSKILLS</v>
      </c>
      <c r="K97" s="81" t="str">
        <f t="array" ref="K97:K98">{"SUBCLASSSKILLS";"SubclassSkills"}</f>
        <v>SUBCLASSSKILLS</v>
      </c>
      <c r="L97" s="81" t="str">
        <f t="array" ref="L97:L98">{"GRANTEDSKILLS";"GrantedSkills"}</f>
        <v>GRANTEDSKILLS</v>
      </c>
      <c r="M97" s="81"/>
      <c r="N97" s="81"/>
      <c r="O97" s="81"/>
      <c r="P97" s="81" t="str">
        <f t="array" ref="P97:P98">{"FOCUSSPELLS";"FocusSpells:"}</f>
        <v>FOCUSSPELLS</v>
      </c>
      <c r="Q97" s="81" t="str">
        <f t="array" ref="Q97:Q98">{"FOCUSSPELL1-L00";((INDEX(ALLCLASSDATA,MATCH("FocusSpell1-L00",CLASSFEATUREHEADERS,0),MATCH(($A98),CLASSNAMEHEADERS,0))))}</f>
        <v>FOCUSSPELL1-L00</v>
      </c>
      <c r="R97" s="81" t="str">
        <f t="array" ref="R97:R98">{"FOCUSSPELL2-L00";((INDEX(ALLCLASSDATA,MATCH("FocusSpell2-L00",CLASSFEATUREHEADERS,0),MATCH(($A98),CLASSNAMEHEADERS,0))))}</f>
        <v>FOCUSSPELL2-L00</v>
      </c>
      <c r="S97" s="81" t="str">
        <f t="array" ref="S97:S98">{"FOCUSSPELL3-L00";((INDEX(ALLCLASSDATA,MATCH("FocusSpell3-L00",CLASSFEATUREHEADERS,0),MATCH(($A98),CLASSNAMEHEADERS,0))))}</f>
        <v>FOCUSSPELL3-L00</v>
      </c>
      <c r="T97" s="81" t="str">
        <f t="array" ref="T97:T98">{"FOCUSSPELL4-L00";((INDEX(ALLCLASSDATA,MATCH("FocusSpell4-L00",CLASSFEATUREHEADERS,0),MATCH(($A98),CLASSNAMEHEADERS,0))))}</f>
        <v>FOCUSSPELL4-L00</v>
      </c>
      <c r="U97" s="81" t="str">
        <f t="array" ref="U97:U98">{"FOCUSSPELL5-L00";((INDEX(ALLCLASSDATA,MATCH("FocusSpell5-L00",CLASSFEATUREHEADERS,0),MATCH(($A98),CLASSNAMEHEADERS,0))))}</f>
        <v>FOCUSSPELL5-L00</v>
      </c>
      <c r="V97" s="81"/>
      <c r="W97" s="81"/>
      <c r="X97" s="81"/>
      <c r="Y97" s="81"/>
      <c r="Z97" s="81"/>
      <c r="AA97" s="81"/>
      <c r="AB97" s="76"/>
      <c r="AC97" s="76"/>
    </row>
    <row r="98">
      <c r="A98" s="48" t="s">
        <v>95</v>
      </c>
      <c r="B98" s="48"/>
      <c r="C98" s="48" t="s">
        <v>409</v>
      </c>
      <c r="D98" s="48" t="s">
        <v>467</v>
      </c>
      <c r="E98" s="48" t="s">
        <v>468</v>
      </c>
      <c r="F98" s="48" t="s">
        <v>469</v>
      </c>
      <c r="G98" s="114" t="s">
        <v>15</v>
      </c>
      <c r="H98" s="8" t="s">
        <v>451</v>
      </c>
      <c r="I98" s="8" t="s">
        <v>463</v>
      </c>
      <c r="J98" s="8" t="s">
        <v>473</v>
      </c>
      <c r="K98" s="8" t="s">
        <v>474</v>
      </c>
      <c r="L98" s="8" t="s">
        <v>475</v>
      </c>
      <c r="M98" s="8"/>
      <c r="N98" s="8"/>
      <c r="O98" s="8"/>
      <c r="P98" s="8" t="s">
        <v>476</v>
      </c>
      <c r="Q98" s="116"/>
      <c r="R98" s="116"/>
      <c r="S98" s="116"/>
      <c r="T98" s="116"/>
      <c r="U98" s="116"/>
      <c r="V98" s="8"/>
      <c r="W98" s="8"/>
      <c r="X98" s="8"/>
      <c r="Y98" s="8"/>
      <c r="Z98" s="5"/>
      <c r="AA98" s="5"/>
      <c r="AB98" s="5"/>
      <c r="AC98" s="47"/>
    </row>
    <row r="99" hidden="1">
      <c r="A99" s="76" t="str">
        <f t="array" ref="A99:A100">{"FormulaRow03";(INDEX(CLASSLIST,A94,1))}</f>
        <v>FormulaRow03</v>
      </c>
      <c r="B99" s="77" t="s">
        <v>236</v>
      </c>
      <c r="C99" s="76" t="str">
        <f t="array" ref="C99:C100">{"CLASSTYPE";((INDEX(ALLCLASSDATA,MATCH("ClassType",CLASSFEATUREHEADERS,0),MATCH($A100,CLASSNAMEHEADERS,0))))}</f>
        <v>CLASSTYPE</v>
      </c>
      <c r="D99" s="76" t="str">
        <f t="array" ref="D99:D100">{"FEATUREPTS";"FeaturesPts"}</f>
        <v>FEATUREPTS</v>
      </c>
      <c r="E99" s="76" t="str">
        <f t="array" ref="E99:E100">{"INITIALFEATURES";"Initial Features"}</f>
        <v>INITIALFEATURES</v>
      </c>
      <c r="F99" s="76" t="str">
        <f t="array" ref="F99:F100">{"KEYABILITY";((INDEX(ALLCLASSDATA,MATCH("KEYABILITY",CLASSFEATUREHEADERS,0),MATCH($A100,CLASSNAMEHEADERS,0))))}</f>
        <v>KEYABILITY</v>
      </c>
      <c r="G99" s="76" t="str">
        <f t="array" ref="G99:G100">{"HP";((INDEX(ALLCLASSDATA,MATCH("HP",CLASSFEATUREHEADERS,0),MATCH(($A100 &amp; "Points"),CLASSNAMEHEADERS,0))))}</f>
        <v>HP</v>
      </c>
      <c r="H99" s="76" t="str">
        <f t="array" ref="H99:H100">{"CLASSFEATL01";((INDEX(ALLCLASSDATA,MATCH("ClassFeatL01",CLASSFEATUREHEADERS,0),MATCH(($A100 &amp; "Points"),CLASSNAMEHEADERS,0))))}</f>
        <v>CLASSFEATL01</v>
      </c>
      <c r="I99" s="76" t="str">
        <f t="array" ref="I99:I100">{"SHIELDBLOCKL01";((INDEX(ALLCLASSDATA,MATCH("ShieldBlockL01",CLASSFEATUREHEADERS,0),MATCH(($A100 &amp; "Points"),CLASSNAMEHEADERS,0))))}</f>
        <v>SHIELDBLOCKL01</v>
      </c>
      <c r="J99" s="76" t="str">
        <f t="array" ref="J99:J100">{"INITIALSKILLINCREASES";((INDEX(ALLCLASSDATA,MATCH("InitialSkillIncreases",CLASSFEATUREHEADERS,0),MATCH(($A100 &amp; "Points"),CLASSNAMEHEADERS,0))))}</f>
        <v>INITIALSKILLINCREASES</v>
      </c>
      <c r="K99" s="76" t="str">
        <f t="array" ref="K99:K100">{"SUBCLASSSKILLINCREASES";((INDEX(ALLCLASSDATA,MATCH("SubclassSkillIncreases",CLASSFEATUREHEADERS,0),MATCH(($A100 &amp; "Points"),CLASSNAMEHEADERS,0))))}</f>
        <v>SUBCLASSSKILLINCREASES</v>
      </c>
      <c r="L99" s="76" t="str">
        <f t="array" ref="L99:L100">{"GRANTEDSKILLS";(((INDEX(ALLCLASSDATA,MATCH("SkillsGrantedTotal",CLASSFEATUREHEADERS,0),MATCH(($A100 &amp; "Points"),CLASSNAMEHEADERS,0)))-(INDEX(ALLCLASSDATA,MATCH("InitialSkillIncreases",CLASSFEATUREHEADERS,0),MATCH(($A100 &amp; "Points"),CLASSNAMEHEADERS,0)))-(INDEX(ALLCLASSDATA,MATCH("SubclassSkillIncreases",CLASSFEATUREHEADERS,0),MATCH(($A100 &amp; "Points"),CLASSNAMEHEADERS,0)))))}</f>
        <v>GRANTEDSKILLS</v>
      </c>
      <c r="M99" s="76"/>
      <c r="N99" s="76"/>
      <c r="O99" s="76"/>
      <c r="P99" s="76"/>
      <c r="Q99" s="76" t="str">
        <f t="array" ref="Q99:Q100">{"FOCUSSPELL1-L00";((INDEX(ALLCLASSDATA,MATCH("FocusSpell1-L00",CLASSFEATUREHEADERS,0),MATCH(($A100 &amp; "Points"),CLASSNAMEHEADERS,0))))}</f>
        <v>FOCUSSPELL1-L00</v>
      </c>
      <c r="R99" s="76" t="str">
        <f t="array" ref="R99:R100">{"FOCUSSPELL2-L00";((INDEX(ALLCLASSDATA,MATCH("FocusSpell2-L00",CLASSFEATUREHEADERS,0),MATCH(($A100 &amp; "Points"),CLASSNAMEHEADERS,0))))}</f>
        <v>FOCUSSPELL2-L00</v>
      </c>
      <c r="S99" s="76" t="str">
        <f t="array" ref="S99:S100">{"FOCUSSPELL3-L00";((INDEX(ALLCLASSDATA,MATCH("FocusSpell3-L00",CLASSFEATUREHEADERS,0),MATCH(($A100 &amp; "Points"),CLASSNAMEHEADERS,0))))}</f>
        <v>FOCUSSPELL3-L00</v>
      </c>
      <c r="T99" s="76" t="str">
        <f t="array" ref="T99:T100">{"FOCUSSPELL4-L00";((INDEX(ALLCLASSDATA,MATCH("FocusSpell4-L00",CLASSFEATUREHEADERS,0),MATCH(($A100 &amp; "Points"),CLASSNAMEHEADERS,0))))}</f>
        <v>FOCUSSPELL4-L00</v>
      </c>
      <c r="U99" s="76" t="str">
        <f t="array" ref="U99:U100">{"FOCUSSPELL5-L00";((INDEX(ALLCLASSDATA,MATCH("FocusSpell5-L00",CLASSFEATUREHEADERS,0),MATCH(($A100 &amp; "Points"),CLASSNAMEHEADERS,0))))}</f>
        <v>FOCUSSPELL5-L00</v>
      </c>
      <c r="V99" s="76"/>
      <c r="W99" s="76"/>
      <c r="X99" s="76"/>
      <c r="Y99" s="76"/>
      <c r="Z99" s="76"/>
      <c r="AA99" s="76"/>
      <c r="AB99" s="76"/>
      <c r="AC99" s="76" t="str">
        <f t="array" ref="AC99:AC100">{"FEATUREPTS TOTAL";(sum(G100:AA100))}</f>
        <v>FEATUREPTS TOTAL</v>
      </c>
    </row>
    <row r="100">
      <c r="A100" s="48" t="s">
        <v>95</v>
      </c>
      <c r="B100" s="48"/>
      <c r="C100" s="48" t="s">
        <v>409</v>
      </c>
      <c r="D100" s="97" t="s">
        <v>559</v>
      </c>
      <c r="E100" s="97" t="s">
        <v>468</v>
      </c>
      <c r="F100" s="97" t="s">
        <v>421</v>
      </c>
      <c r="G100" s="132">
        <v>100.0</v>
      </c>
      <c r="H100" s="98">
        <v>10.0</v>
      </c>
      <c r="I100" s="98" t="s">
        <v>603</v>
      </c>
      <c r="J100" s="98">
        <v>20.0</v>
      </c>
      <c r="K100" s="98"/>
      <c r="L100" s="98">
        <v>0.0</v>
      </c>
      <c r="M100" s="98"/>
      <c r="N100" s="98"/>
      <c r="O100" s="98"/>
      <c r="P100" s="98"/>
      <c r="Q100" s="98"/>
      <c r="R100" s="98"/>
      <c r="S100" s="98"/>
      <c r="T100" s="98"/>
      <c r="U100" s="98"/>
      <c r="V100" s="98"/>
      <c r="W100" s="98"/>
      <c r="X100" s="98"/>
      <c r="Y100" s="98"/>
      <c r="Z100" s="98"/>
      <c r="AA100" s="98"/>
      <c r="AB100" s="5"/>
      <c r="AC100" s="47">
        <v>130.0</v>
      </c>
    </row>
    <row r="101" hidden="1">
      <c r="A101" s="76" t="str">
        <f t="array" ref="A101:A102">{"FormulaRow04";(INDEX(CLASSLIST,A94,1))}</f>
        <v>FormulaRow04</v>
      </c>
      <c r="B101" s="77" t="s">
        <v>236</v>
      </c>
      <c r="C101" s="76" t="str">
        <f t="array" ref="C101:C102">{"CLASSTYPE";((INDEX(ALLCLASSDATA,MATCH("ClassType",CLASSFEATUREHEADERS,0),MATCH($A102,CLASSNAMEHEADERS,0))))}</f>
        <v>CLASSTYPE</v>
      </c>
      <c r="D101" s="81" t="str">
        <f t="array" ref="D101:D102">{"INITIALFEATURES";"InitialFeatures"}</f>
        <v>INITIALFEATURES</v>
      </c>
      <c r="E101" s="81" t="str">
        <f t="array" ref="E101:E102">{"CLASS/SUBCLASSFEATURES";"Class/Subclass Features"}</f>
        <v>CLASS/SUBCLASSFEATURES</v>
      </c>
      <c r="F101" s="81"/>
      <c r="G101" s="136"/>
      <c r="H101" s="81" t="str">
        <f t="array" ref="H101:H102">{"CLASSINITIALABILITY1-L00";((INDEX(ALLCLASSDATA,MATCH("ClassInitialAbility1-L00",CLASSFEATUREHEADERS,0),MATCH(($A102),CLASSNAMEHEADERS,0))))}</f>
        <v>CLASSINITIALABILITY1-L00</v>
      </c>
      <c r="I101" s="81" t="str">
        <f t="array" ref="I101:I102">{"CLASSINITIALABILITY2-L00";((INDEX(ALLCLASSDATA,MATCH("ClassInitialAbility2-L00",CLASSFEATUREHEADERS,0),MATCH(($A102),CLASSNAMEHEADERS,0))))}</f>
        <v>CLASSINITIALABILITY2-L00</v>
      </c>
      <c r="J101" s="81" t="str">
        <f t="array" ref="J101:J102">{"CLASSINITIALABILITY3-L00";((INDEX(ALLCLASSDATA,MATCH("ClassInitialAbility3-L00",CLASSFEATUREHEADERS,0),MATCH(($A102),CLASSNAMEHEADERS,0))))}</f>
        <v>CLASSINITIALABILITY3-L00</v>
      </c>
      <c r="K101" s="81" t="str">
        <f t="array" ref="K101:K102">{"CLASSINITIALABILITY4-L00";((INDEX(ALLCLASSDATA,MATCH("ClassInitialAbility4-L00",CLASSFEATUREHEADERS,0),MATCH(($A102),CLASSNAMEHEADERS,0))))}</f>
        <v>CLASSINITIALABILITY4-L00</v>
      </c>
      <c r="L101" s="81" t="str">
        <f t="array" ref="L101:L102">{"CLASSINITIALABILITY5-L00";((INDEX(ALLCLASSDATA,MATCH("ClassInitialAbility5-L00",CLASSFEATUREHEADERS,0),MATCH(($A102),CLASSNAMEHEADERS,0))))}</f>
        <v>CLASSINITIALABILITY5-L00</v>
      </c>
      <c r="M101" s="81" t="str">
        <f t="array" ref="M101:M102">{"CLASSINITIALABILITY6-L00";((INDEX(ALLCLASSDATA,MATCH("ClassInitialAbility6-L00",CLASSFEATUREHEADERS,0),MATCH(($A102),CLASSNAMEHEADERS,0))))}</f>
        <v>CLASSINITIALABILITY6-L00</v>
      </c>
      <c r="N101" s="81" t="str">
        <f t="array" ref="N101:N102">{"CLASSINITIALABILITY7-L00";((INDEX(ALLCLASSDATA,MATCH("ClassInitialAbility7-L00",CLASSFEATUREHEADERS,0),MATCH(($A102),CLASSNAMEHEADERS,0))))}</f>
        <v>CLASSINITIALABILITY7-L00</v>
      </c>
      <c r="O101" s="81" t="str">
        <f t="array" ref="O101:O102">{"CLASSINITIALABILITY8-L00";((INDEX(ALLCLASSDATA,MATCH("ClassInitialAbility8-L00",CLASSFEATUREHEADERS,0),MATCH(($A102),CLASSNAMEHEADERS,0))))}</f>
        <v>CLASSINITIALABILITY8-L00</v>
      </c>
      <c r="P101" s="81" t="str">
        <f t="array" ref="P101:P102">{"CLASSINITIALABILITY9-L00";((INDEX(ALLCLASSDATA,MATCH("ClassInitialAbility9-L00",CLASSFEATUREHEADERS,0),MATCH(($A102),CLASSNAMEHEADERS,0))))}</f>
        <v>CLASSINITIALABILITY9-L00</v>
      </c>
      <c r="Q101" s="81" t="str">
        <f t="array" ref="Q101:Q102">{"CLASSINITIALABILITY10-L00";((INDEX(ALLCLASSDATA,MATCH("ClassInitialAbility10-L00",CLASSFEATUREHEADERS,0),MATCH(($A102),CLASSNAMEHEADERS,0))))}</f>
        <v>CLASSINITIALABILITY10-L00</v>
      </c>
      <c r="R101" s="81" t="str">
        <f t="array" ref="R101:R102">{"SUBCLASSINITIAL1-L00";((INDEX(ALLCLASSDATA,MATCH("SubclassInitial1-L00",CLASSFEATUREHEADERS,0),MATCH(($A102),CLASSNAMEHEADERS,0))))}</f>
        <v>SUBCLASSINITIAL1-L00</v>
      </c>
      <c r="S101" s="81" t="str">
        <f t="array" ref="S101:S102">{"SUBCLASSINITIAL2-L00";((INDEX(ALLCLASSDATA,MATCH("SubclassInitial2-L00",CLASSFEATUREHEADERS,0),MATCH(($A102),CLASSNAMEHEADERS,0))))}</f>
        <v>SUBCLASSINITIAL2-L00</v>
      </c>
      <c r="T101" s="81" t="str">
        <f t="array" ref="T101:T102">{"SUBCLASSINITIAL3-L00";((INDEX(ALLCLASSDATA,MATCH("SubclassInitial3-L00",CLASSFEATUREHEADERS,0),MATCH(($A102),CLASSNAMEHEADERS,0))))}</f>
        <v>SUBCLASSINITIAL3-L00</v>
      </c>
      <c r="U101" s="81" t="str">
        <f t="array" ref="U101:U102">{"SUBCLASSINITIAL4-L00";((INDEX(ALLCLASSDATA,MATCH("SubclassInitial4-L00",CLASSFEATUREHEADERS,0),MATCH(($A102),CLASSNAMEHEADERS,0))))}</f>
        <v>SUBCLASSINITIAL4-L00</v>
      </c>
      <c r="V101" s="81" t="str">
        <f t="array" ref="V101:V102">{"SUBCLASSINITIAL5-L00";((INDEX(ALLCLASSDATA,MATCH("SubclassInitial5-L00",CLASSFEATUREHEADERS,0),MATCH(($A102),CLASSNAMEHEADERS,0))))}</f>
        <v>SUBCLASSINITIAL5-L00</v>
      </c>
      <c r="W101" s="81" t="str">
        <f t="array" ref="W101:W102">{"SUBCLASSINITIAL6-L00";((INDEX(ALLCLASSDATA,MATCH("SubclassInitial6-L00",CLASSFEATUREHEADERS,0),MATCH(($A102),CLASSNAMEHEADERS,0))))}</f>
        <v>SUBCLASSINITIAL6-L00</v>
      </c>
      <c r="X101" s="81" t="str">
        <f t="array" ref="X101:X102">{"SUBCLASSINITIAL7-L00";((INDEX(ALLCLASSDATA,MATCH("SubclassInitial7-L00",CLASSFEATUREHEADERS,0),MATCH(($A102),CLASSNAMEHEADERS,0))))}</f>
        <v>SUBCLASSINITIAL7-L00</v>
      </c>
      <c r="Y101" s="81" t="str">
        <f t="array" ref="Y101:Y102">{"SUBCLASSINITIAL8-L00";((INDEX(ALLCLASSDATA,MATCH("SubclassInitial8-L00",CLASSFEATUREHEADERS,0),MATCH(($A102),CLASSNAMEHEADERS,0))))}</f>
        <v>SUBCLASSINITIAL8-L00</v>
      </c>
      <c r="Z101" s="81" t="str">
        <f t="array" ref="Z101:Z102">{"SUBCLASSINITIAL9-L00";((INDEX(ALLCLASSDATA,MATCH("SubclassInitial9-L00",CLASSFEATUREHEADERS,0),MATCH(($A102),CLASSNAMEHEADERS,0))))}</f>
        <v>SUBCLASSINITIAL9-L00</v>
      </c>
      <c r="AA101" s="81" t="str">
        <f t="array" ref="AA101:AA102">{"SUBCLASSINITIAL10-L00";((INDEX(ALLCLASSDATA,MATCH("SubclassInitial10-L00",CLASSFEATUREHEADERS,0),MATCH(($A102),CLASSNAMEHEADERS,0))))}</f>
        <v>SUBCLASSINITIAL10-L00</v>
      </c>
      <c r="AB101" s="76"/>
      <c r="AC101" s="76"/>
    </row>
    <row r="102">
      <c r="A102" s="48" t="s">
        <v>95</v>
      </c>
      <c r="B102" s="48"/>
      <c r="C102" s="48" t="s">
        <v>409</v>
      </c>
      <c r="D102" s="48" t="s">
        <v>614</v>
      </c>
      <c r="E102" s="48" t="s">
        <v>616</v>
      </c>
      <c r="F102" s="48"/>
      <c r="G102" s="47"/>
      <c r="H102" s="5" t="s">
        <v>919</v>
      </c>
      <c r="I102" s="5" t="s">
        <v>1630</v>
      </c>
      <c r="J102" s="5"/>
      <c r="K102" s="5"/>
      <c r="L102" s="5"/>
      <c r="M102" s="5"/>
      <c r="N102" s="5"/>
      <c r="O102" s="5"/>
      <c r="P102" s="5"/>
      <c r="Q102" s="5"/>
      <c r="R102" s="5"/>
      <c r="S102" s="5"/>
      <c r="T102" s="5"/>
      <c r="U102" s="5"/>
      <c r="V102" s="5"/>
      <c r="W102" s="5"/>
      <c r="X102" s="5"/>
      <c r="Y102" s="5"/>
      <c r="Z102" s="5"/>
      <c r="AA102" s="5"/>
      <c r="AB102" s="5"/>
      <c r="AC102" s="47"/>
    </row>
    <row r="103" hidden="1">
      <c r="A103" s="76" t="str">
        <f t="array" ref="A103:A104">{"FormulaRow05";(INDEX(CLASSLIST,A94,1))}</f>
        <v>FormulaRow05</v>
      </c>
      <c r="B103" s="77" t="s">
        <v>236</v>
      </c>
      <c r="C103" s="76" t="str">
        <f t="array" ref="C103:C104">{"CLASSTYPE";((INDEX(ALLCLASSDATA,MATCH("ClassType",CLASSFEATUREHEADERS,0),MATCH($A104,CLASSNAMEHEADERS,0))))}</f>
        <v>CLASSTYPE</v>
      </c>
      <c r="D103" s="76" t="str">
        <f t="array" ref="D103:D104">{"INITIALFEATURESPTS";"InitialFeaturesPts"}</f>
        <v>INITIALFEATURESPTS</v>
      </c>
      <c r="E103" s="76" t="str">
        <f t="array" ref="E103:E104">{"CLASS/SUBCLASSFEATURES";"Class/Subclass Features"}</f>
        <v>CLASS/SUBCLASSFEATURES</v>
      </c>
      <c r="F103" s="76"/>
      <c r="G103" s="76"/>
      <c r="H103" s="76" t="str">
        <f t="array" ref="H103:H104">{"CLASSINITIALABILITY1-L00PTS";((INDEX(ALLCLASSDATA,MATCH("ClassInitialAbility1-L00",CLASSFEATUREHEADERS,0),MATCH(($A104 &amp; "Points"),CLASSNAMEHEADERS,0))))}</f>
        <v>CLASSINITIALABILITY1-L00PTS</v>
      </c>
      <c r="I103" s="76" t="str">
        <f t="array" ref="I103:I104">{"CLASSINITIALABILITY2-L00PTS";((INDEX(ALLCLASSDATA,MATCH("ClassInitialAbility2-L00",CLASSFEATUREHEADERS,0),MATCH(($A104 &amp; "Points"),CLASSNAMEHEADERS,0))))}</f>
        <v>CLASSINITIALABILITY2-L00PTS</v>
      </c>
      <c r="J103" s="76" t="str">
        <f t="array" ref="J103:J104">{"CLASSINITIALABILITY3-L00PTS";((INDEX(ALLCLASSDATA,MATCH("ClassInitialAbility3-L00",CLASSFEATUREHEADERS,0),MATCH(($A104 &amp; "Points"),CLASSNAMEHEADERS,0))))}</f>
        <v>CLASSINITIALABILITY3-L00PTS</v>
      </c>
      <c r="K103" s="76" t="str">
        <f t="array" ref="K103:K104">{"CLASSINITIALABILITY4-L00PTS";((INDEX(ALLCLASSDATA,MATCH("ClassInitialAbility4-L00",CLASSFEATUREHEADERS,0),MATCH(($A104 &amp; "Points"),CLASSNAMEHEADERS,0))))}</f>
        <v>CLASSINITIALABILITY4-L00PTS</v>
      </c>
      <c r="L103" s="76" t="str">
        <f t="array" ref="L103:L104">{"CLASSINITIALABILITY5-L00PTS";((INDEX(ALLCLASSDATA,MATCH("ClassInitialAbility5-L00",CLASSFEATUREHEADERS,0),MATCH(($A104 &amp; "Points"),CLASSNAMEHEADERS,0))))}</f>
        <v>CLASSINITIALABILITY5-L00PTS</v>
      </c>
      <c r="M103" s="76" t="str">
        <f t="array" ref="M103:M104">{"CLASSINITIALABILITY6-L00PTS";((INDEX(ALLCLASSDATA,MATCH("ClassInitialAbility6-L00",CLASSFEATUREHEADERS,0),MATCH(($A104 &amp; "Points"),CLASSNAMEHEADERS,0))))}</f>
        <v>CLASSINITIALABILITY6-L00PTS</v>
      </c>
      <c r="N103" s="76" t="str">
        <f t="array" ref="N103:N104">{"CLASSINITIALABILITY7-L00PTS";((INDEX(ALLCLASSDATA,MATCH("ClassInitialAbility7-L00",CLASSFEATUREHEADERS,0),MATCH(($A104 &amp; "Points"),CLASSNAMEHEADERS,0))))}</f>
        <v>CLASSINITIALABILITY7-L00PTS</v>
      </c>
      <c r="O103" s="76" t="str">
        <f t="array" ref="O103:O104">{"CLASSINITIALABILITY8-L00PTS";((INDEX(ALLCLASSDATA,MATCH("ClassInitialAbility8-L00",CLASSFEATUREHEADERS,0),MATCH(($A104 &amp; "Points"),CLASSNAMEHEADERS,0))))}</f>
        <v>CLASSINITIALABILITY8-L00PTS</v>
      </c>
      <c r="P103" s="76" t="str">
        <f t="array" ref="P103:P104">{"CLASSINITIALABILITY9-L00PTS";((INDEX(ALLCLASSDATA,MATCH("ClassInitialAbility9-L00",CLASSFEATUREHEADERS,0),MATCH(($A104 &amp; "Points"),CLASSNAMEHEADERS,0))))}</f>
        <v>CLASSINITIALABILITY9-L00PTS</v>
      </c>
      <c r="Q103" s="76" t="str">
        <f t="array" ref="Q103:Q104">{"CLASSINITIALABILITY10-L00PTS";((INDEX(ALLCLASSDATA,MATCH("ClassInitialAbility10-L00",CLASSFEATUREHEADERS,0),MATCH(($A104 &amp; "Points"),CLASSNAMEHEADERS,0))))}</f>
        <v>CLASSINITIALABILITY10-L00PTS</v>
      </c>
      <c r="R103" s="76" t="str">
        <f t="array" ref="R103:R104">{"SUBCLASSINITIAL1-L00PTS";((INDEX(ALLCLASSDATA,MATCH("SubclassInitial1-L00",CLASSFEATUREHEADERS,0),MATCH(($A104 &amp; "Points"),CLASSNAMEHEADERS,0))))}</f>
        <v>SUBCLASSINITIAL1-L00PTS</v>
      </c>
      <c r="S103" s="76" t="str">
        <f t="array" ref="S103:S104">{"SUBCLASSINITIAL2-L00PTS";((INDEX(ALLCLASSDATA,MATCH("SubclassInitial2-L00",CLASSFEATUREHEADERS,0),MATCH(($A104 &amp; "Points"),CLASSNAMEHEADERS,0))))}</f>
        <v>SUBCLASSINITIAL2-L00PTS</v>
      </c>
      <c r="T103" s="76" t="str">
        <f t="array" ref="T103:T104">{"SUBCLASSINITIAL3-L00PTS";((INDEX(ALLCLASSDATA,MATCH("SubclassInitial3-L00",CLASSFEATUREHEADERS,0),MATCH(($A104 &amp; "Points"),CLASSNAMEHEADERS,0))))}</f>
        <v>SUBCLASSINITIAL3-L00PTS</v>
      </c>
      <c r="U103" s="76" t="str">
        <f t="array" ref="U103:U104">{"SUBCLASSINITIAL4-L00PTS";((INDEX(ALLCLASSDATA,MATCH("SubclassInitial4-L00",CLASSFEATUREHEADERS,0),MATCH(($A104 &amp; "Points"),CLASSNAMEHEADERS,0))))}</f>
        <v>SUBCLASSINITIAL4-L00PTS</v>
      </c>
      <c r="V103" s="76" t="str">
        <f t="array" ref="V103:V104">{"SUBCLASSINITIAL5-L00PTS";((INDEX(ALLCLASSDATA,MATCH("SubclassInitial5-L00",CLASSFEATUREHEADERS,0),MATCH(($A104 &amp; "Points"),CLASSNAMEHEADERS,0))))}</f>
        <v>SUBCLASSINITIAL5-L00PTS</v>
      </c>
      <c r="W103" s="76" t="str">
        <f t="array" ref="W103:W104">{"SUBCLASSINITIAL6-L00PTS";((INDEX(ALLCLASSDATA,MATCH("SubclassInitial6-L00",CLASSFEATUREHEADERS,0),MATCH(($A104 &amp; "Points"),CLASSNAMEHEADERS,0))))}</f>
        <v>SUBCLASSINITIAL6-L00PTS</v>
      </c>
      <c r="X103" s="76" t="str">
        <f t="array" ref="X103:X104">{"SUBCLASSINITIAL7-L00PTS";((INDEX(ALLCLASSDATA,MATCH("SubclassInitial7-L00",CLASSFEATUREHEADERS,0),MATCH(($A104 &amp; "Points"),CLASSNAMEHEADERS,0))))}</f>
        <v>SUBCLASSINITIAL7-L00PTS</v>
      </c>
      <c r="Y103" s="76" t="str">
        <f t="array" ref="Y103:Y104">{"SUBCLASSINITIAL8-L00PTS";((INDEX(ALLCLASSDATA,MATCH("SubclassInitial8-L00",CLASSFEATUREHEADERS,0),MATCH(($A104 &amp; "Points"),CLASSNAMEHEADERS,0))))}</f>
        <v>SUBCLASSINITIAL8-L00PTS</v>
      </c>
      <c r="Z103" s="76" t="str">
        <f t="array" ref="Z103:Z104">{"SUBCLASSINITIAL9-L00PTS";((INDEX(ALLCLASSDATA,MATCH("SubclassInitial9-L00",CLASSFEATUREHEADERS,0),MATCH(($A104 &amp; "Points"),CLASSNAMEHEADERS,0))))}</f>
        <v>SUBCLASSINITIAL9-L00PTS</v>
      </c>
      <c r="AA103" s="76" t="str">
        <f t="array" ref="AA103:AA104">{"SUBCLASSINITIAL10-L00PTS";((INDEX(ALLCLASSDATA,MATCH("SubclassInitial10-L00",CLASSFEATUREHEADERS,0),MATCH(($A104 &amp; "Points"),CLASSNAMEHEADERS,0))))}</f>
        <v>SUBCLASSINITIAL10-L00PTS</v>
      </c>
      <c r="AB103" s="76"/>
      <c r="AC103" s="76" t="str">
        <f t="array" ref="AC103:AC104">{"INITIALFEATUREPTS TOTAL";(sum(G104:AA104))}</f>
        <v>INITIALFEATUREPTS TOTAL</v>
      </c>
    </row>
    <row r="104">
      <c r="A104" s="48" t="s">
        <v>95</v>
      </c>
      <c r="B104" s="48"/>
      <c r="C104" s="48" t="s">
        <v>409</v>
      </c>
      <c r="D104" s="97" t="s">
        <v>651</v>
      </c>
      <c r="E104" s="97" t="s">
        <v>616</v>
      </c>
      <c r="F104" s="97"/>
      <c r="G104" s="132"/>
      <c r="H104" s="98">
        <v>90.0</v>
      </c>
      <c r="I104" s="98">
        <v>10.0</v>
      </c>
      <c r="J104" s="97"/>
      <c r="K104" s="98"/>
      <c r="L104" s="97"/>
      <c r="M104" s="98"/>
      <c r="N104" s="98"/>
      <c r="O104" s="98"/>
      <c r="P104" s="98"/>
      <c r="Q104" s="98"/>
      <c r="R104" s="98"/>
      <c r="S104" s="98"/>
      <c r="T104" s="98"/>
      <c r="U104" s="98"/>
      <c r="V104" s="98"/>
      <c r="W104" s="98"/>
      <c r="X104" s="98"/>
      <c r="Y104" s="98"/>
      <c r="Z104" s="98"/>
      <c r="AA104" s="98"/>
      <c r="AB104" s="5"/>
      <c r="AC104" s="47">
        <v>100.0</v>
      </c>
    </row>
    <row r="105" hidden="1">
      <c r="A105" s="76" t="str">
        <f t="array" ref="A105:A106">{"FormulaRow06";(INDEX(CLASSLIST,A94,1))}</f>
        <v>FormulaRow06</v>
      </c>
      <c r="B105" s="77" t="s">
        <v>236</v>
      </c>
      <c r="C105" s="76" t="str">
        <f t="array" ref="C105:C106">{"CLASSTYPE";((INDEX(ALLCLASSDATA,MATCH("ClassType",CLASSFEATUREHEADERS,0),MATCH($A106,CLASSNAMEHEADERS,0))))}</f>
        <v>CLASSTYPE</v>
      </c>
      <c r="D105" s="81" t="str">
        <f t="array" ref="D105:D106">{"SKILLS";"Skills"}</f>
        <v>SKILLS</v>
      </c>
      <c r="E105" s="81" t="str">
        <f t="array" ref="E105:E106">{"EXTRASKILLINCREASES";"Extra Skill Increases"}</f>
        <v>EXTRASKILLINCREASES</v>
      </c>
      <c r="F105" s="81"/>
      <c r="G105" s="81"/>
      <c r="H105" s="81"/>
      <c r="I105" s="81" t="str">
        <f t="array" ref="I105:I106">{"SKILLINCREASEEXTRA-L02";((INDEX(ALLCLASSDATA,MATCH("SkillIncreaseExtra-L02",CLASSFEATUREHEADERS,0),MATCH(($A106 &amp; "Points"),CLASSNAMEHEADERS,0))))}</f>
        <v>SKILLINCREASEEXTRA-L02</v>
      </c>
      <c r="J105" s="81" t="str">
        <f t="array" ref="J105:J106">{"SKILLINCREASEEXTRA-L03";((INDEX(ALLCLASSDATA,MATCH("SkillIncreaseExtra-L03",CLASSFEATUREHEADERS,0),MATCH(($A106 &amp; "Points"),CLASSNAMEHEADERS,0))))}</f>
        <v>SKILLINCREASEEXTRA-L03</v>
      </c>
      <c r="K105" s="81" t="str">
        <f t="array" ref="K105:K106">{"SKILLINCREASEEXTRA-L04";((INDEX(ALLCLASSDATA,MATCH("SkillIncreaseExtra-L04",CLASSFEATUREHEADERS,0),MATCH(($A106 &amp; "Points"),CLASSNAMEHEADERS,0))))}</f>
        <v>SKILLINCREASEEXTRA-L04</v>
      </c>
      <c r="L105" s="81" t="str">
        <f t="array" ref="L105:L106">{"SKILLINCREASEEXTRA-L05";((INDEX(ALLCLASSDATA,MATCH("SkillIncreaseExtra-L05",CLASSFEATUREHEADERS,0),MATCH(($A106 &amp; "Points"),CLASSNAMEHEADERS,0))))}</f>
        <v>SKILLINCREASEEXTRA-L05</v>
      </c>
      <c r="M105" s="81" t="str">
        <f t="array" ref="M105:M106">{"SKILLINCREASEEXTRA-L06";((INDEX(ALLCLASSDATA,MATCH("SkillIncreaseExtra-L06",CLASSFEATUREHEADERS,0),MATCH(($A106 &amp; "Points"),CLASSNAMEHEADERS,0))))}</f>
        <v>SKILLINCREASEEXTRA-L06</v>
      </c>
      <c r="N105" s="81" t="str">
        <f t="array" ref="N105:N106">{"SKILLINCREASEEXTRA-L07";((INDEX(ALLCLASSDATA,MATCH("SkillIncreaseExtra-L07",CLASSFEATUREHEADERS,0),MATCH(($A106 &amp; "Points"),CLASSNAMEHEADERS,0))))}</f>
        <v>SKILLINCREASEEXTRA-L07</v>
      </c>
      <c r="O105" s="81" t="str">
        <f t="array" ref="O105:O106">{"SKILLINCREASEEXTRA-L08";((INDEX(ALLCLASSDATA,MATCH("SkillIncreaseExtra-L08",CLASSFEATUREHEADERS,0),MATCH(($A106 &amp; "Points"),CLASSNAMEHEADERS,0))))}</f>
        <v>SKILLINCREASEEXTRA-L08</v>
      </c>
      <c r="P105" s="81" t="str">
        <f t="array" ref="P105:P106">{"SKILLINCREASEEXTRA-L09";((INDEX(ALLCLASSDATA,MATCH("SkillIncreaseExtra-L09",CLASSFEATUREHEADERS,0),MATCH(($A106 &amp; "Points"),CLASSNAMEHEADERS,0))))}</f>
        <v>SKILLINCREASEEXTRA-L09</v>
      </c>
      <c r="Q105" s="81" t="str">
        <f t="array" ref="Q105:Q106">{"SKILLINCREASEEXTRA-L10";((INDEX(ALLCLASSDATA,MATCH("SkillIncreaseExtra-L10",CLASSFEATUREHEADERS,0),MATCH(($A106 &amp; "Points"),CLASSNAMEHEADERS,0))))}</f>
        <v>SKILLINCREASEEXTRA-L10</v>
      </c>
      <c r="R105" s="81" t="str">
        <f t="array" ref="R105:R106">{"SKILLINCREASEEXTRA-L11";((INDEX(ALLCLASSDATA,MATCH("SkillIncreaseExtra-L11",CLASSFEATUREHEADERS,0),MATCH(($A106 &amp; "Points"),CLASSNAMEHEADERS,0))))}</f>
        <v>SKILLINCREASEEXTRA-L11</v>
      </c>
      <c r="S105" s="81" t="str">
        <f t="array" ref="S105:S106">{"SKILLINCREASEEXTRA-L12";((INDEX(ALLCLASSDATA,MATCH("SkillIncreaseExtra-L12",CLASSFEATUREHEADERS,0),MATCH(($A106 &amp; "Points"),CLASSNAMEHEADERS,0))))}</f>
        <v>SKILLINCREASEEXTRA-L12</v>
      </c>
      <c r="T105" s="81" t="str">
        <f t="array" ref="T105:T106">{"SKILLINCREASEEXTRA-L13";((INDEX(ALLCLASSDATA,MATCH("SkillIncreaseExtra-L13",CLASSFEATUREHEADERS,0),MATCH(($A106 &amp; "Points"),CLASSNAMEHEADERS,0))))}</f>
        <v>SKILLINCREASEEXTRA-L13</v>
      </c>
      <c r="U105" s="81" t="str">
        <f t="array" ref="U105:U106">{"SKILLINCREASEEXTRA-L14";((INDEX(ALLCLASSDATA,MATCH("SkillIncreaseExtra-L14",CLASSFEATUREHEADERS,0),MATCH(($A106 &amp; "Points"),CLASSNAMEHEADERS,0))))}</f>
        <v>SKILLINCREASEEXTRA-L14</v>
      </c>
      <c r="V105" s="81" t="str">
        <f t="array" ref="V105:V106">{"SKILLINCREASEEXTRA-L15";((INDEX(ALLCLASSDATA,MATCH("SkillIncreaseExtra-L15",CLASSFEATUREHEADERS,0),MATCH(($A106 &amp; "Points"),CLASSNAMEHEADERS,0))))}</f>
        <v>SKILLINCREASEEXTRA-L15</v>
      </c>
      <c r="W105" s="81" t="str">
        <f t="array" ref="W105:W106">{"SKILLINCREASEEXTRA-L16";((INDEX(ALLCLASSDATA,MATCH("SkillIncreaseExtra-L16",CLASSFEATUREHEADERS,0),MATCH(($A106 &amp; "Points"),CLASSNAMEHEADERS,0))))}</f>
        <v>SKILLINCREASEEXTRA-L16</v>
      </c>
      <c r="X105" s="81" t="str">
        <f t="array" ref="X105:X106">{"SKILLINCREASEEXTRA-L17";((INDEX(ALLCLASSDATA,MATCH("SkillIncreaseExtra-L17",CLASSFEATUREHEADERS,0),MATCH(($A106 &amp; "Points"),CLASSNAMEHEADERS,0))))}</f>
        <v>SKILLINCREASEEXTRA-L17</v>
      </c>
      <c r="Y105" s="81" t="str">
        <f t="array" ref="Y105:Y106">{"SKILLINCREASEEXTRA-L18";((INDEX(ALLCLASSDATA,MATCH("SkillIncreaseExtra-L18",CLASSFEATUREHEADERS,0),MATCH(($A106 &amp; "Points"),CLASSNAMEHEADERS,0))))}</f>
        <v>SKILLINCREASEEXTRA-L18</v>
      </c>
      <c r="Z105" s="81" t="str">
        <f t="array" ref="Z105:Z106">{"SKILLINCREASEEXTRA-L19";((INDEX(ALLCLASSDATA,MATCH("SkillIncreaseExtra-L19",CLASSFEATUREHEADERS,0),MATCH(($A106 &amp; "Points"),CLASSNAMEHEADERS,0))))}</f>
        <v>SKILLINCREASEEXTRA-L19</v>
      </c>
      <c r="AA105" s="81" t="str">
        <f t="array" ref="AA105:AA106">{"SKILLINCREASEEXTRA-L20";((INDEX(ALLCLASSDATA,MATCH("SkillIncreaseExtra-L20",CLASSFEATUREHEADERS,0),MATCH(($A106 &amp; "Points"),CLASSNAMEHEADERS,0))))}</f>
        <v>SKILLINCREASEEXTRA-L20</v>
      </c>
      <c r="AB105" s="76"/>
      <c r="AC105" s="76" t="str">
        <f t="array" ref="AC105:AC106">{"SKILLINCREASE TOTAL";(sum(G106:AA106))}</f>
        <v>SKILLINCREASE TOTAL</v>
      </c>
    </row>
    <row r="106">
      <c r="A106" s="48" t="s">
        <v>95</v>
      </c>
      <c r="B106" s="48"/>
      <c r="C106" s="48" t="s">
        <v>409</v>
      </c>
      <c r="D106" s="48" t="s">
        <v>659</v>
      </c>
      <c r="E106" s="48" t="s">
        <v>661</v>
      </c>
      <c r="F106" s="48"/>
      <c r="G106" s="47"/>
      <c r="H106" s="5"/>
      <c r="I106" s="5" t="s">
        <v>603</v>
      </c>
      <c r="J106" s="5" t="s">
        <v>603</v>
      </c>
      <c r="K106" s="5" t="s">
        <v>603</v>
      </c>
      <c r="L106" s="48" t="s">
        <v>603</v>
      </c>
      <c r="M106" s="5" t="s">
        <v>603</v>
      </c>
      <c r="N106" s="5" t="s">
        <v>603</v>
      </c>
      <c r="O106" s="5" t="s">
        <v>603</v>
      </c>
      <c r="P106" s="5" t="s">
        <v>603</v>
      </c>
      <c r="Q106" s="5" t="s">
        <v>603</v>
      </c>
      <c r="R106" s="5" t="s">
        <v>603</v>
      </c>
      <c r="S106" s="5" t="s">
        <v>603</v>
      </c>
      <c r="T106" s="5" t="s">
        <v>603</v>
      </c>
      <c r="U106" s="5" t="s">
        <v>603</v>
      </c>
      <c r="V106" s="5" t="s">
        <v>603</v>
      </c>
      <c r="W106" s="5" t="s">
        <v>603</v>
      </c>
      <c r="X106" s="5" t="s">
        <v>603</v>
      </c>
      <c r="Y106" s="5" t="s">
        <v>603</v>
      </c>
      <c r="Z106" s="5" t="s">
        <v>603</v>
      </c>
      <c r="AA106" s="5" t="s">
        <v>603</v>
      </c>
      <c r="AB106" s="5"/>
      <c r="AC106" s="47">
        <v>0.0</v>
      </c>
    </row>
    <row r="107" hidden="1">
      <c r="A107" s="76" t="str">
        <f t="array" ref="A107:A108">{"FormulaRow07";(INDEX(CLASSLIST,A94,1))}</f>
        <v>FormulaRow07</v>
      </c>
      <c r="B107" s="77" t="s">
        <v>236</v>
      </c>
      <c r="C107" s="76" t="str">
        <f t="array" ref="C107:C108">{"CLASSTYPE";((INDEX(ALLCLASSDATA,MATCH("ClassType",CLASSFEATUREHEADERS,0),MATCH($A108,CLASSNAMEHEADERS,0))))}</f>
        <v>CLASSTYPE</v>
      </c>
      <c r="D107" s="76" t="str">
        <f t="array" ref="D107:D108">{"SKILLS";"Skills"}</f>
        <v>SKILLS</v>
      </c>
      <c r="E107" s="76" t="str">
        <f t="array" ref="E107:E108">{"EXTRASKILLFEATS";"Extra Skill Feats"}</f>
        <v>EXTRASKILLFEATS</v>
      </c>
      <c r="F107" s="76"/>
      <c r="G107" s="76"/>
      <c r="H107" s="76" t="str">
        <f t="array" ref="H107:H108">{"SKILLFEATEXTRA-L01";((INDEX(ALLCLASSDATA,MATCH("SkillFeatExtra-L01",CLASSFEATUREHEADERS,0),MATCH(($A108 &amp; "Points"),CLASSNAMEHEADERS,0))))}</f>
        <v>SKILLFEATEXTRA-L01</v>
      </c>
      <c r="I107" s="76" t="str">
        <f t="array" ref="I107:I108">{"SKILLFEATEXTRA-L02";((INDEX(ALLCLASSDATA,MATCH("SkillFeatExtra-L02",CLASSFEATUREHEADERS,0),MATCH(($A108 &amp; "Points"),CLASSNAMEHEADERS,0))))}</f>
        <v>SKILLFEATEXTRA-L02</v>
      </c>
      <c r="J107" s="76" t="str">
        <f t="array" ref="J107:J108">{"SKILLFEATEXTRA-L03";((INDEX(ALLCLASSDATA,MATCH("SkillFeatExtra-L03",CLASSFEATUREHEADERS,0),MATCH(($A108 &amp; "Points"),CLASSNAMEHEADERS,0))))}</f>
        <v>SKILLFEATEXTRA-L03</v>
      </c>
      <c r="K107" s="76" t="str">
        <f t="array" ref="K107:K108">{"SKILLFEATEXTRA-L04";((INDEX(ALLCLASSDATA,MATCH("SkillFeatExtra-L04",CLASSFEATUREHEADERS,0),MATCH(($A108 &amp; "Points"),CLASSNAMEHEADERS,0))))}</f>
        <v>SKILLFEATEXTRA-L04</v>
      </c>
      <c r="L107" s="76" t="str">
        <f t="array" ref="L107:L108">{"SKILLFEATEXTRA-L05";((INDEX(ALLCLASSDATA,MATCH("SkillFeatExtra-L05",CLASSFEATUREHEADERS,0),MATCH(($A108 &amp; "Points"),CLASSNAMEHEADERS,0))))}</f>
        <v>SKILLFEATEXTRA-L05</v>
      </c>
      <c r="M107" s="76" t="str">
        <f t="array" ref="M107:M108">{"SKILLFEATEXTRA-L06";((INDEX(ALLCLASSDATA,MATCH("SkillFeatExtra-L06",CLASSFEATUREHEADERS,0),MATCH(($A108 &amp; "Points"),CLASSNAMEHEADERS,0))))}</f>
        <v>SKILLFEATEXTRA-L06</v>
      </c>
      <c r="N107" s="76" t="str">
        <f t="array" ref="N107:N108">{"SKILLFEATEXTRA-L07";((INDEX(ALLCLASSDATA,MATCH("SkillFeatExtra-L07",CLASSFEATUREHEADERS,0),MATCH(($A108 &amp; "Points"),CLASSNAMEHEADERS,0))))}</f>
        <v>SKILLFEATEXTRA-L07</v>
      </c>
      <c r="O107" s="76" t="str">
        <f t="array" ref="O107:O108">{"SKILLFEATEXTRA-L08";((INDEX(ALLCLASSDATA,MATCH("SkillFeatExtra-L08",CLASSFEATUREHEADERS,0),MATCH(($A108 &amp; "Points"),CLASSNAMEHEADERS,0))))}</f>
        <v>SKILLFEATEXTRA-L08</v>
      </c>
      <c r="P107" s="76" t="str">
        <f t="array" ref="P107:P108">{"SKILLFEATEXTRA-L09";((INDEX(ALLCLASSDATA,MATCH("SkillFeatExtra-L09",CLASSFEATUREHEADERS,0),MATCH(($A108 &amp; "Points"),CLASSNAMEHEADERS,0))))}</f>
        <v>SKILLFEATEXTRA-L09</v>
      </c>
      <c r="Q107" s="76" t="str">
        <f t="array" ref="Q107:Q108">{"SKILLFEATEXTRA-L10";((INDEX(ALLCLASSDATA,MATCH("SkillFeatExtra-L10",CLASSFEATUREHEADERS,0),MATCH(($A108 &amp; "Points"),CLASSNAMEHEADERS,0))))}</f>
        <v>SKILLFEATEXTRA-L10</v>
      </c>
      <c r="R107" s="76" t="str">
        <f t="array" ref="R107:R108">{"SKILLFEATEXTRA-L11";((INDEX(ALLCLASSDATA,MATCH("SkillFeatExtra-L11",CLASSFEATUREHEADERS,0),MATCH(($A108 &amp; "Points"),CLASSNAMEHEADERS,0))))}</f>
        <v>SKILLFEATEXTRA-L11</v>
      </c>
      <c r="S107" s="76" t="str">
        <f t="array" ref="S107:S108">{"SKILLFEATEXTRA-L12";((INDEX(ALLCLASSDATA,MATCH("SkillFeatExtra-L12",CLASSFEATUREHEADERS,0),MATCH(($A108 &amp; "Points"),CLASSNAMEHEADERS,0))))}</f>
        <v>SKILLFEATEXTRA-L12</v>
      </c>
      <c r="T107" s="76" t="str">
        <f t="array" ref="T107:T108">{"SKILLFEATEXTRA-L13";((INDEX(ALLCLASSDATA,MATCH("SkillFeatExtra-L13",CLASSFEATUREHEADERS,0),MATCH(($A108 &amp; "Points"),CLASSNAMEHEADERS,0))))}</f>
        <v>SKILLFEATEXTRA-L13</v>
      </c>
      <c r="U107" s="76" t="str">
        <f t="array" ref="U107:U108">{"SKILLFEATEXTRA-L14";((INDEX(ALLCLASSDATA,MATCH("SkillFeatExtra-L14",CLASSFEATUREHEADERS,0),MATCH(($A108 &amp; "Points"),CLASSNAMEHEADERS,0))))}</f>
        <v>SKILLFEATEXTRA-L14</v>
      </c>
      <c r="V107" s="76" t="str">
        <f t="array" ref="V107:V108">{"SKILLFEATEXTRA-L15";((INDEX(ALLCLASSDATA,MATCH("SkillFeatExtra-L15",CLASSFEATUREHEADERS,0),MATCH(($A108 &amp; "Points"),CLASSNAMEHEADERS,0))))}</f>
        <v>SKILLFEATEXTRA-L15</v>
      </c>
      <c r="W107" s="76" t="str">
        <f t="array" ref="W107:W108">{"SKILLFEATEXTRA-L16";((INDEX(ALLCLASSDATA,MATCH("SkillFeatExtra-L16",CLASSFEATUREHEADERS,0),MATCH(($A108 &amp; "Points"),CLASSNAMEHEADERS,0))))}</f>
        <v>SKILLFEATEXTRA-L16</v>
      </c>
      <c r="X107" s="76" t="str">
        <f t="array" ref="X107:X108">{"SKILLFEATEXTRA-L17";((INDEX(ALLCLASSDATA,MATCH("SkillFeatExtra-L17",CLASSFEATUREHEADERS,0),MATCH(($A108 &amp; "Points"),CLASSNAMEHEADERS,0))))}</f>
        <v>SKILLFEATEXTRA-L17</v>
      </c>
      <c r="Y107" s="76" t="str">
        <f t="array" ref="Y107:Y108">{"SKILLFEATEXTRA-L18";((INDEX(ALLCLASSDATA,MATCH("SkillFeatExtra-L18",CLASSFEATUREHEADERS,0),MATCH(($A108 &amp; "Points"),CLASSNAMEHEADERS,0))))}</f>
        <v>SKILLFEATEXTRA-L18</v>
      </c>
      <c r="Z107" s="76" t="str">
        <f t="array" ref="Z107:Z108">{"SKILLFEATEXTRA-L19";((INDEX(ALLCLASSDATA,MATCH("SkillFeatExtra-L19",CLASSFEATUREHEADERS,0),MATCH(($A108 &amp; "Points"),CLASSNAMEHEADERS,0))))}</f>
        <v>SKILLFEATEXTRA-L19</v>
      </c>
      <c r="AA107" s="76" t="str">
        <f t="array" ref="AA107:AA108">{"SKILLFEATEXTRA-L20";((INDEX(ALLCLASSDATA,MATCH("SkillFeatExtra-L20",CLASSFEATUREHEADERS,0),MATCH(($A108 &amp; "Points"),CLASSNAMEHEADERS,0))))}</f>
        <v>SKILLFEATEXTRA-L20</v>
      </c>
      <c r="AB107" s="76"/>
      <c r="AC107" s="76" t="str">
        <f t="array" ref="AC107:AC108">{"SKILLFEAT TOTAL";(sum(G108:AA108))}</f>
        <v>SKILLFEAT TOTAL</v>
      </c>
    </row>
    <row r="108">
      <c r="A108" s="48" t="s">
        <v>95</v>
      </c>
      <c r="B108" s="48"/>
      <c r="C108" s="48" t="s">
        <v>409</v>
      </c>
      <c r="D108" s="97" t="s">
        <v>659</v>
      </c>
      <c r="E108" s="97" t="s">
        <v>722</v>
      </c>
      <c r="F108" s="97"/>
      <c r="G108" s="132"/>
      <c r="H108" s="98" t="s">
        <v>603</v>
      </c>
      <c r="I108" s="98" t="s">
        <v>603</v>
      </c>
      <c r="J108" s="97" t="s">
        <v>603</v>
      </c>
      <c r="K108" s="98" t="s">
        <v>603</v>
      </c>
      <c r="L108" s="97" t="s">
        <v>603</v>
      </c>
      <c r="M108" s="98" t="s">
        <v>603</v>
      </c>
      <c r="N108" s="98" t="s">
        <v>603</v>
      </c>
      <c r="O108" s="98" t="s">
        <v>603</v>
      </c>
      <c r="P108" s="98" t="s">
        <v>603</v>
      </c>
      <c r="Q108" s="98" t="s">
        <v>603</v>
      </c>
      <c r="R108" s="98" t="s">
        <v>603</v>
      </c>
      <c r="S108" s="98" t="s">
        <v>603</v>
      </c>
      <c r="T108" s="98" t="s">
        <v>603</v>
      </c>
      <c r="U108" s="98" t="s">
        <v>603</v>
      </c>
      <c r="V108" s="98" t="s">
        <v>603</v>
      </c>
      <c r="W108" s="98" t="s">
        <v>603</v>
      </c>
      <c r="X108" s="98" t="s">
        <v>603</v>
      </c>
      <c r="Y108" s="98" t="s">
        <v>603</v>
      </c>
      <c r="Z108" s="98" t="s">
        <v>603</v>
      </c>
      <c r="AA108" s="98" t="s">
        <v>603</v>
      </c>
      <c r="AB108" s="5"/>
      <c r="AC108" s="47">
        <v>0.0</v>
      </c>
    </row>
    <row r="109" hidden="1">
      <c r="A109" s="76" t="str">
        <f t="array" ref="A109:A110">{"FormulaRow08";(INDEX(CLASSLIST,A94,1))}</f>
        <v>FormulaRow08</v>
      </c>
      <c r="B109" s="77" t="s">
        <v>236</v>
      </c>
      <c r="C109" s="76" t="str">
        <f t="array" ref="C109:C110">{"CLASSTYPE";((INDEX(ALLCLASSDATA,MATCH("ClassType",CLASSFEATUREHEADERS,0),MATCH($A110,CLASSNAMEHEADERS,0))))}</f>
        <v>CLASSTYPE</v>
      </c>
      <c r="D109" s="81" t="str">
        <f t="array" ref="D109:D110">{"CLASSABILITY";"ClassAbility"}</f>
        <v>CLASSABILITY</v>
      </c>
      <c r="E109" s="81" t="str">
        <f t="array" ref="E109:E110">{"CLASSABILITY1";"ClassAbility1"}</f>
        <v>CLASSABILITY1</v>
      </c>
      <c r="F109" s="81"/>
      <c r="G109" s="81"/>
      <c r="H109" s="81"/>
      <c r="I109" s="81"/>
      <c r="J109" s="81" t="str">
        <f t="array" ref="J109:J110">{"CLASSABILITY1-L03";((INDEX(ALLCLASSDATA,MATCH("ClassAbility1-L03",CLASSFEATUREHEADERS,0),MATCH(($A110),CLASSNAMEHEADERS,0))))}</f>
        <v>CLASSABILITY1-L03</v>
      </c>
      <c r="K109" s="81"/>
      <c r="L109" s="81" t="str">
        <f t="array" ref="L109:L110">{"CLASSABILITY1-L05";((INDEX(ALLCLASSDATA,MATCH("ClassAbility1-L05",CLASSFEATUREHEADERS,0),MATCH(($A110),CLASSNAMEHEADERS,0))))}</f>
        <v>CLASSABILITY1-L05</v>
      </c>
      <c r="M109" s="81"/>
      <c r="N109" s="81" t="str">
        <f t="array" ref="N109:N110">{"CLASSABILITY1-L07";((INDEX(ALLCLASSDATA,MATCH("ClassAbility1-L07",CLASSFEATUREHEADERS,0),MATCH(($A110),CLASSNAMEHEADERS,0))))}</f>
        <v>CLASSABILITY1-L07</v>
      </c>
      <c r="O109" s="81"/>
      <c r="P109" s="81" t="str">
        <f t="array" ref="P109:P110">{"CLASSABILITY1-L09";((INDEX(ALLCLASSDATA,MATCH("ClassAbility1-L09",CLASSFEATUREHEADERS,0),MATCH(($A110),CLASSNAMEHEADERS,0))))}</f>
        <v>CLASSABILITY1-L09</v>
      </c>
      <c r="Q109" s="81"/>
      <c r="R109" s="81" t="str">
        <f t="array" ref="R109:R110">{"CLASSABILITY1-L11";((INDEX(ALLCLASSDATA,MATCH("ClassAbility1-L11",CLASSFEATUREHEADERS,0),MATCH(($A110),CLASSNAMEHEADERS,0))))}</f>
        <v>CLASSABILITY1-L11</v>
      </c>
      <c r="S109" s="81"/>
      <c r="T109" s="81" t="str">
        <f t="array" ref="T109:T110">{"CLASSABILITY1-L13";((INDEX(ALLCLASSDATA,MATCH("ClassAbility1-L13",CLASSFEATUREHEADERS,0),MATCH(($A110),CLASSNAMEHEADERS,0))))}</f>
        <v>CLASSABILITY1-L13</v>
      </c>
      <c r="U109" s="81"/>
      <c r="V109" s="81" t="str">
        <f t="array" ref="V109:V110">{"CLASSABILITY1-L15";((INDEX(ALLCLASSDATA,MATCH("ClassAbility1-L15",CLASSFEATUREHEADERS,0),MATCH(($A110),CLASSNAMEHEADERS,0))))}</f>
        <v>CLASSABILITY1-L15</v>
      </c>
      <c r="W109" s="81"/>
      <c r="X109" s="81" t="str">
        <f t="array" ref="X109:X110">{"CLASSABILITY1-L17";((INDEX(ALLCLASSDATA,MATCH("ClassAbility1-L17",CLASSFEATUREHEADERS,0),MATCH(($A110),CLASSNAMEHEADERS,0))))}</f>
        <v>CLASSABILITY1-L17</v>
      </c>
      <c r="Y109" s="81"/>
      <c r="Z109" s="81" t="str">
        <f t="array" ref="Z109:Z110">{"CLASSABILITY1-L19";((INDEX(ALLCLASSDATA,MATCH("ClassAbility1-L19",CLASSFEATUREHEADERS,0),MATCH(($A110),CLASSNAMEHEADERS,0))))}</f>
        <v>CLASSABILITY1-L19</v>
      </c>
      <c r="AA109" s="81"/>
      <c r="AB109" s="76"/>
      <c r="AC109" s="76"/>
    </row>
    <row r="110">
      <c r="A110" s="48" t="s">
        <v>95</v>
      </c>
      <c r="B110" s="48"/>
      <c r="C110" s="48" t="s">
        <v>409</v>
      </c>
      <c r="D110" s="48" t="s">
        <v>825</v>
      </c>
      <c r="E110" s="48" t="s">
        <v>826</v>
      </c>
      <c r="F110" s="5"/>
      <c r="G110" s="47"/>
      <c r="H110" s="5"/>
      <c r="I110" s="5"/>
      <c r="J110" s="5" t="s">
        <v>1676</v>
      </c>
      <c r="K110" s="5"/>
      <c r="L110" s="5" t="s">
        <v>1691</v>
      </c>
      <c r="M110" s="5"/>
      <c r="N110" s="5" t="s">
        <v>369</v>
      </c>
      <c r="O110" s="5"/>
      <c r="P110" s="5" t="s">
        <v>1715</v>
      </c>
      <c r="Q110" s="5"/>
      <c r="R110" s="5" t="s">
        <v>906</v>
      </c>
      <c r="S110" s="5"/>
      <c r="T110" s="5" t="s">
        <v>953</v>
      </c>
      <c r="U110" s="5"/>
      <c r="V110" s="5" t="s">
        <v>371</v>
      </c>
      <c r="W110" s="5"/>
      <c r="X110" s="5" t="s">
        <v>1771</v>
      </c>
      <c r="Y110" s="5"/>
      <c r="Z110" s="5" t="s">
        <v>1787</v>
      </c>
      <c r="AA110" s="5"/>
      <c r="AB110" s="5"/>
      <c r="AC110" s="47"/>
    </row>
    <row r="111" hidden="1">
      <c r="A111" s="76" t="str">
        <f t="array" ref="A111:A112">{"FormulaRow09";(INDEX(CLASSLIST,A94,1))}</f>
        <v>FormulaRow09</v>
      </c>
      <c r="B111" s="77" t="s">
        <v>236</v>
      </c>
      <c r="C111" s="76" t="str">
        <f t="array" ref="C111:C112">{"CLASSTYPE";((INDEX(ALLCLASSDATA,MATCH("ClassType",CLASSFEATUREHEADERS,0),MATCH($A112,CLASSNAMEHEADERS,0))))}</f>
        <v>CLASSTYPE</v>
      </c>
      <c r="D111" s="76" t="str">
        <f t="array" ref="D111:D112">{"CLASSABILITYPTS";"ClassAbilityPts"}</f>
        <v>CLASSABILITYPTS</v>
      </c>
      <c r="E111" s="76" t="str">
        <f t="array" ref="E111:E112">{"CLASSABILITY1";"ClassAbility1"}</f>
        <v>CLASSABILITY1</v>
      </c>
      <c r="F111" s="76"/>
      <c r="G111" s="76"/>
      <c r="H111" s="76"/>
      <c r="I111" s="76"/>
      <c r="J111" s="76" t="str">
        <f t="array" ref="J111:J112">{"CLASSABILITY1-L03PTS";((INDEX(ALLCLASSDATA,MATCH("ClassAbility1-L03",CLASSFEATUREHEADERS,0),MATCH(($A112 &amp; "Points"),CLASSNAMEHEADERS,0))))}</f>
        <v>CLASSABILITY1-L03PTS</v>
      </c>
      <c r="K111" s="76"/>
      <c r="L111" s="76" t="str">
        <f t="array" ref="L111:L112">{"CLASSABILITY1-L05PTS";((INDEX(ALLCLASSDATA,MATCH("ClassAbility1-L05",CLASSFEATUREHEADERS,0),MATCH(($A112 &amp; "Points"),CLASSNAMEHEADERS,0))))}</f>
        <v>CLASSABILITY1-L05PTS</v>
      </c>
      <c r="M111" s="76"/>
      <c r="N111" s="76" t="str">
        <f t="array" ref="N111:N112">{"CLASSABILITY1-L07PTS";((INDEX(ALLCLASSDATA,MATCH("ClassAbility1-L07",CLASSFEATUREHEADERS,0),MATCH(($A112 &amp; "Points"),CLASSNAMEHEADERS,0))))}</f>
        <v>CLASSABILITY1-L07PTS</v>
      </c>
      <c r="O111" s="76"/>
      <c r="P111" s="76" t="str">
        <f t="array" ref="P111:P112">{"CLASSABILITY1-L09PTS";((INDEX(ALLCLASSDATA,MATCH("ClassAbility1-L09",CLASSFEATUREHEADERS,0),MATCH(($A112 &amp; "Points"),CLASSNAMEHEADERS,0))))}</f>
        <v>CLASSABILITY1-L09PTS</v>
      </c>
      <c r="Q111" s="76"/>
      <c r="R111" s="76" t="str">
        <f t="array" ref="R111:R112">{"CLASSABILITY1-L11PTS";((INDEX(ALLCLASSDATA,MATCH("ClassAbility1-L11",CLASSFEATUREHEADERS,0),MATCH(($A112 &amp; "Points"),CLASSNAMEHEADERS,0))))}</f>
        <v>CLASSABILITY1-L11PTS</v>
      </c>
      <c r="S111" s="76"/>
      <c r="T111" s="76" t="str">
        <f t="array" ref="T111:T112">{"CLASSABILITY1-L13PTS";((INDEX(ALLCLASSDATA,MATCH("ClassAbility1-L13",CLASSFEATUREHEADERS,0),MATCH(($A112 &amp; "Points"),CLASSNAMEHEADERS,0))))}</f>
        <v>CLASSABILITY1-L13PTS</v>
      </c>
      <c r="U111" s="76"/>
      <c r="V111" s="76" t="str">
        <f t="array" ref="V111:V112">{"CLASSABILITY1-L15PTS";((INDEX(ALLCLASSDATA,MATCH("ClassAbility1-L15",CLASSFEATUREHEADERS,0),MATCH(($A112 &amp; "Points"),CLASSNAMEHEADERS,0))))}</f>
        <v>CLASSABILITY1-L15PTS</v>
      </c>
      <c r="W111" s="76"/>
      <c r="X111" s="76" t="str">
        <f t="array" ref="X111:X112">{"CLASSABILITY1-L17PTS";((INDEX(ALLCLASSDATA,MATCH("ClassAbility1-L17",CLASSFEATUREHEADERS,0),MATCH(($A112 &amp; "Points"),CLASSNAMEHEADERS,0))))}</f>
        <v>CLASSABILITY1-L17PTS</v>
      </c>
      <c r="Y111" s="76"/>
      <c r="Z111" s="76" t="str">
        <f t="array" ref="Z111:Z112">{"CLASSABILITY1-L19PTS";((INDEX(ALLCLASSDATA,MATCH("ClassAbility1-L19",CLASSFEATUREHEADERS,0),MATCH(($A112 &amp; "Points"),CLASSNAMEHEADERS,0))))}</f>
        <v>CLASSABILITY1-L19PTS</v>
      </c>
      <c r="AA111" s="76"/>
      <c r="AB111" s="76"/>
      <c r="AC111" s="76" t="str">
        <f t="array" ref="AC111:AC112">{"CLASSABILITY1 TOTAL";(sum(G112:AA112))}</f>
        <v>CLASSABILITY1 TOTAL</v>
      </c>
    </row>
    <row r="112">
      <c r="A112" s="48" t="s">
        <v>95</v>
      </c>
      <c r="B112" s="48"/>
      <c r="C112" s="48" t="s">
        <v>409</v>
      </c>
      <c r="D112" s="48" t="s">
        <v>930</v>
      </c>
      <c r="E112" s="48" t="s">
        <v>826</v>
      </c>
      <c r="F112" s="5"/>
      <c r="G112" s="5"/>
      <c r="H112" s="5"/>
      <c r="I112" s="5"/>
      <c r="J112" s="48">
        <v>30.0</v>
      </c>
      <c r="K112" s="5"/>
      <c r="L112" s="5"/>
      <c r="M112" s="5"/>
      <c r="N112" s="5"/>
      <c r="O112" s="5"/>
      <c r="P112" s="5"/>
      <c r="Q112" s="5"/>
      <c r="R112" s="5">
        <v>110.0</v>
      </c>
      <c r="S112" s="5"/>
      <c r="T112" s="5"/>
      <c r="U112" s="5"/>
      <c r="V112" s="5"/>
      <c r="W112" s="5"/>
      <c r="X112" s="5"/>
      <c r="Y112" s="5"/>
      <c r="Z112" s="5">
        <v>190.0</v>
      </c>
      <c r="AA112" s="5"/>
      <c r="AB112" s="5"/>
      <c r="AC112" s="47">
        <v>330.0</v>
      </c>
    </row>
    <row r="113" hidden="1">
      <c r="A113" s="76" t="str">
        <f t="array" ref="A113:A114">{"FormulaRow10";(INDEX(CLASSLIST,A94,1))}</f>
        <v>FormulaRow10</v>
      </c>
      <c r="B113" s="77" t="s">
        <v>236</v>
      </c>
      <c r="C113" s="76" t="str">
        <f t="array" ref="C113:C114">{"CLASSTYPE";((INDEX(ALLCLASSDATA,MATCH("ClassType",CLASSFEATUREHEADERS,0),MATCH($A114,CLASSNAMEHEADERS,0))))}</f>
        <v>CLASSTYPE</v>
      </c>
      <c r="D113" s="76" t="str">
        <f t="array" ref="D113:D114">{"CLASSABILITY";"ClassAbility"}</f>
        <v>CLASSABILITY</v>
      </c>
      <c r="E113" s="76" t="str">
        <f t="array" ref="E113:E114">{"CLASSABILITY2";"ClassAbility2"}</f>
        <v>CLASSABILITY2</v>
      </c>
      <c r="F113" s="76"/>
      <c r="G113" s="76"/>
      <c r="H113" s="76"/>
      <c r="I113" s="76"/>
      <c r="J113" s="76" t="str">
        <f t="array" ref="J113:J114">{"CLASSABILITY2-L03";((INDEX(ALLCLASSDATA,MATCH("ClassAbility2-L03",CLASSFEATUREHEADERS,0),MATCH(($A114),CLASSNAMEHEADERS,0))))}</f>
        <v>CLASSABILITY2-L03</v>
      </c>
      <c r="K113" s="76"/>
      <c r="L113" s="76" t="str">
        <f t="array" ref="L113:L114">{"CLASSABILITY2-L05";((INDEX(ALLCLASSDATA,MATCH("ClassAbility2-L05",CLASSFEATUREHEADERS,0),MATCH(($A114),CLASSNAMEHEADERS,0))))}</f>
        <v>CLASSABILITY2-L05</v>
      </c>
      <c r="M113" s="76"/>
      <c r="N113" s="76" t="str">
        <f t="array" ref="N113:N114">{"CLASSABILITY2-L07";((INDEX(ALLCLASSDATA,MATCH("ClassAbility2-L07",CLASSFEATUREHEADERS,0),MATCH(($A114),CLASSNAMEHEADERS,0))))}</f>
        <v>CLASSABILITY2-L07</v>
      </c>
      <c r="O113" s="76"/>
      <c r="P113" s="76" t="str">
        <f t="array" ref="P113:P114">{"CLASSABILITY2-L09";((INDEX(ALLCLASSDATA,MATCH("ClassAbility2-L09",CLASSFEATUREHEADERS,0),MATCH(($A114),CLASSNAMEHEADERS,0))))}</f>
        <v>CLASSABILITY2-L09</v>
      </c>
      <c r="Q113" s="76"/>
      <c r="R113" s="76" t="str">
        <f t="array" ref="R113:R114">{"CLASSABILITY2-L11";((INDEX(ALLCLASSDATA,MATCH("ClassAbility2-L11",CLASSFEATUREHEADERS,0),MATCH(($A114),CLASSNAMEHEADERS,0))))}</f>
        <v>CLASSABILITY2-L11</v>
      </c>
      <c r="S113" s="76"/>
      <c r="T113" s="76" t="str">
        <f t="array" ref="T113:T114">{"CLASSABILITY2-L13";((INDEX(ALLCLASSDATA,MATCH("ClassAbility2-L13",CLASSFEATUREHEADERS,0),MATCH(($A114),CLASSNAMEHEADERS,0))))}</f>
        <v>CLASSABILITY2-L13</v>
      </c>
      <c r="U113" s="76"/>
      <c r="V113" s="76" t="str">
        <f t="array" ref="V113:V114">{"CLASSABILITY2-L15";((INDEX(ALLCLASSDATA,MATCH("ClassAbility2-L15",CLASSFEATUREHEADERS,0),MATCH(($A114),CLASSNAMEHEADERS,0))))}</f>
        <v>CLASSABILITY2-L15</v>
      </c>
      <c r="W113" s="76"/>
      <c r="X113" s="76" t="str">
        <f t="array" ref="X113:X114">{"CLASSABILITY2-L17";((INDEX(ALLCLASSDATA,MATCH("ClassAbility2-L17",CLASSFEATUREHEADERS,0),MATCH(($A114),CLASSNAMEHEADERS,0))))}</f>
        <v>CLASSABILITY2-L17</v>
      </c>
      <c r="Y113" s="76"/>
      <c r="Z113" s="76" t="str">
        <f t="array" ref="Z113:Z114">{"CLASSABILITY2-L19";((INDEX(ALLCLASSDATA,MATCH("ClassAbility2-L19",CLASSFEATUREHEADERS,0),MATCH(($A114),CLASSNAMEHEADERS,0))))}</f>
        <v>CLASSABILITY2-L19</v>
      </c>
      <c r="AA113" s="76"/>
      <c r="AB113" s="76"/>
      <c r="AC113" s="76"/>
    </row>
    <row r="114">
      <c r="A114" s="48" t="s">
        <v>95</v>
      </c>
      <c r="B114" s="48"/>
      <c r="C114" s="48" t="s">
        <v>409</v>
      </c>
      <c r="D114" s="48" t="s">
        <v>825</v>
      </c>
      <c r="E114" s="48" t="s">
        <v>1007</v>
      </c>
      <c r="F114" s="48"/>
      <c r="G114" s="47"/>
      <c r="H114" s="5"/>
      <c r="I114" s="5"/>
      <c r="J114" s="5" t="s">
        <v>1681</v>
      </c>
      <c r="K114" s="5"/>
      <c r="L114" s="5" t="s">
        <v>305</v>
      </c>
      <c r="M114" s="5"/>
      <c r="N114" s="5" t="s">
        <v>904</v>
      </c>
      <c r="O114" s="5"/>
      <c r="P114" s="5" t="s">
        <v>905</v>
      </c>
      <c r="Q114" s="5"/>
      <c r="R114" s="5"/>
      <c r="S114" s="5"/>
      <c r="T114" s="5" t="s">
        <v>1754</v>
      </c>
      <c r="U114" s="5"/>
      <c r="V114" s="5" t="s">
        <v>907</v>
      </c>
      <c r="W114" s="5"/>
      <c r="X114" s="5" t="s">
        <v>908</v>
      </c>
      <c r="Y114" s="5"/>
      <c r="Z114" s="5"/>
      <c r="AA114" s="5"/>
      <c r="AB114" s="5"/>
      <c r="AC114" s="47"/>
    </row>
    <row r="115" hidden="1">
      <c r="A115" s="76" t="str">
        <f t="array" ref="A115:A116">{"FormulaRow11";(INDEX(CLASSLIST,A94,1))}</f>
        <v>FormulaRow11</v>
      </c>
      <c r="B115" s="77" t="s">
        <v>236</v>
      </c>
      <c r="C115" s="76" t="str">
        <f t="array" ref="C115:C116">{"CLASSTYPE";((INDEX(ALLCLASSDATA,MATCH("ClassType",CLASSFEATUREHEADERS,0),MATCH($A116,CLASSNAMEHEADERS,0))))}</f>
        <v>CLASSTYPE</v>
      </c>
      <c r="D115" s="76" t="str">
        <f t="array" ref="D115:D116">{"CLASSABILITYPTS";"ClassAbilityPts"}</f>
        <v>CLASSABILITYPTS</v>
      </c>
      <c r="E115" s="76" t="str">
        <f t="array" ref="E115:E116">{"CLASSABILITY2";"ClassAbility2"}</f>
        <v>CLASSABILITY2</v>
      </c>
      <c r="F115" s="76"/>
      <c r="G115" s="76"/>
      <c r="H115" s="76"/>
      <c r="I115" s="76"/>
      <c r="J115" s="76" t="str">
        <f t="array" ref="J115:J116">{"CLASSABILITY2-L03PTS";((INDEX(ALLCLASSDATA,MATCH("ClassAbility2-L03",CLASSFEATUREHEADERS,0),MATCH(($A116 &amp; "Points"),CLASSNAMEHEADERS,0))))}</f>
        <v>CLASSABILITY2-L03PTS</v>
      </c>
      <c r="K115" s="76"/>
      <c r="L115" s="76" t="str">
        <f t="array" ref="L115:L116">{"CLASSABILITY2-L05PTS";((INDEX(ALLCLASSDATA,MATCH("ClassAbility2-L05",CLASSFEATUREHEADERS,0),MATCH(($A116 &amp; "Points"),CLASSNAMEHEADERS,0))))}</f>
        <v>CLASSABILITY2-L05PTS</v>
      </c>
      <c r="M115" s="76"/>
      <c r="N115" s="76" t="str">
        <f t="array" ref="N115:N116">{"CLASSABILITY2-L07PTS";((INDEX(ALLCLASSDATA,MATCH("ClassAbility2-L07",CLASSFEATUREHEADERS,0),MATCH(($A116 &amp; "Points"),CLASSNAMEHEADERS,0))))}</f>
        <v>CLASSABILITY2-L07PTS</v>
      </c>
      <c r="O115" s="76"/>
      <c r="P115" s="76" t="str">
        <f t="array" ref="P115:P116">{"CLASSABILITY2-L09PTS";((INDEX(ALLCLASSDATA,MATCH("ClassAbility2-L09",CLASSFEATUREHEADERS,0),MATCH(($A116 &amp; "Points"),CLASSNAMEHEADERS,0))))}</f>
        <v>CLASSABILITY2-L09PTS</v>
      </c>
      <c r="Q115" s="76"/>
      <c r="R115" s="76" t="str">
        <f t="array" ref="R115:R116">{"CLASSABILITY2-L11PTS";((INDEX(ALLCLASSDATA,MATCH("ClassAbility2-L11",CLASSFEATUREHEADERS,0),MATCH(($A116 &amp; "Points"),CLASSNAMEHEADERS,0))))}</f>
        <v>CLASSABILITY2-L11PTS</v>
      </c>
      <c r="S115" s="76"/>
      <c r="T115" s="76" t="str">
        <f t="array" ref="T115:T116">{"CLASSABILITY2-L13PTS";((INDEX(ALLCLASSDATA,MATCH("ClassAbility2-L13",CLASSFEATUREHEADERS,0),MATCH(($A116 &amp; "Points"),CLASSNAMEHEADERS,0))))}</f>
        <v>CLASSABILITY2-L13PTS</v>
      </c>
      <c r="U115" s="76"/>
      <c r="V115" s="76" t="str">
        <f t="array" ref="V115:V116">{"CLASSABILITY2-L15PTS";((INDEX(ALLCLASSDATA,MATCH("ClassAbility2-L15",CLASSFEATUREHEADERS,0),MATCH(($A116 &amp; "Points"),CLASSNAMEHEADERS,0))))}</f>
        <v>CLASSABILITY2-L15PTS</v>
      </c>
      <c r="W115" s="76"/>
      <c r="X115" s="76" t="str">
        <f t="array" ref="X115:X116">{"CLASSABILITY2-L17PTS";((INDEX(ALLCLASSDATA,MATCH("ClassAbility2-L17",CLASSFEATUREHEADERS,0),MATCH(($A116 &amp; "Points"),CLASSNAMEHEADERS,0))))}</f>
        <v>CLASSABILITY2-L17PTS</v>
      </c>
      <c r="Y115" s="76"/>
      <c r="Z115" s="76" t="str">
        <f t="array" ref="Z115:Z116">{"CLASSABILITY2-L19PTS";((INDEX(ALLCLASSDATA,MATCH("ClassAbility2-L19",CLASSFEATUREHEADERS,0),MATCH(($A116 &amp; "Points"),CLASSNAMEHEADERS,0))))}</f>
        <v>CLASSABILITY2-L19PTS</v>
      </c>
      <c r="AA115" s="76"/>
      <c r="AB115" s="76"/>
      <c r="AC115" s="76" t="str">
        <f t="array" ref="AC115:AC116">{"CLASSABILITY2 TOTAL";(sum(G116:AA116))}</f>
        <v>CLASSABILITY2 TOTAL</v>
      </c>
    </row>
    <row r="116">
      <c r="A116" s="48" t="s">
        <v>95</v>
      </c>
      <c r="B116" s="48"/>
      <c r="C116" s="48" t="s">
        <v>409</v>
      </c>
      <c r="D116" s="48" t="s">
        <v>930</v>
      </c>
      <c r="E116" s="48" t="s">
        <v>1007</v>
      </c>
      <c r="F116" s="48"/>
      <c r="G116" s="47"/>
      <c r="H116" s="5"/>
      <c r="I116" s="5"/>
      <c r="J116" s="5"/>
      <c r="K116" s="5"/>
      <c r="L116" s="5"/>
      <c r="M116" s="5"/>
      <c r="N116" s="5">
        <v>110.0</v>
      </c>
      <c r="O116" s="5"/>
      <c r="P116" s="5">
        <v>70.0</v>
      </c>
      <c r="Q116" s="5"/>
      <c r="R116" s="5"/>
      <c r="S116" s="5"/>
      <c r="T116" s="5"/>
      <c r="U116" s="5"/>
      <c r="V116" s="5">
        <v>190.0</v>
      </c>
      <c r="W116" s="5"/>
      <c r="X116" s="5">
        <v>0.0</v>
      </c>
      <c r="Y116" s="5"/>
      <c r="Z116" s="5"/>
      <c r="AA116" s="5"/>
      <c r="AB116" s="5"/>
      <c r="AC116" s="47">
        <v>370.0</v>
      </c>
    </row>
    <row r="117" hidden="1">
      <c r="A117" s="76" t="str">
        <f t="array" ref="A117:A118">{"FormulaRow12";(INDEX(CLASSLIST,A94,1))}</f>
        <v>FormulaRow12</v>
      </c>
      <c r="B117" s="77" t="s">
        <v>236</v>
      </c>
      <c r="C117" s="76" t="str">
        <f t="array" ref="C117:C118">{"CLASSTYPE";((INDEX(ALLCLASSDATA,MATCH("ClassType",CLASSFEATUREHEADERS,0),MATCH($A118,CLASSNAMEHEADERS,0))))}</f>
        <v>CLASSTYPE</v>
      </c>
      <c r="D117" s="76" t="str">
        <f t="array" ref="D117:D118">{"CLASSABILITY";"ClassAbility"}</f>
        <v>CLASSABILITY</v>
      </c>
      <c r="E117" s="76" t="str">
        <f t="array" ref="E117:E118">{"CLASSABILITY3";"ClassAbility3"}</f>
        <v>CLASSABILITY3</v>
      </c>
      <c r="F117" s="76"/>
      <c r="G117" s="76"/>
      <c r="H117" s="76"/>
      <c r="I117" s="76"/>
      <c r="J117" s="76" t="str">
        <f t="array" ref="J117:J118">{"CLASSABILITY3-L03";((INDEX(ALLCLASSDATA,MATCH("ClassAbility3-L03",CLASSFEATUREHEADERS,0),MATCH(($A118),CLASSNAMEHEADERS,0))))}</f>
        <v>CLASSABILITY3-L03</v>
      </c>
      <c r="K117" s="76"/>
      <c r="L117" s="76" t="str">
        <f t="array" ref="L117:L118">{"CLASSABILITY3-L05";((INDEX(ALLCLASSDATA,MATCH("ClassAbility3-L05",CLASSFEATUREHEADERS,0),MATCH(($A118),CLASSNAMEHEADERS,0))))}</f>
        <v>CLASSABILITY3-L05</v>
      </c>
      <c r="M117" s="76"/>
      <c r="N117" s="76" t="str">
        <f t="array" ref="N117:N118">{"CLASSABILITY3-L07";((INDEX(ALLCLASSDATA,MATCH("ClassAbility3-L07",CLASSFEATUREHEADERS,0),MATCH(($A118),CLASSNAMEHEADERS,0))))}</f>
        <v>CLASSABILITY3-L07</v>
      </c>
      <c r="O117" s="76"/>
      <c r="P117" s="76" t="str">
        <f t="array" ref="P117:P118">{"CLASSABILITY3-L09";((INDEX(ALLCLASSDATA,MATCH("ClassAbility3-L09",CLASSFEATUREHEADERS,0),MATCH(($A118),CLASSNAMEHEADERS,0))))}</f>
        <v>CLASSABILITY3-L09</v>
      </c>
      <c r="Q117" s="76"/>
      <c r="R117" s="76" t="str">
        <f t="array" ref="R117:R118">{"CLASSABILITY3-L11";((INDEX(ALLCLASSDATA,MATCH("ClassAbility3-L11",CLASSFEATUREHEADERS,0),MATCH(($A118),CLASSNAMEHEADERS,0))))}</f>
        <v>CLASSABILITY3-L11</v>
      </c>
      <c r="S117" s="76"/>
      <c r="T117" s="76" t="str">
        <f t="array" ref="T117:T118">{"CLASSABILITY3-L13";((INDEX(ALLCLASSDATA,MATCH("ClassAbility3-L13",CLASSFEATUREHEADERS,0),MATCH(($A118),CLASSNAMEHEADERS,0))))}</f>
        <v>CLASSABILITY3-L13</v>
      </c>
      <c r="U117" s="76"/>
      <c r="V117" s="76" t="str">
        <f t="array" ref="V117:V118">{"CLASSABILITY3-L15";((INDEX(ALLCLASSDATA,MATCH("ClassAbility3-L15",CLASSFEATUREHEADERS,0),MATCH(($A118),CLASSNAMEHEADERS,0))))}</f>
        <v>CLASSABILITY3-L15</v>
      </c>
      <c r="W117" s="76"/>
      <c r="X117" s="76" t="str">
        <f t="array" ref="X117:X118">{"CLASSABILITY3-L17";((INDEX(ALLCLASSDATA,MATCH("ClassAbility3-L17",CLASSFEATUREHEADERS,0),MATCH(($A118),CLASSNAMEHEADERS,0))))}</f>
        <v>CLASSABILITY3-L17</v>
      </c>
      <c r="Y117" s="76"/>
      <c r="Z117" s="76" t="str">
        <f t="array" ref="Z117:Z118">{"CLASSABILITY3-L19";((INDEX(ALLCLASSDATA,MATCH("ClassAbility3-L19",CLASSFEATUREHEADERS,0),MATCH(($A118),CLASSNAMEHEADERS,0))))}</f>
        <v>CLASSABILITY3-L19</v>
      </c>
      <c r="AA117" s="76"/>
      <c r="AB117" s="76"/>
      <c r="AC117" s="76"/>
    </row>
    <row r="118">
      <c r="A118" s="48" t="s">
        <v>95</v>
      </c>
      <c r="B118" s="48"/>
      <c r="C118" s="48" t="s">
        <v>409</v>
      </c>
      <c r="D118" s="48" t="s">
        <v>825</v>
      </c>
      <c r="E118" s="48" t="s">
        <v>1144</v>
      </c>
      <c r="F118" s="48"/>
      <c r="G118" s="47"/>
      <c r="H118" s="5"/>
      <c r="I118" s="5"/>
      <c r="J118" s="5"/>
      <c r="K118" s="5"/>
      <c r="L118" s="5"/>
      <c r="M118" s="5"/>
      <c r="N118" s="5"/>
      <c r="O118" s="5"/>
      <c r="P118" s="5"/>
      <c r="Q118" s="5"/>
      <c r="R118" s="5"/>
      <c r="S118" s="5"/>
      <c r="T118" s="5"/>
      <c r="U118" s="5"/>
      <c r="V118" s="5"/>
      <c r="W118" s="5"/>
      <c r="X118" s="5"/>
      <c r="Y118" s="5"/>
      <c r="Z118" s="5"/>
      <c r="AA118" s="5"/>
      <c r="AB118" s="5"/>
      <c r="AC118" s="47"/>
    </row>
    <row r="119" hidden="1">
      <c r="A119" s="76" t="str">
        <f t="array" ref="A119:A120">{"FormulaRow13";(INDEX(CLASSLIST,A94,1))}</f>
        <v>FormulaRow13</v>
      </c>
      <c r="B119" s="77" t="s">
        <v>236</v>
      </c>
      <c r="C119" s="76" t="str">
        <f t="array" ref="C119:C120">{"CLASSTYPE";((INDEX(ALLCLASSDATA,MATCH("ClassType",CLASSFEATUREHEADERS,0),MATCH($A120,CLASSNAMEHEADERS,0))))}</f>
        <v>CLASSTYPE</v>
      </c>
      <c r="D119" s="76" t="str">
        <f t="array" ref="D119:D120">{"CLASSABILITYPTS";"ClassAbilityPts"}</f>
        <v>CLASSABILITYPTS</v>
      </c>
      <c r="E119" s="76" t="str">
        <f t="array" ref="E119:E120">{"CLASSABILITY3";"ClassAbility3"}</f>
        <v>CLASSABILITY3</v>
      </c>
      <c r="F119" s="76"/>
      <c r="G119" s="76"/>
      <c r="H119" s="76"/>
      <c r="I119" s="76"/>
      <c r="J119" s="76" t="str">
        <f t="array" ref="J119:J120">{"CLASSABILITY3-L03PTS";((INDEX(ALLCLASSDATA,MATCH("ClassAbility3-L03",CLASSFEATUREHEADERS,0),MATCH(($A120 &amp; "Points"),CLASSNAMEHEADERS,0))))}</f>
        <v>CLASSABILITY3-L03PTS</v>
      </c>
      <c r="K119" s="76"/>
      <c r="L119" s="76" t="str">
        <f t="array" ref="L119:L120">{"CLASSABILITY3-L05PTS";((INDEX(ALLCLASSDATA,MATCH("ClassAbility3-L05",CLASSFEATUREHEADERS,0),MATCH(($A120 &amp; "Points"),CLASSNAMEHEADERS,0))))}</f>
        <v>CLASSABILITY3-L05PTS</v>
      </c>
      <c r="M119" s="76"/>
      <c r="N119" s="76" t="str">
        <f t="array" ref="N119:N120">{"CLASSABILITY3-L07PTS";((INDEX(ALLCLASSDATA,MATCH("ClassAbility3-L07",CLASSFEATUREHEADERS,0),MATCH(($A120 &amp; "Points"),CLASSNAMEHEADERS,0))))}</f>
        <v>CLASSABILITY3-L07PTS</v>
      </c>
      <c r="O119" s="76"/>
      <c r="P119" s="76" t="str">
        <f t="array" ref="P119:P120">{"CLASSABILITY3-L09PTS";((INDEX(ALLCLASSDATA,MATCH("ClassAbility3-L09",CLASSFEATUREHEADERS,0),MATCH(($A120 &amp; "Points"),CLASSNAMEHEADERS,0))))}</f>
        <v>CLASSABILITY3-L09PTS</v>
      </c>
      <c r="Q119" s="76"/>
      <c r="R119" s="76" t="str">
        <f t="array" ref="R119:R120">{"CLASSABILITY3-L11PTS";((INDEX(ALLCLASSDATA,MATCH("ClassAbility3-L11",CLASSFEATUREHEADERS,0),MATCH(($A120 &amp; "Points"),CLASSNAMEHEADERS,0))))}</f>
        <v>CLASSABILITY3-L11PTS</v>
      </c>
      <c r="S119" s="76"/>
      <c r="T119" s="76" t="str">
        <f t="array" ref="T119:T120">{"CLASSABILITY3-L13PTS";((INDEX(ALLCLASSDATA,MATCH("ClassAbility3-L13",CLASSFEATUREHEADERS,0),MATCH(($A120 &amp; "Points"),CLASSNAMEHEADERS,0))))}</f>
        <v>CLASSABILITY3-L13PTS</v>
      </c>
      <c r="U119" s="76"/>
      <c r="V119" s="76" t="str">
        <f t="array" ref="V119:V120">{"CLASSABILITY3-L15PTS";((INDEX(ALLCLASSDATA,MATCH("ClassAbility3-L15",CLASSFEATUREHEADERS,0),MATCH(($A120 &amp; "Points"),CLASSNAMEHEADERS,0))))}</f>
        <v>CLASSABILITY3-L15PTS</v>
      </c>
      <c r="W119" s="76"/>
      <c r="X119" s="76" t="str">
        <f t="array" ref="X119:X120">{"CLASSABILITY3-L17PTS";((INDEX(ALLCLASSDATA,MATCH("ClassAbility3-L17",CLASSFEATUREHEADERS,0),MATCH(($A120 &amp; "Points"),CLASSNAMEHEADERS,0))))}</f>
        <v>CLASSABILITY3-L17PTS</v>
      </c>
      <c r="Y119" s="76"/>
      <c r="Z119" s="76" t="str">
        <f t="array" ref="Z119:Z120">{"CLASSABILITY3-L19PTS";((INDEX(ALLCLASSDATA,MATCH("ClassAbility3-L19",CLASSFEATUREHEADERS,0),MATCH(($A120 &amp; "Points"),CLASSNAMEHEADERS,0))))}</f>
        <v>CLASSABILITY3-L19PTS</v>
      </c>
      <c r="AA119" s="76"/>
      <c r="AB119" s="76"/>
      <c r="AC119" s="76" t="str">
        <f t="array" ref="AC119:AC120">{"CLASSABILITY3 TOTAL";(sum(G120:AA120))}</f>
        <v>CLASSABILITY3 TOTAL</v>
      </c>
    </row>
    <row r="120">
      <c r="A120" s="48" t="s">
        <v>95</v>
      </c>
      <c r="B120" s="48"/>
      <c r="C120" s="48" t="s">
        <v>409</v>
      </c>
      <c r="D120" s="48" t="s">
        <v>930</v>
      </c>
      <c r="E120" s="48" t="s">
        <v>1144</v>
      </c>
      <c r="F120" s="48"/>
      <c r="G120" s="47"/>
      <c r="H120" s="5"/>
      <c r="I120" s="5"/>
      <c r="J120" s="5"/>
      <c r="K120" s="5"/>
      <c r="L120" s="5"/>
      <c r="M120" s="5"/>
      <c r="N120" s="5"/>
      <c r="O120" s="5"/>
      <c r="P120" s="5"/>
      <c r="Q120" s="5"/>
      <c r="R120" s="5"/>
      <c r="S120" s="5"/>
      <c r="T120" s="5"/>
      <c r="U120" s="5"/>
      <c r="V120" s="5"/>
      <c r="W120" s="5"/>
      <c r="X120" s="5"/>
      <c r="Y120" s="5"/>
      <c r="Z120" s="5"/>
      <c r="AA120" s="5"/>
      <c r="AB120" s="5"/>
      <c r="AC120" s="47">
        <v>0.0</v>
      </c>
    </row>
    <row r="121" hidden="1">
      <c r="A121" s="76" t="str">
        <f t="array" ref="A121:A122">{"FormulaRow14";(INDEX(CLASSLIST,A94,1))}</f>
        <v>FormulaRow14</v>
      </c>
      <c r="B121" s="77" t="s">
        <v>236</v>
      </c>
      <c r="C121" s="76" t="str">
        <f t="array" ref="C121:C122">{"CLASSTYPE";((INDEX(ALLCLASSDATA,MATCH("ClassType",CLASSFEATUREHEADERS,0),MATCH($A122,CLASSNAMEHEADERS,0))))}</f>
        <v>CLASSTYPE</v>
      </c>
      <c r="D121" s="76" t="str">
        <f t="array" ref="D121:D122">{"CLASSABILITY";"ClassAbility"}</f>
        <v>CLASSABILITY</v>
      </c>
      <c r="E121" s="76" t="str">
        <f t="array" ref="E121:E122">{"CLASSABILITY4";"ClassAbility4"}</f>
        <v>CLASSABILITY4</v>
      </c>
      <c r="F121" s="76"/>
      <c r="G121" s="76"/>
      <c r="H121" s="76"/>
      <c r="I121" s="76"/>
      <c r="J121" s="76" t="str">
        <f t="array" ref="J121:J122">{"CLASSABILITY4-L03";((INDEX(ALLCLASSDATA,MATCH("ClassAbility4-L03",CLASSFEATUREHEADERS,0),MATCH(($A122),CLASSNAMEHEADERS,0))))}</f>
        <v>CLASSABILITY4-L03</v>
      </c>
      <c r="K121" s="76"/>
      <c r="L121" s="76" t="str">
        <f t="array" ref="L121:L122">{"CLASSABILITY4-L05";((INDEX(ALLCLASSDATA,MATCH("ClassAbility4-L05",CLASSFEATUREHEADERS,0),MATCH(($A122),CLASSNAMEHEADERS,0))))}</f>
        <v>CLASSABILITY4-L05</v>
      </c>
      <c r="M121" s="76"/>
      <c r="N121" s="76" t="str">
        <f t="array" ref="N121:N122">{"CLASSABILITY4-L07";((INDEX(ALLCLASSDATA,MATCH("ClassAbility4-L07",CLASSFEATUREHEADERS,0),MATCH(($A122),CLASSNAMEHEADERS,0))))}</f>
        <v>CLASSABILITY4-L07</v>
      </c>
      <c r="O121" s="76"/>
      <c r="P121" s="76" t="str">
        <f t="array" ref="P121:P122">{"CLASSABILITY4-L09";((INDEX(ALLCLASSDATA,MATCH("ClassAbility4-L09",CLASSFEATUREHEADERS,0),MATCH(($A122),CLASSNAMEHEADERS,0))))}</f>
        <v>CLASSABILITY4-L09</v>
      </c>
      <c r="Q121" s="76"/>
      <c r="R121" s="76" t="str">
        <f t="array" ref="R121:R122">{"CLASSABILITY4-L11";((INDEX(ALLCLASSDATA,MATCH("ClassAbility4-L11",CLASSFEATUREHEADERS,0),MATCH(($A122),CLASSNAMEHEADERS,0))))}</f>
        <v>CLASSABILITY4-L11</v>
      </c>
      <c r="S121" s="76"/>
      <c r="T121" s="76" t="str">
        <f t="array" ref="T121:T122">{"CLASSABILITY4-L13";((INDEX(ALLCLASSDATA,MATCH("ClassAbility4-L13",CLASSFEATUREHEADERS,0),MATCH(($A122),CLASSNAMEHEADERS,0))))}</f>
        <v>CLASSABILITY4-L13</v>
      </c>
      <c r="U121" s="76"/>
      <c r="V121" s="76" t="str">
        <f t="array" ref="V121:V122">{"CLASSABILITY4-L15";((INDEX(ALLCLASSDATA,MATCH("ClassAbility4-L15",CLASSFEATUREHEADERS,0),MATCH(($A122),CLASSNAMEHEADERS,0))))}</f>
        <v>CLASSABILITY4-L15</v>
      </c>
      <c r="W121" s="76"/>
      <c r="X121" s="76" t="str">
        <f t="array" ref="X121:X122">{"CLASSABILITY4-L17";((INDEX(ALLCLASSDATA,MATCH("ClassAbility4-L17",CLASSFEATUREHEADERS,0),MATCH(($A122),CLASSNAMEHEADERS,0))))}</f>
        <v>CLASSABILITY4-L17</v>
      </c>
      <c r="Y121" s="76"/>
      <c r="Z121" s="76" t="str">
        <f t="array" ref="Z121:Z122">{"CLASSABILITY4-L19";((INDEX(ALLCLASSDATA,MATCH("ClassAbility4-L19",CLASSFEATUREHEADERS,0),MATCH(($A122),CLASSNAMEHEADERS,0))))}</f>
        <v>CLASSABILITY4-L19</v>
      </c>
      <c r="AA121" s="76"/>
      <c r="AB121" s="76"/>
      <c r="AC121" s="76"/>
    </row>
    <row r="122">
      <c r="A122" s="48" t="s">
        <v>95</v>
      </c>
      <c r="B122" s="48"/>
      <c r="C122" s="48" t="s">
        <v>409</v>
      </c>
      <c r="D122" s="48" t="s">
        <v>825</v>
      </c>
      <c r="E122" s="48" t="s">
        <v>1273</v>
      </c>
      <c r="F122" s="48"/>
      <c r="G122" s="47"/>
      <c r="H122" s="5"/>
      <c r="I122" s="5"/>
      <c r="J122" s="5"/>
      <c r="K122" s="5"/>
      <c r="L122" s="5"/>
      <c r="M122" s="5"/>
      <c r="N122" s="5"/>
      <c r="O122" s="5"/>
      <c r="P122" s="5"/>
      <c r="Q122" s="5"/>
      <c r="R122" s="5"/>
      <c r="S122" s="5"/>
      <c r="T122" s="5"/>
      <c r="U122" s="5"/>
      <c r="V122" s="5"/>
      <c r="W122" s="5"/>
      <c r="X122" s="5"/>
      <c r="Y122" s="5"/>
      <c r="Z122" s="5"/>
      <c r="AA122" s="5"/>
      <c r="AB122" s="5"/>
      <c r="AC122" s="47"/>
    </row>
    <row r="123" hidden="1">
      <c r="A123" s="76" t="str">
        <f t="array" ref="A123:A124">{"FormulaRow15";(INDEX(CLASSLIST,A94,1))}</f>
        <v>FormulaRow15</v>
      </c>
      <c r="B123" s="77" t="s">
        <v>236</v>
      </c>
      <c r="C123" s="76" t="str">
        <f t="array" ref="C123:C124">{"CLASSTYPE";((INDEX(ALLCLASSDATA,MATCH("ClassType",CLASSFEATUREHEADERS,0),MATCH($A124,CLASSNAMEHEADERS,0))))}</f>
        <v>CLASSTYPE</v>
      </c>
      <c r="D123" s="76" t="str">
        <f t="array" ref="D123:D124">{"CLASSABILITYPTS";"ClassAbilityPts"}</f>
        <v>CLASSABILITYPTS</v>
      </c>
      <c r="E123" s="76" t="str">
        <f t="array" ref="E123:E124">{"CLASSABILITY4";"ClassAbility4"}</f>
        <v>CLASSABILITY4</v>
      </c>
      <c r="F123" s="76"/>
      <c r="G123" s="76"/>
      <c r="H123" s="76"/>
      <c r="I123" s="76"/>
      <c r="J123" s="76" t="str">
        <f t="array" ref="J123:J124">{"CLASSABILITY4-L03PTS";((INDEX(ALLCLASSDATA,MATCH("ClassAbility4-L03",CLASSFEATUREHEADERS,0),MATCH(($A124 &amp; "Points"),CLASSNAMEHEADERS,0))))}</f>
        <v>CLASSABILITY4-L03PTS</v>
      </c>
      <c r="K123" s="76"/>
      <c r="L123" s="76" t="str">
        <f t="array" ref="L123:L124">{"CLASSABILITY4-L05PTS";((INDEX(ALLCLASSDATA,MATCH("ClassAbility4-L05",CLASSFEATUREHEADERS,0),MATCH(($A124 &amp; "Points"),CLASSNAMEHEADERS,0))))}</f>
        <v>CLASSABILITY4-L05PTS</v>
      </c>
      <c r="M123" s="76"/>
      <c r="N123" s="76" t="str">
        <f t="array" ref="N123:N124">{"CLASSABILITY4-L07PTS";((INDEX(ALLCLASSDATA,MATCH("ClassAbility4-L07",CLASSFEATUREHEADERS,0),MATCH(($A124 &amp; "Points"),CLASSNAMEHEADERS,0))))}</f>
        <v>CLASSABILITY4-L07PTS</v>
      </c>
      <c r="O123" s="76"/>
      <c r="P123" s="76" t="str">
        <f t="array" ref="P123:P124">{"CLASSABILITY4-L09PTS";((INDEX(ALLCLASSDATA,MATCH("ClassAbility4-L09",CLASSFEATUREHEADERS,0),MATCH(($A124 &amp; "Points"),CLASSNAMEHEADERS,0))))}</f>
        <v>CLASSABILITY4-L09PTS</v>
      </c>
      <c r="Q123" s="76"/>
      <c r="R123" s="76" t="str">
        <f t="array" ref="R123:R124">{"CLASSABILITY4-L11PTS";((INDEX(ALLCLASSDATA,MATCH("ClassAbility4-L11",CLASSFEATUREHEADERS,0),MATCH(($A124 &amp; "Points"),CLASSNAMEHEADERS,0))))}</f>
        <v>CLASSABILITY4-L11PTS</v>
      </c>
      <c r="S123" s="76"/>
      <c r="T123" s="76" t="str">
        <f t="array" ref="T123:T124">{"CLASSABILITY4-L13PTS";((INDEX(ALLCLASSDATA,MATCH("ClassAbility4-L13",CLASSFEATUREHEADERS,0),MATCH(($A124 &amp; "Points"),CLASSNAMEHEADERS,0))))}</f>
        <v>CLASSABILITY4-L13PTS</v>
      </c>
      <c r="U123" s="76"/>
      <c r="V123" s="76" t="str">
        <f t="array" ref="V123:V124">{"CLASSABILITY4-L15PTS";((INDEX(ALLCLASSDATA,MATCH("ClassAbility4-L15",CLASSFEATUREHEADERS,0),MATCH(($A124 &amp; "Points"),CLASSNAMEHEADERS,0))))}</f>
        <v>CLASSABILITY4-L15PTS</v>
      </c>
      <c r="W123" s="76"/>
      <c r="X123" s="76" t="str">
        <f t="array" ref="X123:X124">{"CLASSABILITY4-L17PTS";((INDEX(ALLCLASSDATA,MATCH("ClassAbility4-L17",CLASSFEATUREHEADERS,0),MATCH(($A124 &amp; "Points"),CLASSNAMEHEADERS,0))))}</f>
        <v>CLASSABILITY4-L17PTS</v>
      </c>
      <c r="Y123" s="76"/>
      <c r="Z123" s="76" t="str">
        <f t="array" ref="Z123:Z124">{"CLASSABILITY4-L19PTS";((INDEX(ALLCLASSDATA,MATCH("ClassAbility4-L19",CLASSFEATUREHEADERS,0),MATCH(($A124 &amp; "Points"),CLASSNAMEHEADERS,0))))}</f>
        <v>CLASSABILITY4-L19PTS</v>
      </c>
      <c r="AA123" s="76"/>
      <c r="AB123" s="76"/>
      <c r="AC123" s="76" t="str">
        <f t="array" ref="AC123:AC124">{"CLASSABILITY4 TOTAL";(sum(G124:AA124))}</f>
        <v>CLASSABILITY4 TOTAL</v>
      </c>
    </row>
    <row r="124">
      <c r="A124" s="48" t="s">
        <v>95</v>
      </c>
      <c r="B124" s="48"/>
      <c r="C124" s="48" t="s">
        <v>409</v>
      </c>
      <c r="D124" s="48" t="s">
        <v>930</v>
      </c>
      <c r="E124" s="48" t="s">
        <v>1273</v>
      </c>
      <c r="F124" s="48"/>
      <c r="G124" s="47"/>
      <c r="H124" s="5"/>
      <c r="I124" s="5"/>
      <c r="J124" s="5"/>
      <c r="K124" s="5"/>
      <c r="L124" s="5"/>
      <c r="M124" s="5"/>
      <c r="N124" s="5"/>
      <c r="O124" s="5"/>
      <c r="P124" s="5"/>
      <c r="Q124" s="5"/>
      <c r="R124" s="5"/>
      <c r="S124" s="5"/>
      <c r="T124" s="5"/>
      <c r="U124" s="5"/>
      <c r="V124" s="5"/>
      <c r="W124" s="5"/>
      <c r="X124" s="5"/>
      <c r="Y124" s="5"/>
      <c r="Z124" s="5"/>
      <c r="AA124" s="5"/>
      <c r="AB124" s="5"/>
      <c r="AC124" s="47">
        <v>0.0</v>
      </c>
    </row>
    <row r="125" hidden="1">
      <c r="A125" s="76" t="str">
        <f t="array" ref="A125:A126">{"FormulaRow16";(INDEX(CLASSLIST,A94,1))}</f>
        <v>FormulaRow16</v>
      </c>
      <c r="B125" s="77" t="s">
        <v>236</v>
      </c>
      <c r="C125" s="76" t="str">
        <f t="array" ref="C125:C126">{"CLASSTYPE";((INDEX(ALLCLASSDATA,MATCH("ClassType",CLASSFEATUREHEADERS,0),MATCH($A126,CLASSNAMEHEADERS,0))))}</f>
        <v>CLASSTYPE</v>
      </c>
      <c r="D125" s="76" t="str">
        <f t="array" ref="D125:D126">{"CLASSABILITY";"ClassAbility"}</f>
        <v>CLASSABILITY</v>
      </c>
      <c r="E125" s="76" t="str">
        <f t="array" ref="E125:E126">{"SUBCLASSABILITY1";"SubclassAbility1"}</f>
        <v>SUBCLASSABILITY1</v>
      </c>
      <c r="F125" s="76"/>
      <c r="G125" s="76"/>
      <c r="H125" s="76"/>
      <c r="I125" s="76"/>
      <c r="J125" s="76" t="str">
        <f t="array" ref="J125:J126">{"SUBCLASSABILITY1-L03";((INDEX(ALLCLASSDATA,MATCH("SubclassAbility1-L03",CLASSFEATUREHEADERS,0),MATCH(($A126),CLASSNAMEHEADERS,0))))}</f>
        <v>SUBCLASSABILITY1-L03</v>
      </c>
      <c r="K125" s="76"/>
      <c r="L125" s="76" t="str">
        <f t="array" ref="L125:L126">{"SUBCLASSABILITY1-L05";((INDEX(ALLCLASSDATA,MATCH("SubclassAbility1-L05",CLASSFEATUREHEADERS,0),MATCH(($A126),CLASSNAMEHEADERS,0))))}</f>
        <v>SUBCLASSABILITY1-L05</v>
      </c>
      <c r="M125" s="76"/>
      <c r="N125" s="76" t="str">
        <f t="array" ref="N125:N126">{"SUBCLASSABILITY1-L07";((INDEX(ALLCLASSDATA,MATCH("SubclassAbility1-L07",CLASSFEATUREHEADERS,0),MATCH(($A126),CLASSNAMEHEADERS,0))))}</f>
        <v>SUBCLASSABILITY1-L07</v>
      </c>
      <c r="O125" s="76"/>
      <c r="P125" s="76" t="str">
        <f t="array" ref="P125:P126">{"SUBCLASSABILITY1-L09";((INDEX(ALLCLASSDATA,MATCH("SubclassAbility1-L09",CLASSFEATUREHEADERS,0),MATCH(($A126),CLASSNAMEHEADERS,0))))}</f>
        <v>SUBCLASSABILITY1-L09</v>
      </c>
      <c r="Q125" s="76"/>
      <c r="R125" s="76" t="str">
        <f t="array" ref="R125:R126">{"SUBCLASSABILITY1-L11";((INDEX(ALLCLASSDATA,MATCH("SubclassAbility1-L11",CLASSFEATUREHEADERS,0),MATCH(($A126),CLASSNAMEHEADERS,0))))}</f>
        <v>SUBCLASSABILITY1-L11</v>
      </c>
      <c r="S125" s="76"/>
      <c r="T125" s="76" t="str">
        <f t="array" ref="T125:T126">{"SUBCLASSABILITY1-L13";((INDEX(ALLCLASSDATA,MATCH("SubclassAbility1-L13",CLASSFEATUREHEADERS,0),MATCH(($A126),CLASSNAMEHEADERS,0))))}</f>
        <v>SUBCLASSABILITY1-L13</v>
      </c>
      <c r="U125" s="76"/>
      <c r="V125" s="76" t="str">
        <f t="array" ref="V125:V126">{"SUBCLASSABILITY1-L15";((INDEX(ALLCLASSDATA,MATCH("SubclassAbility1-L15",CLASSFEATUREHEADERS,0),MATCH(($A126),CLASSNAMEHEADERS,0))))}</f>
        <v>SUBCLASSABILITY1-L15</v>
      </c>
      <c r="W125" s="76"/>
      <c r="X125" s="76" t="str">
        <f t="array" ref="X125:X126">{"SUBCLASSABILITY1-L17";((INDEX(ALLCLASSDATA,MATCH("SubclassAbility1-L17",CLASSFEATUREHEADERS,0),MATCH(($A126),CLASSNAMEHEADERS,0))))}</f>
        <v>SUBCLASSABILITY1-L17</v>
      </c>
      <c r="Y125" s="76"/>
      <c r="Z125" s="76" t="str">
        <f t="array" ref="Z125:Z126">{"SUBCLASSABILITY1-L19";((INDEX(ALLCLASSDATA,MATCH("SubclassAbility1-L19",CLASSFEATUREHEADERS,0),MATCH(($A126),CLASSNAMEHEADERS,0))))}</f>
        <v>SUBCLASSABILITY1-L19</v>
      </c>
      <c r="AA125" s="76"/>
      <c r="AB125" s="76"/>
      <c r="AC125" s="76"/>
    </row>
    <row r="126">
      <c r="A126" s="48" t="s">
        <v>95</v>
      </c>
      <c r="B126" s="48"/>
      <c r="C126" s="48" t="s">
        <v>409</v>
      </c>
      <c r="D126" s="48" t="s">
        <v>825</v>
      </c>
      <c r="E126" s="28" t="s">
        <v>1355</v>
      </c>
      <c r="F126" s="5"/>
      <c r="G126" s="47"/>
      <c r="H126" s="5"/>
      <c r="I126" s="5"/>
      <c r="J126" s="5"/>
      <c r="K126" s="5"/>
      <c r="L126" s="5"/>
      <c r="M126" s="5"/>
      <c r="N126" s="5"/>
      <c r="O126" s="5"/>
      <c r="P126" s="5"/>
      <c r="Q126" s="5"/>
      <c r="R126" s="5"/>
      <c r="S126" s="5"/>
      <c r="T126" s="5"/>
      <c r="U126" s="5"/>
      <c r="V126" s="5"/>
      <c r="W126" s="5"/>
      <c r="X126" s="5"/>
      <c r="Y126" s="5"/>
      <c r="Z126" s="5"/>
      <c r="AA126" s="5"/>
      <c r="AB126" s="5"/>
      <c r="AC126" s="47"/>
    </row>
    <row r="127" hidden="1">
      <c r="A127" s="76" t="str">
        <f t="array" ref="A127:A128">{"FormulaRow17";(INDEX(CLASSLIST,A94,1))}</f>
        <v>FormulaRow17</v>
      </c>
      <c r="B127" s="77" t="s">
        <v>236</v>
      </c>
      <c r="C127" s="76" t="str">
        <f t="array" ref="C127:C128">{"CLASSTYPE";((INDEX(ALLCLASSDATA,MATCH("ClassType",CLASSFEATUREHEADERS,0),MATCH($A128,CLASSNAMEHEADERS,0))))}</f>
        <v>CLASSTYPE</v>
      </c>
      <c r="D127" s="76" t="str">
        <f t="array" ref="D127:D128">{"CLASSABILITYPTS";"ClassAbilityPts"}</f>
        <v>CLASSABILITYPTS</v>
      </c>
      <c r="E127" s="76" t="str">
        <f t="array" ref="E127:E128">{"SUBCLASSABILITY1";"SubclassAbility1"}</f>
        <v>SUBCLASSABILITY1</v>
      </c>
      <c r="F127" s="76"/>
      <c r="G127" s="76"/>
      <c r="H127" s="76"/>
      <c r="I127" s="76"/>
      <c r="J127" s="76" t="str">
        <f t="array" ref="J127:J128">{"SUBCLASSABILITY1-L03PTS";((INDEX(ALLCLASSDATA,MATCH("SubclassAbility1-L03",CLASSFEATUREHEADERS,0),MATCH(($A128 &amp; "Points"),CLASSNAMEHEADERS,0))))}</f>
        <v>SUBCLASSABILITY1-L03PTS</v>
      </c>
      <c r="K127" s="76"/>
      <c r="L127" s="76" t="str">
        <f t="array" ref="L127:L128">{"SUBCLASSABILITY1-L05PTS";((INDEX(ALLCLASSDATA,MATCH("SubclassAbility1-L05",CLASSFEATUREHEADERS,0),MATCH(($A128 &amp; "Points"),CLASSNAMEHEADERS,0))))}</f>
        <v>SUBCLASSABILITY1-L05PTS</v>
      </c>
      <c r="M127" s="76"/>
      <c r="N127" s="76" t="str">
        <f t="array" ref="N127:N128">{"SUBCLASSABILITY1-L07PTS";((INDEX(ALLCLASSDATA,MATCH("SubclassAbility1-L07",CLASSFEATUREHEADERS,0),MATCH(($A128 &amp; "Points"),CLASSNAMEHEADERS,0))))}</f>
        <v>SUBCLASSABILITY1-L07PTS</v>
      </c>
      <c r="O127" s="76"/>
      <c r="P127" s="76" t="str">
        <f t="array" ref="P127:P128">{"SUBCLASSABILITY1-L09PTS";((INDEX(ALLCLASSDATA,MATCH("SubclassAbility1-L09",CLASSFEATUREHEADERS,0),MATCH(($A128 &amp; "Points"),CLASSNAMEHEADERS,0))))}</f>
        <v>SUBCLASSABILITY1-L09PTS</v>
      </c>
      <c r="Q127" s="76"/>
      <c r="R127" s="76" t="str">
        <f t="array" ref="R127:R128">{"SUBCLASSABILITY1-L11PTS";((INDEX(ALLCLASSDATA,MATCH("SubclassAbility1-L11",CLASSFEATUREHEADERS,0),MATCH(($A128 &amp; "Points"),CLASSNAMEHEADERS,0))))}</f>
        <v>SUBCLASSABILITY1-L11PTS</v>
      </c>
      <c r="S127" s="76"/>
      <c r="T127" s="76" t="str">
        <f t="array" ref="T127:T128">{"SUBCLASSABILITY1-L13PTS";((INDEX(ALLCLASSDATA,MATCH("SubclassAbility1-L13",CLASSFEATUREHEADERS,0),MATCH(($A128 &amp; "Points"),CLASSNAMEHEADERS,0))))}</f>
        <v>SUBCLASSABILITY1-L13PTS</v>
      </c>
      <c r="U127" s="76"/>
      <c r="V127" s="76" t="str">
        <f t="array" ref="V127:V128">{"SUBCLASSABILITY1-L15PTS";((INDEX(ALLCLASSDATA,MATCH("SubclassAbility1-L15",CLASSFEATUREHEADERS,0),MATCH(($A128 &amp; "Points"),CLASSNAMEHEADERS,0))))}</f>
        <v>SUBCLASSABILITY1-L15PTS</v>
      </c>
      <c r="W127" s="76"/>
      <c r="X127" s="76" t="str">
        <f t="array" ref="X127:X128">{"SUBCLASSABILITY1-L17PTS";((INDEX(ALLCLASSDATA,MATCH("SubclassAbility1-L17",CLASSFEATUREHEADERS,0),MATCH(($A128 &amp; "Points"),CLASSNAMEHEADERS,0))))}</f>
        <v>SUBCLASSABILITY1-L17PTS</v>
      </c>
      <c r="Y127" s="76"/>
      <c r="Z127" s="76" t="str">
        <f t="array" ref="Z127:Z128">{"SUBCLASSABILITY1-L19PTS";((INDEX(ALLCLASSDATA,MATCH("SubclassAbility1-L19",CLASSFEATUREHEADERS,0),MATCH(($A128 &amp; "Points"),CLASSNAMEHEADERS,0))))}</f>
        <v>SUBCLASSABILITY1-L19PTS</v>
      </c>
      <c r="AA127" s="76"/>
      <c r="AB127" s="76"/>
      <c r="AC127" s="76" t="str">
        <f t="array" ref="AC127:AC128">{"SUBCLASSABILITY1 TOTAL";(sum(G128:AA128))}</f>
        <v>SUBCLASSABILITY1 TOTAL</v>
      </c>
    </row>
    <row r="128">
      <c r="A128" s="48" t="s">
        <v>95</v>
      </c>
      <c r="B128" s="48"/>
      <c r="C128" s="48" t="s">
        <v>409</v>
      </c>
      <c r="D128" s="48" t="s">
        <v>930</v>
      </c>
      <c r="E128" s="28" t="s">
        <v>1355</v>
      </c>
      <c r="F128" s="5"/>
      <c r="G128" s="47"/>
      <c r="H128" s="5"/>
      <c r="I128" s="5"/>
      <c r="J128" s="5"/>
      <c r="K128" s="5"/>
      <c r="L128" s="5"/>
      <c r="M128" s="5"/>
      <c r="N128" s="5"/>
      <c r="O128" s="5"/>
      <c r="P128" s="5"/>
      <c r="Q128" s="5"/>
      <c r="R128" s="5"/>
      <c r="S128" s="5"/>
      <c r="T128" s="5"/>
      <c r="U128" s="5"/>
      <c r="V128" s="5"/>
      <c r="W128" s="5"/>
      <c r="X128" s="5"/>
      <c r="Y128" s="5"/>
      <c r="Z128" s="5"/>
      <c r="AA128" s="5"/>
      <c r="AB128" s="5"/>
      <c r="AC128" s="47">
        <v>0.0</v>
      </c>
    </row>
    <row r="129" hidden="1">
      <c r="A129" s="76" t="str">
        <f t="array" ref="A129:A130">{"FormulaRow18";(INDEX(CLASSLIST,A94,1))}</f>
        <v>FormulaRow18</v>
      </c>
      <c r="B129" s="77" t="s">
        <v>236</v>
      </c>
      <c r="C129" s="76" t="str">
        <f t="array" ref="C129:C130">{"CLASSTYPE";((INDEX(ALLCLASSDATA,MATCH("ClassType",CLASSFEATUREHEADERS,0),MATCH($A130,CLASSNAMEHEADERS,0))))}</f>
        <v>CLASSTYPE</v>
      </c>
      <c r="D129" s="76" t="str">
        <f t="array" ref="D129:D130">{"CLASSABILITY";"ClassAbility"}</f>
        <v>CLASSABILITY</v>
      </c>
      <c r="E129" s="76" t="str">
        <f t="array" ref="E129:E130">{"SUBCLASSABILITY2";"SubclassAbility2"}</f>
        <v>SUBCLASSABILITY2</v>
      </c>
      <c r="F129" s="76"/>
      <c r="G129" s="76"/>
      <c r="H129" s="76"/>
      <c r="I129" s="76"/>
      <c r="J129" s="76" t="str">
        <f t="array" ref="J129:J130">{"SUBCLASSABILITY2-L03";((INDEX(ALLCLASSDATA,MATCH("SubclassAbility2-L03",CLASSFEATUREHEADERS,0),MATCH(($A130),CLASSNAMEHEADERS,0))))}</f>
        <v>SUBCLASSABILITY2-L03</v>
      </c>
      <c r="K129" s="76"/>
      <c r="L129" s="76" t="str">
        <f t="array" ref="L129:L130">{"SUBCLASSABILITY2-L05";((INDEX(ALLCLASSDATA,MATCH("SubclassAbility2-L05",CLASSFEATUREHEADERS,0),MATCH(($A130),CLASSNAMEHEADERS,0))))}</f>
        <v>SUBCLASSABILITY2-L05</v>
      </c>
      <c r="M129" s="76"/>
      <c r="N129" s="76" t="str">
        <f t="array" ref="N129:N130">{"SUBCLASSABILITY2-L07";((INDEX(ALLCLASSDATA,MATCH("SubclassAbility2-L07",CLASSFEATUREHEADERS,0),MATCH(($A130),CLASSNAMEHEADERS,0))))}</f>
        <v>SUBCLASSABILITY2-L07</v>
      </c>
      <c r="O129" s="76"/>
      <c r="P129" s="76" t="str">
        <f t="array" ref="P129:P130">{"SUBCLASSABILITY2-L09";((INDEX(ALLCLASSDATA,MATCH("SubclassAbility2-L09",CLASSFEATUREHEADERS,0),MATCH(($A130),CLASSNAMEHEADERS,0))))}</f>
        <v>SUBCLASSABILITY2-L09</v>
      </c>
      <c r="Q129" s="76"/>
      <c r="R129" s="76" t="str">
        <f t="array" ref="R129:R130">{"SUBCLASSABILITY2-L11";((INDEX(ALLCLASSDATA,MATCH("SubclassAbility2-L11",CLASSFEATUREHEADERS,0),MATCH(($A130),CLASSNAMEHEADERS,0))))}</f>
        <v>SUBCLASSABILITY2-L11</v>
      </c>
      <c r="S129" s="76"/>
      <c r="T129" s="76" t="str">
        <f t="array" ref="T129:T130">{"SUBCLASSABILITY2-L13";((INDEX(ALLCLASSDATA,MATCH("SubclassAbility2-L13",CLASSFEATUREHEADERS,0),MATCH(($A130),CLASSNAMEHEADERS,0))))}</f>
        <v>SUBCLASSABILITY2-L13</v>
      </c>
      <c r="U129" s="76"/>
      <c r="V129" s="76" t="str">
        <f t="array" ref="V129:V130">{"SUBCLASSABILITY2-L15";((INDEX(ALLCLASSDATA,MATCH("SubclassAbility2-L15",CLASSFEATUREHEADERS,0),MATCH(($A130),CLASSNAMEHEADERS,0))))}</f>
        <v>SUBCLASSABILITY2-L15</v>
      </c>
      <c r="W129" s="76"/>
      <c r="X129" s="76" t="str">
        <f t="array" ref="X129:X130">{"SUBCLASSABILITY2-L17";((INDEX(ALLCLASSDATA,MATCH("SubclassAbility2-L17",CLASSFEATUREHEADERS,0),MATCH(($A130),CLASSNAMEHEADERS,0))))}</f>
        <v>SUBCLASSABILITY2-L17</v>
      </c>
      <c r="Y129" s="76"/>
      <c r="Z129" s="76" t="str">
        <f t="array" ref="Z129:Z130">{"SUBCLASSABILITY2-L19";((INDEX(ALLCLASSDATA,MATCH("SubclassAbility2-L19",CLASSFEATUREHEADERS,0),MATCH(($A130),CLASSNAMEHEADERS,0))))}</f>
        <v>SUBCLASSABILITY2-L19</v>
      </c>
      <c r="AA129" s="76"/>
      <c r="AB129" s="76"/>
      <c r="AC129" s="76"/>
    </row>
    <row r="130">
      <c r="A130" s="48" t="s">
        <v>95</v>
      </c>
      <c r="B130" s="48"/>
      <c r="C130" s="48" t="s">
        <v>409</v>
      </c>
      <c r="D130" s="48" t="s">
        <v>825</v>
      </c>
      <c r="E130" s="28" t="s">
        <v>1370</v>
      </c>
      <c r="F130" s="5"/>
      <c r="G130" s="47"/>
      <c r="H130" s="5"/>
      <c r="I130" s="5"/>
      <c r="J130" s="5"/>
      <c r="K130" s="5"/>
      <c r="L130" s="5"/>
      <c r="M130" s="5"/>
      <c r="N130" s="5"/>
      <c r="O130" s="5"/>
      <c r="P130" s="5"/>
      <c r="Q130" s="5"/>
      <c r="R130" s="5"/>
      <c r="S130" s="5"/>
      <c r="T130" s="5"/>
      <c r="U130" s="5"/>
      <c r="V130" s="5"/>
      <c r="W130" s="5"/>
      <c r="X130" s="5"/>
      <c r="Y130" s="5"/>
      <c r="Z130" s="5"/>
      <c r="AA130" s="5"/>
      <c r="AB130" s="5"/>
      <c r="AC130" s="47"/>
    </row>
    <row r="131" hidden="1">
      <c r="A131" s="76" t="str">
        <f t="array" ref="A131:A132">{"FormulaRow19";(INDEX(CLASSLIST,A94,1))}</f>
        <v>FormulaRow19</v>
      </c>
      <c r="B131" s="77" t="s">
        <v>236</v>
      </c>
      <c r="C131" s="76" t="str">
        <f t="array" ref="C131:C132">{"CLASSTYPE";((INDEX(ALLCLASSDATA,MATCH("ClassType",CLASSFEATUREHEADERS,0),MATCH($A132,CLASSNAMEHEADERS,0))))}</f>
        <v>CLASSTYPE</v>
      </c>
      <c r="D131" s="76" t="str">
        <f t="array" ref="D131:D132">{"CLASSABILITYPTS";"ClassAbilityPts"}</f>
        <v>CLASSABILITYPTS</v>
      </c>
      <c r="E131" s="76" t="str">
        <f t="array" ref="E131:E132">{"SUBCLASSABILITY2";"SubclassAbility2"}</f>
        <v>SUBCLASSABILITY2</v>
      </c>
      <c r="F131" s="76"/>
      <c r="G131" s="76"/>
      <c r="H131" s="76"/>
      <c r="I131" s="76"/>
      <c r="J131" s="76" t="str">
        <f t="array" ref="J131:J132">{"SUBCLASSABILITY2-L03PTS";((INDEX(ALLCLASSDATA,MATCH("SubclassAbility2-L03",CLASSFEATUREHEADERS,0),MATCH(($A132 &amp; "Points"),CLASSNAMEHEADERS,0))))}</f>
        <v>SUBCLASSABILITY2-L03PTS</v>
      </c>
      <c r="K131" s="76"/>
      <c r="L131" s="76" t="str">
        <f t="array" ref="L131:L132">{"SUBCLASSABILITY2-L05PTS";((INDEX(ALLCLASSDATA,MATCH("SubclassAbility2-L05",CLASSFEATUREHEADERS,0),MATCH(($A132 &amp; "Points"),CLASSNAMEHEADERS,0))))}</f>
        <v>SUBCLASSABILITY2-L05PTS</v>
      </c>
      <c r="M131" s="76"/>
      <c r="N131" s="76" t="str">
        <f t="array" ref="N131:N132">{"SUBCLASSABILITY2-L07PTS";((INDEX(ALLCLASSDATA,MATCH("SubclassAbility2-L07",CLASSFEATUREHEADERS,0),MATCH(($A132 &amp; "Points"),CLASSNAMEHEADERS,0))))}</f>
        <v>SUBCLASSABILITY2-L07PTS</v>
      </c>
      <c r="O131" s="76"/>
      <c r="P131" s="76" t="str">
        <f t="array" ref="P131:P132">{"SUBCLASSABILITY2-L09PTS";((INDEX(ALLCLASSDATA,MATCH("SubclassAbility2-L09",CLASSFEATUREHEADERS,0),MATCH(($A132 &amp; "Points"),CLASSNAMEHEADERS,0))))}</f>
        <v>SUBCLASSABILITY2-L09PTS</v>
      </c>
      <c r="Q131" s="76"/>
      <c r="R131" s="76" t="str">
        <f t="array" ref="R131:R132">{"SUBCLASSABILITY2-L11PTS";((INDEX(ALLCLASSDATA,MATCH("SubclassAbility2-L11",CLASSFEATUREHEADERS,0),MATCH(($A132 &amp; "Points"),CLASSNAMEHEADERS,0))))}</f>
        <v>SUBCLASSABILITY2-L11PTS</v>
      </c>
      <c r="S131" s="76"/>
      <c r="T131" s="76" t="str">
        <f t="array" ref="T131:T132">{"SUBCLASSABILITY2-L13PTS";((INDEX(ALLCLASSDATA,MATCH("SubclassAbility2-L13",CLASSFEATUREHEADERS,0),MATCH(($A132 &amp; "Points"),CLASSNAMEHEADERS,0))))}</f>
        <v>SUBCLASSABILITY2-L13PTS</v>
      </c>
      <c r="U131" s="76"/>
      <c r="V131" s="76" t="str">
        <f t="array" ref="V131:V132">{"SUBCLASSABILITY2-L15PTS";((INDEX(ALLCLASSDATA,MATCH("SubclassAbility2-L15",CLASSFEATUREHEADERS,0),MATCH(($A132 &amp; "Points"),CLASSNAMEHEADERS,0))))}</f>
        <v>SUBCLASSABILITY2-L15PTS</v>
      </c>
      <c r="W131" s="76"/>
      <c r="X131" s="76" t="str">
        <f t="array" ref="X131:X132">{"SUBCLASSABILITY2-L17PTS";((INDEX(ALLCLASSDATA,MATCH("SubclassAbility2-L17",CLASSFEATUREHEADERS,0),MATCH(($A132 &amp; "Points"),CLASSNAMEHEADERS,0))))}</f>
        <v>SUBCLASSABILITY2-L17PTS</v>
      </c>
      <c r="Y131" s="76"/>
      <c r="Z131" s="76" t="str">
        <f t="array" ref="Z131:Z132">{"SUBCLASSABILITY2-L19PTS";((INDEX(ALLCLASSDATA,MATCH("SubclassAbility2-L19",CLASSFEATUREHEADERS,0),MATCH(($A132 &amp; "Points"),CLASSNAMEHEADERS,0))))}</f>
        <v>SUBCLASSABILITY2-L19PTS</v>
      </c>
      <c r="AA131" s="76"/>
      <c r="AB131" s="76"/>
      <c r="AC131" s="76" t="str">
        <f t="array" ref="AC131:AC132">{"SUBCLASSABILITY2 TOTAL";(sum(G132:AA132))}</f>
        <v>SUBCLASSABILITY2 TOTAL</v>
      </c>
    </row>
    <row r="132">
      <c r="A132" s="48" t="s">
        <v>95</v>
      </c>
      <c r="B132" s="48"/>
      <c r="C132" s="48" t="s">
        <v>409</v>
      </c>
      <c r="D132" s="97" t="s">
        <v>930</v>
      </c>
      <c r="E132" s="215" t="s">
        <v>1370</v>
      </c>
      <c r="F132" s="98"/>
      <c r="G132" s="132"/>
      <c r="H132" s="98"/>
      <c r="I132" s="98"/>
      <c r="J132" s="98"/>
      <c r="K132" s="98"/>
      <c r="L132" s="98"/>
      <c r="M132" s="98"/>
      <c r="N132" s="98"/>
      <c r="O132" s="98"/>
      <c r="P132" s="98"/>
      <c r="Q132" s="98"/>
      <c r="R132" s="98"/>
      <c r="S132" s="98"/>
      <c r="T132" s="98"/>
      <c r="U132" s="98"/>
      <c r="V132" s="98"/>
      <c r="W132" s="98"/>
      <c r="X132" s="98"/>
      <c r="Y132" s="98"/>
      <c r="Z132" s="98"/>
      <c r="AA132" s="98"/>
      <c r="AB132" s="5"/>
      <c r="AC132" s="47">
        <v>0.0</v>
      </c>
    </row>
    <row r="133" hidden="1">
      <c r="A133" s="76" t="str">
        <f t="array" ref="A133:A134">{"FormulaRow20";(INDEX(CLASSLIST,A94,1))}</f>
        <v>FormulaRow20</v>
      </c>
      <c r="B133" s="77" t="s">
        <v>236</v>
      </c>
      <c r="C133" s="76" t="str">
        <f t="array" ref="C133:C134">{"CLASSTYPE";((INDEX(ALLCLASSDATA,MATCH("ClassType",CLASSFEATUREHEADERS,0),MATCH($A134,CLASSNAMEHEADERS,0))))}</f>
        <v>CLASSTYPE</v>
      </c>
      <c r="D133" s="81" t="str">
        <f t="array" ref="D133:D134">{"DC";"DC"}</f>
        <v>DC</v>
      </c>
      <c r="E133" s="81" t="str">
        <f t="array" ref="E133:E134">{"CLASSDC";"ClassDC"}</f>
        <v>CLASSDC</v>
      </c>
      <c r="F133" s="81" t="str">
        <f t="array" ref="F133:F134">{"CLASSDCINITIAL";((IF(H134=10,"T",(IF(H134=50,"E","")))))}</f>
        <v>CLASSDCINITIAL</v>
      </c>
      <c r="G133" s="81" t="str">
        <f t="array" ref="G133:G134">{"CLASSDCINITIALPTS";((IF("00"=(INDEX(ALLCLASSDATA,MATCH("ClassDCLegendary",CLASSFEATUREHEADERS,0),MATCH($A134,CLASSNAMEHEADERS,0))),(INDEX(ALLCLASSDATA,MATCH("ClassDCLegendary",CLASSFEATUREHEADERS,0),MATCH(($A134 &amp; "Points"),CLASSNAMEHEADERS,0))),(IF("00"=(INDEX(ALLCLASSDATA,MATCH("ClassDCMaster",CLASSFEATUREHEADERS,0),MATCH($A134,CLASSNAMEHEADERS,0))),(INDEX(ALLCLASSDATA,MATCH("ClassDCMaster",CLASSFEATUREHEADERS,0),MATCH(($A134 &amp; "Points"),CLASSNAMEHEADERS,0))),(IF("00"=(INDEX(ALLCLASSDATA,MATCH("ClassDCExpert",CLASSFEATUREHEADERS,0),MATCH($A134,CLASSNAMEHEADERS,0))),(INDEX(ALLCLASSDATA,MATCH("ClassDCExpert",CLASSFEATUREHEADERS,0),MATCH(($A134 &amp; "Points"),CLASSNAMEHEADERS,0))),(IF("00"=(INDEX(ALLCLASSDATA,MATCH("ClassDCTrained",CLASSFEATUREHEADERS,0),MATCH($A134,CLASSNAMEHEADERS,0))),(INDEX(ALLCLASSDATA,MATCH("ClassDCTrained",CLASSFEATUREHEADERS,0),MATCH(($A134 &amp; "Points"),CLASSNAMEHEADERS,0))),"")))))))))}</f>
        <v>CLASSDCINITIALPTS</v>
      </c>
      <c r="H133" s="81" t="str">
        <f t="array" ref="H133:H134">{"CLASSDCL01";((IF("01"=(INDEX(ALLCLASSDATA,MATCH("ClassDCLegendary",CLASSFEATUREHEADERS,0),MATCH($A134,CLASSNAMEHEADERS,0))),(INDEX(ALLCLASSDATA,MATCH("ClassDCLegendary",CLASSFEATUREHEADERS,0),MATCH(($A134 &amp; "Points"),CLASSNAMEHEADERS,0))),(IF("01"=(INDEX(ALLCLASSDATA,MATCH("ClassDCMaster",CLASSFEATUREHEADERS,0),MATCH($A134,CLASSNAMEHEADERS,0))),(INDEX(ALLCLASSDATA,MATCH("ClassDCMaster",CLASSFEATUREHEADERS,0),MATCH(($A134 &amp; "Points"),CLASSNAMEHEADERS,0))),(IF("01"=(INDEX(ALLCLASSDATA,MATCH("ClassDCExpert",CLASSFEATUREHEADERS,0),MATCH($A134,CLASSNAMEHEADERS,0))),(INDEX(ALLCLASSDATA,MATCH("ClassDCExpert",CLASSFEATUREHEADERS,0),MATCH(($A134 &amp; "Points"),CLASSNAMEHEADERS,0))),(IF("01"=(INDEX(ALLCLASSDATA,MATCH("ClassDCTrained",CLASSFEATUREHEADERS,0),MATCH($A134,CLASSNAMEHEADERS,0))),(INDEX(ALLCLASSDATA,MATCH("ClassDCTrained",CLASSFEATUREHEADERS,0),MATCH(($A134 &amp; "Points"),CLASSNAMEHEADERS,0))),"")))))))))}</f>
        <v>CLASSDCL01</v>
      </c>
      <c r="I133" s="81"/>
      <c r="J133" s="81" t="str">
        <f t="array" ref="J133:J134">{"CLASSDCL03";((IF("03"=(INDEX(ALLCLASSDATA,MATCH("ClassDCLegendary",CLASSFEATUREHEADERS,0),MATCH($A134,CLASSNAMEHEADERS,0))),(INDEX(ALLCLASSDATA,MATCH("ClassDCLegendary",CLASSFEATUREHEADERS,0),MATCH(($A134 &amp; "Points"),CLASSNAMEHEADERS,0))),(IF("03"=(INDEX(ALLCLASSDATA,MATCH("ClassDCMaster",CLASSFEATUREHEADERS,0),MATCH($A134,CLASSNAMEHEADERS,0))),(INDEX(ALLCLASSDATA,MATCH("ClassDCMaster",CLASSFEATUREHEADERS,0),MATCH(($A134 &amp; "Points"),CLASSNAMEHEADERS,0))),(IF("03"=(INDEX(ALLCLASSDATA,MATCH("ClassDCExpert",CLASSFEATUREHEADERS,0),MATCH($A134,CLASSNAMEHEADERS,0))),(INDEX(ALLCLASSDATA,MATCH("ClassDCExpert",CLASSFEATUREHEADERS,0),MATCH(($A134 &amp; "Points"),CLASSNAMEHEADERS,0))),(IF("03"=(INDEX(ALLCLASSDATA,MATCH("ClassDCTrained",CLASSFEATUREHEADERS,0),MATCH($A134,CLASSNAMEHEADERS,0))),(INDEX(ALLCLASSDATA,MATCH("ClassDCTrained",CLASSFEATUREHEADERS,0),MATCH(($A134 &amp; "Points"),CLASSNAMEHEADERS,0))),"")))))))))}</f>
        <v>CLASSDCL03</v>
      </c>
      <c r="K133" s="81"/>
      <c r="L133" s="81" t="str">
        <f t="array" ref="L133:L134">{"CLASSDCL05";((IF("05"=(INDEX(ALLCLASSDATA,MATCH("ClassDCLegendary",CLASSFEATUREHEADERS,0),MATCH($A134,CLASSNAMEHEADERS,0))),(INDEX(ALLCLASSDATA,MATCH("ClassDCLegendary",CLASSFEATUREHEADERS,0),MATCH(($A134 &amp; "Points"),CLASSNAMEHEADERS,0))),(IF("05"=(INDEX(ALLCLASSDATA,MATCH("ClassDCMaster",CLASSFEATUREHEADERS,0),MATCH($A134,CLASSNAMEHEADERS,0))),(INDEX(ALLCLASSDATA,MATCH("ClassDCMaster",CLASSFEATUREHEADERS,0),MATCH(($A134 &amp; "Points"),CLASSNAMEHEADERS,0))),(IF("05"=(INDEX(ALLCLASSDATA,MATCH("ClassDCExpert",CLASSFEATUREHEADERS,0),MATCH($A134,CLASSNAMEHEADERS,0))),(INDEX(ALLCLASSDATA,MATCH("ClassDCExpert",CLASSFEATUREHEADERS,0),MATCH(($A134 &amp; "Points"),CLASSNAMEHEADERS,0))),(IF("05"=(INDEX(ALLCLASSDATA,MATCH("ClassDCTrained",CLASSFEATUREHEADERS,0),MATCH($A134,CLASSNAMEHEADERS,0))),(INDEX(ALLCLASSDATA,MATCH("ClassDCTrained",CLASSFEATUREHEADERS,0),MATCH(($A134 &amp; "Points"),CLASSNAMEHEADERS,0))),"")))))))))}</f>
        <v>CLASSDCL05</v>
      </c>
      <c r="M133" s="81"/>
      <c r="N133" s="81" t="str">
        <f t="array" ref="N133:N134">{"CLASSDCL07";((IF("07"=(INDEX(ALLCLASSDATA,MATCH("ClassDCLegendary",CLASSFEATUREHEADERS,0),MATCH($A134,CLASSNAMEHEADERS,0))),(INDEX(ALLCLASSDATA,MATCH("ClassDCLegendary",CLASSFEATUREHEADERS,0),MATCH(($A134 &amp; "Points"),CLASSNAMEHEADERS,0))),(IF("07"=(INDEX(ALLCLASSDATA,MATCH("ClassDCMaster",CLASSFEATUREHEADERS,0),MATCH($A134,CLASSNAMEHEADERS,0))),(INDEX(ALLCLASSDATA,MATCH("ClassDCMaster",CLASSFEATUREHEADERS,0),MATCH(($A134 &amp; "Points"),CLASSNAMEHEADERS,0))),(IF("07"=(INDEX(ALLCLASSDATA,MATCH("ClassDCExpert",CLASSFEATUREHEADERS,0),MATCH($A134,CLASSNAMEHEADERS,0))),(INDEX(ALLCLASSDATA,MATCH("ClassDCExpert",CLASSFEATUREHEADERS,0),MATCH(($A134 &amp; "Points"),CLASSNAMEHEADERS,0))),(IF("07"=(INDEX(ALLCLASSDATA,MATCH("ClassDCTrained",CLASSFEATUREHEADERS,0),MATCH($A134,CLASSNAMEHEADERS,0))),(INDEX(ALLCLASSDATA,MATCH("ClassDCTrained",CLASSFEATUREHEADERS,0),MATCH(($A134 &amp; "Points"),CLASSNAMEHEADERS,0))),"")))))))))}</f>
        <v>CLASSDCL07</v>
      </c>
      <c r="O133" s="81"/>
      <c r="P133" s="81" t="str">
        <f t="array" ref="P133:P134">{"CLASSDCL09";((IF("09"=(INDEX(ALLCLASSDATA,MATCH("ClassDCLegendary",CLASSFEATUREHEADERS,0),MATCH($A134,CLASSNAMEHEADERS,0))),(INDEX(ALLCLASSDATA,MATCH("ClassDCLegendary",CLASSFEATUREHEADERS,0),MATCH(($A134 &amp; "Points"),CLASSNAMEHEADERS,0))),(IF("09"=(INDEX(ALLCLASSDATA,MATCH("ClassDCMaster",CLASSFEATUREHEADERS,0),MATCH($A134,CLASSNAMEHEADERS,0))),(INDEX(ALLCLASSDATA,MATCH("ClassDCMaster",CLASSFEATUREHEADERS,0),MATCH(($A134 &amp; "Points"),CLASSNAMEHEADERS,0))),(IF("09"=(INDEX(ALLCLASSDATA,MATCH("ClassDCExpert",CLASSFEATUREHEADERS,0),MATCH($A134,CLASSNAMEHEADERS,0))),(INDEX(ALLCLASSDATA,MATCH("ClassDCExpert",CLASSFEATUREHEADERS,0),MATCH(($A134 &amp; "Points"),CLASSNAMEHEADERS,0))),(IF("09"=(INDEX(ALLCLASSDATA,MATCH("ClassDCTrained",CLASSFEATUREHEADERS,0),MATCH($A134,CLASSNAMEHEADERS,0))),(INDEX(ALLCLASSDATA,MATCH("ClassDCTrained",CLASSFEATUREHEADERS,0),MATCH(($A134 &amp; "Points"),CLASSNAMEHEADERS,0))),"")))))))))}</f>
        <v>CLASSDCL09</v>
      </c>
      <c r="Q133" s="81"/>
      <c r="R133" s="81" t="str">
        <f t="array" ref="R133:R134">{"CLASSDCL11";((IF("11"=(INDEX(ALLCLASSDATA,MATCH("ClassDCLegendary",CLASSFEATUREHEADERS,0),MATCH($A134,CLASSNAMEHEADERS,0))),(INDEX(ALLCLASSDATA,MATCH("ClassDCLegendary",CLASSFEATUREHEADERS,0),MATCH(($A134 &amp; "Points"),CLASSNAMEHEADERS,0))),(IF("11"=(INDEX(ALLCLASSDATA,MATCH("ClassDCMaster",CLASSFEATUREHEADERS,0),MATCH($A134,CLASSNAMEHEADERS,0))),(INDEX(ALLCLASSDATA,MATCH("ClassDCMaster",CLASSFEATUREHEADERS,0),MATCH(($A134 &amp; "Points"),CLASSNAMEHEADERS,0))),(IF("11"=(INDEX(ALLCLASSDATA,MATCH("ClassDCExpert",CLASSFEATUREHEADERS,0),MATCH($A134,CLASSNAMEHEADERS,0))),(INDEX(ALLCLASSDATA,MATCH("ClassDCExpert",CLASSFEATUREHEADERS,0),MATCH(($A134 &amp; "Points"),CLASSNAMEHEADERS,0))),(IF("11"=(INDEX(ALLCLASSDATA,MATCH("ClassDCTrained",CLASSFEATUREHEADERS,0),MATCH($A134,CLASSNAMEHEADERS,0))),(INDEX(ALLCLASSDATA,MATCH("ClassDCTrained",CLASSFEATUREHEADERS,0),MATCH(($A134 &amp; "Points"),CLASSNAMEHEADERS,0))),"")))))))))}</f>
        <v>CLASSDCL11</v>
      </c>
      <c r="S133" s="81"/>
      <c r="T133" s="81" t="str">
        <f t="array" ref="T133:T134">{"CLASSDCL13";((IF("13"=(INDEX(ALLCLASSDATA,MATCH("ClassDCLegendary",CLASSFEATUREHEADERS,0),MATCH($A134,CLASSNAMEHEADERS,0))),(INDEX(ALLCLASSDATA,MATCH("ClassDCLegendary",CLASSFEATUREHEADERS,0),MATCH(($A134 &amp; "Points"),CLASSNAMEHEADERS,0))),(IF("13"=(INDEX(ALLCLASSDATA,MATCH("ClassDCMaster",CLASSFEATUREHEADERS,0),MATCH($A134,CLASSNAMEHEADERS,0))),(INDEX(ALLCLASSDATA,MATCH("ClassDCMaster",CLASSFEATUREHEADERS,0),MATCH(($A134 &amp; "Points"),CLASSNAMEHEADERS,0))),(IF("13"=(INDEX(ALLCLASSDATA,MATCH("ClassDCExpert",CLASSFEATUREHEADERS,0),MATCH($A134,CLASSNAMEHEADERS,0))),(INDEX(ALLCLASSDATA,MATCH("ClassDCExpert",CLASSFEATUREHEADERS,0),MATCH(($A134 &amp; "Points"),CLASSNAMEHEADERS,0))),(IF("13"=(INDEX(ALLCLASSDATA,MATCH("ClassDCTrained",CLASSFEATUREHEADERS,0),MATCH($A134,CLASSNAMEHEADERS,0))),(INDEX(ALLCLASSDATA,MATCH("ClassDCTrained",CLASSFEATUREHEADERS,0),MATCH(($A134 &amp; "Points"),CLASSNAMEHEADERS,0))),"")))))))))}</f>
        <v>CLASSDCL13</v>
      </c>
      <c r="U133" s="81"/>
      <c r="V133" s="81" t="str">
        <f t="array" ref="V133:V134">{"CLASSDCL15";((IF("15"=(INDEX(ALLCLASSDATA,MATCH("ClassDCLegendary",CLASSFEATUREHEADERS,0),MATCH($A134,CLASSNAMEHEADERS,0))),(INDEX(ALLCLASSDATA,MATCH("ClassDCLegendary",CLASSFEATUREHEADERS,0),MATCH(($A134 &amp; "Points"),CLASSNAMEHEADERS,0))),(IF("15"=(INDEX(ALLCLASSDATA,MATCH("ClassDCMaster",CLASSFEATUREHEADERS,0),MATCH($A134,CLASSNAMEHEADERS,0))),(INDEX(ALLCLASSDATA,MATCH("ClassDCMaster",CLASSFEATUREHEADERS,0),MATCH(($A134 &amp; "Points"),CLASSNAMEHEADERS,0))),(IF("15"=(INDEX(ALLCLASSDATA,MATCH("ClassDCExpert",CLASSFEATUREHEADERS,0),MATCH($A134,CLASSNAMEHEADERS,0))),(INDEX(ALLCLASSDATA,MATCH("ClassDCExpert",CLASSFEATUREHEADERS,0),MATCH(($A134 &amp; "Points"),CLASSNAMEHEADERS,0))),(IF("15"=(INDEX(ALLCLASSDATA,MATCH("ClassDCTrained",CLASSFEATUREHEADERS,0),MATCH($A134,CLASSNAMEHEADERS,0))),(INDEX(ALLCLASSDATA,MATCH("ClassDCTrained",CLASSFEATUREHEADERS,0),MATCH(($A134 &amp; "Points"),CLASSNAMEHEADERS,0))),"")))))))))}</f>
        <v>CLASSDCL15</v>
      </c>
      <c r="W133" s="81"/>
      <c r="X133" s="81" t="str">
        <f t="array" ref="X133:X134">{"CLASSDCL17";((IF("17"=(INDEX(ALLCLASSDATA,MATCH("ClassDCLegendary",CLASSFEATUREHEADERS,0),MATCH($A134,CLASSNAMEHEADERS,0))),(INDEX(ALLCLASSDATA,MATCH("ClassDCLegendary",CLASSFEATUREHEADERS,0),MATCH(($A134 &amp; "Points"),CLASSNAMEHEADERS,0))),(IF("17"=(INDEX(ALLCLASSDATA,MATCH("ClassDCMaster",CLASSFEATUREHEADERS,0),MATCH($A134,CLASSNAMEHEADERS,0))),(INDEX(ALLCLASSDATA,MATCH("ClassDCMaster",CLASSFEATUREHEADERS,0),MATCH(($A134 &amp; "Points"),CLASSNAMEHEADERS,0))),(IF("17"=(INDEX(ALLCLASSDATA,MATCH("ClassDCExpert",CLASSFEATUREHEADERS,0),MATCH($A134,CLASSNAMEHEADERS,0))),(INDEX(ALLCLASSDATA,MATCH("ClassDCExpert",CLASSFEATUREHEADERS,0),MATCH(($A134 &amp; "Points"),CLASSNAMEHEADERS,0))),(IF("17"=(INDEX(ALLCLASSDATA,MATCH("ClassDCTrained",CLASSFEATUREHEADERS,0),MATCH($A134,CLASSNAMEHEADERS,0))),(INDEX(ALLCLASSDATA,MATCH("ClassDCTrained",CLASSFEATUREHEADERS,0),MATCH(($A134 &amp; "Points"),CLASSNAMEHEADERS,0))),"")))))))))}</f>
        <v>CLASSDCL17</v>
      </c>
      <c r="Y133" s="81"/>
      <c r="Z133" s="81" t="str">
        <f t="array" ref="Z133:Z134">{"CLASSDCL19";((IF("19"=(INDEX(ALLCLASSDATA,MATCH("ClassDCLegendary",CLASSFEATUREHEADERS,0),MATCH($A134,CLASSNAMEHEADERS,0))),(INDEX(ALLCLASSDATA,MATCH("ClassDCLegendary",CLASSFEATUREHEADERS,0),MATCH(($A134 &amp; "Points"),CLASSNAMEHEADERS,0))),(IF("19"=(INDEX(ALLCLASSDATA,MATCH("ClassDCMaster",CLASSFEATUREHEADERS,0),MATCH($A134,CLASSNAMEHEADERS,0))),(INDEX(ALLCLASSDATA,MATCH("ClassDCMaster",CLASSFEATUREHEADERS,0),MATCH(($A134 &amp; "Points"),CLASSNAMEHEADERS,0))),(IF("19"=(INDEX(ALLCLASSDATA,MATCH("ClassDCExpert",CLASSFEATUREHEADERS,0),MATCH($A134,CLASSNAMEHEADERS,0))),(INDEX(ALLCLASSDATA,MATCH("ClassDCExpert",CLASSFEATUREHEADERS,0),MATCH(($A134 &amp; "Points"),CLASSNAMEHEADERS,0))),(IF("19"=(INDEX(ALLCLASSDATA,MATCH("ClassDCTrained",CLASSFEATUREHEADERS,0),MATCH($A134,CLASSNAMEHEADERS,0))),(INDEX(ALLCLASSDATA,MATCH("ClassDCTrained",CLASSFEATUREHEADERS,0),MATCH(($A134 &amp; "Points"),CLASSNAMEHEADERS,0))),"")))))))))}</f>
        <v>CLASSDCL19</v>
      </c>
      <c r="AA133" s="81"/>
      <c r="AB133" s="76" t="str">
        <f t="array" ref="AB133:AB134">{"CLASSDC TOTAL";(IF(COUNTBLANK(G134:AA134)=17,"L",(IF(COUNTBLANK(G134:AA134)=18,"M",(IF(COUNTBLANK(G134:AA134)=19,"E",(IF(COUNTBLANK(G134:AA134)=20,"T",""))))))))}</f>
        <v>CLASSDC TOTAL</v>
      </c>
      <c r="AC133" s="76" t="str">
        <f t="array" ref="AC133:AC134">{"CLASSDC TOTAL";(sum(G134:AA134))}</f>
        <v>CLASSDC TOTAL</v>
      </c>
    </row>
    <row r="134">
      <c r="A134" s="48" t="s">
        <v>95</v>
      </c>
      <c r="B134" s="48"/>
      <c r="C134" s="48" t="s">
        <v>409</v>
      </c>
      <c r="D134" s="48" t="s">
        <v>1465</v>
      </c>
      <c r="E134" s="48" t="s">
        <v>1466</v>
      </c>
      <c r="F134" s="5" t="s">
        <v>435</v>
      </c>
      <c r="G134" s="47" t="s">
        <v>603</v>
      </c>
      <c r="H134" s="5">
        <v>10.0</v>
      </c>
      <c r="I134" s="5"/>
      <c r="J134" s="5" t="s">
        <v>603</v>
      </c>
      <c r="K134" s="5"/>
      <c r="L134" s="5" t="s">
        <v>603</v>
      </c>
      <c r="M134" s="5"/>
      <c r="N134" s="5" t="s">
        <v>603</v>
      </c>
      <c r="O134" s="5"/>
      <c r="P134" s="5">
        <v>50.0</v>
      </c>
      <c r="Q134" s="5"/>
      <c r="R134" s="5" t="s">
        <v>603</v>
      </c>
      <c r="S134" s="5"/>
      <c r="T134" s="5" t="s">
        <v>603</v>
      </c>
      <c r="U134" s="5"/>
      <c r="V134" s="5" t="s">
        <v>603</v>
      </c>
      <c r="W134" s="5"/>
      <c r="X134" s="5">
        <v>110.0</v>
      </c>
      <c r="Y134" s="5"/>
      <c r="Z134" s="5" t="s">
        <v>603</v>
      </c>
      <c r="AA134" s="5"/>
      <c r="AB134" s="5" t="s">
        <v>437</v>
      </c>
      <c r="AC134" s="47">
        <v>170.0</v>
      </c>
    </row>
    <row r="135" hidden="1">
      <c r="A135" s="222" t="str">
        <f t="array" ref="A135:A136">{"FormulaRow21";(INDEX(CLASSLIST,A94,1))}</f>
        <v>FormulaRow21</v>
      </c>
      <c r="B135" s="77" t="s">
        <v>236</v>
      </c>
      <c r="C135" s="222" t="str">
        <f t="array" ref="C135:C136">{"CLASSTYPE";((INDEX(ALLCLASSDATA,MATCH("ClassType",CLASSFEATUREHEADERS,0),MATCH($A136,CLASSNAMEHEADERS,0))))}</f>
        <v>CLASSTYPE</v>
      </c>
      <c r="D135" s="222" t="str">
        <f t="array" ref="D135:D136">{"DC";"DC"}</f>
        <v>DC</v>
      </c>
      <c r="E135" s="222" t="str">
        <f t="array" ref="E135:E136">{"SPELLDC";"SpellDC"}</f>
        <v>SPELLDC</v>
      </c>
      <c r="F135" s="223" t="str">
        <f t="array" ref="F135:F136">{"SPELLDCINITIAL";((IF(H136=10,"T",(IF(H136=50,"E","")))))}</f>
        <v>SPELLDCINITIAL</v>
      </c>
      <c r="G135" s="223" t="str">
        <f t="array" ref="G135:G136">{"SPELLDCINITIALPTS";((IF("00"=(INDEX(ALLCLASSDATA,MATCH("SpellDCLegendary",CLASSFEATUREHEADERS,0),MATCH($A136,CLASSNAMEHEADERS,0))),(INDEX(ALLCLASSDATA,MATCH("SpellDCLegendary",CLASSFEATUREHEADERS,0),MATCH(($A136 &amp; "Points"),CLASSNAMEHEADERS,0))),(IF("00"=(INDEX(ALLCLASSDATA,MATCH("SpellDCMaster",CLASSFEATUREHEADERS,0),MATCH($A136,CLASSNAMEHEADERS,0))),(INDEX(ALLCLASSDATA,MATCH("SpellDCMaster",CLASSFEATUREHEADERS,0),MATCH(($A136 &amp; "Points"),CLASSNAMEHEADERS,0))),(IF("00"=(INDEX(ALLCLASSDATA,MATCH("SpellDCExpert",CLASSFEATUREHEADERS,0),MATCH($A136,CLASSNAMEHEADERS,0))),(INDEX(ALLCLASSDATA,MATCH("SpellDCExpert",CLASSFEATUREHEADERS,0),MATCH(($A136 &amp; "Points"),CLASSNAMEHEADERS,0))),(IF("00"=(INDEX(ALLCLASSDATA,MATCH("SpellDCTrained",CLASSFEATUREHEADERS,0),MATCH($A136,CLASSNAMEHEADERS,0))),(INDEX(ALLCLASSDATA,MATCH("SpellDCTrained",CLASSFEATUREHEADERS,0),MATCH(($A136 &amp; "Points"),CLASSNAMEHEADERS,0))),"")))))))))}</f>
        <v>SPELLDCINITIALPTS</v>
      </c>
      <c r="H135" s="223" t="str">
        <f t="array" ref="H135:H136">{"SPELLDCL01";((IF("01"=(INDEX(ALLCLASSDATA,MATCH("SpellDCLegendary",CLASSFEATUREHEADERS,0),MATCH($A136,CLASSNAMEHEADERS,0))),(INDEX(ALLCLASSDATA,MATCH("SpellDCLegendary",CLASSFEATUREHEADERS,0),MATCH(($A136 &amp; "Points"),CLASSNAMEHEADERS,0))),(IF("01"=(INDEX(ALLCLASSDATA,MATCH("SpellDCMaster",CLASSFEATUREHEADERS,0),MATCH($A136,CLASSNAMEHEADERS,0))),(INDEX(ALLCLASSDATA,MATCH("SpellDCMaster",CLASSFEATUREHEADERS,0),MATCH(($A136 &amp; "Points"),CLASSNAMEHEADERS,0))),(IF("01"=(INDEX(ALLCLASSDATA,MATCH("SpellDCExpert",CLASSFEATUREHEADERS,0),MATCH($A136,CLASSNAMEHEADERS,0))),(INDEX(ALLCLASSDATA,MATCH("SpellDCExpert",CLASSFEATUREHEADERS,0),MATCH(($A136 &amp; "Points"),CLASSNAMEHEADERS,0))),(IF("01"=(INDEX(ALLCLASSDATA,MATCH("SpellDCTrained",CLASSFEATUREHEADERS,0),MATCH($A136,CLASSNAMEHEADERS,0))),(INDEX(ALLCLASSDATA,MATCH("SpellDCTrained",CLASSFEATUREHEADERS,0),MATCH(($A136 &amp; "Points"),CLASSNAMEHEADERS,0))),"")))))))))}</f>
        <v>SPELLDCL01</v>
      </c>
      <c r="I135" s="223"/>
      <c r="J135" s="223" t="str">
        <f t="array" ref="J135:J136">{"SPELLDCL03";((IF("03"=(INDEX(ALLCLASSDATA,MATCH("SpellDCLegendary",CLASSFEATUREHEADERS,0),MATCH($A136,CLASSNAMEHEADERS,0))),(INDEX(ALLCLASSDATA,MATCH("SpellDCLegendary",CLASSFEATUREHEADERS,0),MATCH(($A136 &amp; "Points"),CLASSNAMEHEADERS,0))),(IF("03"=(INDEX(ALLCLASSDATA,MATCH("SpellDCMaster",CLASSFEATUREHEADERS,0),MATCH($A136,CLASSNAMEHEADERS,0))),(INDEX(ALLCLASSDATA,MATCH("SpellDCMaster",CLASSFEATUREHEADERS,0),MATCH(($A136 &amp; "Points"),CLASSNAMEHEADERS,0))),(IF("03"=(INDEX(ALLCLASSDATA,MATCH("SpellDCExpert",CLASSFEATUREHEADERS,0),MATCH($A136,CLASSNAMEHEADERS,0))),(INDEX(ALLCLASSDATA,MATCH("SpellDCExpert",CLASSFEATUREHEADERS,0),MATCH(($A136 &amp; "Points"),CLASSNAMEHEADERS,0))),(IF("03"=(INDEX(ALLCLASSDATA,MATCH("SpellDCTrained",CLASSFEATUREHEADERS,0),MATCH($A136,CLASSNAMEHEADERS,0))),(INDEX(ALLCLASSDATA,MATCH("SpellDCTrained",CLASSFEATUREHEADERS,0),MATCH(($A136 &amp; "Points"),CLASSNAMEHEADERS,0))),"")))))))))}</f>
        <v>SPELLDCL03</v>
      </c>
      <c r="K135" s="223"/>
      <c r="L135" s="223" t="str">
        <f t="array" ref="L135:L136">{"SPELLDCL05";((IF("05"=(INDEX(ALLCLASSDATA,MATCH("SpellDCLegendary",CLASSFEATUREHEADERS,0),MATCH($A136,CLASSNAMEHEADERS,0))),(INDEX(ALLCLASSDATA,MATCH("SpellDCLegendary",CLASSFEATUREHEADERS,0),MATCH(($A136 &amp; "Points"),CLASSNAMEHEADERS,0))),(IF("05"=(INDEX(ALLCLASSDATA,MATCH("SpellDCMaster",CLASSFEATUREHEADERS,0),MATCH($A136,CLASSNAMEHEADERS,0))),(INDEX(ALLCLASSDATA,MATCH("SpellDCMaster",CLASSFEATUREHEADERS,0),MATCH(($A136 &amp; "Points"),CLASSNAMEHEADERS,0))),(IF("05"=(INDEX(ALLCLASSDATA,MATCH("SpellDCExpert",CLASSFEATUREHEADERS,0),MATCH($A136,CLASSNAMEHEADERS,0))),(INDEX(ALLCLASSDATA,MATCH("SpellDCExpert",CLASSFEATUREHEADERS,0),MATCH(($A136 &amp; "Points"),CLASSNAMEHEADERS,0))),(IF("05"=(INDEX(ALLCLASSDATA,MATCH("SpellDCTrained",CLASSFEATUREHEADERS,0),MATCH($A136,CLASSNAMEHEADERS,0))),(INDEX(ALLCLASSDATA,MATCH("SpellDCTrained",CLASSFEATUREHEADERS,0),MATCH(($A136 &amp; "Points"),CLASSNAMEHEADERS,0))),"")))))))))}</f>
        <v>SPELLDCL05</v>
      </c>
      <c r="M135" s="223"/>
      <c r="N135" s="223" t="str">
        <f t="array" ref="N135:N136">{"SPELLDCL07";((IF("07"=(INDEX(ALLCLASSDATA,MATCH("SpellDCLegendary",CLASSFEATUREHEADERS,0),MATCH($A136,CLASSNAMEHEADERS,0))),(INDEX(ALLCLASSDATA,MATCH("SpellDCLegendary",CLASSFEATUREHEADERS,0),MATCH(($A136 &amp; "Points"),CLASSNAMEHEADERS,0))),(IF("07"=(INDEX(ALLCLASSDATA,MATCH("SpellDCMaster",CLASSFEATUREHEADERS,0),MATCH($A136,CLASSNAMEHEADERS,0))),(INDEX(ALLCLASSDATA,MATCH("SpellDCMaster",CLASSFEATUREHEADERS,0),MATCH(($A136 &amp; "Points"),CLASSNAMEHEADERS,0))),(IF("07"=(INDEX(ALLCLASSDATA,MATCH("SpellDCExpert",CLASSFEATUREHEADERS,0),MATCH($A136,CLASSNAMEHEADERS,0))),(INDEX(ALLCLASSDATA,MATCH("SpellDCExpert",CLASSFEATUREHEADERS,0),MATCH(($A136 &amp; "Points"),CLASSNAMEHEADERS,0))),(IF("07"=(INDEX(ALLCLASSDATA,MATCH("SpellDCTrained",CLASSFEATUREHEADERS,0),MATCH($A136,CLASSNAMEHEADERS,0))),(INDEX(ALLCLASSDATA,MATCH("SpellDCTrained",CLASSFEATUREHEADERS,0),MATCH(($A136 &amp; "Points"),CLASSNAMEHEADERS,0))),"")))))))))}</f>
        <v>SPELLDCL07</v>
      </c>
      <c r="O135" s="223"/>
      <c r="P135" s="223" t="str">
        <f t="array" ref="P135:P136">{"SPELLDCL09";((IF("09"=(INDEX(ALLCLASSDATA,MATCH("SpellDCLegendary",CLASSFEATUREHEADERS,0),MATCH($A136,CLASSNAMEHEADERS,0))),(INDEX(ALLCLASSDATA,MATCH("SpellDCLegendary",CLASSFEATUREHEADERS,0),MATCH(($A136 &amp; "Points"),CLASSNAMEHEADERS,0))),(IF("09"=(INDEX(ALLCLASSDATA,MATCH("SpellDCMaster",CLASSFEATUREHEADERS,0),MATCH($A136,CLASSNAMEHEADERS,0))),(INDEX(ALLCLASSDATA,MATCH("SpellDCMaster",CLASSFEATUREHEADERS,0),MATCH(($A136 &amp; "Points"),CLASSNAMEHEADERS,0))),(IF("09"=(INDEX(ALLCLASSDATA,MATCH("SpellDCExpert",CLASSFEATUREHEADERS,0),MATCH($A136,CLASSNAMEHEADERS,0))),(INDEX(ALLCLASSDATA,MATCH("SpellDCExpert",CLASSFEATUREHEADERS,0),MATCH(($A136 &amp; "Points"),CLASSNAMEHEADERS,0))),(IF("09"=(INDEX(ALLCLASSDATA,MATCH("SpellDCTrained",CLASSFEATUREHEADERS,0),MATCH($A136,CLASSNAMEHEADERS,0))),(INDEX(ALLCLASSDATA,MATCH("SpellDCTrained",CLASSFEATUREHEADERS,0),MATCH(($A136 &amp; "Points"),CLASSNAMEHEADERS,0))),"")))))))))}</f>
        <v>SPELLDCL09</v>
      </c>
      <c r="Q135" s="223"/>
      <c r="R135" s="223" t="str">
        <f t="array" ref="R135:R136">{"SPELLDCL11";((IF("11"=(INDEX(ALLCLASSDATA,MATCH("SpellDCLegendary",CLASSFEATUREHEADERS,0),MATCH($A136,CLASSNAMEHEADERS,0))),(INDEX(ALLCLASSDATA,MATCH("SpellDCLegendary",CLASSFEATUREHEADERS,0),MATCH(($A136 &amp; "Points"),CLASSNAMEHEADERS,0))),(IF("11"=(INDEX(ALLCLASSDATA,MATCH("SpellDCMaster",CLASSFEATUREHEADERS,0),MATCH($A136,CLASSNAMEHEADERS,0))),(INDEX(ALLCLASSDATA,MATCH("SpellDCMaster",CLASSFEATUREHEADERS,0),MATCH(($A136 &amp; "Points"),CLASSNAMEHEADERS,0))),(IF("11"=(INDEX(ALLCLASSDATA,MATCH("SpellDCExpert",CLASSFEATUREHEADERS,0),MATCH($A136,CLASSNAMEHEADERS,0))),(INDEX(ALLCLASSDATA,MATCH("SpellDCExpert",CLASSFEATUREHEADERS,0),MATCH(($A136 &amp; "Points"),CLASSNAMEHEADERS,0))),(IF("11"=(INDEX(ALLCLASSDATA,MATCH("SpellDCTrained",CLASSFEATUREHEADERS,0),MATCH($A136,CLASSNAMEHEADERS,0))),(INDEX(ALLCLASSDATA,MATCH("SpellDCTrained",CLASSFEATUREHEADERS,0),MATCH(($A136 &amp; "Points"),CLASSNAMEHEADERS,0))),"")))))))))}</f>
        <v>SPELLDCL11</v>
      </c>
      <c r="S135" s="223"/>
      <c r="T135" s="223" t="str">
        <f t="array" ref="T135:T136">{"SPELLDCL13";((IF("13"=(INDEX(ALLCLASSDATA,MATCH("SpellDCLegendary",CLASSFEATUREHEADERS,0),MATCH($A136,CLASSNAMEHEADERS,0))),(INDEX(ALLCLASSDATA,MATCH("SpellDCLegendary",CLASSFEATUREHEADERS,0),MATCH(($A136 &amp; "Points"),CLASSNAMEHEADERS,0))),(IF("13"=(INDEX(ALLCLASSDATA,MATCH("SpellDCMaster",CLASSFEATUREHEADERS,0),MATCH($A136,CLASSNAMEHEADERS,0))),(INDEX(ALLCLASSDATA,MATCH("SpellDCMaster",CLASSFEATUREHEADERS,0),MATCH(($A136 &amp; "Points"),CLASSNAMEHEADERS,0))),(IF("13"=(INDEX(ALLCLASSDATA,MATCH("SpellDCExpert",CLASSFEATUREHEADERS,0),MATCH($A136,CLASSNAMEHEADERS,0))),(INDEX(ALLCLASSDATA,MATCH("SpellDCExpert",CLASSFEATUREHEADERS,0),MATCH(($A136 &amp; "Points"),CLASSNAMEHEADERS,0))),(IF("13"=(INDEX(ALLCLASSDATA,MATCH("SpellDCTrained",CLASSFEATUREHEADERS,0),MATCH($A136,CLASSNAMEHEADERS,0))),(INDEX(ALLCLASSDATA,MATCH("SpellDCTrained",CLASSFEATUREHEADERS,0),MATCH(($A136 &amp; "Points"),CLASSNAMEHEADERS,0))),"")))))))))}</f>
        <v>SPELLDCL13</v>
      </c>
      <c r="U135" s="223"/>
      <c r="V135" s="223" t="str">
        <f t="array" ref="V135:V136">{"SPELLDCL15";((IF("15"=(INDEX(ALLCLASSDATA,MATCH("SpellDCLegendary",CLASSFEATUREHEADERS,0),MATCH($A136,CLASSNAMEHEADERS,0))),(INDEX(ALLCLASSDATA,MATCH("SpellDCLegendary",CLASSFEATUREHEADERS,0),MATCH(($A136 &amp; "Points"),CLASSNAMEHEADERS,0))),(IF("15"=(INDEX(ALLCLASSDATA,MATCH("SpellDCMaster",CLASSFEATUREHEADERS,0),MATCH($A136,CLASSNAMEHEADERS,0))),(INDEX(ALLCLASSDATA,MATCH("SpellDCMaster",CLASSFEATUREHEADERS,0),MATCH(($A136 &amp; "Points"),CLASSNAMEHEADERS,0))),(IF("15"=(INDEX(ALLCLASSDATA,MATCH("SpellDCExpert",CLASSFEATUREHEADERS,0),MATCH($A136,CLASSNAMEHEADERS,0))),(INDEX(ALLCLASSDATA,MATCH("SpellDCExpert",CLASSFEATUREHEADERS,0),MATCH(($A136 &amp; "Points"),CLASSNAMEHEADERS,0))),(IF("15"=(INDEX(ALLCLASSDATA,MATCH("SpellDCTrained",CLASSFEATUREHEADERS,0),MATCH($A136,CLASSNAMEHEADERS,0))),(INDEX(ALLCLASSDATA,MATCH("SpellDCTrained",CLASSFEATUREHEADERS,0),MATCH(($A136 &amp; "Points"),CLASSNAMEHEADERS,0))),"")))))))))}</f>
        <v>SPELLDCL15</v>
      </c>
      <c r="W135" s="223"/>
      <c r="X135" s="223" t="str">
        <f t="array" ref="X135:X136">{"SPELLDCL17";((IF("17"=(INDEX(ALLCLASSDATA,MATCH("SpellDCLegendary",CLASSFEATUREHEADERS,0),MATCH($A136,CLASSNAMEHEADERS,0))),(INDEX(ALLCLASSDATA,MATCH("SpellDCLegendary",CLASSFEATUREHEADERS,0),MATCH(($A136 &amp; "Points"),CLASSNAMEHEADERS,0))),(IF("17"=(INDEX(ALLCLASSDATA,MATCH("SpellDCMaster",CLASSFEATUREHEADERS,0),MATCH($A136,CLASSNAMEHEADERS,0))),(INDEX(ALLCLASSDATA,MATCH("SpellDCMaster",CLASSFEATUREHEADERS,0),MATCH(($A136 &amp; "Points"),CLASSNAMEHEADERS,0))),(IF("17"=(INDEX(ALLCLASSDATA,MATCH("SpellDCExpert",CLASSFEATUREHEADERS,0),MATCH($A136,CLASSNAMEHEADERS,0))),(INDEX(ALLCLASSDATA,MATCH("SpellDCExpert",CLASSFEATUREHEADERS,0),MATCH(($A136 &amp; "Points"),CLASSNAMEHEADERS,0))),(IF("17"=(INDEX(ALLCLASSDATA,MATCH("SpellDCTrained",CLASSFEATUREHEADERS,0),MATCH($A136,CLASSNAMEHEADERS,0))),(INDEX(ALLCLASSDATA,MATCH("SpellDCTrained",CLASSFEATUREHEADERS,0),MATCH(($A136 &amp; "Points"),CLASSNAMEHEADERS,0))),"")))))))))}</f>
        <v>SPELLDCL17</v>
      </c>
      <c r="Y135" s="223"/>
      <c r="Z135" s="223" t="str">
        <f t="array" ref="Z135:Z136">{"SPELLDCL19";((IF("19"=(INDEX(ALLCLASSDATA,MATCH("SpellDCLegendary",CLASSFEATUREHEADERS,0),MATCH($A136,CLASSNAMEHEADERS,0))),(INDEX(ALLCLASSDATA,MATCH("SpellDCLegendary",CLASSFEATUREHEADERS,0),MATCH(($A136 &amp; "Points"),CLASSNAMEHEADERS,0))),(IF("19"=(INDEX(ALLCLASSDATA,MATCH("SpellDCMaster",CLASSFEATUREHEADERS,0),MATCH($A136,CLASSNAMEHEADERS,0))),(INDEX(ALLCLASSDATA,MATCH("SpellDCMaster",CLASSFEATUREHEADERS,0),MATCH(($A136 &amp; "Points"),CLASSNAMEHEADERS,0))),(IF("19"=(INDEX(ALLCLASSDATA,MATCH("SpellDCExpert",CLASSFEATUREHEADERS,0),MATCH($A136,CLASSNAMEHEADERS,0))),(INDEX(ALLCLASSDATA,MATCH("SpellDCExpert",CLASSFEATUREHEADERS,0),MATCH(($A136 &amp; "Points"),CLASSNAMEHEADERS,0))),(IF("19"=(INDEX(ALLCLASSDATA,MATCH("SpellDCTrained",CLASSFEATUREHEADERS,0),MATCH($A136,CLASSNAMEHEADERS,0))),(INDEX(ALLCLASSDATA,MATCH("SpellDCTrained",CLASSFEATUREHEADERS,0),MATCH(($A136 &amp; "Points"),CLASSNAMEHEADERS,0))),"")))))))))}</f>
        <v>SPELLDCL19</v>
      </c>
      <c r="AA135" s="223"/>
      <c r="AB135" s="76" t="str">
        <f t="array" ref="AB135:AB136">{"SPELLDC TOTAL";(IF(COUNTBLANK(G136:AA136)=17,"L",(IF(COUNTBLANK(G136:AA136)=18,"M",(IF(COUNTBLANK(G136:AA136)=19,"E",(IF(COUNTBLANK(G136:AA136)=20,"T",""))))))))}</f>
        <v>SPELLDC TOTAL</v>
      </c>
      <c r="AC135" s="76" t="str">
        <f t="array" ref="AC135:AC136">{"SPELLDC TOTAL";(sum(G136:AA136))}</f>
        <v>SPELLDC TOTAL</v>
      </c>
    </row>
    <row r="136">
      <c r="A136" s="48" t="s">
        <v>95</v>
      </c>
      <c r="B136" s="48"/>
      <c r="C136" s="48" t="s">
        <v>409</v>
      </c>
      <c r="D136" s="97" t="s">
        <v>1465</v>
      </c>
      <c r="E136" s="97" t="s">
        <v>1485</v>
      </c>
      <c r="F136" s="98" t="s">
        <v>603</v>
      </c>
      <c r="G136" s="132" t="s">
        <v>603</v>
      </c>
      <c r="H136" s="98" t="s">
        <v>603</v>
      </c>
      <c r="I136" s="98"/>
      <c r="J136" s="98" t="s">
        <v>603</v>
      </c>
      <c r="K136" s="98"/>
      <c r="L136" s="98" t="s">
        <v>603</v>
      </c>
      <c r="M136" s="98"/>
      <c r="N136" s="98" t="s">
        <v>603</v>
      </c>
      <c r="O136" s="98"/>
      <c r="P136" s="98" t="s">
        <v>603</v>
      </c>
      <c r="Q136" s="98"/>
      <c r="R136" s="98" t="s">
        <v>603</v>
      </c>
      <c r="S136" s="98"/>
      <c r="T136" s="98" t="s">
        <v>603</v>
      </c>
      <c r="U136" s="98"/>
      <c r="V136" s="98" t="s">
        <v>603</v>
      </c>
      <c r="W136" s="98"/>
      <c r="X136" s="98" t="s">
        <v>603</v>
      </c>
      <c r="Y136" s="98"/>
      <c r="Z136" s="98" t="s">
        <v>603</v>
      </c>
      <c r="AA136" s="98"/>
      <c r="AB136" s="5" t="s">
        <v>603</v>
      </c>
      <c r="AC136" s="47">
        <v>0.0</v>
      </c>
    </row>
    <row r="137" hidden="1">
      <c r="A137" s="222" t="str">
        <f t="array" ref="A137:A138">{"FormulaRow22";(INDEX(CLASSLIST,A94,1))}</f>
        <v>FormulaRow22</v>
      </c>
      <c r="B137" s="77" t="s">
        <v>236</v>
      </c>
      <c r="C137" s="222" t="str">
        <f t="array" ref="C137:C138">{"CLASSTYPE";((INDEX(ALLCLASSDATA,MATCH("ClassType",CLASSFEATUREHEADERS,0),MATCH($A138,CLASSNAMEHEADERS,0))))}</f>
        <v>CLASSTYPE</v>
      </c>
      <c r="D137" s="228" t="str">
        <f t="shared" ref="D137:E137" si="2">{"PERCEPTION";"Perception"}</f>
        <v>PERCEPTION</v>
      </c>
      <c r="E137" s="228" t="str">
        <f t="shared" si="2"/>
        <v>PERCEPTION</v>
      </c>
      <c r="F137" s="230" t="str">
        <f t="array" ref="F137:F138">{"PERCEPTIONINITIAL";((IF(H138=10,"T",(IF(H138=50,"E","")))))}</f>
        <v>PERCEPTIONINITIAL</v>
      </c>
      <c r="G137" s="230" t="str">
        <f t="array" ref="G137:G138">{"PERCEPTIONINITIALPTS";((IF("00"=(INDEX(ALLCLASSDATA,MATCH("PerceptionLegendary",CLASSFEATUREHEADERS,0),MATCH($A138,CLASSNAMEHEADERS,0))),(INDEX(ALLCLASSDATA,MATCH("PerceptionLegendary",CLASSFEATUREHEADERS,0),MATCH(($A138 &amp; "Points"),CLASSNAMEHEADERS,0))),(IF("00"=(INDEX(ALLCLASSDATA,MATCH("PerceptionMaster",CLASSFEATUREHEADERS,0),MATCH($A138,CLASSNAMEHEADERS,0))),(INDEX(ALLCLASSDATA,MATCH("PerceptionMaster",CLASSFEATUREHEADERS,0),MATCH(($A138 &amp; "Points"),CLASSNAMEHEADERS,0))),(IF("00"=(INDEX(ALLCLASSDATA,MATCH("PerceptionExpert",CLASSFEATUREHEADERS,0),MATCH($A138,CLASSNAMEHEADERS,0))),(INDEX(ALLCLASSDATA,MATCH("PerceptionExpert",CLASSFEATUREHEADERS,0),MATCH(($A138 &amp; "Points"),CLASSNAMEHEADERS,0))),(IF("00"=(INDEX(ALLCLASSDATA,MATCH("PerceptionTrained",CLASSFEATUREHEADERS,0),MATCH($A138,CLASSNAMEHEADERS,0))),(INDEX(ALLCLASSDATA,MATCH("PerceptionTrained",CLASSFEATUREHEADERS,0),MATCH(($A138 &amp; "Points"),CLASSNAMEHEADERS,0))),"")))))))))}</f>
        <v>PERCEPTIONINITIALPTS</v>
      </c>
      <c r="H137" s="230" t="str">
        <f t="array" ref="H137:H138">{"PERCEPTIONL01";((IF("01"=(INDEX(ALLCLASSDATA,MATCH("PerceptionLegendary",CLASSFEATUREHEADERS,0),MATCH($A138,CLASSNAMEHEADERS,0))),(INDEX(ALLCLASSDATA,MATCH("PerceptionLegendary",CLASSFEATUREHEADERS,0),MATCH(($A138 &amp; "Points"),CLASSNAMEHEADERS,0))),(IF("01"=(INDEX(ALLCLASSDATA,MATCH("PerceptionMaster",CLASSFEATUREHEADERS,0),MATCH($A138,CLASSNAMEHEADERS,0))),(INDEX(ALLCLASSDATA,MATCH("PerceptionMaster",CLASSFEATUREHEADERS,0),MATCH(($A138 &amp; "Points"),CLASSNAMEHEADERS,0))),(IF("01"=(INDEX(ALLCLASSDATA,MATCH("PerceptionExpert",CLASSFEATUREHEADERS,0),MATCH($A138,CLASSNAMEHEADERS,0))),(INDEX(ALLCLASSDATA,MATCH("PerceptionExpert",CLASSFEATUREHEADERS,0),MATCH(($A138 &amp; "Points"),CLASSNAMEHEADERS,0))),(IF("01"=(INDEX(ALLCLASSDATA,MATCH("PerceptionTrained",CLASSFEATUREHEADERS,0),MATCH($A138,CLASSNAMEHEADERS,0))),(INDEX(ALLCLASSDATA,MATCH("PerceptionTrained",CLASSFEATUREHEADERS,0),MATCH(($A138 &amp; "Points"),CLASSNAMEHEADERS,0))),"")))))))))}</f>
        <v>PERCEPTIONL01</v>
      </c>
      <c r="I137" s="230"/>
      <c r="J137" s="230" t="str">
        <f t="array" ref="J137:J138">{"PERCEPTIONL03";((IF("03"=(INDEX(ALLCLASSDATA,MATCH("PerceptionLegendary",CLASSFEATUREHEADERS,0),MATCH($A138,CLASSNAMEHEADERS,0))),(INDEX(ALLCLASSDATA,MATCH("PerceptionLegendary",CLASSFEATUREHEADERS,0),MATCH(($A138 &amp; "Points"),CLASSNAMEHEADERS,0))),(IF("03"=(INDEX(ALLCLASSDATA,MATCH("PerceptionMaster",CLASSFEATUREHEADERS,0),MATCH($A138,CLASSNAMEHEADERS,0))),(INDEX(ALLCLASSDATA,MATCH("PerceptionMaster",CLASSFEATUREHEADERS,0),MATCH(($A138 &amp; "Points"),CLASSNAMEHEADERS,0))),(IF("03"=(INDEX(ALLCLASSDATA,MATCH("PerceptionExpert",CLASSFEATUREHEADERS,0),MATCH($A138,CLASSNAMEHEADERS,0))),(INDEX(ALLCLASSDATA,MATCH("PerceptionExpert",CLASSFEATUREHEADERS,0),MATCH(($A138 &amp; "Points"),CLASSNAMEHEADERS,0))),(IF("03"=(INDEX(ALLCLASSDATA,MATCH("PerceptionTrained",CLASSFEATUREHEADERS,0),MATCH($A138,CLASSNAMEHEADERS,0))),(INDEX(ALLCLASSDATA,MATCH("PerceptionTrained",CLASSFEATUREHEADERS,0),MATCH(($A138 &amp; "Points"),CLASSNAMEHEADERS,0))),"")))))))))}</f>
        <v>PERCEPTIONL03</v>
      </c>
      <c r="K137" s="230"/>
      <c r="L137" s="230" t="str">
        <f t="array" ref="L137:L138">{"PERCEPTIONL05";((IF("05"=(INDEX(ALLCLASSDATA,MATCH("PerceptionLegendary",CLASSFEATUREHEADERS,0),MATCH($A138,CLASSNAMEHEADERS,0))),(INDEX(ALLCLASSDATA,MATCH("PerceptionLegendary",CLASSFEATUREHEADERS,0),MATCH(($A138 &amp; "Points"),CLASSNAMEHEADERS,0))),(IF("05"=(INDEX(ALLCLASSDATA,MATCH("PerceptionMaster",CLASSFEATUREHEADERS,0),MATCH($A138,CLASSNAMEHEADERS,0))),(INDEX(ALLCLASSDATA,MATCH("PerceptionMaster",CLASSFEATUREHEADERS,0),MATCH(($A138 &amp; "Points"),CLASSNAMEHEADERS,0))),(IF("05"=(INDEX(ALLCLASSDATA,MATCH("PerceptionExpert",CLASSFEATUREHEADERS,0),MATCH($A138,CLASSNAMEHEADERS,0))),(INDEX(ALLCLASSDATA,MATCH("PerceptionExpert",CLASSFEATUREHEADERS,0),MATCH(($A138 &amp; "Points"),CLASSNAMEHEADERS,0))),(IF("05"=(INDEX(ALLCLASSDATA,MATCH("PerceptionTrained",CLASSFEATUREHEADERS,0),MATCH($A138,CLASSNAMEHEADERS,0))),(INDEX(ALLCLASSDATA,MATCH("PerceptionTrained",CLASSFEATUREHEADERS,0),MATCH(($A138 &amp; "Points"),CLASSNAMEHEADERS,0))),"")))))))))}</f>
        <v>PERCEPTIONL05</v>
      </c>
      <c r="M137" s="230"/>
      <c r="N137" s="230" t="str">
        <f t="array" ref="N137:N138">{"PERCEPTIONL07";((IF("07"=(INDEX(ALLCLASSDATA,MATCH("PerceptionLegendary",CLASSFEATUREHEADERS,0),MATCH($A138,CLASSNAMEHEADERS,0))),(INDEX(ALLCLASSDATA,MATCH("PerceptionLegendary",CLASSFEATUREHEADERS,0),MATCH(($A138 &amp; "Points"),CLASSNAMEHEADERS,0))),(IF("07"=(INDEX(ALLCLASSDATA,MATCH("PerceptionMaster",CLASSFEATUREHEADERS,0),MATCH($A138,CLASSNAMEHEADERS,0))),(INDEX(ALLCLASSDATA,MATCH("PerceptionMaster",CLASSFEATUREHEADERS,0),MATCH(($A138 &amp; "Points"),CLASSNAMEHEADERS,0))),(IF("07"=(INDEX(ALLCLASSDATA,MATCH("PerceptionExpert",CLASSFEATUREHEADERS,0),MATCH($A138,CLASSNAMEHEADERS,0))),(INDEX(ALLCLASSDATA,MATCH("PerceptionExpert",CLASSFEATUREHEADERS,0),MATCH(($A138 &amp; "Points"),CLASSNAMEHEADERS,0))),(IF("07"=(INDEX(ALLCLASSDATA,MATCH("PerceptionTrained",CLASSFEATUREHEADERS,0),MATCH($A138,CLASSNAMEHEADERS,0))),(INDEX(ALLCLASSDATA,MATCH("PerceptionTrained",CLASSFEATUREHEADERS,0),MATCH(($A138 &amp; "Points"),CLASSNAMEHEADERS,0))),"")))))))))}</f>
        <v>PERCEPTIONL07</v>
      </c>
      <c r="O137" s="230"/>
      <c r="P137" s="230" t="str">
        <f t="array" ref="P137:P138">{"PERCEPTIONL09";((IF("09"=(INDEX(ALLCLASSDATA,MATCH("PerceptionLegendary",CLASSFEATUREHEADERS,0),MATCH($A138,CLASSNAMEHEADERS,0))),(INDEX(ALLCLASSDATA,MATCH("PerceptionLegendary",CLASSFEATUREHEADERS,0),MATCH(($A138 &amp; "Points"),CLASSNAMEHEADERS,0))),(IF("09"=(INDEX(ALLCLASSDATA,MATCH("PerceptionMaster",CLASSFEATUREHEADERS,0),MATCH($A138,CLASSNAMEHEADERS,0))),(INDEX(ALLCLASSDATA,MATCH("PerceptionMaster",CLASSFEATUREHEADERS,0),MATCH(($A138 &amp; "Points"),CLASSNAMEHEADERS,0))),(IF("09"=(INDEX(ALLCLASSDATA,MATCH("PerceptionExpert",CLASSFEATUREHEADERS,0),MATCH($A138,CLASSNAMEHEADERS,0))),(INDEX(ALLCLASSDATA,MATCH("PerceptionExpert",CLASSFEATUREHEADERS,0),MATCH(($A138 &amp; "Points"),CLASSNAMEHEADERS,0))),(IF("09"=(INDEX(ALLCLASSDATA,MATCH("PerceptionTrained",CLASSFEATUREHEADERS,0),MATCH($A138,CLASSNAMEHEADERS,0))),(INDEX(ALLCLASSDATA,MATCH("PerceptionTrained",CLASSFEATUREHEADERS,0),MATCH(($A138 &amp; "Points"),CLASSNAMEHEADERS,0))),"")))))))))}</f>
        <v>PERCEPTIONL09</v>
      </c>
      <c r="Q137" s="230"/>
      <c r="R137" s="230" t="str">
        <f t="array" ref="R137:R138">{"PERCEPTIONL11";((IF("11"=(INDEX(ALLCLASSDATA,MATCH("PerceptionLegendary",CLASSFEATUREHEADERS,0),MATCH($A138,CLASSNAMEHEADERS,0))),(INDEX(ALLCLASSDATA,MATCH("PerceptionLegendary",CLASSFEATUREHEADERS,0),MATCH(($A138 &amp; "Points"),CLASSNAMEHEADERS,0))),(IF("11"=(INDEX(ALLCLASSDATA,MATCH("PerceptionMaster",CLASSFEATUREHEADERS,0),MATCH($A138,CLASSNAMEHEADERS,0))),(INDEX(ALLCLASSDATA,MATCH("PerceptionMaster",CLASSFEATUREHEADERS,0),MATCH(($A138 &amp; "Points"),CLASSNAMEHEADERS,0))),(IF("11"=(INDEX(ALLCLASSDATA,MATCH("PerceptionExpert",CLASSFEATUREHEADERS,0),MATCH($A138,CLASSNAMEHEADERS,0))),(INDEX(ALLCLASSDATA,MATCH("PerceptionExpert",CLASSFEATUREHEADERS,0),MATCH(($A138 &amp; "Points"),CLASSNAMEHEADERS,0))),(IF("11"=(INDEX(ALLCLASSDATA,MATCH("PerceptionTrained",CLASSFEATUREHEADERS,0),MATCH($A138,CLASSNAMEHEADERS,0))),(INDEX(ALLCLASSDATA,MATCH("PerceptionTrained",CLASSFEATUREHEADERS,0),MATCH(($A138 &amp; "Points"),CLASSNAMEHEADERS,0))),"")))))))))}</f>
        <v>PERCEPTIONL11</v>
      </c>
      <c r="S137" s="230"/>
      <c r="T137" s="230" t="str">
        <f t="array" ref="T137:T138">{"PERCEPTIONL13";((IF("13"=(INDEX(ALLCLASSDATA,MATCH("PerceptionLegendary",CLASSFEATUREHEADERS,0),MATCH($A138,CLASSNAMEHEADERS,0))),(INDEX(ALLCLASSDATA,MATCH("PerceptionLegendary",CLASSFEATUREHEADERS,0),MATCH(($A138 &amp; "Points"),CLASSNAMEHEADERS,0))),(IF("13"=(INDEX(ALLCLASSDATA,MATCH("PerceptionMaster",CLASSFEATUREHEADERS,0),MATCH($A138,CLASSNAMEHEADERS,0))),(INDEX(ALLCLASSDATA,MATCH("PerceptionMaster",CLASSFEATUREHEADERS,0),MATCH(($A138 &amp; "Points"),CLASSNAMEHEADERS,0))),(IF("13"=(INDEX(ALLCLASSDATA,MATCH("PerceptionExpert",CLASSFEATUREHEADERS,0),MATCH($A138,CLASSNAMEHEADERS,0))),(INDEX(ALLCLASSDATA,MATCH("PerceptionExpert",CLASSFEATUREHEADERS,0),MATCH(($A138 &amp; "Points"),CLASSNAMEHEADERS,0))),(IF("13"=(INDEX(ALLCLASSDATA,MATCH("PerceptionTrained",CLASSFEATUREHEADERS,0),MATCH($A138,CLASSNAMEHEADERS,0))),(INDEX(ALLCLASSDATA,MATCH("PerceptionTrained",CLASSFEATUREHEADERS,0),MATCH(($A138 &amp; "Points"),CLASSNAMEHEADERS,0))),"")))))))))}</f>
        <v>PERCEPTIONL13</v>
      </c>
      <c r="U137" s="230"/>
      <c r="V137" s="230" t="str">
        <f t="array" ref="V137:V138">{"PERCEPTIONL15";((IF("15"=(INDEX(ALLCLASSDATA,MATCH("PerceptionLegendary",CLASSFEATUREHEADERS,0),MATCH($A138,CLASSNAMEHEADERS,0))),(INDEX(ALLCLASSDATA,MATCH("PerceptionLegendary",CLASSFEATUREHEADERS,0),MATCH(($A138 &amp; "Points"),CLASSNAMEHEADERS,0))),(IF("15"=(INDEX(ALLCLASSDATA,MATCH("PerceptionMaster",CLASSFEATUREHEADERS,0),MATCH($A138,CLASSNAMEHEADERS,0))),(INDEX(ALLCLASSDATA,MATCH("PerceptionMaster",CLASSFEATUREHEADERS,0),MATCH(($A138 &amp; "Points"),CLASSNAMEHEADERS,0))),(IF("15"=(INDEX(ALLCLASSDATA,MATCH("PerceptionExpert",CLASSFEATUREHEADERS,0),MATCH($A138,CLASSNAMEHEADERS,0))),(INDEX(ALLCLASSDATA,MATCH("PerceptionExpert",CLASSFEATUREHEADERS,0),MATCH(($A138 &amp; "Points"),CLASSNAMEHEADERS,0))),(IF("15"=(INDEX(ALLCLASSDATA,MATCH("PerceptionTrained",CLASSFEATUREHEADERS,0),MATCH($A138,CLASSNAMEHEADERS,0))),(INDEX(ALLCLASSDATA,MATCH("PerceptionTrained",CLASSFEATUREHEADERS,0),MATCH(($A138 &amp; "Points"),CLASSNAMEHEADERS,0))),"")))))))))}</f>
        <v>PERCEPTIONL15</v>
      </c>
      <c r="W137" s="230"/>
      <c r="X137" s="230" t="str">
        <f t="array" ref="X137:X138">{"PERCEPTIONL17";((IF("17"=(INDEX(ALLCLASSDATA,MATCH("PerceptionLegendary",CLASSFEATUREHEADERS,0),MATCH($A138,CLASSNAMEHEADERS,0))),(INDEX(ALLCLASSDATA,MATCH("PerceptionLegendary",CLASSFEATUREHEADERS,0),MATCH(($A138 &amp; "Points"),CLASSNAMEHEADERS,0))),(IF("17"=(INDEX(ALLCLASSDATA,MATCH("PerceptionMaster",CLASSFEATUREHEADERS,0),MATCH($A138,CLASSNAMEHEADERS,0))),(INDEX(ALLCLASSDATA,MATCH("PerceptionMaster",CLASSFEATUREHEADERS,0),MATCH(($A138 &amp; "Points"),CLASSNAMEHEADERS,0))),(IF("17"=(INDEX(ALLCLASSDATA,MATCH("PerceptionExpert",CLASSFEATUREHEADERS,0),MATCH($A138,CLASSNAMEHEADERS,0))),(INDEX(ALLCLASSDATA,MATCH("PerceptionExpert",CLASSFEATUREHEADERS,0),MATCH(($A138 &amp; "Points"),CLASSNAMEHEADERS,0))),(IF("17"=(INDEX(ALLCLASSDATA,MATCH("PerceptionTrained",CLASSFEATUREHEADERS,0),MATCH($A138,CLASSNAMEHEADERS,0))),(INDEX(ALLCLASSDATA,MATCH("PerceptionTrained",CLASSFEATUREHEADERS,0),MATCH(($A138 &amp; "Points"),CLASSNAMEHEADERS,0))),"")))))))))}</f>
        <v>PERCEPTIONL17</v>
      </c>
      <c r="Y137" s="230"/>
      <c r="Z137" s="230" t="str">
        <f t="array" ref="Z137:Z138">{"PERCEPTIONL19";((IF("19"=(INDEX(ALLCLASSDATA,MATCH("PerceptionLegendary",CLASSFEATUREHEADERS,0),MATCH($A138,CLASSNAMEHEADERS,0))),(INDEX(ALLCLASSDATA,MATCH("PerceptionLegendary",CLASSFEATUREHEADERS,0),MATCH(($A138 &amp; "Points"),CLASSNAMEHEADERS,0))),(IF("19"=(INDEX(ALLCLASSDATA,MATCH("PerceptionMaster",CLASSFEATUREHEADERS,0),MATCH($A138,CLASSNAMEHEADERS,0))),(INDEX(ALLCLASSDATA,MATCH("PerceptionMaster",CLASSFEATUREHEADERS,0),MATCH(($A138 &amp; "Points"),CLASSNAMEHEADERS,0))),(IF("19"=(INDEX(ALLCLASSDATA,MATCH("PerceptionExpert",CLASSFEATUREHEADERS,0),MATCH($A138,CLASSNAMEHEADERS,0))),(INDEX(ALLCLASSDATA,MATCH("PerceptionExpert",CLASSFEATUREHEADERS,0),MATCH(($A138 &amp; "Points"),CLASSNAMEHEADERS,0))),(IF("19"=(INDEX(ALLCLASSDATA,MATCH("PerceptionTrained",CLASSFEATUREHEADERS,0),MATCH($A138,CLASSNAMEHEADERS,0))),(INDEX(ALLCLASSDATA,MATCH("PerceptionTrained",CLASSFEATUREHEADERS,0),MATCH(($A138 &amp; "Points"),CLASSNAMEHEADERS,0))),"")))))))))}</f>
        <v>PERCEPTIONL19</v>
      </c>
      <c r="AA137" s="230"/>
      <c r="AB137" s="76" t="str">
        <f t="array" ref="AB137:AB138">{"PERCEPTION TOTAL";(IF(COUNTBLANK(G138:AA138)=17,"L",(IF(COUNTBLANK(G138:AA138)=18,"M",(IF(COUNTBLANK(G138:AA138)=19,"E",(IF(COUNTBLANK(G138:AA138)=20,"T",""))))))))}</f>
        <v>PERCEPTION TOTAL</v>
      </c>
      <c r="AC137" s="76" t="str">
        <f t="array" ref="AC137:AC138">{"PERCEPTION TOTAL";(sum(G138:AA138))}</f>
        <v>PERCEPTION TOTAL</v>
      </c>
    </row>
    <row r="138">
      <c r="A138" s="48" t="s">
        <v>95</v>
      </c>
      <c r="B138" s="48"/>
      <c r="C138" s="48" t="s">
        <v>409</v>
      </c>
      <c r="D138" s="97" t="s">
        <v>637</v>
      </c>
      <c r="E138" s="97" t="s">
        <v>637</v>
      </c>
      <c r="F138" s="98" t="s">
        <v>435</v>
      </c>
      <c r="G138" s="132" t="s">
        <v>603</v>
      </c>
      <c r="H138" s="98">
        <v>10.0</v>
      </c>
      <c r="I138" s="98"/>
      <c r="J138" s="98" t="s">
        <v>603</v>
      </c>
      <c r="K138" s="98"/>
      <c r="L138" s="98">
        <v>50.0</v>
      </c>
      <c r="M138" s="98"/>
      <c r="N138" s="98" t="s">
        <v>603</v>
      </c>
      <c r="O138" s="98"/>
      <c r="P138" s="98" t="s">
        <v>603</v>
      </c>
      <c r="Q138" s="98"/>
      <c r="R138" s="98" t="s">
        <v>603</v>
      </c>
      <c r="S138" s="98"/>
      <c r="T138" s="98" t="s">
        <v>603</v>
      </c>
      <c r="U138" s="98"/>
      <c r="V138" s="98" t="s">
        <v>603</v>
      </c>
      <c r="W138" s="98"/>
      <c r="X138" s="98" t="s">
        <v>603</v>
      </c>
      <c r="Y138" s="98"/>
      <c r="Z138" s="98" t="s">
        <v>603</v>
      </c>
      <c r="AA138" s="98"/>
      <c r="AB138" s="5" t="s">
        <v>436</v>
      </c>
      <c r="AC138" s="47">
        <v>60.0</v>
      </c>
    </row>
    <row r="139" hidden="1">
      <c r="A139" s="222" t="str">
        <f t="array" ref="A139:A140">{"FormulaRow23";(INDEX(CLASSLIST,A94,1))}</f>
        <v>FormulaRow23</v>
      </c>
      <c r="B139" s="77" t="s">
        <v>236</v>
      </c>
      <c r="C139" s="222" t="str">
        <f t="array" ref="C139:C140">{"CLASSTYPE";((INDEX(ALLCLASSDATA,MATCH("ClassType",CLASSFEATUREHEADERS,0),MATCH($A140,CLASSNAMEHEADERS,0))))}</f>
        <v>CLASSTYPE</v>
      </c>
      <c r="D139" s="228" t="str">
        <f t="array" ref="D139:D140">{"SAVES";"Saves"}</f>
        <v>SAVES</v>
      </c>
      <c r="E139" s="228" t="str">
        <f t="array" ref="E139:E140">{"FORTITUDESAVE";"FortitudeSave"}</f>
        <v>FORTITUDESAVE</v>
      </c>
      <c r="F139" s="230" t="str">
        <f t="array" ref="F139:F140">{"FORTITUDEINITIAL";((IF(H140=10,"T",(IF(H140=50,"E","")))))}</f>
        <v>FORTITUDEINITIAL</v>
      </c>
      <c r="G139" s="230" t="str">
        <f t="array" ref="G139:G140">{"FORTITUDEINITIALPTS";((IF("00"=(INDEX(ALLCLASSDATA,MATCH("FortitudeSaveLegendary",CLASSFEATUREHEADERS,0),MATCH($A140,CLASSNAMEHEADERS,0))),(INDEX(ALLCLASSDATA,MATCH("FortitudeSaveLegendary",CLASSFEATUREHEADERS,0),MATCH(($A140 &amp; "Points"),CLASSNAMEHEADERS,0))),(IF("00"=(INDEX(ALLCLASSDATA,MATCH("FortitudeSaveMaster",CLASSFEATUREHEADERS,0),MATCH($A140,CLASSNAMEHEADERS,0))),(INDEX(ALLCLASSDATA,MATCH("FortitudeSaveMaster",CLASSFEATUREHEADERS,0),MATCH(($A140 &amp; "Points"),CLASSNAMEHEADERS,0))),(IF("00"=(INDEX(ALLCLASSDATA,MATCH("FortitudeSaveExpert",CLASSFEATUREHEADERS,0),MATCH($A140,CLASSNAMEHEADERS,0))),(INDEX(ALLCLASSDATA,MATCH("FortitudeSaveExpert",CLASSFEATUREHEADERS,0),MATCH(($A140 &amp; "Points"),CLASSNAMEHEADERS,0))),(IF("00"=(INDEX(ALLCLASSDATA,MATCH("FortitudeSaveTrained",CLASSFEATUREHEADERS,0),MATCH($A140,CLASSNAMEHEADERS,0))),(INDEX(ALLCLASSDATA,MATCH("FortitudeSaveTrained",CLASSFEATUREHEADERS,0),MATCH(($A140 &amp; "Points"),CLASSNAMEHEADERS,0))),"")))))))))}</f>
        <v>FORTITUDEINITIALPTS</v>
      </c>
      <c r="H139" s="230" t="str">
        <f t="array" ref="H139:H140">{"FORTITUDEL01";((IF("01"=(INDEX(ALLCLASSDATA,MATCH("FortitudeSaveLegendary",CLASSFEATUREHEADERS,0),MATCH($A140,CLASSNAMEHEADERS,0))),(INDEX(ALLCLASSDATA,MATCH("FortitudeSaveLegendary",CLASSFEATUREHEADERS,0),MATCH(($A140 &amp; "Points"),CLASSNAMEHEADERS,0))),(IF("01"=(INDEX(ALLCLASSDATA,MATCH("FortitudeSaveMaster",CLASSFEATUREHEADERS,0),MATCH($A140,CLASSNAMEHEADERS,0))),(INDEX(ALLCLASSDATA,MATCH("FortitudeSaveMaster",CLASSFEATUREHEADERS,0),MATCH(($A140 &amp; "Points"),CLASSNAMEHEADERS,0))),(IF("01"=(INDEX(ALLCLASSDATA,MATCH("FortitudeSaveExpert",CLASSFEATUREHEADERS,0),MATCH($A140,CLASSNAMEHEADERS,0))),(INDEX(ALLCLASSDATA,MATCH("FortitudeSaveExpert",CLASSFEATUREHEADERS,0),MATCH(($A140 &amp; "Points"),CLASSNAMEHEADERS,0))),(IF("01"=(INDEX(ALLCLASSDATA,MATCH("FortitudeSaveTrained",CLASSFEATUREHEADERS,0),MATCH($A140,CLASSNAMEHEADERS,0))),(INDEX(ALLCLASSDATA,MATCH("FortitudeSaveTrained",CLASSFEATUREHEADERS,0),MATCH(($A140 &amp; "Points"),CLASSNAMEHEADERS,0))),"")))))))))}</f>
        <v>FORTITUDEL01</v>
      </c>
      <c r="I139" s="230"/>
      <c r="J139" s="230" t="str">
        <f t="array" ref="J139:J140">{"FORTITUDEL03";((IF("03"=(INDEX(ALLCLASSDATA,MATCH("FortitudeSaveLegendary",CLASSFEATUREHEADERS,0),MATCH($A140,CLASSNAMEHEADERS,0))),(INDEX(ALLCLASSDATA,MATCH("FortitudeSaveLegendary",CLASSFEATUREHEADERS,0),MATCH(($A140 &amp; "Points"),CLASSNAMEHEADERS,0))),(IF("03"=(INDEX(ALLCLASSDATA,MATCH("FortitudeSaveMaster",CLASSFEATUREHEADERS,0),MATCH($A140,CLASSNAMEHEADERS,0))),(INDEX(ALLCLASSDATA,MATCH("FortitudeSaveMaster",CLASSFEATUREHEADERS,0),MATCH(($A140 &amp; "Points"),CLASSNAMEHEADERS,0))),(IF("03"=(INDEX(ALLCLASSDATA,MATCH("FortitudeSaveExpert",CLASSFEATUREHEADERS,0),MATCH($A140,CLASSNAMEHEADERS,0))),(INDEX(ALLCLASSDATA,MATCH("FortitudeSaveExpert",CLASSFEATUREHEADERS,0),MATCH(($A140 &amp; "Points"),CLASSNAMEHEADERS,0))),(IF("03"=(INDEX(ALLCLASSDATA,MATCH("FortitudeSaveTrained",CLASSFEATUREHEADERS,0),MATCH($A140,CLASSNAMEHEADERS,0))),(INDEX(ALLCLASSDATA,MATCH("FortitudeSaveTrained",CLASSFEATUREHEADERS,0),MATCH(($A140 &amp; "Points"),CLASSNAMEHEADERS,0))),"")))))))))}</f>
        <v>FORTITUDEL03</v>
      </c>
      <c r="K139" s="230"/>
      <c r="L139" s="230" t="str">
        <f t="array" ref="L139:L140">{"FORTITUDEL05";((IF("05"=(INDEX(ALLCLASSDATA,MATCH("FortitudeSaveLegendary",CLASSFEATUREHEADERS,0),MATCH($A140,CLASSNAMEHEADERS,0))),(INDEX(ALLCLASSDATA,MATCH("FortitudeSaveLegendary",CLASSFEATUREHEADERS,0),MATCH(($A140 &amp; "Points"),CLASSNAMEHEADERS,0))),(IF("05"=(INDEX(ALLCLASSDATA,MATCH("FortitudeSaveMaster",CLASSFEATUREHEADERS,0),MATCH($A140,CLASSNAMEHEADERS,0))),(INDEX(ALLCLASSDATA,MATCH("FortitudeSaveMaster",CLASSFEATUREHEADERS,0),MATCH(($A140 &amp; "Points"),CLASSNAMEHEADERS,0))),(IF("05"=(INDEX(ALLCLASSDATA,MATCH("FortitudeSaveExpert",CLASSFEATUREHEADERS,0),MATCH($A140,CLASSNAMEHEADERS,0))),(INDEX(ALLCLASSDATA,MATCH("FortitudeSaveExpert",CLASSFEATUREHEADERS,0),MATCH(($A140 &amp; "Points"),CLASSNAMEHEADERS,0))),(IF("05"=(INDEX(ALLCLASSDATA,MATCH("FortitudeSaveTrained",CLASSFEATUREHEADERS,0),MATCH($A140,CLASSNAMEHEADERS,0))),(INDEX(ALLCLASSDATA,MATCH("FortitudeSaveTrained",CLASSFEATUREHEADERS,0),MATCH(($A140 &amp; "Points"),CLASSNAMEHEADERS,0))),"")))))))))}</f>
        <v>FORTITUDEL05</v>
      </c>
      <c r="M139" s="230"/>
      <c r="N139" s="230" t="str">
        <f t="array" ref="N139:N140">{"FORTITUDEL07";((IF("07"=(INDEX(ALLCLASSDATA,MATCH("FortitudeSaveLegendary",CLASSFEATUREHEADERS,0),MATCH($A140,CLASSNAMEHEADERS,0))),(INDEX(ALLCLASSDATA,MATCH("FortitudeSaveLegendary",CLASSFEATUREHEADERS,0),MATCH(($A140 &amp; "Points"),CLASSNAMEHEADERS,0))),(IF("07"=(INDEX(ALLCLASSDATA,MATCH("FortitudeSaveMaster",CLASSFEATUREHEADERS,0),MATCH($A140,CLASSNAMEHEADERS,0))),(INDEX(ALLCLASSDATA,MATCH("FortitudeSaveMaster",CLASSFEATUREHEADERS,0),MATCH(($A140 &amp; "Points"),CLASSNAMEHEADERS,0))),(IF("07"=(INDEX(ALLCLASSDATA,MATCH("FortitudeSaveExpert",CLASSFEATUREHEADERS,0),MATCH($A140,CLASSNAMEHEADERS,0))),(INDEX(ALLCLASSDATA,MATCH("FortitudeSaveExpert",CLASSFEATUREHEADERS,0),MATCH(($A140 &amp; "Points"),CLASSNAMEHEADERS,0))),(IF("07"=(INDEX(ALLCLASSDATA,MATCH("FortitudeSaveTrained",CLASSFEATUREHEADERS,0),MATCH($A140,CLASSNAMEHEADERS,0))),(INDEX(ALLCLASSDATA,MATCH("FortitudeSaveTrained",CLASSFEATUREHEADERS,0),MATCH(($A140 &amp; "Points"),CLASSNAMEHEADERS,0))),"")))))))))}</f>
        <v>FORTITUDEL07</v>
      </c>
      <c r="O139" s="230"/>
      <c r="P139" s="230" t="str">
        <f t="array" ref="P139:P140">{"FORTITUDEL09";((IF("09"=(INDEX(ALLCLASSDATA,MATCH("FortitudeSaveLegendary",CLASSFEATUREHEADERS,0),MATCH($A140,CLASSNAMEHEADERS,0))),(INDEX(ALLCLASSDATA,MATCH("FortitudeSaveLegendary",CLASSFEATUREHEADERS,0),MATCH(($A140 &amp; "Points"),CLASSNAMEHEADERS,0))),(IF("09"=(INDEX(ALLCLASSDATA,MATCH("FortitudeSaveMaster",CLASSFEATUREHEADERS,0),MATCH($A140,CLASSNAMEHEADERS,0))),(INDEX(ALLCLASSDATA,MATCH("FortitudeSaveMaster",CLASSFEATUREHEADERS,0),MATCH(($A140 &amp; "Points"),CLASSNAMEHEADERS,0))),(IF("09"=(INDEX(ALLCLASSDATA,MATCH("FortitudeSaveExpert",CLASSFEATUREHEADERS,0),MATCH($A140,CLASSNAMEHEADERS,0))),(INDEX(ALLCLASSDATA,MATCH("FortitudeSaveExpert",CLASSFEATUREHEADERS,0),MATCH(($A140 &amp; "Points"),CLASSNAMEHEADERS,0))),(IF("09"=(INDEX(ALLCLASSDATA,MATCH("FortitudeSaveTrained",CLASSFEATUREHEADERS,0),MATCH($A140,CLASSNAMEHEADERS,0))),(INDEX(ALLCLASSDATA,MATCH("FortitudeSaveTrained",CLASSFEATUREHEADERS,0),MATCH(($A140 &amp; "Points"),CLASSNAMEHEADERS,0))),"")))))))))}</f>
        <v>FORTITUDEL09</v>
      </c>
      <c r="Q139" s="230"/>
      <c r="R139" s="230" t="str">
        <f t="array" ref="R139:R140">{"FORTITUDEL11";((IF("11"=(INDEX(ALLCLASSDATA,MATCH("FortitudeSaveLegendary",CLASSFEATUREHEADERS,0),MATCH($A140,CLASSNAMEHEADERS,0))),(INDEX(ALLCLASSDATA,MATCH("FortitudeSaveLegendary",CLASSFEATUREHEADERS,0),MATCH(($A140 &amp; "Points"),CLASSNAMEHEADERS,0))),(IF("11"=(INDEX(ALLCLASSDATA,MATCH("FortitudeSaveMaster",CLASSFEATUREHEADERS,0),MATCH($A140,CLASSNAMEHEADERS,0))),(INDEX(ALLCLASSDATA,MATCH("FortitudeSaveMaster",CLASSFEATUREHEADERS,0),MATCH(($A140 &amp; "Points"),CLASSNAMEHEADERS,0))),(IF("11"=(INDEX(ALLCLASSDATA,MATCH("FortitudeSaveExpert",CLASSFEATUREHEADERS,0),MATCH($A140,CLASSNAMEHEADERS,0))),(INDEX(ALLCLASSDATA,MATCH("FortitudeSaveExpert",CLASSFEATUREHEADERS,0),MATCH(($A140 &amp; "Points"),CLASSNAMEHEADERS,0))),(IF("11"=(INDEX(ALLCLASSDATA,MATCH("FortitudeSaveTrained",CLASSFEATUREHEADERS,0),MATCH($A140,CLASSNAMEHEADERS,0))),(INDEX(ALLCLASSDATA,MATCH("FortitudeSaveTrained",CLASSFEATUREHEADERS,0),MATCH(($A140 &amp; "Points"),CLASSNAMEHEADERS,0))),"")))))))))}</f>
        <v>FORTITUDEL11</v>
      </c>
      <c r="S139" s="230"/>
      <c r="T139" s="230" t="str">
        <f t="array" ref="T139:T140">{"FORTITUDEL13";((IF("13"=(INDEX(ALLCLASSDATA,MATCH("FortitudeSaveLegendary",CLASSFEATUREHEADERS,0),MATCH($A140,CLASSNAMEHEADERS,0))),(INDEX(ALLCLASSDATA,MATCH("FortitudeSaveLegendary",CLASSFEATUREHEADERS,0),MATCH(($A140 &amp; "Points"),CLASSNAMEHEADERS,0))),(IF("13"=(INDEX(ALLCLASSDATA,MATCH("FortitudeSaveMaster",CLASSFEATUREHEADERS,0),MATCH($A140,CLASSNAMEHEADERS,0))),(INDEX(ALLCLASSDATA,MATCH("FortitudeSaveMaster",CLASSFEATUREHEADERS,0),MATCH(($A140 &amp; "Points"),CLASSNAMEHEADERS,0))),(IF("13"=(INDEX(ALLCLASSDATA,MATCH("FortitudeSaveExpert",CLASSFEATUREHEADERS,0),MATCH($A140,CLASSNAMEHEADERS,0))),(INDEX(ALLCLASSDATA,MATCH("FortitudeSaveExpert",CLASSFEATUREHEADERS,0),MATCH(($A140 &amp; "Points"),CLASSNAMEHEADERS,0))),(IF("13"=(INDEX(ALLCLASSDATA,MATCH("FortitudeSaveTrained",CLASSFEATUREHEADERS,0),MATCH($A140,CLASSNAMEHEADERS,0))),(INDEX(ALLCLASSDATA,MATCH("FortitudeSaveTrained",CLASSFEATUREHEADERS,0),MATCH(($A140 &amp; "Points"),CLASSNAMEHEADERS,0))),"")))))))))}</f>
        <v>FORTITUDEL13</v>
      </c>
      <c r="U139" s="230"/>
      <c r="V139" s="230" t="str">
        <f t="array" ref="V139:V140">{"FORTITUDEL15";((IF("15"=(INDEX(ALLCLASSDATA,MATCH("FortitudeSaveLegendary",CLASSFEATUREHEADERS,0),MATCH($A140,CLASSNAMEHEADERS,0))),(INDEX(ALLCLASSDATA,MATCH("FortitudeSaveLegendary",CLASSFEATUREHEADERS,0),MATCH(($A140 &amp; "Points"),CLASSNAMEHEADERS,0))),(IF("15"=(INDEX(ALLCLASSDATA,MATCH("FortitudeSaveMaster",CLASSFEATUREHEADERS,0),MATCH($A140,CLASSNAMEHEADERS,0))),(INDEX(ALLCLASSDATA,MATCH("FortitudeSaveMaster",CLASSFEATUREHEADERS,0),MATCH(($A140 &amp; "Points"),CLASSNAMEHEADERS,0))),(IF("15"=(INDEX(ALLCLASSDATA,MATCH("FortitudeSaveExpert",CLASSFEATUREHEADERS,0),MATCH($A140,CLASSNAMEHEADERS,0))),(INDEX(ALLCLASSDATA,MATCH("FortitudeSaveExpert",CLASSFEATUREHEADERS,0),MATCH(($A140 &amp; "Points"),CLASSNAMEHEADERS,0))),(IF("15"=(INDEX(ALLCLASSDATA,MATCH("FortitudeSaveTrained",CLASSFEATUREHEADERS,0),MATCH($A140,CLASSNAMEHEADERS,0))),(INDEX(ALLCLASSDATA,MATCH("FortitudeSaveTrained",CLASSFEATUREHEADERS,0),MATCH(($A140 &amp; "Points"),CLASSNAMEHEADERS,0))),"")))))))))}</f>
        <v>FORTITUDEL15</v>
      </c>
      <c r="W139" s="230"/>
      <c r="X139" s="230" t="str">
        <f t="array" ref="X139:X140">{"FORTITUDEL17";((IF("17"=(INDEX(ALLCLASSDATA,MATCH("FortitudeSaveLegendary",CLASSFEATUREHEADERS,0),MATCH($A140,CLASSNAMEHEADERS,0))),(INDEX(ALLCLASSDATA,MATCH("FortitudeSaveLegendary",CLASSFEATUREHEADERS,0),MATCH(($A140 &amp; "Points"),CLASSNAMEHEADERS,0))),(IF("17"=(INDEX(ALLCLASSDATA,MATCH("FortitudeSaveMaster",CLASSFEATUREHEADERS,0),MATCH($A140,CLASSNAMEHEADERS,0))),(INDEX(ALLCLASSDATA,MATCH("FortitudeSaveMaster",CLASSFEATUREHEADERS,0),MATCH(($A140 &amp; "Points"),CLASSNAMEHEADERS,0))),(IF("17"=(INDEX(ALLCLASSDATA,MATCH("FortitudeSaveExpert",CLASSFEATUREHEADERS,0),MATCH($A140,CLASSNAMEHEADERS,0))),(INDEX(ALLCLASSDATA,MATCH("FortitudeSaveExpert",CLASSFEATUREHEADERS,0),MATCH(($A140 &amp; "Points"),CLASSNAMEHEADERS,0))),(IF("17"=(INDEX(ALLCLASSDATA,MATCH("FortitudeSaveTrained",CLASSFEATUREHEADERS,0),MATCH($A140,CLASSNAMEHEADERS,0))),(INDEX(ALLCLASSDATA,MATCH("FortitudeSaveTrained",CLASSFEATUREHEADERS,0),MATCH(($A140 &amp; "Points"),CLASSNAMEHEADERS,0))),"")))))))))}</f>
        <v>FORTITUDEL17</v>
      </c>
      <c r="Y139" s="230"/>
      <c r="Z139" s="230" t="str">
        <f t="array" ref="Z139:Z140">{"FORTITUDEL19";((IF("19"=(INDEX(ALLCLASSDATA,MATCH("FortitudeSaveLegendary",CLASSFEATUREHEADERS,0),MATCH($A140,CLASSNAMEHEADERS,0))),(INDEX(ALLCLASSDATA,MATCH("FortitudeSaveLegendary",CLASSFEATUREHEADERS,0),MATCH(($A140 &amp; "Points"),CLASSNAMEHEADERS,0))),(IF("19"=(INDEX(ALLCLASSDATA,MATCH("FortitudeSaveMaster",CLASSFEATUREHEADERS,0),MATCH($A140,CLASSNAMEHEADERS,0))),(INDEX(ALLCLASSDATA,MATCH("FortitudeSaveMaster",CLASSFEATUREHEADERS,0),MATCH(($A140 &amp; "Points"),CLASSNAMEHEADERS,0))),(IF("19"=(INDEX(ALLCLASSDATA,MATCH("FortitudeSaveExpert",CLASSFEATUREHEADERS,0),MATCH($A140,CLASSNAMEHEADERS,0))),(INDEX(ALLCLASSDATA,MATCH("FortitudeSaveExpert",CLASSFEATUREHEADERS,0),MATCH(($A140 &amp; "Points"),CLASSNAMEHEADERS,0))),(IF("19"=(INDEX(ALLCLASSDATA,MATCH("FortitudeSaveTrained",CLASSFEATUREHEADERS,0),MATCH($A140,CLASSNAMEHEADERS,0))),(INDEX(ALLCLASSDATA,MATCH("FortitudeSaveTrained",CLASSFEATUREHEADERS,0),MATCH(($A140 &amp; "Points"),CLASSNAMEHEADERS,0))),"")))))))))}</f>
        <v>FORTITUDEL19</v>
      </c>
      <c r="AA139" s="230"/>
      <c r="AB139" s="76" t="str">
        <f t="array" ref="AB139:AB140">{"FORTITUDE TOTAL";(IF(COUNTBLANK(G140:AA140)=17,"L",(IF(COUNTBLANK(G140:AA140)=18,"M",(IF(COUNTBLANK(G140:AA140)=19,"E",(IF(COUNTBLANK(G140:AA140)=20,"T",""))))))))}</f>
        <v>FORTITUDE TOTAL</v>
      </c>
      <c r="AC139" s="76" t="str">
        <f t="array" ref="AC139:AC140">{"FORTITUDE TOTAL";(sum(G140:AA140))}</f>
        <v>FORTITUDE TOTAL</v>
      </c>
    </row>
    <row r="140">
      <c r="A140" s="48" t="s">
        <v>95</v>
      </c>
      <c r="B140" s="48"/>
      <c r="C140" s="48" t="s">
        <v>409</v>
      </c>
      <c r="D140" s="48" t="s">
        <v>1549</v>
      </c>
      <c r="E140" s="48" t="s">
        <v>1550</v>
      </c>
      <c r="F140" s="5" t="s">
        <v>436</v>
      </c>
      <c r="G140" s="47">
        <v>10.0</v>
      </c>
      <c r="H140" s="5">
        <v>50.0</v>
      </c>
      <c r="I140" s="5"/>
      <c r="J140" s="5" t="s">
        <v>603</v>
      </c>
      <c r="K140" s="5"/>
      <c r="L140" s="5" t="s">
        <v>603</v>
      </c>
      <c r="M140" s="5"/>
      <c r="N140" s="5" t="s">
        <v>653</v>
      </c>
      <c r="O140" s="5"/>
      <c r="P140" s="5" t="s">
        <v>603</v>
      </c>
      <c r="Q140" s="5"/>
      <c r="R140" s="5" t="s">
        <v>603</v>
      </c>
      <c r="S140" s="5"/>
      <c r="T140" s="5" t="s">
        <v>603</v>
      </c>
      <c r="U140" s="5"/>
      <c r="V140" s="5" t="s">
        <v>653</v>
      </c>
      <c r="W140" s="5"/>
      <c r="X140" s="5" t="s">
        <v>603</v>
      </c>
      <c r="Y140" s="5"/>
      <c r="Z140" s="5" t="s">
        <v>603</v>
      </c>
      <c r="AA140" s="5"/>
      <c r="AB140" s="5" t="s">
        <v>466</v>
      </c>
      <c r="AC140" s="47">
        <v>60.0</v>
      </c>
    </row>
    <row r="141" hidden="1">
      <c r="A141" s="222" t="str">
        <f t="array" ref="A141:A142">{"FormulaRow24";(INDEX(CLASSLIST,A94,1))}</f>
        <v>FormulaRow24</v>
      </c>
      <c r="B141" s="77" t="s">
        <v>236</v>
      </c>
      <c r="C141" s="222" t="str">
        <f t="array" ref="C141:C142">{"CLASSTYPE";((INDEX(ALLCLASSDATA,MATCH("ClassType",CLASSFEATUREHEADERS,0),MATCH($A142,CLASSNAMEHEADERS,0))))}</f>
        <v>CLASSTYPE</v>
      </c>
      <c r="D141" s="222" t="str">
        <f t="array" ref="D141:D142">{"SAVES";"Saves"}</f>
        <v>SAVES</v>
      </c>
      <c r="E141" s="222" t="str">
        <f t="array" ref="E141:E142">{"REFLEXSAVE";"ReflexSave"}</f>
        <v>REFLEXSAVE</v>
      </c>
      <c r="F141" s="223" t="str">
        <f t="array" ref="F141:F142">{"REFLEXINITIAL";((IF(H142=10,"T",(IF(H142=50,"E","")))))}</f>
        <v>REFLEXINITIAL</v>
      </c>
      <c r="G141" s="223" t="str">
        <f t="array" ref="G141:G142">{"REFLEXINITIALPTS";((IF("00"=(INDEX(ALLCLASSDATA,MATCH("ReflexSaveLegendary",CLASSFEATUREHEADERS,0),MATCH($A142,CLASSNAMEHEADERS,0))),(INDEX(ALLCLASSDATA,MATCH("ReflexSaveLegendary",CLASSFEATUREHEADERS,0),MATCH(($A142 &amp; "Points"),CLASSNAMEHEADERS,0))),(IF("00"=(INDEX(ALLCLASSDATA,MATCH("ReflexSaveMaster",CLASSFEATUREHEADERS,0),MATCH($A142,CLASSNAMEHEADERS,0))),(INDEX(ALLCLASSDATA,MATCH("ReflexSaveMaster",CLASSFEATUREHEADERS,0),MATCH(($A142 &amp; "Points"),CLASSNAMEHEADERS,0))),(IF("00"=(INDEX(ALLCLASSDATA,MATCH("ReflexSaveExpert",CLASSFEATUREHEADERS,0),MATCH($A142,CLASSNAMEHEADERS,0))),(INDEX(ALLCLASSDATA,MATCH("ReflexSaveExpert",CLASSFEATUREHEADERS,0),MATCH(($A142 &amp; "Points"),CLASSNAMEHEADERS,0))),(IF("00"=(INDEX(ALLCLASSDATA,MATCH("ReflexSaveTrained",CLASSFEATUREHEADERS,0),MATCH($A142,CLASSNAMEHEADERS,0))),(INDEX(ALLCLASSDATA,MATCH("ReflexSaveTrained",CLASSFEATUREHEADERS,0),MATCH(($A142 &amp; "Points"),CLASSNAMEHEADERS,0))),"")))))))))}</f>
        <v>REFLEXINITIALPTS</v>
      </c>
      <c r="H141" s="223" t="str">
        <f t="array" ref="H141:H142">{"REFLEXL01";((IF("01"=(INDEX(ALLCLASSDATA,MATCH("ReflexSaveLegendary",CLASSFEATUREHEADERS,0),MATCH($A142,CLASSNAMEHEADERS,0))),(INDEX(ALLCLASSDATA,MATCH("ReflexSaveLegendary",CLASSFEATUREHEADERS,0),MATCH(($A142 &amp; "Points"),CLASSNAMEHEADERS,0))),(IF("01"=(INDEX(ALLCLASSDATA,MATCH("ReflexSaveMaster",CLASSFEATUREHEADERS,0),MATCH($A142,CLASSNAMEHEADERS,0))),(INDEX(ALLCLASSDATA,MATCH("ReflexSaveMaster",CLASSFEATUREHEADERS,0),MATCH(($A142 &amp; "Points"),CLASSNAMEHEADERS,0))),(IF("01"=(INDEX(ALLCLASSDATA,MATCH("ReflexSaveExpert",CLASSFEATUREHEADERS,0),MATCH($A142,CLASSNAMEHEADERS,0))),(INDEX(ALLCLASSDATA,MATCH("ReflexSaveExpert",CLASSFEATUREHEADERS,0),MATCH(($A142 &amp; "Points"),CLASSNAMEHEADERS,0))),(IF("01"=(INDEX(ALLCLASSDATA,MATCH("ReflexSaveTrained",CLASSFEATUREHEADERS,0),MATCH($A142,CLASSNAMEHEADERS,0))),(INDEX(ALLCLASSDATA,MATCH("ReflexSaveTrained",CLASSFEATUREHEADERS,0),MATCH(($A142 &amp; "Points"),CLASSNAMEHEADERS,0))),"")))))))))}</f>
        <v>REFLEXL01</v>
      </c>
      <c r="I141" s="223"/>
      <c r="J141" s="223" t="str">
        <f t="array" ref="J141:J142">{"REFLEXL03";((IF("03"=(INDEX(ALLCLASSDATA,MATCH("ReflexSaveLegendary",CLASSFEATUREHEADERS,0),MATCH($A142,CLASSNAMEHEADERS,0))),(INDEX(ALLCLASSDATA,MATCH("ReflexSaveLegendary",CLASSFEATUREHEADERS,0),MATCH(($A142 &amp; "Points"),CLASSNAMEHEADERS,0))),(IF("03"=(INDEX(ALLCLASSDATA,MATCH("ReflexSaveMaster",CLASSFEATUREHEADERS,0),MATCH($A142,CLASSNAMEHEADERS,0))),(INDEX(ALLCLASSDATA,MATCH("ReflexSaveMaster",CLASSFEATUREHEADERS,0),MATCH(($A142 &amp; "Points"),CLASSNAMEHEADERS,0))),(IF("03"=(INDEX(ALLCLASSDATA,MATCH("ReflexSaveExpert",CLASSFEATUREHEADERS,0),MATCH($A142,CLASSNAMEHEADERS,0))),(INDEX(ALLCLASSDATA,MATCH("ReflexSaveExpert",CLASSFEATUREHEADERS,0),MATCH(($A142 &amp; "Points"),CLASSNAMEHEADERS,0))),(IF("03"=(INDEX(ALLCLASSDATA,MATCH("ReflexSaveTrained",CLASSFEATUREHEADERS,0),MATCH($A142,CLASSNAMEHEADERS,0))),(INDEX(ALLCLASSDATA,MATCH("ReflexSaveTrained",CLASSFEATUREHEADERS,0),MATCH(($A142 &amp; "Points"),CLASSNAMEHEADERS,0))),"")))))))))}</f>
        <v>REFLEXL03</v>
      </c>
      <c r="K141" s="223"/>
      <c r="L141" s="223" t="str">
        <f t="array" ref="L141:L142">{"REFLEXL05";((IF("05"=(INDEX(ALLCLASSDATA,MATCH("ReflexSaveLegendary",CLASSFEATUREHEADERS,0),MATCH($A142,CLASSNAMEHEADERS,0))),(INDEX(ALLCLASSDATA,MATCH("ReflexSaveLegendary",CLASSFEATUREHEADERS,0),MATCH(($A142 &amp; "Points"),CLASSNAMEHEADERS,0))),(IF("05"=(INDEX(ALLCLASSDATA,MATCH("ReflexSaveMaster",CLASSFEATUREHEADERS,0),MATCH($A142,CLASSNAMEHEADERS,0))),(INDEX(ALLCLASSDATA,MATCH("ReflexSaveMaster",CLASSFEATUREHEADERS,0),MATCH(($A142 &amp; "Points"),CLASSNAMEHEADERS,0))),(IF("05"=(INDEX(ALLCLASSDATA,MATCH("ReflexSaveExpert",CLASSFEATUREHEADERS,0),MATCH($A142,CLASSNAMEHEADERS,0))),(INDEX(ALLCLASSDATA,MATCH("ReflexSaveExpert",CLASSFEATUREHEADERS,0),MATCH(($A142 &amp; "Points"),CLASSNAMEHEADERS,0))),(IF("05"=(INDEX(ALLCLASSDATA,MATCH("ReflexSaveTrained",CLASSFEATUREHEADERS,0),MATCH($A142,CLASSNAMEHEADERS,0))),(INDEX(ALLCLASSDATA,MATCH("ReflexSaveTrained",CLASSFEATUREHEADERS,0),MATCH(($A142 &amp; "Points"),CLASSNAMEHEADERS,0))),"")))))))))}</f>
        <v>REFLEXL05</v>
      </c>
      <c r="M141" s="223"/>
      <c r="N141" s="223" t="str">
        <f t="array" ref="N141:N142">{"REFLEXL07";((IF("07"=(INDEX(ALLCLASSDATA,MATCH("ReflexSaveLegendary",CLASSFEATUREHEADERS,0),MATCH($A142,CLASSNAMEHEADERS,0))),(INDEX(ALLCLASSDATA,MATCH("ReflexSaveLegendary",CLASSFEATUREHEADERS,0),MATCH(($A142 &amp; "Points"),CLASSNAMEHEADERS,0))),(IF("07"=(INDEX(ALLCLASSDATA,MATCH("ReflexSaveMaster",CLASSFEATUREHEADERS,0),MATCH($A142,CLASSNAMEHEADERS,0))),(INDEX(ALLCLASSDATA,MATCH("ReflexSaveMaster",CLASSFEATUREHEADERS,0),MATCH(($A142 &amp; "Points"),CLASSNAMEHEADERS,0))),(IF("07"=(INDEX(ALLCLASSDATA,MATCH("ReflexSaveExpert",CLASSFEATUREHEADERS,0),MATCH($A142,CLASSNAMEHEADERS,0))),(INDEX(ALLCLASSDATA,MATCH("ReflexSaveExpert",CLASSFEATUREHEADERS,0),MATCH(($A142 &amp; "Points"),CLASSNAMEHEADERS,0))),(IF("07"=(INDEX(ALLCLASSDATA,MATCH("ReflexSaveTrained",CLASSFEATUREHEADERS,0),MATCH($A142,CLASSNAMEHEADERS,0))),(INDEX(ALLCLASSDATA,MATCH("ReflexSaveTrained",CLASSFEATUREHEADERS,0),MATCH(($A142 &amp; "Points"),CLASSNAMEHEADERS,0))),"")))))))))}</f>
        <v>REFLEXL07</v>
      </c>
      <c r="O141" s="223"/>
      <c r="P141" s="223" t="str">
        <f t="array" ref="P141:P142">{"REFLEXL09";((IF("09"=(INDEX(ALLCLASSDATA,MATCH("ReflexSaveLegendary",CLASSFEATUREHEADERS,0),MATCH($A142,CLASSNAMEHEADERS,0))),(INDEX(ALLCLASSDATA,MATCH("ReflexSaveLegendary",CLASSFEATUREHEADERS,0),MATCH(($A142 &amp; "Points"),CLASSNAMEHEADERS,0))),(IF("09"=(INDEX(ALLCLASSDATA,MATCH("ReflexSaveMaster",CLASSFEATUREHEADERS,0),MATCH($A142,CLASSNAMEHEADERS,0))),(INDEX(ALLCLASSDATA,MATCH("ReflexSaveMaster",CLASSFEATUREHEADERS,0),MATCH(($A142 &amp; "Points"),CLASSNAMEHEADERS,0))),(IF("09"=(INDEX(ALLCLASSDATA,MATCH("ReflexSaveExpert",CLASSFEATUREHEADERS,0),MATCH($A142,CLASSNAMEHEADERS,0))),(INDEX(ALLCLASSDATA,MATCH("ReflexSaveExpert",CLASSFEATUREHEADERS,0),MATCH(($A142 &amp; "Points"),CLASSNAMEHEADERS,0))),(IF("09"=(INDEX(ALLCLASSDATA,MATCH("ReflexSaveTrained",CLASSFEATUREHEADERS,0),MATCH($A142,CLASSNAMEHEADERS,0))),(INDEX(ALLCLASSDATA,MATCH("ReflexSaveTrained",CLASSFEATUREHEADERS,0),MATCH(($A142 &amp; "Points"),CLASSNAMEHEADERS,0))),"")))))))))}</f>
        <v>REFLEXL09</v>
      </c>
      <c r="Q141" s="223"/>
      <c r="R141" s="223" t="str">
        <f t="array" ref="R141:R142">{"REFLEXL11";((IF("11"=(INDEX(ALLCLASSDATA,MATCH("ReflexSaveLegendary",CLASSFEATUREHEADERS,0),MATCH($A142,CLASSNAMEHEADERS,0))),(INDEX(ALLCLASSDATA,MATCH("ReflexSaveLegendary",CLASSFEATUREHEADERS,0),MATCH(($A142 &amp; "Points"),CLASSNAMEHEADERS,0))),(IF("11"=(INDEX(ALLCLASSDATA,MATCH("ReflexSaveMaster",CLASSFEATUREHEADERS,0),MATCH($A142,CLASSNAMEHEADERS,0))),(INDEX(ALLCLASSDATA,MATCH("ReflexSaveMaster",CLASSFEATUREHEADERS,0),MATCH(($A142 &amp; "Points"),CLASSNAMEHEADERS,0))),(IF("11"=(INDEX(ALLCLASSDATA,MATCH("ReflexSaveExpert",CLASSFEATUREHEADERS,0),MATCH($A142,CLASSNAMEHEADERS,0))),(INDEX(ALLCLASSDATA,MATCH("ReflexSaveExpert",CLASSFEATUREHEADERS,0),MATCH(($A142 &amp; "Points"),CLASSNAMEHEADERS,0))),(IF("11"=(INDEX(ALLCLASSDATA,MATCH("ReflexSaveTrained",CLASSFEATUREHEADERS,0),MATCH($A142,CLASSNAMEHEADERS,0))),(INDEX(ALLCLASSDATA,MATCH("ReflexSaveTrained",CLASSFEATUREHEADERS,0),MATCH(($A142 &amp; "Points"),CLASSNAMEHEADERS,0))),"")))))))))}</f>
        <v>REFLEXL11</v>
      </c>
      <c r="S141" s="223"/>
      <c r="T141" s="223" t="str">
        <f t="array" ref="T141:T142">{"REFLEXL13";((IF("13"=(INDEX(ALLCLASSDATA,MATCH("ReflexSaveLegendary",CLASSFEATUREHEADERS,0),MATCH($A142,CLASSNAMEHEADERS,0))),(INDEX(ALLCLASSDATA,MATCH("ReflexSaveLegendary",CLASSFEATUREHEADERS,0),MATCH(($A142 &amp; "Points"),CLASSNAMEHEADERS,0))),(IF("13"=(INDEX(ALLCLASSDATA,MATCH("ReflexSaveMaster",CLASSFEATUREHEADERS,0),MATCH($A142,CLASSNAMEHEADERS,0))),(INDEX(ALLCLASSDATA,MATCH("ReflexSaveMaster",CLASSFEATUREHEADERS,0),MATCH(($A142 &amp; "Points"),CLASSNAMEHEADERS,0))),(IF("13"=(INDEX(ALLCLASSDATA,MATCH("ReflexSaveExpert",CLASSFEATUREHEADERS,0),MATCH($A142,CLASSNAMEHEADERS,0))),(INDEX(ALLCLASSDATA,MATCH("ReflexSaveExpert",CLASSFEATUREHEADERS,0),MATCH(($A142 &amp; "Points"),CLASSNAMEHEADERS,0))),(IF("13"=(INDEX(ALLCLASSDATA,MATCH("ReflexSaveTrained",CLASSFEATUREHEADERS,0),MATCH($A142,CLASSNAMEHEADERS,0))),(INDEX(ALLCLASSDATA,MATCH("ReflexSaveTrained",CLASSFEATUREHEADERS,0),MATCH(($A142 &amp; "Points"),CLASSNAMEHEADERS,0))),"")))))))))}</f>
        <v>REFLEXL13</v>
      </c>
      <c r="U141" s="223"/>
      <c r="V141" s="223" t="str">
        <f t="array" ref="V141:V142">{"REFLEXL15";((IF("15"=(INDEX(ALLCLASSDATA,MATCH("ReflexSaveLegendary",CLASSFEATUREHEADERS,0),MATCH($A142,CLASSNAMEHEADERS,0))),(INDEX(ALLCLASSDATA,MATCH("ReflexSaveLegendary",CLASSFEATUREHEADERS,0),MATCH(($A142 &amp; "Points"),CLASSNAMEHEADERS,0))),(IF("15"=(INDEX(ALLCLASSDATA,MATCH("ReflexSaveMaster",CLASSFEATUREHEADERS,0),MATCH($A142,CLASSNAMEHEADERS,0))),(INDEX(ALLCLASSDATA,MATCH("ReflexSaveMaster",CLASSFEATUREHEADERS,0),MATCH(($A142 &amp; "Points"),CLASSNAMEHEADERS,0))),(IF("15"=(INDEX(ALLCLASSDATA,MATCH("ReflexSaveExpert",CLASSFEATUREHEADERS,0),MATCH($A142,CLASSNAMEHEADERS,0))),(INDEX(ALLCLASSDATA,MATCH("ReflexSaveExpert",CLASSFEATUREHEADERS,0),MATCH(($A142 &amp; "Points"),CLASSNAMEHEADERS,0))),(IF("15"=(INDEX(ALLCLASSDATA,MATCH("ReflexSaveTrained",CLASSFEATUREHEADERS,0),MATCH($A142,CLASSNAMEHEADERS,0))),(INDEX(ALLCLASSDATA,MATCH("ReflexSaveTrained",CLASSFEATUREHEADERS,0),MATCH(($A142 &amp; "Points"),CLASSNAMEHEADERS,0))),"")))))))))}</f>
        <v>REFLEXL15</v>
      </c>
      <c r="W141" s="223"/>
      <c r="X141" s="223" t="str">
        <f t="array" ref="X141:X142">{"REFLEXL17";((IF("17"=(INDEX(ALLCLASSDATA,MATCH("ReflexSaveLegendary",CLASSFEATUREHEADERS,0),MATCH($A142,CLASSNAMEHEADERS,0))),(INDEX(ALLCLASSDATA,MATCH("ReflexSaveLegendary",CLASSFEATUREHEADERS,0),MATCH(($A142 &amp; "Points"),CLASSNAMEHEADERS,0))),(IF("17"=(INDEX(ALLCLASSDATA,MATCH("ReflexSaveMaster",CLASSFEATUREHEADERS,0),MATCH($A142,CLASSNAMEHEADERS,0))),(INDEX(ALLCLASSDATA,MATCH("ReflexSaveMaster",CLASSFEATUREHEADERS,0),MATCH(($A142 &amp; "Points"),CLASSNAMEHEADERS,0))),(IF("17"=(INDEX(ALLCLASSDATA,MATCH("ReflexSaveExpert",CLASSFEATUREHEADERS,0),MATCH($A142,CLASSNAMEHEADERS,0))),(INDEX(ALLCLASSDATA,MATCH("ReflexSaveExpert",CLASSFEATUREHEADERS,0),MATCH(($A142 &amp; "Points"),CLASSNAMEHEADERS,0))),(IF("17"=(INDEX(ALLCLASSDATA,MATCH("ReflexSaveTrained",CLASSFEATUREHEADERS,0),MATCH($A142,CLASSNAMEHEADERS,0))),(INDEX(ALLCLASSDATA,MATCH("ReflexSaveTrained",CLASSFEATUREHEADERS,0),MATCH(($A142 &amp; "Points"),CLASSNAMEHEADERS,0))),"")))))))))}</f>
        <v>REFLEXL17</v>
      </c>
      <c r="Y141" s="223"/>
      <c r="Z141" s="223" t="str">
        <f t="array" ref="Z141:Z142">{"REFLEXL19";((IF("19"=(INDEX(ALLCLASSDATA,MATCH("ReflexSaveLegendary",CLASSFEATUREHEADERS,0),MATCH($A142,CLASSNAMEHEADERS,0))),(INDEX(ALLCLASSDATA,MATCH("ReflexSaveLegendary",CLASSFEATUREHEADERS,0),MATCH(($A142 &amp; "Points"),CLASSNAMEHEADERS,0))),(IF("19"=(INDEX(ALLCLASSDATA,MATCH("ReflexSaveMaster",CLASSFEATUREHEADERS,0),MATCH($A142,CLASSNAMEHEADERS,0))),(INDEX(ALLCLASSDATA,MATCH("ReflexSaveMaster",CLASSFEATUREHEADERS,0),MATCH(($A142 &amp; "Points"),CLASSNAMEHEADERS,0))),(IF("19"=(INDEX(ALLCLASSDATA,MATCH("ReflexSaveExpert",CLASSFEATUREHEADERS,0),MATCH($A142,CLASSNAMEHEADERS,0))),(INDEX(ALLCLASSDATA,MATCH("ReflexSaveExpert",CLASSFEATUREHEADERS,0),MATCH(($A142 &amp; "Points"),CLASSNAMEHEADERS,0))),(IF("19"=(INDEX(ALLCLASSDATA,MATCH("ReflexSaveTrained",CLASSFEATUREHEADERS,0),MATCH($A142,CLASSNAMEHEADERS,0))),(INDEX(ALLCLASSDATA,MATCH("ReflexSaveTrained",CLASSFEATUREHEADERS,0),MATCH(($A142 &amp; "Points"),CLASSNAMEHEADERS,0))),"")))))))))}</f>
        <v>REFLEXL19</v>
      </c>
      <c r="AA141" s="223"/>
      <c r="AB141" s="76" t="str">
        <f t="array" ref="AB141:AB142">{"REFLEX TOTAL";(IF(COUNTBLANK(G142:AA142)=17,"L",(IF(COUNTBLANK(G142:AA142)=18,"M",(IF(COUNTBLANK(G142:AA142)=19,"E",(IF(COUNTBLANK(G142:AA142)=20,"T",""))))))))}</f>
        <v>REFLEX TOTAL</v>
      </c>
      <c r="AC141" s="76" t="str">
        <f t="array" ref="AC141:AC142">{"REFLEX TOTAL";(sum(G142:AA142))}</f>
        <v>REFLEX TOTAL</v>
      </c>
    </row>
    <row r="142">
      <c r="A142" s="48" t="s">
        <v>95</v>
      </c>
      <c r="B142" s="48"/>
      <c r="C142" s="48" t="s">
        <v>409</v>
      </c>
      <c r="D142" s="48" t="s">
        <v>1549</v>
      </c>
      <c r="E142" s="48" t="s">
        <v>1572</v>
      </c>
      <c r="F142" s="5" t="s">
        <v>436</v>
      </c>
      <c r="G142" s="47">
        <v>10.0</v>
      </c>
      <c r="H142" s="5">
        <v>50.0</v>
      </c>
      <c r="I142" s="5"/>
      <c r="J142" s="5" t="s">
        <v>603</v>
      </c>
      <c r="K142" s="5"/>
      <c r="L142" s="5" t="s">
        <v>603</v>
      </c>
      <c r="M142" s="5"/>
      <c r="N142" s="5" t="s">
        <v>653</v>
      </c>
      <c r="O142" s="5"/>
      <c r="P142" s="5" t="s">
        <v>603</v>
      </c>
      <c r="Q142" s="5"/>
      <c r="R142" s="5" t="s">
        <v>603</v>
      </c>
      <c r="S142" s="5"/>
      <c r="T142" s="5" t="s">
        <v>603</v>
      </c>
      <c r="U142" s="5"/>
      <c r="V142" s="5" t="s">
        <v>653</v>
      </c>
      <c r="W142" s="5"/>
      <c r="X142" s="5" t="s">
        <v>603</v>
      </c>
      <c r="Y142" s="5"/>
      <c r="Z142" s="5" t="s">
        <v>603</v>
      </c>
      <c r="AA142" s="5"/>
      <c r="AB142" s="5" t="s">
        <v>466</v>
      </c>
      <c r="AC142" s="47">
        <v>60.0</v>
      </c>
    </row>
    <row r="143" hidden="1">
      <c r="A143" s="222" t="str">
        <f t="array" ref="A143:A144">{"FormulaRow25";(INDEX(CLASSLIST,A94,1))}</f>
        <v>FormulaRow25</v>
      </c>
      <c r="B143" s="77" t="s">
        <v>236</v>
      </c>
      <c r="C143" s="222" t="str">
        <f t="array" ref="C143:C144">{"CLASSTYPE";((INDEX(ALLCLASSDATA,MATCH("ClassType",CLASSFEATUREHEADERS,0),MATCH($A144,CLASSNAMEHEADERS,0))))}</f>
        <v>CLASSTYPE</v>
      </c>
      <c r="D143" s="222" t="str">
        <f t="array" ref="D143:D144">{"SAVES";"Saves"}</f>
        <v>SAVES</v>
      </c>
      <c r="E143" s="222" t="str">
        <f t="array" ref="E143:E144">{"WILLSAVE";"WillSave"}</f>
        <v>WILLSAVE</v>
      </c>
      <c r="F143" s="223" t="str">
        <f t="array" ref="F143:F144">{"WILLINITIAL";((IF(H144=10,"T",(IF(H144=50,"E","")))))}</f>
        <v>WILLINITIAL</v>
      </c>
      <c r="G143" s="223" t="str">
        <f t="array" ref="G143:G144">{"WILLINITIALPTS";((IF("00"=(INDEX(ALLCLASSDATA,MATCH("WillSaveLegendary",CLASSFEATUREHEADERS,0),MATCH($A144,CLASSNAMEHEADERS,0))),(INDEX(ALLCLASSDATA,MATCH("WillSaveLegendary",CLASSFEATUREHEADERS,0),MATCH(($A144 &amp; "Points"),CLASSNAMEHEADERS,0))),(IF("00"=(INDEX(ALLCLASSDATA,MATCH("WillSaveMaster",CLASSFEATUREHEADERS,0),MATCH($A144,CLASSNAMEHEADERS,0))),(INDEX(ALLCLASSDATA,MATCH("WillSaveMaster",CLASSFEATUREHEADERS,0),MATCH(($A144 &amp; "Points"),CLASSNAMEHEADERS,0))),(IF("00"=(INDEX(ALLCLASSDATA,MATCH("WillSaveExpert",CLASSFEATUREHEADERS,0),MATCH($A144,CLASSNAMEHEADERS,0))),(INDEX(ALLCLASSDATA,MATCH("WillSaveExpert",CLASSFEATUREHEADERS,0),MATCH(($A144 &amp; "Points"),CLASSNAMEHEADERS,0))),(IF("00"=(INDEX(ALLCLASSDATA,MATCH("WillSaveTrained",CLASSFEATUREHEADERS,0),MATCH($A144,CLASSNAMEHEADERS,0))),(INDEX(ALLCLASSDATA,MATCH("WillSaveTrained",CLASSFEATUREHEADERS,0),MATCH(($A144 &amp; "Points"),CLASSNAMEHEADERS,0))),"")))))))))}</f>
        <v>WILLINITIALPTS</v>
      </c>
      <c r="H143" s="223" t="str">
        <f t="array" ref="H143:H144">{"WILLL01";((IF("01"=(INDEX(ALLCLASSDATA,MATCH("WillSaveLegendary",CLASSFEATUREHEADERS,0),MATCH($A144,CLASSNAMEHEADERS,0))),(INDEX(ALLCLASSDATA,MATCH("WillSaveLegendary",CLASSFEATUREHEADERS,0),MATCH(($A144 &amp; "Points"),CLASSNAMEHEADERS,0))),(IF("01"=(INDEX(ALLCLASSDATA,MATCH("WillSaveMaster",CLASSFEATUREHEADERS,0),MATCH($A144,CLASSNAMEHEADERS,0))),(INDEX(ALLCLASSDATA,MATCH("WillSaveMaster",CLASSFEATUREHEADERS,0),MATCH(($A144 &amp; "Points"),CLASSNAMEHEADERS,0))),(IF("01"=(INDEX(ALLCLASSDATA,MATCH("WillSaveExpert",CLASSFEATUREHEADERS,0),MATCH($A144,CLASSNAMEHEADERS,0))),(INDEX(ALLCLASSDATA,MATCH("WillSaveExpert",CLASSFEATUREHEADERS,0),MATCH(($A144 &amp; "Points"),CLASSNAMEHEADERS,0))),(IF("01"=(INDEX(ALLCLASSDATA,MATCH("WillSaveTrained",CLASSFEATUREHEADERS,0),MATCH($A144,CLASSNAMEHEADERS,0))),(INDEX(ALLCLASSDATA,MATCH("WillSaveTrained",CLASSFEATUREHEADERS,0),MATCH(($A144 &amp; "Points"),CLASSNAMEHEADERS,0))),"")))))))))}</f>
        <v>WILLL01</v>
      </c>
      <c r="I143" s="223"/>
      <c r="J143" s="223" t="str">
        <f t="array" ref="J143:J144">{"WILLL03";((IF("03"=(INDEX(ALLCLASSDATA,MATCH("WillSaveLegendary",CLASSFEATUREHEADERS,0),MATCH($A144,CLASSNAMEHEADERS,0))),(INDEX(ALLCLASSDATA,MATCH("WillSaveLegendary",CLASSFEATUREHEADERS,0),MATCH(($A144 &amp; "Points"),CLASSNAMEHEADERS,0))),(IF("03"=(INDEX(ALLCLASSDATA,MATCH("WillSaveMaster",CLASSFEATUREHEADERS,0),MATCH($A144,CLASSNAMEHEADERS,0))),(INDEX(ALLCLASSDATA,MATCH("WillSaveMaster",CLASSFEATUREHEADERS,0),MATCH(($A144 &amp; "Points"),CLASSNAMEHEADERS,0))),(IF("03"=(INDEX(ALLCLASSDATA,MATCH("WillSaveExpert",CLASSFEATUREHEADERS,0),MATCH($A144,CLASSNAMEHEADERS,0))),(INDEX(ALLCLASSDATA,MATCH("WillSaveExpert",CLASSFEATUREHEADERS,0),MATCH(($A144 &amp; "Points"),CLASSNAMEHEADERS,0))),(IF("03"=(INDEX(ALLCLASSDATA,MATCH("WillSaveTrained",CLASSFEATUREHEADERS,0),MATCH($A144,CLASSNAMEHEADERS,0))),(INDEX(ALLCLASSDATA,MATCH("WillSaveTrained",CLASSFEATUREHEADERS,0),MATCH(($A144 &amp; "Points"),CLASSNAMEHEADERS,0))),"")))))))))}</f>
        <v>WILLL03</v>
      </c>
      <c r="K143" s="223"/>
      <c r="L143" s="223" t="str">
        <f t="array" ref="L143:L144">{"WILLL05";((IF("05"=(INDEX(ALLCLASSDATA,MATCH("WillSaveLegendary",CLASSFEATUREHEADERS,0),MATCH($A144,CLASSNAMEHEADERS,0))),(INDEX(ALLCLASSDATA,MATCH("WillSaveLegendary",CLASSFEATUREHEADERS,0),MATCH(($A144 &amp; "Points"),CLASSNAMEHEADERS,0))),(IF("05"=(INDEX(ALLCLASSDATA,MATCH("WillSaveMaster",CLASSFEATUREHEADERS,0),MATCH($A144,CLASSNAMEHEADERS,0))),(INDEX(ALLCLASSDATA,MATCH("WillSaveMaster",CLASSFEATUREHEADERS,0),MATCH(($A144 &amp; "Points"),CLASSNAMEHEADERS,0))),(IF("05"=(INDEX(ALLCLASSDATA,MATCH("WillSaveExpert",CLASSFEATUREHEADERS,0),MATCH($A144,CLASSNAMEHEADERS,0))),(INDEX(ALLCLASSDATA,MATCH("WillSaveExpert",CLASSFEATUREHEADERS,0),MATCH(($A144 &amp; "Points"),CLASSNAMEHEADERS,0))),(IF("05"=(INDEX(ALLCLASSDATA,MATCH("WillSaveTrained",CLASSFEATUREHEADERS,0),MATCH($A144,CLASSNAMEHEADERS,0))),(INDEX(ALLCLASSDATA,MATCH("WillSaveTrained",CLASSFEATUREHEADERS,0),MATCH(($A144 &amp; "Points"),CLASSNAMEHEADERS,0))),"")))))))))}</f>
        <v>WILLL05</v>
      </c>
      <c r="M143" s="223"/>
      <c r="N143" s="223" t="str">
        <f t="array" ref="N143:N144">{"WILLL07";((IF("07"=(INDEX(ALLCLASSDATA,MATCH("WillSaveLegendary",CLASSFEATUREHEADERS,0),MATCH($A144,CLASSNAMEHEADERS,0))),(INDEX(ALLCLASSDATA,MATCH("WillSaveLegendary",CLASSFEATUREHEADERS,0),MATCH(($A144 &amp; "Points"),CLASSNAMEHEADERS,0))),(IF("07"=(INDEX(ALLCLASSDATA,MATCH("WillSaveMaster",CLASSFEATUREHEADERS,0),MATCH($A144,CLASSNAMEHEADERS,0))),(INDEX(ALLCLASSDATA,MATCH("WillSaveMaster",CLASSFEATUREHEADERS,0),MATCH(($A144 &amp; "Points"),CLASSNAMEHEADERS,0))),(IF("07"=(INDEX(ALLCLASSDATA,MATCH("WillSaveExpert",CLASSFEATUREHEADERS,0),MATCH($A144,CLASSNAMEHEADERS,0))),(INDEX(ALLCLASSDATA,MATCH("WillSaveExpert",CLASSFEATUREHEADERS,0),MATCH(($A144 &amp; "Points"),CLASSNAMEHEADERS,0))),(IF("07"=(INDEX(ALLCLASSDATA,MATCH("WillSaveTrained",CLASSFEATUREHEADERS,0),MATCH($A144,CLASSNAMEHEADERS,0))),(INDEX(ALLCLASSDATA,MATCH("WillSaveTrained",CLASSFEATUREHEADERS,0),MATCH(($A144 &amp; "Points"),CLASSNAMEHEADERS,0))),"")))))))))}</f>
        <v>WILLL07</v>
      </c>
      <c r="O143" s="223"/>
      <c r="P143" s="223" t="str">
        <f t="array" ref="P143:P144">{"WILLL09";((IF("09"=(INDEX(ALLCLASSDATA,MATCH("WillSaveLegendary",CLASSFEATUREHEADERS,0),MATCH($A144,CLASSNAMEHEADERS,0))),(INDEX(ALLCLASSDATA,MATCH("WillSaveLegendary",CLASSFEATUREHEADERS,0),MATCH(($A144 &amp; "Points"),CLASSNAMEHEADERS,0))),(IF("09"=(INDEX(ALLCLASSDATA,MATCH("WillSaveMaster",CLASSFEATUREHEADERS,0),MATCH($A144,CLASSNAMEHEADERS,0))),(INDEX(ALLCLASSDATA,MATCH("WillSaveMaster",CLASSFEATUREHEADERS,0),MATCH(($A144 &amp; "Points"),CLASSNAMEHEADERS,0))),(IF("09"=(INDEX(ALLCLASSDATA,MATCH("WillSaveExpert",CLASSFEATUREHEADERS,0),MATCH($A144,CLASSNAMEHEADERS,0))),(INDEX(ALLCLASSDATA,MATCH("WillSaveExpert",CLASSFEATUREHEADERS,0),MATCH(($A144 &amp; "Points"),CLASSNAMEHEADERS,0))),(IF("09"=(INDEX(ALLCLASSDATA,MATCH("WillSaveTrained",CLASSFEATUREHEADERS,0),MATCH($A144,CLASSNAMEHEADERS,0))),(INDEX(ALLCLASSDATA,MATCH("WillSaveTrained",CLASSFEATUREHEADERS,0),MATCH(($A144 &amp; "Points"),CLASSNAMEHEADERS,0))),"")))))))))}</f>
        <v>WILLL09</v>
      </c>
      <c r="Q143" s="223"/>
      <c r="R143" s="223" t="str">
        <f t="array" ref="R143:R144">{"WILLL11";((IF("11"=(INDEX(ALLCLASSDATA,MATCH("WillSaveLegendary",CLASSFEATUREHEADERS,0),MATCH($A144,CLASSNAMEHEADERS,0))),(INDEX(ALLCLASSDATA,MATCH("WillSaveLegendary",CLASSFEATUREHEADERS,0),MATCH(($A144 &amp; "Points"),CLASSNAMEHEADERS,0))),(IF("11"=(INDEX(ALLCLASSDATA,MATCH("WillSaveMaster",CLASSFEATUREHEADERS,0),MATCH($A144,CLASSNAMEHEADERS,0))),(INDEX(ALLCLASSDATA,MATCH("WillSaveMaster",CLASSFEATUREHEADERS,0),MATCH(($A144 &amp; "Points"),CLASSNAMEHEADERS,0))),(IF("11"=(INDEX(ALLCLASSDATA,MATCH("WillSaveExpert",CLASSFEATUREHEADERS,0),MATCH($A144,CLASSNAMEHEADERS,0))),(INDEX(ALLCLASSDATA,MATCH("WillSaveExpert",CLASSFEATUREHEADERS,0),MATCH(($A144 &amp; "Points"),CLASSNAMEHEADERS,0))),(IF("11"=(INDEX(ALLCLASSDATA,MATCH("WillSaveTrained",CLASSFEATUREHEADERS,0),MATCH($A144,CLASSNAMEHEADERS,0))),(INDEX(ALLCLASSDATA,MATCH("WillSaveTrained",CLASSFEATUREHEADERS,0),MATCH(($A144 &amp; "Points"),CLASSNAMEHEADERS,0))),"")))))))))}</f>
        <v>WILLL11</v>
      </c>
      <c r="S143" s="223"/>
      <c r="T143" s="223" t="str">
        <f t="array" ref="T143:T144">{"WILLL13";((IF("13"=(INDEX(ALLCLASSDATA,MATCH("WillSaveLegendary",CLASSFEATUREHEADERS,0),MATCH($A144,CLASSNAMEHEADERS,0))),(INDEX(ALLCLASSDATA,MATCH("WillSaveLegendary",CLASSFEATUREHEADERS,0),MATCH(($A144 &amp; "Points"),CLASSNAMEHEADERS,0))),(IF("13"=(INDEX(ALLCLASSDATA,MATCH("WillSaveMaster",CLASSFEATUREHEADERS,0),MATCH($A144,CLASSNAMEHEADERS,0))),(INDEX(ALLCLASSDATA,MATCH("WillSaveMaster",CLASSFEATUREHEADERS,0),MATCH(($A144 &amp; "Points"),CLASSNAMEHEADERS,0))),(IF("13"=(INDEX(ALLCLASSDATA,MATCH("WillSaveExpert",CLASSFEATUREHEADERS,0),MATCH($A144,CLASSNAMEHEADERS,0))),(INDEX(ALLCLASSDATA,MATCH("WillSaveExpert",CLASSFEATUREHEADERS,0),MATCH(($A144 &amp; "Points"),CLASSNAMEHEADERS,0))),(IF("13"=(INDEX(ALLCLASSDATA,MATCH("WillSaveTrained",CLASSFEATUREHEADERS,0),MATCH($A144,CLASSNAMEHEADERS,0))),(INDEX(ALLCLASSDATA,MATCH("WillSaveTrained",CLASSFEATUREHEADERS,0),MATCH(($A144 &amp; "Points"),CLASSNAMEHEADERS,0))),"")))))))))}</f>
        <v>WILLL13</v>
      </c>
      <c r="U143" s="223"/>
      <c r="V143" s="223" t="str">
        <f t="array" ref="V143:V144">{"WILLL15";((IF("15"=(INDEX(ALLCLASSDATA,MATCH("WillSaveLegendary",CLASSFEATUREHEADERS,0),MATCH($A144,CLASSNAMEHEADERS,0))),(INDEX(ALLCLASSDATA,MATCH("WillSaveLegendary",CLASSFEATUREHEADERS,0),MATCH(($A144 &amp; "Points"),CLASSNAMEHEADERS,0))),(IF("15"=(INDEX(ALLCLASSDATA,MATCH("WillSaveMaster",CLASSFEATUREHEADERS,0),MATCH($A144,CLASSNAMEHEADERS,0))),(INDEX(ALLCLASSDATA,MATCH("WillSaveMaster",CLASSFEATUREHEADERS,0),MATCH(($A144 &amp; "Points"),CLASSNAMEHEADERS,0))),(IF("15"=(INDEX(ALLCLASSDATA,MATCH("WillSaveExpert",CLASSFEATUREHEADERS,0),MATCH($A144,CLASSNAMEHEADERS,0))),(INDEX(ALLCLASSDATA,MATCH("WillSaveExpert",CLASSFEATUREHEADERS,0),MATCH(($A144 &amp; "Points"),CLASSNAMEHEADERS,0))),(IF("15"=(INDEX(ALLCLASSDATA,MATCH("WillSaveTrained",CLASSFEATUREHEADERS,0),MATCH($A144,CLASSNAMEHEADERS,0))),(INDEX(ALLCLASSDATA,MATCH("WillSaveTrained",CLASSFEATUREHEADERS,0),MATCH(($A144 &amp; "Points"),CLASSNAMEHEADERS,0))),"")))))))))}</f>
        <v>WILLL15</v>
      </c>
      <c r="W143" s="223"/>
      <c r="X143" s="223" t="str">
        <f t="array" ref="X143:X144">{"WILLL17";((IF("17"=(INDEX(ALLCLASSDATA,MATCH("WillSaveLegendary",CLASSFEATUREHEADERS,0),MATCH($A144,CLASSNAMEHEADERS,0))),(INDEX(ALLCLASSDATA,MATCH("WillSaveLegendary",CLASSFEATUREHEADERS,0),MATCH(($A144 &amp; "Points"),CLASSNAMEHEADERS,0))),(IF("17"=(INDEX(ALLCLASSDATA,MATCH("WillSaveMaster",CLASSFEATUREHEADERS,0),MATCH($A144,CLASSNAMEHEADERS,0))),(INDEX(ALLCLASSDATA,MATCH("WillSaveMaster",CLASSFEATUREHEADERS,0),MATCH(($A144 &amp; "Points"),CLASSNAMEHEADERS,0))),(IF("17"=(INDEX(ALLCLASSDATA,MATCH("WillSaveExpert",CLASSFEATUREHEADERS,0),MATCH($A144,CLASSNAMEHEADERS,0))),(INDEX(ALLCLASSDATA,MATCH("WillSaveExpert",CLASSFEATUREHEADERS,0),MATCH(($A144 &amp; "Points"),CLASSNAMEHEADERS,0))),(IF("17"=(INDEX(ALLCLASSDATA,MATCH("WillSaveTrained",CLASSFEATUREHEADERS,0),MATCH($A144,CLASSNAMEHEADERS,0))),(INDEX(ALLCLASSDATA,MATCH("WillSaveTrained",CLASSFEATUREHEADERS,0),MATCH(($A144 &amp; "Points"),CLASSNAMEHEADERS,0))),"")))))))))}</f>
        <v>WILLL17</v>
      </c>
      <c r="Y143" s="223"/>
      <c r="Z143" s="223" t="str">
        <f t="array" ref="Z143:Z144">{"WILLL19";((IF("19"=(INDEX(ALLCLASSDATA,MATCH("WillSaveLegendary",CLASSFEATUREHEADERS,0),MATCH($A144,CLASSNAMEHEADERS,0))),(INDEX(ALLCLASSDATA,MATCH("WillSaveLegendary",CLASSFEATUREHEADERS,0),MATCH(($A144 &amp; "Points"),CLASSNAMEHEADERS,0))),(IF("19"=(INDEX(ALLCLASSDATA,MATCH("WillSaveMaster",CLASSFEATUREHEADERS,0),MATCH($A144,CLASSNAMEHEADERS,0))),(INDEX(ALLCLASSDATA,MATCH("WillSaveMaster",CLASSFEATUREHEADERS,0),MATCH(($A144 &amp; "Points"),CLASSNAMEHEADERS,0))),(IF("19"=(INDEX(ALLCLASSDATA,MATCH("WillSaveExpert",CLASSFEATUREHEADERS,0),MATCH($A144,CLASSNAMEHEADERS,0))),(INDEX(ALLCLASSDATA,MATCH("WillSaveExpert",CLASSFEATUREHEADERS,0),MATCH(($A144 &amp; "Points"),CLASSNAMEHEADERS,0))),(IF("19"=(INDEX(ALLCLASSDATA,MATCH("WillSaveTrained",CLASSFEATUREHEADERS,0),MATCH($A144,CLASSNAMEHEADERS,0))),(INDEX(ALLCLASSDATA,MATCH("WillSaveTrained",CLASSFEATUREHEADERS,0),MATCH(($A144 &amp; "Points"),CLASSNAMEHEADERS,0))),"")))))))))}</f>
        <v>WILLL19</v>
      </c>
      <c r="AA143" s="223"/>
      <c r="AB143" s="76" t="str">
        <f t="array" ref="AB143:AB144">{"WILL TOTAL";(IF(COUNTBLANK(G144:AA144)=17,"L",(IF(COUNTBLANK(G144:AA144)=18,"M",(IF(COUNTBLANK(G144:AA144)=19,"E",(IF(COUNTBLANK(G144:AA144)=20,"T",""))))))))}</f>
        <v>WILL TOTAL</v>
      </c>
      <c r="AC143" s="76" t="str">
        <f t="array" ref="AC143:AC144">{"WILL TOTAL";(sum(G144:AA144))}</f>
        <v>WILL TOTAL</v>
      </c>
    </row>
    <row r="144">
      <c r="A144" s="48" t="s">
        <v>95</v>
      </c>
      <c r="B144" s="48"/>
      <c r="C144" s="48" t="s">
        <v>409</v>
      </c>
      <c r="D144" s="97" t="s">
        <v>1549</v>
      </c>
      <c r="E144" s="97" t="s">
        <v>1591</v>
      </c>
      <c r="F144" s="98" t="s">
        <v>436</v>
      </c>
      <c r="G144" s="132">
        <v>10.0</v>
      </c>
      <c r="H144" s="98">
        <v>50.0</v>
      </c>
      <c r="I144" s="98"/>
      <c r="J144" s="98" t="s">
        <v>603</v>
      </c>
      <c r="K144" s="98"/>
      <c r="L144" s="98" t="s">
        <v>603</v>
      </c>
      <c r="M144" s="97"/>
      <c r="N144" s="98" t="s">
        <v>653</v>
      </c>
      <c r="O144" s="98"/>
      <c r="P144" s="98" t="s">
        <v>603</v>
      </c>
      <c r="Q144" s="97"/>
      <c r="R144" s="98" t="s">
        <v>603</v>
      </c>
      <c r="S144" s="98"/>
      <c r="T144" s="98" t="s">
        <v>603</v>
      </c>
      <c r="U144" s="98"/>
      <c r="V144" s="98" t="s">
        <v>653</v>
      </c>
      <c r="W144" s="98"/>
      <c r="X144" s="98" t="s">
        <v>603</v>
      </c>
      <c r="Y144" s="98"/>
      <c r="Z144" s="98" t="s">
        <v>603</v>
      </c>
      <c r="AA144" s="98"/>
      <c r="AB144" s="5" t="s">
        <v>466</v>
      </c>
      <c r="AC144" s="47">
        <v>60.0</v>
      </c>
    </row>
    <row r="145" hidden="1">
      <c r="A145" s="222" t="str">
        <f t="array" ref="A145:A146">{"FormulaRow26";(INDEX(CLASSLIST,A94,1))}</f>
        <v>FormulaRow26</v>
      </c>
      <c r="B145" s="77" t="s">
        <v>236</v>
      </c>
      <c r="C145" s="222" t="str">
        <f t="array" ref="C145:C146">{"CLASSTYPE";((INDEX(ALLCLASSDATA,MATCH("ClassType",CLASSFEATUREHEADERS,0),MATCH($A146,CLASSNAMEHEADERS,0))))}</f>
        <v>CLASSTYPE</v>
      </c>
      <c r="D145" s="228" t="str">
        <f t="array" ref="D145:D146">{"ATTACK";"Attack"}</f>
        <v>ATTACK</v>
      </c>
      <c r="E145" s="228" t="str">
        <f t="array" ref="E145:E146">{"WEAPONSPECIAL";"WeaponCS/WS/GWS"}</f>
        <v>WEAPONSPECIAL</v>
      </c>
      <c r="F145" s="230"/>
      <c r="G145" s="230"/>
      <c r="H145" s="230" t="str">
        <f t="array" ref="H145:H146">{"WEAPONSPECIALL01";((IF("01"=INDEX(ALLCLASSDATA,MATCH("WeaponGreaterSpecialization",CLASSFEATUREHEADERS,0),MATCH($A146,CLASSNAMEHEADERS,0)),WeaponGWS,(IF("01"=INDEX(ALLCLASSDATA,MATCH("WeaponSpecialization",CLASSFEATUREHEADERS,0),MATCH($A146,CLASSNAMEHEADERS,0)),WeaponWS,(IF("01"=INDEX(ALLCLASSDATA,MATCH("WeaponCriticalSpecialization",CLASSFEATUREHEADERS,0),MATCH($A146,CLASSNAMEHEADERS,0)),WeaponCS,"")))))))}</f>
        <v>WEAPONSPECIALL01</v>
      </c>
      <c r="I145" s="230"/>
      <c r="J145" s="230" t="str">
        <f t="array" ref="J145:J146">{"WEAPONSPECIALL03";((IF("03"=INDEX(ALLCLASSDATA,MATCH("WeaponGreaterSpecialization",CLASSFEATUREHEADERS,0),MATCH($A146,CLASSNAMEHEADERS,0)),WeaponGWS,(IF("03"=INDEX(ALLCLASSDATA,MATCH("WeaponSpecialization",CLASSFEATUREHEADERS,0),MATCH($A146,CLASSNAMEHEADERS,0)),WeaponWS,(IF("03"=INDEX(ALLCLASSDATA,MATCH("WeaponCriticalSpecialization",CLASSFEATUREHEADERS,0),MATCH($A146,CLASSNAMEHEADERS,0)),WeaponCS,"")))))))}</f>
        <v>WEAPONSPECIALL03</v>
      </c>
      <c r="K145" s="230"/>
      <c r="L145" s="230" t="str">
        <f t="array" ref="L145:L146">{"WEAPONSPECIALL05";((IF("05"=INDEX(ALLCLASSDATA,MATCH("WeaponGreaterSpecialization",CLASSFEATUREHEADERS,0),MATCH($A146,CLASSNAMEHEADERS,0)),WeaponGWS,(IF("05"=INDEX(ALLCLASSDATA,MATCH("WeaponSpecialization",CLASSFEATUREHEADERS,0),MATCH($A146,CLASSNAMEHEADERS,0)),WeaponWS,(IF("05"=INDEX(ALLCLASSDATA,MATCH("WeaponCriticalSpecialization",CLASSFEATUREHEADERS,0),MATCH($A146,CLASSNAMEHEADERS,0)),WeaponCS,"")))))))}</f>
        <v>WEAPONSPECIALL05</v>
      </c>
      <c r="M145" s="230"/>
      <c r="N145" s="230" t="str">
        <f t="array" ref="N145:N146">{"WEAPONSPECIALL07";((IF("07"=INDEX(ALLCLASSDATA,MATCH("WeaponGreaterSpecialization",CLASSFEATUREHEADERS,0),MATCH($A146,CLASSNAMEHEADERS,0)),WeaponGWS,(IF("07"=INDEX(ALLCLASSDATA,MATCH("WeaponSpecialization",CLASSFEATUREHEADERS,0),MATCH($A146,CLASSNAMEHEADERS,0)),WeaponWS,(IF("07"=INDEX(ALLCLASSDATA,MATCH("WeaponCriticalSpecialization",CLASSFEATUREHEADERS,0),MATCH($A146,CLASSNAMEHEADERS,0)),WeaponCS,"")))))))}</f>
        <v>WEAPONSPECIALL07</v>
      </c>
      <c r="O145" s="230"/>
      <c r="P145" s="230" t="str">
        <f t="array" ref="P145:P146">{"WEAPONSPECIALL09";((IF("09"=INDEX(ALLCLASSDATA,MATCH("WeaponGreaterSpecialization",CLASSFEATUREHEADERS,0),MATCH($A146,CLASSNAMEHEADERS,0)),WeaponGWS,(IF("09"=INDEX(ALLCLASSDATA,MATCH("WeaponSpecialization",CLASSFEATUREHEADERS,0),MATCH($A146,CLASSNAMEHEADERS,0)),WeaponWS,(IF("09"=INDEX(ALLCLASSDATA,MATCH("WeaponCriticalSpecialization",CLASSFEATUREHEADERS,0),MATCH($A146,CLASSNAMEHEADERS,0)),WeaponCS,"")))))))}</f>
        <v>WEAPONSPECIALL09</v>
      </c>
      <c r="Q145" s="230"/>
      <c r="R145" s="230" t="str">
        <f t="array" ref="R145:R146">{"WEAPONSPECIALL11";((IF("11"=INDEX(ALLCLASSDATA,MATCH("WeaponGreaterSpecialization",CLASSFEATUREHEADERS,0),MATCH($A146,CLASSNAMEHEADERS,0)),WeaponGWS,(IF("11"=INDEX(ALLCLASSDATA,MATCH("WeaponSpecialization",CLASSFEATUREHEADERS,0),MATCH($A146,CLASSNAMEHEADERS,0)),WeaponWS,(IF("11"=INDEX(ALLCLASSDATA,MATCH("WeaponCriticalSpecialization",CLASSFEATUREHEADERS,0),MATCH($A146,CLASSNAMEHEADERS,0)),WeaponCS,"")))))))}</f>
        <v>WEAPONSPECIALL11</v>
      </c>
      <c r="S145" s="230"/>
      <c r="T145" s="230" t="str">
        <f t="array" ref="T145:T146">{"WEAPONSPECIALL13";((IF("13"=INDEX(ALLCLASSDATA,MATCH("WeaponGreaterSpecialization",CLASSFEATUREHEADERS,0),MATCH($A146,CLASSNAMEHEADERS,0)),WeaponGWS,(IF("13"=INDEX(ALLCLASSDATA,MATCH("WeaponSpecialization",CLASSFEATUREHEADERS,0),MATCH($A146,CLASSNAMEHEADERS,0)),WeaponWS,(IF("13"=INDEX(ALLCLASSDATA,MATCH("WeaponCriticalSpecialization",CLASSFEATUREHEADERS,0),MATCH($A146,CLASSNAMEHEADERS,0)),WeaponCS,"")))))))}</f>
        <v>WEAPONSPECIALL13</v>
      </c>
      <c r="U145" s="230"/>
      <c r="V145" s="230" t="str">
        <f t="array" ref="V145:V146">{"WEAPONSPECIALL15";((IF("15"=INDEX(ALLCLASSDATA,MATCH("WeaponGreaterSpecialization",CLASSFEATUREHEADERS,0),MATCH($A146,CLASSNAMEHEADERS,0)),WeaponGWS,(IF("15"=INDEX(ALLCLASSDATA,MATCH("WeaponSpecialization",CLASSFEATUREHEADERS,0),MATCH($A146,CLASSNAMEHEADERS,0)),WeaponWS,(IF("15"=INDEX(ALLCLASSDATA,MATCH("WeaponCriticalSpecialization",CLASSFEATUREHEADERS,0),MATCH($A146,CLASSNAMEHEADERS,0)),WeaponCS,"")))))))}</f>
        <v>WEAPONSPECIALL15</v>
      </c>
      <c r="W145" s="230"/>
      <c r="X145" s="230" t="str">
        <f t="array" ref="X145:X146">{"WEAPONSPECIALL17";((IF("17"=INDEX(ALLCLASSDATA,MATCH("WeaponGreaterSpecialization",CLASSFEATUREHEADERS,0),MATCH($A146,CLASSNAMEHEADERS,0)),WeaponGWS,(IF("17"=INDEX(ALLCLASSDATA,MATCH("WeaponSpecialization",CLASSFEATUREHEADERS,0),MATCH($A146,CLASSNAMEHEADERS,0)),WeaponWS,(IF("17"=INDEX(ALLCLASSDATA,MATCH("WeaponCriticalSpecialization",CLASSFEATUREHEADERS,0),MATCH($A146,CLASSNAMEHEADERS,0)),WeaponCS,"")))))))}</f>
        <v>WEAPONSPECIALL17</v>
      </c>
      <c r="Y145" s="230"/>
      <c r="Z145" s="230" t="str">
        <f t="array" ref="Z145:Z146">{"WEAPONSPECIALL19";((IF("19"=INDEX(ALLCLASSDATA,MATCH("WeaponGreaterSpecialization",CLASSFEATUREHEADERS,0),MATCH($A146,CLASSNAMEHEADERS,0)),WeaponGWS,(IF("19"=INDEX(ALLCLASSDATA,MATCH("WeaponSpecialization",CLASSFEATUREHEADERS,0),MATCH($A146,CLASSNAMEHEADERS,0)),WeaponWS,(IF("19"=INDEX(ALLCLASSDATA,MATCH("WeaponCriticalSpecialization",CLASSFEATUREHEADERS,0),MATCH($A146,CLASSNAMEHEADERS,0)),WeaponCS,"")))))))}</f>
        <v>WEAPONSPECIALL19</v>
      </c>
      <c r="AA145" s="230"/>
      <c r="AB145" s="76"/>
      <c r="AC145" s="76" t="str">
        <f t="array" ref="AC145:AC146">{"WEAPONSPECIAL TOTAL";(sum(G146:AA146))}</f>
        <v>WEAPONSPECIAL TOTAL</v>
      </c>
    </row>
    <row r="146">
      <c r="A146" s="48" t="s">
        <v>95</v>
      </c>
      <c r="B146" s="48"/>
      <c r="C146" s="48" t="s">
        <v>409</v>
      </c>
      <c r="D146" s="48" t="s">
        <v>1634</v>
      </c>
      <c r="E146" s="48" t="s">
        <v>1635</v>
      </c>
      <c r="F146" s="5"/>
      <c r="G146" s="47"/>
      <c r="H146" s="5" t="s">
        <v>603</v>
      </c>
      <c r="I146" s="5"/>
      <c r="J146" s="5" t="s">
        <v>603</v>
      </c>
      <c r="K146" s="5"/>
      <c r="L146" s="5" t="s">
        <v>603</v>
      </c>
      <c r="M146" s="5"/>
      <c r="N146" s="5">
        <v>70.0</v>
      </c>
      <c r="O146" s="5"/>
      <c r="P146" s="5" t="s">
        <v>603</v>
      </c>
      <c r="Q146" s="5"/>
      <c r="R146" s="5" t="s">
        <v>603</v>
      </c>
      <c r="S146" s="5"/>
      <c r="T146" s="5" t="s">
        <v>603</v>
      </c>
      <c r="U146" s="5"/>
      <c r="V146" s="5">
        <v>150.0</v>
      </c>
      <c r="W146" s="5"/>
      <c r="X146" s="5" t="s">
        <v>603</v>
      </c>
      <c r="Y146" s="5"/>
      <c r="Z146" s="5" t="s">
        <v>603</v>
      </c>
      <c r="AA146" s="5"/>
      <c r="AB146" s="5"/>
      <c r="AC146" s="47">
        <v>220.0</v>
      </c>
    </row>
    <row r="147" hidden="1">
      <c r="A147" s="222" t="str">
        <f t="array" ref="A147:A148">{"FormulaRow27";(INDEX(CLASSLIST,A94,1))}</f>
        <v>FormulaRow27</v>
      </c>
      <c r="B147" s="77" t="s">
        <v>236</v>
      </c>
      <c r="C147" s="222" t="str">
        <f t="array" ref="C147:C148">{"CLASSTYPE";((INDEX(ALLCLASSDATA,MATCH("ClassType",CLASSFEATUREHEADERS,0),MATCH($A148,CLASSNAMEHEADERS,0))))}</f>
        <v>CLASSTYPE</v>
      </c>
      <c r="D147" s="222" t="str">
        <f t="array" ref="D147:D148">{"ATTACK";"Attack"}</f>
        <v>ATTACK</v>
      </c>
      <c r="E147" s="222" t="str">
        <f t="array" ref="E147:E148">{"UNARMED";"Unarmed"}</f>
        <v>UNARMED</v>
      </c>
      <c r="F147" s="223" t="str">
        <f t="array" ref="F147:F148">{"UNARMEDINITIAL";((IF(H148=10,"T",(IF(H148=50,"E","")))))}</f>
        <v>UNARMEDINITIAL</v>
      </c>
      <c r="G147" s="223" t="str">
        <f t="array" ref="G147:G148">{"UNARMEDINITIALPTS";((IF("00"=(INDEX(ALLCLASSDATA,MATCH("UnarmedLegendary",CLASSFEATUREHEADERS,0),MATCH($A148,CLASSNAMEHEADERS,0))),(INDEX(ALLCLASSDATA,MATCH("UnarmedLegendary",CLASSFEATUREHEADERS,0),MATCH(($A148 &amp; "Points"),CLASSNAMEHEADERS,0))),(IF("00"=(INDEX(ALLCLASSDATA,MATCH("UnarmedMaster",CLASSFEATUREHEADERS,0),MATCH($A148,CLASSNAMEHEADERS,0))),(INDEX(ALLCLASSDATA,MATCH("UnarmedMaster",CLASSFEATUREHEADERS,0),MATCH(($A148 &amp; "Points"),CLASSNAMEHEADERS,0))),(IF("00"=(INDEX(ALLCLASSDATA,MATCH("UnarmedExpert",CLASSFEATUREHEADERS,0),MATCH($A148,CLASSNAMEHEADERS,0))),(INDEX(ALLCLASSDATA,MATCH("UnarmedExpert",CLASSFEATUREHEADERS,0),MATCH(($A148 &amp; "Points"),CLASSNAMEHEADERS,0))),(IF("00"=(INDEX(ALLCLASSDATA,MATCH("UnarmedTrained",CLASSFEATUREHEADERS,0),MATCH($A148,CLASSNAMEHEADERS,0))),(INDEX(ALLCLASSDATA,MATCH("UnarmedTrained",CLASSFEATUREHEADERS,0),MATCH(($A148 &amp; "Points"),CLASSNAMEHEADERS,0))),"")))))))))}</f>
        <v>UNARMEDINITIALPTS</v>
      </c>
      <c r="H147" s="223" t="str">
        <f t="array" ref="H147:H148">{"UNARMEDL01";((IF("01"=(INDEX(ALLCLASSDATA,MATCH("UnarmedLegendary",CLASSFEATUREHEADERS,0),MATCH($A148,CLASSNAMEHEADERS,0))),(INDEX(ALLCLASSDATA,MATCH("UnarmedLegendary",CLASSFEATUREHEADERS,0),MATCH(($A148 &amp; "Points"),CLASSNAMEHEADERS,0))),(IF("01"=(INDEX(ALLCLASSDATA,MATCH("UnarmedMaster",CLASSFEATUREHEADERS,0),MATCH($A148,CLASSNAMEHEADERS,0))),(INDEX(ALLCLASSDATA,MATCH("UnarmedMaster",CLASSFEATUREHEADERS,0),MATCH(($A148 &amp; "Points"),CLASSNAMEHEADERS,0))),(IF("01"=(INDEX(ALLCLASSDATA,MATCH("UnarmedExpert",CLASSFEATUREHEADERS,0),MATCH($A148,CLASSNAMEHEADERS,0))),(INDEX(ALLCLASSDATA,MATCH("UnarmedExpert",CLASSFEATUREHEADERS,0),MATCH(($A148 &amp; "Points"),CLASSNAMEHEADERS,0))),(IF("01"=(INDEX(ALLCLASSDATA,MATCH("UnarmedTrained",CLASSFEATUREHEADERS,0),MATCH($A148,CLASSNAMEHEADERS,0))),(INDEX(ALLCLASSDATA,MATCH("UnarmedTrained",CLASSFEATUREHEADERS,0),MATCH(($A148 &amp; "Points"),CLASSNAMEHEADERS,0))),"")))))))))}</f>
        <v>UNARMEDL01</v>
      </c>
      <c r="I147" s="223"/>
      <c r="J147" s="223" t="str">
        <f t="array" ref="J147:J148">{"UNARMEDL03";((IF("03"=(INDEX(ALLCLASSDATA,MATCH("UnarmedLegendary",CLASSFEATUREHEADERS,0),MATCH($A148,CLASSNAMEHEADERS,0))),(INDEX(ALLCLASSDATA,MATCH("UnarmedLegendary",CLASSFEATUREHEADERS,0),MATCH(($A148 &amp; "Points"),CLASSNAMEHEADERS,0))),(IF("03"=(INDEX(ALLCLASSDATA,MATCH("UnarmedMaster",CLASSFEATUREHEADERS,0),MATCH($A148,CLASSNAMEHEADERS,0))),(INDEX(ALLCLASSDATA,MATCH("UnarmedMaster",CLASSFEATUREHEADERS,0),MATCH(($A148 &amp; "Points"),CLASSNAMEHEADERS,0))),(IF("03"=(INDEX(ALLCLASSDATA,MATCH("UnarmedExpert",CLASSFEATUREHEADERS,0),MATCH($A148,CLASSNAMEHEADERS,0))),(INDEX(ALLCLASSDATA,MATCH("UnarmedExpert",CLASSFEATUREHEADERS,0),MATCH(($A148 &amp; "Points"),CLASSNAMEHEADERS,0))),(IF("03"=(INDEX(ALLCLASSDATA,MATCH("UnarmedTrained",CLASSFEATUREHEADERS,0),MATCH($A148,CLASSNAMEHEADERS,0))),(INDEX(ALLCLASSDATA,MATCH("UnarmedTrained",CLASSFEATUREHEADERS,0),MATCH(($A148 &amp; "Points"),CLASSNAMEHEADERS,0))),"")))))))))}</f>
        <v>UNARMEDL03</v>
      </c>
      <c r="K147" s="223"/>
      <c r="L147" s="223" t="str">
        <f t="array" ref="L147:L148">{"UNARMEDL05";((IF("05"=(INDEX(ALLCLASSDATA,MATCH("UnarmedLegendary",CLASSFEATUREHEADERS,0),MATCH($A148,CLASSNAMEHEADERS,0))),(INDEX(ALLCLASSDATA,MATCH("UnarmedLegendary",CLASSFEATUREHEADERS,0),MATCH(($A148 &amp; "Points"),CLASSNAMEHEADERS,0))),(IF("05"=(INDEX(ALLCLASSDATA,MATCH("UnarmedMaster",CLASSFEATUREHEADERS,0),MATCH($A148,CLASSNAMEHEADERS,0))),(INDEX(ALLCLASSDATA,MATCH("UnarmedMaster",CLASSFEATUREHEADERS,0),MATCH(($A148 &amp; "Points"),CLASSNAMEHEADERS,0))),(IF("05"=(INDEX(ALLCLASSDATA,MATCH("UnarmedExpert",CLASSFEATUREHEADERS,0),MATCH($A148,CLASSNAMEHEADERS,0))),(INDEX(ALLCLASSDATA,MATCH("UnarmedExpert",CLASSFEATUREHEADERS,0),MATCH(($A148 &amp; "Points"),CLASSNAMEHEADERS,0))),(IF("05"=(INDEX(ALLCLASSDATA,MATCH("UnarmedTrained",CLASSFEATUREHEADERS,0),MATCH($A148,CLASSNAMEHEADERS,0))),(INDEX(ALLCLASSDATA,MATCH("UnarmedTrained",CLASSFEATUREHEADERS,0),MATCH(($A148 &amp; "Points"),CLASSNAMEHEADERS,0))),"")))))))))}</f>
        <v>UNARMEDL05</v>
      </c>
      <c r="M147" s="223"/>
      <c r="N147" s="223" t="str">
        <f t="array" ref="N147:N148">{"UNARMEDL07";((IF("07"=(INDEX(ALLCLASSDATA,MATCH("UnarmedLegendary",CLASSFEATUREHEADERS,0),MATCH($A148,CLASSNAMEHEADERS,0))),(INDEX(ALLCLASSDATA,MATCH("UnarmedLegendary",CLASSFEATUREHEADERS,0),MATCH(($A148 &amp; "Points"),CLASSNAMEHEADERS,0))),(IF("07"=(INDEX(ALLCLASSDATA,MATCH("UnarmedMaster",CLASSFEATUREHEADERS,0),MATCH($A148,CLASSNAMEHEADERS,0))),(INDEX(ALLCLASSDATA,MATCH("UnarmedMaster",CLASSFEATUREHEADERS,0),MATCH(($A148 &amp; "Points"),CLASSNAMEHEADERS,0))),(IF("07"=(INDEX(ALLCLASSDATA,MATCH("UnarmedExpert",CLASSFEATUREHEADERS,0),MATCH($A148,CLASSNAMEHEADERS,0))),(INDEX(ALLCLASSDATA,MATCH("UnarmedExpert",CLASSFEATUREHEADERS,0),MATCH(($A148 &amp; "Points"),CLASSNAMEHEADERS,0))),(IF("07"=(INDEX(ALLCLASSDATA,MATCH("UnarmedTrained",CLASSFEATUREHEADERS,0),MATCH($A148,CLASSNAMEHEADERS,0))),(INDEX(ALLCLASSDATA,MATCH("UnarmedTrained",CLASSFEATUREHEADERS,0),MATCH(($A148 &amp; "Points"),CLASSNAMEHEADERS,0))),"")))))))))}</f>
        <v>UNARMEDL07</v>
      </c>
      <c r="O147" s="223"/>
      <c r="P147" s="223" t="str">
        <f t="array" ref="P147:P148">{"UNARMEDL09";((IF("09"=(INDEX(ALLCLASSDATA,MATCH("UnarmedLegendary",CLASSFEATUREHEADERS,0),MATCH($A148,CLASSNAMEHEADERS,0))),(INDEX(ALLCLASSDATA,MATCH("UnarmedLegendary",CLASSFEATUREHEADERS,0),MATCH(($A148 &amp; "Points"),CLASSNAMEHEADERS,0))),(IF("09"=(INDEX(ALLCLASSDATA,MATCH("UnarmedMaster",CLASSFEATUREHEADERS,0),MATCH($A148,CLASSNAMEHEADERS,0))),(INDEX(ALLCLASSDATA,MATCH("UnarmedMaster",CLASSFEATUREHEADERS,0),MATCH(($A148 &amp; "Points"),CLASSNAMEHEADERS,0))),(IF("09"=(INDEX(ALLCLASSDATA,MATCH("UnarmedExpert",CLASSFEATUREHEADERS,0),MATCH($A148,CLASSNAMEHEADERS,0))),(INDEX(ALLCLASSDATA,MATCH("UnarmedExpert",CLASSFEATUREHEADERS,0),MATCH(($A148 &amp; "Points"),CLASSNAMEHEADERS,0))),(IF("09"=(INDEX(ALLCLASSDATA,MATCH("UnarmedTrained",CLASSFEATUREHEADERS,0),MATCH($A148,CLASSNAMEHEADERS,0))),(INDEX(ALLCLASSDATA,MATCH("UnarmedTrained",CLASSFEATUREHEADERS,0),MATCH(($A148 &amp; "Points"),CLASSNAMEHEADERS,0))),"")))))))))}</f>
        <v>UNARMEDL09</v>
      </c>
      <c r="Q147" s="223"/>
      <c r="R147" s="223" t="str">
        <f t="array" ref="R147:R148">{"UNARMEDL11";((IF("11"=(INDEX(ALLCLASSDATA,MATCH("UnarmedLegendary",CLASSFEATUREHEADERS,0),MATCH($A148,CLASSNAMEHEADERS,0))),(INDEX(ALLCLASSDATA,MATCH("UnarmedLegendary",CLASSFEATUREHEADERS,0),MATCH(($A148 &amp; "Points"),CLASSNAMEHEADERS,0))),(IF("11"=(INDEX(ALLCLASSDATA,MATCH("UnarmedMaster",CLASSFEATUREHEADERS,0),MATCH($A148,CLASSNAMEHEADERS,0))),(INDEX(ALLCLASSDATA,MATCH("UnarmedMaster",CLASSFEATUREHEADERS,0),MATCH(($A148 &amp; "Points"),CLASSNAMEHEADERS,0))),(IF("11"=(INDEX(ALLCLASSDATA,MATCH("UnarmedExpert",CLASSFEATUREHEADERS,0),MATCH($A148,CLASSNAMEHEADERS,0))),(INDEX(ALLCLASSDATA,MATCH("UnarmedExpert",CLASSFEATUREHEADERS,0),MATCH(($A148 &amp; "Points"),CLASSNAMEHEADERS,0))),(IF("11"=(INDEX(ALLCLASSDATA,MATCH("UnarmedTrained",CLASSFEATUREHEADERS,0),MATCH($A148,CLASSNAMEHEADERS,0))),(INDEX(ALLCLASSDATA,MATCH("UnarmedTrained",CLASSFEATUREHEADERS,0),MATCH(($A148 &amp; "Points"),CLASSNAMEHEADERS,0))),"")))))))))}</f>
        <v>UNARMEDL11</v>
      </c>
      <c r="S147" s="223"/>
      <c r="T147" s="223" t="str">
        <f t="array" ref="T147:T148">{"UNARMEDL13";((IF("13"=(INDEX(ALLCLASSDATA,MATCH("UnarmedLegendary",CLASSFEATUREHEADERS,0),MATCH($A148,CLASSNAMEHEADERS,0))),(INDEX(ALLCLASSDATA,MATCH("UnarmedLegendary",CLASSFEATUREHEADERS,0),MATCH(($A148 &amp; "Points"),CLASSNAMEHEADERS,0))),(IF("13"=(INDEX(ALLCLASSDATA,MATCH("UnarmedMaster",CLASSFEATUREHEADERS,0),MATCH($A148,CLASSNAMEHEADERS,0))),(INDEX(ALLCLASSDATA,MATCH("UnarmedMaster",CLASSFEATUREHEADERS,0),MATCH(($A148 &amp; "Points"),CLASSNAMEHEADERS,0))),(IF("13"=(INDEX(ALLCLASSDATA,MATCH("UnarmedExpert",CLASSFEATUREHEADERS,0),MATCH($A148,CLASSNAMEHEADERS,0))),(INDEX(ALLCLASSDATA,MATCH("UnarmedExpert",CLASSFEATUREHEADERS,0),MATCH(($A148 &amp; "Points"),CLASSNAMEHEADERS,0))),(IF("13"=(INDEX(ALLCLASSDATA,MATCH("UnarmedTrained",CLASSFEATUREHEADERS,0),MATCH($A148,CLASSNAMEHEADERS,0))),(INDEX(ALLCLASSDATA,MATCH("UnarmedTrained",CLASSFEATUREHEADERS,0),MATCH(($A148 &amp; "Points"),CLASSNAMEHEADERS,0))),"")))))))))}</f>
        <v>UNARMEDL13</v>
      </c>
      <c r="U147" s="223"/>
      <c r="V147" s="223" t="str">
        <f t="array" ref="V147:V148">{"UNARMEDL15";((IF("15"=(INDEX(ALLCLASSDATA,MATCH("UnarmedLegendary",CLASSFEATUREHEADERS,0),MATCH($A148,CLASSNAMEHEADERS,0))),(INDEX(ALLCLASSDATA,MATCH("UnarmedLegendary",CLASSFEATUREHEADERS,0),MATCH(($A148 &amp; "Points"),CLASSNAMEHEADERS,0))),(IF("15"=(INDEX(ALLCLASSDATA,MATCH("UnarmedMaster",CLASSFEATUREHEADERS,0),MATCH($A148,CLASSNAMEHEADERS,0))),(INDEX(ALLCLASSDATA,MATCH("UnarmedMaster",CLASSFEATUREHEADERS,0),MATCH(($A148 &amp; "Points"),CLASSNAMEHEADERS,0))),(IF("15"=(INDEX(ALLCLASSDATA,MATCH("UnarmedExpert",CLASSFEATUREHEADERS,0),MATCH($A148,CLASSNAMEHEADERS,0))),(INDEX(ALLCLASSDATA,MATCH("UnarmedExpert",CLASSFEATUREHEADERS,0),MATCH(($A148 &amp; "Points"),CLASSNAMEHEADERS,0))),(IF("15"=(INDEX(ALLCLASSDATA,MATCH("UnarmedTrained",CLASSFEATUREHEADERS,0),MATCH($A148,CLASSNAMEHEADERS,0))),(INDEX(ALLCLASSDATA,MATCH("UnarmedTrained",CLASSFEATUREHEADERS,0),MATCH(($A148 &amp; "Points"),CLASSNAMEHEADERS,0))),"")))))))))}</f>
        <v>UNARMEDL15</v>
      </c>
      <c r="W147" s="223"/>
      <c r="X147" s="223" t="str">
        <f t="array" ref="X147:X148">{"UNARMEDL17";((IF("17"=(INDEX(ALLCLASSDATA,MATCH("UnarmedLegendary",CLASSFEATUREHEADERS,0),MATCH($A148,CLASSNAMEHEADERS,0))),(INDEX(ALLCLASSDATA,MATCH("UnarmedLegendary",CLASSFEATUREHEADERS,0),MATCH(($A148 &amp; "Points"),CLASSNAMEHEADERS,0))),(IF("17"=(INDEX(ALLCLASSDATA,MATCH("UnarmedMaster",CLASSFEATUREHEADERS,0),MATCH($A148,CLASSNAMEHEADERS,0))),(INDEX(ALLCLASSDATA,MATCH("UnarmedMaster",CLASSFEATUREHEADERS,0),MATCH(($A148 &amp; "Points"),CLASSNAMEHEADERS,0))),(IF("17"=(INDEX(ALLCLASSDATA,MATCH("UnarmedExpert",CLASSFEATUREHEADERS,0),MATCH($A148,CLASSNAMEHEADERS,0))),(INDEX(ALLCLASSDATA,MATCH("UnarmedExpert",CLASSFEATUREHEADERS,0),MATCH(($A148 &amp; "Points"),CLASSNAMEHEADERS,0))),(IF("17"=(INDEX(ALLCLASSDATA,MATCH("UnarmedTrained",CLASSFEATUREHEADERS,0),MATCH($A148,CLASSNAMEHEADERS,0))),(INDEX(ALLCLASSDATA,MATCH("UnarmedTrained",CLASSFEATUREHEADERS,0),MATCH(($A148 &amp; "Points"),CLASSNAMEHEADERS,0))),"")))))))))}</f>
        <v>UNARMEDL17</v>
      </c>
      <c r="Y147" s="223"/>
      <c r="Z147" s="223" t="str">
        <f t="array" ref="Z147:Z148">{"UNARMEDL19";((IF("19"=(INDEX(ALLCLASSDATA,MATCH("UnarmedLegendary",CLASSFEATUREHEADERS,0),MATCH($A148,CLASSNAMEHEADERS,0))),(INDEX(ALLCLASSDATA,MATCH("UnarmedLegendary",CLASSFEATUREHEADERS,0),MATCH(($A148 &amp; "Points"),CLASSNAMEHEADERS,0))),(IF("19"=(INDEX(ALLCLASSDATA,MATCH("UnarmedMaster",CLASSFEATUREHEADERS,0),MATCH($A148,CLASSNAMEHEADERS,0))),(INDEX(ALLCLASSDATA,MATCH("UnarmedMaster",CLASSFEATUREHEADERS,0),MATCH(($A148 &amp; "Points"),CLASSNAMEHEADERS,0))),(IF("19"=(INDEX(ALLCLASSDATA,MATCH("UnarmedExpert",CLASSFEATUREHEADERS,0),MATCH($A148,CLASSNAMEHEADERS,0))),(INDEX(ALLCLASSDATA,MATCH("UnarmedExpert",CLASSFEATUREHEADERS,0),MATCH(($A148 &amp; "Points"),CLASSNAMEHEADERS,0))),(IF("19"=(INDEX(ALLCLASSDATA,MATCH("UnarmedTrained",CLASSFEATUREHEADERS,0),MATCH($A148,CLASSNAMEHEADERS,0))),(INDEX(ALLCLASSDATA,MATCH("UnarmedTrained",CLASSFEATUREHEADERS,0),MATCH(($A148 &amp; "Points"),CLASSNAMEHEADERS,0))),"")))))))))}</f>
        <v>UNARMEDL19</v>
      </c>
      <c r="AA147" s="223"/>
      <c r="AB147" s="76" t="str">
        <f t="array" ref="AB147:AB148">{"UNARMED TOTAL";(IF(COUNTBLANK(G148:AA148)=17,"L",(IF(COUNTBLANK(G148:AA148)=18,"M",(IF(COUNTBLANK(G148:AA148)=19,"E",(IF(COUNTBLANK(G148:AA148)=20,"T",""))))))))}</f>
        <v>UNARMED TOTAL</v>
      </c>
      <c r="AC147" s="76" t="str">
        <f t="array" ref="AC147:AC148">{"UNARMED TOTAL";(sum(G148:AA148))}</f>
        <v>UNARMED TOTAL</v>
      </c>
    </row>
    <row r="148">
      <c r="A148" s="48" t="s">
        <v>95</v>
      </c>
      <c r="B148" s="48"/>
      <c r="C148" s="48" t="s">
        <v>409</v>
      </c>
      <c r="D148" s="48" t="s">
        <v>1634</v>
      </c>
      <c r="E148" s="48" t="s">
        <v>257</v>
      </c>
      <c r="F148" s="5" t="s">
        <v>435</v>
      </c>
      <c r="G148" s="47" t="s">
        <v>603</v>
      </c>
      <c r="H148" s="5">
        <v>10.0</v>
      </c>
      <c r="I148" s="5"/>
      <c r="J148" s="5" t="s">
        <v>603</v>
      </c>
      <c r="K148" s="5"/>
      <c r="L148" s="5" t="s">
        <v>436</v>
      </c>
      <c r="M148" s="5"/>
      <c r="N148" s="5" t="s">
        <v>603</v>
      </c>
      <c r="O148" s="5"/>
      <c r="P148" s="5" t="s">
        <v>603</v>
      </c>
      <c r="Q148" s="5"/>
      <c r="R148" s="5" t="s">
        <v>603</v>
      </c>
      <c r="S148" s="5"/>
      <c r="T148" s="5" t="s">
        <v>437</v>
      </c>
      <c r="U148" s="5"/>
      <c r="V148" s="5" t="s">
        <v>603</v>
      </c>
      <c r="W148" s="5"/>
      <c r="X148" s="5" t="s">
        <v>603</v>
      </c>
      <c r="Y148" s="5"/>
      <c r="Z148" s="5" t="s">
        <v>603</v>
      </c>
      <c r="AA148" s="5"/>
      <c r="AB148" s="5" t="s">
        <v>437</v>
      </c>
      <c r="AC148" s="47">
        <v>10.0</v>
      </c>
    </row>
    <row r="149" hidden="1">
      <c r="A149" s="222" t="str">
        <f t="array" ref="A149:A150">{"FormulaRow28";(INDEX(CLASSLIST,A94,1))}</f>
        <v>FormulaRow28</v>
      </c>
      <c r="B149" s="77" t="s">
        <v>236</v>
      </c>
      <c r="C149" s="222" t="str">
        <f t="array" ref="C149:C150">{"CLASSTYPE";((INDEX(ALLCLASSDATA,MATCH("ClassType",CLASSFEATUREHEADERS,0),MATCH($A150,CLASSNAMEHEADERS,0))))}</f>
        <v>CLASSTYPE</v>
      </c>
      <c r="D149" s="222" t="str">
        <f t="array" ref="D149:D150">{"ATTACK";"Attack"}</f>
        <v>ATTACK</v>
      </c>
      <c r="E149" s="222" t="str">
        <f t="array" ref="E149:E150">{"SIMPLELIMITED";"SimpleLimited"}</f>
        <v>SIMPLELIMITED</v>
      </c>
      <c r="F149" s="223" t="str">
        <f t="array" ref="F149:F150">{"SIMPLELIMITEDINITIAL";((IF(H150=10,"T",(IF(H150=50,"E","")))))}</f>
        <v>SIMPLELIMITEDINITIAL</v>
      </c>
      <c r="G149" s="223" t="str">
        <f t="array" ref="G149:G150">{"SIMPLELIMITEDINITIALPTS";((IF("00"=(INDEX(ALLCLASSDATA,MATCH("SimpleLimitedLegendary",CLASSFEATUREHEADERS,0),MATCH($A150,CLASSNAMEHEADERS,0))),(INDEX(ALLCLASSDATA,MATCH("SimpleLimitedLegendary",CLASSFEATUREHEADERS,0),MATCH(($A150 &amp; "Points"),CLASSNAMEHEADERS,0))),(IF("00"=(INDEX(ALLCLASSDATA,MATCH("SimpleLimitedMaster",CLASSFEATUREHEADERS,0),MATCH($A150,CLASSNAMEHEADERS,0))),(INDEX(ALLCLASSDATA,MATCH("SimpleLimitedMaster",CLASSFEATUREHEADERS,0),MATCH(($A150 &amp; "Points"),CLASSNAMEHEADERS,0))),(IF("00"=(INDEX(ALLCLASSDATA,MATCH("SimpleLimitedExpert",CLASSFEATUREHEADERS,0),MATCH($A150,CLASSNAMEHEADERS,0))),(INDEX(ALLCLASSDATA,MATCH("SimpleLimitedExpert",CLASSFEATUREHEADERS,0),MATCH(($A150 &amp; "Points"),CLASSNAMEHEADERS,0))),(IF("00"=(INDEX(ALLCLASSDATA,MATCH("SimpleLimitedTrained",CLASSFEATUREHEADERS,0),MATCH($A150,CLASSNAMEHEADERS,0))),(INDEX(ALLCLASSDATA,MATCH("SimpleLimitedTrained",CLASSFEATUREHEADERS,0),MATCH(($A150 &amp; "Points"),CLASSNAMEHEADERS,0))),"")))))))))}</f>
        <v>SIMPLELIMITEDINITIALPTS</v>
      </c>
      <c r="H149" s="223" t="str">
        <f t="array" ref="H149:H150">{"SIMPLELIMITEDL01";((IF("01"=(INDEX(ALLCLASSDATA,MATCH("SimpleLimitedLegendary",CLASSFEATUREHEADERS,0),MATCH($A150,CLASSNAMEHEADERS,0))),(INDEX(ALLCLASSDATA,MATCH("SimpleLimitedLegendary",CLASSFEATUREHEADERS,0),MATCH(($A150 &amp; "Points"),CLASSNAMEHEADERS,0))),(IF("01"=(INDEX(ALLCLASSDATA,MATCH("SimpleLimitedMaster",CLASSFEATUREHEADERS,0),MATCH($A150,CLASSNAMEHEADERS,0))),(INDEX(ALLCLASSDATA,MATCH("SimpleLimitedMaster",CLASSFEATUREHEADERS,0),MATCH(($A150 &amp; "Points"),CLASSNAMEHEADERS,0))),(IF("01"=(INDEX(ALLCLASSDATA,MATCH("SimpleLimitedExpert",CLASSFEATUREHEADERS,0),MATCH($A150,CLASSNAMEHEADERS,0))),(INDEX(ALLCLASSDATA,MATCH("SimpleLimitedExpert",CLASSFEATUREHEADERS,0),MATCH(($A150 &amp; "Points"),CLASSNAMEHEADERS,0))),(IF("01"=(INDEX(ALLCLASSDATA,MATCH("SimpleLimitedTrained",CLASSFEATUREHEADERS,0),MATCH($A150,CLASSNAMEHEADERS,0))),(INDEX(ALLCLASSDATA,MATCH("SimpleLimitedTrained",CLASSFEATUREHEADERS,0),MATCH(($A150 &amp; "Points"),CLASSNAMEHEADERS,0))),"")))))))))}</f>
        <v>SIMPLELIMITEDL01</v>
      </c>
      <c r="I149" s="223"/>
      <c r="J149" s="223" t="str">
        <f t="array" ref="J149:J150">{"SIMPLELIMITEDL03";((IF("03"=(INDEX(ALLCLASSDATA,MATCH("SimpleLimitedLegendary",CLASSFEATUREHEADERS,0),MATCH($A150,CLASSNAMEHEADERS,0))),(INDEX(ALLCLASSDATA,MATCH("SimpleLimitedLegendary",CLASSFEATUREHEADERS,0),MATCH(($A150 &amp; "Points"),CLASSNAMEHEADERS,0))),(IF("03"=(INDEX(ALLCLASSDATA,MATCH("SimpleLimitedMaster",CLASSFEATUREHEADERS,0),MATCH($A150,CLASSNAMEHEADERS,0))),(INDEX(ALLCLASSDATA,MATCH("SimpleLimitedMaster",CLASSFEATUREHEADERS,0),MATCH(($A150 &amp; "Points"),CLASSNAMEHEADERS,0))),(IF("03"=(INDEX(ALLCLASSDATA,MATCH("SimpleLimitedExpert",CLASSFEATUREHEADERS,0),MATCH($A150,CLASSNAMEHEADERS,0))),(INDEX(ALLCLASSDATA,MATCH("SimpleLimitedExpert",CLASSFEATUREHEADERS,0),MATCH(($A150 &amp; "Points"),CLASSNAMEHEADERS,0))),(IF("03"=(INDEX(ALLCLASSDATA,MATCH("SimpleLimitedTrained",CLASSFEATUREHEADERS,0),MATCH($A150,CLASSNAMEHEADERS,0))),(INDEX(ALLCLASSDATA,MATCH("SimpleLimitedTrained",CLASSFEATUREHEADERS,0),MATCH(($A150 &amp; "Points"),CLASSNAMEHEADERS,0))),"")))))))))}</f>
        <v>SIMPLELIMITEDL03</v>
      </c>
      <c r="K149" s="223"/>
      <c r="L149" s="223" t="str">
        <f t="array" ref="L149:L150">{"SIMPLELIMITEDL05";((IF("05"=(INDEX(ALLCLASSDATA,MATCH("SimpleLimitedLegendary",CLASSFEATUREHEADERS,0),MATCH($A150,CLASSNAMEHEADERS,0))),(INDEX(ALLCLASSDATA,MATCH("SimpleLimitedLegendary",CLASSFEATUREHEADERS,0),MATCH(($A150 &amp; "Points"),CLASSNAMEHEADERS,0))),(IF("05"=(INDEX(ALLCLASSDATA,MATCH("SimpleLimitedMaster",CLASSFEATUREHEADERS,0),MATCH($A150,CLASSNAMEHEADERS,0))),(INDEX(ALLCLASSDATA,MATCH("SimpleLimitedMaster",CLASSFEATUREHEADERS,0),MATCH(($A150 &amp; "Points"),CLASSNAMEHEADERS,0))),(IF("05"=(INDEX(ALLCLASSDATA,MATCH("SimpleLimitedExpert",CLASSFEATUREHEADERS,0),MATCH($A150,CLASSNAMEHEADERS,0))),(INDEX(ALLCLASSDATA,MATCH("SimpleLimitedExpert",CLASSFEATUREHEADERS,0),MATCH(($A150 &amp; "Points"),CLASSNAMEHEADERS,0))),(IF("05"=(INDEX(ALLCLASSDATA,MATCH("SimpleLimitedTrained",CLASSFEATUREHEADERS,0),MATCH($A150,CLASSNAMEHEADERS,0))),(INDEX(ALLCLASSDATA,MATCH("SimpleLimitedTrained",CLASSFEATUREHEADERS,0),MATCH(($A150 &amp; "Points"),CLASSNAMEHEADERS,0))),"")))))))))}</f>
        <v>SIMPLELIMITEDL05</v>
      </c>
      <c r="M149" s="223"/>
      <c r="N149" s="223" t="str">
        <f t="array" ref="N149:N150">{"SIMPLELIMITEDL07";((IF("07"=(INDEX(ALLCLASSDATA,MATCH("SimpleLimitedLegendary",CLASSFEATUREHEADERS,0),MATCH($A150,CLASSNAMEHEADERS,0))),(INDEX(ALLCLASSDATA,MATCH("SimpleLimitedLegendary",CLASSFEATUREHEADERS,0),MATCH(($A150 &amp; "Points"),CLASSNAMEHEADERS,0))),(IF("07"=(INDEX(ALLCLASSDATA,MATCH("SimpleLimitedMaster",CLASSFEATUREHEADERS,0),MATCH($A150,CLASSNAMEHEADERS,0))),(INDEX(ALLCLASSDATA,MATCH("SimpleLimitedMaster",CLASSFEATUREHEADERS,0),MATCH(($A150 &amp; "Points"),CLASSNAMEHEADERS,0))),(IF("07"=(INDEX(ALLCLASSDATA,MATCH("SimpleLimitedExpert",CLASSFEATUREHEADERS,0),MATCH($A150,CLASSNAMEHEADERS,0))),(INDEX(ALLCLASSDATA,MATCH("SimpleLimitedExpert",CLASSFEATUREHEADERS,0),MATCH(($A150 &amp; "Points"),CLASSNAMEHEADERS,0))),(IF("07"=(INDEX(ALLCLASSDATA,MATCH("SimpleLimitedTrained",CLASSFEATUREHEADERS,0),MATCH($A150,CLASSNAMEHEADERS,0))),(INDEX(ALLCLASSDATA,MATCH("SimpleLimitedTrained",CLASSFEATUREHEADERS,0),MATCH(($A150 &amp; "Points"),CLASSNAMEHEADERS,0))),"")))))))))}</f>
        <v>SIMPLELIMITEDL07</v>
      </c>
      <c r="O149" s="223"/>
      <c r="P149" s="223" t="str">
        <f t="array" ref="P149:P150">{"SIMPLELIMITEDL09";((IF("09"=(INDEX(ALLCLASSDATA,MATCH("SimpleLimitedLegendary",CLASSFEATUREHEADERS,0),MATCH($A150,CLASSNAMEHEADERS,0))),(INDEX(ALLCLASSDATA,MATCH("SimpleLimitedLegendary",CLASSFEATUREHEADERS,0),MATCH(($A150 &amp; "Points"),CLASSNAMEHEADERS,0))),(IF("09"=(INDEX(ALLCLASSDATA,MATCH("SimpleLimitedMaster",CLASSFEATUREHEADERS,0),MATCH($A150,CLASSNAMEHEADERS,0))),(INDEX(ALLCLASSDATA,MATCH("SimpleLimitedMaster",CLASSFEATUREHEADERS,0),MATCH(($A150 &amp; "Points"),CLASSNAMEHEADERS,0))),(IF("09"=(INDEX(ALLCLASSDATA,MATCH("SimpleLimitedExpert",CLASSFEATUREHEADERS,0),MATCH($A150,CLASSNAMEHEADERS,0))),(INDEX(ALLCLASSDATA,MATCH("SimpleLimitedExpert",CLASSFEATUREHEADERS,0),MATCH(($A150 &amp; "Points"),CLASSNAMEHEADERS,0))),(IF("09"=(INDEX(ALLCLASSDATA,MATCH("SimpleLimitedTrained",CLASSFEATUREHEADERS,0),MATCH($A150,CLASSNAMEHEADERS,0))),(INDEX(ALLCLASSDATA,MATCH("SimpleLimitedTrained",CLASSFEATUREHEADERS,0),MATCH(($A150 &amp; "Points"),CLASSNAMEHEADERS,0))),"")))))))))}</f>
        <v>SIMPLELIMITEDL09</v>
      </c>
      <c r="Q149" s="223"/>
      <c r="R149" s="223" t="str">
        <f t="array" ref="R149:R150">{"SIMPLELIMITEDL11";((IF("11"=(INDEX(ALLCLASSDATA,MATCH("SimpleLimitedLegendary",CLASSFEATUREHEADERS,0),MATCH($A150,CLASSNAMEHEADERS,0))),(INDEX(ALLCLASSDATA,MATCH("SimpleLimitedLegendary",CLASSFEATUREHEADERS,0),MATCH(($A150 &amp; "Points"),CLASSNAMEHEADERS,0))),(IF("11"=(INDEX(ALLCLASSDATA,MATCH("SimpleLimitedMaster",CLASSFEATUREHEADERS,0),MATCH($A150,CLASSNAMEHEADERS,0))),(INDEX(ALLCLASSDATA,MATCH("SimpleLimitedMaster",CLASSFEATUREHEADERS,0),MATCH(($A150 &amp; "Points"),CLASSNAMEHEADERS,0))),(IF("11"=(INDEX(ALLCLASSDATA,MATCH("SimpleLimitedExpert",CLASSFEATUREHEADERS,0),MATCH($A150,CLASSNAMEHEADERS,0))),(INDEX(ALLCLASSDATA,MATCH("SimpleLimitedExpert",CLASSFEATUREHEADERS,0),MATCH(($A150 &amp; "Points"),CLASSNAMEHEADERS,0))),(IF("11"=(INDEX(ALLCLASSDATA,MATCH("SimpleLimitedTrained",CLASSFEATUREHEADERS,0),MATCH($A150,CLASSNAMEHEADERS,0))),(INDEX(ALLCLASSDATA,MATCH("SimpleLimitedTrained",CLASSFEATUREHEADERS,0),MATCH(($A150 &amp; "Points"),CLASSNAMEHEADERS,0))),"")))))))))}</f>
        <v>SIMPLELIMITEDL11</v>
      </c>
      <c r="S149" s="223"/>
      <c r="T149" s="223" t="str">
        <f t="array" ref="T149:T150">{"SIMPLELIMITEDL13";((IF("13"=(INDEX(ALLCLASSDATA,MATCH("SimpleLimitedLegendary",CLASSFEATUREHEADERS,0),MATCH($A150,CLASSNAMEHEADERS,0))),(INDEX(ALLCLASSDATA,MATCH("SimpleLimitedLegendary",CLASSFEATUREHEADERS,0),MATCH(($A150 &amp; "Points"),CLASSNAMEHEADERS,0))),(IF("13"=(INDEX(ALLCLASSDATA,MATCH("SimpleLimitedMaster",CLASSFEATUREHEADERS,0),MATCH($A150,CLASSNAMEHEADERS,0))),(INDEX(ALLCLASSDATA,MATCH("SimpleLimitedMaster",CLASSFEATUREHEADERS,0),MATCH(($A150 &amp; "Points"),CLASSNAMEHEADERS,0))),(IF("13"=(INDEX(ALLCLASSDATA,MATCH("SimpleLimitedExpert",CLASSFEATUREHEADERS,0),MATCH($A150,CLASSNAMEHEADERS,0))),(INDEX(ALLCLASSDATA,MATCH("SimpleLimitedExpert",CLASSFEATUREHEADERS,0),MATCH(($A150 &amp; "Points"),CLASSNAMEHEADERS,0))),(IF("13"=(INDEX(ALLCLASSDATA,MATCH("SimpleLimitedTrained",CLASSFEATUREHEADERS,0),MATCH($A150,CLASSNAMEHEADERS,0))),(INDEX(ALLCLASSDATA,MATCH("SimpleLimitedTrained",CLASSFEATUREHEADERS,0),MATCH(($A150 &amp; "Points"),CLASSNAMEHEADERS,0))),"")))))))))}</f>
        <v>SIMPLELIMITEDL13</v>
      </c>
      <c r="U149" s="223"/>
      <c r="V149" s="223" t="str">
        <f t="array" ref="V149:V150">{"SIMPLELIMITEDL15";((IF("15"=(INDEX(ALLCLASSDATA,MATCH("SimpleLimitedLegendary",CLASSFEATUREHEADERS,0),MATCH($A150,CLASSNAMEHEADERS,0))),(INDEX(ALLCLASSDATA,MATCH("SimpleLimitedLegendary",CLASSFEATUREHEADERS,0),MATCH(($A150 &amp; "Points"),CLASSNAMEHEADERS,0))),(IF("15"=(INDEX(ALLCLASSDATA,MATCH("SimpleLimitedMaster",CLASSFEATUREHEADERS,0),MATCH($A150,CLASSNAMEHEADERS,0))),(INDEX(ALLCLASSDATA,MATCH("SimpleLimitedMaster",CLASSFEATUREHEADERS,0),MATCH(($A150 &amp; "Points"),CLASSNAMEHEADERS,0))),(IF("15"=(INDEX(ALLCLASSDATA,MATCH("SimpleLimitedExpert",CLASSFEATUREHEADERS,0),MATCH($A150,CLASSNAMEHEADERS,0))),(INDEX(ALLCLASSDATA,MATCH("SimpleLimitedExpert",CLASSFEATUREHEADERS,0),MATCH(($A150 &amp; "Points"),CLASSNAMEHEADERS,0))),(IF("15"=(INDEX(ALLCLASSDATA,MATCH("SimpleLimitedTrained",CLASSFEATUREHEADERS,0),MATCH($A150,CLASSNAMEHEADERS,0))),(INDEX(ALLCLASSDATA,MATCH("SimpleLimitedTrained",CLASSFEATUREHEADERS,0),MATCH(($A150 &amp; "Points"),CLASSNAMEHEADERS,0))),"")))))))))}</f>
        <v>SIMPLELIMITEDL15</v>
      </c>
      <c r="W149" s="223"/>
      <c r="X149" s="223" t="str">
        <f t="array" ref="X149:X150">{"SIMPLELIMITEDL17";((IF("17"=(INDEX(ALLCLASSDATA,MATCH("SimpleLimitedLegendary",CLASSFEATUREHEADERS,0),MATCH($A150,CLASSNAMEHEADERS,0))),(INDEX(ALLCLASSDATA,MATCH("SimpleLimitedLegendary",CLASSFEATUREHEADERS,0),MATCH(($A150 &amp; "Points"),CLASSNAMEHEADERS,0))),(IF("17"=(INDEX(ALLCLASSDATA,MATCH("SimpleLimitedMaster",CLASSFEATUREHEADERS,0),MATCH($A150,CLASSNAMEHEADERS,0))),(INDEX(ALLCLASSDATA,MATCH("SimpleLimitedMaster",CLASSFEATUREHEADERS,0),MATCH(($A150 &amp; "Points"),CLASSNAMEHEADERS,0))),(IF("17"=(INDEX(ALLCLASSDATA,MATCH("SimpleLimitedExpert",CLASSFEATUREHEADERS,0),MATCH($A150,CLASSNAMEHEADERS,0))),(INDEX(ALLCLASSDATA,MATCH("SimpleLimitedExpert",CLASSFEATUREHEADERS,0),MATCH(($A150 &amp; "Points"),CLASSNAMEHEADERS,0))),(IF("17"=(INDEX(ALLCLASSDATA,MATCH("SimpleLimitedTrained",CLASSFEATUREHEADERS,0),MATCH($A150,CLASSNAMEHEADERS,0))),(INDEX(ALLCLASSDATA,MATCH("SimpleLimitedTrained",CLASSFEATUREHEADERS,0),MATCH(($A150 &amp; "Points"),CLASSNAMEHEADERS,0))),"")))))))))}</f>
        <v>SIMPLELIMITEDL17</v>
      </c>
      <c r="Y149" s="223"/>
      <c r="Z149" s="223" t="str">
        <f t="array" ref="Z149:Z150">{"SIMPLELIMITEDL19";((IF("19"=(INDEX(ALLCLASSDATA,MATCH("SimpleLimitedLegendary",CLASSFEATUREHEADERS,0),MATCH($A150,CLASSNAMEHEADERS,0))),(INDEX(ALLCLASSDATA,MATCH("SimpleLimitedLegendary",CLASSFEATUREHEADERS,0),MATCH(($A150 &amp; "Points"),CLASSNAMEHEADERS,0))),(IF("19"=(INDEX(ALLCLASSDATA,MATCH("SimpleLimitedMaster",CLASSFEATUREHEADERS,0),MATCH($A150,CLASSNAMEHEADERS,0))),(INDEX(ALLCLASSDATA,MATCH("SimpleLimitedMaster",CLASSFEATUREHEADERS,0),MATCH(($A150 &amp; "Points"),CLASSNAMEHEADERS,0))),(IF("19"=(INDEX(ALLCLASSDATA,MATCH("SimpleLimitedExpert",CLASSFEATUREHEADERS,0),MATCH($A150,CLASSNAMEHEADERS,0))),(INDEX(ALLCLASSDATA,MATCH("SimpleLimitedExpert",CLASSFEATUREHEADERS,0),MATCH(($A150 &amp; "Points"),CLASSNAMEHEADERS,0))),(IF("19"=(INDEX(ALLCLASSDATA,MATCH("SimpleLimitedTrained",CLASSFEATUREHEADERS,0),MATCH($A150,CLASSNAMEHEADERS,0))),(INDEX(ALLCLASSDATA,MATCH("SimpleLimitedTrained",CLASSFEATUREHEADERS,0),MATCH(($A150 &amp; "Points"),CLASSNAMEHEADERS,0))),"")))))))))}</f>
        <v>SIMPLELIMITEDL19</v>
      </c>
      <c r="AA149" s="223"/>
      <c r="AB149" s="76" t="str">
        <f t="array" ref="AB149:AB150">{"SIMPLELIMITED TOTAL";(IF(COUNTBLANK(G150:AA150)=17,"L",(IF(COUNTBLANK(G150:AA150)=18,"M",(IF(COUNTBLANK(G150:AA150)=19,"E",(IF(COUNTBLANK(G150:AA150)=20,"T",""))))))))}</f>
        <v>SIMPLELIMITED TOTAL</v>
      </c>
      <c r="AC149" s="76" t="str">
        <f t="array" ref="AC149:AC150">{"SIMPLELIMITED TOTAL";(sum(G150:AA150))}</f>
        <v>SIMPLELIMITED TOTAL</v>
      </c>
    </row>
    <row r="150">
      <c r="A150" s="48" t="s">
        <v>95</v>
      </c>
      <c r="B150" s="48"/>
      <c r="C150" s="48" t="s">
        <v>409</v>
      </c>
      <c r="D150" s="48" t="s">
        <v>1634</v>
      </c>
      <c r="E150" s="48" t="s">
        <v>599</v>
      </c>
      <c r="F150" s="5" t="s">
        <v>603</v>
      </c>
      <c r="G150" s="47" t="s">
        <v>603</v>
      </c>
      <c r="H150" s="5" t="s">
        <v>603</v>
      </c>
      <c r="I150" s="5"/>
      <c r="J150" s="5" t="s">
        <v>603</v>
      </c>
      <c r="K150" s="5"/>
      <c r="L150" s="5" t="s">
        <v>603</v>
      </c>
      <c r="M150" s="5"/>
      <c r="N150" s="5" t="s">
        <v>603</v>
      </c>
      <c r="O150" s="5"/>
      <c r="P150" s="5" t="s">
        <v>603</v>
      </c>
      <c r="Q150" s="5"/>
      <c r="R150" s="5" t="s">
        <v>603</v>
      </c>
      <c r="S150" s="5"/>
      <c r="T150" s="5" t="s">
        <v>603</v>
      </c>
      <c r="U150" s="5"/>
      <c r="V150" s="5" t="s">
        <v>603</v>
      </c>
      <c r="W150" s="5"/>
      <c r="X150" s="5" t="s">
        <v>603</v>
      </c>
      <c r="Y150" s="5"/>
      <c r="Z150" s="5" t="s">
        <v>603</v>
      </c>
      <c r="AA150" s="5"/>
      <c r="AB150" s="5" t="s">
        <v>603</v>
      </c>
      <c r="AC150" s="47">
        <v>0.0</v>
      </c>
    </row>
    <row r="151" hidden="1">
      <c r="A151" s="222" t="str">
        <f t="array" ref="A151:A152">{"FormulaRow29";(INDEX(CLASSLIST,A94,1))}</f>
        <v>FormulaRow29</v>
      </c>
      <c r="B151" s="77" t="s">
        <v>236</v>
      </c>
      <c r="C151" s="222" t="str">
        <f t="array" ref="C151:C152">{"CLASSTYPE";((INDEX(ALLCLASSDATA,MATCH("ClassType",CLASSFEATUREHEADERS,0),MATCH($A152,CLASSNAMEHEADERS,0))))}</f>
        <v>CLASSTYPE</v>
      </c>
      <c r="D151" s="222" t="str">
        <f t="array" ref="D151:D152">{"ATTACK";"Attack"}</f>
        <v>ATTACK</v>
      </c>
      <c r="E151" s="222" t="str">
        <f t="array" ref="E151:E152">{"SIMPLE";"Simple"}</f>
        <v>SIMPLE</v>
      </c>
      <c r="F151" s="223" t="str">
        <f t="array" ref="F151:F152">{"SIMPLEINITIAL";((IF(H152=10,"T",(IF(H152=50,"E","")))))}</f>
        <v>SIMPLEINITIAL</v>
      </c>
      <c r="G151" s="223" t="str">
        <f t="array" ref="G151:G152">{"SIMPLEINITIALPTS";((IF("00"=(INDEX(ALLCLASSDATA,MATCH("SimpleLegendary",CLASSFEATUREHEADERS,0),MATCH($A152,CLASSNAMEHEADERS,0))),(INDEX(ALLCLASSDATA,MATCH("SimpleLegendary",CLASSFEATUREHEADERS,0),MATCH(($A152 &amp; "Points"),CLASSNAMEHEADERS,0))),(IF("00"=(INDEX(ALLCLASSDATA,MATCH("SimpleMaster",CLASSFEATUREHEADERS,0),MATCH($A152,CLASSNAMEHEADERS,0))),(INDEX(ALLCLASSDATA,MATCH("SimpleMaster",CLASSFEATUREHEADERS,0),MATCH(($A152 &amp; "Points"),CLASSNAMEHEADERS,0))),(IF("00"=(INDEX(ALLCLASSDATA,MATCH("SimpleExpert",CLASSFEATUREHEADERS,0),MATCH($A152,CLASSNAMEHEADERS,0))),(INDEX(ALLCLASSDATA,MATCH("SimpleExpert",CLASSFEATUREHEADERS,0),MATCH(($A152 &amp; "Points"),CLASSNAMEHEADERS,0))),(IF("00"=(INDEX(ALLCLASSDATA,MATCH("SimpleTrained",CLASSFEATUREHEADERS,0),MATCH($A152,CLASSNAMEHEADERS,0))),(INDEX(ALLCLASSDATA,MATCH("SimpleTrained",CLASSFEATUREHEADERS,0),MATCH(($A152 &amp; "Points"),CLASSNAMEHEADERS,0))),"")))))))))}</f>
        <v>SIMPLEINITIALPTS</v>
      </c>
      <c r="H151" s="223" t="str">
        <f t="array" ref="H151:H152">{"SIMPLEL01";((IF("01"=(INDEX(ALLCLASSDATA,MATCH("SimpleLegendary",CLASSFEATUREHEADERS,0),MATCH($A152,CLASSNAMEHEADERS,0))),(INDEX(ALLCLASSDATA,MATCH("SimpleLegendary",CLASSFEATUREHEADERS,0),MATCH(($A152 &amp; "Points"),CLASSNAMEHEADERS,0))),(IF("01"=(INDEX(ALLCLASSDATA,MATCH("SimpleMaster",CLASSFEATUREHEADERS,0),MATCH($A152,CLASSNAMEHEADERS,0))),(INDEX(ALLCLASSDATA,MATCH("SimpleMaster",CLASSFEATUREHEADERS,0),MATCH(($A152 &amp; "Points"),CLASSNAMEHEADERS,0))),(IF("01"=(INDEX(ALLCLASSDATA,MATCH("SimpleExpert",CLASSFEATUREHEADERS,0),MATCH($A152,CLASSNAMEHEADERS,0))),(INDEX(ALLCLASSDATA,MATCH("SimpleExpert",CLASSFEATUREHEADERS,0),MATCH(($A152 &amp; "Points"),CLASSNAMEHEADERS,0))),(IF("01"=(INDEX(ALLCLASSDATA,MATCH("SimpleTrained",CLASSFEATUREHEADERS,0),MATCH($A152,CLASSNAMEHEADERS,0))),(INDEX(ALLCLASSDATA,MATCH("SimpleTrained",CLASSFEATUREHEADERS,0),MATCH(($A152 &amp; "Points"),CLASSNAMEHEADERS,0))),"")))))))))}</f>
        <v>SIMPLEL01</v>
      </c>
      <c r="I151" s="223"/>
      <c r="J151" s="223" t="str">
        <f t="array" ref="J151:J152">{"SIMPLEL03";((IF("03"=(INDEX(ALLCLASSDATA,MATCH("SimpleLegendary",CLASSFEATUREHEADERS,0),MATCH($A152,CLASSNAMEHEADERS,0))),(INDEX(ALLCLASSDATA,MATCH("SimpleLegendary",CLASSFEATUREHEADERS,0),MATCH(($A152 &amp; "Points"),CLASSNAMEHEADERS,0))),(IF("03"=(INDEX(ALLCLASSDATA,MATCH("SimpleMaster",CLASSFEATUREHEADERS,0),MATCH($A152,CLASSNAMEHEADERS,0))),(INDEX(ALLCLASSDATA,MATCH("SimpleMaster",CLASSFEATUREHEADERS,0),MATCH(($A152 &amp; "Points"),CLASSNAMEHEADERS,0))),(IF("03"=(INDEX(ALLCLASSDATA,MATCH("SimpleExpert",CLASSFEATUREHEADERS,0),MATCH($A152,CLASSNAMEHEADERS,0))),(INDEX(ALLCLASSDATA,MATCH("SimpleExpert",CLASSFEATUREHEADERS,0),MATCH(($A152 &amp; "Points"),CLASSNAMEHEADERS,0))),(IF("03"=(INDEX(ALLCLASSDATA,MATCH("SimpleTrained",CLASSFEATUREHEADERS,0),MATCH($A152,CLASSNAMEHEADERS,0))),(INDEX(ALLCLASSDATA,MATCH("SimpleTrained",CLASSFEATUREHEADERS,0),MATCH(($A152 &amp; "Points"),CLASSNAMEHEADERS,0))),"")))))))))}</f>
        <v>SIMPLEL03</v>
      </c>
      <c r="K151" s="223"/>
      <c r="L151" s="223" t="str">
        <f t="array" ref="L151:L152">{"SIMPLEL05";((IF("05"=(INDEX(ALLCLASSDATA,MATCH("SimpleLegendary",CLASSFEATUREHEADERS,0),MATCH($A152,CLASSNAMEHEADERS,0))),(INDEX(ALLCLASSDATA,MATCH("SimpleLegendary",CLASSFEATUREHEADERS,0),MATCH(($A152 &amp; "Points"),CLASSNAMEHEADERS,0))),(IF("05"=(INDEX(ALLCLASSDATA,MATCH("SimpleMaster",CLASSFEATUREHEADERS,0),MATCH($A152,CLASSNAMEHEADERS,0))),(INDEX(ALLCLASSDATA,MATCH("SimpleMaster",CLASSFEATUREHEADERS,0),MATCH(($A152 &amp; "Points"),CLASSNAMEHEADERS,0))),(IF("05"=(INDEX(ALLCLASSDATA,MATCH("SimpleExpert",CLASSFEATUREHEADERS,0),MATCH($A152,CLASSNAMEHEADERS,0))),(INDEX(ALLCLASSDATA,MATCH("SimpleExpert",CLASSFEATUREHEADERS,0),MATCH(($A152 &amp; "Points"),CLASSNAMEHEADERS,0))),(IF("05"=(INDEX(ALLCLASSDATA,MATCH("SimpleTrained",CLASSFEATUREHEADERS,0),MATCH($A152,CLASSNAMEHEADERS,0))),(INDEX(ALLCLASSDATA,MATCH("SimpleTrained",CLASSFEATUREHEADERS,0),MATCH(($A152 &amp; "Points"),CLASSNAMEHEADERS,0))),"")))))))))}</f>
        <v>SIMPLEL05</v>
      </c>
      <c r="M151" s="223"/>
      <c r="N151" s="223" t="str">
        <f t="array" ref="N151:N152">{"SIMPLEL07";((IF("07"=(INDEX(ALLCLASSDATA,MATCH("SimpleLegendary",CLASSFEATUREHEADERS,0),MATCH($A152,CLASSNAMEHEADERS,0))),(INDEX(ALLCLASSDATA,MATCH("SimpleLegendary",CLASSFEATUREHEADERS,0),MATCH(($A152 &amp; "Points"),CLASSNAMEHEADERS,0))),(IF("07"=(INDEX(ALLCLASSDATA,MATCH("SimpleMaster",CLASSFEATUREHEADERS,0),MATCH($A152,CLASSNAMEHEADERS,0))),(INDEX(ALLCLASSDATA,MATCH("SimpleMaster",CLASSFEATUREHEADERS,0),MATCH(($A152 &amp; "Points"),CLASSNAMEHEADERS,0))),(IF("07"=(INDEX(ALLCLASSDATA,MATCH("SimpleExpert",CLASSFEATUREHEADERS,0),MATCH($A152,CLASSNAMEHEADERS,0))),(INDEX(ALLCLASSDATA,MATCH("SimpleExpert",CLASSFEATUREHEADERS,0),MATCH(($A152 &amp; "Points"),CLASSNAMEHEADERS,0))),(IF("07"=(INDEX(ALLCLASSDATA,MATCH("SimpleTrained",CLASSFEATUREHEADERS,0),MATCH($A152,CLASSNAMEHEADERS,0))),(INDEX(ALLCLASSDATA,MATCH("SimpleTrained",CLASSFEATUREHEADERS,0),MATCH(($A152 &amp; "Points"),CLASSNAMEHEADERS,0))),"")))))))))}</f>
        <v>SIMPLEL07</v>
      </c>
      <c r="O151" s="223"/>
      <c r="P151" s="223" t="str">
        <f t="array" ref="P151:P152">{"SIMPLEL09";((IF("09"=(INDEX(ALLCLASSDATA,MATCH("SimpleLegendary",CLASSFEATUREHEADERS,0),MATCH($A152,CLASSNAMEHEADERS,0))),(INDEX(ALLCLASSDATA,MATCH("SimpleLegendary",CLASSFEATUREHEADERS,0),MATCH(($A152 &amp; "Points"),CLASSNAMEHEADERS,0))),(IF("09"=(INDEX(ALLCLASSDATA,MATCH("SimpleMaster",CLASSFEATUREHEADERS,0),MATCH($A152,CLASSNAMEHEADERS,0))),(INDEX(ALLCLASSDATA,MATCH("SimpleMaster",CLASSFEATUREHEADERS,0),MATCH(($A152 &amp; "Points"),CLASSNAMEHEADERS,0))),(IF("09"=(INDEX(ALLCLASSDATA,MATCH("SimpleExpert",CLASSFEATUREHEADERS,0),MATCH($A152,CLASSNAMEHEADERS,0))),(INDEX(ALLCLASSDATA,MATCH("SimpleExpert",CLASSFEATUREHEADERS,0),MATCH(($A152 &amp; "Points"),CLASSNAMEHEADERS,0))),(IF("09"=(INDEX(ALLCLASSDATA,MATCH("SimpleTrained",CLASSFEATUREHEADERS,0),MATCH($A152,CLASSNAMEHEADERS,0))),(INDEX(ALLCLASSDATA,MATCH("SimpleTrained",CLASSFEATUREHEADERS,0),MATCH(($A152 &amp; "Points"),CLASSNAMEHEADERS,0))),"")))))))))}</f>
        <v>SIMPLEL09</v>
      </c>
      <c r="Q151" s="223"/>
      <c r="R151" s="223" t="str">
        <f t="array" ref="R151:R152">{"SIMPLEL11";((IF("11"=(INDEX(ALLCLASSDATA,MATCH("SimpleLegendary",CLASSFEATUREHEADERS,0),MATCH($A152,CLASSNAMEHEADERS,0))),(INDEX(ALLCLASSDATA,MATCH("SimpleLegendary",CLASSFEATUREHEADERS,0),MATCH(($A152 &amp; "Points"),CLASSNAMEHEADERS,0))),(IF("11"=(INDEX(ALLCLASSDATA,MATCH("SimpleMaster",CLASSFEATUREHEADERS,0),MATCH($A152,CLASSNAMEHEADERS,0))),(INDEX(ALLCLASSDATA,MATCH("SimpleMaster",CLASSFEATUREHEADERS,0),MATCH(($A152 &amp; "Points"),CLASSNAMEHEADERS,0))),(IF("11"=(INDEX(ALLCLASSDATA,MATCH("SimpleExpert",CLASSFEATUREHEADERS,0),MATCH($A152,CLASSNAMEHEADERS,0))),(INDEX(ALLCLASSDATA,MATCH("SimpleExpert",CLASSFEATUREHEADERS,0),MATCH(($A152 &amp; "Points"),CLASSNAMEHEADERS,0))),(IF("11"=(INDEX(ALLCLASSDATA,MATCH("SimpleTrained",CLASSFEATUREHEADERS,0),MATCH($A152,CLASSNAMEHEADERS,0))),(INDEX(ALLCLASSDATA,MATCH("SimpleTrained",CLASSFEATUREHEADERS,0),MATCH(($A152 &amp; "Points"),CLASSNAMEHEADERS,0))),"")))))))))}</f>
        <v>SIMPLEL11</v>
      </c>
      <c r="S151" s="223"/>
      <c r="T151" s="223" t="str">
        <f t="array" ref="T151:T152">{"SIMPLEL13";((IF("13"=(INDEX(ALLCLASSDATA,MATCH("SimpleLegendary",CLASSFEATUREHEADERS,0),MATCH($A152,CLASSNAMEHEADERS,0))),(INDEX(ALLCLASSDATA,MATCH("SimpleLegendary",CLASSFEATUREHEADERS,0),MATCH(($A152 &amp; "Points"),CLASSNAMEHEADERS,0))),(IF("13"=(INDEX(ALLCLASSDATA,MATCH("SimpleMaster",CLASSFEATUREHEADERS,0),MATCH($A152,CLASSNAMEHEADERS,0))),(INDEX(ALLCLASSDATA,MATCH("SimpleMaster",CLASSFEATUREHEADERS,0),MATCH(($A152 &amp; "Points"),CLASSNAMEHEADERS,0))),(IF("13"=(INDEX(ALLCLASSDATA,MATCH("SimpleExpert",CLASSFEATUREHEADERS,0),MATCH($A152,CLASSNAMEHEADERS,0))),(INDEX(ALLCLASSDATA,MATCH("SimpleExpert",CLASSFEATUREHEADERS,0),MATCH(($A152 &amp; "Points"),CLASSNAMEHEADERS,0))),(IF("13"=(INDEX(ALLCLASSDATA,MATCH("SimpleTrained",CLASSFEATUREHEADERS,0),MATCH($A152,CLASSNAMEHEADERS,0))),(INDEX(ALLCLASSDATA,MATCH("SimpleTrained",CLASSFEATUREHEADERS,0),MATCH(($A152 &amp; "Points"),CLASSNAMEHEADERS,0))),"")))))))))}</f>
        <v>SIMPLEL13</v>
      </c>
      <c r="U151" s="223"/>
      <c r="V151" s="223" t="str">
        <f t="array" ref="V151:V152">{"SIMPLEL15";((IF("15"=(INDEX(ALLCLASSDATA,MATCH("SimpleLegendary",CLASSFEATUREHEADERS,0),MATCH($A152,CLASSNAMEHEADERS,0))),(INDEX(ALLCLASSDATA,MATCH("SimpleLegendary",CLASSFEATUREHEADERS,0),MATCH(($A152 &amp; "Points"),CLASSNAMEHEADERS,0))),(IF("15"=(INDEX(ALLCLASSDATA,MATCH("SimpleMaster",CLASSFEATUREHEADERS,0),MATCH($A152,CLASSNAMEHEADERS,0))),(INDEX(ALLCLASSDATA,MATCH("SimpleMaster",CLASSFEATUREHEADERS,0),MATCH(($A152 &amp; "Points"),CLASSNAMEHEADERS,0))),(IF("15"=(INDEX(ALLCLASSDATA,MATCH("SimpleExpert",CLASSFEATUREHEADERS,0),MATCH($A152,CLASSNAMEHEADERS,0))),(INDEX(ALLCLASSDATA,MATCH("SimpleExpert",CLASSFEATUREHEADERS,0),MATCH(($A152 &amp; "Points"),CLASSNAMEHEADERS,0))),(IF("15"=(INDEX(ALLCLASSDATA,MATCH("SimpleTrained",CLASSFEATUREHEADERS,0),MATCH($A152,CLASSNAMEHEADERS,0))),(INDEX(ALLCLASSDATA,MATCH("SimpleTrained",CLASSFEATUREHEADERS,0),MATCH(($A152 &amp; "Points"),CLASSNAMEHEADERS,0))),"")))))))))}</f>
        <v>SIMPLEL15</v>
      </c>
      <c r="W151" s="223"/>
      <c r="X151" s="223" t="str">
        <f t="array" ref="X151:X152">{"SIMPLEL17";((IF("17"=(INDEX(ALLCLASSDATA,MATCH("SimpleLegendary",CLASSFEATUREHEADERS,0),MATCH($A152,CLASSNAMEHEADERS,0))),(INDEX(ALLCLASSDATA,MATCH("SimpleLegendary",CLASSFEATUREHEADERS,0),MATCH(($A152 &amp; "Points"),CLASSNAMEHEADERS,0))),(IF("17"=(INDEX(ALLCLASSDATA,MATCH("SimpleMaster",CLASSFEATUREHEADERS,0),MATCH($A152,CLASSNAMEHEADERS,0))),(INDEX(ALLCLASSDATA,MATCH("SimpleMaster",CLASSFEATUREHEADERS,0),MATCH(($A152 &amp; "Points"),CLASSNAMEHEADERS,0))),(IF("17"=(INDEX(ALLCLASSDATA,MATCH("SimpleExpert",CLASSFEATUREHEADERS,0),MATCH($A152,CLASSNAMEHEADERS,0))),(INDEX(ALLCLASSDATA,MATCH("SimpleExpert",CLASSFEATUREHEADERS,0),MATCH(($A152 &amp; "Points"),CLASSNAMEHEADERS,0))),(IF("17"=(INDEX(ALLCLASSDATA,MATCH("SimpleTrained",CLASSFEATUREHEADERS,0),MATCH($A152,CLASSNAMEHEADERS,0))),(INDEX(ALLCLASSDATA,MATCH("SimpleTrained",CLASSFEATUREHEADERS,0),MATCH(($A152 &amp; "Points"),CLASSNAMEHEADERS,0))),"")))))))))}</f>
        <v>SIMPLEL17</v>
      </c>
      <c r="Y151" s="223"/>
      <c r="Z151" s="223" t="str">
        <f t="array" ref="Z151:Z152">{"SIMPLEL19";((IF("19"=(INDEX(ALLCLASSDATA,MATCH("SimpleLegendary",CLASSFEATUREHEADERS,0),MATCH($A152,CLASSNAMEHEADERS,0))),(INDEX(ALLCLASSDATA,MATCH("SimpleLegendary",CLASSFEATUREHEADERS,0),MATCH(($A152 &amp; "Points"),CLASSNAMEHEADERS,0))),(IF("19"=(INDEX(ALLCLASSDATA,MATCH("SimpleMaster",CLASSFEATUREHEADERS,0),MATCH($A152,CLASSNAMEHEADERS,0))),(INDEX(ALLCLASSDATA,MATCH("SimpleMaster",CLASSFEATUREHEADERS,0),MATCH(($A152 &amp; "Points"),CLASSNAMEHEADERS,0))),(IF("19"=(INDEX(ALLCLASSDATA,MATCH("SimpleExpert",CLASSFEATUREHEADERS,0),MATCH($A152,CLASSNAMEHEADERS,0))),(INDEX(ALLCLASSDATA,MATCH("SimpleExpert",CLASSFEATUREHEADERS,0),MATCH(($A152 &amp; "Points"),CLASSNAMEHEADERS,0))),(IF("19"=(INDEX(ALLCLASSDATA,MATCH("SimpleTrained",CLASSFEATUREHEADERS,0),MATCH($A152,CLASSNAMEHEADERS,0))),(INDEX(ALLCLASSDATA,MATCH("SimpleTrained",CLASSFEATUREHEADERS,0),MATCH(($A152 &amp; "Points"),CLASSNAMEHEADERS,0))),"")))))))))}</f>
        <v>SIMPLEL19</v>
      </c>
      <c r="AA151" s="223"/>
      <c r="AB151" s="76" t="str">
        <f t="array" ref="AB151:AB152">{"SIMPLE TOTAL";(IF(COUNTBLANK(G152:AA152)=17,"L",(IF(COUNTBLANK(G152:AA152)=18,"M",(IF(COUNTBLANK(G152:AA152)=19,"E",(IF(COUNTBLANK(G152:AA152)=20,"T",""))))))))}</f>
        <v>SIMPLE TOTAL</v>
      </c>
      <c r="AC151" s="76" t="str">
        <f t="array" ref="AC151:AC152">{"SIMPLE TOTAL";(sum(G152:AA152))}</f>
        <v>SIMPLE TOTAL</v>
      </c>
    </row>
    <row r="152">
      <c r="A152" s="48" t="s">
        <v>95</v>
      </c>
      <c r="B152" s="48"/>
      <c r="C152" s="48" t="s">
        <v>409</v>
      </c>
      <c r="D152" s="48" t="s">
        <v>1634</v>
      </c>
      <c r="E152" s="48" t="s">
        <v>68</v>
      </c>
      <c r="F152" s="5" t="s">
        <v>435</v>
      </c>
      <c r="G152" s="47" t="s">
        <v>603</v>
      </c>
      <c r="H152" s="5">
        <v>10.0</v>
      </c>
      <c r="I152" s="5"/>
      <c r="J152" s="5" t="s">
        <v>603</v>
      </c>
      <c r="K152" s="5"/>
      <c r="L152" s="5">
        <v>50.0</v>
      </c>
      <c r="M152" s="5"/>
      <c r="N152" s="5" t="s">
        <v>603</v>
      </c>
      <c r="O152" s="5"/>
      <c r="P152" s="5" t="s">
        <v>603</v>
      </c>
      <c r="Q152" s="5"/>
      <c r="R152" s="5" t="s">
        <v>603</v>
      </c>
      <c r="S152" s="5"/>
      <c r="T152" s="5">
        <v>110.0</v>
      </c>
      <c r="U152" s="5"/>
      <c r="V152" s="5" t="s">
        <v>603</v>
      </c>
      <c r="W152" s="5"/>
      <c r="X152" s="5" t="s">
        <v>603</v>
      </c>
      <c r="Y152" s="5"/>
      <c r="Z152" s="5" t="s">
        <v>603</v>
      </c>
      <c r="AA152" s="5"/>
      <c r="AB152" s="5" t="s">
        <v>437</v>
      </c>
      <c r="AC152" s="47">
        <v>170.0</v>
      </c>
    </row>
    <row r="153" hidden="1">
      <c r="A153" s="222" t="str">
        <f t="array" ref="A153:A154">{"FormulaRow30";(INDEX(CLASSLIST,A94,1))}</f>
        <v>FormulaRow30</v>
      </c>
      <c r="B153" s="77" t="s">
        <v>236</v>
      </c>
      <c r="C153" s="222" t="str">
        <f t="array" ref="C153:C154">{"CLASSTYPE";((INDEX(ALLCLASSDATA,MATCH("ClassType",CLASSFEATUREHEADERS,0),MATCH($A154,CLASSNAMEHEADERS,0))))}</f>
        <v>CLASSTYPE</v>
      </c>
      <c r="D153" s="222" t="str">
        <f t="array" ref="D153:D154">{"ATTACK";"Attack"}</f>
        <v>ATTACK</v>
      </c>
      <c r="E153" s="222" t="str">
        <f t="array" ref="E153:E154">{"MARTIALLIMITED";"MartialLimited"}</f>
        <v>MARTIALLIMITED</v>
      </c>
      <c r="F153" s="223" t="str">
        <f t="array" ref="F153:F154">{"MARTIALLIMITEDINITIAL";((IF(H154=10,"T",(IF(H154=50,"E","")))))}</f>
        <v>MARTIALLIMITEDINITIAL</v>
      </c>
      <c r="G153" s="223" t="str">
        <f t="array" ref="G153:G154">{"MARTIALLIMITEDINITIALPTS";((IF("00"=(INDEX(ALLCLASSDATA,MATCH("MartialLimitedLegendary",CLASSFEATUREHEADERS,0),MATCH($A154,CLASSNAMEHEADERS,0))),(INDEX(ALLCLASSDATA,MATCH("MartialLimitedLegendary",CLASSFEATUREHEADERS,0),MATCH(($A154 &amp; "Points"),CLASSNAMEHEADERS,0))),(IF("00"=(INDEX(ALLCLASSDATA,MATCH("MartialLimitedMaster",CLASSFEATUREHEADERS,0),MATCH($A154,CLASSNAMEHEADERS,0))),(INDEX(ALLCLASSDATA,MATCH("MartialLimitedMaster",CLASSFEATUREHEADERS,0),MATCH(($A154 &amp; "Points"),CLASSNAMEHEADERS,0))),(IF("00"=(INDEX(ALLCLASSDATA,MATCH("MartialLimitedExpert",CLASSFEATUREHEADERS,0),MATCH($A154,CLASSNAMEHEADERS,0))),(INDEX(ALLCLASSDATA,MATCH("MartialLimitedExpert",CLASSFEATUREHEADERS,0),MATCH(($A154 &amp; "Points"),CLASSNAMEHEADERS,0))),(IF("00"=(INDEX(ALLCLASSDATA,MATCH("MartialLimitedTrained",CLASSFEATUREHEADERS,0),MATCH($A154,CLASSNAMEHEADERS,0))),(INDEX(ALLCLASSDATA,MATCH("MartialLimitedTrained",CLASSFEATUREHEADERS,0),MATCH(($A154 &amp; "Points"),CLASSNAMEHEADERS,0))),"")))))))))}</f>
        <v>MARTIALLIMITEDINITIALPTS</v>
      </c>
      <c r="H153" s="223" t="str">
        <f t="array" ref="H153:H154">{"MARTIALLIMITEDL01";((IF("01"=(INDEX(ALLCLASSDATA,MATCH("MartialLimitedLegendary",CLASSFEATUREHEADERS,0),MATCH($A154,CLASSNAMEHEADERS,0))),(INDEX(ALLCLASSDATA,MATCH("MartialLimitedLegendary",CLASSFEATUREHEADERS,0),MATCH(($A154 &amp; "Points"),CLASSNAMEHEADERS,0))),(IF("01"=(INDEX(ALLCLASSDATA,MATCH("MartialLimitedMaster",CLASSFEATUREHEADERS,0),MATCH($A154,CLASSNAMEHEADERS,0))),(INDEX(ALLCLASSDATA,MATCH("MartialLimitedMaster",CLASSFEATUREHEADERS,0),MATCH(($A154 &amp; "Points"),CLASSNAMEHEADERS,0))),(IF("01"=(INDEX(ALLCLASSDATA,MATCH("MartialLimitedExpert",CLASSFEATUREHEADERS,0),MATCH($A154,CLASSNAMEHEADERS,0))),(INDEX(ALLCLASSDATA,MATCH("MartialLimitedExpert",CLASSFEATUREHEADERS,0),MATCH(($A154 &amp; "Points"),CLASSNAMEHEADERS,0))),(IF("01"=(INDEX(ALLCLASSDATA,MATCH("MartialLimitedTrained",CLASSFEATUREHEADERS,0),MATCH($A154,CLASSNAMEHEADERS,0))),(INDEX(ALLCLASSDATA,MATCH("MartialLimitedTrained",CLASSFEATUREHEADERS,0),MATCH(($A154 &amp; "Points"),CLASSNAMEHEADERS,0))),"")))))))))}</f>
        <v>MARTIALLIMITEDL01</v>
      </c>
      <c r="I153" s="223"/>
      <c r="J153" s="223" t="str">
        <f t="array" ref="J153:J154">{"MARTIALLIMITEDL03";((IF("03"=(INDEX(ALLCLASSDATA,MATCH("MartialLimitedLegendary",CLASSFEATUREHEADERS,0),MATCH($A154,CLASSNAMEHEADERS,0))),(INDEX(ALLCLASSDATA,MATCH("MartialLimitedLegendary",CLASSFEATUREHEADERS,0),MATCH(($A154 &amp; "Points"),CLASSNAMEHEADERS,0))),(IF("03"=(INDEX(ALLCLASSDATA,MATCH("MartialLimitedMaster",CLASSFEATUREHEADERS,0),MATCH($A154,CLASSNAMEHEADERS,0))),(INDEX(ALLCLASSDATA,MATCH("MartialLimitedMaster",CLASSFEATUREHEADERS,0),MATCH(($A154 &amp; "Points"),CLASSNAMEHEADERS,0))),(IF("03"=(INDEX(ALLCLASSDATA,MATCH("MartialLimitedExpert",CLASSFEATUREHEADERS,0),MATCH($A154,CLASSNAMEHEADERS,0))),(INDEX(ALLCLASSDATA,MATCH("MartialLimitedExpert",CLASSFEATUREHEADERS,0),MATCH(($A154 &amp; "Points"),CLASSNAMEHEADERS,0))),(IF("03"=(INDEX(ALLCLASSDATA,MATCH("MartialLimitedTrained",CLASSFEATUREHEADERS,0),MATCH($A154,CLASSNAMEHEADERS,0))),(INDEX(ALLCLASSDATA,MATCH("MartialLimitedTrained",CLASSFEATUREHEADERS,0),MATCH(($A154 &amp; "Points"),CLASSNAMEHEADERS,0))),"")))))))))}</f>
        <v>MARTIALLIMITEDL03</v>
      </c>
      <c r="K153" s="223"/>
      <c r="L153" s="223" t="str">
        <f t="array" ref="L153:L154">{"MARTIALLIMITEDL05";((IF("05"=(INDEX(ALLCLASSDATA,MATCH("MartialLimitedLegendary",CLASSFEATUREHEADERS,0),MATCH($A154,CLASSNAMEHEADERS,0))),(INDEX(ALLCLASSDATA,MATCH("MartialLimitedLegendary",CLASSFEATUREHEADERS,0),MATCH(($A154 &amp; "Points"),CLASSNAMEHEADERS,0))),(IF("05"=(INDEX(ALLCLASSDATA,MATCH("MartialLimitedMaster",CLASSFEATUREHEADERS,0),MATCH($A154,CLASSNAMEHEADERS,0))),(INDEX(ALLCLASSDATA,MATCH("MartialLimitedMaster",CLASSFEATUREHEADERS,0),MATCH(($A154 &amp; "Points"),CLASSNAMEHEADERS,0))),(IF("05"=(INDEX(ALLCLASSDATA,MATCH("MartialLimitedExpert",CLASSFEATUREHEADERS,0),MATCH($A154,CLASSNAMEHEADERS,0))),(INDEX(ALLCLASSDATA,MATCH("MartialLimitedExpert",CLASSFEATUREHEADERS,0),MATCH(($A154 &amp; "Points"),CLASSNAMEHEADERS,0))),(IF("05"=(INDEX(ALLCLASSDATA,MATCH("MartialLimitedTrained",CLASSFEATUREHEADERS,0),MATCH($A154,CLASSNAMEHEADERS,0))),(INDEX(ALLCLASSDATA,MATCH("MartialLimitedTrained",CLASSFEATUREHEADERS,0),MATCH(($A154 &amp; "Points"),CLASSNAMEHEADERS,0))),"")))))))))}</f>
        <v>MARTIALLIMITEDL05</v>
      </c>
      <c r="M153" s="223"/>
      <c r="N153" s="223" t="str">
        <f t="array" ref="N153:N154">{"MARTIALLIMITEDL07";((IF("07"=(INDEX(ALLCLASSDATA,MATCH("MartialLimitedLegendary",CLASSFEATUREHEADERS,0),MATCH($A154,CLASSNAMEHEADERS,0))),(INDEX(ALLCLASSDATA,MATCH("MartialLimitedLegendary",CLASSFEATUREHEADERS,0),MATCH(($A154 &amp; "Points"),CLASSNAMEHEADERS,0))),(IF("07"=(INDEX(ALLCLASSDATA,MATCH("MartialLimitedMaster",CLASSFEATUREHEADERS,0),MATCH($A154,CLASSNAMEHEADERS,0))),(INDEX(ALLCLASSDATA,MATCH("MartialLimitedMaster",CLASSFEATUREHEADERS,0),MATCH(($A154 &amp; "Points"),CLASSNAMEHEADERS,0))),(IF("07"=(INDEX(ALLCLASSDATA,MATCH("MartialLimitedExpert",CLASSFEATUREHEADERS,0),MATCH($A154,CLASSNAMEHEADERS,0))),(INDEX(ALLCLASSDATA,MATCH("MartialLimitedExpert",CLASSFEATUREHEADERS,0),MATCH(($A154 &amp; "Points"),CLASSNAMEHEADERS,0))),(IF("07"=(INDEX(ALLCLASSDATA,MATCH("MartialLimitedTrained",CLASSFEATUREHEADERS,0),MATCH($A154,CLASSNAMEHEADERS,0))),(INDEX(ALLCLASSDATA,MATCH("MartialLimitedTrained",CLASSFEATUREHEADERS,0),MATCH(($A154 &amp; "Points"),CLASSNAMEHEADERS,0))),"")))))))))}</f>
        <v>MARTIALLIMITEDL07</v>
      </c>
      <c r="O153" s="223"/>
      <c r="P153" s="223" t="str">
        <f t="array" ref="P153:P154">{"MARTIALLIMITEDL09";((IF("09"=(INDEX(ALLCLASSDATA,MATCH("MartialLimitedLegendary",CLASSFEATUREHEADERS,0),MATCH($A154,CLASSNAMEHEADERS,0))),(INDEX(ALLCLASSDATA,MATCH("MartialLimitedLegendary",CLASSFEATUREHEADERS,0),MATCH(($A154 &amp; "Points"),CLASSNAMEHEADERS,0))),(IF("09"=(INDEX(ALLCLASSDATA,MATCH("MartialLimitedMaster",CLASSFEATUREHEADERS,0),MATCH($A154,CLASSNAMEHEADERS,0))),(INDEX(ALLCLASSDATA,MATCH("MartialLimitedMaster",CLASSFEATUREHEADERS,0),MATCH(($A154 &amp; "Points"),CLASSNAMEHEADERS,0))),(IF("09"=(INDEX(ALLCLASSDATA,MATCH("MartialLimitedExpert",CLASSFEATUREHEADERS,0),MATCH($A154,CLASSNAMEHEADERS,0))),(INDEX(ALLCLASSDATA,MATCH("MartialLimitedExpert",CLASSFEATUREHEADERS,0),MATCH(($A154 &amp; "Points"),CLASSNAMEHEADERS,0))),(IF("09"=(INDEX(ALLCLASSDATA,MATCH("MartialLimitedTrained",CLASSFEATUREHEADERS,0),MATCH($A154,CLASSNAMEHEADERS,0))),(INDEX(ALLCLASSDATA,MATCH("MartialLimitedTrained",CLASSFEATUREHEADERS,0),MATCH(($A154 &amp; "Points"),CLASSNAMEHEADERS,0))),"")))))))))}</f>
        <v>MARTIALLIMITEDL09</v>
      </c>
      <c r="Q153" s="223"/>
      <c r="R153" s="223" t="str">
        <f t="array" ref="R153:R154">{"MARTIALLIMITEDL11";((IF("11"=(INDEX(ALLCLASSDATA,MATCH("MartialLimitedLegendary",CLASSFEATUREHEADERS,0),MATCH($A154,CLASSNAMEHEADERS,0))),(INDEX(ALLCLASSDATA,MATCH("MartialLimitedLegendary",CLASSFEATUREHEADERS,0),MATCH(($A154 &amp; "Points"),CLASSNAMEHEADERS,0))),(IF("11"=(INDEX(ALLCLASSDATA,MATCH("MartialLimitedMaster",CLASSFEATUREHEADERS,0),MATCH($A154,CLASSNAMEHEADERS,0))),(INDEX(ALLCLASSDATA,MATCH("MartialLimitedMaster",CLASSFEATUREHEADERS,0),MATCH(($A154 &amp; "Points"),CLASSNAMEHEADERS,0))),(IF("11"=(INDEX(ALLCLASSDATA,MATCH("MartialLimitedExpert",CLASSFEATUREHEADERS,0),MATCH($A154,CLASSNAMEHEADERS,0))),(INDEX(ALLCLASSDATA,MATCH("MartialLimitedExpert",CLASSFEATUREHEADERS,0),MATCH(($A154 &amp; "Points"),CLASSNAMEHEADERS,0))),(IF("11"=(INDEX(ALLCLASSDATA,MATCH("MartialLimitedTrained",CLASSFEATUREHEADERS,0),MATCH($A154,CLASSNAMEHEADERS,0))),(INDEX(ALLCLASSDATA,MATCH("MartialLimitedTrained",CLASSFEATUREHEADERS,0),MATCH(($A154 &amp; "Points"),CLASSNAMEHEADERS,0))),"")))))))))}</f>
        <v>MARTIALLIMITEDL11</v>
      </c>
      <c r="S153" s="223"/>
      <c r="T153" s="223" t="str">
        <f t="array" ref="T153:T154">{"MARTIALLIMITEDL13";((IF("13"=(INDEX(ALLCLASSDATA,MATCH("MartialLimitedLegendary",CLASSFEATUREHEADERS,0),MATCH($A154,CLASSNAMEHEADERS,0))),(INDEX(ALLCLASSDATA,MATCH("MartialLimitedLegendary",CLASSFEATUREHEADERS,0),MATCH(($A154 &amp; "Points"),CLASSNAMEHEADERS,0))),(IF("13"=(INDEX(ALLCLASSDATA,MATCH("MartialLimitedMaster",CLASSFEATUREHEADERS,0),MATCH($A154,CLASSNAMEHEADERS,0))),(INDEX(ALLCLASSDATA,MATCH("MartialLimitedMaster",CLASSFEATUREHEADERS,0),MATCH(($A154 &amp; "Points"),CLASSNAMEHEADERS,0))),(IF("13"=(INDEX(ALLCLASSDATA,MATCH("MartialLimitedExpert",CLASSFEATUREHEADERS,0),MATCH($A154,CLASSNAMEHEADERS,0))),(INDEX(ALLCLASSDATA,MATCH("MartialLimitedExpert",CLASSFEATUREHEADERS,0),MATCH(($A154 &amp; "Points"),CLASSNAMEHEADERS,0))),(IF("13"=(INDEX(ALLCLASSDATA,MATCH("MartialLimitedTrained",CLASSFEATUREHEADERS,0),MATCH($A154,CLASSNAMEHEADERS,0))),(INDEX(ALLCLASSDATA,MATCH("MartialLimitedTrained",CLASSFEATUREHEADERS,0),MATCH(($A154 &amp; "Points"),CLASSNAMEHEADERS,0))),"")))))))))}</f>
        <v>MARTIALLIMITEDL13</v>
      </c>
      <c r="U153" s="223"/>
      <c r="V153" s="223" t="str">
        <f t="array" ref="V153:V154">{"MARTIALLIMITEDL15";((IF("15"=(INDEX(ALLCLASSDATA,MATCH("MartialLimitedLegendary",CLASSFEATUREHEADERS,0),MATCH($A154,CLASSNAMEHEADERS,0))),(INDEX(ALLCLASSDATA,MATCH("MartialLimitedLegendary",CLASSFEATUREHEADERS,0),MATCH(($A154 &amp; "Points"),CLASSNAMEHEADERS,0))),(IF("15"=(INDEX(ALLCLASSDATA,MATCH("MartialLimitedMaster",CLASSFEATUREHEADERS,0),MATCH($A154,CLASSNAMEHEADERS,0))),(INDEX(ALLCLASSDATA,MATCH("MartialLimitedMaster",CLASSFEATUREHEADERS,0),MATCH(($A154 &amp; "Points"),CLASSNAMEHEADERS,0))),(IF("15"=(INDEX(ALLCLASSDATA,MATCH("MartialLimitedExpert",CLASSFEATUREHEADERS,0),MATCH($A154,CLASSNAMEHEADERS,0))),(INDEX(ALLCLASSDATA,MATCH("MartialLimitedExpert",CLASSFEATUREHEADERS,0),MATCH(($A154 &amp; "Points"),CLASSNAMEHEADERS,0))),(IF("15"=(INDEX(ALLCLASSDATA,MATCH("MartialLimitedTrained",CLASSFEATUREHEADERS,0),MATCH($A154,CLASSNAMEHEADERS,0))),(INDEX(ALLCLASSDATA,MATCH("MartialLimitedTrained",CLASSFEATUREHEADERS,0),MATCH(($A154 &amp; "Points"),CLASSNAMEHEADERS,0))),"")))))))))}</f>
        <v>MARTIALLIMITEDL15</v>
      </c>
      <c r="W153" s="223"/>
      <c r="X153" s="223" t="str">
        <f t="array" ref="X153:X154">{"MARTIALLIMITEDL17";((IF("17"=(INDEX(ALLCLASSDATA,MATCH("MartialLimitedLegendary",CLASSFEATUREHEADERS,0),MATCH($A154,CLASSNAMEHEADERS,0))),(INDEX(ALLCLASSDATA,MATCH("MartialLimitedLegendary",CLASSFEATUREHEADERS,0),MATCH(($A154 &amp; "Points"),CLASSNAMEHEADERS,0))),(IF("17"=(INDEX(ALLCLASSDATA,MATCH("MartialLimitedMaster",CLASSFEATUREHEADERS,0),MATCH($A154,CLASSNAMEHEADERS,0))),(INDEX(ALLCLASSDATA,MATCH("MartialLimitedMaster",CLASSFEATUREHEADERS,0),MATCH(($A154 &amp; "Points"),CLASSNAMEHEADERS,0))),(IF("17"=(INDEX(ALLCLASSDATA,MATCH("MartialLimitedExpert",CLASSFEATUREHEADERS,0),MATCH($A154,CLASSNAMEHEADERS,0))),(INDEX(ALLCLASSDATA,MATCH("MartialLimitedExpert",CLASSFEATUREHEADERS,0),MATCH(($A154 &amp; "Points"),CLASSNAMEHEADERS,0))),(IF("17"=(INDEX(ALLCLASSDATA,MATCH("MartialLimitedTrained",CLASSFEATUREHEADERS,0),MATCH($A154,CLASSNAMEHEADERS,0))),(INDEX(ALLCLASSDATA,MATCH("MartialLimitedTrained",CLASSFEATUREHEADERS,0),MATCH(($A154 &amp; "Points"),CLASSNAMEHEADERS,0))),"")))))))))}</f>
        <v>MARTIALLIMITEDL17</v>
      </c>
      <c r="Y153" s="223"/>
      <c r="Z153" s="223" t="str">
        <f t="array" ref="Z153:Z154">{"MARTIALLIMITEDL19";((IF("19"=(INDEX(ALLCLASSDATA,MATCH("MartialLimitedLegendary",CLASSFEATUREHEADERS,0),MATCH($A154,CLASSNAMEHEADERS,0))),(INDEX(ALLCLASSDATA,MATCH("MartialLimitedLegendary",CLASSFEATUREHEADERS,0),MATCH(($A154 &amp; "Points"),CLASSNAMEHEADERS,0))),(IF("19"=(INDEX(ALLCLASSDATA,MATCH("MartialLimitedMaster",CLASSFEATUREHEADERS,0),MATCH($A154,CLASSNAMEHEADERS,0))),(INDEX(ALLCLASSDATA,MATCH("MartialLimitedMaster",CLASSFEATUREHEADERS,0),MATCH(($A154 &amp; "Points"),CLASSNAMEHEADERS,0))),(IF("19"=(INDEX(ALLCLASSDATA,MATCH("MartialLimitedExpert",CLASSFEATUREHEADERS,0),MATCH($A154,CLASSNAMEHEADERS,0))),(INDEX(ALLCLASSDATA,MATCH("MartialLimitedExpert",CLASSFEATUREHEADERS,0),MATCH(($A154 &amp; "Points"),CLASSNAMEHEADERS,0))),(IF("19"=(INDEX(ALLCLASSDATA,MATCH("MartialLimitedTrained",CLASSFEATUREHEADERS,0),MATCH($A154,CLASSNAMEHEADERS,0))),(INDEX(ALLCLASSDATA,MATCH("MartialLimitedTrained",CLASSFEATUREHEADERS,0),MATCH(($A154 &amp; "Points"),CLASSNAMEHEADERS,0))),"")))))))))}</f>
        <v>MARTIALLIMITEDL19</v>
      </c>
      <c r="AA153" s="223"/>
      <c r="AB153" s="76" t="str">
        <f t="array" ref="AB153:AB154">{"MARTIALLIMITED TOTAL";(IF(COUNTBLANK(G154:AA154)=17,"L",(IF(COUNTBLANK(G154:AA154)=18,"M",(IF(COUNTBLANK(G154:AA154)=19,"E",(IF(COUNTBLANK(G154:AA154)=20,"T",""))))))))}</f>
        <v>MARTIALLIMITED TOTAL</v>
      </c>
      <c r="AC153" s="76" t="str">
        <f t="array" ref="AC153:AC154">{"MARTIALLIMITED TOTAL";(sum(G154:AA154))}</f>
        <v>MARTIALLIMITED TOTAL</v>
      </c>
    </row>
    <row r="154">
      <c r="A154" s="48" t="s">
        <v>95</v>
      </c>
      <c r="B154" s="48"/>
      <c r="C154" s="48" t="s">
        <v>409</v>
      </c>
      <c r="D154" s="48" t="s">
        <v>1634</v>
      </c>
      <c r="E154" s="48" t="s">
        <v>600</v>
      </c>
      <c r="F154" s="5" t="s">
        <v>603</v>
      </c>
      <c r="G154" s="47" t="s">
        <v>603</v>
      </c>
      <c r="H154" s="5" t="s">
        <v>603</v>
      </c>
      <c r="I154" s="5"/>
      <c r="J154" s="5" t="s">
        <v>603</v>
      </c>
      <c r="K154" s="5"/>
      <c r="L154" s="5" t="s">
        <v>603</v>
      </c>
      <c r="M154" s="5"/>
      <c r="N154" s="5" t="s">
        <v>603</v>
      </c>
      <c r="O154" s="5"/>
      <c r="P154" s="5" t="s">
        <v>603</v>
      </c>
      <c r="Q154" s="5"/>
      <c r="R154" s="5" t="s">
        <v>603</v>
      </c>
      <c r="S154" s="5"/>
      <c r="T154" s="5" t="s">
        <v>603</v>
      </c>
      <c r="U154" s="5"/>
      <c r="V154" s="5" t="s">
        <v>603</v>
      </c>
      <c r="W154" s="5"/>
      <c r="X154" s="5" t="s">
        <v>603</v>
      </c>
      <c r="Y154" s="5"/>
      <c r="Z154" s="5" t="s">
        <v>603</v>
      </c>
      <c r="AA154" s="5"/>
      <c r="AB154" s="5" t="s">
        <v>603</v>
      </c>
      <c r="AC154" s="47">
        <v>0.0</v>
      </c>
    </row>
    <row r="155" hidden="1">
      <c r="A155" s="222" t="str">
        <f t="array" ref="A155:A156">{"FormulaRow31";(INDEX(CLASSLIST,A94,1))}</f>
        <v>FormulaRow31</v>
      </c>
      <c r="B155" s="77" t="s">
        <v>236</v>
      </c>
      <c r="C155" s="222" t="str">
        <f t="array" ref="C155:C156">{"CLASSTYPE";((INDEX(ALLCLASSDATA,MATCH("ClassType",CLASSFEATUREHEADERS,0),MATCH($A156,CLASSNAMEHEADERS,0))))}</f>
        <v>CLASSTYPE</v>
      </c>
      <c r="D155" s="222" t="str">
        <f t="array" ref="D155:D156">{"ATTACK";"Attack"}</f>
        <v>ATTACK</v>
      </c>
      <c r="E155" s="222" t="str">
        <f t="array" ref="E155:E156">{"MARTIAL";"Martial"}</f>
        <v>MARTIAL</v>
      </c>
      <c r="F155" s="223" t="str">
        <f t="array" ref="F155:F156">{"MARTIALINITIAL";((IF(H156=10,"T",(IF(H156=50,"E","")))))}</f>
        <v>MARTIALINITIAL</v>
      </c>
      <c r="G155" s="223" t="str">
        <f t="array" ref="G155:G156">{"MARTIALINITIALPTS";((IF("00"=(INDEX(ALLCLASSDATA,MATCH("MartialLegendary",CLASSFEATUREHEADERS,0),MATCH($A156,CLASSNAMEHEADERS,0))),(INDEX(ALLCLASSDATA,MATCH("MartialLegendary",CLASSFEATUREHEADERS,0),MATCH(($A156 &amp; "Points"),CLASSNAMEHEADERS,0))),(IF("00"=(INDEX(ALLCLASSDATA,MATCH("MartialMaster",CLASSFEATUREHEADERS,0),MATCH($A156,CLASSNAMEHEADERS,0))),(INDEX(ALLCLASSDATA,MATCH("MartialMaster",CLASSFEATUREHEADERS,0),MATCH(($A156 &amp; "Points"),CLASSNAMEHEADERS,0))),(IF("00"=(INDEX(ALLCLASSDATA,MATCH("MartialExpert",CLASSFEATUREHEADERS,0),MATCH($A156,CLASSNAMEHEADERS,0))),(INDEX(ALLCLASSDATA,MATCH("MartialExpert",CLASSFEATUREHEADERS,0),MATCH(($A156 &amp; "Points"),CLASSNAMEHEADERS,0))),(IF("00"=(INDEX(ALLCLASSDATA,MATCH("MartialTrained",CLASSFEATUREHEADERS,0),MATCH($A156,CLASSNAMEHEADERS,0))),(INDEX(ALLCLASSDATA,MATCH("MartialTrained",CLASSFEATUREHEADERS,0),MATCH(($A156 &amp; "Points"),CLASSNAMEHEADERS,0))),"")))))))))}</f>
        <v>MARTIALINITIALPTS</v>
      </c>
      <c r="H155" s="223" t="str">
        <f t="array" ref="H155:H156">{"MARTIALL01";((IF("01"=(INDEX(ALLCLASSDATA,MATCH("MartialLegendary",CLASSFEATUREHEADERS,0),MATCH($A156,CLASSNAMEHEADERS,0))),(INDEX(ALLCLASSDATA,MATCH("MartialLegendary",CLASSFEATUREHEADERS,0),MATCH(($A156 &amp; "Points"),CLASSNAMEHEADERS,0))),(IF("01"=(INDEX(ALLCLASSDATA,MATCH("MartialMaster",CLASSFEATUREHEADERS,0),MATCH($A156,CLASSNAMEHEADERS,0))),(INDEX(ALLCLASSDATA,MATCH("MartialMaster",CLASSFEATUREHEADERS,0),MATCH(($A156 &amp; "Points"),CLASSNAMEHEADERS,0))),(IF("01"=(INDEX(ALLCLASSDATA,MATCH("MartialExpert",CLASSFEATUREHEADERS,0),MATCH($A156,CLASSNAMEHEADERS,0))),(INDEX(ALLCLASSDATA,MATCH("MartialExpert",CLASSFEATUREHEADERS,0),MATCH(($A156 &amp; "Points"),CLASSNAMEHEADERS,0))),(IF("01"=(INDEX(ALLCLASSDATA,MATCH("MartialTrained",CLASSFEATUREHEADERS,0),MATCH($A156,CLASSNAMEHEADERS,0))),(INDEX(ALLCLASSDATA,MATCH("MartialTrained",CLASSFEATUREHEADERS,0),MATCH(($A156 &amp; "Points"),CLASSNAMEHEADERS,0))),"")))))))))}</f>
        <v>MARTIALL01</v>
      </c>
      <c r="I155" s="223"/>
      <c r="J155" s="223" t="str">
        <f t="array" ref="J155:J156">{"MARTIALL03";((IF("03"=(INDEX(ALLCLASSDATA,MATCH("MartialLegendary",CLASSFEATUREHEADERS,0),MATCH($A156,CLASSNAMEHEADERS,0))),(INDEX(ALLCLASSDATA,MATCH("MartialLegendary",CLASSFEATUREHEADERS,0),MATCH(($A156 &amp; "Points"),CLASSNAMEHEADERS,0))),(IF("03"=(INDEX(ALLCLASSDATA,MATCH("MartialMaster",CLASSFEATUREHEADERS,0),MATCH($A156,CLASSNAMEHEADERS,0))),(INDEX(ALLCLASSDATA,MATCH("MartialMaster",CLASSFEATUREHEADERS,0),MATCH(($A156 &amp; "Points"),CLASSNAMEHEADERS,0))),(IF("03"=(INDEX(ALLCLASSDATA,MATCH("MartialExpert",CLASSFEATUREHEADERS,0),MATCH($A156,CLASSNAMEHEADERS,0))),(INDEX(ALLCLASSDATA,MATCH("MartialExpert",CLASSFEATUREHEADERS,0),MATCH(($A156 &amp; "Points"),CLASSNAMEHEADERS,0))),(IF("03"=(INDEX(ALLCLASSDATA,MATCH("MartialTrained",CLASSFEATUREHEADERS,0),MATCH($A156,CLASSNAMEHEADERS,0))),(INDEX(ALLCLASSDATA,MATCH("MartialTrained",CLASSFEATUREHEADERS,0),MATCH(($A156 &amp; "Points"),CLASSNAMEHEADERS,0))),"")))))))))}</f>
        <v>MARTIALL03</v>
      </c>
      <c r="K155" s="223"/>
      <c r="L155" s="223" t="str">
        <f t="array" ref="L155:L156">{"MARTIALL05";((IF("05"=(INDEX(ALLCLASSDATA,MATCH("MartialLegendary",CLASSFEATUREHEADERS,0),MATCH($A156,CLASSNAMEHEADERS,0))),(INDEX(ALLCLASSDATA,MATCH("MartialLegendary",CLASSFEATUREHEADERS,0),MATCH(($A156 &amp; "Points"),CLASSNAMEHEADERS,0))),(IF("05"=(INDEX(ALLCLASSDATA,MATCH("MartialMaster",CLASSFEATUREHEADERS,0),MATCH($A156,CLASSNAMEHEADERS,0))),(INDEX(ALLCLASSDATA,MATCH("MartialMaster",CLASSFEATUREHEADERS,0),MATCH(($A156 &amp; "Points"),CLASSNAMEHEADERS,0))),(IF("05"=(INDEX(ALLCLASSDATA,MATCH("MartialExpert",CLASSFEATUREHEADERS,0),MATCH($A156,CLASSNAMEHEADERS,0))),(INDEX(ALLCLASSDATA,MATCH("MartialExpert",CLASSFEATUREHEADERS,0),MATCH(($A156 &amp; "Points"),CLASSNAMEHEADERS,0))),(IF("05"=(INDEX(ALLCLASSDATA,MATCH("MartialTrained",CLASSFEATUREHEADERS,0),MATCH($A156,CLASSNAMEHEADERS,0))),(INDEX(ALLCLASSDATA,MATCH("MartialTrained",CLASSFEATUREHEADERS,0),MATCH(($A156 &amp; "Points"),CLASSNAMEHEADERS,0))),"")))))))))}</f>
        <v>MARTIALL05</v>
      </c>
      <c r="M155" s="223"/>
      <c r="N155" s="223" t="str">
        <f t="array" ref="N155:N156">{"MARTIALL07";((IF("07"=(INDEX(ALLCLASSDATA,MATCH("MartialLegendary",CLASSFEATUREHEADERS,0),MATCH($A156,CLASSNAMEHEADERS,0))),(INDEX(ALLCLASSDATA,MATCH("MartialLegendary",CLASSFEATUREHEADERS,0),MATCH(($A156 &amp; "Points"),CLASSNAMEHEADERS,0))),(IF("07"=(INDEX(ALLCLASSDATA,MATCH("MartialMaster",CLASSFEATUREHEADERS,0),MATCH($A156,CLASSNAMEHEADERS,0))),(INDEX(ALLCLASSDATA,MATCH("MartialMaster",CLASSFEATUREHEADERS,0),MATCH(($A156 &amp; "Points"),CLASSNAMEHEADERS,0))),(IF("07"=(INDEX(ALLCLASSDATA,MATCH("MartialExpert",CLASSFEATUREHEADERS,0),MATCH($A156,CLASSNAMEHEADERS,0))),(INDEX(ALLCLASSDATA,MATCH("MartialExpert",CLASSFEATUREHEADERS,0),MATCH(($A156 &amp; "Points"),CLASSNAMEHEADERS,0))),(IF("07"=(INDEX(ALLCLASSDATA,MATCH("MartialTrained",CLASSFEATUREHEADERS,0),MATCH($A156,CLASSNAMEHEADERS,0))),(INDEX(ALLCLASSDATA,MATCH("MartialTrained",CLASSFEATUREHEADERS,0),MATCH(($A156 &amp; "Points"),CLASSNAMEHEADERS,0))),"")))))))))}</f>
        <v>MARTIALL07</v>
      </c>
      <c r="O155" s="223"/>
      <c r="P155" s="223" t="str">
        <f t="array" ref="P155:P156">{"MARTIALL09";((IF("09"=(INDEX(ALLCLASSDATA,MATCH("MartialLegendary",CLASSFEATUREHEADERS,0),MATCH($A156,CLASSNAMEHEADERS,0))),(INDEX(ALLCLASSDATA,MATCH("MartialLegendary",CLASSFEATUREHEADERS,0),MATCH(($A156 &amp; "Points"),CLASSNAMEHEADERS,0))),(IF("09"=(INDEX(ALLCLASSDATA,MATCH("MartialMaster",CLASSFEATUREHEADERS,0),MATCH($A156,CLASSNAMEHEADERS,0))),(INDEX(ALLCLASSDATA,MATCH("MartialMaster",CLASSFEATUREHEADERS,0),MATCH(($A156 &amp; "Points"),CLASSNAMEHEADERS,0))),(IF("09"=(INDEX(ALLCLASSDATA,MATCH("MartialExpert",CLASSFEATUREHEADERS,0),MATCH($A156,CLASSNAMEHEADERS,0))),(INDEX(ALLCLASSDATA,MATCH("MartialExpert",CLASSFEATUREHEADERS,0),MATCH(($A156 &amp; "Points"),CLASSNAMEHEADERS,0))),(IF("09"=(INDEX(ALLCLASSDATA,MATCH("MartialTrained",CLASSFEATUREHEADERS,0),MATCH($A156,CLASSNAMEHEADERS,0))),(INDEX(ALLCLASSDATA,MATCH("MartialTrained",CLASSFEATUREHEADERS,0),MATCH(($A156 &amp; "Points"),CLASSNAMEHEADERS,0))),"")))))))))}</f>
        <v>MARTIALL09</v>
      </c>
      <c r="Q155" s="223"/>
      <c r="R155" s="223" t="str">
        <f t="array" ref="R155:R156">{"MARTIALL11";((IF("11"=(INDEX(ALLCLASSDATA,MATCH("MartialLegendary",CLASSFEATUREHEADERS,0),MATCH($A156,CLASSNAMEHEADERS,0))),(INDEX(ALLCLASSDATA,MATCH("MartialLegendary",CLASSFEATUREHEADERS,0),MATCH(($A156 &amp; "Points"),CLASSNAMEHEADERS,0))),(IF("11"=(INDEX(ALLCLASSDATA,MATCH("MartialMaster",CLASSFEATUREHEADERS,0),MATCH($A156,CLASSNAMEHEADERS,0))),(INDEX(ALLCLASSDATA,MATCH("MartialMaster",CLASSFEATUREHEADERS,0),MATCH(($A156 &amp; "Points"),CLASSNAMEHEADERS,0))),(IF("11"=(INDEX(ALLCLASSDATA,MATCH("MartialExpert",CLASSFEATUREHEADERS,0),MATCH($A156,CLASSNAMEHEADERS,0))),(INDEX(ALLCLASSDATA,MATCH("MartialExpert",CLASSFEATUREHEADERS,0),MATCH(($A156 &amp; "Points"),CLASSNAMEHEADERS,0))),(IF("11"=(INDEX(ALLCLASSDATA,MATCH("MartialTrained",CLASSFEATUREHEADERS,0),MATCH($A156,CLASSNAMEHEADERS,0))),(INDEX(ALLCLASSDATA,MATCH("MartialTrained",CLASSFEATUREHEADERS,0),MATCH(($A156 &amp; "Points"),CLASSNAMEHEADERS,0))),"")))))))))}</f>
        <v>MARTIALL11</v>
      </c>
      <c r="S155" s="223"/>
      <c r="T155" s="223" t="str">
        <f t="array" ref="T155:T156">{"MARTIALL13";((IF("13"=(INDEX(ALLCLASSDATA,MATCH("MartialLegendary",CLASSFEATUREHEADERS,0),MATCH($A156,CLASSNAMEHEADERS,0))),(INDEX(ALLCLASSDATA,MATCH("MartialLegendary",CLASSFEATUREHEADERS,0),MATCH(($A156 &amp; "Points"),CLASSNAMEHEADERS,0))),(IF("13"=(INDEX(ALLCLASSDATA,MATCH("MartialMaster",CLASSFEATUREHEADERS,0),MATCH($A156,CLASSNAMEHEADERS,0))),(INDEX(ALLCLASSDATA,MATCH("MartialMaster",CLASSFEATUREHEADERS,0),MATCH(($A156 &amp; "Points"),CLASSNAMEHEADERS,0))),(IF("13"=(INDEX(ALLCLASSDATA,MATCH("MartialExpert",CLASSFEATUREHEADERS,0),MATCH($A156,CLASSNAMEHEADERS,0))),(INDEX(ALLCLASSDATA,MATCH("MartialExpert",CLASSFEATUREHEADERS,0),MATCH(($A156 &amp; "Points"),CLASSNAMEHEADERS,0))),(IF("13"=(INDEX(ALLCLASSDATA,MATCH("MartialTrained",CLASSFEATUREHEADERS,0),MATCH($A156,CLASSNAMEHEADERS,0))),(INDEX(ALLCLASSDATA,MATCH("MartialTrained",CLASSFEATUREHEADERS,0),MATCH(($A156 &amp; "Points"),CLASSNAMEHEADERS,0))),"")))))))))}</f>
        <v>MARTIALL13</v>
      </c>
      <c r="U155" s="223"/>
      <c r="V155" s="223" t="str">
        <f t="array" ref="V155:V156">{"MARTIALL15";((IF("15"=(INDEX(ALLCLASSDATA,MATCH("MartialLegendary",CLASSFEATUREHEADERS,0),MATCH($A156,CLASSNAMEHEADERS,0))),(INDEX(ALLCLASSDATA,MATCH("MartialLegendary",CLASSFEATUREHEADERS,0),MATCH(($A156 &amp; "Points"),CLASSNAMEHEADERS,0))),(IF("15"=(INDEX(ALLCLASSDATA,MATCH("MartialMaster",CLASSFEATUREHEADERS,0),MATCH($A156,CLASSNAMEHEADERS,0))),(INDEX(ALLCLASSDATA,MATCH("MartialMaster",CLASSFEATUREHEADERS,0),MATCH(($A156 &amp; "Points"),CLASSNAMEHEADERS,0))),(IF("15"=(INDEX(ALLCLASSDATA,MATCH("MartialExpert",CLASSFEATUREHEADERS,0),MATCH($A156,CLASSNAMEHEADERS,0))),(INDEX(ALLCLASSDATA,MATCH("MartialExpert",CLASSFEATUREHEADERS,0),MATCH(($A156 &amp; "Points"),CLASSNAMEHEADERS,0))),(IF("15"=(INDEX(ALLCLASSDATA,MATCH("MartialTrained",CLASSFEATUREHEADERS,0),MATCH($A156,CLASSNAMEHEADERS,0))),(INDEX(ALLCLASSDATA,MATCH("MartialTrained",CLASSFEATUREHEADERS,0),MATCH(($A156 &amp; "Points"),CLASSNAMEHEADERS,0))),"")))))))))}</f>
        <v>MARTIALL15</v>
      </c>
      <c r="W155" s="223"/>
      <c r="X155" s="223" t="str">
        <f t="array" ref="X155:X156">{"MARTIALL17";((IF("17"=(INDEX(ALLCLASSDATA,MATCH("MartialLegendary",CLASSFEATUREHEADERS,0),MATCH($A156,CLASSNAMEHEADERS,0))),(INDEX(ALLCLASSDATA,MATCH("MartialLegendary",CLASSFEATUREHEADERS,0),MATCH(($A156 &amp; "Points"),CLASSNAMEHEADERS,0))),(IF("17"=(INDEX(ALLCLASSDATA,MATCH("MartialMaster",CLASSFEATUREHEADERS,0),MATCH($A156,CLASSNAMEHEADERS,0))),(INDEX(ALLCLASSDATA,MATCH("MartialMaster",CLASSFEATUREHEADERS,0),MATCH(($A156 &amp; "Points"),CLASSNAMEHEADERS,0))),(IF("17"=(INDEX(ALLCLASSDATA,MATCH("MartialExpert",CLASSFEATUREHEADERS,0),MATCH($A156,CLASSNAMEHEADERS,0))),(INDEX(ALLCLASSDATA,MATCH("MartialExpert",CLASSFEATUREHEADERS,0),MATCH(($A156 &amp; "Points"),CLASSNAMEHEADERS,0))),(IF("17"=(INDEX(ALLCLASSDATA,MATCH("MartialTrained",CLASSFEATUREHEADERS,0),MATCH($A156,CLASSNAMEHEADERS,0))),(INDEX(ALLCLASSDATA,MATCH("MartialTrained",CLASSFEATUREHEADERS,0),MATCH(($A156 &amp; "Points"),CLASSNAMEHEADERS,0))),"")))))))))}</f>
        <v>MARTIALL17</v>
      </c>
      <c r="Y155" s="223"/>
      <c r="Z155" s="223" t="str">
        <f t="array" ref="Z155:Z156">{"MARTIALL19";((IF("19"=(INDEX(ALLCLASSDATA,MATCH("MartialLegendary",CLASSFEATUREHEADERS,0),MATCH($A156,CLASSNAMEHEADERS,0))),(INDEX(ALLCLASSDATA,MATCH("MartialLegendary",CLASSFEATUREHEADERS,0),MATCH(($A156 &amp; "Points"),CLASSNAMEHEADERS,0))),(IF("19"=(INDEX(ALLCLASSDATA,MATCH("MartialMaster",CLASSFEATUREHEADERS,0),MATCH($A156,CLASSNAMEHEADERS,0))),(INDEX(ALLCLASSDATA,MATCH("MartialMaster",CLASSFEATUREHEADERS,0),MATCH(($A156 &amp; "Points"),CLASSNAMEHEADERS,0))),(IF("19"=(INDEX(ALLCLASSDATA,MATCH("MartialExpert",CLASSFEATUREHEADERS,0),MATCH($A156,CLASSNAMEHEADERS,0))),(INDEX(ALLCLASSDATA,MATCH("MartialExpert",CLASSFEATUREHEADERS,0),MATCH(($A156 &amp; "Points"),CLASSNAMEHEADERS,0))),(IF("19"=(INDEX(ALLCLASSDATA,MATCH("MartialTrained",CLASSFEATUREHEADERS,0),MATCH($A156,CLASSNAMEHEADERS,0))),(INDEX(ALLCLASSDATA,MATCH("MartialTrained",CLASSFEATUREHEADERS,0),MATCH(($A156 &amp; "Points"),CLASSNAMEHEADERS,0))),"")))))))))}</f>
        <v>MARTIALL19</v>
      </c>
      <c r="AA155" s="223"/>
      <c r="AB155" s="76" t="str">
        <f t="array" ref="AB155:AB156">{"MARTIAL TOTAL";(IF(COUNTBLANK(G156:AA156)=17,"L",(IF(COUNTBLANK(G156:AA156)=18,"M",(IF(COUNTBLANK(G156:AA156)=19,"E",(IF(COUNTBLANK(G156:AA156)=20,"T",""))))))))}</f>
        <v>MARTIAL TOTAL</v>
      </c>
      <c r="AC155" s="76" t="str">
        <f t="array" ref="AC155:AC156">{"MARTIAL TOTAL";(sum(G156:AA156))}</f>
        <v>MARTIAL TOTAL</v>
      </c>
    </row>
    <row r="156">
      <c r="A156" s="48" t="s">
        <v>95</v>
      </c>
      <c r="B156" s="48"/>
      <c r="C156" s="48" t="s">
        <v>409</v>
      </c>
      <c r="D156" s="48" t="s">
        <v>1634</v>
      </c>
      <c r="E156" s="48" t="s">
        <v>6</v>
      </c>
      <c r="F156" s="5" t="s">
        <v>603</v>
      </c>
      <c r="G156" s="47" t="s">
        <v>603</v>
      </c>
      <c r="H156" s="5" t="s">
        <v>603</v>
      </c>
      <c r="I156" s="5"/>
      <c r="J156" s="5" t="s">
        <v>603</v>
      </c>
      <c r="K156" s="5"/>
      <c r="L156" s="5" t="s">
        <v>603</v>
      </c>
      <c r="M156" s="5"/>
      <c r="N156" s="5" t="s">
        <v>603</v>
      </c>
      <c r="O156" s="5"/>
      <c r="P156" s="5" t="s">
        <v>603</v>
      </c>
      <c r="Q156" s="48"/>
      <c r="R156" s="5" t="s">
        <v>603</v>
      </c>
      <c r="S156" s="5"/>
      <c r="T156" s="5" t="s">
        <v>603</v>
      </c>
      <c r="U156" s="5"/>
      <c r="V156" s="5" t="s">
        <v>603</v>
      </c>
      <c r="W156" s="5"/>
      <c r="X156" s="5" t="s">
        <v>603</v>
      </c>
      <c r="Y156" s="5"/>
      <c r="Z156" s="5" t="s">
        <v>603</v>
      </c>
      <c r="AA156" s="5"/>
      <c r="AB156" s="5" t="s">
        <v>603</v>
      </c>
      <c r="AC156" s="47">
        <v>0.0</v>
      </c>
    </row>
    <row r="157" hidden="1">
      <c r="A157" s="222" t="str">
        <f t="array" ref="A157:A158">{"FormulaRow32";(INDEX(CLASSLIST,A94,1))}</f>
        <v>FormulaRow32</v>
      </c>
      <c r="B157" s="77" t="s">
        <v>236</v>
      </c>
      <c r="C157" s="222" t="str">
        <f t="array" ref="C157:C158">{"CLASSTYPE";((INDEX(ALLCLASSDATA,MATCH("ClassType",CLASSFEATUREHEADERS,0),MATCH($A158,CLASSNAMEHEADERS,0))))}</f>
        <v>CLASSTYPE</v>
      </c>
      <c r="D157" s="222" t="str">
        <f t="array" ref="D157:D158">{"ATTACK";"Attack"}</f>
        <v>ATTACK</v>
      </c>
      <c r="E157" s="222" t="str">
        <f t="array" ref="E157:E158">{"ADVANCEDGROUP";"AdvancedGroup"}</f>
        <v>ADVANCEDGROUP</v>
      </c>
      <c r="F157" s="223" t="str">
        <f t="array" ref="F157:F158">{"ADVANCEDGROUPINITIAL";((IF(H158=10,"T",(IF(H158=50,"E","")))))}</f>
        <v>ADVANCEDGROUPINITIAL</v>
      </c>
      <c r="G157" s="223" t="str">
        <f t="array" ref="G157:G158">{"ADVANCEDGROUPINITIALPTS";((IF("00"=(INDEX(ALLCLASSDATA,MATCH("AdvancedGroupLegendary",CLASSFEATUREHEADERS,0),MATCH($A158,CLASSNAMEHEADERS,0))),(INDEX(ALLCLASSDATA,MATCH("AdvancedGroupLegendary",CLASSFEATUREHEADERS,0),MATCH(($A158 &amp; "Points"),CLASSNAMEHEADERS,0))),(IF("00"=(INDEX(ALLCLASSDATA,MATCH("AdvancedGroupMaster",CLASSFEATUREHEADERS,0),MATCH($A158,CLASSNAMEHEADERS,0))),(INDEX(ALLCLASSDATA,MATCH("AdvancedGroupMaster",CLASSFEATUREHEADERS,0),MATCH(($A158 &amp; "Points"),CLASSNAMEHEADERS,0))),(IF("00"=(INDEX(ALLCLASSDATA,MATCH("AdvancedGroupExpert",CLASSFEATUREHEADERS,0),MATCH($A158,CLASSNAMEHEADERS,0))),(INDEX(ALLCLASSDATA,MATCH("AdvancedGroupExpert",CLASSFEATUREHEADERS,0),MATCH(($A158 &amp; "Points"),CLASSNAMEHEADERS,0))),(IF("00"=(INDEX(ALLCLASSDATA,MATCH("AdvancedGroupTrained",CLASSFEATUREHEADERS,0),MATCH($A158,CLASSNAMEHEADERS,0))),(INDEX(ALLCLASSDATA,MATCH("AdvancedGroupTrained",CLASSFEATUREHEADERS,0),MATCH(($A158 &amp; "Points"),CLASSNAMEHEADERS,0))),"")))))))))}</f>
        <v>ADVANCEDGROUPINITIALPTS</v>
      </c>
      <c r="H157" s="223" t="str">
        <f t="array" ref="H157:H158">{"ADVANCEDGROUPL01";((IF("01"=(INDEX(ALLCLASSDATA,MATCH("AdvancedGroupLegendary",CLASSFEATUREHEADERS,0),MATCH($A158,CLASSNAMEHEADERS,0))),(INDEX(ALLCLASSDATA,MATCH("AdvancedGroupLegendary",CLASSFEATUREHEADERS,0),MATCH(($A158 &amp; "Points"),CLASSNAMEHEADERS,0))),(IF("01"=(INDEX(ALLCLASSDATA,MATCH("AdvancedGroupMaster",CLASSFEATUREHEADERS,0),MATCH($A158,CLASSNAMEHEADERS,0))),(INDEX(ALLCLASSDATA,MATCH("AdvancedGroupMaster",CLASSFEATUREHEADERS,0),MATCH(($A158 &amp; "Points"),CLASSNAMEHEADERS,0))),(IF("01"=(INDEX(ALLCLASSDATA,MATCH("AdvancedGroupExpert",CLASSFEATUREHEADERS,0),MATCH($A158,CLASSNAMEHEADERS,0))),(INDEX(ALLCLASSDATA,MATCH("AdvancedGroupExpert",CLASSFEATUREHEADERS,0),MATCH(($A158 &amp; "Points"),CLASSNAMEHEADERS,0))),(IF("01"=(INDEX(ALLCLASSDATA,MATCH("AdvancedGroupTrained",CLASSFEATUREHEADERS,0),MATCH($A158,CLASSNAMEHEADERS,0))),(INDEX(ALLCLASSDATA,MATCH("AdvancedGroupTrained",CLASSFEATUREHEADERS,0),MATCH(($A158 &amp; "Points"),CLASSNAMEHEADERS,0))),"")))))))))}</f>
        <v>ADVANCEDGROUPL01</v>
      </c>
      <c r="I157" s="223"/>
      <c r="J157" s="223" t="str">
        <f t="array" ref="J157:J158">{"ADVANCEDGROUPL03";((IF("03"=(INDEX(ALLCLASSDATA,MATCH("AdvancedGroupLegendary",CLASSFEATUREHEADERS,0),MATCH($A158,CLASSNAMEHEADERS,0))),(INDEX(ALLCLASSDATA,MATCH("AdvancedGroupLegendary",CLASSFEATUREHEADERS,0),MATCH(($A158 &amp; "Points"),CLASSNAMEHEADERS,0))),(IF("03"=(INDEX(ALLCLASSDATA,MATCH("AdvancedGroupMaster",CLASSFEATUREHEADERS,0),MATCH($A158,CLASSNAMEHEADERS,0))),(INDEX(ALLCLASSDATA,MATCH("AdvancedGroupMaster",CLASSFEATUREHEADERS,0),MATCH(($A158 &amp; "Points"),CLASSNAMEHEADERS,0))),(IF("03"=(INDEX(ALLCLASSDATA,MATCH("AdvancedGroupExpert",CLASSFEATUREHEADERS,0),MATCH($A158,CLASSNAMEHEADERS,0))),(INDEX(ALLCLASSDATA,MATCH("AdvancedGroupExpert",CLASSFEATUREHEADERS,0),MATCH(($A158 &amp; "Points"),CLASSNAMEHEADERS,0))),(IF("03"=(INDEX(ALLCLASSDATA,MATCH("AdvancedGroupTrained",CLASSFEATUREHEADERS,0),MATCH($A158,CLASSNAMEHEADERS,0))),(INDEX(ALLCLASSDATA,MATCH("AdvancedGroupTrained",CLASSFEATUREHEADERS,0),MATCH(($A158 &amp; "Points"),CLASSNAMEHEADERS,0))),"")))))))))}</f>
        <v>ADVANCEDGROUPL03</v>
      </c>
      <c r="K157" s="223"/>
      <c r="L157" s="223" t="str">
        <f t="array" ref="L157:L158">{"ADVANCEDGROUPL05";((IF("05"=(INDEX(ALLCLASSDATA,MATCH("AdvancedGroupLegendary",CLASSFEATUREHEADERS,0),MATCH($A158,CLASSNAMEHEADERS,0))),(INDEX(ALLCLASSDATA,MATCH("AdvancedGroupLegendary",CLASSFEATUREHEADERS,0),MATCH(($A158 &amp; "Points"),CLASSNAMEHEADERS,0))),(IF("05"=(INDEX(ALLCLASSDATA,MATCH("AdvancedGroupMaster",CLASSFEATUREHEADERS,0),MATCH($A158,CLASSNAMEHEADERS,0))),(INDEX(ALLCLASSDATA,MATCH("AdvancedGroupMaster",CLASSFEATUREHEADERS,0),MATCH(($A158 &amp; "Points"),CLASSNAMEHEADERS,0))),(IF("05"=(INDEX(ALLCLASSDATA,MATCH("AdvancedGroupExpert",CLASSFEATUREHEADERS,0),MATCH($A158,CLASSNAMEHEADERS,0))),(INDEX(ALLCLASSDATA,MATCH("AdvancedGroupExpert",CLASSFEATUREHEADERS,0),MATCH(($A158 &amp; "Points"),CLASSNAMEHEADERS,0))),(IF("05"=(INDEX(ALLCLASSDATA,MATCH("AdvancedGroupTrained",CLASSFEATUREHEADERS,0),MATCH($A158,CLASSNAMEHEADERS,0))),(INDEX(ALLCLASSDATA,MATCH("AdvancedGroupTrained",CLASSFEATUREHEADERS,0),MATCH(($A158 &amp; "Points"),CLASSNAMEHEADERS,0))),"")))))))))}</f>
        <v>ADVANCEDGROUPL05</v>
      </c>
      <c r="M157" s="223"/>
      <c r="N157" s="223" t="str">
        <f t="array" ref="N157:N158">{"ADVANCEDGROUPL07";((IF("07"=(INDEX(ALLCLASSDATA,MATCH("AdvancedGroupLegendary",CLASSFEATUREHEADERS,0),MATCH($A158,CLASSNAMEHEADERS,0))),(INDEX(ALLCLASSDATA,MATCH("AdvancedGroupLegendary",CLASSFEATUREHEADERS,0),MATCH(($A158 &amp; "Points"),CLASSNAMEHEADERS,0))),(IF("07"=(INDEX(ALLCLASSDATA,MATCH("AdvancedGroupMaster",CLASSFEATUREHEADERS,0),MATCH($A158,CLASSNAMEHEADERS,0))),(INDEX(ALLCLASSDATA,MATCH("AdvancedGroupMaster",CLASSFEATUREHEADERS,0),MATCH(($A158 &amp; "Points"),CLASSNAMEHEADERS,0))),(IF("07"=(INDEX(ALLCLASSDATA,MATCH("AdvancedGroupExpert",CLASSFEATUREHEADERS,0),MATCH($A158,CLASSNAMEHEADERS,0))),(INDEX(ALLCLASSDATA,MATCH("AdvancedGroupExpert",CLASSFEATUREHEADERS,0),MATCH(($A158 &amp; "Points"),CLASSNAMEHEADERS,0))),(IF("07"=(INDEX(ALLCLASSDATA,MATCH("AdvancedGroupTrained",CLASSFEATUREHEADERS,0),MATCH($A158,CLASSNAMEHEADERS,0))),(INDEX(ALLCLASSDATA,MATCH("AdvancedGroupTrained",CLASSFEATUREHEADERS,0),MATCH(($A158 &amp; "Points"),CLASSNAMEHEADERS,0))),"")))))))))}</f>
        <v>ADVANCEDGROUPL07</v>
      </c>
      <c r="O157" s="223"/>
      <c r="P157" s="223" t="str">
        <f t="array" ref="P157:P158">{"ADVANCEDGROUPL09";((IF("09"=(INDEX(ALLCLASSDATA,MATCH("AdvancedGroupLegendary",CLASSFEATUREHEADERS,0),MATCH($A158,CLASSNAMEHEADERS,0))),(INDEX(ALLCLASSDATA,MATCH("AdvancedGroupLegendary",CLASSFEATUREHEADERS,0),MATCH(($A158 &amp; "Points"),CLASSNAMEHEADERS,0))),(IF("09"=(INDEX(ALLCLASSDATA,MATCH("AdvancedGroupMaster",CLASSFEATUREHEADERS,0),MATCH($A158,CLASSNAMEHEADERS,0))),(INDEX(ALLCLASSDATA,MATCH("AdvancedGroupMaster",CLASSFEATUREHEADERS,0),MATCH(($A158 &amp; "Points"),CLASSNAMEHEADERS,0))),(IF("09"=(INDEX(ALLCLASSDATA,MATCH("AdvancedGroupExpert",CLASSFEATUREHEADERS,0),MATCH($A158,CLASSNAMEHEADERS,0))),(INDEX(ALLCLASSDATA,MATCH("AdvancedGroupExpert",CLASSFEATUREHEADERS,0),MATCH(($A158 &amp; "Points"),CLASSNAMEHEADERS,0))),(IF("09"=(INDEX(ALLCLASSDATA,MATCH("AdvancedGroupTrained",CLASSFEATUREHEADERS,0),MATCH($A158,CLASSNAMEHEADERS,0))),(INDEX(ALLCLASSDATA,MATCH("AdvancedGroupTrained",CLASSFEATUREHEADERS,0),MATCH(($A158 &amp; "Points"),CLASSNAMEHEADERS,0))),"")))))))))}</f>
        <v>ADVANCEDGROUPL09</v>
      </c>
      <c r="Q157" s="223"/>
      <c r="R157" s="223" t="str">
        <f t="array" ref="R157:R158">{"ADVANCEDGROUPL11";((IF("11"=(INDEX(ALLCLASSDATA,MATCH("AdvancedGroupLegendary",CLASSFEATUREHEADERS,0),MATCH($A158,CLASSNAMEHEADERS,0))),(INDEX(ALLCLASSDATA,MATCH("AdvancedGroupLegendary",CLASSFEATUREHEADERS,0),MATCH(($A158 &amp; "Points"),CLASSNAMEHEADERS,0))),(IF("11"=(INDEX(ALLCLASSDATA,MATCH("AdvancedGroupMaster",CLASSFEATUREHEADERS,0),MATCH($A158,CLASSNAMEHEADERS,0))),(INDEX(ALLCLASSDATA,MATCH("AdvancedGroupMaster",CLASSFEATUREHEADERS,0),MATCH(($A158 &amp; "Points"),CLASSNAMEHEADERS,0))),(IF("11"=(INDEX(ALLCLASSDATA,MATCH("AdvancedGroupExpert",CLASSFEATUREHEADERS,0),MATCH($A158,CLASSNAMEHEADERS,0))),(INDEX(ALLCLASSDATA,MATCH("AdvancedGroupExpert",CLASSFEATUREHEADERS,0),MATCH(($A158 &amp; "Points"),CLASSNAMEHEADERS,0))),(IF("11"=(INDEX(ALLCLASSDATA,MATCH("AdvancedGroupTrained",CLASSFEATUREHEADERS,0),MATCH($A158,CLASSNAMEHEADERS,0))),(INDEX(ALLCLASSDATA,MATCH("AdvancedGroupTrained",CLASSFEATUREHEADERS,0),MATCH(($A158 &amp; "Points"),CLASSNAMEHEADERS,0))),"")))))))))}</f>
        <v>ADVANCEDGROUPL11</v>
      </c>
      <c r="S157" s="223"/>
      <c r="T157" s="223" t="str">
        <f t="array" ref="T157:T158">{"ADVANCEDGROUPL13";((IF("13"=(INDEX(ALLCLASSDATA,MATCH("AdvancedGroupLegendary",CLASSFEATUREHEADERS,0),MATCH($A158,CLASSNAMEHEADERS,0))),(INDEX(ALLCLASSDATA,MATCH("AdvancedGroupLegendary",CLASSFEATUREHEADERS,0),MATCH(($A158 &amp; "Points"),CLASSNAMEHEADERS,0))),(IF("13"=(INDEX(ALLCLASSDATA,MATCH("AdvancedGroupMaster",CLASSFEATUREHEADERS,0),MATCH($A158,CLASSNAMEHEADERS,0))),(INDEX(ALLCLASSDATA,MATCH("AdvancedGroupMaster",CLASSFEATUREHEADERS,0),MATCH(($A158 &amp; "Points"),CLASSNAMEHEADERS,0))),(IF("13"=(INDEX(ALLCLASSDATA,MATCH("AdvancedGroupExpert",CLASSFEATUREHEADERS,0),MATCH($A158,CLASSNAMEHEADERS,0))),(INDEX(ALLCLASSDATA,MATCH("AdvancedGroupExpert",CLASSFEATUREHEADERS,0),MATCH(($A158 &amp; "Points"),CLASSNAMEHEADERS,0))),(IF("13"=(INDEX(ALLCLASSDATA,MATCH("AdvancedGroupTrained",CLASSFEATUREHEADERS,0),MATCH($A158,CLASSNAMEHEADERS,0))),(INDEX(ALLCLASSDATA,MATCH("AdvancedGroupTrained",CLASSFEATUREHEADERS,0),MATCH(($A158 &amp; "Points"),CLASSNAMEHEADERS,0))),"")))))))))}</f>
        <v>ADVANCEDGROUPL13</v>
      </c>
      <c r="U157" s="223"/>
      <c r="V157" s="223" t="str">
        <f t="array" ref="V157:V158">{"ADVANCEDGROUPL15";((IF("15"=(INDEX(ALLCLASSDATA,MATCH("AdvancedGroupLegendary",CLASSFEATUREHEADERS,0),MATCH($A158,CLASSNAMEHEADERS,0))),(INDEX(ALLCLASSDATA,MATCH("AdvancedGroupLegendary",CLASSFEATUREHEADERS,0),MATCH(($A158 &amp; "Points"),CLASSNAMEHEADERS,0))),(IF("15"=(INDEX(ALLCLASSDATA,MATCH("AdvancedGroupMaster",CLASSFEATUREHEADERS,0),MATCH($A158,CLASSNAMEHEADERS,0))),(INDEX(ALLCLASSDATA,MATCH("AdvancedGroupMaster",CLASSFEATUREHEADERS,0),MATCH(($A158 &amp; "Points"),CLASSNAMEHEADERS,0))),(IF("15"=(INDEX(ALLCLASSDATA,MATCH("AdvancedGroupExpert",CLASSFEATUREHEADERS,0),MATCH($A158,CLASSNAMEHEADERS,0))),(INDEX(ALLCLASSDATA,MATCH("AdvancedGroupExpert",CLASSFEATUREHEADERS,0),MATCH(($A158 &amp; "Points"),CLASSNAMEHEADERS,0))),(IF("15"=(INDEX(ALLCLASSDATA,MATCH("AdvancedGroupTrained",CLASSFEATUREHEADERS,0),MATCH($A158,CLASSNAMEHEADERS,0))),(INDEX(ALLCLASSDATA,MATCH("AdvancedGroupTrained",CLASSFEATUREHEADERS,0),MATCH(($A158 &amp; "Points"),CLASSNAMEHEADERS,0))),"")))))))))}</f>
        <v>ADVANCEDGROUPL15</v>
      </c>
      <c r="W157" s="223"/>
      <c r="X157" s="223" t="str">
        <f t="array" ref="X157:X158">{"ADVANCEDGROUPL17";((IF("17"=(INDEX(ALLCLASSDATA,MATCH("AdvancedGroupLegendary",CLASSFEATUREHEADERS,0),MATCH($A158,CLASSNAMEHEADERS,0))),(INDEX(ALLCLASSDATA,MATCH("AdvancedGroupLegendary",CLASSFEATUREHEADERS,0),MATCH(($A158 &amp; "Points"),CLASSNAMEHEADERS,0))),(IF("17"=(INDEX(ALLCLASSDATA,MATCH("AdvancedGroupMaster",CLASSFEATUREHEADERS,0),MATCH($A158,CLASSNAMEHEADERS,0))),(INDEX(ALLCLASSDATA,MATCH("AdvancedGroupMaster",CLASSFEATUREHEADERS,0),MATCH(($A158 &amp; "Points"),CLASSNAMEHEADERS,0))),(IF("17"=(INDEX(ALLCLASSDATA,MATCH("AdvancedGroupExpert",CLASSFEATUREHEADERS,0),MATCH($A158,CLASSNAMEHEADERS,0))),(INDEX(ALLCLASSDATA,MATCH("AdvancedGroupExpert",CLASSFEATUREHEADERS,0),MATCH(($A158 &amp; "Points"),CLASSNAMEHEADERS,0))),(IF("17"=(INDEX(ALLCLASSDATA,MATCH("AdvancedGroupTrained",CLASSFEATUREHEADERS,0),MATCH($A158,CLASSNAMEHEADERS,0))),(INDEX(ALLCLASSDATA,MATCH("AdvancedGroupTrained",CLASSFEATUREHEADERS,0),MATCH(($A158 &amp; "Points"),CLASSNAMEHEADERS,0))),"")))))))))}</f>
        <v>ADVANCEDGROUPL17</v>
      </c>
      <c r="Y157" s="223"/>
      <c r="Z157" s="223" t="str">
        <f t="array" ref="Z157:Z158">{"ADVANCEDGROUPL19";((IF("19"=(INDEX(ALLCLASSDATA,MATCH("AdvancedGroupLegendary",CLASSFEATUREHEADERS,0),MATCH($A158,CLASSNAMEHEADERS,0))),(INDEX(ALLCLASSDATA,MATCH("AdvancedGroupLegendary",CLASSFEATUREHEADERS,0),MATCH(($A158 &amp; "Points"),CLASSNAMEHEADERS,0))),(IF("19"=(INDEX(ALLCLASSDATA,MATCH("AdvancedGroupMaster",CLASSFEATUREHEADERS,0),MATCH($A158,CLASSNAMEHEADERS,0))),(INDEX(ALLCLASSDATA,MATCH("AdvancedGroupMaster",CLASSFEATUREHEADERS,0),MATCH(($A158 &amp; "Points"),CLASSNAMEHEADERS,0))),(IF("19"=(INDEX(ALLCLASSDATA,MATCH("AdvancedGroupExpert",CLASSFEATUREHEADERS,0),MATCH($A158,CLASSNAMEHEADERS,0))),(INDEX(ALLCLASSDATA,MATCH("AdvancedGroupExpert",CLASSFEATUREHEADERS,0),MATCH(($A158 &amp; "Points"),CLASSNAMEHEADERS,0))),(IF("19"=(INDEX(ALLCLASSDATA,MATCH("AdvancedGroupTrained",CLASSFEATUREHEADERS,0),MATCH($A158,CLASSNAMEHEADERS,0))),(INDEX(ALLCLASSDATA,MATCH("AdvancedGroupTrained",CLASSFEATUREHEADERS,0),MATCH(($A158 &amp; "Points"),CLASSNAMEHEADERS,0))),"")))))))))}</f>
        <v>ADVANCEDGROUPL19</v>
      </c>
      <c r="AA157" s="223"/>
      <c r="AB157" s="76" t="str">
        <f t="array" ref="AB157:AB158">{"ADVANCEDGROUP TOTAL";(IF(COUNTBLANK(G158:AA158)=17,"L",(IF(COUNTBLANK(G158:AA158)=18,"M",(IF(COUNTBLANK(G158:AA158)=19,"E",(IF(COUNTBLANK(G158:AA158)=20,"T",""))))))))}</f>
        <v>ADVANCEDGROUP TOTAL</v>
      </c>
      <c r="AC157" s="76" t="str">
        <f t="array" ref="AC157:AC158">{"ADVANCEDGROUP TOTAL";(sum(G158:AA158))}</f>
        <v>ADVANCEDGROUP TOTAL</v>
      </c>
    </row>
    <row r="158">
      <c r="A158" s="48" t="s">
        <v>95</v>
      </c>
      <c r="B158" s="48"/>
      <c r="C158" s="48" t="s">
        <v>409</v>
      </c>
      <c r="D158" s="48" t="s">
        <v>1634</v>
      </c>
      <c r="E158" s="48" t="s">
        <v>601</v>
      </c>
      <c r="F158" s="5" t="s">
        <v>603</v>
      </c>
      <c r="G158" s="47" t="s">
        <v>603</v>
      </c>
      <c r="H158" s="5" t="s">
        <v>603</v>
      </c>
      <c r="I158" s="5"/>
      <c r="J158" s="5" t="s">
        <v>603</v>
      </c>
      <c r="K158" s="5"/>
      <c r="L158" s="5" t="s">
        <v>603</v>
      </c>
      <c r="M158" s="5"/>
      <c r="N158" s="5" t="s">
        <v>603</v>
      </c>
      <c r="O158" s="5"/>
      <c r="P158" s="5" t="s">
        <v>603</v>
      </c>
      <c r="Q158" s="5"/>
      <c r="R158" s="5" t="s">
        <v>603</v>
      </c>
      <c r="S158" s="5"/>
      <c r="T158" s="5" t="s">
        <v>603</v>
      </c>
      <c r="U158" s="5"/>
      <c r="V158" s="5" t="s">
        <v>603</v>
      </c>
      <c r="W158" s="5"/>
      <c r="X158" s="5" t="s">
        <v>603</v>
      </c>
      <c r="Y158" s="5"/>
      <c r="Z158" s="5" t="s">
        <v>603</v>
      </c>
      <c r="AA158" s="5"/>
      <c r="AB158" s="5" t="s">
        <v>603</v>
      </c>
      <c r="AC158" s="47">
        <v>0.0</v>
      </c>
    </row>
    <row r="159" hidden="1">
      <c r="A159" s="222" t="str">
        <f t="array" ref="A159:A160">{"FormulaRow33";(INDEX(CLASSLIST,A94,1))}</f>
        <v>FormulaRow33</v>
      </c>
      <c r="B159" s="77" t="s">
        <v>236</v>
      </c>
      <c r="C159" s="222" t="str">
        <f t="array" ref="C159:C160">{"CLASSTYPE";((INDEX(ALLCLASSDATA,MATCH("ClassType",CLASSFEATUREHEADERS,0),MATCH($A160,CLASSNAMEHEADERS,0))))}</f>
        <v>CLASSTYPE</v>
      </c>
      <c r="D159" s="222" t="str">
        <f t="array" ref="D159:D160">{"ATTACK";"Attack"}</f>
        <v>ATTACK</v>
      </c>
      <c r="E159" s="222" t="str">
        <f t="array" ref="E159:E160">{"ADVANCED";"Advanced"}</f>
        <v>ADVANCED</v>
      </c>
      <c r="F159" s="223" t="str">
        <f t="array" ref="F159:F160">{"ADVANCEDINITIAL";((IF(H160=10,"T",(IF(H160=50,"E","")))))}</f>
        <v>ADVANCEDINITIAL</v>
      </c>
      <c r="G159" s="223" t="str">
        <f t="array" ref="G159:G160">{"ADVANCEDINITIALPTS";((IF("00"=(INDEX(ALLCLASSDATA,MATCH("AdvancedLegendary",CLASSFEATUREHEADERS,0),MATCH($A160,CLASSNAMEHEADERS,0))),(INDEX(ALLCLASSDATA,MATCH("AdvancedLegendary",CLASSFEATUREHEADERS,0),MATCH(($A160 &amp; "Points"),CLASSNAMEHEADERS,0))),(IF("00"=(INDEX(ALLCLASSDATA,MATCH("AdvancedMaster",CLASSFEATUREHEADERS,0),MATCH($A160,CLASSNAMEHEADERS,0))),(INDEX(ALLCLASSDATA,MATCH("AdvancedMaster",CLASSFEATUREHEADERS,0),MATCH(($A160 &amp; "Points"),CLASSNAMEHEADERS,0))),(IF("00"=(INDEX(ALLCLASSDATA,MATCH("AdvancedExpert",CLASSFEATUREHEADERS,0),MATCH($A160,CLASSNAMEHEADERS,0))),(INDEX(ALLCLASSDATA,MATCH("AdvancedExpert",CLASSFEATUREHEADERS,0),MATCH(($A160 &amp; "Points"),CLASSNAMEHEADERS,0))),(IF("00"=(INDEX(ALLCLASSDATA,MATCH("AdvancedTrained",CLASSFEATUREHEADERS,0),MATCH($A160,CLASSNAMEHEADERS,0))),(INDEX(ALLCLASSDATA,MATCH("AdvancedTrained",CLASSFEATUREHEADERS,0),MATCH(($A160 &amp; "Points"),CLASSNAMEHEADERS,0))),"")))))))))}</f>
        <v>ADVANCEDINITIALPTS</v>
      </c>
      <c r="H159" s="223" t="str">
        <f t="array" ref="H159:H160">{"ADVANCEDL01";((IF("01"=(INDEX(ALLCLASSDATA,MATCH("AdvancedLegendary",CLASSFEATUREHEADERS,0),MATCH($A160,CLASSNAMEHEADERS,0))),(INDEX(ALLCLASSDATA,MATCH("AdvancedLegendary",CLASSFEATUREHEADERS,0),MATCH(($A160 &amp; "Points"),CLASSNAMEHEADERS,0))),(IF("01"=(INDEX(ALLCLASSDATA,MATCH("AdvancedMaster",CLASSFEATUREHEADERS,0),MATCH($A160,CLASSNAMEHEADERS,0))),(INDEX(ALLCLASSDATA,MATCH("AdvancedMaster",CLASSFEATUREHEADERS,0),MATCH(($A160 &amp; "Points"),CLASSNAMEHEADERS,0))),(IF("01"=(INDEX(ALLCLASSDATA,MATCH("AdvancedExpert",CLASSFEATUREHEADERS,0),MATCH($A160,CLASSNAMEHEADERS,0))),(INDEX(ALLCLASSDATA,MATCH("AdvancedExpert",CLASSFEATUREHEADERS,0),MATCH(($A160 &amp; "Points"),CLASSNAMEHEADERS,0))),(IF("01"=(INDEX(ALLCLASSDATA,MATCH("AdvancedTrained",CLASSFEATUREHEADERS,0),MATCH($A160,CLASSNAMEHEADERS,0))),(INDEX(ALLCLASSDATA,MATCH("AdvancedTrained",CLASSFEATUREHEADERS,0),MATCH(($A160 &amp; "Points"),CLASSNAMEHEADERS,0))),"")))))))))}</f>
        <v>ADVANCEDL01</v>
      </c>
      <c r="I159" s="223"/>
      <c r="J159" s="223" t="str">
        <f t="array" ref="J159:J160">{"ADVANCEDL03";((IF("03"=(INDEX(ALLCLASSDATA,MATCH("AdvancedLegendary",CLASSFEATUREHEADERS,0),MATCH($A160,CLASSNAMEHEADERS,0))),(INDEX(ALLCLASSDATA,MATCH("AdvancedLegendary",CLASSFEATUREHEADERS,0),MATCH(($A160 &amp; "Points"),CLASSNAMEHEADERS,0))),(IF("03"=(INDEX(ALLCLASSDATA,MATCH("AdvancedMaster",CLASSFEATUREHEADERS,0),MATCH($A160,CLASSNAMEHEADERS,0))),(INDEX(ALLCLASSDATA,MATCH("AdvancedMaster",CLASSFEATUREHEADERS,0),MATCH(($A160 &amp; "Points"),CLASSNAMEHEADERS,0))),(IF("03"=(INDEX(ALLCLASSDATA,MATCH("AdvancedExpert",CLASSFEATUREHEADERS,0),MATCH($A160,CLASSNAMEHEADERS,0))),(INDEX(ALLCLASSDATA,MATCH("AdvancedExpert",CLASSFEATUREHEADERS,0),MATCH(($A160 &amp; "Points"),CLASSNAMEHEADERS,0))),(IF("03"=(INDEX(ALLCLASSDATA,MATCH("AdvancedTrained",CLASSFEATUREHEADERS,0),MATCH($A160,CLASSNAMEHEADERS,0))),(INDEX(ALLCLASSDATA,MATCH("AdvancedTrained",CLASSFEATUREHEADERS,0),MATCH(($A160 &amp; "Points"),CLASSNAMEHEADERS,0))),"")))))))))}</f>
        <v>ADVANCEDL03</v>
      </c>
      <c r="K159" s="223"/>
      <c r="L159" s="223" t="str">
        <f t="array" ref="L159:L160">{"ADVANCEDL05";((IF("05"=(INDEX(ALLCLASSDATA,MATCH("AdvancedLegendary",CLASSFEATUREHEADERS,0),MATCH($A160,CLASSNAMEHEADERS,0))),(INDEX(ALLCLASSDATA,MATCH("AdvancedLegendary",CLASSFEATUREHEADERS,0),MATCH(($A160 &amp; "Points"),CLASSNAMEHEADERS,0))),(IF("05"=(INDEX(ALLCLASSDATA,MATCH("AdvancedMaster",CLASSFEATUREHEADERS,0),MATCH($A160,CLASSNAMEHEADERS,0))),(INDEX(ALLCLASSDATA,MATCH("AdvancedMaster",CLASSFEATUREHEADERS,0),MATCH(($A160 &amp; "Points"),CLASSNAMEHEADERS,0))),(IF("05"=(INDEX(ALLCLASSDATA,MATCH("AdvancedExpert",CLASSFEATUREHEADERS,0),MATCH($A160,CLASSNAMEHEADERS,0))),(INDEX(ALLCLASSDATA,MATCH("AdvancedExpert",CLASSFEATUREHEADERS,0),MATCH(($A160 &amp; "Points"),CLASSNAMEHEADERS,0))),(IF("05"=(INDEX(ALLCLASSDATA,MATCH("AdvancedTrained",CLASSFEATUREHEADERS,0),MATCH($A160,CLASSNAMEHEADERS,0))),(INDEX(ALLCLASSDATA,MATCH("AdvancedTrained",CLASSFEATUREHEADERS,0),MATCH(($A160 &amp; "Points"),CLASSNAMEHEADERS,0))),"")))))))))}</f>
        <v>ADVANCEDL05</v>
      </c>
      <c r="M159" s="223"/>
      <c r="N159" s="223" t="str">
        <f t="array" ref="N159:N160">{"ADVANCEDL07";((IF("07"=(INDEX(ALLCLASSDATA,MATCH("AdvancedLegendary",CLASSFEATUREHEADERS,0),MATCH($A160,CLASSNAMEHEADERS,0))),(INDEX(ALLCLASSDATA,MATCH("AdvancedLegendary",CLASSFEATUREHEADERS,0),MATCH(($A160 &amp; "Points"),CLASSNAMEHEADERS,0))),(IF("07"=(INDEX(ALLCLASSDATA,MATCH("AdvancedMaster",CLASSFEATUREHEADERS,0),MATCH($A160,CLASSNAMEHEADERS,0))),(INDEX(ALLCLASSDATA,MATCH("AdvancedMaster",CLASSFEATUREHEADERS,0),MATCH(($A160 &amp; "Points"),CLASSNAMEHEADERS,0))),(IF("07"=(INDEX(ALLCLASSDATA,MATCH("AdvancedExpert",CLASSFEATUREHEADERS,0),MATCH($A160,CLASSNAMEHEADERS,0))),(INDEX(ALLCLASSDATA,MATCH("AdvancedExpert",CLASSFEATUREHEADERS,0),MATCH(($A160 &amp; "Points"),CLASSNAMEHEADERS,0))),(IF("07"=(INDEX(ALLCLASSDATA,MATCH("AdvancedTrained",CLASSFEATUREHEADERS,0),MATCH($A160,CLASSNAMEHEADERS,0))),(INDEX(ALLCLASSDATA,MATCH("AdvancedTrained",CLASSFEATUREHEADERS,0),MATCH(($A160 &amp; "Points"),CLASSNAMEHEADERS,0))),"")))))))))}</f>
        <v>ADVANCEDL07</v>
      </c>
      <c r="O159" s="223"/>
      <c r="P159" s="223" t="str">
        <f t="array" ref="P159:P160">{"ADVANCEDL09";((IF("09"=(INDEX(ALLCLASSDATA,MATCH("AdvancedLegendary",CLASSFEATUREHEADERS,0),MATCH($A160,CLASSNAMEHEADERS,0))),(INDEX(ALLCLASSDATA,MATCH("AdvancedLegendary",CLASSFEATUREHEADERS,0),MATCH(($A160 &amp; "Points"),CLASSNAMEHEADERS,0))),(IF("09"=(INDEX(ALLCLASSDATA,MATCH("AdvancedMaster",CLASSFEATUREHEADERS,0),MATCH($A160,CLASSNAMEHEADERS,0))),(INDEX(ALLCLASSDATA,MATCH("AdvancedMaster",CLASSFEATUREHEADERS,0),MATCH(($A160 &amp; "Points"),CLASSNAMEHEADERS,0))),(IF("09"=(INDEX(ALLCLASSDATA,MATCH("AdvancedExpert",CLASSFEATUREHEADERS,0),MATCH($A160,CLASSNAMEHEADERS,0))),(INDEX(ALLCLASSDATA,MATCH("AdvancedExpert",CLASSFEATUREHEADERS,0),MATCH(($A160 &amp; "Points"),CLASSNAMEHEADERS,0))),(IF("09"=(INDEX(ALLCLASSDATA,MATCH("AdvancedTrained",CLASSFEATUREHEADERS,0),MATCH($A160,CLASSNAMEHEADERS,0))),(INDEX(ALLCLASSDATA,MATCH("AdvancedTrained",CLASSFEATUREHEADERS,0),MATCH(($A160 &amp; "Points"),CLASSNAMEHEADERS,0))),"")))))))))}</f>
        <v>ADVANCEDL09</v>
      </c>
      <c r="Q159" s="223"/>
      <c r="R159" s="223" t="str">
        <f t="array" ref="R159:R160">{"ADVANCEDL11";((IF("11"=(INDEX(ALLCLASSDATA,MATCH("AdvancedLegendary",CLASSFEATUREHEADERS,0),MATCH($A160,CLASSNAMEHEADERS,0))),(INDEX(ALLCLASSDATA,MATCH("AdvancedLegendary",CLASSFEATUREHEADERS,0),MATCH(($A160 &amp; "Points"),CLASSNAMEHEADERS,0))),(IF("11"=(INDEX(ALLCLASSDATA,MATCH("AdvancedMaster",CLASSFEATUREHEADERS,0),MATCH($A160,CLASSNAMEHEADERS,0))),(INDEX(ALLCLASSDATA,MATCH("AdvancedMaster",CLASSFEATUREHEADERS,0),MATCH(($A160 &amp; "Points"),CLASSNAMEHEADERS,0))),(IF("11"=(INDEX(ALLCLASSDATA,MATCH("AdvancedExpert",CLASSFEATUREHEADERS,0),MATCH($A160,CLASSNAMEHEADERS,0))),(INDEX(ALLCLASSDATA,MATCH("AdvancedExpert",CLASSFEATUREHEADERS,0),MATCH(($A160 &amp; "Points"),CLASSNAMEHEADERS,0))),(IF("11"=(INDEX(ALLCLASSDATA,MATCH("AdvancedTrained",CLASSFEATUREHEADERS,0),MATCH($A160,CLASSNAMEHEADERS,0))),(INDEX(ALLCLASSDATA,MATCH("AdvancedTrained",CLASSFEATUREHEADERS,0),MATCH(($A160 &amp; "Points"),CLASSNAMEHEADERS,0))),"")))))))))}</f>
        <v>ADVANCEDL11</v>
      </c>
      <c r="S159" s="223"/>
      <c r="T159" s="223" t="str">
        <f t="array" ref="T159:T160">{"ADVANCEDL13";((IF("13"=(INDEX(ALLCLASSDATA,MATCH("AdvancedLegendary",CLASSFEATUREHEADERS,0),MATCH($A160,CLASSNAMEHEADERS,0))),(INDEX(ALLCLASSDATA,MATCH("AdvancedLegendary",CLASSFEATUREHEADERS,0),MATCH(($A160 &amp; "Points"),CLASSNAMEHEADERS,0))),(IF("13"=(INDEX(ALLCLASSDATA,MATCH("AdvancedMaster",CLASSFEATUREHEADERS,0),MATCH($A160,CLASSNAMEHEADERS,0))),(INDEX(ALLCLASSDATA,MATCH("AdvancedMaster",CLASSFEATUREHEADERS,0),MATCH(($A160 &amp; "Points"),CLASSNAMEHEADERS,0))),(IF("13"=(INDEX(ALLCLASSDATA,MATCH("AdvancedExpert",CLASSFEATUREHEADERS,0),MATCH($A160,CLASSNAMEHEADERS,0))),(INDEX(ALLCLASSDATA,MATCH("AdvancedExpert",CLASSFEATUREHEADERS,0),MATCH(($A160 &amp; "Points"),CLASSNAMEHEADERS,0))),(IF("13"=(INDEX(ALLCLASSDATA,MATCH("AdvancedTrained",CLASSFEATUREHEADERS,0),MATCH($A160,CLASSNAMEHEADERS,0))),(INDEX(ALLCLASSDATA,MATCH("AdvancedTrained",CLASSFEATUREHEADERS,0),MATCH(($A160 &amp; "Points"),CLASSNAMEHEADERS,0))),"")))))))))}</f>
        <v>ADVANCEDL13</v>
      </c>
      <c r="U159" s="223"/>
      <c r="V159" s="223" t="str">
        <f t="array" ref="V159:V160">{"ADVANCEDL15";((IF("15"=(INDEX(ALLCLASSDATA,MATCH("AdvancedLegendary",CLASSFEATUREHEADERS,0),MATCH($A160,CLASSNAMEHEADERS,0))),(INDEX(ALLCLASSDATA,MATCH("AdvancedLegendary",CLASSFEATUREHEADERS,0),MATCH(($A160 &amp; "Points"),CLASSNAMEHEADERS,0))),(IF("15"=(INDEX(ALLCLASSDATA,MATCH("AdvancedMaster",CLASSFEATUREHEADERS,0),MATCH($A160,CLASSNAMEHEADERS,0))),(INDEX(ALLCLASSDATA,MATCH("AdvancedMaster",CLASSFEATUREHEADERS,0),MATCH(($A160 &amp; "Points"),CLASSNAMEHEADERS,0))),(IF("15"=(INDEX(ALLCLASSDATA,MATCH("AdvancedExpert",CLASSFEATUREHEADERS,0),MATCH($A160,CLASSNAMEHEADERS,0))),(INDEX(ALLCLASSDATA,MATCH("AdvancedExpert",CLASSFEATUREHEADERS,0),MATCH(($A160 &amp; "Points"),CLASSNAMEHEADERS,0))),(IF("15"=(INDEX(ALLCLASSDATA,MATCH("AdvancedTrained",CLASSFEATUREHEADERS,0),MATCH($A160,CLASSNAMEHEADERS,0))),(INDEX(ALLCLASSDATA,MATCH("AdvancedTrained",CLASSFEATUREHEADERS,0),MATCH(($A160 &amp; "Points"),CLASSNAMEHEADERS,0))),"")))))))))}</f>
        <v>ADVANCEDL15</v>
      </c>
      <c r="W159" s="223"/>
      <c r="X159" s="223" t="str">
        <f t="array" ref="X159:X160">{"ADVANCEDL17";((IF("17"=(INDEX(ALLCLASSDATA,MATCH("AdvancedLegendary",CLASSFEATUREHEADERS,0),MATCH($A160,CLASSNAMEHEADERS,0))),(INDEX(ALLCLASSDATA,MATCH("AdvancedLegendary",CLASSFEATUREHEADERS,0),MATCH(($A160 &amp; "Points"),CLASSNAMEHEADERS,0))),(IF("17"=(INDEX(ALLCLASSDATA,MATCH("AdvancedMaster",CLASSFEATUREHEADERS,0),MATCH($A160,CLASSNAMEHEADERS,0))),(INDEX(ALLCLASSDATA,MATCH("AdvancedMaster",CLASSFEATUREHEADERS,0),MATCH(($A160 &amp; "Points"),CLASSNAMEHEADERS,0))),(IF("17"=(INDEX(ALLCLASSDATA,MATCH("AdvancedExpert",CLASSFEATUREHEADERS,0),MATCH($A160,CLASSNAMEHEADERS,0))),(INDEX(ALLCLASSDATA,MATCH("AdvancedExpert",CLASSFEATUREHEADERS,0),MATCH(($A160 &amp; "Points"),CLASSNAMEHEADERS,0))),(IF("17"=(INDEX(ALLCLASSDATA,MATCH("AdvancedTrained",CLASSFEATUREHEADERS,0),MATCH($A160,CLASSNAMEHEADERS,0))),(INDEX(ALLCLASSDATA,MATCH("AdvancedTrained",CLASSFEATUREHEADERS,0),MATCH(($A160 &amp; "Points"),CLASSNAMEHEADERS,0))),"")))))))))}</f>
        <v>ADVANCEDL17</v>
      </c>
      <c r="Y159" s="223"/>
      <c r="Z159" s="223" t="str">
        <f t="array" ref="Z159:Z160">{"ADVANCEDL19";((IF("19"=(INDEX(ALLCLASSDATA,MATCH("AdvancedLegendary",CLASSFEATUREHEADERS,0),MATCH($A160,CLASSNAMEHEADERS,0))),(INDEX(ALLCLASSDATA,MATCH("AdvancedLegendary",CLASSFEATUREHEADERS,0),MATCH(($A160 &amp; "Points"),CLASSNAMEHEADERS,0))),(IF("19"=(INDEX(ALLCLASSDATA,MATCH("AdvancedMaster",CLASSFEATUREHEADERS,0),MATCH($A160,CLASSNAMEHEADERS,0))),(INDEX(ALLCLASSDATA,MATCH("AdvancedMaster",CLASSFEATUREHEADERS,0),MATCH(($A160 &amp; "Points"),CLASSNAMEHEADERS,0))),(IF("19"=(INDEX(ALLCLASSDATA,MATCH("AdvancedExpert",CLASSFEATUREHEADERS,0),MATCH($A160,CLASSNAMEHEADERS,0))),(INDEX(ALLCLASSDATA,MATCH("AdvancedExpert",CLASSFEATUREHEADERS,0),MATCH(($A160 &amp; "Points"),CLASSNAMEHEADERS,0))),(IF("19"=(INDEX(ALLCLASSDATA,MATCH("AdvancedTrained",CLASSFEATUREHEADERS,0),MATCH($A160,CLASSNAMEHEADERS,0))),(INDEX(ALLCLASSDATA,MATCH("AdvancedTrained",CLASSFEATUREHEADERS,0),MATCH(($A160 &amp; "Points"),CLASSNAMEHEADERS,0))),"")))))))))}</f>
        <v>ADVANCEDL19</v>
      </c>
      <c r="AA159" s="223"/>
      <c r="AB159" s="76" t="str">
        <f t="array" ref="AB159:AB160">{"ADVANCED TOTAL";(IF(COUNTBLANK(G160:AA160)=17,"L",(IF(COUNTBLANK(G160:AA160)=18,"M",(IF(COUNTBLANK(G160:AA160)=19,"E",(IF(COUNTBLANK(G160:AA160)=20,"T",""))))))))}</f>
        <v>ADVANCED TOTAL</v>
      </c>
      <c r="AC159" s="76" t="str">
        <f t="array" ref="AC159:AC160">{"ADVANCED TOTAL";(sum(G160:AA160))}</f>
        <v>ADVANCED TOTAL</v>
      </c>
    </row>
    <row r="160">
      <c r="A160" s="48" t="s">
        <v>95</v>
      </c>
      <c r="B160" s="48"/>
      <c r="C160" s="48" t="s">
        <v>409</v>
      </c>
      <c r="D160" s="97" t="s">
        <v>1634</v>
      </c>
      <c r="E160" s="97" t="s">
        <v>602</v>
      </c>
      <c r="F160" s="98" t="s">
        <v>603</v>
      </c>
      <c r="G160" s="132" t="s">
        <v>603</v>
      </c>
      <c r="H160" s="98" t="s">
        <v>603</v>
      </c>
      <c r="I160" s="98"/>
      <c r="J160" s="98" t="s">
        <v>603</v>
      </c>
      <c r="K160" s="98"/>
      <c r="L160" s="98" t="s">
        <v>603</v>
      </c>
      <c r="M160" s="98"/>
      <c r="N160" s="98" t="s">
        <v>603</v>
      </c>
      <c r="O160" s="98"/>
      <c r="P160" s="98" t="s">
        <v>603</v>
      </c>
      <c r="Q160" s="98"/>
      <c r="R160" s="98" t="s">
        <v>603</v>
      </c>
      <c r="S160" s="98"/>
      <c r="T160" s="98" t="s">
        <v>603</v>
      </c>
      <c r="U160" s="98"/>
      <c r="V160" s="98" t="s">
        <v>603</v>
      </c>
      <c r="W160" s="98"/>
      <c r="X160" s="98" t="s">
        <v>603</v>
      </c>
      <c r="Y160" s="98"/>
      <c r="Z160" s="98" t="s">
        <v>603</v>
      </c>
      <c r="AA160" s="98"/>
      <c r="AB160" s="5" t="s">
        <v>603</v>
      </c>
      <c r="AC160" s="47">
        <v>0.0</v>
      </c>
    </row>
    <row r="161" hidden="1">
      <c r="A161" s="222" t="str">
        <f t="array" ref="A161:A162">{"FormulaRow34";(INDEX(CLASSLIST,A94,1))}</f>
        <v>FormulaRow34</v>
      </c>
      <c r="B161" s="77" t="s">
        <v>236</v>
      </c>
      <c r="C161" s="222" t="str">
        <f t="array" ref="C161:C162">{"CLASSTYPE";((INDEX(ALLCLASSDATA,MATCH("ClassType",CLASSFEATUREHEADERS,0),MATCH($A162,CLASSNAMEHEADERS,0))))}</f>
        <v>CLASSTYPE</v>
      </c>
      <c r="D161" s="222" t="str">
        <f t="array" ref="D161:D162">{"DEFENSE";"Defense"}</f>
        <v>DEFENSE</v>
      </c>
      <c r="E161" s="222" t="str">
        <f t="array" ref="E161:E162">{"ARMORSPECIAL";"ArmorAS"}</f>
        <v>ARMORSPECIAL</v>
      </c>
      <c r="F161" s="223"/>
      <c r="G161" s="223"/>
      <c r="H161" s="223" t="str">
        <f t="array" ref="H161:H162">{"ARMORSPECIALL01";((IF("01"=INDEX(ALLCLASSDATA,MATCH("ArmorSpecialization",CLASSFEATUREHEADERS,0),MATCH($A162,CLASSNAMEHEADERS,0)),ArmorAS,"")))}</f>
        <v>ARMORSPECIALL01</v>
      </c>
      <c r="I161" s="223"/>
      <c r="J161" s="223" t="str">
        <f t="array" ref="J161:J162">{"ARMORSPECIALL03";((IF("03"=INDEX(ALLCLASSDATA,MATCH("ArmorSpecialization",CLASSFEATUREHEADERS,0),MATCH($A162,CLASSNAMEHEADERS,0)),ArmorAS,"")))}</f>
        <v>ARMORSPECIALL03</v>
      </c>
      <c r="K161" s="223"/>
      <c r="L161" s="223" t="str">
        <f t="array" ref="L161:L162">{"ARMORSPECIALL05";((IF("05"=INDEX(ALLCLASSDATA,MATCH("ArmorSpecialization",CLASSFEATUREHEADERS,0),MATCH($A162,CLASSNAMEHEADERS,0)),ArmorAS,"")))}</f>
        <v>ARMORSPECIALL05</v>
      </c>
      <c r="M161" s="223"/>
      <c r="N161" s="223" t="str">
        <f t="array" ref="N161:N162">{"ARMORSPECIALL07";((IF("07"=INDEX(ALLCLASSDATA,MATCH("ArmorSpecialization",CLASSFEATUREHEADERS,0),MATCH($A162,CLASSNAMEHEADERS,0)),ArmorAS,"")))}</f>
        <v>ARMORSPECIALL07</v>
      </c>
      <c r="O161" s="223"/>
      <c r="P161" s="223" t="str">
        <f t="array" ref="P161:P162">{"ARMORSPECIALL09";((IF("09"=INDEX(ALLCLASSDATA,MATCH("ArmorSpecialization",CLASSFEATUREHEADERS,0),MATCH($A162,CLASSNAMEHEADERS,0)),ArmorAS,"")))}</f>
        <v>ARMORSPECIALL09</v>
      </c>
      <c r="Q161" s="223"/>
      <c r="R161" s="223" t="str">
        <f t="array" ref="R161:R162">{"ARMORSPECIALL11";((IF("11"=INDEX(ALLCLASSDATA,MATCH("ArmorSpecialization",CLASSFEATUREHEADERS,0),MATCH($A162,CLASSNAMEHEADERS,0)),ArmorAS,"")))}</f>
        <v>ARMORSPECIALL11</v>
      </c>
      <c r="S161" s="223"/>
      <c r="T161" s="223" t="str">
        <f t="array" ref="T161:T162">{"ARMORSPECIALL13";((IF("13"=INDEX(ALLCLASSDATA,MATCH("ArmorSpecialization",CLASSFEATUREHEADERS,0),MATCH($A162,CLASSNAMEHEADERS,0)),ArmorAS,"")))}</f>
        <v>ARMORSPECIALL13</v>
      </c>
      <c r="U161" s="223"/>
      <c r="V161" s="223" t="str">
        <f t="array" ref="V161:V162">{"ARMORSPECIALL15";((IF("15"=INDEX(ALLCLASSDATA,MATCH("ArmorSpecialization",CLASSFEATUREHEADERS,0),MATCH($A162,CLASSNAMEHEADERS,0)),ArmorAS,"")))}</f>
        <v>ARMORSPECIALL15</v>
      </c>
      <c r="W161" s="223"/>
      <c r="X161" s="223" t="str">
        <f t="array" ref="X161:X162">{"ARMORSPECIALL17";((IF("17"=INDEX(ALLCLASSDATA,MATCH("ArmorSpecialization",CLASSFEATUREHEADERS,0),MATCH($A162,CLASSNAMEHEADERS,0)),ArmorAS,"")))}</f>
        <v>ARMORSPECIALL17</v>
      </c>
      <c r="Y161" s="223"/>
      <c r="Z161" s="223" t="str">
        <f t="array" ref="Z161:Z162">{"ARMORSPECIALL19";((IF("19"=INDEX(ALLCLASSDATA,MATCH("ArmorSpecialization",CLASSFEATUREHEADERS,0),MATCH($A162,CLASSNAMEHEADERS,0)),ArmorAS,"")))}</f>
        <v>ARMORSPECIALL19</v>
      </c>
      <c r="AA161" s="223"/>
      <c r="AB161" s="76"/>
      <c r="AC161" s="76" t="str">
        <f t="array" ref="AC161:AC162">{"ARMORSPECIAL TOTAL";(sum(G162:AA162))}</f>
        <v>ARMORSPECIAL TOTAL</v>
      </c>
    </row>
    <row r="162">
      <c r="A162" s="48" t="s">
        <v>95</v>
      </c>
      <c r="B162" s="48"/>
      <c r="C162" s="48" t="s">
        <v>409</v>
      </c>
      <c r="D162" s="48" t="s">
        <v>1900</v>
      </c>
      <c r="E162" s="48" t="s">
        <v>51</v>
      </c>
      <c r="F162" s="5"/>
      <c r="G162" s="47"/>
      <c r="H162" s="5" t="s">
        <v>603</v>
      </c>
      <c r="I162" s="5"/>
      <c r="J162" s="5" t="s">
        <v>603</v>
      </c>
      <c r="K162" s="5"/>
      <c r="L162" s="5" t="s">
        <v>603</v>
      </c>
      <c r="M162" s="5"/>
      <c r="N162" s="5" t="s">
        <v>603</v>
      </c>
      <c r="O162" s="5"/>
      <c r="P162" s="5" t="s">
        <v>603</v>
      </c>
      <c r="Q162" s="5"/>
      <c r="R162" s="5" t="s">
        <v>603</v>
      </c>
      <c r="S162" s="5"/>
      <c r="T162" s="5" t="s">
        <v>603</v>
      </c>
      <c r="U162" s="5"/>
      <c r="V162" s="5" t="s">
        <v>603</v>
      </c>
      <c r="W162" s="5"/>
      <c r="X162" s="5" t="s">
        <v>603</v>
      </c>
      <c r="Y162" s="5"/>
      <c r="Z162" s="5" t="s">
        <v>603</v>
      </c>
      <c r="AA162" s="5"/>
      <c r="AB162" s="5"/>
      <c r="AC162" s="47">
        <v>0.0</v>
      </c>
    </row>
    <row r="163" hidden="1">
      <c r="A163" s="222" t="str">
        <f t="array" ref="A163:A164">{"FormulaRow35";(INDEX(CLASSLIST,A94,1))}</f>
        <v>FormulaRow35</v>
      </c>
      <c r="B163" s="77" t="s">
        <v>236</v>
      </c>
      <c r="C163" s="222" t="str">
        <f t="array" ref="C163:C164">{"CLASSTYPE";((INDEX(ALLCLASSDATA,MATCH("ClassType",CLASSFEATUREHEADERS,0),MATCH($A164,CLASSNAMEHEADERS,0))))}</f>
        <v>CLASSTYPE</v>
      </c>
      <c r="D163" s="222" t="str">
        <f t="array" ref="D163:D164">{"DEFENSE";"Defense"}</f>
        <v>DEFENSE</v>
      </c>
      <c r="E163" s="222" t="str">
        <f t="array" ref="E163:E164">{"UNARMORED";"Unarmored"}</f>
        <v>UNARMORED</v>
      </c>
      <c r="F163" s="223" t="str">
        <f t="array" ref="F163:F164">{"UNARMOREDINITIAL";((IF(H164=10,"T",(IF(H164=50,"E","")))))}</f>
        <v>UNARMOREDINITIAL</v>
      </c>
      <c r="G163" s="223" t="str">
        <f t="array" ref="G163:G164">{"UNARMOREDINITIALPTS";((IF("00"=(INDEX(ALLCLASSDATA,MATCH("UnarmoredLegendary",CLASSFEATUREHEADERS,0),MATCH($A164,CLASSNAMEHEADERS,0))),(INDEX(ALLCLASSDATA,MATCH("UnarmoredLegendary",CLASSFEATUREHEADERS,0),MATCH(($A164 &amp; "Points"),CLASSNAMEHEADERS,0))),(IF("00"=(INDEX(ALLCLASSDATA,MATCH("UnarmoredMaster",CLASSFEATUREHEADERS,0),MATCH($A164,CLASSNAMEHEADERS,0))),(INDEX(ALLCLASSDATA,MATCH("UnarmoredMaster",CLASSFEATUREHEADERS,0),MATCH(($A164 &amp; "Points"),CLASSNAMEHEADERS,0))),(IF("00"=(INDEX(ALLCLASSDATA,MATCH("UnarmoredExpert",CLASSFEATUREHEADERS,0),MATCH($A164,CLASSNAMEHEADERS,0))),(INDEX(ALLCLASSDATA,MATCH("UnarmoredExpert",CLASSFEATUREHEADERS,0),MATCH(($A164 &amp; "Points"),CLASSNAMEHEADERS,0))),(IF("00"=(INDEX(ALLCLASSDATA,MATCH("UnarmoredTrained",CLASSFEATUREHEADERS,0),MATCH($A164,CLASSNAMEHEADERS,0))),(INDEX(ALLCLASSDATA,MATCH("UnarmoredTrained",CLASSFEATUREHEADERS,0),MATCH(($A164 &amp; "Points"),CLASSNAMEHEADERS,0))),"")))))))))}</f>
        <v>UNARMOREDINITIALPTS</v>
      </c>
      <c r="H163" s="223" t="str">
        <f t="array" ref="H163:H164">{"UNARMOREDL01";((IF("01"=(INDEX(ALLCLASSDATA,MATCH("UnarmoredLegendary",CLASSFEATUREHEADERS,0),MATCH($A164,CLASSNAMEHEADERS,0))),(INDEX(ALLCLASSDATA,MATCH("UnarmoredLegendary",CLASSFEATUREHEADERS,0),MATCH(($A164 &amp; "Points"),CLASSNAMEHEADERS,0))),(IF("01"=(INDEX(ALLCLASSDATA,MATCH("UnarmoredMaster",CLASSFEATUREHEADERS,0),MATCH($A164,CLASSNAMEHEADERS,0))),(INDEX(ALLCLASSDATA,MATCH("UnarmoredMaster",CLASSFEATUREHEADERS,0),MATCH(($A164 &amp; "Points"),CLASSNAMEHEADERS,0))),(IF("01"=(INDEX(ALLCLASSDATA,MATCH("UnarmoredExpert",CLASSFEATUREHEADERS,0),MATCH($A164,CLASSNAMEHEADERS,0))),(INDEX(ALLCLASSDATA,MATCH("UnarmoredExpert",CLASSFEATUREHEADERS,0),MATCH(($A164 &amp; "Points"),CLASSNAMEHEADERS,0))),(IF("01"=(INDEX(ALLCLASSDATA,MATCH("UnarmoredTrained",CLASSFEATUREHEADERS,0),MATCH($A164,CLASSNAMEHEADERS,0))),(INDEX(ALLCLASSDATA,MATCH("UnarmoredTrained",CLASSFEATUREHEADERS,0),MATCH(($A164 &amp; "Points"),CLASSNAMEHEADERS,0))),"")))))))))}</f>
        <v>UNARMOREDL01</v>
      </c>
      <c r="I163" s="223"/>
      <c r="J163" s="223" t="str">
        <f t="array" ref="J163:J164">{"UNARMOREDL03";((IF("03"=(INDEX(ALLCLASSDATA,MATCH("UnarmoredLegendary",CLASSFEATUREHEADERS,0),MATCH($A164,CLASSNAMEHEADERS,0))),(INDEX(ALLCLASSDATA,MATCH("UnarmoredLegendary",CLASSFEATUREHEADERS,0),MATCH(($A164 &amp; "Points"),CLASSNAMEHEADERS,0))),(IF("03"=(INDEX(ALLCLASSDATA,MATCH("UnarmoredMaster",CLASSFEATUREHEADERS,0),MATCH($A164,CLASSNAMEHEADERS,0))),(INDEX(ALLCLASSDATA,MATCH("UnarmoredMaster",CLASSFEATUREHEADERS,0),MATCH(($A164 &amp; "Points"),CLASSNAMEHEADERS,0))),(IF("03"=(INDEX(ALLCLASSDATA,MATCH("UnarmoredExpert",CLASSFEATUREHEADERS,0),MATCH($A164,CLASSNAMEHEADERS,0))),(INDEX(ALLCLASSDATA,MATCH("UnarmoredExpert",CLASSFEATUREHEADERS,0),MATCH(($A164 &amp; "Points"),CLASSNAMEHEADERS,0))),(IF("03"=(INDEX(ALLCLASSDATA,MATCH("UnarmoredTrained",CLASSFEATUREHEADERS,0),MATCH($A164,CLASSNAMEHEADERS,0))),(INDEX(ALLCLASSDATA,MATCH("UnarmoredTrained",CLASSFEATUREHEADERS,0),MATCH(($A164 &amp; "Points"),CLASSNAMEHEADERS,0))),"")))))))))}</f>
        <v>UNARMOREDL03</v>
      </c>
      <c r="K163" s="223"/>
      <c r="L163" s="223" t="str">
        <f t="array" ref="L163:L164">{"UNARMOREDL05";((IF("05"=(INDEX(ALLCLASSDATA,MATCH("UnarmoredLegendary",CLASSFEATUREHEADERS,0),MATCH($A164,CLASSNAMEHEADERS,0))),(INDEX(ALLCLASSDATA,MATCH("UnarmoredLegendary",CLASSFEATUREHEADERS,0),MATCH(($A164 &amp; "Points"),CLASSNAMEHEADERS,0))),(IF("05"=(INDEX(ALLCLASSDATA,MATCH("UnarmoredMaster",CLASSFEATUREHEADERS,0),MATCH($A164,CLASSNAMEHEADERS,0))),(INDEX(ALLCLASSDATA,MATCH("UnarmoredMaster",CLASSFEATUREHEADERS,0),MATCH(($A164 &amp; "Points"),CLASSNAMEHEADERS,0))),(IF("05"=(INDEX(ALLCLASSDATA,MATCH("UnarmoredExpert",CLASSFEATUREHEADERS,0),MATCH($A164,CLASSNAMEHEADERS,0))),(INDEX(ALLCLASSDATA,MATCH("UnarmoredExpert",CLASSFEATUREHEADERS,0),MATCH(($A164 &amp; "Points"),CLASSNAMEHEADERS,0))),(IF("05"=(INDEX(ALLCLASSDATA,MATCH("UnarmoredTrained",CLASSFEATUREHEADERS,0),MATCH($A164,CLASSNAMEHEADERS,0))),(INDEX(ALLCLASSDATA,MATCH("UnarmoredTrained",CLASSFEATUREHEADERS,0),MATCH(($A164 &amp; "Points"),CLASSNAMEHEADERS,0))),"")))))))))}</f>
        <v>UNARMOREDL05</v>
      </c>
      <c r="M163" s="223"/>
      <c r="N163" s="223" t="str">
        <f t="array" ref="N163:N164">{"UNARMOREDL07";((IF("07"=(INDEX(ALLCLASSDATA,MATCH("UnarmoredLegendary",CLASSFEATUREHEADERS,0),MATCH($A164,CLASSNAMEHEADERS,0))),(INDEX(ALLCLASSDATA,MATCH("UnarmoredLegendary",CLASSFEATUREHEADERS,0),MATCH(($A164 &amp; "Points"),CLASSNAMEHEADERS,0))),(IF("07"=(INDEX(ALLCLASSDATA,MATCH("UnarmoredMaster",CLASSFEATUREHEADERS,0),MATCH($A164,CLASSNAMEHEADERS,0))),(INDEX(ALLCLASSDATA,MATCH("UnarmoredMaster",CLASSFEATUREHEADERS,0),MATCH(($A164 &amp; "Points"),CLASSNAMEHEADERS,0))),(IF("07"=(INDEX(ALLCLASSDATA,MATCH("UnarmoredExpert",CLASSFEATUREHEADERS,0),MATCH($A164,CLASSNAMEHEADERS,0))),(INDEX(ALLCLASSDATA,MATCH("UnarmoredExpert",CLASSFEATUREHEADERS,0),MATCH(($A164 &amp; "Points"),CLASSNAMEHEADERS,0))),(IF("07"=(INDEX(ALLCLASSDATA,MATCH("UnarmoredTrained",CLASSFEATUREHEADERS,0),MATCH($A164,CLASSNAMEHEADERS,0))),(INDEX(ALLCLASSDATA,MATCH("UnarmoredTrained",CLASSFEATUREHEADERS,0),MATCH(($A164 &amp; "Points"),CLASSNAMEHEADERS,0))),"")))))))))}</f>
        <v>UNARMOREDL07</v>
      </c>
      <c r="O163" s="223"/>
      <c r="P163" s="223" t="str">
        <f t="array" ref="P163:P164">{"UNARMOREDL09";((IF("09"=(INDEX(ALLCLASSDATA,MATCH("UnarmoredLegendary",CLASSFEATUREHEADERS,0),MATCH($A164,CLASSNAMEHEADERS,0))),(INDEX(ALLCLASSDATA,MATCH("UnarmoredLegendary",CLASSFEATUREHEADERS,0),MATCH(($A164 &amp; "Points"),CLASSNAMEHEADERS,0))),(IF("09"=(INDEX(ALLCLASSDATA,MATCH("UnarmoredMaster",CLASSFEATUREHEADERS,0),MATCH($A164,CLASSNAMEHEADERS,0))),(INDEX(ALLCLASSDATA,MATCH("UnarmoredMaster",CLASSFEATUREHEADERS,0),MATCH(($A164 &amp; "Points"),CLASSNAMEHEADERS,0))),(IF("09"=(INDEX(ALLCLASSDATA,MATCH("UnarmoredExpert",CLASSFEATUREHEADERS,0),MATCH($A164,CLASSNAMEHEADERS,0))),(INDEX(ALLCLASSDATA,MATCH("UnarmoredExpert",CLASSFEATUREHEADERS,0),MATCH(($A164 &amp; "Points"),CLASSNAMEHEADERS,0))),(IF("09"=(INDEX(ALLCLASSDATA,MATCH("UnarmoredTrained",CLASSFEATUREHEADERS,0),MATCH($A164,CLASSNAMEHEADERS,0))),(INDEX(ALLCLASSDATA,MATCH("UnarmoredTrained",CLASSFEATUREHEADERS,0),MATCH(($A164 &amp; "Points"),CLASSNAMEHEADERS,0))),"")))))))))}</f>
        <v>UNARMOREDL09</v>
      </c>
      <c r="Q163" s="223"/>
      <c r="R163" s="223" t="str">
        <f t="array" ref="R163:R164">{"UNARMOREDL11";((IF("11"=(INDEX(ALLCLASSDATA,MATCH("UnarmoredLegendary",CLASSFEATUREHEADERS,0),MATCH($A164,CLASSNAMEHEADERS,0))),(INDEX(ALLCLASSDATA,MATCH("UnarmoredLegendary",CLASSFEATUREHEADERS,0),MATCH(($A164 &amp; "Points"),CLASSNAMEHEADERS,0))),(IF("11"=(INDEX(ALLCLASSDATA,MATCH("UnarmoredMaster",CLASSFEATUREHEADERS,0),MATCH($A164,CLASSNAMEHEADERS,0))),(INDEX(ALLCLASSDATA,MATCH("UnarmoredMaster",CLASSFEATUREHEADERS,0),MATCH(($A164 &amp; "Points"),CLASSNAMEHEADERS,0))),(IF("11"=(INDEX(ALLCLASSDATA,MATCH("UnarmoredExpert",CLASSFEATUREHEADERS,0),MATCH($A164,CLASSNAMEHEADERS,0))),(INDEX(ALLCLASSDATA,MATCH("UnarmoredExpert",CLASSFEATUREHEADERS,0),MATCH(($A164 &amp; "Points"),CLASSNAMEHEADERS,0))),(IF("11"=(INDEX(ALLCLASSDATA,MATCH("UnarmoredTrained",CLASSFEATUREHEADERS,0),MATCH($A164,CLASSNAMEHEADERS,0))),(INDEX(ALLCLASSDATA,MATCH("UnarmoredTrained",CLASSFEATUREHEADERS,0),MATCH(($A164 &amp; "Points"),CLASSNAMEHEADERS,0))),"")))))))))}</f>
        <v>UNARMOREDL11</v>
      </c>
      <c r="S163" s="223"/>
      <c r="T163" s="223" t="str">
        <f t="array" ref="T163:T164">{"UNARMOREDL13";((IF("13"=(INDEX(ALLCLASSDATA,MATCH("UnarmoredLegendary",CLASSFEATUREHEADERS,0),MATCH($A164,CLASSNAMEHEADERS,0))),(INDEX(ALLCLASSDATA,MATCH("UnarmoredLegendary",CLASSFEATUREHEADERS,0),MATCH(($A164 &amp; "Points"),CLASSNAMEHEADERS,0))),(IF("13"=(INDEX(ALLCLASSDATA,MATCH("UnarmoredMaster",CLASSFEATUREHEADERS,0),MATCH($A164,CLASSNAMEHEADERS,0))),(INDEX(ALLCLASSDATA,MATCH("UnarmoredMaster",CLASSFEATUREHEADERS,0),MATCH(($A164 &amp; "Points"),CLASSNAMEHEADERS,0))),(IF("13"=(INDEX(ALLCLASSDATA,MATCH("UnarmoredExpert",CLASSFEATUREHEADERS,0),MATCH($A164,CLASSNAMEHEADERS,0))),(INDEX(ALLCLASSDATA,MATCH("UnarmoredExpert",CLASSFEATUREHEADERS,0),MATCH(($A164 &amp; "Points"),CLASSNAMEHEADERS,0))),(IF("13"=(INDEX(ALLCLASSDATA,MATCH("UnarmoredTrained",CLASSFEATUREHEADERS,0),MATCH($A164,CLASSNAMEHEADERS,0))),(INDEX(ALLCLASSDATA,MATCH("UnarmoredTrained",CLASSFEATUREHEADERS,0),MATCH(($A164 &amp; "Points"),CLASSNAMEHEADERS,0))),"")))))))))}</f>
        <v>UNARMOREDL13</v>
      </c>
      <c r="U163" s="223"/>
      <c r="V163" s="223" t="str">
        <f t="array" ref="V163:V164">{"UNARMOREDL15";((IF("15"=(INDEX(ALLCLASSDATA,MATCH("UnarmoredLegendary",CLASSFEATUREHEADERS,0),MATCH($A164,CLASSNAMEHEADERS,0))),(INDEX(ALLCLASSDATA,MATCH("UnarmoredLegendary",CLASSFEATUREHEADERS,0),MATCH(($A164 &amp; "Points"),CLASSNAMEHEADERS,0))),(IF("15"=(INDEX(ALLCLASSDATA,MATCH("UnarmoredMaster",CLASSFEATUREHEADERS,0),MATCH($A164,CLASSNAMEHEADERS,0))),(INDEX(ALLCLASSDATA,MATCH("UnarmoredMaster",CLASSFEATUREHEADERS,0),MATCH(($A164 &amp; "Points"),CLASSNAMEHEADERS,0))),(IF("15"=(INDEX(ALLCLASSDATA,MATCH("UnarmoredExpert",CLASSFEATUREHEADERS,0),MATCH($A164,CLASSNAMEHEADERS,0))),(INDEX(ALLCLASSDATA,MATCH("UnarmoredExpert",CLASSFEATUREHEADERS,0),MATCH(($A164 &amp; "Points"),CLASSNAMEHEADERS,0))),(IF("15"=(INDEX(ALLCLASSDATA,MATCH("UnarmoredTrained",CLASSFEATUREHEADERS,0),MATCH($A164,CLASSNAMEHEADERS,0))),(INDEX(ALLCLASSDATA,MATCH("UnarmoredTrained",CLASSFEATUREHEADERS,0),MATCH(($A164 &amp; "Points"),CLASSNAMEHEADERS,0))),"")))))))))}</f>
        <v>UNARMOREDL15</v>
      </c>
      <c r="W163" s="223"/>
      <c r="X163" s="223" t="str">
        <f t="array" ref="X163:X164">{"UNARMOREDL17";((IF("17"=(INDEX(ALLCLASSDATA,MATCH("UnarmoredLegendary",CLASSFEATUREHEADERS,0),MATCH($A164,CLASSNAMEHEADERS,0))),(INDEX(ALLCLASSDATA,MATCH("UnarmoredLegendary",CLASSFEATUREHEADERS,0),MATCH(($A164 &amp; "Points"),CLASSNAMEHEADERS,0))),(IF("17"=(INDEX(ALLCLASSDATA,MATCH("UnarmoredMaster",CLASSFEATUREHEADERS,0),MATCH($A164,CLASSNAMEHEADERS,0))),(INDEX(ALLCLASSDATA,MATCH("UnarmoredMaster",CLASSFEATUREHEADERS,0),MATCH(($A164 &amp; "Points"),CLASSNAMEHEADERS,0))),(IF("17"=(INDEX(ALLCLASSDATA,MATCH("UnarmoredExpert",CLASSFEATUREHEADERS,0),MATCH($A164,CLASSNAMEHEADERS,0))),(INDEX(ALLCLASSDATA,MATCH("UnarmoredExpert",CLASSFEATUREHEADERS,0),MATCH(($A164 &amp; "Points"),CLASSNAMEHEADERS,0))),(IF("17"=(INDEX(ALLCLASSDATA,MATCH("UnarmoredTrained",CLASSFEATUREHEADERS,0),MATCH($A164,CLASSNAMEHEADERS,0))),(INDEX(ALLCLASSDATA,MATCH("UnarmoredTrained",CLASSFEATUREHEADERS,0),MATCH(($A164 &amp; "Points"),CLASSNAMEHEADERS,0))),"")))))))))}</f>
        <v>UNARMOREDL17</v>
      </c>
      <c r="Y163" s="223"/>
      <c r="Z163" s="223" t="str">
        <f t="array" ref="Z163:Z164">{"UNARMOREDL19";((IF("19"=(INDEX(ALLCLASSDATA,MATCH("UnarmoredLegendary",CLASSFEATUREHEADERS,0),MATCH($A164,CLASSNAMEHEADERS,0))),(INDEX(ALLCLASSDATA,MATCH("UnarmoredLegendary",CLASSFEATUREHEADERS,0),MATCH(($A164 &amp; "Points"),CLASSNAMEHEADERS,0))),(IF("19"=(INDEX(ALLCLASSDATA,MATCH("UnarmoredMaster",CLASSFEATUREHEADERS,0),MATCH($A164,CLASSNAMEHEADERS,0))),(INDEX(ALLCLASSDATA,MATCH("UnarmoredMaster",CLASSFEATUREHEADERS,0),MATCH(($A164 &amp; "Points"),CLASSNAMEHEADERS,0))),(IF("19"=(INDEX(ALLCLASSDATA,MATCH("UnarmoredExpert",CLASSFEATUREHEADERS,0),MATCH($A164,CLASSNAMEHEADERS,0))),(INDEX(ALLCLASSDATA,MATCH("UnarmoredExpert",CLASSFEATUREHEADERS,0),MATCH(($A164 &amp; "Points"),CLASSNAMEHEADERS,0))),(IF("19"=(INDEX(ALLCLASSDATA,MATCH("UnarmoredTrained",CLASSFEATUREHEADERS,0),MATCH($A164,CLASSNAMEHEADERS,0))),(INDEX(ALLCLASSDATA,MATCH("UnarmoredTrained",CLASSFEATUREHEADERS,0),MATCH(($A164 &amp; "Points"),CLASSNAMEHEADERS,0))),"")))))))))}</f>
        <v>UNARMOREDL19</v>
      </c>
      <c r="AA163" s="223"/>
      <c r="AB163" s="76" t="str">
        <f t="array" ref="AB163:AB164">{"UNARMORED TOTAL";(IF(COUNTBLANK(G164:AA164)=17,"L",(IF(COUNTBLANK(G164:AA164)=18,"M",(IF(COUNTBLANK(G164:AA164)=19,"E",(IF(COUNTBLANK(G164:AA164)=20,"T",""))))))))}</f>
        <v>UNARMORED TOTAL</v>
      </c>
      <c r="AC163" s="76" t="str">
        <f t="array" ref="AC163:AC164">{"UNARMORED TOTAL";(sum(G164:AA164))}</f>
        <v>UNARMORED TOTAL</v>
      </c>
    </row>
    <row r="164">
      <c r="A164" s="48" t="s">
        <v>95</v>
      </c>
      <c r="B164" s="48"/>
      <c r="C164" s="48" t="s">
        <v>409</v>
      </c>
      <c r="D164" s="48" t="s">
        <v>1900</v>
      </c>
      <c r="E164" s="48" t="s">
        <v>78</v>
      </c>
      <c r="F164" s="5" t="s">
        <v>436</v>
      </c>
      <c r="G164" s="47">
        <v>10.0</v>
      </c>
      <c r="H164" s="5">
        <v>50.0</v>
      </c>
      <c r="I164" s="5"/>
      <c r="J164" s="5" t="s">
        <v>603</v>
      </c>
      <c r="K164" s="5"/>
      <c r="L164" s="5" t="s">
        <v>603</v>
      </c>
      <c r="M164" s="5"/>
      <c r="N164" s="5" t="s">
        <v>603</v>
      </c>
      <c r="O164" s="5"/>
      <c r="P164" s="5" t="s">
        <v>603</v>
      </c>
      <c r="Q164" s="5"/>
      <c r="R164" s="5">
        <v>110.0</v>
      </c>
      <c r="S164" s="5"/>
      <c r="T164" s="5" t="s">
        <v>603</v>
      </c>
      <c r="U164" s="5"/>
      <c r="V164" s="5" t="s">
        <v>603</v>
      </c>
      <c r="W164" s="5"/>
      <c r="X164" s="5">
        <v>190.0</v>
      </c>
      <c r="Y164" s="5"/>
      <c r="Z164" s="5" t="s">
        <v>603</v>
      </c>
      <c r="AA164" s="5"/>
      <c r="AB164" s="5" t="s">
        <v>466</v>
      </c>
      <c r="AC164" s="47">
        <v>360.0</v>
      </c>
    </row>
    <row r="165" hidden="1">
      <c r="A165" s="222" t="str">
        <f t="array" ref="A165:A166">{"FormulaRow36";(INDEX(CLASSLIST,A94,1))}</f>
        <v>FormulaRow36</v>
      </c>
      <c r="B165" s="77" t="s">
        <v>236</v>
      </c>
      <c r="C165" s="222" t="str">
        <f t="array" ref="C165:C166">{"CLASSTYPE";((INDEX(ALLCLASSDATA,MATCH("ClassType",CLASSFEATUREHEADERS,0),MATCH($A166,CLASSNAMEHEADERS,0))))}</f>
        <v>CLASSTYPE</v>
      </c>
      <c r="D165" s="222" t="str">
        <f t="array" ref="D165:D166">{"DEFENSE";"Defense"}</f>
        <v>DEFENSE</v>
      </c>
      <c r="E165" s="222" t="str">
        <f t="array" ref="E165:E166">{"LIGHT";"Light"}</f>
        <v>LIGHT</v>
      </c>
      <c r="F165" s="223" t="str">
        <f t="array" ref="F165:F166">{"LIGHTINITIAL";((IF(H166=10,"T",(IF(H166=50,"E","")))))}</f>
        <v>LIGHTINITIAL</v>
      </c>
      <c r="G165" s="223" t="str">
        <f t="array" ref="G165:G166">{"LIGHTINITIALPTS";((IF("00"=(INDEX(ALLCLASSDATA,MATCH("LightLegendary",CLASSFEATUREHEADERS,0),MATCH($A166,CLASSNAMEHEADERS,0))),(INDEX(ALLCLASSDATA,MATCH("LightLegendary",CLASSFEATUREHEADERS,0),MATCH(($A166 &amp; "Points"),CLASSNAMEHEADERS,0))),(IF("00"=(INDEX(ALLCLASSDATA,MATCH("LightMaster",CLASSFEATUREHEADERS,0),MATCH($A166,CLASSNAMEHEADERS,0))),(INDEX(ALLCLASSDATA,MATCH("LightMaster",CLASSFEATUREHEADERS,0),MATCH(($A166 &amp; "Points"),CLASSNAMEHEADERS,0))),(IF("00"=(INDEX(ALLCLASSDATA,MATCH("LightExpert",CLASSFEATUREHEADERS,0),MATCH($A166,CLASSNAMEHEADERS,0))),(INDEX(ALLCLASSDATA,MATCH("LightExpert",CLASSFEATUREHEADERS,0),MATCH(($A166 &amp; "Points"),CLASSNAMEHEADERS,0))),(IF("00"=(INDEX(ALLCLASSDATA,MATCH("LightTrained",CLASSFEATUREHEADERS,0),MATCH($A166,CLASSNAMEHEADERS,0))),(INDEX(ALLCLASSDATA,MATCH("LightTrained",CLASSFEATUREHEADERS,0),MATCH(($A166 &amp; "Points"),CLASSNAMEHEADERS,0))),"")))))))))}</f>
        <v>LIGHTINITIALPTS</v>
      </c>
      <c r="H165" s="223" t="str">
        <f t="array" ref="H165:H166">{"LIGHTL01";((IF("01"=(INDEX(ALLCLASSDATA,MATCH("LightLegendary",CLASSFEATUREHEADERS,0),MATCH($A166,CLASSNAMEHEADERS,0))),(INDEX(ALLCLASSDATA,MATCH("LightLegendary",CLASSFEATUREHEADERS,0),MATCH(($A166 &amp; "Points"),CLASSNAMEHEADERS,0))),(IF("01"=(INDEX(ALLCLASSDATA,MATCH("LightMaster",CLASSFEATUREHEADERS,0),MATCH($A166,CLASSNAMEHEADERS,0))),(INDEX(ALLCLASSDATA,MATCH("LightMaster",CLASSFEATUREHEADERS,0),MATCH(($A166 &amp; "Points"),CLASSNAMEHEADERS,0))),(IF("01"=(INDEX(ALLCLASSDATA,MATCH("LightExpert",CLASSFEATUREHEADERS,0),MATCH($A166,CLASSNAMEHEADERS,0))),(INDEX(ALLCLASSDATA,MATCH("LightExpert",CLASSFEATUREHEADERS,0),MATCH(($A166 &amp; "Points"),CLASSNAMEHEADERS,0))),(IF("01"=(INDEX(ALLCLASSDATA,MATCH("LightTrained",CLASSFEATUREHEADERS,0),MATCH($A166,CLASSNAMEHEADERS,0))),(INDEX(ALLCLASSDATA,MATCH("LightTrained",CLASSFEATUREHEADERS,0),MATCH(($A166 &amp; "Points"),CLASSNAMEHEADERS,0))),"")))))))))}</f>
        <v>LIGHTL01</v>
      </c>
      <c r="I165" s="223"/>
      <c r="J165" s="223" t="str">
        <f t="array" ref="J165:J166">{"LIGHTL03";((IF("03"=(INDEX(ALLCLASSDATA,MATCH("LightLegendary",CLASSFEATUREHEADERS,0),MATCH($A166,CLASSNAMEHEADERS,0))),(INDEX(ALLCLASSDATA,MATCH("LightLegendary",CLASSFEATUREHEADERS,0),MATCH(($A166 &amp; "Points"),CLASSNAMEHEADERS,0))),(IF("03"=(INDEX(ALLCLASSDATA,MATCH("LightMaster",CLASSFEATUREHEADERS,0),MATCH($A166,CLASSNAMEHEADERS,0))),(INDEX(ALLCLASSDATA,MATCH("LightMaster",CLASSFEATUREHEADERS,0),MATCH(($A166 &amp; "Points"),CLASSNAMEHEADERS,0))),(IF("03"=(INDEX(ALLCLASSDATA,MATCH("LightExpert",CLASSFEATUREHEADERS,0),MATCH($A166,CLASSNAMEHEADERS,0))),(INDEX(ALLCLASSDATA,MATCH("LightExpert",CLASSFEATUREHEADERS,0),MATCH(($A166 &amp; "Points"),CLASSNAMEHEADERS,0))),(IF("03"=(INDEX(ALLCLASSDATA,MATCH("LightTrained",CLASSFEATUREHEADERS,0),MATCH($A166,CLASSNAMEHEADERS,0))),(INDEX(ALLCLASSDATA,MATCH("LightTrained",CLASSFEATUREHEADERS,0),MATCH(($A166 &amp; "Points"),CLASSNAMEHEADERS,0))),"")))))))))}</f>
        <v>LIGHTL03</v>
      </c>
      <c r="K165" s="223"/>
      <c r="L165" s="223" t="str">
        <f t="array" ref="L165:L166">{"LIGHTL05";((IF("05"=(INDEX(ALLCLASSDATA,MATCH("LightLegendary",CLASSFEATUREHEADERS,0),MATCH($A166,CLASSNAMEHEADERS,0))),(INDEX(ALLCLASSDATA,MATCH("LightLegendary",CLASSFEATUREHEADERS,0),MATCH(($A166 &amp; "Points"),CLASSNAMEHEADERS,0))),(IF("05"=(INDEX(ALLCLASSDATA,MATCH("LightMaster",CLASSFEATUREHEADERS,0),MATCH($A166,CLASSNAMEHEADERS,0))),(INDEX(ALLCLASSDATA,MATCH("LightMaster",CLASSFEATUREHEADERS,0),MATCH(($A166 &amp; "Points"),CLASSNAMEHEADERS,0))),(IF("05"=(INDEX(ALLCLASSDATA,MATCH("LightExpert",CLASSFEATUREHEADERS,0),MATCH($A166,CLASSNAMEHEADERS,0))),(INDEX(ALLCLASSDATA,MATCH("LightExpert",CLASSFEATUREHEADERS,0),MATCH(($A166 &amp; "Points"),CLASSNAMEHEADERS,0))),(IF("05"=(INDEX(ALLCLASSDATA,MATCH("LightTrained",CLASSFEATUREHEADERS,0),MATCH($A166,CLASSNAMEHEADERS,0))),(INDEX(ALLCLASSDATA,MATCH("LightTrained",CLASSFEATUREHEADERS,0),MATCH(($A166 &amp; "Points"),CLASSNAMEHEADERS,0))),"")))))))))}</f>
        <v>LIGHTL05</v>
      </c>
      <c r="M165" s="223"/>
      <c r="N165" s="223" t="str">
        <f t="array" ref="N165:N166">{"LIGHTL07";((IF("07"=(INDEX(ALLCLASSDATA,MATCH("LightLegendary",CLASSFEATUREHEADERS,0),MATCH($A166,CLASSNAMEHEADERS,0))),(INDEX(ALLCLASSDATA,MATCH("LightLegendary",CLASSFEATUREHEADERS,0),MATCH(($A166 &amp; "Points"),CLASSNAMEHEADERS,0))),(IF("07"=(INDEX(ALLCLASSDATA,MATCH("LightMaster",CLASSFEATUREHEADERS,0),MATCH($A166,CLASSNAMEHEADERS,0))),(INDEX(ALLCLASSDATA,MATCH("LightMaster",CLASSFEATUREHEADERS,0),MATCH(($A166 &amp; "Points"),CLASSNAMEHEADERS,0))),(IF("07"=(INDEX(ALLCLASSDATA,MATCH("LightExpert",CLASSFEATUREHEADERS,0),MATCH($A166,CLASSNAMEHEADERS,0))),(INDEX(ALLCLASSDATA,MATCH("LightExpert",CLASSFEATUREHEADERS,0),MATCH(($A166 &amp; "Points"),CLASSNAMEHEADERS,0))),(IF("07"=(INDEX(ALLCLASSDATA,MATCH("LightTrained",CLASSFEATUREHEADERS,0),MATCH($A166,CLASSNAMEHEADERS,0))),(INDEX(ALLCLASSDATA,MATCH("LightTrained",CLASSFEATUREHEADERS,0),MATCH(($A166 &amp; "Points"),CLASSNAMEHEADERS,0))),"")))))))))}</f>
        <v>LIGHTL07</v>
      </c>
      <c r="O165" s="223"/>
      <c r="P165" s="223" t="str">
        <f t="array" ref="P165:P166">{"LIGHTL09";((IF("09"=(INDEX(ALLCLASSDATA,MATCH("LightLegendary",CLASSFEATUREHEADERS,0),MATCH($A166,CLASSNAMEHEADERS,0))),(INDEX(ALLCLASSDATA,MATCH("LightLegendary",CLASSFEATUREHEADERS,0),MATCH(($A166 &amp; "Points"),CLASSNAMEHEADERS,0))),(IF("09"=(INDEX(ALLCLASSDATA,MATCH("LightMaster",CLASSFEATUREHEADERS,0),MATCH($A166,CLASSNAMEHEADERS,0))),(INDEX(ALLCLASSDATA,MATCH("LightMaster",CLASSFEATUREHEADERS,0),MATCH(($A166 &amp; "Points"),CLASSNAMEHEADERS,0))),(IF("09"=(INDEX(ALLCLASSDATA,MATCH("LightExpert",CLASSFEATUREHEADERS,0),MATCH($A166,CLASSNAMEHEADERS,0))),(INDEX(ALLCLASSDATA,MATCH("LightExpert",CLASSFEATUREHEADERS,0),MATCH(($A166 &amp; "Points"),CLASSNAMEHEADERS,0))),(IF("09"=(INDEX(ALLCLASSDATA,MATCH("LightTrained",CLASSFEATUREHEADERS,0),MATCH($A166,CLASSNAMEHEADERS,0))),(INDEX(ALLCLASSDATA,MATCH("LightTrained",CLASSFEATUREHEADERS,0),MATCH(($A166 &amp; "Points"),CLASSNAMEHEADERS,0))),"")))))))))}</f>
        <v>LIGHTL09</v>
      </c>
      <c r="Q165" s="223"/>
      <c r="R165" s="223" t="str">
        <f t="array" ref="R165:R166">{"LIGHTL11";((IF("11"=(INDEX(ALLCLASSDATA,MATCH("LightLegendary",CLASSFEATUREHEADERS,0),MATCH($A166,CLASSNAMEHEADERS,0))),(INDEX(ALLCLASSDATA,MATCH("LightLegendary",CLASSFEATUREHEADERS,0),MATCH(($A166 &amp; "Points"),CLASSNAMEHEADERS,0))),(IF("11"=(INDEX(ALLCLASSDATA,MATCH("LightMaster",CLASSFEATUREHEADERS,0),MATCH($A166,CLASSNAMEHEADERS,0))),(INDEX(ALLCLASSDATA,MATCH("LightMaster",CLASSFEATUREHEADERS,0),MATCH(($A166 &amp; "Points"),CLASSNAMEHEADERS,0))),(IF("11"=(INDEX(ALLCLASSDATA,MATCH("LightExpert",CLASSFEATUREHEADERS,0),MATCH($A166,CLASSNAMEHEADERS,0))),(INDEX(ALLCLASSDATA,MATCH("LightExpert",CLASSFEATUREHEADERS,0),MATCH(($A166 &amp; "Points"),CLASSNAMEHEADERS,0))),(IF("11"=(INDEX(ALLCLASSDATA,MATCH("LightTrained",CLASSFEATUREHEADERS,0),MATCH($A166,CLASSNAMEHEADERS,0))),(INDEX(ALLCLASSDATA,MATCH("LightTrained",CLASSFEATUREHEADERS,0),MATCH(($A166 &amp; "Points"),CLASSNAMEHEADERS,0))),"")))))))))}</f>
        <v>LIGHTL11</v>
      </c>
      <c r="S165" s="223"/>
      <c r="T165" s="223" t="str">
        <f t="array" ref="T165:T166">{"LIGHTL13";((IF("13"=(INDEX(ALLCLASSDATA,MATCH("LightLegendary",CLASSFEATUREHEADERS,0),MATCH($A166,CLASSNAMEHEADERS,0))),(INDEX(ALLCLASSDATA,MATCH("LightLegendary",CLASSFEATUREHEADERS,0),MATCH(($A166 &amp; "Points"),CLASSNAMEHEADERS,0))),(IF("13"=(INDEX(ALLCLASSDATA,MATCH("LightMaster",CLASSFEATUREHEADERS,0),MATCH($A166,CLASSNAMEHEADERS,0))),(INDEX(ALLCLASSDATA,MATCH("LightMaster",CLASSFEATUREHEADERS,0),MATCH(($A166 &amp; "Points"),CLASSNAMEHEADERS,0))),(IF("13"=(INDEX(ALLCLASSDATA,MATCH("LightExpert",CLASSFEATUREHEADERS,0),MATCH($A166,CLASSNAMEHEADERS,0))),(INDEX(ALLCLASSDATA,MATCH("LightExpert",CLASSFEATUREHEADERS,0),MATCH(($A166 &amp; "Points"),CLASSNAMEHEADERS,0))),(IF("13"=(INDEX(ALLCLASSDATA,MATCH("LightTrained",CLASSFEATUREHEADERS,0),MATCH($A166,CLASSNAMEHEADERS,0))),(INDEX(ALLCLASSDATA,MATCH("LightTrained",CLASSFEATUREHEADERS,0),MATCH(($A166 &amp; "Points"),CLASSNAMEHEADERS,0))),"")))))))))}</f>
        <v>LIGHTL13</v>
      </c>
      <c r="U165" s="223"/>
      <c r="V165" s="223" t="str">
        <f t="array" ref="V165:V166">{"LIGHTL15";((IF("15"=(INDEX(ALLCLASSDATA,MATCH("LightLegendary",CLASSFEATUREHEADERS,0),MATCH($A166,CLASSNAMEHEADERS,0))),(INDEX(ALLCLASSDATA,MATCH("LightLegendary",CLASSFEATUREHEADERS,0),MATCH(($A166 &amp; "Points"),CLASSNAMEHEADERS,0))),(IF("15"=(INDEX(ALLCLASSDATA,MATCH("LightMaster",CLASSFEATUREHEADERS,0),MATCH($A166,CLASSNAMEHEADERS,0))),(INDEX(ALLCLASSDATA,MATCH("LightMaster",CLASSFEATUREHEADERS,0),MATCH(($A166 &amp; "Points"),CLASSNAMEHEADERS,0))),(IF("15"=(INDEX(ALLCLASSDATA,MATCH("LightExpert",CLASSFEATUREHEADERS,0),MATCH($A166,CLASSNAMEHEADERS,0))),(INDEX(ALLCLASSDATA,MATCH("LightExpert",CLASSFEATUREHEADERS,0),MATCH(($A166 &amp; "Points"),CLASSNAMEHEADERS,0))),(IF("15"=(INDEX(ALLCLASSDATA,MATCH("LightTrained",CLASSFEATUREHEADERS,0),MATCH($A166,CLASSNAMEHEADERS,0))),(INDEX(ALLCLASSDATA,MATCH("LightTrained",CLASSFEATUREHEADERS,0),MATCH(($A166 &amp; "Points"),CLASSNAMEHEADERS,0))),"")))))))))}</f>
        <v>LIGHTL15</v>
      </c>
      <c r="W165" s="223"/>
      <c r="X165" s="223" t="str">
        <f t="array" ref="X165:X166">{"LIGHTL17";((IF("17"=(INDEX(ALLCLASSDATA,MATCH("LightLegendary",CLASSFEATUREHEADERS,0),MATCH($A166,CLASSNAMEHEADERS,0))),(INDEX(ALLCLASSDATA,MATCH("LightLegendary",CLASSFEATUREHEADERS,0),MATCH(($A166 &amp; "Points"),CLASSNAMEHEADERS,0))),(IF("17"=(INDEX(ALLCLASSDATA,MATCH("LightMaster",CLASSFEATUREHEADERS,0),MATCH($A166,CLASSNAMEHEADERS,0))),(INDEX(ALLCLASSDATA,MATCH("LightMaster",CLASSFEATUREHEADERS,0),MATCH(($A166 &amp; "Points"),CLASSNAMEHEADERS,0))),(IF("17"=(INDEX(ALLCLASSDATA,MATCH("LightExpert",CLASSFEATUREHEADERS,0),MATCH($A166,CLASSNAMEHEADERS,0))),(INDEX(ALLCLASSDATA,MATCH("LightExpert",CLASSFEATUREHEADERS,0),MATCH(($A166 &amp; "Points"),CLASSNAMEHEADERS,0))),(IF("17"=(INDEX(ALLCLASSDATA,MATCH("LightTrained",CLASSFEATUREHEADERS,0),MATCH($A166,CLASSNAMEHEADERS,0))),(INDEX(ALLCLASSDATA,MATCH("LightTrained",CLASSFEATUREHEADERS,0),MATCH(($A166 &amp; "Points"),CLASSNAMEHEADERS,0))),"")))))))))}</f>
        <v>LIGHTL17</v>
      </c>
      <c r="Y165" s="223"/>
      <c r="Z165" s="223" t="str">
        <f t="array" ref="Z165:Z166">{"LIGHTL19";((IF("19"=(INDEX(ALLCLASSDATA,MATCH("LightLegendary",CLASSFEATUREHEADERS,0),MATCH($A166,CLASSNAMEHEADERS,0))),(INDEX(ALLCLASSDATA,MATCH("LightLegendary",CLASSFEATUREHEADERS,0),MATCH(($A166 &amp; "Points"),CLASSNAMEHEADERS,0))),(IF("19"=(INDEX(ALLCLASSDATA,MATCH("LightMaster",CLASSFEATUREHEADERS,0),MATCH($A166,CLASSNAMEHEADERS,0))),(INDEX(ALLCLASSDATA,MATCH("LightMaster",CLASSFEATUREHEADERS,0),MATCH(($A166 &amp; "Points"),CLASSNAMEHEADERS,0))),(IF("19"=(INDEX(ALLCLASSDATA,MATCH("LightExpert",CLASSFEATUREHEADERS,0),MATCH($A166,CLASSNAMEHEADERS,0))),(INDEX(ALLCLASSDATA,MATCH("LightExpert",CLASSFEATUREHEADERS,0),MATCH(($A166 &amp; "Points"),CLASSNAMEHEADERS,0))),(IF("19"=(INDEX(ALLCLASSDATA,MATCH("LightTrained",CLASSFEATUREHEADERS,0),MATCH($A166,CLASSNAMEHEADERS,0))),(INDEX(ALLCLASSDATA,MATCH("LightTrained",CLASSFEATUREHEADERS,0),MATCH(($A166 &amp; "Points"),CLASSNAMEHEADERS,0))),"")))))))))}</f>
        <v>LIGHTL19</v>
      </c>
      <c r="AA165" s="223"/>
      <c r="AB165" s="76" t="str">
        <f t="array" ref="AB165:AB166">{"LIGHT TOTAL";(IF(COUNTBLANK(G166:AA166)=17,"L",(IF(COUNTBLANK(G166:AA166)=18,"M",(IF(COUNTBLANK(G166:AA166)=19,"E",(IF(COUNTBLANK(G166:AA166)=20,"T",""))))))))}</f>
        <v>LIGHT TOTAL</v>
      </c>
      <c r="AC165" s="76" t="str">
        <f t="array" ref="AC165:AC166">{"LIGHT TOTAL";(sum(G166:AA166))}</f>
        <v>LIGHT TOTAL</v>
      </c>
    </row>
    <row r="166">
      <c r="A166" s="48" t="s">
        <v>95</v>
      </c>
      <c r="B166" s="48"/>
      <c r="C166" s="48" t="s">
        <v>409</v>
      </c>
      <c r="D166" s="48" t="s">
        <v>1900</v>
      </c>
      <c r="E166" s="48" t="s">
        <v>77</v>
      </c>
      <c r="F166" s="5" t="s">
        <v>603</v>
      </c>
      <c r="G166" s="47" t="s">
        <v>603</v>
      </c>
      <c r="H166" s="5" t="s">
        <v>603</v>
      </c>
      <c r="I166" s="5"/>
      <c r="J166" s="5" t="s">
        <v>603</v>
      </c>
      <c r="K166" s="5"/>
      <c r="L166" s="5" t="s">
        <v>603</v>
      </c>
      <c r="M166" s="5"/>
      <c r="N166" s="5" t="s">
        <v>603</v>
      </c>
      <c r="O166" s="5"/>
      <c r="P166" s="5" t="s">
        <v>603</v>
      </c>
      <c r="Q166" s="5"/>
      <c r="R166" s="5" t="s">
        <v>603</v>
      </c>
      <c r="S166" s="5"/>
      <c r="T166" s="5" t="s">
        <v>603</v>
      </c>
      <c r="U166" s="5"/>
      <c r="V166" s="5" t="s">
        <v>603</v>
      </c>
      <c r="W166" s="5"/>
      <c r="X166" s="5" t="s">
        <v>603</v>
      </c>
      <c r="Y166" s="5"/>
      <c r="Z166" s="5" t="s">
        <v>603</v>
      </c>
      <c r="AA166" s="5"/>
      <c r="AB166" s="5" t="s">
        <v>603</v>
      </c>
      <c r="AC166" s="47">
        <v>0.0</v>
      </c>
    </row>
    <row r="167" hidden="1">
      <c r="A167" s="222" t="str">
        <f t="array" ref="A167:A168">{"FormulaRow37";(INDEX(CLASSLIST,A94,1))}</f>
        <v>FormulaRow37</v>
      </c>
      <c r="B167" s="77" t="s">
        <v>236</v>
      </c>
      <c r="C167" s="222" t="str">
        <f t="array" ref="C167:C168">{"CLASSTYPE";((INDEX(ALLCLASSDATA,MATCH("ClassType",CLASSFEATUREHEADERS,0),MATCH($A168,CLASSNAMEHEADERS,0))))}</f>
        <v>CLASSTYPE</v>
      </c>
      <c r="D167" s="222" t="str">
        <f t="array" ref="D167:D168">{"DEFENSE";"Defense"}</f>
        <v>DEFENSE</v>
      </c>
      <c r="E167" s="222" t="str">
        <f t="array" ref="E167:E168">{"MEDIUM";"Medium"}</f>
        <v>MEDIUM</v>
      </c>
      <c r="F167" s="223" t="str">
        <f t="array" ref="F167:F168">{"MEDIUMINITIAL";((IF(H168=10,"T",(IF(H168=50,"E","")))))}</f>
        <v>MEDIUMINITIAL</v>
      </c>
      <c r="G167" s="223" t="str">
        <f t="array" ref="G167:G168">{"MEDIUMINITIALPTS";((IF("00"=(INDEX(ALLCLASSDATA,MATCH("MediumLegendary",CLASSFEATUREHEADERS,0),MATCH($A168,CLASSNAMEHEADERS,0))),(INDEX(ALLCLASSDATA,MATCH("MediumLegendary",CLASSFEATUREHEADERS,0),MATCH(($A168 &amp; "Points"),CLASSNAMEHEADERS,0))),(IF("00"=(INDEX(ALLCLASSDATA,MATCH("MediumMaster",CLASSFEATUREHEADERS,0),MATCH($A168,CLASSNAMEHEADERS,0))),(INDEX(ALLCLASSDATA,MATCH("MediumMaster",CLASSFEATUREHEADERS,0),MATCH(($A168 &amp; "Points"),CLASSNAMEHEADERS,0))),(IF("00"=(INDEX(ALLCLASSDATA,MATCH("MediumExpert",CLASSFEATUREHEADERS,0),MATCH($A168,CLASSNAMEHEADERS,0))),(INDEX(ALLCLASSDATA,MATCH("MediumExpert",CLASSFEATUREHEADERS,0),MATCH(($A168 &amp; "Points"),CLASSNAMEHEADERS,0))),(IF("00"=(INDEX(ALLCLASSDATA,MATCH("MediumTrained",CLASSFEATUREHEADERS,0),MATCH($A168,CLASSNAMEHEADERS,0))),(INDEX(ALLCLASSDATA,MATCH("MediumTrained",CLASSFEATUREHEADERS,0),MATCH(($A168 &amp; "Points"),CLASSNAMEHEADERS,0))),"")))))))))}</f>
        <v>MEDIUMINITIALPTS</v>
      </c>
      <c r="H167" s="223" t="str">
        <f t="array" ref="H167:H168">{"MEDIUML01";((IF("01"=(INDEX(ALLCLASSDATA,MATCH("MediumLegendary",CLASSFEATUREHEADERS,0),MATCH($A168,CLASSNAMEHEADERS,0))),(INDEX(ALLCLASSDATA,MATCH("MediumLegendary",CLASSFEATUREHEADERS,0),MATCH(($A168 &amp; "Points"),CLASSNAMEHEADERS,0))),(IF("01"=(INDEX(ALLCLASSDATA,MATCH("MediumMaster",CLASSFEATUREHEADERS,0),MATCH($A168,CLASSNAMEHEADERS,0))),(INDEX(ALLCLASSDATA,MATCH("MediumMaster",CLASSFEATUREHEADERS,0),MATCH(($A168 &amp; "Points"),CLASSNAMEHEADERS,0))),(IF("01"=(INDEX(ALLCLASSDATA,MATCH("MediumExpert",CLASSFEATUREHEADERS,0),MATCH($A168,CLASSNAMEHEADERS,0))),(INDEX(ALLCLASSDATA,MATCH("MediumExpert",CLASSFEATUREHEADERS,0),MATCH(($A168 &amp; "Points"),CLASSNAMEHEADERS,0))),(IF("01"=(INDEX(ALLCLASSDATA,MATCH("MediumTrained",CLASSFEATUREHEADERS,0),MATCH($A168,CLASSNAMEHEADERS,0))),(INDEX(ALLCLASSDATA,MATCH("MediumTrained",CLASSFEATUREHEADERS,0),MATCH(($A168 &amp; "Points"),CLASSNAMEHEADERS,0))),"")))))))))}</f>
        <v>MEDIUML01</v>
      </c>
      <c r="I167" s="223"/>
      <c r="J167" s="223" t="str">
        <f t="array" ref="J167:J168">{"MEDIUML03";((IF("03"=(INDEX(ALLCLASSDATA,MATCH("MediumLegendary",CLASSFEATUREHEADERS,0),MATCH($A168,CLASSNAMEHEADERS,0))),(INDEX(ALLCLASSDATA,MATCH("MediumLegendary",CLASSFEATUREHEADERS,0),MATCH(($A168 &amp; "Points"),CLASSNAMEHEADERS,0))),(IF("03"=(INDEX(ALLCLASSDATA,MATCH("MediumMaster",CLASSFEATUREHEADERS,0),MATCH($A168,CLASSNAMEHEADERS,0))),(INDEX(ALLCLASSDATA,MATCH("MediumMaster",CLASSFEATUREHEADERS,0),MATCH(($A168 &amp; "Points"),CLASSNAMEHEADERS,0))),(IF("03"=(INDEX(ALLCLASSDATA,MATCH("MediumExpert",CLASSFEATUREHEADERS,0),MATCH($A168,CLASSNAMEHEADERS,0))),(INDEX(ALLCLASSDATA,MATCH("MediumExpert",CLASSFEATUREHEADERS,0),MATCH(($A168 &amp; "Points"),CLASSNAMEHEADERS,0))),(IF("03"=(INDEX(ALLCLASSDATA,MATCH("MediumTrained",CLASSFEATUREHEADERS,0),MATCH($A168,CLASSNAMEHEADERS,0))),(INDEX(ALLCLASSDATA,MATCH("MediumTrained",CLASSFEATUREHEADERS,0),MATCH(($A168 &amp; "Points"),CLASSNAMEHEADERS,0))),"")))))))))}</f>
        <v>MEDIUML03</v>
      </c>
      <c r="K167" s="223"/>
      <c r="L167" s="223" t="str">
        <f t="array" ref="L167:L168">{"MEDIUML05";((IF("05"=(INDEX(ALLCLASSDATA,MATCH("MediumLegendary",CLASSFEATUREHEADERS,0),MATCH($A168,CLASSNAMEHEADERS,0))),(INDEX(ALLCLASSDATA,MATCH("MediumLegendary",CLASSFEATUREHEADERS,0),MATCH(($A168 &amp; "Points"),CLASSNAMEHEADERS,0))),(IF("05"=(INDEX(ALLCLASSDATA,MATCH("MediumMaster",CLASSFEATUREHEADERS,0),MATCH($A168,CLASSNAMEHEADERS,0))),(INDEX(ALLCLASSDATA,MATCH("MediumMaster",CLASSFEATUREHEADERS,0),MATCH(($A168 &amp; "Points"),CLASSNAMEHEADERS,0))),(IF("05"=(INDEX(ALLCLASSDATA,MATCH("MediumExpert",CLASSFEATUREHEADERS,0),MATCH($A168,CLASSNAMEHEADERS,0))),(INDEX(ALLCLASSDATA,MATCH("MediumExpert",CLASSFEATUREHEADERS,0),MATCH(($A168 &amp; "Points"),CLASSNAMEHEADERS,0))),(IF("05"=(INDEX(ALLCLASSDATA,MATCH("MediumTrained",CLASSFEATUREHEADERS,0),MATCH($A168,CLASSNAMEHEADERS,0))),(INDEX(ALLCLASSDATA,MATCH("MediumTrained",CLASSFEATUREHEADERS,0),MATCH(($A168 &amp; "Points"),CLASSNAMEHEADERS,0))),"")))))))))}</f>
        <v>MEDIUML05</v>
      </c>
      <c r="M167" s="223"/>
      <c r="N167" s="223" t="str">
        <f t="array" ref="N167:N168">{"MEDIUML07";((IF("07"=(INDEX(ALLCLASSDATA,MATCH("MediumLegendary",CLASSFEATUREHEADERS,0),MATCH($A168,CLASSNAMEHEADERS,0))),(INDEX(ALLCLASSDATA,MATCH("MediumLegendary",CLASSFEATUREHEADERS,0),MATCH(($A168 &amp; "Points"),CLASSNAMEHEADERS,0))),(IF("07"=(INDEX(ALLCLASSDATA,MATCH("MediumMaster",CLASSFEATUREHEADERS,0),MATCH($A168,CLASSNAMEHEADERS,0))),(INDEX(ALLCLASSDATA,MATCH("MediumMaster",CLASSFEATUREHEADERS,0),MATCH(($A168 &amp; "Points"),CLASSNAMEHEADERS,0))),(IF("07"=(INDEX(ALLCLASSDATA,MATCH("MediumExpert",CLASSFEATUREHEADERS,0),MATCH($A168,CLASSNAMEHEADERS,0))),(INDEX(ALLCLASSDATA,MATCH("MediumExpert",CLASSFEATUREHEADERS,0),MATCH(($A168 &amp; "Points"),CLASSNAMEHEADERS,0))),(IF("07"=(INDEX(ALLCLASSDATA,MATCH("MediumTrained",CLASSFEATUREHEADERS,0),MATCH($A168,CLASSNAMEHEADERS,0))),(INDEX(ALLCLASSDATA,MATCH("MediumTrained",CLASSFEATUREHEADERS,0),MATCH(($A168 &amp; "Points"),CLASSNAMEHEADERS,0))),"")))))))))}</f>
        <v>MEDIUML07</v>
      </c>
      <c r="O167" s="223"/>
      <c r="P167" s="223" t="str">
        <f t="array" ref="P167:P168">{"MEDIUML09";((IF("09"=(INDEX(ALLCLASSDATA,MATCH("MediumLegendary",CLASSFEATUREHEADERS,0),MATCH($A168,CLASSNAMEHEADERS,0))),(INDEX(ALLCLASSDATA,MATCH("MediumLegendary",CLASSFEATUREHEADERS,0),MATCH(($A168 &amp; "Points"),CLASSNAMEHEADERS,0))),(IF("09"=(INDEX(ALLCLASSDATA,MATCH("MediumMaster",CLASSFEATUREHEADERS,0),MATCH($A168,CLASSNAMEHEADERS,0))),(INDEX(ALLCLASSDATA,MATCH("MediumMaster",CLASSFEATUREHEADERS,0),MATCH(($A168 &amp; "Points"),CLASSNAMEHEADERS,0))),(IF("09"=(INDEX(ALLCLASSDATA,MATCH("MediumExpert",CLASSFEATUREHEADERS,0),MATCH($A168,CLASSNAMEHEADERS,0))),(INDEX(ALLCLASSDATA,MATCH("MediumExpert",CLASSFEATUREHEADERS,0),MATCH(($A168 &amp; "Points"),CLASSNAMEHEADERS,0))),(IF("09"=(INDEX(ALLCLASSDATA,MATCH("MediumTrained",CLASSFEATUREHEADERS,0),MATCH($A168,CLASSNAMEHEADERS,0))),(INDEX(ALLCLASSDATA,MATCH("MediumTrained",CLASSFEATUREHEADERS,0),MATCH(($A168 &amp; "Points"),CLASSNAMEHEADERS,0))),"")))))))))}</f>
        <v>MEDIUML09</v>
      </c>
      <c r="Q167" s="223"/>
      <c r="R167" s="223" t="str">
        <f t="array" ref="R167:R168">{"MEDIUML11";((IF("11"=(INDEX(ALLCLASSDATA,MATCH("MediumLegendary",CLASSFEATUREHEADERS,0),MATCH($A168,CLASSNAMEHEADERS,0))),(INDEX(ALLCLASSDATA,MATCH("MediumLegendary",CLASSFEATUREHEADERS,0),MATCH(($A168 &amp; "Points"),CLASSNAMEHEADERS,0))),(IF("11"=(INDEX(ALLCLASSDATA,MATCH("MediumMaster",CLASSFEATUREHEADERS,0),MATCH($A168,CLASSNAMEHEADERS,0))),(INDEX(ALLCLASSDATA,MATCH("MediumMaster",CLASSFEATUREHEADERS,0),MATCH(($A168 &amp; "Points"),CLASSNAMEHEADERS,0))),(IF("11"=(INDEX(ALLCLASSDATA,MATCH("MediumExpert",CLASSFEATUREHEADERS,0),MATCH($A168,CLASSNAMEHEADERS,0))),(INDEX(ALLCLASSDATA,MATCH("MediumExpert",CLASSFEATUREHEADERS,0),MATCH(($A168 &amp; "Points"),CLASSNAMEHEADERS,0))),(IF("11"=(INDEX(ALLCLASSDATA,MATCH("MediumTrained",CLASSFEATUREHEADERS,0),MATCH($A168,CLASSNAMEHEADERS,0))),(INDEX(ALLCLASSDATA,MATCH("MediumTrained",CLASSFEATUREHEADERS,0),MATCH(($A168 &amp; "Points"),CLASSNAMEHEADERS,0))),"")))))))))}</f>
        <v>MEDIUML11</v>
      </c>
      <c r="S167" s="223"/>
      <c r="T167" s="223" t="str">
        <f t="array" ref="T167:T168">{"MEDIUML13";((IF("13"=(INDEX(ALLCLASSDATA,MATCH("MediumLegendary",CLASSFEATUREHEADERS,0),MATCH($A168,CLASSNAMEHEADERS,0))),(INDEX(ALLCLASSDATA,MATCH("MediumLegendary",CLASSFEATUREHEADERS,0),MATCH(($A168 &amp; "Points"),CLASSNAMEHEADERS,0))),(IF("13"=(INDEX(ALLCLASSDATA,MATCH("MediumMaster",CLASSFEATUREHEADERS,0),MATCH($A168,CLASSNAMEHEADERS,0))),(INDEX(ALLCLASSDATA,MATCH("MediumMaster",CLASSFEATUREHEADERS,0),MATCH(($A168 &amp; "Points"),CLASSNAMEHEADERS,0))),(IF("13"=(INDEX(ALLCLASSDATA,MATCH("MediumExpert",CLASSFEATUREHEADERS,0),MATCH($A168,CLASSNAMEHEADERS,0))),(INDEX(ALLCLASSDATA,MATCH("MediumExpert",CLASSFEATUREHEADERS,0),MATCH(($A168 &amp; "Points"),CLASSNAMEHEADERS,0))),(IF("13"=(INDEX(ALLCLASSDATA,MATCH("MediumTrained",CLASSFEATUREHEADERS,0),MATCH($A168,CLASSNAMEHEADERS,0))),(INDEX(ALLCLASSDATA,MATCH("MediumTrained",CLASSFEATUREHEADERS,0),MATCH(($A168 &amp; "Points"),CLASSNAMEHEADERS,0))),"")))))))))}</f>
        <v>MEDIUML13</v>
      </c>
      <c r="U167" s="223"/>
      <c r="V167" s="223" t="str">
        <f t="array" ref="V167:V168">{"MEDIUML15";((IF("15"=(INDEX(ALLCLASSDATA,MATCH("MediumLegendary",CLASSFEATUREHEADERS,0),MATCH($A168,CLASSNAMEHEADERS,0))),(INDEX(ALLCLASSDATA,MATCH("MediumLegendary",CLASSFEATUREHEADERS,0),MATCH(($A168 &amp; "Points"),CLASSNAMEHEADERS,0))),(IF("15"=(INDEX(ALLCLASSDATA,MATCH("MediumMaster",CLASSFEATUREHEADERS,0),MATCH($A168,CLASSNAMEHEADERS,0))),(INDEX(ALLCLASSDATA,MATCH("MediumMaster",CLASSFEATUREHEADERS,0),MATCH(($A168 &amp; "Points"),CLASSNAMEHEADERS,0))),(IF("15"=(INDEX(ALLCLASSDATA,MATCH("MediumExpert",CLASSFEATUREHEADERS,0),MATCH($A168,CLASSNAMEHEADERS,0))),(INDEX(ALLCLASSDATA,MATCH("MediumExpert",CLASSFEATUREHEADERS,0),MATCH(($A168 &amp; "Points"),CLASSNAMEHEADERS,0))),(IF("15"=(INDEX(ALLCLASSDATA,MATCH("MediumTrained",CLASSFEATUREHEADERS,0),MATCH($A168,CLASSNAMEHEADERS,0))),(INDEX(ALLCLASSDATA,MATCH("MediumTrained",CLASSFEATUREHEADERS,0),MATCH(($A168 &amp; "Points"),CLASSNAMEHEADERS,0))),"")))))))))}</f>
        <v>MEDIUML15</v>
      </c>
      <c r="W167" s="223"/>
      <c r="X167" s="223" t="str">
        <f t="array" ref="X167:X168">{"MEDIUML17";((IF("17"=(INDEX(ALLCLASSDATA,MATCH("MediumLegendary",CLASSFEATUREHEADERS,0),MATCH($A168,CLASSNAMEHEADERS,0))),(INDEX(ALLCLASSDATA,MATCH("MediumLegendary",CLASSFEATUREHEADERS,0),MATCH(($A168 &amp; "Points"),CLASSNAMEHEADERS,0))),(IF("17"=(INDEX(ALLCLASSDATA,MATCH("MediumMaster",CLASSFEATUREHEADERS,0),MATCH($A168,CLASSNAMEHEADERS,0))),(INDEX(ALLCLASSDATA,MATCH("MediumMaster",CLASSFEATUREHEADERS,0),MATCH(($A168 &amp; "Points"),CLASSNAMEHEADERS,0))),(IF("17"=(INDEX(ALLCLASSDATA,MATCH("MediumExpert",CLASSFEATUREHEADERS,0),MATCH($A168,CLASSNAMEHEADERS,0))),(INDEX(ALLCLASSDATA,MATCH("MediumExpert",CLASSFEATUREHEADERS,0),MATCH(($A168 &amp; "Points"),CLASSNAMEHEADERS,0))),(IF("17"=(INDEX(ALLCLASSDATA,MATCH("MediumTrained",CLASSFEATUREHEADERS,0),MATCH($A168,CLASSNAMEHEADERS,0))),(INDEX(ALLCLASSDATA,MATCH("MediumTrained",CLASSFEATUREHEADERS,0),MATCH(($A168 &amp; "Points"),CLASSNAMEHEADERS,0))),"")))))))))}</f>
        <v>MEDIUML17</v>
      </c>
      <c r="Y167" s="223"/>
      <c r="Z167" s="223" t="str">
        <f t="array" ref="Z167:Z168">{"MEDIUML19";((IF("19"=(INDEX(ALLCLASSDATA,MATCH("MediumLegendary",CLASSFEATUREHEADERS,0),MATCH($A168,CLASSNAMEHEADERS,0))),(INDEX(ALLCLASSDATA,MATCH("MediumLegendary",CLASSFEATUREHEADERS,0),MATCH(($A168 &amp; "Points"),CLASSNAMEHEADERS,0))),(IF("19"=(INDEX(ALLCLASSDATA,MATCH("MediumMaster",CLASSFEATUREHEADERS,0),MATCH($A168,CLASSNAMEHEADERS,0))),(INDEX(ALLCLASSDATA,MATCH("MediumMaster",CLASSFEATUREHEADERS,0),MATCH(($A168 &amp; "Points"),CLASSNAMEHEADERS,0))),(IF("19"=(INDEX(ALLCLASSDATA,MATCH("MediumExpert",CLASSFEATUREHEADERS,0),MATCH($A168,CLASSNAMEHEADERS,0))),(INDEX(ALLCLASSDATA,MATCH("MediumExpert",CLASSFEATUREHEADERS,0),MATCH(($A168 &amp; "Points"),CLASSNAMEHEADERS,0))),(IF("19"=(INDEX(ALLCLASSDATA,MATCH("MediumTrained",CLASSFEATUREHEADERS,0),MATCH($A168,CLASSNAMEHEADERS,0))),(INDEX(ALLCLASSDATA,MATCH("MediumTrained",CLASSFEATUREHEADERS,0),MATCH(($A168 &amp; "Points"),CLASSNAMEHEADERS,0))),"")))))))))}</f>
        <v>MEDIUML19</v>
      </c>
      <c r="AA167" s="223"/>
      <c r="AB167" s="76" t="str">
        <f t="array" ref="AB167:AB168">{"MEDIUM TOTAL";(IF(COUNTBLANK(G168:AA168)=17,"L",(IF(COUNTBLANK(G168:AA168)=18,"M",(IF(COUNTBLANK(G168:AA168)=19,"E",(IF(COUNTBLANK(G168:AA168)=20,"T",""))))))))}</f>
        <v>MEDIUM TOTAL</v>
      </c>
      <c r="AC167" s="76" t="str">
        <f t="array" ref="AC167:AC168">{"MEDIUM TOTAL";(sum(G168:AA168))}</f>
        <v>MEDIUM TOTAL</v>
      </c>
    </row>
    <row r="168">
      <c r="A168" s="48" t="s">
        <v>95</v>
      </c>
      <c r="B168" s="48"/>
      <c r="C168" s="48" t="s">
        <v>409</v>
      </c>
      <c r="D168" s="48" t="s">
        <v>1900</v>
      </c>
      <c r="E168" s="48" t="s">
        <v>76</v>
      </c>
      <c r="F168" s="5" t="s">
        <v>603</v>
      </c>
      <c r="G168" s="47" t="s">
        <v>603</v>
      </c>
      <c r="H168" s="5" t="s">
        <v>603</v>
      </c>
      <c r="I168" s="5"/>
      <c r="J168" s="5" t="s">
        <v>603</v>
      </c>
      <c r="K168" s="5"/>
      <c r="L168" s="5" t="s">
        <v>603</v>
      </c>
      <c r="M168" s="5"/>
      <c r="N168" s="5" t="s">
        <v>603</v>
      </c>
      <c r="O168" s="5"/>
      <c r="P168" s="5" t="s">
        <v>603</v>
      </c>
      <c r="Q168" s="5"/>
      <c r="R168" s="5" t="s">
        <v>603</v>
      </c>
      <c r="S168" s="5"/>
      <c r="T168" s="5" t="s">
        <v>603</v>
      </c>
      <c r="U168" s="5"/>
      <c r="V168" s="5" t="s">
        <v>603</v>
      </c>
      <c r="W168" s="5"/>
      <c r="X168" s="5" t="s">
        <v>603</v>
      </c>
      <c r="Y168" s="5"/>
      <c r="Z168" s="5" t="s">
        <v>603</v>
      </c>
      <c r="AA168" s="5"/>
      <c r="AB168" s="5" t="s">
        <v>603</v>
      </c>
      <c r="AC168" s="47">
        <v>0.0</v>
      </c>
    </row>
    <row r="169" hidden="1">
      <c r="A169" s="222" t="str">
        <f t="array" ref="A169:A170">{"FormulaRow38";(INDEX(CLASSLIST,A94,1))}</f>
        <v>FormulaRow38</v>
      </c>
      <c r="B169" s="77" t="s">
        <v>236</v>
      </c>
      <c r="C169" s="222" t="str">
        <f t="array" ref="C169:C170">{"CLASSTYPE";((INDEX(ALLCLASSDATA,MATCH("ClassType",CLASSFEATUREHEADERS,0),MATCH($A170,CLASSNAMEHEADERS,0))))}</f>
        <v>CLASSTYPE</v>
      </c>
      <c r="D169" s="222" t="str">
        <f t="array" ref="D169:D170">{"DEFENSE";"Defense"}</f>
        <v>DEFENSE</v>
      </c>
      <c r="E169" s="222" t="str">
        <f t="array" ref="E169:E170">{"HEAVY";"Heavy"}</f>
        <v>HEAVY</v>
      </c>
      <c r="F169" s="223" t="str">
        <f t="array" ref="F169:F170">{"HEAVYINITIAL";((IF(H170=10,"T",(IF(H170=50,"E","")))))}</f>
        <v>HEAVYINITIAL</v>
      </c>
      <c r="G169" s="223" t="str">
        <f t="array" ref="G169:G170">{"HEAVYINITIALPTS";((IF("00"=(INDEX(ALLCLASSDATA,MATCH("HeavyLegendary",CLASSFEATUREHEADERS,0),MATCH($A170,CLASSNAMEHEADERS,0))),(INDEX(ALLCLASSDATA,MATCH("HeavyLegendary",CLASSFEATUREHEADERS,0),MATCH(($A170 &amp; "Points"),CLASSNAMEHEADERS,0))),(IF("00"=(INDEX(ALLCLASSDATA,MATCH("HeavyMaster",CLASSFEATUREHEADERS,0),MATCH($A170,CLASSNAMEHEADERS,0))),(INDEX(ALLCLASSDATA,MATCH("HeavyMaster",CLASSFEATUREHEADERS,0),MATCH(($A170 &amp; "Points"),CLASSNAMEHEADERS,0))),(IF("00"=(INDEX(ALLCLASSDATA,MATCH("HeavyExpert",CLASSFEATUREHEADERS,0),MATCH($A170,CLASSNAMEHEADERS,0))),(INDEX(ALLCLASSDATA,MATCH("HeavyExpert",CLASSFEATUREHEADERS,0),MATCH(($A170 &amp; "Points"),CLASSNAMEHEADERS,0))),(IF("00"=(INDEX(ALLCLASSDATA,MATCH("HeavyTrained",CLASSFEATUREHEADERS,0),MATCH($A170,CLASSNAMEHEADERS,0))),(INDEX(ALLCLASSDATA,MATCH("HeavyTrained",CLASSFEATUREHEADERS,0),MATCH(($A170 &amp; "Points"),CLASSNAMEHEADERS,0))),"")))))))))}</f>
        <v>HEAVYINITIALPTS</v>
      </c>
      <c r="H169" s="223" t="str">
        <f t="array" ref="H169:H170">{"HEAVYL01";((IF("01"=(INDEX(ALLCLASSDATA,MATCH("HeavyLegendary",CLASSFEATUREHEADERS,0),MATCH($A170,CLASSNAMEHEADERS,0))),(INDEX(ALLCLASSDATA,MATCH("HeavyLegendary",CLASSFEATUREHEADERS,0),MATCH(($A170 &amp; "Points"),CLASSNAMEHEADERS,0))),(IF("01"=(INDEX(ALLCLASSDATA,MATCH("HeavyMaster",CLASSFEATUREHEADERS,0),MATCH($A170,CLASSNAMEHEADERS,0))),(INDEX(ALLCLASSDATA,MATCH("HeavyMaster",CLASSFEATUREHEADERS,0),MATCH(($A170 &amp; "Points"),CLASSNAMEHEADERS,0))),(IF("01"=(INDEX(ALLCLASSDATA,MATCH("HeavyExpert",CLASSFEATUREHEADERS,0),MATCH($A170,CLASSNAMEHEADERS,0))),(INDEX(ALLCLASSDATA,MATCH("HeavyExpert",CLASSFEATUREHEADERS,0),MATCH(($A170 &amp; "Points"),CLASSNAMEHEADERS,0))),(IF("01"=(INDEX(ALLCLASSDATA,MATCH("HeavyTrained",CLASSFEATUREHEADERS,0),MATCH($A170,CLASSNAMEHEADERS,0))),(INDEX(ALLCLASSDATA,MATCH("HeavyTrained",CLASSFEATUREHEADERS,0),MATCH(($A170 &amp; "Points"),CLASSNAMEHEADERS,0))),"")))))))))}</f>
        <v>HEAVYL01</v>
      </c>
      <c r="I169" s="223"/>
      <c r="J169" s="223" t="str">
        <f t="array" ref="J169:J170">{"HEAVYL03";((IF("03"=(INDEX(ALLCLASSDATA,MATCH("HeavyLegendary",CLASSFEATUREHEADERS,0),MATCH($A170,CLASSNAMEHEADERS,0))),(INDEX(ALLCLASSDATA,MATCH("HeavyLegendary",CLASSFEATUREHEADERS,0),MATCH(($A170 &amp; "Points"),CLASSNAMEHEADERS,0))),(IF("03"=(INDEX(ALLCLASSDATA,MATCH("HeavyMaster",CLASSFEATUREHEADERS,0),MATCH($A170,CLASSNAMEHEADERS,0))),(INDEX(ALLCLASSDATA,MATCH("HeavyMaster",CLASSFEATUREHEADERS,0),MATCH(($A170 &amp; "Points"),CLASSNAMEHEADERS,0))),(IF("03"=(INDEX(ALLCLASSDATA,MATCH("HeavyExpert",CLASSFEATUREHEADERS,0),MATCH($A170,CLASSNAMEHEADERS,0))),(INDEX(ALLCLASSDATA,MATCH("HeavyExpert",CLASSFEATUREHEADERS,0),MATCH(($A170 &amp; "Points"),CLASSNAMEHEADERS,0))),(IF("03"=(INDEX(ALLCLASSDATA,MATCH("HeavyTrained",CLASSFEATUREHEADERS,0),MATCH($A170,CLASSNAMEHEADERS,0))),(INDEX(ALLCLASSDATA,MATCH("HeavyTrained",CLASSFEATUREHEADERS,0),MATCH(($A170 &amp; "Points"),CLASSNAMEHEADERS,0))),"")))))))))}</f>
        <v>HEAVYL03</v>
      </c>
      <c r="K169" s="223"/>
      <c r="L169" s="223" t="str">
        <f t="array" ref="L169:L170">{"HEAVYL05";((IF("05"=(INDEX(ALLCLASSDATA,MATCH("HeavyLegendary",CLASSFEATUREHEADERS,0),MATCH($A170,CLASSNAMEHEADERS,0))),(INDEX(ALLCLASSDATA,MATCH("HeavyLegendary",CLASSFEATUREHEADERS,0),MATCH(($A170 &amp; "Points"),CLASSNAMEHEADERS,0))),(IF("05"=(INDEX(ALLCLASSDATA,MATCH("HeavyMaster",CLASSFEATUREHEADERS,0),MATCH($A170,CLASSNAMEHEADERS,0))),(INDEX(ALLCLASSDATA,MATCH("HeavyMaster",CLASSFEATUREHEADERS,0),MATCH(($A170 &amp; "Points"),CLASSNAMEHEADERS,0))),(IF("05"=(INDEX(ALLCLASSDATA,MATCH("HeavyExpert",CLASSFEATUREHEADERS,0),MATCH($A170,CLASSNAMEHEADERS,0))),(INDEX(ALLCLASSDATA,MATCH("HeavyExpert",CLASSFEATUREHEADERS,0),MATCH(($A170 &amp; "Points"),CLASSNAMEHEADERS,0))),(IF("05"=(INDEX(ALLCLASSDATA,MATCH("HeavyTrained",CLASSFEATUREHEADERS,0),MATCH($A170,CLASSNAMEHEADERS,0))),(INDEX(ALLCLASSDATA,MATCH("HeavyTrained",CLASSFEATUREHEADERS,0),MATCH(($A170 &amp; "Points"),CLASSNAMEHEADERS,0))),"")))))))))}</f>
        <v>HEAVYL05</v>
      </c>
      <c r="M169" s="223"/>
      <c r="N169" s="223" t="str">
        <f t="array" ref="N169:N170">{"HEAVYL07";((IF("07"=(INDEX(ALLCLASSDATA,MATCH("HeavyLegendary",CLASSFEATUREHEADERS,0),MATCH($A170,CLASSNAMEHEADERS,0))),(INDEX(ALLCLASSDATA,MATCH("HeavyLegendary",CLASSFEATUREHEADERS,0),MATCH(($A170 &amp; "Points"),CLASSNAMEHEADERS,0))),(IF("07"=(INDEX(ALLCLASSDATA,MATCH("HeavyMaster",CLASSFEATUREHEADERS,0),MATCH($A170,CLASSNAMEHEADERS,0))),(INDEX(ALLCLASSDATA,MATCH("HeavyMaster",CLASSFEATUREHEADERS,0),MATCH(($A170 &amp; "Points"),CLASSNAMEHEADERS,0))),(IF("07"=(INDEX(ALLCLASSDATA,MATCH("HeavyExpert",CLASSFEATUREHEADERS,0),MATCH($A170,CLASSNAMEHEADERS,0))),(INDEX(ALLCLASSDATA,MATCH("HeavyExpert",CLASSFEATUREHEADERS,0),MATCH(($A170 &amp; "Points"),CLASSNAMEHEADERS,0))),(IF("07"=(INDEX(ALLCLASSDATA,MATCH("HeavyTrained",CLASSFEATUREHEADERS,0),MATCH($A170,CLASSNAMEHEADERS,0))),(INDEX(ALLCLASSDATA,MATCH("HeavyTrained",CLASSFEATUREHEADERS,0),MATCH(($A170 &amp; "Points"),CLASSNAMEHEADERS,0))),"")))))))))}</f>
        <v>HEAVYL07</v>
      </c>
      <c r="O169" s="223"/>
      <c r="P169" s="223" t="str">
        <f t="array" ref="P169:P170">{"HEAVYL09";((IF("09"=(INDEX(ALLCLASSDATA,MATCH("HeavyLegendary",CLASSFEATUREHEADERS,0),MATCH($A170,CLASSNAMEHEADERS,0))),(INDEX(ALLCLASSDATA,MATCH("HeavyLegendary",CLASSFEATUREHEADERS,0),MATCH(($A170 &amp; "Points"),CLASSNAMEHEADERS,0))),(IF("09"=(INDEX(ALLCLASSDATA,MATCH("HeavyMaster",CLASSFEATUREHEADERS,0),MATCH($A170,CLASSNAMEHEADERS,0))),(INDEX(ALLCLASSDATA,MATCH("HeavyMaster",CLASSFEATUREHEADERS,0),MATCH(($A170 &amp; "Points"),CLASSNAMEHEADERS,0))),(IF("09"=(INDEX(ALLCLASSDATA,MATCH("HeavyExpert",CLASSFEATUREHEADERS,0),MATCH($A170,CLASSNAMEHEADERS,0))),(INDEX(ALLCLASSDATA,MATCH("HeavyExpert",CLASSFEATUREHEADERS,0),MATCH(($A170 &amp; "Points"),CLASSNAMEHEADERS,0))),(IF("09"=(INDEX(ALLCLASSDATA,MATCH("HeavyTrained",CLASSFEATUREHEADERS,0),MATCH($A170,CLASSNAMEHEADERS,0))),(INDEX(ALLCLASSDATA,MATCH("HeavyTrained",CLASSFEATUREHEADERS,0),MATCH(($A170 &amp; "Points"),CLASSNAMEHEADERS,0))),"")))))))))}</f>
        <v>HEAVYL09</v>
      </c>
      <c r="Q169" s="223"/>
      <c r="R169" s="223" t="str">
        <f t="array" ref="R169:R170">{"HEAVYL11";((IF("11"=(INDEX(ALLCLASSDATA,MATCH("HeavyLegendary",CLASSFEATUREHEADERS,0),MATCH($A170,CLASSNAMEHEADERS,0))),(INDEX(ALLCLASSDATA,MATCH("HeavyLegendary",CLASSFEATUREHEADERS,0),MATCH(($A170 &amp; "Points"),CLASSNAMEHEADERS,0))),(IF("11"=(INDEX(ALLCLASSDATA,MATCH("HeavyMaster",CLASSFEATUREHEADERS,0),MATCH($A170,CLASSNAMEHEADERS,0))),(INDEX(ALLCLASSDATA,MATCH("HeavyMaster",CLASSFEATUREHEADERS,0),MATCH(($A170 &amp; "Points"),CLASSNAMEHEADERS,0))),(IF("11"=(INDEX(ALLCLASSDATA,MATCH("HeavyExpert",CLASSFEATUREHEADERS,0),MATCH($A170,CLASSNAMEHEADERS,0))),(INDEX(ALLCLASSDATA,MATCH("HeavyExpert",CLASSFEATUREHEADERS,0),MATCH(($A170 &amp; "Points"),CLASSNAMEHEADERS,0))),(IF("11"=(INDEX(ALLCLASSDATA,MATCH("HeavyTrained",CLASSFEATUREHEADERS,0),MATCH($A170,CLASSNAMEHEADERS,0))),(INDEX(ALLCLASSDATA,MATCH("HeavyTrained",CLASSFEATUREHEADERS,0),MATCH(($A170 &amp; "Points"),CLASSNAMEHEADERS,0))),"")))))))))}</f>
        <v>HEAVYL11</v>
      </c>
      <c r="S169" s="223"/>
      <c r="T169" s="223" t="str">
        <f t="array" ref="T169:T170">{"HEAVYL13";((IF("13"=(INDEX(ALLCLASSDATA,MATCH("HeavyLegendary",CLASSFEATUREHEADERS,0),MATCH($A170,CLASSNAMEHEADERS,0))),(INDEX(ALLCLASSDATA,MATCH("HeavyLegendary",CLASSFEATUREHEADERS,0),MATCH(($A170 &amp; "Points"),CLASSNAMEHEADERS,0))),(IF("13"=(INDEX(ALLCLASSDATA,MATCH("HeavyMaster",CLASSFEATUREHEADERS,0),MATCH($A170,CLASSNAMEHEADERS,0))),(INDEX(ALLCLASSDATA,MATCH("HeavyMaster",CLASSFEATUREHEADERS,0),MATCH(($A170 &amp; "Points"),CLASSNAMEHEADERS,0))),(IF("13"=(INDEX(ALLCLASSDATA,MATCH("HeavyExpert",CLASSFEATUREHEADERS,0),MATCH($A170,CLASSNAMEHEADERS,0))),(INDEX(ALLCLASSDATA,MATCH("HeavyExpert",CLASSFEATUREHEADERS,0),MATCH(($A170 &amp; "Points"),CLASSNAMEHEADERS,0))),(IF("13"=(INDEX(ALLCLASSDATA,MATCH("HeavyTrained",CLASSFEATUREHEADERS,0),MATCH($A170,CLASSNAMEHEADERS,0))),(INDEX(ALLCLASSDATA,MATCH("HeavyTrained",CLASSFEATUREHEADERS,0),MATCH(($A170 &amp; "Points"),CLASSNAMEHEADERS,0))),"")))))))))}</f>
        <v>HEAVYL13</v>
      </c>
      <c r="U169" s="223"/>
      <c r="V169" s="223" t="str">
        <f t="array" ref="V169:V170">{"HEAVYL15";((IF("15"=(INDEX(ALLCLASSDATA,MATCH("HeavyLegendary",CLASSFEATUREHEADERS,0),MATCH($A170,CLASSNAMEHEADERS,0))),(INDEX(ALLCLASSDATA,MATCH("HeavyLegendary",CLASSFEATUREHEADERS,0),MATCH(($A170 &amp; "Points"),CLASSNAMEHEADERS,0))),(IF("15"=(INDEX(ALLCLASSDATA,MATCH("HeavyMaster",CLASSFEATUREHEADERS,0),MATCH($A170,CLASSNAMEHEADERS,0))),(INDEX(ALLCLASSDATA,MATCH("HeavyMaster",CLASSFEATUREHEADERS,0),MATCH(($A170 &amp; "Points"),CLASSNAMEHEADERS,0))),(IF("15"=(INDEX(ALLCLASSDATA,MATCH("HeavyExpert",CLASSFEATUREHEADERS,0),MATCH($A170,CLASSNAMEHEADERS,0))),(INDEX(ALLCLASSDATA,MATCH("HeavyExpert",CLASSFEATUREHEADERS,0),MATCH(($A170 &amp; "Points"),CLASSNAMEHEADERS,0))),(IF("15"=(INDEX(ALLCLASSDATA,MATCH("HeavyTrained",CLASSFEATUREHEADERS,0),MATCH($A170,CLASSNAMEHEADERS,0))),(INDEX(ALLCLASSDATA,MATCH("HeavyTrained",CLASSFEATUREHEADERS,0),MATCH(($A170 &amp; "Points"),CLASSNAMEHEADERS,0))),"")))))))))}</f>
        <v>HEAVYL15</v>
      </c>
      <c r="W169" s="223"/>
      <c r="X169" s="223" t="str">
        <f t="array" ref="X169:X170">{"HEAVYL17";((IF("17"=(INDEX(ALLCLASSDATA,MATCH("HeavyLegendary",CLASSFEATUREHEADERS,0),MATCH($A170,CLASSNAMEHEADERS,0))),(INDEX(ALLCLASSDATA,MATCH("HeavyLegendary",CLASSFEATUREHEADERS,0),MATCH(($A170 &amp; "Points"),CLASSNAMEHEADERS,0))),(IF("17"=(INDEX(ALLCLASSDATA,MATCH("HeavyMaster",CLASSFEATUREHEADERS,0),MATCH($A170,CLASSNAMEHEADERS,0))),(INDEX(ALLCLASSDATA,MATCH("HeavyMaster",CLASSFEATUREHEADERS,0),MATCH(($A170 &amp; "Points"),CLASSNAMEHEADERS,0))),(IF("17"=(INDEX(ALLCLASSDATA,MATCH("HeavyExpert",CLASSFEATUREHEADERS,0),MATCH($A170,CLASSNAMEHEADERS,0))),(INDEX(ALLCLASSDATA,MATCH("HeavyExpert",CLASSFEATUREHEADERS,0),MATCH(($A170 &amp; "Points"),CLASSNAMEHEADERS,0))),(IF("17"=(INDEX(ALLCLASSDATA,MATCH("HeavyTrained",CLASSFEATUREHEADERS,0),MATCH($A170,CLASSNAMEHEADERS,0))),(INDEX(ALLCLASSDATA,MATCH("HeavyTrained",CLASSFEATUREHEADERS,0),MATCH(($A170 &amp; "Points"),CLASSNAMEHEADERS,0))),"")))))))))}</f>
        <v>HEAVYL17</v>
      </c>
      <c r="Y169" s="223"/>
      <c r="Z169" s="223" t="str">
        <f t="array" ref="Z169:Z170">{"HEAVYL19";((IF("19"=(INDEX(ALLCLASSDATA,MATCH("HeavyLegendary",CLASSFEATUREHEADERS,0),MATCH($A170,CLASSNAMEHEADERS,0))),(INDEX(ALLCLASSDATA,MATCH("HeavyLegendary",CLASSFEATUREHEADERS,0),MATCH(($A170 &amp; "Points"),CLASSNAMEHEADERS,0))),(IF("19"=(INDEX(ALLCLASSDATA,MATCH("HeavyMaster",CLASSFEATUREHEADERS,0),MATCH($A170,CLASSNAMEHEADERS,0))),(INDEX(ALLCLASSDATA,MATCH("HeavyMaster",CLASSFEATUREHEADERS,0),MATCH(($A170 &amp; "Points"),CLASSNAMEHEADERS,0))),(IF("19"=(INDEX(ALLCLASSDATA,MATCH("HeavyExpert",CLASSFEATUREHEADERS,0),MATCH($A170,CLASSNAMEHEADERS,0))),(INDEX(ALLCLASSDATA,MATCH("HeavyExpert",CLASSFEATUREHEADERS,0),MATCH(($A170 &amp; "Points"),CLASSNAMEHEADERS,0))),(IF("19"=(INDEX(ALLCLASSDATA,MATCH("HeavyTrained",CLASSFEATUREHEADERS,0),MATCH($A170,CLASSNAMEHEADERS,0))),(INDEX(ALLCLASSDATA,MATCH("HeavyTrained",CLASSFEATUREHEADERS,0),MATCH(($A170 &amp; "Points"),CLASSNAMEHEADERS,0))),"")))))))))}</f>
        <v>HEAVYL19</v>
      </c>
      <c r="AA169" s="223"/>
      <c r="AB169" s="76" t="str">
        <f t="array" ref="AB169:AB170">{"HEAVY TOTAL";(IF(COUNTBLANK(G170:AA170)=17,"L",(IF(COUNTBLANK(G170:AA170)=18,"M",(IF(COUNTBLANK(G170:AA170)=19,"E",(IF(COUNTBLANK(G170:AA170)=20,"T",""))))))))}</f>
        <v>HEAVY TOTAL</v>
      </c>
      <c r="AC169" s="76" t="str">
        <f t="array" ref="AC169:AC170">{"HEAVY TOTAL";(sum(G170:AA170))}</f>
        <v>HEAVY TOTAL</v>
      </c>
    </row>
    <row r="170">
      <c r="A170" s="48" t="s">
        <v>95</v>
      </c>
      <c r="B170" s="48"/>
      <c r="C170" s="48" t="s">
        <v>409</v>
      </c>
      <c r="D170" s="97" t="s">
        <v>1900</v>
      </c>
      <c r="E170" s="97" t="s">
        <v>533</v>
      </c>
      <c r="F170" s="98" t="s">
        <v>603</v>
      </c>
      <c r="G170" s="132" t="s">
        <v>603</v>
      </c>
      <c r="H170" s="98" t="s">
        <v>603</v>
      </c>
      <c r="I170" s="98"/>
      <c r="J170" s="98" t="s">
        <v>603</v>
      </c>
      <c r="K170" s="98"/>
      <c r="L170" s="98" t="s">
        <v>603</v>
      </c>
      <c r="M170" s="98"/>
      <c r="N170" s="98" t="s">
        <v>603</v>
      </c>
      <c r="O170" s="98"/>
      <c r="P170" s="98" t="s">
        <v>603</v>
      </c>
      <c r="Q170" s="98"/>
      <c r="R170" s="98" t="s">
        <v>603</v>
      </c>
      <c r="S170" s="98"/>
      <c r="T170" s="98" t="s">
        <v>603</v>
      </c>
      <c r="U170" s="98"/>
      <c r="V170" s="98" t="s">
        <v>603</v>
      </c>
      <c r="W170" s="98"/>
      <c r="X170" s="98" t="s">
        <v>603</v>
      </c>
      <c r="Y170" s="98"/>
      <c r="Z170" s="98" t="s">
        <v>603</v>
      </c>
      <c r="AA170" s="98"/>
      <c r="AB170" s="5" t="s">
        <v>603</v>
      </c>
      <c r="AC170" s="47">
        <v>0.0</v>
      </c>
    </row>
    <row r="171" hidden="1">
      <c r="A171" s="222" t="str">
        <f t="array" ref="A171:A172">{"FormulaRow39";(INDEX(CLASSLIST,A94,1))}</f>
        <v>FormulaRow39</v>
      </c>
      <c r="B171" s="77" t="s">
        <v>236</v>
      </c>
      <c r="C171" s="222" t="str">
        <f t="array" ref="C171:C172">{"CLASSTYPE";((INDEX(ALLCLASSDATA,MATCH("ClassType",CLASSFEATUREHEADERS,0),MATCH($A172,CLASSNAMEHEADERS,0))))}</f>
        <v>CLASSTYPE</v>
      </c>
      <c r="D171" s="222" t="str">
        <f t="array" ref="D171:D172">{"SPELL/ALCHEMY";((IF(INDEX(ALLCLASSDATA,MATCH("CasterType",CLASSFEATUREHEADERS,0),MATCH(($A172),CLASSNAMEHEADERS,0))="","",(IF(INDEX(ALLCLASSDATA,MATCH("CasterType",CLASSFEATUREHEADERS,0),MATCH(($A172),CLASSNAMEHEADERS,0))="Alchemy","Alchemy","Spells")))))}</f>
        <v>SPELL/ALCHEMY</v>
      </c>
      <c r="E171" s="222" t="str">
        <f t="array" ref="E171:E172">{"SPELLLIST";(IF(D172="Spells",((INDEX(ALLCLASSDATA,MATCH("CasterType",CLASSFEATUREHEADERS,0),MATCH(($A172),CLASSNAMEHEADERS,0))) &amp; ":" &amp; (INDEX(ALLCLASSDATA,MATCH("SpellList",CLASSFEATUREHEADERS,0),MATCH(($A172),CLASSNAMEHEADERS,0)))),""))}</f>
        <v>SPELLLIST</v>
      </c>
      <c r="F171" s="223" t="str">
        <f t="array" ref="F171:F172">{"SPL";(IF(D172="Spells","SPL:",""))}</f>
        <v>SPL</v>
      </c>
      <c r="G171" s="223" t="str">
        <f t="array" ref="G171:G172">{"CANTRIP/ALC";(IF(D172="Spells","C",(IF(D172="Alchemy","ALC:",""))))}</f>
        <v>CANTRIP/ALC</v>
      </c>
      <c r="H171" s="223" t="str">
        <f t="array" ref="H171:H172">{"SPELL/ALC L01";(IF(D172="Alchemy","L01",(IF(D172="Spells","S01",""))))}</f>
        <v>SPELL/ALC L01</v>
      </c>
      <c r="I171" s="223" t="str">
        <f t="array" ref="I171:I172">{"SPELL/ALC L02";(IF(D172="Alchemy","L02",(IF(D172="Spells","S01",""))))}</f>
        <v>SPELL/ALC L02</v>
      </c>
      <c r="J171" s="223" t="str">
        <f t="array" ref="J171:J172">{"SPELL/ALC L03";(IF(D172="Alchemy","L03",(IF(D172="Spells","S02",""))))}</f>
        <v>SPELL/ALC L03</v>
      </c>
      <c r="K171" s="223" t="str">
        <f t="array" ref="K171:K172">{"SPELL/ALC L04";(IF(D172="Alchemy","L04",(IF(D172="Spells","S02",""))))}</f>
        <v>SPELL/ALC L04</v>
      </c>
      <c r="L171" s="223" t="str">
        <f t="array" ref="L171:L172">{"SPELL/ALC L05";(IF(D172="Alchemy","L05",(IF(D172="Spells","S03",""))))}</f>
        <v>SPELL/ALC L05</v>
      </c>
      <c r="M171" s="223" t="str">
        <f t="array" ref="M171:M172">{"SPELL/ALC L06";(IF(D172="Alchemy","L06",(IF(D172="Spells","S03",""))))}</f>
        <v>SPELL/ALC L06</v>
      </c>
      <c r="N171" s="223" t="str">
        <f t="array" ref="N171:N172">{"SPELL/ALC L07";(IF(D172="Alchemy","L07",(IF(D172="Spells","S04",""))))}</f>
        <v>SPELL/ALC L07</v>
      </c>
      <c r="O171" s="223" t="str">
        <f t="array" ref="O171:O172">{"SPELL/ALC L08";(IF(D172="Alchemy","L08",(IF(D172="Spells","S04",""))))}</f>
        <v>SPELL/ALC L08</v>
      </c>
      <c r="P171" s="223" t="str">
        <f t="array" ref="P171:P172">{"SPELL/ALC L09";(IF(D172="Alchemy","L09",(IF(D172="Spells","S05",""))))}</f>
        <v>SPELL/ALC L09</v>
      </c>
      <c r="Q171" s="223" t="str">
        <f t="array" ref="Q171:Q172">{"SPELL/ALC L10";(IF(D172="Alchemy","L10",(IF(D172="Spells","S05",""))))}</f>
        <v>SPELL/ALC L10</v>
      </c>
      <c r="R171" s="223" t="str">
        <f t="array" ref="R171:R172">{"SPELL/ALC L11";(IF(D172="Alchemy","L11",(IF(D172="Spells","S06",""))))}</f>
        <v>SPELL/ALC L11</v>
      </c>
      <c r="S171" s="223" t="str">
        <f t="array" ref="S171:S172">{"SPELL/ALC L12";(IF(D172="Alchemy","L12",(IF(D172="Spells","S06",""))))}</f>
        <v>SPELL/ALC L12</v>
      </c>
      <c r="T171" s="223" t="str">
        <f t="array" ref="T171:T172">{"SPELL/ALC L13";(IF(D172="Alchemy","L13",(IF(D172="Spells","S07",""))))}</f>
        <v>SPELL/ALC L13</v>
      </c>
      <c r="U171" s="223" t="str">
        <f t="array" ref="U171:U172">{"SPELL/ALC L14";(IF(D172="Alchemy","L14",(IF(D172="Spells","S07",""))))}</f>
        <v>SPELL/ALC L14</v>
      </c>
      <c r="V171" s="223" t="str">
        <f t="array" ref="V171:V172">{"SPELL/ALC L15";(IF(D172="Alchemy","L15",(IF(D172="Spells","S08",""))))}</f>
        <v>SPELL/ALC L15</v>
      </c>
      <c r="W171" s="223" t="str">
        <f t="array" ref="W171:W172">{"SPELL/ALC L16";(IF(D172="Alchemy","L16",(IF(D172="Spells","S08",""))))}</f>
        <v>SPELL/ALC L16</v>
      </c>
      <c r="X171" s="223" t="str">
        <f t="array" ref="X171:X172">{"SPELL/ALC L17";(IF(D172="Alchemy","L17",(IF(D172="Spells","S09",""))))}</f>
        <v>SPELL/ALC L17</v>
      </c>
      <c r="Y171" s="223" t="str">
        <f t="array" ref="Y171:Y172">{"SPELL/ALC L18";(IF(D172="Alchemy","L18",(IF(D172="Spells","S09",""))))}</f>
        <v>SPELL/ALC L18</v>
      </c>
      <c r="Z171" s="223" t="str">
        <f t="array" ref="Z171:Z172">{"SPELL/ALC L19";(IF(D172="Alchemy","L19",(IF(D172="Spells","S10",""))))}</f>
        <v>SPELL/ALC L19</v>
      </c>
      <c r="AA171" s="223" t="str">
        <f t="array" ref="AA171:AA172">{"SPELL/ALC L20";(IF(D172="Alchemy","L20",(IF(D172="Spells","S10",""))))}</f>
        <v>SPELL/ALC L20</v>
      </c>
      <c r="AB171" s="76"/>
      <c r="AC171" s="76"/>
    </row>
    <row r="172">
      <c r="A172" s="48" t="s">
        <v>95</v>
      </c>
      <c r="B172" s="48"/>
      <c r="C172" s="48" t="s">
        <v>409</v>
      </c>
      <c r="D172" s="48" t="s">
        <v>603</v>
      </c>
      <c r="E172" s="48" t="s">
        <v>603</v>
      </c>
      <c r="F172" s="278" t="s">
        <v>603</v>
      </c>
      <c r="G172" s="114" t="s">
        <v>603</v>
      </c>
      <c r="H172" s="279" t="s">
        <v>603</v>
      </c>
      <c r="I172" s="28" t="s">
        <v>603</v>
      </c>
      <c r="J172" s="28" t="s">
        <v>603</v>
      </c>
      <c r="K172" s="28" t="s">
        <v>603</v>
      </c>
      <c r="L172" s="28" t="s">
        <v>603</v>
      </c>
      <c r="M172" s="28" t="s">
        <v>603</v>
      </c>
      <c r="N172" s="28" t="s">
        <v>603</v>
      </c>
      <c r="O172" s="28" t="s">
        <v>603</v>
      </c>
      <c r="P172" s="28" t="s">
        <v>603</v>
      </c>
      <c r="Q172" s="28" t="s">
        <v>603</v>
      </c>
      <c r="R172" s="28" t="s">
        <v>603</v>
      </c>
      <c r="S172" s="28" t="s">
        <v>603</v>
      </c>
      <c r="T172" s="28" t="s">
        <v>603</v>
      </c>
      <c r="U172" s="28" t="s">
        <v>603</v>
      </c>
      <c r="V172" s="28" t="s">
        <v>603</v>
      </c>
      <c r="W172" s="28" t="s">
        <v>603</v>
      </c>
      <c r="X172" s="28" t="s">
        <v>603</v>
      </c>
      <c r="Y172" s="28" t="s">
        <v>603</v>
      </c>
      <c r="Z172" s="28" t="s">
        <v>603</v>
      </c>
      <c r="AA172" s="28" t="s">
        <v>603</v>
      </c>
      <c r="AB172" s="5"/>
      <c r="AC172" s="47"/>
    </row>
    <row r="173" hidden="1">
      <c r="A173" s="222" t="str">
        <f t="array" ref="A173:A174">{"FormulaRow40";(INDEX(CLASSLIST,A94,1))}</f>
        <v>FormulaRow40</v>
      </c>
      <c r="B173" s="77" t="s">
        <v>236</v>
      </c>
      <c r="C173" s="222" t="str">
        <f t="array" ref="C173:C174">{"CLASSTYPE";((INDEX(ALLCLASSDATA,MATCH("ClassType",CLASSFEATUREHEADERS,0),MATCH($A174,CLASSNAMEHEADERS,0))))}</f>
        <v>CLASSTYPE</v>
      </c>
      <c r="D173" s="222" t="str">
        <f t="array" ref="D173:D174">{"SPELL/ALCHEMY";((IF(INDEX(ALLCLASSDATA,MATCH("CasterType",CLASSFEATUREHEADERS,0),MATCH(($A174),CLASSNAMEHEADERS,0))="","",(IF(INDEX(ALLCLASSDATA,MATCH("CasterType",CLASSFEATUREHEADERS,0),MATCH(($A174),CLASSNAMEHEADERS,0))="Alchemy","","Spells")))))}</f>
        <v>SPELL/ALCHEMY</v>
      </c>
      <c r="E173" s="222" t="str">
        <f t="array" ref="E173:E174">{"SPELLLIST";(IF(D174="Spells",((INDEX(ALLCLASSDATA,MATCH("CasterType",CLASSFEATUREHEADERS,0),MATCH(($A174),CLASSNAMEHEADERS,0))) &amp; ":" &amp; (INDEX(ALLCLASSDATA,MATCH("SpellList",CLASSFEATUREHEADERS,0),MATCH(($A174),CLASSNAMEHEADERS,0)))),""))}</f>
        <v>SPELLLIST</v>
      </c>
      <c r="F173" s="222" t="str">
        <f t="array" ref="F173:F174">{"SLOTCOST";(IF(D174="Spells","SlotCost:",""))}</f>
        <v>SLOTCOST</v>
      </c>
      <c r="G173" s="222" t="str">
        <f t="array" ref="G173:G174">{"SLOTCOST CANTRIP";(INDEX(ALLCLASSDATA,MATCH("CantripSlots-L00",CLASSFEATUREHEADERS,0),MATCH(($A174 &amp; "Points"),CLASSNAMEHEADERS,0)))}</f>
        <v>SLOTCOST CANTRIP</v>
      </c>
      <c r="H173" s="222" t="str">
        <f t="array" ref="H173:H174">{"SLOTCOST L01";(INDEX(ALLCLASSDATA,MATCH("SPL01-L01",CLASSFEATUREHEADERS,0),MATCH(($A174 &amp; "Points"),CLASSNAMEHEADERS,0)))}</f>
        <v>SLOTCOST L01</v>
      </c>
      <c r="I173" s="222" t="str">
        <f t="array" ref="I173:I174">{"SLOTCOST L02";(INDEX(ALLCLASSDATA,MATCH("SPL01-L02",CLASSFEATUREHEADERS,0),MATCH(($A174 &amp; "Points"),CLASSNAMEHEADERS,0)))}</f>
        <v>SLOTCOST L02</v>
      </c>
      <c r="J173" s="222" t="str">
        <f t="array" ref="J173:J174">{"SLOTCOST L03";(INDEX(ALLCLASSDATA,MATCH("SPL02-L03",CLASSFEATUREHEADERS,0),MATCH(($A174 &amp; "Points"),CLASSNAMEHEADERS,0)))}</f>
        <v>SLOTCOST L03</v>
      </c>
      <c r="K173" s="222" t="str">
        <f t="array" ref="K173:K174">{"SLOTCOST L04";(INDEX(ALLCLASSDATA,MATCH("SPL02-L04",CLASSFEATUREHEADERS,0),MATCH(($A174 &amp; "Points"),CLASSNAMEHEADERS,0)))}</f>
        <v>SLOTCOST L04</v>
      </c>
      <c r="L173" s="222" t="str">
        <f t="array" ref="L173:L174">{"SLOTCOST L05";(INDEX(ALLCLASSDATA,MATCH("SPL03-L05",CLASSFEATUREHEADERS,0),MATCH(($A174 &amp; "Points"),CLASSNAMEHEADERS,0)))}</f>
        <v>SLOTCOST L05</v>
      </c>
      <c r="M173" s="222" t="str">
        <f t="array" ref="M173:M174">{"SLOTCOST L06";(INDEX(ALLCLASSDATA,MATCH("SPL03-L06",CLASSFEATUREHEADERS,0),MATCH(($A174 &amp; "Points"),CLASSNAMEHEADERS,0)))}</f>
        <v>SLOTCOST L06</v>
      </c>
      <c r="N173" s="222" t="str">
        <f t="array" ref="N173:N174">{"SLOTCOST L07";(INDEX(ALLCLASSDATA,MATCH("SPL04-L07",CLASSFEATUREHEADERS,0),MATCH(($A174 &amp; "Points"),CLASSNAMEHEADERS,0)))}</f>
        <v>SLOTCOST L07</v>
      </c>
      <c r="O173" s="222" t="str">
        <f t="array" ref="O173:O174">{"SLOTCOST L08";(INDEX(ALLCLASSDATA,MATCH("SPL04-L08",CLASSFEATUREHEADERS,0),MATCH(($A174 &amp; "Points"),CLASSNAMEHEADERS,0)))}</f>
        <v>SLOTCOST L08</v>
      </c>
      <c r="P173" s="222" t="str">
        <f t="array" ref="P173:P174">{"SLOTCOST L09";(INDEX(ALLCLASSDATA,MATCH("SPL05-L09",CLASSFEATUREHEADERS,0),MATCH(($A174 &amp; "Points"),CLASSNAMEHEADERS,0)))}</f>
        <v>SLOTCOST L09</v>
      </c>
      <c r="Q173" s="222" t="str">
        <f t="array" ref="Q173:Q174">{"SLOTCOST L10";(INDEX(ALLCLASSDATA,MATCH("SPL05-L10",CLASSFEATUREHEADERS,0),MATCH(($A174 &amp; "Points"),CLASSNAMEHEADERS,0)))}</f>
        <v>SLOTCOST L10</v>
      </c>
      <c r="R173" s="222" t="str">
        <f t="array" ref="R173:R174">{"SLOTCOST L11";(INDEX(ALLCLASSDATA,MATCH("SPL06-L11",CLASSFEATUREHEADERS,0),MATCH(($A174 &amp; "Points"),CLASSNAMEHEADERS,0)))}</f>
        <v>SLOTCOST L11</v>
      </c>
      <c r="S173" s="222" t="str">
        <f t="array" ref="S173:S174">{"SLOTCOST L12";(INDEX(ALLCLASSDATA,MATCH("SPL06-L12",CLASSFEATUREHEADERS,0),MATCH(($A174 &amp; "Points"),CLASSNAMEHEADERS,0)))}</f>
        <v>SLOTCOST L12</v>
      </c>
      <c r="T173" s="222" t="str">
        <f t="array" ref="T173:T174">{"SLOTCOST L13";(INDEX(ALLCLASSDATA,MATCH("SPL07-L13",CLASSFEATUREHEADERS,0),MATCH(($A174 &amp; "Points"),CLASSNAMEHEADERS,0)))}</f>
        <v>SLOTCOST L13</v>
      </c>
      <c r="U173" s="222" t="str">
        <f t="array" ref="U173:U174">{"SLOTCOST L14";(INDEX(ALLCLASSDATA,MATCH("SPL07-L14",CLASSFEATUREHEADERS,0),MATCH(($A174 &amp; "Points"),CLASSNAMEHEADERS,0)))}</f>
        <v>SLOTCOST L14</v>
      </c>
      <c r="V173" s="222" t="str">
        <f t="array" ref="V173:V174">{"SLOTCOST L15";(INDEX(ALLCLASSDATA,MATCH("SPL08-L15",CLASSFEATUREHEADERS,0),MATCH(($A174 &amp; "Points"),CLASSNAMEHEADERS,0)))}</f>
        <v>SLOTCOST L15</v>
      </c>
      <c r="W173" s="222" t="str">
        <f t="array" ref="W173:W174">{"SLOTCOST L16";(INDEX(ALLCLASSDATA,MATCH("SPL08-L16",CLASSFEATUREHEADERS,0),MATCH(($A174 &amp; "Points"),CLASSNAMEHEADERS,0)))}</f>
        <v>SLOTCOST L16</v>
      </c>
      <c r="X173" s="222" t="str">
        <f t="array" ref="X173:X174">{"SLOTCOST L17";(INDEX(ALLCLASSDATA,MATCH("SPL09-L17",CLASSFEATUREHEADERS,0),MATCH(($A174 &amp; "Points"),CLASSNAMEHEADERS,0)))}</f>
        <v>SLOTCOST L17</v>
      </c>
      <c r="Y173" s="222" t="str">
        <f t="array" ref="Y173:Y174">{"SLOTCOST L18";(INDEX(ALLCLASSDATA,MATCH("SPL09-L18",CLASSFEATUREHEADERS,0),MATCH(($A174 &amp; "Points"),CLASSNAMEHEADERS,0)))}</f>
        <v>SLOTCOST L18</v>
      </c>
      <c r="Z173" s="222" t="str">
        <f t="array" ref="Z173:Z174">{"SLOTCOST L19";(INDEX(ALLCLASSDATA,MATCH("SPL10-L19",CLASSFEATUREHEADERS,0),MATCH(($A174 &amp; "Points"),CLASSNAMEHEADERS,0)))}</f>
        <v>SLOTCOST L19</v>
      </c>
      <c r="AA173" s="222" t="str">
        <f t="array" ref="AA173:AA174">{"SLOTCOST L20";(INDEX(ALLCLASSDATA,MATCH("SPL10-L20",CLASSFEATUREHEADERS,0),MATCH(($A174 &amp; "Points"),CLASSNAMEHEADERS,0)))}</f>
        <v>SLOTCOST L20</v>
      </c>
      <c r="AB173" s="76"/>
      <c r="AC173" s="76" t="str">
        <f t="array" ref="AC173:AC174">{"SLOT TOTAL";(sum(G174:AA174))}</f>
        <v>SLOT TOTAL</v>
      </c>
    </row>
    <row r="174">
      <c r="A174" s="48" t="s">
        <v>95</v>
      </c>
      <c r="B174" s="48"/>
      <c r="C174" s="48" t="s">
        <v>409</v>
      </c>
      <c r="D174" s="48" t="s">
        <v>603</v>
      </c>
      <c r="E174" s="48" t="s">
        <v>603</v>
      </c>
      <c r="F174" s="278" t="s">
        <v>603</v>
      </c>
      <c r="G174" s="47" t="s">
        <v>603</v>
      </c>
      <c r="H174" s="5" t="s">
        <v>603</v>
      </c>
      <c r="I174" s="5" t="s">
        <v>603</v>
      </c>
      <c r="J174" s="5" t="s">
        <v>603</v>
      </c>
      <c r="K174" s="5" t="s">
        <v>603</v>
      </c>
      <c r="L174" s="5" t="s">
        <v>603</v>
      </c>
      <c r="M174" s="48" t="s">
        <v>603</v>
      </c>
      <c r="N174" s="5" t="s">
        <v>603</v>
      </c>
      <c r="O174" s="5" t="s">
        <v>603</v>
      </c>
      <c r="P174" s="5" t="s">
        <v>603</v>
      </c>
      <c r="Q174" s="5" t="s">
        <v>603</v>
      </c>
      <c r="R174" s="5" t="s">
        <v>603</v>
      </c>
      <c r="S174" s="5" t="s">
        <v>603</v>
      </c>
      <c r="T174" s="5" t="s">
        <v>603</v>
      </c>
      <c r="U174" s="5" t="s">
        <v>603</v>
      </c>
      <c r="V174" s="5" t="s">
        <v>603</v>
      </c>
      <c r="W174" s="5" t="s">
        <v>603</v>
      </c>
      <c r="X174" s="5" t="s">
        <v>603</v>
      </c>
      <c r="Y174" s="5" t="s">
        <v>603</v>
      </c>
      <c r="Z174" s="5" t="s">
        <v>603</v>
      </c>
      <c r="AA174" s="5" t="s">
        <v>603</v>
      </c>
      <c r="AB174" s="5"/>
      <c r="AC174" s="47">
        <v>0.0</v>
      </c>
    </row>
    <row r="175" hidden="1">
      <c r="A175" s="222" t="str">
        <f t="array" ref="A175:A176">{"FormulaRow41";(INDEX(CLASSLIST,A94,1))}</f>
        <v>FormulaRow41</v>
      </c>
      <c r="B175" s="77" t="s">
        <v>236</v>
      </c>
      <c r="C175" s="222" t="str">
        <f t="array" ref="C175:C176">{"CLASSTYPE";((INDEX(ALLCLASSDATA,MATCH("ClassType",CLASSFEATUREHEADERS,0),MATCH($A176,CLASSNAMEHEADERS,0))))}</f>
        <v>CLASSTYPE</v>
      </c>
      <c r="D175" s="222" t="str">
        <f t="array" ref="D175:D176">{"SPELL/ALCHEMY";((IF(INDEX(ALLCLASSDATA,MATCH("CasterType",CLASSFEATUREHEADERS,0),MATCH(($A176),CLASSNAMEHEADERS,0))="","",(IF(INDEX(ALLCLASSDATA,MATCH("CasterType",CLASSFEATUREHEADERS,0),MATCH(($A176),CLASSNAMEHEADERS,0))="Alchemy","Alchemy","Spells")))))}</f>
        <v>SPELL/ALCHEMY</v>
      </c>
      <c r="E175" s="222" t="str">
        <f t="array" ref="E175:E176">{"SPELLLIST";(IF(D176="Spells",((INDEX(ALLCLASSDATA,MATCH("CasterType",CLASSFEATUREHEADERS,0),MATCH(($A176),CLASSNAMEHEADERS,0))) &amp; ":" &amp; (INDEX(ALLCLASSDATA,MATCH("SpellList",CLASSFEATUREHEADERS,0),MATCH(($A176),CLASSNAMEHEADERS,0)))),""))}</f>
        <v>SPELLLIST</v>
      </c>
      <c r="F175" s="223" t="str">
        <f t="array" ref="F175:F176">{"LEARNEDCOST";(IF(D176="","","LearnCost:"))}</f>
        <v>LEARNEDCOST</v>
      </c>
      <c r="G175" s="223" t="str">
        <f t="array" ref="G175:G176">{"LEARNED CANTRIPS";(INDEX(ALLCLASSDATA,MATCH("CantripsLearned-L00",CLASSFEATUREHEADERS,0),MATCH(($A176 &amp; "Points"),CLASSNAMEHEADERS,0)))}</f>
        <v>LEARNED CANTRIPS</v>
      </c>
      <c r="H175" s="223" t="str">
        <f t="array" ref="H175:H176">{"LEARNED L01";(INDEX(ALLCLASSDATA,MATCH("Learned-L01",CLASSFEATUREHEADERS,0),MATCH(($A176 &amp; "Points"),CLASSNAMEHEADERS,0)))}</f>
        <v>LEARNED L01</v>
      </c>
      <c r="I175" s="223" t="str">
        <f t="array" ref="I175:I176">{"LEARNED L02";(INDEX(ALLCLASSDATA,MATCH("Learned-L02",CLASSFEATUREHEADERS,0),MATCH(($A176 &amp; "Points"),CLASSNAMEHEADERS,0)))}</f>
        <v>LEARNED L02</v>
      </c>
      <c r="J175" s="223" t="str">
        <f t="array" ref="J175:J176">{"LEARNED L03";(INDEX(ALLCLASSDATA,MATCH("Learned-L03",CLASSFEATUREHEADERS,0),MATCH(($A176 &amp; "Points"),CLASSNAMEHEADERS,0)))}</f>
        <v>LEARNED L03</v>
      </c>
      <c r="K175" s="223" t="str">
        <f t="array" ref="K175:K176">{"LEARNED L04";(INDEX(ALLCLASSDATA,MATCH("Learned-L04",CLASSFEATUREHEADERS,0),MATCH(($A176 &amp; "Points"),CLASSNAMEHEADERS,0)))}</f>
        <v>LEARNED L04</v>
      </c>
      <c r="L175" s="223" t="str">
        <f t="array" ref="L175:L176">{"LEARNED L05";(INDEX(ALLCLASSDATA,MATCH("Learned-L05",CLASSFEATUREHEADERS,0),MATCH(($A176 &amp; "Points"),CLASSNAMEHEADERS,0)))}</f>
        <v>LEARNED L05</v>
      </c>
      <c r="M175" s="223" t="str">
        <f t="array" ref="M175:M176">{"LEARNED L06";(INDEX(ALLCLASSDATA,MATCH("Learned-L06",CLASSFEATUREHEADERS,0),MATCH(($A176 &amp; "Points"),CLASSNAMEHEADERS,0)))}</f>
        <v>LEARNED L06</v>
      </c>
      <c r="N175" s="223" t="str">
        <f t="array" ref="N175:N176">{"LEARNED L07";(INDEX(ALLCLASSDATA,MATCH("Learned-L07",CLASSFEATUREHEADERS,0),MATCH(($A176 &amp; "Points"),CLASSNAMEHEADERS,0)))}</f>
        <v>LEARNED L07</v>
      </c>
      <c r="O175" s="223" t="str">
        <f t="array" ref="O175:O176">{"LEARNED L08";(INDEX(ALLCLASSDATA,MATCH("Learned-L08",CLASSFEATUREHEADERS,0),MATCH(($A176 &amp; "Points"),CLASSNAMEHEADERS,0)))}</f>
        <v>LEARNED L08</v>
      </c>
      <c r="P175" s="223" t="str">
        <f t="array" ref="P175:P176">{"LEARNED L09";(INDEX(ALLCLASSDATA,MATCH("Learned-L09",CLASSFEATUREHEADERS,0),MATCH(($A176 &amp; "Points"),CLASSNAMEHEADERS,0)))}</f>
        <v>LEARNED L09</v>
      </c>
      <c r="Q175" s="223" t="str">
        <f t="array" ref="Q175:Q176">{"LEARNED L10";(INDEX(ALLCLASSDATA,MATCH("Learned-L10",CLASSFEATUREHEADERS,0),MATCH(($A176 &amp; "Points"),CLASSNAMEHEADERS,0)))}</f>
        <v>LEARNED L10</v>
      </c>
      <c r="R175" s="223" t="str">
        <f t="array" ref="R175:R176">{"LEARNED L11";(INDEX(ALLCLASSDATA,MATCH("Learned-L11",CLASSFEATUREHEADERS,0),MATCH(($A176 &amp; "Points"),CLASSNAMEHEADERS,0)))}</f>
        <v>LEARNED L11</v>
      </c>
      <c r="S175" s="223" t="str">
        <f t="array" ref="S175:S176">{"LEARNED L12";(INDEX(ALLCLASSDATA,MATCH("Learned-L12",CLASSFEATUREHEADERS,0),MATCH(($A176 &amp; "Points"),CLASSNAMEHEADERS,0)))}</f>
        <v>LEARNED L12</v>
      </c>
      <c r="T175" s="223" t="str">
        <f t="array" ref="T175:T176">{"LEARNED L13";(INDEX(ALLCLASSDATA,MATCH("Learned-L13",CLASSFEATUREHEADERS,0),MATCH(($A176 &amp; "Points"),CLASSNAMEHEADERS,0)))}</f>
        <v>LEARNED L13</v>
      </c>
      <c r="U175" s="223" t="str">
        <f t="array" ref="U175:U176">{"LEARNED L14";(INDEX(ALLCLASSDATA,MATCH("Learned-L14",CLASSFEATUREHEADERS,0),MATCH(($A176 &amp; "Points"),CLASSNAMEHEADERS,0)))}</f>
        <v>LEARNED L14</v>
      </c>
      <c r="V175" s="223" t="str">
        <f t="array" ref="V175:V176">{"LEARNED L15";(INDEX(ALLCLASSDATA,MATCH("Learned-L15",CLASSFEATUREHEADERS,0),MATCH(($A176 &amp; "Points"),CLASSNAMEHEADERS,0)))}</f>
        <v>LEARNED L15</v>
      </c>
      <c r="W175" s="223" t="str">
        <f t="array" ref="W175:W176">{"LEARNED L16";(INDEX(ALLCLASSDATA,MATCH("Learned-L16",CLASSFEATUREHEADERS,0),MATCH(($A176 &amp; "Points"),CLASSNAMEHEADERS,0)))}</f>
        <v>LEARNED L16</v>
      </c>
      <c r="X175" s="223" t="str">
        <f t="array" ref="X175:X176">{"LEARNED L17";(INDEX(ALLCLASSDATA,MATCH("Learned-L17",CLASSFEATUREHEADERS,0),MATCH(($A176 &amp; "Points"),CLASSNAMEHEADERS,0)))}</f>
        <v>LEARNED L17</v>
      </c>
      <c r="Y175" s="223" t="str">
        <f t="array" ref="Y175:Y176">{"LEARNED L18";(INDEX(ALLCLASSDATA,MATCH("Learned-L18",CLASSFEATUREHEADERS,0),MATCH(($A176 &amp; "Points"),CLASSNAMEHEADERS,0)))}</f>
        <v>LEARNED L18</v>
      </c>
      <c r="Z175" s="223" t="str">
        <f t="array" ref="Z175:Z176">{"LEARNED L19";(INDEX(ALLCLASSDATA,MATCH("Learned-L19",CLASSFEATUREHEADERS,0),MATCH(($A176 &amp; "Points"),CLASSNAMEHEADERS,0)))}</f>
        <v>LEARNED L19</v>
      </c>
      <c r="AA175" s="223" t="str">
        <f t="array" ref="AA175:AA176">{"LEARNED L20";(INDEX(ALLCLASSDATA,MATCH("Learned-L20",CLASSFEATUREHEADERS,0),MATCH(($A176 &amp; "Points"),CLASSNAMEHEADERS,0)))}</f>
        <v>LEARNED L20</v>
      </c>
      <c r="AB175" s="76"/>
      <c r="AC175" s="76" t="str">
        <f t="array" ref="AC175:AC176">{"LEARNED TOTAL";(sum(G176:AA176))}</f>
        <v>LEARNED TOTAL</v>
      </c>
    </row>
    <row r="176">
      <c r="A176" s="48" t="s">
        <v>95</v>
      </c>
      <c r="B176" s="48"/>
      <c r="C176" s="48" t="s">
        <v>409</v>
      </c>
      <c r="D176" s="48" t="s">
        <v>603</v>
      </c>
      <c r="E176" s="48" t="s">
        <v>603</v>
      </c>
      <c r="F176" s="278" t="s">
        <v>603</v>
      </c>
      <c r="G176" s="47" t="s">
        <v>603</v>
      </c>
      <c r="H176" s="5" t="s">
        <v>603</v>
      </c>
      <c r="I176" s="5" t="s">
        <v>603</v>
      </c>
      <c r="J176" s="5" t="s">
        <v>603</v>
      </c>
      <c r="K176" s="5" t="s">
        <v>603</v>
      </c>
      <c r="L176" s="5" t="s">
        <v>603</v>
      </c>
      <c r="M176" s="5" t="s">
        <v>603</v>
      </c>
      <c r="N176" s="48" t="s">
        <v>603</v>
      </c>
      <c r="O176" s="5" t="s">
        <v>603</v>
      </c>
      <c r="P176" s="5" t="s">
        <v>603</v>
      </c>
      <c r="Q176" s="5" t="s">
        <v>603</v>
      </c>
      <c r="R176" s="5" t="s">
        <v>603</v>
      </c>
      <c r="S176" s="5" t="s">
        <v>603</v>
      </c>
      <c r="T176" s="5" t="s">
        <v>603</v>
      </c>
      <c r="U176" s="5" t="s">
        <v>603</v>
      </c>
      <c r="V176" s="5" t="s">
        <v>603</v>
      </c>
      <c r="W176" s="5" t="s">
        <v>603</v>
      </c>
      <c r="X176" s="5" t="s">
        <v>603</v>
      </c>
      <c r="Y176" s="5" t="s">
        <v>603</v>
      </c>
      <c r="Z176" s="5" t="s">
        <v>603</v>
      </c>
      <c r="AA176" s="5" t="s">
        <v>603</v>
      </c>
      <c r="AB176" s="5"/>
      <c r="AC176" s="47">
        <v>0.0</v>
      </c>
    </row>
    <row r="177" hidden="1">
      <c r="A177" s="222" t="str">
        <f t="array" ref="A177:A178">{"FormulaRow42";(INDEX(CLASSLIST,A94,1))}</f>
        <v>FormulaRow42</v>
      </c>
      <c r="B177" s="77" t="s">
        <v>236</v>
      </c>
      <c r="C177" s="222" t="str">
        <f t="array" ref="C177:C178">{"CLASSTYPE";((INDEX(ALLCLASSDATA,MATCH("ClassType",CLASSFEATUREHEADERS,0),MATCH($A178,CLASSNAMEHEADERS,0))))}</f>
        <v>CLASSTYPE</v>
      </c>
      <c r="D177" s="222" t="str">
        <f t="array" ref="D177:D178">{"SPELL/ALCHEMY";((IF(INDEX(ALLCLASSDATA,MATCH("CasterType",CLASSFEATUREHEADERS,0),MATCH(($A178),CLASSNAMEHEADERS,0))="","",(IF(INDEX(ALLCLASSDATA,MATCH("CasterType",CLASSFEATUREHEADERS,0),MATCH(($A178),CLASSNAMEHEADERS,0))="Alchemy","","Spells")))))}</f>
        <v>SPELL/ALCHEMY</v>
      </c>
      <c r="E177" s="222" t="str">
        <f t="array" ref="E177:E178">{"SPELLLIST";(IF(D178="Spells",((INDEX(ALLCLASSDATA,MATCH("CasterType",CLASSFEATUREHEADERS,0),MATCH(($A178),CLASSNAMEHEADERS,0))) &amp; ":" &amp; (INDEX(ALLCLASSDATA,MATCH("SpellList",CLASSFEATUREHEADERS,0),MATCH(($A178),CLASSNAMEHEADERS,0)))),""))}</f>
        <v>SPELLLIST</v>
      </c>
      <c r="F177" s="223" t="str">
        <f t="array" ref="F177:F178">{"SLOT/LVL";(IF(D172="Spells","Slot/LVL:",""))}</f>
        <v>SLOT/LVL</v>
      </c>
      <c r="G177" s="223" t="str">
        <f t="array" ref="G177:G178">{"CANTRIPSLOTS";(INDEX(ALLCLASSDATA,MATCH("CantripSlots-L00",CLASSFEATUREHEADERS,0),MATCH($A178,CLASSNAMEHEADERS,0)))}</f>
        <v>CANTRIPSLOTS</v>
      </c>
      <c r="H177" s="223" t="str">
        <f t="array" ref="H177:H178">{"SPL01-L01";(INDEX(ALLCLASSDATA,MATCH("SPL01-L01",CLASSFEATUREHEADERS,0),MATCH($A178,CLASSNAMEHEADERS,0)))}</f>
        <v>SPL01-L01</v>
      </c>
      <c r="I177" s="223" t="str">
        <f t="array" ref="I177:I178">{"SPL01-L02";(INDEX(ALLCLASSDATA,MATCH("SPL01-L02",CLASSFEATUREHEADERS,0),MATCH($A178,CLASSNAMEHEADERS,0)))}</f>
        <v>SPL01-L02</v>
      </c>
      <c r="J177" s="223" t="str">
        <f t="array" ref="J177:J178">{"SPL02-L03";(INDEX(ALLCLASSDATA,MATCH("SPL02-L03",CLASSFEATUREHEADERS,0),MATCH($A178,CLASSNAMEHEADERS,0)))}</f>
        <v>SPL02-L03</v>
      </c>
      <c r="K177" s="223" t="str">
        <f t="array" ref="K177:K178">{"SPL02-L04";(INDEX(ALLCLASSDATA,MATCH("SPL02-L04",CLASSFEATUREHEADERS,0),MATCH($A178,CLASSNAMEHEADERS,0)))}</f>
        <v>SPL02-L04</v>
      </c>
      <c r="L177" s="223" t="str">
        <f t="array" ref="L177:L178">{"SPL03-L05";(INDEX(ALLCLASSDATA,MATCH("SPL03-L05",CLASSFEATUREHEADERS,0),MATCH($A178,CLASSNAMEHEADERS,0)))}</f>
        <v>SPL03-L05</v>
      </c>
      <c r="M177" s="223" t="str">
        <f t="array" ref="M177:M178">{"SPL03-L06";(INDEX(ALLCLASSDATA,MATCH("SPL03-L06",CLASSFEATUREHEADERS,0),MATCH($A178,CLASSNAMEHEADERS,0)))}</f>
        <v>SPL03-L06</v>
      </c>
      <c r="N177" s="223" t="str">
        <f t="array" ref="N177:N178">{"SPL04-L07";(INDEX(ALLCLASSDATA,MATCH("SPL04-L07",CLASSFEATUREHEADERS,0),MATCH($A178,CLASSNAMEHEADERS,0)))}</f>
        <v>SPL04-L07</v>
      </c>
      <c r="O177" s="223" t="str">
        <f t="array" ref="O177:O178">{"SPL04-L08";(INDEX(ALLCLASSDATA,MATCH("SPL04-L08",CLASSFEATUREHEADERS,0),MATCH($A178,CLASSNAMEHEADERS,0)))}</f>
        <v>SPL04-L08</v>
      </c>
      <c r="P177" s="223" t="str">
        <f t="array" ref="P177:P178">{"SPL05-L09";(INDEX(ALLCLASSDATA,MATCH("SPL05-L09",CLASSFEATUREHEADERS,0),MATCH($A178,CLASSNAMEHEADERS,0)))}</f>
        <v>SPL05-L09</v>
      </c>
      <c r="Q177" s="223" t="str">
        <f t="array" ref="Q177:Q178">{"SPL05-L10";(INDEX(ALLCLASSDATA,MATCH("SPL05-L10",CLASSFEATUREHEADERS,0),MATCH($A178,CLASSNAMEHEADERS,0)))}</f>
        <v>SPL05-L10</v>
      </c>
      <c r="R177" s="223" t="str">
        <f t="array" ref="R177:R178">{"SPL06-L11";(INDEX(ALLCLASSDATA,MATCH("SPL06-L11",CLASSFEATUREHEADERS,0),MATCH($A178,CLASSNAMEHEADERS,0)))}</f>
        <v>SPL06-L11</v>
      </c>
      <c r="S177" s="223" t="str">
        <f t="array" ref="S177:S178">{"SPL06-L12";(INDEX(ALLCLASSDATA,MATCH("SPL06-L12",CLASSFEATUREHEADERS,0),MATCH($A178,CLASSNAMEHEADERS,0)))}</f>
        <v>SPL06-L12</v>
      </c>
      <c r="T177" s="223" t="str">
        <f t="array" ref="T177:T178">{"SPL07-L13";(INDEX(ALLCLASSDATA,MATCH("SPL07-L13",CLASSFEATUREHEADERS,0),MATCH($A178,CLASSNAMEHEADERS,0)))}</f>
        <v>SPL07-L13</v>
      </c>
      <c r="U177" s="223" t="str">
        <f t="array" ref="U177:U178">{"SPL07-L14";(INDEX(ALLCLASSDATA,MATCH("SPL07-L14",CLASSFEATUREHEADERS,0),MATCH($A178,CLASSNAMEHEADERS,0)))}</f>
        <v>SPL07-L14</v>
      </c>
      <c r="V177" s="223" t="str">
        <f t="array" ref="V177:V178">{"SPL08-L15";(INDEX(ALLCLASSDATA,MATCH("SPL08-L15",CLASSFEATUREHEADERS,0),MATCH($A178,CLASSNAMEHEADERS,0)))}</f>
        <v>SPL08-L15</v>
      </c>
      <c r="W177" s="223" t="str">
        <f t="array" ref="W177:W178">{"SPL08-L16";(INDEX(ALLCLASSDATA,MATCH("SPL08-L16",CLASSFEATUREHEADERS,0),MATCH($A178,CLASSNAMEHEADERS,0)))}</f>
        <v>SPL08-L16</v>
      </c>
      <c r="X177" s="223" t="str">
        <f t="array" ref="X177:X178">{"SPL09-L17";(INDEX(ALLCLASSDATA,MATCH("SPL09-L17",CLASSFEATUREHEADERS,0),MATCH($A178,CLASSNAMEHEADERS,0)))}</f>
        <v>SPL09-L17</v>
      </c>
      <c r="Y177" s="223" t="str">
        <f t="array" ref="Y177:Y178">{"SPL09-L18";(INDEX(ALLCLASSDATA,MATCH("SPL09-L18",CLASSFEATUREHEADERS,0),MATCH($A178,CLASSNAMEHEADERS,0)))}</f>
        <v>SPL09-L18</v>
      </c>
      <c r="Z177" s="223" t="str">
        <f t="array" ref="Z177:Z178">{"SPL10-L19";(INDEX(ALLCLASSDATA,MATCH("SPL10-L19",CLASSFEATUREHEADERS,0),MATCH($A178,CLASSNAMEHEADERS,0)))}</f>
        <v>SPL10-L19</v>
      </c>
      <c r="AA177" s="223" t="str">
        <f t="array" ref="AA177:AA178">{"SPL10-L20";(INDEX(ALLCLASSDATA,MATCH("SPL10-L20",CLASSFEATUREHEADERS,0),MATCH($A178,CLASSNAMEHEADERS,0)))}</f>
        <v>SPL10-L20</v>
      </c>
      <c r="AB177" s="76"/>
      <c r="AC177" s="76"/>
    </row>
    <row r="178">
      <c r="A178" s="48" t="s">
        <v>95</v>
      </c>
      <c r="B178" s="48"/>
      <c r="C178" s="48" t="s">
        <v>409</v>
      </c>
      <c r="D178" s="48" t="s">
        <v>603</v>
      </c>
      <c r="E178" s="48" t="s">
        <v>603</v>
      </c>
      <c r="F178" s="278" t="s">
        <v>603</v>
      </c>
      <c r="G178" s="280"/>
      <c r="H178" s="50"/>
      <c r="I178" s="50"/>
      <c r="J178" s="50"/>
      <c r="K178" s="50"/>
      <c r="L178" s="50"/>
      <c r="M178" s="50"/>
      <c r="N178" s="50"/>
      <c r="O178" s="50"/>
      <c r="P178" s="50"/>
      <c r="Q178" s="50"/>
      <c r="R178" s="50"/>
      <c r="S178" s="50"/>
      <c r="T178" s="50"/>
      <c r="U178" s="50"/>
      <c r="V178" s="50"/>
      <c r="W178" s="50"/>
      <c r="X178" s="50"/>
      <c r="Y178" s="50"/>
      <c r="Z178" s="50"/>
      <c r="AA178" s="50"/>
      <c r="AB178" s="278"/>
      <c r="AC178" s="47"/>
    </row>
    <row r="179" hidden="1">
      <c r="A179" s="222" t="str">
        <f t="array" ref="A179:A180">{"FormulaRow43";(INDEX(CLASSLIST,A94,1))}</f>
        <v>FormulaRow43</v>
      </c>
      <c r="B179" s="77" t="s">
        <v>236</v>
      </c>
      <c r="C179" s="222" t="str">
        <f t="array" ref="C179:C180">{"CLASSTYPE";((INDEX(ALLCLASSDATA,MATCH("ClassType",CLASSFEATUREHEADERS,0),MATCH($A180,CLASSNAMEHEADERS,0))))}</f>
        <v>CLASSTYPE</v>
      </c>
      <c r="D179" s="222" t="str">
        <f t="array" ref="D179:D180">{"SPELL/ALCHEMY";((IF(INDEX(ALLCLASSDATA,MATCH("CasterType",CLASSFEATUREHEADERS,0),MATCH(($A180),CLASSNAMEHEADERS,0))="","",(IF(INDEX(ALLCLASSDATA,MATCH("CasterType",CLASSFEATUREHEADERS,0),MATCH(($A180),CLASSNAMEHEADERS,0))="Alchemy","Alchemy","Spells")))))}</f>
        <v>SPELL/ALCHEMY</v>
      </c>
      <c r="E179" s="222" t="str">
        <f t="array" ref="E179:E180">{"SPELLLIST";(IF(D180="Spells",((INDEX(ALLCLASSDATA,MATCH("CasterType",CLASSFEATUREHEADERS,0),MATCH(($A180),CLASSNAMEHEADERS,0))) &amp; ":" &amp; (INDEX(ALLCLASSDATA,MATCH("SpellList",CLASSFEATUREHEADERS,0),MATCH(($A180),CLASSNAMEHEADERS,0)))),""))}</f>
        <v>SPELLLIST</v>
      </c>
      <c r="F179" s="223" t="str">
        <f t="array" ref="F179:F180">{"LEARNED/LVL";(IF(D180="","","Learn/LVL:"))}</f>
        <v>LEARNED/LVL</v>
      </c>
      <c r="G179" s="223" t="str">
        <f t="array" ref="G179:G180">{"LEARNEDCANTRIPS";(INDEX(ALLCLASSDATA,MATCH("CantripsLearned-L00",CLASSFEATUREHEADERS,0),MATCH($A180,CLASSNAMEHEADERS,0)))}</f>
        <v>LEARNEDCANTRIPS</v>
      </c>
      <c r="H179" s="223" t="str">
        <f t="array" ref="H179:H180">{"LEARNED L01";(INDEX(ALLCLASSDATA,MATCH("Learned-L01",CLASSFEATUREHEADERS,0),MATCH($A180,CLASSNAMEHEADERS,0)))}</f>
        <v>LEARNED L01</v>
      </c>
      <c r="I179" s="223" t="str">
        <f t="array" ref="I179:I180">{"LEARNED L02";(INDEX(ALLCLASSDATA,MATCH("Learned-L02",CLASSFEATUREHEADERS,0),MATCH($A180,CLASSNAMEHEADERS,0)))}</f>
        <v>LEARNED L02</v>
      </c>
      <c r="J179" s="223" t="str">
        <f t="array" ref="J179:J180">{"LEARNED L03";(INDEX(ALLCLASSDATA,MATCH("Learned-L03",CLASSFEATUREHEADERS,0),MATCH($A180,CLASSNAMEHEADERS,0)))}</f>
        <v>LEARNED L03</v>
      </c>
      <c r="K179" s="223" t="str">
        <f t="array" ref="K179:K180">{"LEARNED L04";(INDEX(ALLCLASSDATA,MATCH("Learned-L04",CLASSFEATUREHEADERS,0),MATCH($A180,CLASSNAMEHEADERS,0)))}</f>
        <v>LEARNED L04</v>
      </c>
      <c r="L179" s="223" t="str">
        <f t="array" ref="L179:L180">{"LEARNED L05";(INDEX(ALLCLASSDATA,MATCH("Learned-L05",CLASSFEATUREHEADERS,0),MATCH($A180,CLASSNAMEHEADERS,0)))}</f>
        <v>LEARNED L05</v>
      </c>
      <c r="M179" s="223" t="str">
        <f t="array" ref="M179:M180">{"LEARNED L06";(INDEX(ALLCLASSDATA,MATCH("Learned-L06",CLASSFEATUREHEADERS,0),MATCH($A180,CLASSNAMEHEADERS,0)))}</f>
        <v>LEARNED L06</v>
      </c>
      <c r="N179" s="223" t="str">
        <f t="array" ref="N179:N180">{"LEARNED L07";(INDEX(ALLCLASSDATA,MATCH("Learned-L07",CLASSFEATUREHEADERS,0),MATCH($A180,CLASSNAMEHEADERS,0)))}</f>
        <v>LEARNED L07</v>
      </c>
      <c r="O179" s="223" t="str">
        <f t="array" ref="O179:O180">{"LEARNED L08";(INDEX(ALLCLASSDATA,MATCH("Learned-L08",CLASSFEATUREHEADERS,0),MATCH($A180,CLASSNAMEHEADERS,0)))}</f>
        <v>LEARNED L08</v>
      </c>
      <c r="P179" s="223" t="str">
        <f t="array" ref="P179:P180">{"LEARNED L09";(INDEX(ALLCLASSDATA,MATCH("Learned-L09",CLASSFEATUREHEADERS,0),MATCH($A180,CLASSNAMEHEADERS,0)))}</f>
        <v>LEARNED L09</v>
      </c>
      <c r="Q179" s="223" t="str">
        <f t="array" ref="Q179:Q180">{"LEARNED L10";(INDEX(ALLCLASSDATA,MATCH("Learned-L10",CLASSFEATUREHEADERS,0),MATCH($A180,CLASSNAMEHEADERS,0)))}</f>
        <v>LEARNED L10</v>
      </c>
      <c r="R179" s="223" t="str">
        <f t="array" ref="R179:R180">{"LEARNED L11";(INDEX(ALLCLASSDATA,MATCH("Learned-L11",CLASSFEATUREHEADERS,0),MATCH($A180,CLASSNAMEHEADERS,0)))}</f>
        <v>LEARNED L11</v>
      </c>
      <c r="S179" s="223" t="str">
        <f t="array" ref="S179:S180">{"LEARNED L12";(INDEX(ALLCLASSDATA,MATCH("Learned-L12",CLASSFEATUREHEADERS,0),MATCH($A180,CLASSNAMEHEADERS,0)))}</f>
        <v>LEARNED L12</v>
      </c>
      <c r="T179" s="223" t="str">
        <f t="array" ref="T179:T180">{"LEARNED L13";(INDEX(ALLCLASSDATA,MATCH("Learned-L13",CLASSFEATUREHEADERS,0),MATCH($A180,CLASSNAMEHEADERS,0)))}</f>
        <v>LEARNED L13</v>
      </c>
      <c r="U179" s="223" t="str">
        <f t="array" ref="U179:U180">{"LEARNED L14";(INDEX(ALLCLASSDATA,MATCH("Learned-L14",CLASSFEATUREHEADERS,0),MATCH($A180,CLASSNAMEHEADERS,0)))}</f>
        <v>LEARNED L14</v>
      </c>
      <c r="V179" s="223" t="str">
        <f t="array" ref="V179:V180">{"LEARNED L15";(INDEX(ALLCLASSDATA,MATCH("Learned-L15",CLASSFEATUREHEADERS,0),MATCH($A180,CLASSNAMEHEADERS,0)))}</f>
        <v>LEARNED L15</v>
      </c>
      <c r="W179" s="223" t="str">
        <f t="array" ref="W179:W180">{"LEARNED L16";(INDEX(ALLCLASSDATA,MATCH("Learned-L16",CLASSFEATUREHEADERS,0),MATCH($A180,CLASSNAMEHEADERS,0)))}</f>
        <v>LEARNED L16</v>
      </c>
      <c r="X179" s="223" t="str">
        <f t="array" ref="X179:X180">{"LEARNED L17";(INDEX(ALLCLASSDATA,MATCH("Learned-L17",CLASSFEATUREHEADERS,0),MATCH($A180,CLASSNAMEHEADERS,0)))}</f>
        <v>LEARNED L17</v>
      </c>
      <c r="Y179" s="223" t="str">
        <f t="array" ref="Y179:Y180">{"LEARNED L18";(INDEX(ALLCLASSDATA,MATCH("Learned-L18",CLASSFEATUREHEADERS,0),MATCH($A180,CLASSNAMEHEADERS,0)))}</f>
        <v>LEARNED L18</v>
      </c>
      <c r="Z179" s="223" t="str">
        <f t="array" ref="Z179:Z180">{"LEARNED L19";(INDEX(ALLCLASSDATA,MATCH("Learned-L19",CLASSFEATUREHEADERS,0),MATCH($A180,CLASSNAMEHEADERS,0)))}</f>
        <v>LEARNED L19</v>
      </c>
      <c r="AA179" s="223" t="str">
        <f t="array" ref="AA179:AA180">{"LEARNED L20";(INDEX(ALLCLASSDATA,MATCH("Learned-L20",CLASSFEATUREHEADERS,0),MATCH($A180,CLASSNAMEHEADERS,0)))}</f>
        <v>LEARNED L20</v>
      </c>
      <c r="AB179" s="76"/>
      <c r="AC179" s="76"/>
    </row>
    <row r="180">
      <c r="A180" s="48" t="s">
        <v>95</v>
      </c>
      <c r="B180" s="48"/>
      <c r="C180" s="48" t="s">
        <v>409</v>
      </c>
      <c r="D180" s="48" t="s">
        <v>603</v>
      </c>
      <c r="E180" s="48" t="s">
        <v>603</v>
      </c>
      <c r="F180" s="278" t="s">
        <v>603</v>
      </c>
      <c r="G180" s="280"/>
      <c r="H180" s="278"/>
      <c r="I180" s="278"/>
      <c r="J180" s="278"/>
      <c r="K180" s="278"/>
      <c r="L180" s="278"/>
      <c r="M180" s="278"/>
      <c r="N180" s="278"/>
      <c r="O180" s="50"/>
      <c r="P180" s="278"/>
      <c r="Q180" s="278"/>
      <c r="R180" s="278"/>
      <c r="S180" s="278"/>
      <c r="T180" s="278"/>
      <c r="U180" s="278"/>
      <c r="V180" s="278"/>
      <c r="W180" s="278"/>
      <c r="X180" s="278"/>
      <c r="Y180" s="278"/>
      <c r="Z180" s="278"/>
      <c r="AA180" s="278"/>
      <c r="AB180" s="278"/>
      <c r="AC180" s="47"/>
    </row>
    <row r="181" hidden="1">
      <c r="A181" s="222" t="str">
        <f t="array" ref="A181:A182">{"FormulaRow44";(INDEX(CLASSLIST,A94,1))}</f>
        <v>FormulaRow44</v>
      </c>
      <c r="B181" s="77" t="s">
        <v>236</v>
      </c>
      <c r="C181" s="222" t="str">
        <f t="array" ref="C181:C182">{"CLASSTYPE";((INDEX(ALLCLASSDATA,MATCH("ClassType",CLASSFEATUREHEADERS,0),MATCH($A182,CLASSNAMEHEADERS,0))))}</f>
        <v>CLASSTYPE</v>
      </c>
      <c r="D181" s="222" t="str">
        <f t="array" ref="D181:D182">{"SPELL/ALCHEMY";((IF(INDEX(ALLCLASSDATA,MATCH("CasterType",CLASSFEATUREHEADERS,0),MATCH(($A182),CLASSNAMEHEADERS,0))="","",(IF(INDEX(ALLCLASSDATA,MATCH("CasterType",CLASSFEATUREHEADERS,0),MATCH(($A182),CLASSNAMEHEADERS,0))="Alchemy","","Spells")))))}</f>
        <v>SPELL/ALCHEMY</v>
      </c>
      <c r="E181" s="222" t="str">
        <f t="array" ref="E181:E182">{"SPELLLIST";(IF(D182="Spells",((INDEX(ALLCLASSDATA,MATCH("CasterType",CLASSFEATUREHEADERS,0),MATCH(($A182),CLASSNAMEHEADERS,0))) &amp; ":" &amp; (INDEX(ALLCLASSDATA,MATCH("SpellList",CLASSFEATUREHEADERS,0),MATCH(($A182),CLASSNAMEHEADERS,0)))),""))}</f>
        <v>SPELLLIST</v>
      </c>
      <c r="F181" s="223" t="str">
        <f t="array" ref="F181:F182">{"TOTALSLOTS";(IF(D182="","","TotalSlots:"))}</f>
        <v>TOTALSLOTS</v>
      </c>
      <c r="G181" s="223" t="str">
        <f t="array" ref="G181:G182">{"TOTALCANTRIPSLOTS";(G178)}</f>
        <v>TOTALCANTRIPSLOTS</v>
      </c>
      <c r="H181" s="223" t="str">
        <f t="array" ref="H181:H182">{"TOTALSLOTS L01";(H178)}</f>
        <v>TOTALSLOTS L01</v>
      </c>
      <c r="I181" s="223" t="str">
        <f t="array" ref="I181:I182">{"TOTALSLOTS L02";(H182+I178)}</f>
        <v>TOTALSLOTS L02</v>
      </c>
      <c r="J181" s="223" t="str">
        <f t="array" ref="J181:J182">{"TOTALSLOTS L03";(I182+J178)}</f>
        <v>TOTALSLOTS L03</v>
      </c>
      <c r="K181" s="223" t="str">
        <f t="array" ref="K181:K182">{"TOTALSLOTS L04";(J182+K178)}</f>
        <v>TOTALSLOTS L04</v>
      </c>
      <c r="L181" s="223" t="str">
        <f t="array" ref="L181:L182">{"TOTALSLOTS L05";(K182+L178)}</f>
        <v>TOTALSLOTS L05</v>
      </c>
      <c r="M181" s="223" t="str">
        <f t="array" ref="M181:M182">{"TOTALSLOTS L06";(L182+M178)}</f>
        <v>TOTALSLOTS L06</v>
      </c>
      <c r="N181" s="223" t="str">
        <f t="array" ref="N181:N182">{"TOTALSLOTS L07";(M182+N178)}</f>
        <v>TOTALSLOTS L07</v>
      </c>
      <c r="O181" s="223" t="str">
        <f t="array" ref="O181:O182">{"TOTALSLOTS L08";(N182+O178)}</f>
        <v>TOTALSLOTS L08</v>
      </c>
      <c r="P181" s="223" t="str">
        <f t="array" ref="P181:P182">{"TOTALSLOTS L09";(O182+P178)}</f>
        <v>TOTALSLOTS L09</v>
      </c>
      <c r="Q181" s="223" t="str">
        <f t="array" ref="Q181:Q182">{"TOTALSLOTS L10";(P182+Q178)}</f>
        <v>TOTALSLOTS L10</v>
      </c>
      <c r="R181" s="223" t="str">
        <f t="array" ref="R181:R182">{"TOTALSLOTS L11";(Q182+R178)}</f>
        <v>TOTALSLOTS L11</v>
      </c>
      <c r="S181" s="223" t="str">
        <f t="array" ref="S181:S182">{"TOTALSLOTS L12";(R182+S178)}</f>
        <v>TOTALSLOTS L12</v>
      </c>
      <c r="T181" s="223" t="str">
        <f t="array" ref="T181:T182">{"TOTALSLOTS L13";(S182+T178)}</f>
        <v>TOTALSLOTS L13</v>
      </c>
      <c r="U181" s="223" t="str">
        <f t="array" ref="U181:U182">{"TOTALSLOTS L14";(T182+U178)}</f>
        <v>TOTALSLOTS L14</v>
      </c>
      <c r="V181" s="223" t="str">
        <f t="array" ref="V181:V182">{"TOTALSLOTS L15";(U182+V178)}</f>
        <v>TOTALSLOTS L15</v>
      </c>
      <c r="W181" s="223" t="str">
        <f t="array" ref="W181:W182">{"TOTALSLOTS L16";(V182+W178)}</f>
        <v>TOTALSLOTS L16</v>
      </c>
      <c r="X181" s="223" t="str">
        <f t="array" ref="X181:X182">{"TOTALSLOTS L17";(W182+X178)}</f>
        <v>TOTALSLOTS L17</v>
      </c>
      <c r="Y181" s="223" t="str">
        <f t="array" ref="Y181:Y182">{"TOTALSLOTS L18";(X182+Y178)}</f>
        <v>TOTALSLOTS L18</v>
      </c>
      <c r="Z181" s="223" t="str">
        <f t="array" ref="Z181:Z182">{"TOTALSLOTS L19";(Y182+Z178)}</f>
        <v>TOTALSLOTS L19</v>
      </c>
      <c r="AA181" s="223" t="str">
        <f t="array" ref="AA181:AA182">{"TOTALSLOTS L20";(Z182+AA178)}</f>
        <v>TOTALSLOTS L20</v>
      </c>
      <c r="AB181" s="76"/>
      <c r="AC181" s="76"/>
    </row>
    <row r="182">
      <c r="A182" s="48" t="s">
        <v>95</v>
      </c>
      <c r="B182" s="48"/>
      <c r="C182" s="48" t="s">
        <v>409</v>
      </c>
      <c r="D182" s="48" t="s">
        <v>603</v>
      </c>
      <c r="E182" s="48" t="s">
        <v>603</v>
      </c>
      <c r="F182" s="278" t="s">
        <v>603</v>
      </c>
      <c r="G182" s="280"/>
      <c r="H182" s="278"/>
      <c r="I182" s="278">
        <v>0.0</v>
      </c>
      <c r="J182" s="278">
        <v>0.0</v>
      </c>
      <c r="K182" s="278">
        <v>0.0</v>
      </c>
      <c r="L182" s="278">
        <v>0.0</v>
      </c>
      <c r="M182" s="278">
        <v>0.0</v>
      </c>
      <c r="N182" s="278">
        <v>0.0</v>
      </c>
      <c r="O182" s="278">
        <v>0.0</v>
      </c>
      <c r="P182" s="278">
        <v>0.0</v>
      </c>
      <c r="Q182" s="278">
        <v>0.0</v>
      </c>
      <c r="R182" s="278">
        <v>0.0</v>
      </c>
      <c r="S182" s="278">
        <v>0.0</v>
      </c>
      <c r="T182" s="278">
        <v>0.0</v>
      </c>
      <c r="U182" s="278">
        <v>0.0</v>
      </c>
      <c r="V182" s="278">
        <v>0.0</v>
      </c>
      <c r="W182" s="278">
        <v>0.0</v>
      </c>
      <c r="X182" s="278">
        <v>0.0</v>
      </c>
      <c r="Y182" s="278">
        <v>0.0</v>
      </c>
      <c r="Z182" s="278">
        <v>0.0</v>
      </c>
      <c r="AA182" s="278">
        <v>0.0</v>
      </c>
      <c r="AB182" s="5"/>
      <c r="AC182" s="47"/>
    </row>
    <row r="183" hidden="1">
      <c r="A183" s="222" t="str">
        <f t="array" ref="A183:A184">{"FormulaRow45";(INDEX(CLASSLIST,A94,1))}</f>
        <v>FormulaRow45</v>
      </c>
      <c r="B183" s="77" t="s">
        <v>236</v>
      </c>
      <c r="C183" s="222" t="str">
        <f t="array" ref="C183:C184">{"CLASSTYPE";((INDEX(ALLCLASSDATA,MATCH("ClassType",CLASSFEATUREHEADERS,0),MATCH($A184,CLASSNAMEHEADERS,0))))}</f>
        <v>CLASSTYPE</v>
      </c>
      <c r="D183" s="222" t="str">
        <f t="array" ref="D183:D184">{"SPELL/ALCHEMY";((IF(INDEX(ALLCLASSDATA,MATCH("CasterType",CLASSFEATUREHEADERS,0),MATCH(($A184),CLASSNAMEHEADERS,0))="","",(IF(INDEX(ALLCLASSDATA,MATCH("CasterType",CLASSFEATUREHEADERS,0),MATCH(($A184),CLASSNAMEHEADERS,0))="Alchemy","Alchemy","Spells")))))}</f>
        <v>SPELL/ALCHEMY</v>
      </c>
      <c r="E183" s="222" t="str">
        <f t="array" ref="E183:E184">{"SPELLLIST";(IF(D184="Spells",((INDEX(ALLCLASSDATA,MATCH("CasterType",CLASSFEATUREHEADERS,0),MATCH(($A184),CLASSNAMEHEADERS,0))) &amp; ":" &amp; (INDEX(ALLCLASSDATA,MATCH("SpellList",CLASSFEATUREHEADERS,0),MATCH(($A184),CLASSNAMEHEADERS,0)))),""))}</f>
        <v>SPELLLIST</v>
      </c>
      <c r="F183" s="223" t="str">
        <f t="array" ref="F183:F184">{"TOTALLEARNED";(IF(D184="","","TotalLearned:"))}</f>
        <v>TOTALLEARNED</v>
      </c>
      <c r="G183" s="223" t="str">
        <f t="array" ref="G183:G184">{"TOTALCANTRIPSLEARNED";(G180)}</f>
        <v>TOTALCANTRIPSLEARNED</v>
      </c>
      <c r="H183" s="223" t="str">
        <f t="array" ref="H183:H184">{"TOTALLEARNED L01";(H180)}</f>
        <v>TOTALLEARNED L01</v>
      </c>
      <c r="I183" s="223" t="str">
        <f t="array" ref="I183:I184">{"TOTALLEARNED L02";(H184+I180)}</f>
        <v>TOTALLEARNED L02</v>
      </c>
      <c r="J183" s="223" t="str">
        <f t="array" ref="J183:J184">{"TOTALLEARNED L03";(I184+J180)}</f>
        <v>TOTALLEARNED L03</v>
      </c>
      <c r="K183" s="223" t="str">
        <f t="array" ref="K183:K184">{"TOTALLEARNED L04";(J184+K180)}</f>
        <v>TOTALLEARNED L04</v>
      </c>
      <c r="L183" s="223" t="str">
        <f t="array" ref="L183:L184">{"TOTALLEARNED L05";(K184+L180)}</f>
        <v>TOTALLEARNED L05</v>
      </c>
      <c r="M183" s="223" t="str">
        <f t="array" ref="M183:M184">{"TOTALLEARNED L06";(L184+M180)}</f>
        <v>TOTALLEARNED L06</v>
      </c>
      <c r="N183" s="223" t="str">
        <f t="array" ref="N183:N184">{"TOTALLEARNED L07";(M184+N180)}</f>
        <v>TOTALLEARNED L07</v>
      </c>
      <c r="O183" s="223" t="str">
        <f t="array" ref="O183:O184">{"TOTALLEARNED L08";(N184+O180)}</f>
        <v>TOTALLEARNED L08</v>
      </c>
      <c r="P183" s="223" t="str">
        <f t="array" ref="P183:P184">{"TOTALLEARNED L09";(O184+P180)}</f>
        <v>TOTALLEARNED L09</v>
      </c>
      <c r="Q183" s="223" t="str">
        <f t="array" ref="Q183:Q184">{"TOTALLEARNED L10";(P184+Q180)}</f>
        <v>TOTALLEARNED L10</v>
      </c>
      <c r="R183" s="223" t="str">
        <f t="array" ref="R183:R184">{"TOTALLEARNED L11";(Q184+R180)}</f>
        <v>TOTALLEARNED L11</v>
      </c>
      <c r="S183" s="223" t="str">
        <f t="array" ref="S183:S184">{"TOTALLEARNED L12";(R184+S180)}</f>
        <v>TOTALLEARNED L12</v>
      </c>
      <c r="T183" s="223" t="str">
        <f t="array" ref="T183:T184">{"TOTALLEARNED L13";(S184+T180)}</f>
        <v>TOTALLEARNED L13</v>
      </c>
      <c r="U183" s="223" t="str">
        <f t="array" ref="U183:U184">{"TOTALLEARNED L14";(T184+U180)}</f>
        <v>TOTALLEARNED L14</v>
      </c>
      <c r="V183" s="223" t="str">
        <f t="array" ref="V183:V184">{"TOTALLEARNED L15";(U184+V180)}</f>
        <v>TOTALLEARNED L15</v>
      </c>
      <c r="W183" s="223" t="str">
        <f t="array" ref="W183:W184">{"TOTALLEARNED L16";(V184+W180)}</f>
        <v>TOTALLEARNED L16</v>
      </c>
      <c r="X183" s="223" t="str">
        <f t="array" ref="X183:X184">{"TOTALLEARNED L17";(W184+X180)}</f>
        <v>TOTALLEARNED L17</v>
      </c>
      <c r="Y183" s="223" t="str">
        <f t="array" ref="Y183:Y184">{"TOTALLEARNED L18";(X184+Y180)}</f>
        <v>TOTALLEARNED L18</v>
      </c>
      <c r="Z183" s="223" t="str">
        <f t="array" ref="Z183:Z184">{"TOTALLEARNED L19";(Y184+Z180)}</f>
        <v>TOTALLEARNED L19</v>
      </c>
      <c r="AA183" s="223" t="str">
        <f t="array" ref="AA183:AA184">{"TOTALLEARNED L20";(Z184+AA180)}</f>
        <v>TOTALLEARNED L20</v>
      </c>
      <c r="AB183" s="76"/>
      <c r="AC183" s="76"/>
    </row>
    <row r="184">
      <c r="A184" s="97" t="s">
        <v>95</v>
      </c>
      <c r="B184" s="97"/>
      <c r="C184" s="97" t="s">
        <v>409</v>
      </c>
      <c r="D184" s="97" t="s">
        <v>603</v>
      </c>
      <c r="E184" s="97" t="s">
        <v>603</v>
      </c>
      <c r="F184" s="281" t="s">
        <v>603</v>
      </c>
      <c r="G184" s="282"/>
      <c r="H184" s="278"/>
      <c r="I184" s="278">
        <v>0.0</v>
      </c>
      <c r="J184" s="278">
        <v>0.0</v>
      </c>
      <c r="K184" s="278">
        <v>0.0</v>
      </c>
      <c r="L184" s="278">
        <v>0.0</v>
      </c>
      <c r="M184" s="278">
        <v>0.0</v>
      </c>
      <c r="N184" s="278">
        <v>0.0</v>
      </c>
      <c r="O184" s="278">
        <v>0.0</v>
      </c>
      <c r="P184" s="278">
        <v>0.0</v>
      </c>
      <c r="Q184" s="278">
        <v>0.0</v>
      </c>
      <c r="R184" s="278">
        <v>0.0</v>
      </c>
      <c r="S184" s="278">
        <v>0.0</v>
      </c>
      <c r="T184" s="278">
        <v>0.0</v>
      </c>
      <c r="U184" s="278">
        <v>0.0</v>
      </c>
      <c r="V184" s="278">
        <v>0.0</v>
      </c>
      <c r="W184" s="278">
        <v>0.0</v>
      </c>
      <c r="X184" s="278">
        <v>0.0</v>
      </c>
      <c r="Y184" s="278">
        <v>0.0</v>
      </c>
      <c r="Z184" s="278">
        <v>0.0</v>
      </c>
      <c r="AA184" s="278">
        <v>0.0</v>
      </c>
      <c r="AB184" s="5"/>
      <c r="AC184" s="47"/>
    </row>
    <row r="185">
      <c r="A185" s="55">
        <f>VLOOKUP($C185, CLASSNUMBERFINDER, 2, false)</f>
        <v>3</v>
      </c>
      <c r="B185" s="58"/>
      <c r="C185" s="70" t="s">
        <v>109</v>
      </c>
      <c r="D185" s="71"/>
      <c r="E185" s="71"/>
      <c r="F185" s="71"/>
      <c r="G185" s="72"/>
      <c r="H185" s="71"/>
      <c r="I185" s="71"/>
      <c r="J185" s="71"/>
      <c r="K185" s="71"/>
      <c r="L185" s="71"/>
      <c r="M185" s="71"/>
      <c r="N185" s="71"/>
      <c r="O185" s="71"/>
      <c r="P185" s="71"/>
      <c r="Q185" s="71"/>
      <c r="R185" s="71"/>
      <c r="S185" s="71"/>
      <c r="T185" s="71"/>
      <c r="U185" s="71"/>
      <c r="V185" s="71"/>
      <c r="W185" s="71"/>
      <c r="X185" s="71"/>
      <c r="Y185" s="71"/>
      <c r="Z185" s="71"/>
      <c r="AA185" s="71"/>
      <c r="AB185" s="71"/>
      <c r="AC185" s="73"/>
    </row>
    <row r="186" hidden="1">
      <c r="A186" s="76" t="str">
        <f t="array" ref="A186:A187">{"FormulaRow01";(INDEX(CLASSLIST,A185,1))}</f>
        <v>FormulaRow01</v>
      </c>
      <c r="B186" s="77" t="s">
        <v>236</v>
      </c>
      <c r="C186" s="76" t="str">
        <f t="array" ref="C186:C187">{"CLASSTYPE";(INDEX(ALLCLASSDATA,MATCH("ClassType",CLASSFEATUREHEADERS,0),MATCH($A187,CLASSNAMEHEADERS,0)))}</f>
        <v>CLASSTYPE</v>
      </c>
      <c r="D186" s="81" t="str">
        <f t="array" ref="D186:D187">{"TOTAL";("Total: " &amp; H187+J187+L187+N187+P187+R187+T187+V187+X187+Z187)}</f>
        <v>TOTAL</v>
      </c>
      <c r="E186" s="81" t="str">
        <f t="array" ref="E186:E187">{"BALANCE";(IF((H187+J187+L187+N187+P187+R187+T187+V187+X187+Z187)=2100,"(balanced)",(IF((H187+J187+L187+N187+P187+R187+T187+V187+X187+Z187)&gt;2100,"OVERBUDGET: ","UNDERBUDGET: ")) &amp; (H187+J187+L187+N187+P187+R187+T187+V187+X187+Z187-2100)))}</f>
        <v>BALANCE</v>
      </c>
      <c r="F186" s="81"/>
      <c r="G186" s="81"/>
      <c r="H186" s="81" t="str">
        <f t="array" ref="H186:H187">{"SUM LVL0/1/2";((SUMIF(F188:I267,"&lt;&gt;#REF!")+(SUMIF(J188:AA195,"&lt;&gt;#REF!"))))}</f>
        <v>SUM LVL0/1/2</v>
      </c>
      <c r="I186" s="81"/>
      <c r="J186" s="81" t="str">
        <f t="array" ref="J186:J187">{"SUM LVL3/4";(SUMIF(J196:K267,"&lt;&gt;#REF!"))}</f>
        <v>SUM LVL3/4</v>
      </c>
      <c r="K186" s="81"/>
      <c r="L186" s="81" t="str">
        <f t="array" ref="L186:L187">{"SUM LVL5/6";(SUMIF(L196:M267,"&lt;&gt;#REF!"))}</f>
        <v>SUM LVL5/6</v>
      </c>
      <c r="M186" s="81"/>
      <c r="N186" s="81" t="str">
        <f t="array" ref="N186:N187">{"SUM LVL7/8";(SUMIF(N196:O267,"&lt;&gt;#REF!"))}</f>
        <v>SUM LVL7/8</v>
      </c>
      <c r="O186" s="81"/>
      <c r="P186" s="81" t="str">
        <f t="array" ref="P186:P187">{"SUM LVL9/10";(SUMIF(P196:Q267,"&lt;&gt;#REF!"))}</f>
        <v>SUM LVL9/10</v>
      </c>
      <c r="Q186" s="81"/>
      <c r="R186" s="81" t="str">
        <f t="array" ref="R186:R187">{"SUM LVL11/12";(SUMIF(R196:S267,"&lt;&gt;#REF!"))}</f>
        <v>SUM LVL11/12</v>
      </c>
      <c r="S186" s="81"/>
      <c r="T186" s="81" t="str">
        <f t="array" ref="T186:T187">{"SUM LVL13/14";(SUMIF(T196:U267,"&lt;&gt;#REF!"))}</f>
        <v>SUM LVL13/14</v>
      </c>
      <c r="U186" s="81"/>
      <c r="V186" s="81" t="str">
        <f t="array" ref="V186:V187">{"SUM LVL15/16";(SUMIF(V196:W267,"&lt;&gt;#REF!"))}</f>
        <v>SUM LVL15/16</v>
      </c>
      <c r="W186" s="81"/>
      <c r="X186" s="81" t="str">
        <f t="array" ref="X186:X187">{"SUM LVL17/18";(SUMIF(X196:Y267,"&lt;&gt;#REF!"))}</f>
        <v>SUM LVL17/18</v>
      </c>
      <c r="Y186" s="81"/>
      <c r="Z186" s="81" t="str">
        <f t="array" ref="Z186:Z187">{"SUM LVL19/20";(SUMIF(Z196:AA267,"&lt;&gt;#REF!"))}</f>
        <v>SUM LVL19/20</v>
      </c>
      <c r="AA186" s="81"/>
      <c r="AB186" s="76"/>
      <c r="AC186" s="76" t="str">
        <f t="array" ref="AC186:AC187">{"SUM ROWTOTALS";(SUMIF(AC189:AC275,"&lt;&gt;#REF!"))}</f>
        <v>SUM ROWTOTALS</v>
      </c>
    </row>
    <row r="187">
      <c r="A187" s="48" t="s">
        <v>109</v>
      </c>
      <c r="B187" s="48"/>
      <c r="C187" s="48" t="s">
        <v>406</v>
      </c>
      <c r="D187" s="91" t="s">
        <v>416</v>
      </c>
      <c r="E187" s="92" t="s">
        <v>419</v>
      </c>
      <c r="F187" s="91"/>
      <c r="G187" s="93"/>
      <c r="H187" s="92">
        <v>500.0</v>
      </c>
      <c r="I187" s="92"/>
      <c r="J187" s="92">
        <v>80.0</v>
      </c>
      <c r="K187" s="92"/>
      <c r="L187" s="92">
        <v>50.0</v>
      </c>
      <c r="M187" s="92"/>
      <c r="N187" s="92">
        <v>190.0</v>
      </c>
      <c r="O187" s="92"/>
      <c r="P187" s="92">
        <v>200.0</v>
      </c>
      <c r="Q187" s="92"/>
      <c r="R187" s="92">
        <v>150.0</v>
      </c>
      <c r="S187" s="92"/>
      <c r="T187" s="92">
        <v>110.0</v>
      </c>
      <c r="U187" s="92"/>
      <c r="V187" s="92">
        <v>410.0</v>
      </c>
      <c r="W187" s="92"/>
      <c r="X187" s="92">
        <v>110.0</v>
      </c>
      <c r="Y187" s="92"/>
      <c r="Z187" s="92">
        <v>300.0</v>
      </c>
      <c r="AA187" s="92"/>
      <c r="AB187" s="5"/>
      <c r="AC187" s="47">
        <v>2100.0</v>
      </c>
    </row>
    <row r="188" hidden="1">
      <c r="A188" s="76" t="str">
        <f t="array" ref="A188:A189">{"FormulaRow02";(INDEX(CLASSLIST,A185,1))}</f>
        <v>FormulaRow02</v>
      </c>
      <c r="B188" s="77" t="s">
        <v>236</v>
      </c>
      <c r="C188" s="76" t="str">
        <f t="array" ref="C188:C189">{"CLASSTYPE";((INDEX(ALLCLASSDATA,MATCH("ClassType",CLASSFEATUREHEADERS,0),MATCH($A189,CLASSNAMEHEADERS,0))))}</f>
        <v>CLASSTYPE</v>
      </c>
      <c r="D188" s="81" t="str">
        <f t="array" ref="D188:D189">{"FEATURES";"Features"}</f>
        <v>FEATURES</v>
      </c>
      <c r="E188" s="81" t="str">
        <f t="array" ref="E188:E189">{"INITIALFEATURES";"Initial Features"}</f>
        <v>INITIALFEATURES</v>
      </c>
      <c r="F188" s="81" t="str">
        <f t="array" ref="F188:F189">{"KEY";"Key"}</f>
        <v>KEY</v>
      </c>
      <c r="G188" s="81" t="str">
        <f t="array" ref="G188:G189">{"HP";"HP"}</f>
        <v>HP</v>
      </c>
      <c r="H188" s="81" t="str">
        <f t="array" ref="H188:H189">{"CLASSFEATL01";"ClassFeatL01"}</f>
        <v>CLASSFEATL01</v>
      </c>
      <c r="I188" s="81" t="str">
        <f t="array" ref="I188:I189">{"SHIELDBLOCKL01";"ShieldBlockL01"}</f>
        <v>SHIELDBLOCKL01</v>
      </c>
      <c r="J188" s="81" t="str">
        <f t="array" ref="J188:J189">{"INITIALSKILLS";"InitialSkills"}</f>
        <v>INITIALSKILLS</v>
      </c>
      <c r="K188" s="81" t="str">
        <f t="array" ref="K188:K189">{"SUBCLASSSKILLS";"SubclassSkills"}</f>
        <v>SUBCLASSSKILLS</v>
      </c>
      <c r="L188" s="81" t="str">
        <f t="array" ref="L188:L189">{"GRANTEDSKILLS";"GrantedSkills"}</f>
        <v>GRANTEDSKILLS</v>
      </c>
      <c r="M188" s="81"/>
      <c r="N188" s="81"/>
      <c r="O188" s="81"/>
      <c r="P188" s="81" t="str">
        <f t="array" ref="P188:P189">{"FOCUSSPELLS";"FocusSpells:"}</f>
        <v>FOCUSSPELLS</v>
      </c>
      <c r="Q188" s="81" t="str">
        <f t="array" ref="Q188:Q189">{"FOCUSSPELL1-L00";((INDEX(ALLCLASSDATA,MATCH("FocusSpell1-L00",CLASSFEATUREHEADERS,0),MATCH(($A189),CLASSNAMEHEADERS,0))))}</f>
        <v>FOCUSSPELL1-L00</v>
      </c>
      <c r="R188" s="81" t="str">
        <f t="array" ref="R188:R189">{"FOCUSSPELL2-L00";((INDEX(ALLCLASSDATA,MATCH("FocusSpell2-L00",CLASSFEATUREHEADERS,0),MATCH(($A189),CLASSNAMEHEADERS,0))))}</f>
        <v>FOCUSSPELL2-L00</v>
      </c>
      <c r="S188" s="81" t="str">
        <f t="array" ref="S188:S189">{"FOCUSSPELL3-L00";((INDEX(ALLCLASSDATA,MATCH("FocusSpell3-L00",CLASSFEATUREHEADERS,0),MATCH(($A189),CLASSNAMEHEADERS,0))))}</f>
        <v>FOCUSSPELL3-L00</v>
      </c>
      <c r="T188" s="81" t="str">
        <f t="array" ref="T188:T189">{"FOCUSSPELL4-L00";((INDEX(ALLCLASSDATA,MATCH("FocusSpell4-L00",CLASSFEATUREHEADERS,0),MATCH(($A189),CLASSNAMEHEADERS,0))))}</f>
        <v>FOCUSSPELL4-L00</v>
      </c>
      <c r="U188" s="81" t="str">
        <f t="array" ref="U188:U189">{"FOCUSSPELL5-L00";((INDEX(ALLCLASSDATA,MATCH("FocusSpell5-L00",CLASSFEATUREHEADERS,0),MATCH(($A189),CLASSNAMEHEADERS,0))))}</f>
        <v>FOCUSSPELL5-L00</v>
      </c>
      <c r="V188" s="81"/>
      <c r="W188" s="81"/>
      <c r="X188" s="81"/>
      <c r="Y188" s="81"/>
      <c r="Z188" s="81"/>
      <c r="AA188" s="81"/>
      <c r="AB188" s="76"/>
      <c r="AC188" s="76"/>
    </row>
    <row r="189">
      <c r="A189" s="48" t="s">
        <v>109</v>
      </c>
      <c r="B189" s="48"/>
      <c r="C189" s="48" t="s">
        <v>406</v>
      </c>
      <c r="D189" s="48" t="s">
        <v>467</v>
      </c>
      <c r="E189" s="48" t="s">
        <v>468</v>
      </c>
      <c r="F189" s="48" t="s">
        <v>469</v>
      </c>
      <c r="G189" s="114" t="s">
        <v>15</v>
      </c>
      <c r="H189" s="8" t="s">
        <v>451</v>
      </c>
      <c r="I189" s="8" t="s">
        <v>463</v>
      </c>
      <c r="J189" s="8" t="s">
        <v>473</v>
      </c>
      <c r="K189" s="8" t="s">
        <v>474</v>
      </c>
      <c r="L189" s="8" t="s">
        <v>475</v>
      </c>
      <c r="M189" s="8"/>
      <c r="N189" s="8"/>
      <c r="O189" s="8"/>
      <c r="P189" s="8" t="s">
        <v>476</v>
      </c>
      <c r="Q189" s="116"/>
      <c r="R189" s="116"/>
      <c r="S189" s="116"/>
      <c r="T189" s="116"/>
      <c r="U189" s="116"/>
      <c r="V189" s="8"/>
      <c r="W189" s="8"/>
      <c r="X189" s="8"/>
      <c r="Y189" s="8"/>
      <c r="Z189" s="5"/>
      <c r="AA189" s="5"/>
      <c r="AB189" s="5"/>
      <c r="AC189" s="47"/>
    </row>
    <row r="190" hidden="1">
      <c r="A190" s="76" t="str">
        <f t="array" ref="A190:A191">{"FormulaRow03";(INDEX(CLASSLIST,A185,1))}</f>
        <v>FormulaRow03</v>
      </c>
      <c r="B190" s="77" t="s">
        <v>236</v>
      </c>
      <c r="C190" s="76" t="str">
        <f t="array" ref="C190:C191">{"CLASSTYPE";((INDEX(ALLCLASSDATA,MATCH("ClassType",CLASSFEATUREHEADERS,0),MATCH($A191,CLASSNAMEHEADERS,0))))}</f>
        <v>CLASSTYPE</v>
      </c>
      <c r="D190" s="76" t="str">
        <f t="array" ref="D190:D191">{"FEATUREPTS";"FeaturesPts"}</f>
        <v>FEATUREPTS</v>
      </c>
      <c r="E190" s="76" t="str">
        <f t="array" ref="E190:E191">{"INITIALFEATURES";"Initial Features"}</f>
        <v>INITIALFEATURES</v>
      </c>
      <c r="F190" s="76" t="str">
        <f t="array" ref="F190:F191">{"KEYABILITY";((INDEX(ALLCLASSDATA,MATCH("KEYABILITY",CLASSFEATUREHEADERS,0),MATCH($A191,CLASSNAMEHEADERS,0))))}</f>
        <v>KEYABILITY</v>
      </c>
      <c r="G190" s="76" t="str">
        <f t="array" ref="G190:G191">{"HP";((INDEX(ALLCLASSDATA,MATCH("HP",CLASSFEATUREHEADERS,0),MATCH(($A191 &amp; "Points"),CLASSNAMEHEADERS,0))))}</f>
        <v>HP</v>
      </c>
      <c r="H190" s="76" t="str">
        <f t="array" ref="H190:H191">{"CLASSFEATL01";((INDEX(ALLCLASSDATA,MATCH("ClassFeatL01",CLASSFEATUREHEADERS,0),MATCH(($A191 &amp; "Points"),CLASSNAMEHEADERS,0))))}</f>
        <v>CLASSFEATL01</v>
      </c>
      <c r="I190" s="76" t="str">
        <f t="array" ref="I190:I191">{"SHIELDBLOCKL01";((INDEX(ALLCLASSDATA,MATCH("ShieldBlockL01",CLASSFEATUREHEADERS,0),MATCH(($A191 &amp; "Points"),CLASSNAMEHEADERS,0))))}</f>
        <v>SHIELDBLOCKL01</v>
      </c>
      <c r="J190" s="76" t="str">
        <f t="array" ref="J190:J191">{"INITIALSKILLINCREASES";((INDEX(ALLCLASSDATA,MATCH("InitialSkillIncreases",CLASSFEATUREHEADERS,0),MATCH(($A191 &amp; "Points"),CLASSNAMEHEADERS,0))))}</f>
        <v>INITIALSKILLINCREASES</v>
      </c>
      <c r="K190" s="76" t="str">
        <f t="array" ref="K190:K191">{"SUBCLASSSKILLINCREASES";((INDEX(ALLCLASSDATA,MATCH("SubclassSkillIncreases",CLASSFEATUREHEADERS,0),MATCH(($A191 &amp; "Points"),CLASSNAMEHEADERS,0))))}</f>
        <v>SUBCLASSSKILLINCREASES</v>
      </c>
      <c r="L190" s="76" t="str">
        <f t="array" ref="L190:L191">{"GRANTEDSKILLS";(((INDEX(ALLCLASSDATA,MATCH("SkillsGrantedTotal",CLASSFEATUREHEADERS,0),MATCH(($A191 &amp; "Points"),CLASSNAMEHEADERS,0)))-(INDEX(ALLCLASSDATA,MATCH("InitialSkillIncreases",CLASSFEATUREHEADERS,0),MATCH(($A191 &amp; "Points"),CLASSNAMEHEADERS,0)))-(INDEX(ALLCLASSDATA,MATCH("SubclassSkillIncreases",CLASSFEATUREHEADERS,0),MATCH(($A191 &amp; "Points"),CLASSNAMEHEADERS,0)))))}</f>
        <v>GRANTEDSKILLS</v>
      </c>
      <c r="M190" s="76"/>
      <c r="N190" s="76"/>
      <c r="O190" s="76"/>
      <c r="P190" s="76"/>
      <c r="Q190" s="76" t="str">
        <f t="array" ref="Q190:Q191">{"FOCUSSPELL1-L00";((INDEX(ALLCLASSDATA,MATCH("FocusSpell1-L00",CLASSFEATUREHEADERS,0),MATCH(($A191 &amp; "Points"),CLASSNAMEHEADERS,0))))}</f>
        <v>FOCUSSPELL1-L00</v>
      </c>
      <c r="R190" s="76" t="str">
        <f t="array" ref="R190:R191">{"FOCUSSPELL2-L00";((INDEX(ALLCLASSDATA,MATCH("FocusSpell2-L00",CLASSFEATUREHEADERS,0),MATCH(($A191 &amp; "Points"),CLASSNAMEHEADERS,0))))}</f>
        <v>FOCUSSPELL2-L00</v>
      </c>
      <c r="S190" s="76" t="str">
        <f t="array" ref="S190:S191">{"FOCUSSPELL3-L00";((INDEX(ALLCLASSDATA,MATCH("FocusSpell3-L00",CLASSFEATUREHEADERS,0),MATCH(($A191 &amp; "Points"),CLASSNAMEHEADERS,0))))}</f>
        <v>FOCUSSPELL3-L00</v>
      </c>
      <c r="T190" s="76" t="str">
        <f t="array" ref="T190:T191">{"FOCUSSPELL4-L00";((INDEX(ALLCLASSDATA,MATCH("FocusSpell4-L00",CLASSFEATUREHEADERS,0),MATCH(($A191 &amp; "Points"),CLASSNAMEHEADERS,0))))}</f>
        <v>FOCUSSPELL4-L00</v>
      </c>
      <c r="U190" s="76" t="str">
        <f t="array" ref="U190:U191">{"FOCUSSPELL5-L00";((INDEX(ALLCLASSDATA,MATCH("FocusSpell5-L00",CLASSFEATUREHEADERS,0),MATCH(($A191 &amp; "Points"),CLASSNAMEHEADERS,0))))}</f>
        <v>FOCUSSPELL5-L00</v>
      </c>
      <c r="V190" s="76"/>
      <c r="W190" s="76"/>
      <c r="X190" s="76"/>
      <c r="Y190" s="76"/>
      <c r="Z190" s="76"/>
      <c r="AA190" s="76"/>
      <c r="AB190" s="76"/>
      <c r="AC190" s="76" t="str">
        <f t="array" ref="AC190:AC191">{"FEATUREPTS TOTAL";(sum(G191:AA191))}</f>
        <v>FEATUREPTS TOTAL</v>
      </c>
    </row>
    <row r="191">
      <c r="A191" s="48" t="s">
        <v>109</v>
      </c>
      <c r="B191" s="48"/>
      <c r="C191" s="48" t="s">
        <v>406</v>
      </c>
      <c r="D191" s="97" t="s">
        <v>559</v>
      </c>
      <c r="E191" s="97" t="s">
        <v>468</v>
      </c>
      <c r="F191" s="97" t="s">
        <v>421</v>
      </c>
      <c r="G191" s="132">
        <v>100.0</v>
      </c>
      <c r="H191" s="98">
        <v>10.0</v>
      </c>
      <c r="I191" s="98">
        <v>10.0</v>
      </c>
      <c r="J191" s="98">
        <v>15.0</v>
      </c>
      <c r="K191" s="98">
        <v>5.0</v>
      </c>
      <c r="L191" s="98">
        <v>0.0</v>
      </c>
      <c r="M191" s="98"/>
      <c r="N191" s="98"/>
      <c r="O191" s="98"/>
      <c r="P191" s="98"/>
      <c r="Q191" s="98"/>
      <c r="R191" s="98"/>
      <c r="S191" s="98"/>
      <c r="T191" s="98"/>
      <c r="U191" s="98"/>
      <c r="V191" s="98"/>
      <c r="W191" s="98"/>
      <c r="X191" s="98"/>
      <c r="Y191" s="98"/>
      <c r="Z191" s="98"/>
      <c r="AA191" s="98"/>
      <c r="AB191" s="5"/>
      <c r="AC191" s="47">
        <v>140.0</v>
      </c>
    </row>
    <row r="192" hidden="1">
      <c r="A192" s="76" t="str">
        <f t="array" ref="A192:A193">{"FormulaRow04";(INDEX(CLASSLIST,A185,1))}</f>
        <v>FormulaRow04</v>
      </c>
      <c r="B192" s="77" t="s">
        <v>236</v>
      </c>
      <c r="C192" s="76" t="str">
        <f t="array" ref="C192:C193">{"CLASSTYPE";((INDEX(ALLCLASSDATA,MATCH("ClassType",CLASSFEATUREHEADERS,0),MATCH($A193,CLASSNAMEHEADERS,0))))}</f>
        <v>CLASSTYPE</v>
      </c>
      <c r="D192" s="81" t="str">
        <f t="array" ref="D192:D193">{"INITIALFEATURES";"InitialFeatures"}</f>
        <v>INITIALFEATURES</v>
      </c>
      <c r="E192" s="81" t="str">
        <f t="array" ref="E192:E193">{"CLASS/SUBCLASSFEATURES";"Class/Subclass Features"}</f>
        <v>CLASS/SUBCLASSFEATURES</v>
      </c>
      <c r="F192" s="81"/>
      <c r="G192" s="136"/>
      <c r="H192" s="81" t="str">
        <f t="array" ref="H192:H193">{"CLASSINITIALABILITY1-L00";((INDEX(ALLCLASSDATA,MATCH("ClassInitialAbility1-L00",CLASSFEATUREHEADERS,0),MATCH(($A193),CLASSNAMEHEADERS,0))))}</f>
        <v>CLASSINITIALABILITY1-L00</v>
      </c>
      <c r="I192" s="81" t="str">
        <f t="array" ref="I192:I193">{"CLASSINITIALABILITY2-L00";((INDEX(ALLCLASSDATA,MATCH("ClassInitialAbility2-L00",CLASSFEATUREHEADERS,0),MATCH(($A193),CLASSNAMEHEADERS,0))))}</f>
        <v>CLASSINITIALABILITY2-L00</v>
      </c>
      <c r="J192" s="81" t="str">
        <f t="array" ref="J192:J193">{"CLASSINITIALABILITY3-L00";((INDEX(ALLCLASSDATA,MATCH("ClassInitialAbility3-L00",CLASSFEATUREHEADERS,0),MATCH(($A193),CLASSNAMEHEADERS,0))))}</f>
        <v>CLASSINITIALABILITY3-L00</v>
      </c>
      <c r="K192" s="81" t="str">
        <f t="array" ref="K192:K193">{"CLASSINITIALABILITY4-L00";((INDEX(ALLCLASSDATA,MATCH("ClassInitialAbility4-L00",CLASSFEATUREHEADERS,0),MATCH(($A193),CLASSNAMEHEADERS,0))))}</f>
        <v>CLASSINITIALABILITY4-L00</v>
      </c>
      <c r="L192" s="81" t="str">
        <f t="array" ref="L192:L193">{"CLASSINITIALABILITY5-L00";((INDEX(ALLCLASSDATA,MATCH("ClassInitialAbility5-L00",CLASSFEATUREHEADERS,0),MATCH(($A193),CLASSNAMEHEADERS,0))))}</f>
        <v>CLASSINITIALABILITY5-L00</v>
      </c>
      <c r="M192" s="81" t="str">
        <f t="array" ref="M192:M193">{"CLASSINITIALABILITY6-L00";((INDEX(ALLCLASSDATA,MATCH("ClassInitialAbility6-L00",CLASSFEATUREHEADERS,0),MATCH(($A193),CLASSNAMEHEADERS,0))))}</f>
        <v>CLASSINITIALABILITY6-L00</v>
      </c>
      <c r="N192" s="81" t="str">
        <f t="array" ref="N192:N193">{"CLASSINITIALABILITY7-L00";((INDEX(ALLCLASSDATA,MATCH("ClassInitialAbility7-L00",CLASSFEATUREHEADERS,0),MATCH(($A193),CLASSNAMEHEADERS,0))))}</f>
        <v>CLASSINITIALABILITY7-L00</v>
      </c>
      <c r="O192" s="81" t="str">
        <f t="array" ref="O192:O193">{"CLASSINITIALABILITY8-L00";((INDEX(ALLCLASSDATA,MATCH("ClassInitialAbility8-L00",CLASSFEATUREHEADERS,0),MATCH(($A193),CLASSNAMEHEADERS,0))))}</f>
        <v>CLASSINITIALABILITY8-L00</v>
      </c>
      <c r="P192" s="81" t="str">
        <f t="array" ref="P192:P193">{"CLASSINITIALABILITY9-L00";((INDEX(ALLCLASSDATA,MATCH("ClassInitialAbility9-L00",CLASSFEATUREHEADERS,0),MATCH(($A193),CLASSNAMEHEADERS,0))))}</f>
        <v>CLASSINITIALABILITY9-L00</v>
      </c>
      <c r="Q192" s="81" t="str">
        <f t="array" ref="Q192:Q193">{"CLASSINITIALABILITY10-L00";((INDEX(ALLCLASSDATA,MATCH("ClassInitialAbility10-L00",CLASSFEATUREHEADERS,0),MATCH(($A193),CLASSNAMEHEADERS,0))))}</f>
        <v>CLASSINITIALABILITY10-L00</v>
      </c>
      <c r="R192" s="81" t="str">
        <f t="array" ref="R192:R193">{"SUBCLASSINITIAL1-L00";((INDEX(ALLCLASSDATA,MATCH("SubclassInitial1-L00",CLASSFEATUREHEADERS,0),MATCH(($A193),CLASSNAMEHEADERS,0))))}</f>
        <v>SUBCLASSINITIAL1-L00</v>
      </c>
      <c r="S192" s="81" t="str">
        <f t="array" ref="S192:S193">{"SUBCLASSINITIAL2-L00";((INDEX(ALLCLASSDATA,MATCH("SubclassInitial2-L00",CLASSFEATUREHEADERS,0),MATCH(($A193),CLASSNAMEHEADERS,0))))}</f>
        <v>SUBCLASSINITIAL2-L00</v>
      </c>
      <c r="T192" s="81" t="str">
        <f t="array" ref="T192:T193">{"SUBCLASSINITIAL3-L00";((INDEX(ALLCLASSDATA,MATCH("SubclassInitial3-L00",CLASSFEATUREHEADERS,0),MATCH(($A193),CLASSNAMEHEADERS,0))))}</f>
        <v>SUBCLASSINITIAL3-L00</v>
      </c>
      <c r="U192" s="81" t="str">
        <f t="array" ref="U192:U193">{"SUBCLASSINITIAL4-L00";((INDEX(ALLCLASSDATA,MATCH("SubclassInitial4-L00",CLASSFEATUREHEADERS,0),MATCH(($A193),CLASSNAMEHEADERS,0))))}</f>
        <v>SUBCLASSINITIAL4-L00</v>
      </c>
      <c r="V192" s="81" t="str">
        <f t="array" ref="V192:V193">{"SUBCLASSINITIAL5-L00";((INDEX(ALLCLASSDATA,MATCH("SubclassInitial5-L00",CLASSFEATUREHEADERS,0),MATCH(($A193),CLASSNAMEHEADERS,0))))}</f>
        <v>SUBCLASSINITIAL5-L00</v>
      </c>
      <c r="W192" s="81" t="str">
        <f t="array" ref="W192:W193">{"SUBCLASSINITIAL6-L00";((INDEX(ALLCLASSDATA,MATCH("SubclassInitial6-L00",CLASSFEATUREHEADERS,0),MATCH(($A193),CLASSNAMEHEADERS,0))))}</f>
        <v>SUBCLASSINITIAL6-L00</v>
      </c>
      <c r="X192" s="81" t="str">
        <f t="array" ref="X192:X193">{"SUBCLASSINITIAL7-L00";((INDEX(ALLCLASSDATA,MATCH("SubclassInitial7-L00",CLASSFEATUREHEADERS,0),MATCH(($A193),CLASSNAMEHEADERS,0))))}</f>
        <v>SUBCLASSINITIAL7-L00</v>
      </c>
      <c r="Y192" s="81" t="str">
        <f t="array" ref="Y192:Y193">{"SUBCLASSINITIAL8-L00";((INDEX(ALLCLASSDATA,MATCH("SubclassInitial8-L00",CLASSFEATUREHEADERS,0),MATCH(($A193),CLASSNAMEHEADERS,0))))}</f>
        <v>SUBCLASSINITIAL8-L00</v>
      </c>
      <c r="Z192" s="81" t="str">
        <f t="array" ref="Z192:Z193">{"SUBCLASSINITIAL9-L00";((INDEX(ALLCLASSDATA,MATCH("SubclassInitial9-L00",CLASSFEATUREHEADERS,0),MATCH(($A193),CLASSNAMEHEADERS,0))))}</f>
        <v>SUBCLASSINITIAL9-L00</v>
      </c>
      <c r="AA192" s="81" t="str">
        <f t="array" ref="AA192:AA193">{"SUBCLASSINITIAL10-L00";((INDEX(ALLCLASSDATA,MATCH("SubclassInitial10-L00",CLASSFEATUREHEADERS,0),MATCH(($A193),CLASSNAMEHEADERS,0))))}</f>
        <v>SUBCLASSINITIAL10-L00</v>
      </c>
      <c r="AB192" s="76"/>
      <c r="AC192" s="76"/>
    </row>
    <row r="193">
      <c r="A193" s="48" t="s">
        <v>109</v>
      </c>
      <c r="B193" s="48"/>
      <c r="C193" s="48" t="s">
        <v>406</v>
      </c>
      <c r="D193" s="48" t="s">
        <v>614</v>
      </c>
      <c r="E193" s="48" t="s">
        <v>616</v>
      </c>
      <c r="F193" s="48"/>
      <c r="G193" s="47"/>
      <c r="H193" s="5" t="s">
        <v>1618</v>
      </c>
      <c r="I193" s="5" t="s">
        <v>387</v>
      </c>
      <c r="J193" s="5"/>
      <c r="K193" s="5"/>
      <c r="L193" s="5"/>
      <c r="M193" s="5"/>
      <c r="N193" s="5"/>
      <c r="O193" s="5"/>
      <c r="P193" s="5"/>
      <c r="Q193" s="5"/>
      <c r="R193" s="5"/>
      <c r="S193" s="5"/>
      <c r="T193" s="5"/>
      <c r="U193" s="5"/>
      <c r="V193" s="5"/>
      <c r="W193" s="5"/>
      <c r="X193" s="5"/>
      <c r="Y193" s="5"/>
      <c r="Z193" s="5"/>
      <c r="AA193" s="5"/>
      <c r="AB193" s="5"/>
      <c r="AC193" s="47"/>
    </row>
    <row r="194" hidden="1">
      <c r="A194" s="76" t="str">
        <f t="array" ref="A194:A195">{"FormulaRow05";(INDEX(CLASSLIST,A185,1))}</f>
        <v>FormulaRow05</v>
      </c>
      <c r="B194" s="77" t="s">
        <v>236</v>
      </c>
      <c r="C194" s="76" t="str">
        <f t="array" ref="C194:C195">{"CLASSTYPE";((INDEX(ALLCLASSDATA,MATCH("ClassType",CLASSFEATUREHEADERS,0),MATCH($A195,CLASSNAMEHEADERS,0))))}</f>
        <v>CLASSTYPE</v>
      </c>
      <c r="D194" s="76" t="str">
        <f t="array" ref="D194:D195">{"INITIALFEATURESPTS";"InitialFeaturesPts"}</f>
        <v>INITIALFEATURESPTS</v>
      </c>
      <c r="E194" s="76" t="str">
        <f t="array" ref="E194:E195">{"CLASS/SUBCLASSFEATURES";"Class/Subclass Features"}</f>
        <v>CLASS/SUBCLASSFEATURES</v>
      </c>
      <c r="F194" s="76"/>
      <c r="G194" s="76"/>
      <c r="H194" s="76" t="str">
        <f t="array" ref="H194:H195">{"CLASSINITIALABILITY1-L00PTS";((INDEX(ALLCLASSDATA,MATCH("ClassInitialAbility1-L00",CLASSFEATUREHEADERS,0),MATCH(($A195 &amp; "Points"),CLASSNAMEHEADERS,0))))}</f>
        <v>CLASSINITIALABILITY1-L00PTS</v>
      </c>
      <c r="I194" s="76" t="str">
        <f t="array" ref="I194:I195">{"CLASSINITIALABILITY2-L00PTS";((INDEX(ALLCLASSDATA,MATCH("ClassInitialAbility2-L00",CLASSFEATUREHEADERS,0),MATCH(($A195 &amp; "Points"),CLASSNAMEHEADERS,0))))}</f>
        <v>CLASSINITIALABILITY2-L00PTS</v>
      </c>
      <c r="J194" s="76" t="str">
        <f t="array" ref="J194:J195">{"CLASSINITIALABILITY3-L00PTS";((INDEX(ALLCLASSDATA,MATCH("ClassInitialAbility3-L00",CLASSFEATUREHEADERS,0),MATCH(($A195 &amp; "Points"),CLASSNAMEHEADERS,0))))}</f>
        <v>CLASSINITIALABILITY3-L00PTS</v>
      </c>
      <c r="K194" s="76" t="str">
        <f t="array" ref="K194:K195">{"CLASSINITIALABILITY4-L00PTS";((INDEX(ALLCLASSDATA,MATCH("ClassInitialAbility4-L00",CLASSFEATUREHEADERS,0),MATCH(($A195 &amp; "Points"),CLASSNAMEHEADERS,0))))}</f>
        <v>CLASSINITIALABILITY4-L00PTS</v>
      </c>
      <c r="L194" s="76" t="str">
        <f t="array" ref="L194:L195">{"CLASSINITIALABILITY5-L00PTS";((INDEX(ALLCLASSDATA,MATCH("ClassInitialAbility5-L00",CLASSFEATUREHEADERS,0),MATCH(($A195 &amp; "Points"),CLASSNAMEHEADERS,0))))}</f>
        <v>CLASSINITIALABILITY5-L00PTS</v>
      </c>
      <c r="M194" s="76" t="str">
        <f t="array" ref="M194:M195">{"CLASSINITIALABILITY6-L00PTS";((INDEX(ALLCLASSDATA,MATCH("ClassInitialAbility6-L00",CLASSFEATUREHEADERS,0),MATCH(($A195 &amp; "Points"),CLASSNAMEHEADERS,0))))}</f>
        <v>CLASSINITIALABILITY6-L00PTS</v>
      </c>
      <c r="N194" s="76" t="str">
        <f t="array" ref="N194:N195">{"CLASSINITIALABILITY7-L00PTS";((INDEX(ALLCLASSDATA,MATCH("ClassInitialAbility7-L00",CLASSFEATUREHEADERS,0),MATCH(($A195 &amp; "Points"),CLASSNAMEHEADERS,0))))}</f>
        <v>CLASSINITIALABILITY7-L00PTS</v>
      </c>
      <c r="O194" s="76" t="str">
        <f t="array" ref="O194:O195">{"CLASSINITIALABILITY8-L00PTS";((INDEX(ALLCLASSDATA,MATCH("ClassInitialAbility8-L00",CLASSFEATUREHEADERS,0),MATCH(($A195 &amp; "Points"),CLASSNAMEHEADERS,0))))}</f>
        <v>CLASSINITIALABILITY8-L00PTS</v>
      </c>
      <c r="P194" s="76" t="str">
        <f t="array" ref="P194:P195">{"CLASSINITIALABILITY9-L00PTS";((INDEX(ALLCLASSDATA,MATCH("ClassInitialAbility9-L00",CLASSFEATUREHEADERS,0),MATCH(($A195 &amp; "Points"),CLASSNAMEHEADERS,0))))}</f>
        <v>CLASSINITIALABILITY9-L00PTS</v>
      </c>
      <c r="Q194" s="76" t="str">
        <f t="array" ref="Q194:Q195">{"CLASSINITIALABILITY10-L00PTS";((INDEX(ALLCLASSDATA,MATCH("ClassInitialAbility10-L00",CLASSFEATUREHEADERS,0),MATCH(($A195 &amp; "Points"),CLASSNAMEHEADERS,0))))}</f>
        <v>CLASSINITIALABILITY10-L00PTS</v>
      </c>
      <c r="R194" s="76" t="str">
        <f t="array" ref="R194:R195">{"SUBCLASSINITIAL1-L00PTS";((INDEX(ALLCLASSDATA,MATCH("SubclassInitial1-L00",CLASSFEATUREHEADERS,0),MATCH(($A195 &amp; "Points"),CLASSNAMEHEADERS,0))))}</f>
        <v>SUBCLASSINITIAL1-L00PTS</v>
      </c>
      <c r="S194" s="76" t="str">
        <f t="array" ref="S194:S195">{"SUBCLASSINITIAL2-L00PTS";((INDEX(ALLCLASSDATA,MATCH("SubclassInitial2-L00",CLASSFEATUREHEADERS,0),MATCH(($A195 &amp; "Points"),CLASSNAMEHEADERS,0))))}</f>
        <v>SUBCLASSINITIAL2-L00PTS</v>
      </c>
      <c r="T194" s="76" t="str">
        <f t="array" ref="T194:T195">{"SUBCLASSINITIAL3-L00PTS";((INDEX(ALLCLASSDATA,MATCH("SubclassInitial3-L00",CLASSFEATUREHEADERS,0),MATCH(($A195 &amp; "Points"),CLASSNAMEHEADERS,0))))}</f>
        <v>SUBCLASSINITIAL3-L00PTS</v>
      </c>
      <c r="U194" s="76" t="str">
        <f t="array" ref="U194:U195">{"SUBCLASSINITIAL4-L00PTS";((INDEX(ALLCLASSDATA,MATCH("SubclassInitial4-L00",CLASSFEATUREHEADERS,0),MATCH(($A195 &amp; "Points"),CLASSNAMEHEADERS,0))))}</f>
        <v>SUBCLASSINITIAL4-L00PTS</v>
      </c>
      <c r="V194" s="76" t="str">
        <f t="array" ref="V194:V195">{"SUBCLASSINITIAL5-L00PTS";((INDEX(ALLCLASSDATA,MATCH("SubclassInitial5-L00",CLASSFEATUREHEADERS,0),MATCH(($A195 &amp; "Points"),CLASSNAMEHEADERS,0))))}</f>
        <v>SUBCLASSINITIAL5-L00PTS</v>
      </c>
      <c r="W194" s="76" t="str">
        <f t="array" ref="W194:W195">{"SUBCLASSINITIAL6-L00PTS";((INDEX(ALLCLASSDATA,MATCH("SubclassInitial6-L00",CLASSFEATUREHEADERS,0),MATCH(($A195 &amp; "Points"),CLASSNAMEHEADERS,0))))}</f>
        <v>SUBCLASSINITIAL6-L00PTS</v>
      </c>
      <c r="X194" s="76" t="str">
        <f t="array" ref="X194:X195">{"SUBCLASSINITIAL7-L00PTS";((INDEX(ALLCLASSDATA,MATCH("SubclassInitial7-L00",CLASSFEATUREHEADERS,0),MATCH(($A195 &amp; "Points"),CLASSNAMEHEADERS,0))))}</f>
        <v>SUBCLASSINITIAL7-L00PTS</v>
      </c>
      <c r="Y194" s="76" t="str">
        <f t="array" ref="Y194:Y195">{"SUBCLASSINITIAL8-L00PTS";((INDEX(ALLCLASSDATA,MATCH("SubclassInitial8-L00",CLASSFEATUREHEADERS,0),MATCH(($A195 &amp; "Points"),CLASSNAMEHEADERS,0))))}</f>
        <v>SUBCLASSINITIAL8-L00PTS</v>
      </c>
      <c r="Z194" s="76" t="str">
        <f t="array" ref="Z194:Z195">{"SUBCLASSINITIAL9-L00PTS";((INDEX(ALLCLASSDATA,MATCH("SubclassInitial9-L00",CLASSFEATUREHEADERS,0),MATCH(($A195 &amp; "Points"),CLASSNAMEHEADERS,0))))}</f>
        <v>SUBCLASSINITIAL9-L00PTS</v>
      </c>
      <c r="AA194" s="76" t="str">
        <f t="array" ref="AA194:AA195">{"SUBCLASSINITIAL10-L00PTS";((INDEX(ALLCLASSDATA,MATCH("SubclassInitial10-L00",CLASSFEATUREHEADERS,0),MATCH(($A195 &amp; "Points"),CLASSNAMEHEADERS,0))))}</f>
        <v>SUBCLASSINITIAL10-L00PTS</v>
      </c>
      <c r="AB194" s="76"/>
      <c r="AC194" s="76" t="str">
        <f t="array" ref="AC194:AC195">{"INITIALFEATUREPTS TOTAL";(sum(G195:AA195))}</f>
        <v>INITIALFEATUREPTS TOTAL</v>
      </c>
    </row>
    <row r="195">
      <c r="A195" s="48" t="s">
        <v>109</v>
      </c>
      <c r="B195" s="48"/>
      <c r="C195" s="48" t="s">
        <v>406</v>
      </c>
      <c r="D195" s="97" t="s">
        <v>651</v>
      </c>
      <c r="E195" s="97" t="s">
        <v>616</v>
      </c>
      <c r="F195" s="97"/>
      <c r="G195" s="132"/>
      <c r="H195" s="98">
        <v>30.0</v>
      </c>
      <c r="I195" s="98"/>
      <c r="J195" s="97"/>
      <c r="K195" s="98"/>
      <c r="L195" s="97"/>
      <c r="M195" s="98"/>
      <c r="N195" s="98"/>
      <c r="O195" s="98"/>
      <c r="P195" s="98"/>
      <c r="Q195" s="98"/>
      <c r="R195" s="98"/>
      <c r="S195" s="98"/>
      <c r="T195" s="98"/>
      <c r="U195" s="98"/>
      <c r="V195" s="98"/>
      <c r="W195" s="98"/>
      <c r="X195" s="98"/>
      <c r="Y195" s="98"/>
      <c r="Z195" s="98"/>
      <c r="AA195" s="98"/>
      <c r="AB195" s="5"/>
      <c r="AC195" s="47">
        <v>30.0</v>
      </c>
    </row>
    <row r="196" hidden="1">
      <c r="A196" s="76" t="str">
        <f t="array" ref="A196:A197">{"FormulaRow06";(INDEX(CLASSLIST,A185,1))}</f>
        <v>FormulaRow06</v>
      </c>
      <c r="B196" s="77" t="s">
        <v>236</v>
      </c>
      <c r="C196" s="76" t="str">
        <f t="array" ref="C196:C197">{"CLASSTYPE";((INDEX(ALLCLASSDATA,MATCH("ClassType",CLASSFEATUREHEADERS,0),MATCH($A197,CLASSNAMEHEADERS,0))))}</f>
        <v>CLASSTYPE</v>
      </c>
      <c r="D196" s="81" t="str">
        <f t="array" ref="D196:D197">{"SKILLS";"Skills"}</f>
        <v>SKILLS</v>
      </c>
      <c r="E196" s="81" t="str">
        <f t="array" ref="E196:E197">{"EXTRASKILLINCREASES";"Extra Skill Increases"}</f>
        <v>EXTRASKILLINCREASES</v>
      </c>
      <c r="F196" s="81"/>
      <c r="G196" s="81"/>
      <c r="H196" s="81"/>
      <c r="I196" s="81" t="str">
        <f t="array" ref="I196:I197">{"SKILLINCREASEEXTRA-L02";((INDEX(ALLCLASSDATA,MATCH("SkillIncreaseExtra-L02",CLASSFEATUREHEADERS,0),MATCH(($A197 &amp; "Points"),CLASSNAMEHEADERS,0))))}</f>
        <v>SKILLINCREASEEXTRA-L02</v>
      </c>
      <c r="J196" s="81" t="str">
        <f t="array" ref="J196:J197">{"SKILLINCREASEEXTRA-L03";((INDEX(ALLCLASSDATA,MATCH("SkillIncreaseExtra-L03",CLASSFEATUREHEADERS,0),MATCH(($A197 &amp; "Points"),CLASSNAMEHEADERS,0))))}</f>
        <v>SKILLINCREASEEXTRA-L03</v>
      </c>
      <c r="K196" s="81" t="str">
        <f t="array" ref="K196:K197">{"SKILLINCREASEEXTRA-L04";((INDEX(ALLCLASSDATA,MATCH("SkillIncreaseExtra-L04",CLASSFEATUREHEADERS,0),MATCH(($A197 &amp; "Points"),CLASSNAMEHEADERS,0))))}</f>
        <v>SKILLINCREASEEXTRA-L04</v>
      </c>
      <c r="L196" s="81" t="str">
        <f t="array" ref="L196:L197">{"SKILLINCREASEEXTRA-L05";((INDEX(ALLCLASSDATA,MATCH("SkillIncreaseExtra-L05",CLASSFEATUREHEADERS,0),MATCH(($A197 &amp; "Points"),CLASSNAMEHEADERS,0))))}</f>
        <v>SKILLINCREASEEXTRA-L05</v>
      </c>
      <c r="M196" s="81" t="str">
        <f t="array" ref="M196:M197">{"SKILLINCREASEEXTRA-L06";((INDEX(ALLCLASSDATA,MATCH("SkillIncreaseExtra-L06",CLASSFEATUREHEADERS,0),MATCH(($A197 &amp; "Points"),CLASSNAMEHEADERS,0))))}</f>
        <v>SKILLINCREASEEXTRA-L06</v>
      </c>
      <c r="N196" s="81" t="str">
        <f t="array" ref="N196:N197">{"SKILLINCREASEEXTRA-L07";((INDEX(ALLCLASSDATA,MATCH("SkillIncreaseExtra-L07",CLASSFEATUREHEADERS,0),MATCH(($A197 &amp; "Points"),CLASSNAMEHEADERS,0))))}</f>
        <v>SKILLINCREASEEXTRA-L07</v>
      </c>
      <c r="O196" s="81" t="str">
        <f t="array" ref="O196:O197">{"SKILLINCREASEEXTRA-L08";((INDEX(ALLCLASSDATA,MATCH("SkillIncreaseExtra-L08",CLASSFEATUREHEADERS,0),MATCH(($A197 &amp; "Points"),CLASSNAMEHEADERS,0))))}</f>
        <v>SKILLINCREASEEXTRA-L08</v>
      </c>
      <c r="P196" s="81" t="str">
        <f t="array" ref="P196:P197">{"SKILLINCREASEEXTRA-L09";((INDEX(ALLCLASSDATA,MATCH("SkillIncreaseExtra-L09",CLASSFEATUREHEADERS,0),MATCH(($A197 &amp; "Points"),CLASSNAMEHEADERS,0))))}</f>
        <v>SKILLINCREASEEXTRA-L09</v>
      </c>
      <c r="Q196" s="81" t="str">
        <f t="array" ref="Q196:Q197">{"SKILLINCREASEEXTRA-L10";((INDEX(ALLCLASSDATA,MATCH("SkillIncreaseExtra-L10",CLASSFEATUREHEADERS,0),MATCH(($A197 &amp; "Points"),CLASSNAMEHEADERS,0))))}</f>
        <v>SKILLINCREASEEXTRA-L10</v>
      </c>
      <c r="R196" s="81" t="str">
        <f t="array" ref="R196:R197">{"SKILLINCREASEEXTRA-L11";((INDEX(ALLCLASSDATA,MATCH("SkillIncreaseExtra-L11",CLASSFEATUREHEADERS,0),MATCH(($A197 &amp; "Points"),CLASSNAMEHEADERS,0))))}</f>
        <v>SKILLINCREASEEXTRA-L11</v>
      </c>
      <c r="S196" s="81" t="str">
        <f t="array" ref="S196:S197">{"SKILLINCREASEEXTRA-L12";((INDEX(ALLCLASSDATA,MATCH("SkillIncreaseExtra-L12",CLASSFEATUREHEADERS,0),MATCH(($A197 &amp; "Points"),CLASSNAMEHEADERS,0))))}</f>
        <v>SKILLINCREASEEXTRA-L12</v>
      </c>
      <c r="T196" s="81" t="str">
        <f t="array" ref="T196:T197">{"SKILLINCREASEEXTRA-L13";((INDEX(ALLCLASSDATA,MATCH("SkillIncreaseExtra-L13",CLASSFEATUREHEADERS,0),MATCH(($A197 &amp; "Points"),CLASSNAMEHEADERS,0))))}</f>
        <v>SKILLINCREASEEXTRA-L13</v>
      </c>
      <c r="U196" s="81" t="str">
        <f t="array" ref="U196:U197">{"SKILLINCREASEEXTRA-L14";((INDEX(ALLCLASSDATA,MATCH("SkillIncreaseExtra-L14",CLASSFEATUREHEADERS,0),MATCH(($A197 &amp; "Points"),CLASSNAMEHEADERS,0))))}</f>
        <v>SKILLINCREASEEXTRA-L14</v>
      </c>
      <c r="V196" s="81" t="str">
        <f t="array" ref="V196:V197">{"SKILLINCREASEEXTRA-L15";((INDEX(ALLCLASSDATA,MATCH("SkillIncreaseExtra-L15",CLASSFEATUREHEADERS,0),MATCH(($A197 &amp; "Points"),CLASSNAMEHEADERS,0))))}</f>
        <v>SKILLINCREASEEXTRA-L15</v>
      </c>
      <c r="W196" s="81" t="str">
        <f t="array" ref="W196:W197">{"SKILLINCREASEEXTRA-L16";((INDEX(ALLCLASSDATA,MATCH("SkillIncreaseExtra-L16",CLASSFEATUREHEADERS,0),MATCH(($A197 &amp; "Points"),CLASSNAMEHEADERS,0))))}</f>
        <v>SKILLINCREASEEXTRA-L16</v>
      </c>
      <c r="X196" s="81" t="str">
        <f t="array" ref="X196:X197">{"SKILLINCREASEEXTRA-L17";((INDEX(ALLCLASSDATA,MATCH("SkillIncreaseExtra-L17",CLASSFEATUREHEADERS,0),MATCH(($A197 &amp; "Points"),CLASSNAMEHEADERS,0))))}</f>
        <v>SKILLINCREASEEXTRA-L17</v>
      </c>
      <c r="Y196" s="81" t="str">
        <f t="array" ref="Y196:Y197">{"SKILLINCREASEEXTRA-L18";((INDEX(ALLCLASSDATA,MATCH("SkillIncreaseExtra-L18",CLASSFEATUREHEADERS,0),MATCH(($A197 &amp; "Points"),CLASSNAMEHEADERS,0))))}</f>
        <v>SKILLINCREASEEXTRA-L18</v>
      </c>
      <c r="Z196" s="81" t="str">
        <f t="array" ref="Z196:Z197">{"SKILLINCREASEEXTRA-L19";((INDEX(ALLCLASSDATA,MATCH("SkillIncreaseExtra-L19",CLASSFEATUREHEADERS,0),MATCH(($A197 &amp; "Points"),CLASSNAMEHEADERS,0))))}</f>
        <v>SKILLINCREASEEXTRA-L19</v>
      </c>
      <c r="AA196" s="81" t="str">
        <f t="array" ref="AA196:AA197">{"SKILLINCREASEEXTRA-L20";((INDEX(ALLCLASSDATA,MATCH("SkillIncreaseExtra-L20",CLASSFEATUREHEADERS,0),MATCH(($A197 &amp; "Points"),CLASSNAMEHEADERS,0))))}</f>
        <v>SKILLINCREASEEXTRA-L20</v>
      </c>
      <c r="AB196" s="76"/>
      <c r="AC196" s="76" t="str">
        <f t="array" ref="AC196:AC197">{"SKILLINCREASE TOTAL";(sum(G197:AA197))}</f>
        <v>SKILLINCREASE TOTAL</v>
      </c>
    </row>
    <row r="197">
      <c r="A197" s="48" t="s">
        <v>109</v>
      </c>
      <c r="B197" s="48"/>
      <c r="C197" s="48" t="s">
        <v>406</v>
      </c>
      <c r="D197" s="48" t="s">
        <v>659</v>
      </c>
      <c r="E197" s="48" t="s">
        <v>661</v>
      </c>
      <c r="F197" s="48"/>
      <c r="G197" s="47"/>
      <c r="H197" s="5"/>
      <c r="I197" s="5" t="s">
        <v>603</v>
      </c>
      <c r="J197" s="5" t="s">
        <v>603</v>
      </c>
      <c r="K197" s="5" t="s">
        <v>603</v>
      </c>
      <c r="L197" s="48" t="s">
        <v>603</v>
      </c>
      <c r="M197" s="5" t="s">
        <v>603</v>
      </c>
      <c r="N197" s="5" t="s">
        <v>603</v>
      </c>
      <c r="O197" s="5" t="s">
        <v>603</v>
      </c>
      <c r="P197" s="5" t="s">
        <v>603</v>
      </c>
      <c r="Q197" s="5" t="s">
        <v>603</v>
      </c>
      <c r="R197" s="5" t="s">
        <v>603</v>
      </c>
      <c r="S197" s="5" t="s">
        <v>603</v>
      </c>
      <c r="T197" s="5" t="s">
        <v>603</v>
      </c>
      <c r="U197" s="5" t="s">
        <v>603</v>
      </c>
      <c r="V197" s="5" t="s">
        <v>603</v>
      </c>
      <c r="W197" s="5" t="s">
        <v>603</v>
      </c>
      <c r="X197" s="5" t="s">
        <v>603</v>
      </c>
      <c r="Y197" s="5" t="s">
        <v>603</v>
      </c>
      <c r="Z197" s="5" t="s">
        <v>603</v>
      </c>
      <c r="AA197" s="5" t="s">
        <v>603</v>
      </c>
      <c r="AB197" s="5"/>
      <c r="AC197" s="47">
        <v>0.0</v>
      </c>
    </row>
    <row r="198" hidden="1">
      <c r="A198" s="76" t="str">
        <f t="array" ref="A198:A199">{"FormulaRow07";(INDEX(CLASSLIST,A185,1))}</f>
        <v>FormulaRow07</v>
      </c>
      <c r="B198" s="77" t="s">
        <v>236</v>
      </c>
      <c r="C198" s="76" t="str">
        <f t="array" ref="C198:C199">{"CLASSTYPE";((INDEX(ALLCLASSDATA,MATCH("ClassType",CLASSFEATUREHEADERS,0),MATCH($A199,CLASSNAMEHEADERS,0))))}</f>
        <v>CLASSTYPE</v>
      </c>
      <c r="D198" s="76" t="str">
        <f t="array" ref="D198:D199">{"SKILLS";"Skills"}</f>
        <v>SKILLS</v>
      </c>
      <c r="E198" s="76" t="str">
        <f t="array" ref="E198:E199">{"EXTRASKILLFEATS";"Extra Skill Feats"}</f>
        <v>EXTRASKILLFEATS</v>
      </c>
      <c r="F198" s="76"/>
      <c r="G198" s="76"/>
      <c r="H198" s="76" t="str">
        <f t="array" ref="H198:H199">{"SKILLFEATEXTRA-L01";((INDEX(ALLCLASSDATA,MATCH("SkillFeatExtra-L01",CLASSFEATUREHEADERS,0),MATCH(($A199 &amp; "Points"),CLASSNAMEHEADERS,0))))}</f>
        <v>SKILLFEATEXTRA-L01</v>
      </c>
      <c r="I198" s="76" t="str">
        <f t="array" ref="I198:I199">{"SKILLFEATEXTRA-L02";((INDEX(ALLCLASSDATA,MATCH("SkillFeatExtra-L02",CLASSFEATUREHEADERS,0),MATCH(($A199 &amp; "Points"),CLASSNAMEHEADERS,0))))}</f>
        <v>SKILLFEATEXTRA-L02</v>
      </c>
      <c r="J198" s="76" t="str">
        <f t="array" ref="J198:J199">{"SKILLFEATEXTRA-L03";((INDEX(ALLCLASSDATA,MATCH("SkillFeatExtra-L03",CLASSFEATUREHEADERS,0),MATCH(($A199 &amp; "Points"),CLASSNAMEHEADERS,0))))}</f>
        <v>SKILLFEATEXTRA-L03</v>
      </c>
      <c r="K198" s="76" t="str">
        <f t="array" ref="K198:K199">{"SKILLFEATEXTRA-L04";((INDEX(ALLCLASSDATA,MATCH("SkillFeatExtra-L04",CLASSFEATUREHEADERS,0),MATCH(($A199 &amp; "Points"),CLASSNAMEHEADERS,0))))}</f>
        <v>SKILLFEATEXTRA-L04</v>
      </c>
      <c r="L198" s="76" t="str">
        <f t="array" ref="L198:L199">{"SKILLFEATEXTRA-L05";((INDEX(ALLCLASSDATA,MATCH("SkillFeatExtra-L05",CLASSFEATUREHEADERS,0),MATCH(($A199 &amp; "Points"),CLASSNAMEHEADERS,0))))}</f>
        <v>SKILLFEATEXTRA-L05</v>
      </c>
      <c r="M198" s="76" t="str">
        <f t="array" ref="M198:M199">{"SKILLFEATEXTRA-L06";((INDEX(ALLCLASSDATA,MATCH("SkillFeatExtra-L06",CLASSFEATUREHEADERS,0),MATCH(($A199 &amp; "Points"),CLASSNAMEHEADERS,0))))}</f>
        <v>SKILLFEATEXTRA-L06</v>
      </c>
      <c r="N198" s="76" t="str">
        <f t="array" ref="N198:N199">{"SKILLFEATEXTRA-L07";((INDEX(ALLCLASSDATA,MATCH("SkillFeatExtra-L07",CLASSFEATUREHEADERS,0),MATCH(($A199 &amp; "Points"),CLASSNAMEHEADERS,0))))}</f>
        <v>SKILLFEATEXTRA-L07</v>
      </c>
      <c r="O198" s="76" t="str">
        <f t="array" ref="O198:O199">{"SKILLFEATEXTRA-L08";((INDEX(ALLCLASSDATA,MATCH("SkillFeatExtra-L08",CLASSFEATUREHEADERS,0),MATCH(($A199 &amp; "Points"),CLASSNAMEHEADERS,0))))}</f>
        <v>SKILLFEATEXTRA-L08</v>
      </c>
      <c r="P198" s="76" t="str">
        <f t="array" ref="P198:P199">{"SKILLFEATEXTRA-L09";((INDEX(ALLCLASSDATA,MATCH("SkillFeatExtra-L09",CLASSFEATUREHEADERS,0),MATCH(($A199 &amp; "Points"),CLASSNAMEHEADERS,0))))}</f>
        <v>SKILLFEATEXTRA-L09</v>
      </c>
      <c r="Q198" s="76" t="str">
        <f t="array" ref="Q198:Q199">{"SKILLFEATEXTRA-L10";((INDEX(ALLCLASSDATA,MATCH("SkillFeatExtra-L10",CLASSFEATUREHEADERS,0),MATCH(($A199 &amp; "Points"),CLASSNAMEHEADERS,0))))}</f>
        <v>SKILLFEATEXTRA-L10</v>
      </c>
      <c r="R198" s="76" t="str">
        <f t="array" ref="R198:R199">{"SKILLFEATEXTRA-L11";((INDEX(ALLCLASSDATA,MATCH("SkillFeatExtra-L11",CLASSFEATUREHEADERS,0),MATCH(($A199 &amp; "Points"),CLASSNAMEHEADERS,0))))}</f>
        <v>SKILLFEATEXTRA-L11</v>
      </c>
      <c r="S198" s="76" t="str">
        <f t="array" ref="S198:S199">{"SKILLFEATEXTRA-L12";((INDEX(ALLCLASSDATA,MATCH("SkillFeatExtra-L12",CLASSFEATUREHEADERS,0),MATCH(($A199 &amp; "Points"),CLASSNAMEHEADERS,0))))}</f>
        <v>SKILLFEATEXTRA-L12</v>
      </c>
      <c r="T198" s="76" t="str">
        <f t="array" ref="T198:T199">{"SKILLFEATEXTRA-L13";((INDEX(ALLCLASSDATA,MATCH("SkillFeatExtra-L13",CLASSFEATUREHEADERS,0),MATCH(($A199 &amp; "Points"),CLASSNAMEHEADERS,0))))}</f>
        <v>SKILLFEATEXTRA-L13</v>
      </c>
      <c r="U198" s="76" t="str">
        <f t="array" ref="U198:U199">{"SKILLFEATEXTRA-L14";((INDEX(ALLCLASSDATA,MATCH("SkillFeatExtra-L14",CLASSFEATUREHEADERS,0),MATCH(($A199 &amp; "Points"),CLASSNAMEHEADERS,0))))}</f>
        <v>SKILLFEATEXTRA-L14</v>
      </c>
      <c r="V198" s="76" t="str">
        <f t="array" ref="V198:V199">{"SKILLFEATEXTRA-L15";((INDEX(ALLCLASSDATA,MATCH("SkillFeatExtra-L15",CLASSFEATUREHEADERS,0),MATCH(($A199 &amp; "Points"),CLASSNAMEHEADERS,0))))}</f>
        <v>SKILLFEATEXTRA-L15</v>
      </c>
      <c r="W198" s="76" t="str">
        <f t="array" ref="W198:W199">{"SKILLFEATEXTRA-L16";((INDEX(ALLCLASSDATA,MATCH("SkillFeatExtra-L16",CLASSFEATUREHEADERS,0),MATCH(($A199 &amp; "Points"),CLASSNAMEHEADERS,0))))}</f>
        <v>SKILLFEATEXTRA-L16</v>
      </c>
      <c r="X198" s="76" t="str">
        <f t="array" ref="X198:X199">{"SKILLFEATEXTRA-L17";((INDEX(ALLCLASSDATA,MATCH("SkillFeatExtra-L17",CLASSFEATUREHEADERS,0),MATCH(($A199 &amp; "Points"),CLASSNAMEHEADERS,0))))}</f>
        <v>SKILLFEATEXTRA-L17</v>
      </c>
      <c r="Y198" s="76" t="str">
        <f t="array" ref="Y198:Y199">{"SKILLFEATEXTRA-L18";((INDEX(ALLCLASSDATA,MATCH("SkillFeatExtra-L18",CLASSFEATUREHEADERS,0),MATCH(($A199 &amp; "Points"),CLASSNAMEHEADERS,0))))}</f>
        <v>SKILLFEATEXTRA-L18</v>
      </c>
      <c r="Z198" s="76" t="str">
        <f t="array" ref="Z198:Z199">{"SKILLFEATEXTRA-L19";((INDEX(ALLCLASSDATA,MATCH("SkillFeatExtra-L19",CLASSFEATUREHEADERS,0),MATCH(($A199 &amp; "Points"),CLASSNAMEHEADERS,0))))}</f>
        <v>SKILLFEATEXTRA-L19</v>
      </c>
      <c r="AA198" s="76" t="str">
        <f t="array" ref="AA198:AA199">{"SKILLFEATEXTRA-L20";((INDEX(ALLCLASSDATA,MATCH("SkillFeatExtra-L20",CLASSFEATUREHEADERS,0),MATCH(($A199 &amp; "Points"),CLASSNAMEHEADERS,0))))}</f>
        <v>SKILLFEATEXTRA-L20</v>
      </c>
      <c r="AB198" s="76"/>
      <c r="AC198" s="76" t="str">
        <f t="array" ref="AC198:AC199">{"SKILLFEAT TOTAL";(sum(G199:AA199))}</f>
        <v>SKILLFEAT TOTAL</v>
      </c>
    </row>
    <row r="199">
      <c r="A199" s="48" t="s">
        <v>109</v>
      </c>
      <c r="B199" s="48"/>
      <c r="C199" s="48" t="s">
        <v>406</v>
      </c>
      <c r="D199" s="97" t="s">
        <v>659</v>
      </c>
      <c r="E199" s="97" t="s">
        <v>722</v>
      </c>
      <c r="F199" s="97"/>
      <c r="G199" s="132"/>
      <c r="H199" s="98" t="s">
        <v>603</v>
      </c>
      <c r="I199" s="98" t="s">
        <v>603</v>
      </c>
      <c r="J199" s="97" t="s">
        <v>603</v>
      </c>
      <c r="K199" s="98" t="s">
        <v>603</v>
      </c>
      <c r="L199" s="97" t="s">
        <v>603</v>
      </c>
      <c r="M199" s="98" t="s">
        <v>603</v>
      </c>
      <c r="N199" s="98" t="s">
        <v>603</v>
      </c>
      <c r="O199" s="98" t="s">
        <v>603</v>
      </c>
      <c r="P199" s="98" t="s">
        <v>603</v>
      </c>
      <c r="Q199" s="98" t="s">
        <v>603</v>
      </c>
      <c r="R199" s="98" t="s">
        <v>603</v>
      </c>
      <c r="S199" s="98" t="s">
        <v>603</v>
      </c>
      <c r="T199" s="98" t="s">
        <v>603</v>
      </c>
      <c r="U199" s="98" t="s">
        <v>603</v>
      </c>
      <c r="V199" s="98" t="s">
        <v>603</v>
      </c>
      <c r="W199" s="98" t="s">
        <v>603</v>
      </c>
      <c r="X199" s="98" t="s">
        <v>603</v>
      </c>
      <c r="Y199" s="98" t="s">
        <v>603</v>
      </c>
      <c r="Z199" s="98" t="s">
        <v>603</v>
      </c>
      <c r="AA199" s="98" t="s">
        <v>603</v>
      </c>
      <c r="AB199" s="5"/>
      <c r="AC199" s="47">
        <v>0.0</v>
      </c>
    </row>
    <row r="200" hidden="1">
      <c r="A200" s="76" t="str">
        <f t="array" ref="A200:A201">{"FormulaRow08";(INDEX(CLASSLIST,A185,1))}</f>
        <v>FormulaRow08</v>
      </c>
      <c r="B200" s="77" t="s">
        <v>236</v>
      </c>
      <c r="C200" s="76" t="str">
        <f t="array" ref="C200:C201">{"CLASSTYPE";((INDEX(ALLCLASSDATA,MATCH("ClassType",CLASSFEATUREHEADERS,0),MATCH($A201,CLASSNAMEHEADERS,0))))}</f>
        <v>CLASSTYPE</v>
      </c>
      <c r="D200" s="81" t="str">
        <f t="array" ref="D200:D201">{"CLASSABILITY";"ClassAbility"}</f>
        <v>CLASSABILITY</v>
      </c>
      <c r="E200" s="81" t="str">
        <f t="array" ref="E200:E201">{"CLASSABILITY1";"ClassAbility1"}</f>
        <v>CLASSABILITY1</v>
      </c>
      <c r="F200" s="81"/>
      <c r="G200" s="81"/>
      <c r="H200" s="81"/>
      <c r="I200" s="81"/>
      <c r="J200" s="81" t="str">
        <f t="array" ref="J200:J201">{"CLASSABILITY1-L03";((INDEX(ALLCLASSDATA,MATCH("ClassAbility1-L03",CLASSFEATUREHEADERS,0),MATCH(($A201),CLASSNAMEHEADERS,0))))}</f>
        <v>CLASSABILITY1-L03</v>
      </c>
      <c r="K200" s="81"/>
      <c r="L200" s="81" t="str">
        <f t="array" ref="L200:L201">{"CLASSABILITY1-L05";((INDEX(ALLCLASSDATA,MATCH("ClassAbility1-L05",CLASSFEATUREHEADERS,0),MATCH(($A201),CLASSNAMEHEADERS,0))))}</f>
        <v>CLASSABILITY1-L05</v>
      </c>
      <c r="M200" s="81"/>
      <c r="N200" s="81" t="str">
        <f t="array" ref="N200:N201">{"CLASSABILITY1-L07";((INDEX(ALLCLASSDATA,MATCH("ClassAbility1-L07",CLASSFEATUREHEADERS,0),MATCH(($A201),CLASSNAMEHEADERS,0))))}</f>
        <v>CLASSABILITY1-L07</v>
      </c>
      <c r="O200" s="81"/>
      <c r="P200" s="81" t="str">
        <f t="array" ref="P200:P201">{"CLASSABILITY1-L09";((INDEX(ALLCLASSDATA,MATCH("ClassAbility1-L09",CLASSFEATUREHEADERS,0),MATCH(($A201),CLASSNAMEHEADERS,0))))}</f>
        <v>CLASSABILITY1-L09</v>
      </c>
      <c r="Q200" s="81"/>
      <c r="R200" s="81" t="str">
        <f t="array" ref="R200:R201">{"CLASSABILITY1-L11";((INDEX(ALLCLASSDATA,MATCH("ClassAbility1-L11",CLASSFEATUREHEADERS,0),MATCH(($A201),CLASSNAMEHEADERS,0))))}</f>
        <v>CLASSABILITY1-L11</v>
      </c>
      <c r="S200" s="81"/>
      <c r="T200" s="81" t="str">
        <f t="array" ref="T200:T201">{"CLASSABILITY1-L13";((INDEX(ALLCLASSDATA,MATCH("ClassAbility1-L13",CLASSFEATUREHEADERS,0),MATCH(($A201),CLASSNAMEHEADERS,0))))}</f>
        <v>CLASSABILITY1-L13</v>
      </c>
      <c r="U200" s="81"/>
      <c r="V200" s="81" t="str">
        <f t="array" ref="V200:V201">{"CLASSABILITY1-L15";((INDEX(ALLCLASSDATA,MATCH("ClassAbility1-L15",CLASSFEATUREHEADERS,0),MATCH(($A201),CLASSNAMEHEADERS,0))))}</f>
        <v>CLASSABILITY1-L15</v>
      </c>
      <c r="W200" s="81"/>
      <c r="X200" s="81" t="str">
        <f t="array" ref="X200:X201">{"CLASSABILITY1-L17";((INDEX(ALLCLASSDATA,MATCH("ClassAbility1-L17",CLASSFEATUREHEADERS,0),MATCH(($A201),CLASSNAMEHEADERS,0))))}</f>
        <v>CLASSABILITY1-L17</v>
      </c>
      <c r="Y200" s="81"/>
      <c r="Z200" s="81" t="str">
        <f t="array" ref="Z200:Z201">{"CLASSABILITY1-L19";((INDEX(ALLCLASSDATA,MATCH("ClassAbility1-L19",CLASSFEATUREHEADERS,0),MATCH(($A201),CLASSNAMEHEADERS,0))))}</f>
        <v>CLASSABILITY1-L19</v>
      </c>
      <c r="AA200" s="81"/>
      <c r="AB200" s="76"/>
      <c r="AC200" s="76"/>
    </row>
    <row r="201">
      <c r="A201" s="48" t="s">
        <v>109</v>
      </c>
      <c r="B201" s="48"/>
      <c r="C201" s="48" t="s">
        <v>406</v>
      </c>
      <c r="D201" s="48" t="s">
        <v>825</v>
      </c>
      <c r="E201" s="48" t="s">
        <v>826</v>
      </c>
      <c r="F201" s="5"/>
      <c r="G201" s="47"/>
      <c r="H201" s="5"/>
      <c r="I201" s="5"/>
      <c r="J201" s="5" t="s">
        <v>868</v>
      </c>
      <c r="K201" s="5"/>
      <c r="L201" s="5" t="s">
        <v>869</v>
      </c>
      <c r="M201" s="5"/>
      <c r="N201" s="5" t="s">
        <v>369</v>
      </c>
      <c r="O201" s="5"/>
      <c r="P201" s="5" t="s">
        <v>871</v>
      </c>
      <c r="Q201" s="5"/>
      <c r="R201" s="5" t="s">
        <v>374</v>
      </c>
      <c r="S201" s="5"/>
      <c r="T201" s="5" t="s">
        <v>365</v>
      </c>
      <c r="U201" s="5"/>
      <c r="V201" s="5" t="s">
        <v>371</v>
      </c>
      <c r="W201" s="5"/>
      <c r="X201" s="5" t="s">
        <v>380</v>
      </c>
      <c r="Y201" s="5"/>
      <c r="Z201" s="5" t="s">
        <v>874</v>
      </c>
      <c r="AA201" s="5"/>
      <c r="AB201" s="5"/>
      <c r="AC201" s="47"/>
    </row>
    <row r="202" hidden="1">
      <c r="A202" s="76" t="str">
        <f t="array" ref="A202:A203">{"FormulaRow09";(INDEX(CLASSLIST,A185,1))}</f>
        <v>FormulaRow09</v>
      </c>
      <c r="B202" s="77" t="s">
        <v>236</v>
      </c>
      <c r="C202" s="76" t="str">
        <f t="array" ref="C202:C203">{"CLASSTYPE";((INDEX(ALLCLASSDATA,MATCH("ClassType",CLASSFEATUREHEADERS,0),MATCH($A203,CLASSNAMEHEADERS,0))))}</f>
        <v>CLASSTYPE</v>
      </c>
      <c r="D202" s="76" t="str">
        <f t="array" ref="D202:D203">{"CLASSABILITYPTS";"ClassAbilityPts"}</f>
        <v>CLASSABILITYPTS</v>
      </c>
      <c r="E202" s="76" t="str">
        <f t="array" ref="E202:E203">{"CLASSABILITY1";"ClassAbility1"}</f>
        <v>CLASSABILITY1</v>
      </c>
      <c r="F202" s="76"/>
      <c r="G202" s="76"/>
      <c r="H202" s="76"/>
      <c r="I202" s="76"/>
      <c r="J202" s="76" t="str">
        <f t="array" ref="J202:J203">{"CLASSABILITY1-L03PTS";((INDEX(ALLCLASSDATA,MATCH("ClassAbility1-L03",CLASSFEATUREHEADERS,0),MATCH(($A203 &amp; "Points"),CLASSNAMEHEADERS,0))))}</f>
        <v>CLASSABILITY1-L03PTS</v>
      </c>
      <c r="K202" s="76"/>
      <c r="L202" s="76" t="str">
        <f t="array" ref="L202:L203">{"CLASSABILITY1-L05PTS";((INDEX(ALLCLASSDATA,MATCH("ClassAbility1-L05",CLASSFEATUREHEADERS,0),MATCH(($A203 &amp; "Points"),CLASSNAMEHEADERS,0))))}</f>
        <v>CLASSABILITY1-L05PTS</v>
      </c>
      <c r="M202" s="76"/>
      <c r="N202" s="76" t="str">
        <f t="array" ref="N202:N203">{"CLASSABILITY1-L07PTS";((INDEX(ALLCLASSDATA,MATCH("ClassAbility1-L07",CLASSFEATUREHEADERS,0),MATCH(($A203 &amp; "Points"),CLASSNAMEHEADERS,0))))}</f>
        <v>CLASSABILITY1-L07PTS</v>
      </c>
      <c r="O202" s="76"/>
      <c r="P202" s="76" t="str">
        <f t="array" ref="P202:P203">{"CLASSABILITY1-L09PTS";((INDEX(ALLCLASSDATA,MATCH("ClassAbility1-L09",CLASSFEATUREHEADERS,0),MATCH(($A203 &amp; "Points"),CLASSNAMEHEADERS,0))))}</f>
        <v>CLASSABILITY1-L09PTS</v>
      </c>
      <c r="Q202" s="76"/>
      <c r="R202" s="76" t="str">
        <f t="array" ref="R202:R203">{"CLASSABILITY1-L11PTS";((INDEX(ALLCLASSDATA,MATCH("ClassAbility1-L11",CLASSFEATUREHEADERS,0),MATCH(($A203 &amp; "Points"),CLASSNAMEHEADERS,0))))}</f>
        <v>CLASSABILITY1-L11PTS</v>
      </c>
      <c r="S202" s="76"/>
      <c r="T202" s="76" t="str">
        <f t="array" ref="T202:T203">{"CLASSABILITY1-L13PTS";((INDEX(ALLCLASSDATA,MATCH("ClassAbility1-L13",CLASSFEATUREHEADERS,0),MATCH(($A203 &amp; "Points"),CLASSNAMEHEADERS,0))))}</f>
        <v>CLASSABILITY1-L13PTS</v>
      </c>
      <c r="U202" s="76"/>
      <c r="V202" s="76" t="str">
        <f t="array" ref="V202:V203">{"CLASSABILITY1-L15PTS";((INDEX(ALLCLASSDATA,MATCH("ClassAbility1-L15",CLASSFEATUREHEADERS,0),MATCH(($A203 &amp; "Points"),CLASSNAMEHEADERS,0))))}</f>
        <v>CLASSABILITY1-L15PTS</v>
      </c>
      <c r="W202" s="76"/>
      <c r="X202" s="76" t="str">
        <f t="array" ref="X202:X203">{"CLASSABILITY1-L17PTS";((INDEX(ALLCLASSDATA,MATCH("ClassAbility1-L17",CLASSFEATUREHEADERS,0),MATCH(($A203 &amp; "Points"),CLASSNAMEHEADERS,0))))}</f>
        <v>CLASSABILITY1-L17PTS</v>
      </c>
      <c r="Y202" s="76"/>
      <c r="Z202" s="76" t="str">
        <f t="array" ref="Z202:Z203">{"CLASSABILITY1-L19PTS";((INDEX(ALLCLASSDATA,MATCH("ClassAbility1-L19",CLASSFEATUREHEADERS,0),MATCH(($A203 &amp; "Points"),CLASSNAMEHEADERS,0))))}</f>
        <v>CLASSABILITY1-L19PTS</v>
      </c>
      <c r="AA202" s="76"/>
      <c r="AB202" s="76"/>
      <c r="AC202" s="76" t="str">
        <f t="array" ref="AC202:AC203">{"CLASSABILITY1 TOTAL";(sum(G203:AA203))}</f>
        <v>CLASSABILITY1 TOTAL</v>
      </c>
    </row>
    <row r="203">
      <c r="A203" s="48" t="s">
        <v>109</v>
      </c>
      <c r="B203" s="48"/>
      <c r="C203" s="48" t="s">
        <v>406</v>
      </c>
      <c r="D203" s="48" t="s">
        <v>930</v>
      </c>
      <c r="E203" s="48" t="s">
        <v>826</v>
      </c>
      <c r="F203" s="5"/>
      <c r="G203" s="5"/>
      <c r="H203" s="5"/>
      <c r="I203" s="5"/>
      <c r="J203" s="48">
        <v>30.0</v>
      </c>
      <c r="K203" s="5"/>
      <c r="L203" s="5"/>
      <c r="M203" s="5"/>
      <c r="N203" s="5"/>
      <c r="O203" s="5"/>
      <c r="P203" s="5">
        <v>90.0</v>
      </c>
      <c r="Q203" s="5"/>
      <c r="R203" s="5"/>
      <c r="S203" s="5"/>
      <c r="T203" s="5"/>
      <c r="U203" s="5"/>
      <c r="V203" s="5"/>
      <c r="W203" s="5"/>
      <c r="X203" s="5"/>
      <c r="Y203" s="5"/>
      <c r="Z203" s="5"/>
      <c r="AA203" s="5"/>
      <c r="AB203" s="5"/>
      <c r="AC203" s="47">
        <v>120.0</v>
      </c>
    </row>
    <row r="204" hidden="1">
      <c r="A204" s="76" t="str">
        <f t="array" ref="A204:A205">{"FormulaRow10";(INDEX(CLASSLIST,A185,1))}</f>
        <v>FormulaRow10</v>
      </c>
      <c r="B204" s="77" t="s">
        <v>236</v>
      </c>
      <c r="C204" s="76" t="str">
        <f t="array" ref="C204:C205">{"CLASSTYPE";((INDEX(ALLCLASSDATA,MATCH("ClassType",CLASSFEATUREHEADERS,0),MATCH($A205,CLASSNAMEHEADERS,0))))}</f>
        <v>CLASSTYPE</v>
      </c>
      <c r="D204" s="76" t="str">
        <f t="array" ref="D204:D205">{"CLASSABILITY";"ClassAbility"}</f>
        <v>CLASSABILITY</v>
      </c>
      <c r="E204" s="76" t="str">
        <f t="array" ref="E204:E205">{"CLASSABILITY2";"ClassAbility2"}</f>
        <v>CLASSABILITY2</v>
      </c>
      <c r="F204" s="76"/>
      <c r="G204" s="76"/>
      <c r="H204" s="76"/>
      <c r="I204" s="76"/>
      <c r="J204" s="76" t="str">
        <f t="array" ref="J204:J205">{"CLASSABILITY2-L03";((INDEX(ALLCLASSDATA,MATCH("ClassAbility2-L03",CLASSFEATUREHEADERS,0),MATCH(($A205),CLASSNAMEHEADERS,0))))}</f>
        <v>CLASSABILITY2-L03</v>
      </c>
      <c r="K204" s="76"/>
      <c r="L204" s="76" t="str">
        <f t="array" ref="L204:L205">{"CLASSABILITY2-L05";((INDEX(ALLCLASSDATA,MATCH("ClassAbility2-L05",CLASSFEATUREHEADERS,0),MATCH(($A205),CLASSNAMEHEADERS,0))))}</f>
        <v>CLASSABILITY2-L05</v>
      </c>
      <c r="M204" s="76"/>
      <c r="N204" s="76" t="str">
        <f t="array" ref="N204:N205">{"CLASSABILITY2-L07";((INDEX(ALLCLASSDATA,MATCH("ClassAbility2-L07",CLASSFEATUREHEADERS,0),MATCH(($A205),CLASSNAMEHEADERS,0))))}</f>
        <v>CLASSABILITY2-L07</v>
      </c>
      <c r="O204" s="76"/>
      <c r="P204" s="76" t="str">
        <f t="array" ref="P204:P205">{"CLASSABILITY2-L09";((INDEX(ALLCLASSDATA,MATCH("ClassAbility2-L09",CLASSFEATUREHEADERS,0),MATCH(($A205),CLASSNAMEHEADERS,0))))}</f>
        <v>CLASSABILITY2-L09</v>
      </c>
      <c r="Q204" s="76"/>
      <c r="R204" s="76" t="str">
        <f t="array" ref="R204:R205">{"CLASSABILITY2-L11";((INDEX(ALLCLASSDATA,MATCH("ClassAbility2-L11",CLASSFEATUREHEADERS,0),MATCH(($A205),CLASSNAMEHEADERS,0))))}</f>
        <v>CLASSABILITY2-L11</v>
      </c>
      <c r="S204" s="76"/>
      <c r="T204" s="76" t="str">
        <f t="array" ref="T204:T205">{"CLASSABILITY2-L13";((INDEX(ALLCLASSDATA,MATCH("ClassAbility2-L13",CLASSFEATUREHEADERS,0),MATCH(($A205),CLASSNAMEHEADERS,0))))}</f>
        <v>CLASSABILITY2-L13</v>
      </c>
      <c r="U204" s="76"/>
      <c r="V204" s="76" t="str">
        <f t="array" ref="V204:V205">{"CLASSABILITY2-L15";((INDEX(ALLCLASSDATA,MATCH("ClassAbility2-L15",CLASSFEATUREHEADERS,0),MATCH(($A205),CLASSNAMEHEADERS,0))))}</f>
        <v>CLASSABILITY2-L15</v>
      </c>
      <c r="W204" s="76"/>
      <c r="X204" s="76" t="str">
        <f t="array" ref="X204:X205">{"CLASSABILITY2-L17";((INDEX(ALLCLASSDATA,MATCH("ClassAbility2-L17",CLASSFEATUREHEADERS,0),MATCH(($A205),CLASSNAMEHEADERS,0))))}</f>
        <v>CLASSABILITY2-L17</v>
      </c>
      <c r="Y204" s="76"/>
      <c r="Z204" s="76" t="str">
        <f t="array" ref="Z204:Z205">{"CLASSABILITY2-L19";((INDEX(ALLCLASSDATA,MATCH("ClassAbility2-L19",CLASSFEATUREHEADERS,0),MATCH(($A205),CLASSNAMEHEADERS,0))))}</f>
        <v>CLASSABILITY2-L19</v>
      </c>
      <c r="AA204" s="76"/>
      <c r="AB204" s="76"/>
      <c r="AC204" s="76"/>
    </row>
    <row r="205">
      <c r="A205" s="48" t="s">
        <v>109</v>
      </c>
      <c r="B205" s="48"/>
      <c r="C205" s="48" t="s">
        <v>406</v>
      </c>
      <c r="D205" s="48" t="s">
        <v>825</v>
      </c>
      <c r="E205" s="48" t="s">
        <v>1007</v>
      </c>
      <c r="F205" s="48"/>
      <c r="G205" s="47"/>
      <c r="H205" s="5"/>
      <c r="I205" s="5"/>
      <c r="J205" s="5"/>
      <c r="K205" s="5"/>
      <c r="L205" s="5"/>
      <c r="M205" s="5"/>
      <c r="N205" s="5" t="s">
        <v>1708</v>
      </c>
      <c r="O205" s="5"/>
      <c r="P205" s="5" t="s">
        <v>317</v>
      </c>
      <c r="Q205" s="5"/>
      <c r="R205" s="5" t="s">
        <v>1740</v>
      </c>
      <c r="S205" s="5"/>
      <c r="T205" s="5"/>
      <c r="U205" s="5"/>
      <c r="V205" s="5" t="s">
        <v>873</v>
      </c>
      <c r="W205" s="5"/>
      <c r="X205" s="5"/>
      <c r="Y205" s="5"/>
      <c r="Z205" s="5"/>
      <c r="AA205" s="5"/>
      <c r="AB205" s="5"/>
      <c r="AC205" s="47"/>
    </row>
    <row r="206" hidden="1">
      <c r="A206" s="76" t="str">
        <f t="array" ref="A206:A207">{"FormulaRow11";(INDEX(CLASSLIST,A185,1))}</f>
        <v>FormulaRow11</v>
      </c>
      <c r="B206" s="77" t="s">
        <v>236</v>
      </c>
      <c r="C206" s="76" t="str">
        <f t="array" ref="C206:C207">{"CLASSTYPE";((INDEX(ALLCLASSDATA,MATCH("ClassType",CLASSFEATUREHEADERS,0),MATCH($A207,CLASSNAMEHEADERS,0))))}</f>
        <v>CLASSTYPE</v>
      </c>
      <c r="D206" s="76" t="str">
        <f t="array" ref="D206:D207">{"CLASSABILITYPTS";"ClassAbilityPts"}</f>
        <v>CLASSABILITYPTS</v>
      </c>
      <c r="E206" s="76" t="str">
        <f t="array" ref="E206:E207">{"CLASSABILITY2";"ClassAbility2"}</f>
        <v>CLASSABILITY2</v>
      </c>
      <c r="F206" s="76"/>
      <c r="G206" s="76"/>
      <c r="H206" s="76"/>
      <c r="I206" s="76"/>
      <c r="J206" s="76" t="str">
        <f t="array" ref="J206:J207">{"CLASSABILITY2-L03PTS";((INDEX(ALLCLASSDATA,MATCH("ClassAbility2-L03",CLASSFEATUREHEADERS,0),MATCH(($A207 &amp; "Points"),CLASSNAMEHEADERS,0))))}</f>
        <v>CLASSABILITY2-L03PTS</v>
      </c>
      <c r="K206" s="76"/>
      <c r="L206" s="76" t="str">
        <f t="array" ref="L206:L207">{"CLASSABILITY2-L05PTS";((INDEX(ALLCLASSDATA,MATCH("ClassAbility2-L05",CLASSFEATUREHEADERS,0),MATCH(($A207 &amp; "Points"),CLASSNAMEHEADERS,0))))}</f>
        <v>CLASSABILITY2-L05PTS</v>
      </c>
      <c r="M206" s="76"/>
      <c r="N206" s="76" t="str">
        <f t="array" ref="N206:N207">{"CLASSABILITY2-L07PTS";((INDEX(ALLCLASSDATA,MATCH("ClassAbility2-L07",CLASSFEATUREHEADERS,0),MATCH(($A207 &amp; "Points"),CLASSNAMEHEADERS,0))))}</f>
        <v>CLASSABILITY2-L07PTS</v>
      </c>
      <c r="O206" s="76"/>
      <c r="P206" s="76" t="str">
        <f t="array" ref="P206:P207">{"CLASSABILITY2-L09PTS";((INDEX(ALLCLASSDATA,MATCH("ClassAbility2-L09",CLASSFEATUREHEADERS,0),MATCH(($A207 &amp; "Points"),CLASSNAMEHEADERS,0))))}</f>
        <v>CLASSABILITY2-L09PTS</v>
      </c>
      <c r="Q206" s="76"/>
      <c r="R206" s="76" t="str">
        <f t="array" ref="R206:R207">{"CLASSABILITY2-L11PTS";((INDEX(ALLCLASSDATA,MATCH("ClassAbility2-L11",CLASSFEATUREHEADERS,0),MATCH(($A207 &amp; "Points"),CLASSNAMEHEADERS,0))))}</f>
        <v>CLASSABILITY2-L11PTS</v>
      </c>
      <c r="S206" s="76"/>
      <c r="T206" s="76" t="str">
        <f t="array" ref="T206:T207">{"CLASSABILITY2-L13PTS";((INDEX(ALLCLASSDATA,MATCH("ClassAbility2-L13",CLASSFEATUREHEADERS,0),MATCH(($A207 &amp; "Points"),CLASSNAMEHEADERS,0))))}</f>
        <v>CLASSABILITY2-L13PTS</v>
      </c>
      <c r="U206" s="76"/>
      <c r="V206" s="76" t="str">
        <f t="array" ref="V206:V207">{"CLASSABILITY2-L15PTS";((INDEX(ALLCLASSDATA,MATCH("ClassAbility2-L15",CLASSFEATUREHEADERS,0),MATCH(($A207 &amp; "Points"),CLASSNAMEHEADERS,0))))}</f>
        <v>CLASSABILITY2-L15PTS</v>
      </c>
      <c r="W206" s="76"/>
      <c r="X206" s="76" t="str">
        <f t="array" ref="X206:X207">{"CLASSABILITY2-L17PTS";((INDEX(ALLCLASSDATA,MATCH("ClassAbility2-L17",CLASSFEATUREHEADERS,0),MATCH(($A207 &amp; "Points"),CLASSNAMEHEADERS,0))))}</f>
        <v>CLASSABILITY2-L17PTS</v>
      </c>
      <c r="Y206" s="76"/>
      <c r="Z206" s="76" t="str">
        <f t="array" ref="Z206:Z207">{"CLASSABILITY2-L19PTS";((INDEX(ALLCLASSDATA,MATCH("ClassAbility2-L19",CLASSFEATUREHEADERS,0),MATCH(($A207 &amp; "Points"),CLASSNAMEHEADERS,0))))}</f>
        <v>CLASSABILITY2-L19PTS</v>
      </c>
      <c r="AA206" s="76"/>
      <c r="AB206" s="76"/>
      <c r="AC206" s="76" t="str">
        <f t="array" ref="AC206:AC207">{"CLASSABILITY2 TOTAL";(sum(G207:AA207))}</f>
        <v>CLASSABILITY2 TOTAL</v>
      </c>
    </row>
    <row r="207">
      <c r="A207" s="48" t="s">
        <v>109</v>
      </c>
      <c r="B207" s="48"/>
      <c r="C207" s="48" t="s">
        <v>406</v>
      </c>
      <c r="D207" s="48" t="s">
        <v>930</v>
      </c>
      <c r="E207" s="48" t="s">
        <v>1007</v>
      </c>
      <c r="F207" s="48"/>
      <c r="G207" s="47"/>
      <c r="H207" s="5"/>
      <c r="I207" s="5"/>
      <c r="J207" s="5"/>
      <c r="K207" s="5"/>
      <c r="L207" s="5"/>
      <c r="M207" s="5"/>
      <c r="N207" s="5">
        <v>10.0</v>
      </c>
      <c r="O207" s="5"/>
      <c r="P207" s="5"/>
      <c r="Q207" s="5"/>
      <c r="R207" s="5"/>
      <c r="S207" s="5"/>
      <c r="T207" s="5"/>
      <c r="U207" s="5"/>
      <c r="V207" s="5">
        <v>150.0</v>
      </c>
      <c r="W207" s="5"/>
      <c r="X207" s="5"/>
      <c r="Y207" s="5"/>
      <c r="Z207" s="5"/>
      <c r="AA207" s="5"/>
      <c r="AB207" s="5"/>
      <c r="AC207" s="47">
        <v>160.0</v>
      </c>
    </row>
    <row r="208" hidden="1">
      <c r="A208" s="76" t="str">
        <f t="array" ref="A208:A209">{"FormulaRow12";(INDEX(CLASSLIST,A185,1))}</f>
        <v>FormulaRow12</v>
      </c>
      <c r="B208" s="77" t="s">
        <v>236</v>
      </c>
      <c r="C208" s="76" t="str">
        <f t="array" ref="C208:C209">{"CLASSTYPE";((INDEX(ALLCLASSDATA,MATCH("ClassType",CLASSFEATUREHEADERS,0),MATCH($A209,CLASSNAMEHEADERS,0))))}</f>
        <v>CLASSTYPE</v>
      </c>
      <c r="D208" s="76" t="str">
        <f t="array" ref="D208:D209">{"CLASSABILITY";"ClassAbility"}</f>
        <v>CLASSABILITY</v>
      </c>
      <c r="E208" s="76" t="str">
        <f t="array" ref="E208:E209">{"CLASSABILITY3";"ClassAbility3"}</f>
        <v>CLASSABILITY3</v>
      </c>
      <c r="F208" s="76"/>
      <c r="G208" s="76"/>
      <c r="H208" s="76"/>
      <c r="I208" s="76"/>
      <c r="J208" s="76" t="str">
        <f t="array" ref="J208:J209">{"CLASSABILITY3-L03";((INDEX(ALLCLASSDATA,MATCH("ClassAbility3-L03",CLASSFEATUREHEADERS,0),MATCH(($A209),CLASSNAMEHEADERS,0))))}</f>
        <v>CLASSABILITY3-L03</v>
      </c>
      <c r="K208" s="76"/>
      <c r="L208" s="76" t="str">
        <f t="array" ref="L208:L209">{"CLASSABILITY3-L05";((INDEX(ALLCLASSDATA,MATCH("ClassAbility3-L05",CLASSFEATUREHEADERS,0),MATCH(($A209),CLASSNAMEHEADERS,0))))}</f>
        <v>CLASSABILITY3-L05</v>
      </c>
      <c r="M208" s="76"/>
      <c r="N208" s="76" t="str">
        <f t="array" ref="N208:N209">{"CLASSABILITY3-L07";((INDEX(ALLCLASSDATA,MATCH("ClassAbility3-L07",CLASSFEATUREHEADERS,0),MATCH(($A209),CLASSNAMEHEADERS,0))))}</f>
        <v>CLASSABILITY3-L07</v>
      </c>
      <c r="O208" s="76"/>
      <c r="P208" s="76" t="str">
        <f t="array" ref="P208:P209">{"CLASSABILITY3-L09";((INDEX(ALLCLASSDATA,MATCH("ClassAbility3-L09",CLASSFEATUREHEADERS,0),MATCH(($A209),CLASSNAMEHEADERS,0))))}</f>
        <v>CLASSABILITY3-L09</v>
      </c>
      <c r="Q208" s="76"/>
      <c r="R208" s="76" t="str">
        <f t="array" ref="R208:R209">{"CLASSABILITY3-L11";((INDEX(ALLCLASSDATA,MATCH("ClassAbility3-L11",CLASSFEATUREHEADERS,0),MATCH(($A209),CLASSNAMEHEADERS,0))))}</f>
        <v>CLASSABILITY3-L11</v>
      </c>
      <c r="S208" s="76"/>
      <c r="T208" s="76" t="str">
        <f t="array" ref="T208:T209">{"CLASSABILITY3-L13";((INDEX(ALLCLASSDATA,MATCH("ClassAbility3-L13",CLASSFEATUREHEADERS,0),MATCH(($A209),CLASSNAMEHEADERS,0))))}</f>
        <v>CLASSABILITY3-L13</v>
      </c>
      <c r="U208" s="76"/>
      <c r="V208" s="76" t="str">
        <f t="array" ref="V208:V209">{"CLASSABILITY3-L15";((INDEX(ALLCLASSDATA,MATCH("ClassAbility3-L15",CLASSFEATUREHEADERS,0),MATCH(($A209),CLASSNAMEHEADERS,0))))}</f>
        <v>CLASSABILITY3-L15</v>
      </c>
      <c r="W208" s="76"/>
      <c r="X208" s="76" t="str">
        <f t="array" ref="X208:X209">{"CLASSABILITY3-L17";((INDEX(ALLCLASSDATA,MATCH("ClassAbility3-L17",CLASSFEATUREHEADERS,0),MATCH(($A209),CLASSNAMEHEADERS,0))))}</f>
        <v>CLASSABILITY3-L17</v>
      </c>
      <c r="Y208" s="76"/>
      <c r="Z208" s="76" t="str">
        <f t="array" ref="Z208:Z209">{"CLASSABILITY3-L19";((INDEX(ALLCLASSDATA,MATCH("ClassAbility3-L19",CLASSFEATUREHEADERS,0),MATCH(($A209),CLASSNAMEHEADERS,0))))}</f>
        <v>CLASSABILITY3-L19</v>
      </c>
      <c r="AA208" s="76"/>
      <c r="AB208" s="76"/>
      <c r="AC208" s="76"/>
    </row>
    <row r="209">
      <c r="A209" s="48" t="s">
        <v>109</v>
      </c>
      <c r="B209" s="48"/>
      <c r="C209" s="48" t="s">
        <v>406</v>
      </c>
      <c r="D209" s="48" t="s">
        <v>825</v>
      </c>
      <c r="E209" s="48" t="s">
        <v>1144</v>
      </c>
      <c r="F209" s="48"/>
      <c r="G209" s="47"/>
      <c r="H209" s="5"/>
      <c r="I209" s="5"/>
      <c r="J209" s="5"/>
      <c r="K209" s="5"/>
      <c r="L209" s="5"/>
      <c r="M209" s="5"/>
      <c r="N209" s="5"/>
      <c r="O209" s="5"/>
      <c r="P209" s="5"/>
      <c r="Q209" s="5"/>
      <c r="R209" s="5"/>
      <c r="S209" s="5"/>
      <c r="T209" s="5"/>
      <c r="U209" s="5"/>
      <c r="V209" s="5" t="s">
        <v>326</v>
      </c>
      <c r="W209" s="5"/>
      <c r="X209" s="5"/>
      <c r="Y209" s="5"/>
      <c r="Z209" s="5"/>
      <c r="AA209" s="5"/>
      <c r="AB209" s="5"/>
      <c r="AC209" s="47"/>
    </row>
    <row r="210" hidden="1">
      <c r="A210" s="76" t="str">
        <f t="array" ref="A210:A211">{"FormulaRow13";(INDEX(CLASSLIST,A185,1))}</f>
        <v>FormulaRow13</v>
      </c>
      <c r="B210" s="77" t="s">
        <v>236</v>
      </c>
      <c r="C210" s="76" t="str">
        <f t="array" ref="C210:C211">{"CLASSTYPE";((INDEX(ALLCLASSDATA,MATCH("ClassType",CLASSFEATUREHEADERS,0),MATCH($A211,CLASSNAMEHEADERS,0))))}</f>
        <v>CLASSTYPE</v>
      </c>
      <c r="D210" s="76" t="str">
        <f t="array" ref="D210:D211">{"CLASSABILITYPTS";"ClassAbilityPts"}</f>
        <v>CLASSABILITYPTS</v>
      </c>
      <c r="E210" s="76" t="str">
        <f t="array" ref="E210:E211">{"CLASSABILITY3";"ClassAbility3"}</f>
        <v>CLASSABILITY3</v>
      </c>
      <c r="F210" s="76"/>
      <c r="G210" s="76"/>
      <c r="H210" s="76"/>
      <c r="I210" s="76"/>
      <c r="J210" s="76" t="str">
        <f t="array" ref="J210:J211">{"CLASSABILITY3-L03PTS";((INDEX(ALLCLASSDATA,MATCH("ClassAbility3-L03",CLASSFEATUREHEADERS,0),MATCH(($A211 &amp; "Points"),CLASSNAMEHEADERS,0))))}</f>
        <v>CLASSABILITY3-L03PTS</v>
      </c>
      <c r="K210" s="76"/>
      <c r="L210" s="76" t="str">
        <f t="array" ref="L210:L211">{"CLASSABILITY3-L05PTS";((INDEX(ALLCLASSDATA,MATCH("ClassAbility3-L05",CLASSFEATUREHEADERS,0),MATCH(($A211 &amp; "Points"),CLASSNAMEHEADERS,0))))}</f>
        <v>CLASSABILITY3-L05PTS</v>
      </c>
      <c r="M210" s="76"/>
      <c r="N210" s="76" t="str">
        <f t="array" ref="N210:N211">{"CLASSABILITY3-L07PTS";((INDEX(ALLCLASSDATA,MATCH("ClassAbility3-L07",CLASSFEATUREHEADERS,0),MATCH(($A211 &amp; "Points"),CLASSNAMEHEADERS,0))))}</f>
        <v>CLASSABILITY3-L07PTS</v>
      </c>
      <c r="O210" s="76"/>
      <c r="P210" s="76" t="str">
        <f t="array" ref="P210:P211">{"CLASSABILITY3-L09PTS";((INDEX(ALLCLASSDATA,MATCH("ClassAbility3-L09",CLASSFEATUREHEADERS,0),MATCH(($A211 &amp; "Points"),CLASSNAMEHEADERS,0))))}</f>
        <v>CLASSABILITY3-L09PTS</v>
      </c>
      <c r="Q210" s="76"/>
      <c r="R210" s="76" t="str">
        <f t="array" ref="R210:R211">{"CLASSABILITY3-L11PTS";((INDEX(ALLCLASSDATA,MATCH("ClassAbility3-L11",CLASSFEATUREHEADERS,0),MATCH(($A211 &amp; "Points"),CLASSNAMEHEADERS,0))))}</f>
        <v>CLASSABILITY3-L11PTS</v>
      </c>
      <c r="S210" s="76"/>
      <c r="T210" s="76" t="str">
        <f t="array" ref="T210:T211">{"CLASSABILITY3-L13PTS";((INDEX(ALLCLASSDATA,MATCH("ClassAbility3-L13",CLASSFEATUREHEADERS,0),MATCH(($A211 &amp; "Points"),CLASSNAMEHEADERS,0))))}</f>
        <v>CLASSABILITY3-L13PTS</v>
      </c>
      <c r="U210" s="76"/>
      <c r="V210" s="76" t="str">
        <f t="array" ref="V210:V211">{"CLASSABILITY3-L15PTS";((INDEX(ALLCLASSDATA,MATCH("ClassAbility3-L15",CLASSFEATUREHEADERS,0),MATCH(($A211 &amp; "Points"),CLASSNAMEHEADERS,0))))}</f>
        <v>CLASSABILITY3-L15PTS</v>
      </c>
      <c r="W210" s="76"/>
      <c r="X210" s="76" t="str">
        <f t="array" ref="X210:X211">{"CLASSABILITY3-L17PTS";((INDEX(ALLCLASSDATA,MATCH("ClassAbility3-L17",CLASSFEATUREHEADERS,0),MATCH(($A211 &amp; "Points"),CLASSNAMEHEADERS,0))))}</f>
        <v>CLASSABILITY3-L17PTS</v>
      </c>
      <c r="Y210" s="76"/>
      <c r="Z210" s="76" t="str">
        <f t="array" ref="Z210:Z211">{"CLASSABILITY3-L19PTS";((INDEX(ALLCLASSDATA,MATCH("ClassAbility3-L19",CLASSFEATUREHEADERS,0),MATCH(($A211 &amp; "Points"),CLASSNAMEHEADERS,0))))}</f>
        <v>CLASSABILITY3-L19PTS</v>
      </c>
      <c r="AA210" s="76"/>
      <c r="AB210" s="76"/>
      <c r="AC210" s="76" t="str">
        <f t="array" ref="AC210:AC211">{"CLASSABILITY3 TOTAL";(sum(G211:AA211))}</f>
        <v>CLASSABILITY3 TOTAL</v>
      </c>
    </row>
    <row r="211">
      <c r="A211" s="48" t="s">
        <v>109</v>
      </c>
      <c r="B211" s="48"/>
      <c r="C211" s="48" t="s">
        <v>406</v>
      </c>
      <c r="D211" s="48" t="s">
        <v>930</v>
      </c>
      <c r="E211" s="48" t="s">
        <v>1144</v>
      </c>
      <c r="F211" s="48"/>
      <c r="G211" s="47"/>
      <c r="H211" s="5"/>
      <c r="I211" s="5"/>
      <c r="J211" s="5"/>
      <c r="K211" s="5"/>
      <c r="L211" s="5"/>
      <c r="M211" s="5"/>
      <c r="N211" s="5"/>
      <c r="O211" s="5"/>
      <c r="P211" s="5"/>
      <c r="Q211" s="5"/>
      <c r="R211" s="5"/>
      <c r="S211" s="5"/>
      <c r="T211" s="5"/>
      <c r="U211" s="5"/>
      <c r="V211" s="5"/>
      <c r="W211" s="5"/>
      <c r="X211" s="5"/>
      <c r="Y211" s="5"/>
      <c r="Z211" s="5"/>
      <c r="AA211" s="5"/>
      <c r="AB211" s="5"/>
      <c r="AC211" s="47">
        <v>0.0</v>
      </c>
    </row>
    <row r="212" hidden="1">
      <c r="A212" s="76" t="str">
        <f t="array" ref="A212:A213">{"FormulaRow14";(INDEX(CLASSLIST,A185,1))}</f>
        <v>FormulaRow14</v>
      </c>
      <c r="B212" s="77" t="s">
        <v>236</v>
      </c>
      <c r="C212" s="76" t="str">
        <f t="array" ref="C212:C213">{"CLASSTYPE";((INDEX(ALLCLASSDATA,MATCH("ClassType",CLASSFEATUREHEADERS,0),MATCH($A213,CLASSNAMEHEADERS,0))))}</f>
        <v>CLASSTYPE</v>
      </c>
      <c r="D212" s="76" t="str">
        <f t="array" ref="D212:D213">{"CLASSABILITY";"ClassAbility"}</f>
        <v>CLASSABILITY</v>
      </c>
      <c r="E212" s="76" t="str">
        <f t="array" ref="E212:E213">{"CLASSABILITY4";"ClassAbility4"}</f>
        <v>CLASSABILITY4</v>
      </c>
      <c r="F212" s="76"/>
      <c r="G212" s="76"/>
      <c r="H212" s="76"/>
      <c r="I212" s="76"/>
      <c r="J212" s="76" t="str">
        <f t="array" ref="J212:J213">{"CLASSABILITY4-L03";((INDEX(ALLCLASSDATA,MATCH("ClassAbility4-L03",CLASSFEATUREHEADERS,0),MATCH(($A213),CLASSNAMEHEADERS,0))))}</f>
        <v>CLASSABILITY4-L03</v>
      </c>
      <c r="K212" s="76"/>
      <c r="L212" s="76" t="str">
        <f t="array" ref="L212:L213">{"CLASSABILITY4-L05";((INDEX(ALLCLASSDATA,MATCH("ClassAbility4-L05",CLASSFEATUREHEADERS,0),MATCH(($A213),CLASSNAMEHEADERS,0))))}</f>
        <v>CLASSABILITY4-L05</v>
      </c>
      <c r="M212" s="76"/>
      <c r="N212" s="76" t="str">
        <f t="array" ref="N212:N213">{"CLASSABILITY4-L07";((INDEX(ALLCLASSDATA,MATCH("ClassAbility4-L07",CLASSFEATUREHEADERS,0),MATCH(($A213),CLASSNAMEHEADERS,0))))}</f>
        <v>CLASSABILITY4-L07</v>
      </c>
      <c r="O212" s="76"/>
      <c r="P212" s="76" t="str">
        <f t="array" ref="P212:P213">{"CLASSABILITY4-L09";((INDEX(ALLCLASSDATA,MATCH("ClassAbility4-L09",CLASSFEATUREHEADERS,0),MATCH(($A213),CLASSNAMEHEADERS,0))))}</f>
        <v>CLASSABILITY4-L09</v>
      </c>
      <c r="Q212" s="76"/>
      <c r="R212" s="76" t="str">
        <f t="array" ref="R212:R213">{"CLASSABILITY4-L11";((INDEX(ALLCLASSDATA,MATCH("ClassAbility4-L11",CLASSFEATUREHEADERS,0),MATCH(($A213),CLASSNAMEHEADERS,0))))}</f>
        <v>CLASSABILITY4-L11</v>
      </c>
      <c r="S212" s="76"/>
      <c r="T212" s="76" t="str">
        <f t="array" ref="T212:T213">{"CLASSABILITY4-L13";((INDEX(ALLCLASSDATA,MATCH("ClassAbility4-L13",CLASSFEATUREHEADERS,0),MATCH(($A213),CLASSNAMEHEADERS,0))))}</f>
        <v>CLASSABILITY4-L13</v>
      </c>
      <c r="U212" s="76"/>
      <c r="V212" s="76" t="str">
        <f t="array" ref="V212:V213">{"CLASSABILITY4-L15";((INDEX(ALLCLASSDATA,MATCH("ClassAbility4-L15",CLASSFEATUREHEADERS,0),MATCH(($A213),CLASSNAMEHEADERS,0))))}</f>
        <v>CLASSABILITY4-L15</v>
      </c>
      <c r="W212" s="76"/>
      <c r="X212" s="76" t="str">
        <f t="array" ref="X212:X213">{"CLASSABILITY4-L17";((INDEX(ALLCLASSDATA,MATCH("ClassAbility4-L17",CLASSFEATUREHEADERS,0),MATCH(($A213),CLASSNAMEHEADERS,0))))}</f>
        <v>CLASSABILITY4-L17</v>
      </c>
      <c r="Y212" s="76"/>
      <c r="Z212" s="76" t="str">
        <f t="array" ref="Z212:Z213">{"CLASSABILITY4-L19";((INDEX(ALLCLASSDATA,MATCH("ClassAbility4-L19",CLASSFEATUREHEADERS,0),MATCH(($A213),CLASSNAMEHEADERS,0))))}</f>
        <v>CLASSABILITY4-L19</v>
      </c>
      <c r="AA212" s="76"/>
      <c r="AB212" s="76"/>
      <c r="AC212" s="76"/>
    </row>
    <row r="213">
      <c r="A213" s="48" t="s">
        <v>109</v>
      </c>
      <c r="B213" s="48"/>
      <c r="C213" s="48" t="s">
        <v>406</v>
      </c>
      <c r="D213" s="48" t="s">
        <v>825</v>
      </c>
      <c r="E213" s="48" t="s">
        <v>1273</v>
      </c>
      <c r="F213" s="48"/>
      <c r="G213" s="47"/>
      <c r="H213" s="5"/>
      <c r="I213" s="5"/>
      <c r="J213" s="5"/>
      <c r="K213" s="5"/>
      <c r="L213" s="5"/>
      <c r="M213" s="5"/>
      <c r="N213" s="5"/>
      <c r="O213" s="5"/>
      <c r="P213" s="5"/>
      <c r="Q213" s="5"/>
      <c r="R213" s="5"/>
      <c r="S213" s="5"/>
      <c r="T213" s="5"/>
      <c r="U213" s="5"/>
      <c r="V213" s="5"/>
      <c r="W213" s="5"/>
      <c r="X213" s="5"/>
      <c r="Y213" s="5"/>
      <c r="Z213" s="5"/>
      <c r="AA213" s="5"/>
      <c r="AB213" s="5"/>
      <c r="AC213" s="47"/>
    </row>
    <row r="214" hidden="1">
      <c r="A214" s="76" t="str">
        <f t="array" ref="A214:A215">{"FormulaRow15";(INDEX(CLASSLIST,A185,1))}</f>
        <v>FormulaRow15</v>
      </c>
      <c r="B214" s="77" t="s">
        <v>236</v>
      </c>
      <c r="C214" s="76" t="str">
        <f t="array" ref="C214:C215">{"CLASSTYPE";((INDEX(ALLCLASSDATA,MATCH("ClassType",CLASSFEATUREHEADERS,0),MATCH($A215,CLASSNAMEHEADERS,0))))}</f>
        <v>CLASSTYPE</v>
      </c>
      <c r="D214" s="76" t="str">
        <f t="array" ref="D214:D215">{"CLASSABILITYPTS";"ClassAbilityPts"}</f>
        <v>CLASSABILITYPTS</v>
      </c>
      <c r="E214" s="76" t="str">
        <f t="array" ref="E214:E215">{"CLASSABILITY4";"ClassAbility4"}</f>
        <v>CLASSABILITY4</v>
      </c>
      <c r="F214" s="76"/>
      <c r="G214" s="76"/>
      <c r="H214" s="76"/>
      <c r="I214" s="76"/>
      <c r="J214" s="76" t="str">
        <f t="array" ref="J214:J215">{"CLASSABILITY4-L03PTS";((INDEX(ALLCLASSDATA,MATCH("ClassAbility4-L03",CLASSFEATUREHEADERS,0),MATCH(($A215 &amp; "Points"),CLASSNAMEHEADERS,0))))}</f>
        <v>CLASSABILITY4-L03PTS</v>
      </c>
      <c r="K214" s="76"/>
      <c r="L214" s="76" t="str">
        <f t="array" ref="L214:L215">{"CLASSABILITY4-L05PTS";((INDEX(ALLCLASSDATA,MATCH("ClassAbility4-L05",CLASSFEATUREHEADERS,0),MATCH(($A215 &amp; "Points"),CLASSNAMEHEADERS,0))))}</f>
        <v>CLASSABILITY4-L05PTS</v>
      </c>
      <c r="M214" s="76"/>
      <c r="N214" s="76" t="str">
        <f t="array" ref="N214:N215">{"CLASSABILITY4-L07PTS";((INDEX(ALLCLASSDATA,MATCH("ClassAbility4-L07",CLASSFEATUREHEADERS,0),MATCH(($A215 &amp; "Points"),CLASSNAMEHEADERS,0))))}</f>
        <v>CLASSABILITY4-L07PTS</v>
      </c>
      <c r="O214" s="76"/>
      <c r="P214" s="76" t="str">
        <f t="array" ref="P214:P215">{"CLASSABILITY4-L09PTS";((INDEX(ALLCLASSDATA,MATCH("ClassAbility4-L09",CLASSFEATUREHEADERS,0),MATCH(($A215 &amp; "Points"),CLASSNAMEHEADERS,0))))}</f>
        <v>CLASSABILITY4-L09PTS</v>
      </c>
      <c r="Q214" s="76"/>
      <c r="R214" s="76" t="str">
        <f t="array" ref="R214:R215">{"CLASSABILITY4-L11PTS";((INDEX(ALLCLASSDATA,MATCH("ClassAbility4-L11",CLASSFEATUREHEADERS,0),MATCH(($A215 &amp; "Points"),CLASSNAMEHEADERS,0))))}</f>
        <v>CLASSABILITY4-L11PTS</v>
      </c>
      <c r="S214" s="76"/>
      <c r="T214" s="76" t="str">
        <f t="array" ref="T214:T215">{"CLASSABILITY4-L13PTS";((INDEX(ALLCLASSDATA,MATCH("ClassAbility4-L13",CLASSFEATUREHEADERS,0),MATCH(($A215 &amp; "Points"),CLASSNAMEHEADERS,0))))}</f>
        <v>CLASSABILITY4-L13PTS</v>
      </c>
      <c r="U214" s="76"/>
      <c r="V214" s="76" t="str">
        <f t="array" ref="V214:V215">{"CLASSABILITY4-L15PTS";((INDEX(ALLCLASSDATA,MATCH("ClassAbility4-L15",CLASSFEATUREHEADERS,0),MATCH(($A215 &amp; "Points"),CLASSNAMEHEADERS,0))))}</f>
        <v>CLASSABILITY4-L15PTS</v>
      </c>
      <c r="W214" s="76"/>
      <c r="X214" s="76" t="str">
        <f t="array" ref="X214:X215">{"CLASSABILITY4-L17PTS";((INDEX(ALLCLASSDATA,MATCH("ClassAbility4-L17",CLASSFEATUREHEADERS,0),MATCH(($A215 &amp; "Points"),CLASSNAMEHEADERS,0))))}</f>
        <v>CLASSABILITY4-L17PTS</v>
      </c>
      <c r="Y214" s="76"/>
      <c r="Z214" s="76" t="str">
        <f t="array" ref="Z214:Z215">{"CLASSABILITY4-L19PTS";((INDEX(ALLCLASSDATA,MATCH("ClassAbility4-L19",CLASSFEATUREHEADERS,0),MATCH(($A215 &amp; "Points"),CLASSNAMEHEADERS,0))))}</f>
        <v>CLASSABILITY4-L19PTS</v>
      </c>
      <c r="AA214" s="76"/>
      <c r="AB214" s="76"/>
      <c r="AC214" s="76" t="str">
        <f t="array" ref="AC214:AC215">{"CLASSABILITY4 TOTAL";(sum(G215:AA215))}</f>
        <v>CLASSABILITY4 TOTAL</v>
      </c>
    </row>
    <row r="215">
      <c r="A215" s="48" t="s">
        <v>109</v>
      </c>
      <c r="B215" s="48"/>
      <c r="C215" s="48" t="s">
        <v>406</v>
      </c>
      <c r="D215" s="48" t="s">
        <v>930</v>
      </c>
      <c r="E215" s="48" t="s">
        <v>1273</v>
      </c>
      <c r="F215" s="48"/>
      <c r="G215" s="47"/>
      <c r="H215" s="5"/>
      <c r="I215" s="5"/>
      <c r="J215" s="5"/>
      <c r="K215" s="5"/>
      <c r="L215" s="5"/>
      <c r="M215" s="5"/>
      <c r="N215" s="5"/>
      <c r="O215" s="5"/>
      <c r="P215" s="5"/>
      <c r="Q215" s="5"/>
      <c r="R215" s="5"/>
      <c r="S215" s="5"/>
      <c r="T215" s="5"/>
      <c r="U215" s="5"/>
      <c r="V215" s="5"/>
      <c r="W215" s="5"/>
      <c r="X215" s="5"/>
      <c r="Y215" s="5"/>
      <c r="Z215" s="5"/>
      <c r="AA215" s="5"/>
      <c r="AB215" s="5"/>
      <c r="AC215" s="47">
        <v>0.0</v>
      </c>
    </row>
    <row r="216" hidden="1">
      <c r="A216" s="76" t="str">
        <f t="array" ref="A216:A217">{"FormulaRow16";(INDEX(CLASSLIST,A185,1))}</f>
        <v>FormulaRow16</v>
      </c>
      <c r="B216" s="77" t="s">
        <v>236</v>
      </c>
      <c r="C216" s="76" t="str">
        <f t="array" ref="C216:C217">{"CLASSTYPE";((INDEX(ALLCLASSDATA,MATCH("ClassType",CLASSFEATUREHEADERS,0),MATCH($A217,CLASSNAMEHEADERS,0))))}</f>
        <v>CLASSTYPE</v>
      </c>
      <c r="D216" s="76" t="str">
        <f t="array" ref="D216:D217">{"CLASSABILITY";"ClassAbility"}</f>
        <v>CLASSABILITY</v>
      </c>
      <c r="E216" s="76" t="str">
        <f t="array" ref="E216:E217">{"SUBCLASSABILITY1";"SubclassAbility1"}</f>
        <v>SUBCLASSABILITY1</v>
      </c>
      <c r="F216" s="76"/>
      <c r="G216" s="76"/>
      <c r="H216" s="76"/>
      <c r="I216" s="76"/>
      <c r="J216" s="76" t="str">
        <f t="array" ref="J216:J217">{"SUBCLASSABILITY1-L03";((INDEX(ALLCLASSDATA,MATCH("SubclassAbility1-L03",CLASSFEATUREHEADERS,0),MATCH(($A217),CLASSNAMEHEADERS,0))))}</f>
        <v>SUBCLASSABILITY1-L03</v>
      </c>
      <c r="K216" s="76"/>
      <c r="L216" s="76" t="str">
        <f t="array" ref="L216:L217">{"SUBCLASSABILITY1-L05";((INDEX(ALLCLASSDATA,MATCH("SubclassAbility1-L05",CLASSFEATUREHEADERS,0),MATCH(($A217),CLASSNAMEHEADERS,0))))}</f>
        <v>SUBCLASSABILITY1-L05</v>
      </c>
      <c r="M216" s="76"/>
      <c r="N216" s="76" t="str">
        <f t="array" ref="N216:N217">{"SUBCLASSABILITY1-L07";((INDEX(ALLCLASSDATA,MATCH("SubclassAbility1-L07",CLASSFEATUREHEADERS,0),MATCH(($A217),CLASSNAMEHEADERS,0))))}</f>
        <v>SUBCLASSABILITY1-L07</v>
      </c>
      <c r="O216" s="76"/>
      <c r="P216" s="76" t="str">
        <f t="array" ref="P216:P217">{"SUBCLASSABILITY1-L09";((INDEX(ALLCLASSDATA,MATCH("SubclassAbility1-L09",CLASSFEATUREHEADERS,0),MATCH(($A217),CLASSNAMEHEADERS,0))))}</f>
        <v>SUBCLASSABILITY1-L09</v>
      </c>
      <c r="Q216" s="76"/>
      <c r="R216" s="76" t="str">
        <f t="array" ref="R216:R217">{"SUBCLASSABILITY1-L11";((INDEX(ALLCLASSDATA,MATCH("SubclassAbility1-L11",CLASSFEATUREHEADERS,0),MATCH(($A217),CLASSNAMEHEADERS,0))))}</f>
        <v>SUBCLASSABILITY1-L11</v>
      </c>
      <c r="S216" s="76"/>
      <c r="T216" s="76" t="str">
        <f t="array" ref="T216:T217">{"SUBCLASSABILITY1-L13";((INDEX(ALLCLASSDATA,MATCH("SubclassAbility1-L13",CLASSFEATUREHEADERS,0),MATCH(($A217),CLASSNAMEHEADERS,0))))}</f>
        <v>SUBCLASSABILITY1-L13</v>
      </c>
      <c r="U216" s="76"/>
      <c r="V216" s="76" t="str">
        <f t="array" ref="V216:V217">{"SUBCLASSABILITY1-L15";((INDEX(ALLCLASSDATA,MATCH("SubclassAbility1-L15",CLASSFEATUREHEADERS,0),MATCH(($A217),CLASSNAMEHEADERS,0))))}</f>
        <v>SUBCLASSABILITY1-L15</v>
      </c>
      <c r="W216" s="76"/>
      <c r="X216" s="76" t="str">
        <f t="array" ref="X216:X217">{"SUBCLASSABILITY1-L17";((INDEX(ALLCLASSDATA,MATCH("SubclassAbility1-L17",CLASSFEATUREHEADERS,0),MATCH(($A217),CLASSNAMEHEADERS,0))))}</f>
        <v>SUBCLASSABILITY1-L17</v>
      </c>
      <c r="Y216" s="76"/>
      <c r="Z216" s="76" t="str">
        <f t="array" ref="Z216:Z217">{"SUBCLASSABILITY1-L19";((INDEX(ALLCLASSDATA,MATCH("SubclassAbility1-L19",CLASSFEATUREHEADERS,0),MATCH(($A217),CLASSNAMEHEADERS,0))))}</f>
        <v>SUBCLASSABILITY1-L19</v>
      </c>
      <c r="AA216" s="76"/>
      <c r="AB216" s="76"/>
      <c r="AC216" s="76"/>
    </row>
    <row r="217">
      <c r="A217" s="48" t="s">
        <v>109</v>
      </c>
      <c r="B217" s="48"/>
      <c r="C217" s="48" t="s">
        <v>406</v>
      </c>
      <c r="D217" s="48" t="s">
        <v>825</v>
      </c>
      <c r="E217" s="28" t="s">
        <v>1355</v>
      </c>
      <c r="F217" s="5"/>
      <c r="G217" s="47"/>
      <c r="H217" s="5"/>
      <c r="I217" s="5"/>
      <c r="J217" s="5"/>
      <c r="K217" s="5"/>
      <c r="L217" s="5"/>
      <c r="M217" s="5"/>
      <c r="N217" s="5"/>
      <c r="O217" s="5"/>
      <c r="P217" s="5"/>
      <c r="Q217" s="5"/>
      <c r="R217" s="5"/>
      <c r="S217" s="5"/>
      <c r="T217" s="5"/>
      <c r="U217" s="5"/>
      <c r="V217" s="5"/>
      <c r="W217" s="5"/>
      <c r="X217" s="5"/>
      <c r="Y217" s="5"/>
      <c r="Z217" s="5"/>
      <c r="AA217" s="5"/>
      <c r="AB217" s="5"/>
      <c r="AC217" s="47"/>
    </row>
    <row r="218" hidden="1">
      <c r="A218" s="76" t="str">
        <f t="array" ref="A218:A219">{"FormulaRow17";(INDEX(CLASSLIST,A185,1))}</f>
        <v>FormulaRow17</v>
      </c>
      <c r="B218" s="77" t="s">
        <v>236</v>
      </c>
      <c r="C218" s="76" t="str">
        <f t="array" ref="C218:C219">{"CLASSTYPE";((INDEX(ALLCLASSDATA,MATCH("ClassType",CLASSFEATUREHEADERS,0),MATCH($A219,CLASSNAMEHEADERS,0))))}</f>
        <v>CLASSTYPE</v>
      </c>
      <c r="D218" s="76" t="str">
        <f t="array" ref="D218:D219">{"CLASSABILITYPTS";"ClassAbilityPts"}</f>
        <v>CLASSABILITYPTS</v>
      </c>
      <c r="E218" s="76" t="str">
        <f t="array" ref="E218:E219">{"SUBCLASSABILITY1";"SubclassAbility1"}</f>
        <v>SUBCLASSABILITY1</v>
      </c>
      <c r="F218" s="76"/>
      <c r="G218" s="76"/>
      <c r="H218" s="76"/>
      <c r="I218" s="76"/>
      <c r="J218" s="76" t="str">
        <f t="array" ref="J218:J219">{"SUBCLASSABILITY1-L03PTS";((INDEX(ALLCLASSDATA,MATCH("SubclassAbility1-L03",CLASSFEATUREHEADERS,0),MATCH(($A219 &amp; "Points"),CLASSNAMEHEADERS,0))))}</f>
        <v>SUBCLASSABILITY1-L03PTS</v>
      </c>
      <c r="K218" s="76"/>
      <c r="L218" s="76" t="str">
        <f t="array" ref="L218:L219">{"SUBCLASSABILITY1-L05PTS";((INDEX(ALLCLASSDATA,MATCH("SubclassAbility1-L05",CLASSFEATUREHEADERS,0),MATCH(($A219 &amp; "Points"),CLASSNAMEHEADERS,0))))}</f>
        <v>SUBCLASSABILITY1-L05PTS</v>
      </c>
      <c r="M218" s="76"/>
      <c r="N218" s="76" t="str">
        <f t="array" ref="N218:N219">{"SUBCLASSABILITY1-L07PTS";((INDEX(ALLCLASSDATA,MATCH("SubclassAbility1-L07",CLASSFEATUREHEADERS,0),MATCH(($A219 &amp; "Points"),CLASSNAMEHEADERS,0))))}</f>
        <v>SUBCLASSABILITY1-L07PTS</v>
      </c>
      <c r="O218" s="76"/>
      <c r="P218" s="76" t="str">
        <f t="array" ref="P218:P219">{"SUBCLASSABILITY1-L09PTS";((INDEX(ALLCLASSDATA,MATCH("SubclassAbility1-L09",CLASSFEATUREHEADERS,0),MATCH(($A219 &amp; "Points"),CLASSNAMEHEADERS,0))))}</f>
        <v>SUBCLASSABILITY1-L09PTS</v>
      </c>
      <c r="Q218" s="76"/>
      <c r="R218" s="76" t="str">
        <f t="array" ref="R218:R219">{"SUBCLASSABILITY1-L11PTS";((INDEX(ALLCLASSDATA,MATCH("SubclassAbility1-L11",CLASSFEATUREHEADERS,0),MATCH(($A219 &amp; "Points"),CLASSNAMEHEADERS,0))))}</f>
        <v>SUBCLASSABILITY1-L11PTS</v>
      </c>
      <c r="S218" s="76"/>
      <c r="T218" s="76" t="str">
        <f t="array" ref="T218:T219">{"SUBCLASSABILITY1-L13PTS";((INDEX(ALLCLASSDATA,MATCH("SubclassAbility1-L13",CLASSFEATUREHEADERS,0),MATCH(($A219 &amp; "Points"),CLASSNAMEHEADERS,0))))}</f>
        <v>SUBCLASSABILITY1-L13PTS</v>
      </c>
      <c r="U218" s="76"/>
      <c r="V218" s="76" t="str">
        <f t="array" ref="V218:V219">{"SUBCLASSABILITY1-L15PTS";((INDEX(ALLCLASSDATA,MATCH("SubclassAbility1-L15",CLASSFEATUREHEADERS,0),MATCH(($A219 &amp; "Points"),CLASSNAMEHEADERS,0))))}</f>
        <v>SUBCLASSABILITY1-L15PTS</v>
      </c>
      <c r="W218" s="76"/>
      <c r="X218" s="76" t="str">
        <f t="array" ref="X218:X219">{"SUBCLASSABILITY1-L17PTS";((INDEX(ALLCLASSDATA,MATCH("SubclassAbility1-L17",CLASSFEATUREHEADERS,0),MATCH(($A219 &amp; "Points"),CLASSNAMEHEADERS,0))))}</f>
        <v>SUBCLASSABILITY1-L17PTS</v>
      </c>
      <c r="Y218" s="76"/>
      <c r="Z218" s="76" t="str">
        <f t="array" ref="Z218:Z219">{"SUBCLASSABILITY1-L19PTS";((INDEX(ALLCLASSDATA,MATCH("SubclassAbility1-L19",CLASSFEATUREHEADERS,0),MATCH(($A219 &amp; "Points"),CLASSNAMEHEADERS,0))))}</f>
        <v>SUBCLASSABILITY1-L19PTS</v>
      </c>
      <c r="AA218" s="76"/>
      <c r="AB218" s="76"/>
      <c r="AC218" s="76" t="str">
        <f t="array" ref="AC218:AC219">{"SUBCLASSABILITY1 TOTAL";(sum(G219:AA219))}</f>
        <v>SUBCLASSABILITY1 TOTAL</v>
      </c>
    </row>
    <row r="219">
      <c r="A219" s="48" t="s">
        <v>109</v>
      </c>
      <c r="B219" s="48"/>
      <c r="C219" s="48" t="s">
        <v>406</v>
      </c>
      <c r="D219" s="48" t="s">
        <v>930</v>
      </c>
      <c r="E219" s="28" t="s">
        <v>1355</v>
      </c>
      <c r="F219" s="5"/>
      <c r="G219" s="47"/>
      <c r="H219" s="5"/>
      <c r="I219" s="5"/>
      <c r="J219" s="5"/>
      <c r="K219" s="5"/>
      <c r="L219" s="5"/>
      <c r="M219" s="5"/>
      <c r="N219" s="5"/>
      <c r="O219" s="5"/>
      <c r="P219" s="5"/>
      <c r="Q219" s="5"/>
      <c r="R219" s="5"/>
      <c r="S219" s="5"/>
      <c r="T219" s="5"/>
      <c r="U219" s="5"/>
      <c r="V219" s="5"/>
      <c r="W219" s="5"/>
      <c r="X219" s="5"/>
      <c r="Y219" s="5"/>
      <c r="Z219" s="5"/>
      <c r="AA219" s="5"/>
      <c r="AB219" s="5"/>
      <c r="AC219" s="47">
        <v>0.0</v>
      </c>
    </row>
    <row r="220" hidden="1">
      <c r="A220" s="76" t="str">
        <f t="array" ref="A220:A221">{"FormulaRow18";(INDEX(CLASSLIST,A185,1))}</f>
        <v>FormulaRow18</v>
      </c>
      <c r="B220" s="77" t="s">
        <v>236</v>
      </c>
      <c r="C220" s="76" t="str">
        <f t="array" ref="C220:C221">{"CLASSTYPE";((INDEX(ALLCLASSDATA,MATCH("ClassType",CLASSFEATUREHEADERS,0),MATCH($A221,CLASSNAMEHEADERS,0))))}</f>
        <v>CLASSTYPE</v>
      </c>
      <c r="D220" s="76" t="str">
        <f t="array" ref="D220:D221">{"CLASSABILITY";"ClassAbility"}</f>
        <v>CLASSABILITY</v>
      </c>
      <c r="E220" s="76" t="str">
        <f t="array" ref="E220:E221">{"SUBCLASSABILITY2";"SubclassAbility2"}</f>
        <v>SUBCLASSABILITY2</v>
      </c>
      <c r="F220" s="76"/>
      <c r="G220" s="76"/>
      <c r="H220" s="76"/>
      <c r="I220" s="76"/>
      <c r="J220" s="76" t="str">
        <f t="array" ref="J220:J221">{"SUBCLASSABILITY2-L03";((INDEX(ALLCLASSDATA,MATCH("SubclassAbility2-L03",CLASSFEATUREHEADERS,0),MATCH(($A221),CLASSNAMEHEADERS,0))))}</f>
        <v>SUBCLASSABILITY2-L03</v>
      </c>
      <c r="K220" s="76"/>
      <c r="L220" s="76" t="str">
        <f t="array" ref="L220:L221">{"SUBCLASSABILITY2-L05";((INDEX(ALLCLASSDATA,MATCH("SubclassAbility2-L05",CLASSFEATUREHEADERS,0),MATCH(($A221),CLASSNAMEHEADERS,0))))}</f>
        <v>SUBCLASSABILITY2-L05</v>
      </c>
      <c r="M220" s="76"/>
      <c r="N220" s="76" t="str">
        <f t="array" ref="N220:N221">{"SUBCLASSABILITY2-L07";((INDEX(ALLCLASSDATA,MATCH("SubclassAbility2-L07",CLASSFEATUREHEADERS,0),MATCH(($A221),CLASSNAMEHEADERS,0))))}</f>
        <v>SUBCLASSABILITY2-L07</v>
      </c>
      <c r="O220" s="76"/>
      <c r="P220" s="76" t="str">
        <f t="array" ref="P220:P221">{"SUBCLASSABILITY2-L09";((INDEX(ALLCLASSDATA,MATCH("SubclassAbility2-L09",CLASSFEATUREHEADERS,0),MATCH(($A221),CLASSNAMEHEADERS,0))))}</f>
        <v>SUBCLASSABILITY2-L09</v>
      </c>
      <c r="Q220" s="76"/>
      <c r="R220" s="76" t="str">
        <f t="array" ref="R220:R221">{"SUBCLASSABILITY2-L11";((INDEX(ALLCLASSDATA,MATCH("SubclassAbility2-L11",CLASSFEATUREHEADERS,0),MATCH(($A221),CLASSNAMEHEADERS,0))))}</f>
        <v>SUBCLASSABILITY2-L11</v>
      </c>
      <c r="S220" s="76"/>
      <c r="T220" s="76" t="str">
        <f t="array" ref="T220:T221">{"SUBCLASSABILITY2-L13";((INDEX(ALLCLASSDATA,MATCH("SubclassAbility2-L13",CLASSFEATUREHEADERS,0),MATCH(($A221),CLASSNAMEHEADERS,0))))}</f>
        <v>SUBCLASSABILITY2-L13</v>
      </c>
      <c r="U220" s="76"/>
      <c r="V220" s="76" t="str">
        <f t="array" ref="V220:V221">{"SUBCLASSABILITY2-L15";((INDEX(ALLCLASSDATA,MATCH("SubclassAbility2-L15",CLASSFEATUREHEADERS,0),MATCH(($A221),CLASSNAMEHEADERS,0))))}</f>
        <v>SUBCLASSABILITY2-L15</v>
      </c>
      <c r="W220" s="76"/>
      <c r="X220" s="76" t="str">
        <f t="array" ref="X220:X221">{"SUBCLASSABILITY2-L17";((INDEX(ALLCLASSDATA,MATCH("SubclassAbility2-L17",CLASSFEATUREHEADERS,0),MATCH(($A221),CLASSNAMEHEADERS,0))))}</f>
        <v>SUBCLASSABILITY2-L17</v>
      </c>
      <c r="Y220" s="76"/>
      <c r="Z220" s="76" t="str">
        <f t="array" ref="Z220:Z221">{"SUBCLASSABILITY2-L19";((INDEX(ALLCLASSDATA,MATCH("SubclassAbility2-L19",CLASSFEATUREHEADERS,0),MATCH(($A221),CLASSNAMEHEADERS,0))))}</f>
        <v>SUBCLASSABILITY2-L19</v>
      </c>
      <c r="AA220" s="76"/>
      <c r="AB220" s="76"/>
      <c r="AC220" s="76"/>
    </row>
    <row r="221">
      <c r="A221" s="48" t="s">
        <v>109</v>
      </c>
      <c r="B221" s="48"/>
      <c r="C221" s="48" t="s">
        <v>406</v>
      </c>
      <c r="D221" s="48" t="s">
        <v>825</v>
      </c>
      <c r="E221" s="28" t="s">
        <v>1370</v>
      </c>
      <c r="F221" s="5"/>
      <c r="G221" s="47"/>
      <c r="H221" s="5"/>
      <c r="I221" s="5"/>
      <c r="J221" s="5"/>
      <c r="K221" s="5"/>
      <c r="L221" s="5"/>
      <c r="M221" s="5"/>
      <c r="N221" s="5"/>
      <c r="O221" s="5"/>
      <c r="P221" s="5"/>
      <c r="Q221" s="5"/>
      <c r="R221" s="5"/>
      <c r="S221" s="5"/>
      <c r="T221" s="5"/>
      <c r="U221" s="5"/>
      <c r="V221" s="5"/>
      <c r="W221" s="5"/>
      <c r="X221" s="5"/>
      <c r="Y221" s="5"/>
      <c r="Z221" s="5"/>
      <c r="AA221" s="5"/>
      <c r="AB221" s="5"/>
      <c r="AC221" s="47"/>
    </row>
    <row r="222" hidden="1">
      <c r="A222" s="76" t="str">
        <f t="array" ref="A222:A223">{"FormulaRow19";(INDEX(CLASSLIST,A185,1))}</f>
        <v>FormulaRow19</v>
      </c>
      <c r="B222" s="77" t="s">
        <v>236</v>
      </c>
      <c r="C222" s="76" t="str">
        <f t="array" ref="C222:C223">{"CLASSTYPE";((INDEX(ALLCLASSDATA,MATCH("ClassType",CLASSFEATUREHEADERS,0),MATCH($A223,CLASSNAMEHEADERS,0))))}</f>
        <v>CLASSTYPE</v>
      </c>
      <c r="D222" s="76" t="str">
        <f t="array" ref="D222:D223">{"CLASSABILITYPTS";"ClassAbilityPts"}</f>
        <v>CLASSABILITYPTS</v>
      </c>
      <c r="E222" s="76" t="str">
        <f t="array" ref="E222:E223">{"SUBCLASSABILITY2";"SubclassAbility2"}</f>
        <v>SUBCLASSABILITY2</v>
      </c>
      <c r="F222" s="76"/>
      <c r="G222" s="76"/>
      <c r="H222" s="76"/>
      <c r="I222" s="76"/>
      <c r="J222" s="76" t="str">
        <f t="array" ref="J222:J223">{"SUBCLASSABILITY2-L03PTS";((INDEX(ALLCLASSDATA,MATCH("SubclassAbility2-L03",CLASSFEATUREHEADERS,0),MATCH(($A223 &amp; "Points"),CLASSNAMEHEADERS,0))))}</f>
        <v>SUBCLASSABILITY2-L03PTS</v>
      </c>
      <c r="K222" s="76"/>
      <c r="L222" s="76" t="str">
        <f t="array" ref="L222:L223">{"SUBCLASSABILITY2-L05PTS";((INDEX(ALLCLASSDATA,MATCH("SubclassAbility2-L05",CLASSFEATUREHEADERS,0),MATCH(($A223 &amp; "Points"),CLASSNAMEHEADERS,0))))}</f>
        <v>SUBCLASSABILITY2-L05PTS</v>
      </c>
      <c r="M222" s="76"/>
      <c r="N222" s="76" t="str">
        <f t="array" ref="N222:N223">{"SUBCLASSABILITY2-L07PTS";((INDEX(ALLCLASSDATA,MATCH("SubclassAbility2-L07",CLASSFEATUREHEADERS,0),MATCH(($A223 &amp; "Points"),CLASSNAMEHEADERS,0))))}</f>
        <v>SUBCLASSABILITY2-L07PTS</v>
      </c>
      <c r="O222" s="76"/>
      <c r="P222" s="76" t="str">
        <f t="array" ref="P222:P223">{"SUBCLASSABILITY2-L09PTS";((INDEX(ALLCLASSDATA,MATCH("SubclassAbility2-L09",CLASSFEATUREHEADERS,0),MATCH(($A223 &amp; "Points"),CLASSNAMEHEADERS,0))))}</f>
        <v>SUBCLASSABILITY2-L09PTS</v>
      </c>
      <c r="Q222" s="76"/>
      <c r="R222" s="76" t="str">
        <f t="array" ref="R222:R223">{"SUBCLASSABILITY2-L11PTS";((INDEX(ALLCLASSDATA,MATCH("SubclassAbility2-L11",CLASSFEATUREHEADERS,0),MATCH(($A223 &amp; "Points"),CLASSNAMEHEADERS,0))))}</f>
        <v>SUBCLASSABILITY2-L11PTS</v>
      </c>
      <c r="S222" s="76"/>
      <c r="T222" s="76" t="str">
        <f t="array" ref="T222:T223">{"SUBCLASSABILITY2-L13PTS";((INDEX(ALLCLASSDATA,MATCH("SubclassAbility2-L13",CLASSFEATUREHEADERS,0),MATCH(($A223 &amp; "Points"),CLASSNAMEHEADERS,0))))}</f>
        <v>SUBCLASSABILITY2-L13PTS</v>
      </c>
      <c r="U222" s="76"/>
      <c r="V222" s="76" t="str">
        <f t="array" ref="V222:V223">{"SUBCLASSABILITY2-L15PTS";((INDEX(ALLCLASSDATA,MATCH("SubclassAbility2-L15",CLASSFEATUREHEADERS,0),MATCH(($A223 &amp; "Points"),CLASSNAMEHEADERS,0))))}</f>
        <v>SUBCLASSABILITY2-L15PTS</v>
      </c>
      <c r="W222" s="76"/>
      <c r="X222" s="76" t="str">
        <f t="array" ref="X222:X223">{"SUBCLASSABILITY2-L17PTS";((INDEX(ALLCLASSDATA,MATCH("SubclassAbility2-L17",CLASSFEATUREHEADERS,0),MATCH(($A223 &amp; "Points"),CLASSNAMEHEADERS,0))))}</f>
        <v>SUBCLASSABILITY2-L17PTS</v>
      </c>
      <c r="Y222" s="76"/>
      <c r="Z222" s="76" t="str">
        <f t="array" ref="Z222:Z223">{"SUBCLASSABILITY2-L19PTS";((INDEX(ALLCLASSDATA,MATCH("SubclassAbility2-L19",CLASSFEATUREHEADERS,0),MATCH(($A223 &amp; "Points"),CLASSNAMEHEADERS,0))))}</f>
        <v>SUBCLASSABILITY2-L19PTS</v>
      </c>
      <c r="AA222" s="76"/>
      <c r="AB222" s="76"/>
      <c r="AC222" s="76" t="str">
        <f t="array" ref="AC222:AC223">{"SUBCLASSABILITY2 TOTAL";(sum(G223:AA223))}</f>
        <v>SUBCLASSABILITY2 TOTAL</v>
      </c>
    </row>
    <row r="223">
      <c r="A223" s="48" t="s">
        <v>109</v>
      </c>
      <c r="B223" s="48"/>
      <c r="C223" s="48" t="s">
        <v>406</v>
      </c>
      <c r="D223" s="97" t="s">
        <v>930</v>
      </c>
      <c r="E223" s="215" t="s">
        <v>1370</v>
      </c>
      <c r="F223" s="98"/>
      <c r="G223" s="132"/>
      <c r="H223" s="98"/>
      <c r="I223" s="98"/>
      <c r="J223" s="98"/>
      <c r="K223" s="98"/>
      <c r="L223" s="98"/>
      <c r="M223" s="98"/>
      <c r="N223" s="98"/>
      <c r="O223" s="98"/>
      <c r="P223" s="98"/>
      <c r="Q223" s="98"/>
      <c r="R223" s="98"/>
      <c r="S223" s="98"/>
      <c r="T223" s="98"/>
      <c r="U223" s="98"/>
      <c r="V223" s="98"/>
      <c r="W223" s="98"/>
      <c r="X223" s="98"/>
      <c r="Y223" s="98"/>
      <c r="Z223" s="98"/>
      <c r="AA223" s="98"/>
      <c r="AB223" s="5"/>
      <c r="AC223" s="47">
        <v>0.0</v>
      </c>
    </row>
    <row r="224" hidden="1">
      <c r="A224" s="76" t="str">
        <f t="array" ref="A224:A225">{"FormulaRow20";(INDEX(CLASSLIST,A185,1))}</f>
        <v>FormulaRow20</v>
      </c>
      <c r="B224" s="77" t="s">
        <v>236</v>
      </c>
      <c r="C224" s="76" t="str">
        <f t="array" ref="C224:C225">{"CLASSTYPE";((INDEX(ALLCLASSDATA,MATCH("ClassType",CLASSFEATUREHEADERS,0),MATCH($A225,CLASSNAMEHEADERS,0))))}</f>
        <v>CLASSTYPE</v>
      </c>
      <c r="D224" s="81" t="str">
        <f t="array" ref="D224:D225">{"DC";"DC"}</f>
        <v>DC</v>
      </c>
      <c r="E224" s="81" t="str">
        <f t="array" ref="E224:E225">{"CLASSDC";"ClassDC"}</f>
        <v>CLASSDC</v>
      </c>
      <c r="F224" s="81" t="str">
        <f t="array" ref="F224:F225">{"CLASSDCINITIAL";((IF(H225=10,"T",(IF(H225=50,"E","")))))}</f>
        <v>CLASSDCINITIAL</v>
      </c>
      <c r="G224" s="81" t="str">
        <f t="array" ref="G224:G225">{"CLASSDCINITIALPTS";((IF("00"=(INDEX(ALLCLASSDATA,MATCH("ClassDCLegendary",CLASSFEATUREHEADERS,0),MATCH($A225,CLASSNAMEHEADERS,0))),(INDEX(ALLCLASSDATA,MATCH("ClassDCLegendary",CLASSFEATUREHEADERS,0),MATCH(($A225 &amp; "Points"),CLASSNAMEHEADERS,0))),(IF("00"=(INDEX(ALLCLASSDATA,MATCH("ClassDCMaster",CLASSFEATUREHEADERS,0),MATCH($A225,CLASSNAMEHEADERS,0))),(INDEX(ALLCLASSDATA,MATCH("ClassDCMaster",CLASSFEATUREHEADERS,0),MATCH(($A225 &amp; "Points"),CLASSNAMEHEADERS,0))),(IF("00"=(INDEX(ALLCLASSDATA,MATCH("ClassDCExpert",CLASSFEATUREHEADERS,0),MATCH($A225,CLASSNAMEHEADERS,0))),(INDEX(ALLCLASSDATA,MATCH("ClassDCExpert",CLASSFEATUREHEADERS,0),MATCH(($A225 &amp; "Points"),CLASSNAMEHEADERS,0))),(IF("00"=(INDEX(ALLCLASSDATA,MATCH("ClassDCTrained",CLASSFEATUREHEADERS,0),MATCH($A225,CLASSNAMEHEADERS,0))),(INDEX(ALLCLASSDATA,MATCH("ClassDCTrained",CLASSFEATUREHEADERS,0),MATCH(($A225 &amp; "Points"),CLASSNAMEHEADERS,0))),"")))))))))}</f>
        <v>CLASSDCINITIALPTS</v>
      </c>
      <c r="H224" s="81" t="str">
        <f t="array" ref="H224:H225">{"CLASSDCL01";((IF("01"=(INDEX(ALLCLASSDATA,MATCH("ClassDCLegendary",CLASSFEATUREHEADERS,0),MATCH($A225,CLASSNAMEHEADERS,0))),(INDEX(ALLCLASSDATA,MATCH("ClassDCLegendary",CLASSFEATUREHEADERS,0),MATCH(($A225 &amp; "Points"),CLASSNAMEHEADERS,0))),(IF("01"=(INDEX(ALLCLASSDATA,MATCH("ClassDCMaster",CLASSFEATUREHEADERS,0),MATCH($A225,CLASSNAMEHEADERS,0))),(INDEX(ALLCLASSDATA,MATCH("ClassDCMaster",CLASSFEATUREHEADERS,0),MATCH(($A225 &amp; "Points"),CLASSNAMEHEADERS,0))),(IF("01"=(INDEX(ALLCLASSDATA,MATCH("ClassDCExpert",CLASSFEATUREHEADERS,0),MATCH($A225,CLASSNAMEHEADERS,0))),(INDEX(ALLCLASSDATA,MATCH("ClassDCExpert",CLASSFEATUREHEADERS,0),MATCH(($A225 &amp; "Points"),CLASSNAMEHEADERS,0))),(IF("01"=(INDEX(ALLCLASSDATA,MATCH("ClassDCTrained",CLASSFEATUREHEADERS,0),MATCH($A225,CLASSNAMEHEADERS,0))),(INDEX(ALLCLASSDATA,MATCH("ClassDCTrained",CLASSFEATUREHEADERS,0),MATCH(($A225 &amp; "Points"),CLASSNAMEHEADERS,0))),"")))))))))}</f>
        <v>CLASSDCL01</v>
      </c>
      <c r="I224" s="81"/>
      <c r="J224" s="81" t="str">
        <f t="array" ref="J224:J225">{"CLASSDCL03";((IF("03"=(INDEX(ALLCLASSDATA,MATCH("ClassDCLegendary",CLASSFEATUREHEADERS,0),MATCH($A225,CLASSNAMEHEADERS,0))),(INDEX(ALLCLASSDATA,MATCH("ClassDCLegendary",CLASSFEATUREHEADERS,0),MATCH(($A225 &amp; "Points"),CLASSNAMEHEADERS,0))),(IF("03"=(INDEX(ALLCLASSDATA,MATCH("ClassDCMaster",CLASSFEATUREHEADERS,0),MATCH($A225,CLASSNAMEHEADERS,0))),(INDEX(ALLCLASSDATA,MATCH("ClassDCMaster",CLASSFEATUREHEADERS,0),MATCH(($A225 &amp; "Points"),CLASSNAMEHEADERS,0))),(IF("03"=(INDEX(ALLCLASSDATA,MATCH("ClassDCExpert",CLASSFEATUREHEADERS,0),MATCH($A225,CLASSNAMEHEADERS,0))),(INDEX(ALLCLASSDATA,MATCH("ClassDCExpert",CLASSFEATUREHEADERS,0),MATCH(($A225 &amp; "Points"),CLASSNAMEHEADERS,0))),(IF("03"=(INDEX(ALLCLASSDATA,MATCH("ClassDCTrained",CLASSFEATUREHEADERS,0),MATCH($A225,CLASSNAMEHEADERS,0))),(INDEX(ALLCLASSDATA,MATCH("ClassDCTrained",CLASSFEATUREHEADERS,0),MATCH(($A225 &amp; "Points"),CLASSNAMEHEADERS,0))),"")))))))))}</f>
        <v>CLASSDCL03</v>
      </c>
      <c r="K224" s="81"/>
      <c r="L224" s="81" t="str">
        <f t="array" ref="L224:L225">{"CLASSDCL05";((IF("05"=(INDEX(ALLCLASSDATA,MATCH("ClassDCLegendary",CLASSFEATUREHEADERS,0),MATCH($A225,CLASSNAMEHEADERS,0))),(INDEX(ALLCLASSDATA,MATCH("ClassDCLegendary",CLASSFEATUREHEADERS,0),MATCH(($A225 &amp; "Points"),CLASSNAMEHEADERS,0))),(IF("05"=(INDEX(ALLCLASSDATA,MATCH("ClassDCMaster",CLASSFEATUREHEADERS,0),MATCH($A225,CLASSNAMEHEADERS,0))),(INDEX(ALLCLASSDATA,MATCH("ClassDCMaster",CLASSFEATUREHEADERS,0),MATCH(($A225 &amp; "Points"),CLASSNAMEHEADERS,0))),(IF("05"=(INDEX(ALLCLASSDATA,MATCH("ClassDCExpert",CLASSFEATUREHEADERS,0),MATCH($A225,CLASSNAMEHEADERS,0))),(INDEX(ALLCLASSDATA,MATCH("ClassDCExpert",CLASSFEATUREHEADERS,0),MATCH(($A225 &amp; "Points"),CLASSNAMEHEADERS,0))),(IF("05"=(INDEX(ALLCLASSDATA,MATCH("ClassDCTrained",CLASSFEATUREHEADERS,0),MATCH($A225,CLASSNAMEHEADERS,0))),(INDEX(ALLCLASSDATA,MATCH("ClassDCTrained",CLASSFEATUREHEADERS,0),MATCH(($A225 &amp; "Points"),CLASSNAMEHEADERS,0))),"")))))))))}</f>
        <v>CLASSDCL05</v>
      </c>
      <c r="M224" s="81"/>
      <c r="N224" s="81" t="str">
        <f t="array" ref="N224:N225">{"CLASSDCL07";((IF("07"=(INDEX(ALLCLASSDATA,MATCH("ClassDCLegendary",CLASSFEATUREHEADERS,0),MATCH($A225,CLASSNAMEHEADERS,0))),(INDEX(ALLCLASSDATA,MATCH("ClassDCLegendary",CLASSFEATUREHEADERS,0),MATCH(($A225 &amp; "Points"),CLASSNAMEHEADERS,0))),(IF("07"=(INDEX(ALLCLASSDATA,MATCH("ClassDCMaster",CLASSFEATUREHEADERS,0),MATCH($A225,CLASSNAMEHEADERS,0))),(INDEX(ALLCLASSDATA,MATCH("ClassDCMaster",CLASSFEATUREHEADERS,0),MATCH(($A225 &amp; "Points"),CLASSNAMEHEADERS,0))),(IF("07"=(INDEX(ALLCLASSDATA,MATCH("ClassDCExpert",CLASSFEATUREHEADERS,0),MATCH($A225,CLASSNAMEHEADERS,0))),(INDEX(ALLCLASSDATA,MATCH("ClassDCExpert",CLASSFEATUREHEADERS,0),MATCH(($A225 &amp; "Points"),CLASSNAMEHEADERS,0))),(IF("07"=(INDEX(ALLCLASSDATA,MATCH("ClassDCTrained",CLASSFEATUREHEADERS,0),MATCH($A225,CLASSNAMEHEADERS,0))),(INDEX(ALLCLASSDATA,MATCH("ClassDCTrained",CLASSFEATUREHEADERS,0),MATCH(($A225 &amp; "Points"),CLASSNAMEHEADERS,0))),"")))))))))}</f>
        <v>CLASSDCL07</v>
      </c>
      <c r="O224" s="81"/>
      <c r="P224" s="81" t="str">
        <f t="array" ref="P224:P225">{"CLASSDCL09";((IF("09"=(INDEX(ALLCLASSDATA,MATCH("ClassDCLegendary",CLASSFEATUREHEADERS,0),MATCH($A225,CLASSNAMEHEADERS,0))),(INDEX(ALLCLASSDATA,MATCH("ClassDCLegendary",CLASSFEATUREHEADERS,0),MATCH(($A225 &amp; "Points"),CLASSNAMEHEADERS,0))),(IF("09"=(INDEX(ALLCLASSDATA,MATCH("ClassDCMaster",CLASSFEATUREHEADERS,0),MATCH($A225,CLASSNAMEHEADERS,0))),(INDEX(ALLCLASSDATA,MATCH("ClassDCMaster",CLASSFEATUREHEADERS,0),MATCH(($A225 &amp; "Points"),CLASSNAMEHEADERS,0))),(IF("09"=(INDEX(ALLCLASSDATA,MATCH("ClassDCExpert",CLASSFEATUREHEADERS,0),MATCH($A225,CLASSNAMEHEADERS,0))),(INDEX(ALLCLASSDATA,MATCH("ClassDCExpert",CLASSFEATUREHEADERS,0),MATCH(($A225 &amp; "Points"),CLASSNAMEHEADERS,0))),(IF("09"=(INDEX(ALLCLASSDATA,MATCH("ClassDCTrained",CLASSFEATUREHEADERS,0),MATCH($A225,CLASSNAMEHEADERS,0))),(INDEX(ALLCLASSDATA,MATCH("ClassDCTrained",CLASSFEATUREHEADERS,0),MATCH(($A225 &amp; "Points"),CLASSNAMEHEADERS,0))),"")))))))))}</f>
        <v>CLASSDCL09</v>
      </c>
      <c r="Q224" s="81"/>
      <c r="R224" s="81" t="str">
        <f t="array" ref="R224:R225">{"CLASSDCL11";((IF("11"=(INDEX(ALLCLASSDATA,MATCH("ClassDCLegendary",CLASSFEATUREHEADERS,0),MATCH($A225,CLASSNAMEHEADERS,0))),(INDEX(ALLCLASSDATA,MATCH("ClassDCLegendary",CLASSFEATUREHEADERS,0),MATCH(($A225 &amp; "Points"),CLASSNAMEHEADERS,0))),(IF("11"=(INDEX(ALLCLASSDATA,MATCH("ClassDCMaster",CLASSFEATUREHEADERS,0),MATCH($A225,CLASSNAMEHEADERS,0))),(INDEX(ALLCLASSDATA,MATCH("ClassDCMaster",CLASSFEATUREHEADERS,0),MATCH(($A225 &amp; "Points"),CLASSNAMEHEADERS,0))),(IF("11"=(INDEX(ALLCLASSDATA,MATCH("ClassDCExpert",CLASSFEATUREHEADERS,0),MATCH($A225,CLASSNAMEHEADERS,0))),(INDEX(ALLCLASSDATA,MATCH("ClassDCExpert",CLASSFEATUREHEADERS,0),MATCH(($A225 &amp; "Points"),CLASSNAMEHEADERS,0))),(IF("11"=(INDEX(ALLCLASSDATA,MATCH("ClassDCTrained",CLASSFEATUREHEADERS,0),MATCH($A225,CLASSNAMEHEADERS,0))),(INDEX(ALLCLASSDATA,MATCH("ClassDCTrained",CLASSFEATUREHEADERS,0),MATCH(($A225 &amp; "Points"),CLASSNAMEHEADERS,0))),"")))))))))}</f>
        <v>CLASSDCL11</v>
      </c>
      <c r="S224" s="81"/>
      <c r="T224" s="81" t="str">
        <f t="array" ref="T224:T225">{"CLASSDCL13";((IF("13"=(INDEX(ALLCLASSDATA,MATCH("ClassDCLegendary",CLASSFEATUREHEADERS,0),MATCH($A225,CLASSNAMEHEADERS,0))),(INDEX(ALLCLASSDATA,MATCH("ClassDCLegendary",CLASSFEATUREHEADERS,0),MATCH(($A225 &amp; "Points"),CLASSNAMEHEADERS,0))),(IF("13"=(INDEX(ALLCLASSDATA,MATCH("ClassDCMaster",CLASSFEATUREHEADERS,0),MATCH($A225,CLASSNAMEHEADERS,0))),(INDEX(ALLCLASSDATA,MATCH("ClassDCMaster",CLASSFEATUREHEADERS,0),MATCH(($A225 &amp; "Points"),CLASSNAMEHEADERS,0))),(IF("13"=(INDEX(ALLCLASSDATA,MATCH("ClassDCExpert",CLASSFEATUREHEADERS,0),MATCH($A225,CLASSNAMEHEADERS,0))),(INDEX(ALLCLASSDATA,MATCH("ClassDCExpert",CLASSFEATUREHEADERS,0),MATCH(($A225 &amp; "Points"),CLASSNAMEHEADERS,0))),(IF("13"=(INDEX(ALLCLASSDATA,MATCH("ClassDCTrained",CLASSFEATUREHEADERS,0),MATCH($A225,CLASSNAMEHEADERS,0))),(INDEX(ALLCLASSDATA,MATCH("ClassDCTrained",CLASSFEATUREHEADERS,0),MATCH(($A225 &amp; "Points"),CLASSNAMEHEADERS,0))),"")))))))))}</f>
        <v>CLASSDCL13</v>
      </c>
      <c r="U224" s="81"/>
      <c r="V224" s="81" t="str">
        <f t="array" ref="V224:V225">{"CLASSDCL15";((IF("15"=(INDEX(ALLCLASSDATA,MATCH("ClassDCLegendary",CLASSFEATUREHEADERS,0),MATCH($A225,CLASSNAMEHEADERS,0))),(INDEX(ALLCLASSDATA,MATCH("ClassDCLegendary",CLASSFEATUREHEADERS,0),MATCH(($A225 &amp; "Points"),CLASSNAMEHEADERS,0))),(IF("15"=(INDEX(ALLCLASSDATA,MATCH("ClassDCMaster",CLASSFEATUREHEADERS,0),MATCH($A225,CLASSNAMEHEADERS,0))),(INDEX(ALLCLASSDATA,MATCH("ClassDCMaster",CLASSFEATUREHEADERS,0),MATCH(($A225 &amp; "Points"),CLASSNAMEHEADERS,0))),(IF("15"=(INDEX(ALLCLASSDATA,MATCH("ClassDCExpert",CLASSFEATUREHEADERS,0),MATCH($A225,CLASSNAMEHEADERS,0))),(INDEX(ALLCLASSDATA,MATCH("ClassDCExpert",CLASSFEATUREHEADERS,0),MATCH(($A225 &amp; "Points"),CLASSNAMEHEADERS,0))),(IF("15"=(INDEX(ALLCLASSDATA,MATCH("ClassDCTrained",CLASSFEATUREHEADERS,0),MATCH($A225,CLASSNAMEHEADERS,0))),(INDEX(ALLCLASSDATA,MATCH("ClassDCTrained",CLASSFEATUREHEADERS,0),MATCH(($A225 &amp; "Points"),CLASSNAMEHEADERS,0))),"")))))))))}</f>
        <v>CLASSDCL15</v>
      </c>
      <c r="W224" s="81"/>
      <c r="X224" s="81" t="str">
        <f t="array" ref="X224:X225">{"CLASSDCL17";((IF("17"=(INDEX(ALLCLASSDATA,MATCH("ClassDCLegendary",CLASSFEATUREHEADERS,0),MATCH($A225,CLASSNAMEHEADERS,0))),(INDEX(ALLCLASSDATA,MATCH("ClassDCLegendary",CLASSFEATUREHEADERS,0),MATCH(($A225 &amp; "Points"),CLASSNAMEHEADERS,0))),(IF("17"=(INDEX(ALLCLASSDATA,MATCH("ClassDCMaster",CLASSFEATUREHEADERS,0),MATCH($A225,CLASSNAMEHEADERS,0))),(INDEX(ALLCLASSDATA,MATCH("ClassDCMaster",CLASSFEATUREHEADERS,0),MATCH(($A225 &amp; "Points"),CLASSNAMEHEADERS,0))),(IF("17"=(INDEX(ALLCLASSDATA,MATCH("ClassDCExpert",CLASSFEATUREHEADERS,0),MATCH($A225,CLASSNAMEHEADERS,0))),(INDEX(ALLCLASSDATA,MATCH("ClassDCExpert",CLASSFEATUREHEADERS,0),MATCH(($A225 &amp; "Points"),CLASSNAMEHEADERS,0))),(IF("17"=(INDEX(ALLCLASSDATA,MATCH("ClassDCTrained",CLASSFEATUREHEADERS,0),MATCH($A225,CLASSNAMEHEADERS,0))),(INDEX(ALLCLASSDATA,MATCH("ClassDCTrained",CLASSFEATUREHEADERS,0),MATCH(($A225 &amp; "Points"),CLASSNAMEHEADERS,0))),"")))))))))}</f>
        <v>CLASSDCL17</v>
      </c>
      <c r="Y224" s="81"/>
      <c r="Z224" s="81" t="str">
        <f t="array" ref="Z224:Z225">{"CLASSDCL19";((IF("19"=(INDEX(ALLCLASSDATA,MATCH("ClassDCLegendary",CLASSFEATUREHEADERS,0),MATCH($A225,CLASSNAMEHEADERS,0))),(INDEX(ALLCLASSDATA,MATCH("ClassDCLegendary",CLASSFEATUREHEADERS,0),MATCH(($A225 &amp; "Points"),CLASSNAMEHEADERS,0))),(IF("19"=(INDEX(ALLCLASSDATA,MATCH("ClassDCMaster",CLASSFEATUREHEADERS,0),MATCH($A225,CLASSNAMEHEADERS,0))),(INDEX(ALLCLASSDATA,MATCH("ClassDCMaster",CLASSFEATUREHEADERS,0),MATCH(($A225 &amp; "Points"),CLASSNAMEHEADERS,0))),(IF("19"=(INDEX(ALLCLASSDATA,MATCH("ClassDCExpert",CLASSFEATUREHEADERS,0),MATCH($A225,CLASSNAMEHEADERS,0))),(INDEX(ALLCLASSDATA,MATCH("ClassDCExpert",CLASSFEATUREHEADERS,0),MATCH(($A225 &amp; "Points"),CLASSNAMEHEADERS,0))),(IF("19"=(INDEX(ALLCLASSDATA,MATCH("ClassDCTrained",CLASSFEATUREHEADERS,0),MATCH($A225,CLASSNAMEHEADERS,0))),(INDEX(ALLCLASSDATA,MATCH("ClassDCTrained",CLASSFEATUREHEADERS,0),MATCH(($A225 &amp; "Points"),CLASSNAMEHEADERS,0))),"")))))))))}</f>
        <v>CLASSDCL19</v>
      </c>
      <c r="AA224" s="81"/>
      <c r="AB224" s="76" t="str">
        <f t="array" ref="AB224:AB225">{"CLASSDC TOTAL";(IF(COUNTBLANK(G225:AA225)=17,"L",(IF(COUNTBLANK(G225:AA225)=18,"M",(IF(COUNTBLANK(G225:AA225)=19,"E",(IF(COUNTBLANK(G225:AA225)=20,"T",""))))))))}</f>
        <v>CLASSDC TOTAL</v>
      </c>
      <c r="AC224" s="76" t="str">
        <f t="array" ref="AC224:AC225">{"CLASSDC TOTAL";(sum(G225:AA225))}</f>
        <v>CLASSDC TOTAL</v>
      </c>
    </row>
    <row r="225">
      <c r="A225" s="48" t="s">
        <v>109</v>
      </c>
      <c r="B225" s="48"/>
      <c r="C225" s="48" t="s">
        <v>406</v>
      </c>
      <c r="D225" s="48" t="s">
        <v>1465</v>
      </c>
      <c r="E225" s="48" t="s">
        <v>1466</v>
      </c>
      <c r="F225" s="5" t="s">
        <v>435</v>
      </c>
      <c r="G225" s="47" t="s">
        <v>603</v>
      </c>
      <c r="H225" s="5">
        <v>10.0</v>
      </c>
      <c r="I225" s="5"/>
      <c r="J225" s="5" t="s">
        <v>603</v>
      </c>
      <c r="K225" s="5"/>
      <c r="L225" s="5" t="s">
        <v>603</v>
      </c>
      <c r="M225" s="5"/>
      <c r="N225" s="5" t="s">
        <v>603</v>
      </c>
      <c r="O225" s="5"/>
      <c r="P225" s="5" t="s">
        <v>603</v>
      </c>
      <c r="Q225" s="5"/>
      <c r="R225" s="5">
        <v>50.0</v>
      </c>
      <c r="S225" s="5"/>
      <c r="T225" s="5" t="s">
        <v>603</v>
      </c>
      <c r="U225" s="5"/>
      <c r="V225" s="5" t="s">
        <v>603</v>
      </c>
      <c r="W225" s="5"/>
      <c r="X225" s="5" t="s">
        <v>603</v>
      </c>
      <c r="Y225" s="5"/>
      <c r="Z225" s="5">
        <v>110.0</v>
      </c>
      <c r="AA225" s="5"/>
      <c r="AB225" s="5" t="s">
        <v>437</v>
      </c>
      <c r="AC225" s="47">
        <v>170.0</v>
      </c>
    </row>
    <row r="226" hidden="1">
      <c r="A226" s="222" t="str">
        <f t="array" ref="A226:A227">{"FormulaRow21";(INDEX(CLASSLIST,A185,1))}</f>
        <v>FormulaRow21</v>
      </c>
      <c r="B226" s="77" t="s">
        <v>236</v>
      </c>
      <c r="C226" s="222" t="str">
        <f t="array" ref="C226:C227">{"CLASSTYPE";((INDEX(ALLCLASSDATA,MATCH("ClassType",CLASSFEATUREHEADERS,0),MATCH($A227,CLASSNAMEHEADERS,0))))}</f>
        <v>CLASSTYPE</v>
      </c>
      <c r="D226" s="222" t="str">
        <f t="array" ref="D226:D227">{"DC";"DC"}</f>
        <v>DC</v>
      </c>
      <c r="E226" s="222" t="str">
        <f t="array" ref="E226:E227">{"SPELLDC";"SpellDC"}</f>
        <v>SPELLDC</v>
      </c>
      <c r="F226" s="223" t="str">
        <f t="array" ref="F226:F227">{"SPELLDCINITIAL";((IF(H227=10,"T",(IF(H227=50,"E","")))))}</f>
        <v>SPELLDCINITIAL</v>
      </c>
      <c r="G226" s="223" t="str">
        <f t="array" ref="G226:G227">{"SPELLDCINITIALPTS";((IF("00"=(INDEX(ALLCLASSDATA,MATCH("SpellDCLegendary",CLASSFEATUREHEADERS,0),MATCH($A227,CLASSNAMEHEADERS,0))),(INDEX(ALLCLASSDATA,MATCH("SpellDCLegendary",CLASSFEATUREHEADERS,0),MATCH(($A227 &amp; "Points"),CLASSNAMEHEADERS,0))),(IF("00"=(INDEX(ALLCLASSDATA,MATCH("SpellDCMaster",CLASSFEATUREHEADERS,0),MATCH($A227,CLASSNAMEHEADERS,0))),(INDEX(ALLCLASSDATA,MATCH("SpellDCMaster",CLASSFEATUREHEADERS,0),MATCH(($A227 &amp; "Points"),CLASSNAMEHEADERS,0))),(IF("00"=(INDEX(ALLCLASSDATA,MATCH("SpellDCExpert",CLASSFEATUREHEADERS,0),MATCH($A227,CLASSNAMEHEADERS,0))),(INDEX(ALLCLASSDATA,MATCH("SpellDCExpert",CLASSFEATUREHEADERS,0),MATCH(($A227 &amp; "Points"),CLASSNAMEHEADERS,0))),(IF("00"=(INDEX(ALLCLASSDATA,MATCH("SpellDCTrained",CLASSFEATUREHEADERS,0),MATCH($A227,CLASSNAMEHEADERS,0))),(INDEX(ALLCLASSDATA,MATCH("SpellDCTrained",CLASSFEATUREHEADERS,0),MATCH(($A227 &amp; "Points"),CLASSNAMEHEADERS,0))),"")))))))))}</f>
        <v>SPELLDCINITIALPTS</v>
      </c>
      <c r="H226" s="223" t="str">
        <f t="array" ref="H226:H227">{"SPELLDCL01";((IF("01"=(INDEX(ALLCLASSDATA,MATCH("SpellDCLegendary",CLASSFEATUREHEADERS,0),MATCH($A227,CLASSNAMEHEADERS,0))),(INDEX(ALLCLASSDATA,MATCH("SpellDCLegendary",CLASSFEATUREHEADERS,0),MATCH(($A227 &amp; "Points"),CLASSNAMEHEADERS,0))),(IF("01"=(INDEX(ALLCLASSDATA,MATCH("SpellDCMaster",CLASSFEATUREHEADERS,0),MATCH($A227,CLASSNAMEHEADERS,0))),(INDEX(ALLCLASSDATA,MATCH("SpellDCMaster",CLASSFEATUREHEADERS,0),MATCH(($A227 &amp; "Points"),CLASSNAMEHEADERS,0))),(IF("01"=(INDEX(ALLCLASSDATA,MATCH("SpellDCExpert",CLASSFEATUREHEADERS,0),MATCH($A227,CLASSNAMEHEADERS,0))),(INDEX(ALLCLASSDATA,MATCH("SpellDCExpert",CLASSFEATUREHEADERS,0),MATCH(($A227 &amp; "Points"),CLASSNAMEHEADERS,0))),(IF("01"=(INDEX(ALLCLASSDATA,MATCH("SpellDCTrained",CLASSFEATUREHEADERS,0),MATCH($A227,CLASSNAMEHEADERS,0))),(INDEX(ALLCLASSDATA,MATCH("SpellDCTrained",CLASSFEATUREHEADERS,0),MATCH(($A227 &amp; "Points"),CLASSNAMEHEADERS,0))),"")))))))))}</f>
        <v>SPELLDCL01</v>
      </c>
      <c r="I226" s="223"/>
      <c r="J226" s="223" t="str">
        <f t="array" ref="J226:J227">{"SPELLDCL03";((IF("03"=(INDEX(ALLCLASSDATA,MATCH("SpellDCLegendary",CLASSFEATUREHEADERS,0),MATCH($A227,CLASSNAMEHEADERS,0))),(INDEX(ALLCLASSDATA,MATCH("SpellDCLegendary",CLASSFEATUREHEADERS,0),MATCH(($A227 &amp; "Points"),CLASSNAMEHEADERS,0))),(IF("03"=(INDEX(ALLCLASSDATA,MATCH("SpellDCMaster",CLASSFEATUREHEADERS,0),MATCH($A227,CLASSNAMEHEADERS,0))),(INDEX(ALLCLASSDATA,MATCH("SpellDCMaster",CLASSFEATUREHEADERS,0),MATCH(($A227 &amp; "Points"),CLASSNAMEHEADERS,0))),(IF("03"=(INDEX(ALLCLASSDATA,MATCH("SpellDCExpert",CLASSFEATUREHEADERS,0),MATCH($A227,CLASSNAMEHEADERS,0))),(INDEX(ALLCLASSDATA,MATCH("SpellDCExpert",CLASSFEATUREHEADERS,0),MATCH(($A227 &amp; "Points"),CLASSNAMEHEADERS,0))),(IF("03"=(INDEX(ALLCLASSDATA,MATCH("SpellDCTrained",CLASSFEATUREHEADERS,0),MATCH($A227,CLASSNAMEHEADERS,0))),(INDEX(ALLCLASSDATA,MATCH("SpellDCTrained",CLASSFEATUREHEADERS,0),MATCH(($A227 &amp; "Points"),CLASSNAMEHEADERS,0))),"")))))))))}</f>
        <v>SPELLDCL03</v>
      </c>
      <c r="K226" s="223"/>
      <c r="L226" s="223" t="str">
        <f t="array" ref="L226:L227">{"SPELLDCL05";((IF("05"=(INDEX(ALLCLASSDATA,MATCH("SpellDCLegendary",CLASSFEATUREHEADERS,0),MATCH($A227,CLASSNAMEHEADERS,0))),(INDEX(ALLCLASSDATA,MATCH("SpellDCLegendary",CLASSFEATUREHEADERS,0),MATCH(($A227 &amp; "Points"),CLASSNAMEHEADERS,0))),(IF("05"=(INDEX(ALLCLASSDATA,MATCH("SpellDCMaster",CLASSFEATUREHEADERS,0),MATCH($A227,CLASSNAMEHEADERS,0))),(INDEX(ALLCLASSDATA,MATCH("SpellDCMaster",CLASSFEATUREHEADERS,0),MATCH(($A227 &amp; "Points"),CLASSNAMEHEADERS,0))),(IF("05"=(INDEX(ALLCLASSDATA,MATCH("SpellDCExpert",CLASSFEATUREHEADERS,0),MATCH($A227,CLASSNAMEHEADERS,0))),(INDEX(ALLCLASSDATA,MATCH("SpellDCExpert",CLASSFEATUREHEADERS,0),MATCH(($A227 &amp; "Points"),CLASSNAMEHEADERS,0))),(IF("05"=(INDEX(ALLCLASSDATA,MATCH("SpellDCTrained",CLASSFEATUREHEADERS,0),MATCH($A227,CLASSNAMEHEADERS,0))),(INDEX(ALLCLASSDATA,MATCH("SpellDCTrained",CLASSFEATUREHEADERS,0),MATCH(($A227 &amp; "Points"),CLASSNAMEHEADERS,0))),"")))))))))}</f>
        <v>SPELLDCL05</v>
      </c>
      <c r="M226" s="223"/>
      <c r="N226" s="223" t="str">
        <f t="array" ref="N226:N227">{"SPELLDCL07";((IF("07"=(INDEX(ALLCLASSDATA,MATCH("SpellDCLegendary",CLASSFEATUREHEADERS,0),MATCH($A227,CLASSNAMEHEADERS,0))),(INDEX(ALLCLASSDATA,MATCH("SpellDCLegendary",CLASSFEATUREHEADERS,0),MATCH(($A227 &amp; "Points"),CLASSNAMEHEADERS,0))),(IF("07"=(INDEX(ALLCLASSDATA,MATCH("SpellDCMaster",CLASSFEATUREHEADERS,0),MATCH($A227,CLASSNAMEHEADERS,0))),(INDEX(ALLCLASSDATA,MATCH("SpellDCMaster",CLASSFEATUREHEADERS,0),MATCH(($A227 &amp; "Points"),CLASSNAMEHEADERS,0))),(IF("07"=(INDEX(ALLCLASSDATA,MATCH("SpellDCExpert",CLASSFEATUREHEADERS,0),MATCH($A227,CLASSNAMEHEADERS,0))),(INDEX(ALLCLASSDATA,MATCH("SpellDCExpert",CLASSFEATUREHEADERS,0),MATCH(($A227 &amp; "Points"),CLASSNAMEHEADERS,0))),(IF("07"=(INDEX(ALLCLASSDATA,MATCH("SpellDCTrained",CLASSFEATUREHEADERS,0),MATCH($A227,CLASSNAMEHEADERS,0))),(INDEX(ALLCLASSDATA,MATCH("SpellDCTrained",CLASSFEATUREHEADERS,0),MATCH(($A227 &amp; "Points"),CLASSNAMEHEADERS,0))),"")))))))))}</f>
        <v>SPELLDCL07</v>
      </c>
      <c r="O226" s="223"/>
      <c r="P226" s="223" t="str">
        <f t="array" ref="P226:P227">{"SPELLDCL09";((IF("09"=(INDEX(ALLCLASSDATA,MATCH("SpellDCLegendary",CLASSFEATUREHEADERS,0),MATCH($A227,CLASSNAMEHEADERS,0))),(INDEX(ALLCLASSDATA,MATCH("SpellDCLegendary",CLASSFEATUREHEADERS,0),MATCH(($A227 &amp; "Points"),CLASSNAMEHEADERS,0))),(IF("09"=(INDEX(ALLCLASSDATA,MATCH("SpellDCMaster",CLASSFEATUREHEADERS,0),MATCH($A227,CLASSNAMEHEADERS,0))),(INDEX(ALLCLASSDATA,MATCH("SpellDCMaster",CLASSFEATUREHEADERS,0),MATCH(($A227 &amp; "Points"),CLASSNAMEHEADERS,0))),(IF("09"=(INDEX(ALLCLASSDATA,MATCH("SpellDCExpert",CLASSFEATUREHEADERS,0),MATCH($A227,CLASSNAMEHEADERS,0))),(INDEX(ALLCLASSDATA,MATCH("SpellDCExpert",CLASSFEATUREHEADERS,0),MATCH(($A227 &amp; "Points"),CLASSNAMEHEADERS,0))),(IF("09"=(INDEX(ALLCLASSDATA,MATCH("SpellDCTrained",CLASSFEATUREHEADERS,0),MATCH($A227,CLASSNAMEHEADERS,0))),(INDEX(ALLCLASSDATA,MATCH("SpellDCTrained",CLASSFEATUREHEADERS,0),MATCH(($A227 &amp; "Points"),CLASSNAMEHEADERS,0))),"")))))))))}</f>
        <v>SPELLDCL09</v>
      </c>
      <c r="Q226" s="223"/>
      <c r="R226" s="223" t="str">
        <f t="array" ref="R226:R227">{"SPELLDCL11";((IF("11"=(INDEX(ALLCLASSDATA,MATCH("SpellDCLegendary",CLASSFEATUREHEADERS,0),MATCH($A227,CLASSNAMEHEADERS,0))),(INDEX(ALLCLASSDATA,MATCH("SpellDCLegendary",CLASSFEATUREHEADERS,0),MATCH(($A227 &amp; "Points"),CLASSNAMEHEADERS,0))),(IF("11"=(INDEX(ALLCLASSDATA,MATCH("SpellDCMaster",CLASSFEATUREHEADERS,0),MATCH($A227,CLASSNAMEHEADERS,0))),(INDEX(ALLCLASSDATA,MATCH("SpellDCMaster",CLASSFEATUREHEADERS,0),MATCH(($A227 &amp; "Points"),CLASSNAMEHEADERS,0))),(IF("11"=(INDEX(ALLCLASSDATA,MATCH("SpellDCExpert",CLASSFEATUREHEADERS,0),MATCH($A227,CLASSNAMEHEADERS,0))),(INDEX(ALLCLASSDATA,MATCH("SpellDCExpert",CLASSFEATUREHEADERS,0),MATCH(($A227 &amp; "Points"),CLASSNAMEHEADERS,0))),(IF("11"=(INDEX(ALLCLASSDATA,MATCH("SpellDCTrained",CLASSFEATUREHEADERS,0),MATCH($A227,CLASSNAMEHEADERS,0))),(INDEX(ALLCLASSDATA,MATCH("SpellDCTrained",CLASSFEATUREHEADERS,0),MATCH(($A227 &amp; "Points"),CLASSNAMEHEADERS,0))),"")))))))))}</f>
        <v>SPELLDCL11</v>
      </c>
      <c r="S226" s="223"/>
      <c r="T226" s="223" t="str">
        <f t="array" ref="T226:T227">{"SPELLDCL13";((IF("13"=(INDEX(ALLCLASSDATA,MATCH("SpellDCLegendary",CLASSFEATUREHEADERS,0),MATCH($A227,CLASSNAMEHEADERS,0))),(INDEX(ALLCLASSDATA,MATCH("SpellDCLegendary",CLASSFEATUREHEADERS,0),MATCH(($A227 &amp; "Points"),CLASSNAMEHEADERS,0))),(IF("13"=(INDEX(ALLCLASSDATA,MATCH("SpellDCMaster",CLASSFEATUREHEADERS,0),MATCH($A227,CLASSNAMEHEADERS,0))),(INDEX(ALLCLASSDATA,MATCH("SpellDCMaster",CLASSFEATUREHEADERS,0),MATCH(($A227 &amp; "Points"),CLASSNAMEHEADERS,0))),(IF("13"=(INDEX(ALLCLASSDATA,MATCH("SpellDCExpert",CLASSFEATUREHEADERS,0),MATCH($A227,CLASSNAMEHEADERS,0))),(INDEX(ALLCLASSDATA,MATCH("SpellDCExpert",CLASSFEATUREHEADERS,0),MATCH(($A227 &amp; "Points"),CLASSNAMEHEADERS,0))),(IF("13"=(INDEX(ALLCLASSDATA,MATCH("SpellDCTrained",CLASSFEATUREHEADERS,0),MATCH($A227,CLASSNAMEHEADERS,0))),(INDEX(ALLCLASSDATA,MATCH("SpellDCTrained",CLASSFEATUREHEADERS,0),MATCH(($A227 &amp; "Points"),CLASSNAMEHEADERS,0))),"")))))))))}</f>
        <v>SPELLDCL13</v>
      </c>
      <c r="U226" s="223"/>
      <c r="V226" s="223" t="str">
        <f t="array" ref="V226:V227">{"SPELLDCL15";((IF("15"=(INDEX(ALLCLASSDATA,MATCH("SpellDCLegendary",CLASSFEATUREHEADERS,0),MATCH($A227,CLASSNAMEHEADERS,0))),(INDEX(ALLCLASSDATA,MATCH("SpellDCLegendary",CLASSFEATUREHEADERS,0),MATCH(($A227 &amp; "Points"),CLASSNAMEHEADERS,0))),(IF("15"=(INDEX(ALLCLASSDATA,MATCH("SpellDCMaster",CLASSFEATUREHEADERS,0),MATCH($A227,CLASSNAMEHEADERS,0))),(INDEX(ALLCLASSDATA,MATCH("SpellDCMaster",CLASSFEATUREHEADERS,0),MATCH(($A227 &amp; "Points"),CLASSNAMEHEADERS,0))),(IF("15"=(INDEX(ALLCLASSDATA,MATCH("SpellDCExpert",CLASSFEATUREHEADERS,0),MATCH($A227,CLASSNAMEHEADERS,0))),(INDEX(ALLCLASSDATA,MATCH("SpellDCExpert",CLASSFEATUREHEADERS,0),MATCH(($A227 &amp; "Points"),CLASSNAMEHEADERS,0))),(IF("15"=(INDEX(ALLCLASSDATA,MATCH("SpellDCTrained",CLASSFEATUREHEADERS,0),MATCH($A227,CLASSNAMEHEADERS,0))),(INDEX(ALLCLASSDATA,MATCH("SpellDCTrained",CLASSFEATUREHEADERS,0),MATCH(($A227 &amp; "Points"),CLASSNAMEHEADERS,0))),"")))))))))}</f>
        <v>SPELLDCL15</v>
      </c>
      <c r="W226" s="223"/>
      <c r="X226" s="223" t="str">
        <f t="array" ref="X226:X227">{"SPELLDCL17";((IF("17"=(INDEX(ALLCLASSDATA,MATCH("SpellDCLegendary",CLASSFEATUREHEADERS,0),MATCH($A227,CLASSNAMEHEADERS,0))),(INDEX(ALLCLASSDATA,MATCH("SpellDCLegendary",CLASSFEATUREHEADERS,0),MATCH(($A227 &amp; "Points"),CLASSNAMEHEADERS,0))),(IF("17"=(INDEX(ALLCLASSDATA,MATCH("SpellDCMaster",CLASSFEATUREHEADERS,0),MATCH($A227,CLASSNAMEHEADERS,0))),(INDEX(ALLCLASSDATA,MATCH("SpellDCMaster",CLASSFEATUREHEADERS,0),MATCH(($A227 &amp; "Points"),CLASSNAMEHEADERS,0))),(IF("17"=(INDEX(ALLCLASSDATA,MATCH("SpellDCExpert",CLASSFEATUREHEADERS,0),MATCH($A227,CLASSNAMEHEADERS,0))),(INDEX(ALLCLASSDATA,MATCH("SpellDCExpert",CLASSFEATUREHEADERS,0),MATCH(($A227 &amp; "Points"),CLASSNAMEHEADERS,0))),(IF("17"=(INDEX(ALLCLASSDATA,MATCH("SpellDCTrained",CLASSFEATUREHEADERS,0),MATCH($A227,CLASSNAMEHEADERS,0))),(INDEX(ALLCLASSDATA,MATCH("SpellDCTrained",CLASSFEATUREHEADERS,0),MATCH(($A227 &amp; "Points"),CLASSNAMEHEADERS,0))),"")))))))))}</f>
        <v>SPELLDCL17</v>
      </c>
      <c r="Y226" s="223"/>
      <c r="Z226" s="223" t="str">
        <f t="array" ref="Z226:Z227">{"SPELLDCL19";((IF("19"=(INDEX(ALLCLASSDATA,MATCH("SpellDCLegendary",CLASSFEATUREHEADERS,0),MATCH($A227,CLASSNAMEHEADERS,0))),(INDEX(ALLCLASSDATA,MATCH("SpellDCLegendary",CLASSFEATUREHEADERS,0),MATCH(($A227 &amp; "Points"),CLASSNAMEHEADERS,0))),(IF("19"=(INDEX(ALLCLASSDATA,MATCH("SpellDCMaster",CLASSFEATUREHEADERS,0),MATCH($A227,CLASSNAMEHEADERS,0))),(INDEX(ALLCLASSDATA,MATCH("SpellDCMaster",CLASSFEATUREHEADERS,0),MATCH(($A227 &amp; "Points"),CLASSNAMEHEADERS,0))),(IF("19"=(INDEX(ALLCLASSDATA,MATCH("SpellDCExpert",CLASSFEATUREHEADERS,0),MATCH($A227,CLASSNAMEHEADERS,0))),(INDEX(ALLCLASSDATA,MATCH("SpellDCExpert",CLASSFEATUREHEADERS,0),MATCH(($A227 &amp; "Points"),CLASSNAMEHEADERS,0))),(IF("19"=(INDEX(ALLCLASSDATA,MATCH("SpellDCTrained",CLASSFEATUREHEADERS,0),MATCH($A227,CLASSNAMEHEADERS,0))),(INDEX(ALLCLASSDATA,MATCH("SpellDCTrained",CLASSFEATUREHEADERS,0),MATCH(($A227 &amp; "Points"),CLASSNAMEHEADERS,0))),"")))))))))}</f>
        <v>SPELLDCL19</v>
      </c>
      <c r="AA226" s="223"/>
      <c r="AB226" s="76" t="str">
        <f t="array" ref="AB226:AB227">{"SPELLDC TOTAL";(IF(COUNTBLANK(G227:AA227)=17,"L",(IF(COUNTBLANK(G227:AA227)=18,"M",(IF(COUNTBLANK(G227:AA227)=19,"E",(IF(COUNTBLANK(G227:AA227)=20,"T",""))))))))}</f>
        <v>SPELLDC TOTAL</v>
      </c>
      <c r="AC226" s="76" t="str">
        <f t="array" ref="AC226:AC227">{"SPELLDC TOTAL";(sum(G227:AA227))}</f>
        <v>SPELLDC TOTAL</v>
      </c>
    </row>
    <row r="227">
      <c r="A227" s="48" t="s">
        <v>109</v>
      </c>
      <c r="B227" s="48"/>
      <c r="C227" s="48" t="s">
        <v>406</v>
      </c>
      <c r="D227" s="97" t="s">
        <v>1465</v>
      </c>
      <c r="E227" s="97" t="s">
        <v>1485</v>
      </c>
      <c r="F227" s="98" t="s">
        <v>603</v>
      </c>
      <c r="G227" s="132" t="s">
        <v>603</v>
      </c>
      <c r="H227" s="98" t="s">
        <v>603</v>
      </c>
      <c r="I227" s="98"/>
      <c r="J227" s="98" t="s">
        <v>603</v>
      </c>
      <c r="K227" s="98"/>
      <c r="L227" s="98" t="s">
        <v>603</v>
      </c>
      <c r="M227" s="98"/>
      <c r="N227" s="98" t="s">
        <v>603</v>
      </c>
      <c r="O227" s="98"/>
      <c r="P227" s="98" t="s">
        <v>603</v>
      </c>
      <c r="Q227" s="98"/>
      <c r="R227" s="98" t="s">
        <v>603</v>
      </c>
      <c r="S227" s="98"/>
      <c r="T227" s="98" t="s">
        <v>603</v>
      </c>
      <c r="U227" s="98"/>
      <c r="V227" s="98" t="s">
        <v>603</v>
      </c>
      <c r="W227" s="98"/>
      <c r="X227" s="98" t="s">
        <v>603</v>
      </c>
      <c r="Y227" s="98"/>
      <c r="Z227" s="98" t="s">
        <v>603</v>
      </c>
      <c r="AA227" s="98"/>
      <c r="AB227" s="5" t="s">
        <v>603</v>
      </c>
      <c r="AC227" s="47">
        <v>0.0</v>
      </c>
    </row>
    <row r="228" hidden="1">
      <c r="A228" s="222" t="str">
        <f t="array" ref="A228:A229">{"FormulaRow22";(INDEX(CLASSLIST,A185,1))}</f>
        <v>FormulaRow22</v>
      </c>
      <c r="B228" s="77" t="s">
        <v>236</v>
      </c>
      <c r="C228" s="222" t="str">
        <f t="array" ref="C228:C229">{"CLASSTYPE";((INDEX(ALLCLASSDATA,MATCH("ClassType",CLASSFEATUREHEADERS,0),MATCH($A229,CLASSNAMEHEADERS,0))))}</f>
        <v>CLASSTYPE</v>
      </c>
      <c r="D228" s="228" t="str">
        <f t="shared" ref="D228:E228" si="3">{"PERCEPTION";"Perception"}</f>
        <v>PERCEPTION</v>
      </c>
      <c r="E228" s="228" t="str">
        <f t="shared" si="3"/>
        <v>PERCEPTION</v>
      </c>
      <c r="F228" s="230" t="str">
        <f t="array" ref="F228:F229">{"PERCEPTIONINITIAL";((IF(H229=10,"T",(IF(H229=50,"E","")))))}</f>
        <v>PERCEPTIONINITIAL</v>
      </c>
      <c r="G228" s="230" t="str">
        <f t="array" ref="G228:G229">{"PERCEPTIONINITIALPTS";((IF("00"=(INDEX(ALLCLASSDATA,MATCH("PerceptionLegendary",CLASSFEATUREHEADERS,0),MATCH($A229,CLASSNAMEHEADERS,0))),(INDEX(ALLCLASSDATA,MATCH("PerceptionLegendary",CLASSFEATUREHEADERS,0),MATCH(($A229 &amp; "Points"),CLASSNAMEHEADERS,0))),(IF("00"=(INDEX(ALLCLASSDATA,MATCH("PerceptionMaster",CLASSFEATUREHEADERS,0),MATCH($A229,CLASSNAMEHEADERS,0))),(INDEX(ALLCLASSDATA,MATCH("PerceptionMaster",CLASSFEATUREHEADERS,0),MATCH(($A229 &amp; "Points"),CLASSNAMEHEADERS,0))),(IF("00"=(INDEX(ALLCLASSDATA,MATCH("PerceptionExpert",CLASSFEATUREHEADERS,0),MATCH($A229,CLASSNAMEHEADERS,0))),(INDEX(ALLCLASSDATA,MATCH("PerceptionExpert",CLASSFEATUREHEADERS,0),MATCH(($A229 &amp; "Points"),CLASSNAMEHEADERS,0))),(IF("00"=(INDEX(ALLCLASSDATA,MATCH("PerceptionTrained",CLASSFEATUREHEADERS,0),MATCH($A229,CLASSNAMEHEADERS,0))),(INDEX(ALLCLASSDATA,MATCH("PerceptionTrained",CLASSFEATUREHEADERS,0),MATCH(($A229 &amp; "Points"),CLASSNAMEHEADERS,0))),"")))))))))}</f>
        <v>PERCEPTIONINITIALPTS</v>
      </c>
      <c r="H228" s="230" t="str">
        <f t="array" ref="H228:H229">{"PERCEPTIONL01";((IF("01"=(INDEX(ALLCLASSDATA,MATCH("PerceptionLegendary",CLASSFEATUREHEADERS,0),MATCH($A229,CLASSNAMEHEADERS,0))),(INDEX(ALLCLASSDATA,MATCH("PerceptionLegendary",CLASSFEATUREHEADERS,0),MATCH(($A229 &amp; "Points"),CLASSNAMEHEADERS,0))),(IF("01"=(INDEX(ALLCLASSDATA,MATCH("PerceptionMaster",CLASSFEATUREHEADERS,0),MATCH($A229,CLASSNAMEHEADERS,0))),(INDEX(ALLCLASSDATA,MATCH("PerceptionMaster",CLASSFEATUREHEADERS,0),MATCH(($A229 &amp; "Points"),CLASSNAMEHEADERS,0))),(IF("01"=(INDEX(ALLCLASSDATA,MATCH("PerceptionExpert",CLASSFEATUREHEADERS,0),MATCH($A229,CLASSNAMEHEADERS,0))),(INDEX(ALLCLASSDATA,MATCH("PerceptionExpert",CLASSFEATUREHEADERS,0),MATCH(($A229 &amp; "Points"),CLASSNAMEHEADERS,0))),(IF("01"=(INDEX(ALLCLASSDATA,MATCH("PerceptionTrained",CLASSFEATUREHEADERS,0),MATCH($A229,CLASSNAMEHEADERS,0))),(INDEX(ALLCLASSDATA,MATCH("PerceptionTrained",CLASSFEATUREHEADERS,0),MATCH(($A229 &amp; "Points"),CLASSNAMEHEADERS,0))),"")))))))))}</f>
        <v>PERCEPTIONL01</v>
      </c>
      <c r="I228" s="230"/>
      <c r="J228" s="230" t="str">
        <f t="array" ref="J228:J229">{"PERCEPTIONL03";((IF("03"=(INDEX(ALLCLASSDATA,MATCH("PerceptionLegendary",CLASSFEATUREHEADERS,0),MATCH($A229,CLASSNAMEHEADERS,0))),(INDEX(ALLCLASSDATA,MATCH("PerceptionLegendary",CLASSFEATUREHEADERS,0),MATCH(($A229 &amp; "Points"),CLASSNAMEHEADERS,0))),(IF("03"=(INDEX(ALLCLASSDATA,MATCH("PerceptionMaster",CLASSFEATUREHEADERS,0),MATCH($A229,CLASSNAMEHEADERS,0))),(INDEX(ALLCLASSDATA,MATCH("PerceptionMaster",CLASSFEATUREHEADERS,0),MATCH(($A229 &amp; "Points"),CLASSNAMEHEADERS,0))),(IF("03"=(INDEX(ALLCLASSDATA,MATCH("PerceptionExpert",CLASSFEATUREHEADERS,0),MATCH($A229,CLASSNAMEHEADERS,0))),(INDEX(ALLCLASSDATA,MATCH("PerceptionExpert",CLASSFEATUREHEADERS,0),MATCH(($A229 &amp; "Points"),CLASSNAMEHEADERS,0))),(IF("03"=(INDEX(ALLCLASSDATA,MATCH("PerceptionTrained",CLASSFEATUREHEADERS,0),MATCH($A229,CLASSNAMEHEADERS,0))),(INDEX(ALLCLASSDATA,MATCH("PerceptionTrained",CLASSFEATUREHEADERS,0),MATCH(($A229 &amp; "Points"),CLASSNAMEHEADERS,0))),"")))))))))}</f>
        <v>PERCEPTIONL03</v>
      </c>
      <c r="K228" s="230"/>
      <c r="L228" s="230" t="str">
        <f t="array" ref="L228:L229">{"PERCEPTIONL05";((IF("05"=(INDEX(ALLCLASSDATA,MATCH("PerceptionLegendary",CLASSFEATUREHEADERS,0),MATCH($A229,CLASSNAMEHEADERS,0))),(INDEX(ALLCLASSDATA,MATCH("PerceptionLegendary",CLASSFEATUREHEADERS,0),MATCH(($A229 &amp; "Points"),CLASSNAMEHEADERS,0))),(IF("05"=(INDEX(ALLCLASSDATA,MATCH("PerceptionMaster",CLASSFEATUREHEADERS,0),MATCH($A229,CLASSNAMEHEADERS,0))),(INDEX(ALLCLASSDATA,MATCH("PerceptionMaster",CLASSFEATUREHEADERS,0),MATCH(($A229 &amp; "Points"),CLASSNAMEHEADERS,0))),(IF("05"=(INDEX(ALLCLASSDATA,MATCH("PerceptionExpert",CLASSFEATUREHEADERS,0),MATCH($A229,CLASSNAMEHEADERS,0))),(INDEX(ALLCLASSDATA,MATCH("PerceptionExpert",CLASSFEATUREHEADERS,0),MATCH(($A229 &amp; "Points"),CLASSNAMEHEADERS,0))),(IF("05"=(INDEX(ALLCLASSDATA,MATCH("PerceptionTrained",CLASSFEATUREHEADERS,0),MATCH($A229,CLASSNAMEHEADERS,0))),(INDEX(ALLCLASSDATA,MATCH("PerceptionTrained",CLASSFEATUREHEADERS,0),MATCH(($A229 &amp; "Points"),CLASSNAMEHEADERS,0))),"")))))))))}</f>
        <v>PERCEPTIONL05</v>
      </c>
      <c r="M228" s="230"/>
      <c r="N228" s="230" t="str">
        <f t="array" ref="N228:N229">{"PERCEPTIONL07";((IF("07"=(INDEX(ALLCLASSDATA,MATCH("PerceptionLegendary",CLASSFEATUREHEADERS,0),MATCH($A229,CLASSNAMEHEADERS,0))),(INDEX(ALLCLASSDATA,MATCH("PerceptionLegendary",CLASSFEATUREHEADERS,0),MATCH(($A229 &amp; "Points"),CLASSNAMEHEADERS,0))),(IF("07"=(INDEX(ALLCLASSDATA,MATCH("PerceptionMaster",CLASSFEATUREHEADERS,0),MATCH($A229,CLASSNAMEHEADERS,0))),(INDEX(ALLCLASSDATA,MATCH("PerceptionMaster",CLASSFEATUREHEADERS,0),MATCH(($A229 &amp; "Points"),CLASSNAMEHEADERS,0))),(IF("07"=(INDEX(ALLCLASSDATA,MATCH("PerceptionExpert",CLASSFEATUREHEADERS,0),MATCH($A229,CLASSNAMEHEADERS,0))),(INDEX(ALLCLASSDATA,MATCH("PerceptionExpert",CLASSFEATUREHEADERS,0),MATCH(($A229 &amp; "Points"),CLASSNAMEHEADERS,0))),(IF("07"=(INDEX(ALLCLASSDATA,MATCH("PerceptionTrained",CLASSFEATUREHEADERS,0),MATCH($A229,CLASSNAMEHEADERS,0))),(INDEX(ALLCLASSDATA,MATCH("PerceptionTrained",CLASSFEATUREHEADERS,0),MATCH(($A229 &amp; "Points"),CLASSNAMEHEADERS,0))),"")))))))))}</f>
        <v>PERCEPTIONL07</v>
      </c>
      <c r="O228" s="230"/>
      <c r="P228" s="230" t="str">
        <f t="array" ref="P228:P229">{"PERCEPTIONL09";((IF("09"=(INDEX(ALLCLASSDATA,MATCH("PerceptionLegendary",CLASSFEATUREHEADERS,0),MATCH($A229,CLASSNAMEHEADERS,0))),(INDEX(ALLCLASSDATA,MATCH("PerceptionLegendary",CLASSFEATUREHEADERS,0),MATCH(($A229 &amp; "Points"),CLASSNAMEHEADERS,0))),(IF("09"=(INDEX(ALLCLASSDATA,MATCH("PerceptionMaster",CLASSFEATUREHEADERS,0),MATCH($A229,CLASSNAMEHEADERS,0))),(INDEX(ALLCLASSDATA,MATCH("PerceptionMaster",CLASSFEATUREHEADERS,0),MATCH(($A229 &amp; "Points"),CLASSNAMEHEADERS,0))),(IF("09"=(INDEX(ALLCLASSDATA,MATCH("PerceptionExpert",CLASSFEATUREHEADERS,0),MATCH($A229,CLASSNAMEHEADERS,0))),(INDEX(ALLCLASSDATA,MATCH("PerceptionExpert",CLASSFEATUREHEADERS,0),MATCH(($A229 &amp; "Points"),CLASSNAMEHEADERS,0))),(IF("09"=(INDEX(ALLCLASSDATA,MATCH("PerceptionTrained",CLASSFEATUREHEADERS,0),MATCH($A229,CLASSNAMEHEADERS,0))),(INDEX(ALLCLASSDATA,MATCH("PerceptionTrained",CLASSFEATUREHEADERS,0),MATCH(($A229 &amp; "Points"),CLASSNAMEHEADERS,0))),"")))))))))}</f>
        <v>PERCEPTIONL09</v>
      </c>
      <c r="Q228" s="230"/>
      <c r="R228" s="230" t="str">
        <f t="array" ref="R228:R229">{"PERCEPTIONL11";((IF("11"=(INDEX(ALLCLASSDATA,MATCH("PerceptionLegendary",CLASSFEATUREHEADERS,0),MATCH($A229,CLASSNAMEHEADERS,0))),(INDEX(ALLCLASSDATA,MATCH("PerceptionLegendary",CLASSFEATUREHEADERS,0),MATCH(($A229 &amp; "Points"),CLASSNAMEHEADERS,0))),(IF("11"=(INDEX(ALLCLASSDATA,MATCH("PerceptionMaster",CLASSFEATUREHEADERS,0),MATCH($A229,CLASSNAMEHEADERS,0))),(INDEX(ALLCLASSDATA,MATCH("PerceptionMaster",CLASSFEATUREHEADERS,0),MATCH(($A229 &amp; "Points"),CLASSNAMEHEADERS,0))),(IF("11"=(INDEX(ALLCLASSDATA,MATCH("PerceptionExpert",CLASSFEATUREHEADERS,0),MATCH($A229,CLASSNAMEHEADERS,0))),(INDEX(ALLCLASSDATA,MATCH("PerceptionExpert",CLASSFEATUREHEADERS,0),MATCH(($A229 &amp; "Points"),CLASSNAMEHEADERS,0))),(IF("11"=(INDEX(ALLCLASSDATA,MATCH("PerceptionTrained",CLASSFEATUREHEADERS,0),MATCH($A229,CLASSNAMEHEADERS,0))),(INDEX(ALLCLASSDATA,MATCH("PerceptionTrained",CLASSFEATUREHEADERS,0),MATCH(($A229 &amp; "Points"),CLASSNAMEHEADERS,0))),"")))))))))}</f>
        <v>PERCEPTIONL11</v>
      </c>
      <c r="S228" s="230"/>
      <c r="T228" s="230" t="str">
        <f t="array" ref="T228:T229">{"PERCEPTIONL13";((IF("13"=(INDEX(ALLCLASSDATA,MATCH("PerceptionLegendary",CLASSFEATUREHEADERS,0),MATCH($A229,CLASSNAMEHEADERS,0))),(INDEX(ALLCLASSDATA,MATCH("PerceptionLegendary",CLASSFEATUREHEADERS,0),MATCH(($A229 &amp; "Points"),CLASSNAMEHEADERS,0))),(IF("13"=(INDEX(ALLCLASSDATA,MATCH("PerceptionMaster",CLASSFEATUREHEADERS,0),MATCH($A229,CLASSNAMEHEADERS,0))),(INDEX(ALLCLASSDATA,MATCH("PerceptionMaster",CLASSFEATUREHEADERS,0),MATCH(($A229 &amp; "Points"),CLASSNAMEHEADERS,0))),(IF("13"=(INDEX(ALLCLASSDATA,MATCH("PerceptionExpert",CLASSFEATUREHEADERS,0),MATCH($A229,CLASSNAMEHEADERS,0))),(INDEX(ALLCLASSDATA,MATCH("PerceptionExpert",CLASSFEATUREHEADERS,0),MATCH(($A229 &amp; "Points"),CLASSNAMEHEADERS,0))),(IF("13"=(INDEX(ALLCLASSDATA,MATCH("PerceptionTrained",CLASSFEATUREHEADERS,0),MATCH($A229,CLASSNAMEHEADERS,0))),(INDEX(ALLCLASSDATA,MATCH("PerceptionTrained",CLASSFEATUREHEADERS,0),MATCH(($A229 &amp; "Points"),CLASSNAMEHEADERS,0))),"")))))))))}</f>
        <v>PERCEPTIONL13</v>
      </c>
      <c r="U228" s="230"/>
      <c r="V228" s="230" t="str">
        <f t="array" ref="V228:V229">{"PERCEPTIONL15";((IF("15"=(INDEX(ALLCLASSDATA,MATCH("PerceptionLegendary",CLASSFEATUREHEADERS,0),MATCH($A229,CLASSNAMEHEADERS,0))),(INDEX(ALLCLASSDATA,MATCH("PerceptionLegendary",CLASSFEATUREHEADERS,0),MATCH(($A229 &amp; "Points"),CLASSNAMEHEADERS,0))),(IF("15"=(INDEX(ALLCLASSDATA,MATCH("PerceptionMaster",CLASSFEATUREHEADERS,0),MATCH($A229,CLASSNAMEHEADERS,0))),(INDEX(ALLCLASSDATA,MATCH("PerceptionMaster",CLASSFEATUREHEADERS,0),MATCH(($A229 &amp; "Points"),CLASSNAMEHEADERS,0))),(IF("15"=(INDEX(ALLCLASSDATA,MATCH("PerceptionExpert",CLASSFEATUREHEADERS,0),MATCH($A229,CLASSNAMEHEADERS,0))),(INDEX(ALLCLASSDATA,MATCH("PerceptionExpert",CLASSFEATUREHEADERS,0),MATCH(($A229 &amp; "Points"),CLASSNAMEHEADERS,0))),(IF("15"=(INDEX(ALLCLASSDATA,MATCH("PerceptionTrained",CLASSFEATUREHEADERS,0),MATCH($A229,CLASSNAMEHEADERS,0))),(INDEX(ALLCLASSDATA,MATCH("PerceptionTrained",CLASSFEATUREHEADERS,0),MATCH(($A229 &amp; "Points"),CLASSNAMEHEADERS,0))),"")))))))))}</f>
        <v>PERCEPTIONL15</v>
      </c>
      <c r="W228" s="230"/>
      <c r="X228" s="230" t="str">
        <f t="array" ref="X228:X229">{"PERCEPTIONL17";((IF("17"=(INDEX(ALLCLASSDATA,MATCH("PerceptionLegendary",CLASSFEATUREHEADERS,0),MATCH($A229,CLASSNAMEHEADERS,0))),(INDEX(ALLCLASSDATA,MATCH("PerceptionLegendary",CLASSFEATUREHEADERS,0),MATCH(($A229 &amp; "Points"),CLASSNAMEHEADERS,0))),(IF("17"=(INDEX(ALLCLASSDATA,MATCH("PerceptionMaster",CLASSFEATUREHEADERS,0),MATCH($A229,CLASSNAMEHEADERS,0))),(INDEX(ALLCLASSDATA,MATCH("PerceptionMaster",CLASSFEATUREHEADERS,0),MATCH(($A229 &amp; "Points"),CLASSNAMEHEADERS,0))),(IF("17"=(INDEX(ALLCLASSDATA,MATCH("PerceptionExpert",CLASSFEATUREHEADERS,0),MATCH($A229,CLASSNAMEHEADERS,0))),(INDEX(ALLCLASSDATA,MATCH("PerceptionExpert",CLASSFEATUREHEADERS,0),MATCH(($A229 &amp; "Points"),CLASSNAMEHEADERS,0))),(IF("17"=(INDEX(ALLCLASSDATA,MATCH("PerceptionTrained",CLASSFEATUREHEADERS,0),MATCH($A229,CLASSNAMEHEADERS,0))),(INDEX(ALLCLASSDATA,MATCH("PerceptionTrained",CLASSFEATUREHEADERS,0),MATCH(($A229 &amp; "Points"),CLASSNAMEHEADERS,0))),"")))))))))}</f>
        <v>PERCEPTIONL17</v>
      </c>
      <c r="Y228" s="230"/>
      <c r="Z228" s="230" t="str">
        <f t="array" ref="Z228:Z229">{"PERCEPTIONL19";((IF("19"=(INDEX(ALLCLASSDATA,MATCH("PerceptionLegendary",CLASSFEATUREHEADERS,0),MATCH($A229,CLASSNAMEHEADERS,0))),(INDEX(ALLCLASSDATA,MATCH("PerceptionLegendary",CLASSFEATUREHEADERS,0),MATCH(($A229 &amp; "Points"),CLASSNAMEHEADERS,0))),(IF("19"=(INDEX(ALLCLASSDATA,MATCH("PerceptionMaster",CLASSFEATUREHEADERS,0),MATCH($A229,CLASSNAMEHEADERS,0))),(INDEX(ALLCLASSDATA,MATCH("PerceptionMaster",CLASSFEATUREHEADERS,0),MATCH(($A229 &amp; "Points"),CLASSNAMEHEADERS,0))),(IF("19"=(INDEX(ALLCLASSDATA,MATCH("PerceptionExpert",CLASSFEATUREHEADERS,0),MATCH($A229,CLASSNAMEHEADERS,0))),(INDEX(ALLCLASSDATA,MATCH("PerceptionExpert",CLASSFEATUREHEADERS,0),MATCH(($A229 &amp; "Points"),CLASSNAMEHEADERS,0))),(IF("19"=(INDEX(ALLCLASSDATA,MATCH("PerceptionTrained",CLASSFEATUREHEADERS,0),MATCH($A229,CLASSNAMEHEADERS,0))),(INDEX(ALLCLASSDATA,MATCH("PerceptionTrained",CLASSFEATUREHEADERS,0),MATCH(($A229 &amp; "Points"),CLASSNAMEHEADERS,0))),"")))))))))}</f>
        <v>PERCEPTIONL19</v>
      </c>
      <c r="AA228" s="230"/>
      <c r="AB228" s="76" t="str">
        <f t="array" ref="AB228:AB229">{"PERCEPTION TOTAL";(IF(COUNTBLANK(G229:AA229)=17,"L",(IF(COUNTBLANK(G229:AA229)=18,"M",(IF(COUNTBLANK(G229:AA229)=19,"E",(IF(COUNTBLANK(G229:AA229)=20,"T",""))))))))}</f>
        <v>PERCEPTION TOTAL</v>
      </c>
      <c r="AC228" s="76" t="str">
        <f t="array" ref="AC228:AC229">{"PERCEPTION TOTAL";(sum(G229:AA229))}</f>
        <v>PERCEPTION TOTAL</v>
      </c>
    </row>
    <row r="229">
      <c r="A229" s="48" t="s">
        <v>109</v>
      </c>
      <c r="B229" s="48"/>
      <c r="C229" s="48" t="s">
        <v>406</v>
      </c>
      <c r="D229" s="97" t="s">
        <v>637</v>
      </c>
      <c r="E229" s="97" t="s">
        <v>637</v>
      </c>
      <c r="F229" s="98" t="s">
        <v>436</v>
      </c>
      <c r="G229" s="132">
        <v>10.0</v>
      </c>
      <c r="H229" s="98">
        <v>50.0</v>
      </c>
      <c r="I229" s="98"/>
      <c r="J229" s="98" t="s">
        <v>603</v>
      </c>
      <c r="K229" s="98"/>
      <c r="L229" s="98" t="s">
        <v>603</v>
      </c>
      <c r="M229" s="98"/>
      <c r="N229" s="98">
        <v>110.0</v>
      </c>
      <c r="O229" s="98"/>
      <c r="P229" s="98" t="s">
        <v>603</v>
      </c>
      <c r="Q229" s="98"/>
      <c r="R229" s="98" t="s">
        <v>603</v>
      </c>
      <c r="S229" s="98"/>
      <c r="T229" s="98" t="s">
        <v>603</v>
      </c>
      <c r="U229" s="98"/>
      <c r="V229" s="98" t="s">
        <v>603</v>
      </c>
      <c r="W229" s="98"/>
      <c r="X229" s="98" t="s">
        <v>603</v>
      </c>
      <c r="Y229" s="98"/>
      <c r="Z229" s="98" t="s">
        <v>603</v>
      </c>
      <c r="AA229" s="98"/>
      <c r="AB229" s="5" t="s">
        <v>437</v>
      </c>
      <c r="AC229" s="47">
        <v>170.0</v>
      </c>
    </row>
    <row r="230" hidden="1">
      <c r="A230" s="222" t="str">
        <f t="array" ref="A230:A231">{"FormulaRow23";(INDEX(CLASSLIST,A185,1))}</f>
        <v>FormulaRow23</v>
      </c>
      <c r="B230" s="77" t="s">
        <v>236</v>
      </c>
      <c r="C230" s="222" t="str">
        <f t="array" ref="C230:C231">{"CLASSTYPE";((INDEX(ALLCLASSDATA,MATCH("ClassType",CLASSFEATUREHEADERS,0),MATCH($A231,CLASSNAMEHEADERS,0))))}</f>
        <v>CLASSTYPE</v>
      </c>
      <c r="D230" s="228" t="str">
        <f t="array" ref="D230:D231">{"SAVES";"Saves"}</f>
        <v>SAVES</v>
      </c>
      <c r="E230" s="228" t="str">
        <f t="array" ref="E230:E231">{"FORTITUDESAVE";"FortitudeSave"}</f>
        <v>FORTITUDESAVE</v>
      </c>
      <c r="F230" s="230" t="str">
        <f t="array" ref="F230:F231">{"FORTITUDEINITIAL";((IF(H231=10,"T",(IF(H231=50,"E","")))))}</f>
        <v>FORTITUDEINITIAL</v>
      </c>
      <c r="G230" s="230" t="str">
        <f t="array" ref="G230:G231">{"FORTITUDEINITIALPTS";((IF("00"=(INDEX(ALLCLASSDATA,MATCH("FortitudeSaveLegendary",CLASSFEATUREHEADERS,0),MATCH($A231,CLASSNAMEHEADERS,0))),(INDEX(ALLCLASSDATA,MATCH("FortitudeSaveLegendary",CLASSFEATUREHEADERS,0),MATCH(($A231 &amp; "Points"),CLASSNAMEHEADERS,0))),(IF("00"=(INDEX(ALLCLASSDATA,MATCH("FortitudeSaveMaster",CLASSFEATUREHEADERS,0),MATCH($A231,CLASSNAMEHEADERS,0))),(INDEX(ALLCLASSDATA,MATCH("FortitudeSaveMaster",CLASSFEATUREHEADERS,0),MATCH(($A231 &amp; "Points"),CLASSNAMEHEADERS,0))),(IF("00"=(INDEX(ALLCLASSDATA,MATCH("FortitudeSaveExpert",CLASSFEATUREHEADERS,0),MATCH($A231,CLASSNAMEHEADERS,0))),(INDEX(ALLCLASSDATA,MATCH("FortitudeSaveExpert",CLASSFEATUREHEADERS,0),MATCH(($A231 &amp; "Points"),CLASSNAMEHEADERS,0))),(IF("00"=(INDEX(ALLCLASSDATA,MATCH("FortitudeSaveTrained",CLASSFEATUREHEADERS,0),MATCH($A231,CLASSNAMEHEADERS,0))),(INDEX(ALLCLASSDATA,MATCH("FortitudeSaveTrained",CLASSFEATUREHEADERS,0),MATCH(($A231 &amp; "Points"),CLASSNAMEHEADERS,0))),"")))))))))}</f>
        <v>FORTITUDEINITIALPTS</v>
      </c>
      <c r="H230" s="230" t="str">
        <f t="array" ref="H230:H231">{"FORTITUDEL01";((IF("01"=(INDEX(ALLCLASSDATA,MATCH("FortitudeSaveLegendary",CLASSFEATUREHEADERS,0),MATCH($A231,CLASSNAMEHEADERS,0))),(INDEX(ALLCLASSDATA,MATCH("FortitudeSaveLegendary",CLASSFEATUREHEADERS,0),MATCH(($A231 &amp; "Points"),CLASSNAMEHEADERS,0))),(IF("01"=(INDEX(ALLCLASSDATA,MATCH("FortitudeSaveMaster",CLASSFEATUREHEADERS,0),MATCH($A231,CLASSNAMEHEADERS,0))),(INDEX(ALLCLASSDATA,MATCH("FortitudeSaveMaster",CLASSFEATUREHEADERS,0),MATCH(($A231 &amp; "Points"),CLASSNAMEHEADERS,0))),(IF("01"=(INDEX(ALLCLASSDATA,MATCH("FortitudeSaveExpert",CLASSFEATUREHEADERS,0),MATCH($A231,CLASSNAMEHEADERS,0))),(INDEX(ALLCLASSDATA,MATCH("FortitudeSaveExpert",CLASSFEATUREHEADERS,0),MATCH(($A231 &amp; "Points"),CLASSNAMEHEADERS,0))),(IF("01"=(INDEX(ALLCLASSDATA,MATCH("FortitudeSaveTrained",CLASSFEATUREHEADERS,0),MATCH($A231,CLASSNAMEHEADERS,0))),(INDEX(ALLCLASSDATA,MATCH("FortitudeSaveTrained",CLASSFEATUREHEADERS,0),MATCH(($A231 &amp; "Points"),CLASSNAMEHEADERS,0))),"")))))))))}</f>
        <v>FORTITUDEL01</v>
      </c>
      <c r="I230" s="230"/>
      <c r="J230" s="230" t="str">
        <f t="array" ref="J230:J231">{"FORTITUDEL03";((IF("03"=(INDEX(ALLCLASSDATA,MATCH("FortitudeSaveLegendary",CLASSFEATUREHEADERS,0),MATCH($A231,CLASSNAMEHEADERS,0))),(INDEX(ALLCLASSDATA,MATCH("FortitudeSaveLegendary",CLASSFEATUREHEADERS,0),MATCH(($A231 &amp; "Points"),CLASSNAMEHEADERS,0))),(IF("03"=(INDEX(ALLCLASSDATA,MATCH("FortitudeSaveMaster",CLASSFEATUREHEADERS,0),MATCH($A231,CLASSNAMEHEADERS,0))),(INDEX(ALLCLASSDATA,MATCH("FortitudeSaveMaster",CLASSFEATUREHEADERS,0),MATCH(($A231 &amp; "Points"),CLASSNAMEHEADERS,0))),(IF("03"=(INDEX(ALLCLASSDATA,MATCH("FortitudeSaveExpert",CLASSFEATUREHEADERS,0),MATCH($A231,CLASSNAMEHEADERS,0))),(INDEX(ALLCLASSDATA,MATCH("FortitudeSaveExpert",CLASSFEATUREHEADERS,0),MATCH(($A231 &amp; "Points"),CLASSNAMEHEADERS,0))),(IF("03"=(INDEX(ALLCLASSDATA,MATCH("FortitudeSaveTrained",CLASSFEATUREHEADERS,0),MATCH($A231,CLASSNAMEHEADERS,0))),(INDEX(ALLCLASSDATA,MATCH("FortitudeSaveTrained",CLASSFEATUREHEADERS,0),MATCH(($A231 &amp; "Points"),CLASSNAMEHEADERS,0))),"")))))))))}</f>
        <v>FORTITUDEL03</v>
      </c>
      <c r="K230" s="230"/>
      <c r="L230" s="230" t="str">
        <f t="array" ref="L230:L231">{"FORTITUDEL05";((IF("05"=(INDEX(ALLCLASSDATA,MATCH("FortitudeSaveLegendary",CLASSFEATUREHEADERS,0),MATCH($A231,CLASSNAMEHEADERS,0))),(INDEX(ALLCLASSDATA,MATCH("FortitudeSaveLegendary",CLASSFEATUREHEADERS,0),MATCH(($A231 &amp; "Points"),CLASSNAMEHEADERS,0))),(IF("05"=(INDEX(ALLCLASSDATA,MATCH("FortitudeSaveMaster",CLASSFEATUREHEADERS,0),MATCH($A231,CLASSNAMEHEADERS,0))),(INDEX(ALLCLASSDATA,MATCH("FortitudeSaveMaster",CLASSFEATUREHEADERS,0),MATCH(($A231 &amp; "Points"),CLASSNAMEHEADERS,0))),(IF("05"=(INDEX(ALLCLASSDATA,MATCH("FortitudeSaveExpert",CLASSFEATUREHEADERS,0),MATCH($A231,CLASSNAMEHEADERS,0))),(INDEX(ALLCLASSDATA,MATCH("FortitudeSaveExpert",CLASSFEATUREHEADERS,0),MATCH(($A231 &amp; "Points"),CLASSNAMEHEADERS,0))),(IF("05"=(INDEX(ALLCLASSDATA,MATCH("FortitudeSaveTrained",CLASSFEATUREHEADERS,0),MATCH($A231,CLASSNAMEHEADERS,0))),(INDEX(ALLCLASSDATA,MATCH("FortitudeSaveTrained",CLASSFEATUREHEADERS,0),MATCH(($A231 &amp; "Points"),CLASSNAMEHEADERS,0))),"")))))))))}</f>
        <v>FORTITUDEL05</v>
      </c>
      <c r="M230" s="230"/>
      <c r="N230" s="230" t="str">
        <f t="array" ref="N230:N231">{"FORTITUDEL07";((IF("07"=(INDEX(ALLCLASSDATA,MATCH("FortitudeSaveLegendary",CLASSFEATUREHEADERS,0),MATCH($A231,CLASSNAMEHEADERS,0))),(INDEX(ALLCLASSDATA,MATCH("FortitudeSaveLegendary",CLASSFEATUREHEADERS,0),MATCH(($A231 &amp; "Points"),CLASSNAMEHEADERS,0))),(IF("07"=(INDEX(ALLCLASSDATA,MATCH("FortitudeSaveMaster",CLASSFEATUREHEADERS,0),MATCH($A231,CLASSNAMEHEADERS,0))),(INDEX(ALLCLASSDATA,MATCH("FortitudeSaveMaster",CLASSFEATUREHEADERS,0),MATCH(($A231 &amp; "Points"),CLASSNAMEHEADERS,0))),(IF("07"=(INDEX(ALLCLASSDATA,MATCH("FortitudeSaveExpert",CLASSFEATUREHEADERS,0),MATCH($A231,CLASSNAMEHEADERS,0))),(INDEX(ALLCLASSDATA,MATCH("FortitudeSaveExpert",CLASSFEATUREHEADERS,0),MATCH(($A231 &amp; "Points"),CLASSNAMEHEADERS,0))),(IF("07"=(INDEX(ALLCLASSDATA,MATCH("FortitudeSaveTrained",CLASSFEATUREHEADERS,0),MATCH($A231,CLASSNAMEHEADERS,0))),(INDEX(ALLCLASSDATA,MATCH("FortitudeSaveTrained",CLASSFEATUREHEADERS,0),MATCH(($A231 &amp; "Points"),CLASSNAMEHEADERS,0))),"")))))))))}</f>
        <v>FORTITUDEL07</v>
      </c>
      <c r="O230" s="230"/>
      <c r="P230" s="230" t="str">
        <f t="array" ref="P230:P231">{"FORTITUDEL09";((IF("09"=(INDEX(ALLCLASSDATA,MATCH("FortitudeSaveLegendary",CLASSFEATUREHEADERS,0),MATCH($A231,CLASSNAMEHEADERS,0))),(INDEX(ALLCLASSDATA,MATCH("FortitudeSaveLegendary",CLASSFEATUREHEADERS,0),MATCH(($A231 &amp; "Points"),CLASSNAMEHEADERS,0))),(IF("09"=(INDEX(ALLCLASSDATA,MATCH("FortitudeSaveMaster",CLASSFEATUREHEADERS,0),MATCH($A231,CLASSNAMEHEADERS,0))),(INDEX(ALLCLASSDATA,MATCH("FortitudeSaveMaster",CLASSFEATUREHEADERS,0),MATCH(($A231 &amp; "Points"),CLASSNAMEHEADERS,0))),(IF("09"=(INDEX(ALLCLASSDATA,MATCH("FortitudeSaveExpert",CLASSFEATUREHEADERS,0),MATCH($A231,CLASSNAMEHEADERS,0))),(INDEX(ALLCLASSDATA,MATCH("FortitudeSaveExpert",CLASSFEATUREHEADERS,0),MATCH(($A231 &amp; "Points"),CLASSNAMEHEADERS,0))),(IF("09"=(INDEX(ALLCLASSDATA,MATCH("FortitudeSaveTrained",CLASSFEATUREHEADERS,0),MATCH($A231,CLASSNAMEHEADERS,0))),(INDEX(ALLCLASSDATA,MATCH("FortitudeSaveTrained",CLASSFEATUREHEADERS,0),MATCH(($A231 &amp; "Points"),CLASSNAMEHEADERS,0))),"")))))))))}</f>
        <v>FORTITUDEL09</v>
      </c>
      <c r="Q230" s="230"/>
      <c r="R230" s="230" t="str">
        <f t="array" ref="R230:R231">{"FORTITUDEL11";((IF("11"=(INDEX(ALLCLASSDATA,MATCH("FortitudeSaveLegendary",CLASSFEATUREHEADERS,0),MATCH($A231,CLASSNAMEHEADERS,0))),(INDEX(ALLCLASSDATA,MATCH("FortitudeSaveLegendary",CLASSFEATUREHEADERS,0),MATCH(($A231 &amp; "Points"),CLASSNAMEHEADERS,0))),(IF("11"=(INDEX(ALLCLASSDATA,MATCH("FortitudeSaveMaster",CLASSFEATUREHEADERS,0),MATCH($A231,CLASSNAMEHEADERS,0))),(INDEX(ALLCLASSDATA,MATCH("FortitudeSaveMaster",CLASSFEATUREHEADERS,0),MATCH(($A231 &amp; "Points"),CLASSNAMEHEADERS,0))),(IF("11"=(INDEX(ALLCLASSDATA,MATCH("FortitudeSaveExpert",CLASSFEATUREHEADERS,0),MATCH($A231,CLASSNAMEHEADERS,0))),(INDEX(ALLCLASSDATA,MATCH("FortitudeSaveExpert",CLASSFEATUREHEADERS,0),MATCH(($A231 &amp; "Points"),CLASSNAMEHEADERS,0))),(IF("11"=(INDEX(ALLCLASSDATA,MATCH("FortitudeSaveTrained",CLASSFEATUREHEADERS,0),MATCH($A231,CLASSNAMEHEADERS,0))),(INDEX(ALLCLASSDATA,MATCH("FortitudeSaveTrained",CLASSFEATUREHEADERS,0),MATCH(($A231 &amp; "Points"),CLASSNAMEHEADERS,0))),"")))))))))}</f>
        <v>FORTITUDEL11</v>
      </c>
      <c r="S230" s="230"/>
      <c r="T230" s="230" t="str">
        <f t="array" ref="T230:T231">{"FORTITUDEL13";((IF("13"=(INDEX(ALLCLASSDATA,MATCH("FortitudeSaveLegendary",CLASSFEATUREHEADERS,0),MATCH($A231,CLASSNAMEHEADERS,0))),(INDEX(ALLCLASSDATA,MATCH("FortitudeSaveLegendary",CLASSFEATUREHEADERS,0),MATCH(($A231 &amp; "Points"),CLASSNAMEHEADERS,0))),(IF("13"=(INDEX(ALLCLASSDATA,MATCH("FortitudeSaveMaster",CLASSFEATUREHEADERS,0),MATCH($A231,CLASSNAMEHEADERS,0))),(INDEX(ALLCLASSDATA,MATCH("FortitudeSaveMaster",CLASSFEATUREHEADERS,0),MATCH(($A231 &amp; "Points"),CLASSNAMEHEADERS,0))),(IF("13"=(INDEX(ALLCLASSDATA,MATCH("FortitudeSaveExpert",CLASSFEATUREHEADERS,0),MATCH($A231,CLASSNAMEHEADERS,0))),(INDEX(ALLCLASSDATA,MATCH("FortitudeSaveExpert",CLASSFEATUREHEADERS,0),MATCH(($A231 &amp; "Points"),CLASSNAMEHEADERS,0))),(IF("13"=(INDEX(ALLCLASSDATA,MATCH("FortitudeSaveTrained",CLASSFEATUREHEADERS,0),MATCH($A231,CLASSNAMEHEADERS,0))),(INDEX(ALLCLASSDATA,MATCH("FortitudeSaveTrained",CLASSFEATUREHEADERS,0),MATCH(($A231 &amp; "Points"),CLASSNAMEHEADERS,0))),"")))))))))}</f>
        <v>FORTITUDEL13</v>
      </c>
      <c r="U230" s="230"/>
      <c r="V230" s="230" t="str">
        <f t="array" ref="V230:V231">{"FORTITUDEL15";((IF("15"=(INDEX(ALLCLASSDATA,MATCH("FortitudeSaveLegendary",CLASSFEATUREHEADERS,0),MATCH($A231,CLASSNAMEHEADERS,0))),(INDEX(ALLCLASSDATA,MATCH("FortitudeSaveLegendary",CLASSFEATUREHEADERS,0),MATCH(($A231 &amp; "Points"),CLASSNAMEHEADERS,0))),(IF("15"=(INDEX(ALLCLASSDATA,MATCH("FortitudeSaveMaster",CLASSFEATUREHEADERS,0),MATCH($A231,CLASSNAMEHEADERS,0))),(INDEX(ALLCLASSDATA,MATCH("FortitudeSaveMaster",CLASSFEATUREHEADERS,0),MATCH(($A231 &amp; "Points"),CLASSNAMEHEADERS,0))),(IF("15"=(INDEX(ALLCLASSDATA,MATCH("FortitudeSaveExpert",CLASSFEATUREHEADERS,0),MATCH($A231,CLASSNAMEHEADERS,0))),(INDEX(ALLCLASSDATA,MATCH("FortitudeSaveExpert",CLASSFEATUREHEADERS,0),MATCH(($A231 &amp; "Points"),CLASSNAMEHEADERS,0))),(IF("15"=(INDEX(ALLCLASSDATA,MATCH("FortitudeSaveTrained",CLASSFEATUREHEADERS,0),MATCH($A231,CLASSNAMEHEADERS,0))),(INDEX(ALLCLASSDATA,MATCH("FortitudeSaveTrained",CLASSFEATUREHEADERS,0),MATCH(($A231 &amp; "Points"),CLASSNAMEHEADERS,0))),"")))))))))}</f>
        <v>FORTITUDEL15</v>
      </c>
      <c r="W230" s="230"/>
      <c r="X230" s="230" t="str">
        <f t="array" ref="X230:X231">{"FORTITUDEL17";((IF("17"=(INDEX(ALLCLASSDATA,MATCH("FortitudeSaveLegendary",CLASSFEATUREHEADERS,0),MATCH($A231,CLASSNAMEHEADERS,0))),(INDEX(ALLCLASSDATA,MATCH("FortitudeSaveLegendary",CLASSFEATUREHEADERS,0),MATCH(($A231 &amp; "Points"),CLASSNAMEHEADERS,0))),(IF("17"=(INDEX(ALLCLASSDATA,MATCH("FortitudeSaveMaster",CLASSFEATUREHEADERS,0),MATCH($A231,CLASSNAMEHEADERS,0))),(INDEX(ALLCLASSDATA,MATCH("FortitudeSaveMaster",CLASSFEATUREHEADERS,0),MATCH(($A231 &amp; "Points"),CLASSNAMEHEADERS,0))),(IF("17"=(INDEX(ALLCLASSDATA,MATCH("FortitudeSaveExpert",CLASSFEATUREHEADERS,0),MATCH($A231,CLASSNAMEHEADERS,0))),(INDEX(ALLCLASSDATA,MATCH("FortitudeSaveExpert",CLASSFEATUREHEADERS,0),MATCH(($A231 &amp; "Points"),CLASSNAMEHEADERS,0))),(IF("17"=(INDEX(ALLCLASSDATA,MATCH("FortitudeSaveTrained",CLASSFEATUREHEADERS,0),MATCH($A231,CLASSNAMEHEADERS,0))),(INDEX(ALLCLASSDATA,MATCH("FortitudeSaveTrained",CLASSFEATUREHEADERS,0),MATCH(($A231 &amp; "Points"),CLASSNAMEHEADERS,0))),"")))))))))}</f>
        <v>FORTITUDEL17</v>
      </c>
      <c r="Y230" s="230"/>
      <c r="Z230" s="230" t="str">
        <f t="array" ref="Z230:Z231">{"FORTITUDEL19";((IF("19"=(INDEX(ALLCLASSDATA,MATCH("FortitudeSaveLegendary",CLASSFEATUREHEADERS,0),MATCH($A231,CLASSNAMEHEADERS,0))),(INDEX(ALLCLASSDATA,MATCH("FortitudeSaveLegendary",CLASSFEATUREHEADERS,0),MATCH(($A231 &amp; "Points"),CLASSNAMEHEADERS,0))),(IF("19"=(INDEX(ALLCLASSDATA,MATCH("FortitudeSaveMaster",CLASSFEATUREHEADERS,0),MATCH($A231,CLASSNAMEHEADERS,0))),(INDEX(ALLCLASSDATA,MATCH("FortitudeSaveMaster",CLASSFEATUREHEADERS,0),MATCH(($A231 &amp; "Points"),CLASSNAMEHEADERS,0))),(IF("19"=(INDEX(ALLCLASSDATA,MATCH("FortitudeSaveExpert",CLASSFEATUREHEADERS,0),MATCH($A231,CLASSNAMEHEADERS,0))),(INDEX(ALLCLASSDATA,MATCH("FortitudeSaveExpert",CLASSFEATUREHEADERS,0),MATCH(($A231 &amp; "Points"),CLASSNAMEHEADERS,0))),(IF("19"=(INDEX(ALLCLASSDATA,MATCH("FortitudeSaveTrained",CLASSFEATUREHEADERS,0),MATCH($A231,CLASSNAMEHEADERS,0))),(INDEX(ALLCLASSDATA,MATCH("FortitudeSaveTrained",CLASSFEATUREHEADERS,0),MATCH(($A231 &amp; "Points"),CLASSNAMEHEADERS,0))),"")))))))))}</f>
        <v>FORTITUDEL19</v>
      </c>
      <c r="AA230" s="230"/>
      <c r="AB230" s="76" t="str">
        <f t="array" ref="AB230:AB231">{"FORTITUDE TOTAL";(IF(COUNTBLANK(G231:AA231)=17,"L",(IF(COUNTBLANK(G231:AA231)=18,"M",(IF(COUNTBLANK(G231:AA231)=19,"E",(IF(COUNTBLANK(G231:AA231)=20,"T",""))))))))}</f>
        <v>FORTITUDE TOTAL</v>
      </c>
      <c r="AC230" s="76" t="str">
        <f t="array" ref="AC230:AC231">{"FORTITUDE TOTAL";(sum(G231:AA231))}</f>
        <v>FORTITUDE TOTAL</v>
      </c>
    </row>
    <row r="231">
      <c r="A231" s="48" t="s">
        <v>109</v>
      </c>
      <c r="B231" s="48"/>
      <c r="C231" s="48" t="s">
        <v>406</v>
      </c>
      <c r="D231" s="48" t="s">
        <v>1549</v>
      </c>
      <c r="E231" s="48" t="s">
        <v>1550</v>
      </c>
      <c r="F231" s="5" t="s">
        <v>436</v>
      </c>
      <c r="G231" s="47">
        <v>10.0</v>
      </c>
      <c r="H231" s="5">
        <v>50.0</v>
      </c>
      <c r="I231" s="5"/>
      <c r="J231" s="5" t="s">
        <v>603</v>
      </c>
      <c r="K231" s="5"/>
      <c r="L231" s="5" t="s">
        <v>603</v>
      </c>
      <c r="M231" s="5"/>
      <c r="N231" s="5" t="s">
        <v>603</v>
      </c>
      <c r="O231" s="5"/>
      <c r="P231" s="5">
        <v>110.0</v>
      </c>
      <c r="Q231" s="5"/>
      <c r="R231" s="5" t="s">
        <v>603</v>
      </c>
      <c r="S231" s="5"/>
      <c r="T231" s="5" t="s">
        <v>603</v>
      </c>
      <c r="U231" s="5"/>
      <c r="V231" s="5" t="s">
        <v>603</v>
      </c>
      <c r="W231" s="5"/>
      <c r="X231" s="5" t="s">
        <v>603</v>
      </c>
      <c r="Y231" s="5"/>
      <c r="Z231" s="5" t="s">
        <v>603</v>
      </c>
      <c r="AA231" s="5"/>
      <c r="AB231" s="5" t="s">
        <v>437</v>
      </c>
      <c r="AC231" s="47">
        <v>170.0</v>
      </c>
    </row>
    <row r="232" hidden="1">
      <c r="A232" s="222" t="str">
        <f t="array" ref="A232:A233">{"FormulaRow24";(INDEX(CLASSLIST,A185,1))}</f>
        <v>FormulaRow24</v>
      </c>
      <c r="B232" s="77" t="s">
        <v>236</v>
      </c>
      <c r="C232" s="222" t="str">
        <f t="array" ref="C232:C233">{"CLASSTYPE";((INDEX(ALLCLASSDATA,MATCH("ClassType",CLASSFEATUREHEADERS,0),MATCH($A233,CLASSNAMEHEADERS,0))))}</f>
        <v>CLASSTYPE</v>
      </c>
      <c r="D232" s="222" t="str">
        <f t="array" ref="D232:D233">{"SAVES";"Saves"}</f>
        <v>SAVES</v>
      </c>
      <c r="E232" s="222" t="str">
        <f t="array" ref="E232:E233">{"REFLEXSAVE";"ReflexSave"}</f>
        <v>REFLEXSAVE</v>
      </c>
      <c r="F232" s="223" t="str">
        <f t="array" ref="F232:F233">{"REFLEXINITIAL";((IF(H233=10,"T",(IF(H233=50,"E","")))))}</f>
        <v>REFLEXINITIAL</v>
      </c>
      <c r="G232" s="223" t="str">
        <f t="array" ref="G232:G233">{"REFLEXINITIALPTS";((IF("00"=(INDEX(ALLCLASSDATA,MATCH("ReflexSaveLegendary",CLASSFEATUREHEADERS,0),MATCH($A233,CLASSNAMEHEADERS,0))),(INDEX(ALLCLASSDATA,MATCH("ReflexSaveLegendary",CLASSFEATUREHEADERS,0),MATCH(($A233 &amp; "Points"),CLASSNAMEHEADERS,0))),(IF("00"=(INDEX(ALLCLASSDATA,MATCH("ReflexSaveMaster",CLASSFEATUREHEADERS,0),MATCH($A233,CLASSNAMEHEADERS,0))),(INDEX(ALLCLASSDATA,MATCH("ReflexSaveMaster",CLASSFEATUREHEADERS,0),MATCH(($A233 &amp; "Points"),CLASSNAMEHEADERS,0))),(IF("00"=(INDEX(ALLCLASSDATA,MATCH("ReflexSaveExpert",CLASSFEATUREHEADERS,0),MATCH($A233,CLASSNAMEHEADERS,0))),(INDEX(ALLCLASSDATA,MATCH("ReflexSaveExpert",CLASSFEATUREHEADERS,0),MATCH(($A233 &amp; "Points"),CLASSNAMEHEADERS,0))),(IF("00"=(INDEX(ALLCLASSDATA,MATCH("ReflexSaveTrained",CLASSFEATUREHEADERS,0),MATCH($A233,CLASSNAMEHEADERS,0))),(INDEX(ALLCLASSDATA,MATCH("ReflexSaveTrained",CLASSFEATUREHEADERS,0),MATCH(($A233 &amp; "Points"),CLASSNAMEHEADERS,0))),"")))))))))}</f>
        <v>REFLEXINITIALPTS</v>
      </c>
      <c r="H232" s="223" t="str">
        <f t="array" ref="H232:H233">{"REFLEXL01";((IF("01"=(INDEX(ALLCLASSDATA,MATCH("ReflexSaveLegendary",CLASSFEATUREHEADERS,0),MATCH($A233,CLASSNAMEHEADERS,0))),(INDEX(ALLCLASSDATA,MATCH("ReflexSaveLegendary",CLASSFEATUREHEADERS,0),MATCH(($A233 &amp; "Points"),CLASSNAMEHEADERS,0))),(IF("01"=(INDEX(ALLCLASSDATA,MATCH("ReflexSaveMaster",CLASSFEATUREHEADERS,0),MATCH($A233,CLASSNAMEHEADERS,0))),(INDEX(ALLCLASSDATA,MATCH("ReflexSaveMaster",CLASSFEATUREHEADERS,0),MATCH(($A233 &amp; "Points"),CLASSNAMEHEADERS,0))),(IF("01"=(INDEX(ALLCLASSDATA,MATCH("ReflexSaveExpert",CLASSFEATUREHEADERS,0),MATCH($A233,CLASSNAMEHEADERS,0))),(INDEX(ALLCLASSDATA,MATCH("ReflexSaveExpert",CLASSFEATUREHEADERS,0),MATCH(($A233 &amp; "Points"),CLASSNAMEHEADERS,0))),(IF("01"=(INDEX(ALLCLASSDATA,MATCH("ReflexSaveTrained",CLASSFEATUREHEADERS,0),MATCH($A233,CLASSNAMEHEADERS,0))),(INDEX(ALLCLASSDATA,MATCH("ReflexSaveTrained",CLASSFEATUREHEADERS,0),MATCH(($A233 &amp; "Points"),CLASSNAMEHEADERS,0))),"")))))))))}</f>
        <v>REFLEXL01</v>
      </c>
      <c r="I232" s="223"/>
      <c r="J232" s="223" t="str">
        <f t="array" ref="J232:J233">{"REFLEXL03";((IF("03"=(INDEX(ALLCLASSDATA,MATCH("ReflexSaveLegendary",CLASSFEATUREHEADERS,0),MATCH($A233,CLASSNAMEHEADERS,0))),(INDEX(ALLCLASSDATA,MATCH("ReflexSaveLegendary",CLASSFEATUREHEADERS,0),MATCH(($A233 &amp; "Points"),CLASSNAMEHEADERS,0))),(IF("03"=(INDEX(ALLCLASSDATA,MATCH("ReflexSaveMaster",CLASSFEATUREHEADERS,0),MATCH($A233,CLASSNAMEHEADERS,0))),(INDEX(ALLCLASSDATA,MATCH("ReflexSaveMaster",CLASSFEATUREHEADERS,0),MATCH(($A233 &amp; "Points"),CLASSNAMEHEADERS,0))),(IF("03"=(INDEX(ALLCLASSDATA,MATCH("ReflexSaveExpert",CLASSFEATUREHEADERS,0),MATCH($A233,CLASSNAMEHEADERS,0))),(INDEX(ALLCLASSDATA,MATCH("ReflexSaveExpert",CLASSFEATUREHEADERS,0),MATCH(($A233 &amp; "Points"),CLASSNAMEHEADERS,0))),(IF("03"=(INDEX(ALLCLASSDATA,MATCH("ReflexSaveTrained",CLASSFEATUREHEADERS,0),MATCH($A233,CLASSNAMEHEADERS,0))),(INDEX(ALLCLASSDATA,MATCH("ReflexSaveTrained",CLASSFEATUREHEADERS,0),MATCH(($A233 &amp; "Points"),CLASSNAMEHEADERS,0))),"")))))))))}</f>
        <v>REFLEXL03</v>
      </c>
      <c r="K232" s="223"/>
      <c r="L232" s="223" t="str">
        <f t="array" ref="L232:L233">{"REFLEXL05";((IF("05"=(INDEX(ALLCLASSDATA,MATCH("ReflexSaveLegendary",CLASSFEATUREHEADERS,0),MATCH($A233,CLASSNAMEHEADERS,0))),(INDEX(ALLCLASSDATA,MATCH("ReflexSaveLegendary",CLASSFEATUREHEADERS,0),MATCH(($A233 &amp; "Points"),CLASSNAMEHEADERS,0))),(IF("05"=(INDEX(ALLCLASSDATA,MATCH("ReflexSaveMaster",CLASSFEATUREHEADERS,0),MATCH($A233,CLASSNAMEHEADERS,0))),(INDEX(ALLCLASSDATA,MATCH("ReflexSaveMaster",CLASSFEATUREHEADERS,0),MATCH(($A233 &amp; "Points"),CLASSNAMEHEADERS,0))),(IF("05"=(INDEX(ALLCLASSDATA,MATCH("ReflexSaveExpert",CLASSFEATUREHEADERS,0),MATCH($A233,CLASSNAMEHEADERS,0))),(INDEX(ALLCLASSDATA,MATCH("ReflexSaveExpert",CLASSFEATUREHEADERS,0),MATCH(($A233 &amp; "Points"),CLASSNAMEHEADERS,0))),(IF("05"=(INDEX(ALLCLASSDATA,MATCH("ReflexSaveTrained",CLASSFEATUREHEADERS,0),MATCH($A233,CLASSNAMEHEADERS,0))),(INDEX(ALLCLASSDATA,MATCH("ReflexSaveTrained",CLASSFEATUREHEADERS,0),MATCH(($A233 &amp; "Points"),CLASSNAMEHEADERS,0))),"")))))))))}</f>
        <v>REFLEXL05</v>
      </c>
      <c r="M232" s="223"/>
      <c r="N232" s="223" t="str">
        <f t="array" ref="N232:N233">{"REFLEXL07";((IF("07"=(INDEX(ALLCLASSDATA,MATCH("ReflexSaveLegendary",CLASSFEATUREHEADERS,0),MATCH($A233,CLASSNAMEHEADERS,0))),(INDEX(ALLCLASSDATA,MATCH("ReflexSaveLegendary",CLASSFEATUREHEADERS,0),MATCH(($A233 &amp; "Points"),CLASSNAMEHEADERS,0))),(IF("07"=(INDEX(ALLCLASSDATA,MATCH("ReflexSaveMaster",CLASSFEATUREHEADERS,0),MATCH($A233,CLASSNAMEHEADERS,0))),(INDEX(ALLCLASSDATA,MATCH("ReflexSaveMaster",CLASSFEATUREHEADERS,0),MATCH(($A233 &amp; "Points"),CLASSNAMEHEADERS,0))),(IF("07"=(INDEX(ALLCLASSDATA,MATCH("ReflexSaveExpert",CLASSFEATUREHEADERS,0),MATCH($A233,CLASSNAMEHEADERS,0))),(INDEX(ALLCLASSDATA,MATCH("ReflexSaveExpert",CLASSFEATUREHEADERS,0),MATCH(($A233 &amp; "Points"),CLASSNAMEHEADERS,0))),(IF("07"=(INDEX(ALLCLASSDATA,MATCH("ReflexSaveTrained",CLASSFEATUREHEADERS,0),MATCH($A233,CLASSNAMEHEADERS,0))),(INDEX(ALLCLASSDATA,MATCH("ReflexSaveTrained",CLASSFEATUREHEADERS,0),MATCH(($A233 &amp; "Points"),CLASSNAMEHEADERS,0))),"")))))))))}</f>
        <v>REFLEXL07</v>
      </c>
      <c r="O232" s="223"/>
      <c r="P232" s="223" t="str">
        <f t="array" ref="P232:P233">{"REFLEXL09";((IF("09"=(INDEX(ALLCLASSDATA,MATCH("ReflexSaveLegendary",CLASSFEATUREHEADERS,0),MATCH($A233,CLASSNAMEHEADERS,0))),(INDEX(ALLCLASSDATA,MATCH("ReflexSaveLegendary",CLASSFEATUREHEADERS,0),MATCH(($A233 &amp; "Points"),CLASSNAMEHEADERS,0))),(IF("09"=(INDEX(ALLCLASSDATA,MATCH("ReflexSaveMaster",CLASSFEATUREHEADERS,0),MATCH($A233,CLASSNAMEHEADERS,0))),(INDEX(ALLCLASSDATA,MATCH("ReflexSaveMaster",CLASSFEATUREHEADERS,0),MATCH(($A233 &amp; "Points"),CLASSNAMEHEADERS,0))),(IF("09"=(INDEX(ALLCLASSDATA,MATCH("ReflexSaveExpert",CLASSFEATUREHEADERS,0),MATCH($A233,CLASSNAMEHEADERS,0))),(INDEX(ALLCLASSDATA,MATCH("ReflexSaveExpert",CLASSFEATUREHEADERS,0),MATCH(($A233 &amp; "Points"),CLASSNAMEHEADERS,0))),(IF("09"=(INDEX(ALLCLASSDATA,MATCH("ReflexSaveTrained",CLASSFEATUREHEADERS,0),MATCH($A233,CLASSNAMEHEADERS,0))),(INDEX(ALLCLASSDATA,MATCH("ReflexSaveTrained",CLASSFEATUREHEADERS,0),MATCH(($A233 &amp; "Points"),CLASSNAMEHEADERS,0))),"")))))))))}</f>
        <v>REFLEXL09</v>
      </c>
      <c r="Q232" s="223"/>
      <c r="R232" s="223" t="str">
        <f t="array" ref="R232:R233">{"REFLEXL11";((IF("11"=(INDEX(ALLCLASSDATA,MATCH("ReflexSaveLegendary",CLASSFEATUREHEADERS,0),MATCH($A233,CLASSNAMEHEADERS,0))),(INDEX(ALLCLASSDATA,MATCH("ReflexSaveLegendary",CLASSFEATUREHEADERS,0),MATCH(($A233 &amp; "Points"),CLASSNAMEHEADERS,0))),(IF("11"=(INDEX(ALLCLASSDATA,MATCH("ReflexSaveMaster",CLASSFEATUREHEADERS,0),MATCH($A233,CLASSNAMEHEADERS,0))),(INDEX(ALLCLASSDATA,MATCH("ReflexSaveMaster",CLASSFEATUREHEADERS,0),MATCH(($A233 &amp; "Points"),CLASSNAMEHEADERS,0))),(IF("11"=(INDEX(ALLCLASSDATA,MATCH("ReflexSaveExpert",CLASSFEATUREHEADERS,0),MATCH($A233,CLASSNAMEHEADERS,0))),(INDEX(ALLCLASSDATA,MATCH("ReflexSaveExpert",CLASSFEATUREHEADERS,0),MATCH(($A233 &amp; "Points"),CLASSNAMEHEADERS,0))),(IF("11"=(INDEX(ALLCLASSDATA,MATCH("ReflexSaveTrained",CLASSFEATUREHEADERS,0),MATCH($A233,CLASSNAMEHEADERS,0))),(INDEX(ALLCLASSDATA,MATCH("ReflexSaveTrained",CLASSFEATUREHEADERS,0),MATCH(($A233 &amp; "Points"),CLASSNAMEHEADERS,0))),"")))))))))}</f>
        <v>REFLEXL11</v>
      </c>
      <c r="S232" s="223"/>
      <c r="T232" s="223" t="str">
        <f t="array" ref="T232:T233">{"REFLEXL13";((IF("13"=(INDEX(ALLCLASSDATA,MATCH("ReflexSaveLegendary",CLASSFEATUREHEADERS,0),MATCH($A233,CLASSNAMEHEADERS,0))),(INDEX(ALLCLASSDATA,MATCH("ReflexSaveLegendary",CLASSFEATUREHEADERS,0),MATCH(($A233 &amp; "Points"),CLASSNAMEHEADERS,0))),(IF("13"=(INDEX(ALLCLASSDATA,MATCH("ReflexSaveMaster",CLASSFEATUREHEADERS,0),MATCH($A233,CLASSNAMEHEADERS,0))),(INDEX(ALLCLASSDATA,MATCH("ReflexSaveMaster",CLASSFEATUREHEADERS,0),MATCH(($A233 &amp; "Points"),CLASSNAMEHEADERS,0))),(IF("13"=(INDEX(ALLCLASSDATA,MATCH("ReflexSaveExpert",CLASSFEATUREHEADERS,0),MATCH($A233,CLASSNAMEHEADERS,0))),(INDEX(ALLCLASSDATA,MATCH("ReflexSaveExpert",CLASSFEATUREHEADERS,0),MATCH(($A233 &amp; "Points"),CLASSNAMEHEADERS,0))),(IF("13"=(INDEX(ALLCLASSDATA,MATCH("ReflexSaveTrained",CLASSFEATUREHEADERS,0),MATCH($A233,CLASSNAMEHEADERS,0))),(INDEX(ALLCLASSDATA,MATCH("ReflexSaveTrained",CLASSFEATUREHEADERS,0),MATCH(($A233 &amp; "Points"),CLASSNAMEHEADERS,0))),"")))))))))}</f>
        <v>REFLEXL13</v>
      </c>
      <c r="U232" s="223"/>
      <c r="V232" s="223" t="str">
        <f t="array" ref="V232:V233">{"REFLEXL15";((IF("15"=(INDEX(ALLCLASSDATA,MATCH("ReflexSaveLegendary",CLASSFEATUREHEADERS,0),MATCH($A233,CLASSNAMEHEADERS,0))),(INDEX(ALLCLASSDATA,MATCH("ReflexSaveLegendary",CLASSFEATUREHEADERS,0),MATCH(($A233 &amp; "Points"),CLASSNAMEHEADERS,0))),(IF("15"=(INDEX(ALLCLASSDATA,MATCH("ReflexSaveMaster",CLASSFEATUREHEADERS,0),MATCH($A233,CLASSNAMEHEADERS,0))),(INDEX(ALLCLASSDATA,MATCH("ReflexSaveMaster",CLASSFEATUREHEADERS,0),MATCH(($A233 &amp; "Points"),CLASSNAMEHEADERS,0))),(IF("15"=(INDEX(ALLCLASSDATA,MATCH("ReflexSaveExpert",CLASSFEATUREHEADERS,0),MATCH($A233,CLASSNAMEHEADERS,0))),(INDEX(ALLCLASSDATA,MATCH("ReflexSaveExpert",CLASSFEATUREHEADERS,0),MATCH(($A233 &amp; "Points"),CLASSNAMEHEADERS,0))),(IF("15"=(INDEX(ALLCLASSDATA,MATCH("ReflexSaveTrained",CLASSFEATUREHEADERS,0),MATCH($A233,CLASSNAMEHEADERS,0))),(INDEX(ALLCLASSDATA,MATCH("ReflexSaveTrained",CLASSFEATUREHEADERS,0),MATCH(($A233 &amp; "Points"),CLASSNAMEHEADERS,0))),"")))))))))}</f>
        <v>REFLEXL15</v>
      </c>
      <c r="W232" s="223"/>
      <c r="X232" s="223" t="str">
        <f t="array" ref="X232:X233">{"REFLEXL17";((IF("17"=(INDEX(ALLCLASSDATA,MATCH("ReflexSaveLegendary",CLASSFEATUREHEADERS,0),MATCH($A233,CLASSNAMEHEADERS,0))),(INDEX(ALLCLASSDATA,MATCH("ReflexSaveLegendary",CLASSFEATUREHEADERS,0),MATCH(($A233 &amp; "Points"),CLASSNAMEHEADERS,0))),(IF("17"=(INDEX(ALLCLASSDATA,MATCH("ReflexSaveMaster",CLASSFEATUREHEADERS,0),MATCH($A233,CLASSNAMEHEADERS,0))),(INDEX(ALLCLASSDATA,MATCH("ReflexSaveMaster",CLASSFEATUREHEADERS,0),MATCH(($A233 &amp; "Points"),CLASSNAMEHEADERS,0))),(IF("17"=(INDEX(ALLCLASSDATA,MATCH("ReflexSaveExpert",CLASSFEATUREHEADERS,0),MATCH($A233,CLASSNAMEHEADERS,0))),(INDEX(ALLCLASSDATA,MATCH("ReflexSaveExpert",CLASSFEATUREHEADERS,0),MATCH(($A233 &amp; "Points"),CLASSNAMEHEADERS,0))),(IF("17"=(INDEX(ALLCLASSDATA,MATCH("ReflexSaveTrained",CLASSFEATUREHEADERS,0),MATCH($A233,CLASSNAMEHEADERS,0))),(INDEX(ALLCLASSDATA,MATCH("ReflexSaveTrained",CLASSFEATUREHEADERS,0),MATCH(($A233 &amp; "Points"),CLASSNAMEHEADERS,0))),"")))))))))}</f>
        <v>REFLEXL17</v>
      </c>
      <c r="Y232" s="223"/>
      <c r="Z232" s="223" t="str">
        <f t="array" ref="Z232:Z233">{"REFLEXL19";((IF("19"=(INDEX(ALLCLASSDATA,MATCH("ReflexSaveLegendary",CLASSFEATUREHEADERS,0),MATCH($A233,CLASSNAMEHEADERS,0))),(INDEX(ALLCLASSDATA,MATCH("ReflexSaveLegendary",CLASSFEATUREHEADERS,0),MATCH(($A233 &amp; "Points"),CLASSNAMEHEADERS,0))),(IF("19"=(INDEX(ALLCLASSDATA,MATCH("ReflexSaveMaster",CLASSFEATUREHEADERS,0),MATCH($A233,CLASSNAMEHEADERS,0))),(INDEX(ALLCLASSDATA,MATCH("ReflexSaveMaster",CLASSFEATUREHEADERS,0),MATCH(($A233 &amp; "Points"),CLASSNAMEHEADERS,0))),(IF("19"=(INDEX(ALLCLASSDATA,MATCH("ReflexSaveExpert",CLASSFEATUREHEADERS,0),MATCH($A233,CLASSNAMEHEADERS,0))),(INDEX(ALLCLASSDATA,MATCH("ReflexSaveExpert",CLASSFEATUREHEADERS,0),MATCH(($A233 &amp; "Points"),CLASSNAMEHEADERS,0))),(IF("19"=(INDEX(ALLCLASSDATA,MATCH("ReflexSaveTrained",CLASSFEATUREHEADERS,0),MATCH($A233,CLASSNAMEHEADERS,0))),(INDEX(ALLCLASSDATA,MATCH("ReflexSaveTrained",CLASSFEATUREHEADERS,0),MATCH(($A233 &amp; "Points"),CLASSNAMEHEADERS,0))),"")))))))))}</f>
        <v>REFLEXL19</v>
      </c>
      <c r="AA232" s="223"/>
      <c r="AB232" s="76" t="str">
        <f t="array" ref="AB232:AB233">{"REFLEX TOTAL";(IF(COUNTBLANK(G233:AA233)=17,"L",(IF(COUNTBLANK(G233:AA233)=18,"M",(IF(COUNTBLANK(G233:AA233)=19,"E",(IF(COUNTBLANK(G233:AA233)=20,"T",""))))))))}</f>
        <v>REFLEX TOTAL</v>
      </c>
      <c r="AC232" s="76" t="str">
        <f t="array" ref="AC232:AC233">{"REFLEX TOTAL";(sum(G233:AA233))}</f>
        <v>REFLEX TOTAL</v>
      </c>
    </row>
    <row r="233">
      <c r="A233" s="48" t="s">
        <v>109</v>
      </c>
      <c r="B233" s="48"/>
      <c r="C233" s="48" t="s">
        <v>406</v>
      </c>
      <c r="D233" s="48" t="s">
        <v>1549</v>
      </c>
      <c r="E233" s="48" t="s">
        <v>1572</v>
      </c>
      <c r="F233" s="5" t="s">
        <v>436</v>
      </c>
      <c r="G233" s="47">
        <v>10.0</v>
      </c>
      <c r="H233" s="5">
        <v>50.0</v>
      </c>
      <c r="I233" s="5"/>
      <c r="J233" s="5" t="s">
        <v>603</v>
      </c>
      <c r="K233" s="5"/>
      <c r="L233" s="5" t="s">
        <v>603</v>
      </c>
      <c r="M233" s="5"/>
      <c r="N233" s="5" t="s">
        <v>603</v>
      </c>
      <c r="O233" s="5"/>
      <c r="P233" s="5" t="s">
        <v>603</v>
      </c>
      <c r="Q233" s="5"/>
      <c r="R233" s="5" t="s">
        <v>603</v>
      </c>
      <c r="S233" s="5"/>
      <c r="T233" s="5" t="s">
        <v>603</v>
      </c>
      <c r="U233" s="5"/>
      <c r="V233" s="5">
        <v>110.0</v>
      </c>
      <c r="W233" s="5"/>
      <c r="X233" s="5" t="s">
        <v>603</v>
      </c>
      <c r="Y233" s="5"/>
      <c r="Z233" s="5" t="s">
        <v>603</v>
      </c>
      <c r="AA233" s="5"/>
      <c r="AB233" s="5" t="s">
        <v>437</v>
      </c>
      <c r="AC233" s="47">
        <v>170.0</v>
      </c>
    </row>
    <row r="234" hidden="1">
      <c r="A234" s="222" t="str">
        <f t="array" ref="A234:A235">{"FormulaRow25";(INDEX(CLASSLIST,A185,1))}</f>
        <v>FormulaRow25</v>
      </c>
      <c r="B234" s="77" t="s">
        <v>236</v>
      </c>
      <c r="C234" s="222" t="str">
        <f t="array" ref="C234:C235">{"CLASSTYPE";((INDEX(ALLCLASSDATA,MATCH("ClassType",CLASSFEATUREHEADERS,0),MATCH($A235,CLASSNAMEHEADERS,0))))}</f>
        <v>CLASSTYPE</v>
      </c>
      <c r="D234" s="222" t="str">
        <f t="array" ref="D234:D235">{"SAVES";"Saves"}</f>
        <v>SAVES</v>
      </c>
      <c r="E234" s="222" t="str">
        <f t="array" ref="E234:E235">{"WILLSAVE";"WillSave"}</f>
        <v>WILLSAVE</v>
      </c>
      <c r="F234" s="223" t="str">
        <f t="array" ref="F234:F235">{"WILLINITIAL";((IF(H235=10,"T",(IF(H235=50,"E","")))))}</f>
        <v>WILLINITIAL</v>
      </c>
      <c r="G234" s="223" t="str">
        <f t="array" ref="G234:G235">{"WILLINITIALPTS";((IF("00"=(INDEX(ALLCLASSDATA,MATCH("WillSaveLegendary",CLASSFEATUREHEADERS,0),MATCH($A235,CLASSNAMEHEADERS,0))),(INDEX(ALLCLASSDATA,MATCH("WillSaveLegendary",CLASSFEATUREHEADERS,0),MATCH(($A235 &amp; "Points"),CLASSNAMEHEADERS,0))),(IF("00"=(INDEX(ALLCLASSDATA,MATCH("WillSaveMaster",CLASSFEATUREHEADERS,0),MATCH($A235,CLASSNAMEHEADERS,0))),(INDEX(ALLCLASSDATA,MATCH("WillSaveMaster",CLASSFEATUREHEADERS,0),MATCH(($A235 &amp; "Points"),CLASSNAMEHEADERS,0))),(IF("00"=(INDEX(ALLCLASSDATA,MATCH("WillSaveExpert",CLASSFEATUREHEADERS,0),MATCH($A235,CLASSNAMEHEADERS,0))),(INDEX(ALLCLASSDATA,MATCH("WillSaveExpert",CLASSFEATUREHEADERS,0),MATCH(($A235 &amp; "Points"),CLASSNAMEHEADERS,0))),(IF("00"=(INDEX(ALLCLASSDATA,MATCH("WillSaveTrained",CLASSFEATUREHEADERS,0),MATCH($A235,CLASSNAMEHEADERS,0))),(INDEX(ALLCLASSDATA,MATCH("WillSaveTrained",CLASSFEATUREHEADERS,0),MATCH(($A235 &amp; "Points"),CLASSNAMEHEADERS,0))),"")))))))))}</f>
        <v>WILLINITIALPTS</v>
      </c>
      <c r="H234" s="223" t="str">
        <f t="array" ref="H234:H235">{"WILLL01";((IF("01"=(INDEX(ALLCLASSDATA,MATCH("WillSaveLegendary",CLASSFEATUREHEADERS,0),MATCH($A235,CLASSNAMEHEADERS,0))),(INDEX(ALLCLASSDATA,MATCH("WillSaveLegendary",CLASSFEATUREHEADERS,0),MATCH(($A235 &amp; "Points"),CLASSNAMEHEADERS,0))),(IF("01"=(INDEX(ALLCLASSDATA,MATCH("WillSaveMaster",CLASSFEATUREHEADERS,0),MATCH($A235,CLASSNAMEHEADERS,0))),(INDEX(ALLCLASSDATA,MATCH("WillSaveMaster",CLASSFEATUREHEADERS,0),MATCH(($A235 &amp; "Points"),CLASSNAMEHEADERS,0))),(IF("01"=(INDEX(ALLCLASSDATA,MATCH("WillSaveExpert",CLASSFEATUREHEADERS,0),MATCH($A235,CLASSNAMEHEADERS,0))),(INDEX(ALLCLASSDATA,MATCH("WillSaveExpert",CLASSFEATUREHEADERS,0),MATCH(($A235 &amp; "Points"),CLASSNAMEHEADERS,0))),(IF("01"=(INDEX(ALLCLASSDATA,MATCH("WillSaveTrained",CLASSFEATUREHEADERS,0),MATCH($A235,CLASSNAMEHEADERS,0))),(INDEX(ALLCLASSDATA,MATCH("WillSaveTrained",CLASSFEATUREHEADERS,0),MATCH(($A235 &amp; "Points"),CLASSNAMEHEADERS,0))),"")))))))))}</f>
        <v>WILLL01</v>
      </c>
      <c r="I234" s="223"/>
      <c r="J234" s="223" t="str">
        <f t="array" ref="J234:J235">{"WILLL03";((IF("03"=(INDEX(ALLCLASSDATA,MATCH("WillSaveLegendary",CLASSFEATUREHEADERS,0),MATCH($A235,CLASSNAMEHEADERS,0))),(INDEX(ALLCLASSDATA,MATCH("WillSaveLegendary",CLASSFEATUREHEADERS,0),MATCH(($A235 &amp; "Points"),CLASSNAMEHEADERS,0))),(IF("03"=(INDEX(ALLCLASSDATA,MATCH("WillSaveMaster",CLASSFEATUREHEADERS,0),MATCH($A235,CLASSNAMEHEADERS,0))),(INDEX(ALLCLASSDATA,MATCH("WillSaveMaster",CLASSFEATUREHEADERS,0),MATCH(($A235 &amp; "Points"),CLASSNAMEHEADERS,0))),(IF("03"=(INDEX(ALLCLASSDATA,MATCH("WillSaveExpert",CLASSFEATUREHEADERS,0),MATCH($A235,CLASSNAMEHEADERS,0))),(INDEX(ALLCLASSDATA,MATCH("WillSaveExpert",CLASSFEATUREHEADERS,0),MATCH(($A235 &amp; "Points"),CLASSNAMEHEADERS,0))),(IF("03"=(INDEX(ALLCLASSDATA,MATCH("WillSaveTrained",CLASSFEATUREHEADERS,0),MATCH($A235,CLASSNAMEHEADERS,0))),(INDEX(ALLCLASSDATA,MATCH("WillSaveTrained",CLASSFEATUREHEADERS,0),MATCH(($A235 &amp; "Points"),CLASSNAMEHEADERS,0))),"")))))))))}</f>
        <v>WILLL03</v>
      </c>
      <c r="K234" s="223"/>
      <c r="L234" s="223" t="str">
        <f t="array" ref="L234:L235">{"WILLL05";((IF("05"=(INDEX(ALLCLASSDATA,MATCH("WillSaveLegendary",CLASSFEATUREHEADERS,0),MATCH($A235,CLASSNAMEHEADERS,0))),(INDEX(ALLCLASSDATA,MATCH("WillSaveLegendary",CLASSFEATUREHEADERS,0),MATCH(($A235 &amp; "Points"),CLASSNAMEHEADERS,0))),(IF("05"=(INDEX(ALLCLASSDATA,MATCH("WillSaveMaster",CLASSFEATUREHEADERS,0),MATCH($A235,CLASSNAMEHEADERS,0))),(INDEX(ALLCLASSDATA,MATCH("WillSaveMaster",CLASSFEATUREHEADERS,0),MATCH(($A235 &amp; "Points"),CLASSNAMEHEADERS,0))),(IF("05"=(INDEX(ALLCLASSDATA,MATCH("WillSaveExpert",CLASSFEATUREHEADERS,0),MATCH($A235,CLASSNAMEHEADERS,0))),(INDEX(ALLCLASSDATA,MATCH("WillSaveExpert",CLASSFEATUREHEADERS,0),MATCH(($A235 &amp; "Points"),CLASSNAMEHEADERS,0))),(IF("05"=(INDEX(ALLCLASSDATA,MATCH("WillSaveTrained",CLASSFEATUREHEADERS,0),MATCH($A235,CLASSNAMEHEADERS,0))),(INDEX(ALLCLASSDATA,MATCH("WillSaveTrained",CLASSFEATUREHEADERS,0),MATCH(($A235 &amp; "Points"),CLASSNAMEHEADERS,0))),"")))))))))}</f>
        <v>WILLL05</v>
      </c>
      <c r="M234" s="223"/>
      <c r="N234" s="223" t="str">
        <f t="array" ref="N234:N235">{"WILLL07";((IF("07"=(INDEX(ALLCLASSDATA,MATCH("WillSaveLegendary",CLASSFEATUREHEADERS,0),MATCH($A235,CLASSNAMEHEADERS,0))),(INDEX(ALLCLASSDATA,MATCH("WillSaveLegendary",CLASSFEATUREHEADERS,0),MATCH(($A235 &amp; "Points"),CLASSNAMEHEADERS,0))),(IF("07"=(INDEX(ALLCLASSDATA,MATCH("WillSaveMaster",CLASSFEATUREHEADERS,0),MATCH($A235,CLASSNAMEHEADERS,0))),(INDEX(ALLCLASSDATA,MATCH("WillSaveMaster",CLASSFEATUREHEADERS,0),MATCH(($A235 &amp; "Points"),CLASSNAMEHEADERS,0))),(IF("07"=(INDEX(ALLCLASSDATA,MATCH("WillSaveExpert",CLASSFEATUREHEADERS,0),MATCH($A235,CLASSNAMEHEADERS,0))),(INDEX(ALLCLASSDATA,MATCH("WillSaveExpert",CLASSFEATUREHEADERS,0),MATCH(($A235 &amp; "Points"),CLASSNAMEHEADERS,0))),(IF("07"=(INDEX(ALLCLASSDATA,MATCH("WillSaveTrained",CLASSFEATUREHEADERS,0),MATCH($A235,CLASSNAMEHEADERS,0))),(INDEX(ALLCLASSDATA,MATCH("WillSaveTrained",CLASSFEATUREHEADERS,0),MATCH(($A235 &amp; "Points"),CLASSNAMEHEADERS,0))),"")))))))))}</f>
        <v>WILLL07</v>
      </c>
      <c r="O234" s="223"/>
      <c r="P234" s="223" t="str">
        <f t="array" ref="P234:P235">{"WILLL09";((IF("09"=(INDEX(ALLCLASSDATA,MATCH("WillSaveLegendary",CLASSFEATUREHEADERS,0),MATCH($A235,CLASSNAMEHEADERS,0))),(INDEX(ALLCLASSDATA,MATCH("WillSaveLegendary",CLASSFEATUREHEADERS,0),MATCH(($A235 &amp; "Points"),CLASSNAMEHEADERS,0))),(IF("09"=(INDEX(ALLCLASSDATA,MATCH("WillSaveMaster",CLASSFEATUREHEADERS,0),MATCH($A235,CLASSNAMEHEADERS,0))),(INDEX(ALLCLASSDATA,MATCH("WillSaveMaster",CLASSFEATUREHEADERS,0),MATCH(($A235 &amp; "Points"),CLASSNAMEHEADERS,0))),(IF("09"=(INDEX(ALLCLASSDATA,MATCH("WillSaveExpert",CLASSFEATUREHEADERS,0),MATCH($A235,CLASSNAMEHEADERS,0))),(INDEX(ALLCLASSDATA,MATCH("WillSaveExpert",CLASSFEATUREHEADERS,0),MATCH(($A235 &amp; "Points"),CLASSNAMEHEADERS,0))),(IF("09"=(INDEX(ALLCLASSDATA,MATCH("WillSaveTrained",CLASSFEATUREHEADERS,0),MATCH($A235,CLASSNAMEHEADERS,0))),(INDEX(ALLCLASSDATA,MATCH("WillSaveTrained",CLASSFEATUREHEADERS,0),MATCH(($A235 &amp; "Points"),CLASSNAMEHEADERS,0))),"")))))))))}</f>
        <v>WILLL09</v>
      </c>
      <c r="Q234" s="223"/>
      <c r="R234" s="223" t="str">
        <f t="array" ref="R234:R235">{"WILLL11";((IF("11"=(INDEX(ALLCLASSDATA,MATCH("WillSaveLegendary",CLASSFEATUREHEADERS,0),MATCH($A235,CLASSNAMEHEADERS,0))),(INDEX(ALLCLASSDATA,MATCH("WillSaveLegendary",CLASSFEATUREHEADERS,0),MATCH(($A235 &amp; "Points"),CLASSNAMEHEADERS,0))),(IF("11"=(INDEX(ALLCLASSDATA,MATCH("WillSaveMaster",CLASSFEATUREHEADERS,0),MATCH($A235,CLASSNAMEHEADERS,0))),(INDEX(ALLCLASSDATA,MATCH("WillSaveMaster",CLASSFEATUREHEADERS,0),MATCH(($A235 &amp; "Points"),CLASSNAMEHEADERS,0))),(IF("11"=(INDEX(ALLCLASSDATA,MATCH("WillSaveExpert",CLASSFEATUREHEADERS,0),MATCH($A235,CLASSNAMEHEADERS,0))),(INDEX(ALLCLASSDATA,MATCH("WillSaveExpert",CLASSFEATUREHEADERS,0),MATCH(($A235 &amp; "Points"),CLASSNAMEHEADERS,0))),(IF("11"=(INDEX(ALLCLASSDATA,MATCH("WillSaveTrained",CLASSFEATUREHEADERS,0),MATCH($A235,CLASSNAMEHEADERS,0))),(INDEX(ALLCLASSDATA,MATCH("WillSaveTrained",CLASSFEATUREHEADERS,0),MATCH(($A235 &amp; "Points"),CLASSNAMEHEADERS,0))),"")))))))))}</f>
        <v>WILLL11</v>
      </c>
      <c r="S234" s="223"/>
      <c r="T234" s="223" t="str">
        <f t="array" ref="T234:T235">{"WILLL13";((IF("13"=(INDEX(ALLCLASSDATA,MATCH("WillSaveLegendary",CLASSFEATUREHEADERS,0),MATCH($A235,CLASSNAMEHEADERS,0))),(INDEX(ALLCLASSDATA,MATCH("WillSaveLegendary",CLASSFEATUREHEADERS,0),MATCH(($A235 &amp; "Points"),CLASSNAMEHEADERS,0))),(IF("13"=(INDEX(ALLCLASSDATA,MATCH("WillSaveMaster",CLASSFEATUREHEADERS,0),MATCH($A235,CLASSNAMEHEADERS,0))),(INDEX(ALLCLASSDATA,MATCH("WillSaveMaster",CLASSFEATUREHEADERS,0),MATCH(($A235 &amp; "Points"),CLASSNAMEHEADERS,0))),(IF("13"=(INDEX(ALLCLASSDATA,MATCH("WillSaveExpert",CLASSFEATUREHEADERS,0),MATCH($A235,CLASSNAMEHEADERS,0))),(INDEX(ALLCLASSDATA,MATCH("WillSaveExpert",CLASSFEATUREHEADERS,0),MATCH(($A235 &amp; "Points"),CLASSNAMEHEADERS,0))),(IF("13"=(INDEX(ALLCLASSDATA,MATCH("WillSaveTrained",CLASSFEATUREHEADERS,0),MATCH($A235,CLASSNAMEHEADERS,0))),(INDEX(ALLCLASSDATA,MATCH("WillSaveTrained",CLASSFEATUREHEADERS,0),MATCH(($A235 &amp; "Points"),CLASSNAMEHEADERS,0))),"")))))))))}</f>
        <v>WILLL13</v>
      </c>
      <c r="U234" s="223"/>
      <c r="V234" s="223" t="str">
        <f t="array" ref="V234:V235">{"WILLL15";((IF("15"=(INDEX(ALLCLASSDATA,MATCH("WillSaveLegendary",CLASSFEATUREHEADERS,0),MATCH($A235,CLASSNAMEHEADERS,0))),(INDEX(ALLCLASSDATA,MATCH("WillSaveLegendary",CLASSFEATUREHEADERS,0),MATCH(($A235 &amp; "Points"),CLASSNAMEHEADERS,0))),(IF("15"=(INDEX(ALLCLASSDATA,MATCH("WillSaveMaster",CLASSFEATUREHEADERS,0),MATCH($A235,CLASSNAMEHEADERS,0))),(INDEX(ALLCLASSDATA,MATCH("WillSaveMaster",CLASSFEATUREHEADERS,0),MATCH(($A235 &amp; "Points"),CLASSNAMEHEADERS,0))),(IF("15"=(INDEX(ALLCLASSDATA,MATCH("WillSaveExpert",CLASSFEATUREHEADERS,0),MATCH($A235,CLASSNAMEHEADERS,0))),(INDEX(ALLCLASSDATA,MATCH("WillSaveExpert",CLASSFEATUREHEADERS,0),MATCH(($A235 &amp; "Points"),CLASSNAMEHEADERS,0))),(IF("15"=(INDEX(ALLCLASSDATA,MATCH("WillSaveTrained",CLASSFEATUREHEADERS,0),MATCH($A235,CLASSNAMEHEADERS,0))),(INDEX(ALLCLASSDATA,MATCH("WillSaveTrained",CLASSFEATUREHEADERS,0),MATCH(($A235 &amp; "Points"),CLASSNAMEHEADERS,0))),"")))))))))}</f>
        <v>WILLL15</v>
      </c>
      <c r="W234" s="223"/>
      <c r="X234" s="223" t="str">
        <f t="array" ref="X234:X235">{"WILLL17";((IF("17"=(INDEX(ALLCLASSDATA,MATCH("WillSaveLegendary",CLASSFEATUREHEADERS,0),MATCH($A235,CLASSNAMEHEADERS,0))),(INDEX(ALLCLASSDATA,MATCH("WillSaveLegendary",CLASSFEATUREHEADERS,0),MATCH(($A235 &amp; "Points"),CLASSNAMEHEADERS,0))),(IF("17"=(INDEX(ALLCLASSDATA,MATCH("WillSaveMaster",CLASSFEATUREHEADERS,0),MATCH($A235,CLASSNAMEHEADERS,0))),(INDEX(ALLCLASSDATA,MATCH("WillSaveMaster",CLASSFEATUREHEADERS,0),MATCH(($A235 &amp; "Points"),CLASSNAMEHEADERS,0))),(IF("17"=(INDEX(ALLCLASSDATA,MATCH("WillSaveExpert",CLASSFEATUREHEADERS,0),MATCH($A235,CLASSNAMEHEADERS,0))),(INDEX(ALLCLASSDATA,MATCH("WillSaveExpert",CLASSFEATUREHEADERS,0),MATCH(($A235 &amp; "Points"),CLASSNAMEHEADERS,0))),(IF("17"=(INDEX(ALLCLASSDATA,MATCH("WillSaveTrained",CLASSFEATUREHEADERS,0),MATCH($A235,CLASSNAMEHEADERS,0))),(INDEX(ALLCLASSDATA,MATCH("WillSaveTrained",CLASSFEATUREHEADERS,0),MATCH(($A235 &amp; "Points"),CLASSNAMEHEADERS,0))),"")))))))))}</f>
        <v>WILLL17</v>
      </c>
      <c r="Y234" s="223"/>
      <c r="Z234" s="223" t="str">
        <f t="array" ref="Z234:Z235">{"WILLL19";((IF("19"=(INDEX(ALLCLASSDATA,MATCH("WillSaveLegendary",CLASSFEATUREHEADERS,0),MATCH($A235,CLASSNAMEHEADERS,0))),(INDEX(ALLCLASSDATA,MATCH("WillSaveLegendary",CLASSFEATUREHEADERS,0),MATCH(($A235 &amp; "Points"),CLASSNAMEHEADERS,0))),(IF("19"=(INDEX(ALLCLASSDATA,MATCH("WillSaveMaster",CLASSFEATUREHEADERS,0),MATCH($A235,CLASSNAMEHEADERS,0))),(INDEX(ALLCLASSDATA,MATCH("WillSaveMaster",CLASSFEATUREHEADERS,0),MATCH(($A235 &amp; "Points"),CLASSNAMEHEADERS,0))),(IF("19"=(INDEX(ALLCLASSDATA,MATCH("WillSaveExpert",CLASSFEATUREHEADERS,0),MATCH($A235,CLASSNAMEHEADERS,0))),(INDEX(ALLCLASSDATA,MATCH("WillSaveExpert",CLASSFEATUREHEADERS,0),MATCH(($A235 &amp; "Points"),CLASSNAMEHEADERS,0))),(IF("19"=(INDEX(ALLCLASSDATA,MATCH("WillSaveTrained",CLASSFEATUREHEADERS,0),MATCH($A235,CLASSNAMEHEADERS,0))),(INDEX(ALLCLASSDATA,MATCH("WillSaveTrained",CLASSFEATUREHEADERS,0),MATCH(($A235 &amp; "Points"),CLASSNAMEHEADERS,0))),"")))))))))}</f>
        <v>WILLL19</v>
      </c>
      <c r="AA234" s="223"/>
      <c r="AB234" s="76" t="str">
        <f t="array" ref="AB234:AB235">{"WILL TOTAL";(IF(COUNTBLANK(G235:AA235)=17,"L",(IF(COUNTBLANK(G235:AA235)=18,"M",(IF(COUNTBLANK(G235:AA235)=19,"E",(IF(COUNTBLANK(G235:AA235)=20,"T",""))))))))}</f>
        <v>WILL TOTAL</v>
      </c>
      <c r="AC234" s="76" t="str">
        <f t="array" ref="AC234:AC235">{"WILL TOTAL";(sum(G235:AA235))}</f>
        <v>WILL TOTAL</v>
      </c>
    </row>
    <row r="235">
      <c r="A235" s="48" t="s">
        <v>109</v>
      </c>
      <c r="B235" s="48"/>
      <c r="C235" s="48" t="s">
        <v>406</v>
      </c>
      <c r="D235" s="97" t="s">
        <v>1549</v>
      </c>
      <c r="E235" s="97" t="s">
        <v>1591</v>
      </c>
      <c r="F235" s="98" t="s">
        <v>435</v>
      </c>
      <c r="G235" s="132" t="s">
        <v>603</v>
      </c>
      <c r="H235" s="98">
        <v>10.0</v>
      </c>
      <c r="I235" s="98"/>
      <c r="J235" s="98">
        <v>50.0</v>
      </c>
      <c r="K235" s="98"/>
      <c r="L235" s="98" t="s">
        <v>603</v>
      </c>
      <c r="M235" s="97"/>
      <c r="N235" s="98" t="s">
        <v>603</v>
      </c>
      <c r="O235" s="98"/>
      <c r="P235" s="98" t="s">
        <v>603</v>
      </c>
      <c r="Q235" s="97"/>
      <c r="R235" s="98" t="s">
        <v>603</v>
      </c>
      <c r="S235" s="98"/>
      <c r="T235" s="98" t="s">
        <v>603</v>
      </c>
      <c r="U235" s="98"/>
      <c r="V235" s="98" t="s">
        <v>603</v>
      </c>
      <c r="W235" s="98"/>
      <c r="X235" s="98" t="s">
        <v>603</v>
      </c>
      <c r="Y235" s="98"/>
      <c r="Z235" s="98" t="s">
        <v>603</v>
      </c>
      <c r="AA235" s="98"/>
      <c r="AB235" s="5" t="s">
        <v>436</v>
      </c>
      <c r="AC235" s="47">
        <v>60.0</v>
      </c>
    </row>
    <row r="236" hidden="1">
      <c r="A236" s="222" t="str">
        <f t="array" ref="A236:A237">{"FormulaRow26";(INDEX(CLASSLIST,A185,1))}</f>
        <v>FormulaRow26</v>
      </c>
      <c r="B236" s="77" t="s">
        <v>236</v>
      </c>
      <c r="C236" s="222" t="str">
        <f t="array" ref="C236:C237">{"CLASSTYPE";((INDEX(ALLCLASSDATA,MATCH("ClassType",CLASSFEATUREHEADERS,0),MATCH($A237,CLASSNAMEHEADERS,0))))}</f>
        <v>CLASSTYPE</v>
      </c>
      <c r="D236" s="228" t="str">
        <f t="array" ref="D236:D237">{"ATTACK";"Attack"}</f>
        <v>ATTACK</v>
      </c>
      <c r="E236" s="228" t="str">
        <f t="array" ref="E236:E237">{"WEAPONSPECIAL";"WeaponCS/WS/GWS"}</f>
        <v>WEAPONSPECIAL</v>
      </c>
      <c r="F236" s="230"/>
      <c r="G236" s="230"/>
      <c r="H236" s="230" t="str">
        <f t="array" ref="H236:H237">{"WEAPONSPECIALL01";((IF("01"=INDEX(ALLCLASSDATA,MATCH("WeaponGreaterSpecialization",CLASSFEATUREHEADERS,0),MATCH($A237,CLASSNAMEHEADERS,0)),WeaponGWS,(IF("01"=INDEX(ALLCLASSDATA,MATCH("WeaponSpecialization",CLASSFEATUREHEADERS,0),MATCH($A237,CLASSNAMEHEADERS,0)),WeaponWS,(IF("01"=INDEX(ALLCLASSDATA,MATCH("WeaponCriticalSpecialization",CLASSFEATUREHEADERS,0),MATCH($A237,CLASSNAMEHEADERS,0)),WeaponCS,"")))))))}</f>
        <v>WEAPONSPECIALL01</v>
      </c>
      <c r="I236" s="230"/>
      <c r="J236" s="230" t="str">
        <f t="array" ref="J236:J237">{"WEAPONSPECIALL03";((IF("03"=INDEX(ALLCLASSDATA,MATCH("WeaponGreaterSpecialization",CLASSFEATUREHEADERS,0),MATCH($A237,CLASSNAMEHEADERS,0)),WeaponGWS,(IF("03"=INDEX(ALLCLASSDATA,MATCH("WeaponSpecialization",CLASSFEATUREHEADERS,0),MATCH($A237,CLASSNAMEHEADERS,0)),WeaponWS,(IF("03"=INDEX(ALLCLASSDATA,MATCH("WeaponCriticalSpecialization",CLASSFEATUREHEADERS,0),MATCH($A237,CLASSNAMEHEADERS,0)),WeaponCS,"")))))))}</f>
        <v>WEAPONSPECIALL03</v>
      </c>
      <c r="K236" s="230"/>
      <c r="L236" s="230" t="str">
        <f t="array" ref="L236:L237">{"WEAPONSPECIALL05";((IF("05"=INDEX(ALLCLASSDATA,MATCH("WeaponGreaterSpecialization",CLASSFEATUREHEADERS,0),MATCH($A237,CLASSNAMEHEADERS,0)),WeaponGWS,(IF("05"=INDEX(ALLCLASSDATA,MATCH("WeaponSpecialization",CLASSFEATUREHEADERS,0),MATCH($A237,CLASSNAMEHEADERS,0)),WeaponWS,(IF("05"=INDEX(ALLCLASSDATA,MATCH("WeaponCriticalSpecialization",CLASSFEATUREHEADERS,0),MATCH($A237,CLASSNAMEHEADERS,0)),WeaponCS,"")))))))}</f>
        <v>WEAPONSPECIALL05</v>
      </c>
      <c r="M236" s="230"/>
      <c r="N236" s="230" t="str">
        <f t="array" ref="N236:N237">{"WEAPONSPECIALL07";((IF("07"=INDEX(ALLCLASSDATA,MATCH("WeaponGreaterSpecialization",CLASSFEATUREHEADERS,0),MATCH($A237,CLASSNAMEHEADERS,0)),WeaponGWS,(IF("07"=INDEX(ALLCLASSDATA,MATCH("WeaponSpecialization",CLASSFEATUREHEADERS,0),MATCH($A237,CLASSNAMEHEADERS,0)),WeaponWS,(IF("07"=INDEX(ALLCLASSDATA,MATCH("WeaponCriticalSpecialization",CLASSFEATUREHEADERS,0),MATCH($A237,CLASSNAMEHEADERS,0)),WeaponCS,"")))))))}</f>
        <v>WEAPONSPECIALL07</v>
      </c>
      <c r="O236" s="230"/>
      <c r="P236" s="230" t="str">
        <f t="array" ref="P236:P237">{"WEAPONSPECIALL09";((IF("09"=INDEX(ALLCLASSDATA,MATCH("WeaponGreaterSpecialization",CLASSFEATUREHEADERS,0),MATCH($A237,CLASSNAMEHEADERS,0)),WeaponGWS,(IF("09"=INDEX(ALLCLASSDATA,MATCH("WeaponSpecialization",CLASSFEATUREHEADERS,0),MATCH($A237,CLASSNAMEHEADERS,0)),WeaponWS,(IF("09"=INDEX(ALLCLASSDATA,MATCH("WeaponCriticalSpecialization",CLASSFEATUREHEADERS,0),MATCH($A237,CLASSNAMEHEADERS,0)),WeaponCS,"")))))))}</f>
        <v>WEAPONSPECIALL09</v>
      </c>
      <c r="Q236" s="230"/>
      <c r="R236" s="230" t="str">
        <f t="array" ref="R236:R237">{"WEAPONSPECIALL11";((IF("11"=INDEX(ALLCLASSDATA,MATCH("WeaponGreaterSpecialization",CLASSFEATUREHEADERS,0),MATCH($A237,CLASSNAMEHEADERS,0)),WeaponGWS,(IF("11"=INDEX(ALLCLASSDATA,MATCH("WeaponSpecialization",CLASSFEATUREHEADERS,0),MATCH($A237,CLASSNAMEHEADERS,0)),WeaponWS,(IF("11"=INDEX(ALLCLASSDATA,MATCH("WeaponCriticalSpecialization",CLASSFEATUREHEADERS,0),MATCH($A237,CLASSNAMEHEADERS,0)),WeaponCS,"")))))))}</f>
        <v>WEAPONSPECIALL11</v>
      </c>
      <c r="S236" s="230"/>
      <c r="T236" s="230" t="str">
        <f t="array" ref="T236:T237">{"WEAPONSPECIALL13";((IF("13"=INDEX(ALLCLASSDATA,MATCH("WeaponGreaterSpecialization",CLASSFEATUREHEADERS,0),MATCH($A237,CLASSNAMEHEADERS,0)),WeaponGWS,(IF("13"=INDEX(ALLCLASSDATA,MATCH("WeaponSpecialization",CLASSFEATUREHEADERS,0),MATCH($A237,CLASSNAMEHEADERS,0)),WeaponWS,(IF("13"=INDEX(ALLCLASSDATA,MATCH("WeaponCriticalSpecialization",CLASSFEATUREHEADERS,0),MATCH($A237,CLASSNAMEHEADERS,0)),WeaponCS,"")))))))}</f>
        <v>WEAPONSPECIALL13</v>
      </c>
      <c r="U236" s="230"/>
      <c r="V236" s="230" t="str">
        <f t="array" ref="V236:V237">{"WEAPONSPECIALL15";((IF("15"=INDEX(ALLCLASSDATA,MATCH("WeaponGreaterSpecialization",CLASSFEATUREHEADERS,0),MATCH($A237,CLASSNAMEHEADERS,0)),WeaponGWS,(IF("15"=INDEX(ALLCLASSDATA,MATCH("WeaponSpecialization",CLASSFEATUREHEADERS,0),MATCH($A237,CLASSNAMEHEADERS,0)),WeaponWS,(IF("15"=INDEX(ALLCLASSDATA,MATCH("WeaponCriticalSpecialization",CLASSFEATUREHEADERS,0),MATCH($A237,CLASSNAMEHEADERS,0)),WeaponCS,"")))))))}</f>
        <v>WEAPONSPECIALL15</v>
      </c>
      <c r="W236" s="230"/>
      <c r="X236" s="230" t="str">
        <f t="array" ref="X236:X237">{"WEAPONSPECIALL17";((IF("17"=INDEX(ALLCLASSDATA,MATCH("WeaponGreaterSpecialization",CLASSFEATUREHEADERS,0),MATCH($A237,CLASSNAMEHEADERS,0)),WeaponGWS,(IF("17"=INDEX(ALLCLASSDATA,MATCH("WeaponSpecialization",CLASSFEATUREHEADERS,0),MATCH($A237,CLASSNAMEHEADERS,0)),WeaponWS,(IF("17"=INDEX(ALLCLASSDATA,MATCH("WeaponCriticalSpecialization",CLASSFEATUREHEADERS,0),MATCH($A237,CLASSNAMEHEADERS,0)),WeaponCS,"")))))))}</f>
        <v>WEAPONSPECIALL17</v>
      </c>
      <c r="Y236" s="230"/>
      <c r="Z236" s="230" t="str">
        <f t="array" ref="Z236:Z237">{"WEAPONSPECIALL19";((IF("19"=INDEX(ALLCLASSDATA,MATCH("WeaponGreaterSpecialization",CLASSFEATUREHEADERS,0),MATCH($A237,CLASSNAMEHEADERS,0)),WeaponGWS,(IF("19"=INDEX(ALLCLASSDATA,MATCH("WeaponSpecialization",CLASSFEATUREHEADERS,0),MATCH($A237,CLASSNAMEHEADERS,0)),WeaponWS,(IF("19"=INDEX(ALLCLASSDATA,MATCH("WeaponCriticalSpecialization",CLASSFEATUREHEADERS,0),MATCH($A237,CLASSNAMEHEADERS,0)),WeaponCS,"")))))))}</f>
        <v>WEAPONSPECIALL19</v>
      </c>
      <c r="AA236" s="230"/>
      <c r="AB236" s="76"/>
      <c r="AC236" s="76" t="str">
        <f t="array" ref="AC236:AC237">{"WEAPONSPECIAL TOTAL";(sum(G237:AA237))}</f>
        <v>WEAPONSPECIAL TOTAL</v>
      </c>
    </row>
    <row r="237">
      <c r="A237" s="48" t="s">
        <v>109</v>
      </c>
      <c r="B237" s="48"/>
      <c r="C237" s="48" t="s">
        <v>406</v>
      </c>
      <c r="D237" s="48" t="s">
        <v>1634</v>
      </c>
      <c r="E237" s="48" t="s">
        <v>1635</v>
      </c>
      <c r="F237" s="5"/>
      <c r="G237" s="47"/>
      <c r="H237" s="5" t="s">
        <v>603</v>
      </c>
      <c r="I237" s="5"/>
      <c r="J237" s="5" t="s">
        <v>603</v>
      </c>
      <c r="K237" s="5"/>
      <c r="L237" s="5">
        <v>50.0</v>
      </c>
      <c r="M237" s="5"/>
      <c r="N237" s="5">
        <v>70.0</v>
      </c>
      <c r="O237" s="5"/>
      <c r="P237" s="5" t="s">
        <v>603</v>
      </c>
      <c r="Q237" s="5"/>
      <c r="R237" s="5" t="s">
        <v>603</v>
      </c>
      <c r="S237" s="5"/>
      <c r="T237" s="5" t="s">
        <v>603</v>
      </c>
      <c r="U237" s="5"/>
      <c r="V237" s="5">
        <v>150.0</v>
      </c>
      <c r="W237" s="5"/>
      <c r="X237" s="5" t="s">
        <v>603</v>
      </c>
      <c r="Y237" s="5"/>
      <c r="Z237" s="5" t="s">
        <v>603</v>
      </c>
      <c r="AA237" s="5"/>
      <c r="AB237" s="5"/>
      <c r="AC237" s="47">
        <v>270.0</v>
      </c>
    </row>
    <row r="238" hidden="1">
      <c r="A238" s="222" t="str">
        <f t="array" ref="A238:A239">{"FormulaRow27";(INDEX(CLASSLIST,A185,1))}</f>
        <v>FormulaRow27</v>
      </c>
      <c r="B238" s="77" t="s">
        <v>236</v>
      </c>
      <c r="C238" s="222" t="str">
        <f t="array" ref="C238:C239">{"CLASSTYPE";((INDEX(ALLCLASSDATA,MATCH("ClassType",CLASSFEATUREHEADERS,0),MATCH($A239,CLASSNAMEHEADERS,0))))}</f>
        <v>CLASSTYPE</v>
      </c>
      <c r="D238" s="222" t="str">
        <f t="array" ref="D238:D239">{"ATTACK";"Attack"}</f>
        <v>ATTACK</v>
      </c>
      <c r="E238" s="222" t="str">
        <f t="array" ref="E238:E239">{"UNARMED";"Unarmed"}</f>
        <v>UNARMED</v>
      </c>
      <c r="F238" s="223" t="str">
        <f t="array" ref="F238:F239">{"UNARMEDINITIAL";((IF(H239=10,"T",(IF(H239=50,"E","")))))}</f>
        <v>UNARMEDINITIAL</v>
      </c>
      <c r="G238" s="223" t="str">
        <f t="array" ref="G238:G239">{"UNARMEDINITIALPTS";((IF("00"=(INDEX(ALLCLASSDATA,MATCH("UnarmedLegendary",CLASSFEATUREHEADERS,0),MATCH($A239,CLASSNAMEHEADERS,0))),(INDEX(ALLCLASSDATA,MATCH("UnarmedLegendary",CLASSFEATUREHEADERS,0),MATCH(($A239 &amp; "Points"),CLASSNAMEHEADERS,0))),(IF("00"=(INDEX(ALLCLASSDATA,MATCH("UnarmedMaster",CLASSFEATUREHEADERS,0),MATCH($A239,CLASSNAMEHEADERS,0))),(INDEX(ALLCLASSDATA,MATCH("UnarmedMaster",CLASSFEATUREHEADERS,0),MATCH(($A239 &amp; "Points"),CLASSNAMEHEADERS,0))),(IF("00"=(INDEX(ALLCLASSDATA,MATCH("UnarmedExpert",CLASSFEATUREHEADERS,0),MATCH($A239,CLASSNAMEHEADERS,0))),(INDEX(ALLCLASSDATA,MATCH("UnarmedExpert",CLASSFEATUREHEADERS,0),MATCH(($A239 &amp; "Points"),CLASSNAMEHEADERS,0))),(IF("00"=(INDEX(ALLCLASSDATA,MATCH("UnarmedTrained",CLASSFEATUREHEADERS,0),MATCH($A239,CLASSNAMEHEADERS,0))),(INDEX(ALLCLASSDATA,MATCH("UnarmedTrained",CLASSFEATUREHEADERS,0),MATCH(($A239 &amp; "Points"),CLASSNAMEHEADERS,0))),"")))))))))}</f>
        <v>UNARMEDINITIALPTS</v>
      </c>
      <c r="H238" s="223" t="str">
        <f t="array" ref="H238:H239">{"UNARMEDL01";((IF("01"=(INDEX(ALLCLASSDATA,MATCH("UnarmedLegendary",CLASSFEATUREHEADERS,0),MATCH($A239,CLASSNAMEHEADERS,0))),(INDEX(ALLCLASSDATA,MATCH("UnarmedLegendary",CLASSFEATUREHEADERS,0),MATCH(($A239 &amp; "Points"),CLASSNAMEHEADERS,0))),(IF("01"=(INDEX(ALLCLASSDATA,MATCH("UnarmedMaster",CLASSFEATUREHEADERS,0),MATCH($A239,CLASSNAMEHEADERS,0))),(INDEX(ALLCLASSDATA,MATCH("UnarmedMaster",CLASSFEATUREHEADERS,0),MATCH(($A239 &amp; "Points"),CLASSNAMEHEADERS,0))),(IF("01"=(INDEX(ALLCLASSDATA,MATCH("UnarmedExpert",CLASSFEATUREHEADERS,0),MATCH($A239,CLASSNAMEHEADERS,0))),(INDEX(ALLCLASSDATA,MATCH("UnarmedExpert",CLASSFEATUREHEADERS,0),MATCH(($A239 &amp; "Points"),CLASSNAMEHEADERS,0))),(IF("01"=(INDEX(ALLCLASSDATA,MATCH("UnarmedTrained",CLASSFEATUREHEADERS,0),MATCH($A239,CLASSNAMEHEADERS,0))),(INDEX(ALLCLASSDATA,MATCH("UnarmedTrained",CLASSFEATUREHEADERS,0),MATCH(($A239 &amp; "Points"),CLASSNAMEHEADERS,0))),"")))))))))}</f>
        <v>UNARMEDL01</v>
      </c>
      <c r="I238" s="223"/>
      <c r="J238" s="223" t="str">
        <f t="array" ref="J238:J239">{"UNARMEDL03";((IF("03"=(INDEX(ALLCLASSDATA,MATCH("UnarmedLegendary",CLASSFEATUREHEADERS,0),MATCH($A239,CLASSNAMEHEADERS,0))),(INDEX(ALLCLASSDATA,MATCH("UnarmedLegendary",CLASSFEATUREHEADERS,0),MATCH(($A239 &amp; "Points"),CLASSNAMEHEADERS,0))),(IF("03"=(INDEX(ALLCLASSDATA,MATCH("UnarmedMaster",CLASSFEATUREHEADERS,0),MATCH($A239,CLASSNAMEHEADERS,0))),(INDEX(ALLCLASSDATA,MATCH("UnarmedMaster",CLASSFEATUREHEADERS,0),MATCH(($A239 &amp; "Points"),CLASSNAMEHEADERS,0))),(IF("03"=(INDEX(ALLCLASSDATA,MATCH("UnarmedExpert",CLASSFEATUREHEADERS,0),MATCH($A239,CLASSNAMEHEADERS,0))),(INDEX(ALLCLASSDATA,MATCH("UnarmedExpert",CLASSFEATUREHEADERS,0),MATCH(($A239 &amp; "Points"),CLASSNAMEHEADERS,0))),(IF("03"=(INDEX(ALLCLASSDATA,MATCH("UnarmedTrained",CLASSFEATUREHEADERS,0),MATCH($A239,CLASSNAMEHEADERS,0))),(INDEX(ALLCLASSDATA,MATCH("UnarmedTrained",CLASSFEATUREHEADERS,0),MATCH(($A239 &amp; "Points"),CLASSNAMEHEADERS,0))),"")))))))))}</f>
        <v>UNARMEDL03</v>
      </c>
      <c r="K238" s="223"/>
      <c r="L238" s="223" t="str">
        <f t="array" ref="L238:L239">{"UNARMEDL05";((IF("05"=(INDEX(ALLCLASSDATA,MATCH("UnarmedLegendary",CLASSFEATUREHEADERS,0),MATCH($A239,CLASSNAMEHEADERS,0))),(INDEX(ALLCLASSDATA,MATCH("UnarmedLegendary",CLASSFEATUREHEADERS,0),MATCH(($A239 &amp; "Points"),CLASSNAMEHEADERS,0))),(IF("05"=(INDEX(ALLCLASSDATA,MATCH("UnarmedMaster",CLASSFEATUREHEADERS,0),MATCH($A239,CLASSNAMEHEADERS,0))),(INDEX(ALLCLASSDATA,MATCH("UnarmedMaster",CLASSFEATUREHEADERS,0),MATCH(($A239 &amp; "Points"),CLASSNAMEHEADERS,0))),(IF("05"=(INDEX(ALLCLASSDATA,MATCH("UnarmedExpert",CLASSFEATUREHEADERS,0),MATCH($A239,CLASSNAMEHEADERS,0))),(INDEX(ALLCLASSDATA,MATCH("UnarmedExpert",CLASSFEATUREHEADERS,0),MATCH(($A239 &amp; "Points"),CLASSNAMEHEADERS,0))),(IF("05"=(INDEX(ALLCLASSDATA,MATCH("UnarmedTrained",CLASSFEATUREHEADERS,0),MATCH($A239,CLASSNAMEHEADERS,0))),(INDEX(ALLCLASSDATA,MATCH("UnarmedTrained",CLASSFEATUREHEADERS,0),MATCH(($A239 &amp; "Points"),CLASSNAMEHEADERS,0))),"")))))))))}</f>
        <v>UNARMEDL05</v>
      </c>
      <c r="M238" s="223"/>
      <c r="N238" s="223" t="str">
        <f t="array" ref="N238:N239">{"UNARMEDL07";((IF("07"=(INDEX(ALLCLASSDATA,MATCH("UnarmedLegendary",CLASSFEATUREHEADERS,0),MATCH($A239,CLASSNAMEHEADERS,0))),(INDEX(ALLCLASSDATA,MATCH("UnarmedLegendary",CLASSFEATUREHEADERS,0),MATCH(($A239 &amp; "Points"),CLASSNAMEHEADERS,0))),(IF("07"=(INDEX(ALLCLASSDATA,MATCH("UnarmedMaster",CLASSFEATUREHEADERS,0),MATCH($A239,CLASSNAMEHEADERS,0))),(INDEX(ALLCLASSDATA,MATCH("UnarmedMaster",CLASSFEATUREHEADERS,0),MATCH(($A239 &amp; "Points"),CLASSNAMEHEADERS,0))),(IF("07"=(INDEX(ALLCLASSDATA,MATCH("UnarmedExpert",CLASSFEATUREHEADERS,0),MATCH($A239,CLASSNAMEHEADERS,0))),(INDEX(ALLCLASSDATA,MATCH("UnarmedExpert",CLASSFEATUREHEADERS,0),MATCH(($A239 &amp; "Points"),CLASSNAMEHEADERS,0))),(IF("07"=(INDEX(ALLCLASSDATA,MATCH("UnarmedTrained",CLASSFEATUREHEADERS,0),MATCH($A239,CLASSNAMEHEADERS,0))),(INDEX(ALLCLASSDATA,MATCH("UnarmedTrained",CLASSFEATUREHEADERS,0),MATCH(($A239 &amp; "Points"),CLASSNAMEHEADERS,0))),"")))))))))}</f>
        <v>UNARMEDL07</v>
      </c>
      <c r="O238" s="223"/>
      <c r="P238" s="223" t="str">
        <f t="array" ref="P238:P239">{"UNARMEDL09";((IF("09"=(INDEX(ALLCLASSDATA,MATCH("UnarmedLegendary",CLASSFEATUREHEADERS,0),MATCH($A239,CLASSNAMEHEADERS,0))),(INDEX(ALLCLASSDATA,MATCH("UnarmedLegendary",CLASSFEATUREHEADERS,0),MATCH(($A239 &amp; "Points"),CLASSNAMEHEADERS,0))),(IF("09"=(INDEX(ALLCLASSDATA,MATCH("UnarmedMaster",CLASSFEATUREHEADERS,0),MATCH($A239,CLASSNAMEHEADERS,0))),(INDEX(ALLCLASSDATA,MATCH("UnarmedMaster",CLASSFEATUREHEADERS,0),MATCH(($A239 &amp; "Points"),CLASSNAMEHEADERS,0))),(IF("09"=(INDEX(ALLCLASSDATA,MATCH("UnarmedExpert",CLASSFEATUREHEADERS,0),MATCH($A239,CLASSNAMEHEADERS,0))),(INDEX(ALLCLASSDATA,MATCH("UnarmedExpert",CLASSFEATUREHEADERS,0),MATCH(($A239 &amp; "Points"),CLASSNAMEHEADERS,0))),(IF("09"=(INDEX(ALLCLASSDATA,MATCH("UnarmedTrained",CLASSFEATUREHEADERS,0),MATCH($A239,CLASSNAMEHEADERS,0))),(INDEX(ALLCLASSDATA,MATCH("UnarmedTrained",CLASSFEATUREHEADERS,0),MATCH(($A239 &amp; "Points"),CLASSNAMEHEADERS,0))),"")))))))))}</f>
        <v>UNARMEDL09</v>
      </c>
      <c r="Q238" s="223"/>
      <c r="R238" s="223" t="str">
        <f t="array" ref="R238:R239">{"UNARMEDL11";((IF("11"=(INDEX(ALLCLASSDATA,MATCH("UnarmedLegendary",CLASSFEATUREHEADERS,0),MATCH($A239,CLASSNAMEHEADERS,0))),(INDEX(ALLCLASSDATA,MATCH("UnarmedLegendary",CLASSFEATUREHEADERS,0),MATCH(($A239 &amp; "Points"),CLASSNAMEHEADERS,0))),(IF("11"=(INDEX(ALLCLASSDATA,MATCH("UnarmedMaster",CLASSFEATUREHEADERS,0),MATCH($A239,CLASSNAMEHEADERS,0))),(INDEX(ALLCLASSDATA,MATCH("UnarmedMaster",CLASSFEATUREHEADERS,0),MATCH(($A239 &amp; "Points"),CLASSNAMEHEADERS,0))),(IF("11"=(INDEX(ALLCLASSDATA,MATCH("UnarmedExpert",CLASSFEATUREHEADERS,0),MATCH($A239,CLASSNAMEHEADERS,0))),(INDEX(ALLCLASSDATA,MATCH("UnarmedExpert",CLASSFEATUREHEADERS,0),MATCH(($A239 &amp; "Points"),CLASSNAMEHEADERS,0))),(IF("11"=(INDEX(ALLCLASSDATA,MATCH("UnarmedTrained",CLASSFEATUREHEADERS,0),MATCH($A239,CLASSNAMEHEADERS,0))),(INDEX(ALLCLASSDATA,MATCH("UnarmedTrained",CLASSFEATUREHEADERS,0),MATCH(($A239 &amp; "Points"),CLASSNAMEHEADERS,0))),"")))))))))}</f>
        <v>UNARMEDL11</v>
      </c>
      <c r="S238" s="223"/>
      <c r="T238" s="223" t="str">
        <f t="array" ref="T238:T239">{"UNARMEDL13";((IF("13"=(INDEX(ALLCLASSDATA,MATCH("UnarmedLegendary",CLASSFEATUREHEADERS,0),MATCH($A239,CLASSNAMEHEADERS,0))),(INDEX(ALLCLASSDATA,MATCH("UnarmedLegendary",CLASSFEATUREHEADERS,0),MATCH(($A239 &amp; "Points"),CLASSNAMEHEADERS,0))),(IF("13"=(INDEX(ALLCLASSDATA,MATCH("UnarmedMaster",CLASSFEATUREHEADERS,0),MATCH($A239,CLASSNAMEHEADERS,0))),(INDEX(ALLCLASSDATA,MATCH("UnarmedMaster",CLASSFEATUREHEADERS,0),MATCH(($A239 &amp; "Points"),CLASSNAMEHEADERS,0))),(IF("13"=(INDEX(ALLCLASSDATA,MATCH("UnarmedExpert",CLASSFEATUREHEADERS,0),MATCH($A239,CLASSNAMEHEADERS,0))),(INDEX(ALLCLASSDATA,MATCH("UnarmedExpert",CLASSFEATUREHEADERS,0),MATCH(($A239 &amp; "Points"),CLASSNAMEHEADERS,0))),(IF("13"=(INDEX(ALLCLASSDATA,MATCH("UnarmedTrained",CLASSFEATUREHEADERS,0),MATCH($A239,CLASSNAMEHEADERS,0))),(INDEX(ALLCLASSDATA,MATCH("UnarmedTrained",CLASSFEATUREHEADERS,0),MATCH(($A239 &amp; "Points"),CLASSNAMEHEADERS,0))),"")))))))))}</f>
        <v>UNARMEDL13</v>
      </c>
      <c r="U238" s="223"/>
      <c r="V238" s="223" t="str">
        <f t="array" ref="V238:V239">{"UNARMEDL15";((IF("15"=(INDEX(ALLCLASSDATA,MATCH("UnarmedLegendary",CLASSFEATUREHEADERS,0),MATCH($A239,CLASSNAMEHEADERS,0))),(INDEX(ALLCLASSDATA,MATCH("UnarmedLegendary",CLASSFEATUREHEADERS,0),MATCH(($A239 &amp; "Points"),CLASSNAMEHEADERS,0))),(IF("15"=(INDEX(ALLCLASSDATA,MATCH("UnarmedMaster",CLASSFEATUREHEADERS,0),MATCH($A239,CLASSNAMEHEADERS,0))),(INDEX(ALLCLASSDATA,MATCH("UnarmedMaster",CLASSFEATUREHEADERS,0),MATCH(($A239 &amp; "Points"),CLASSNAMEHEADERS,0))),(IF("15"=(INDEX(ALLCLASSDATA,MATCH("UnarmedExpert",CLASSFEATUREHEADERS,0),MATCH($A239,CLASSNAMEHEADERS,0))),(INDEX(ALLCLASSDATA,MATCH("UnarmedExpert",CLASSFEATUREHEADERS,0),MATCH(($A239 &amp; "Points"),CLASSNAMEHEADERS,0))),(IF("15"=(INDEX(ALLCLASSDATA,MATCH("UnarmedTrained",CLASSFEATUREHEADERS,0),MATCH($A239,CLASSNAMEHEADERS,0))),(INDEX(ALLCLASSDATA,MATCH("UnarmedTrained",CLASSFEATUREHEADERS,0),MATCH(($A239 &amp; "Points"),CLASSNAMEHEADERS,0))),"")))))))))}</f>
        <v>UNARMEDL15</v>
      </c>
      <c r="W238" s="223"/>
      <c r="X238" s="223" t="str">
        <f t="array" ref="X238:X239">{"UNARMEDL17";((IF("17"=(INDEX(ALLCLASSDATA,MATCH("UnarmedLegendary",CLASSFEATUREHEADERS,0),MATCH($A239,CLASSNAMEHEADERS,0))),(INDEX(ALLCLASSDATA,MATCH("UnarmedLegendary",CLASSFEATUREHEADERS,0),MATCH(($A239 &amp; "Points"),CLASSNAMEHEADERS,0))),(IF("17"=(INDEX(ALLCLASSDATA,MATCH("UnarmedMaster",CLASSFEATUREHEADERS,0),MATCH($A239,CLASSNAMEHEADERS,0))),(INDEX(ALLCLASSDATA,MATCH("UnarmedMaster",CLASSFEATUREHEADERS,0),MATCH(($A239 &amp; "Points"),CLASSNAMEHEADERS,0))),(IF("17"=(INDEX(ALLCLASSDATA,MATCH("UnarmedExpert",CLASSFEATUREHEADERS,0),MATCH($A239,CLASSNAMEHEADERS,0))),(INDEX(ALLCLASSDATA,MATCH("UnarmedExpert",CLASSFEATUREHEADERS,0),MATCH(($A239 &amp; "Points"),CLASSNAMEHEADERS,0))),(IF("17"=(INDEX(ALLCLASSDATA,MATCH("UnarmedTrained",CLASSFEATUREHEADERS,0),MATCH($A239,CLASSNAMEHEADERS,0))),(INDEX(ALLCLASSDATA,MATCH("UnarmedTrained",CLASSFEATUREHEADERS,0),MATCH(($A239 &amp; "Points"),CLASSNAMEHEADERS,0))),"")))))))))}</f>
        <v>UNARMEDL17</v>
      </c>
      <c r="Y238" s="223"/>
      <c r="Z238" s="223" t="str">
        <f t="array" ref="Z238:Z239">{"UNARMEDL19";((IF("19"=(INDEX(ALLCLASSDATA,MATCH("UnarmedLegendary",CLASSFEATUREHEADERS,0),MATCH($A239,CLASSNAMEHEADERS,0))),(INDEX(ALLCLASSDATA,MATCH("UnarmedLegendary",CLASSFEATUREHEADERS,0),MATCH(($A239 &amp; "Points"),CLASSNAMEHEADERS,0))),(IF("19"=(INDEX(ALLCLASSDATA,MATCH("UnarmedMaster",CLASSFEATUREHEADERS,0),MATCH($A239,CLASSNAMEHEADERS,0))),(INDEX(ALLCLASSDATA,MATCH("UnarmedMaster",CLASSFEATUREHEADERS,0),MATCH(($A239 &amp; "Points"),CLASSNAMEHEADERS,0))),(IF("19"=(INDEX(ALLCLASSDATA,MATCH("UnarmedExpert",CLASSFEATUREHEADERS,0),MATCH($A239,CLASSNAMEHEADERS,0))),(INDEX(ALLCLASSDATA,MATCH("UnarmedExpert",CLASSFEATUREHEADERS,0),MATCH(($A239 &amp; "Points"),CLASSNAMEHEADERS,0))),(IF("19"=(INDEX(ALLCLASSDATA,MATCH("UnarmedTrained",CLASSFEATUREHEADERS,0),MATCH($A239,CLASSNAMEHEADERS,0))),(INDEX(ALLCLASSDATA,MATCH("UnarmedTrained",CLASSFEATUREHEADERS,0),MATCH(($A239 &amp; "Points"),CLASSNAMEHEADERS,0))),"")))))))))}</f>
        <v>UNARMEDL19</v>
      </c>
      <c r="AA238" s="223"/>
      <c r="AB238" s="76" t="str">
        <f t="array" ref="AB238:AB239">{"UNARMED TOTAL";(IF(COUNTBLANK(G239:AA239)=17,"L",(IF(COUNTBLANK(G239:AA239)=18,"M",(IF(COUNTBLANK(G239:AA239)=19,"E",(IF(COUNTBLANK(G239:AA239)=20,"T",""))))))))}</f>
        <v>UNARMED TOTAL</v>
      </c>
      <c r="AC238" s="76" t="str">
        <f t="array" ref="AC238:AC239">{"UNARMED TOTAL";(sum(G239:AA239))}</f>
        <v>UNARMED TOTAL</v>
      </c>
    </row>
    <row r="239">
      <c r="A239" s="48" t="s">
        <v>109</v>
      </c>
      <c r="B239" s="48"/>
      <c r="C239" s="48" t="s">
        <v>406</v>
      </c>
      <c r="D239" s="48" t="s">
        <v>1634</v>
      </c>
      <c r="E239" s="48" t="s">
        <v>257</v>
      </c>
      <c r="F239" s="5" t="s">
        <v>603</v>
      </c>
      <c r="G239" s="47">
        <v>10.0</v>
      </c>
      <c r="H239" s="5" t="s">
        <v>436</v>
      </c>
      <c r="I239" s="5"/>
      <c r="J239" s="5" t="s">
        <v>603</v>
      </c>
      <c r="K239" s="5"/>
      <c r="L239" s="5" t="s">
        <v>603</v>
      </c>
      <c r="M239" s="5"/>
      <c r="N239" s="5" t="s">
        <v>603</v>
      </c>
      <c r="O239" s="5"/>
      <c r="P239" s="5" t="s">
        <v>603</v>
      </c>
      <c r="Q239" s="5"/>
      <c r="R239" s="5" t="s">
        <v>603</v>
      </c>
      <c r="S239" s="5"/>
      <c r="T239" s="5" t="s">
        <v>437</v>
      </c>
      <c r="U239" s="5"/>
      <c r="V239" s="5" t="s">
        <v>603</v>
      </c>
      <c r="W239" s="5"/>
      <c r="X239" s="5" t="s">
        <v>603</v>
      </c>
      <c r="Y239" s="5"/>
      <c r="Z239" s="5" t="s">
        <v>466</v>
      </c>
      <c r="AA239" s="5"/>
      <c r="AB239" s="5" t="s">
        <v>466</v>
      </c>
      <c r="AC239" s="47">
        <v>10.0</v>
      </c>
    </row>
    <row r="240" hidden="1">
      <c r="A240" s="222" t="str">
        <f t="array" ref="A240:A241">{"FormulaRow28";(INDEX(CLASSLIST,A185,1))}</f>
        <v>FormulaRow28</v>
      </c>
      <c r="B240" s="77" t="s">
        <v>236</v>
      </c>
      <c r="C240" s="222" t="str">
        <f t="array" ref="C240:C241">{"CLASSTYPE";((INDEX(ALLCLASSDATA,MATCH("ClassType",CLASSFEATUREHEADERS,0),MATCH($A241,CLASSNAMEHEADERS,0))))}</f>
        <v>CLASSTYPE</v>
      </c>
      <c r="D240" s="222" t="str">
        <f t="array" ref="D240:D241">{"ATTACK";"Attack"}</f>
        <v>ATTACK</v>
      </c>
      <c r="E240" s="222" t="str">
        <f t="array" ref="E240:E241">{"SIMPLELIMITED";"SimpleLimited"}</f>
        <v>SIMPLELIMITED</v>
      </c>
      <c r="F240" s="223" t="str">
        <f t="array" ref="F240:F241">{"SIMPLELIMITEDINITIAL";((IF(H241=10,"T",(IF(H241=50,"E","")))))}</f>
        <v>SIMPLELIMITEDINITIAL</v>
      </c>
      <c r="G240" s="223" t="str">
        <f t="array" ref="G240:G241">{"SIMPLELIMITEDINITIALPTS";((IF("00"=(INDEX(ALLCLASSDATA,MATCH("SimpleLimitedLegendary",CLASSFEATUREHEADERS,0),MATCH($A241,CLASSNAMEHEADERS,0))),(INDEX(ALLCLASSDATA,MATCH("SimpleLimitedLegendary",CLASSFEATUREHEADERS,0),MATCH(($A241 &amp; "Points"),CLASSNAMEHEADERS,0))),(IF("00"=(INDEX(ALLCLASSDATA,MATCH("SimpleLimitedMaster",CLASSFEATUREHEADERS,0),MATCH($A241,CLASSNAMEHEADERS,0))),(INDEX(ALLCLASSDATA,MATCH("SimpleLimitedMaster",CLASSFEATUREHEADERS,0),MATCH(($A241 &amp; "Points"),CLASSNAMEHEADERS,0))),(IF("00"=(INDEX(ALLCLASSDATA,MATCH("SimpleLimitedExpert",CLASSFEATUREHEADERS,0),MATCH($A241,CLASSNAMEHEADERS,0))),(INDEX(ALLCLASSDATA,MATCH("SimpleLimitedExpert",CLASSFEATUREHEADERS,0),MATCH(($A241 &amp; "Points"),CLASSNAMEHEADERS,0))),(IF("00"=(INDEX(ALLCLASSDATA,MATCH("SimpleLimitedTrained",CLASSFEATUREHEADERS,0),MATCH($A241,CLASSNAMEHEADERS,0))),(INDEX(ALLCLASSDATA,MATCH("SimpleLimitedTrained",CLASSFEATUREHEADERS,0),MATCH(($A241 &amp; "Points"),CLASSNAMEHEADERS,0))),"")))))))))}</f>
        <v>SIMPLELIMITEDINITIALPTS</v>
      </c>
      <c r="H240" s="223" t="str">
        <f t="array" ref="H240:H241">{"SIMPLELIMITEDL01";((IF("01"=(INDEX(ALLCLASSDATA,MATCH("SimpleLimitedLegendary",CLASSFEATUREHEADERS,0),MATCH($A241,CLASSNAMEHEADERS,0))),(INDEX(ALLCLASSDATA,MATCH("SimpleLimitedLegendary",CLASSFEATUREHEADERS,0),MATCH(($A241 &amp; "Points"),CLASSNAMEHEADERS,0))),(IF("01"=(INDEX(ALLCLASSDATA,MATCH("SimpleLimitedMaster",CLASSFEATUREHEADERS,0),MATCH($A241,CLASSNAMEHEADERS,0))),(INDEX(ALLCLASSDATA,MATCH("SimpleLimitedMaster",CLASSFEATUREHEADERS,0),MATCH(($A241 &amp; "Points"),CLASSNAMEHEADERS,0))),(IF("01"=(INDEX(ALLCLASSDATA,MATCH("SimpleLimitedExpert",CLASSFEATUREHEADERS,0),MATCH($A241,CLASSNAMEHEADERS,0))),(INDEX(ALLCLASSDATA,MATCH("SimpleLimitedExpert",CLASSFEATUREHEADERS,0),MATCH(($A241 &amp; "Points"),CLASSNAMEHEADERS,0))),(IF("01"=(INDEX(ALLCLASSDATA,MATCH("SimpleLimitedTrained",CLASSFEATUREHEADERS,0),MATCH($A241,CLASSNAMEHEADERS,0))),(INDEX(ALLCLASSDATA,MATCH("SimpleLimitedTrained",CLASSFEATUREHEADERS,0),MATCH(($A241 &amp; "Points"),CLASSNAMEHEADERS,0))),"")))))))))}</f>
        <v>SIMPLELIMITEDL01</v>
      </c>
      <c r="I240" s="223"/>
      <c r="J240" s="223" t="str">
        <f t="array" ref="J240:J241">{"SIMPLELIMITEDL03";((IF("03"=(INDEX(ALLCLASSDATA,MATCH("SimpleLimitedLegendary",CLASSFEATUREHEADERS,0),MATCH($A241,CLASSNAMEHEADERS,0))),(INDEX(ALLCLASSDATA,MATCH("SimpleLimitedLegendary",CLASSFEATUREHEADERS,0),MATCH(($A241 &amp; "Points"),CLASSNAMEHEADERS,0))),(IF("03"=(INDEX(ALLCLASSDATA,MATCH("SimpleLimitedMaster",CLASSFEATUREHEADERS,0),MATCH($A241,CLASSNAMEHEADERS,0))),(INDEX(ALLCLASSDATA,MATCH("SimpleLimitedMaster",CLASSFEATUREHEADERS,0),MATCH(($A241 &amp; "Points"),CLASSNAMEHEADERS,0))),(IF("03"=(INDEX(ALLCLASSDATA,MATCH("SimpleLimitedExpert",CLASSFEATUREHEADERS,0),MATCH($A241,CLASSNAMEHEADERS,0))),(INDEX(ALLCLASSDATA,MATCH("SimpleLimitedExpert",CLASSFEATUREHEADERS,0),MATCH(($A241 &amp; "Points"),CLASSNAMEHEADERS,0))),(IF("03"=(INDEX(ALLCLASSDATA,MATCH("SimpleLimitedTrained",CLASSFEATUREHEADERS,0),MATCH($A241,CLASSNAMEHEADERS,0))),(INDEX(ALLCLASSDATA,MATCH("SimpleLimitedTrained",CLASSFEATUREHEADERS,0),MATCH(($A241 &amp; "Points"),CLASSNAMEHEADERS,0))),"")))))))))}</f>
        <v>SIMPLELIMITEDL03</v>
      </c>
      <c r="K240" s="223"/>
      <c r="L240" s="223" t="str">
        <f t="array" ref="L240:L241">{"SIMPLELIMITEDL05";((IF("05"=(INDEX(ALLCLASSDATA,MATCH("SimpleLimitedLegendary",CLASSFEATUREHEADERS,0),MATCH($A241,CLASSNAMEHEADERS,0))),(INDEX(ALLCLASSDATA,MATCH("SimpleLimitedLegendary",CLASSFEATUREHEADERS,0),MATCH(($A241 &amp; "Points"),CLASSNAMEHEADERS,0))),(IF("05"=(INDEX(ALLCLASSDATA,MATCH("SimpleLimitedMaster",CLASSFEATUREHEADERS,0),MATCH($A241,CLASSNAMEHEADERS,0))),(INDEX(ALLCLASSDATA,MATCH("SimpleLimitedMaster",CLASSFEATUREHEADERS,0),MATCH(($A241 &amp; "Points"),CLASSNAMEHEADERS,0))),(IF("05"=(INDEX(ALLCLASSDATA,MATCH("SimpleLimitedExpert",CLASSFEATUREHEADERS,0),MATCH($A241,CLASSNAMEHEADERS,0))),(INDEX(ALLCLASSDATA,MATCH("SimpleLimitedExpert",CLASSFEATUREHEADERS,0),MATCH(($A241 &amp; "Points"),CLASSNAMEHEADERS,0))),(IF("05"=(INDEX(ALLCLASSDATA,MATCH("SimpleLimitedTrained",CLASSFEATUREHEADERS,0),MATCH($A241,CLASSNAMEHEADERS,0))),(INDEX(ALLCLASSDATA,MATCH("SimpleLimitedTrained",CLASSFEATUREHEADERS,0),MATCH(($A241 &amp; "Points"),CLASSNAMEHEADERS,0))),"")))))))))}</f>
        <v>SIMPLELIMITEDL05</v>
      </c>
      <c r="M240" s="223"/>
      <c r="N240" s="223" t="str">
        <f t="array" ref="N240:N241">{"SIMPLELIMITEDL07";((IF("07"=(INDEX(ALLCLASSDATA,MATCH("SimpleLimitedLegendary",CLASSFEATUREHEADERS,0),MATCH($A241,CLASSNAMEHEADERS,0))),(INDEX(ALLCLASSDATA,MATCH("SimpleLimitedLegendary",CLASSFEATUREHEADERS,0),MATCH(($A241 &amp; "Points"),CLASSNAMEHEADERS,0))),(IF("07"=(INDEX(ALLCLASSDATA,MATCH("SimpleLimitedMaster",CLASSFEATUREHEADERS,0),MATCH($A241,CLASSNAMEHEADERS,0))),(INDEX(ALLCLASSDATA,MATCH("SimpleLimitedMaster",CLASSFEATUREHEADERS,0),MATCH(($A241 &amp; "Points"),CLASSNAMEHEADERS,0))),(IF("07"=(INDEX(ALLCLASSDATA,MATCH("SimpleLimitedExpert",CLASSFEATUREHEADERS,0),MATCH($A241,CLASSNAMEHEADERS,0))),(INDEX(ALLCLASSDATA,MATCH("SimpleLimitedExpert",CLASSFEATUREHEADERS,0),MATCH(($A241 &amp; "Points"),CLASSNAMEHEADERS,0))),(IF("07"=(INDEX(ALLCLASSDATA,MATCH("SimpleLimitedTrained",CLASSFEATUREHEADERS,0),MATCH($A241,CLASSNAMEHEADERS,0))),(INDEX(ALLCLASSDATA,MATCH("SimpleLimitedTrained",CLASSFEATUREHEADERS,0),MATCH(($A241 &amp; "Points"),CLASSNAMEHEADERS,0))),"")))))))))}</f>
        <v>SIMPLELIMITEDL07</v>
      </c>
      <c r="O240" s="223"/>
      <c r="P240" s="223" t="str">
        <f t="array" ref="P240:P241">{"SIMPLELIMITEDL09";((IF("09"=(INDEX(ALLCLASSDATA,MATCH("SimpleLimitedLegendary",CLASSFEATUREHEADERS,0),MATCH($A241,CLASSNAMEHEADERS,0))),(INDEX(ALLCLASSDATA,MATCH("SimpleLimitedLegendary",CLASSFEATUREHEADERS,0),MATCH(($A241 &amp; "Points"),CLASSNAMEHEADERS,0))),(IF("09"=(INDEX(ALLCLASSDATA,MATCH("SimpleLimitedMaster",CLASSFEATUREHEADERS,0),MATCH($A241,CLASSNAMEHEADERS,0))),(INDEX(ALLCLASSDATA,MATCH("SimpleLimitedMaster",CLASSFEATUREHEADERS,0),MATCH(($A241 &amp; "Points"),CLASSNAMEHEADERS,0))),(IF("09"=(INDEX(ALLCLASSDATA,MATCH("SimpleLimitedExpert",CLASSFEATUREHEADERS,0),MATCH($A241,CLASSNAMEHEADERS,0))),(INDEX(ALLCLASSDATA,MATCH("SimpleLimitedExpert",CLASSFEATUREHEADERS,0),MATCH(($A241 &amp; "Points"),CLASSNAMEHEADERS,0))),(IF("09"=(INDEX(ALLCLASSDATA,MATCH("SimpleLimitedTrained",CLASSFEATUREHEADERS,0),MATCH($A241,CLASSNAMEHEADERS,0))),(INDEX(ALLCLASSDATA,MATCH("SimpleLimitedTrained",CLASSFEATUREHEADERS,0),MATCH(($A241 &amp; "Points"),CLASSNAMEHEADERS,0))),"")))))))))}</f>
        <v>SIMPLELIMITEDL09</v>
      </c>
      <c r="Q240" s="223"/>
      <c r="R240" s="223" t="str">
        <f t="array" ref="R240:R241">{"SIMPLELIMITEDL11";((IF("11"=(INDEX(ALLCLASSDATA,MATCH("SimpleLimitedLegendary",CLASSFEATUREHEADERS,0),MATCH($A241,CLASSNAMEHEADERS,0))),(INDEX(ALLCLASSDATA,MATCH("SimpleLimitedLegendary",CLASSFEATUREHEADERS,0),MATCH(($A241 &amp; "Points"),CLASSNAMEHEADERS,0))),(IF("11"=(INDEX(ALLCLASSDATA,MATCH("SimpleLimitedMaster",CLASSFEATUREHEADERS,0),MATCH($A241,CLASSNAMEHEADERS,0))),(INDEX(ALLCLASSDATA,MATCH("SimpleLimitedMaster",CLASSFEATUREHEADERS,0),MATCH(($A241 &amp; "Points"),CLASSNAMEHEADERS,0))),(IF("11"=(INDEX(ALLCLASSDATA,MATCH("SimpleLimitedExpert",CLASSFEATUREHEADERS,0),MATCH($A241,CLASSNAMEHEADERS,0))),(INDEX(ALLCLASSDATA,MATCH("SimpleLimitedExpert",CLASSFEATUREHEADERS,0),MATCH(($A241 &amp; "Points"),CLASSNAMEHEADERS,0))),(IF("11"=(INDEX(ALLCLASSDATA,MATCH("SimpleLimitedTrained",CLASSFEATUREHEADERS,0),MATCH($A241,CLASSNAMEHEADERS,0))),(INDEX(ALLCLASSDATA,MATCH("SimpleLimitedTrained",CLASSFEATUREHEADERS,0),MATCH(($A241 &amp; "Points"),CLASSNAMEHEADERS,0))),"")))))))))}</f>
        <v>SIMPLELIMITEDL11</v>
      </c>
      <c r="S240" s="223"/>
      <c r="T240" s="223" t="str">
        <f t="array" ref="T240:T241">{"SIMPLELIMITEDL13";((IF("13"=(INDEX(ALLCLASSDATA,MATCH("SimpleLimitedLegendary",CLASSFEATUREHEADERS,0),MATCH($A241,CLASSNAMEHEADERS,0))),(INDEX(ALLCLASSDATA,MATCH("SimpleLimitedLegendary",CLASSFEATUREHEADERS,0),MATCH(($A241 &amp; "Points"),CLASSNAMEHEADERS,0))),(IF("13"=(INDEX(ALLCLASSDATA,MATCH("SimpleLimitedMaster",CLASSFEATUREHEADERS,0),MATCH($A241,CLASSNAMEHEADERS,0))),(INDEX(ALLCLASSDATA,MATCH("SimpleLimitedMaster",CLASSFEATUREHEADERS,0),MATCH(($A241 &amp; "Points"),CLASSNAMEHEADERS,0))),(IF("13"=(INDEX(ALLCLASSDATA,MATCH("SimpleLimitedExpert",CLASSFEATUREHEADERS,0),MATCH($A241,CLASSNAMEHEADERS,0))),(INDEX(ALLCLASSDATA,MATCH("SimpleLimitedExpert",CLASSFEATUREHEADERS,0),MATCH(($A241 &amp; "Points"),CLASSNAMEHEADERS,0))),(IF("13"=(INDEX(ALLCLASSDATA,MATCH("SimpleLimitedTrained",CLASSFEATUREHEADERS,0),MATCH($A241,CLASSNAMEHEADERS,0))),(INDEX(ALLCLASSDATA,MATCH("SimpleLimitedTrained",CLASSFEATUREHEADERS,0),MATCH(($A241 &amp; "Points"),CLASSNAMEHEADERS,0))),"")))))))))}</f>
        <v>SIMPLELIMITEDL13</v>
      </c>
      <c r="U240" s="223"/>
      <c r="V240" s="223" t="str">
        <f t="array" ref="V240:V241">{"SIMPLELIMITEDL15";((IF("15"=(INDEX(ALLCLASSDATA,MATCH("SimpleLimitedLegendary",CLASSFEATUREHEADERS,0),MATCH($A241,CLASSNAMEHEADERS,0))),(INDEX(ALLCLASSDATA,MATCH("SimpleLimitedLegendary",CLASSFEATUREHEADERS,0),MATCH(($A241 &amp; "Points"),CLASSNAMEHEADERS,0))),(IF("15"=(INDEX(ALLCLASSDATA,MATCH("SimpleLimitedMaster",CLASSFEATUREHEADERS,0),MATCH($A241,CLASSNAMEHEADERS,0))),(INDEX(ALLCLASSDATA,MATCH("SimpleLimitedMaster",CLASSFEATUREHEADERS,0),MATCH(($A241 &amp; "Points"),CLASSNAMEHEADERS,0))),(IF("15"=(INDEX(ALLCLASSDATA,MATCH("SimpleLimitedExpert",CLASSFEATUREHEADERS,0),MATCH($A241,CLASSNAMEHEADERS,0))),(INDEX(ALLCLASSDATA,MATCH("SimpleLimitedExpert",CLASSFEATUREHEADERS,0),MATCH(($A241 &amp; "Points"),CLASSNAMEHEADERS,0))),(IF("15"=(INDEX(ALLCLASSDATA,MATCH("SimpleLimitedTrained",CLASSFEATUREHEADERS,0),MATCH($A241,CLASSNAMEHEADERS,0))),(INDEX(ALLCLASSDATA,MATCH("SimpleLimitedTrained",CLASSFEATUREHEADERS,0),MATCH(($A241 &amp; "Points"),CLASSNAMEHEADERS,0))),"")))))))))}</f>
        <v>SIMPLELIMITEDL15</v>
      </c>
      <c r="W240" s="223"/>
      <c r="X240" s="223" t="str">
        <f t="array" ref="X240:X241">{"SIMPLELIMITEDL17";((IF("17"=(INDEX(ALLCLASSDATA,MATCH("SimpleLimitedLegendary",CLASSFEATUREHEADERS,0),MATCH($A241,CLASSNAMEHEADERS,0))),(INDEX(ALLCLASSDATA,MATCH("SimpleLimitedLegendary",CLASSFEATUREHEADERS,0),MATCH(($A241 &amp; "Points"),CLASSNAMEHEADERS,0))),(IF("17"=(INDEX(ALLCLASSDATA,MATCH("SimpleLimitedMaster",CLASSFEATUREHEADERS,0),MATCH($A241,CLASSNAMEHEADERS,0))),(INDEX(ALLCLASSDATA,MATCH("SimpleLimitedMaster",CLASSFEATUREHEADERS,0),MATCH(($A241 &amp; "Points"),CLASSNAMEHEADERS,0))),(IF("17"=(INDEX(ALLCLASSDATA,MATCH("SimpleLimitedExpert",CLASSFEATUREHEADERS,0),MATCH($A241,CLASSNAMEHEADERS,0))),(INDEX(ALLCLASSDATA,MATCH("SimpleLimitedExpert",CLASSFEATUREHEADERS,0),MATCH(($A241 &amp; "Points"),CLASSNAMEHEADERS,0))),(IF("17"=(INDEX(ALLCLASSDATA,MATCH("SimpleLimitedTrained",CLASSFEATUREHEADERS,0),MATCH($A241,CLASSNAMEHEADERS,0))),(INDEX(ALLCLASSDATA,MATCH("SimpleLimitedTrained",CLASSFEATUREHEADERS,0),MATCH(($A241 &amp; "Points"),CLASSNAMEHEADERS,0))),"")))))))))}</f>
        <v>SIMPLELIMITEDL17</v>
      </c>
      <c r="Y240" s="223"/>
      <c r="Z240" s="223" t="str">
        <f t="array" ref="Z240:Z241">{"SIMPLELIMITEDL19";((IF("19"=(INDEX(ALLCLASSDATA,MATCH("SimpleLimitedLegendary",CLASSFEATUREHEADERS,0),MATCH($A241,CLASSNAMEHEADERS,0))),(INDEX(ALLCLASSDATA,MATCH("SimpleLimitedLegendary",CLASSFEATUREHEADERS,0),MATCH(($A241 &amp; "Points"),CLASSNAMEHEADERS,0))),(IF("19"=(INDEX(ALLCLASSDATA,MATCH("SimpleLimitedMaster",CLASSFEATUREHEADERS,0),MATCH($A241,CLASSNAMEHEADERS,0))),(INDEX(ALLCLASSDATA,MATCH("SimpleLimitedMaster",CLASSFEATUREHEADERS,0),MATCH(($A241 &amp; "Points"),CLASSNAMEHEADERS,0))),(IF("19"=(INDEX(ALLCLASSDATA,MATCH("SimpleLimitedExpert",CLASSFEATUREHEADERS,0),MATCH($A241,CLASSNAMEHEADERS,0))),(INDEX(ALLCLASSDATA,MATCH("SimpleLimitedExpert",CLASSFEATUREHEADERS,0),MATCH(($A241 &amp; "Points"),CLASSNAMEHEADERS,0))),(IF("19"=(INDEX(ALLCLASSDATA,MATCH("SimpleLimitedTrained",CLASSFEATUREHEADERS,0),MATCH($A241,CLASSNAMEHEADERS,0))),(INDEX(ALLCLASSDATA,MATCH("SimpleLimitedTrained",CLASSFEATUREHEADERS,0),MATCH(($A241 &amp; "Points"),CLASSNAMEHEADERS,0))),"")))))))))}</f>
        <v>SIMPLELIMITEDL19</v>
      </c>
      <c r="AA240" s="223"/>
      <c r="AB240" s="76" t="str">
        <f t="array" ref="AB240:AB241">{"SIMPLELIMITED TOTAL";(IF(COUNTBLANK(G241:AA241)=17,"L",(IF(COUNTBLANK(G241:AA241)=18,"M",(IF(COUNTBLANK(G241:AA241)=19,"E",(IF(COUNTBLANK(G241:AA241)=20,"T",""))))))))}</f>
        <v>SIMPLELIMITED TOTAL</v>
      </c>
      <c r="AC240" s="76" t="str">
        <f t="array" ref="AC240:AC241">{"SIMPLELIMITED TOTAL";(sum(G241:AA241))}</f>
        <v>SIMPLELIMITED TOTAL</v>
      </c>
    </row>
    <row r="241">
      <c r="A241" s="48" t="s">
        <v>109</v>
      </c>
      <c r="B241" s="48"/>
      <c r="C241" s="48" t="s">
        <v>406</v>
      </c>
      <c r="D241" s="48" t="s">
        <v>1634</v>
      </c>
      <c r="E241" s="48" t="s">
        <v>599</v>
      </c>
      <c r="F241" s="5" t="s">
        <v>603</v>
      </c>
      <c r="G241" s="47" t="s">
        <v>603</v>
      </c>
      <c r="H241" s="5" t="s">
        <v>603</v>
      </c>
      <c r="I241" s="5"/>
      <c r="J241" s="5" t="s">
        <v>603</v>
      </c>
      <c r="K241" s="5"/>
      <c r="L241" s="5" t="s">
        <v>437</v>
      </c>
      <c r="M241" s="5"/>
      <c r="N241" s="5" t="s">
        <v>603</v>
      </c>
      <c r="O241" s="5"/>
      <c r="P241" s="5" t="s">
        <v>603</v>
      </c>
      <c r="Q241" s="5"/>
      <c r="R241" s="5" t="s">
        <v>603</v>
      </c>
      <c r="S241" s="5"/>
      <c r="T241" s="5" t="s">
        <v>466</v>
      </c>
      <c r="U241" s="5"/>
      <c r="V241" s="5" t="s">
        <v>603</v>
      </c>
      <c r="W241" s="5"/>
      <c r="X241" s="5" t="s">
        <v>603</v>
      </c>
      <c r="Y241" s="5"/>
      <c r="Z241" s="5" t="s">
        <v>603</v>
      </c>
      <c r="AA241" s="5"/>
      <c r="AB241" s="5" t="s">
        <v>436</v>
      </c>
      <c r="AC241" s="47">
        <v>0.0</v>
      </c>
    </row>
    <row r="242" hidden="1">
      <c r="A242" s="222" t="str">
        <f t="array" ref="A242:A243">{"FormulaRow29";(INDEX(CLASSLIST,A185,1))}</f>
        <v>FormulaRow29</v>
      </c>
      <c r="B242" s="77" t="s">
        <v>236</v>
      </c>
      <c r="C242" s="222" t="str">
        <f t="array" ref="C242:C243">{"CLASSTYPE";((INDEX(ALLCLASSDATA,MATCH("ClassType",CLASSFEATUREHEADERS,0),MATCH($A243,CLASSNAMEHEADERS,0))))}</f>
        <v>CLASSTYPE</v>
      </c>
      <c r="D242" s="222" t="str">
        <f t="array" ref="D242:D243">{"ATTACK";"Attack"}</f>
        <v>ATTACK</v>
      </c>
      <c r="E242" s="222" t="str">
        <f t="array" ref="E242:E243">{"SIMPLE";"Simple"}</f>
        <v>SIMPLE</v>
      </c>
      <c r="F242" s="223" t="str">
        <f t="array" ref="F242:F243">{"SIMPLEINITIAL";((IF(H243=10,"T",(IF(H243=50,"E","")))))}</f>
        <v>SIMPLEINITIAL</v>
      </c>
      <c r="G242" s="223" t="str">
        <f t="array" ref="G242:G243">{"SIMPLEINITIALPTS";((IF("00"=(INDEX(ALLCLASSDATA,MATCH("SimpleLegendary",CLASSFEATUREHEADERS,0),MATCH($A243,CLASSNAMEHEADERS,0))),(INDEX(ALLCLASSDATA,MATCH("SimpleLegendary",CLASSFEATUREHEADERS,0),MATCH(($A243 &amp; "Points"),CLASSNAMEHEADERS,0))),(IF("00"=(INDEX(ALLCLASSDATA,MATCH("SimpleMaster",CLASSFEATUREHEADERS,0),MATCH($A243,CLASSNAMEHEADERS,0))),(INDEX(ALLCLASSDATA,MATCH("SimpleMaster",CLASSFEATUREHEADERS,0),MATCH(($A243 &amp; "Points"),CLASSNAMEHEADERS,0))),(IF("00"=(INDEX(ALLCLASSDATA,MATCH("SimpleExpert",CLASSFEATUREHEADERS,0),MATCH($A243,CLASSNAMEHEADERS,0))),(INDEX(ALLCLASSDATA,MATCH("SimpleExpert",CLASSFEATUREHEADERS,0),MATCH(($A243 &amp; "Points"),CLASSNAMEHEADERS,0))),(IF("00"=(INDEX(ALLCLASSDATA,MATCH("SimpleTrained",CLASSFEATUREHEADERS,0),MATCH($A243,CLASSNAMEHEADERS,0))),(INDEX(ALLCLASSDATA,MATCH("SimpleTrained",CLASSFEATUREHEADERS,0),MATCH(($A243 &amp; "Points"),CLASSNAMEHEADERS,0))),"")))))))))}</f>
        <v>SIMPLEINITIALPTS</v>
      </c>
      <c r="H242" s="223" t="str">
        <f t="array" ref="H242:H243">{"SIMPLEL01";((IF("01"=(INDEX(ALLCLASSDATA,MATCH("SimpleLegendary",CLASSFEATUREHEADERS,0),MATCH($A243,CLASSNAMEHEADERS,0))),(INDEX(ALLCLASSDATA,MATCH("SimpleLegendary",CLASSFEATUREHEADERS,0),MATCH(($A243 &amp; "Points"),CLASSNAMEHEADERS,0))),(IF("01"=(INDEX(ALLCLASSDATA,MATCH("SimpleMaster",CLASSFEATUREHEADERS,0),MATCH($A243,CLASSNAMEHEADERS,0))),(INDEX(ALLCLASSDATA,MATCH("SimpleMaster",CLASSFEATUREHEADERS,0),MATCH(($A243 &amp; "Points"),CLASSNAMEHEADERS,0))),(IF("01"=(INDEX(ALLCLASSDATA,MATCH("SimpleExpert",CLASSFEATUREHEADERS,0),MATCH($A243,CLASSNAMEHEADERS,0))),(INDEX(ALLCLASSDATA,MATCH("SimpleExpert",CLASSFEATUREHEADERS,0),MATCH(($A243 &amp; "Points"),CLASSNAMEHEADERS,0))),(IF("01"=(INDEX(ALLCLASSDATA,MATCH("SimpleTrained",CLASSFEATUREHEADERS,0),MATCH($A243,CLASSNAMEHEADERS,0))),(INDEX(ALLCLASSDATA,MATCH("SimpleTrained",CLASSFEATUREHEADERS,0),MATCH(($A243 &amp; "Points"),CLASSNAMEHEADERS,0))),"")))))))))}</f>
        <v>SIMPLEL01</v>
      </c>
      <c r="I242" s="223"/>
      <c r="J242" s="223" t="str">
        <f t="array" ref="J242:J243">{"SIMPLEL03";((IF("03"=(INDEX(ALLCLASSDATA,MATCH("SimpleLegendary",CLASSFEATUREHEADERS,0),MATCH($A243,CLASSNAMEHEADERS,0))),(INDEX(ALLCLASSDATA,MATCH("SimpleLegendary",CLASSFEATUREHEADERS,0),MATCH(($A243 &amp; "Points"),CLASSNAMEHEADERS,0))),(IF("03"=(INDEX(ALLCLASSDATA,MATCH("SimpleMaster",CLASSFEATUREHEADERS,0),MATCH($A243,CLASSNAMEHEADERS,0))),(INDEX(ALLCLASSDATA,MATCH("SimpleMaster",CLASSFEATUREHEADERS,0),MATCH(($A243 &amp; "Points"),CLASSNAMEHEADERS,0))),(IF("03"=(INDEX(ALLCLASSDATA,MATCH("SimpleExpert",CLASSFEATUREHEADERS,0),MATCH($A243,CLASSNAMEHEADERS,0))),(INDEX(ALLCLASSDATA,MATCH("SimpleExpert",CLASSFEATUREHEADERS,0),MATCH(($A243 &amp; "Points"),CLASSNAMEHEADERS,0))),(IF("03"=(INDEX(ALLCLASSDATA,MATCH("SimpleTrained",CLASSFEATUREHEADERS,0),MATCH($A243,CLASSNAMEHEADERS,0))),(INDEX(ALLCLASSDATA,MATCH("SimpleTrained",CLASSFEATUREHEADERS,0),MATCH(($A243 &amp; "Points"),CLASSNAMEHEADERS,0))),"")))))))))}</f>
        <v>SIMPLEL03</v>
      </c>
      <c r="K242" s="223"/>
      <c r="L242" s="223" t="str">
        <f t="array" ref="L242:L243">{"SIMPLEL05";((IF("05"=(INDEX(ALLCLASSDATA,MATCH("SimpleLegendary",CLASSFEATUREHEADERS,0),MATCH($A243,CLASSNAMEHEADERS,0))),(INDEX(ALLCLASSDATA,MATCH("SimpleLegendary",CLASSFEATUREHEADERS,0),MATCH(($A243 &amp; "Points"),CLASSNAMEHEADERS,0))),(IF("05"=(INDEX(ALLCLASSDATA,MATCH("SimpleMaster",CLASSFEATUREHEADERS,0),MATCH($A243,CLASSNAMEHEADERS,0))),(INDEX(ALLCLASSDATA,MATCH("SimpleMaster",CLASSFEATUREHEADERS,0),MATCH(($A243 &amp; "Points"),CLASSNAMEHEADERS,0))),(IF("05"=(INDEX(ALLCLASSDATA,MATCH("SimpleExpert",CLASSFEATUREHEADERS,0),MATCH($A243,CLASSNAMEHEADERS,0))),(INDEX(ALLCLASSDATA,MATCH("SimpleExpert",CLASSFEATUREHEADERS,0),MATCH(($A243 &amp; "Points"),CLASSNAMEHEADERS,0))),(IF("05"=(INDEX(ALLCLASSDATA,MATCH("SimpleTrained",CLASSFEATUREHEADERS,0),MATCH($A243,CLASSNAMEHEADERS,0))),(INDEX(ALLCLASSDATA,MATCH("SimpleTrained",CLASSFEATUREHEADERS,0),MATCH(($A243 &amp; "Points"),CLASSNAMEHEADERS,0))),"")))))))))}</f>
        <v>SIMPLEL05</v>
      </c>
      <c r="M242" s="223"/>
      <c r="N242" s="223" t="str">
        <f t="array" ref="N242:N243">{"SIMPLEL07";((IF("07"=(INDEX(ALLCLASSDATA,MATCH("SimpleLegendary",CLASSFEATUREHEADERS,0),MATCH($A243,CLASSNAMEHEADERS,0))),(INDEX(ALLCLASSDATA,MATCH("SimpleLegendary",CLASSFEATUREHEADERS,0),MATCH(($A243 &amp; "Points"),CLASSNAMEHEADERS,0))),(IF("07"=(INDEX(ALLCLASSDATA,MATCH("SimpleMaster",CLASSFEATUREHEADERS,0),MATCH($A243,CLASSNAMEHEADERS,0))),(INDEX(ALLCLASSDATA,MATCH("SimpleMaster",CLASSFEATUREHEADERS,0),MATCH(($A243 &amp; "Points"),CLASSNAMEHEADERS,0))),(IF("07"=(INDEX(ALLCLASSDATA,MATCH("SimpleExpert",CLASSFEATUREHEADERS,0),MATCH($A243,CLASSNAMEHEADERS,0))),(INDEX(ALLCLASSDATA,MATCH("SimpleExpert",CLASSFEATUREHEADERS,0),MATCH(($A243 &amp; "Points"),CLASSNAMEHEADERS,0))),(IF("07"=(INDEX(ALLCLASSDATA,MATCH("SimpleTrained",CLASSFEATUREHEADERS,0),MATCH($A243,CLASSNAMEHEADERS,0))),(INDEX(ALLCLASSDATA,MATCH("SimpleTrained",CLASSFEATUREHEADERS,0),MATCH(($A243 &amp; "Points"),CLASSNAMEHEADERS,0))),"")))))))))}</f>
        <v>SIMPLEL07</v>
      </c>
      <c r="O242" s="223"/>
      <c r="P242" s="223" t="str">
        <f t="array" ref="P242:P243">{"SIMPLEL09";((IF("09"=(INDEX(ALLCLASSDATA,MATCH("SimpleLegendary",CLASSFEATUREHEADERS,0),MATCH($A243,CLASSNAMEHEADERS,0))),(INDEX(ALLCLASSDATA,MATCH("SimpleLegendary",CLASSFEATUREHEADERS,0),MATCH(($A243 &amp; "Points"),CLASSNAMEHEADERS,0))),(IF("09"=(INDEX(ALLCLASSDATA,MATCH("SimpleMaster",CLASSFEATUREHEADERS,0),MATCH($A243,CLASSNAMEHEADERS,0))),(INDEX(ALLCLASSDATA,MATCH("SimpleMaster",CLASSFEATUREHEADERS,0),MATCH(($A243 &amp; "Points"),CLASSNAMEHEADERS,0))),(IF("09"=(INDEX(ALLCLASSDATA,MATCH("SimpleExpert",CLASSFEATUREHEADERS,0),MATCH($A243,CLASSNAMEHEADERS,0))),(INDEX(ALLCLASSDATA,MATCH("SimpleExpert",CLASSFEATUREHEADERS,0),MATCH(($A243 &amp; "Points"),CLASSNAMEHEADERS,0))),(IF("09"=(INDEX(ALLCLASSDATA,MATCH("SimpleTrained",CLASSFEATUREHEADERS,0),MATCH($A243,CLASSNAMEHEADERS,0))),(INDEX(ALLCLASSDATA,MATCH("SimpleTrained",CLASSFEATUREHEADERS,0),MATCH(($A243 &amp; "Points"),CLASSNAMEHEADERS,0))),"")))))))))}</f>
        <v>SIMPLEL09</v>
      </c>
      <c r="Q242" s="223"/>
      <c r="R242" s="223" t="str">
        <f t="array" ref="R242:R243">{"SIMPLEL11";((IF("11"=(INDEX(ALLCLASSDATA,MATCH("SimpleLegendary",CLASSFEATUREHEADERS,0),MATCH($A243,CLASSNAMEHEADERS,0))),(INDEX(ALLCLASSDATA,MATCH("SimpleLegendary",CLASSFEATUREHEADERS,0),MATCH(($A243 &amp; "Points"),CLASSNAMEHEADERS,0))),(IF("11"=(INDEX(ALLCLASSDATA,MATCH("SimpleMaster",CLASSFEATUREHEADERS,0),MATCH($A243,CLASSNAMEHEADERS,0))),(INDEX(ALLCLASSDATA,MATCH("SimpleMaster",CLASSFEATUREHEADERS,0),MATCH(($A243 &amp; "Points"),CLASSNAMEHEADERS,0))),(IF("11"=(INDEX(ALLCLASSDATA,MATCH("SimpleExpert",CLASSFEATUREHEADERS,0),MATCH($A243,CLASSNAMEHEADERS,0))),(INDEX(ALLCLASSDATA,MATCH("SimpleExpert",CLASSFEATUREHEADERS,0),MATCH(($A243 &amp; "Points"),CLASSNAMEHEADERS,0))),(IF("11"=(INDEX(ALLCLASSDATA,MATCH("SimpleTrained",CLASSFEATUREHEADERS,0),MATCH($A243,CLASSNAMEHEADERS,0))),(INDEX(ALLCLASSDATA,MATCH("SimpleTrained",CLASSFEATUREHEADERS,0),MATCH(($A243 &amp; "Points"),CLASSNAMEHEADERS,0))),"")))))))))}</f>
        <v>SIMPLEL11</v>
      </c>
      <c r="S242" s="223"/>
      <c r="T242" s="223" t="str">
        <f t="array" ref="T242:T243">{"SIMPLEL13";((IF("13"=(INDEX(ALLCLASSDATA,MATCH("SimpleLegendary",CLASSFEATUREHEADERS,0),MATCH($A243,CLASSNAMEHEADERS,0))),(INDEX(ALLCLASSDATA,MATCH("SimpleLegendary",CLASSFEATUREHEADERS,0),MATCH(($A243 &amp; "Points"),CLASSNAMEHEADERS,0))),(IF("13"=(INDEX(ALLCLASSDATA,MATCH("SimpleMaster",CLASSFEATUREHEADERS,0),MATCH($A243,CLASSNAMEHEADERS,0))),(INDEX(ALLCLASSDATA,MATCH("SimpleMaster",CLASSFEATUREHEADERS,0),MATCH(($A243 &amp; "Points"),CLASSNAMEHEADERS,0))),(IF("13"=(INDEX(ALLCLASSDATA,MATCH("SimpleExpert",CLASSFEATUREHEADERS,0),MATCH($A243,CLASSNAMEHEADERS,0))),(INDEX(ALLCLASSDATA,MATCH("SimpleExpert",CLASSFEATUREHEADERS,0),MATCH(($A243 &amp; "Points"),CLASSNAMEHEADERS,0))),(IF("13"=(INDEX(ALLCLASSDATA,MATCH("SimpleTrained",CLASSFEATUREHEADERS,0),MATCH($A243,CLASSNAMEHEADERS,0))),(INDEX(ALLCLASSDATA,MATCH("SimpleTrained",CLASSFEATUREHEADERS,0),MATCH(($A243 &amp; "Points"),CLASSNAMEHEADERS,0))),"")))))))))}</f>
        <v>SIMPLEL13</v>
      </c>
      <c r="U242" s="223"/>
      <c r="V242" s="223" t="str">
        <f t="array" ref="V242:V243">{"SIMPLEL15";((IF("15"=(INDEX(ALLCLASSDATA,MATCH("SimpleLegendary",CLASSFEATUREHEADERS,0),MATCH($A243,CLASSNAMEHEADERS,0))),(INDEX(ALLCLASSDATA,MATCH("SimpleLegendary",CLASSFEATUREHEADERS,0),MATCH(($A243 &amp; "Points"),CLASSNAMEHEADERS,0))),(IF("15"=(INDEX(ALLCLASSDATA,MATCH("SimpleMaster",CLASSFEATUREHEADERS,0),MATCH($A243,CLASSNAMEHEADERS,0))),(INDEX(ALLCLASSDATA,MATCH("SimpleMaster",CLASSFEATUREHEADERS,0),MATCH(($A243 &amp; "Points"),CLASSNAMEHEADERS,0))),(IF("15"=(INDEX(ALLCLASSDATA,MATCH("SimpleExpert",CLASSFEATUREHEADERS,0),MATCH($A243,CLASSNAMEHEADERS,0))),(INDEX(ALLCLASSDATA,MATCH("SimpleExpert",CLASSFEATUREHEADERS,0),MATCH(($A243 &amp; "Points"),CLASSNAMEHEADERS,0))),(IF("15"=(INDEX(ALLCLASSDATA,MATCH("SimpleTrained",CLASSFEATUREHEADERS,0),MATCH($A243,CLASSNAMEHEADERS,0))),(INDEX(ALLCLASSDATA,MATCH("SimpleTrained",CLASSFEATUREHEADERS,0),MATCH(($A243 &amp; "Points"),CLASSNAMEHEADERS,0))),"")))))))))}</f>
        <v>SIMPLEL15</v>
      </c>
      <c r="W242" s="223"/>
      <c r="X242" s="223" t="str">
        <f t="array" ref="X242:X243">{"SIMPLEL17";((IF("17"=(INDEX(ALLCLASSDATA,MATCH("SimpleLegendary",CLASSFEATUREHEADERS,0),MATCH($A243,CLASSNAMEHEADERS,0))),(INDEX(ALLCLASSDATA,MATCH("SimpleLegendary",CLASSFEATUREHEADERS,0),MATCH(($A243 &amp; "Points"),CLASSNAMEHEADERS,0))),(IF("17"=(INDEX(ALLCLASSDATA,MATCH("SimpleMaster",CLASSFEATUREHEADERS,0),MATCH($A243,CLASSNAMEHEADERS,0))),(INDEX(ALLCLASSDATA,MATCH("SimpleMaster",CLASSFEATUREHEADERS,0),MATCH(($A243 &amp; "Points"),CLASSNAMEHEADERS,0))),(IF("17"=(INDEX(ALLCLASSDATA,MATCH("SimpleExpert",CLASSFEATUREHEADERS,0),MATCH($A243,CLASSNAMEHEADERS,0))),(INDEX(ALLCLASSDATA,MATCH("SimpleExpert",CLASSFEATUREHEADERS,0),MATCH(($A243 &amp; "Points"),CLASSNAMEHEADERS,0))),(IF("17"=(INDEX(ALLCLASSDATA,MATCH("SimpleTrained",CLASSFEATUREHEADERS,0),MATCH($A243,CLASSNAMEHEADERS,0))),(INDEX(ALLCLASSDATA,MATCH("SimpleTrained",CLASSFEATUREHEADERS,0),MATCH(($A243 &amp; "Points"),CLASSNAMEHEADERS,0))),"")))))))))}</f>
        <v>SIMPLEL17</v>
      </c>
      <c r="Y242" s="223"/>
      <c r="Z242" s="223" t="str">
        <f t="array" ref="Z242:Z243">{"SIMPLEL19";((IF("19"=(INDEX(ALLCLASSDATA,MATCH("SimpleLegendary",CLASSFEATUREHEADERS,0),MATCH($A243,CLASSNAMEHEADERS,0))),(INDEX(ALLCLASSDATA,MATCH("SimpleLegendary",CLASSFEATUREHEADERS,0),MATCH(($A243 &amp; "Points"),CLASSNAMEHEADERS,0))),(IF("19"=(INDEX(ALLCLASSDATA,MATCH("SimpleMaster",CLASSFEATUREHEADERS,0),MATCH($A243,CLASSNAMEHEADERS,0))),(INDEX(ALLCLASSDATA,MATCH("SimpleMaster",CLASSFEATUREHEADERS,0),MATCH(($A243 &amp; "Points"),CLASSNAMEHEADERS,0))),(IF("19"=(INDEX(ALLCLASSDATA,MATCH("SimpleExpert",CLASSFEATUREHEADERS,0),MATCH($A243,CLASSNAMEHEADERS,0))),(INDEX(ALLCLASSDATA,MATCH("SimpleExpert",CLASSFEATUREHEADERS,0),MATCH(($A243 &amp; "Points"),CLASSNAMEHEADERS,0))),(IF("19"=(INDEX(ALLCLASSDATA,MATCH("SimpleTrained",CLASSFEATUREHEADERS,0),MATCH($A243,CLASSNAMEHEADERS,0))),(INDEX(ALLCLASSDATA,MATCH("SimpleTrained",CLASSFEATUREHEADERS,0),MATCH(($A243 &amp; "Points"),CLASSNAMEHEADERS,0))),"")))))))))}</f>
        <v>SIMPLEL19</v>
      </c>
      <c r="AA242" s="223"/>
      <c r="AB242" s="76" t="str">
        <f t="array" ref="AB242:AB243">{"SIMPLE TOTAL";(IF(COUNTBLANK(G243:AA243)=17,"L",(IF(COUNTBLANK(G243:AA243)=18,"M",(IF(COUNTBLANK(G243:AA243)=19,"E",(IF(COUNTBLANK(G243:AA243)=20,"T",""))))))))}</f>
        <v>SIMPLE TOTAL</v>
      </c>
      <c r="AC242" s="76" t="str">
        <f t="array" ref="AC242:AC243">{"SIMPLE TOTAL";(sum(G243:AA243))}</f>
        <v>SIMPLE TOTAL</v>
      </c>
    </row>
    <row r="243">
      <c r="A243" s="48" t="s">
        <v>109</v>
      </c>
      <c r="B243" s="48"/>
      <c r="C243" s="48" t="s">
        <v>406</v>
      </c>
      <c r="D243" s="48" t="s">
        <v>1634</v>
      </c>
      <c r="E243" s="48" t="s">
        <v>68</v>
      </c>
      <c r="F243" s="5" t="s">
        <v>603</v>
      </c>
      <c r="G243" s="47">
        <v>10.0</v>
      </c>
      <c r="H243" s="5" t="s">
        <v>436</v>
      </c>
      <c r="I243" s="5"/>
      <c r="J243" s="5" t="s">
        <v>603</v>
      </c>
      <c r="K243" s="5"/>
      <c r="L243" s="5" t="s">
        <v>603</v>
      </c>
      <c r="M243" s="5"/>
      <c r="N243" s="5" t="s">
        <v>603</v>
      </c>
      <c r="O243" s="5"/>
      <c r="P243" s="5" t="s">
        <v>603</v>
      </c>
      <c r="Q243" s="5"/>
      <c r="R243" s="5" t="s">
        <v>603</v>
      </c>
      <c r="S243" s="5"/>
      <c r="T243" s="5" t="s">
        <v>437</v>
      </c>
      <c r="U243" s="5"/>
      <c r="V243" s="5" t="s">
        <v>603</v>
      </c>
      <c r="W243" s="5"/>
      <c r="X243" s="5" t="s">
        <v>603</v>
      </c>
      <c r="Y243" s="5"/>
      <c r="Z243" s="5" t="s">
        <v>466</v>
      </c>
      <c r="AA243" s="5"/>
      <c r="AB243" s="5" t="s">
        <v>466</v>
      </c>
      <c r="AC243" s="47">
        <v>10.0</v>
      </c>
    </row>
    <row r="244" hidden="1">
      <c r="A244" s="222" t="str">
        <f t="array" ref="A244:A245">{"FormulaRow30";(INDEX(CLASSLIST,A185,1))}</f>
        <v>FormulaRow30</v>
      </c>
      <c r="B244" s="77" t="s">
        <v>236</v>
      </c>
      <c r="C244" s="222" t="str">
        <f t="array" ref="C244:C245">{"CLASSTYPE";((INDEX(ALLCLASSDATA,MATCH("ClassType",CLASSFEATUREHEADERS,0),MATCH($A245,CLASSNAMEHEADERS,0))))}</f>
        <v>CLASSTYPE</v>
      </c>
      <c r="D244" s="222" t="str">
        <f t="array" ref="D244:D245">{"ATTACK";"Attack"}</f>
        <v>ATTACK</v>
      </c>
      <c r="E244" s="222" t="str">
        <f t="array" ref="E244:E245">{"MARTIALLIMITED";"MartialLimited"}</f>
        <v>MARTIALLIMITED</v>
      </c>
      <c r="F244" s="223" t="str">
        <f t="array" ref="F244:F245">{"MARTIALLIMITEDINITIAL";((IF(H245=10,"T",(IF(H245=50,"E","")))))}</f>
        <v>MARTIALLIMITEDINITIAL</v>
      </c>
      <c r="G244" s="223" t="str">
        <f t="array" ref="G244:G245">{"MARTIALLIMITEDINITIALPTS";((IF("00"=(INDEX(ALLCLASSDATA,MATCH("MartialLimitedLegendary",CLASSFEATUREHEADERS,0),MATCH($A245,CLASSNAMEHEADERS,0))),(INDEX(ALLCLASSDATA,MATCH("MartialLimitedLegendary",CLASSFEATUREHEADERS,0),MATCH(($A245 &amp; "Points"),CLASSNAMEHEADERS,0))),(IF("00"=(INDEX(ALLCLASSDATA,MATCH("MartialLimitedMaster",CLASSFEATUREHEADERS,0),MATCH($A245,CLASSNAMEHEADERS,0))),(INDEX(ALLCLASSDATA,MATCH("MartialLimitedMaster",CLASSFEATUREHEADERS,0),MATCH(($A245 &amp; "Points"),CLASSNAMEHEADERS,0))),(IF("00"=(INDEX(ALLCLASSDATA,MATCH("MartialLimitedExpert",CLASSFEATUREHEADERS,0),MATCH($A245,CLASSNAMEHEADERS,0))),(INDEX(ALLCLASSDATA,MATCH("MartialLimitedExpert",CLASSFEATUREHEADERS,0),MATCH(($A245 &amp; "Points"),CLASSNAMEHEADERS,0))),(IF("00"=(INDEX(ALLCLASSDATA,MATCH("MartialLimitedTrained",CLASSFEATUREHEADERS,0),MATCH($A245,CLASSNAMEHEADERS,0))),(INDEX(ALLCLASSDATA,MATCH("MartialLimitedTrained",CLASSFEATUREHEADERS,0),MATCH(($A245 &amp; "Points"),CLASSNAMEHEADERS,0))),"")))))))))}</f>
        <v>MARTIALLIMITEDINITIALPTS</v>
      </c>
      <c r="H244" s="223" t="str">
        <f t="array" ref="H244:H245">{"MARTIALLIMITEDL01";((IF("01"=(INDEX(ALLCLASSDATA,MATCH("MartialLimitedLegendary",CLASSFEATUREHEADERS,0),MATCH($A245,CLASSNAMEHEADERS,0))),(INDEX(ALLCLASSDATA,MATCH("MartialLimitedLegendary",CLASSFEATUREHEADERS,0),MATCH(($A245 &amp; "Points"),CLASSNAMEHEADERS,0))),(IF("01"=(INDEX(ALLCLASSDATA,MATCH("MartialLimitedMaster",CLASSFEATUREHEADERS,0),MATCH($A245,CLASSNAMEHEADERS,0))),(INDEX(ALLCLASSDATA,MATCH("MartialLimitedMaster",CLASSFEATUREHEADERS,0),MATCH(($A245 &amp; "Points"),CLASSNAMEHEADERS,0))),(IF("01"=(INDEX(ALLCLASSDATA,MATCH("MartialLimitedExpert",CLASSFEATUREHEADERS,0),MATCH($A245,CLASSNAMEHEADERS,0))),(INDEX(ALLCLASSDATA,MATCH("MartialLimitedExpert",CLASSFEATUREHEADERS,0),MATCH(($A245 &amp; "Points"),CLASSNAMEHEADERS,0))),(IF("01"=(INDEX(ALLCLASSDATA,MATCH("MartialLimitedTrained",CLASSFEATUREHEADERS,0),MATCH($A245,CLASSNAMEHEADERS,0))),(INDEX(ALLCLASSDATA,MATCH("MartialLimitedTrained",CLASSFEATUREHEADERS,0),MATCH(($A245 &amp; "Points"),CLASSNAMEHEADERS,0))),"")))))))))}</f>
        <v>MARTIALLIMITEDL01</v>
      </c>
      <c r="I244" s="223"/>
      <c r="J244" s="223" t="str">
        <f t="array" ref="J244:J245">{"MARTIALLIMITEDL03";((IF("03"=(INDEX(ALLCLASSDATA,MATCH("MartialLimitedLegendary",CLASSFEATUREHEADERS,0),MATCH($A245,CLASSNAMEHEADERS,0))),(INDEX(ALLCLASSDATA,MATCH("MartialLimitedLegendary",CLASSFEATUREHEADERS,0),MATCH(($A245 &amp; "Points"),CLASSNAMEHEADERS,0))),(IF("03"=(INDEX(ALLCLASSDATA,MATCH("MartialLimitedMaster",CLASSFEATUREHEADERS,0),MATCH($A245,CLASSNAMEHEADERS,0))),(INDEX(ALLCLASSDATA,MATCH("MartialLimitedMaster",CLASSFEATUREHEADERS,0),MATCH(($A245 &amp; "Points"),CLASSNAMEHEADERS,0))),(IF("03"=(INDEX(ALLCLASSDATA,MATCH("MartialLimitedExpert",CLASSFEATUREHEADERS,0),MATCH($A245,CLASSNAMEHEADERS,0))),(INDEX(ALLCLASSDATA,MATCH("MartialLimitedExpert",CLASSFEATUREHEADERS,0),MATCH(($A245 &amp; "Points"),CLASSNAMEHEADERS,0))),(IF("03"=(INDEX(ALLCLASSDATA,MATCH("MartialLimitedTrained",CLASSFEATUREHEADERS,0),MATCH($A245,CLASSNAMEHEADERS,0))),(INDEX(ALLCLASSDATA,MATCH("MartialLimitedTrained",CLASSFEATUREHEADERS,0),MATCH(($A245 &amp; "Points"),CLASSNAMEHEADERS,0))),"")))))))))}</f>
        <v>MARTIALLIMITEDL03</v>
      </c>
      <c r="K244" s="223"/>
      <c r="L244" s="223" t="str">
        <f t="array" ref="L244:L245">{"MARTIALLIMITEDL05";((IF("05"=(INDEX(ALLCLASSDATA,MATCH("MartialLimitedLegendary",CLASSFEATUREHEADERS,0),MATCH($A245,CLASSNAMEHEADERS,0))),(INDEX(ALLCLASSDATA,MATCH("MartialLimitedLegendary",CLASSFEATUREHEADERS,0),MATCH(($A245 &amp; "Points"),CLASSNAMEHEADERS,0))),(IF("05"=(INDEX(ALLCLASSDATA,MATCH("MartialLimitedMaster",CLASSFEATUREHEADERS,0),MATCH($A245,CLASSNAMEHEADERS,0))),(INDEX(ALLCLASSDATA,MATCH("MartialLimitedMaster",CLASSFEATUREHEADERS,0),MATCH(($A245 &amp; "Points"),CLASSNAMEHEADERS,0))),(IF("05"=(INDEX(ALLCLASSDATA,MATCH("MartialLimitedExpert",CLASSFEATUREHEADERS,0),MATCH($A245,CLASSNAMEHEADERS,0))),(INDEX(ALLCLASSDATA,MATCH("MartialLimitedExpert",CLASSFEATUREHEADERS,0),MATCH(($A245 &amp; "Points"),CLASSNAMEHEADERS,0))),(IF("05"=(INDEX(ALLCLASSDATA,MATCH("MartialLimitedTrained",CLASSFEATUREHEADERS,0),MATCH($A245,CLASSNAMEHEADERS,0))),(INDEX(ALLCLASSDATA,MATCH("MartialLimitedTrained",CLASSFEATUREHEADERS,0),MATCH(($A245 &amp; "Points"),CLASSNAMEHEADERS,0))),"")))))))))}</f>
        <v>MARTIALLIMITEDL05</v>
      </c>
      <c r="M244" s="223"/>
      <c r="N244" s="223" t="str">
        <f t="array" ref="N244:N245">{"MARTIALLIMITEDL07";((IF("07"=(INDEX(ALLCLASSDATA,MATCH("MartialLimitedLegendary",CLASSFEATUREHEADERS,0),MATCH($A245,CLASSNAMEHEADERS,0))),(INDEX(ALLCLASSDATA,MATCH("MartialLimitedLegendary",CLASSFEATUREHEADERS,0),MATCH(($A245 &amp; "Points"),CLASSNAMEHEADERS,0))),(IF("07"=(INDEX(ALLCLASSDATA,MATCH("MartialLimitedMaster",CLASSFEATUREHEADERS,0),MATCH($A245,CLASSNAMEHEADERS,0))),(INDEX(ALLCLASSDATA,MATCH("MartialLimitedMaster",CLASSFEATUREHEADERS,0),MATCH(($A245 &amp; "Points"),CLASSNAMEHEADERS,0))),(IF("07"=(INDEX(ALLCLASSDATA,MATCH("MartialLimitedExpert",CLASSFEATUREHEADERS,0),MATCH($A245,CLASSNAMEHEADERS,0))),(INDEX(ALLCLASSDATA,MATCH("MartialLimitedExpert",CLASSFEATUREHEADERS,0),MATCH(($A245 &amp; "Points"),CLASSNAMEHEADERS,0))),(IF("07"=(INDEX(ALLCLASSDATA,MATCH("MartialLimitedTrained",CLASSFEATUREHEADERS,0),MATCH($A245,CLASSNAMEHEADERS,0))),(INDEX(ALLCLASSDATA,MATCH("MartialLimitedTrained",CLASSFEATUREHEADERS,0),MATCH(($A245 &amp; "Points"),CLASSNAMEHEADERS,0))),"")))))))))}</f>
        <v>MARTIALLIMITEDL07</v>
      </c>
      <c r="O244" s="223"/>
      <c r="P244" s="223" t="str">
        <f t="array" ref="P244:P245">{"MARTIALLIMITEDL09";((IF("09"=(INDEX(ALLCLASSDATA,MATCH("MartialLimitedLegendary",CLASSFEATUREHEADERS,0),MATCH($A245,CLASSNAMEHEADERS,0))),(INDEX(ALLCLASSDATA,MATCH("MartialLimitedLegendary",CLASSFEATUREHEADERS,0),MATCH(($A245 &amp; "Points"),CLASSNAMEHEADERS,0))),(IF("09"=(INDEX(ALLCLASSDATA,MATCH("MartialLimitedMaster",CLASSFEATUREHEADERS,0),MATCH($A245,CLASSNAMEHEADERS,0))),(INDEX(ALLCLASSDATA,MATCH("MartialLimitedMaster",CLASSFEATUREHEADERS,0),MATCH(($A245 &amp; "Points"),CLASSNAMEHEADERS,0))),(IF("09"=(INDEX(ALLCLASSDATA,MATCH("MartialLimitedExpert",CLASSFEATUREHEADERS,0),MATCH($A245,CLASSNAMEHEADERS,0))),(INDEX(ALLCLASSDATA,MATCH("MartialLimitedExpert",CLASSFEATUREHEADERS,0),MATCH(($A245 &amp; "Points"),CLASSNAMEHEADERS,0))),(IF("09"=(INDEX(ALLCLASSDATA,MATCH("MartialLimitedTrained",CLASSFEATUREHEADERS,0),MATCH($A245,CLASSNAMEHEADERS,0))),(INDEX(ALLCLASSDATA,MATCH("MartialLimitedTrained",CLASSFEATUREHEADERS,0),MATCH(($A245 &amp; "Points"),CLASSNAMEHEADERS,0))),"")))))))))}</f>
        <v>MARTIALLIMITEDL09</v>
      </c>
      <c r="Q244" s="223"/>
      <c r="R244" s="223" t="str">
        <f t="array" ref="R244:R245">{"MARTIALLIMITEDL11";((IF("11"=(INDEX(ALLCLASSDATA,MATCH("MartialLimitedLegendary",CLASSFEATUREHEADERS,0),MATCH($A245,CLASSNAMEHEADERS,0))),(INDEX(ALLCLASSDATA,MATCH("MartialLimitedLegendary",CLASSFEATUREHEADERS,0),MATCH(($A245 &amp; "Points"),CLASSNAMEHEADERS,0))),(IF("11"=(INDEX(ALLCLASSDATA,MATCH("MartialLimitedMaster",CLASSFEATUREHEADERS,0),MATCH($A245,CLASSNAMEHEADERS,0))),(INDEX(ALLCLASSDATA,MATCH("MartialLimitedMaster",CLASSFEATUREHEADERS,0),MATCH(($A245 &amp; "Points"),CLASSNAMEHEADERS,0))),(IF("11"=(INDEX(ALLCLASSDATA,MATCH("MartialLimitedExpert",CLASSFEATUREHEADERS,0),MATCH($A245,CLASSNAMEHEADERS,0))),(INDEX(ALLCLASSDATA,MATCH("MartialLimitedExpert",CLASSFEATUREHEADERS,0),MATCH(($A245 &amp; "Points"),CLASSNAMEHEADERS,0))),(IF("11"=(INDEX(ALLCLASSDATA,MATCH("MartialLimitedTrained",CLASSFEATUREHEADERS,0),MATCH($A245,CLASSNAMEHEADERS,0))),(INDEX(ALLCLASSDATA,MATCH("MartialLimitedTrained",CLASSFEATUREHEADERS,0),MATCH(($A245 &amp; "Points"),CLASSNAMEHEADERS,0))),"")))))))))}</f>
        <v>MARTIALLIMITEDL11</v>
      </c>
      <c r="S244" s="223"/>
      <c r="T244" s="223" t="str">
        <f t="array" ref="T244:T245">{"MARTIALLIMITEDL13";((IF("13"=(INDEX(ALLCLASSDATA,MATCH("MartialLimitedLegendary",CLASSFEATUREHEADERS,0),MATCH($A245,CLASSNAMEHEADERS,0))),(INDEX(ALLCLASSDATA,MATCH("MartialLimitedLegendary",CLASSFEATUREHEADERS,0),MATCH(($A245 &amp; "Points"),CLASSNAMEHEADERS,0))),(IF("13"=(INDEX(ALLCLASSDATA,MATCH("MartialLimitedMaster",CLASSFEATUREHEADERS,0),MATCH($A245,CLASSNAMEHEADERS,0))),(INDEX(ALLCLASSDATA,MATCH("MartialLimitedMaster",CLASSFEATUREHEADERS,0),MATCH(($A245 &amp; "Points"),CLASSNAMEHEADERS,0))),(IF("13"=(INDEX(ALLCLASSDATA,MATCH("MartialLimitedExpert",CLASSFEATUREHEADERS,0),MATCH($A245,CLASSNAMEHEADERS,0))),(INDEX(ALLCLASSDATA,MATCH("MartialLimitedExpert",CLASSFEATUREHEADERS,0),MATCH(($A245 &amp; "Points"),CLASSNAMEHEADERS,0))),(IF("13"=(INDEX(ALLCLASSDATA,MATCH("MartialLimitedTrained",CLASSFEATUREHEADERS,0),MATCH($A245,CLASSNAMEHEADERS,0))),(INDEX(ALLCLASSDATA,MATCH("MartialLimitedTrained",CLASSFEATUREHEADERS,0),MATCH(($A245 &amp; "Points"),CLASSNAMEHEADERS,0))),"")))))))))}</f>
        <v>MARTIALLIMITEDL13</v>
      </c>
      <c r="U244" s="223"/>
      <c r="V244" s="223" t="str">
        <f t="array" ref="V244:V245">{"MARTIALLIMITEDL15";((IF("15"=(INDEX(ALLCLASSDATA,MATCH("MartialLimitedLegendary",CLASSFEATUREHEADERS,0),MATCH($A245,CLASSNAMEHEADERS,0))),(INDEX(ALLCLASSDATA,MATCH("MartialLimitedLegendary",CLASSFEATUREHEADERS,0),MATCH(($A245 &amp; "Points"),CLASSNAMEHEADERS,0))),(IF("15"=(INDEX(ALLCLASSDATA,MATCH("MartialLimitedMaster",CLASSFEATUREHEADERS,0),MATCH($A245,CLASSNAMEHEADERS,0))),(INDEX(ALLCLASSDATA,MATCH("MartialLimitedMaster",CLASSFEATUREHEADERS,0),MATCH(($A245 &amp; "Points"),CLASSNAMEHEADERS,0))),(IF("15"=(INDEX(ALLCLASSDATA,MATCH("MartialLimitedExpert",CLASSFEATUREHEADERS,0),MATCH($A245,CLASSNAMEHEADERS,0))),(INDEX(ALLCLASSDATA,MATCH("MartialLimitedExpert",CLASSFEATUREHEADERS,0),MATCH(($A245 &amp; "Points"),CLASSNAMEHEADERS,0))),(IF("15"=(INDEX(ALLCLASSDATA,MATCH("MartialLimitedTrained",CLASSFEATUREHEADERS,0),MATCH($A245,CLASSNAMEHEADERS,0))),(INDEX(ALLCLASSDATA,MATCH("MartialLimitedTrained",CLASSFEATUREHEADERS,0),MATCH(($A245 &amp; "Points"),CLASSNAMEHEADERS,0))),"")))))))))}</f>
        <v>MARTIALLIMITEDL15</v>
      </c>
      <c r="W244" s="223"/>
      <c r="X244" s="223" t="str">
        <f t="array" ref="X244:X245">{"MARTIALLIMITEDL17";((IF("17"=(INDEX(ALLCLASSDATA,MATCH("MartialLimitedLegendary",CLASSFEATUREHEADERS,0),MATCH($A245,CLASSNAMEHEADERS,0))),(INDEX(ALLCLASSDATA,MATCH("MartialLimitedLegendary",CLASSFEATUREHEADERS,0),MATCH(($A245 &amp; "Points"),CLASSNAMEHEADERS,0))),(IF("17"=(INDEX(ALLCLASSDATA,MATCH("MartialLimitedMaster",CLASSFEATUREHEADERS,0),MATCH($A245,CLASSNAMEHEADERS,0))),(INDEX(ALLCLASSDATA,MATCH("MartialLimitedMaster",CLASSFEATUREHEADERS,0),MATCH(($A245 &amp; "Points"),CLASSNAMEHEADERS,0))),(IF("17"=(INDEX(ALLCLASSDATA,MATCH("MartialLimitedExpert",CLASSFEATUREHEADERS,0),MATCH($A245,CLASSNAMEHEADERS,0))),(INDEX(ALLCLASSDATA,MATCH("MartialLimitedExpert",CLASSFEATUREHEADERS,0),MATCH(($A245 &amp; "Points"),CLASSNAMEHEADERS,0))),(IF("17"=(INDEX(ALLCLASSDATA,MATCH("MartialLimitedTrained",CLASSFEATUREHEADERS,0),MATCH($A245,CLASSNAMEHEADERS,0))),(INDEX(ALLCLASSDATA,MATCH("MartialLimitedTrained",CLASSFEATUREHEADERS,0),MATCH(($A245 &amp; "Points"),CLASSNAMEHEADERS,0))),"")))))))))}</f>
        <v>MARTIALLIMITEDL17</v>
      </c>
      <c r="Y244" s="223"/>
      <c r="Z244" s="223" t="str">
        <f t="array" ref="Z244:Z245">{"MARTIALLIMITEDL19";((IF("19"=(INDEX(ALLCLASSDATA,MATCH("MartialLimitedLegendary",CLASSFEATUREHEADERS,0),MATCH($A245,CLASSNAMEHEADERS,0))),(INDEX(ALLCLASSDATA,MATCH("MartialLimitedLegendary",CLASSFEATUREHEADERS,0),MATCH(($A245 &amp; "Points"),CLASSNAMEHEADERS,0))),(IF("19"=(INDEX(ALLCLASSDATA,MATCH("MartialLimitedMaster",CLASSFEATUREHEADERS,0),MATCH($A245,CLASSNAMEHEADERS,0))),(INDEX(ALLCLASSDATA,MATCH("MartialLimitedMaster",CLASSFEATUREHEADERS,0),MATCH(($A245 &amp; "Points"),CLASSNAMEHEADERS,0))),(IF("19"=(INDEX(ALLCLASSDATA,MATCH("MartialLimitedExpert",CLASSFEATUREHEADERS,0),MATCH($A245,CLASSNAMEHEADERS,0))),(INDEX(ALLCLASSDATA,MATCH("MartialLimitedExpert",CLASSFEATUREHEADERS,0),MATCH(($A245 &amp; "Points"),CLASSNAMEHEADERS,0))),(IF("19"=(INDEX(ALLCLASSDATA,MATCH("MartialLimitedTrained",CLASSFEATUREHEADERS,0),MATCH($A245,CLASSNAMEHEADERS,0))),(INDEX(ALLCLASSDATA,MATCH("MartialLimitedTrained",CLASSFEATUREHEADERS,0),MATCH(($A245 &amp; "Points"),CLASSNAMEHEADERS,0))),"")))))))))}</f>
        <v>MARTIALLIMITEDL19</v>
      </c>
      <c r="AA244" s="223"/>
      <c r="AB244" s="76" t="str">
        <f t="array" ref="AB244:AB245">{"MARTIALLIMITED TOTAL";(IF(COUNTBLANK(G245:AA245)=17,"L",(IF(COUNTBLANK(G245:AA245)=18,"M",(IF(COUNTBLANK(G245:AA245)=19,"E",(IF(COUNTBLANK(G245:AA245)=20,"T",""))))))))}</f>
        <v>MARTIALLIMITED TOTAL</v>
      </c>
      <c r="AC244" s="76" t="str">
        <f t="array" ref="AC244:AC245">{"MARTIALLIMITED TOTAL";(sum(G245:AA245))}</f>
        <v>MARTIALLIMITED TOTAL</v>
      </c>
    </row>
    <row r="245">
      <c r="A245" s="48" t="s">
        <v>109</v>
      </c>
      <c r="B245" s="48"/>
      <c r="C245" s="48" t="s">
        <v>406</v>
      </c>
      <c r="D245" s="48" t="s">
        <v>1634</v>
      </c>
      <c r="E245" s="48" t="s">
        <v>600</v>
      </c>
      <c r="F245" s="5" t="s">
        <v>603</v>
      </c>
      <c r="G245" s="47" t="s">
        <v>603</v>
      </c>
      <c r="H245" s="5" t="s">
        <v>603</v>
      </c>
      <c r="I245" s="5"/>
      <c r="J245" s="5" t="s">
        <v>603</v>
      </c>
      <c r="K245" s="5"/>
      <c r="L245" s="5" t="s">
        <v>437</v>
      </c>
      <c r="M245" s="5"/>
      <c r="N245" s="5" t="s">
        <v>603</v>
      </c>
      <c r="O245" s="5"/>
      <c r="P245" s="5" t="s">
        <v>603</v>
      </c>
      <c r="Q245" s="5"/>
      <c r="R245" s="5" t="s">
        <v>603</v>
      </c>
      <c r="S245" s="5"/>
      <c r="T245" s="5" t="s">
        <v>466</v>
      </c>
      <c r="U245" s="5"/>
      <c r="V245" s="5" t="s">
        <v>603</v>
      </c>
      <c r="W245" s="5"/>
      <c r="X245" s="5" t="s">
        <v>603</v>
      </c>
      <c r="Y245" s="5"/>
      <c r="Z245" s="5" t="s">
        <v>603</v>
      </c>
      <c r="AA245" s="5"/>
      <c r="AB245" s="5" t="s">
        <v>436</v>
      </c>
      <c r="AC245" s="47">
        <v>0.0</v>
      </c>
    </row>
    <row r="246" hidden="1">
      <c r="A246" s="222" t="str">
        <f t="array" ref="A246:A247">{"FormulaRow31";(INDEX(CLASSLIST,A185,1))}</f>
        <v>FormulaRow31</v>
      </c>
      <c r="B246" s="77" t="s">
        <v>236</v>
      </c>
      <c r="C246" s="222" t="str">
        <f t="array" ref="C246:C247">{"CLASSTYPE";((INDEX(ALLCLASSDATA,MATCH("ClassType",CLASSFEATUREHEADERS,0),MATCH($A247,CLASSNAMEHEADERS,0))))}</f>
        <v>CLASSTYPE</v>
      </c>
      <c r="D246" s="222" t="str">
        <f t="array" ref="D246:D247">{"ATTACK";"Attack"}</f>
        <v>ATTACK</v>
      </c>
      <c r="E246" s="222" t="str">
        <f t="array" ref="E246:E247">{"MARTIAL";"Martial"}</f>
        <v>MARTIAL</v>
      </c>
      <c r="F246" s="223" t="str">
        <f t="array" ref="F246:F247">{"MARTIALINITIAL";((IF(H247=10,"T",(IF(H247=50,"E","")))))}</f>
        <v>MARTIALINITIAL</v>
      </c>
      <c r="G246" s="223" t="str">
        <f t="array" ref="G246:G247">{"MARTIALINITIALPTS";((IF("00"=(INDEX(ALLCLASSDATA,MATCH("MartialLegendary",CLASSFEATUREHEADERS,0),MATCH($A247,CLASSNAMEHEADERS,0))),(INDEX(ALLCLASSDATA,MATCH("MartialLegendary",CLASSFEATUREHEADERS,0),MATCH(($A247 &amp; "Points"),CLASSNAMEHEADERS,0))),(IF("00"=(INDEX(ALLCLASSDATA,MATCH("MartialMaster",CLASSFEATUREHEADERS,0),MATCH($A247,CLASSNAMEHEADERS,0))),(INDEX(ALLCLASSDATA,MATCH("MartialMaster",CLASSFEATUREHEADERS,0),MATCH(($A247 &amp; "Points"),CLASSNAMEHEADERS,0))),(IF("00"=(INDEX(ALLCLASSDATA,MATCH("MartialExpert",CLASSFEATUREHEADERS,0),MATCH($A247,CLASSNAMEHEADERS,0))),(INDEX(ALLCLASSDATA,MATCH("MartialExpert",CLASSFEATUREHEADERS,0),MATCH(($A247 &amp; "Points"),CLASSNAMEHEADERS,0))),(IF("00"=(INDEX(ALLCLASSDATA,MATCH("MartialTrained",CLASSFEATUREHEADERS,0),MATCH($A247,CLASSNAMEHEADERS,0))),(INDEX(ALLCLASSDATA,MATCH("MartialTrained",CLASSFEATUREHEADERS,0),MATCH(($A247 &amp; "Points"),CLASSNAMEHEADERS,0))),"")))))))))}</f>
        <v>MARTIALINITIALPTS</v>
      </c>
      <c r="H246" s="223" t="str">
        <f t="array" ref="H246:H247">{"MARTIALL01";((IF("01"=(INDEX(ALLCLASSDATA,MATCH("MartialLegendary",CLASSFEATUREHEADERS,0),MATCH($A247,CLASSNAMEHEADERS,0))),(INDEX(ALLCLASSDATA,MATCH("MartialLegendary",CLASSFEATUREHEADERS,0),MATCH(($A247 &amp; "Points"),CLASSNAMEHEADERS,0))),(IF("01"=(INDEX(ALLCLASSDATA,MATCH("MartialMaster",CLASSFEATUREHEADERS,0),MATCH($A247,CLASSNAMEHEADERS,0))),(INDEX(ALLCLASSDATA,MATCH("MartialMaster",CLASSFEATUREHEADERS,0),MATCH(($A247 &amp; "Points"),CLASSNAMEHEADERS,0))),(IF("01"=(INDEX(ALLCLASSDATA,MATCH("MartialExpert",CLASSFEATUREHEADERS,0),MATCH($A247,CLASSNAMEHEADERS,0))),(INDEX(ALLCLASSDATA,MATCH("MartialExpert",CLASSFEATUREHEADERS,0),MATCH(($A247 &amp; "Points"),CLASSNAMEHEADERS,0))),(IF("01"=(INDEX(ALLCLASSDATA,MATCH("MartialTrained",CLASSFEATUREHEADERS,0),MATCH($A247,CLASSNAMEHEADERS,0))),(INDEX(ALLCLASSDATA,MATCH("MartialTrained",CLASSFEATUREHEADERS,0),MATCH(($A247 &amp; "Points"),CLASSNAMEHEADERS,0))),"")))))))))}</f>
        <v>MARTIALL01</v>
      </c>
      <c r="I246" s="223"/>
      <c r="J246" s="223" t="str">
        <f t="array" ref="J246:J247">{"MARTIALL03";((IF("03"=(INDEX(ALLCLASSDATA,MATCH("MartialLegendary",CLASSFEATUREHEADERS,0),MATCH($A247,CLASSNAMEHEADERS,0))),(INDEX(ALLCLASSDATA,MATCH("MartialLegendary",CLASSFEATUREHEADERS,0),MATCH(($A247 &amp; "Points"),CLASSNAMEHEADERS,0))),(IF("03"=(INDEX(ALLCLASSDATA,MATCH("MartialMaster",CLASSFEATUREHEADERS,0),MATCH($A247,CLASSNAMEHEADERS,0))),(INDEX(ALLCLASSDATA,MATCH("MartialMaster",CLASSFEATUREHEADERS,0),MATCH(($A247 &amp; "Points"),CLASSNAMEHEADERS,0))),(IF("03"=(INDEX(ALLCLASSDATA,MATCH("MartialExpert",CLASSFEATUREHEADERS,0),MATCH($A247,CLASSNAMEHEADERS,0))),(INDEX(ALLCLASSDATA,MATCH("MartialExpert",CLASSFEATUREHEADERS,0),MATCH(($A247 &amp; "Points"),CLASSNAMEHEADERS,0))),(IF("03"=(INDEX(ALLCLASSDATA,MATCH("MartialTrained",CLASSFEATUREHEADERS,0),MATCH($A247,CLASSNAMEHEADERS,0))),(INDEX(ALLCLASSDATA,MATCH("MartialTrained",CLASSFEATUREHEADERS,0),MATCH(($A247 &amp; "Points"),CLASSNAMEHEADERS,0))),"")))))))))}</f>
        <v>MARTIALL03</v>
      </c>
      <c r="K246" s="223"/>
      <c r="L246" s="223" t="str">
        <f t="array" ref="L246:L247">{"MARTIALL05";((IF("05"=(INDEX(ALLCLASSDATA,MATCH("MartialLegendary",CLASSFEATUREHEADERS,0),MATCH($A247,CLASSNAMEHEADERS,0))),(INDEX(ALLCLASSDATA,MATCH("MartialLegendary",CLASSFEATUREHEADERS,0),MATCH(($A247 &amp; "Points"),CLASSNAMEHEADERS,0))),(IF("05"=(INDEX(ALLCLASSDATA,MATCH("MartialMaster",CLASSFEATUREHEADERS,0),MATCH($A247,CLASSNAMEHEADERS,0))),(INDEX(ALLCLASSDATA,MATCH("MartialMaster",CLASSFEATUREHEADERS,0),MATCH(($A247 &amp; "Points"),CLASSNAMEHEADERS,0))),(IF("05"=(INDEX(ALLCLASSDATA,MATCH("MartialExpert",CLASSFEATUREHEADERS,0),MATCH($A247,CLASSNAMEHEADERS,0))),(INDEX(ALLCLASSDATA,MATCH("MartialExpert",CLASSFEATUREHEADERS,0),MATCH(($A247 &amp; "Points"),CLASSNAMEHEADERS,0))),(IF("05"=(INDEX(ALLCLASSDATA,MATCH("MartialTrained",CLASSFEATUREHEADERS,0),MATCH($A247,CLASSNAMEHEADERS,0))),(INDEX(ALLCLASSDATA,MATCH("MartialTrained",CLASSFEATUREHEADERS,0),MATCH(($A247 &amp; "Points"),CLASSNAMEHEADERS,0))),"")))))))))}</f>
        <v>MARTIALL05</v>
      </c>
      <c r="M246" s="223"/>
      <c r="N246" s="223" t="str">
        <f t="array" ref="N246:N247">{"MARTIALL07";((IF("07"=(INDEX(ALLCLASSDATA,MATCH("MartialLegendary",CLASSFEATUREHEADERS,0),MATCH($A247,CLASSNAMEHEADERS,0))),(INDEX(ALLCLASSDATA,MATCH("MartialLegendary",CLASSFEATUREHEADERS,0),MATCH(($A247 &amp; "Points"),CLASSNAMEHEADERS,0))),(IF("07"=(INDEX(ALLCLASSDATA,MATCH("MartialMaster",CLASSFEATUREHEADERS,0),MATCH($A247,CLASSNAMEHEADERS,0))),(INDEX(ALLCLASSDATA,MATCH("MartialMaster",CLASSFEATUREHEADERS,0),MATCH(($A247 &amp; "Points"),CLASSNAMEHEADERS,0))),(IF("07"=(INDEX(ALLCLASSDATA,MATCH("MartialExpert",CLASSFEATUREHEADERS,0),MATCH($A247,CLASSNAMEHEADERS,0))),(INDEX(ALLCLASSDATA,MATCH("MartialExpert",CLASSFEATUREHEADERS,0),MATCH(($A247 &amp; "Points"),CLASSNAMEHEADERS,0))),(IF("07"=(INDEX(ALLCLASSDATA,MATCH("MartialTrained",CLASSFEATUREHEADERS,0),MATCH($A247,CLASSNAMEHEADERS,0))),(INDEX(ALLCLASSDATA,MATCH("MartialTrained",CLASSFEATUREHEADERS,0),MATCH(($A247 &amp; "Points"),CLASSNAMEHEADERS,0))),"")))))))))}</f>
        <v>MARTIALL07</v>
      </c>
      <c r="O246" s="223"/>
      <c r="P246" s="223" t="str">
        <f t="array" ref="P246:P247">{"MARTIALL09";((IF("09"=(INDEX(ALLCLASSDATA,MATCH("MartialLegendary",CLASSFEATUREHEADERS,0),MATCH($A247,CLASSNAMEHEADERS,0))),(INDEX(ALLCLASSDATA,MATCH("MartialLegendary",CLASSFEATUREHEADERS,0),MATCH(($A247 &amp; "Points"),CLASSNAMEHEADERS,0))),(IF("09"=(INDEX(ALLCLASSDATA,MATCH("MartialMaster",CLASSFEATUREHEADERS,0),MATCH($A247,CLASSNAMEHEADERS,0))),(INDEX(ALLCLASSDATA,MATCH("MartialMaster",CLASSFEATUREHEADERS,0),MATCH(($A247 &amp; "Points"),CLASSNAMEHEADERS,0))),(IF("09"=(INDEX(ALLCLASSDATA,MATCH("MartialExpert",CLASSFEATUREHEADERS,0),MATCH($A247,CLASSNAMEHEADERS,0))),(INDEX(ALLCLASSDATA,MATCH("MartialExpert",CLASSFEATUREHEADERS,0),MATCH(($A247 &amp; "Points"),CLASSNAMEHEADERS,0))),(IF("09"=(INDEX(ALLCLASSDATA,MATCH("MartialTrained",CLASSFEATUREHEADERS,0),MATCH($A247,CLASSNAMEHEADERS,0))),(INDEX(ALLCLASSDATA,MATCH("MartialTrained",CLASSFEATUREHEADERS,0),MATCH(($A247 &amp; "Points"),CLASSNAMEHEADERS,0))),"")))))))))}</f>
        <v>MARTIALL09</v>
      </c>
      <c r="Q246" s="223"/>
      <c r="R246" s="223" t="str">
        <f t="array" ref="R246:R247">{"MARTIALL11";((IF("11"=(INDEX(ALLCLASSDATA,MATCH("MartialLegendary",CLASSFEATUREHEADERS,0),MATCH($A247,CLASSNAMEHEADERS,0))),(INDEX(ALLCLASSDATA,MATCH("MartialLegendary",CLASSFEATUREHEADERS,0),MATCH(($A247 &amp; "Points"),CLASSNAMEHEADERS,0))),(IF("11"=(INDEX(ALLCLASSDATA,MATCH("MartialMaster",CLASSFEATUREHEADERS,0),MATCH($A247,CLASSNAMEHEADERS,0))),(INDEX(ALLCLASSDATA,MATCH("MartialMaster",CLASSFEATUREHEADERS,0),MATCH(($A247 &amp; "Points"),CLASSNAMEHEADERS,0))),(IF("11"=(INDEX(ALLCLASSDATA,MATCH("MartialExpert",CLASSFEATUREHEADERS,0),MATCH($A247,CLASSNAMEHEADERS,0))),(INDEX(ALLCLASSDATA,MATCH("MartialExpert",CLASSFEATUREHEADERS,0),MATCH(($A247 &amp; "Points"),CLASSNAMEHEADERS,0))),(IF("11"=(INDEX(ALLCLASSDATA,MATCH("MartialTrained",CLASSFEATUREHEADERS,0),MATCH($A247,CLASSNAMEHEADERS,0))),(INDEX(ALLCLASSDATA,MATCH("MartialTrained",CLASSFEATUREHEADERS,0),MATCH(($A247 &amp; "Points"),CLASSNAMEHEADERS,0))),"")))))))))}</f>
        <v>MARTIALL11</v>
      </c>
      <c r="S246" s="223"/>
      <c r="T246" s="223" t="str">
        <f t="array" ref="T246:T247">{"MARTIALL13";((IF("13"=(INDEX(ALLCLASSDATA,MATCH("MartialLegendary",CLASSFEATUREHEADERS,0),MATCH($A247,CLASSNAMEHEADERS,0))),(INDEX(ALLCLASSDATA,MATCH("MartialLegendary",CLASSFEATUREHEADERS,0),MATCH(($A247 &amp; "Points"),CLASSNAMEHEADERS,0))),(IF("13"=(INDEX(ALLCLASSDATA,MATCH("MartialMaster",CLASSFEATUREHEADERS,0),MATCH($A247,CLASSNAMEHEADERS,0))),(INDEX(ALLCLASSDATA,MATCH("MartialMaster",CLASSFEATUREHEADERS,0),MATCH(($A247 &amp; "Points"),CLASSNAMEHEADERS,0))),(IF("13"=(INDEX(ALLCLASSDATA,MATCH("MartialExpert",CLASSFEATUREHEADERS,0),MATCH($A247,CLASSNAMEHEADERS,0))),(INDEX(ALLCLASSDATA,MATCH("MartialExpert",CLASSFEATUREHEADERS,0),MATCH(($A247 &amp; "Points"),CLASSNAMEHEADERS,0))),(IF("13"=(INDEX(ALLCLASSDATA,MATCH("MartialTrained",CLASSFEATUREHEADERS,0),MATCH($A247,CLASSNAMEHEADERS,0))),(INDEX(ALLCLASSDATA,MATCH("MartialTrained",CLASSFEATUREHEADERS,0),MATCH(($A247 &amp; "Points"),CLASSNAMEHEADERS,0))),"")))))))))}</f>
        <v>MARTIALL13</v>
      </c>
      <c r="U246" s="223"/>
      <c r="V246" s="223" t="str">
        <f t="array" ref="V246:V247">{"MARTIALL15";((IF("15"=(INDEX(ALLCLASSDATA,MATCH("MartialLegendary",CLASSFEATUREHEADERS,0),MATCH($A247,CLASSNAMEHEADERS,0))),(INDEX(ALLCLASSDATA,MATCH("MartialLegendary",CLASSFEATUREHEADERS,0),MATCH(($A247 &amp; "Points"),CLASSNAMEHEADERS,0))),(IF("15"=(INDEX(ALLCLASSDATA,MATCH("MartialMaster",CLASSFEATUREHEADERS,0),MATCH($A247,CLASSNAMEHEADERS,0))),(INDEX(ALLCLASSDATA,MATCH("MartialMaster",CLASSFEATUREHEADERS,0),MATCH(($A247 &amp; "Points"),CLASSNAMEHEADERS,0))),(IF("15"=(INDEX(ALLCLASSDATA,MATCH("MartialExpert",CLASSFEATUREHEADERS,0),MATCH($A247,CLASSNAMEHEADERS,0))),(INDEX(ALLCLASSDATA,MATCH("MartialExpert",CLASSFEATUREHEADERS,0),MATCH(($A247 &amp; "Points"),CLASSNAMEHEADERS,0))),(IF("15"=(INDEX(ALLCLASSDATA,MATCH("MartialTrained",CLASSFEATUREHEADERS,0),MATCH($A247,CLASSNAMEHEADERS,0))),(INDEX(ALLCLASSDATA,MATCH("MartialTrained",CLASSFEATUREHEADERS,0),MATCH(($A247 &amp; "Points"),CLASSNAMEHEADERS,0))),"")))))))))}</f>
        <v>MARTIALL15</v>
      </c>
      <c r="W246" s="223"/>
      <c r="X246" s="223" t="str">
        <f t="array" ref="X246:X247">{"MARTIALL17";((IF("17"=(INDEX(ALLCLASSDATA,MATCH("MartialLegendary",CLASSFEATUREHEADERS,0),MATCH($A247,CLASSNAMEHEADERS,0))),(INDEX(ALLCLASSDATA,MATCH("MartialLegendary",CLASSFEATUREHEADERS,0),MATCH(($A247 &amp; "Points"),CLASSNAMEHEADERS,0))),(IF("17"=(INDEX(ALLCLASSDATA,MATCH("MartialMaster",CLASSFEATUREHEADERS,0),MATCH($A247,CLASSNAMEHEADERS,0))),(INDEX(ALLCLASSDATA,MATCH("MartialMaster",CLASSFEATUREHEADERS,0),MATCH(($A247 &amp; "Points"),CLASSNAMEHEADERS,0))),(IF("17"=(INDEX(ALLCLASSDATA,MATCH("MartialExpert",CLASSFEATUREHEADERS,0),MATCH($A247,CLASSNAMEHEADERS,0))),(INDEX(ALLCLASSDATA,MATCH("MartialExpert",CLASSFEATUREHEADERS,0),MATCH(($A247 &amp; "Points"),CLASSNAMEHEADERS,0))),(IF("17"=(INDEX(ALLCLASSDATA,MATCH("MartialTrained",CLASSFEATUREHEADERS,0),MATCH($A247,CLASSNAMEHEADERS,0))),(INDEX(ALLCLASSDATA,MATCH("MartialTrained",CLASSFEATUREHEADERS,0),MATCH(($A247 &amp; "Points"),CLASSNAMEHEADERS,0))),"")))))))))}</f>
        <v>MARTIALL17</v>
      </c>
      <c r="Y246" s="223"/>
      <c r="Z246" s="223" t="str">
        <f t="array" ref="Z246:Z247">{"MARTIALL19";((IF("19"=(INDEX(ALLCLASSDATA,MATCH("MartialLegendary",CLASSFEATUREHEADERS,0),MATCH($A247,CLASSNAMEHEADERS,0))),(INDEX(ALLCLASSDATA,MATCH("MartialLegendary",CLASSFEATUREHEADERS,0),MATCH(($A247 &amp; "Points"),CLASSNAMEHEADERS,0))),(IF("19"=(INDEX(ALLCLASSDATA,MATCH("MartialMaster",CLASSFEATUREHEADERS,0),MATCH($A247,CLASSNAMEHEADERS,0))),(INDEX(ALLCLASSDATA,MATCH("MartialMaster",CLASSFEATUREHEADERS,0),MATCH(($A247 &amp; "Points"),CLASSNAMEHEADERS,0))),(IF("19"=(INDEX(ALLCLASSDATA,MATCH("MartialExpert",CLASSFEATUREHEADERS,0),MATCH($A247,CLASSNAMEHEADERS,0))),(INDEX(ALLCLASSDATA,MATCH("MartialExpert",CLASSFEATUREHEADERS,0),MATCH(($A247 &amp; "Points"),CLASSNAMEHEADERS,0))),(IF("19"=(INDEX(ALLCLASSDATA,MATCH("MartialTrained",CLASSFEATUREHEADERS,0),MATCH($A247,CLASSNAMEHEADERS,0))),(INDEX(ALLCLASSDATA,MATCH("MartialTrained",CLASSFEATUREHEADERS,0),MATCH(($A247 &amp; "Points"),CLASSNAMEHEADERS,0))),"")))))))))}</f>
        <v>MARTIALL19</v>
      </c>
      <c r="AA246" s="223"/>
      <c r="AB246" s="76" t="str">
        <f t="array" ref="AB246:AB247">{"MARTIAL TOTAL";(IF(COUNTBLANK(G247:AA247)=17,"L",(IF(COUNTBLANK(G247:AA247)=18,"M",(IF(COUNTBLANK(G247:AA247)=19,"E",(IF(COUNTBLANK(G247:AA247)=20,"T",""))))))))}</f>
        <v>MARTIAL TOTAL</v>
      </c>
      <c r="AC246" s="76" t="str">
        <f t="array" ref="AC246:AC247">{"MARTIAL TOTAL";(sum(G247:AA247))}</f>
        <v>MARTIAL TOTAL</v>
      </c>
    </row>
    <row r="247">
      <c r="A247" s="48" t="s">
        <v>109</v>
      </c>
      <c r="B247" s="48"/>
      <c r="C247" s="48" t="s">
        <v>406</v>
      </c>
      <c r="D247" s="48" t="s">
        <v>1634</v>
      </c>
      <c r="E247" s="48" t="s">
        <v>6</v>
      </c>
      <c r="F247" s="5" t="s">
        <v>436</v>
      </c>
      <c r="G247" s="47">
        <v>10.0</v>
      </c>
      <c r="H247" s="5">
        <v>50.0</v>
      </c>
      <c r="I247" s="5"/>
      <c r="J247" s="5" t="s">
        <v>603</v>
      </c>
      <c r="K247" s="5"/>
      <c r="L247" s="5" t="s">
        <v>603</v>
      </c>
      <c r="M247" s="5"/>
      <c r="N247" s="5" t="s">
        <v>603</v>
      </c>
      <c r="O247" s="5"/>
      <c r="P247" s="5" t="s">
        <v>603</v>
      </c>
      <c r="Q247" s="48"/>
      <c r="R247" s="5" t="s">
        <v>603</v>
      </c>
      <c r="S247" s="5"/>
      <c r="T247" s="5">
        <v>110.0</v>
      </c>
      <c r="U247" s="5"/>
      <c r="V247" s="5" t="s">
        <v>603</v>
      </c>
      <c r="W247" s="5"/>
      <c r="X247" s="5" t="s">
        <v>603</v>
      </c>
      <c r="Y247" s="5"/>
      <c r="Z247" s="5">
        <v>190.0</v>
      </c>
      <c r="AA247" s="5"/>
      <c r="AB247" s="5" t="s">
        <v>466</v>
      </c>
      <c r="AC247" s="47">
        <v>360.0</v>
      </c>
    </row>
    <row r="248" hidden="1">
      <c r="A248" s="222" t="str">
        <f t="array" ref="A248:A249">{"FormulaRow32";(INDEX(CLASSLIST,A185,1))}</f>
        <v>FormulaRow32</v>
      </c>
      <c r="B248" s="77" t="s">
        <v>236</v>
      </c>
      <c r="C248" s="222" t="str">
        <f t="array" ref="C248:C249">{"CLASSTYPE";((INDEX(ALLCLASSDATA,MATCH("ClassType",CLASSFEATUREHEADERS,0),MATCH($A249,CLASSNAMEHEADERS,0))))}</f>
        <v>CLASSTYPE</v>
      </c>
      <c r="D248" s="222" t="str">
        <f t="array" ref="D248:D249">{"ATTACK";"Attack"}</f>
        <v>ATTACK</v>
      </c>
      <c r="E248" s="222" t="str">
        <f t="array" ref="E248:E249">{"ADVANCEDGROUP";"AdvancedGroup"}</f>
        <v>ADVANCEDGROUP</v>
      </c>
      <c r="F248" s="223" t="str">
        <f t="array" ref="F248:F249">{"ADVANCEDGROUPINITIAL";((IF(H249=10,"T",(IF(H249=50,"E","")))))}</f>
        <v>ADVANCEDGROUPINITIAL</v>
      </c>
      <c r="G248" s="223" t="str">
        <f t="array" ref="G248:G249">{"ADVANCEDGROUPINITIALPTS";((IF("00"=(INDEX(ALLCLASSDATA,MATCH("AdvancedGroupLegendary",CLASSFEATUREHEADERS,0),MATCH($A249,CLASSNAMEHEADERS,0))),(INDEX(ALLCLASSDATA,MATCH("AdvancedGroupLegendary",CLASSFEATUREHEADERS,0),MATCH(($A249 &amp; "Points"),CLASSNAMEHEADERS,0))),(IF("00"=(INDEX(ALLCLASSDATA,MATCH("AdvancedGroupMaster",CLASSFEATUREHEADERS,0),MATCH($A249,CLASSNAMEHEADERS,0))),(INDEX(ALLCLASSDATA,MATCH("AdvancedGroupMaster",CLASSFEATUREHEADERS,0),MATCH(($A249 &amp; "Points"),CLASSNAMEHEADERS,0))),(IF("00"=(INDEX(ALLCLASSDATA,MATCH("AdvancedGroupExpert",CLASSFEATUREHEADERS,0),MATCH($A249,CLASSNAMEHEADERS,0))),(INDEX(ALLCLASSDATA,MATCH("AdvancedGroupExpert",CLASSFEATUREHEADERS,0),MATCH(($A249 &amp; "Points"),CLASSNAMEHEADERS,0))),(IF("00"=(INDEX(ALLCLASSDATA,MATCH("AdvancedGroupTrained",CLASSFEATUREHEADERS,0),MATCH($A249,CLASSNAMEHEADERS,0))),(INDEX(ALLCLASSDATA,MATCH("AdvancedGroupTrained",CLASSFEATUREHEADERS,0),MATCH(($A249 &amp; "Points"),CLASSNAMEHEADERS,0))),"")))))))))}</f>
        <v>ADVANCEDGROUPINITIALPTS</v>
      </c>
      <c r="H248" s="223" t="str">
        <f t="array" ref="H248:H249">{"ADVANCEDGROUPL01";((IF("01"=(INDEX(ALLCLASSDATA,MATCH("AdvancedGroupLegendary",CLASSFEATUREHEADERS,0),MATCH($A249,CLASSNAMEHEADERS,0))),(INDEX(ALLCLASSDATA,MATCH("AdvancedGroupLegendary",CLASSFEATUREHEADERS,0),MATCH(($A249 &amp; "Points"),CLASSNAMEHEADERS,0))),(IF("01"=(INDEX(ALLCLASSDATA,MATCH("AdvancedGroupMaster",CLASSFEATUREHEADERS,0),MATCH($A249,CLASSNAMEHEADERS,0))),(INDEX(ALLCLASSDATA,MATCH("AdvancedGroupMaster",CLASSFEATUREHEADERS,0),MATCH(($A249 &amp; "Points"),CLASSNAMEHEADERS,0))),(IF("01"=(INDEX(ALLCLASSDATA,MATCH("AdvancedGroupExpert",CLASSFEATUREHEADERS,0),MATCH($A249,CLASSNAMEHEADERS,0))),(INDEX(ALLCLASSDATA,MATCH("AdvancedGroupExpert",CLASSFEATUREHEADERS,0),MATCH(($A249 &amp; "Points"),CLASSNAMEHEADERS,0))),(IF("01"=(INDEX(ALLCLASSDATA,MATCH("AdvancedGroupTrained",CLASSFEATUREHEADERS,0),MATCH($A249,CLASSNAMEHEADERS,0))),(INDEX(ALLCLASSDATA,MATCH("AdvancedGroupTrained",CLASSFEATUREHEADERS,0),MATCH(($A249 &amp; "Points"),CLASSNAMEHEADERS,0))),"")))))))))}</f>
        <v>ADVANCEDGROUPL01</v>
      </c>
      <c r="I248" s="223"/>
      <c r="J248" s="223" t="str">
        <f t="array" ref="J248:J249">{"ADVANCEDGROUPL03";((IF("03"=(INDEX(ALLCLASSDATA,MATCH("AdvancedGroupLegendary",CLASSFEATUREHEADERS,0),MATCH($A249,CLASSNAMEHEADERS,0))),(INDEX(ALLCLASSDATA,MATCH("AdvancedGroupLegendary",CLASSFEATUREHEADERS,0),MATCH(($A249 &amp; "Points"),CLASSNAMEHEADERS,0))),(IF("03"=(INDEX(ALLCLASSDATA,MATCH("AdvancedGroupMaster",CLASSFEATUREHEADERS,0),MATCH($A249,CLASSNAMEHEADERS,0))),(INDEX(ALLCLASSDATA,MATCH("AdvancedGroupMaster",CLASSFEATUREHEADERS,0),MATCH(($A249 &amp; "Points"),CLASSNAMEHEADERS,0))),(IF("03"=(INDEX(ALLCLASSDATA,MATCH("AdvancedGroupExpert",CLASSFEATUREHEADERS,0),MATCH($A249,CLASSNAMEHEADERS,0))),(INDEX(ALLCLASSDATA,MATCH("AdvancedGroupExpert",CLASSFEATUREHEADERS,0),MATCH(($A249 &amp; "Points"),CLASSNAMEHEADERS,0))),(IF("03"=(INDEX(ALLCLASSDATA,MATCH("AdvancedGroupTrained",CLASSFEATUREHEADERS,0),MATCH($A249,CLASSNAMEHEADERS,0))),(INDEX(ALLCLASSDATA,MATCH("AdvancedGroupTrained",CLASSFEATUREHEADERS,0),MATCH(($A249 &amp; "Points"),CLASSNAMEHEADERS,0))),"")))))))))}</f>
        <v>ADVANCEDGROUPL03</v>
      </c>
      <c r="K248" s="223"/>
      <c r="L248" s="223" t="str">
        <f t="array" ref="L248:L249">{"ADVANCEDGROUPL05";((IF("05"=(INDEX(ALLCLASSDATA,MATCH("AdvancedGroupLegendary",CLASSFEATUREHEADERS,0),MATCH($A249,CLASSNAMEHEADERS,0))),(INDEX(ALLCLASSDATA,MATCH("AdvancedGroupLegendary",CLASSFEATUREHEADERS,0),MATCH(($A249 &amp; "Points"),CLASSNAMEHEADERS,0))),(IF("05"=(INDEX(ALLCLASSDATA,MATCH("AdvancedGroupMaster",CLASSFEATUREHEADERS,0),MATCH($A249,CLASSNAMEHEADERS,0))),(INDEX(ALLCLASSDATA,MATCH("AdvancedGroupMaster",CLASSFEATUREHEADERS,0),MATCH(($A249 &amp; "Points"),CLASSNAMEHEADERS,0))),(IF("05"=(INDEX(ALLCLASSDATA,MATCH("AdvancedGroupExpert",CLASSFEATUREHEADERS,0),MATCH($A249,CLASSNAMEHEADERS,0))),(INDEX(ALLCLASSDATA,MATCH("AdvancedGroupExpert",CLASSFEATUREHEADERS,0),MATCH(($A249 &amp; "Points"),CLASSNAMEHEADERS,0))),(IF("05"=(INDEX(ALLCLASSDATA,MATCH("AdvancedGroupTrained",CLASSFEATUREHEADERS,0),MATCH($A249,CLASSNAMEHEADERS,0))),(INDEX(ALLCLASSDATA,MATCH("AdvancedGroupTrained",CLASSFEATUREHEADERS,0),MATCH(($A249 &amp; "Points"),CLASSNAMEHEADERS,0))),"")))))))))}</f>
        <v>ADVANCEDGROUPL05</v>
      </c>
      <c r="M248" s="223"/>
      <c r="N248" s="223" t="str">
        <f t="array" ref="N248:N249">{"ADVANCEDGROUPL07";((IF("07"=(INDEX(ALLCLASSDATA,MATCH("AdvancedGroupLegendary",CLASSFEATUREHEADERS,0),MATCH($A249,CLASSNAMEHEADERS,0))),(INDEX(ALLCLASSDATA,MATCH("AdvancedGroupLegendary",CLASSFEATUREHEADERS,0),MATCH(($A249 &amp; "Points"),CLASSNAMEHEADERS,0))),(IF("07"=(INDEX(ALLCLASSDATA,MATCH("AdvancedGroupMaster",CLASSFEATUREHEADERS,0),MATCH($A249,CLASSNAMEHEADERS,0))),(INDEX(ALLCLASSDATA,MATCH("AdvancedGroupMaster",CLASSFEATUREHEADERS,0),MATCH(($A249 &amp; "Points"),CLASSNAMEHEADERS,0))),(IF("07"=(INDEX(ALLCLASSDATA,MATCH("AdvancedGroupExpert",CLASSFEATUREHEADERS,0),MATCH($A249,CLASSNAMEHEADERS,0))),(INDEX(ALLCLASSDATA,MATCH("AdvancedGroupExpert",CLASSFEATUREHEADERS,0),MATCH(($A249 &amp; "Points"),CLASSNAMEHEADERS,0))),(IF("07"=(INDEX(ALLCLASSDATA,MATCH("AdvancedGroupTrained",CLASSFEATUREHEADERS,0),MATCH($A249,CLASSNAMEHEADERS,0))),(INDEX(ALLCLASSDATA,MATCH("AdvancedGroupTrained",CLASSFEATUREHEADERS,0),MATCH(($A249 &amp; "Points"),CLASSNAMEHEADERS,0))),"")))))))))}</f>
        <v>ADVANCEDGROUPL07</v>
      </c>
      <c r="O248" s="223"/>
      <c r="P248" s="223" t="str">
        <f t="array" ref="P248:P249">{"ADVANCEDGROUPL09";((IF("09"=(INDEX(ALLCLASSDATA,MATCH("AdvancedGroupLegendary",CLASSFEATUREHEADERS,0),MATCH($A249,CLASSNAMEHEADERS,0))),(INDEX(ALLCLASSDATA,MATCH("AdvancedGroupLegendary",CLASSFEATUREHEADERS,0),MATCH(($A249 &amp; "Points"),CLASSNAMEHEADERS,0))),(IF("09"=(INDEX(ALLCLASSDATA,MATCH("AdvancedGroupMaster",CLASSFEATUREHEADERS,0),MATCH($A249,CLASSNAMEHEADERS,0))),(INDEX(ALLCLASSDATA,MATCH("AdvancedGroupMaster",CLASSFEATUREHEADERS,0),MATCH(($A249 &amp; "Points"),CLASSNAMEHEADERS,0))),(IF("09"=(INDEX(ALLCLASSDATA,MATCH("AdvancedGroupExpert",CLASSFEATUREHEADERS,0),MATCH($A249,CLASSNAMEHEADERS,0))),(INDEX(ALLCLASSDATA,MATCH("AdvancedGroupExpert",CLASSFEATUREHEADERS,0),MATCH(($A249 &amp; "Points"),CLASSNAMEHEADERS,0))),(IF("09"=(INDEX(ALLCLASSDATA,MATCH("AdvancedGroupTrained",CLASSFEATUREHEADERS,0),MATCH($A249,CLASSNAMEHEADERS,0))),(INDEX(ALLCLASSDATA,MATCH("AdvancedGroupTrained",CLASSFEATUREHEADERS,0),MATCH(($A249 &amp; "Points"),CLASSNAMEHEADERS,0))),"")))))))))}</f>
        <v>ADVANCEDGROUPL09</v>
      </c>
      <c r="Q248" s="223"/>
      <c r="R248" s="223" t="str">
        <f t="array" ref="R248:R249">{"ADVANCEDGROUPL11";((IF("11"=(INDEX(ALLCLASSDATA,MATCH("AdvancedGroupLegendary",CLASSFEATUREHEADERS,0),MATCH($A249,CLASSNAMEHEADERS,0))),(INDEX(ALLCLASSDATA,MATCH("AdvancedGroupLegendary",CLASSFEATUREHEADERS,0),MATCH(($A249 &amp; "Points"),CLASSNAMEHEADERS,0))),(IF("11"=(INDEX(ALLCLASSDATA,MATCH("AdvancedGroupMaster",CLASSFEATUREHEADERS,0),MATCH($A249,CLASSNAMEHEADERS,0))),(INDEX(ALLCLASSDATA,MATCH("AdvancedGroupMaster",CLASSFEATUREHEADERS,0),MATCH(($A249 &amp; "Points"),CLASSNAMEHEADERS,0))),(IF("11"=(INDEX(ALLCLASSDATA,MATCH("AdvancedGroupExpert",CLASSFEATUREHEADERS,0),MATCH($A249,CLASSNAMEHEADERS,0))),(INDEX(ALLCLASSDATA,MATCH("AdvancedGroupExpert",CLASSFEATUREHEADERS,0),MATCH(($A249 &amp; "Points"),CLASSNAMEHEADERS,0))),(IF("11"=(INDEX(ALLCLASSDATA,MATCH("AdvancedGroupTrained",CLASSFEATUREHEADERS,0),MATCH($A249,CLASSNAMEHEADERS,0))),(INDEX(ALLCLASSDATA,MATCH("AdvancedGroupTrained",CLASSFEATUREHEADERS,0),MATCH(($A249 &amp; "Points"),CLASSNAMEHEADERS,0))),"")))))))))}</f>
        <v>ADVANCEDGROUPL11</v>
      </c>
      <c r="S248" s="223"/>
      <c r="T248" s="223" t="str">
        <f t="array" ref="T248:T249">{"ADVANCEDGROUPL13";((IF("13"=(INDEX(ALLCLASSDATA,MATCH("AdvancedGroupLegendary",CLASSFEATUREHEADERS,0),MATCH($A249,CLASSNAMEHEADERS,0))),(INDEX(ALLCLASSDATA,MATCH("AdvancedGroupLegendary",CLASSFEATUREHEADERS,0),MATCH(($A249 &amp; "Points"),CLASSNAMEHEADERS,0))),(IF("13"=(INDEX(ALLCLASSDATA,MATCH("AdvancedGroupMaster",CLASSFEATUREHEADERS,0),MATCH($A249,CLASSNAMEHEADERS,0))),(INDEX(ALLCLASSDATA,MATCH("AdvancedGroupMaster",CLASSFEATUREHEADERS,0),MATCH(($A249 &amp; "Points"),CLASSNAMEHEADERS,0))),(IF("13"=(INDEX(ALLCLASSDATA,MATCH("AdvancedGroupExpert",CLASSFEATUREHEADERS,0),MATCH($A249,CLASSNAMEHEADERS,0))),(INDEX(ALLCLASSDATA,MATCH("AdvancedGroupExpert",CLASSFEATUREHEADERS,0),MATCH(($A249 &amp; "Points"),CLASSNAMEHEADERS,0))),(IF("13"=(INDEX(ALLCLASSDATA,MATCH("AdvancedGroupTrained",CLASSFEATUREHEADERS,0),MATCH($A249,CLASSNAMEHEADERS,0))),(INDEX(ALLCLASSDATA,MATCH("AdvancedGroupTrained",CLASSFEATUREHEADERS,0),MATCH(($A249 &amp; "Points"),CLASSNAMEHEADERS,0))),"")))))))))}</f>
        <v>ADVANCEDGROUPL13</v>
      </c>
      <c r="U248" s="223"/>
      <c r="V248" s="223" t="str">
        <f t="array" ref="V248:V249">{"ADVANCEDGROUPL15";((IF("15"=(INDEX(ALLCLASSDATA,MATCH("AdvancedGroupLegendary",CLASSFEATUREHEADERS,0),MATCH($A249,CLASSNAMEHEADERS,0))),(INDEX(ALLCLASSDATA,MATCH("AdvancedGroupLegendary",CLASSFEATUREHEADERS,0),MATCH(($A249 &amp; "Points"),CLASSNAMEHEADERS,0))),(IF("15"=(INDEX(ALLCLASSDATA,MATCH("AdvancedGroupMaster",CLASSFEATUREHEADERS,0),MATCH($A249,CLASSNAMEHEADERS,0))),(INDEX(ALLCLASSDATA,MATCH("AdvancedGroupMaster",CLASSFEATUREHEADERS,0),MATCH(($A249 &amp; "Points"),CLASSNAMEHEADERS,0))),(IF("15"=(INDEX(ALLCLASSDATA,MATCH("AdvancedGroupExpert",CLASSFEATUREHEADERS,0),MATCH($A249,CLASSNAMEHEADERS,0))),(INDEX(ALLCLASSDATA,MATCH("AdvancedGroupExpert",CLASSFEATUREHEADERS,0),MATCH(($A249 &amp; "Points"),CLASSNAMEHEADERS,0))),(IF("15"=(INDEX(ALLCLASSDATA,MATCH("AdvancedGroupTrained",CLASSFEATUREHEADERS,0),MATCH($A249,CLASSNAMEHEADERS,0))),(INDEX(ALLCLASSDATA,MATCH("AdvancedGroupTrained",CLASSFEATUREHEADERS,0),MATCH(($A249 &amp; "Points"),CLASSNAMEHEADERS,0))),"")))))))))}</f>
        <v>ADVANCEDGROUPL15</v>
      </c>
      <c r="W248" s="223"/>
      <c r="X248" s="223" t="str">
        <f t="array" ref="X248:X249">{"ADVANCEDGROUPL17";((IF("17"=(INDEX(ALLCLASSDATA,MATCH("AdvancedGroupLegendary",CLASSFEATUREHEADERS,0),MATCH($A249,CLASSNAMEHEADERS,0))),(INDEX(ALLCLASSDATA,MATCH("AdvancedGroupLegendary",CLASSFEATUREHEADERS,0),MATCH(($A249 &amp; "Points"),CLASSNAMEHEADERS,0))),(IF("17"=(INDEX(ALLCLASSDATA,MATCH("AdvancedGroupMaster",CLASSFEATUREHEADERS,0),MATCH($A249,CLASSNAMEHEADERS,0))),(INDEX(ALLCLASSDATA,MATCH("AdvancedGroupMaster",CLASSFEATUREHEADERS,0),MATCH(($A249 &amp; "Points"),CLASSNAMEHEADERS,0))),(IF("17"=(INDEX(ALLCLASSDATA,MATCH("AdvancedGroupExpert",CLASSFEATUREHEADERS,0),MATCH($A249,CLASSNAMEHEADERS,0))),(INDEX(ALLCLASSDATA,MATCH("AdvancedGroupExpert",CLASSFEATUREHEADERS,0),MATCH(($A249 &amp; "Points"),CLASSNAMEHEADERS,0))),(IF("17"=(INDEX(ALLCLASSDATA,MATCH("AdvancedGroupTrained",CLASSFEATUREHEADERS,0),MATCH($A249,CLASSNAMEHEADERS,0))),(INDEX(ALLCLASSDATA,MATCH("AdvancedGroupTrained",CLASSFEATUREHEADERS,0),MATCH(($A249 &amp; "Points"),CLASSNAMEHEADERS,0))),"")))))))))}</f>
        <v>ADVANCEDGROUPL17</v>
      </c>
      <c r="Y248" s="223"/>
      <c r="Z248" s="223" t="str">
        <f t="array" ref="Z248:Z249">{"ADVANCEDGROUPL19";((IF("19"=(INDEX(ALLCLASSDATA,MATCH("AdvancedGroupLegendary",CLASSFEATUREHEADERS,0),MATCH($A249,CLASSNAMEHEADERS,0))),(INDEX(ALLCLASSDATA,MATCH("AdvancedGroupLegendary",CLASSFEATUREHEADERS,0),MATCH(($A249 &amp; "Points"),CLASSNAMEHEADERS,0))),(IF("19"=(INDEX(ALLCLASSDATA,MATCH("AdvancedGroupMaster",CLASSFEATUREHEADERS,0),MATCH($A249,CLASSNAMEHEADERS,0))),(INDEX(ALLCLASSDATA,MATCH("AdvancedGroupMaster",CLASSFEATUREHEADERS,0),MATCH(($A249 &amp; "Points"),CLASSNAMEHEADERS,0))),(IF("19"=(INDEX(ALLCLASSDATA,MATCH("AdvancedGroupExpert",CLASSFEATUREHEADERS,0),MATCH($A249,CLASSNAMEHEADERS,0))),(INDEX(ALLCLASSDATA,MATCH("AdvancedGroupExpert",CLASSFEATUREHEADERS,0),MATCH(($A249 &amp; "Points"),CLASSNAMEHEADERS,0))),(IF("19"=(INDEX(ALLCLASSDATA,MATCH("AdvancedGroupTrained",CLASSFEATUREHEADERS,0),MATCH($A249,CLASSNAMEHEADERS,0))),(INDEX(ALLCLASSDATA,MATCH("AdvancedGroupTrained",CLASSFEATUREHEADERS,0),MATCH(($A249 &amp; "Points"),CLASSNAMEHEADERS,0))),"")))))))))}</f>
        <v>ADVANCEDGROUPL19</v>
      </c>
      <c r="AA248" s="223"/>
      <c r="AB248" s="76" t="str">
        <f t="array" ref="AB248:AB249">{"ADVANCEDGROUP TOTAL";(IF(COUNTBLANK(G249:AA249)=17,"L",(IF(COUNTBLANK(G249:AA249)=18,"M",(IF(COUNTBLANK(G249:AA249)=19,"E",(IF(COUNTBLANK(G249:AA249)=20,"T",""))))))))}</f>
        <v>ADVANCEDGROUP TOTAL</v>
      </c>
      <c r="AC248" s="76" t="str">
        <f t="array" ref="AC248:AC249">{"ADVANCEDGROUP TOTAL";(sum(G249:AA249))}</f>
        <v>ADVANCEDGROUP TOTAL</v>
      </c>
    </row>
    <row r="249">
      <c r="A249" s="48" t="s">
        <v>109</v>
      </c>
      <c r="B249" s="48"/>
      <c r="C249" s="48" t="s">
        <v>406</v>
      </c>
      <c r="D249" s="48" t="s">
        <v>1634</v>
      </c>
      <c r="E249" s="48" t="s">
        <v>601</v>
      </c>
      <c r="F249" s="5" t="s">
        <v>603</v>
      </c>
      <c r="G249" s="47" t="s">
        <v>603</v>
      </c>
      <c r="H249" s="5" t="s">
        <v>603</v>
      </c>
      <c r="I249" s="5"/>
      <c r="J249" s="5" t="s">
        <v>603</v>
      </c>
      <c r="K249" s="5"/>
      <c r="L249" s="5" t="s">
        <v>436</v>
      </c>
      <c r="M249" s="5"/>
      <c r="N249" s="5" t="s">
        <v>603</v>
      </c>
      <c r="O249" s="5"/>
      <c r="P249" s="5" t="s">
        <v>603</v>
      </c>
      <c r="Q249" s="5"/>
      <c r="R249" s="5" t="s">
        <v>603</v>
      </c>
      <c r="S249" s="5"/>
      <c r="T249" s="5" t="s">
        <v>437</v>
      </c>
      <c r="U249" s="5"/>
      <c r="V249" s="5" t="s">
        <v>603</v>
      </c>
      <c r="W249" s="5"/>
      <c r="X249" s="5" t="s">
        <v>603</v>
      </c>
      <c r="Y249" s="5"/>
      <c r="Z249" s="5" t="s">
        <v>603</v>
      </c>
      <c r="AA249" s="5"/>
      <c r="AB249" s="5" t="s">
        <v>436</v>
      </c>
      <c r="AC249" s="47">
        <v>0.0</v>
      </c>
    </row>
    <row r="250" hidden="1">
      <c r="A250" s="222" t="str">
        <f t="array" ref="A250:A251">{"FormulaRow33";(INDEX(CLASSLIST,A185,1))}</f>
        <v>FormulaRow33</v>
      </c>
      <c r="B250" s="77" t="s">
        <v>236</v>
      </c>
      <c r="C250" s="222" t="str">
        <f t="array" ref="C250:C251">{"CLASSTYPE";((INDEX(ALLCLASSDATA,MATCH("ClassType",CLASSFEATUREHEADERS,0),MATCH($A251,CLASSNAMEHEADERS,0))))}</f>
        <v>CLASSTYPE</v>
      </c>
      <c r="D250" s="222" t="str">
        <f t="array" ref="D250:D251">{"ATTACK";"Attack"}</f>
        <v>ATTACK</v>
      </c>
      <c r="E250" s="222" t="str">
        <f t="array" ref="E250:E251">{"ADVANCED";"Advanced"}</f>
        <v>ADVANCED</v>
      </c>
      <c r="F250" s="223" t="str">
        <f t="array" ref="F250:F251">{"ADVANCEDINITIAL";((IF(H251=10,"T",(IF(H251=50,"E","")))))}</f>
        <v>ADVANCEDINITIAL</v>
      </c>
      <c r="G250" s="223" t="str">
        <f t="array" ref="G250:G251">{"ADVANCEDINITIALPTS";((IF("00"=(INDEX(ALLCLASSDATA,MATCH("AdvancedLegendary",CLASSFEATUREHEADERS,0),MATCH($A251,CLASSNAMEHEADERS,0))),(INDEX(ALLCLASSDATA,MATCH("AdvancedLegendary",CLASSFEATUREHEADERS,0),MATCH(($A251 &amp; "Points"),CLASSNAMEHEADERS,0))),(IF("00"=(INDEX(ALLCLASSDATA,MATCH("AdvancedMaster",CLASSFEATUREHEADERS,0),MATCH($A251,CLASSNAMEHEADERS,0))),(INDEX(ALLCLASSDATA,MATCH("AdvancedMaster",CLASSFEATUREHEADERS,0),MATCH(($A251 &amp; "Points"),CLASSNAMEHEADERS,0))),(IF("00"=(INDEX(ALLCLASSDATA,MATCH("AdvancedExpert",CLASSFEATUREHEADERS,0),MATCH($A251,CLASSNAMEHEADERS,0))),(INDEX(ALLCLASSDATA,MATCH("AdvancedExpert",CLASSFEATUREHEADERS,0),MATCH(($A251 &amp; "Points"),CLASSNAMEHEADERS,0))),(IF("00"=(INDEX(ALLCLASSDATA,MATCH("AdvancedTrained",CLASSFEATUREHEADERS,0),MATCH($A251,CLASSNAMEHEADERS,0))),(INDEX(ALLCLASSDATA,MATCH("AdvancedTrained",CLASSFEATUREHEADERS,0),MATCH(($A251 &amp; "Points"),CLASSNAMEHEADERS,0))),"")))))))))}</f>
        <v>ADVANCEDINITIALPTS</v>
      </c>
      <c r="H250" s="223" t="str">
        <f t="array" ref="H250:H251">{"ADVANCEDL01";((IF("01"=(INDEX(ALLCLASSDATA,MATCH("AdvancedLegendary",CLASSFEATUREHEADERS,0),MATCH($A251,CLASSNAMEHEADERS,0))),(INDEX(ALLCLASSDATA,MATCH("AdvancedLegendary",CLASSFEATUREHEADERS,0),MATCH(($A251 &amp; "Points"),CLASSNAMEHEADERS,0))),(IF("01"=(INDEX(ALLCLASSDATA,MATCH("AdvancedMaster",CLASSFEATUREHEADERS,0),MATCH($A251,CLASSNAMEHEADERS,0))),(INDEX(ALLCLASSDATA,MATCH("AdvancedMaster",CLASSFEATUREHEADERS,0),MATCH(($A251 &amp; "Points"),CLASSNAMEHEADERS,0))),(IF("01"=(INDEX(ALLCLASSDATA,MATCH("AdvancedExpert",CLASSFEATUREHEADERS,0),MATCH($A251,CLASSNAMEHEADERS,0))),(INDEX(ALLCLASSDATA,MATCH("AdvancedExpert",CLASSFEATUREHEADERS,0),MATCH(($A251 &amp; "Points"),CLASSNAMEHEADERS,0))),(IF("01"=(INDEX(ALLCLASSDATA,MATCH("AdvancedTrained",CLASSFEATUREHEADERS,0),MATCH($A251,CLASSNAMEHEADERS,0))),(INDEX(ALLCLASSDATA,MATCH("AdvancedTrained",CLASSFEATUREHEADERS,0),MATCH(($A251 &amp; "Points"),CLASSNAMEHEADERS,0))),"")))))))))}</f>
        <v>ADVANCEDL01</v>
      </c>
      <c r="I250" s="223"/>
      <c r="J250" s="223" t="str">
        <f t="array" ref="J250:J251">{"ADVANCEDL03";((IF("03"=(INDEX(ALLCLASSDATA,MATCH("AdvancedLegendary",CLASSFEATUREHEADERS,0),MATCH($A251,CLASSNAMEHEADERS,0))),(INDEX(ALLCLASSDATA,MATCH("AdvancedLegendary",CLASSFEATUREHEADERS,0),MATCH(($A251 &amp; "Points"),CLASSNAMEHEADERS,0))),(IF("03"=(INDEX(ALLCLASSDATA,MATCH("AdvancedMaster",CLASSFEATUREHEADERS,0),MATCH($A251,CLASSNAMEHEADERS,0))),(INDEX(ALLCLASSDATA,MATCH("AdvancedMaster",CLASSFEATUREHEADERS,0),MATCH(($A251 &amp; "Points"),CLASSNAMEHEADERS,0))),(IF("03"=(INDEX(ALLCLASSDATA,MATCH("AdvancedExpert",CLASSFEATUREHEADERS,0),MATCH($A251,CLASSNAMEHEADERS,0))),(INDEX(ALLCLASSDATA,MATCH("AdvancedExpert",CLASSFEATUREHEADERS,0),MATCH(($A251 &amp; "Points"),CLASSNAMEHEADERS,0))),(IF("03"=(INDEX(ALLCLASSDATA,MATCH("AdvancedTrained",CLASSFEATUREHEADERS,0),MATCH($A251,CLASSNAMEHEADERS,0))),(INDEX(ALLCLASSDATA,MATCH("AdvancedTrained",CLASSFEATUREHEADERS,0),MATCH(($A251 &amp; "Points"),CLASSNAMEHEADERS,0))),"")))))))))}</f>
        <v>ADVANCEDL03</v>
      </c>
      <c r="K250" s="223"/>
      <c r="L250" s="223" t="str">
        <f t="array" ref="L250:L251">{"ADVANCEDL05";((IF("05"=(INDEX(ALLCLASSDATA,MATCH("AdvancedLegendary",CLASSFEATUREHEADERS,0),MATCH($A251,CLASSNAMEHEADERS,0))),(INDEX(ALLCLASSDATA,MATCH("AdvancedLegendary",CLASSFEATUREHEADERS,0),MATCH(($A251 &amp; "Points"),CLASSNAMEHEADERS,0))),(IF("05"=(INDEX(ALLCLASSDATA,MATCH("AdvancedMaster",CLASSFEATUREHEADERS,0),MATCH($A251,CLASSNAMEHEADERS,0))),(INDEX(ALLCLASSDATA,MATCH("AdvancedMaster",CLASSFEATUREHEADERS,0),MATCH(($A251 &amp; "Points"),CLASSNAMEHEADERS,0))),(IF("05"=(INDEX(ALLCLASSDATA,MATCH("AdvancedExpert",CLASSFEATUREHEADERS,0),MATCH($A251,CLASSNAMEHEADERS,0))),(INDEX(ALLCLASSDATA,MATCH("AdvancedExpert",CLASSFEATUREHEADERS,0),MATCH(($A251 &amp; "Points"),CLASSNAMEHEADERS,0))),(IF("05"=(INDEX(ALLCLASSDATA,MATCH("AdvancedTrained",CLASSFEATUREHEADERS,0),MATCH($A251,CLASSNAMEHEADERS,0))),(INDEX(ALLCLASSDATA,MATCH("AdvancedTrained",CLASSFEATUREHEADERS,0),MATCH(($A251 &amp; "Points"),CLASSNAMEHEADERS,0))),"")))))))))}</f>
        <v>ADVANCEDL05</v>
      </c>
      <c r="M250" s="223"/>
      <c r="N250" s="223" t="str">
        <f t="array" ref="N250:N251">{"ADVANCEDL07";((IF("07"=(INDEX(ALLCLASSDATA,MATCH("AdvancedLegendary",CLASSFEATUREHEADERS,0),MATCH($A251,CLASSNAMEHEADERS,0))),(INDEX(ALLCLASSDATA,MATCH("AdvancedLegendary",CLASSFEATUREHEADERS,0),MATCH(($A251 &amp; "Points"),CLASSNAMEHEADERS,0))),(IF("07"=(INDEX(ALLCLASSDATA,MATCH("AdvancedMaster",CLASSFEATUREHEADERS,0),MATCH($A251,CLASSNAMEHEADERS,0))),(INDEX(ALLCLASSDATA,MATCH("AdvancedMaster",CLASSFEATUREHEADERS,0),MATCH(($A251 &amp; "Points"),CLASSNAMEHEADERS,0))),(IF("07"=(INDEX(ALLCLASSDATA,MATCH("AdvancedExpert",CLASSFEATUREHEADERS,0),MATCH($A251,CLASSNAMEHEADERS,0))),(INDEX(ALLCLASSDATA,MATCH("AdvancedExpert",CLASSFEATUREHEADERS,0),MATCH(($A251 &amp; "Points"),CLASSNAMEHEADERS,0))),(IF("07"=(INDEX(ALLCLASSDATA,MATCH("AdvancedTrained",CLASSFEATUREHEADERS,0),MATCH($A251,CLASSNAMEHEADERS,0))),(INDEX(ALLCLASSDATA,MATCH("AdvancedTrained",CLASSFEATUREHEADERS,0),MATCH(($A251 &amp; "Points"),CLASSNAMEHEADERS,0))),"")))))))))}</f>
        <v>ADVANCEDL07</v>
      </c>
      <c r="O250" s="223"/>
      <c r="P250" s="223" t="str">
        <f t="array" ref="P250:P251">{"ADVANCEDL09";((IF("09"=(INDEX(ALLCLASSDATA,MATCH("AdvancedLegendary",CLASSFEATUREHEADERS,0),MATCH($A251,CLASSNAMEHEADERS,0))),(INDEX(ALLCLASSDATA,MATCH("AdvancedLegendary",CLASSFEATUREHEADERS,0),MATCH(($A251 &amp; "Points"),CLASSNAMEHEADERS,0))),(IF("09"=(INDEX(ALLCLASSDATA,MATCH("AdvancedMaster",CLASSFEATUREHEADERS,0),MATCH($A251,CLASSNAMEHEADERS,0))),(INDEX(ALLCLASSDATA,MATCH("AdvancedMaster",CLASSFEATUREHEADERS,0),MATCH(($A251 &amp; "Points"),CLASSNAMEHEADERS,0))),(IF("09"=(INDEX(ALLCLASSDATA,MATCH("AdvancedExpert",CLASSFEATUREHEADERS,0),MATCH($A251,CLASSNAMEHEADERS,0))),(INDEX(ALLCLASSDATA,MATCH("AdvancedExpert",CLASSFEATUREHEADERS,0),MATCH(($A251 &amp; "Points"),CLASSNAMEHEADERS,0))),(IF("09"=(INDEX(ALLCLASSDATA,MATCH("AdvancedTrained",CLASSFEATUREHEADERS,0),MATCH($A251,CLASSNAMEHEADERS,0))),(INDEX(ALLCLASSDATA,MATCH("AdvancedTrained",CLASSFEATUREHEADERS,0),MATCH(($A251 &amp; "Points"),CLASSNAMEHEADERS,0))),"")))))))))}</f>
        <v>ADVANCEDL09</v>
      </c>
      <c r="Q250" s="223"/>
      <c r="R250" s="223" t="str">
        <f t="array" ref="R250:R251">{"ADVANCEDL11";((IF("11"=(INDEX(ALLCLASSDATA,MATCH("AdvancedLegendary",CLASSFEATUREHEADERS,0),MATCH($A251,CLASSNAMEHEADERS,0))),(INDEX(ALLCLASSDATA,MATCH("AdvancedLegendary",CLASSFEATUREHEADERS,0),MATCH(($A251 &amp; "Points"),CLASSNAMEHEADERS,0))),(IF("11"=(INDEX(ALLCLASSDATA,MATCH("AdvancedMaster",CLASSFEATUREHEADERS,0),MATCH($A251,CLASSNAMEHEADERS,0))),(INDEX(ALLCLASSDATA,MATCH("AdvancedMaster",CLASSFEATUREHEADERS,0),MATCH(($A251 &amp; "Points"),CLASSNAMEHEADERS,0))),(IF("11"=(INDEX(ALLCLASSDATA,MATCH("AdvancedExpert",CLASSFEATUREHEADERS,0),MATCH($A251,CLASSNAMEHEADERS,0))),(INDEX(ALLCLASSDATA,MATCH("AdvancedExpert",CLASSFEATUREHEADERS,0),MATCH(($A251 &amp; "Points"),CLASSNAMEHEADERS,0))),(IF("11"=(INDEX(ALLCLASSDATA,MATCH("AdvancedTrained",CLASSFEATUREHEADERS,0),MATCH($A251,CLASSNAMEHEADERS,0))),(INDEX(ALLCLASSDATA,MATCH("AdvancedTrained",CLASSFEATUREHEADERS,0),MATCH(($A251 &amp; "Points"),CLASSNAMEHEADERS,0))),"")))))))))}</f>
        <v>ADVANCEDL11</v>
      </c>
      <c r="S250" s="223"/>
      <c r="T250" s="223" t="str">
        <f t="array" ref="T250:T251">{"ADVANCEDL13";((IF("13"=(INDEX(ALLCLASSDATA,MATCH("AdvancedLegendary",CLASSFEATUREHEADERS,0),MATCH($A251,CLASSNAMEHEADERS,0))),(INDEX(ALLCLASSDATA,MATCH("AdvancedLegendary",CLASSFEATUREHEADERS,0),MATCH(($A251 &amp; "Points"),CLASSNAMEHEADERS,0))),(IF("13"=(INDEX(ALLCLASSDATA,MATCH("AdvancedMaster",CLASSFEATUREHEADERS,0),MATCH($A251,CLASSNAMEHEADERS,0))),(INDEX(ALLCLASSDATA,MATCH("AdvancedMaster",CLASSFEATUREHEADERS,0),MATCH(($A251 &amp; "Points"),CLASSNAMEHEADERS,0))),(IF("13"=(INDEX(ALLCLASSDATA,MATCH("AdvancedExpert",CLASSFEATUREHEADERS,0),MATCH($A251,CLASSNAMEHEADERS,0))),(INDEX(ALLCLASSDATA,MATCH("AdvancedExpert",CLASSFEATUREHEADERS,0),MATCH(($A251 &amp; "Points"),CLASSNAMEHEADERS,0))),(IF("13"=(INDEX(ALLCLASSDATA,MATCH("AdvancedTrained",CLASSFEATUREHEADERS,0),MATCH($A251,CLASSNAMEHEADERS,0))),(INDEX(ALLCLASSDATA,MATCH("AdvancedTrained",CLASSFEATUREHEADERS,0),MATCH(($A251 &amp; "Points"),CLASSNAMEHEADERS,0))),"")))))))))}</f>
        <v>ADVANCEDL13</v>
      </c>
      <c r="U250" s="223"/>
      <c r="V250" s="223" t="str">
        <f t="array" ref="V250:V251">{"ADVANCEDL15";((IF("15"=(INDEX(ALLCLASSDATA,MATCH("AdvancedLegendary",CLASSFEATUREHEADERS,0),MATCH($A251,CLASSNAMEHEADERS,0))),(INDEX(ALLCLASSDATA,MATCH("AdvancedLegendary",CLASSFEATUREHEADERS,0),MATCH(($A251 &amp; "Points"),CLASSNAMEHEADERS,0))),(IF("15"=(INDEX(ALLCLASSDATA,MATCH("AdvancedMaster",CLASSFEATUREHEADERS,0),MATCH($A251,CLASSNAMEHEADERS,0))),(INDEX(ALLCLASSDATA,MATCH("AdvancedMaster",CLASSFEATUREHEADERS,0),MATCH(($A251 &amp; "Points"),CLASSNAMEHEADERS,0))),(IF("15"=(INDEX(ALLCLASSDATA,MATCH("AdvancedExpert",CLASSFEATUREHEADERS,0),MATCH($A251,CLASSNAMEHEADERS,0))),(INDEX(ALLCLASSDATA,MATCH("AdvancedExpert",CLASSFEATUREHEADERS,0),MATCH(($A251 &amp; "Points"),CLASSNAMEHEADERS,0))),(IF("15"=(INDEX(ALLCLASSDATA,MATCH("AdvancedTrained",CLASSFEATUREHEADERS,0),MATCH($A251,CLASSNAMEHEADERS,0))),(INDEX(ALLCLASSDATA,MATCH("AdvancedTrained",CLASSFEATUREHEADERS,0),MATCH(($A251 &amp; "Points"),CLASSNAMEHEADERS,0))),"")))))))))}</f>
        <v>ADVANCEDL15</v>
      </c>
      <c r="W250" s="223"/>
      <c r="X250" s="223" t="str">
        <f t="array" ref="X250:X251">{"ADVANCEDL17";((IF("17"=(INDEX(ALLCLASSDATA,MATCH("AdvancedLegendary",CLASSFEATUREHEADERS,0),MATCH($A251,CLASSNAMEHEADERS,0))),(INDEX(ALLCLASSDATA,MATCH("AdvancedLegendary",CLASSFEATUREHEADERS,0),MATCH(($A251 &amp; "Points"),CLASSNAMEHEADERS,0))),(IF("17"=(INDEX(ALLCLASSDATA,MATCH("AdvancedMaster",CLASSFEATUREHEADERS,0),MATCH($A251,CLASSNAMEHEADERS,0))),(INDEX(ALLCLASSDATA,MATCH("AdvancedMaster",CLASSFEATUREHEADERS,0),MATCH(($A251 &amp; "Points"),CLASSNAMEHEADERS,0))),(IF("17"=(INDEX(ALLCLASSDATA,MATCH("AdvancedExpert",CLASSFEATUREHEADERS,0),MATCH($A251,CLASSNAMEHEADERS,0))),(INDEX(ALLCLASSDATA,MATCH("AdvancedExpert",CLASSFEATUREHEADERS,0),MATCH(($A251 &amp; "Points"),CLASSNAMEHEADERS,0))),(IF("17"=(INDEX(ALLCLASSDATA,MATCH("AdvancedTrained",CLASSFEATUREHEADERS,0),MATCH($A251,CLASSNAMEHEADERS,0))),(INDEX(ALLCLASSDATA,MATCH("AdvancedTrained",CLASSFEATUREHEADERS,0),MATCH(($A251 &amp; "Points"),CLASSNAMEHEADERS,0))),"")))))))))}</f>
        <v>ADVANCEDL17</v>
      </c>
      <c r="Y250" s="223"/>
      <c r="Z250" s="223" t="str">
        <f t="array" ref="Z250:Z251">{"ADVANCEDL19";((IF("19"=(INDEX(ALLCLASSDATA,MATCH("AdvancedLegendary",CLASSFEATUREHEADERS,0),MATCH($A251,CLASSNAMEHEADERS,0))),(INDEX(ALLCLASSDATA,MATCH("AdvancedLegendary",CLASSFEATUREHEADERS,0),MATCH(($A251 &amp; "Points"),CLASSNAMEHEADERS,0))),(IF("19"=(INDEX(ALLCLASSDATA,MATCH("AdvancedMaster",CLASSFEATUREHEADERS,0),MATCH($A251,CLASSNAMEHEADERS,0))),(INDEX(ALLCLASSDATA,MATCH("AdvancedMaster",CLASSFEATUREHEADERS,0),MATCH(($A251 &amp; "Points"),CLASSNAMEHEADERS,0))),(IF("19"=(INDEX(ALLCLASSDATA,MATCH("AdvancedExpert",CLASSFEATUREHEADERS,0),MATCH($A251,CLASSNAMEHEADERS,0))),(INDEX(ALLCLASSDATA,MATCH("AdvancedExpert",CLASSFEATUREHEADERS,0),MATCH(($A251 &amp; "Points"),CLASSNAMEHEADERS,0))),(IF("19"=(INDEX(ALLCLASSDATA,MATCH("AdvancedTrained",CLASSFEATUREHEADERS,0),MATCH($A251,CLASSNAMEHEADERS,0))),(INDEX(ALLCLASSDATA,MATCH("AdvancedTrained",CLASSFEATUREHEADERS,0),MATCH(($A251 &amp; "Points"),CLASSNAMEHEADERS,0))),"")))))))))}</f>
        <v>ADVANCEDL19</v>
      </c>
      <c r="AA250" s="223"/>
      <c r="AB250" s="76" t="str">
        <f t="array" ref="AB250:AB251">{"ADVANCED TOTAL";(IF(COUNTBLANK(G251:AA251)=17,"L",(IF(COUNTBLANK(G251:AA251)=18,"M",(IF(COUNTBLANK(G251:AA251)=19,"E",(IF(COUNTBLANK(G251:AA251)=20,"T",""))))))))}</f>
        <v>ADVANCED TOTAL</v>
      </c>
      <c r="AC250" s="76" t="str">
        <f t="array" ref="AC250:AC251">{"ADVANCED TOTAL";(sum(G251:AA251))}</f>
        <v>ADVANCED TOTAL</v>
      </c>
    </row>
    <row r="251">
      <c r="A251" s="48" t="s">
        <v>109</v>
      </c>
      <c r="B251" s="48"/>
      <c r="C251" s="48" t="s">
        <v>406</v>
      </c>
      <c r="D251" s="97" t="s">
        <v>1634</v>
      </c>
      <c r="E251" s="97" t="s">
        <v>602</v>
      </c>
      <c r="F251" s="98" t="s">
        <v>435</v>
      </c>
      <c r="G251" s="132" t="s">
        <v>603</v>
      </c>
      <c r="H251" s="98">
        <v>10.0</v>
      </c>
      <c r="I251" s="98"/>
      <c r="J251" s="98" t="s">
        <v>603</v>
      </c>
      <c r="K251" s="98"/>
      <c r="L251" s="98" t="s">
        <v>603</v>
      </c>
      <c r="M251" s="98"/>
      <c r="N251" s="98" t="s">
        <v>603</v>
      </c>
      <c r="O251" s="98"/>
      <c r="P251" s="98" t="s">
        <v>603</v>
      </c>
      <c r="Q251" s="98"/>
      <c r="R251" s="98" t="s">
        <v>603</v>
      </c>
      <c r="S251" s="98"/>
      <c r="T251" s="98" t="s">
        <v>436</v>
      </c>
      <c r="U251" s="98"/>
      <c r="V251" s="98" t="s">
        <v>603</v>
      </c>
      <c r="W251" s="98"/>
      <c r="X251" s="98" t="s">
        <v>603</v>
      </c>
      <c r="Y251" s="98"/>
      <c r="Z251" s="98" t="s">
        <v>437</v>
      </c>
      <c r="AA251" s="98"/>
      <c r="AB251" s="5" t="s">
        <v>437</v>
      </c>
      <c r="AC251" s="47">
        <v>10.0</v>
      </c>
    </row>
    <row r="252" hidden="1">
      <c r="A252" s="222" t="str">
        <f t="array" ref="A252:A253">{"FormulaRow34";(INDEX(CLASSLIST,A185,1))}</f>
        <v>FormulaRow34</v>
      </c>
      <c r="B252" s="77" t="s">
        <v>236</v>
      </c>
      <c r="C252" s="222" t="str">
        <f t="array" ref="C252:C253">{"CLASSTYPE";((INDEX(ALLCLASSDATA,MATCH("ClassType",CLASSFEATUREHEADERS,0),MATCH($A253,CLASSNAMEHEADERS,0))))}</f>
        <v>CLASSTYPE</v>
      </c>
      <c r="D252" s="222" t="str">
        <f t="array" ref="D252:D253">{"DEFENSE";"Defense"}</f>
        <v>DEFENSE</v>
      </c>
      <c r="E252" s="222" t="str">
        <f t="array" ref="E252:E253">{"ARMORSPECIAL";"ArmorAS"}</f>
        <v>ARMORSPECIAL</v>
      </c>
      <c r="F252" s="223"/>
      <c r="G252" s="223"/>
      <c r="H252" s="223" t="str">
        <f t="array" ref="H252:H253">{"ARMORSPECIALL01";((IF("01"=INDEX(ALLCLASSDATA,MATCH("ArmorSpecialization",CLASSFEATUREHEADERS,0),MATCH($A253,CLASSNAMEHEADERS,0)),ArmorAS,"")))}</f>
        <v>ARMORSPECIALL01</v>
      </c>
      <c r="I252" s="223"/>
      <c r="J252" s="223" t="str">
        <f t="array" ref="J252:J253">{"ARMORSPECIALL03";((IF("03"=INDEX(ALLCLASSDATA,MATCH("ArmorSpecialization",CLASSFEATUREHEADERS,0),MATCH($A253,CLASSNAMEHEADERS,0)),ArmorAS,"")))}</f>
        <v>ARMORSPECIALL03</v>
      </c>
      <c r="K252" s="223"/>
      <c r="L252" s="223" t="str">
        <f t="array" ref="L252:L253">{"ARMORSPECIALL05";((IF("05"=INDEX(ALLCLASSDATA,MATCH("ArmorSpecialization",CLASSFEATUREHEADERS,0),MATCH($A253,CLASSNAMEHEADERS,0)),ArmorAS,"")))}</f>
        <v>ARMORSPECIALL05</v>
      </c>
      <c r="M252" s="223"/>
      <c r="N252" s="223" t="str">
        <f t="array" ref="N252:N253">{"ARMORSPECIALL07";((IF("07"=INDEX(ALLCLASSDATA,MATCH("ArmorSpecialization",CLASSFEATUREHEADERS,0),MATCH($A253,CLASSNAMEHEADERS,0)),ArmorAS,"")))}</f>
        <v>ARMORSPECIALL07</v>
      </c>
      <c r="O252" s="223"/>
      <c r="P252" s="223" t="str">
        <f t="array" ref="P252:P253">{"ARMORSPECIALL09";((IF("09"=INDEX(ALLCLASSDATA,MATCH("ArmorSpecialization",CLASSFEATUREHEADERS,0),MATCH($A253,CLASSNAMEHEADERS,0)),ArmorAS,"")))}</f>
        <v>ARMORSPECIALL09</v>
      </c>
      <c r="Q252" s="223"/>
      <c r="R252" s="223" t="str">
        <f t="array" ref="R252:R253">{"ARMORSPECIALL11";((IF("11"=INDEX(ALLCLASSDATA,MATCH("ArmorSpecialization",CLASSFEATUREHEADERS,0),MATCH($A253,CLASSNAMEHEADERS,0)),ArmorAS,"")))}</f>
        <v>ARMORSPECIALL11</v>
      </c>
      <c r="S252" s="223"/>
      <c r="T252" s="223" t="str">
        <f t="array" ref="T252:T253">{"ARMORSPECIALL13";((IF("13"=INDEX(ALLCLASSDATA,MATCH("ArmorSpecialization",CLASSFEATUREHEADERS,0),MATCH($A253,CLASSNAMEHEADERS,0)),ArmorAS,"")))}</f>
        <v>ARMORSPECIALL13</v>
      </c>
      <c r="U252" s="223"/>
      <c r="V252" s="223" t="str">
        <f t="array" ref="V252:V253">{"ARMORSPECIALL15";((IF("15"=INDEX(ALLCLASSDATA,MATCH("ArmorSpecialization",CLASSFEATUREHEADERS,0),MATCH($A253,CLASSNAMEHEADERS,0)),ArmorAS,"")))}</f>
        <v>ARMORSPECIALL15</v>
      </c>
      <c r="W252" s="223"/>
      <c r="X252" s="223" t="str">
        <f t="array" ref="X252:X253">{"ARMORSPECIALL17";((IF("17"=INDEX(ALLCLASSDATA,MATCH("ArmorSpecialization",CLASSFEATUREHEADERS,0),MATCH($A253,CLASSNAMEHEADERS,0)),ArmorAS,"")))}</f>
        <v>ARMORSPECIALL17</v>
      </c>
      <c r="Y252" s="223"/>
      <c r="Z252" s="223" t="str">
        <f t="array" ref="Z252:Z253">{"ARMORSPECIALL19";((IF("19"=INDEX(ALLCLASSDATA,MATCH("ArmorSpecialization",CLASSFEATUREHEADERS,0),MATCH($A253,CLASSNAMEHEADERS,0)),ArmorAS,"")))}</f>
        <v>ARMORSPECIALL19</v>
      </c>
      <c r="AA252" s="223"/>
      <c r="AB252" s="76"/>
      <c r="AC252" s="76" t="str">
        <f t="array" ref="AC252:AC253">{"ARMORSPECIAL TOTAL";(sum(G253:AA253))}</f>
        <v>ARMORSPECIAL TOTAL</v>
      </c>
    </row>
    <row r="253">
      <c r="A253" s="48" t="s">
        <v>109</v>
      </c>
      <c r="B253" s="48"/>
      <c r="C253" s="48" t="s">
        <v>406</v>
      </c>
      <c r="D253" s="48" t="s">
        <v>1900</v>
      </c>
      <c r="E253" s="48" t="s">
        <v>51</v>
      </c>
      <c r="F253" s="5"/>
      <c r="G253" s="47"/>
      <c r="H253" s="5" t="s">
        <v>603</v>
      </c>
      <c r="I253" s="5"/>
      <c r="J253" s="5" t="s">
        <v>603</v>
      </c>
      <c r="K253" s="5"/>
      <c r="L253" s="5" t="s">
        <v>603</v>
      </c>
      <c r="M253" s="5"/>
      <c r="N253" s="5" t="s">
        <v>603</v>
      </c>
      <c r="O253" s="5"/>
      <c r="P253" s="5" t="s">
        <v>603</v>
      </c>
      <c r="Q253" s="5"/>
      <c r="R253" s="5">
        <v>50.0</v>
      </c>
      <c r="S253" s="5"/>
      <c r="T253" s="5" t="s">
        <v>603</v>
      </c>
      <c r="U253" s="5"/>
      <c r="V253" s="5" t="s">
        <v>603</v>
      </c>
      <c r="W253" s="5"/>
      <c r="X253" s="5" t="s">
        <v>603</v>
      </c>
      <c r="Y253" s="5"/>
      <c r="Z253" s="5" t="s">
        <v>603</v>
      </c>
      <c r="AA253" s="5"/>
      <c r="AB253" s="5"/>
      <c r="AC253" s="47">
        <v>50.0</v>
      </c>
    </row>
    <row r="254" hidden="1">
      <c r="A254" s="222" t="str">
        <f t="array" ref="A254:A255">{"FormulaRow35";(INDEX(CLASSLIST,A185,1))}</f>
        <v>FormulaRow35</v>
      </c>
      <c r="B254" s="77" t="s">
        <v>236</v>
      </c>
      <c r="C254" s="222" t="str">
        <f t="array" ref="C254:C255">{"CLASSTYPE";((INDEX(ALLCLASSDATA,MATCH("ClassType",CLASSFEATUREHEADERS,0),MATCH($A255,CLASSNAMEHEADERS,0))))}</f>
        <v>CLASSTYPE</v>
      </c>
      <c r="D254" s="222" t="str">
        <f t="array" ref="D254:D255">{"DEFENSE";"Defense"}</f>
        <v>DEFENSE</v>
      </c>
      <c r="E254" s="222" t="str">
        <f t="array" ref="E254:E255">{"UNARMORED";"Unarmored"}</f>
        <v>UNARMORED</v>
      </c>
      <c r="F254" s="223" t="str">
        <f t="array" ref="F254:F255">{"UNARMOREDINITIAL";((IF(H255=10,"T",(IF(H255=50,"E","")))))}</f>
        <v>UNARMOREDINITIAL</v>
      </c>
      <c r="G254" s="223" t="str">
        <f t="array" ref="G254:G255">{"UNARMOREDINITIALPTS";((IF("00"=(INDEX(ALLCLASSDATA,MATCH("UnarmoredLegendary",CLASSFEATUREHEADERS,0),MATCH($A255,CLASSNAMEHEADERS,0))),(INDEX(ALLCLASSDATA,MATCH("UnarmoredLegendary",CLASSFEATUREHEADERS,0),MATCH(($A255 &amp; "Points"),CLASSNAMEHEADERS,0))),(IF("00"=(INDEX(ALLCLASSDATA,MATCH("UnarmoredMaster",CLASSFEATUREHEADERS,0),MATCH($A255,CLASSNAMEHEADERS,0))),(INDEX(ALLCLASSDATA,MATCH("UnarmoredMaster",CLASSFEATUREHEADERS,0),MATCH(($A255 &amp; "Points"),CLASSNAMEHEADERS,0))),(IF("00"=(INDEX(ALLCLASSDATA,MATCH("UnarmoredExpert",CLASSFEATUREHEADERS,0),MATCH($A255,CLASSNAMEHEADERS,0))),(INDEX(ALLCLASSDATA,MATCH("UnarmoredExpert",CLASSFEATUREHEADERS,0),MATCH(($A255 &amp; "Points"),CLASSNAMEHEADERS,0))),(IF("00"=(INDEX(ALLCLASSDATA,MATCH("UnarmoredTrained",CLASSFEATUREHEADERS,0),MATCH($A255,CLASSNAMEHEADERS,0))),(INDEX(ALLCLASSDATA,MATCH("UnarmoredTrained",CLASSFEATUREHEADERS,0),MATCH(($A255 &amp; "Points"),CLASSNAMEHEADERS,0))),"")))))))))}</f>
        <v>UNARMOREDINITIALPTS</v>
      </c>
      <c r="H254" s="223" t="str">
        <f t="array" ref="H254:H255">{"UNARMOREDL01";((IF("01"=(INDEX(ALLCLASSDATA,MATCH("UnarmoredLegendary",CLASSFEATUREHEADERS,0),MATCH($A255,CLASSNAMEHEADERS,0))),(INDEX(ALLCLASSDATA,MATCH("UnarmoredLegendary",CLASSFEATUREHEADERS,0),MATCH(($A255 &amp; "Points"),CLASSNAMEHEADERS,0))),(IF("01"=(INDEX(ALLCLASSDATA,MATCH("UnarmoredMaster",CLASSFEATUREHEADERS,0),MATCH($A255,CLASSNAMEHEADERS,0))),(INDEX(ALLCLASSDATA,MATCH("UnarmoredMaster",CLASSFEATUREHEADERS,0),MATCH(($A255 &amp; "Points"),CLASSNAMEHEADERS,0))),(IF("01"=(INDEX(ALLCLASSDATA,MATCH("UnarmoredExpert",CLASSFEATUREHEADERS,0),MATCH($A255,CLASSNAMEHEADERS,0))),(INDEX(ALLCLASSDATA,MATCH("UnarmoredExpert",CLASSFEATUREHEADERS,0),MATCH(($A255 &amp; "Points"),CLASSNAMEHEADERS,0))),(IF("01"=(INDEX(ALLCLASSDATA,MATCH("UnarmoredTrained",CLASSFEATUREHEADERS,0),MATCH($A255,CLASSNAMEHEADERS,0))),(INDEX(ALLCLASSDATA,MATCH("UnarmoredTrained",CLASSFEATUREHEADERS,0),MATCH(($A255 &amp; "Points"),CLASSNAMEHEADERS,0))),"")))))))))}</f>
        <v>UNARMOREDL01</v>
      </c>
      <c r="I254" s="223"/>
      <c r="J254" s="223" t="str">
        <f t="array" ref="J254:J255">{"UNARMOREDL03";((IF("03"=(INDEX(ALLCLASSDATA,MATCH("UnarmoredLegendary",CLASSFEATUREHEADERS,0),MATCH($A255,CLASSNAMEHEADERS,0))),(INDEX(ALLCLASSDATA,MATCH("UnarmoredLegendary",CLASSFEATUREHEADERS,0),MATCH(($A255 &amp; "Points"),CLASSNAMEHEADERS,0))),(IF("03"=(INDEX(ALLCLASSDATA,MATCH("UnarmoredMaster",CLASSFEATUREHEADERS,0),MATCH($A255,CLASSNAMEHEADERS,0))),(INDEX(ALLCLASSDATA,MATCH("UnarmoredMaster",CLASSFEATUREHEADERS,0),MATCH(($A255 &amp; "Points"),CLASSNAMEHEADERS,0))),(IF("03"=(INDEX(ALLCLASSDATA,MATCH("UnarmoredExpert",CLASSFEATUREHEADERS,0),MATCH($A255,CLASSNAMEHEADERS,0))),(INDEX(ALLCLASSDATA,MATCH("UnarmoredExpert",CLASSFEATUREHEADERS,0),MATCH(($A255 &amp; "Points"),CLASSNAMEHEADERS,0))),(IF("03"=(INDEX(ALLCLASSDATA,MATCH("UnarmoredTrained",CLASSFEATUREHEADERS,0),MATCH($A255,CLASSNAMEHEADERS,0))),(INDEX(ALLCLASSDATA,MATCH("UnarmoredTrained",CLASSFEATUREHEADERS,0),MATCH(($A255 &amp; "Points"),CLASSNAMEHEADERS,0))),"")))))))))}</f>
        <v>UNARMOREDL03</v>
      </c>
      <c r="K254" s="223"/>
      <c r="L254" s="223" t="str">
        <f t="array" ref="L254:L255">{"UNARMOREDL05";((IF("05"=(INDEX(ALLCLASSDATA,MATCH("UnarmoredLegendary",CLASSFEATUREHEADERS,0),MATCH($A255,CLASSNAMEHEADERS,0))),(INDEX(ALLCLASSDATA,MATCH("UnarmoredLegendary",CLASSFEATUREHEADERS,0),MATCH(($A255 &amp; "Points"),CLASSNAMEHEADERS,0))),(IF("05"=(INDEX(ALLCLASSDATA,MATCH("UnarmoredMaster",CLASSFEATUREHEADERS,0),MATCH($A255,CLASSNAMEHEADERS,0))),(INDEX(ALLCLASSDATA,MATCH("UnarmoredMaster",CLASSFEATUREHEADERS,0),MATCH(($A255 &amp; "Points"),CLASSNAMEHEADERS,0))),(IF("05"=(INDEX(ALLCLASSDATA,MATCH("UnarmoredExpert",CLASSFEATUREHEADERS,0),MATCH($A255,CLASSNAMEHEADERS,0))),(INDEX(ALLCLASSDATA,MATCH("UnarmoredExpert",CLASSFEATUREHEADERS,0),MATCH(($A255 &amp; "Points"),CLASSNAMEHEADERS,0))),(IF("05"=(INDEX(ALLCLASSDATA,MATCH("UnarmoredTrained",CLASSFEATUREHEADERS,0),MATCH($A255,CLASSNAMEHEADERS,0))),(INDEX(ALLCLASSDATA,MATCH("UnarmoredTrained",CLASSFEATUREHEADERS,0),MATCH(($A255 &amp; "Points"),CLASSNAMEHEADERS,0))),"")))))))))}</f>
        <v>UNARMOREDL05</v>
      </c>
      <c r="M254" s="223"/>
      <c r="N254" s="223" t="str">
        <f t="array" ref="N254:N255">{"UNARMOREDL07";((IF("07"=(INDEX(ALLCLASSDATA,MATCH("UnarmoredLegendary",CLASSFEATUREHEADERS,0),MATCH($A255,CLASSNAMEHEADERS,0))),(INDEX(ALLCLASSDATA,MATCH("UnarmoredLegendary",CLASSFEATUREHEADERS,0),MATCH(($A255 &amp; "Points"),CLASSNAMEHEADERS,0))),(IF("07"=(INDEX(ALLCLASSDATA,MATCH("UnarmoredMaster",CLASSFEATUREHEADERS,0),MATCH($A255,CLASSNAMEHEADERS,0))),(INDEX(ALLCLASSDATA,MATCH("UnarmoredMaster",CLASSFEATUREHEADERS,0),MATCH(($A255 &amp; "Points"),CLASSNAMEHEADERS,0))),(IF("07"=(INDEX(ALLCLASSDATA,MATCH("UnarmoredExpert",CLASSFEATUREHEADERS,0),MATCH($A255,CLASSNAMEHEADERS,0))),(INDEX(ALLCLASSDATA,MATCH("UnarmoredExpert",CLASSFEATUREHEADERS,0),MATCH(($A255 &amp; "Points"),CLASSNAMEHEADERS,0))),(IF("07"=(INDEX(ALLCLASSDATA,MATCH("UnarmoredTrained",CLASSFEATUREHEADERS,0),MATCH($A255,CLASSNAMEHEADERS,0))),(INDEX(ALLCLASSDATA,MATCH("UnarmoredTrained",CLASSFEATUREHEADERS,0),MATCH(($A255 &amp; "Points"),CLASSNAMEHEADERS,0))),"")))))))))}</f>
        <v>UNARMOREDL07</v>
      </c>
      <c r="O254" s="223"/>
      <c r="P254" s="223" t="str">
        <f t="array" ref="P254:P255">{"UNARMOREDL09";((IF("09"=(INDEX(ALLCLASSDATA,MATCH("UnarmoredLegendary",CLASSFEATUREHEADERS,0),MATCH($A255,CLASSNAMEHEADERS,0))),(INDEX(ALLCLASSDATA,MATCH("UnarmoredLegendary",CLASSFEATUREHEADERS,0),MATCH(($A255 &amp; "Points"),CLASSNAMEHEADERS,0))),(IF("09"=(INDEX(ALLCLASSDATA,MATCH("UnarmoredMaster",CLASSFEATUREHEADERS,0),MATCH($A255,CLASSNAMEHEADERS,0))),(INDEX(ALLCLASSDATA,MATCH("UnarmoredMaster",CLASSFEATUREHEADERS,0),MATCH(($A255 &amp; "Points"),CLASSNAMEHEADERS,0))),(IF("09"=(INDEX(ALLCLASSDATA,MATCH("UnarmoredExpert",CLASSFEATUREHEADERS,0),MATCH($A255,CLASSNAMEHEADERS,0))),(INDEX(ALLCLASSDATA,MATCH("UnarmoredExpert",CLASSFEATUREHEADERS,0),MATCH(($A255 &amp; "Points"),CLASSNAMEHEADERS,0))),(IF("09"=(INDEX(ALLCLASSDATA,MATCH("UnarmoredTrained",CLASSFEATUREHEADERS,0),MATCH($A255,CLASSNAMEHEADERS,0))),(INDEX(ALLCLASSDATA,MATCH("UnarmoredTrained",CLASSFEATUREHEADERS,0),MATCH(($A255 &amp; "Points"),CLASSNAMEHEADERS,0))),"")))))))))}</f>
        <v>UNARMOREDL09</v>
      </c>
      <c r="Q254" s="223"/>
      <c r="R254" s="223" t="str">
        <f t="array" ref="R254:R255">{"UNARMOREDL11";((IF("11"=(INDEX(ALLCLASSDATA,MATCH("UnarmoredLegendary",CLASSFEATUREHEADERS,0),MATCH($A255,CLASSNAMEHEADERS,0))),(INDEX(ALLCLASSDATA,MATCH("UnarmoredLegendary",CLASSFEATUREHEADERS,0),MATCH(($A255 &amp; "Points"),CLASSNAMEHEADERS,0))),(IF("11"=(INDEX(ALLCLASSDATA,MATCH("UnarmoredMaster",CLASSFEATUREHEADERS,0),MATCH($A255,CLASSNAMEHEADERS,0))),(INDEX(ALLCLASSDATA,MATCH("UnarmoredMaster",CLASSFEATUREHEADERS,0),MATCH(($A255 &amp; "Points"),CLASSNAMEHEADERS,0))),(IF("11"=(INDEX(ALLCLASSDATA,MATCH("UnarmoredExpert",CLASSFEATUREHEADERS,0),MATCH($A255,CLASSNAMEHEADERS,0))),(INDEX(ALLCLASSDATA,MATCH("UnarmoredExpert",CLASSFEATUREHEADERS,0),MATCH(($A255 &amp; "Points"),CLASSNAMEHEADERS,0))),(IF("11"=(INDEX(ALLCLASSDATA,MATCH("UnarmoredTrained",CLASSFEATUREHEADERS,0),MATCH($A255,CLASSNAMEHEADERS,0))),(INDEX(ALLCLASSDATA,MATCH("UnarmoredTrained",CLASSFEATUREHEADERS,0),MATCH(($A255 &amp; "Points"),CLASSNAMEHEADERS,0))),"")))))))))}</f>
        <v>UNARMOREDL11</v>
      </c>
      <c r="S254" s="223"/>
      <c r="T254" s="223" t="str">
        <f t="array" ref="T254:T255">{"UNARMOREDL13";((IF("13"=(INDEX(ALLCLASSDATA,MATCH("UnarmoredLegendary",CLASSFEATUREHEADERS,0),MATCH($A255,CLASSNAMEHEADERS,0))),(INDEX(ALLCLASSDATA,MATCH("UnarmoredLegendary",CLASSFEATUREHEADERS,0),MATCH(($A255 &amp; "Points"),CLASSNAMEHEADERS,0))),(IF("13"=(INDEX(ALLCLASSDATA,MATCH("UnarmoredMaster",CLASSFEATUREHEADERS,0),MATCH($A255,CLASSNAMEHEADERS,0))),(INDEX(ALLCLASSDATA,MATCH("UnarmoredMaster",CLASSFEATUREHEADERS,0),MATCH(($A255 &amp; "Points"),CLASSNAMEHEADERS,0))),(IF("13"=(INDEX(ALLCLASSDATA,MATCH("UnarmoredExpert",CLASSFEATUREHEADERS,0),MATCH($A255,CLASSNAMEHEADERS,0))),(INDEX(ALLCLASSDATA,MATCH("UnarmoredExpert",CLASSFEATUREHEADERS,0),MATCH(($A255 &amp; "Points"),CLASSNAMEHEADERS,0))),(IF("13"=(INDEX(ALLCLASSDATA,MATCH("UnarmoredTrained",CLASSFEATUREHEADERS,0),MATCH($A255,CLASSNAMEHEADERS,0))),(INDEX(ALLCLASSDATA,MATCH("UnarmoredTrained",CLASSFEATUREHEADERS,0),MATCH(($A255 &amp; "Points"),CLASSNAMEHEADERS,0))),"")))))))))}</f>
        <v>UNARMOREDL13</v>
      </c>
      <c r="U254" s="223"/>
      <c r="V254" s="223" t="str">
        <f t="array" ref="V254:V255">{"UNARMOREDL15";((IF("15"=(INDEX(ALLCLASSDATA,MATCH("UnarmoredLegendary",CLASSFEATUREHEADERS,0),MATCH($A255,CLASSNAMEHEADERS,0))),(INDEX(ALLCLASSDATA,MATCH("UnarmoredLegendary",CLASSFEATUREHEADERS,0),MATCH(($A255 &amp; "Points"),CLASSNAMEHEADERS,0))),(IF("15"=(INDEX(ALLCLASSDATA,MATCH("UnarmoredMaster",CLASSFEATUREHEADERS,0),MATCH($A255,CLASSNAMEHEADERS,0))),(INDEX(ALLCLASSDATA,MATCH("UnarmoredMaster",CLASSFEATUREHEADERS,0),MATCH(($A255 &amp; "Points"),CLASSNAMEHEADERS,0))),(IF("15"=(INDEX(ALLCLASSDATA,MATCH("UnarmoredExpert",CLASSFEATUREHEADERS,0),MATCH($A255,CLASSNAMEHEADERS,0))),(INDEX(ALLCLASSDATA,MATCH("UnarmoredExpert",CLASSFEATUREHEADERS,0),MATCH(($A255 &amp; "Points"),CLASSNAMEHEADERS,0))),(IF("15"=(INDEX(ALLCLASSDATA,MATCH("UnarmoredTrained",CLASSFEATUREHEADERS,0),MATCH($A255,CLASSNAMEHEADERS,0))),(INDEX(ALLCLASSDATA,MATCH("UnarmoredTrained",CLASSFEATUREHEADERS,0),MATCH(($A255 &amp; "Points"),CLASSNAMEHEADERS,0))),"")))))))))}</f>
        <v>UNARMOREDL15</v>
      </c>
      <c r="W254" s="223"/>
      <c r="X254" s="223" t="str">
        <f t="array" ref="X254:X255">{"UNARMOREDL17";((IF("17"=(INDEX(ALLCLASSDATA,MATCH("UnarmoredLegendary",CLASSFEATUREHEADERS,0),MATCH($A255,CLASSNAMEHEADERS,0))),(INDEX(ALLCLASSDATA,MATCH("UnarmoredLegendary",CLASSFEATUREHEADERS,0),MATCH(($A255 &amp; "Points"),CLASSNAMEHEADERS,0))),(IF("17"=(INDEX(ALLCLASSDATA,MATCH("UnarmoredMaster",CLASSFEATUREHEADERS,0),MATCH($A255,CLASSNAMEHEADERS,0))),(INDEX(ALLCLASSDATA,MATCH("UnarmoredMaster",CLASSFEATUREHEADERS,0),MATCH(($A255 &amp; "Points"),CLASSNAMEHEADERS,0))),(IF("17"=(INDEX(ALLCLASSDATA,MATCH("UnarmoredExpert",CLASSFEATUREHEADERS,0),MATCH($A255,CLASSNAMEHEADERS,0))),(INDEX(ALLCLASSDATA,MATCH("UnarmoredExpert",CLASSFEATUREHEADERS,0),MATCH(($A255 &amp; "Points"),CLASSNAMEHEADERS,0))),(IF("17"=(INDEX(ALLCLASSDATA,MATCH("UnarmoredTrained",CLASSFEATUREHEADERS,0),MATCH($A255,CLASSNAMEHEADERS,0))),(INDEX(ALLCLASSDATA,MATCH("UnarmoredTrained",CLASSFEATUREHEADERS,0),MATCH(($A255 &amp; "Points"),CLASSNAMEHEADERS,0))),"")))))))))}</f>
        <v>UNARMOREDL17</v>
      </c>
      <c r="Y254" s="223"/>
      <c r="Z254" s="223" t="str">
        <f t="array" ref="Z254:Z255">{"UNARMOREDL19";((IF("19"=(INDEX(ALLCLASSDATA,MATCH("UnarmoredLegendary",CLASSFEATUREHEADERS,0),MATCH($A255,CLASSNAMEHEADERS,0))),(INDEX(ALLCLASSDATA,MATCH("UnarmoredLegendary",CLASSFEATUREHEADERS,0),MATCH(($A255 &amp; "Points"),CLASSNAMEHEADERS,0))),(IF("19"=(INDEX(ALLCLASSDATA,MATCH("UnarmoredMaster",CLASSFEATUREHEADERS,0),MATCH($A255,CLASSNAMEHEADERS,0))),(INDEX(ALLCLASSDATA,MATCH("UnarmoredMaster",CLASSFEATUREHEADERS,0),MATCH(($A255 &amp; "Points"),CLASSNAMEHEADERS,0))),(IF("19"=(INDEX(ALLCLASSDATA,MATCH("UnarmoredExpert",CLASSFEATUREHEADERS,0),MATCH($A255,CLASSNAMEHEADERS,0))),(INDEX(ALLCLASSDATA,MATCH("UnarmoredExpert",CLASSFEATUREHEADERS,0),MATCH(($A255 &amp; "Points"),CLASSNAMEHEADERS,0))),(IF("19"=(INDEX(ALLCLASSDATA,MATCH("UnarmoredTrained",CLASSFEATUREHEADERS,0),MATCH($A255,CLASSNAMEHEADERS,0))),(INDEX(ALLCLASSDATA,MATCH("UnarmoredTrained",CLASSFEATUREHEADERS,0),MATCH(($A255 &amp; "Points"),CLASSNAMEHEADERS,0))),"")))))))))}</f>
        <v>UNARMOREDL19</v>
      </c>
      <c r="AA254" s="223"/>
      <c r="AB254" s="76" t="str">
        <f t="array" ref="AB254:AB255">{"UNARMORED TOTAL";(IF(COUNTBLANK(G255:AA255)=17,"L",(IF(COUNTBLANK(G255:AA255)=18,"M",(IF(COUNTBLANK(G255:AA255)=19,"E",(IF(COUNTBLANK(G255:AA255)=20,"T",""))))))))}</f>
        <v>UNARMORED TOTAL</v>
      </c>
      <c r="AC254" s="76" t="str">
        <f t="array" ref="AC254:AC255">{"UNARMORED TOTAL";(sum(G255:AA255))}</f>
        <v>UNARMORED TOTAL</v>
      </c>
    </row>
    <row r="255">
      <c r="A255" s="48" t="s">
        <v>109</v>
      </c>
      <c r="B255" s="48"/>
      <c r="C255" s="48" t="s">
        <v>406</v>
      </c>
      <c r="D255" s="48" t="s">
        <v>1900</v>
      </c>
      <c r="E255" s="48" t="s">
        <v>78</v>
      </c>
      <c r="F255" s="5" t="s">
        <v>435</v>
      </c>
      <c r="G255" s="47" t="s">
        <v>603</v>
      </c>
      <c r="H255" s="5">
        <v>10.0</v>
      </c>
      <c r="I255" s="5"/>
      <c r="J255" s="5" t="s">
        <v>603</v>
      </c>
      <c r="K255" s="5"/>
      <c r="L255" s="5" t="s">
        <v>603</v>
      </c>
      <c r="M255" s="5"/>
      <c r="N255" s="5" t="s">
        <v>603</v>
      </c>
      <c r="O255" s="5"/>
      <c r="P255" s="5" t="s">
        <v>603</v>
      </c>
      <c r="Q255" s="5"/>
      <c r="R255" s="5" t="s">
        <v>436</v>
      </c>
      <c r="S255" s="5"/>
      <c r="T255" s="5" t="s">
        <v>603</v>
      </c>
      <c r="U255" s="5"/>
      <c r="V255" s="5" t="s">
        <v>603</v>
      </c>
      <c r="W255" s="5"/>
      <c r="X255" s="5" t="s">
        <v>437</v>
      </c>
      <c r="Y255" s="5"/>
      <c r="Z255" s="5" t="s">
        <v>603</v>
      </c>
      <c r="AA255" s="5"/>
      <c r="AB255" s="5" t="s">
        <v>437</v>
      </c>
      <c r="AC255" s="47">
        <v>10.0</v>
      </c>
    </row>
    <row r="256" hidden="1">
      <c r="A256" s="222" t="str">
        <f t="array" ref="A256:A257">{"FormulaRow36";(INDEX(CLASSLIST,A185,1))}</f>
        <v>FormulaRow36</v>
      </c>
      <c r="B256" s="77" t="s">
        <v>236</v>
      </c>
      <c r="C256" s="222" t="str">
        <f t="array" ref="C256:C257">{"CLASSTYPE";((INDEX(ALLCLASSDATA,MATCH("ClassType",CLASSFEATUREHEADERS,0),MATCH($A257,CLASSNAMEHEADERS,0))))}</f>
        <v>CLASSTYPE</v>
      </c>
      <c r="D256" s="222" t="str">
        <f t="array" ref="D256:D257">{"DEFENSE";"Defense"}</f>
        <v>DEFENSE</v>
      </c>
      <c r="E256" s="222" t="str">
        <f t="array" ref="E256:E257">{"LIGHT";"Light"}</f>
        <v>LIGHT</v>
      </c>
      <c r="F256" s="223" t="str">
        <f t="array" ref="F256:F257">{"LIGHTINITIAL";((IF(H257=10,"T",(IF(H257=50,"E","")))))}</f>
        <v>LIGHTINITIAL</v>
      </c>
      <c r="G256" s="223" t="str">
        <f t="array" ref="G256:G257">{"LIGHTINITIALPTS";((IF("00"=(INDEX(ALLCLASSDATA,MATCH("LightLegendary",CLASSFEATUREHEADERS,0),MATCH($A257,CLASSNAMEHEADERS,0))),(INDEX(ALLCLASSDATA,MATCH("LightLegendary",CLASSFEATUREHEADERS,0),MATCH(($A257 &amp; "Points"),CLASSNAMEHEADERS,0))),(IF("00"=(INDEX(ALLCLASSDATA,MATCH("LightMaster",CLASSFEATUREHEADERS,0),MATCH($A257,CLASSNAMEHEADERS,0))),(INDEX(ALLCLASSDATA,MATCH("LightMaster",CLASSFEATUREHEADERS,0),MATCH(($A257 &amp; "Points"),CLASSNAMEHEADERS,0))),(IF("00"=(INDEX(ALLCLASSDATA,MATCH("LightExpert",CLASSFEATUREHEADERS,0),MATCH($A257,CLASSNAMEHEADERS,0))),(INDEX(ALLCLASSDATA,MATCH("LightExpert",CLASSFEATUREHEADERS,0),MATCH(($A257 &amp; "Points"),CLASSNAMEHEADERS,0))),(IF("00"=(INDEX(ALLCLASSDATA,MATCH("LightTrained",CLASSFEATUREHEADERS,0),MATCH($A257,CLASSNAMEHEADERS,0))),(INDEX(ALLCLASSDATA,MATCH("LightTrained",CLASSFEATUREHEADERS,0),MATCH(($A257 &amp; "Points"),CLASSNAMEHEADERS,0))),"")))))))))}</f>
        <v>LIGHTINITIALPTS</v>
      </c>
      <c r="H256" s="223" t="str">
        <f t="array" ref="H256:H257">{"LIGHTL01";((IF("01"=(INDEX(ALLCLASSDATA,MATCH("LightLegendary",CLASSFEATUREHEADERS,0),MATCH($A257,CLASSNAMEHEADERS,0))),(INDEX(ALLCLASSDATA,MATCH("LightLegendary",CLASSFEATUREHEADERS,0),MATCH(($A257 &amp; "Points"),CLASSNAMEHEADERS,0))),(IF("01"=(INDEX(ALLCLASSDATA,MATCH("LightMaster",CLASSFEATUREHEADERS,0),MATCH($A257,CLASSNAMEHEADERS,0))),(INDEX(ALLCLASSDATA,MATCH("LightMaster",CLASSFEATUREHEADERS,0),MATCH(($A257 &amp; "Points"),CLASSNAMEHEADERS,0))),(IF("01"=(INDEX(ALLCLASSDATA,MATCH("LightExpert",CLASSFEATUREHEADERS,0),MATCH($A257,CLASSNAMEHEADERS,0))),(INDEX(ALLCLASSDATA,MATCH("LightExpert",CLASSFEATUREHEADERS,0),MATCH(($A257 &amp; "Points"),CLASSNAMEHEADERS,0))),(IF("01"=(INDEX(ALLCLASSDATA,MATCH("LightTrained",CLASSFEATUREHEADERS,0),MATCH($A257,CLASSNAMEHEADERS,0))),(INDEX(ALLCLASSDATA,MATCH("LightTrained",CLASSFEATUREHEADERS,0),MATCH(($A257 &amp; "Points"),CLASSNAMEHEADERS,0))),"")))))))))}</f>
        <v>LIGHTL01</v>
      </c>
      <c r="I256" s="223"/>
      <c r="J256" s="223" t="str">
        <f t="array" ref="J256:J257">{"LIGHTL03";((IF("03"=(INDEX(ALLCLASSDATA,MATCH("LightLegendary",CLASSFEATUREHEADERS,0),MATCH($A257,CLASSNAMEHEADERS,0))),(INDEX(ALLCLASSDATA,MATCH("LightLegendary",CLASSFEATUREHEADERS,0),MATCH(($A257 &amp; "Points"),CLASSNAMEHEADERS,0))),(IF("03"=(INDEX(ALLCLASSDATA,MATCH("LightMaster",CLASSFEATUREHEADERS,0),MATCH($A257,CLASSNAMEHEADERS,0))),(INDEX(ALLCLASSDATA,MATCH("LightMaster",CLASSFEATUREHEADERS,0),MATCH(($A257 &amp; "Points"),CLASSNAMEHEADERS,0))),(IF("03"=(INDEX(ALLCLASSDATA,MATCH("LightExpert",CLASSFEATUREHEADERS,0),MATCH($A257,CLASSNAMEHEADERS,0))),(INDEX(ALLCLASSDATA,MATCH("LightExpert",CLASSFEATUREHEADERS,0),MATCH(($A257 &amp; "Points"),CLASSNAMEHEADERS,0))),(IF("03"=(INDEX(ALLCLASSDATA,MATCH("LightTrained",CLASSFEATUREHEADERS,0),MATCH($A257,CLASSNAMEHEADERS,0))),(INDEX(ALLCLASSDATA,MATCH("LightTrained",CLASSFEATUREHEADERS,0),MATCH(($A257 &amp; "Points"),CLASSNAMEHEADERS,0))),"")))))))))}</f>
        <v>LIGHTL03</v>
      </c>
      <c r="K256" s="223"/>
      <c r="L256" s="223" t="str">
        <f t="array" ref="L256:L257">{"LIGHTL05";((IF("05"=(INDEX(ALLCLASSDATA,MATCH("LightLegendary",CLASSFEATUREHEADERS,0),MATCH($A257,CLASSNAMEHEADERS,0))),(INDEX(ALLCLASSDATA,MATCH("LightLegendary",CLASSFEATUREHEADERS,0),MATCH(($A257 &amp; "Points"),CLASSNAMEHEADERS,0))),(IF("05"=(INDEX(ALLCLASSDATA,MATCH("LightMaster",CLASSFEATUREHEADERS,0),MATCH($A257,CLASSNAMEHEADERS,0))),(INDEX(ALLCLASSDATA,MATCH("LightMaster",CLASSFEATUREHEADERS,0),MATCH(($A257 &amp; "Points"),CLASSNAMEHEADERS,0))),(IF("05"=(INDEX(ALLCLASSDATA,MATCH("LightExpert",CLASSFEATUREHEADERS,0),MATCH($A257,CLASSNAMEHEADERS,0))),(INDEX(ALLCLASSDATA,MATCH("LightExpert",CLASSFEATUREHEADERS,0),MATCH(($A257 &amp; "Points"),CLASSNAMEHEADERS,0))),(IF("05"=(INDEX(ALLCLASSDATA,MATCH("LightTrained",CLASSFEATUREHEADERS,0),MATCH($A257,CLASSNAMEHEADERS,0))),(INDEX(ALLCLASSDATA,MATCH("LightTrained",CLASSFEATUREHEADERS,0),MATCH(($A257 &amp; "Points"),CLASSNAMEHEADERS,0))),"")))))))))}</f>
        <v>LIGHTL05</v>
      </c>
      <c r="M256" s="223"/>
      <c r="N256" s="223" t="str">
        <f t="array" ref="N256:N257">{"LIGHTL07";((IF("07"=(INDEX(ALLCLASSDATA,MATCH("LightLegendary",CLASSFEATUREHEADERS,0),MATCH($A257,CLASSNAMEHEADERS,0))),(INDEX(ALLCLASSDATA,MATCH("LightLegendary",CLASSFEATUREHEADERS,0),MATCH(($A257 &amp; "Points"),CLASSNAMEHEADERS,0))),(IF("07"=(INDEX(ALLCLASSDATA,MATCH("LightMaster",CLASSFEATUREHEADERS,0),MATCH($A257,CLASSNAMEHEADERS,0))),(INDEX(ALLCLASSDATA,MATCH("LightMaster",CLASSFEATUREHEADERS,0),MATCH(($A257 &amp; "Points"),CLASSNAMEHEADERS,0))),(IF("07"=(INDEX(ALLCLASSDATA,MATCH("LightExpert",CLASSFEATUREHEADERS,0),MATCH($A257,CLASSNAMEHEADERS,0))),(INDEX(ALLCLASSDATA,MATCH("LightExpert",CLASSFEATUREHEADERS,0),MATCH(($A257 &amp; "Points"),CLASSNAMEHEADERS,0))),(IF("07"=(INDEX(ALLCLASSDATA,MATCH("LightTrained",CLASSFEATUREHEADERS,0),MATCH($A257,CLASSNAMEHEADERS,0))),(INDEX(ALLCLASSDATA,MATCH("LightTrained",CLASSFEATUREHEADERS,0),MATCH(($A257 &amp; "Points"),CLASSNAMEHEADERS,0))),"")))))))))}</f>
        <v>LIGHTL07</v>
      </c>
      <c r="O256" s="223"/>
      <c r="P256" s="223" t="str">
        <f t="array" ref="P256:P257">{"LIGHTL09";((IF("09"=(INDEX(ALLCLASSDATA,MATCH("LightLegendary",CLASSFEATUREHEADERS,0),MATCH($A257,CLASSNAMEHEADERS,0))),(INDEX(ALLCLASSDATA,MATCH("LightLegendary",CLASSFEATUREHEADERS,0),MATCH(($A257 &amp; "Points"),CLASSNAMEHEADERS,0))),(IF("09"=(INDEX(ALLCLASSDATA,MATCH("LightMaster",CLASSFEATUREHEADERS,0),MATCH($A257,CLASSNAMEHEADERS,0))),(INDEX(ALLCLASSDATA,MATCH("LightMaster",CLASSFEATUREHEADERS,0),MATCH(($A257 &amp; "Points"),CLASSNAMEHEADERS,0))),(IF("09"=(INDEX(ALLCLASSDATA,MATCH("LightExpert",CLASSFEATUREHEADERS,0),MATCH($A257,CLASSNAMEHEADERS,0))),(INDEX(ALLCLASSDATA,MATCH("LightExpert",CLASSFEATUREHEADERS,0),MATCH(($A257 &amp; "Points"),CLASSNAMEHEADERS,0))),(IF("09"=(INDEX(ALLCLASSDATA,MATCH("LightTrained",CLASSFEATUREHEADERS,0),MATCH($A257,CLASSNAMEHEADERS,0))),(INDEX(ALLCLASSDATA,MATCH("LightTrained",CLASSFEATUREHEADERS,0),MATCH(($A257 &amp; "Points"),CLASSNAMEHEADERS,0))),"")))))))))}</f>
        <v>LIGHTL09</v>
      </c>
      <c r="Q256" s="223"/>
      <c r="R256" s="223" t="str">
        <f t="array" ref="R256:R257">{"LIGHTL11";((IF("11"=(INDEX(ALLCLASSDATA,MATCH("LightLegendary",CLASSFEATUREHEADERS,0),MATCH($A257,CLASSNAMEHEADERS,0))),(INDEX(ALLCLASSDATA,MATCH("LightLegendary",CLASSFEATUREHEADERS,0),MATCH(($A257 &amp; "Points"),CLASSNAMEHEADERS,0))),(IF("11"=(INDEX(ALLCLASSDATA,MATCH("LightMaster",CLASSFEATUREHEADERS,0),MATCH($A257,CLASSNAMEHEADERS,0))),(INDEX(ALLCLASSDATA,MATCH("LightMaster",CLASSFEATUREHEADERS,0),MATCH(($A257 &amp; "Points"),CLASSNAMEHEADERS,0))),(IF("11"=(INDEX(ALLCLASSDATA,MATCH("LightExpert",CLASSFEATUREHEADERS,0),MATCH($A257,CLASSNAMEHEADERS,0))),(INDEX(ALLCLASSDATA,MATCH("LightExpert",CLASSFEATUREHEADERS,0),MATCH(($A257 &amp; "Points"),CLASSNAMEHEADERS,0))),(IF("11"=(INDEX(ALLCLASSDATA,MATCH("LightTrained",CLASSFEATUREHEADERS,0),MATCH($A257,CLASSNAMEHEADERS,0))),(INDEX(ALLCLASSDATA,MATCH("LightTrained",CLASSFEATUREHEADERS,0),MATCH(($A257 &amp; "Points"),CLASSNAMEHEADERS,0))),"")))))))))}</f>
        <v>LIGHTL11</v>
      </c>
      <c r="S256" s="223"/>
      <c r="T256" s="223" t="str">
        <f t="array" ref="T256:T257">{"LIGHTL13";((IF("13"=(INDEX(ALLCLASSDATA,MATCH("LightLegendary",CLASSFEATUREHEADERS,0),MATCH($A257,CLASSNAMEHEADERS,0))),(INDEX(ALLCLASSDATA,MATCH("LightLegendary",CLASSFEATUREHEADERS,0),MATCH(($A257 &amp; "Points"),CLASSNAMEHEADERS,0))),(IF("13"=(INDEX(ALLCLASSDATA,MATCH("LightMaster",CLASSFEATUREHEADERS,0),MATCH($A257,CLASSNAMEHEADERS,0))),(INDEX(ALLCLASSDATA,MATCH("LightMaster",CLASSFEATUREHEADERS,0),MATCH(($A257 &amp; "Points"),CLASSNAMEHEADERS,0))),(IF("13"=(INDEX(ALLCLASSDATA,MATCH("LightExpert",CLASSFEATUREHEADERS,0),MATCH($A257,CLASSNAMEHEADERS,0))),(INDEX(ALLCLASSDATA,MATCH("LightExpert",CLASSFEATUREHEADERS,0),MATCH(($A257 &amp; "Points"),CLASSNAMEHEADERS,0))),(IF("13"=(INDEX(ALLCLASSDATA,MATCH("LightTrained",CLASSFEATUREHEADERS,0),MATCH($A257,CLASSNAMEHEADERS,0))),(INDEX(ALLCLASSDATA,MATCH("LightTrained",CLASSFEATUREHEADERS,0),MATCH(($A257 &amp; "Points"),CLASSNAMEHEADERS,0))),"")))))))))}</f>
        <v>LIGHTL13</v>
      </c>
      <c r="U256" s="223"/>
      <c r="V256" s="223" t="str">
        <f t="array" ref="V256:V257">{"LIGHTL15";((IF("15"=(INDEX(ALLCLASSDATA,MATCH("LightLegendary",CLASSFEATUREHEADERS,0),MATCH($A257,CLASSNAMEHEADERS,0))),(INDEX(ALLCLASSDATA,MATCH("LightLegendary",CLASSFEATUREHEADERS,0),MATCH(($A257 &amp; "Points"),CLASSNAMEHEADERS,0))),(IF("15"=(INDEX(ALLCLASSDATA,MATCH("LightMaster",CLASSFEATUREHEADERS,0),MATCH($A257,CLASSNAMEHEADERS,0))),(INDEX(ALLCLASSDATA,MATCH("LightMaster",CLASSFEATUREHEADERS,0),MATCH(($A257 &amp; "Points"),CLASSNAMEHEADERS,0))),(IF("15"=(INDEX(ALLCLASSDATA,MATCH("LightExpert",CLASSFEATUREHEADERS,0),MATCH($A257,CLASSNAMEHEADERS,0))),(INDEX(ALLCLASSDATA,MATCH("LightExpert",CLASSFEATUREHEADERS,0),MATCH(($A257 &amp; "Points"),CLASSNAMEHEADERS,0))),(IF("15"=(INDEX(ALLCLASSDATA,MATCH("LightTrained",CLASSFEATUREHEADERS,0),MATCH($A257,CLASSNAMEHEADERS,0))),(INDEX(ALLCLASSDATA,MATCH("LightTrained",CLASSFEATUREHEADERS,0),MATCH(($A257 &amp; "Points"),CLASSNAMEHEADERS,0))),"")))))))))}</f>
        <v>LIGHTL15</v>
      </c>
      <c r="W256" s="223"/>
      <c r="X256" s="223" t="str">
        <f t="array" ref="X256:X257">{"LIGHTL17";((IF("17"=(INDEX(ALLCLASSDATA,MATCH("LightLegendary",CLASSFEATUREHEADERS,0),MATCH($A257,CLASSNAMEHEADERS,0))),(INDEX(ALLCLASSDATA,MATCH("LightLegendary",CLASSFEATUREHEADERS,0),MATCH(($A257 &amp; "Points"),CLASSNAMEHEADERS,0))),(IF("17"=(INDEX(ALLCLASSDATA,MATCH("LightMaster",CLASSFEATUREHEADERS,0),MATCH($A257,CLASSNAMEHEADERS,0))),(INDEX(ALLCLASSDATA,MATCH("LightMaster",CLASSFEATUREHEADERS,0),MATCH(($A257 &amp; "Points"),CLASSNAMEHEADERS,0))),(IF("17"=(INDEX(ALLCLASSDATA,MATCH("LightExpert",CLASSFEATUREHEADERS,0),MATCH($A257,CLASSNAMEHEADERS,0))),(INDEX(ALLCLASSDATA,MATCH("LightExpert",CLASSFEATUREHEADERS,0),MATCH(($A257 &amp; "Points"),CLASSNAMEHEADERS,0))),(IF("17"=(INDEX(ALLCLASSDATA,MATCH("LightTrained",CLASSFEATUREHEADERS,0),MATCH($A257,CLASSNAMEHEADERS,0))),(INDEX(ALLCLASSDATA,MATCH("LightTrained",CLASSFEATUREHEADERS,0),MATCH(($A257 &amp; "Points"),CLASSNAMEHEADERS,0))),"")))))))))}</f>
        <v>LIGHTL17</v>
      </c>
      <c r="Y256" s="223"/>
      <c r="Z256" s="223" t="str">
        <f t="array" ref="Z256:Z257">{"LIGHTL19";((IF("19"=(INDEX(ALLCLASSDATA,MATCH("LightLegendary",CLASSFEATUREHEADERS,0),MATCH($A257,CLASSNAMEHEADERS,0))),(INDEX(ALLCLASSDATA,MATCH("LightLegendary",CLASSFEATUREHEADERS,0),MATCH(($A257 &amp; "Points"),CLASSNAMEHEADERS,0))),(IF("19"=(INDEX(ALLCLASSDATA,MATCH("LightMaster",CLASSFEATUREHEADERS,0),MATCH($A257,CLASSNAMEHEADERS,0))),(INDEX(ALLCLASSDATA,MATCH("LightMaster",CLASSFEATUREHEADERS,0),MATCH(($A257 &amp; "Points"),CLASSNAMEHEADERS,0))),(IF("19"=(INDEX(ALLCLASSDATA,MATCH("LightExpert",CLASSFEATUREHEADERS,0),MATCH($A257,CLASSNAMEHEADERS,0))),(INDEX(ALLCLASSDATA,MATCH("LightExpert",CLASSFEATUREHEADERS,0),MATCH(($A257 &amp; "Points"),CLASSNAMEHEADERS,0))),(IF("19"=(INDEX(ALLCLASSDATA,MATCH("LightTrained",CLASSFEATUREHEADERS,0),MATCH($A257,CLASSNAMEHEADERS,0))),(INDEX(ALLCLASSDATA,MATCH("LightTrained",CLASSFEATUREHEADERS,0),MATCH(($A257 &amp; "Points"),CLASSNAMEHEADERS,0))),"")))))))))}</f>
        <v>LIGHTL19</v>
      </c>
      <c r="AA256" s="223"/>
      <c r="AB256" s="76" t="str">
        <f t="array" ref="AB256:AB257">{"LIGHT TOTAL";(IF(COUNTBLANK(G257:AA257)=17,"L",(IF(COUNTBLANK(G257:AA257)=18,"M",(IF(COUNTBLANK(G257:AA257)=19,"E",(IF(COUNTBLANK(G257:AA257)=20,"T",""))))))))}</f>
        <v>LIGHT TOTAL</v>
      </c>
      <c r="AC256" s="76" t="str">
        <f t="array" ref="AC256:AC257">{"LIGHT TOTAL";(sum(G257:AA257))}</f>
        <v>LIGHT TOTAL</v>
      </c>
    </row>
    <row r="257">
      <c r="A257" s="48" t="s">
        <v>109</v>
      </c>
      <c r="B257" s="48"/>
      <c r="C257" s="48" t="s">
        <v>406</v>
      </c>
      <c r="D257" s="48" t="s">
        <v>1900</v>
      </c>
      <c r="E257" s="48" t="s">
        <v>77</v>
      </c>
      <c r="F257" s="5" t="s">
        <v>435</v>
      </c>
      <c r="G257" s="47" t="s">
        <v>603</v>
      </c>
      <c r="H257" s="5">
        <v>10.0</v>
      </c>
      <c r="I257" s="5"/>
      <c r="J257" s="5" t="s">
        <v>603</v>
      </c>
      <c r="K257" s="5"/>
      <c r="L257" s="5" t="s">
        <v>603</v>
      </c>
      <c r="M257" s="5"/>
      <c r="N257" s="5" t="s">
        <v>603</v>
      </c>
      <c r="O257" s="5"/>
      <c r="P257" s="5" t="s">
        <v>603</v>
      </c>
      <c r="Q257" s="5"/>
      <c r="R257" s="5" t="s">
        <v>436</v>
      </c>
      <c r="S257" s="5"/>
      <c r="T257" s="5" t="s">
        <v>603</v>
      </c>
      <c r="U257" s="5"/>
      <c r="V257" s="5" t="s">
        <v>603</v>
      </c>
      <c r="W257" s="5"/>
      <c r="X257" s="5" t="s">
        <v>437</v>
      </c>
      <c r="Y257" s="5"/>
      <c r="Z257" s="5" t="s">
        <v>603</v>
      </c>
      <c r="AA257" s="5"/>
      <c r="AB257" s="5" t="s">
        <v>437</v>
      </c>
      <c r="AC257" s="47">
        <v>10.0</v>
      </c>
    </row>
    <row r="258" hidden="1">
      <c r="A258" s="222" t="str">
        <f t="array" ref="A258:A259">{"FormulaRow37";(INDEX(CLASSLIST,A185,1))}</f>
        <v>FormulaRow37</v>
      </c>
      <c r="B258" s="77" t="s">
        <v>236</v>
      </c>
      <c r="C258" s="222" t="str">
        <f t="array" ref="C258:C259">{"CLASSTYPE";((INDEX(ALLCLASSDATA,MATCH("ClassType",CLASSFEATUREHEADERS,0),MATCH($A259,CLASSNAMEHEADERS,0))))}</f>
        <v>CLASSTYPE</v>
      </c>
      <c r="D258" s="222" t="str">
        <f t="array" ref="D258:D259">{"DEFENSE";"Defense"}</f>
        <v>DEFENSE</v>
      </c>
      <c r="E258" s="222" t="str">
        <f t="array" ref="E258:E259">{"MEDIUM";"Medium"}</f>
        <v>MEDIUM</v>
      </c>
      <c r="F258" s="223" t="str">
        <f t="array" ref="F258:F259">{"MEDIUMINITIAL";((IF(H259=10,"T",(IF(H259=50,"E","")))))}</f>
        <v>MEDIUMINITIAL</v>
      </c>
      <c r="G258" s="223" t="str">
        <f t="array" ref="G258:G259">{"MEDIUMINITIALPTS";((IF("00"=(INDEX(ALLCLASSDATA,MATCH("MediumLegendary",CLASSFEATUREHEADERS,0),MATCH($A259,CLASSNAMEHEADERS,0))),(INDEX(ALLCLASSDATA,MATCH("MediumLegendary",CLASSFEATUREHEADERS,0),MATCH(($A259 &amp; "Points"),CLASSNAMEHEADERS,0))),(IF("00"=(INDEX(ALLCLASSDATA,MATCH("MediumMaster",CLASSFEATUREHEADERS,0),MATCH($A259,CLASSNAMEHEADERS,0))),(INDEX(ALLCLASSDATA,MATCH("MediumMaster",CLASSFEATUREHEADERS,0),MATCH(($A259 &amp; "Points"),CLASSNAMEHEADERS,0))),(IF("00"=(INDEX(ALLCLASSDATA,MATCH("MediumExpert",CLASSFEATUREHEADERS,0),MATCH($A259,CLASSNAMEHEADERS,0))),(INDEX(ALLCLASSDATA,MATCH("MediumExpert",CLASSFEATUREHEADERS,0),MATCH(($A259 &amp; "Points"),CLASSNAMEHEADERS,0))),(IF("00"=(INDEX(ALLCLASSDATA,MATCH("MediumTrained",CLASSFEATUREHEADERS,0),MATCH($A259,CLASSNAMEHEADERS,0))),(INDEX(ALLCLASSDATA,MATCH("MediumTrained",CLASSFEATUREHEADERS,0),MATCH(($A259 &amp; "Points"),CLASSNAMEHEADERS,0))),"")))))))))}</f>
        <v>MEDIUMINITIALPTS</v>
      </c>
      <c r="H258" s="223" t="str">
        <f t="array" ref="H258:H259">{"MEDIUML01";((IF("01"=(INDEX(ALLCLASSDATA,MATCH("MediumLegendary",CLASSFEATUREHEADERS,0),MATCH($A259,CLASSNAMEHEADERS,0))),(INDEX(ALLCLASSDATA,MATCH("MediumLegendary",CLASSFEATUREHEADERS,0),MATCH(($A259 &amp; "Points"),CLASSNAMEHEADERS,0))),(IF("01"=(INDEX(ALLCLASSDATA,MATCH("MediumMaster",CLASSFEATUREHEADERS,0),MATCH($A259,CLASSNAMEHEADERS,0))),(INDEX(ALLCLASSDATA,MATCH("MediumMaster",CLASSFEATUREHEADERS,0),MATCH(($A259 &amp; "Points"),CLASSNAMEHEADERS,0))),(IF("01"=(INDEX(ALLCLASSDATA,MATCH("MediumExpert",CLASSFEATUREHEADERS,0),MATCH($A259,CLASSNAMEHEADERS,0))),(INDEX(ALLCLASSDATA,MATCH("MediumExpert",CLASSFEATUREHEADERS,0),MATCH(($A259 &amp; "Points"),CLASSNAMEHEADERS,0))),(IF("01"=(INDEX(ALLCLASSDATA,MATCH("MediumTrained",CLASSFEATUREHEADERS,0),MATCH($A259,CLASSNAMEHEADERS,0))),(INDEX(ALLCLASSDATA,MATCH("MediumTrained",CLASSFEATUREHEADERS,0),MATCH(($A259 &amp; "Points"),CLASSNAMEHEADERS,0))),"")))))))))}</f>
        <v>MEDIUML01</v>
      </c>
      <c r="I258" s="223"/>
      <c r="J258" s="223" t="str">
        <f t="array" ref="J258:J259">{"MEDIUML03";((IF("03"=(INDEX(ALLCLASSDATA,MATCH("MediumLegendary",CLASSFEATUREHEADERS,0),MATCH($A259,CLASSNAMEHEADERS,0))),(INDEX(ALLCLASSDATA,MATCH("MediumLegendary",CLASSFEATUREHEADERS,0),MATCH(($A259 &amp; "Points"),CLASSNAMEHEADERS,0))),(IF("03"=(INDEX(ALLCLASSDATA,MATCH("MediumMaster",CLASSFEATUREHEADERS,0),MATCH($A259,CLASSNAMEHEADERS,0))),(INDEX(ALLCLASSDATA,MATCH("MediumMaster",CLASSFEATUREHEADERS,0),MATCH(($A259 &amp; "Points"),CLASSNAMEHEADERS,0))),(IF("03"=(INDEX(ALLCLASSDATA,MATCH("MediumExpert",CLASSFEATUREHEADERS,0),MATCH($A259,CLASSNAMEHEADERS,0))),(INDEX(ALLCLASSDATA,MATCH("MediumExpert",CLASSFEATUREHEADERS,0),MATCH(($A259 &amp; "Points"),CLASSNAMEHEADERS,0))),(IF("03"=(INDEX(ALLCLASSDATA,MATCH("MediumTrained",CLASSFEATUREHEADERS,0),MATCH($A259,CLASSNAMEHEADERS,0))),(INDEX(ALLCLASSDATA,MATCH("MediumTrained",CLASSFEATUREHEADERS,0),MATCH(($A259 &amp; "Points"),CLASSNAMEHEADERS,0))),"")))))))))}</f>
        <v>MEDIUML03</v>
      </c>
      <c r="K258" s="223"/>
      <c r="L258" s="223" t="str">
        <f t="array" ref="L258:L259">{"MEDIUML05";((IF("05"=(INDEX(ALLCLASSDATA,MATCH("MediumLegendary",CLASSFEATUREHEADERS,0),MATCH($A259,CLASSNAMEHEADERS,0))),(INDEX(ALLCLASSDATA,MATCH("MediumLegendary",CLASSFEATUREHEADERS,0),MATCH(($A259 &amp; "Points"),CLASSNAMEHEADERS,0))),(IF("05"=(INDEX(ALLCLASSDATA,MATCH("MediumMaster",CLASSFEATUREHEADERS,0),MATCH($A259,CLASSNAMEHEADERS,0))),(INDEX(ALLCLASSDATA,MATCH("MediumMaster",CLASSFEATUREHEADERS,0),MATCH(($A259 &amp; "Points"),CLASSNAMEHEADERS,0))),(IF("05"=(INDEX(ALLCLASSDATA,MATCH("MediumExpert",CLASSFEATUREHEADERS,0),MATCH($A259,CLASSNAMEHEADERS,0))),(INDEX(ALLCLASSDATA,MATCH("MediumExpert",CLASSFEATUREHEADERS,0),MATCH(($A259 &amp; "Points"),CLASSNAMEHEADERS,0))),(IF("05"=(INDEX(ALLCLASSDATA,MATCH("MediumTrained",CLASSFEATUREHEADERS,0),MATCH($A259,CLASSNAMEHEADERS,0))),(INDEX(ALLCLASSDATA,MATCH("MediumTrained",CLASSFEATUREHEADERS,0),MATCH(($A259 &amp; "Points"),CLASSNAMEHEADERS,0))),"")))))))))}</f>
        <v>MEDIUML05</v>
      </c>
      <c r="M258" s="223"/>
      <c r="N258" s="223" t="str">
        <f t="array" ref="N258:N259">{"MEDIUML07";((IF("07"=(INDEX(ALLCLASSDATA,MATCH("MediumLegendary",CLASSFEATUREHEADERS,0),MATCH($A259,CLASSNAMEHEADERS,0))),(INDEX(ALLCLASSDATA,MATCH("MediumLegendary",CLASSFEATUREHEADERS,0),MATCH(($A259 &amp; "Points"),CLASSNAMEHEADERS,0))),(IF("07"=(INDEX(ALLCLASSDATA,MATCH("MediumMaster",CLASSFEATUREHEADERS,0),MATCH($A259,CLASSNAMEHEADERS,0))),(INDEX(ALLCLASSDATA,MATCH("MediumMaster",CLASSFEATUREHEADERS,0),MATCH(($A259 &amp; "Points"),CLASSNAMEHEADERS,0))),(IF("07"=(INDEX(ALLCLASSDATA,MATCH("MediumExpert",CLASSFEATUREHEADERS,0),MATCH($A259,CLASSNAMEHEADERS,0))),(INDEX(ALLCLASSDATA,MATCH("MediumExpert",CLASSFEATUREHEADERS,0),MATCH(($A259 &amp; "Points"),CLASSNAMEHEADERS,0))),(IF("07"=(INDEX(ALLCLASSDATA,MATCH("MediumTrained",CLASSFEATUREHEADERS,0),MATCH($A259,CLASSNAMEHEADERS,0))),(INDEX(ALLCLASSDATA,MATCH("MediumTrained",CLASSFEATUREHEADERS,0),MATCH(($A259 &amp; "Points"),CLASSNAMEHEADERS,0))),"")))))))))}</f>
        <v>MEDIUML07</v>
      </c>
      <c r="O258" s="223"/>
      <c r="P258" s="223" t="str">
        <f t="array" ref="P258:P259">{"MEDIUML09";((IF("09"=(INDEX(ALLCLASSDATA,MATCH("MediumLegendary",CLASSFEATUREHEADERS,0),MATCH($A259,CLASSNAMEHEADERS,0))),(INDEX(ALLCLASSDATA,MATCH("MediumLegendary",CLASSFEATUREHEADERS,0),MATCH(($A259 &amp; "Points"),CLASSNAMEHEADERS,0))),(IF("09"=(INDEX(ALLCLASSDATA,MATCH("MediumMaster",CLASSFEATUREHEADERS,0),MATCH($A259,CLASSNAMEHEADERS,0))),(INDEX(ALLCLASSDATA,MATCH("MediumMaster",CLASSFEATUREHEADERS,0),MATCH(($A259 &amp; "Points"),CLASSNAMEHEADERS,0))),(IF("09"=(INDEX(ALLCLASSDATA,MATCH("MediumExpert",CLASSFEATUREHEADERS,0),MATCH($A259,CLASSNAMEHEADERS,0))),(INDEX(ALLCLASSDATA,MATCH("MediumExpert",CLASSFEATUREHEADERS,0),MATCH(($A259 &amp; "Points"),CLASSNAMEHEADERS,0))),(IF("09"=(INDEX(ALLCLASSDATA,MATCH("MediumTrained",CLASSFEATUREHEADERS,0),MATCH($A259,CLASSNAMEHEADERS,0))),(INDEX(ALLCLASSDATA,MATCH("MediumTrained",CLASSFEATUREHEADERS,0),MATCH(($A259 &amp; "Points"),CLASSNAMEHEADERS,0))),"")))))))))}</f>
        <v>MEDIUML09</v>
      </c>
      <c r="Q258" s="223"/>
      <c r="R258" s="223" t="str">
        <f t="array" ref="R258:R259">{"MEDIUML11";((IF("11"=(INDEX(ALLCLASSDATA,MATCH("MediumLegendary",CLASSFEATUREHEADERS,0),MATCH($A259,CLASSNAMEHEADERS,0))),(INDEX(ALLCLASSDATA,MATCH("MediumLegendary",CLASSFEATUREHEADERS,0),MATCH(($A259 &amp; "Points"),CLASSNAMEHEADERS,0))),(IF("11"=(INDEX(ALLCLASSDATA,MATCH("MediumMaster",CLASSFEATUREHEADERS,0),MATCH($A259,CLASSNAMEHEADERS,0))),(INDEX(ALLCLASSDATA,MATCH("MediumMaster",CLASSFEATUREHEADERS,0),MATCH(($A259 &amp; "Points"),CLASSNAMEHEADERS,0))),(IF("11"=(INDEX(ALLCLASSDATA,MATCH("MediumExpert",CLASSFEATUREHEADERS,0),MATCH($A259,CLASSNAMEHEADERS,0))),(INDEX(ALLCLASSDATA,MATCH("MediumExpert",CLASSFEATUREHEADERS,0),MATCH(($A259 &amp; "Points"),CLASSNAMEHEADERS,0))),(IF("11"=(INDEX(ALLCLASSDATA,MATCH("MediumTrained",CLASSFEATUREHEADERS,0),MATCH($A259,CLASSNAMEHEADERS,0))),(INDEX(ALLCLASSDATA,MATCH("MediumTrained",CLASSFEATUREHEADERS,0),MATCH(($A259 &amp; "Points"),CLASSNAMEHEADERS,0))),"")))))))))}</f>
        <v>MEDIUML11</v>
      </c>
      <c r="S258" s="223"/>
      <c r="T258" s="223" t="str">
        <f t="array" ref="T258:T259">{"MEDIUML13";((IF("13"=(INDEX(ALLCLASSDATA,MATCH("MediumLegendary",CLASSFEATUREHEADERS,0),MATCH($A259,CLASSNAMEHEADERS,0))),(INDEX(ALLCLASSDATA,MATCH("MediumLegendary",CLASSFEATUREHEADERS,0),MATCH(($A259 &amp; "Points"),CLASSNAMEHEADERS,0))),(IF("13"=(INDEX(ALLCLASSDATA,MATCH("MediumMaster",CLASSFEATUREHEADERS,0),MATCH($A259,CLASSNAMEHEADERS,0))),(INDEX(ALLCLASSDATA,MATCH("MediumMaster",CLASSFEATUREHEADERS,0),MATCH(($A259 &amp; "Points"),CLASSNAMEHEADERS,0))),(IF("13"=(INDEX(ALLCLASSDATA,MATCH("MediumExpert",CLASSFEATUREHEADERS,0),MATCH($A259,CLASSNAMEHEADERS,0))),(INDEX(ALLCLASSDATA,MATCH("MediumExpert",CLASSFEATUREHEADERS,0),MATCH(($A259 &amp; "Points"),CLASSNAMEHEADERS,0))),(IF("13"=(INDEX(ALLCLASSDATA,MATCH("MediumTrained",CLASSFEATUREHEADERS,0),MATCH($A259,CLASSNAMEHEADERS,0))),(INDEX(ALLCLASSDATA,MATCH("MediumTrained",CLASSFEATUREHEADERS,0),MATCH(($A259 &amp; "Points"),CLASSNAMEHEADERS,0))),"")))))))))}</f>
        <v>MEDIUML13</v>
      </c>
      <c r="U258" s="223"/>
      <c r="V258" s="223" t="str">
        <f t="array" ref="V258:V259">{"MEDIUML15";((IF("15"=(INDEX(ALLCLASSDATA,MATCH("MediumLegendary",CLASSFEATUREHEADERS,0),MATCH($A259,CLASSNAMEHEADERS,0))),(INDEX(ALLCLASSDATA,MATCH("MediumLegendary",CLASSFEATUREHEADERS,0),MATCH(($A259 &amp; "Points"),CLASSNAMEHEADERS,0))),(IF("15"=(INDEX(ALLCLASSDATA,MATCH("MediumMaster",CLASSFEATUREHEADERS,0),MATCH($A259,CLASSNAMEHEADERS,0))),(INDEX(ALLCLASSDATA,MATCH("MediumMaster",CLASSFEATUREHEADERS,0),MATCH(($A259 &amp; "Points"),CLASSNAMEHEADERS,0))),(IF("15"=(INDEX(ALLCLASSDATA,MATCH("MediumExpert",CLASSFEATUREHEADERS,0),MATCH($A259,CLASSNAMEHEADERS,0))),(INDEX(ALLCLASSDATA,MATCH("MediumExpert",CLASSFEATUREHEADERS,0),MATCH(($A259 &amp; "Points"),CLASSNAMEHEADERS,0))),(IF("15"=(INDEX(ALLCLASSDATA,MATCH("MediumTrained",CLASSFEATUREHEADERS,0),MATCH($A259,CLASSNAMEHEADERS,0))),(INDEX(ALLCLASSDATA,MATCH("MediumTrained",CLASSFEATUREHEADERS,0),MATCH(($A259 &amp; "Points"),CLASSNAMEHEADERS,0))),"")))))))))}</f>
        <v>MEDIUML15</v>
      </c>
      <c r="W258" s="223"/>
      <c r="X258" s="223" t="str">
        <f t="array" ref="X258:X259">{"MEDIUML17";((IF("17"=(INDEX(ALLCLASSDATA,MATCH("MediumLegendary",CLASSFEATUREHEADERS,0),MATCH($A259,CLASSNAMEHEADERS,0))),(INDEX(ALLCLASSDATA,MATCH("MediumLegendary",CLASSFEATUREHEADERS,0),MATCH(($A259 &amp; "Points"),CLASSNAMEHEADERS,0))),(IF("17"=(INDEX(ALLCLASSDATA,MATCH("MediumMaster",CLASSFEATUREHEADERS,0),MATCH($A259,CLASSNAMEHEADERS,0))),(INDEX(ALLCLASSDATA,MATCH("MediumMaster",CLASSFEATUREHEADERS,0),MATCH(($A259 &amp; "Points"),CLASSNAMEHEADERS,0))),(IF("17"=(INDEX(ALLCLASSDATA,MATCH("MediumExpert",CLASSFEATUREHEADERS,0),MATCH($A259,CLASSNAMEHEADERS,0))),(INDEX(ALLCLASSDATA,MATCH("MediumExpert",CLASSFEATUREHEADERS,0),MATCH(($A259 &amp; "Points"),CLASSNAMEHEADERS,0))),(IF("17"=(INDEX(ALLCLASSDATA,MATCH("MediumTrained",CLASSFEATUREHEADERS,0),MATCH($A259,CLASSNAMEHEADERS,0))),(INDEX(ALLCLASSDATA,MATCH("MediumTrained",CLASSFEATUREHEADERS,0),MATCH(($A259 &amp; "Points"),CLASSNAMEHEADERS,0))),"")))))))))}</f>
        <v>MEDIUML17</v>
      </c>
      <c r="Y258" s="223"/>
      <c r="Z258" s="223" t="str">
        <f t="array" ref="Z258:Z259">{"MEDIUML19";((IF("19"=(INDEX(ALLCLASSDATA,MATCH("MediumLegendary",CLASSFEATUREHEADERS,0),MATCH($A259,CLASSNAMEHEADERS,0))),(INDEX(ALLCLASSDATA,MATCH("MediumLegendary",CLASSFEATUREHEADERS,0),MATCH(($A259 &amp; "Points"),CLASSNAMEHEADERS,0))),(IF("19"=(INDEX(ALLCLASSDATA,MATCH("MediumMaster",CLASSFEATUREHEADERS,0),MATCH($A259,CLASSNAMEHEADERS,0))),(INDEX(ALLCLASSDATA,MATCH("MediumMaster",CLASSFEATUREHEADERS,0),MATCH(($A259 &amp; "Points"),CLASSNAMEHEADERS,0))),(IF("19"=(INDEX(ALLCLASSDATA,MATCH("MediumExpert",CLASSFEATUREHEADERS,0),MATCH($A259,CLASSNAMEHEADERS,0))),(INDEX(ALLCLASSDATA,MATCH("MediumExpert",CLASSFEATUREHEADERS,0),MATCH(($A259 &amp; "Points"),CLASSNAMEHEADERS,0))),(IF("19"=(INDEX(ALLCLASSDATA,MATCH("MediumTrained",CLASSFEATUREHEADERS,0),MATCH($A259,CLASSNAMEHEADERS,0))),(INDEX(ALLCLASSDATA,MATCH("MediumTrained",CLASSFEATUREHEADERS,0),MATCH(($A259 &amp; "Points"),CLASSNAMEHEADERS,0))),"")))))))))}</f>
        <v>MEDIUML19</v>
      </c>
      <c r="AA258" s="223"/>
      <c r="AB258" s="76" t="str">
        <f t="array" ref="AB258:AB259">{"MEDIUM TOTAL";(IF(COUNTBLANK(G259:AA259)=17,"L",(IF(COUNTBLANK(G259:AA259)=18,"M",(IF(COUNTBLANK(G259:AA259)=19,"E",(IF(COUNTBLANK(G259:AA259)=20,"T",""))))))))}</f>
        <v>MEDIUM TOTAL</v>
      </c>
      <c r="AC258" s="76" t="str">
        <f t="array" ref="AC258:AC259">{"MEDIUM TOTAL";(sum(G259:AA259))}</f>
        <v>MEDIUM TOTAL</v>
      </c>
    </row>
    <row r="259">
      <c r="A259" s="48" t="s">
        <v>109</v>
      </c>
      <c r="B259" s="48"/>
      <c r="C259" s="48" t="s">
        <v>406</v>
      </c>
      <c r="D259" s="48" t="s">
        <v>1900</v>
      </c>
      <c r="E259" s="48" t="s">
        <v>76</v>
      </c>
      <c r="F259" s="5" t="s">
        <v>435</v>
      </c>
      <c r="G259" s="47" t="s">
        <v>603</v>
      </c>
      <c r="H259" s="5">
        <v>10.0</v>
      </c>
      <c r="I259" s="5"/>
      <c r="J259" s="5" t="s">
        <v>603</v>
      </c>
      <c r="K259" s="5"/>
      <c r="L259" s="5" t="s">
        <v>603</v>
      </c>
      <c r="M259" s="5"/>
      <c r="N259" s="5" t="s">
        <v>603</v>
      </c>
      <c r="O259" s="5"/>
      <c r="P259" s="5" t="s">
        <v>603</v>
      </c>
      <c r="Q259" s="5"/>
      <c r="R259" s="5" t="s">
        <v>436</v>
      </c>
      <c r="S259" s="5"/>
      <c r="T259" s="5" t="s">
        <v>603</v>
      </c>
      <c r="U259" s="5"/>
      <c r="V259" s="5" t="s">
        <v>603</v>
      </c>
      <c r="W259" s="5"/>
      <c r="X259" s="5" t="s">
        <v>437</v>
      </c>
      <c r="Y259" s="5"/>
      <c r="Z259" s="5" t="s">
        <v>603</v>
      </c>
      <c r="AA259" s="5"/>
      <c r="AB259" s="5" t="s">
        <v>437</v>
      </c>
      <c r="AC259" s="47">
        <v>10.0</v>
      </c>
    </row>
    <row r="260" hidden="1">
      <c r="A260" s="222" t="str">
        <f t="array" ref="A260:A261">{"FormulaRow38";(INDEX(CLASSLIST,A185,1))}</f>
        <v>FormulaRow38</v>
      </c>
      <c r="B260" s="77" t="s">
        <v>236</v>
      </c>
      <c r="C260" s="222" t="str">
        <f t="array" ref="C260:C261">{"CLASSTYPE";((INDEX(ALLCLASSDATA,MATCH("ClassType",CLASSFEATUREHEADERS,0),MATCH($A261,CLASSNAMEHEADERS,0))))}</f>
        <v>CLASSTYPE</v>
      </c>
      <c r="D260" s="222" t="str">
        <f t="array" ref="D260:D261">{"DEFENSE";"Defense"}</f>
        <v>DEFENSE</v>
      </c>
      <c r="E260" s="222" t="str">
        <f t="array" ref="E260:E261">{"HEAVY";"Heavy"}</f>
        <v>HEAVY</v>
      </c>
      <c r="F260" s="223" t="str">
        <f t="array" ref="F260:F261">{"HEAVYINITIAL";((IF(H261=10,"T",(IF(H261=50,"E","")))))}</f>
        <v>HEAVYINITIAL</v>
      </c>
      <c r="G260" s="223" t="str">
        <f t="array" ref="G260:G261">{"HEAVYINITIALPTS";((IF("00"=(INDEX(ALLCLASSDATA,MATCH("HeavyLegendary",CLASSFEATUREHEADERS,0),MATCH($A261,CLASSNAMEHEADERS,0))),(INDEX(ALLCLASSDATA,MATCH("HeavyLegendary",CLASSFEATUREHEADERS,0),MATCH(($A261 &amp; "Points"),CLASSNAMEHEADERS,0))),(IF("00"=(INDEX(ALLCLASSDATA,MATCH("HeavyMaster",CLASSFEATUREHEADERS,0),MATCH($A261,CLASSNAMEHEADERS,0))),(INDEX(ALLCLASSDATA,MATCH("HeavyMaster",CLASSFEATUREHEADERS,0),MATCH(($A261 &amp; "Points"),CLASSNAMEHEADERS,0))),(IF("00"=(INDEX(ALLCLASSDATA,MATCH("HeavyExpert",CLASSFEATUREHEADERS,0),MATCH($A261,CLASSNAMEHEADERS,0))),(INDEX(ALLCLASSDATA,MATCH("HeavyExpert",CLASSFEATUREHEADERS,0),MATCH(($A261 &amp; "Points"),CLASSNAMEHEADERS,0))),(IF("00"=(INDEX(ALLCLASSDATA,MATCH("HeavyTrained",CLASSFEATUREHEADERS,0),MATCH($A261,CLASSNAMEHEADERS,0))),(INDEX(ALLCLASSDATA,MATCH("HeavyTrained",CLASSFEATUREHEADERS,0),MATCH(($A261 &amp; "Points"),CLASSNAMEHEADERS,0))),"")))))))))}</f>
        <v>HEAVYINITIALPTS</v>
      </c>
      <c r="H260" s="223" t="str">
        <f t="array" ref="H260:H261">{"HEAVYL01";((IF("01"=(INDEX(ALLCLASSDATA,MATCH("HeavyLegendary",CLASSFEATUREHEADERS,0),MATCH($A261,CLASSNAMEHEADERS,0))),(INDEX(ALLCLASSDATA,MATCH("HeavyLegendary",CLASSFEATUREHEADERS,0),MATCH(($A261 &amp; "Points"),CLASSNAMEHEADERS,0))),(IF("01"=(INDEX(ALLCLASSDATA,MATCH("HeavyMaster",CLASSFEATUREHEADERS,0),MATCH($A261,CLASSNAMEHEADERS,0))),(INDEX(ALLCLASSDATA,MATCH("HeavyMaster",CLASSFEATUREHEADERS,0),MATCH(($A261 &amp; "Points"),CLASSNAMEHEADERS,0))),(IF("01"=(INDEX(ALLCLASSDATA,MATCH("HeavyExpert",CLASSFEATUREHEADERS,0),MATCH($A261,CLASSNAMEHEADERS,0))),(INDEX(ALLCLASSDATA,MATCH("HeavyExpert",CLASSFEATUREHEADERS,0),MATCH(($A261 &amp; "Points"),CLASSNAMEHEADERS,0))),(IF("01"=(INDEX(ALLCLASSDATA,MATCH("HeavyTrained",CLASSFEATUREHEADERS,0),MATCH($A261,CLASSNAMEHEADERS,0))),(INDEX(ALLCLASSDATA,MATCH("HeavyTrained",CLASSFEATUREHEADERS,0),MATCH(($A261 &amp; "Points"),CLASSNAMEHEADERS,0))),"")))))))))}</f>
        <v>HEAVYL01</v>
      </c>
      <c r="I260" s="223"/>
      <c r="J260" s="223" t="str">
        <f t="array" ref="J260:J261">{"HEAVYL03";((IF("03"=(INDEX(ALLCLASSDATA,MATCH("HeavyLegendary",CLASSFEATUREHEADERS,0),MATCH($A261,CLASSNAMEHEADERS,0))),(INDEX(ALLCLASSDATA,MATCH("HeavyLegendary",CLASSFEATUREHEADERS,0),MATCH(($A261 &amp; "Points"),CLASSNAMEHEADERS,0))),(IF("03"=(INDEX(ALLCLASSDATA,MATCH("HeavyMaster",CLASSFEATUREHEADERS,0),MATCH($A261,CLASSNAMEHEADERS,0))),(INDEX(ALLCLASSDATA,MATCH("HeavyMaster",CLASSFEATUREHEADERS,0),MATCH(($A261 &amp; "Points"),CLASSNAMEHEADERS,0))),(IF("03"=(INDEX(ALLCLASSDATA,MATCH("HeavyExpert",CLASSFEATUREHEADERS,0),MATCH($A261,CLASSNAMEHEADERS,0))),(INDEX(ALLCLASSDATA,MATCH("HeavyExpert",CLASSFEATUREHEADERS,0),MATCH(($A261 &amp; "Points"),CLASSNAMEHEADERS,0))),(IF("03"=(INDEX(ALLCLASSDATA,MATCH("HeavyTrained",CLASSFEATUREHEADERS,0),MATCH($A261,CLASSNAMEHEADERS,0))),(INDEX(ALLCLASSDATA,MATCH("HeavyTrained",CLASSFEATUREHEADERS,0),MATCH(($A261 &amp; "Points"),CLASSNAMEHEADERS,0))),"")))))))))}</f>
        <v>HEAVYL03</v>
      </c>
      <c r="K260" s="223"/>
      <c r="L260" s="223" t="str">
        <f t="array" ref="L260:L261">{"HEAVYL05";((IF("05"=(INDEX(ALLCLASSDATA,MATCH("HeavyLegendary",CLASSFEATUREHEADERS,0),MATCH($A261,CLASSNAMEHEADERS,0))),(INDEX(ALLCLASSDATA,MATCH("HeavyLegendary",CLASSFEATUREHEADERS,0),MATCH(($A261 &amp; "Points"),CLASSNAMEHEADERS,0))),(IF("05"=(INDEX(ALLCLASSDATA,MATCH("HeavyMaster",CLASSFEATUREHEADERS,0),MATCH($A261,CLASSNAMEHEADERS,0))),(INDEX(ALLCLASSDATA,MATCH("HeavyMaster",CLASSFEATUREHEADERS,0),MATCH(($A261 &amp; "Points"),CLASSNAMEHEADERS,0))),(IF("05"=(INDEX(ALLCLASSDATA,MATCH("HeavyExpert",CLASSFEATUREHEADERS,0),MATCH($A261,CLASSNAMEHEADERS,0))),(INDEX(ALLCLASSDATA,MATCH("HeavyExpert",CLASSFEATUREHEADERS,0),MATCH(($A261 &amp; "Points"),CLASSNAMEHEADERS,0))),(IF("05"=(INDEX(ALLCLASSDATA,MATCH("HeavyTrained",CLASSFEATUREHEADERS,0),MATCH($A261,CLASSNAMEHEADERS,0))),(INDEX(ALLCLASSDATA,MATCH("HeavyTrained",CLASSFEATUREHEADERS,0),MATCH(($A261 &amp; "Points"),CLASSNAMEHEADERS,0))),"")))))))))}</f>
        <v>HEAVYL05</v>
      </c>
      <c r="M260" s="223"/>
      <c r="N260" s="223" t="str">
        <f t="array" ref="N260:N261">{"HEAVYL07";((IF("07"=(INDEX(ALLCLASSDATA,MATCH("HeavyLegendary",CLASSFEATUREHEADERS,0),MATCH($A261,CLASSNAMEHEADERS,0))),(INDEX(ALLCLASSDATA,MATCH("HeavyLegendary",CLASSFEATUREHEADERS,0),MATCH(($A261 &amp; "Points"),CLASSNAMEHEADERS,0))),(IF("07"=(INDEX(ALLCLASSDATA,MATCH("HeavyMaster",CLASSFEATUREHEADERS,0),MATCH($A261,CLASSNAMEHEADERS,0))),(INDEX(ALLCLASSDATA,MATCH("HeavyMaster",CLASSFEATUREHEADERS,0),MATCH(($A261 &amp; "Points"),CLASSNAMEHEADERS,0))),(IF("07"=(INDEX(ALLCLASSDATA,MATCH("HeavyExpert",CLASSFEATUREHEADERS,0),MATCH($A261,CLASSNAMEHEADERS,0))),(INDEX(ALLCLASSDATA,MATCH("HeavyExpert",CLASSFEATUREHEADERS,0),MATCH(($A261 &amp; "Points"),CLASSNAMEHEADERS,0))),(IF("07"=(INDEX(ALLCLASSDATA,MATCH("HeavyTrained",CLASSFEATUREHEADERS,0),MATCH($A261,CLASSNAMEHEADERS,0))),(INDEX(ALLCLASSDATA,MATCH("HeavyTrained",CLASSFEATUREHEADERS,0),MATCH(($A261 &amp; "Points"),CLASSNAMEHEADERS,0))),"")))))))))}</f>
        <v>HEAVYL07</v>
      </c>
      <c r="O260" s="223"/>
      <c r="P260" s="223" t="str">
        <f t="array" ref="P260:P261">{"HEAVYL09";((IF("09"=(INDEX(ALLCLASSDATA,MATCH("HeavyLegendary",CLASSFEATUREHEADERS,0),MATCH($A261,CLASSNAMEHEADERS,0))),(INDEX(ALLCLASSDATA,MATCH("HeavyLegendary",CLASSFEATUREHEADERS,0),MATCH(($A261 &amp; "Points"),CLASSNAMEHEADERS,0))),(IF("09"=(INDEX(ALLCLASSDATA,MATCH("HeavyMaster",CLASSFEATUREHEADERS,0),MATCH($A261,CLASSNAMEHEADERS,0))),(INDEX(ALLCLASSDATA,MATCH("HeavyMaster",CLASSFEATUREHEADERS,0),MATCH(($A261 &amp; "Points"),CLASSNAMEHEADERS,0))),(IF("09"=(INDEX(ALLCLASSDATA,MATCH("HeavyExpert",CLASSFEATUREHEADERS,0),MATCH($A261,CLASSNAMEHEADERS,0))),(INDEX(ALLCLASSDATA,MATCH("HeavyExpert",CLASSFEATUREHEADERS,0),MATCH(($A261 &amp; "Points"),CLASSNAMEHEADERS,0))),(IF("09"=(INDEX(ALLCLASSDATA,MATCH("HeavyTrained",CLASSFEATUREHEADERS,0),MATCH($A261,CLASSNAMEHEADERS,0))),(INDEX(ALLCLASSDATA,MATCH("HeavyTrained",CLASSFEATUREHEADERS,0),MATCH(($A261 &amp; "Points"),CLASSNAMEHEADERS,0))),"")))))))))}</f>
        <v>HEAVYL09</v>
      </c>
      <c r="Q260" s="223"/>
      <c r="R260" s="223" t="str">
        <f t="array" ref="R260:R261">{"HEAVYL11";((IF("11"=(INDEX(ALLCLASSDATA,MATCH("HeavyLegendary",CLASSFEATUREHEADERS,0),MATCH($A261,CLASSNAMEHEADERS,0))),(INDEX(ALLCLASSDATA,MATCH("HeavyLegendary",CLASSFEATUREHEADERS,0),MATCH(($A261 &amp; "Points"),CLASSNAMEHEADERS,0))),(IF("11"=(INDEX(ALLCLASSDATA,MATCH("HeavyMaster",CLASSFEATUREHEADERS,0),MATCH($A261,CLASSNAMEHEADERS,0))),(INDEX(ALLCLASSDATA,MATCH("HeavyMaster",CLASSFEATUREHEADERS,0),MATCH(($A261 &amp; "Points"),CLASSNAMEHEADERS,0))),(IF("11"=(INDEX(ALLCLASSDATA,MATCH("HeavyExpert",CLASSFEATUREHEADERS,0),MATCH($A261,CLASSNAMEHEADERS,0))),(INDEX(ALLCLASSDATA,MATCH("HeavyExpert",CLASSFEATUREHEADERS,0),MATCH(($A261 &amp; "Points"),CLASSNAMEHEADERS,0))),(IF("11"=(INDEX(ALLCLASSDATA,MATCH("HeavyTrained",CLASSFEATUREHEADERS,0),MATCH($A261,CLASSNAMEHEADERS,0))),(INDEX(ALLCLASSDATA,MATCH("HeavyTrained",CLASSFEATUREHEADERS,0),MATCH(($A261 &amp; "Points"),CLASSNAMEHEADERS,0))),"")))))))))}</f>
        <v>HEAVYL11</v>
      </c>
      <c r="S260" s="223"/>
      <c r="T260" s="223" t="str">
        <f t="array" ref="T260:T261">{"HEAVYL13";((IF("13"=(INDEX(ALLCLASSDATA,MATCH("HeavyLegendary",CLASSFEATUREHEADERS,0),MATCH($A261,CLASSNAMEHEADERS,0))),(INDEX(ALLCLASSDATA,MATCH("HeavyLegendary",CLASSFEATUREHEADERS,0),MATCH(($A261 &amp; "Points"),CLASSNAMEHEADERS,0))),(IF("13"=(INDEX(ALLCLASSDATA,MATCH("HeavyMaster",CLASSFEATUREHEADERS,0),MATCH($A261,CLASSNAMEHEADERS,0))),(INDEX(ALLCLASSDATA,MATCH("HeavyMaster",CLASSFEATUREHEADERS,0),MATCH(($A261 &amp; "Points"),CLASSNAMEHEADERS,0))),(IF("13"=(INDEX(ALLCLASSDATA,MATCH("HeavyExpert",CLASSFEATUREHEADERS,0),MATCH($A261,CLASSNAMEHEADERS,0))),(INDEX(ALLCLASSDATA,MATCH("HeavyExpert",CLASSFEATUREHEADERS,0),MATCH(($A261 &amp; "Points"),CLASSNAMEHEADERS,0))),(IF("13"=(INDEX(ALLCLASSDATA,MATCH("HeavyTrained",CLASSFEATUREHEADERS,0),MATCH($A261,CLASSNAMEHEADERS,0))),(INDEX(ALLCLASSDATA,MATCH("HeavyTrained",CLASSFEATUREHEADERS,0),MATCH(($A261 &amp; "Points"),CLASSNAMEHEADERS,0))),"")))))))))}</f>
        <v>HEAVYL13</v>
      </c>
      <c r="U260" s="223"/>
      <c r="V260" s="223" t="str">
        <f t="array" ref="V260:V261">{"HEAVYL15";((IF("15"=(INDEX(ALLCLASSDATA,MATCH("HeavyLegendary",CLASSFEATUREHEADERS,0),MATCH($A261,CLASSNAMEHEADERS,0))),(INDEX(ALLCLASSDATA,MATCH("HeavyLegendary",CLASSFEATUREHEADERS,0),MATCH(($A261 &amp; "Points"),CLASSNAMEHEADERS,0))),(IF("15"=(INDEX(ALLCLASSDATA,MATCH("HeavyMaster",CLASSFEATUREHEADERS,0),MATCH($A261,CLASSNAMEHEADERS,0))),(INDEX(ALLCLASSDATA,MATCH("HeavyMaster",CLASSFEATUREHEADERS,0),MATCH(($A261 &amp; "Points"),CLASSNAMEHEADERS,0))),(IF("15"=(INDEX(ALLCLASSDATA,MATCH("HeavyExpert",CLASSFEATUREHEADERS,0),MATCH($A261,CLASSNAMEHEADERS,0))),(INDEX(ALLCLASSDATA,MATCH("HeavyExpert",CLASSFEATUREHEADERS,0),MATCH(($A261 &amp; "Points"),CLASSNAMEHEADERS,0))),(IF("15"=(INDEX(ALLCLASSDATA,MATCH("HeavyTrained",CLASSFEATUREHEADERS,0),MATCH($A261,CLASSNAMEHEADERS,0))),(INDEX(ALLCLASSDATA,MATCH("HeavyTrained",CLASSFEATUREHEADERS,0),MATCH(($A261 &amp; "Points"),CLASSNAMEHEADERS,0))),"")))))))))}</f>
        <v>HEAVYL15</v>
      </c>
      <c r="W260" s="223"/>
      <c r="X260" s="223" t="str">
        <f t="array" ref="X260:X261">{"HEAVYL17";((IF("17"=(INDEX(ALLCLASSDATA,MATCH("HeavyLegendary",CLASSFEATUREHEADERS,0),MATCH($A261,CLASSNAMEHEADERS,0))),(INDEX(ALLCLASSDATA,MATCH("HeavyLegendary",CLASSFEATUREHEADERS,0),MATCH(($A261 &amp; "Points"),CLASSNAMEHEADERS,0))),(IF("17"=(INDEX(ALLCLASSDATA,MATCH("HeavyMaster",CLASSFEATUREHEADERS,0),MATCH($A261,CLASSNAMEHEADERS,0))),(INDEX(ALLCLASSDATA,MATCH("HeavyMaster",CLASSFEATUREHEADERS,0),MATCH(($A261 &amp; "Points"),CLASSNAMEHEADERS,0))),(IF("17"=(INDEX(ALLCLASSDATA,MATCH("HeavyExpert",CLASSFEATUREHEADERS,0),MATCH($A261,CLASSNAMEHEADERS,0))),(INDEX(ALLCLASSDATA,MATCH("HeavyExpert",CLASSFEATUREHEADERS,0),MATCH(($A261 &amp; "Points"),CLASSNAMEHEADERS,0))),(IF("17"=(INDEX(ALLCLASSDATA,MATCH("HeavyTrained",CLASSFEATUREHEADERS,0),MATCH($A261,CLASSNAMEHEADERS,0))),(INDEX(ALLCLASSDATA,MATCH("HeavyTrained",CLASSFEATUREHEADERS,0),MATCH(($A261 &amp; "Points"),CLASSNAMEHEADERS,0))),"")))))))))}</f>
        <v>HEAVYL17</v>
      </c>
      <c r="Y260" s="223"/>
      <c r="Z260" s="223" t="str">
        <f t="array" ref="Z260:Z261">{"HEAVYL19";((IF("19"=(INDEX(ALLCLASSDATA,MATCH("HeavyLegendary",CLASSFEATUREHEADERS,0),MATCH($A261,CLASSNAMEHEADERS,0))),(INDEX(ALLCLASSDATA,MATCH("HeavyLegendary",CLASSFEATUREHEADERS,0),MATCH(($A261 &amp; "Points"),CLASSNAMEHEADERS,0))),(IF("19"=(INDEX(ALLCLASSDATA,MATCH("HeavyMaster",CLASSFEATUREHEADERS,0),MATCH($A261,CLASSNAMEHEADERS,0))),(INDEX(ALLCLASSDATA,MATCH("HeavyMaster",CLASSFEATUREHEADERS,0),MATCH(($A261 &amp; "Points"),CLASSNAMEHEADERS,0))),(IF("19"=(INDEX(ALLCLASSDATA,MATCH("HeavyExpert",CLASSFEATUREHEADERS,0),MATCH($A261,CLASSNAMEHEADERS,0))),(INDEX(ALLCLASSDATA,MATCH("HeavyExpert",CLASSFEATUREHEADERS,0),MATCH(($A261 &amp; "Points"),CLASSNAMEHEADERS,0))),(IF("19"=(INDEX(ALLCLASSDATA,MATCH("HeavyTrained",CLASSFEATUREHEADERS,0),MATCH($A261,CLASSNAMEHEADERS,0))),(INDEX(ALLCLASSDATA,MATCH("HeavyTrained",CLASSFEATUREHEADERS,0),MATCH(($A261 &amp; "Points"),CLASSNAMEHEADERS,0))),"")))))))))}</f>
        <v>HEAVYL19</v>
      </c>
      <c r="AA260" s="223"/>
      <c r="AB260" s="76" t="str">
        <f t="array" ref="AB260:AB261">{"HEAVY TOTAL";(IF(COUNTBLANK(G261:AA261)=17,"L",(IF(COUNTBLANK(G261:AA261)=18,"M",(IF(COUNTBLANK(G261:AA261)=19,"E",(IF(COUNTBLANK(G261:AA261)=20,"T",""))))))))}</f>
        <v>HEAVY TOTAL</v>
      </c>
      <c r="AC260" s="76" t="str">
        <f t="array" ref="AC260:AC261">{"HEAVY TOTAL";(sum(G261:AA261))}</f>
        <v>HEAVY TOTAL</v>
      </c>
    </row>
    <row r="261">
      <c r="A261" s="48" t="s">
        <v>109</v>
      </c>
      <c r="B261" s="48"/>
      <c r="C261" s="48" t="s">
        <v>406</v>
      </c>
      <c r="D261" s="97" t="s">
        <v>1900</v>
      </c>
      <c r="E261" s="97" t="s">
        <v>533</v>
      </c>
      <c r="F261" s="98" t="s">
        <v>435</v>
      </c>
      <c r="G261" s="132" t="s">
        <v>603</v>
      </c>
      <c r="H261" s="98">
        <v>10.0</v>
      </c>
      <c r="I261" s="98"/>
      <c r="J261" s="98" t="s">
        <v>603</v>
      </c>
      <c r="K261" s="98"/>
      <c r="L261" s="98" t="s">
        <v>603</v>
      </c>
      <c r="M261" s="98"/>
      <c r="N261" s="98" t="s">
        <v>603</v>
      </c>
      <c r="O261" s="98"/>
      <c r="P261" s="98" t="s">
        <v>603</v>
      </c>
      <c r="Q261" s="98"/>
      <c r="R261" s="98">
        <v>50.0</v>
      </c>
      <c r="S261" s="98"/>
      <c r="T261" s="98" t="s">
        <v>603</v>
      </c>
      <c r="U261" s="98"/>
      <c r="V261" s="98" t="s">
        <v>603</v>
      </c>
      <c r="W261" s="98"/>
      <c r="X261" s="98">
        <v>110.0</v>
      </c>
      <c r="Y261" s="98"/>
      <c r="Z261" s="98" t="s">
        <v>603</v>
      </c>
      <c r="AA261" s="98"/>
      <c r="AB261" s="5" t="s">
        <v>437</v>
      </c>
      <c r="AC261" s="47">
        <v>170.0</v>
      </c>
    </row>
    <row r="262" hidden="1">
      <c r="A262" s="222" t="str">
        <f t="array" ref="A262:A263">{"FormulaRow39";(INDEX(CLASSLIST,A185,1))}</f>
        <v>FormulaRow39</v>
      </c>
      <c r="B262" s="77" t="s">
        <v>236</v>
      </c>
      <c r="C262" s="222" t="str">
        <f t="array" ref="C262:C263">{"CLASSTYPE";((INDEX(ALLCLASSDATA,MATCH("ClassType",CLASSFEATUREHEADERS,0),MATCH($A263,CLASSNAMEHEADERS,0))))}</f>
        <v>CLASSTYPE</v>
      </c>
      <c r="D262" s="222" t="str">
        <f t="array" ref="D262:D263">{"SPELL/ALCHEMY";((IF(INDEX(ALLCLASSDATA,MATCH("CasterType",CLASSFEATUREHEADERS,0),MATCH(($A263),CLASSNAMEHEADERS,0))="","",(IF(INDEX(ALLCLASSDATA,MATCH("CasterType",CLASSFEATUREHEADERS,0),MATCH(($A263),CLASSNAMEHEADERS,0))="Alchemy","Alchemy","Spells")))))}</f>
        <v>SPELL/ALCHEMY</v>
      </c>
      <c r="E262" s="222" t="str">
        <f t="array" ref="E262:E263">{"SPELLLIST";(IF(D263="Spells",((INDEX(ALLCLASSDATA,MATCH("CasterType",CLASSFEATUREHEADERS,0),MATCH(($A263),CLASSNAMEHEADERS,0))) &amp; ":" &amp; (INDEX(ALLCLASSDATA,MATCH("SpellList",CLASSFEATUREHEADERS,0),MATCH(($A263),CLASSNAMEHEADERS,0)))),""))}</f>
        <v>SPELLLIST</v>
      </c>
      <c r="F262" s="223" t="str">
        <f t="array" ref="F262:F263">{"SPL";(IF(D263="Spells","SPL:",""))}</f>
        <v>SPL</v>
      </c>
      <c r="G262" s="223" t="str">
        <f t="array" ref="G262:G263">{"CANTRIP/ALC";(IF(D263="Spells","C",(IF(D263="Alchemy","ALC:",""))))}</f>
        <v>CANTRIP/ALC</v>
      </c>
      <c r="H262" s="223" t="str">
        <f t="array" ref="H262:H263">{"SPELL/ALC L01";(IF(D263="Alchemy","L01",(IF(D263="Spells","S01",""))))}</f>
        <v>SPELL/ALC L01</v>
      </c>
      <c r="I262" s="223" t="str">
        <f t="array" ref="I262:I263">{"SPELL/ALC L02";(IF(D263="Alchemy","L02",(IF(D263="Spells","S01",""))))}</f>
        <v>SPELL/ALC L02</v>
      </c>
      <c r="J262" s="223" t="str">
        <f t="array" ref="J262:J263">{"SPELL/ALC L03";(IF(D263="Alchemy","L03",(IF(D263="Spells","S02",""))))}</f>
        <v>SPELL/ALC L03</v>
      </c>
      <c r="K262" s="223" t="str">
        <f t="array" ref="K262:K263">{"SPELL/ALC L04";(IF(D263="Alchemy","L04",(IF(D263="Spells","S02",""))))}</f>
        <v>SPELL/ALC L04</v>
      </c>
      <c r="L262" s="223" t="str">
        <f t="array" ref="L262:L263">{"SPELL/ALC L05";(IF(D263="Alchemy","L05",(IF(D263="Spells","S03",""))))}</f>
        <v>SPELL/ALC L05</v>
      </c>
      <c r="M262" s="223" t="str">
        <f t="array" ref="M262:M263">{"SPELL/ALC L06";(IF(D263="Alchemy","L06",(IF(D263="Spells","S03",""))))}</f>
        <v>SPELL/ALC L06</v>
      </c>
      <c r="N262" s="223" t="str">
        <f t="array" ref="N262:N263">{"SPELL/ALC L07";(IF(D263="Alchemy","L07",(IF(D263="Spells","S04",""))))}</f>
        <v>SPELL/ALC L07</v>
      </c>
      <c r="O262" s="223" t="str">
        <f t="array" ref="O262:O263">{"SPELL/ALC L08";(IF(D263="Alchemy","L08",(IF(D263="Spells","S04",""))))}</f>
        <v>SPELL/ALC L08</v>
      </c>
      <c r="P262" s="223" t="str">
        <f t="array" ref="P262:P263">{"SPELL/ALC L09";(IF(D263="Alchemy","L09",(IF(D263="Spells","S05",""))))}</f>
        <v>SPELL/ALC L09</v>
      </c>
      <c r="Q262" s="223" t="str">
        <f t="array" ref="Q262:Q263">{"SPELL/ALC L10";(IF(D263="Alchemy","L10",(IF(D263="Spells","S05",""))))}</f>
        <v>SPELL/ALC L10</v>
      </c>
      <c r="R262" s="223" t="str">
        <f t="array" ref="R262:R263">{"SPELL/ALC L11";(IF(D263="Alchemy","L11",(IF(D263="Spells","S06",""))))}</f>
        <v>SPELL/ALC L11</v>
      </c>
      <c r="S262" s="223" t="str">
        <f t="array" ref="S262:S263">{"SPELL/ALC L12";(IF(D263="Alchemy","L12",(IF(D263="Spells","S06",""))))}</f>
        <v>SPELL/ALC L12</v>
      </c>
      <c r="T262" s="223" t="str">
        <f t="array" ref="T262:T263">{"SPELL/ALC L13";(IF(D263="Alchemy","L13",(IF(D263="Spells","S07",""))))}</f>
        <v>SPELL/ALC L13</v>
      </c>
      <c r="U262" s="223" t="str">
        <f t="array" ref="U262:U263">{"SPELL/ALC L14";(IF(D263="Alchemy","L14",(IF(D263="Spells","S07",""))))}</f>
        <v>SPELL/ALC L14</v>
      </c>
      <c r="V262" s="223" t="str">
        <f t="array" ref="V262:V263">{"SPELL/ALC L15";(IF(D263="Alchemy","L15",(IF(D263="Spells","S08",""))))}</f>
        <v>SPELL/ALC L15</v>
      </c>
      <c r="W262" s="223" t="str">
        <f t="array" ref="W262:W263">{"SPELL/ALC L16";(IF(D263="Alchemy","L16",(IF(D263="Spells","S08",""))))}</f>
        <v>SPELL/ALC L16</v>
      </c>
      <c r="X262" s="223" t="str">
        <f t="array" ref="X262:X263">{"SPELL/ALC L17";(IF(D263="Alchemy","L17",(IF(D263="Spells","S09",""))))}</f>
        <v>SPELL/ALC L17</v>
      </c>
      <c r="Y262" s="223" t="str">
        <f t="array" ref="Y262:Y263">{"SPELL/ALC L18";(IF(D263="Alchemy","L18",(IF(D263="Spells","S09",""))))}</f>
        <v>SPELL/ALC L18</v>
      </c>
      <c r="Z262" s="223" t="str">
        <f t="array" ref="Z262:Z263">{"SPELL/ALC L19";(IF(D263="Alchemy","L19",(IF(D263="Spells","S10",""))))}</f>
        <v>SPELL/ALC L19</v>
      </c>
      <c r="AA262" s="223" t="str">
        <f t="array" ref="AA262:AA263">{"SPELL/ALC L20";(IF(D263="Alchemy","L20",(IF(D263="Spells","S10",""))))}</f>
        <v>SPELL/ALC L20</v>
      </c>
      <c r="AB262" s="76"/>
      <c r="AC262" s="76"/>
    </row>
    <row r="263">
      <c r="A263" s="48" t="s">
        <v>109</v>
      </c>
      <c r="B263" s="48"/>
      <c r="C263" s="48" t="s">
        <v>406</v>
      </c>
      <c r="D263" s="48" t="s">
        <v>603</v>
      </c>
      <c r="E263" s="48" t="s">
        <v>603</v>
      </c>
      <c r="F263" s="278" t="s">
        <v>603</v>
      </c>
      <c r="G263" s="114" t="s">
        <v>603</v>
      </c>
      <c r="H263" s="279" t="s">
        <v>603</v>
      </c>
      <c r="I263" s="28" t="s">
        <v>603</v>
      </c>
      <c r="J263" s="28" t="s">
        <v>603</v>
      </c>
      <c r="K263" s="28" t="s">
        <v>603</v>
      </c>
      <c r="L263" s="28" t="s">
        <v>603</v>
      </c>
      <c r="M263" s="28" t="s">
        <v>603</v>
      </c>
      <c r="N263" s="28" t="s">
        <v>603</v>
      </c>
      <c r="O263" s="28" t="s">
        <v>603</v>
      </c>
      <c r="P263" s="28" t="s">
        <v>603</v>
      </c>
      <c r="Q263" s="28" t="s">
        <v>603</v>
      </c>
      <c r="R263" s="28" t="s">
        <v>603</v>
      </c>
      <c r="S263" s="28" t="s">
        <v>603</v>
      </c>
      <c r="T263" s="28" t="s">
        <v>603</v>
      </c>
      <c r="U263" s="28" t="s">
        <v>603</v>
      </c>
      <c r="V263" s="28" t="s">
        <v>603</v>
      </c>
      <c r="W263" s="28" t="s">
        <v>603</v>
      </c>
      <c r="X263" s="28" t="s">
        <v>603</v>
      </c>
      <c r="Y263" s="28" t="s">
        <v>603</v>
      </c>
      <c r="Z263" s="28" t="s">
        <v>603</v>
      </c>
      <c r="AA263" s="28" t="s">
        <v>603</v>
      </c>
      <c r="AB263" s="5"/>
      <c r="AC263" s="47"/>
    </row>
    <row r="264" hidden="1">
      <c r="A264" s="222" t="str">
        <f t="array" ref="A264:A265">{"FormulaRow40";(INDEX(CLASSLIST,A185,1))}</f>
        <v>FormulaRow40</v>
      </c>
      <c r="B264" s="77" t="s">
        <v>236</v>
      </c>
      <c r="C264" s="222" t="str">
        <f t="array" ref="C264:C265">{"CLASSTYPE";((INDEX(ALLCLASSDATA,MATCH("ClassType",CLASSFEATUREHEADERS,0),MATCH($A265,CLASSNAMEHEADERS,0))))}</f>
        <v>CLASSTYPE</v>
      </c>
      <c r="D264" s="222" t="str">
        <f t="array" ref="D264:D265">{"SPELL/ALCHEMY";((IF(INDEX(ALLCLASSDATA,MATCH("CasterType",CLASSFEATUREHEADERS,0),MATCH(($A265),CLASSNAMEHEADERS,0))="","",(IF(INDEX(ALLCLASSDATA,MATCH("CasterType",CLASSFEATUREHEADERS,0),MATCH(($A265),CLASSNAMEHEADERS,0))="Alchemy","","Spells")))))}</f>
        <v>SPELL/ALCHEMY</v>
      </c>
      <c r="E264" s="222" t="str">
        <f t="array" ref="E264:E265">{"SPELLLIST";(IF(D265="Spells",((INDEX(ALLCLASSDATA,MATCH("CasterType",CLASSFEATUREHEADERS,0),MATCH(($A265),CLASSNAMEHEADERS,0))) &amp; ":" &amp; (INDEX(ALLCLASSDATA,MATCH("SpellList",CLASSFEATUREHEADERS,0),MATCH(($A265),CLASSNAMEHEADERS,0)))),""))}</f>
        <v>SPELLLIST</v>
      </c>
      <c r="F264" s="222" t="str">
        <f t="array" ref="F264:F265">{"SLOTCOST";(IF(D265="Spells","SlotCost:",""))}</f>
        <v>SLOTCOST</v>
      </c>
      <c r="G264" s="222" t="str">
        <f t="array" ref="G264:G265">{"SLOTCOST CANTRIP";(INDEX(ALLCLASSDATA,MATCH("CantripSlots-L00",CLASSFEATUREHEADERS,0),MATCH(($A265 &amp; "Points"),CLASSNAMEHEADERS,0)))}</f>
        <v>SLOTCOST CANTRIP</v>
      </c>
      <c r="H264" s="222" t="str">
        <f t="array" ref="H264:H265">{"SLOTCOST L01";(INDEX(ALLCLASSDATA,MATCH("SPL01-L01",CLASSFEATUREHEADERS,0),MATCH(($A265 &amp; "Points"),CLASSNAMEHEADERS,0)))}</f>
        <v>SLOTCOST L01</v>
      </c>
      <c r="I264" s="222" t="str">
        <f t="array" ref="I264:I265">{"SLOTCOST L02";(INDEX(ALLCLASSDATA,MATCH("SPL01-L02",CLASSFEATUREHEADERS,0),MATCH(($A265 &amp; "Points"),CLASSNAMEHEADERS,0)))}</f>
        <v>SLOTCOST L02</v>
      </c>
      <c r="J264" s="222" t="str">
        <f t="array" ref="J264:J265">{"SLOTCOST L03";(INDEX(ALLCLASSDATA,MATCH("SPL02-L03",CLASSFEATUREHEADERS,0),MATCH(($A265 &amp; "Points"),CLASSNAMEHEADERS,0)))}</f>
        <v>SLOTCOST L03</v>
      </c>
      <c r="K264" s="222" t="str">
        <f t="array" ref="K264:K265">{"SLOTCOST L04";(INDEX(ALLCLASSDATA,MATCH("SPL02-L04",CLASSFEATUREHEADERS,0),MATCH(($A265 &amp; "Points"),CLASSNAMEHEADERS,0)))}</f>
        <v>SLOTCOST L04</v>
      </c>
      <c r="L264" s="222" t="str">
        <f t="array" ref="L264:L265">{"SLOTCOST L05";(INDEX(ALLCLASSDATA,MATCH("SPL03-L05",CLASSFEATUREHEADERS,0),MATCH(($A265 &amp; "Points"),CLASSNAMEHEADERS,0)))}</f>
        <v>SLOTCOST L05</v>
      </c>
      <c r="M264" s="222" t="str">
        <f t="array" ref="M264:M265">{"SLOTCOST L06";(INDEX(ALLCLASSDATA,MATCH("SPL03-L06",CLASSFEATUREHEADERS,0),MATCH(($A265 &amp; "Points"),CLASSNAMEHEADERS,0)))}</f>
        <v>SLOTCOST L06</v>
      </c>
      <c r="N264" s="222" t="str">
        <f t="array" ref="N264:N265">{"SLOTCOST L07";(INDEX(ALLCLASSDATA,MATCH("SPL04-L07",CLASSFEATUREHEADERS,0),MATCH(($A265 &amp; "Points"),CLASSNAMEHEADERS,0)))}</f>
        <v>SLOTCOST L07</v>
      </c>
      <c r="O264" s="222" t="str">
        <f t="array" ref="O264:O265">{"SLOTCOST L08";(INDEX(ALLCLASSDATA,MATCH("SPL04-L08",CLASSFEATUREHEADERS,0),MATCH(($A265 &amp; "Points"),CLASSNAMEHEADERS,0)))}</f>
        <v>SLOTCOST L08</v>
      </c>
      <c r="P264" s="222" t="str">
        <f t="array" ref="P264:P265">{"SLOTCOST L09";(INDEX(ALLCLASSDATA,MATCH("SPL05-L09",CLASSFEATUREHEADERS,0),MATCH(($A265 &amp; "Points"),CLASSNAMEHEADERS,0)))}</f>
        <v>SLOTCOST L09</v>
      </c>
      <c r="Q264" s="222" t="str">
        <f t="array" ref="Q264:Q265">{"SLOTCOST L10";(INDEX(ALLCLASSDATA,MATCH("SPL05-L10",CLASSFEATUREHEADERS,0),MATCH(($A265 &amp; "Points"),CLASSNAMEHEADERS,0)))}</f>
        <v>SLOTCOST L10</v>
      </c>
      <c r="R264" s="222" t="str">
        <f t="array" ref="R264:R265">{"SLOTCOST L11";(INDEX(ALLCLASSDATA,MATCH("SPL06-L11",CLASSFEATUREHEADERS,0),MATCH(($A265 &amp; "Points"),CLASSNAMEHEADERS,0)))}</f>
        <v>SLOTCOST L11</v>
      </c>
      <c r="S264" s="222" t="str">
        <f t="array" ref="S264:S265">{"SLOTCOST L12";(INDEX(ALLCLASSDATA,MATCH("SPL06-L12",CLASSFEATUREHEADERS,0),MATCH(($A265 &amp; "Points"),CLASSNAMEHEADERS,0)))}</f>
        <v>SLOTCOST L12</v>
      </c>
      <c r="T264" s="222" t="str">
        <f t="array" ref="T264:T265">{"SLOTCOST L13";(INDEX(ALLCLASSDATA,MATCH("SPL07-L13",CLASSFEATUREHEADERS,0),MATCH(($A265 &amp; "Points"),CLASSNAMEHEADERS,0)))}</f>
        <v>SLOTCOST L13</v>
      </c>
      <c r="U264" s="222" t="str">
        <f t="array" ref="U264:U265">{"SLOTCOST L14";(INDEX(ALLCLASSDATA,MATCH("SPL07-L14",CLASSFEATUREHEADERS,0),MATCH(($A265 &amp; "Points"),CLASSNAMEHEADERS,0)))}</f>
        <v>SLOTCOST L14</v>
      </c>
      <c r="V264" s="222" t="str">
        <f t="array" ref="V264:V265">{"SLOTCOST L15";(INDEX(ALLCLASSDATA,MATCH("SPL08-L15",CLASSFEATUREHEADERS,0),MATCH(($A265 &amp; "Points"),CLASSNAMEHEADERS,0)))}</f>
        <v>SLOTCOST L15</v>
      </c>
      <c r="W264" s="222" t="str">
        <f t="array" ref="W264:W265">{"SLOTCOST L16";(INDEX(ALLCLASSDATA,MATCH("SPL08-L16",CLASSFEATUREHEADERS,0),MATCH(($A265 &amp; "Points"),CLASSNAMEHEADERS,0)))}</f>
        <v>SLOTCOST L16</v>
      </c>
      <c r="X264" s="222" t="str">
        <f t="array" ref="X264:X265">{"SLOTCOST L17";(INDEX(ALLCLASSDATA,MATCH("SPL09-L17",CLASSFEATUREHEADERS,0),MATCH(($A265 &amp; "Points"),CLASSNAMEHEADERS,0)))}</f>
        <v>SLOTCOST L17</v>
      </c>
      <c r="Y264" s="222" t="str">
        <f t="array" ref="Y264:Y265">{"SLOTCOST L18";(INDEX(ALLCLASSDATA,MATCH("SPL09-L18",CLASSFEATUREHEADERS,0),MATCH(($A265 &amp; "Points"),CLASSNAMEHEADERS,0)))}</f>
        <v>SLOTCOST L18</v>
      </c>
      <c r="Z264" s="222" t="str">
        <f t="array" ref="Z264:Z265">{"SLOTCOST L19";(INDEX(ALLCLASSDATA,MATCH("SPL10-L19",CLASSFEATUREHEADERS,0),MATCH(($A265 &amp; "Points"),CLASSNAMEHEADERS,0)))}</f>
        <v>SLOTCOST L19</v>
      </c>
      <c r="AA264" s="222" t="str">
        <f t="array" ref="AA264:AA265">{"SLOTCOST L20";(INDEX(ALLCLASSDATA,MATCH("SPL10-L20",CLASSFEATUREHEADERS,0),MATCH(($A265 &amp; "Points"),CLASSNAMEHEADERS,0)))}</f>
        <v>SLOTCOST L20</v>
      </c>
      <c r="AB264" s="76"/>
      <c r="AC264" s="76" t="str">
        <f t="array" ref="AC264:AC265">{"SLOT TOTAL";(sum(G265:AA265))}</f>
        <v>SLOT TOTAL</v>
      </c>
    </row>
    <row r="265">
      <c r="A265" s="48" t="s">
        <v>109</v>
      </c>
      <c r="B265" s="48"/>
      <c r="C265" s="48" t="s">
        <v>406</v>
      </c>
      <c r="D265" s="48" t="s">
        <v>603</v>
      </c>
      <c r="E265" s="48" t="s">
        <v>603</v>
      </c>
      <c r="F265" s="278" t="s">
        <v>603</v>
      </c>
      <c r="G265" s="47" t="s">
        <v>603</v>
      </c>
      <c r="H265" s="5" t="s">
        <v>603</v>
      </c>
      <c r="I265" s="5" t="s">
        <v>603</v>
      </c>
      <c r="J265" s="5" t="s">
        <v>603</v>
      </c>
      <c r="K265" s="5" t="s">
        <v>603</v>
      </c>
      <c r="L265" s="5" t="s">
        <v>603</v>
      </c>
      <c r="M265" s="48" t="s">
        <v>603</v>
      </c>
      <c r="N265" s="5" t="s">
        <v>603</v>
      </c>
      <c r="O265" s="5" t="s">
        <v>603</v>
      </c>
      <c r="P265" s="5" t="s">
        <v>603</v>
      </c>
      <c r="Q265" s="5" t="s">
        <v>603</v>
      </c>
      <c r="R265" s="5" t="s">
        <v>603</v>
      </c>
      <c r="S265" s="5" t="s">
        <v>603</v>
      </c>
      <c r="T265" s="5" t="s">
        <v>603</v>
      </c>
      <c r="U265" s="5" t="s">
        <v>603</v>
      </c>
      <c r="V265" s="5" t="s">
        <v>603</v>
      </c>
      <c r="W265" s="5" t="s">
        <v>603</v>
      </c>
      <c r="X265" s="5" t="s">
        <v>603</v>
      </c>
      <c r="Y265" s="5" t="s">
        <v>603</v>
      </c>
      <c r="Z265" s="5" t="s">
        <v>603</v>
      </c>
      <c r="AA265" s="5" t="s">
        <v>603</v>
      </c>
      <c r="AB265" s="5"/>
      <c r="AC265" s="47">
        <v>0.0</v>
      </c>
    </row>
    <row r="266" hidden="1">
      <c r="A266" s="222" t="str">
        <f t="array" ref="A266:A267">{"FormulaRow41";(INDEX(CLASSLIST,A185,1))}</f>
        <v>FormulaRow41</v>
      </c>
      <c r="B266" s="77" t="s">
        <v>236</v>
      </c>
      <c r="C266" s="222" t="str">
        <f t="array" ref="C266:C267">{"CLASSTYPE";((INDEX(ALLCLASSDATA,MATCH("ClassType",CLASSFEATUREHEADERS,0),MATCH($A267,CLASSNAMEHEADERS,0))))}</f>
        <v>CLASSTYPE</v>
      </c>
      <c r="D266" s="222" t="str">
        <f t="array" ref="D266:D267">{"SPELL/ALCHEMY";((IF(INDEX(ALLCLASSDATA,MATCH("CasterType",CLASSFEATUREHEADERS,0),MATCH(($A267),CLASSNAMEHEADERS,0))="","",(IF(INDEX(ALLCLASSDATA,MATCH("CasterType",CLASSFEATUREHEADERS,0),MATCH(($A267),CLASSNAMEHEADERS,0))="Alchemy","Alchemy","Spells")))))}</f>
        <v>SPELL/ALCHEMY</v>
      </c>
      <c r="E266" s="222" t="str">
        <f t="array" ref="E266:E267">{"SPELLLIST";(IF(D267="Spells",((INDEX(ALLCLASSDATA,MATCH("CasterType",CLASSFEATUREHEADERS,0),MATCH(($A267),CLASSNAMEHEADERS,0))) &amp; ":" &amp; (INDEX(ALLCLASSDATA,MATCH("SpellList",CLASSFEATUREHEADERS,0),MATCH(($A267),CLASSNAMEHEADERS,0)))),""))}</f>
        <v>SPELLLIST</v>
      </c>
      <c r="F266" s="223" t="str">
        <f t="array" ref="F266:F267">{"LEARNEDCOST";(IF(D267="","","LearnCost:"))}</f>
        <v>LEARNEDCOST</v>
      </c>
      <c r="G266" s="223" t="str">
        <f t="array" ref="G266:G267">{"LEARNED CANTRIPS";(INDEX(ALLCLASSDATA,MATCH("CantripsLearned-L00",CLASSFEATUREHEADERS,0),MATCH(($A267 &amp; "Points"),CLASSNAMEHEADERS,0)))}</f>
        <v>LEARNED CANTRIPS</v>
      </c>
      <c r="H266" s="223" t="str">
        <f t="array" ref="H266:H267">{"LEARNED L01";(INDEX(ALLCLASSDATA,MATCH("Learned-L01",CLASSFEATUREHEADERS,0),MATCH(($A267 &amp; "Points"),CLASSNAMEHEADERS,0)))}</f>
        <v>LEARNED L01</v>
      </c>
      <c r="I266" s="223" t="str">
        <f t="array" ref="I266:I267">{"LEARNED L02";(INDEX(ALLCLASSDATA,MATCH("Learned-L02",CLASSFEATUREHEADERS,0),MATCH(($A267 &amp; "Points"),CLASSNAMEHEADERS,0)))}</f>
        <v>LEARNED L02</v>
      </c>
      <c r="J266" s="223" t="str">
        <f t="array" ref="J266:J267">{"LEARNED L03";(INDEX(ALLCLASSDATA,MATCH("Learned-L03",CLASSFEATUREHEADERS,0),MATCH(($A267 &amp; "Points"),CLASSNAMEHEADERS,0)))}</f>
        <v>LEARNED L03</v>
      </c>
      <c r="K266" s="223" t="str">
        <f t="array" ref="K266:K267">{"LEARNED L04";(INDEX(ALLCLASSDATA,MATCH("Learned-L04",CLASSFEATUREHEADERS,0),MATCH(($A267 &amp; "Points"),CLASSNAMEHEADERS,0)))}</f>
        <v>LEARNED L04</v>
      </c>
      <c r="L266" s="223" t="str">
        <f t="array" ref="L266:L267">{"LEARNED L05";(INDEX(ALLCLASSDATA,MATCH("Learned-L05",CLASSFEATUREHEADERS,0),MATCH(($A267 &amp; "Points"),CLASSNAMEHEADERS,0)))}</f>
        <v>LEARNED L05</v>
      </c>
      <c r="M266" s="223" t="str">
        <f t="array" ref="M266:M267">{"LEARNED L06";(INDEX(ALLCLASSDATA,MATCH("Learned-L06",CLASSFEATUREHEADERS,0),MATCH(($A267 &amp; "Points"),CLASSNAMEHEADERS,0)))}</f>
        <v>LEARNED L06</v>
      </c>
      <c r="N266" s="223" t="str">
        <f t="array" ref="N266:N267">{"LEARNED L07";(INDEX(ALLCLASSDATA,MATCH("Learned-L07",CLASSFEATUREHEADERS,0),MATCH(($A267 &amp; "Points"),CLASSNAMEHEADERS,0)))}</f>
        <v>LEARNED L07</v>
      </c>
      <c r="O266" s="223" t="str">
        <f t="array" ref="O266:O267">{"LEARNED L08";(INDEX(ALLCLASSDATA,MATCH("Learned-L08",CLASSFEATUREHEADERS,0),MATCH(($A267 &amp; "Points"),CLASSNAMEHEADERS,0)))}</f>
        <v>LEARNED L08</v>
      </c>
      <c r="P266" s="223" t="str">
        <f t="array" ref="P266:P267">{"LEARNED L09";(INDEX(ALLCLASSDATA,MATCH("Learned-L09",CLASSFEATUREHEADERS,0),MATCH(($A267 &amp; "Points"),CLASSNAMEHEADERS,0)))}</f>
        <v>LEARNED L09</v>
      </c>
      <c r="Q266" s="223" t="str">
        <f t="array" ref="Q266:Q267">{"LEARNED L10";(INDEX(ALLCLASSDATA,MATCH("Learned-L10",CLASSFEATUREHEADERS,0),MATCH(($A267 &amp; "Points"),CLASSNAMEHEADERS,0)))}</f>
        <v>LEARNED L10</v>
      </c>
      <c r="R266" s="223" t="str">
        <f t="array" ref="R266:R267">{"LEARNED L11";(INDEX(ALLCLASSDATA,MATCH("Learned-L11",CLASSFEATUREHEADERS,0),MATCH(($A267 &amp; "Points"),CLASSNAMEHEADERS,0)))}</f>
        <v>LEARNED L11</v>
      </c>
      <c r="S266" s="223" t="str">
        <f t="array" ref="S266:S267">{"LEARNED L12";(INDEX(ALLCLASSDATA,MATCH("Learned-L12",CLASSFEATUREHEADERS,0),MATCH(($A267 &amp; "Points"),CLASSNAMEHEADERS,0)))}</f>
        <v>LEARNED L12</v>
      </c>
      <c r="T266" s="223" t="str">
        <f t="array" ref="T266:T267">{"LEARNED L13";(INDEX(ALLCLASSDATA,MATCH("Learned-L13",CLASSFEATUREHEADERS,0),MATCH(($A267 &amp; "Points"),CLASSNAMEHEADERS,0)))}</f>
        <v>LEARNED L13</v>
      </c>
      <c r="U266" s="223" t="str">
        <f t="array" ref="U266:U267">{"LEARNED L14";(INDEX(ALLCLASSDATA,MATCH("Learned-L14",CLASSFEATUREHEADERS,0),MATCH(($A267 &amp; "Points"),CLASSNAMEHEADERS,0)))}</f>
        <v>LEARNED L14</v>
      </c>
      <c r="V266" s="223" t="str">
        <f t="array" ref="V266:V267">{"LEARNED L15";(INDEX(ALLCLASSDATA,MATCH("Learned-L15",CLASSFEATUREHEADERS,0),MATCH(($A267 &amp; "Points"),CLASSNAMEHEADERS,0)))}</f>
        <v>LEARNED L15</v>
      </c>
      <c r="W266" s="223" t="str">
        <f t="array" ref="W266:W267">{"LEARNED L16";(INDEX(ALLCLASSDATA,MATCH("Learned-L16",CLASSFEATUREHEADERS,0),MATCH(($A267 &amp; "Points"),CLASSNAMEHEADERS,0)))}</f>
        <v>LEARNED L16</v>
      </c>
      <c r="X266" s="223" t="str">
        <f t="array" ref="X266:X267">{"LEARNED L17";(INDEX(ALLCLASSDATA,MATCH("Learned-L17",CLASSFEATUREHEADERS,0),MATCH(($A267 &amp; "Points"),CLASSNAMEHEADERS,0)))}</f>
        <v>LEARNED L17</v>
      </c>
      <c r="Y266" s="223" t="str">
        <f t="array" ref="Y266:Y267">{"LEARNED L18";(INDEX(ALLCLASSDATA,MATCH("Learned-L18",CLASSFEATUREHEADERS,0),MATCH(($A267 &amp; "Points"),CLASSNAMEHEADERS,0)))}</f>
        <v>LEARNED L18</v>
      </c>
      <c r="Z266" s="223" t="str">
        <f t="array" ref="Z266:Z267">{"LEARNED L19";(INDEX(ALLCLASSDATA,MATCH("Learned-L19",CLASSFEATUREHEADERS,0),MATCH(($A267 &amp; "Points"),CLASSNAMEHEADERS,0)))}</f>
        <v>LEARNED L19</v>
      </c>
      <c r="AA266" s="223" t="str">
        <f t="array" ref="AA266:AA267">{"LEARNED L20";(INDEX(ALLCLASSDATA,MATCH("Learned-L20",CLASSFEATUREHEADERS,0),MATCH(($A267 &amp; "Points"),CLASSNAMEHEADERS,0)))}</f>
        <v>LEARNED L20</v>
      </c>
      <c r="AB266" s="76"/>
      <c r="AC266" s="76" t="str">
        <f t="array" ref="AC266:AC267">{"LEARNED TOTAL";(sum(G267:AA267))}</f>
        <v>LEARNED TOTAL</v>
      </c>
    </row>
    <row r="267">
      <c r="A267" s="48" t="s">
        <v>109</v>
      </c>
      <c r="B267" s="48"/>
      <c r="C267" s="48" t="s">
        <v>406</v>
      </c>
      <c r="D267" s="48" t="s">
        <v>603</v>
      </c>
      <c r="E267" s="48" t="s">
        <v>603</v>
      </c>
      <c r="F267" s="278" t="s">
        <v>603</v>
      </c>
      <c r="G267" s="47" t="s">
        <v>603</v>
      </c>
      <c r="H267" s="5" t="s">
        <v>603</v>
      </c>
      <c r="I267" s="5" t="s">
        <v>603</v>
      </c>
      <c r="J267" s="5" t="s">
        <v>603</v>
      </c>
      <c r="K267" s="5" t="s">
        <v>603</v>
      </c>
      <c r="L267" s="5" t="s">
        <v>603</v>
      </c>
      <c r="M267" s="5" t="s">
        <v>603</v>
      </c>
      <c r="N267" s="48" t="s">
        <v>603</v>
      </c>
      <c r="O267" s="5" t="s">
        <v>603</v>
      </c>
      <c r="P267" s="5" t="s">
        <v>603</v>
      </c>
      <c r="Q267" s="5" t="s">
        <v>603</v>
      </c>
      <c r="R267" s="5" t="s">
        <v>603</v>
      </c>
      <c r="S267" s="5" t="s">
        <v>603</v>
      </c>
      <c r="T267" s="5" t="s">
        <v>603</v>
      </c>
      <c r="U267" s="5" t="s">
        <v>603</v>
      </c>
      <c r="V267" s="5" t="s">
        <v>603</v>
      </c>
      <c r="W267" s="5" t="s">
        <v>603</v>
      </c>
      <c r="X267" s="5" t="s">
        <v>603</v>
      </c>
      <c r="Y267" s="5" t="s">
        <v>603</v>
      </c>
      <c r="Z267" s="5" t="s">
        <v>603</v>
      </c>
      <c r="AA267" s="5" t="s">
        <v>603</v>
      </c>
      <c r="AB267" s="5"/>
      <c r="AC267" s="47">
        <v>0.0</v>
      </c>
    </row>
    <row r="268" hidden="1">
      <c r="A268" s="222" t="str">
        <f t="array" ref="A268:A269">{"FormulaRow42";(INDEX(CLASSLIST,A185,1))}</f>
        <v>FormulaRow42</v>
      </c>
      <c r="B268" s="77" t="s">
        <v>236</v>
      </c>
      <c r="C268" s="222" t="str">
        <f t="array" ref="C268:C269">{"CLASSTYPE";((INDEX(ALLCLASSDATA,MATCH("ClassType",CLASSFEATUREHEADERS,0),MATCH($A269,CLASSNAMEHEADERS,0))))}</f>
        <v>CLASSTYPE</v>
      </c>
      <c r="D268" s="222" t="str">
        <f t="array" ref="D268:D269">{"SPELL/ALCHEMY";((IF(INDEX(ALLCLASSDATA,MATCH("CasterType",CLASSFEATUREHEADERS,0),MATCH(($A269),CLASSNAMEHEADERS,0))="","",(IF(INDEX(ALLCLASSDATA,MATCH("CasterType",CLASSFEATUREHEADERS,0),MATCH(($A269),CLASSNAMEHEADERS,0))="Alchemy","","Spells")))))}</f>
        <v>SPELL/ALCHEMY</v>
      </c>
      <c r="E268" s="222" t="str">
        <f t="array" ref="E268:E269">{"SPELLLIST";(IF(D269="Spells",((INDEX(ALLCLASSDATA,MATCH("CasterType",CLASSFEATUREHEADERS,0),MATCH(($A269),CLASSNAMEHEADERS,0))) &amp; ":" &amp; (INDEX(ALLCLASSDATA,MATCH("SpellList",CLASSFEATUREHEADERS,0),MATCH(($A269),CLASSNAMEHEADERS,0)))),""))}</f>
        <v>SPELLLIST</v>
      </c>
      <c r="F268" s="223" t="str">
        <f t="array" ref="F268:F269">{"SLOT/LVL";(IF(D263="Spells","Slot/LVL:",""))}</f>
        <v>SLOT/LVL</v>
      </c>
      <c r="G268" s="223" t="str">
        <f t="array" ref="G268:G269">{"CANTRIPSLOTS";(INDEX(ALLCLASSDATA,MATCH("CantripSlots-L00",CLASSFEATUREHEADERS,0),MATCH($A269,CLASSNAMEHEADERS,0)))}</f>
        <v>CANTRIPSLOTS</v>
      </c>
      <c r="H268" s="223" t="str">
        <f t="array" ref="H268:H269">{"SPL01-L01";(INDEX(ALLCLASSDATA,MATCH("SPL01-L01",CLASSFEATUREHEADERS,0),MATCH($A269,CLASSNAMEHEADERS,0)))}</f>
        <v>SPL01-L01</v>
      </c>
      <c r="I268" s="223" t="str">
        <f t="array" ref="I268:I269">{"SPL01-L02";(INDEX(ALLCLASSDATA,MATCH("SPL01-L02",CLASSFEATUREHEADERS,0),MATCH($A269,CLASSNAMEHEADERS,0)))}</f>
        <v>SPL01-L02</v>
      </c>
      <c r="J268" s="223" t="str">
        <f t="array" ref="J268:J269">{"SPL02-L03";(INDEX(ALLCLASSDATA,MATCH("SPL02-L03",CLASSFEATUREHEADERS,0),MATCH($A269,CLASSNAMEHEADERS,0)))}</f>
        <v>SPL02-L03</v>
      </c>
      <c r="K268" s="223" t="str">
        <f t="array" ref="K268:K269">{"SPL02-L04";(INDEX(ALLCLASSDATA,MATCH("SPL02-L04",CLASSFEATUREHEADERS,0),MATCH($A269,CLASSNAMEHEADERS,0)))}</f>
        <v>SPL02-L04</v>
      </c>
      <c r="L268" s="223" t="str">
        <f t="array" ref="L268:L269">{"SPL03-L05";(INDEX(ALLCLASSDATA,MATCH("SPL03-L05",CLASSFEATUREHEADERS,0),MATCH($A269,CLASSNAMEHEADERS,0)))}</f>
        <v>SPL03-L05</v>
      </c>
      <c r="M268" s="223" t="str">
        <f t="array" ref="M268:M269">{"SPL03-L06";(INDEX(ALLCLASSDATA,MATCH("SPL03-L06",CLASSFEATUREHEADERS,0),MATCH($A269,CLASSNAMEHEADERS,0)))}</f>
        <v>SPL03-L06</v>
      </c>
      <c r="N268" s="223" t="str">
        <f t="array" ref="N268:N269">{"SPL04-L07";(INDEX(ALLCLASSDATA,MATCH("SPL04-L07",CLASSFEATUREHEADERS,0),MATCH($A269,CLASSNAMEHEADERS,0)))}</f>
        <v>SPL04-L07</v>
      </c>
      <c r="O268" s="223" t="str">
        <f t="array" ref="O268:O269">{"SPL04-L08";(INDEX(ALLCLASSDATA,MATCH("SPL04-L08",CLASSFEATUREHEADERS,0),MATCH($A269,CLASSNAMEHEADERS,0)))}</f>
        <v>SPL04-L08</v>
      </c>
      <c r="P268" s="223" t="str">
        <f t="array" ref="P268:P269">{"SPL05-L09";(INDEX(ALLCLASSDATA,MATCH("SPL05-L09",CLASSFEATUREHEADERS,0),MATCH($A269,CLASSNAMEHEADERS,0)))}</f>
        <v>SPL05-L09</v>
      </c>
      <c r="Q268" s="223" t="str">
        <f t="array" ref="Q268:Q269">{"SPL05-L10";(INDEX(ALLCLASSDATA,MATCH("SPL05-L10",CLASSFEATUREHEADERS,0),MATCH($A269,CLASSNAMEHEADERS,0)))}</f>
        <v>SPL05-L10</v>
      </c>
      <c r="R268" s="223" t="str">
        <f t="array" ref="R268:R269">{"SPL06-L11";(INDEX(ALLCLASSDATA,MATCH("SPL06-L11",CLASSFEATUREHEADERS,0),MATCH($A269,CLASSNAMEHEADERS,0)))}</f>
        <v>SPL06-L11</v>
      </c>
      <c r="S268" s="223" t="str">
        <f t="array" ref="S268:S269">{"SPL06-L12";(INDEX(ALLCLASSDATA,MATCH("SPL06-L12",CLASSFEATUREHEADERS,0),MATCH($A269,CLASSNAMEHEADERS,0)))}</f>
        <v>SPL06-L12</v>
      </c>
      <c r="T268" s="223" t="str">
        <f t="array" ref="T268:T269">{"SPL07-L13";(INDEX(ALLCLASSDATA,MATCH("SPL07-L13",CLASSFEATUREHEADERS,0),MATCH($A269,CLASSNAMEHEADERS,0)))}</f>
        <v>SPL07-L13</v>
      </c>
      <c r="U268" s="223" t="str">
        <f t="array" ref="U268:U269">{"SPL07-L14";(INDEX(ALLCLASSDATA,MATCH("SPL07-L14",CLASSFEATUREHEADERS,0),MATCH($A269,CLASSNAMEHEADERS,0)))}</f>
        <v>SPL07-L14</v>
      </c>
      <c r="V268" s="223" t="str">
        <f t="array" ref="V268:V269">{"SPL08-L15";(INDEX(ALLCLASSDATA,MATCH("SPL08-L15",CLASSFEATUREHEADERS,0),MATCH($A269,CLASSNAMEHEADERS,0)))}</f>
        <v>SPL08-L15</v>
      </c>
      <c r="W268" s="223" t="str">
        <f t="array" ref="W268:W269">{"SPL08-L16";(INDEX(ALLCLASSDATA,MATCH("SPL08-L16",CLASSFEATUREHEADERS,0),MATCH($A269,CLASSNAMEHEADERS,0)))}</f>
        <v>SPL08-L16</v>
      </c>
      <c r="X268" s="223" t="str">
        <f t="array" ref="X268:X269">{"SPL09-L17";(INDEX(ALLCLASSDATA,MATCH("SPL09-L17",CLASSFEATUREHEADERS,0),MATCH($A269,CLASSNAMEHEADERS,0)))}</f>
        <v>SPL09-L17</v>
      </c>
      <c r="Y268" s="223" t="str">
        <f t="array" ref="Y268:Y269">{"SPL09-L18";(INDEX(ALLCLASSDATA,MATCH("SPL09-L18",CLASSFEATUREHEADERS,0),MATCH($A269,CLASSNAMEHEADERS,0)))}</f>
        <v>SPL09-L18</v>
      </c>
      <c r="Z268" s="223" t="str">
        <f t="array" ref="Z268:Z269">{"SPL10-L19";(INDEX(ALLCLASSDATA,MATCH("SPL10-L19",CLASSFEATUREHEADERS,0),MATCH($A269,CLASSNAMEHEADERS,0)))}</f>
        <v>SPL10-L19</v>
      </c>
      <c r="AA268" s="223" t="str">
        <f t="array" ref="AA268:AA269">{"SPL10-L20";(INDEX(ALLCLASSDATA,MATCH("SPL10-L20",CLASSFEATUREHEADERS,0),MATCH($A269,CLASSNAMEHEADERS,0)))}</f>
        <v>SPL10-L20</v>
      </c>
      <c r="AB268" s="76"/>
      <c r="AC268" s="76"/>
    </row>
    <row r="269">
      <c r="A269" s="48" t="s">
        <v>109</v>
      </c>
      <c r="B269" s="48"/>
      <c r="C269" s="48" t="s">
        <v>406</v>
      </c>
      <c r="D269" s="48" t="s">
        <v>603</v>
      </c>
      <c r="E269" s="48" t="s">
        <v>603</v>
      </c>
      <c r="F269" s="278" t="s">
        <v>603</v>
      </c>
      <c r="G269" s="280"/>
      <c r="H269" s="50"/>
      <c r="I269" s="50"/>
      <c r="J269" s="50"/>
      <c r="K269" s="50"/>
      <c r="L269" s="50"/>
      <c r="M269" s="50"/>
      <c r="N269" s="50"/>
      <c r="O269" s="50"/>
      <c r="P269" s="50"/>
      <c r="Q269" s="50"/>
      <c r="R269" s="50"/>
      <c r="S269" s="50"/>
      <c r="T269" s="50"/>
      <c r="U269" s="50"/>
      <c r="V269" s="50"/>
      <c r="W269" s="50"/>
      <c r="X269" s="50"/>
      <c r="Y269" s="50"/>
      <c r="Z269" s="50"/>
      <c r="AA269" s="50"/>
      <c r="AB269" s="278"/>
      <c r="AC269" s="47"/>
    </row>
    <row r="270" hidden="1">
      <c r="A270" s="222" t="str">
        <f t="array" ref="A270:A271">{"FormulaRow43";(INDEX(CLASSLIST,A185,1))}</f>
        <v>FormulaRow43</v>
      </c>
      <c r="B270" s="77" t="s">
        <v>236</v>
      </c>
      <c r="C270" s="222" t="str">
        <f t="array" ref="C270:C271">{"CLASSTYPE";((INDEX(ALLCLASSDATA,MATCH("ClassType",CLASSFEATUREHEADERS,0),MATCH($A271,CLASSNAMEHEADERS,0))))}</f>
        <v>CLASSTYPE</v>
      </c>
      <c r="D270" s="222" t="str">
        <f t="array" ref="D270:D271">{"SPELL/ALCHEMY";((IF(INDEX(ALLCLASSDATA,MATCH("CasterType",CLASSFEATUREHEADERS,0),MATCH(($A271),CLASSNAMEHEADERS,0))="","",(IF(INDEX(ALLCLASSDATA,MATCH("CasterType",CLASSFEATUREHEADERS,0),MATCH(($A271),CLASSNAMEHEADERS,0))="Alchemy","Alchemy","Spells")))))}</f>
        <v>SPELL/ALCHEMY</v>
      </c>
      <c r="E270" s="222" t="str">
        <f t="array" ref="E270:E271">{"SPELLLIST";(IF(D271="Spells",((INDEX(ALLCLASSDATA,MATCH("CasterType",CLASSFEATUREHEADERS,0),MATCH(($A271),CLASSNAMEHEADERS,0))) &amp; ":" &amp; (INDEX(ALLCLASSDATA,MATCH("SpellList",CLASSFEATUREHEADERS,0),MATCH(($A271),CLASSNAMEHEADERS,0)))),""))}</f>
        <v>SPELLLIST</v>
      </c>
      <c r="F270" s="223" t="str">
        <f t="array" ref="F270:F271">{"LEARNED/LVL";(IF(D271="","","Learn/LVL:"))}</f>
        <v>LEARNED/LVL</v>
      </c>
      <c r="G270" s="223" t="str">
        <f t="array" ref="G270:G271">{"LEARNEDCANTRIPS";(INDEX(ALLCLASSDATA,MATCH("CantripsLearned-L00",CLASSFEATUREHEADERS,0),MATCH($A271,CLASSNAMEHEADERS,0)))}</f>
        <v>LEARNEDCANTRIPS</v>
      </c>
      <c r="H270" s="223" t="str">
        <f t="array" ref="H270:H271">{"LEARNED L01";(INDEX(ALLCLASSDATA,MATCH("Learned-L01",CLASSFEATUREHEADERS,0),MATCH($A271,CLASSNAMEHEADERS,0)))}</f>
        <v>LEARNED L01</v>
      </c>
      <c r="I270" s="223" t="str">
        <f t="array" ref="I270:I271">{"LEARNED L02";(INDEX(ALLCLASSDATA,MATCH("Learned-L02",CLASSFEATUREHEADERS,0),MATCH($A271,CLASSNAMEHEADERS,0)))}</f>
        <v>LEARNED L02</v>
      </c>
      <c r="J270" s="223" t="str">
        <f t="array" ref="J270:J271">{"LEARNED L03";(INDEX(ALLCLASSDATA,MATCH("Learned-L03",CLASSFEATUREHEADERS,0),MATCH($A271,CLASSNAMEHEADERS,0)))}</f>
        <v>LEARNED L03</v>
      </c>
      <c r="K270" s="223" t="str">
        <f t="array" ref="K270:K271">{"LEARNED L04";(INDEX(ALLCLASSDATA,MATCH("Learned-L04",CLASSFEATUREHEADERS,0),MATCH($A271,CLASSNAMEHEADERS,0)))}</f>
        <v>LEARNED L04</v>
      </c>
      <c r="L270" s="223" t="str">
        <f t="array" ref="L270:L271">{"LEARNED L05";(INDEX(ALLCLASSDATA,MATCH("Learned-L05",CLASSFEATUREHEADERS,0),MATCH($A271,CLASSNAMEHEADERS,0)))}</f>
        <v>LEARNED L05</v>
      </c>
      <c r="M270" s="223" t="str">
        <f t="array" ref="M270:M271">{"LEARNED L06";(INDEX(ALLCLASSDATA,MATCH("Learned-L06",CLASSFEATUREHEADERS,0),MATCH($A271,CLASSNAMEHEADERS,0)))}</f>
        <v>LEARNED L06</v>
      </c>
      <c r="N270" s="223" t="str">
        <f t="array" ref="N270:N271">{"LEARNED L07";(INDEX(ALLCLASSDATA,MATCH("Learned-L07",CLASSFEATUREHEADERS,0),MATCH($A271,CLASSNAMEHEADERS,0)))}</f>
        <v>LEARNED L07</v>
      </c>
      <c r="O270" s="223" t="str">
        <f t="array" ref="O270:O271">{"LEARNED L08";(INDEX(ALLCLASSDATA,MATCH("Learned-L08",CLASSFEATUREHEADERS,0),MATCH($A271,CLASSNAMEHEADERS,0)))}</f>
        <v>LEARNED L08</v>
      </c>
      <c r="P270" s="223" t="str">
        <f t="array" ref="P270:P271">{"LEARNED L09";(INDEX(ALLCLASSDATA,MATCH("Learned-L09",CLASSFEATUREHEADERS,0),MATCH($A271,CLASSNAMEHEADERS,0)))}</f>
        <v>LEARNED L09</v>
      </c>
      <c r="Q270" s="223" t="str">
        <f t="array" ref="Q270:Q271">{"LEARNED L10";(INDEX(ALLCLASSDATA,MATCH("Learned-L10",CLASSFEATUREHEADERS,0),MATCH($A271,CLASSNAMEHEADERS,0)))}</f>
        <v>LEARNED L10</v>
      </c>
      <c r="R270" s="223" t="str">
        <f t="array" ref="R270:R271">{"LEARNED L11";(INDEX(ALLCLASSDATA,MATCH("Learned-L11",CLASSFEATUREHEADERS,0),MATCH($A271,CLASSNAMEHEADERS,0)))}</f>
        <v>LEARNED L11</v>
      </c>
      <c r="S270" s="223" t="str">
        <f t="array" ref="S270:S271">{"LEARNED L12";(INDEX(ALLCLASSDATA,MATCH("Learned-L12",CLASSFEATUREHEADERS,0),MATCH($A271,CLASSNAMEHEADERS,0)))}</f>
        <v>LEARNED L12</v>
      </c>
      <c r="T270" s="223" t="str">
        <f t="array" ref="T270:T271">{"LEARNED L13";(INDEX(ALLCLASSDATA,MATCH("Learned-L13",CLASSFEATUREHEADERS,0),MATCH($A271,CLASSNAMEHEADERS,0)))}</f>
        <v>LEARNED L13</v>
      </c>
      <c r="U270" s="223" t="str">
        <f t="array" ref="U270:U271">{"LEARNED L14";(INDEX(ALLCLASSDATA,MATCH("Learned-L14",CLASSFEATUREHEADERS,0),MATCH($A271,CLASSNAMEHEADERS,0)))}</f>
        <v>LEARNED L14</v>
      </c>
      <c r="V270" s="223" t="str">
        <f t="array" ref="V270:V271">{"LEARNED L15";(INDEX(ALLCLASSDATA,MATCH("Learned-L15",CLASSFEATUREHEADERS,0),MATCH($A271,CLASSNAMEHEADERS,0)))}</f>
        <v>LEARNED L15</v>
      </c>
      <c r="W270" s="223" t="str">
        <f t="array" ref="W270:W271">{"LEARNED L16";(INDEX(ALLCLASSDATA,MATCH("Learned-L16",CLASSFEATUREHEADERS,0),MATCH($A271,CLASSNAMEHEADERS,0)))}</f>
        <v>LEARNED L16</v>
      </c>
      <c r="X270" s="223" t="str">
        <f t="array" ref="X270:X271">{"LEARNED L17";(INDEX(ALLCLASSDATA,MATCH("Learned-L17",CLASSFEATUREHEADERS,0),MATCH($A271,CLASSNAMEHEADERS,0)))}</f>
        <v>LEARNED L17</v>
      </c>
      <c r="Y270" s="223" t="str">
        <f t="array" ref="Y270:Y271">{"LEARNED L18";(INDEX(ALLCLASSDATA,MATCH("Learned-L18",CLASSFEATUREHEADERS,0),MATCH($A271,CLASSNAMEHEADERS,0)))}</f>
        <v>LEARNED L18</v>
      </c>
      <c r="Z270" s="223" t="str">
        <f t="array" ref="Z270:Z271">{"LEARNED L19";(INDEX(ALLCLASSDATA,MATCH("Learned-L19",CLASSFEATUREHEADERS,0),MATCH($A271,CLASSNAMEHEADERS,0)))}</f>
        <v>LEARNED L19</v>
      </c>
      <c r="AA270" s="223" t="str">
        <f t="array" ref="AA270:AA271">{"LEARNED L20";(INDEX(ALLCLASSDATA,MATCH("Learned-L20",CLASSFEATUREHEADERS,0),MATCH($A271,CLASSNAMEHEADERS,0)))}</f>
        <v>LEARNED L20</v>
      </c>
      <c r="AB270" s="76"/>
      <c r="AC270" s="76"/>
    </row>
    <row r="271">
      <c r="A271" s="48" t="s">
        <v>109</v>
      </c>
      <c r="B271" s="48"/>
      <c r="C271" s="48" t="s">
        <v>406</v>
      </c>
      <c r="D271" s="48" t="s">
        <v>603</v>
      </c>
      <c r="E271" s="48" t="s">
        <v>603</v>
      </c>
      <c r="F271" s="278" t="s">
        <v>603</v>
      </c>
      <c r="G271" s="280"/>
      <c r="H271" s="278"/>
      <c r="I271" s="278"/>
      <c r="J271" s="278"/>
      <c r="K271" s="278"/>
      <c r="L271" s="278"/>
      <c r="M271" s="278"/>
      <c r="N271" s="278"/>
      <c r="O271" s="50"/>
      <c r="P271" s="278"/>
      <c r="Q271" s="278"/>
      <c r="R271" s="278"/>
      <c r="S271" s="278"/>
      <c r="T271" s="278"/>
      <c r="U271" s="278"/>
      <c r="V271" s="278"/>
      <c r="W271" s="278"/>
      <c r="X271" s="278"/>
      <c r="Y271" s="278"/>
      <c r="Z271" s="278"/>
      <c r="AA271" s="278"/>
      <c r="AB271" s="278"/>
      <c r="AC271" s="47"/>
    </row>
    <row r="272" hidden="1">
      <c r="A272" s="222" t="str">
        <f t="array" ref="A272:A273">{"FormulaRow44";(INDEX(CLASSLIST,A185,1))}</f>
        <v>FormulaRow44</v>
      </c>
      <c r="B272" s="77" t="s">
        <v>236</v>
      </c>
      <c r="C272" s="222" t="str">
        <f t="array" ref="C272:C273">{"CLASSTYPE";((INDEX(ALLCLASSDATA,MATCH("ClassType",CLASSFEATUREHEADERS,0),MATCH($A273,CLASSNAMEHEADERS,0))))}</f>
        <v>CLASSTYPE</v>
      </c>
      <c r="D272" s="222" t="str">
        <f t="array" ref="D272:D273">{"SPELL/ALCHEMY";((IF(INDEX(ALLCLASSDATA,MATCH("CasterType",CLASSFEATUREHEADERS,0),MATCH(($A273),CLASSNAMEHEADERS,0))="","",(IF(INDEX(ALLCLASSDATA,MATCH("CasterType",CLASSFEATUREHEADERS,0),MATCH(($A273),CLASSNAMEHEADERS,0))="Alchemy","","Spells")))))}</f>
        <v>SPELL/ALCHEMY</v>
      </c>
      <c r="E272" s="222" t="str">
        <f t="array" ref="E272:E273">{"SPELLLIST";(IF(D273="Spells",((INDEX(ALLCLASSDATA,MATCH("CasterType",CLASSFEATUREHEADERS,0),MATCH(($A273),CLASSNAMEHEADERS,0))) &amp; ":" &amp; (INDEX(ALLCLASSDATA,MATCH("SpellList",CLASSFEATUREHEADERS,0),MATCH(($A273),CLASSNAMEHEADERS,0)))),""))}</f>
        <v>SPELLLIST</v>
      </c>
      <c r="F272" s="223" t="str">
        <f t="array" ref="F272:F273">{"TOTALSLOTS";(IF(D273="","","TotalSlots:"))}</f>
        <v>TOTALSLOTS</v>
      </c>
      <c r="G272" s="223" t="str">
        <f t="array" ref="G272:G273">{"TOTALCANTRIPSLOTS";(G269)}</f>
        <v>TOTALCANTRIPSLOTS</v>
      </c>
      <c r="H272" s="223" t="str">
        <f t="array" ref="H272:H273">{"TOTALSLOTS L01";(H269)}</f>
        <v>TOTALSLOTS L01</v>
      </c>
      <c r="I272" s="223" t="str">
        <f t="array" ref="I272:I273">{"TOTALSLOTS L02";(H273+I269)}</f>
        <v>TOTALSLOTS L02</v>
      </c>
      <c r="J272" s="223" t="str">
        <f t="array" ref="J272:J273">{"TOTALSLOTS L03";(I273+J269)}</f>
        <v>TOTALSLOTS L03</v>
      </c>
      <c r="K272" s="223" t="str">
        <f t="array" ref="K272:K273">{"TOTALSLOTS L04";(J273+K269)}</f>
        <v>TOTALSLOTS L04</v>
      </c>
      <c r="L272" s="223" t="str">
        <f t="array" ref="L272:L273">{"TOTALSLOTS L05";(K273+L269)}</f>
        <v>TOTALSLOTS L05</v>
      </c>
      <c r="M272" s="223" t="str">
        <f t="array" ref="M272:M273">{"TOTALSLOTS L06";(L273+M269)}</f>
        <v>TOTALSLOTS L06</v>
      </c>
      <c r="N272" s="223" t="str">
        <f t="array" ref="N272:N273">{"TOTALSLOTS L07";(M273+N269)}</f>
        <v>TOTALSLOTS L07</v>
      </c>
      <c r="O272" s="223" t="str">
        <f t="array" ref="O272:O273">{"TOTALSLOTS L08";(N273+O269)}</f>
        <v>TOTALSLOTS L08</v>
      </c>
      <c r="P272" s="223" t="str">
        <f t="array" ref="P272:P273">{"TOTALSLOTS L09";(O273+P269)}</f>
        <v>TOTALSLOTS L09</v>
      </c>
      <c r="Q272" s="223" t="str">
        <f t="array" ref="Q272:Q273">{"TOTALSLOTS L10";(P273+Q269)}</f>
        <v>TOTALSLOTS L10</v>
      </c>
      <c r="R272" s="223" t="str">
        <f t="array" ref="R272:R273">{"TOTALSLOTS L11";(Q273+R269)}</f>
        <v>TOTALSLOTS L11</v>
      </c>
      <c r="S272" s="223" t="str">
        <f t="array" ref="S272:S273">{"TOTALSLOTS L12";(R273+S269)}</f>
        <v>TOTALSLOTS L12</v>
      </c>
      <c r="T272" s="223" t="str">
        <f t="array" ref="T272:T273">{"TOTALSLOTS L13";(S273+T269)}</f>
        <v>TOTALSLOTS L13</v>
      </c>
      <c r="U272" s="223" t="str">
        <f t="array" ref="U272:U273">{"TOTALSLOTS L14";(T273+U269)}</f>
        <v>TOTALSLOTS L14</v>
      </c>
      <c r="V272" s="223" t="str">
        <f t="array" ref="V272:V273">{"TOTALSLOTS L15";(U273+V269)}</f>
        <v>TOTALSLOTS L15</v>
      </c>
      <c r="W272" s="223" t="str">
        <f t="array" ref="W272:W273">{"TOTALSLOTS L16";(V273+W269)}</f>
        <v>TOTALSLOTS L16</v>
      </c>
      <c r="X272" s="223" t="str">
        <f t="array" ref="X272:X273">{"TOTALSLOTS L17";(W273+X269)}</f>
        <v>TOTALSLOTS L17</v>
      </c>
      <c r="Y272" s="223" t="str">
        <f t="array" ref="Y272:Y273">{"TOTALSLOTS L18";(X273+Y269)}</f>
        <v>TOTALSLOTS L18</v>
      </c>
      <c r="Z272" s="223" t="str">
        <f t="array" ref="Z272:Z273">{"TOTALSLOTS L19";(Y273+Z269)}</f>
        <v>TOTALSLOTS L19</v>
      </c>
      <c r="AA272" s="223" t="str">
        <f t="array" ref="AA272:AA273">{"TOTALSLOTS L20";(Z273+AA269)}</f>
        <v>TOTALSLOTS L20</v>
      </c>
      <c r="AB272" s="76"/>
      <c r="AC272" s="76"/>
    </row>
    <row r="273">
      <c r="A273" s="48" t="s">
        <v>109</v>
      </c>
      <c r="B273" s="48"/>
      <c r="C273" s="48" t="s">
        <v>406</v>
      </c>
      <c r="D273" s="48" t="s">
        <v>603</v>
      </c>
      <c r="E273" s="48" t="s">
        <v>603</v>
      </c>
      <c r="F273" s="278" t="s">
        <v>603</v>
      </c>
      <c r="G273" s="280"/>
      <c r="H273" s="278"/>
      <c r="I273" s="278">
        <v>0.0</v>
      </c>
      <c r="J273" s="278">
        <v>0.0</v>
      </c>
      <c r="K273" s="278">
        <v>0.0</v>
      </c>
      <c r="L273" s="278">
        <v>0.0</v>
      </c>
      <c r="M273" s="278">
        <v>0.0</v>
      </c>
      <c r="N273" s="278">
        <v>0.0</v>
      </c>
      <c r="O273" s="278">
        <v>0.0</v>
      </c>
      <c r="P273" s="278">
        <v>0.0</v>
      </c>
      <c r="Q273" s="278">
        <v>0.0</v>
      </c>
      <c r="R273" s="278">
        <v>0.0</v>
      </c>
      <c r="S273" s="278">
        <v>0.0</v>
      </c>
      <c r="T273" s="278">
        <v>0.0</v>
      </c>
      <c r="U273" s="278">
        <v>0.0</v>
      </c>
      <c r="V273" s="278">
        <v>0.0</v>
      </c>
      <c r="W273" s="278">
        <v>0.0</v>
      </c>
      <c r="X273" s="278">
        <v>0.0</v>
      </c>
      <c r="Y273" s="278">
        <v>0.0</v>
      </c>
      <c r="Z273" s="278">
        <v>0.0</v>
      </c>
      <c r="AA273" s="278">
        <v>0.0</v>
      </c>
      <c r="AB273" s="5"/>
      <c r="AC273" s="47"/>
    </row>
    <row r="274" hidden="1">
      <c r="A274" s="222" t="str">
        <f t="array" ref="A274:A275">{"FormulaRow45";(INDEX(CLASSLIST,A185,1))}</f>
        <v>FormulaRow45</v>
      </c>
      <c r="B274" s="77" t="s">
        <v>236</v>
      </c>
      <c r="C274" s="222" t="str">
        <f t="array" ref="C274:C275">{"CLASSTYPE";((INDEX(ALLCLASSDATA,MATCH("ClassType",CLASSFEATUREHEADERS,0),MATCH($A275,CLASSNAMEHEADERS,0))))}</f>
        <v>CLASSTYPE</v>
      </c>
      <c r="D274" s="222" t="str">
        <f t="array" ref="D274:D275">{"SPELL/ALCHEMY";((IF(INDEX(ALLCLASSDATA,MATCH("CasterType",CLASSFEATUREHEADERS,0),MATCH(($A275),CLASSNAMEHEADERS,0))="","",(IF(INDEX(ALLCLASSDATA,MATCH("CasterType",CLASSFEATUREHEADERS,0),MATCH(($A275),CLASSNAMEHEADERS,0))="Alchemy","Alchemy","Spells")))))}</f>
        <v>SPELL/ALCHEMY</v>
      </c>
      <c r="E274" s="222" t="str">
        <f t="array" ref="E274:E275">{"SPELLLIST";(IF(D275="Spells",((INDEX(ALLCLASSDATA,MATCH("CasterType",CLASSFEATUREHEADERS,0),MATCH(($A275),CLASSNAMEHEADERS,0))) &amp; ":" &amp; (INDEX(ALLCLASSDATA,MATCH("SpellList",CLASSFEATUREHEADERS,0),MATCH(($A275),CLASSNAMEHEADERS,0)))),""))}</f>
        <v>SPELLLIST</v>
      </c>
      <c r="F274" s="223" t="str">
        <f t="array" ref="F274:F275">{"TOTALLEARNED";(IF(D275="","","TotalLearned:"))}</f>
        <v>TOTALLEARNED</v>
      </c>
      <c r="G274" s="223" t="str">
        <f t="array" ref="G274:G275">{"TOTALCANTRIPSLEARNED";(G271)}</f>
        <v>TOTALCANTRIPSLEARNED</v>
      </c>
      <c r="H274" s="223" t="str">
        <f t="array" ref="H274:H275">{"TOTALLEARNED L01";(H271)}</f>
        <v>TOTALLEARNED L01</v>
      </c>
      <c r="I274" s="223" t="str">
        <f t="array" ref="I274:I275">{"TOTALLEARNED L02";(H275+I271)}</f>
        <v>TOTALLEARNED L02</v>
      </c>
      <c r="J274" s="223" t="str">
        <f t="array" ref="J274:J275">{"TOTALLEARNED L03";(I275+J271)}</f>
        <v>TOTALLEARNED L03</v>
      </c>
      <c r="K274" s="223" t="str">
        <f t="array" ref="K274:K275">{"TOTALLEARNED L04";(J275+K271)}</f>
        <v>TOTALLEARNED L04</v>
      </c>
      <c r="L274" s="223" t="str">
        <f t="array" ref="L274:L275">{"TOTALLEARNED L05";(K275+L271)}</f>
        <v>TOTALLEARNED L05</v>
      </c>
      <c r="M274" s="223" t="str">
        <f t="array" ref="M274:M275">{"TOTALLEARNED L06";(L275+M271)}</f>
        <v>TOTALLEARNED L06</v>
      </c>
      <c r="N274" s="223" t="str">
        <f t="array" ref="N274:N275">{"TOTALLEARNED L07";(M275+N271)}</f>
        <v>TOTALLEARNED L07</v>
      </c>
      <c r="O274" s="223" t="str">
        <f t="array" ref="O274:O275">{"TOTALLEARNED L08";(N275+O271)}</f>
        <v>TOTALLEARNED L08</v>
      </c>
      <c r="P274" s="223" t="str">
        <f t="array" ref="P274:P275">{"TOTALLEARNED L09";(O275+P271)}</f>
        <v>TOTALLEARNED L09</v>
      </c>
      <c r="Q274" s="223" t="str">
        <f t="array" ref="Q274:Q275">{"TOTALLEARNED L10";(P275+Q271)}</f>
        <v>TOTALLEARNED L10</v>
      </c>
      <c r="R274" s="223" t="str">
        <f t="array" ref="R274:R275">{"TOTALLEARNED L11";(Q275+R271)}</f>
        <v>TOTALLEARNED L11</v>
      </c>
      <c r="S274" s="223" t="str">
        <f t="array" ref="S274:S275">{"TOTALLEARNED L12";(R275+S271)}</f>
        <v>TOTALLEARNED L12</v>
      </c>
      <c r="T274" s="223" t="str">
        <f t="array" ref="T274:T275">{"TOTALLEARNED L13";(S275+T271)}</f>
        <v>TOTALLEARNED L13</v>
      </c>
      <c r="U274" s="223" t="str">
        <f t="array" ref="U274:U275">{"TOTALLEARNED L14";(T275+U271)}</f>
        <v>TOTALLEARNED L14</v>
      </c>
      <c r="V274" s="223" t="str">
        <f t="array" ref="V274:V275">{"TOTALLEARNED L15";(U275+V271)}</f>
        <v>TOTALLEARNED L15</v>
      </c>
      <c r="W274" s="223" t="str">
        <f t="array" ref="W274:W275">{"TOTALLEARNED L16";(V275+W271)}</f>
        <v>TOTALLEARNED L16</v>
      </c>
      <c r="X274" s="223" t="str">
        <f t="array" ref="X274:X275">{"TOTALLEARNED L17";(W275+X271)}</f>
        <v>TOTALLEARNED L17</v>
      </c>
      <c r="Y274" s="223" t="str">
        <f t="array" ref="Y274:Y275">{"TOTALLEARNED L18";(X275+Y271)}</f>
        <v>TOTALLEARNED L18</v>
      </c>
      <c r="Z274" s="223" t="str">
        <f t="array" ref="Z274:Z275">{"TOTALLEARNED L19";(Y275+Z271)}</f>
        <v>TOTALLEARNED L19</v>
      </c>
      <c r="AA274" s="223" t="str">
        <f t="array" ref="AA274:AA275">{"TOTALLEARNED L20";(Z275+AA271)}</f>
        <v>TOTALLEARNED L20</v>
      </c>
      <c r="AB274" s="76"/>
      <c r="AC274" s="76"/>
    </row>
    <row r="275">
      <c r="A275" s="97" t="s">
        <v>109</v>
      </c>
      <c r="B275" s="97"/>
      <c r="C275" s="97" t="s">
        <v>406</v>
      </c>
      <c r="D275" s="97" t="s">
        <v>603</v>
      </c>
      <c r="E275" s="97" t="s">
        <v>603</v>
      </c>
      <c r="F275" s="281" t="s">
        <v>603</v>
      </c>
      <c r="G275" s="282"/>
      <c r="H275" s="278"/>
      <c r="I275" s="278">
        <v>0.0</v>
      </c>
      <c r="J275" s="278">
        <v>0.0</v>
      </c>
      <c r="K275" s="278">
        <v>0.0</v>
      </c>
      <c r="L275" s="278">
        <v>0.0</v>
      </c>
      <c r="M275" s="278">
        <v>0.0</v>
      </c>
      <c r="N275" s="278">
        <v>0.0</v>
      </c>
      <c r="O275" s="278">
        <v>0.0</v>
      </c>
      <c r="P275" s="278">
        <v>0.0</v>
      </c>
      <c r="Q275" s="278">
        <v>0.0</v>
      </c>
      <c r="R275" s="278">
        <v>0.0</v>
      </c>
      <c r="S275" s="278">
        <v>0.0</v>
      </c>
      <c r="T275" s="278">
        <v>0.0</v>
      </c>
      <c r="U275" s="278">
        <v>0.0</v>
      </c>
      <c r="V275" s="278">
        <v>0.0</v>
      </c>
      <c r="W275" s="278">
        <v>0.0</v>
      </c>
      <c r="X275" s="278">
        <v>0.0</v>
      </c>
      <c r="Y275" s="278">
        <v>0.0</v>
      </c>
      <c r="Z275" s="278">
        <v>0.0</v>
      </c>
      <c r="AA275" s="278">
        <v>0.0</v>
      </c>
      <c r="AB275" s="5"/>
      <c r="AC275" s="47"/>
    </row>
    <row r="276">
      <c r="A276" s="55">
        <f>VLOOKUP($C276, CLASSNUMBERFINDER, 2, false)</f>
        <v>4</v>
      </c>
      <c r="B276" s="58"/>
      <c r="C276" s="70" t="s">
        <v>114</v>
      </c>
      <c r="D276" s="71"/>
      <c r="E276" s="71"/>
      <c r="F276" s="71"/>
      <c r="G276" s="72"/>
      <c r="H276" s="71"/>
      <c r="I276" s="71"/>
      <c r="J276" s="71"/>
      <c r="K276" s="71"/>
      <c r="L276" s="71"/>
      <c r="M276" s="71"/>
      <c r="N276" s="71"/>
      <c r="O276" s="71"/>
      <c r="P276" s="71"/>
      <c r="Q276" s="71"/>
      <c r="R276" s="71"/>
      <c r="S276" s="71"/>
      <c r="T276" s="71"/>
      <c r="U276" s="71"/>
      <c r="V276" s="71"/>
      <c r="W276" s="71"/>
      <c r="X276" s="71"/>
      <c r="Y276" s="71"/>
      <c r="Z276" s="71"/>
      <c r="AA276" s="71"/>
      <c r="AB276" s="71"/>
      <c r="AC276" s="73"/>
    </row>
    <row r="277" hidden="1">
      <c r="A277" s="76" t="str">
        <f t="array" ref="A277:A278">{"FormulaRow01";(INDEX(CLASSLIST,A276,1))}</f>
        <v>FormulaRow01</v>
      </c>
      <c r="B277" s="77" t="s">
        <v>236</v>
      </c>
      <c r="C277" s="76" t="str">
        <f t="array" ref="C277:C278">{"CLASSTYPE";(INDEX(ALLCLASSDATA,MATCH("ClassType",CLASSFEATUREHEADERS,0),MATCH($A278,CLASSNAMEHEADERS,0)))}</f>
        <v>CLASSTYPE</v>
      </c>
      <c r="D277" s="81" t="str">
        <f t="array" ref="D277:D278">{"TOTAL";("Total: " &amp; H278+J278+L278+N278+P278+R278+T278+V278+X278+Z278)}</f>
        <v>TOTAL</v>
      </c>
      <c r="E277" s="81" t="str">
        <f t="array" ref="E277:E278">{"BALANCE";(IF((H278+J278+L278+N278+P278+R278+T278+V278+X278+Z278)=2100,"(balanced)",(IF((H278+J278+L278+N278+P278+R278+T278+V278+X278+Z278)&gt;2100,"OVERBUDGET: ","UNDERBUDGET: ")) &amp; (H278+J278+L278+N278+P278+R278+T278+V278+X278+Z278-2100)))}</f>
        <v>BALANCE</v>
      </c>
      <c r="F277" s="81"/>
      <c r="G277" s="81"/>
      <c r="H277" s="81" t="str">
        <f t="array" ref="H277:H278">{"SUM LVL0/1/2";((SUMIF(F279:I358,"&lt;&gt;#REF!")+(SUMIF(J279:AA286,"&lt;&gt;#REF!"))))}</f>
        <v>SUM LVL0/1/2</v>
      </c>
      <c r="I277" s="81"/>
      <c r="J277" s="81" t="str">
        <f t="array" ref="J277:J278">{"SUM LVL3/4";(SUMIF(J287:K358,"&lt;&gt;#REF!"))}</f>
        <v>SUM LVL3/4</v>
      </c>
      <c r="K277" s="81"/>
      <c r="L277" s="81" t="str">
        <f t="array" ref="L277:L278">{"SUM LVL5/6";(SUMIF(L287:M358,"&lt;&gt;#REF!"))}</f>
        <v>SUM LVL5/6</v>
      </c>
      <c r="M277" s="81"/>
      <c r="N277" s="81" t="str">
        <f t="array" ref="N277:N278">{"SUM LVL7/8";(SUMIF(N287:O358,"&lt;&gt;#REF!"))}</f>
        <v>SUM LVL7/8</v>
      </c>
      <c r="O277" s="81"/>
      <c r="P277" s="81" t="str">
        <f t="array" ref="P277:P278">{"SUM LVL9/10";(SUMIF(P287:Q358,"&lt;&gt;#REF!"))}</f>
        <v>SUM LVL9/10</v>
      </c>
      <c r="Q277" s="81"/>
      <c r="R277" s="81" t="str">
        <f t="array" ref="R277:R278">{"SUM LVL11/12";(SUMIF(R287:S358,"&lt;&gt;#REF!"))}</f>
        <v>SUM LVL11/12</v>
      </c>
      <c r="S277" s="81"/>
      <c r="T277" s="81" t="str">
        <f t="array" ref="T277:T278">{"SUM LVL13/14";(SUMIF(T287:U358,"&lt;&gt;#REF!"))}</f>
        <v>SUM LVL13/14</v>
      </c>
      <c r="U277" s="81"/>
      <c r="V277" s="81" t="str">
        <f t="array" ref="V277:V278">{"SUM LVL15/16";(SUMIF(V287:W358,"&lt;&gt;#REF!"))}</f>
        <v>SUM LVL15/16</v>
      </c>
      <c r="W277" s="81"/>
      <c r="X277" s="81" t="str">
        <f t="array" ref="X277:X278">{"SUM LVL17/18";(SUMIF(X287:Y358,"&lt;&gt;#REF!"))}</f>
        <v>SUM LVL17/18</v>
      </c>
      <c r="Y277" s="81"/>
      <c r="Z277" s="81" t="str">
        <f t="array" ref="Z277:Z278">{"SUM LVL19/20";(SUMIF(Z287:AA358,"&lt;&gt;#REF!"))}</f>
        <v>SUM LVL19/20</v>
      </c>
      <c r="AA277" s="81"/>
      <c r="AB277" s="76"/>
      <c r="AC277" s="76" t="str">
        <f t="array" ref="AC277:AC278">{"SUM ROWTOTALS";(SUMIF(AC280:AC366,"&lt;&gt;#REF!"))}</f>
        <v>SUM ROWTOTALS</v>
      </c>
    </row>
    <row r="278">
      <c r="A278" s="48" t="s">
        <v>114</v>
      </c>
      <c r="B278" s="48"/>
      <c r="C278" s="48" t="s">
        <v>412</v>
      </c>
      <c r="D278" s="91" t="s">
        <v>416</v>
      </c>
      <c r="E278" s="92" t="s">
        <v>419</v>
      </c>
      <c r="F278" s="91"/>
      <c r="G278" s="93"/>
      <c r="H278" s="92">
        <v>440.0</v>
      </c>
      <c r="I278" s="92"/>
      <c r="J278" s="92">
        <v>30.0</v>
      </c>
      <c r="K278" s="92"/>
      <c r="L278" s="92">
        <v>100.0</v>
      </c>
      <c r="M278" s="92"/>
      <c r="N278" s="92">
        <v>190.0</v>
      </c>
      <c r="O278" s="92"/>
      <c r="P278" s="92">
        <v>80.0</v>
      </c>
      <c r="Q278" s="92"/>
      <c r="R278" s="92">
        <v>160.0</v>
      </c>
      <c r="S278" s="92"/>
      <c r="T278" s="92">
        <v>350.0</v>
      </c>
      <c r="U278" s="92"/>
      <c r="V278" s="92">
        <v>260.0</v>
      </c>
      <c r="W278" s="92"/>
      <c r="X278" s="92">
        <v>160.0</v>
      </c>
      <c r="Y278" s="92"/>
      <c r="Z278" s="92">
        <v>330.0</v>
      </c>
      <c r="AA278" s="92"/>
      <c r="AB278" s="5"/>
      <c r="AC278" s="47">
        <v>2100.0</v>
      </c>
    </row>
    <row r="279" hidden="1">
      <c r="A279" s="76" t="str">
        <f t="array" ref="A279:A280">{"FormulaRow02";(INDEX(CLASSLIST,A276,1))}</f>
        <v>FormulaRow02</v>
      </c>
      <c r="B279" s="77" t="s">
        <v>236</v>
      </c>
      <c r="C279" s="76" t="str">
        <f t="array" ref="C279:C280">{"CLASSTYPE";((INDEX(ALLCLASSDATA,MATCH("ClassType",CLASSFEATUREHEADERS,0),MATCH($A280,CLASSNAMEHEADERS,0))))}</f>
        <v>CLASSTYPE</v>
      </c>
      <c r="D279" s="81" t="str">
        <f t="array" ref="D279:D280">{"FEATURES";"Features"}</f>
        <v>FEATURES</v>
      </c>
      <c r="E279" s="81" t="str">
        <f t="array" ref="E279:E280">{"INITIALFEATURES";"Initial Features"}</f>
        <v>INITIALFEATURES</v>
      </c>
      <c r="F279" s="81" t="str">
        <f t="array" ref="F279:F280">{"KEY";"Key"}</f>
        <v>KEY</v>
      </c>
      <c r="G279" s="81" t="str">
        <f t="array" ref="G279:G280">{"HP";"HP"}</f>
        <v>HP</v>
      </c>
      <c r="H279" s="81" t="str">
        <f t="array" ref="H279:H280">{"CLASSFEATL01";"ClassFeatL01"}</f>
        <v>CLASSFEATL01</v>
      </c>
      <c r="I279" s="81" t="str">
        <f t="array" ref="I279:I280">{"SHIELDBLOCKL01";"ShieldBlockL01"}</f>
        <v>SHIELDBLOCKL01</v>
      </c>
      <c r="J279" s="81" t="str">
        <f t="array" ref="J279:J280">{"INITIALSKILLS";"InitialSkills"}</f>
        <v>INITIALSKILLS</v>
      </c>
      <c r="K279" s="81" t="str">
        <f t="array" ref="K279:K280">{"SUBCLASSSKILLS";"SubclassSkills"}</f>
        <v>SUBCLASSSKILLS</v>
      </c>
      <c r="L279" s="81" t="str">
        <f t="array" ref="L279:L280">{"GRANTEDSKILLS";"GrantedSkills"}</f>
        <v>GRANTEDSKILLS</v>
      </c>
      <c r="M279" s="81"/>
      <c r="N279" s="81"/>
      <c r="O279" s="81"/>
      <c r="P279" s="81" t="str">
        <f t="array" ref="P279:P280">{"FOCUSSPELLS";"FocusSpells:"}</f>
        <v>FOCUSSPELLS</v>
      </c>
      <c r="Q279" s="81" t="str">
        <f t="array" ref="Q279:Q280">{"FOCUSSPELL1-L00";((INDEX(ALLCLASSDATA,MATCH("FocusSpell1-L00",CLASSFEATUREHEADERS,0),MATCH(($A280),CLASSNAMEHEADERS,0))))}</f>
        <v>FOCUSSPELL1-L00</v>
      </c>
      <c r="R279" s="81" t="str">
        <f t="array" ref="R279:R280">{"FOCUSSPELL2-L00";((INDEX(ALLCLASSDATA,MATCH("FocusSpell2-L00",CLASSFEATUREHEADERS,0),MATCH(($A280),CLASSNAMEHEADERS,0))))}</f>
        <v>FOCUSSPELL2-L00</v>
      </c>
      <c r="S279" s="81" t="str">
        <f t="array" ref="S279:S280">{"FOCUSSPELL3-L00";((INDEX(ALLCLASSDATA,MATCH("FocusSpell3-L00",CLASSFEATUREHEADERS,0),MATCH(($A280),CLASSNAMEHEADERS,0))))}</f>
        <v>FOCUSSPELL3-L00</v>
      </c>
      <c r="T279" s="81" t="str">
        <f t="array" ref="T279:T280">{"FOCUSSPELL4-L00";((INDEX(ALLCLASSDATA,MATCH("FocusSpell4-L00",CLASSFEATUREHEADERS,0),MATCH(($A280),CLASSNAMEHEADERS,0))))}</f>
        <v>FOCUSSPELL4-L00</v>
      </c>
      <c r="U279" s="81" t="str">
        <f t="array" ref="U279:U280">{"FOCUSSPELL5-L00";((INDEX(ALLCLASSDATA,MATCH("FocusSpell5-L00",CLASSFEATUREHEADERS,0),MATCH(($A280),CLASSNAMEHEADERS,0))))}</f>
        <v>FOCUSSPELL5-L00</v>
      </c>
      <c r="V279" s="81"/>
      <c r="W279" s="81"/>
      <c r="X279" s="81"/>
      <c r="Y279" s="81"/>
      <c r="Z279" s="81"/>
      <c r="AA279" s="81"/>
      <c r="AB279" s="76"/>
      <c r="AC279" s="76"/>
    </row>
    <row r="280">
      <c r="A280" s="48" t="s">
        <v>114</v>
      </c>
      <c r="B280" s="48"/>
      <c r="C280" s="48" t="s">
        <v>412</v>
      </c>
      <c r="D280" s="48" t="s">
        <v>467</v>
      </c>
      <c r="E280" s="48" t="s">
        <v>468</v>
      </c>
      <c r="F280" s="48" t="s">
        <v>469</v>
      </c>
      <c r="G280" s="114" t="s">
        <v>15</v>
      </c>
      <c r="H280" s="8" t="s">
        <v>451</v>
      </c>
      <c r="I280" s="8" t="s">
        <v>463</v>
      </c>
      <c r="J280" s="8" t="s">
        <v>473</v>
      </c>
      <c r="K280" s="8" t="s">
        <v>474</v>
      </c>
      <c r="L280" s="8" t="s">
        <v>475</v>
      </c>
      <c r="M280" s="8"/>
      <c r="N280" s="8"/>
      <c r="O280" s="8"/>
      <c r="P280" s="8" t="s">
        <v>476</v>
      </c>
      <c r="Q280" s="116"/>
      <c r="R280" s="116"/>
      <c r="S280" s="116"/>
      <c r="T280" s="116"/>
      <c r="U280" s="116"/>
      <c r="V280" s="8"/>
      <c r="W280" s="8"/>
      <c r="X280" s="8"/>
      <c r="Y280" s="8"/>
      <c r="Z280" s="5"/>
      <c r="AA280" s="5"/>
      <c r="AB280" s="5"/>
      <c r="AC280" s="47"/>
    </row>
    <row r="281" hidden="1">
      <c r="A281" s="76" t="str">
        <f t="array" ref="A281:A282">{"FormulaRow03";(INDEX(CLASSLIST,A276,1))}</f>
        <v>FormulaRow03</v>
      </c>
      <c r="B281" s="77" t="s">
        <v>236</v>
      </c>
      <c r="C281" s="76" t="str">
        <f t="array" ref="C281:C282">{"CLASSTYPE";((INDEX(ALLCLASSDATA,MATCH("ClassType",CLASSFEATUREHEADERS,0),MATCH($A282,CLASSNAMEHEADERS,0))))}</f>
        <v>CLASSTYPE</v>
      </c>
      <c r="D281" s="76" t="str">
        <f t="array" ref="D281:D282">{"FEATUREPTS";"FeaturesPts"}</f>
        <v>FEATUREPTS</v>
      </c>
      <c r="E281" s="76" t="str">
        <f t="array" ref="E281:E282">{"INITIALFEATURES";"Initial Features"}</f>
        <v>INITIALFEATURES</v>
      </c>
      <c r="F281" s="76" t="str">
        <f t="array" ref="F281:F282">{"KEYABILITY";((INDEX(ALLCLASSDATA,MATCH("KEYABILITY",CLASSFEATUREHEADERS,0),MATCH($A282,CLASSNAMEHEADERS,0))))}</f>
        <v>KEYABILITY</v>
      </c>
      <c r="G281" s="76" t="str">
        <f t="array" ref="G281:G282">{"HP";((INDEX(ALLCLASSDATA,MATCH("HP",CLASSFEATUREHEADERS,0),MATCH(($A282 &amp; "Points"),CLASSNAMEHEADERS,0))))}</f>
        <v>HP</v>
      </c>
      <c r="H281" s="76" t="str">
        <f t="array" ref="H281:H282">{"CLASSFEATL01";((INDEX(ALLCLASSDATA,MATCH("ClassFeatL01",CLASSFEATUREHEADERS,0),MATCH(($A282 &amp; "Points"),CLASSNAMEHEADERS,0))))}</f>
        <v>CLASSFEATL01</v>
      </c>
      <c r="I281" s="76" t="str">
        <f t="array" ref="I281:I282">{"SHIELDBLOCKL01";((INDEX(ALLCLASSDATA,MATCH("ShieldBlockL01",CLASSFEATUREHEADERS,0),MATCH(($A282 &amp; "Points"),CLASSNAMEHEADERS,0))))}</f>
        <v>SHIELDBLOCKL01</v>
      </c>
      <c r="J281" s="76" t="str">
        <f t="array" ref="J281:J282">{"INITIALSKILLINCREASES";((INDEX(ALLCLASSDATA,MATCH("InitialSkillIncreases",CLASSFEATUREHEADERS,0),MATCH(($A282 &amp; "Points"),CLASSNAMEHEADERS,0))))}</f>
        <v>INITIALSKILLINCREASES</v>
      </c>
      <c r="K281" s="76" t="str">
        <f t="array" ref="K281:K282">{"SUBCLASSSKILLINCREASES";((INDEX(ALLCLASSDATA,MATCH("SubclassSkillIncreases",CLASSFEATUREHEADERS,0),MATCH(($A282 &amp; "Points"),CLASSNAMEHEADERS,0))))}</f>
        <v>SUBCLASSSKILLINCREASES</v>
      </c>
      <c r="L281" s="76" t="str">
        <f t="array" ref="L281:L282">{"GRANTEDSKILLS";(((INDEX(ALLCLASSDATA,MATCH("SkillsGrantedTotal",CLASSFEATUREHEADERS,0),MATCH(($A282 &amp; "Points"),CLASSNAMEHEADERS,0)))-(INDEX(ALLCLASSDATA,MATCH("InitialSkillIncreases",CLASSFEATUREHEADERS,0),MATCH(($A282 &amp; "Points"),CLASSNAMEHEADERS,0)))-(INDEX(ALLCLASSDATA,MATCH("SubclassSkillIncreases",CLASSFEATUREHEADERS,0),MATCH(($A282 &amp; "Points"),CLASSNAMEHEADERS,0)))))}</f>
        <v>GRANTEDSKILLS</v>
      </c>
      <c r="M281" s="76"/>
      <c r="N281" s="76"/>
      <c r="O281" s="76"/>
      <c r="P281" s="76"/>
      <c r="Q281" s="76" t="str">
        <f t="array" ref="Q281:Q282">{"FOCUSSPELL1-L00";((INDEX(ALLCLASSDATA,MATCH("FocusSpell1-L00",CLASSFEATUREHEADERS,0),MATCH(($A282 &amp; "Points"),CLASSNAMEHEADERS,0))))}</f>
        <v>FOCUSSPELL1-L00</v>
      </c>
      <c r="R281" s="76" t="str">
        <f t="array" ref="R281:R282">{"FOCUSSPELL2-L00";((INDEX(ALLCLASSDATA,MATCH("FocusSpell2-L00",CLASSFEATUREHEADERS,0),MATCH(($A282 &amp; "Points"),CLASSNAMEHEADERS,0))))}</f>
        <v>FOCUSSPELL2-L00</v>
      </c>
      <c r="S281" s="76" t="str">
        <f t="array" ref="S281:S282">{"FOCUSSPELL3-L00";((INDEX(ALLCLASSDATA,MATCH("FocusSpell3-L00",CLASSFEATUREHEADERS,0),MATCH(($A282 &amp; "Points"),CLASSNAMEHEADERS,0))))}</f>
        <v>FOCUSSPELL3-L00</v>
      </c>
      <c r="T281" s="76" t="str">
        <f t="array" ref="T281:T282">{"FOCUSSPELL4-L00";((INDEX(ALLCLASSDATA,MATCH("FocusSpell4-L00",CLASSFEATUREHEADERS,0),MATCH(($A282 &amp; "Points"),CLASSNAMEHEADERS,0))))}</f>
        <v>FOCUSSPELL4-L00</v>
      </c>
      <c r="U281" s="76" t="str">
        <f t="array" ref="U281:U282">{"FOCUSSPELL5-L00";((INDEX(ALLCLASSDATA,MATCH("FocusSpell5-L00",CLASSFEATUREHEADERS,0),MATCH(($A282 &amp; "Points"),CLASSNAMEHEADERS,0))))}</f>
        <v>FOCUSSPELL5-L00</v>
      </c>
      <c r="V281" s="76"/>
      <c r="W281" s="76"/>
      <c r="X281" s="76"/>
      <c r="Y281" s="76"/>
      <c r="Z281" s="76"/>
      <c r="AA281" s="76"/>
      <c r="AB281" s="76"/>
      <c r="AC281" s="76" t="str">
        <f t="array" ref="AC281:AC282">{"FEATUREPTS TOTAL";(sum(G282:AA282))}</f>
        <v>FEATUREPTS TOTAL</v>
      </c>
    </row>
    <row r="282">
      <c r="A282" s="48" t="s">
        <v>114</v>
      </c>
      <c r="B282" s="48"/>
      <c r="C282" s="48" t="s">
        <v>412</v>
      </c>
      <c r="D282" s="97" t="s">
        <v>559</v>
      </c>
      <c r="E282" s="97" t="s">
        <v>468</v>
      </c>
      <c r="F282" s="97" t="s">
        <v>259</v>
      </c>
      <c r="G282" s="132">
        <v>120.0</v>
      </c>
      <c r="H282" s="98">
        <v>10.0</v>
      </c>
      <c r="I282" s="98" t="s">
        <v>603</v>
      </c>
      <c r="J282" s="98">
        <v>15.0</v>
      </c>
      <c r="K282" s="98"/>
      <c r="L282" s="98">
        <v>5.0</v>
      </c>
      <c r="M282" s="98"/>
      <c r="N282" s="98"/>
      <c r="O282" s="98"/>
      <c r="P282" s="98"/>
      <c r="Q282" s="98"/>
      <c r="R282" s="98"/>
      <c r="S282" s="98"/>
      <c r="T282" s="98"/>
      <c r="U282" s="98"/>
      <c r="V282" s="98"/>
      <c r="W282" s="98"/>
      <c r="X282" s="98"/>
      <c r="Y282" s="98"/>
      <c r="Z282" s="98"/>
      <c r="AA282" s="98"/>
      <c r="AB282" s="5"/>
      <c r="AC282" s="47">
        <v>150.0</v>
      </c>
    </row>
    <row r="283" hidden="1">
      <c r="A283" s="76" t="str">
        <f t="array" ref="A283:A284">{"FormulaRow04";(INDEX(CLASSLIST,A276,1))}</f>
        <v>FormulaRow04</v>
      </c>
      <c r="B283" s="77" t="s">
        <v>236</v>
      </c>
      <c r="C283" s="76" t="str">
        <f t="array" ref="C283:C284">{"CLASSTYPE";((INDEX(ALLCLASSDATA,MATCH("ClassType",CLASSFEATUREHEADERS,0),MATCH($A284,CLASSNAMEHEADERS,0))))}</f>
        <v>CLASSTYPE</v>
      </c>
      <c r="D283" s="81" t="str">
        <f t="array" ref="D283:D284">{"INITIALFEATURES";"InitialFeatures"}</f>
        <v>INITIALFEATURES</v>
      </c>
      <c r="E283" s="81" t="str">
        <f t="array" ref="E283:E284">{"CLASS/SUBCLASSFEATURES";"Class/Subclass Features"}</f>
        <v>CLASS/SUBCLASSFEATURES</v>
      </c>
      <c r="F283" s="81"/>
      <c r="G283" s="136"/>
      <c r="H283" s="81" t="str">
        <f t="array" ref="H283:H284">{"CLASSINITIALABILITY1-L00";((INDEX(ALLCLASSDATA,MATCH("ClassInitialAbility1-L00",CLASSFEATUREHEADERS,0),MATCH(($A284),CLASSNAMEHEADERS,0))))}</f>
        <v>CLASSINITIALABILITY1-L00</v>
      </c>
      <c r="I283" s="81" t="str">
        <f t="array" ref="I283:I284">{"CLASSINITIALABILITY2-L00";((INDEX(ALLCLASSDATA,MATCH("ClassInitialAbility2-L00",CLASSFEATUREHEADERS,0),MATCH(($A284),CLASSNAMEHEADERS,0))))}</f>
        <v>CLASSINITIALABILITY2-L00</v>
      </c>
      <c r="J283" s="81" t="str">
        <f t="array" ref="J283:J284">{"CLASSINITIALABILITY3-L00";((INDEX(ALLCLASSDATA,MATCH("ClassInitialAbility3-L00",CLASSFEATUREHEADERS,0),MATCH(($A284),CLASSNAMEHEADERS,0))))}</f>
        <v>CLASSINITIALABILITY3-L00</v>
      </c>
      <c r="K283" s="81" t="str">
        <f t="array" ref="K283:K284">{"CLASSINITIALABILITY4-L00";((INDEX(ALLCLASSDATA,MATCH("ClassInitialAbility4-L00",CLASSFEATUREHEADERS,0),MATCH(($A284),CLASSNAMEHEADERS,0))))}</f>
        <v>CLASSINITIALABILITY4-L00</v>
      </c>
      <c r="L283" s="81" t="str">
        <f t="array" ref="L283:L284">{"CLASSINITIALABILITY5-L00";((INDEX(ALLCLASSDATA,MATCH("ClassInitialAbility5-L00",CLASSFEATUREHEADERS,0),MATCH(($A284),CLASSNAMEHEADERS,0))))}</f>
        <v>CLASSINITIALABILITY5-L00</v>
      </c>
      <c r="M283" s="81" t="str">
        <f t="array" ref="M283:M284">{"CLASSINITIALABILITY6-L00";((INDEX(ALLCLASSDATA,MATCH("ClassInitialAbility6-L00",CLASSFEATUREHEADERS,0),MATCH(($A284),CLASSNAMEHEADERS,0))))}</f>
        <v>CLASSINITIALABILITY6-L00</v>
      </c>
      <c r="N283" s="81" t="str">
        <f t="array" ref="N283:N284">{"CLASSINITIALABILITY7-L00";((INDEX(ALLCLASSDATA,MATCH("ClassInitialAbility7-L00",CLASSFEATUREHEADERS,0),MATCH(($A284),CLASSNAMEHEADERS,0))))}</f>
        <v>CLASSINITIALABILITY7-L00</v>
      </c>
      <c r="O283" s="81" t="str">
        <f t="array" ref="O283:O284">{"CLASSINITIALABILITY8-L00";((INDEX(ALLCLASSDATA,MATCH("ClassInitialAbility8-L00",CLASSFEATUREHEADERS,0),MATCH(($A284),CLASSNAMEHEADERS,0))))}</f>
        <v>CLASSINITIALABILITY8-L00</v>
      </c>
      <c r="P283" s="81" t="str">
        <f t="array" ref="P283:P284">{"CLASSINITIALABILITY9-L00";((INDEX(ALLCLASSDATA,MATCH("ClassInitialAbility9-L00",CLASSFEATUREHEADERS,0),MATCH(($A284),CLASSNAMEHEADERS,0))))}</f>
        <v>CLASSINITIALABILITY9-L00</v>
      </c>
      <c r="Q283" s="81" t="str">
        <f t="array" ref="Q283:Q284">{"CLASSINITIALABILITY10-L00";((INDEX(ALLCLASSDATA,MATCH("ClassInitialAbility10-L00",CLASSFEATUREHEADERS,0),MATCH(($A284),CLASSNAMEHEADERS,0))))}</f>
        <v>CLASSINITIALABILITY10-L00</v>
      </c>
      <c r="R283" s="81" t="str">
        <f t="array" ref="R283:R284">{"SUBCLASSINITIAL1-L00";((INDEX(ALLCLASSDATA,MATCH("SubclassInitial1-L00",CLASSFEATUREHEADERS,0),MATCH(($A284),CLASSNAMEHEADERS,0))))}</f>
        <v>SUBCLASSINITIAL1-L00</v>
      </c>
      <c r="S283" s="81" t="str">
        <f t="array" ref="S283:S284">{"SUBCLASSINITIAL2-L00";((INDEX(ALLCLASSDATA,MATCH("SubclassInitial2-L00",CLASSFEATUREHEADERS,0),MATCH(($A284),CLASSNAMEHEADERS,0))))}</f>
        <v>SUBCLASSINITIAL2-L00</v>
      </c>
      <c r="T283" s="81" t="str">
        <f t="array" ref="T283:T284">{"SUBCLASSINITIAL3-L00";((INDEX(ALLCLASSDATA,MATCH("SubclassInitial3-L00",CLASSFEATUREHEADERS,0),MATCH(($A284),CLASSNAMEHEADERS,0))))}</f>
        <v>SUBCLASSINITIAL3-L00</v>
      </c>
      <c r="U283" s="81" t="str">
        <f t="array" ref="U283:U284">{"SUBCLASSINITIAL4-L00";((INDEX(ALLCLASSDATA,MATCH("SubclassInitial4-L00",CLASSFEATUREHEADERS,0),MATCH(($A284),CLASSNAMEHEADERS,0))))}</f>
        <v>SUBCLASSINITIAL4-L00</v>
      </c>
      <c r="V283" s="81" t="str">
        <f t="array" ref="V283:V284">{"SUBCLASSINITIAL5-L00";((INDEX(ALLCLASSDATA,MATCH("SubclassInitial5-L00",CLASSFEATUREHEADERS,0),MATCH(($A284),CLASSNAMEHEADERS,0))))}</f>
        <v>SUBCLASSINITIAL5-L00</v>
      </c>
      <c r="W283" s="81" t="str">
        <f t="array" ref="W283:W284">{"SUBCLASSINITIAL6-L00";((INDEX(ALLCLASSDATA,MATCH("SubclassInitial6-L00",CLASSFEATUREHEADERS,0),MATCH(($A284),CLASSNAMEHEADERS,0))))}</f>
        <v>SUBCLASSINITIAL6-L00</v>
      </c>
      <c r="X283" s="81" t="str">
        <f t="array" ref="X283:X284">{"SUBCLASSINITIAL7-L00";((INDEX(ALLCLASSDATA,MATCH("SubclassInitial7-L00",CLASSFEATUREHEADERS,0),MATCH(($A284),CLASSNAMEHEADERS,0))))}</f>
        <v>SUBCLASSINITIAL7-L00</v>
      </c>
      <c r="Y283" s="81" t="str">
        <f t="array" ref="Y283:Y284">{"SUBCLASSINITIAL8-L00";((INDEX(ALLCLASSDATA,MATCH("SubclassInitial8-L00",CLASSFEATUREHEADERS,0),MATCH(($A284),CLASSNAMEHEADERS,0))))}</f>
        <v>SUBCLASSINITIAL8-L00</v>
      </c>
      <c r="Z283" s="81" t="str">
        <f t="array" ref="Z283:Z284">{"SUBCLASSINITIAL9-L00";((INDEX(ALLCLASSDATA,MATCH("SubclassInitial9-L00",CLASSFEATUREHEADERS,0),MATCH(($A284),CLASSNAMEHEADERS,0))))}</f>
        <v>SUBCLASSINITIAL9-L00</v>
      </c>
      <c r="AA283" s="81" t="str">
        <f t="array" ref="AA283:AA284">{"SUBCLASSINITIAL10-L00";((INDEX(ALLCLASSDATA,MATCH("SubclassInitial10-L00",CLASSFEATUREHEADERS,0),MATCH(($A284),CLASSNAMEHEADERS,0))))}</f>
        <v>SUBCLASSINITIAL10-L00</v>
      </c>
      <c r="AB283" s="76"/>
      <c r="AC283" s="76"/>
    </row>
    <row r="284">
      <c r="A284" s="48" t="s">
        <v>114</v>
      </c>
      <c r="B284" s="48"/>
      <c r="C284" s="48" t="s">
        <v>412</v>
      </c>
      <c r="D284" s="48" t="s">
        <v>614</v>
      </c>
      <c r="E284" s="48" t="s">
        <v>616</v>
      </c>
      <c r="F284" s="48"/>
      <c r="G284" s="47"/>
      <c r="H284" s="5" t="s">
        <v>819</v>
      </c>
      <c r="I284" s="5"/>
      <c r="J284" s="5"/>
      <c r="K284" s="5"/>
      <c r="L284" s="5"/>
      <c r="M284" s="5"/>
      <c r="N284" s="5"/>
      <c r="O284" s="5"/>
      <c r="P284" s="5"/>
      <c r="Q284" s="5"/>
      <c r="R284" s="5" t="s">
        <v>1809</v>
      </c>
      <c r="S284" s="5" t="s">
        <v>1829</v>
      </c>
      <c r="T284" s="5"/>
      <c r="U284" s="5"/>
      <c r="V284" s="5"/>
      <c r="W284" s="5"/>
      <c r="X284" s="5"/>
      <c r="Y284" s="5"/>
      <c r="Z284" s="5"/>
      <c r="AA284" s="5"/>
      <c r="AB284" s="5"/>
      <c r="AC284" s="47"/>
    </row>
    <row r="285" hidden="1">
      <c r="A285" s="76" t="str">
        <f t="array" ref="A285:A286">{"FormulaRow05";(INDEX(CLASSLIST,A276,1))}</f>
        <v>FormulaRow05</v>
      </c>
      <c r="B285" s="77" t="s">
        <v>236</v>
      </c>
      <c r="C285" s="76" t="str">
        <f t="array" ref="C285:C286">{"CLASSTYPE";((INDEX(ALLCLASSDATA,MATCH("ClassType",CLASSFEATUREHEADERS,0),MATCH($A286,CLASSNAMEHEADERS,0))))}</f>
        <v>CLASSTYPE</v>
      </c>
      <c r="D285" s="76" t="str">
        <f t="array" ref="D285:D286">{"INITIALFEATURESPTS";"InitialFeaturesPts"}</f>
        <v>INITIALFEATURESPTS</v>
      </c>
      <c r="E285" s="76" t="str">
        <f t="array" ref="E285:E286">{"CLASS/SUBCLASSFEATURES";"Class/Subclass Features"}</f>
        <v>CLASS/SUBCLASSFEATURES</v>
      </c>
      <c r="F285" s="76"/>
      <c r="G285" s="76"/>
      <c r="H285" s="76" t="str">
        <f t="array" ref="H285:H286">{"CLASSINITIALABILITY1-L00PTS";((INDEX(ALLCLASSDATA,MATCH("ClassInitialAbility1-L00",CLASSFEATUREHEADERS,0),MATCH(($A286 &amp; "Points"),CLASSNAMEHEADERS,0))))}</f>
        <v>CLASSINITIALABILITY1-L00PTS</v>
      </c>
      <c r="I285" s="76" t="str">
        <f t="array" ref="I285:I286">{"CLASSINITIALABILITY2-L00PTS";((INDEX(ALLCLASSDATA,MATCH("ClassInitialAbility2-L00",CLASSFEATUREHEADERS,0),MATCH(($A286 &amp; "Points"),CLASSNAMEHEADERS,0))))}</f>
        <v>CLASSINITIALABILITY2-L00PTS</v>
      </c>
      <c r="J285" s="76" t="str">
        <f t="array" ref="J285:J286">{"CLASSINITIALABILITY3-L00PTS";((INDEX(ALLCLASSDATA,MATCH("ClassInitialAbility3-L00",CLASSFEATUREHEADERS,0),MATCH(($A286 &amp; "Points"),CLASSNAMEHEADERS,0))))}</f>
        <v>CLASSINITIALABILITY3-L00PTS</v>
      </c>
      <c r="K285" s="76" t="str">
        <f t="array" ref="K285:K286">{"CLASSINITIALABILITY4-L00PTS";((INDEX(ALLCLASSDATA,MATCH("ClassInitialAbility4-L00",CLASSFEATUREHEADERS,0),MATCH(($A286 &amp; "Points"),CLASSNAMEHEADERS,0))))}</f>
        <v>CLASSINITIALABILITY4-L00PTS</v>
      </c>
      <c r="L285" s="76" t="str">
        <f t="array" ref="L285:L286">{"CLASSINITIALABILITY5-L00PTS";((INDEX(ALLCLASSDATA,MATCH("ClassInitialAbility5-L00",CLASSFEATUREHEADERS,0),MATCH(($A286 &amp; "Points"),CLASSNAMEHEADERS,0))))}</f>
        <v>CLASSINITIALABILITY5-L00PTS</v>
      </c>
      <c r="M285" s="76" t="str">
        <f t="array" ref="M285:M286">{"CLASSINITIALABILITY6-L00PTS";((INDEX(ALLCLASSDATA,MATCH("ClassInitialAbility6-L00",CLASSFEATUREHEADERS,0),MATCH(($A286 &amp; "Points"),CLASSNAMEHEADERS,0))))}</f>
        <v>CLASSINITIALABILITY6-L00PTS</v>
      </c>
      <c r="N285" s="76" t="str">
        <f t="array" ref="N285:N286">{"CLASSINITIALABILITY7-L00PTS";((INDEX(ALLCLASSDATA,MATCH("ClassInitialAbility7-L00",CLASSFEATUREHEADERS,0),MATCH(($A286 &amp; "Points"),CLASSNAMEHEADERS,0))))}</f>
        <v>CLASSINITIALABILITY7-L00PTS</v>
      </c>
      <c r="O285" s="76" t="str">
        <f t="array" ref="O285:O286">{"CLASSINITIALABILITY8-L00PTS";((INDEX(ALLCLASSDATA,MATCH("ClassInitialAbility8-L00",CLASSFEATUREHEADERS,0),MATCH(($A286 &amp; "Points"),CLASSNAMEHEADERS,0))))}</f>
        <v>CLASSINITIALABILITY8-L00PTS</v>
      </c>
      <c r="P285" s="76" t="str">
        <f t="array" ref="P285:P286">{"CLASSINITIALABILITY9-L00PTS";((INDEX(ALLCLASSDATA,MATCH("ClassInitialAbility9-L00",CLASSFEATUREHEADERS,0),MATCH(($A286 &amp; "Points"),CLASSNAMEHEADERS,0))))}</f>
        <v>CLASSINITIALABILITY9-L00PTS</v>
      </c>
      <c r="Q285" s="76" t="str">
        <f t="array" ref="Q285:Q286">{"CLASSINITIALABILITY10-L00PTS";((INDEX(ALLCLASSDATA,MATCH("ClassInitialAbility10-L00",CLASSFEATUREHEADERS,0),MATCH(($A286 &amp; "Points"),CLASSNAMEHEADERS,0))))}</f>
        <v>CLASSINITIALABILITY10-L00PTS</v>
      </c>
      <c r="R285" s="76" t="str">
        <f t="array" ref="R285:R286">{"SUBCLASSINITIAL1-L00PTS";((INDEX(ALLCLASSDATA,MATCH("SubclassInitial1-L00",CLASSFEATUREHEADERS,0),MATCH(($A286 &amp; "Points"),CLASSNAMEHEADERS,0))))}</f>
        <v>SUBCLASSINITIAL1-L00PTS</v>
      </c>
      <c r="S285" s="76" t="str">
        <f t="array" ref="S285:S286">{"SUBCLASSINITIAL2-L00PTS";((INDEX(ALLCLASSDATA,MATCH("SubclassInitial2-L00",CLASSFEATUREHEADERS,0),MATCH(($A286 &amp; "Points"),CLASSNAMEHEADERS,0))))}</f>
        <v>SUBCLASSINITIAL2-L00PTS</v>
      </c>
      <c r="T285" s="76" t="str">
        <f t="array" ref="T285:T286">{"SUBCLASSINITIAL3-L00PTS";((INDEX(ALLCLASSDATA,MATCH("SubclassInitial3-L00",CLASSFEATUREHEADERS,0),MATCH(($A286 &amp; "Points"),CLASSNAMEHEADERS,0))))}</f>
        <v>SUBCLASSINITIAL3-L00PTS</v>
      </c>
      <c r="U285" s="76" t="str">
        <f t="array" ref="U285:U286">{"SUBCLASSINITIAL4-L00PTS";((INDEX(ALLCLASSDATA,MATCH("SubclassInitial4-L00",CLASSFEATUREHEADERS,0),MATCH(($A286 &amp; "Points"),CLASSNAMEHEADERS,0))))}</f>
        <v>SUBCLASSINITIAL4-L00PTS</v>
      </c>
      <c r="V285" s="76" t="str">
        <f t="array" ref="V285:V286">{"SUBCLASSINITIAL5-L00PTS";((INDEX(ALLCLASSDATA,MATCH("SubclassInitial5-L00",CLASSFEATUREHEADERS,0),MATCH(($A286 &amp; "Points"),CLASSNAMEHEADERS,0))))}</f>
        <v>SUBCLASSINITIAL5-L00PTS</v>
      </c>
      <c r="W285" s="76" t="str">
        <f t="array" ref="W285:W286">{"SUBCLASSINITIAL6-L00PTS";((INDEX(ALLCLASSDATA,MATCH("SubclassInitial6-L00",CLASSFEATUREHEADERS,0),MATCH(($A286 &amp; "Points"),CLASSNAMEHEADERS,0))))}</f>
        <v>SUBCLASSINITIAL6-L00PTS</v>
      </c>
      <c r="X285" s="76" t="str">
        <f t="array" ref="X285:X286">{"SUBCLASSINITIAL7-L00PTS";((INDEX(ALLCLASSDATA,MATCH("SubclassInitial7-L00",CLASSFEATUREHEADERS,0),MATCH(($A286 &amp; "Points"),CLASSNAMEHEADERS,0))))}</f>
        <v>SUBCLASSINITIAL7-L00PTS</v>
      </c>
      <c r="Y285" s="76" t="str">
        <f t="array" ref="Y285:Y286">{"SUBCLASSINITIAL8-L00PTS";((INDEX(ALLCLASSDATA,MATCH("SubclassInitial8-L00",CLASSFEATUREHEADERS,0),MATCH(($A286 &amp; "Points"),CLASSNAMEHEADERS,0))))}</f>
        <v>SUBCLASSINITIAL8-L00PTS</v>
      </c>
      <c r="Z285" s="76" t="str">
        <f t="array" ref="Z285:Z286">{"SUBCLASSINITIAL9-L00PTS";((INDEX(ALLCLASSDATA,MATCH("SubclassInitial9-L00",CLASSFEATUREHEADERS,0),MATCH(($A286 &amp; "Points"),CLASSNAMEHEADERS,0))))}</f>
        <v>SUBCLASSINITIAL9-L00PTS</v>
      </c>
      <c r="AA285" s="76" t="str">
        <f t="array" ref="AA285:AA286">{"SUBCLASSINITIAL10-L00PTS";((INDEX(ALLCLASSDATA,MATCH("SubclassInitial10-L00",CLASSFEATUREHEADERS,0),MATCH(($A286 &amp; "Points"),CLASSNAMEHEADERS,0))))}</f>
        <v>SUBCLASSINITIAL10-L00PTS</v>
      </c>
      <c r="AB285" s="76"/>
      <c r="AC285" s="76" t="str">
        <f t="array" ref="AC285:AC286">{"INITIALFEATUREPTS TOTAL";(sum(G286:AA286))}</f>
        <v>INITIALFEATUREPTS TOTAL</v>
      </c>
    </row>
    <row r="286">
      <c r="A286" s="48" t="s">
        <v>114</v>
      </c>
      <c r="B286" s="48"/>
      <c r="C286" s="48" t="s">
        <v>412</v>
      </c>
      <c r="D286" s="97" t="s">
        <v>651</v>
      </c>
      <c r="E286" s="97" t="s">
        <v>616</v>
      </c>
      <c r="F286" s="97"/>
      <c r="G286" s="132"/>
      <c r="H286" s="98">
        <v>10.0</v>
      </c>
      <c r="I286" s="98"/>
      <c r="J286" s="97"/>
      <c r="K286" s="98"/>
      <c r="L286" s="97"/>
      <c r="M286" s="98"/>
      <c r="N286" s="98"/>
      <c r="O286" s="98"/>
      <c r="P286" s="98"/>
      <c r="Q286" s="98"/>
      <c r="R286" s="98">
        <v>10.0</v>
      </c>
      <c r="S286" s="98">
        <v>10.0</v>
      </c>
      <c r="T286" s="98"/>
      <c r="U286" s="98"/>
      <c r="V286" s="98"/>
      <c r="W286" s="98"/>
      <c r="X286" s="98"/>
      <c r="Y286" s="98"/>
      <c r="Z286" s="98"/>
      <c r="AA286" s="98"/>
      <c r="AB286" s="5"/>
      <c r="AC286" s="47">
        <v>30.0</v>
      </c>
    </row>
    <row r="287" hidden="1">
      <c r="A287" s="76" t="str">
        <f t="array" ref="A287:A288">{"FormulaRow06";(INDEX(CLASSLIST,A276,1))}</f>
        <v>FormulaRow06</v>
      </c>
      <c r="B287" s="77" t="s">
        <v>236</v>
      </c>
      <c r="C287" s="76" t="str">
        <f t="array" ref="C287:C288">{"CLASSTYPE";((INDEX(ALLCLASSDATA,MATCH("ClassType",CLASSFEATUREHEADERS,0),MATCH($A288,CLASSNAMEHEADERS,0))))}</f>
        <v>CLASSTYPE</v>
      </c>
      <c r="D287" s="81" t="str">
        <f t="array" ref="D287:D288">{"SKILLS";"Skills"}</f>
        <v>SKILLS</v>
      </c>
      <c r="E287" s="81" t="str">
        <f t="array" ref="E287:E288">{"EXTRASKILLINCREASES";"Extra Skill Increases"}</f>
        <v>EXTRASKILLINCREASES</v>
      </c>
      <c r="F287" s="81"/>
      <c r="G287" s="81"/>
      <c r="H287" s="81"/>
      <c r="I287" s="81" t="str">
        <f t="array" ref="I287:I288">{"SKILLINCREASEEXTRA-L02";((INDEX(ALLCLASSDATA,MATCH("SkillIncreaseExtra-L02",CLASSFEATUREHEADERS,0),MATCH(($A288 &amp; "Points"),CLASSNAMEHEADERS,0))))}</f>
        <v>SKILLINCREASEEXTRA-L02</v>
      </c>
      <c r="J287" s="81" t="str">
        <f t="array" ref="J287:J288">{"SKILLINCREASEEXTRA-L03";((INDEX(ALLCLASSDATA,MATCH("SkillIncreaseExtra-L03",CLASSFEATUREHEADERS,0),MATCH(($A288 &amp; "Points"),CLASSNAMEHEADERS,0))))}</f>
        <v>SKILLINCREASEEXTRA-L03</v>
      </c>
      <c r="K287" s="81" t="str">
        <f t="array" ref="K287:K288">{"SKILLINCREASEEXTRA-L04";((INDEX(ALLCLASSDATA,MATCH("SkillIncreaseExtra-L04",CLASSFEATUREHEADERS,0),MATCH(($A288 &amp; "Points"),CLASSNAMEHEADERS,0))))}</f>
        <v>SKILLINCREASEEXTRA-L04</v>
      </c>
      <c r="L287" s="81" t="str">
        <f t="array" ref="L287:L288">{"SKILLINCREASEEXTRA-L05";((INDEX(ALLCLASSDATA,MATCH("SkillIncreaseExtra-L05",CLASSFEATUREHEADERS,0),MATCH(($A288 &amp; "Points"),CLASSNAMEHEADERS,0))))}</f>
        <v>SKILLINCREASEEXTRA-L05</v>
      </c>
      <c r="M287" s="81" t="str">
        <f t="array" ref="M287:M288">{"SKILLINCREASEEXTRA-L06";((INDEX(ALLCLASSDATA,MATCH("SkillIncreaseExtra-L06",CLASSFEATUREHEADERS,0),MATCH(($A288 &amp; "Points"),CLASSNAMEHEADERS,0))))}</f>
        <v>SKILLINCREASEEXTRA-L06</v>
      </c>
      <c r="N287" s="81" t="str">
        <f t="array" ref="N287:N288">{"SKILLINCREASEEXTRA-L07";((INDEX(ALLCLASSDATA,MATCH("SkillIncreaseExtra-L07",CLASSFEATUREHEADERS,0),MATCH(($A288 &amp; "Points"),CLASSNAMEHEADERS,0))))}</f>
        <v>SKILLINCREASEEXTRA-L07</v>
      </c>
      <c r="O287" s="81" t="str">
        <f t="array" ref="O287:O288">{"SKILLINCREASEEXTRA-L08";((INDEX(ALLCLASSDATA,MATCH("SkillIncreaseExtra-L08",CLASSFEATUREHEADERS,0),MATCH(($A288 &amp; "Points"),CLASSNAMEHEADERS,0))))}</f>
        <v>SKILLINCREASEEXTRA-L08</v>
      </c>
      <c r="P287" s="81" t="str">
        <f t="array" ref="P287:P288">{"SKILLINCREASEEXTRA-L09";((INDEX(ALLCLASSDATA,MATCH("SkillIncreaseExtra-L09",CLASSFEATUREHEADERS,0),MATCH(($A288 &amp; "Points"),CLASSNAMEHEADERS,0))))}</f>
        <v>SKILLINCREASEEXTRA-L09</v>
      </c>
      <c r="Q287" s="81" t="str">
        <f t="array" ref="Q287:Q288">{"SKILLINCREASEEXTRA-L10";((INDEX(ALLCLASSDATA,MATCH("SkillIncreaseExtra-L10",CLASSFEATUREHEADERS,0),MATCH(($A288 &amp; "Points"),CLASSNAMEHEADERS,0))))}</f>
        <v>SKILLINCREASEEXTRA-L10</v>
      </c>
      <c r="R287" s="81" t="str">
        <f t="array" ref="R287:R288">{"SKILLINCREASEEXTRA-L11";((INDEX(ALLCLASSDATA,MATCH("SkillIncreaseExtra-L11",CLASSFEATUREHEADERS,0),MATCH(($A288 &amp; "Points"),CLASSNAMEHEADERS,0))))}</f>
        <v>SKILLINCREASEEXTRA-L11</v>
      </c>
      <c r="S287" s="81" t="str">
        <f t="array" ref="S287:S288">{"SKILLINCREASEEXTRA-L12";((INDEX(ALLCLASSDATA,MATCH("SkillIncreaseExtra-L12",CLASSFEATUREHEADERS,0),MATCH(($A288 &amp; "Points"),CLASSNAMEHEADERS,0))))}</f>
        <v>SKILLINCREASEEXTRA-L12</v>
      </c>
      <c r="T287" s="81" t="str">
        <f t="array" ref="T287:T288">{"SKILLINCREASEEXTRA-L13";((INDEX(ALLCLASSDATA,MATCH("SkillIncreaseExtra-L13",CLASSFEATUREHEADERS,0),MATCH(($A288 &amp; "Points"),CLASSNAMEHEADERS,0))))}</f>
        <v>SKILLINCREASEEXTRA-L13</v>
      </c>
      <c r="U287" s="81" t="str">
        <f t="array" ref="U287:U288">{"SKILLINCREASEEXTRA-L14";((INDEX(ALLCLASSDATA,MATCH("SkillIncreaseExtra-L14",CLASSFEATUREHEADERS,0),MATCH(($A288 &amp; "Points"),CLASSNAMEHEADERS,0))))}</f>
        <v>SKILLINCREASEEXTRA-L14</v>
      </c>
      <c r="V287" s="81" t="str">
        <f t="array" ref="V287:V288">{"SKILLINCREASEEXTRA-L15";((INDEX(ALLCLASSDATA,MATCH("SkillIncreaseExtra-L15",CLASSFEATUREHEADERS,0),MATCH(($A288 &amp; "Points"),CLASSNAMEHEADERS,0))))}</f>
        <v>SKILLINCREASEEXTRA-L15</v>
      </c>
      <c r="W287" s="81" t="str">
        <f t="array" ref="W287:W288">{"SKILLINCREASEEXTRA-L16";((INDEX(ALLCLASSDATA,MATCH("SkillIncreaseExtra-L16",CLASSFEATUREHEADERS,0),MATCH(($A288 &amp; "Points"),CLASSNAMEHEADERS,0))))}</f>
        <v>SKILLINCREASEEXTRA-L16</v>
      </c>
      <c r="X287" s="81" t="str">
        <f t="array" ref="X287:X288">{"SKILLINCREASEEXTRA-L17";((INDEX(ALLCLASSDATA,MATCH("SkillIncreaseExtra-L17",CLASSFEATUREHEADERS,0),MATCH(($A288 &amp; "Points"),CLASSNAMEHEADERS,0))))}</f>
        <v>SKILLINCREASEEXTRA-L17</v>
      </c>
      <c r="Y287" s="81" t="str">
        <f t="array" ref="Y287:Y288">{"SKILLINCREASEEXTRA-L18";((INDEX(ALLCLASSDATA,MATCH("SkillIncreaseExtra-L18",CLASSFEATUREHEADERS,0),MATCH(($A288 &amp; "Points"),CLASSNAMEHEADERS,0))))}</f>
        <v>SKILLINCREASEEXTRA-L18</v>
      </c>
      <c r="Z287" s="81" t="str">
        <f t="array" ref="Z287:Z288">{"SKILLINCREASEEXTRA-L19";((INDEX(ALLCLASSDATA,MATCH("SkillIncreaseExtra-L19",CLASSFEATUREHEADERS,0),MATCH(($A288 &amp; "Points"),CLASSNAMEHEADERS,0))))}</f>
        <v>SKILLINCREASEEXTRA-L19</v>
      </c>
      <c r="AA287" s="81" t="str">
        <f t="array" ref="AA287:AA288">{"SKILLINCREASEEXTRA-L20";((INDEX(ALLCLASSDATA,MATCH("SkillIncreaseExtra-L20",CLASSFEATUREHEADERS,0),MATCH(($A288 &amp; "Points"),CLASSNAMEHEADERS,0))))}</f>
        <v>SKILLINCREASEEXTRA-L20</v>
      </c>
      <c r="AB287" s="76"/>
      <c r="AC287" s="76" t="str">
        <f t="array" ref="AC287:AC288">{"SKILLINCREASE TOTAL";(sum(G288:AA288))}</f>
        <v>SKILLINCREASE TOTAL</v>
      </c>
    </row>
    <row r="288">
      <c r="A288" s="48" t="s">
        <v>114</v>
      </c>
      <c r="B288" s="48"/>
      <c r="C288" s="48" t="s">
        <v>412</v>
      </c>
      <c r="D288" s="48" t="s">
        <v>659</v>
      </c>
      <c r="E288" s="48" t="s">
        <v>661</v>
      </c>
      <c r="F288" s="48"/>
      <c r="G288" s="47"/>
      <c r="H288" s="5"/>
      <c r="I288" s="5" t="s">
        <v>603</v>
      </c>
      <c r="J288" s="5" t="s">
        <v>603</v>
      </c>
      <c r="K288" s="5" t="s">
        <v>603</v>
      </c>
      <c r="L288" s="48" t="s">
        <v>603</v>
      </c>
      <c r="M288" s="5" t="s">
        <v>603</v>
      </c>
      <c r="N288" s="5" t="s">
        <v>603</v>
      </c>
      <c r="O288" s="5" t="s">
        <v>603</v>
      </c>
      <c r="P288" s="5" t="s">
        <v>603</v>
      </c>
      <c r="Q288" s="5" t="s">
        <v>603</v>
      </c>
      <c r="R288" s="5" t="s">
        <v>603</v>
      </c>
      <c r="S288" s="5" t="s">
        <v>603</v>
      </c>
      <c r="T288" s="5" t="s">
        <v>603</v>
      </c>
      <c r="U288" s="5" t="s">
        <v>603</v>
      </c>
      <c r="V288" s="5" t="s">
        <v>603</v>
      </c>
      <c r="W288" s="5" t="s">
        <v>603</v>
      </c>
      <c r="X288" s="5" t="s">
        <v>603</v>
      </c>
      <c r="Y288" s="5" t="s">
        <v>603</v>
      </c>
      <c r="Z288" s="5" t="s">
        <v>603</v>
      </c>
      <c r="AA288" s="5" t="s">
        <v>603</v>
      </c>
      <c r="AB288" s="5"/>
      <c r="AC288" s="47">
        <v>0.0</v>
      </c>
    </row>
    <row r="289" hidden="1">
      <c r="A289" s="76" t="str">
        <f t="array" ref="A289:A290">{"FormulaRow07";(INDEX(CLASSLIST,A276,1))}</f>
        <v>FormulaRow07</v>
      </c>
      <c r="B289" s="77" t="s">
        <v>236</v>
      </c>
      <c r="C289" s="76" t="str">
        <f t="array" ref="C289:C290">{"CLASSTYPE";((INDEX(ALLCLASSDATA,MATCH("ClassType",CLASSFEATUREHEADERS,0),MATCH($A290,CLASSNAMEHEADERS,0))))}</f>
        <v>CLASSTYPE</v>
      </c>
      <c r="D289" s="76" t="str">
        <f t="array" ref="D289:D290">{"SKILLS";"Skills"}</f>
        <v>SKILLS</v>
      </c>
      <c r="E289" s="76" t="str">
        <f t="array" ref="E289:E290">{"EXTRASKILLFEATS";"Extra Skill Feats"}</f>
        <v>EXTRASKILLFEATS</v>
      </c>
      <c r="F289" s="76"/>
      <c r="G289" s="76"/>
      <c r="H289" s="76" t="str">
        <f t="array" ref="H289:H290">{"SKILLFEATEXTRA-L01";((INDEX(ALLCLASSDATA,MATCH("SkillFeatExtra-L01",CLASSFEATUREHEADERS,0),MATCH(($A290 &amp; "Points"),CLASSNAMEHEADERS,0))))}</f>
        <v>SKILLFEATEXTRA-L01</v>
      </c>
      <c r="I289" s="76" t="str">
        <f t="array" ref="I289:I290">{"SKILLFEATEXTRA-L02";((INDEX(ALLCLASSDATA,MATCH("SkillFeatExtra-L02",CLASSFEATUREHEADERS,0),MATCH(($A290 &amp; "Points"),CLASSNAMEHEADERS,0))))}</f>
        <v>SKILLFEATEXTRA-L02</v>
      </c>
      <c r="J289" s="76" t="str">
        <f t="array" ref="J289:J290">{"SKILLFEATEXTRA-L03";((INDEX(ALLCLASSDATA,MATCH("SkillFeatExtra-L03",CLASSFEATUREHEADERS,0),MATCH(($A290 &amp; "Points"),CLASSNAMEHEADERS,0))))}</f>
        <v>SKILLFEATEXTRA-L03</v>
      </c>
      <c r="K289" s="76" t="str">
        <f t="array" ref="K289:K290">{"SKILLFEATEXTRA-L04";((INDEX(ALLCLASSDATA,MATCH("SkillFeatExtra-L04",CLASSFEATUREHEADERS,0),MATCH(($A290 &amp; "Points"),CLASSNAMEHEADERS,0))))}</f>
        <v>SKILLFEATEXTRA-L04</v>
      </c>
      <c r="L289" s="76" t="str">
        <f t="array" ref="L289:L290">{"SKILLFEATEXTRA-L05";((INDEX(ALLCLASSDATA,MATCH("SkillFeatExtra-L05",CLASSFEATUREHEADERS,0),MATCH(($A290 &amp; "Points"),CLASSNAMEHEADERS,0))))}</f>
        <v>SKILLFEATEXTRA-L05</v>
      </c>
      <c r="M289" s="76" t="str">
        <f t="array" ref="M289:M290">{"SKILLFEATEXTRA-L06";((INDEX(ALLCLASSDATA,MATCH("SkillFeatExtra-L06",CLASSFEATUREHEADERS,0),MATCH(($A290 &amp; "Points"),CLASSNAMEHEADERS,0))))}</f>
        <v>SKILLFEATEXTRA-L06</v>
      </c>
      <c r="N289" s="76" t="str">
        <f t="array" ref="N289:N290">{"SKILLFEATEXTRA-L07";((INDEX(ALLCLASSDATA,MATCH("SkillFeatExtra-L07",CLASSFEATUREHEADERS,0),MATCH(($A290 &amp; "Points"),CLASSNAMEHEADERS,0))))}</f>
        <v>SKILLFEATEXTRA-L07</v>
      </c>
      <c r="O289" s="76" t="str">
        <f t="array" ref="O289:O290">{"SKILLFEATEXTRA-L08";((INDEX(ALLCLASSDATA,MATCH("SkillFeatExtra-L08",CLASSFEATUREHEADERS,0),MATCH(($A290 &amp; "Points"),CLASSNAMEHEADERS,0))))}</f>
        <v>SKILLFEATEXTRA-L08</v>
      </c>
      <c r="P289" s="76" t="str">
        <f t="array" ref="P289:P290">{"SKILLFEATEXTRA-L09";((INDEX(ALLCLASSDATA,MATCH("SkillFeatExtra-L09",CLASSFEATUREHEADERS,0),MATCH(($A290 &amp; "Points"),CLASSNAMEHEADERS,0))))}</f>
        <v>SKILLFEATEXTRA-L09</v>
      </c>
      <c r="Q289" s="76" t="str">
        <f t="array" ref="Q289:Q290">{"SKILLFEATEXTRA-L10";((INDEX(ALLCLASSDATA,MATCH("SkillFeatExtra-L10",CLASSFEATUREHEADERS,0),MATCH(($A290 &amp; "Points"),CLASSNAMEHEADERS,0))))}</f>
        <v>SKILLFEATEXTRA-L10</v>
      </c>
      <c r="R289" s="76" t="str">
        <f t="array" ref="R289:R290">{"SKILLFEATEXTRA-L11";((INDEX(ALLCLASSDATA,MATCH("SkillFeatExtra-L11",CLASSFEATUREHEADERS,0),MATCH(($A290 &amp; "Points"),CLASSNAMEHEADERS,0))))}</f>
        <v>SKILLFEATEXTRA-L11</v>
      </c>
      <c r="S289" s="76" t="str">
        <f t="array" ref="S289:S290">{"SKILLFEATEXTRA-L12";((INDEX(ALLCLASSDATA,MATCH("SkillFeatExtra-L12",CLASSFEATUREHEADERS,0),MATCH(($A290 &amp; "Points"),CLASSNAMEHEADERS,0))))}</f>
        <v>SKILLFEATEXTRA-L12</v>
      </c>
      <c r="T289" s="76" t="str">
        <f t="array" ref="T289:T290">{"SKILLFEATEXTRA-L13";((INDEX(ALLCLASSDATA,MATCH("SkillFeatExtra-L13",CLASSFEATUREHEADERS,0),MATCH(($A290 &amp; "Points"),CLASSNAMEHEADERS,0))))}</f>
        <v>SKILLFEATEXTRA-L13</v>
      </c>
      <c r="U289" s="76" t="str">
        <f t="array" ref="U289:U290">{"SKILLFEATEXTRA-L14";((INDEX(ALLCLASSDATA,MATCH("SkillFeatExtra-L14",CLASSFEATUREHEADERS,0),MATCH(($A290 &amp; "Points"),CLASSNAMEHEADERS,0))))}</f>
        <v>SKILLFEATEXTRA-L14</v>
      </c>
      <c r="V289" s="76" t="str">
        <f t="array" ref="V289:V290">{"SKILLFEATEXTRA-L15";((INDEX(ALLCLASSDATA,MATCH("SkillFeatExtra-L15",CLASSFEATUREHEADERS,0),MATCH(($A290 &amp; "Points"),CLASSNAMEHEADERS,0))))}</f>
        <v>SKILLFEATEXTRA-L15</v>
      </c>
      <c r="W289" s="76" t="str">
        <f t="array" ref="W289:W290">{"SKILLFEATEXTRA-L16";((INDEX(ALLCLASSDATA,MATCH("SkillFeatExtra-L16",CLASSFEATUREHEADERS,0),MATCH(($A290 &amp; "Points"),CLASSNAMEHEADERS,0))))}</f>
        <v>SKILLFEATEXTRA-L16</v>
      </c>
      <c r="X289" s="76" t="str">
        <f t="array" ref="X289:X290">{"SKILLFEATEXTRA-L17";((INDEX(ALLCLASSDATA,MATCH("SkillFeatExtra-L17",CLASSFEATUREHEADERS,0),MATCH(($A290 &amp; "Points"),CLASSNAMEHEADERS,0))))}</f>
        <v>SKILLFEATEXTRA-L17</v>
      </c>
      <c r="Y289" s="76" t="str">
        <f t="array" ref="Y289:Y290">{"SKILLFEATEXTRA-L18";((INDEX(ALLCLASSDATA,MATCH("SkillFeatExtra-L18",CLASSFEATUREHEADERS,0),MATCH(($A290 &amp; "Points"),CLASSNAMEHEADERS,0))))}</f>
        <v>SKILLFEATEXTRA-L18</v>
      </c>
      <c r="Z289" s="76" t="str">
        <f t="array" ref="Z289:Z290">{"SKILLFEATEXTRA-L19";((INDEX(ALLCLASSDATA,MATCH("SkillFeatExtra-L19",CLASSFEATUREHEADERS,0),MATCH(($A290 &amp; "Points"),CLASSNAMEHEADERS,0))))}</f>
        <v>SKILLFEATEXTRA-L19</v>
      </c>
      <c r="AA289" s="76" t="str">
        <f t="array" ref="AA289:AA290">{"SKILLFEATEXTRA-L20";((INDEX(ALLCLASSDATA,MATCH("SkillFeatExtra-L20",CLASSFEATUREHEADERS,0),MATCH(($A290 &amp; "Points"),CLASSNAMEHEADERS,0))))}</f>
        <v>SKILLFEATEXTRA-L20</v>
      </c>
      <c r="AB289" s="76"/>
      <c r="AC289" s="76" t="str">
        <f t="array" ref="AC289:AC290">{"SKILLFEAT TOTAL";(sum(G290:AA290))}</f>
        <v>SKILLFEAT TOTAL</v>
      </c>
    </row>
    <row r="290">
      <c r="A290" s="48" t="s">
        <v>114</v>
      </c>
      <c r="B290" s="48"/>
      <c r="C290" s="48" t="s">
        <v>412</v>
      </c>
      <c r="D290" s="97" t="s">
        <v>659</v>
      </c>
      <c r="E290" s="97" t="s">
        <v>722</v>
      </c>
      <c r="F290" s="97"/>
      <c r="G290" s="132"/>
      <c r="H290" s="98" t="s">
        <v>603</v>
      </c>
      <c r="I290" s="98" t="s">
        <v>603</v>
      </c>
      <c r="J290" s="97" t="s">
        <v>603</v>
      </c>
      <c r="K290" s="98" t="s">
        <v>603</v>
      </c>
      <c r="L290" s="97" t="s">
        <v>603</v>
      </c>
      <c r="M290" s="98" t="s">
        <v>603</v>
      </c>
      <c r="N290" s="98" t="s">
        <v>603</v>
      </c>
      <c r="O290" s="98" t="s">
        <v>603</v>
      </c>
      <c r="P290" s="98" t="s">
        <v>603</v>
      </c>
      <c r="Q290" s="98" t="s">
        <v>603</v>
      </c>
      <c r="R290" s="98" t="s">
        <v>603</v>
      </c>
      <c r="S290" s="98" t="s">
        <v>603</v>
      </c>
      <c r="T290" s="98" t="s">
        <v>603</v>
      </c>
      <c r="U290" s="98" t="s">
        <v>603</v>
      </c>
      <c r="V290" s="98" t="s">
        <v>603</v>
      </c>
      <c r="W290" s="98" t="s">
        <v>603</v>
      </c>
      <c r="X290" s="98" t="s">
        <v>603</v>
      </c>
      <c r="Y290" s="98" t="s">
        <v>603</v>
      </c>
      <c r="Z290" s="98" t="s">
        <v>603</v>
      </c>
      <c r="AA290" s="98" t="s">
        <v>603</v>
      </c>
      <c r="AB290" s="5"/>
      <c r="AC290" s="47">
        <v>0.0</v>
      </c>
    </row>
    <row r="291" hidden="1">
      <c r="A291" s="76" t="str">
        <f t="array" ref="A291:A292">{"FormulaRow08";(INDEX(CLASSLIST,A276,1))}</f>
        <v>FormulaRow08</v>
      </c>
      <c r="B291" s="77" t="s">
        <v>236</v>
      </c>
      <c r="C291" s="76" t="str">
        <f t="array" ref="C291:C292">{"CLASSTYPE";((INDEX(ALLCLASSDATA,MATCH("ClassType",CLASSFEATUREHEADERS,0),MATCH($A292,CLASSNAMEHEADERS,0))))}</f>
        <v>CLASSTYPE</v>
      </c>
      <c r="D291" s="81" t="str">
        <f t="array" ref="D291:D292">{"CLASSABILITY";"ClassAbility"}</f>
        <v>CLASSABILITY</v>
      </c>
      <c r="E291" s="81" t="str">
        <f t="array" ref="E291:E292">{"CLASSABILITY1";"ClassAbility1"}</f>
        <v>CLASSABILITY1</v>
      </c>
      <c r="F291" s="81"/>
      <c r="G291" s="81"/>
      <c r="H291" s="81"/>
      <c r="I291" s="81"/>
      <c r="J291" s="81" t="str">
        <f t="array" ref="J291:J292">{"CLASSABILITY1-L03";((INDEX(ALLCLASSDATA,MATCH("ClassAbility1-L03",CLASSFEATUREHEADERS,0),MATCH(($A292),CLASSNAMEHEADERS,0))))}</f>
        <v>CLASSABILITY1-L03</v>
      </c>
      <c r="K291" s="81"/>
      <c r="L291" s="81" t="str">
        <f t="array" ref="L291:L292">{"CLASSABILITY1-L05";((INDEX(ALLCLASSDATA,MATCH("ClassAbility1-L05",CLASSFEATUREHEADERS,0),MATCH(($A292),CLASSNAMEHEADERS,0))))}</f>
        <v>CLASSABILITY1-L05</v>
      </c>
      <c r="M291" s="81"/>
      <c r="N291" s="81" t="str">
        <f t="array" ref="N291:N292">{"CLASSABILITY1-L07";((INDEX(ALLCLASSDATA,MATCH("ClassAbility1-L07",CLASSFEATUREHEADERS,0),MATCH(($A292),CLASSNAMEHEADERS,0))))}</f>
        <v>CLASSABILITY1-L07</v>
      </c>
      <c r="O291" s="81"/>
      <c r="P291" s="81" t="str">
        <f t="array" ref="P291:P292">{"CLASSABILITY1-L09";((INDEX(ALLCLASSDATA,MATCH("ClassAbility1-L09",CLASSFEATUREHEADERS,0),MATCH(($A292),CLASSNAMEHEADERS,0))))}</f>
        <v>CLASSABILITY1-L09</v>
      </c>
      <c r="Q291" s="81"/>
      <c r="R291" s="81" t="str">
        <f t="array" ref="R291:R292">{"CLASSABILITY1-L11";((INDEX(ALLCLASSDATA,MATCH("ClassAbility1-L11",CLASSFEATUREHEADERS,0),MATCH(($A292),CLASSNAMEHEADERS,0))))}</f>
        <v>CLASSABILITY1-L11</v>
      </c>
      <c r="S291" s="81"/>
      <c r="T291" s="81" t="str">
        <f t="array" ref="T291:T292">{"CLASSABILITY1-L13";((INDEX(ALLCLASSDATA,MATCH("ClassAbility1-L13",CLASSFEATUREHEADERS,0),MATCH(($A292),CLASSNAMEHEADERS,0))))}</f>
        <v>CLASSABILITY1-L13</v>
      </c>
      <c r="U291" s="81"/>
      <c r="V291" s="81" t="str">
        <f t="array" ref="V291:V292">{"CLASSABILITY1-L15";((INDEX(ALLCLASSDATA,MATCH("ClassAbility1-L15",CLASSFEATUREHEADERS,0),MATCH(($A292),CLASSNAMEHEADERS,0))))}</f>
        <v>CLASSABILITY1-L15</v>
      </c>
      <c r="W291" s="81"/>
      <c r="X291" s="81" t="str">
        <f t="array" ref="X291:X292">{"CLASSABILITY1-L17";((INDEX(ALLCLASSDATA,MATCH("ClassAbility1-L17",CLASSFEATUREHEADERS,0),MATCH(($A292),CLASSNAMEHEADERS,0))))}</f>
        <v>CLASSABILITY1-L17</v>
      </c>
      <c r="Y291" s="81"/>
      <c r="Z291" s="81" t="str">
        <f t="array" ref="Z291:Z292">{"CLASSABILITY1-L19";((INDEX(ALLCLASSDATA,MATCH("ClassAbility1-L19",CLASSFEATUREHEADERS,0),MATCH(($A292),CLASSNAMEHEADERS,0))))}</f>
        <v>CLASSABILITY1-L19</v>
      </c>
      <c r="AA291" s="81"/>
      <c r="AB291" s="76"/>
      <c r="AC291" s="76"/>
    </row>
    <row r="292">
      <c r="A292" s="48" t="s">
        <v>114</v>
      </c>
      <c r="B292" s="48"/>
      <c r="C292" s="48" t="s">
        <v>412</v>
      </c>
      <c r="D292" s="48" t="s">
        <v>825</v>
      </c>
      <c r="E292" s="48" t="s">
        <v>826</v>
      </c>
      <c r="F292" s="5"/>
      <c r="G292" s="47"/>
      <c r="H292" s="5"/>
      <c r="I292" s="5"/>
      <c r="J292" s="5" t="s">
        <v>800</v>
      </c>
      <c r="K292" s="5"/>
      <c r="L292" s="5" t="s">
        <v>801</v>
      </c>
      <c r="M292" s="5"/>
      <c r="N292" s="5" t="s">
        <v>369</v>
      </c>
      <c r="O292" s="5"/>
      <c r="P292" s="5" t="s">
        <v>1716</v>
      </c>
      <c r="Q292" s="5"/>
      <c r="R292" s="5" t="s">
        <v>1730</v>
      </c>
      <c r="S292" s="5"/>
      <c r="T292" s="5" t="s">
        <v>1749</v>
      </c>
      <c r="U292" s="5"/>
      <c r="V292" s="5" t="s">
        <v>371</v>
      </c>
      <c r="W292" s="5"/>
      <c r="X292" s="5" t="s">
        <v>805</v>
      </c>
      <c r="Y292" s="5"/>
      <c r="Z292" s="5" t="s">
        <v>806</v>
      </c>
      <c r="AA292" s="5"/>
      <c r="AB292" s="5"/>
      <c r="AC292" s="47"/>
    </row>
    <row r="293" hidden="1">
      <c r="A293" s="76" t="str">
        <f t="array" ref="A293:A294">{"FormulaRow09";(INDEX(CLASSLIST,A276,1))}</f>
        <v>FormulaRow09</v>
      </c>
      <c r="B293" s="77" t="s">
        <v>236</v>
      </c>
      <c r="C293" s="76" t="str">
        <f t="array" ref="C293:C294">{"CLASSTYPE";((INDEX(ALLCLASSDATA,MATCH("ClassType",CLASSFEATUREHEADERS,0),MATCH($A294,CLASSNAMEHEADERS,0))))}</f>
        <v>CLASSTYPE</v>
      </c>
      <c r="D293" s="76" t="str">
        <f t="array" ref="D293:D294">{"CLASSABILITYPTS";"ClassAbilityPts"}</f>
        <v>CLASSABILITYPTS</v>
      </c>
      <c r="E293" s="76" t="str">
        <f t="array" ref="E293:E294">{"CLASSABILITY1";"ClassAbility1"}</f>
        <v>CLASSABILITY1</v>
      </c>
      <c r="F293" s="76"/>
      <c r="G293" s="76"/>
      <c r="H293" s="76"/>
      <c r="I293" s="76"/>
      <c r="J293" s="76" t="str">
        <f t="array" ref="J293:J294">{"CLASSABILITY1-L03PTS";((INDEX(ALLCLASSDATA,MATCH("ClassAbility1-L03",CLASSFEATUREHEADERS,0),MATCH(($A294 &amp; "Points"),CLASSNAMEHEADERS,0))))}</f>
        <v>CLASSABILITY1-L03PTS</v>
      </c>
      <c r="K293" s="76"/>
      <c r="L293" s="76" t="str">
        <f t="array" ref="L293:L294">{"CLASSABILITY1-L05PTS";((INDEX(ALLCLASSDATA,MATCH("ClassAbility1-L05",CLASSFEATUREHEADERS,0),MATCH(($A294 &amp; "Points"),CLASSNAMEHEADERS,0))))}</f>
        <v>CLASSABILITY1-L05PTS</v>
      </c>
      <c r="M293" s="76"/>
      <c r="N293" s="76" t="str">
        <f t="array" ref="N293:N294">{"CLASSABILITY1-L07PTS";((INDEX(ALLCLASSDATA,MATCH("ClassAbility1-L07",CLASSFEATUREHEADERS,0),MATCH(($A294 &amp; "Points"),CLASSNAMEHEADERS,0))))}</f>
        <v>CLASSABILITY1-L07PTS</v>
      </c>
      <c r="O293" s="76"/>
      <c r="P293" s="76" t="str">
        <f t="array" ref="P293:P294">{"CLASSABILITY1-L09PTS";((INDEX(ALLCLASSDATA,MATCH("ClassAbility1-L09",CLASSFEATUREHEADERS,0),MATCH(($A294 &amp; "Points"),CLASSNAMEHEADERS,0))))}</f>
        <v>CLASSABILITY1-L09PTS</v>
      </c>
      <c r="Q293" s="76"/>
      <c r="R293" s="76" t="str">
        <f t="array" ref="R293:R294">{"CLASSABILITY1-L11PTS";((INDEX(ALLCLASSDATA,MATCH("ClassAbility1-L11",CLASSFEATUREHEADERS,0),MATCH(($A294 &amp; "Points"),CLASSNAMEHEADERS,0))))}</f>
        <v>CLASSABILITY1-L11PTS</v>
      </c>
      <c r="S293" s="76"/>
      <c r="T293" s="76" t="str">
        <f t="array" ref="T293:T294">{"CLASSABILITY1-L13PTS";((INDEX(ALLCLASSDATA,MATCH("ClassAbility1-L13",CLASSFEATUREHEADERS,0),MATCH(($A294 &amp; "Points"),CLASSNAMEHEADERS,0))))}</f>
        <v>CLASSABILITY1-L13PTS</v>
      </c>
      <c r="U293" s="76"/>
      <c r="V293" s="76" t="str">
        <f t="array" ref="V293:V294">{"CLASSABILITY1-L15PTS";((INDEX(ALLCLASSDATA,MATCH("ClassAbility1-L15",CLASSFEATUREHEADERS,0),MATCH(($A294 &amp; "Points"),CLASSNAMEHEADERS,0))))}</f>
        <v>CLASSABILITY1-L15PTS</v>
      </c>
      <c r="W293" s="76"/>
      <c r="X293" s="76" t="str">
        <f t="array" ref="X293:X294">{"CLASSABILITY1-L17PTS";((INDEX(ALLCLASSDATA,MATCH("ClassAbility1-L17",CLASSFEATUREHEADERS,0),MATCH(($A294 &amp; "Points"),CLASSNAMEHEADERS,0))))}</f>
        <v>CLASSABILITY1-L17PTS</v>
      </c>
      <c r="Y293" s="76"/>
      <c r="Z293" s="76" t="str">
        <f t="array" ref="Z293:Z294">{"CLASSABILITY1-L19PTS";((INDEX(ALLCLASSDATA,MATCH("ClassAbility1-L19",CLASSFEATUREHEADERS,0),MATCH(($A294 &amp; "Points"),CLASSNAMEHEADERS,0))))}</f>
        <v>CLASSABILITY1-L19PTS</v>
      </c>
      <c r="AA293" s="76"/>
      <c r="AB293" s="76"/>
      <c r="AC293" s="76" t="str">
        <f t="array" ref="AC293:AC294">{"CLASSABILITY1 TOTAL";(sum(G294:AA294))}</f>
        <v>CLASSABILITY1 TOTAL</v>
      </c>
    </row>
    <row r="294">
      <c r="A294" s="48" t="s">
        <v>114</v>
      </c>
      <c r="B294" s="48"/>
      <c r="C294" s="48" t="s">
        <v>412</v>
      </c>
      <c r="D294" s="48" t="s">
        <v>930</v>
      </c>
      <c r="E294" s="48" t="s">
        <v>826</v>
      </c>
      <c r="F294" s="5"/>
      <c r="G294" s="5"/>
      <c r="H294" s="5"/>
      <c r="I294" s="5"/>
      <c r="J294" s="48">
        <v>30.0</v>
      </c>
      <c r="K294" s="5"/>
      <c r="L294" s="5"/>
      <c r="M294" s="5"/>
      <c r="N294" s="5"/>
      <c r="O294" s="5"/>
      <c r="P294" s="5">
        <v>30.0</v>
      </c>
      <c r="Q294" s="5"/>
      <c r="R294" s="5">
        <v>110.0</v>
      </c>
      <c r="S294" s="5"/>
      <c r="T294" s="5"/>
      <c r="U294" s="5"/>
      <c r="V294" s="5"/>
      <c r="W294" s="5"/>
      <c r="X294" s="5">
        <v>50.0</v>
      </c>
      <c r="Y294" s="5"/>
      <c r="Z294" s="5">
        <v>110.0</v>
      </c>
      <c r="AA294" s="5"/>
      <c r="AB294" s="5"/>
      <c r="AC294" s="47">
        <v>330.0</v>
      </c>
    </row>
    <row r="295" hidden="1">
      <c r="A295" s="76" t="str">
        <f t="array" ref="A295:A296">{"FormulaRow10";(INDEX(CLASSLIST,A276,1))}</f>
        <v>FormulaRow10</v>
      </c>
      <c r="B295" s="77" t="s">
        <v>236</v>
      </c>
      <c r="C295" s="76" t="str">
        <f t="array" ref="C295:C296">{"CLASSTYPE";((INDEX(ALLCLASSDATA,MATCH("ClassType",CLASSFEATUREHEADERS,0),MATCH($A296,CLASSNAMEHEADERS,0))))}</f>
        <v>CLASSTYPE</v>
      </c>
      <c r="D295" s="76" t="str">
        <f t="array" ref="D295:D296">{"CLASSABILITY";"ClassAbility"}</f>
        <v>CLASSABILITY</v>
      </c>
      <c r="E295" s="76" t="str">
        <f t="array" ref="E295:E296">{"CLASSABILITY2";"ClassAbility2"}</f>
        <v>CLASSABILITY2</v>
      </c>
      <c r="F295" s="76"/>
      <c r="G295" s="76"/>
      <c r="H295" s="76"/>
      <c r="I295" s="76"/>
      <c r="J295" s="76" t="str">
        <f t="array" ref="J295:J296">{"CLASSABILITY2-L03";((INDEX(ALLCLASSDATA,MATCH("ClassAbility2-L03",CLASSFEATUREHEADERS,0),MATCH(($A296),CLASSNAMEHEADERS,0))))}</f>
        <v>CLASSABILITY2-L03</v>
      </c>
      <c r="K295" s="76"/>
      <c r="L295" s="76" t="str">
        <f t="array" ref="L295:L296">{"CLASSABILITY2-L05";((INDEX(ALLCLASSDATA,MATCH("ClassAbility2-L05",CLASSFEATUREHEADERS,0),MATCH(($A296),CLASSNAMEHEADERS,0))))}</f>
        <v>CLASSABILITY2-L05</v>
      </c>
      <c r="M295" s="76"/>
      <c r="N295" s="76" t="str">
        <f t="array" ref="N295:N296">{"CLASSABILITY2-L07";((INDEX(ALLCLASSDATA,MATCH("ClassAbility2-L07",CLASSFEATUREHEADERS,0),MATCH(($A296),CLASSNAMEHEADERS,0))))}</f>
        <v>CLASSABILITY2-L07</v>
      </c>
      <c r="O295" s="76"/>
      <c r="P295" s="76" t="str">
        <f t="array" ref="P295:P296">{"CLASSABILITY2-L09";((INDEX(ALLCLASSDATA,MATCH("ClassAbility2-L09",CLASSFEATUREHEADERS,0),MATCH(($A296),CLASSNAMEHEADERS,0))))}</f>
        <v>CLASSABILITY2-L09</v>
      </c>
      <c r="Q295" s="76"/>
      <c r="R295" s="76" t="str">
        <f t="array" ref="R295:R296">{"CLASSABILITY2-L11";((INDEX(ALLCLASSDATA,MATCH("ClassAbility2-L11",CLASSFEATUREHEADERS,0),MATCH(($A296),CLASSNAMEHEADERS,0))))}</f>
        <v>CLASSABILITY2-L11</v>
      </c>
      <c r="S295" s="76"/>
      <c r="T295" s="76" t="str">
        <f t="array" ref="T295:T296">{"CLASSABILITY2-L13";((INDEX(ALLCLASSDATA,MATCH("ClassAbility2-L13",CLASSFEATUREHEADERS,0),MATCH(($A296),CLASSNAMEHEADERS,0))))}</f>
        <v>CLASSABILITY2-L13</v>
      </c>
      <c r="U295" s="76"/>
      <c r="V295" s="76" t="str">
        <f t="array" ref="V295:V296">{"CLASSABILITY2-L15";((INDEX(ALLCLASSDATA,MATCH("ClassAbility2-L15",CLASSFEATUREHEADERS,0),MATCH(($A296),CLASSNAMEHEADERS,0))))}</f>
        <v>CLASSABILITY2-L15</v>
      </c>
      <c r="W295" s="76"/>
      <c r="X295" s="76" t="str">
        <f t="array" ref="X295:X296">{"CLASSABILITY2-L17";((INDEX(ALLCLASSDATA,MATCH("ClassAbility2-L17",CLASSFEATUREHEADERS,0),MATCH(($A296),CLASSNAMEHEADERS,0))))}</f>
        <v>CLASSABILITY2-L17</v>
      </c>
      <c r="Y295" s="76"/>
      <c r="Z295" s="76" t="str">
        <f t="array" ref="Z295:Z296">{"CLASSABILITY2-L19";((INDEX(ALLCLASSDATA,MATCH("ClassAbility2-L19",CLASSFEATUREHEADERS,0),MATCH(($A296),CLASSNAMEHEADERS,0))))}</f>
        <v>CLASSABILITY2-L19</v>
      </c>
      <c r="AA295" s="76"/>
      <c r="AB295" s="76"/>
      <c r="AC295" s="76"/>
    </row>
    <row r="296">
      <c r="A296" s="48" t="s">
        <v>114</v>
      </c>
      <c r="B296" s="48"/>
      <c r="C296" s="48" t="s">
        <v>412</v>
      </c>
      <c r="D296" s="48" t="s">
        <v>825</v>
      </c>
      <c r="E296" s="48" t="s">
        <v>1007</v>
      </c>
      <c r="F296" s="48"/>
      <c r="G296" s="47"/>
      <c r="H296" s="5"/>
      <c r="I296" s="5"/>
      <c r="J296" s="5"/>
      <c r="K296" s="5"/>
      <c r="L296" s="5"/>
      <c r="M296" s="5"/>
      <c r="N296" s="5" t="s">
        <v>317</v>
      </c>
      <c r="O296" s="5"/>
      <c r="P296" s="5" t="s">
        <v>323</v>
      </c>
      <c r="Q296" s="5"/>
      <c r="R296" s="5"/>
      <c r="S296" s="5"/>
      <c r="T296" s="5" t="s">
        <v>1731</v>
      </c>
      <c r="U296" s="5"/>
      <c r="V296" s="5" t="s">
        <v>1764</v>
      </c>
      <c r="W296" s="5"/>
      <c r="X296" s="5" t="s">
        <v>1781</v>
      </c>
      <c r="Y296" s="5"/>
      <c r="Z296" s="5" t="s">
        <v>1798</v>
      </c>
      <c r="AA296" s="5"/>
      <c r="AB296" s="5"/>
      <c r="AC296" s="47"/>
    </row>
    <row r="297" hidden="1">
      <c r="A297" s="76" t="str">
        <f t="array" ref="A297:A298">{"FormulaRow11";(INDEX(CLASSLIST,A276,1))}</f>
        <v>FormulaRow11</v>
      </c>
      <c r="B297" s="77" t="s">
        <v>236</v>
      </c>
      <c r="C297" s="76" t="str">
        <f t="array" ref="C297:C298">{"CLASSTYPE";((INDEX(ALLCLASSDATA,MATCH("ClassType",CLASSFEATUREHEADERS,0),MATCH($A298,CLASSNAMEHEADERS,0))))}</f>
        <v>CLASSTYPE</v>
      </c>
      <c r="D297" s="76" t="str">
        <f t="array" ref="D297:D298">{"CLASSABILITYPTS";"ClassAbilityPts"}</f>
        <v>CLASSABILITYPTS</v>
      </c>
      <c r="E297" s="76" t="str">
        <f t="array" ref="E297:E298">{"CLASSABILITY2";"ClassAbility2"}</f>
        <v>CLASSABILITY2</v>
      </c>
      <c r="F297" s="76"/>
      <c r="G297" s="76"/>
      <c r="H297" s="76"/>
      <c r="I297" s="76"/>
      <c r="J297" s="76" t="str">
        <f t="array" ref="J297:J298">{"CLASSABILITY2-L03PTS";((INDEX(ALLCLASSDATA,MATCH("ClassAbility2-L03",CLASSFEATUREHEADERS,0),MATCH(($A298 &amp; "Points"),CLASSNAMEHEADERS,0))))}</f>
        <v>CLASSABILITY2-L03PTS</v>
      </c>
      <c r="K297" s="76"/>
      <c r="L297" s="76" t="str">
        <f t="array" ref="L297:L298">{"CLASSABILITY2-L05PTS";((INDEX(ALLCLASSDATA,MATCH("ClassAbility2-L05",CLASSFEATUREHEADERS,0),MATCH(($A298 &amp; "Points"),CLASSNAMEHEADERS,0))))}</f>
        <v>CLASSABILITY2-L05PTS</v>
      </c>
      <c r="M297" s="76"/>
      <c r="N297" s="76" t="str">
        <f t="array" ref="N297:N298">{"CLASSABILITY2-L07PTS";((INDEX(ALLCLASSDATA,MATCH("ClassAbility2-L07",CLASSFEATUREHEADERS,0),MATCH(($A298 &amp; "Points"),CLASSNAMEHEADERS,0))))}</f>
        <v>CLASSABILITY2-L07PTS</v>
      </c>
      <c r="O297" s="76"/>
      <c r="P297" s="76" t="str">
        <f t="array" ref="P297:P298">{"CLASSABILITY2-L09PTS";((INDEX(ALLCLASSDATA,MATCH("ClassAbility2-L09",CLASSFEATUREHEADERS,0),MATCH(($A298 &amp; "Points"),CLASSNAMEHEADERS,0))))}</f>
        <v>CLASSABILITY2-L09PTS</v>
      </c>
      <c r="Q297" s="76"/>
      <c r="R297" s="76" t="str">
        <f t="array" ref="R297:R298">{"CLASSABILITY2-L11PTS";((INDEX(ALLCLASSDATA,MATCH("ClassAbility2-L11",CLASSFEATUREHEADERS,0),MATCH(($A298 &amp; "Points"),CLASSNAMEHEADERS,0))))}</f>
        <v>CLASSABILITY2-L11PTS</v>
      </c>
      <c r="S297" s="76"/>
      <c r="T297" s="76" t="str">
        <f t="array" ref="T297:T298">{"CLASSABILITY2-L13PTS";((INDEX(ALLCLASSDATA,MATCH("ClassAbility2-L13",CLASSFEATUREHEADERS,0),MATCH(($A298 &amp; "Points"),CLASSNAMEHEADERS,0))))}</f>
        <v>CLASSABILITY2-L13PTS</v>
      </c>
      <c r="U297" s="76"/>
      <c r="V297" s="76" t="str">
        <f t="array" ref="V297:V298">{"CLASSABILITY2-L15PTS";((INDEX(ALLCLASSDATA,MATCH("ClassAbility2-L15",CLASSFEATUREHEADERS,0),MATCH(($A298 &amp; "Points"),CLASSNAMEHEADERS,0))))}</f>
        <v>CLASSABILITY2-L15PTS</v>
      </c>
      <c r="W297" s="76"/>
      <c r="X297" s="76" t="str">
        <f t="array" ref="X297:X298">{"CLASSABILITY2-L17PTS";((INDEX(ALLCLASSDATA,MATCH("ClassAbility2-L17",CLASSFEATUREHEADERS,0),MATCH(($A298 &amp; "Points"),CLASSNAMEHEADERS,0))))}</f>
        <v>CLASSABILITY2-L17PTS</v>
      </c>
      <c r="Y297" s="76"/>
      <c r="Z297" s="76" t="str">
        <f t="array" ref="Z297:Z298">{"CLASSABILITY2-L19PTS";((INDEX(ALLCLASSDATA,MATCH("ClassAbility2-L19",CLASSFEATUREHEADERS,0),MATCH(($A298 &amp; "Points"),CLASSNAMEHEADERS,0))))}</f>
        <v>CLASSABILITY2-L19PTS</v>
      </c>
      <c r="AA297" s="76"/>
      <c r="AB297" s="76"/>
      <c r="AC297" s="76" t="str">
        <f t="array" ref="AC297:AC298">{"CLASSABILITY2 TOTAL";(sum(G298:AA298))}</f>
        <v>CLASSABILITY2 TOTAL</v>
      </c>
    </row>
    <row r="298">
      <c r="A298" s="48" t="s">
        <v>114</v>
      </c>
      <c r="B298" s="48"/>
      <c r="C298" s="48" t="s">
        <v>412</v>
      </c>
      <c r="D298" s="48" t="s">
        <v>930</v>
      </c>
      <c r="E298" s="48" t="s">
        <v>1007</v>
      </c>
      <c r="F298" s="48"/>
      <c r="G298" s="47"/>
      <c r="H298" s="5"/>
      <c r="I298" s="5"/>
      <c r="J298" s="5"/>
      <c r="K298" s="5"/>
      <c r="L298" s="5"/>
      <c r="M298" s="5"/>
      <c r="N298" s="5"/>
      <c r="O298" s="5"/>
      <c r="P298" s="5"/>
      <c r="Q298" s="5"/>
      <c r="R298" s="5"/>
      <c r="S298" s="5"/>
      <c r="T298" s="5"/>
      <c r="U298" s="5"/>
      <c r="V298" s="5"/>
      <c r="W298" s="5"/>
      <c r="X298" s="5"/>
      <c r="Y298" s="5"/>
      <c r="Z298" s="5"/>
      <c r="AA298" s="5"/>
      <c r="AB298" s="5"/>
      <c r="AC298" s="47">
        <v>0.0</v>
      </c>
    </row>
    <row r="299" hidden="1">
      <c r="A299" s="76" t="str">
        <f t="array" ref="A299:A300">{"FormulaRow12";(INDEX(CLASSLIST,A276,1))}</f>
        <v>FormulaRow12</v>
      </c>
      <c r="B299" s="77" t="s">
        <v>236</v>
      </c>
      <c r="C299" s="76" t="str">
        <f t="array" ref="C299:C300">{"CLASSTYPE";((INDEX(ALLCLASSDATA,MATCH("ClassType",CLASSFEATUREHEADERS,0),MATCH($A300,CLASSNAMEHEADERS,0))))}</f>
        <v>CLASSTYPE</v>
      </c>
      <c r="D299" s="76" t="str">
        <f t="array" ref="D299:D300">{"CLASSABILITY";"ClassAbility"}</f>
        <v>CLASSABILITY</v>
      </c>
      <c r="E299" s="76" t="str">
        <f t="array" ref="E299:E300">{"CLASSABILITY3";"ClassAbility3"}</f>
        <v>CLASSABILITY3</v>
      </c>
      <c r="F299" s="76"/>
      <c r="G299" s="76"/>
      <c r="H299" s="76"/>
      <c r="I299" s="76"/>
      <c r="J299" s="76" t="str">
        <f t="array" ref="J299:J300">{"CLASSABILITY3-L03";((INDEX(ALLCLASSDATA,MATCH("ClassAbility3-L03",CLASSFEATUREHEADERS,0),MATCH(($A300),CLASSNAMEHEADERS,0))))}</f>
        <v>CLASSABILITY3-L03</v>
      </c>
      <c r="K299" s="76"/>
      <c r="L299" s="76" t="str">
        <f t="array" ref="L299:L300">{"CLASSABILITY3-L05";((INDEX(ALLCLASSDATA,MATCH("ClassAbility3-L05",CLASSFEATUREHEADERS,0),MATCH(($A300),CLASSNAMEHEADERS,0))))}</f>
        <v>CLASSABILITY3-L05</v>
      </c>
      <c r="M299" s="76"/>
      <c r="N299" s="76" t="str">
        <f t="array" ref="N299:N300">{"CLASSABILITY3-L07";((INDEX(ALLCLASSDATA,MATCH("ClassAbility3-L07",CLASSFEATUREHEADERS,0),MATCH(($A300),CLASSNAMEHEADERS,0))))}</f>
        <v>CLASSABILITY3-L07</v>
      </c>
      <c r="O299" s="76"/>
      <c r="P299" s="76" t="str">
        <f t="array" ref="P299:P300">{"CLASSABILITY3-L09";((INDEX(ALLCLASSDATA,MATCH("ClassAbility3-L09",CLASSFEATUREHEADERS,0),MATCH(($A300),CLASSNAMEHEADERS,0))))}</f>
        <v>CLASSABILITY3-L09</v>
      </c>
      <c r="Q299" s="76"/>
      <c r="R299" s="76" t="str">
        <f t="array" ref="R299:R300">{"CLASSABILITY3-L11";((INDEX(ALLCLASSDATA,MATCH("ClassAbility3-L11",CLASSFEATUREHEADERS,0),MATCH(($A300),CLASSNAMEHEADERS,0))))}</f>
        <v>CLASSABILITY3-L11</v>
      </c>
      <c r="S299" s="76"/>
      <c r="T299" s="76" t="str">
        <f t="array" ref="T299:T300">{"CLASSABILITY3-L13";((INDEX(ALLCLASSDATA,MATCH("ClassAbility3-L13",CLASSFEATUREHEADERS,0),MATCH(($A300),CLASSNAMEHEADERS,0))))}</f>
        <v>CLASSABILITY3-L13</v>
      </c>
      <c r="U299" s="76"/>
      <c r="V299" s="76" t="str">
        <f t="array" ref="V299:V300">{"CLASSABILITY3-L15";((INDEX(ALLCLASSDATA,MATCH("ClassAbility3-L15",CLASSFEATUREHEADERS,0),MATCH(($A300),CLASSNAMEHEADERS,0))))}</f>
        <v>CLASSABILITY3-L15</v>
      </c>
      <c r="W299" s="76"/>
      <c r="X299" s="76" t="str">
        <f t="array" ref="X299:X300">{"CLASSABILITY3-L17";((INDEX(ALLCLASSDATA,MATCH("ClassAbility3-L17",CLASSFEATUREHEADERS,0),MATCH(($A300),CLASSNAMEHEADERS,0))))}</f>
        <v>CLASSABILITY3-L17</v>
      </c>
      <c r="Y299" s="76"/>
      <c r="Z299" s="76" t="str">
        <f t="array" ref="Z299:Z300">{"CLASSABILITY3-L19";((INDEX(ALLCLASSDATA,MATCH("ClassAbility3-L19",CLASSFEATUREHEADERS,0),MATCH(($A300),CLASSNAMEHEADERS,0))))}</f>
        <v>CLASSABILITY3-L19</v>
      </c>
      <c r="AA299" s="76"/>
      <c r="AB299" s="76"/>
      <c r="AC299" s="76"/>
    </row>
    <row r="300">
      <c r="A300" s="48" t="s">
        <v>114</v>
      </c>
      <c r="B300" s="48"/>
      <c r="C300" s="48" t="s">
        <v>412</v>
      </c>
      <c r="D300" s="48" t="s">
        <v>825</v>
      </c>
      <c r="E300" s="48" t="s">
        <v>1144</v>
      </c>
      <c r="F300" s="48"/>
      <c r="G300" s="47"/>
      <c r="H300" s="5"/>
      <c r="I300" s="5"/>
      <c r="J300" s="5"/>
      <c r="K300" s="5"/>
      <c r="L300" s="5"/>
      <c r="M300" s="5"/>
      <c r="N300" s="5"/>
      <c r="O300" s="5"/>
      <c r="P300" s="5"/>
      <c r="Q300" s="5"/>
      <c r="R300" s="5"/>
      <c r="S300" s="5"/>
      <c r="T300" s="5" t="s">
        <v>320</v>
      </c>
      <c r="U300" s="5"/>
      <c r="V300" s="5"/>
      <c r="W300" s="5"/>
      <c r="X300" s="5"/>
      <c r="Y300" s="5"/>
      <c r="Z300" s="5"/>
      <c r="AA300" s="5"/>
      <c r="AB300" s="5"/>
      <c r="AC300" s="47"/>
    </row>
    <row r="301" hidden="1">
      <c r="A301" s="76" t="str">
        <f t="array" ref="A301:A302">{"FormulaRow13";(INDEX(CLASSLIST,A276,1))}</f>
        <v>FormulaRow13</v>
      </c>
      <c r="B301" s="77" t="s">
        <v>236</v>
      </c>
      <c r="C301" s="76" t="str">
        <f t="array" ref="C301:C302">{"CLASSTYPE";((INDEX(ALLCLASSDATA,MATCH("ClassType",CLASSFEATUREHEADERS,0),MATCH($A302,CLASSNAMEHEADERS,0))))}</f>
        <v>CLASSTYPE</v>
      </c>
      <c r="D301" s="76" t="str">
        <f t="array" ref="D301:D302">{"CLASSABILITYPTS";"ClassAbilityPts"}</f>
        <v>CLASSABILITYPTS</v>
      </c>
      <c r="E301" s="76" t="str">
        <f t="array" ref="E301:E302">{"CLASSABILITY3";"ClassAbility3"}</f>
        <v>CLASSABILITY3</v>
      </c>
      <c r="F301" s="76"/>
      <c r="G301" s="76"/>
      <c r="H301" s="76"/>
      <c r="I301" s="76"/>
      <c r="J301" s="76" t="str">
        <f t="array" ref="J301:J302">{"CLASSABILITY3-L03PTS";((INDEX(ALLCLASSDATA,MATCH("ClassAbility3-L03",CLASSFEATUREHEADERS,0),MATCH(($A302 &amp; "Points"),CLASSNAMEHEADERS,0))))}</f>
        <v>CLASSABILITY3-L03PTS</v>
      </c>
      <c r="K301" s="76"/>
      <c r="L301" s="76" t="str">
        <f t="array" ref="L301:L302">{"CLASSABILITY3-L05PTS";((INDEX(ALLCLASSDATA,MATCH("ClassAbility3-L05",CLASSFEATUREHEADERS,0),MATCH(($A302 &amp; "Points"),CLASSNAMEHEADERS,0))))}</f>
        <v>CLASSABILITY3-L05PTS</v>
      </c>
      <c r="M301" s="76"/>
      <c r="N301" s="76" t="str">
        <f t="array" ref="N301:N302">{"CLASSABILITY3-L07PTS";((INDEX(ALLCLASSDATA,MATCH("ClassAbility3-L07",CLASSFEATUREHEADERS,0),MATCH(($A302 &amp; "Points"),CLASSNAMEHEADERS,0))))}</f>
        <v>CLASSABILITY3-L07PTS</v>
      </c>
      <c r="O301" s="76"/>
      <c r="P301" s="76" t="str">
        <f t="array" ref="P301:P302">{"CLASSABILITY3-L09PTS";((INDEX(ALLCLASSDATA,MATCH("ClassAbility3-L09",CLASSFEATUREHEADERS,0),MATCH(($A302 &amp; "Points"),CLASSNAMEHEADERS,0))))}</f>
        <v>CLASSABILITY3-L09PTS</v>
      </c>
      <c r="Q301" s="76"/>
      <c r="R301" s="76" t="str">
        <f t="array" ref="R301:R302">{"CLASSABILITY3-L11PTS";((INDEX(ALLCLASSDATA,MATCH("ClassAbility3-L11",CLASSFEATUREHEADERS,0),MATCH(($A302 &amp; "Points"),CLASSNAMEHEADERS,0))))}</f>
        <v>CLASSABILITY3-L11PTS</v>
      </c>
      <c r="S301" s="76"/>
      <c r="T301" s="76" t="str">
        <f t="array" ref="T301:T302">{"CLASSABILITY3-L13PTS";((INDEX(ALLCLASSDATA,MATCH("ClassAbility3-L13",CLASSFEATUREHEADERS,0),MATCH(($A302 &amp; "Points"),CLASSNAMEHEADERS,0))))}</f>
        <v>CLASSABILITY3-L13PTS</v>
      </c>
      <c r="U301" s="76"/>
      <c r="V301" s="76" t="str">
        <f t="array" ref="V301:V302">{"CLASSABILITY3-L15PTS";((INDEX(ALLCLASSDATA,MATCH("ClassAbility3-L15",CLASSFEATUREHEADERS,0),MATCH(($A302 &amp; "Points"),CLASSNAMEHEADERS,0))))}</f>
        <v>CLASSABILITY3-L15PTS</v>
      </c>
      <c r="W301" s="76"/>
      <c r="X301" s="76" t="str">
        <f t="array" ref="X301:X302">{"CLASSABILITY3-L17PTS";((INDEX(ALLCLASSDATA,MATCH("ClassAbility3-L17",CLASSFEATUREHEADERS,0),MATCH(($A302 &amp; "Points"),CLASSNAMEHEADERS,0))))}</f>
        <v>CLASSABILITY3-L17PTS</v>
      </c>
      <c r="Y301" s="76"/>
      <c r="Z301" s="76" t="str">
        <f t="array" ref="Z301:Z302">{"CLASSABILITY3-L19PTS";((INDEX(ALLCLASSDATA,MATCH("ClassAbility3-L19",CLASSFEATUREHEADERS,0),MATCH(($A302 &amp; "Points"),CLASSNAMEHEADERS,0))))}</f>
        <v>CLASSABILITY3-L19PTS</v>
      </c>
      <c r="AA301" s="76"/>
      <c r="AB301" s="76"/>
      <c r="AC301" s="76" t="str">
        <f t="array" ref="AC301:AC302">{"CLASSABILITY3 TOTAL";(sum(G302:AA302))}</f>
        <v>CLASSABILITY3 TOTAL</v>
      </c>
    </row>
    <row r="302">
      <c r="A302" s="48" t="s">
        <v>114</v>
      </c>
      <c r="B302" s="48"/>
      <c r="C302" s="48" t="s">
        <v>412</v>
      </c>
      <c r="D302" s="48" t="s">
        <v>930</v>
      </c>
      <c r="E302" s="48" t="s">
        <v>1144</v>
      </c>
      <c r="F302" s="48"/>
      <c r="G302" s="47"/>
      <c r="H302" s="5"/>
      <c r="I302" s="5"/>
      <c r="J302" s="5"/>
      <c r="K302" s="5"/>
      <c r="L302" s="5"/>
      <c r="M302" s="5"/>
      <c r="N302" s="5"/>
      <c r="O302" s="5"/>
      <c r="P302" s="5"/>
      <c r="Q302" s="5"/>
      <c r="R302" s="5"/>
      <c r="S302" s="5"/>
      <c r="T302" s="5"/>
      <c r="U302" s="5"/>
      <c r="V302" s="5"/>
      <c r="W302" s="5"/>
      <c r="X302" s="5"/>
      <c r="Y302" s="5"/>
      <c r="Z302" s="5"/>
      <c r="AA302" s="5"/>
      <c r="AB302" s="5"/>
      <c r="AC302" s="47">
        <v>0.0</v>
      </c>
    </row>
    <row r="303" hidden="1">
      <c r="A303" s="76" t="str">
        <f t="array" ref="A303:A304">{"FormulaRow14";(INDEX(CLASSLIST,A276,1))}</f>
        <v>FormulaRow14</v>
      </c>
      <c r="B303" s="77" t="s">
        <v>236</v>
      </c>
      <c r="C303" s="76" t="str">
        <f t="array" ref="C303:C304">{"CLASSTYPE";((INDEX(ALLCLASSDATA,MATCH("ClassType",CLASSFEATUREHEADERS,0),MATCH($A304,CLASSNAMEHEADERS,0))))}</f>
        <v>CLASSTYPE</v>
      </c>
      <c r="D303" s="76" t="str">
        <f t="array" ref="D303:D304">{"CLASSABILITY";"ClassAbility"}</f>
        <v>CLASSABILITY</v>
      </c>
      <c r="E303" s="76" t="str">
        <f t="array" ref="E303:E304">{"CLASSABILITY4";"ClassAbility4"}</f>
        <v>CLASSABILITY4</v>
      </c>
      <c r="F303" s="76"/>
      <c r="G303" s="76"/>
      <c r="H303" s="76"/>
      <c r="I303" s="76"/>
      <c r="J303" s="76" t="str">
        <f t="array" ref="J303:J304">{"CLASSABILITY4-L03";((INDEX(ALLCLASSDATA,MATCH("ClassAbility4-L03",CLASSFEATUREHEADERS,0),MATCH(($A304),CLASSNAMEHEADERS,0))))}</f>
        <v>CLASSABILITY4-L03</v>
      </c>
      <c r="K303" s="76"/>
      <c r="L303" s="76" t="str">
        <f t="array" ref="L303:L304">{"CLASSABILITY4-L05";((INDEX(ALLCLASSDATA,MATCH("ClassAbility4-L05",CLASSFEATUREHEADERS,0),MATCH(($A304),CLASSNAMEHEADERS,0))))}</f>
        <v>CLASSABILITY4-L05</v>
      </c>
      <c r="M303" s="76"/>
      <c r="N303" s="76" t="str">
        <f t="array" ref="N303:N304">{"CLASSABILITY4-L07";((INDEX(ALLCLASSDATA,MATCH("ClassAbility4-L07",CLASSFEATUREHEADERS,0),MATCH(($A304),CLASSNAMEHEADERS,0))))}</f>
        <v>CLASSABILITY4-L07</v>
      </c>
      <c r="O303" s="76"/>
      <c r="P303" s="76" t="str">
        <f t="array" ref="P303:P304">{"CLASSABILITY4-L09";((INDEX(ALLCLASSDATA,MATCH("ClassAbility4-L09",CLASSFEATUREHEADERS,0),MATCH(($A304),CLASSNAMEHEADERS,0))))}</f>
        <v>CLASSABILITY4-L09</v>
      </c>
      <c r="Q303" s="76"/>
      <c r="R303" s="76" t="str">
        <f t="array" ref="R303:R304">{"CLASSABILITY4-L11";((INDEX(ALLCLASSDATA,MATCH("ClassAbility4-L11",CLASSFEATUREHEADERS,0),MATCH(($A304),CLASSNAMEHEADERS,0))))}</f>
        <v>CLASSABILITY4-L11</v>
      </c>
      <c r="S303" s="76"/>
      <c r="T303" s="76" t="str">
        <f t="array" ref="T303:T304">{"CLASSABILITY4-L13";((INDEX(ALLCLASSDATA,MATCH("ClassAbility4-L13",CLASSFEATUREHEADERS,0),MATCH(($A304),CLASSNAMEHEADERS,0))))}</f>
        <v>CLASSABILITY4-L13</v>
      </c>
      <c r="U303" s="76"/>
      <c r="V303" s="76" t="str">
        <f t="array" ref="V303:V304">{"CLASSABILITY4-L15";((INDEX(ALLCLASSDATA,MATCH("ClassAbility4-L15",CLASSFEATUREHEADERS,0),MATCH(($A304),CLASSNAMEHEADERS,0))))}</f>
        <v>CLASSABILITY4-L15</v>
      </c>
      <c r="W303" s="76"/>
      <c r="X303" s="76" t="str">
        <f t="array" ref="X303:X304">{"CLASSABILITY4-L17";((INDEX(ALLCLASSDATA,MATCH("ClassAbility4-L17",CLASSFEATUREHEADERS,0),MATCH(($A304),CLASSNAMEHEADERS,0))))}</f>
        <v>CLASSABILITY4-L17</v>
      </c>
      <c r="Y303" s="76"/>
      <c r="Z303" s="76" t="str">
        <f t="array" ref="Z303:Z304">{"CLASSABILITY4-L19";((INDEX(ALLCLASSDATA,MATCH("ClassAbility4-L19",CLASSFEATUREHEADERS,0),MATCH(($A304),CLASSNAMEHEADERS,0))))}</f>
        <v>CLASSABILITY4-L19</v>
      </c>
      <c r="AA303" s="76"/>
      <c r="AB303" s="76"/>
      <c r="AC303" s="76"/>
    </row>
    <row r="304">
      <c r="A304" s="48" t="s">
        <v>114</v>
      </c>
      <c r="B304" s="48"/>
      <c r="C304" s="48" t="s">
        <v>412</v>
      </c>
      <c r="D304" s="48" t="s">
        <v>825</v>
      </c>
      <c r="E304" s="48" t="s">
        <v>1273</v>
      </c>
      <c r="F304" s="48"/>
      <c r="G304" s="47"/>
      <c r="H304" s="5"/>
      <c r="I304" s="5"/>
      <c r="J304" s="5"/>
      <c r="K304" s="5"/>
      <c r="L304" s="5"/>
      <c r="M304" s="5"/>
      <c r="N304" s="5"/>
      <c r="O304" s="5"/>
      <c r="P304" s="5"/>
      <c r="Q304" s="5"/>
      <c r="R304" s="5"/>
      <c r="S304" s="5"/>
      <c r="T304" s="5"/>
      <c r="U304" s="5"/>
      <c r="V304" s="5"/>
      <c r="W304" s="5"/>
      <c r="X304" s="5"/>
      <c r="Y304" s="5"/>
      <c r="Z304" s="5"/>
      <c r="AA304" s="5"/>
      <c r="AB304" s="5"/>
      <c r="AC304" s="47"/>
    </row>
    <row r="305" hidden="1">
      <c r="A305" s="76" t="str">
        <f t="array" ref="A305:A306">{"FormulaRow15";(INDEX(CLASSLIST,A276,1))}</f>
        <v>FormulaRow15</v>
      </c>
      <c r="B305" s="77" t="s">
        <v>236</v>
      </c>
      <c r="C305" s="76" t="str">
        <f t="array" ref="C305:C306">{"CLASSTYPE";((INDEX(ALLCLASSDATA,MATCH("ClassType",CLASSFEATUREHEADERS,0),MATCH($A306,CLASSNAMEHEADERS,0))))}</f>
        <v>CLASSTYPE</v>
      </c>
      <c r="D305" s="76" t="str">
        <f t="array" ref="D305:D306">{"CLASSABILITYPTS";"ClassAbilityPts"}</f>
        <v>CLASSABILITYPTS</v>
      </c>
      <c r="E305" s="76" t="str">
        <f t="array" ref="E305:E306">{"CLASSABILITY4";"ClassAbility4"}</f>
        <v>CLASSABILITY4</v>
      </c>
      <c r="F305" s="76"/>
      <c r="G305" s="76"/>
      <c r="H305" s="76"/>
      <c r="I305" s="76"/>
      <c r="J305" s="76" t="str">
        <f t="array" ref="J305:J306">{"CLASSABILITY4-L03PTS";((INDEX(ALLCLASSDATA,MATCH("ClassAbility4-L03",CLASSFEATUREHEADERS,0),MATCH(($A306 &amp; "Points"),CLASSNAMEHEADERS,0))))}</f>
        <v>CLASSABILITY4-L03PTS</v>
      </c>
      <c r="K305" s="76"/>
      <c r="L305" s="76" t="str">
        <f t="array" ref="L305:L306">{"CLASSABILITY4-L05PTS";((INDEX(ALLCLASSDATA,MATCH("ClassAbility4-L05",CLASSFEATUREHEADERS,0),MATCH(($A306 &amp; "Points"),CLASSNAMEHEADERS,0))))}</f>
        <v>CLASSABILITY4-L05PTS</v>
      </c>
      <c r="M305" s="76"/>
      <c r="N305" s="76" t="str">
        <f t="array" ref="N305:N306">{"CLASSABILITY4-L07PTS";((INDEX(ALLCLASSDATA,MATCH("ClassAbility4-L07",CLASSFEATUREHEADERS,0),MATCH(($A306 &amp; "Points"),CLASSNAMEHEADERS,0))))}</f>
        <v>CLASSABILITY4-L07PTS</v>
      </c>
      <c r="O305" s="76"/>
      <c r="P305" s="76" t="str">
        <f t="array" ref="P305:P306">{"CLASSABILITY4-L09PTS";((INDEX(ALLCLASSDATA,MATCH("ClassAbility4-L09",CLASSFEATUREHEADERS,0),MATCH(($A306 &amp; "Points"),CLASSNAMEHEADERS,0))))}</f>
        <v>CLASSABILITY4-L09PTS</v>
      </c>
      <c r="Q305" s="76"/>
      <c r="R305" s="76" t="str">
        <f t="array" ref="R305:R306">{"CLASSABILITY4-L11PTS";((INDEX(ALLCLASSDATA,MATCH("ClassAbility4-L11",CLASSFEATUREHEADERS,0),MATCH(($A306 &amp; "Points"),CLASSNAMEHEADERS,0))))}</f>
        <v>CLASSABILITY4-L11PTS</v>
      </c>
      <c r="S305" s="76"/>
      <c r="T305" s="76" t="str">
        <f t="array" ref="T305:T306">{"CLASSABILITY4-L13PTS";((INDEX(ALLCLASSDATA,MATCH("ClassAbility4-L13",CLASSFEATUREHEADERS,0),MATCH(($A306 &amp; "Points"),CLASSNAMEHEADERS,0))))}</f>
        <v>CLASSABILITY4-L13PTS</v>
      </c>
      <c r="U305" s="76"/>
      <c r="V305" s="76" t="str">
        <f t="array" ref="V305:V306">{"CLASSABILITY4-L15PTS";((INDEX(ALLCLASSDATA,MATCH("ClassAbility4-L15",CLASSFEATUREHEADERS,0),MATCH(($A306 &amp; "Points"),CLASSNAMEHEADERS,0))))}</f>
        <v>CLASSABILITY4-L15PTS</v>
      </c>
      <c r="W305" s="76"/>
      <c r="X305" s="76" t="str">
        <f t="array" ref="X305:X306">{"CLASSABILITY4-L17PTS";((INDEX(ALLCLASSDATA,MATCH("ClassAbility4-L17",CLASSFEATUREHEADERS,0),MATCH(($A306 &amp; "Points"),CLASSNAMEHEADERS,0))))}</f>
        <v>CLASSABILITY4-L17PTS</v>
      </c>
      <c r="Y305" s="76"/>
      <c r="Z305" s="76" t="str">
        <f t="array" ref="Z305:Z306">{"CLASSABILITY4-L19PTS";((INDEX(ALLCLASSDATA,MATCH("ClassAbility4-L19",CLASSFEATUREHEADERS,0),MATCH(($A306 &amp; "Points"),CLASSNAMEHEADERS,0))))}</f>
        <v>CLASSABILITY4-L19PTS</v>
      </c>
      <c r="AA305" s="76"/>
      <c r="AB305" s="76"/>
      <c r="AC305" s="76" t="str">
        <f t="array" ref="AC305:AC306">{"CLASSABILITY4 TOTAL";(sum(G306:AA306))}</f>
        <v>CLASSABILITY4 TOTAL</v>
      </c>
    </row>
    <row r="306">
      <c r="A306" s="48" t="s">
        <v>114</v>
      </c>
      <c r="B306" s="48"/>
      <c r="C306" s="48" t="s">
        <v>412</v>
      </c>
      <c r="D306" s="48" t="s">
        <v>930</v>
      </c>
      <c r="E306" s="48" t="s">
        <v>1273</v>
      </c>
      <c r="F306" s="48"/>
      <c r="G306" s="47"/>
      <c r="H306" s="5"/>
      <c r="I306" s="5"/>
      <c r="J306" s="5"/>
      <c r="K306" s="5"/>
      <c r="L306" s="5"/>
      <c r="M306" s="5"/>
      <c r="N306" s="5"/>
      <c r="O306" s="5"/>
      <c r="P306" s="5"/>
      <c r="Q306" s="5"/>
      <c r="R306" s="5"/>
      <c r="S306" s="5"/>
      <c r="T306" s="5"/>
      <c r="U306" s="5"/>
      <c r="V306" s="5"/>
      <c r="W306" s="5"/>
      <c r="X306" s="5"/>
      <c r="Y306" s="5"/>
      <c r="Z306" s="5"/>
      <c r="AA306" s="5"/>
      <c r="AB306" s="5"/>
      <c r="AC306" s="47">
        <v>0.0</v>
      </c>
    </row>
    <row r="307" hidden="1">
      <c r="A307" s="76" t="str">
        <f t="array" ref="A307:A308">{"FormulaRow16";(INDEX(CLASSLIST,A276,1))}</f>
        <v>FormulaRow16</v>
      </c>
      <c r="B307" s="77" t="s">
        <v>236</v>
      </c>
      <c r="C307" s="76" t="str">
        <f t="array" ref="C307:C308">{"CLASSTYPE";((INDEX(ALLCLASSDATA,MATCH("ClassType",CLASSFEATUREHEADERS,0),MATCH($A308,CLASSNAMEHEADERS,0))))}</f>
        <v>CLASSTYPE</v>
      </c>
      <c r="D307" s="76" t="str">
        <f t="array" ref="D307:D308">{"CLASSABILITY";"ClassAbility"}</f>
        <v>CLASSABILITY</v>
      </c>
      <c r="E307" s="76" t="str">
        <f t="array" ref="E307:E308">{"SUBCLASSABILITY1";"SubclassAbility1"}</f>
        <v>SUBCLASSABILITY1</v>
      </c>
      <c r="F307" s="76"/>
      <c r="G307" s="76"/>
      <c r="H307" s="76"/>
      <c r="I307" s="76"/>
      <c r="J307" s="76" t="str">
        <f t="array" ref="J307:J308">{"SUBCLASSABILITY1-L03";((INDEX(ALLCLASSDATA,MATCH("SubclassAbility1-L03",CLASSFEATUREHEADERS,0),MATCH(($A308),CLASSNAMEHEADERS,0))))}</f>
        <v>SUBCLASSABILITY1-L03</v>
      </c>
      <c r="K307" s="76"/>
      <c r="L307" s="76" t="str">
        <f t="array" ref="L307:L308">{"SUBCLASSABILITY1-L05";((INDEX(ALLCLASSDATA,MATCH("SubclassAbility1-L05",CLASSFEATUREHEADERS,0),MATCH(($A308),CLASSNAMEHEADERS,0))))}</f>
        <v>SUBCLASSABILITY1-L05</v>
      </c>
      <c r="M307" s="76"/>
      <c r="N307" s="76" t="str">
        <f t="array" ref="N307:N308">{"SUBCLASSABILITY1-L07";((INDEX(ALLCLASSDATA,MATCH("SubclassAbility1-L07",CLASSFEATUREHEADERS,0),MATCH(($A308),CLASSNAMEHEADERS,0))))}</f>
        <v>SUBCLASSABILITY1-L07</v>
      </c>
      <c r="O307" s="76"/>
      <c r="P307" s="76" t="str">
        <f t="array" ref="P307:P308">{"SUBCLASSABILITY1-L09";((INDEX(ALLCLASSDATA,MATCH("SubclassAbility1-L09",CLASSFEATUREHEADERS,0),MATCH(($A308),CLASSNAMEHEADERS,0))))}</f>
        <v>SUBCLASSABILITY1-L09</v>
      </c>
      <c r="Q307" s="76"/>
      <c r="R307" s="76" t="str">
        <f t="array" ref="R307:R308">{"SUBCLASSABILITY1-L11";((INDEX(ALLCLASSDATA,MATCH("SubclassAbility1-L11",CLASSFEATUREHEADERS,0),MATCH(($A308),CLASSNAMEHEADERS,0))))}</f>
        <v>SUBCLASSABILITY1-L11</v>
      </c>
      <c r="S307" s="76"/>
      <c r="T307" s="76" t="str">
        <f t="array" ref="T307:T308">{"SUBCLASSABILITY1-L13";((INDEX(ALLCLASSDATA,MATCH("SubclassAbility1-L13",CLASSFEATUREHEADERS,0),MATCH(($A308),CLASSNAMEHEADERS,0))))}</f>
        <v>SUBCLASSABILITY1-L13</v>
      </c>
      <c r="U307" s="76"/>
      <c r="V307" s="76" t="str">
        <f t="array" ref="V307:V308">{"SUBCLASSABILITY1-L15";((INDEX(ALLCLASSDATA,MATCH("SubclassAbility1-L15",CLASSFEATUREHEADERS,0),MATCH(($A308),CLASSNAMEHEADERS,0))))}</f>
        <v>SUBCLASSABILITY1-L15</v>
      </c>
      <c r="W307" s="76"/>
      <c r="X307" s="76" t="str">
        <f t="array" ref="X307:X308">{"SUBCLASSABILITY1-L17";((INDEX(ALLCLASSDATA,MATCH("SubclassAbility1-L17",CLASSFEATUREHEADERS,0),MATCH(($A308),CLASSNAMEHEADERS,0))))}</f>
        <v>SUBCLASSABILITY1-L17</v>
      </c>
      <c r="Y307" s="76"/>
      <c r="Z307" s="76" t="str">
        <f t="array" ref="Z307:Z308">{"SUBCLASSABILITY1-L19";((INDEX(ALLCLASSDATA,MATCH("SubclassAbility1-L19",CLASSFEATUREHEADERS,0),MATCH(($A308),CLASSNAMEHEADERS,0))))}</f>
        <v>SUBCLASSABILITY1-L19</v>
      </c>
      <c r="AA307" s="76"/>
      <c r="AB307" s="76"/>
      <c r="AC307" s="76"/>
    </row>
    <row r="308">
      <c r="A308" s="48" t="s">
        <v>114</v>
      </c>
      <c r="B308" s="48"/>
      <c r="C308" s="48" t="s">
        <v>412</v>
      </c>
      <c r="D308" s="48" t="s">
        <v>825</v>
      </c>
      <c r="E308" s="28" t="s">
        <v>1355</v>
      </c>
      <c r="F308" s="5"/>
      <c r="G308" s="47"/>
      <c r="H308" s="5"/>
      <c r="I308" s="5"/>
      <c r="J308" s="5"/>
      <c r="K308" s="5"/>
      <c r="L308" s="5"/>
      <c r="M308" s="5"/>
      <c r="N308" s="5" t="s">
        <v>1861</v>
      </c>
      <c r="O308" s="5"/>
      <c r="P308" s="5" t="s">
        <v>1716</v>
      </c>
      <c r="Q308" s="5"/>
      <c r="R308" s="5"/>
      <c r="S308" s="5"/>
      <c r="T308" s="5"/>
      <c r="U308" s="5"/>
      <c r="V308" s="5"/>
      <c r="W308" s="5"/>
      <c r="X308" s="5"/>
      <c r="Y308" s="5"/>
      <c r="Z308" s="5"/>
      <c r="AA308" s="5"/>
      <c r="AB308" s="5"/>
      <c r="AC308" s="47"/>
    </row>
    <row r="309" hidden="1">
      <c r="A309" s="76" t="str">
        <f t="array" ref="A309:A310">{"FormulaRow17";(INDEX(CLASSLIST,A276,1))}</f>
        <v>FormulaRow17</v>
      </c>
      <c r="B309" s="77" t="s">
        <v>236</v>
      </c>
      <c r="C309" s="76" t="str">
        <f t="array" ref="C309:C310">{"CLASSTYPE";((INDEX(ALLCLASSDATA,MATCH("ClassType",CLASSFEATUREHEADERS,0),MATCH($A310,CLASSNAMEHEADERS,0))))}</f>
        <v>CLASSTYPE</v>
      </c>
      <c r="D309" s="76" t="str">
        <f t="array" ref="D309:D310">{"CLASSABILITYPTS";"ClassAbilityPts"}</f>
        <v>CLASSABILITYPTS</v>
      </c>
      <c r="E309" s="76" t="str">
        <f t="array" ref="E309:E310">{"SUBCLASSABILITY1";"SubclassAbility1"}</f>
        <v>SUBCLASSABILITY1</v>
      </c>
      <c r="F309" s="76"/>
      <c r="G309" s="76"/>
      <c r="H309" s="76"/>
      <c r="I309" s="76"/>
      <c r="J309" s="76" t="str">
        <f t="array" ref="J309:J310">{"SUBCLASSABILITY1-L03PTS";((INDEX(ALLCLASSDATA,MATCH("SubclassAbility1-L03",CLASSFEATUREHEADERS,0),MATCH(($A310 &amp; "Points"),CLASSNAMEHEADERS,0))))}</f>
        <v>SUBCLASSABILITY1-L03PTS</v>
      </c>
      <c r="K309" s="76"/>
      <c r="L309" s="76" t="str">
        <f t="array" ref="L309:L310">{"SUBCLASSABILITY1-L05PTS";((INDEX(ALLCLASSDATA,MATCH("SubclassAbility1-L05",CLASSFEATUREHEADERS,0),MATCH(($A310 &amp; "Points"),CLASSNAMEHEADERS,0))))}</f>
        <v>SUBCLASSABILITY1-L05PTS</v>
      </c>
      <c r="M309" s="76"/>
      <c r="N309" s="76" t="str">
        <f t="array" ref="N309:N310">{"SUBCLASSABILITY1-L07PTS";((INDEX(ALLCLASSDATA,MATCH("SubclassAbility1-L07",CLASSFEATUREHEADERS,0),MATCH(($A310 &amp; "Points"),CLASSNAMEHEADERS,0))))}</f>
        <v>SUBCLASSABILITY1-L07PTS</v>
      </c>
      <c r="O309" s="76"/>
      <c r="P309" s="76" t="str">
        <f t="array" ref="P309:P310">{"SUBCLASSABILITY1-L09PTS";((INDEX(ALLCLASSDATA,MATCH("SubclassAbility1-L09",CLASSFEATUREHEADERS,0),MATCH(($A310 &amp; "Points"),CLASSNAMEHEADERS,0))))}</f>
        <v>SUBCLASSABILITY1-L09PTS</v>
      </c>
      <c r="Q309" s="76"/>
      <c r="R309" s="76" t="str">
        <f t="array" ref="R309:R310">{"SUBCLASSABILITY1-L11PTS";((INDEX(ALLCLASSDATA,MATCH("SubclassAbility1-L11",CLASSFEATUREHEADERS,0),MATCH(($A310 &amp; "Points"),CLASSNAMEHEADERS,0))))}</f>
        <v>SUBCLASSABILITY1-L11PTS</v>
      </c>
      <c r="S309" s="76"/>
      <c r="T309" s="76" t="str">
        <f t="array" ref="T309:T310">{"SUBCLASSABILITY1-L13PTS";((INDEX(ALLCLASSDATA,MATCH("SubclassAbility1-L13",CLASSFEATUREHEADERS,0),MATCH(($A310 &amp; "Points"),CLASSNAMEHEADERS,0))))}</f>
        <v>SUBCLASSABILITY1-L13PTS</v>
      </c>
      <c r="U309" s="76"/>
      <c r="V309" s="76" t="str">
        <f t="array" ref="V309:V310">{"SUBCLASSABILITY1-L15PTS";((INDEX(ALLCLASSDATA,MATCH("SubclassAbility1-L15",CLASSFEATUREHEADERS,0),MATCH(($A310 &amp; "Points"),CLASSNAMEHEADERS,0))))}</f>
        <v>SUBCLASSABILITY1-L15PTS</v>
      </c>
      <c r="W309" s="76"/>
      <c r="X309" s="76" t="str">
        <f t="array" ref="X309:X310">{"SUBCLASSABILITY1-L17PTS";((INDEX(ALLCLASSDATA,MATCH("SubclassAbility1-L17",CLASSFEATUREHEADERS,0),MATCH(($A310 &amp; "Points"),CLASSNAMEHEADERS,0))))}</f>
        <v>SUBCLASSABILITY1-L17PTS</v>
      </c>
      <c r="Y309" s="76"/>
      <c r="Z309" s="76" t="str">
        <f t="array" ref="Z309:Z310">{"SUBCLASSABILITY1-L19PTS";((INDEX(ALLCLASSDATA,MATCH("SubclassAbility1-L19",CLASSFEATUREHEADERS,0),MATCH(($A310 &amp; "Points"),CLASSNAMEHEADERS,0))))}</f>
        <v>SUBCLASSABILITY1-L19PTS</v>
      </c>
      <c r="AA309" s="76"/>
      <c r="AB309" s="76"/>
      <c r="AC309" s="76" t="str">
        <f t="array" ref="AC309:AC310">{"SUBCLASSABILITY1 TOTAL";(sum(G310:AA310))}</f>
        <v>SUBCLASSABILITY1 TOTAL</v>
      </c>
    </row>
    <row r="310">
      <c r="A310" s="48" t="s">
        <v>114</v>
      </c>
      <c r="B310" s="48"/>
      <c r="C310" s="48" t="s">
        <v>412</v>
      </c>
      <c r="D310" s="48" t="s">
        <v>930</v>
      </c>
      <c r="E310" s="28" t="s">
        <v>1355</v>
      </c>
      <c r="F310" s="5"/>
      <c r="G310" s="47"/>
      <c r="H310" s="5"/>
      <c r="I310" s="5"/>
      <c r="J310" s="5"/>
      <c r="K310" s="5"/>
      <c r="L310" s="5"/>
      <c r="M310" s="5"/>
      <c r="N310" s="5">
        <v>10.0</v>
      </c>
      <c r="O310" s="5"/>
      <c r="P310" s="5"/>
      <c r="Q310" s="5"/>
      <c r="R310" s="5"/>
      <c r="S310" s="5"/>
      <c r="T310" s="5"/>
      <c r="U310" s="5"/>
      <c r="V310" s="5"/>
      <c r="W310" s="5"/>
      <c r="X310" s="5"/>
      <c r="Y310" s="5"/>
      <c r="Z310" s="5"/>
      <c r="AA310" s="5"/>
      <c r="AB310" s="5"/>
      <c r="AC310" s="47">
        <v>10.0</v>
      </c>
    </row>
    <row r="311" hidden="1">
      <c r="A311" s="76" t="str">
        <f t="array" ref="A311:A312">{"FormulaRow18";(INDEX(CLASSLIST,A276,1))}</f>
        <v>FormulaRow18</v>
      </c>
      <c r="B311" s="77" t="s">
        <v>236</v>
      </c>
      <c r="C311" s="76" t="str">
        <f t="array" ref="C311:C312">{"CLASSTYPE";((INDEX(ALLCLASSDATA,MATCH("ClassType",CLASSFEATUREHEADERS,0),MATCH($A312,CLASSNAMEHEADERS,0))))}</f>
        <v>CLASSTYPE</v>
      </c>
      <c r="D311" s="76" t="str">
        <f t="array" ref="D311:D312">{"CLASSABILITY";"ClassAbility"}</f>
        <v>CLASSABILITY</v>
      </c>
      <c r="E311" s="76" t="str">
        <f t="array" ref="E311:E312">{"SUBCLASSABILITY2";"SubclassAbility2"}</f>
        <v>SUBCLASSABILITY2</v>
      </c>
      <c r="F311" s="76"/>
      <c r="G311" s="76"/>
      <c r="H311" s="76"/>
      <c r="I311" s="76"/>
      <c r="J311" s="76" t="str">
        <f t="array" ref="J311:J312">{"SUBCLASSABILITY2-L03";((INDEX(ALLCLASSDATA,MATCH("SubclassAbility2-L03",CLASSFEATUREHEADERS,0),MATCH(($A312),CLASSNAMEHEADERS,0))))}</f>
        <v>SUBCLASSABILITY2-L03</v>
      </c>
      <c r="K311" s="76"/>
      <c r="L311" s="76" t="str">
        <f t="array" ref="L311:L312">{"SUBCLASSABILITY2-L05";((INDEX(ALLCLASSDATA,MATCH("SubclassAbility2-L05",CLASSFEATUREHEADERS,0),MATCH(($A312),CLASSNAMEHEADERS,0))))}</f>
        <v>SUBCLASSABILITY2-L05</v>
      </c>
      <c r="M311" s="76"/>
      <c r="N311" s="76" t="str">
        <f t="array" ref="N311:N312">{"SUBCLASSABILITY2-L07";((INDEX(ALLCLASSDATA,MATCH("SubclassAbility2-L07",CLASSFEATUREHEADERS,0),MATCH(($A312),CLASSNAMEHEADERS,0))))}</f>
        <v>SUBCLASSABILITY2-L07</v>
      </c>
      <c r="O311" s="76"/>
      <c r="P311" s="76" t="str">
        <f t="array" ref="P311:P312">{"SUBCLASSABILITY2-L09";((INDEX(ALLCLASSDATA,MATCH("SubclassAbility2-L09",CLASSFEATUREHEADERS,0),MATCH(($A312),CLASSNAMEHEADERS,0))))}</f>
        <v>SUBCLASSABILITY2-L09</v>
      </c>
      <c r="Q311" s="76"/>
      <c r="R311" s="76" t="str">
        <f t="array" ref="R311:R312">{"SUBCLASSABILITY2-L11";((INDEX(ALLCLASSDATA,MATCH("SubclassAbility2-L11",CLASSFEATUREHEADERS,0),MATCH(($A312),CLASSNAMEHEADERS,0))))}</f>
        <v>SUBCLASSABILITY2-L11</v>
      </c>
      <c r="S311" s="76"/>
      <c r="T311" s="76" t="str">
        <f t="array" ref="T311:T312">{"SUBCLASSABILITY2-L13";((INDEX(ALLCLASSDATA,MATCH("SubclassAbility2-L13",CLASSFEATUREHEADERS,0),MATCH(($A312),CLASSNAMEHEADERS,0))))}</f>
        <v>SUBCLASSABILITY2-L13</v>
      </c>
      <c r="U311" s="76"/>
      <c r="V311" s="76" t="str">
        <f t="array" ref="V311:V312">{"SUBCLASSABILITY2-L15";((INDEX(ALLCLASSDATA,MATCH("SubclassAbility2-L15",CLASSFEATUREHEADERS,0),MATCH(($A312),CLASSNAMEHEADERS,0))))}</f>
        <v>SUBCLASSABILITY2-L15</v>
      </c>
      <c r="W311" s="76"/>
      <c r="X311" s="76" t="str">
        <f t="array" ref="X311:X312">{"SUBCLASSABILITY2-L17";((INDEX(ALLCLASSDATA,MATCH("SubclassAbility2-L17",CLASSFEATUREHEADERS,0),MATCH(($A312),CLASSNAMEHEADERS,0))))}</f>
        <v>SUBCLASSABILITY2-L17</v>
      </c>
      <c r="Y311" s="76"/>
      <c r="Z311" s="76" t="str">
        <f t="array" ref="Z311:Z312">{"SUBCLASSABILITY2-L19";((INDEX(ALLCLASSDATA,MATCH("SubclassAbility2-L19",CLASSFEATUREHEADERS,0),MATCH(($A312),CLASSNAMEHEADERS,0))))}</f>
        <v>SUBCLASSABILITY2-L19</v>
      </c>
      <c r="AA311" s="76"/>
      <c r="AB311" s="76"/>
      <c r="AC311" s="76"/>
    </row>
    <row r="312">
      <c r="A312" s="48" t="s">
        <v>114</v>
      </c>
      <c r="B312" s="48"/>
      <c r="C312" s="48" t="s">
        <v>412</v>
      </c>
      <c r="D312" s="48" t="s">
        <v>825</v>
      </c>
      <c r="E312" s="28" t="s">
        <v>1370</v>
      </c>
      <c r="F312" s="5"/>
      <c r="G312" s="47"/>
      <c r="H312" s="5"/>
      <c r="I312" s="5"/>
      <c r="J312" s="5"/>
      <c r="K312" s="5"/>
      <c r="L312" s="5"/>
      <c r="M312" s="5"/>
      <c r="N312" s="5"/>
      <c r="O312" s="5"/>
      <c r="P312" s="5"/>
      <c r="Q312" s="5"/>
      <c r="R312" s="5"/>
      <c r="S312" s="5"/>
      <c r="T312" s="5"/>
      <c r="U312" s="5"/>
      <c r="V312" s="5"/>
      <c r="W312" s="5"/>
      <c r="X312" s="5"/>
      <c r="Y312" s="5"/>
      <c r="Z312" s="5"/>
      <c r="AA312" s="5"/>
      <c r="AB312" s="5"/>
      <c r="AC312" s="47"/>
    </row>
    <row r="313" hidden="1">
      <c r="A313" s="76" t="str">
        <f t="array" ref="A313:A314">{"FormulaRow19";(INDEX(CLASSLIST,A276,1))}</f>
        <v>FormulaRow19</v>
      </c>
      <c r="B313" s="77" t="s">
        <v>236</v>
      </c>
      <c r="C313" s="76" t="str">
        <f t="array" ref="C313:C314">{"CLASSTYPE";((INDEX(ALLCLASSDATA,MATCH("ClassType",CLASSFEATUREHEADERS,0),MATCH($A314,CLASSNAMEHEADERS,0))))}</f>
        <v>CLASSTYPE</v>
      </c>
      <c r="D313" s="76" t="str">
        <f t="array" ref="D313:D314">{"CLASSABILITYPTS";"ClassAbilityPts"}</f>
        <v>CLASSABILITYPTS</v>
      </c>
      <c r="E313" s="76" t="str">
        <f t="array" ref="E313:E314">{"SUBCLASSABILITY2";"SubclassAbility2"}</f>
        <v>SUBCLASSABILITY2</v>
      </c>
      <c r="F313" s="76"/>
      <c r="G313" s="76"/>
      <c r="H313" s="76"/>
      <c r="I313" s="76"/>
      <c r="J313" s="76" t="str">
        <f t="array" ref="J313:J314">{"SUBCLASSABILITY2-L03PTS";((INDEX(ALLCLASSDATA,MATCH("SubclassAbility2-L03",CLASSFEATUREHEADERS,0),MATCH(($A314 &amp; "Points"),CLASSNAMEHEADERS,0))))}</f>
        <v>SUBCLASSABILITY2-L03PTS</v>
      </c>
      <c r="K313" s="76"/>
      <c r="L313" s="76" t="str">
        <f t="array" ref="L313:L314">{"SUBCLASSABILITY2-L05PTS";((INDEX(ALLCLASSDATA,MATCH("SubclassAbility2-L05",CLASSFEATUREHEADERS,0),MATCH(($A314 &amp; "Points"),CLASSNAMEHEADERS,0))))}</f>
        <v>SUBCLASSABILITY2-L05PTS</v>
      </c>
      <c r="M313" s="76"/>
      <c r="N313" s="76" t="str">
        <f t="array" ref="N313:N314">{"SUBCLASSABILITY2-L07PTS";((INDEX(ALLCLASSDATA,MATCH("SubclassAbility2-L07",CLASSFEATUREHEADERS,0),MATCH(($A314 &amp; "Points"),CLASSNAMEHEADERS,0))))}</f>
        <v>SUBCLASSABILITY2-L07PTS</v>
      </c>
      <c r="O313" s="76"/>
      <c r="P313" s="76" t="str">
        <f t="array" ref="P313:P314">{"SUBCLASSABILITY2-L09PTS";((INDEX(ALLCLASSDATA,MATCH("SubclassAbility2-L09",CLASSFEATUREHEADERS,0),MATCH(($A314 &amp; "Points"),CLASSNAMEHEADERS,0))))}</f>
        <v>SUBCLASSABILITY2-L09PTS</v>
      </c>
      <c r="Q313" s="76"/>
      <c r="R313" s="76" t="str">
        <f t="array" ref="R313:R314">{"SUBCLASSABILITY2-L11PTS";((INDEX(ALLCLASSDATA,MATCH("SubclassAbility2-L11",CLASSFEATUREHEADERS,0),MATCH(($A314 &amp; "Points"),CLASSNAMEHEADERS,0))))}</f>
        <v>SUBCLASSABILITY2-L11PTS</v>
      </c>
      <c r="S313" s="76"/>
      <c r="T313" s="76" t="str">
        <f t="array" ref="T313:T314">{"SUBCLASSABILITY2-L13PTS";((INDEX(ALLCLASSDATA,MATCH("SubclassAbility2-L13",CLASSFEATUREHEADERS,0),MATCH(($A314 &amp; "Points"),CLASSNAMEHEADERS,0))))}</f>
        <v>SUBCLASSABILITY2-L13PTS</v>
      </c>
      <c r="U313" s="76"/>
      <c r="V313" s="76" t="str">
        <f t="array" ref="V313:V314">{"SUBCLASSABILITY2-L15PTS";((INDEX(ALLCLASSDATA,MATCH("SubclassAbility2-L15",CLASSFEATUREHEADERS,0),MATCH(($A314 &amp; "Points"),CLASSNAMEHEADERS,0))))}</f>
        <v>SUBCLASSABILITY2-L15PTS</v>
      </c>
      <c r="W313" s="76"/>
      <c r="X313" s="76" t="str">
        <f t="array" ref="X313:X314">{"SUBCLASSABILITY2-L17PTS";((INDEX(ALLCLASSDATA,MATCH("SubclassAbility2-L17",CLASSFEATUREHEADERS,0),MATCH(($A314 &amp; "Points"),CLASSNAMEHEADERS,0))))}</f>
        <v>SUBCLASSABILITY2-L17PTS</v>
      </c>
      <c r="Y313" s="76"/>
      <c r="Z313" s="76" t="str">
        <f t="array" ref="Z313:Z314">{"SUBCLASSABILITY2-L19PTS";((INDEX(ALLCLASSDATA,MATCH("SubclassAbility2-L19",CLASSFEATUREHEADERS,0),MATCH(($A314 &amp; "Points"),CLASSNAMEHEADERS,0))))}</f>
        <v>SUBCLASSABILITY2-L19PTS</v>
      </c>
      <c r="AA313" s="76"/>
      <c r="AB313" s="76"/>
      <c r="AC313" s="76" t="str">
        <f t="array" ref="AC313:AC314">{"SUBCLASSABILITY2 TOTAL";(sum(G314:AA314))}</f>
        <v>SUBCLASSABILITY2 TOTAL</v>
      </c>
    </row>
    <row r="314">
      <c r="A314" s="48" t="s">
        <v>114</v>
      </c>
      <c r="B314" s="48"/>
      <c r="C314" s="48" t="s">
        <v>412</v>
      </c>
      <c r="D314" s="97" t="s">
        <v>930</v>
      </c>
      <c r="E314" s="215" t="s">
        <v>1370</v>
      </c>
      <c r="F314" s="98"/>
      <c r="G314" s="132"/>
      <c r="H314" s="98"/>
      <c r="I314" s="98"/>
      <c r="J314" s="98"/>
      <c r="K314" s="98"/>
      <c r="L314" s="98"/>
      <c r="M314" s="98"/>
      <c r="N314" s="98"/>
      <c r="O314" s="98"/>
      <c r="P314" s="98"/>
      <c r="Q314" s="98"/>
      <c r="R314" s="98"/>
      <c r="S314" s="98"/>
      <c r="T314" s="98"/>
      <c r="U314" s="98"/>
      <c r="V314" s="98"/>
      <c r="W314" s="98"/>
      <c r="X314" s="98"/>
      <c r="Y314" s="98"/>
      <c r="Z314" s="98"/>
      <c r="AA314" s="98"/>
      <c r="AB314" s="5"/>
      <c r="AC314" s="47">
        <v>0.0</v>
      </c>
    </row>
    <row r="315" hidden="1">
      <c r="A315" s="76" t="str">
        <f t="array" ref="A315:A316">{"FormulaRow20";(INDEX(CLASSLIST,A276,1))}</f>
        <v>FormulaRow20</v>
      </c>
      <c r="B315" s="77" t="s">
        <v>236</v>
      </c>
      <c r="C315" s="76" t="str">
        <f t="array" ref="C315:C316">{"CLASSTYPE";((INDEX(ALLCLASSDATA,MATCH("ClassType",CLASSFEATUREHEADERS,0),MATCH($A316,CLASSNAMEHEADERS,0))))}</f>
        <v>CLASSTYPE</v>
      </c>
      <c r="D315" s="81" t="str">
        <f t="array" ref="D315:D316">{"DC";"DC"}</f>
        <v>DC</v>
      </c>
      <c r="E315" s="81" t="str">
        <f t="array" ref="E315:E316">{"CLASSDC";"ClassDC"}</f>
        <v>CLASSDC</v>
      </c>
      <c r="F315" s="81" t="str">
        <f t="array" ref="F315:F316">{"CLASSDCINITIAL";((IF(H316=10,"T",(IF(H316=50,"E","")))))}</f>
        <v>CLASSDCINITIAL</v>
      </c>
      <c r="G315" s="81" t="str">
        <f t="array" ref="G315:G316">{"CLASSDCINITIALPTS";((IF("00"=(INDEX(ALLCLASSDATA,MATCH("ClassDCLegendary",CLASSFEATUREHEADERS,0),MATCH($A316,CLASSNAMEHEADERS,0))),(INDEX(ALLCLASSDATA,MATCH("ClassDCLegendary",CLASSFEATUREHEADERS,0),MATCH(($A316 &amp; "Points"),CLASSNAMEHEADERS,0))),(IF("00"=(INDEX(ALLCLASSDATA,MATCH("ClassDCMaster",CLASSFEATUREHEADERS,0),MATCH($A316,CLASSNAMEHEADERS,0))),(INDEX(ALLCLASSDATA,MATCH("ClassDCMaster",CLASSFEATUREHEADERS,0),MATCH(($A316 &amp; "Points"),CLASSNAMEHEADERS,0))),(IF("00"=(INDEX(ALLCLASSDATA,MATCH("ClassDCExpert",CLASSFEATUREHEADERS,0),MATCH($A316,CLASSNAMEHEADERS,0))),(INDEX(ALLCLASSDATA,MATCH("ClassDCExpert",CLASSFEATUREHEADERS,0),MATCH(($A316 &amp; "Points"),CLASSNAMEHEADERS,0))),(IF("00"=(INDEX(ALLCLASSDATA,MATCH("ClassDCTrained",CLASSFEATUREHEADERS,0),MATCH($A316,CLASSNAMEHEADERS,0))),(INDEX(ALLCLASSDATA,MATCH("ClassDCTrained",CLASSFEATUREHEADERS,0),MATCH(($A316 &amp; "Points"),CLASSNAMEHEADERS,0))),"")))))))))}</f>
        <v>CLASSDCINITIALPTS</v>
      </c>
      <c r="H315" s="81" t="str">
        <f t="array" ref="H315:H316">{"CLASSDCL01";((IF("01"=(INDEX(ALLCLASSDATA,MATCH("ClassDCLegendary",CLASSFEATUREHEADERS,0),MATCH($A316,CLASSNAMEHEADERS,0))),(INDEX(ALLCLASSDATA,MATCH("ClassDCLegendary",CLASSFEATUREHEADERS,0),MATCH(($A316 &amp; "Points"),CLASSNAMEHEADERS,0))),(IF("01"=(INDEX(ALLCLASSDATA,MATCH("ClassDCMaster",CLASSFEATUREHEADERS,0),MATCH($A316,CLASSNAMEHEADERS,0))),(INDEX(ALLCLASSDATA,MATCH("ClassDCMaster",CLASSFEATUREHEADERS,0),MATCH(($A316 &amp; "Points"),CLASSNAMEHEADERS,0))),(IF("01"=(INDEX(ALLCLASSDATA,MATCH("ClassDCExpert",CLASSFEATUREHEADERS,0),MATCH($A316,CLASSNAMEHEADERS,0))),(INDEX(ALLCLASSDATA,MATCH("ClassDCExpert",CLASSFEATUREHEADERS,0),MATCH(($A316 &amp; "Points"),CLASSNAMEHEADERS,0))),(IF("01"=(INDEX(ALLCLASSDATA,MATCH("ClassDCTrained",CLASSFEATUREHEADERS,0),MATCH($A316,CLASSNAMEHEADERS,0))),(INDEX(ALLCLASSDATA,MATCH("ClassDCTrained",CLASSFEATUREHEADERS,0),MATCH(($A316 &amp; "Points"),CLASSNAMEHEADERS,0))),"")))))))))}</f>
        <v>CLASSDCL01</v>
      </c>
      <c r="I315" s="81"/>
      <c r="J315" s="81" t="str">
        <f t="array" ref="J315:J316">{"CLASSDCL03";((IF("03"=(INDEX(ALLCLASSDATA,MATCH("ClassDCLegendary",CLASSFEATUREHEADERS,0),MATCH($A316,CLASSNAMEHEADERS,0))),(INDEX(ALLCLASSDATA,MATCH("ClassDCLegendary",CLASSFEATUREHEADERS,0),MATCH(($A316 &amp; "Points"),CLASSNAMEHEADERS,0))),(IF("03"=(INDEX(ALLCLASSDATA,MATCH("ClassDCMaster",CLASSFEATUREHEADERS,0),MATCH($A316,CLASSNAMEHEADERS,0))),(INDEX(ALLCLASSDATA,MATCH("ClassDCMaster",CLASSFEATUREHEADERS,0),MATCH(($A316 &amp; "Points"),CLASSNAMEHEADERS,0))),(IF("03"=(INDEX(ALLCLASSDATA,MATCH("ClassDCExpert",CLASSFEATUREHEADERS,0),MATCH($A316,CLASSNAMEHEADERS,0))),(INDEX(ALLCLASSDATA,MATCH("ClassDCExpert",CLASSFEATUREHEADERS,0),MATCH(($A316 &amp; "Points"),CLASSNAMEHEADERS,0))),(IF("03"=(INDEX(ALLCLASSDATA,MATCH("ClassDCTrained",CLASSFEATUREHEADERS,0),MATCH($A316,CLASSNAMEHEADERS,0))),(INDEX(ALLCLASSDATA,MATCH("ClassDCTrained",CLASSFEATUREHEADERS,0),MATCH(($A316 &amp; "Points"),CLASSNAMEHEADERS,0))),"")))))))))}</f>
        <v>CLASSDCL03</v>
      </c>
      <c r="K315" s="81"/>
      <c r="L315" s="81" t="str">
        <f t="array" ref="L315:L316">{"CLASSDCL05";((IF("05"=(INDEX(ALLCLASSDATA,MATCH("ClassDCLegendary",CLASSFEATUREHEADERS,0),MATCH($A316,CLASSNAMEHEADERS,0))),(INDEX(ALLCLASSDATA,MATCH("ClassDCLegendary",CLASSFEATUREHEADERS,0),MATCH(($A316 &amp; "Points"),CLASSNAMEHEADERS,0))),(IF("05"=(INDEX(ALLCLASSDATA,MATCH("ClassDCMaster",CLASSFEATUREHEADERS,0),MATCH($A316,CLASSNAMEHEADERS,0))),(INDEX(ALLCLASSDATA,MATCH("ClassDCMaster",CLASSFEATUREHEADERS,0),MATCH(($A316 &amp; "Points"),CLASSNAMEHEADERS,0))),(IF("05"=(INDEX(ALLCLASSDATA,MATCH("ClassDCExpert",CLASSFEATUREHEADERS,0),MATCH($A316,CLASSNAMEHEADERS,0))),(INDEX(ALLCLASSDATA,MATCH("ClassDCExpert",CLASSFEATUREHEADERS,0),MATCH(($A316 &amp; "Points"),CLASSNAMEHEADERS,0))),(IF("05"=(INDEX(ALLCLASSDATA,MATCH("ClassDCTrained",CLASSFEATUREHEADERS,0),MATCH($A316,CLASSNAMEHEADERS,0))),(INDEX(ALLCLASSDATA,MATCH("ClassDCTrained",CLASSFEATUREHEADERS,0),MATCH(($A316 &amp; "Points"),CLASSNAMEHEADERS,0))),"")))))))))}</f>
        <v>CLASSDCL05</v>
      </c>
      <c r="M315" s="81"/>
      <c r="N315" s="81" t="str">
        <f t="array" ref="N315:N316">{"CLASSDCL07";((IF("07"=(INDEX(ALLCLASSDATA,MATCH("ClassDCLegendary",CLASSFEATUREHEADERS,0),MATCH($A316,CLASSNAMEHEADERS,0))),(INDEX(ALLCLASSDATA,MATCH("ClassDCLegendary",CLASSFEATUREHEADERS,0),MATCH(($A316 &amp; "Points"),CLASSNAMEHEADERS,0))),(IF("07"=(INDEX(ALLCLASSDATA,MATCH("ClassDCMaster",CLASSFEATUREHEADERS,0),MATCH($A316,CLASSNAMEHEADERS,0))),(INDEX(ALLCLASSDATA,MATCH("ClassDCMaster",CLASSFEATUREHEADERS,0),MATCH(($A316 &amp; "Points"),CLASSNAMEHEADERS,0))),(IF("07"=(INDEX(ALLCLASSDATA,MATCH("ClassDCExpert",CLASSFEATUREHEADERS,0),MATCH($A316,CLASSNAMEHEADERS,0))),(INDEX(ALLCLASSDATA,MATCH("ClassDCExpert",CLASSFEATUREHEADERS,0),MATCH(($A316 &amp; "Points"),CLASSNAMEHEADERS,0))),(IF("07"=(INDEX(ALLCLASSDATA,MATCH("ClassDCTrained",CLASSFEATUREHEADERS,0),MATCH($A316,CLASSNAMEHEADERS,0))),(INDEX(ALLCLASSDATA,MATCH("ClassDCTrained",CLASSFEATUREHEADERS,0),MATCH(($A316 &amp; "Points"),CLASSNAMEHEADERS,0))),"")))))))))}</f>
        <v>CLASSDCL07</v>
      </c>
      <c r="O315" s="81"/>
      <c r="P315" s="81" t="str">
        <f t="array" ref="P315:P316">{"CLASSDCL09";((IF("09"=(INDEX(ALLCLASSDATA,MATCH("ClassDCLegendary",CLASSFEATUREHEADERS,0),MATCH($A316,CLASSNAMEHEADERS,0))),(INDEX(ALLCLASSDATA,MATCH("ClassDCLegendary",CLASSFEATUREHEADERS,0),MATCH(($A316 &amp; "Points"),CLASSNAMEHEADERS,0))),(IF("09"=(INDEX(ALLCLASSDATA,MATCH("ClassDCMaster",CLASSFEATUREHEADERS,0),MATCH($A316,CLASSNAMEHEADERS,0))),(INDEX(ALLCLASSDATA,MATCH("ClassDCMaster",CLASSFEATUREHEADERS,0),MATCH(($A316 &amp; "Points"),CLASSNAMEHEADERS,0))),(IF("09"=(INDEX(ALLCLASSDATA,MATCH("ClassDCExpert",CLASSFEATUREHEADERS,0),MATCH($A316,CLASSNAMEHEADERS,0))),(INDEX(ALLCLASSDATA,MATCH("ClassDCExpert",CLASSFEATUREHEADERS,0),MATCH(($A316 &amp; "Points"),CLASSNAMEHEADERS,0))),(IF("09"=(INDEX(ALLCLASSDATA,MATCH("ClassDCTrained",CLASSFEATUREHEADERS,0),MATCH($A316,CLASSNAMEHEADERS,0))),(INDEX(ALLCLASSDATA,MATCH("ClassDCTrained",CLASSFEATUREHEADERS,0),MATCH(($A316 &amp; "Points"),CLASSNAMEHEADERS,0))),"")))))))))}</f>
        <v>CLASSDCL09</v>
      </c>
      <c r="Q315" s="81"/>
      <c r="R315" s="81" t="str">
        <f t="array" ref="R315:R316">{"CLASSDCL11";((IF("11"=(INDEX(ALLCLASSDATA,MATCH("ClassDCLegendary",CLASSFEATUREHEADERS,0),MATCH($A316,CLASSNAMEHEADERS,0))),(INDEX(ALLCLASSDATA,MATCH("ClassDCLegendary",CLASSFEATUREHEADERS,0),MATCH(($A316 &amp; "Points"),CLASSNAMEHEADERS,0))),(IF("11"=(INDEX(ALLCLASSDATA,MATCH("ClassDCMaster",CLASSFEATUREHEADERS,0),MATCH($A316,CLASSNAMEHEADERS,0))),(INDEX(ALLCLASSDATA,MATCH("ClassDCMaster",CLASSFEATUREHEADERS,0),MATCH(($A316 &amp; "Points"),CLASSNAMEHEADERS,0))),(IF("11"=(INDEX(ALLCLASSDATA,MATCH("ClassDCExpert",CLASSFEATUREHEADERS,0),MATCH($A316,CLASSNAMEHEADERS,0))),(INDEX(ALLCLASSDATA,MATCH("ClassDCExpert",CLASSFEATUREHEADERS,0),MATCH(($A316 &amp; "Points"),CLASSNAMEHEADERS,0))),(IF("11"=(INDEX(ALLCLASSDATA,MATCH("ClassDCTrained",CLASSFEATUREHEADERS,0),MATCH($A316,CLASSNAMEHEADERS,0))),(INDEX(ALLCLASSDATA,MATCH("ClassDCTrained",CLASSFEATUREHEADERS,0),MATCH(($A316 &amp; "Points"),CLASSNAMEHEADERS,0))),"")))))))))}</f>
        <v>CLASSDCL11</v>
      </c>
      <c r="S315" s="81"/>
      <c r="T315" s="81" t="str">
        <f t="array" ref="T315:T316">{"CLASSDCL13";((IF("13"=(INDEX(ALLCLASSDATA,MATCH("ClassDCLegendary",CLASSFEATUREHEADERS,0),MATCH($A316,CLASSNAMEHEADERS,0))),(INDEX(ALLCLASSDATA,MATCH("ClassDCLegendary",CLASSFEATUREHEADERS,0),MATCH(($A316 &amp; "Points"),CLASSNAMEHEADERS,0))),(IF("13"=(INDEX(ALLCLASSDATA,MATCH("ClassDCMaster",CLASSFEATUREHEADERS,0),MATCH($A316,CLASSNAMEHEADERS,0))),(INDEX(ALLCLASSDATA,MATCH("ClassDCMaster",CLASSFEATUREHEADERS,0),MATCH(($A316 &amp; "Points"),CLASSNAMEHEADERS,0))),(IF("13"=(INDEX(ALLCLASSDATA,MATCH("ClassDCExpert",CLASSFEATUREHEADERS,0),MATCH($A316,CLASSNAMEHEADERS,0))),(INDEX(ALLCLASSDATA,MATCH("ClassDCExpert",CLASSFEATUREHEADERS,0),MATCH(($A316 &amp; "Points"),CLASSNAMEHEADERS,0))),(IF("13"=(INDEX(ALLCLASSDATA,MATCH("ClassDCTrained",CLASSFEATUREHEADERS,0),MATCH($A316,CLASSNAMEHEADERS,0))),(INDEX(ALLCLASSDATA,MATCH("ClassDCTrained",CLASSFEATUREHEADERS,0),MATCH(($A316 &amp; "Points"),CLASSNAMEHEADERS,0))),"")))))))))}</f>
        <v>CLASSDCL13</v>
      </c>
      <c r="U315" s="81"/>
      <c r="V315" s="81" t="str">
        <f t="array" ref="V315:V316">{"CLASSDCL15";((IF("15"=(INDEX(ALLCLASSDATA,MATCH("ClassDCLegendary",CLASSFEATUREHEADERS,0),MATCH($A316,CLASSNAMEHEADERS,0))),(INDEX(ALLCLASSDATA,MATCH("ClassDCLegendary",CLASSFEATUREHEADERS,0),MATCH(($A316 &amp; "Points"),CLASSNAMEHEADERS,0))),(IF("15"=(INDEX(ALLCLASSDATA,MATCH("ClassDCMaster",CLASSFEATUREHEADERS,0),MATCH($A316,CLASSNAMEHEADERS,0))),(INDEX(ALLCLASSDATA,MATCH("ClassDCMaster",CLASSFEATUREHEADERS,0),MATCH(($A316 &amp; "Points"),CLASSNAMEHEADERS,0))),(IF("15"=(INDEX(ALLCLASSDATA,MATCH("ClassDCExpert",CLASSFEATUREHEADERS,0),MATCH($A316,CLASSNAMEHEADERS,0))),(INDEX(ALLCLASSDATA,MATCH("ClassDCExpert",CLASSFEATUREHEADERS,0),MATCH(($A316 &amp; "Points"),CLASSNAMEHEADERS,0))),(IF("15"=(INDEX(ALLCLASSDATA,MATCH("ClassDCTrained",CLASSFEATUREHEADERS,0),MATCH($A316,CLASSNAMEHEADERS,0))),(INDEX(ALLCLASSDATA,MATCH("ClassDCTrained",CLASSFEATUREHEADERS,0),MATCH(($A316 &amp; "Points"),CLASSNAMEHEADERS,0))),"")))))))))}</f>
        <v>CLASSDCL15</v>
      </c>
      <c r="W315" s="81"/>
      <c r="X315" s="81" t="str">
        <f t="array" ref="X315:X316">{"CLASSDCL17";((IF("17"=(INDEX(ALLCLASSDATA,MATCH("ClassDCLegendary",CLASSFEATUREHEADERS,0),MATCH($A316,CLASSNAMEHEADERS,0))),(INDEX(ALLCLASSDATA,MATCH("ClassDCLegendary",CLASSFEATUREHEADERS,0),MATCH(($A316 &amp; "Points"),CLASSNAMEHEADERS,0))),(IF("17"=(INDEX(ALLCLASSDATA,MATCH("ClassDCMaster",CLASSFEATUREHEADERS,0),MATCH($A316,CLASSNAMEHEADERS,0))),(INDEX(ALLCLASSDATA,MATCH("ClassDCMaster",CLASSFEATUREHEADERS,0),MATCH(($A316 &amp; "Points"),CLASSNAMEHEADERS,0))),(IF("17"=(INDEX(ALLCLASSDATA,MATCH("ClassDCExpert",CLASSFEATUREHEADERS,0),MATCH($A316,CLASSNAMEHEADERS,0))),(INDEX(ALLCLASSDATA,MATCH("ClassDCExpert",CLASSFEATUREHEADERS,0),MATCH(($A316 &amp; "Points"),CLASSNAMEHEADERS,0))),(IF("17"=(INDEX(ALLCLASSDATA,MATCH("ClassDCTrained",CLASSFEATUREHEADERS,0),MATCH($A316,CLASSNAMEHEADERS,0))),(INDEX(ALLCLASSDATA,MATCH("ClassDCTrained",CLASSFEATUREHEADERS,0),MATCH(($A316 &amp; "Points"),CLASSNAMEHEADERS,0))),"")))))))))}</f>
        <v>CLASSDCL17</v>
      </c>
      <c r="Y315" s="81"/>
      <c r="Z315" s="81" t="str">
        <f t="array" ref="Z315:Z316">{"CLASSDCL19";((IF("19"=(INDEX(ALLCLASSDATA,MATCH("ClassDCLegendary",CLASSFEATUREHEADERS,0),MATCH($A316,CLASSNAMEHEADERS,0))),(INDEX(ALLCLASSDATA,MATCH("ClassDCLegendary",CLASSFEATUREHEADERS,0),MATCH(($A316 &amp; "Points"),CLASSNAMEHEADERS,0))),(IF("19"=(INDEX(ALLCLASSDATA,MATCH("ClassDCMaster",CLASSFEATUREHEADERS,0),MATCH($A316,CLASSNAMEHEADERS,0))),(INDEX(ALLCLASSDATA,MATCH("ClassDCMaster",CLASSFEATUREHEADERS,0),MATCH(($A316 &amp; "Points"),CLASSNAMEHEADERS,0))),(IF("19"=(INDEX(ALLCLASSDATA,MATCH("ClassDCExpert",CLASSFEATUREHEADERS,0),MATCH($A316,CLASSNAMEHEADERS,0))),(INDEX(ALLCLASSDATA,MATCH("ClassDCExpert",CLASSFEATUREHEADERS,0),MATCH(($A316 &amp; "Points"),CLASSNAMEHEADERS,0))),(IF("19"=(INDEX(ALLCLASSDATA,MATCH("ClassDCTrained",CLASSFEATUREHEADERS,0),MATCH($A316,CLASSNAMEHEADERS,0))),(INDEX(ALLCLASSDATA,MATCH("ClassDCTrained",CLASSFEATUREHEADERS,0),MATCH(($A316 &amp; "Points"),CLASSNAMEHEADERS,0))),"")))))))))}</f>
        <v>CLASSDCL19</v>
      </c>
      <c r="AA315" s="81"/>
      <c r="AB315" s="76" t="str">
        <f t="array" ref="AB315:AB316">{"CLASSDC TOTAL";(IF(COUNTBLANK(G316:AA316)=17,"L",(IF(COUNTBLANK(G316:AA316)=18,"M",(IF(COUNTBLANK(G316:AA316)=19,"E",(IF(COUNTBLANK(G316:AA316)=20,"T",""))))))))}</f>
        <v>CLASSDC TOTAL</v>
      </c>
      <c r="AC315" s="76" t="str">
        <f t="array" ref="AC315:AC316">{"CLASSDC TOTAL";(sum(G316:AA316))}</f>
        <v>CLASSDC TOTAL</v>
      </c>
    </row>
    <row r="316">
      <c r="A316" s="48" t="s">
        <v>114</v>
      </c>
      <c r="B316" s="48"/>
      <c r="C316" s="48" t="s">
        <v>412</v>
      </c>
      <c r="D316" s="48" t="s">
        <v>1465</v>
      </c>
      <c r="E316" s="48" t="s">
        <v>1466</v>
      </c>
      <c r="F316" s="5" t="s">
        <v>435</v>
      </c>
      <c r="G316" s="47" t="s">
        <v>603</v>
      </c>
      <c r="H316" s="5">
        <v>10.0</v>
      </c>
      <c r="I316" s="5"/>
      <c r="J316" s="5" t="s">
        <v>603</v>
      </c>
      <c r="K316" s="5"/>
      <c r="L316" s="5" t="s">
        <v>603</v>
      </c>
      <c r="M316" s="5"/>
      <c r="N316" s="5" t="s">
        <v>603</v>
      </c>
      <c r="O316" s="5"/>
      <c r="P316" s="5" t="s">
        <v>603</v>
      </c>
      <c r="Q316" s="5"/>
      <c r="R316" s="5">
        <v>50.0</v>
      </c>
      <c r="S316" s="5"/>
      <c r="T316" s="5" t="s">
        <v>603</v>
      </c>
      <c r="U316" s="5"/>
      <c r="V316" s="5" t="s">
        <v>603</v>
      </c>
      <c r="W316" s="5"/>
      <c r="X316" s="5" t="s">
        <v>603</v>
      </c>
      <c r="Y316" s="5"/>
      <c r="Z316" s="5">
        <v>110.0</v>
      </c>
      <c r="AA316" s="5"/>
      <c r="AB316" s="5" t="s">
        <v>437</v>
      </c>
      <c r="AC316" s="47">
        <v>170.0</v>
      </c>
    </row>
    <row r="317" hidden="1">
      <c r="A317" s="222" t="str">
        <f t="array" ref="A317:A318">{"FormulaRow21";(INDEX(CLASSLIST,A276,1))}</f>
        <v>FormulaRow21</v>
      </c>
      <c r="B317" s="77" t="s">
        <v>236</v>
      </c>
      <c r="C317" s="222" t="str">
        <f t="array" ref="C317:C318">{"CLASSTYPE";((INDEX(ALLCLASSDATA,MATCH("ClassType",CLASSFEATUREHEADERS,0),MATCH($A318,CLASSNAMEHEADERS,0))))}</f>
        <v>CLASSTYPE</v>
      </c>
      <c r="D317" s="222" t="str">
        <f t="array" ref="D317:D318">{"DC";"DC"}</f>
        <v>DC</v>
      </c>
      <c r="E317" s="222" t="str">
        <f t="array" ref="E317:E318">{"SPELLDC";"SpellDC"}</f>
        <v>SPELLDC</v>
      </c>
      <c r="F317" s="223" t="str">
        <f t="array" ref="F317:F318">{"SPELLDCINITIAL";((IF(H318=10,"T",(IF(H318=50,"E","")))))}</f>
        <v>SPELLDCINITIAL</v>
      </c>
      <c r="G317" s="223" t="str">
        <f t="array" ref="G317:G318">{"SPELLDCINITIALPTS";((IF("00"=(INDEX(ALLCLASSDATA,MATCH("SpellDCLegendary",CLASSFEATUREHEADERS,0),MATCH($A318,CLASSNAMEHEADERS,0))),(INDEX(ALLCLASSDATA,MATCH("SpellDCLegendary",CLASSFEATUREHEADERS,0),MATCH(($A318 &amp; "Points"),CLASSNAMEHEADERS,0))),(IF("00"=(INDEX(ALLCLASSDATA,MATCH("SpellDCMaster",CLASSFEATUREHEADERS,0),MATCH($A318,CLASSNAMEHEADERS,0))),(INDEX(ALLCLASSDATA,MATCH("SpellDCMaster",CLASSFEATUREHEADERS,0),MATCH(($A318 &amp; "Points"),CLASSNAMEHEADERS,0))),(IF("00"=(INDEX(ALLCLASSDATA,MATCH("SpellDCExpert",CLASSFEATUREHEADERS,0),MATCH($A318,CLASSNAMEHEADERS,0))),(INDEX(ALLCLASSDATA,MATCH("SpellDCExpert",CLASSFEATUREHEADERS,0),MATCH(($A318 &amp; "Points"),CLASSNAMEHEADERS,0))),(IF("00"=(INDEX(ALLCLASSDATA,MATCH("SpellDCTrained",CLASSFEATUREHEADERS,0),MATCH($A318,CLASSNAMEHEADERS,0))),(INDEX(ALLCLASSDATA,MATCH("SpellDCTrained",CLASSFEATUREHEADERS,0),MATCH(($A318 &amp; "Points"),CLASSNAMEHEADERS,0))),"")))))))))}</f>
        <v>SPELLDCINITIALPTS</v>
      </c>
      <c r="H317" s="223" t="str">
        <f t="array" ref="H317:H318">{"SPELLDCL01";((IF("01"=(INDEX(ALLCLASSDATA,MATCH("SpellDCLegendary",CLASSFEATUREHEADERS,0),MATCH($A318,CLASSNAMEHEADERS,0))),(INDEX(ALLCLASSDATA,MATCH("SpellDCLegendary",CLASSFEATUREHEADERS,0),MATCH(($A318 &amp; "Points"),CLASSNAMEHEADERS,0))),(IF("01"=(INDEX(ALLCLASSDATA,MATCH("SpellDCMaster",CLASSFEATUREHEADERS,0),MATCH($A318,CLASSNAMEHEADERS,0))),(INDEX(ALLCLASSDATA,MATCH("SpellDCMaster",CLASSFEATUREHEADERS,0),MATCH(($A318 &amp; "Points"),CLASSNAMEHEADERS,0))),(IF("01"=(INDEX(ALLCLASSDATA,MATCH("SpellDCExpert",CLASSFEATUREHEADERS,0),MATCH($A318,CLASSNAMEHEADERS,0))),(INDEX(ALLCLASSDATA,MATCH("SpellDCExpert",CLASSFEATUREHEADERS,0),MATCH(($A318 &amp; "Points"),CLASSNAMEHEADERS,0))),(IF("01"=(INDEX(ALLCLASSDATA,MATCH("SpellDCTrained",CLASSFEATUREHEADERS,0),MATCH($A318,CLASSNAMEHEADERS,0))),(INDEX(ALLCLASSDATA,MATCH("SpellDCTrained",CLASSFEATUREHEADERS,0),MATCH(($A318 &amp; "Points"),CLASSNAMEHEADERS,0))),"")))))))))}</f>
        <v>SPELLDCL01</v>
      </c>
      <c r="I317" s="223"/>
      <c r="J317" s="223" t="str">
        <f t="array" ref="J317:J318">{"SPELLDCL03";((IF("03"=(INDEX(ALLCLASSDATA,MATCH("SpellDCLegendary",CLASSFEATUREHEADERS,0),MATCH($A318,CLASSNAMEHEADERS,0))),(INDEX(ALLCLASSDATA,MATCH("SpellDCLegendary",CLASSFEATUREHEADERS,0),MATCH(($A318 &amp; "Points"),CLASSNAMEHEADERS,0))),(IF("03"=(INDEX(ALLCLASSDATA,MATCH("SpellDCMaster",CLASSFEATUREHEADERS,0),MATCH($A318,CLASSNAMEHEADERS,0))),(INDEX(ALLCLASSDATA,MATCH("SpellDCMaster",CLASSFEATUREHEADERS,0),MATCH(($A318 &amp; "Points"),CLASSNAMEHEADERS,0))),(IF("03"=(INDEX(ALLCLASSDATA,MATCH("SpellDCExpert",CLASSFEATUREHEADERS,0),MATCH($A318,CLASSNAMEHEADERS,0))),(INDEX(ALLCLASSDATA,MATCH("SpellDCExpert",CLASSFEATUREHEADERS,0),MATCH(($A318 &amp; "Points"),CLASSNAMEHEADERS,0))),(IF("03"=(INDEX(ALLCLASSDATA,MATCH("SpellDCTrained",CLASSFEATUREHEADERS,0),MATCH($A318,CLASSNAMEHEADERS,0))),(INDEX(ALLCLASSDATA,MATCH("SpellDCTrained",CLASSFEATUREHEADERS,0),MATCH(($A318 &amp; "Points"),CLASSNAMEHEADERS,0))),"")))))))))}</f>
        <v>SPELLDCL03</v>
      </c>
      <c r="K317" s="223"/>
      <c r="L317" s="223" t="str">
        <f t="array" ref="L317:L318">{"SPELLDCL05";((IF("05"=(INDEX(ALLCLASSDATA,MATCH("SpellDCLegendary",CLASSFEATUREHEADERS,0),MATCH($A318,CLASSNAMEHEADERS,0))),(INDEX(ALLCLASSDATA,MATCH("SpellDCLegendary",CLASSFEATUREHEADERS,0),MATCH(($A318 &amp; "Points"),CLASSNAMEHEADERS,0))),(IF("05"=(INDEX(ALLCLASSDATA,MATCH("SpellDCMaster",CLASSFEATUREHEADERS,0),MATCH($A318,CLASSNAMEHEADERS,0))),(INDEX(ALLCLASSDATA,MATCH("SpellDCMaster",CLASSFEATUREHEADERS,0),MATCH(($A318 &amp; "Points"),CLASSNAMEHEADERS,0))),(IF("05"=(INDEX(ALLCLASSDATA,MATCH("SpellDCExpert",CLASSFEATUREHEADERS,0),MATCH($A318,CLASSNAMEHEADERS,0))),(INDEX(ALLCLASSDATA,MATCH("SpellDCExpert",CLASSFEATUREHEADERS,0),MATCH(($A318 &amp; "Points"),CLASSNAMEHEADERS,0))),(IF("05"=(INDEX(ALLCLASSDATA,MATCH("SpellDCTrained",CLASSFEATUREHEADERS,0),MATCH($A318,CLASSNAMEHEADERS,0))),(INDEX(ALLCLASSDATA,MATCH("SpellDCTrained",CLASSFEATUREHEADERS,0),MATCH(($A318 &amp; "Points"),CLASSNAMEHEADERS,0))),"")))))))))}</f>
        <v>SPELLDCL05</v>
      </c>
      <c r="M317" s="223"/>
      <c r="N317" s="223" t="str">
        <f t="array" ref="N317:N318">{"SPELLDCL07";((IF("07"=(INDEX(ALLCLASSDATA,MATCH("SpellDCLegendary",CLASSFEATUREHEADERS,0),MATCH($A318,CLASSNAMEHEADERS,0))),(INDEX(ALLCLASSDATA,MATCH("SpellDCLegendary",CLASSFEATUREHEADERS,0),MATCH(($A318 &amp; "Points"),CLASSNAMEHEADERS,0))),(IF("07"=(INDEX(ALLCLASSDATA,MATCH("SpellDCMaster",CLASSFEATUREHEADERS,0),MATCH($A318,CLASSNAMEHEADERS,0))),(INDEX(ALLCLASSDATA,MATCH("SpellDCMaster",CLASSFEATUREHEADERS,0),MATCH(($A318 &amp; "Points"),CLASSNAMEHEADERS,0))),(IF("07"=(INDEX(ALLCLASSDATA,MATCH("SpellDCExpert",CLASSFEATUREHEADERS,0),MATCH($A318,CLASSNAMEHEADERS,0))),(INDEX(ALLCLASSDATA,MATCH("SpellDCExpert",CLASSFEATUREHEADERS,0),MATCH(($A318 &amp; "Points"),CLASSNAMEHEADERS,0))),(IF("07"=(INDEX(ALLCLASSDATA,MATCH("SpellDCTrained",CLASSFEATUREHEADERS,0),MATCH($A318,CLASSNAMEHEADERS,0))),(INDEX(ALLCLASSDATA,MATCH("SpellDCTrained",CLASSFEATUREHEADERS,0),MATCH(($A318 &amp; "Points"),CLASSNAMEHEADERS,0))),"")))))))))}</f>
        <v>SPELLDCL07</v>
      </c>
      <c r="O317" s="223"/>
      <c r="P317" s="223" t="str">
        <f t="array" ref="P317:P318">{"SPELLDCL09";((IF("09"=(INDEX(ALLCLASSDATA,MATCH("SpellDCLegendary",CLASSFEATUREHEADERS,0),MATCH($A318,CLASSNAMEHEADERS,0))),(INDEX(ALLCLASSDATA,MATCH("SpellDCLegendary",CLASSFEATUREHEADERS,0),MATCH(($A318 &amp; "Points"),CLASSNAMEHEADERS,0))),(IF("09"=(INDEX(ALLCLASSDATA,MATCH("SpellDCMaster",CLASSFEATUREHEADERS,0),MATCH($A318,CLASSNAMEHEADERS,0))),(INDEX(ALLCLASSDATA,MATCH("SpellDCMaster",CLASSFEATUREHEADERS,0),MATCH(($A318 &amp; "Points"),CLASSNAMEHEADERS,0))),(IF("09"=(INDEX(ALLCLASSDATA,MATCH("SpellDCExpert",CLASSFEATUREHEADERS,0),MATCH($A318,CLASSNAMEHEADERS,0))),(INDEX(ALLCLASSDATA,MATCH("SpellDCExpert",CLASSFEATUREHEADERS,0),MATCH(($A318 &amp; "Points"),CLASSNAMEHEADERS,0))),(IF("09"=(INDEX(ALLCLASSDATA,MATCH("SpellDCTrained",CLASSFEATUREHEADERS,0),MATCH($A318,CLASSNAMEHEADERS,0))),(INDEX(ALLCLASSDATA,MATCH("SpellDCTrained",CLASSFEATUREHEADERS,0),MATCH(($A318 &amp; "Points"),CLASSNAMEHEADERS,0))),"")))))))))}</f>
        <v>SPELLDCL09</v>
      </c>
      <c r="Q317" s="223"/>
      <c r="R317" s="223" t="str">
        <f t="array" ref="R317:R318">{"SPELLDCL11";((IF("11"=(INDEX(ALLCLASSDATA,MATCH("SpellDCLegendary",CLASSFEATUREHEADERS,0),MATCH($A318,CLASSNAMEHEADERS,0))),(INDEX(ALLCLASSDATA,MATCH("SpellDCLegendary",CLASSFEATUREHEADERS,0),MATCH(($A318 &amp; "Points"),CLASSNAMEHEADERS,0))),(IF("11"=(INDEX(ALLCLASSDATA,MATCH("SpellDCMaster",CLASSFEATUREHEADERS,0),MATCH($A318,CLASSNAMEHEADERS,0))),(INDEX(ALLCLASSDATA,MATCH("SpellDCMaster",CLASSFEATUREHEADERS,0),MATCH(($A318 &amp; "Points"),CLASSNAMEHEADERS,0))),(IF("11"=(INDEX(ALLCLASSDATA,MATCH("SpellDCExpert",CLASSFEATUREHEADERS,0),MATCH($A318,CLASSNAMEHEADERS,0))),(INDEX(ALLCLASSDATA,MATCH("SpellDCExpert",CLASSFEATUREHEADERS,0),MATCH(($A318 &amp; "Points"),CLASSNAMEHEADERS,0))),(IF("11"=(INDEX(ALLCLASSDATA,MATCH("SpellDCTrained",CLASSFEATUREHEADERS,0),MATCH($A318,CLASSNAMEHEADERS,0))),(INDEX(ALLCLASSDATA,MATCH("SpellDCTrained",CLASSFEATUREHEADERS,0),MATCH(($A318 &amp; "Points"),CLASSNAMEHEADERS,0))),"")))))))))}</f>
        <v>SPELLDCL11</v>
      </c>
      <c r="S317" s="223"/>
      <c r="T317" s="223" t="str">
        <f t="array" ref="T317:T318">{"SPELLDCL13";((IF("13"=(INDEX(ALLCLASSDATA,MATCH("SpellDCLegendary",CLASSFEATUREHEADERS,0),MATCH($A318,CLASSNAMEHEADERS,0))),(INDEX(ALLCLASSDATA,MATCH("SpellDCLegendary",CLASSFEATUREHEADERS,0),MATCH(($A318 &amp; "Points"),CLASSNAMEHEADERS,0))),(IF("13"=(INDEX(ALLCLASSDATA,MATCH("SpellDCMaster",CLASSFEATUREHEADERS,0),MATCH($A318,CLASSNAMEHEADERS,0))),(INDEX(ALLCLASSDATA,MATCH("SpellDCMaster",CLASSFEATUREHEADERS,0),MATCH(($A318 &amp; "Points"),CLASSNAMEHEADERS,0))),(IF("13"=(INDEX(ALLCLASSDATA,MATCH("SpellDCExpert",CLASSFEATUREHEADERS,0),MATCH($A318,CLASSNAMEHEADERS,0))),(INDEX(ALLCLASSDATA,MATCH("SpellDCExpert",CLASSFEATUREHEADERS,0),MATCH(($A318 &amp; "Points"),CLASSNAMEHEADERS,0))),(IF("13"=(INDEX(ALLCLASSDATA,MATCH("SpellDCTrained",CLASSFEATUREHEADERS,0),MATCH($A318,CLASSNAMEHEADERS,0))),(INDEX(ALLCLASSDATA,MATCH("SpellDCTrained",CLASSFEATUREHEADERS,0),MATCH(($A318 &amp; "Points"),CLASSNAMEHEADERS,0))),"")))))))))}</f>
        <v>SPELLDCL13</v>
      </c>
      <c r="U317" s="223"/>
      <c r="V317" s="223" t="str">
        <f t="array" ref="V317:V318">{"SPELLDCL15";((IF("15"=(INDEX(ALLCLASSDATA,MATCH("SpellDCLegendary",CLASSFEATUREHEADERS,0),MATCH($A318,CLASSNAMEHEADERS,0))),(INDEX(ALLCLASSDATA,MATCH("SpellDCLegendary",CLASSFEATUREHEADERS,0),MATCH(($A318 &amp; "Points"),CLASSNAMEHEADERS,0))),(IF("15"=(INDEX(ALLCLASSDATA,MATCH("SpellDCMaster",CLASSFEATUREHEADERS,0),MATCH($A318,CLASSNAMEHEADERS,0))),(INDEX(ALLCLASSDATA,MATCH("SpellDCMaster",CLASSFEATUREHEADERS,0),MATCH(($A318 &amp; "Points"),CLASSNAMEHEADERS,0))),(IF("15"=(INDEX(ALLCLASSDATA,MATCH("SpellDCExpert",CLASSFEATUREHEADERS,0),MATCH($A318,CLASSNAMEHEADERS,0))),(INDEX(ALLCLASSDATA,MATCH("SpellDCExpert",CLASSFEATUREHEADERS,0),MATCH(($A318 &amp; "Points"),CLASSNAMEHEADERS,0))),(IF("15"=(INDEX(ALLCLASSDATA,MATCH("SpellDCTrained",CLASSFEATUREHEADERS,0),MATCH($A318,CLASSNAMEHEADERS,0))),(INDEX(ALLCLASSDATA,MATCH("SpellDCTrained",CLASSFEATUREHEADERS,0),MATCH(($A318 &amp; "Points"),CLASSNAMEHEADERS,0))),"")))))))))}</f>
        <v>SPELLDCL15</v>
      </c>
      <c r="W317" s="223"/>
      <c r="X317" s="223" t="str">
        <f t="array" ref="X317:X318">{"SPELLDCL17";((IF("17"=(INDEX(ALLCLASSDATA,MATCH("SpellDCLegendary",CLASSFEATUREHEADERS,0),MATCH($A318,CLASSNAMEHEADERS,0))),(INDEX(ALLCLASSDATA,MATCH("SpellDCLegendary",CLASSFEATUREHEADERS,0),MATCH(($A318 &amp; "Points"),CLASSNAMEHEADERS,0))),(IF("17"=(INDEX(ALLCLASSDATA,MATCH("SpellDCMaster",CLASSFEATUREHEADERS,0),MATCH($A318,CLASSNAMEHEADERS,0))),(INDEX(ALLCLASSDATA,MATCH("SpellDCMaster",CLASSFEATUREHEADERS,0),MATCH(($A318 &amp; "Points"),CLASSNAMEHEADERS,0))),(IF("17"=(INDEX(ALLCLASSDATA,MATCH("SpellDCExpert",CLASSFEATUREHEADERS,0),MATCH($A318,CLASSNAMEHEADERS,0))),(INDEX(ALLCLASSDATA,MATCH("SpellDCExpert",CLASSFEATUREHEADERS,0),MATCH(($A318 &amp; "Points"),CLASSNAMEHEADERS,0))),(IF("17"=(INDEX(ALLCLASSDATA,MATCH("SpellDCTrained",CLASSFEATUREHEADERS,0),MATCH($A318,CLASSNAMEHEADERS,0))),(INDEX(ALLCLASSDATA,MATCH("SpellDCTrained",CLASSFEATUREHEADERS,0),MATCH(($A318 &amp; "Points"),CLASSNAMEHEADERS,0))),"")))))))))}</f>
        <v>SPELLDCL17</v>
      </c>
      <c r="Y317" s="223"/>
      <c r="Z317" s="223" t="str">
        <f t="array" ref="Z317:Z318">{"SPELLDCL19";((IF("19"=(INDEX(ALLCLASSDATA,MATCH("SpellDCLegendary",CLASSFEATUREHEADERS,0),MATCH($A318,CLASSNAMEHEADERS,0))),(INDEX(ALLCLASSDATA,MATCH("SpellDCLegendary",CLASSFEATUREHEADERS,0),MATCH(($A318 &amp; "Points"),CLASSNAMEHEADERS,0))),(IF("19"=(INDEX(ALLCLASSDATA,MATCH("SpellDCMaster",CLASSFEATUREHEADERS,0),MATCH($A318,CLASSNAMEHEADERS,0))),(INDEX(ALLCLASSDATA,MATCH("SpellDCMaster",CLASSFEATUREHEADERS,0),MATCH(($A318 &amp; "Points"),CLASSNAMEHEADERS,0))),(IF("19"=(INDEX(ALLCLASSDATA,MATCH("SpellDCExpert",CLASSFEATUREHEADERS,0),MATCH($A318,CLASSNAMEHEADERS,0))),(INDEX(ALLCLASSDATA,MATCH("SpellDCExpert",CLASSFEATUREHEADERS,0),MATCH(($A318 &amp; "Points"),CLASSNAMEHEADERS,0))),(IF("19"=(INDEX(ALLCLASSDATA,MATCH("SpellDCTrained",CLASSFEATUREHEADERS,0),MATCH($A318,CLASSNAMEHEADERS,0))),(INDEX(ALLCLASSDATA,MATCH("SpellDCTrained",CLASSFEATUREHEADERS,0),MATCH(($A318 &amp; "Points"),CLASSNAMEHEADERS,0))),"")))))))))}</f>
        <v>SPELLDCL19</v>
      </c>
      <c r="AA317" s="223"/>
      <c r="AB317" s="76" t="str">
        <f t="array" ref="AB317:AB318">{"SPELLDC TOTAL";(IF(COUNTBLANK(G318:AA318)=17,"L",(IF(COUNTBLANK(G318:AA318)=18,"M",(IF(COUNTBLANK(G318:AA318)=19,"E",(IF(COUNTBLANK(G318:AA318)=20,"T",""))))))))}</f>
        <v>SPELLDC TOTAL</v>
      </c>
      <c r="AC317" s="76" t="str">
        <f t="array" ref="AC317:AC318">{"SPELLDC TOTAL";(sum(G318:AA318))}</f>
        <v>SPELLDC TOTAL</v>
      </c>
    </row>
    <row r="318">
      <c r="A318" s="48" t="s">
        <v>114</v>
      </c>
      <c r="B318" s="48"/>
      <c r="C318" s="48" t="s">
        <v>412</v>
      </c>
      <c r="D318" s="97" t="s">
        <v>1465</v>
      </c>
      <c r="E318" s="97" t="s">
        <v>1485</v>
      </c>
      <c r="F318" s="98" t="s">
        <v>603</v>
      </c>
      <c r="G318" s="132" t="s">
        <v>603</v>
      </c>
      <c r="H318" s="98" t="s">
        <v>603</v>
      </c>
      <c r="I318" s="98"/>
      <c r="J318" s="98" t="s">
        <v>603</v>
      </c>
      <c r="K318" s="98"/>
      <c r="L318" s="98" t="s">
        <v>603</v>
      </c>
      <c r="M318" s="98"/>
      <c r="N318" s="98" t="s">
        <v>603</v>
      </c>
      <c r="O318" s="98"/>
      <c r="P318" s="98" t="s">
        <v>603</v>
      </c>
      <c r="Q318" s="98"/>
      <c r="R318" s="98" t="s">
        <v>603</v>
      </c>
      <c r="S318" s="98"/>
      <c r="T318" s="98" t="s">
        <v>603</v>
      </c>
      <c r="U318" s="98"/>
      <c r="V318" s="98" t="s">
        <v>603</v>
      </c>
      <c r="W318" s="98"/>
      <c r="X318" s="98" t="s">
        <v>603</v>
      </c>
      <c r="Y318" s="98"/>
      <c r="Z318" s="98" t="s">
        <v>603</v>
      </c>
      <c r="AA318" s="98"/>
      <c r="AB318" s="5" t="s">
        <v>603</v>
      </c>
      <c r="AC318" s="47">
        <v>0.0</v>
      </c>
    </row>
    <row r="319" hidden="1">
      <c r="A319" s="222" t="str">
        <f t="array" ref="A319:A320">{"FormulaRow22";(INDEX(CLASSLIST,A276,1))}</f>
        <v>FormulaRow22</v>
      </c>
      <c r="B319" s="77" t="s">
        <v>236</v>
      </c>
      <c r="C319" s="222" t="str">
        <f t="array" ref="C319:C320">{"CLASSTYPE";((INDEX(ALLCLASSDATA,MATCH("ClassType",CLASSFEATUREHEADERS,0),MATCH($A320,CLASSNAMEHEADERS,0))))}</f>
        <v>CLASSTYPE</v>
      </c>
      <c r="D319" s="228" t="str">
        <f t="shared" ref="D319:E319" si="4">{"PERCEPTION";"Perception"}</f>
        <v>PERCEPTION</v>
      </c>
      <c r="E319" s="228" t="str">
        <f t="shared" si="4"/>
        <v>PERCEPTION</v>
      </c>
      <c r="F319" s="230" t="str">
        <f t="array" ref="F319:F320">{"PERCEPTIONINITIAL";((IF(H320=10,"T",(IF(H320=50,"E","")))))}</f>
        <v>PERCEPTIONINITIAL</v>
      </c>
      <c r="G319" s="230" t="str">
        <f t="array" ref="G319:G320">{"PERCEPTIONINITIALPTS";((IF("00"=(INDEX(ALLCLASSDATA,MATCH("PerceptionLegendary",CLASSFEATUREHEADERS,0),MATCH($A320,CLASSNAMEHEADERS,0))),(INDEX(ALLCLASSDATA,MATCH("PerceptionLegendary",CLASSFEATUREHEADERS,0),MATCH(($A320 &amp; "Points"),CLASSNAMEHEADERS,0))),(IF("00"=(INDEX(ALLCLASSDATA,MATCH("PerceptionMaster",CLASSFEATUREHEADERS,0),MATCH($A320,CLASSNAMEHEADERS,0))),(INDEX(ALLCLASSDATA,MATCH("PerceptionMaster",CLASSFEATUREHEADERS,0),MATCH(($A320 &amp; "Points"),CLASSNAMEHEADERS,0))),(IF("00"=(INDEX(ALLCLASSDATA,MATCH("PerceptionExpert",CLASSFEATUREHEADERS,0),MATCH($A320,CLASSNAMEHEADERS,0))),(INDEX(ALLCLASSDATA,MATCH("PerceptionExpert",CLASSFEATUREHEADERS,0),MATCH(($A320 &amp; "Points"),CLASSNAMEHEADERS,0))),(IF("00"=(INDEX(ALLCLASSDATA,MATCH("PerceptionTrained",CLASSFEATUREHEADERS,0),MATCH($A320,CLASSNAMEHEADERS,0))),(INDEX(ALLCLASSDATA,MATCH("PerceptionTrained",CLASSFEATUREHEADERS,0),MATCH(($A320 &amp; "Points"),CLASSNAMEHEADERS,0))),"")))))))))}</f>
        <v>PERCEPTIONINITIALPTS</v>
      </c>
      <c r="H319" s="230" t="str">
        <f t="array" ref="H319:H320">{"PERCEPTIONL01";((IF("01"=(INDEX(ALLCLASSDATA,MATCH("PerceptionLegendary",CLASSFEATUREHEADERS,0),MATCH($A320,CLASSNAMEHEADERS,0))),(INDEX(ALLCLASSDATA,MATCH("PerceptionLegendary",CLASSFEATUREHEADERS,0),MATCH(($A320 &amp; "Points"),CLASSNAMEHEADERS,0))),(IF("01"=(INDEX(ALLCLASSDATA,MATCH("PerceptionMaster",CLASSFEATUREHEADERS,0),MATCH($A320,CLASSNAMEHEADERS,0))),(INDEX(ALLCLASSDATA,MATCH("PerceptionMaster",CLASSFEATUREHEADERS,0),MATCH(($A320 &amp; "Points"),CLASSNAMEHEADERS,0))),(IF("01"=(INDEX(ALLCLASSDATA,MATCH("PerceptionExpert",CLASSFEATUREHEADERS,0),MATCH($A320,CLASSNAMEHEADERS,0))),(INDEX(ALLCLASSDATA,MATCH("PerceptionExpert",CLASSFEATUREHEADERS,0),MATCH(($A320 &amp; "Points"),CLASSNAMEHEADERS,0))),(IF("01"=(INDEX(ALLCLASSDATA,MATCH("PerceptionTrained",CLASSFEATUREHEADERS,0),MATCH($A320,CLASSNAMEHEADERS,0))),(INDEX(ALLCLASSDATA,MATCH("PerceptionTrained",CLASSFEATUREHEADERS,0),MATCH(($A320 &amp; "Points"),CLASSNAMEHEADERS,0))),"")))))))))}</f>
        <v>PERCEPTIONL01</v>
      </c>
      <c r="I319" s="230"/>
      <c r="J319" s="230" t="str">
        <f t="array" ref="J319:J320">{"PERCEPTIONL03";((IF("03"=(INDEX(ALLCLASSDATA,MATCH("PerceptionLegendary",CLASSFEATUREHEADERS,0),MATCH($A320,CLASSNAMEHEADERS,0))),(INDEX(ALLCLASSDATA,MATCH("PerceptionLegendary",CLASSFEATUREHEADERS,0),MATCH(($A320 &amp; "Points"),CLASSNAMEHEADERS,0))),(IF("03"=(INDEX(ALLCLASSDATA,MATCH("PerceptionMaster",CLASSFEATUREHEADERS,0),MATCH($A320,CLASSNAMEHEADERS,0))),(INDEX(ALLCLASSDATA,MATCH("PerceptionMaster",CLASSFEATUREHEADERS,0),MATCH(($A320 &amp; "Points"),CLASSNAMEHEADERS,0))),(IF("03"=(INDEX(ALLCLASSDATA,MATCH("PerceptionExpert",CLASSFEATUREHEADERS,0),MATCH($A320,CLASSNAMEHEADERS,0))),(INDEX(ALLCLASSDATA,MATCH("PerceptionExpert",CLASSFEATUREHEADERS,0),MATCH(($A320 &amp; "Points"),CLASSNAMEHEADERS,0))),(IF("03"=(INDEX(ALLCLASSDATA,MATCH("PerceptionTrained",CLASSFEATUREHEADERS,0),MATCH($A320,CLASSNAMEHEADERS,0))),(INDEX(ALLCLASSDATA,MATCH("PerceptionTrained",CLASSFEATUREHEADERS,0),MATCH(($A320 &amp; "Points"),CLASSNAMEHEADERS,0))),"")))))))))}</f>
        <v>PERCEPTIONL03</v>
      </c>
      <c r="K319" s="230"/>
      <c r="L319" s="230" t="str">
        <f t="array" ref="L319:L320">{"PERCEPTIONL05";((IF("05"=(INDEX(ALLCLASSDATA,MATCH("PerceptionLegendary",CLASSFEATUREHEADERS,0),MATCH($A320,CLASSNAMEHEADERS,0))),(INDEX(ALLCLASSDATA,MATCH("PerceptionLegendary",CLASSFEATUREHEADERS,0),MATCH(($A320 &amp; "Points"),CLASSNAMEHEADERS,0))),(IF("05"=(INDEX(ALLCLASSDATA,MATCH("PerceptionMaster",CLASSFEATUREHEADERS,0),MATCH($A320,CLASSNAMEHEADERS,0))),(INDEX(ALLCLASSDATA,MATCH("PerceptionMaster",CLASSFEATUREHEADERS,0),MATCH(($A320 &amp; "Points"),CLASSNAMEHEADERS,0))),(IF("05"=(INDEX(ALLCLASSDATA,MATCH("PerceptionExpert",CLASSFEATUREHEADERS,0),MATCH($A320,CLASSNAMEHEADERS,0))),(INDEX(ALLCLASSDATA,MATCH("PerceptionExpert",CLASSFEATUREHEADERS,0),MATCH(($A320 &amp; "Points"),CLASSNAMEHEADERS,0))),(IF("05"=(INDEX(ALLCLASSDATA,MATCH("PerceptionTrained",CLASSFEATUREHEADERS,0),MATCH($A320,CLASSNAMEHEADERS,0))),(INDEX(ALLCLASSDATA,MATCH("PerceptionTrained",CLASSFEATUREHEADERS,0),MATCH(($A320 &amp; "Points"),CLASSNAMEHEADERS,0))),"")))))))))}</f>
        <v>PERCEPTIONL05</v>
      </c>
      <c r="M319" s="230"/>
      <c r="N319" s="230" t="str">
        <f t="array" ref="N319:N320">{"PERCEPTIONL07";((IF("07"=(INDEX(ALLCLASSDATA,MATCH("PerceptionLegendary",CLASSFEATUREHEADERS,0),MATCH($A320,CLASSNAMEHEADERS,0))),(INDEX(ALLCLASSDATA,MATCH("PerceptionLegendary",CLASSFEATUREHEADERS,0),MATCH(($A320 &amp; "Points"),CLASSNAMEHEADERS,0))),(IF("07"=(INDEX(ALLCLASSDATA,MATCH("PerceptionMaster",CLASSFEATUREHEADERS,0),MATCH($A320,CLASSNAMEHEADERS,0))),(INDEX(ALLCLASSDATA,MATCH("PerceptionMaster",CLASSFEATUREHEADERS,0),MATCH(($A320 &amp; "Points"),CLASSNAMEHEADERS,0))),(IF("07"=(INDEX(ALLCLASSDATA,MATCH("PerceptionExpert",CLASSFEATUREHEADERS,0),MATCH($A320,CLASSNAMEHEADERS,0))),(INDEX(ALLCLASSDATA,MATCH("PerceptionExpert",CLASSFEATUREHEADERS,0),MATCH(($A320 &amp; "Points"),CLASSNAMEHEADERS,0))),(IF("07"=(INDEX(ALLCLASSDATA,MATCH("PerceptionTrained",CLASSFEATUREHEADERS,0),MATCH($A320,CLASSNAMEHEADERS,0))),(INDEX(ALLCLASSDATA,MATCH("PerceptionTrained",CLASSFEATUREHEADERS,0),MATCH(($A320 &amp; "Points"),CLASSNAMEHEADERS,0))),"")))))))))}</f>
        <v>PERCEPTIONL07</v>
      </c>
      <c r="O319" s="230"/>
      <c r="P319" s="230" t="str">
        <f t="array" ref="P319:P320">{"PERCEPTIONL09";((IF("09"=(INDEX(ALLCLASSDATA,MATCH("PerceptionLegendary",CLASSFEATUREHEADERS,0),MATCH($A320,CLASSNAMEHEADERS,0))),(INDEX(ALLCLASSDATA,MATCH("PerceptionLegendary",CLASSFEATUREHEADERS,0),MATCH(($A320 &amp; "Points"),CLASSNAMEHEADERS,0))),(IF("09"=(INDEX(ALLCLASSDATA,MATCH("PerceptionMaster",CLASSFEATUREHEADERS,0),MATCH($A320,CLASSNAMEHEADERS,0))),(INDEX(ALLCLASSDATA,MATCH("PerceptionMaster",CLASSFEATUREHEADERS,0),MATCH(($A320 &amp; "Points"),CLASSNAMEHEADERS,0))),(IF("09"=(INDEX(ALLCLASSDATA,MATCH("PerceptionExpert",CLASSFEATUREHEADERS,0),MATCH($A320,CLASSNAMEHEADERS,0))),(INDEX(ALLCLASSDATA,MATCH("PerceptionExpert",CLASSFEATUREHEADERS,0),MATCH(($A320 &amp; "Points"),CLASSNAMEHEADERS,0))),(IF("09"=(INDEX(ALLCLASSDATA,MATCH("PerceptionTrained",CLASSFEATUREHEADERS,0),MATCH($A320,CLASSNAMEHEADERS,0))),(INDEX(ALLCLASSDATA,MATCH("PerceptionTrained",CLASSFEATUREHEADERS,0),MATCH(($A320 &amp; "Points"),CLASSNAMEHEADERS,0))),"")))))))))}</f>
        <v>PERCEPTIONL09</v>
      </c>
      <c r="Q319" s="230"/>
      <c r="R319" s="230" t="str">
        <f t="array" ref="R319:R320">{"PERCEPTIONL11";((IF("11"=(INDEX(ALLCLASSDATA,MATCH("PerceptionLegendary",CLASSFEATUREHEADERS,0),MATCH($A320,CLASSNAMEHEADERS,0))),(INDEX(ALLCLASSDATA,MATCH("PerceptionLegendary",CLASSFEATUREHEADERS,0),MATCH(($A320 &amp; "Points"),CLASSNAMEHEADERS,0))),(IF("11"=(INDEX(ALLCLASSDATA,MATCH("PerceptionMaster",CLASSFEATUREHEADERS,0),MATCH($A320,CLASSNAMEHEADERS,0))),(INDEX(ALLCLASSDATA,MATCH("PerceptionMaster",CLASSFEATUREHEADERS,0),MATCH(($A320 &amp; "Points"),CLASSNAMEHEADERS,0))),(IF("11"=(INDEX(ALLCLASSDATA,MATCH("PerceptionExpert",CLASSFEATUREHEADERS,0),MATCH($A320,CLASSNAMEHEADERS,0))),(INDEX(ALLCLASSDATA,MATCH("PerceptionExpert",CLASSFEATUREHEADERS,0),MATCH(($A320 &amp; "Points"),CLASSNAMEHEADERS,0))),(IF("11"=(INDEX(ALLCLASSDATA,MATCH("PerceptionTrained",CLASSFEATUREHEADERS,0),MATCH($A320,CLASSNAMEHEADERS,0))),(INDEX(ALLCLASSDATA,MATCH("PerceptionTrained",CLASSFEATUREHEADERS,0),MATCH(($A320 &amp; "Points"),CLASSNAMEHEADERS,0))),"")))))))))}</f>
        <v>PERCEPTIONL11</v>
      </c>
      <c r="S319" s="230"/>
      <c r="T319" s="230" t="str">
        <f t="array" ref="T319:T320">{"PERCEPTIONL13";((IF("13"=(INDEX(ALLCLASSDATA,MATCH("PerceptionLegendary",CLASSFEATUREHEADERS,0),MATCH($A320,CLASSNAMEHEADERS,0))),(INDEX(ALLCLASSDATA,MATCH("PerceptionLegendary",CLASSFEATUREHEADERS,0),MATCH(($A320 &amp; "Points"),CLASSNAMEHEADERS,0))),(IF("13"=(INDEX(ALLCLASSDATA,MATCH("PerceptionMaster",CLASSFEATUREHEADERS,0),MATCH($A320,CLASSNAMEHEADERS,0))),(INDEX(ALLCLASSDATA,MATCH("PerceptionMaster",CLASSFEATUREHEADERS,0),MATCH(($A320 &amp; "Points"),CLASSNAMEHEADERS,0))),(IF("13"=(INDEX(ALLCLASSDATA,MATCH("PerceptionExpert",CLASSFEATUREHEADERS,0),MATCH($A320,CLASSNAMEHEADERS,0))),(INDEX(ALLCLASSDATA,MATCH("PerceptionExpert",CLASSFEATUREHEADERS,0),MATCH(($A320 &amp; "Points"),CLASSNAMEHEADERS,0))),(IF("13"=(INDEX(ALLCLASSDATA,MATCH("PerceptionTrained",CLASSFEATUREHEADERS,0),MATCH($A320,CLASSNAMEHEADERS,0))),(INDEX(ALLCLASSDATA,MATCH("PerceptionTrained",CLASSFEATUREHEADERS,0),MATCH(($A320 &amp; "Points"),CLASSNAMEHEADERS,0))),"")))))))))}</f>
        <v>PERCEPTIONL13</v>
      </c>
      <c r="U319" s="230"/>
      <c r="V319" s="230" t="str">
        <f t="array" ref="V319:V320">{"PERCEPTIONL15";((IF("15"=(INDEX(ALLCLASSDATA,MATCH("PerceptionLegendary",CLASSFEATUREHEADERS,0),MATCH($A320,CLASSNAMEHEADERS,0))),(INDEX(ALLCLASSDATA,MATCH("PerceptionLegendary",CLASSFEATUREHEADERS,0),MATCH(($A320 &amp; "Points"),CLASSNAMEHEADERS,0))),(IF("15"=(INDEX(ALLCLASSDATA,MATCH("PerceptionMaster",CLASSFEATUREHEADERS,0),MATCH($A320,CLASSNAMEHEADERS,0))),(INDEX(ALLCLASSDATA,MATCH("PerceptionMaster",CLASSFEATUREHEADERS,0),MATCH(($A320 &amp; "Points"),CLASSNAMEHEADERS,0))),(IF("15"=(INDEX(ALLCLASSDATA,MATCH("PerceptionExpert",CLASSFEATUREHEADERS,0),MATCH($A320,CLASSNAMEHEADERS,0))),(INDEX(ALLCLASSDATA,MATCH("PerceptionExpert",CLASSFEATUREHEADERS,0),MATCH(($A320 &amp; "Points"),CLASSNAMEHEADERS,0))),(IF("15"=(INDEX(ALLCLASSDATA,MATCH("PerceptionTrained",CLASSFEATUREHEADERS,0),MATCH($A320,CLASSNAMEHEADERS,0))),(INDEX(ALLCLASSDATA,MATCH("PerceptionTrained",CLASSFEATUREHEADERS,0),MATCH(($A320 &amp; "Points"),CLASSNAMEHEADERS,0))),"")))))))))}</f>
        <v>PERCEPTIONL15</v>
      </c>
      <c r="W319" s="230"/>
      <c r="X319" s="230" t="str">
        <f t="array" ref="X319:X320">{"PERCEPTIONL17";((IF("17"=(INDEX(ALLCLASSDATA,MATCH("PerceptionLegendary",CLASSFEATUREHEADERS,0),MATCH($A320,CLASSNAMEHEADERS,0))),(INDEX(ALLCLASSDATA,MATCH("PerceptionLegendary",CLASSFEATUREHEADERS,0),MATCH(($A320 &amp; "Points"),CLASSNAMEHEADERS,0))),(IF("17"=(INDEX(ALLCLASSDATA,MATCH("PerceptionMaster",CLASSFEATUREHEADERS,0),MATCH($A320,CLASSNAMEHEADERS,0))),(INDEX(ALLCLASSDATA,MATCH("PerceptionMaster",CLASSFEATUREHEADERS,0),MATCH(($A320 &amp; "Points"),CLASSNAMEHEADERS,0))),(IF("17"=(INDEX(ALLCLASSDATA,MATCH("PerceptionExpert",CLASSFEATUREHEADERS,0),MATCH($A320,CLASSNAMEHEADERS,0))),(INDEX(ALLCLASSDATA,MATCH("PerceptionExpert",CLASSFEATUREHEADERS,0),MATCH(($A320 &amp; "Points"),CLASSNAMEHEADERS,0))),(IF("17"=(INDEX(ALLCLASSDATA,MATCH("PerceptionTrained",CLASSFEATUREHEADERS,0),MATCH($A320,CLASSNAMEHEADERS,0))),(INDEX(ALLCLASSDATA,MATCH("PerceptionTrained",CLASSFEATUREHEADERS,0),MATCH(($A320 &amp; "Points"),CLASSNAMEHEADERS,0))),"")))))))))}</f>
        <v>PERCEPTIONL17</v>
      </c>
      <c r="Y319" s="230"/>
      <c r="Z319" s="230" t="str">
        <f t="array" ref="Z319:Z320">{"PERCEPTIONL19";((IF("19"=(INDEX(ALLCLASSDATA,MATCH("PerceptionLegendary",CLASSFEATUREHEADERS,0),MATCH($A320,CLASSNAMEHEADERS,0))),(INDEX(ALLCLASSDATA,MATCH("PerceptionLegendary",CLASSFEATUREHEADERS,0),MATCH(($A320 &amp; "Points"),CLASSNAMEHEADERS,0))),(IF("19"=(INDEX(ALLCLASSDATA,MATCH("PerceptionMaster",CLASSFEATUREHEADERS,0),MATCH($A320,CLASSNAMEHEADERS,0))),(INDEX(ALLCLASSDATA,MATCH("PerceptionMaster",CLASSFEATUREHEADERS,0),MATCH(($A320 &amp; "Points"),CLASSNAMEHEADERS,0))),(IF("19"=(INDEX(ALLCLASSDATA,MATCH("PerceptionExpert",CLASSFEATUREHEADERS,0),MATCH($A320,CLASSNAMEHEADERS,0))),(INDEX(ALLCLASSDATA,MATCH("PerceptionExpert",CLASSFEATUREHEADERS,0),MATCH(($A320 &amp; "Points"),CLASSNAMEHEADERS,0))),(IF("19"=(INDEX(ALLCLASSDATA,MATCH("PerceptionTrained",CLASSFEATUREHEADERS,0),MATCH($A320,CLASSNAMEHEADERS,0))),(INDEX(ALLCLASSDATA,MATCH("PerceptionTrained",CLASSFEATUREHEADERS,0),MATCH(($A320 &amp; "Points"),CLASSNAMEHEADERS,0))),"")))))))))}</f>
        <v>PERCEPTIONL19</v>
      </c>
      <c r="AA319" s="230"/>
      <c r="AB319" s="76" t="str">
        <f t="array" ref="AB319:AB320">{"PERCEPTION TOTAL";(IF(COUNTBLANK(G320:AA320)=17,"L",(IF(COUNTBLANK(G320:AA320)=18,"M",(IF(COUNTBLANK(G320:AA320)=19,"E",(IF(COUNTBLANK(G320:AA320)=20,"T",""))))))))}</f>
        <v>PERCEPTION TOTAL</v>
      </c>
      <c r="AC319" s="76" t="str">
        <f t="array" ref="AC319:AC320">{"PERCEPTION TOTAL";(sum(G320:AA320))}</f>
        <v>PERCEPTION TOTAL</v>
      </c>
    </row>
    <row r="320">
      <c r="A320" s="48" t="s">
        <v>114</v>
      </c>
      <c r="B320" s="48"/>
      <c r="C320" s="48" t="s">
        <v>412</v>
      </c>
      <c r="D320" s="97" t="s">
        <v>637</v>
      </c>
      <c r="E320" s="97" t="s">
        <v>637</v>
      </c>
      <c r="F320" s="98" t="s">
        <v>436</v>
      </c>
      <c r="G320" s="132">
        <v>10.0</v>
      </c>
      <c r="H320" s="98">
        <v>50.0</v>
      </c>
      <c r="I320" s="98"/>
      <c r="J320" s="98" t="s">
        <v>603</v>
      </c>
      <c r="K320" s="98"/>
      <c r="L320" s="98" t="s">
        <v>603</v>
      </c>
      <c r="M320" s="98"/>
      <c r="N320" s="98" t="s">
        <v>603</v>
      </c>
      <c r="O320" s="98"/>
      <c r="P320" s="98" t="s">
        <v>603</v>
      </c>
      <c r="Q320" s="98"/>
      <c r="R320" s="98" t="s">
        <v>603</v>
      </c>
      <c r="S320" s="98"/>
      <c r="T320" s="98" t="s">
        <v>603</v>
      </c>
      <c r="U320" s="98"/>
      <c r="V320" s="98" t="s">
        <v>603</v>
      </c>
      <c r="W320" s="98"/>
      <c r="X320" s="98">
        <v>110.0</v>
      </c>
      <c r="Y320" s="98"/>
      <c r="Z320" s="98" t="s">
        <v>603</v>
      </c>
      <c r="AA320" s="98"/>
      <c r="AB320" s="5" t="s">
        <v>437</v>
      </c>
      <c r="AC320" s="47">
        <v>170.0</v>
      </c>
    </row>
    <row r="321" hidden="1">
      <c r="A321" s="222" t="str">
        <f t="array" ref="A321:A322">{"FormulaRow23";(INDEX(CLASSLIST,A276,1))}</f>
        <v>FormulaRow23</v>
      </c>
      <c r="B321" s="77" t="s">
        <v>236</v>
      </c>
      <c r="C321" s="222" t="str">
        <f t="array" ref="C321:C322">{"CLASSTYPE";((INDEX(ALLCLASSDATA,MATCH("ClassType",CLASSFEATUREHEADERS,0),MATCH($A322,CLASSNAMEHEADERS,0))))}</f>
        <v>CLASSTYPE</v>
      </c>
      <c r="D321" s="228" t="str">
        <f t="array" ref="D321:D322">{"SAVES";"Saves"}</f>
        <v>SAVES</v>
      </c>
      <c r="E321" s="228" t="str">
        <f t="array" ref="E321:E322">{"FORTITUDESAVE";"FortitudeSave"}</f>
        <v>FORTITUDESAVE</v>
      </c>
      <c r="F321" s="230" t="str">
        <f t="array" ref="F321:F322">{"FORTITUDEINITIAL";((IF(H322=10,"T",(IF(H322=50,"E","")))))}</f>
        <v>FORTITUDEINITIAL</v>
      </c>
      <c r="G321" s="230" t="str">
        <f t="array" ref="G321:G322">{"FORTITUDEINITIALPTS";((IF("00"=(INDEX(ALLCLASSDATA,MATCH("FortitudeSaveLegendary",CLASSFEATUREHEADERS,0),MATCH($A322,CLASSNAMEHEADERS,0))),(INDEX(ALLCLASSDATA,MATCH("FortitudeSaveLegendary",CLASSFEATUREHEADERS,0),MATCH(($A322 &amp; "Points"),CLASSNAMEHEADERS,0))),(IF("00"=(INDEX(ALLCLASSDATA,MATCH("FortitudeSaveMaster",CLASSFEATUREHEADERS,0),MATCH($A322,CLASSNAMEHEADERS,0))),(INDEX(ALLCLASSDATA,MATCH("FortitudeSaveMaster",CLASSFEATUREHEADERS,0),MATCH(($A322 &amp; "Points"),CLASSNAMEHEADERS,0))),(IF("00"=(INDEX(ALLCLASSDATA,MATCH("FortitudeSaveExpert",CLASSFEATUREHEADERS,0),MATCH($A322,CLASSNAMEHEADERS,0))),(INDEX(ALLCLASSDATA,MATCH("FortitudeSaveExpert",CLASSFEATUREHEADERS,0),MATCH(($A322 &amp; "Points"),CLASSNAMEHEADERS,0))),(IF("00"=(INDEX(ALLCLASSDATA,MATCH("FortitudeSaveTrained",CLASSFEATUREHEADERS,0),MATCH($A322,CLASSNAMEHEADERS,0))),(INDEX(ALLCLASSDATA,MATCH("FortitudeSaveTrained",CLASSFEATUREHEADERS,0),MATCH(($A322 &amp; "Points"),CLASSNAMEHEADERS,0))),"")))))))))}</f>
        <v>FORTITUDEINITIALPTS</v>
      </c>
      <c r="H321" s="230" t="str">
        <f t="array" ref="H321:H322">{"FORTITUDEL01";((IF("01"=(INDEX(ALLCLASSDATA,MATCH("FortitudeSaveLegendary",CLASSFEATUREHEADERS,0),MATCH($A322,CLASSNAMEHEADERS,0))),(INDEX(ALLCLASSDATA,MATCH("FortitudeSaveLegendary",CLASSFEATUREHEADERS,0),MATCH(($A322 &amp; "Points"),CLASSNAMEHEADERS,0))),(IF("01"=(INDEX(ALLCLASSDATA,MATCH("FortitudeSaveMaster",CLASSFEATUREHEADERS,0),MATCH($A322,CLASSNAMEHEADERS,0))),(INDEX(ALLCLASSDATA,MATCH("FortitudeSaveMaster",CLASSFEATUREHEADERS,0),MATCH(($A322 &amp; "Points"),CLASSNAMEHEADERS,0))),(IF("01"=(INDEX(ALLCLASSDATA,MATCH("FortitudeSaveExpert",CLASSFEATUREHEADERS,0),MATCH($A322,CLASSNAMEHEADERS,0))),(INDEX(ALLCLASSDATA,MATCH("FortitudeSaveExpert",CLASSFEATUREHEADERS,0),MATCH(($A322 &amp; "Points"),CLASSNAMEHEADERS,0))),(IF("01"=(INDEX(ALLCLASSDATA,MATCH("FortitudeSaveTrained",CLASSFEATUREHEADERS,0),MATCH($A322,CLASSNAMEHEADERS,0))),(INDEX(ALLCLASSDATA,MATCH("FortitudeSaveTrained",CLASSFEATUREHEADERS,0),MATCH(($A322 &amp; "Points"),CLASSNAMEHEADERS,0))),"")))))))))}</f>
        <v>FORTITUDEL01</v>
      </c>
      <c r="I321" s="230"/>
      <c r="J321" s="230" t="str">
        <f t="array" ref="J321:J322">{"FORTITUDEL03";((IF("03"=(INDEX(ALLCLASSDATA,MATCH("FortitudeSaveLegendary",CLASSFEATUREHEADERS,0),MATCH($A322,CLASSNAMEHEADERS,0))),(INDEX(ALLCLASSDATA,MATCH("FortitudeSaveLegendary",CLASSFEATUREHEADERS,0),MATCH(($A322 &amp; "Points"),CLASSNAMEHEADERS,0))),(IF("03"=(INDEX(ALLCLASSDATA,MATCH("FortitudeSaveMaster",CLASSFEATUREHEADERS,0),MATCH($A322,CLASSNAMEHEADERS,0))),(INDEX(ALLCLASSDATA,MATCH("FortitudeSaveMaster",CLASSFEATUREHEADERS,0),MATCH(($A322 &amp; "Points"),CLASSNAMEHEADERS,0))),(IF("03"=(INDEX(ALLCLASSDATA,MATCH("FortitudeSaveExpert",CLASSFEATUREHEADERS,0),MATCH($A322,CLASSNAMEHEADERS,0))),(INDEX(ALLCLASSDATA,MATCH("FortitudeSaveExpert",CLASSFEATUREHEADERS,0),MATCH(($A322 &amp; "Points"),CLASSNAMEHEADERS,0))),(IF("03"=(INDEX(ALLCLASSDATA,MATCH("FortitudeSaveTrained",CLASSFEATUREHEADERS,0),MATCH($A322,CLASSNAMEHEADERS,0))),(INDEX(ALLCLASSDATA,MATCH("FortitudeSaveTrained",CLASSFEATUREHEADERS,0),MATCH(($A322 &amp; "Points"),CLASSNAMEHEADERS,0))),"")))))))))}</f>
        <v>FORTITUDEL03</v>
      </c>
      <c r="K321" s="230"/>
      <c r="L321" s="230" t="str">
        <f t="array" ref="L321:L322">{"FORTITUDEL05";((IF("05"=(INDEX(ALLCLASSDATA,MATCH("FortitudeSaveLegendary",CLASSFEATUREHEADERS,0),MATCH($A322,CLASSNAMEHEADERS,0))),(INDEX(ALLCLASSDATA,MATCH("FortitudeSaveLegendary",CLASSFEATUREHEADERS,0),MATCH(($A322 &amp; "Points"),CLASSNAMEHEADERS,0))),(IF("05"=(INDEX(ALLCLASSDATA,MATCH("FortitudeSaveMaster",CLASSFEATUREHEADERS,0),MATCH($A322,CLASSNAMEHEADERS,0))),(INDEX(ALLCLASSDATA,MATCH("FortitudeSaveMaster",CLASSFEATUREHEADERS,0),MATCH(($A322 &amp; "Points"),CLASSNAMEHEADERS,0))),(IF("05"=(INDEX(ALLCLASSDATA,MATCH("FortitudeSaveExpert",CLASSFEATUREHEADERS,0),MATCH($A322,CLASSNAMEHEADERS,0))),(INDEX(ALLCLASSDATA,MATCH("FortitudeSaveExpert",CLASSFEATUREHEADERS,0),MATCH(($A322 &amp; "Points"),CLASSNAMEHEADERS,0))),(IF("05"=(INDEX(ALLCLASSDATA,MATCH("FortitudeSaveTrained",CLASSFEATUREHEADERS,0),MATCH($A322,CLASSNAMEHEADERS,0))),(INDEX(ALLCLASSDATA,MATCH("FortitudeSaveTrained",CLASSFEATUREHEADERS,0),MATCH(($A322 &amp; "Points"),CLASSNAMEHEADERS,0))),"")))))))))}</f>
        <v>FORTITUDEL05</v>
      </c>
      <c r="M321" s="230"/>
      <c r="N321" s="230" t="str">
        <f t="array" ref="N321:N322">{"FORTITUDEL07";((IF("07"=(INDEX(ALLCLASSDATA,MATCH("FortitudeSaveLegendary",CLASSFEATUREHEADERS,0),MATCH($A322,CLASSNAMEHEADERS,0))),(INDEX(ALLCLASSDATA,MATCH("FortitudeSaveLegendary",CLASSFEATUREHEADERS,0),MATCH(($A322 &amp; "Points"),CLASSNAMEHEADERS,0))),(IF("07"=(INDEX(ALLCLASSDATA,MATCH("FortitudeSaveMaster",CLASSFEATUREHEADERS,0),MATCH($A322,CLASSNAMEHEADERS,0))),(INDEX(ALLCLASSDATA,MATCH("FortitudeSaveMaster",CLASSFEATUREHEADERS,0),MATCH(($A322 &amp; "Points"),CLASSNAMEHEADERS,0))),(IF("07"=(INDEX(ALLCLASSDATA,MATCH("FortitudeSaveExpert",CLASSFEATUREHEADERS,0),MATCH($A322,CLASSNAMEHEADERS,0))),(INDEX(ALLCLASSDATA,MATCH("FortitudeSaveExpert",CLASSFEATUREHEADERS,0),MATCH(($A322 &amp; "Points"),CLASSNAMEHEADERS,0))),(IF("07"=(INDEX(ALLCLASSDATA,MATCH("FortitudeSaveTrained",CLASSFEATUREHEADERS,0),MATCH($A322,CLASSNAMEHEADERS,0))),(INDEX(ALLCLASSDATA,MATCH("FortitudeSaveTrained",CLASSFEATUREHEADERS,0),MATCH(($A322 &amp; "Points"),CLASSNAMEHEADERS,0))),"")))))))))}</f>
        <v>FORTITUDEL07</v>
      </c>
      <c r="O321" s="230"/>
      <c r="P321" s="230" t="str">
        <f t="array" ref="P321:P322">{"FORTITUDEL09";((IF("09"=(INDEX(ALLCLASSDATA,MATCH("FortitudeSaveLegendary",CLASSFEATUREHEADERS,0),MATCH($A322,CLASSNAMEHEADERS,0))),(INDEX(ALLCLASSDATA,MATCH("FortitudeSaveLegendary",CLASSFEATUREHEADERS,0),MATCH(($A322 &amp; "Points"),CLASSNAMEHEADERS,0))),(IF("09"=(INDEX(ALLCLASSDATA,MATCH("FortitudeSaveMaster",CLASSFEATUREHEADERS,0),MATCH($A322,CLASSNAMEHEADERS,0))),(INDEX(ALLCLASSDATA,MATCH("FortitudeSaveMaster",CLASSFEATUREHEADERS,0),MATCH(($A322 &amp; "Points"),CLASSNAMEHEADERS,0))),(IF("09"=(INDEX(ALLCLASSDATA,MATCH("FortitudeSaveExpert",CLASSFEATUREHEADERS,0),MATCH($A322,CLASSNAMEHEADERS,0))),(INDEX(ALLCLASSDATA,MATCH("FortitudeSaveExpert",CLASSFEATUREHEADERS,0),MATCH(($A322 &amp; "Points"),CLASSNAMEHEADERS,0))),(IF("09"=(INDEX(ALLCLASSDATA,MATCH("FortitudeSaveTrained",CLASSFEATUREHEADERS,0),MATCH($A322,CLASSNAMEHEADERS,0))),(INDEX(ALLCLASSDATA,MATCH("FortitudeSaveTrained",CLASSFEATUREHEADERS,0),MATCH(($A322 &amp; "Points"),CLASSNAMEHEADERS,0))),"")))))))))}</f>
        <v>FORTITUDEL09</v>
      </c>
      <c r="Q321" s="230"/>
      <c r="R321" s="230" t="str">
        <f t="array" ref="R321:R322">{"FORTITUDEL11";((IF("11"=(INDEX(ALLCLASSDATA,MATCH("FortitudeSaveLegendary",CLASSFEATUREHEADERS,0),MATCH($A322,CLASSNAMEHEADERS,0))),(INDEX(ALLCLASSDATA,MATCH("FortitudeSaveLegendary",CLASSFEATUREHEADERS,0),MATCH(($A322 &amp; "Points"),CLASSNAMEHEADERS,0))),(IF("11"=(INDEX(ALLCLASSDATA,MATCH("FortitudeSaveMaster",CLASSFEATUREHEADERS,0),MATCH($A322,CLASSNAMEHEADERS,0))),(INDEX(ALLCLASSDATA,MATCH("FortitudeSaveMaster",CLASSFEATUREHEADERS,0),MATCH(($A322 &amp; "Points"),CLASSNAMEHEADERS,0))),(IF("11"=(INDEX(ALLCLASSDATA,MATCH("FortitudeSaveExpert",CLASSFEATUREHEADERS,0),MATCH($A322,CLASSNAMEHEADERS,0))),(INDEX(ALLCLASSDATA,MATCH("FortitudeSaveExpert",CLASSFEATUREHEADERS,0),MATCH(($A322 &amp; "Points"),CLASSNAMEHEADERS,0))),(IF("11"=(INDEX(ALLCLASSDATA,MATCH("FortitudeSaveTrained",CLASSFEATUREHEADERS,0),MATCH($A322,CLASSNAMEHEADERS,0))),(INDEX(ALLCLASSDATA,MATCH("FortitudeSaveTrained",CLASSFEATUREHEADERS,0),MATCH(($A322 &amp; "Points"),CLASSNAMEHEADERS,0))),"")))))))))}</f>
        <v>FORTITUDEL11</v>
      </c>
      <c r="S321" s="230"/>
      <c r="T321" s="230" t="str">
        <f t="array" ref="T321:T322">{"FORTITUDEL13";((IF("13"=(INDEX(ALLCLASSDATA,MATCH("FortitudeSaveLegendary",CLASSFEATUREHEADERS,0),MATCH($A322,CLASSNAMEHEADERS,0))),(INDEX(ALLCLASSDATA,MATCH("FortitudeSaveLegendary",CLASSFEATUREHEADERS,0),MATCH(($A322 &amp; "Points"),CLASSNAMEHEADERS,0))),(IF("13"=(INDEX(ALLCLASSDATA,MATCH("FortitudeSaveMaster",CLASSFEATUREHEADERS,0),MATCH($A322,CLASSNAMEHEADERS,0))),(INDEX(ALLCLASSDATA,MATCH("FortitudeSaveMaster",CLASSFEATUREHEADERS,0),MATCH(($A322 &amp; "Points"),CLASSNAMEHEADERS,0))),(IF("13"=(INDEX(ALLCLASSDATA,MATCH("FortitudeSaveExpert",CLASSFEATUREHEADERS,0),MATCH($A322,CLASSNAMEHEADERS,0))),(INDEX(ALLCLASSDATA,MATCH("FortitudeSaveExpert",CLASSFEATUREHEADERS,0),MATCH(($A322 &amp; "Points"),CLASSNAMEHEADERS,0))),(IF("13"=(INDEX(ALLCLASSDATA,MATCH("FortitudeSaveTrained",CLASSFEATUREHEADERS,0),MATCH($A322,CLASSNAMEHEADERS,0))),(INDEX(ALLCLASSDATA,MATCH("FortitudeSaveTrained",CLASSFEATUREHEADERS,0),MATCH(($A322 &amp; "Points"),CLASSNAMEHEADERS,0))),"")))))))))}</f>
        <v>FORTITUDEL13</v>
      </c>
      <c r="U321" s="230"/>
      <c r="V321" s="230" t="str">
        <f t="array" ref="V321:V322">{"FORTITUDEL15";((IF("15"=(INDEX(ALLCLASSDATA,MATCH("FortitudeSaveLegendary",CLASSFEATUREHEADERS,0),MATCH($A322,CLASSNAMEHEADERS,0))),(INDEX(ALLCLASSDATA,MATCH("FortitudeSaveLegendary",CLASSFEATUREHEADERS,0),MATCH(($A322 &amp; "Points"),CLASSNAMEHEADERS,0))),(IF("15"=(INDEX(ALLCLASSDATA,MATCH("FortitudeSaveMaster",CLASSFEATUREHEADERS,0),MATCH($A322,CLASSNAMEHEADERS,0))),(INDEX(ALLCLASSDATA,MATCH("FortitudeSaveMaster",CLASSFEATUREHEADERS,0),MATCH(($A322 &amp; "Points"),CLASSNAMEHEADERS,0))),(IF("15"=(INDEX(ALLCLASSDATA,MATCH("FortitudeSaveExpert",CLASSFEATUREHEADERS,0),MATCH($A322,CLASSNAMEHEADERS,0))),(INDEX(ALLCLASSDATA,MATCH("FortitudeSaveExpert",CLASSFEATUREHEADERS,0),MATCH(($A322 &amp; "Points"),CLASSNAMEHEADERS,0))),(IF("15"=(INDEX(ALLCLASSDATA,MATCH("FortitudeSaveTrained",CLASSFEATUREHEADERS,0),MATCH($A322,CLASSNAMEHEADERS,0))),(INDEX(ALLCLASSDATA,MATCH("FortitudeSaveTrained",CLASSFEATUREHEADERS,0),MATCH(($A322 &amp; "Points"),CLASSNAMEHEADERS,0))),"")))))))))}</f>
        <v>FORTITUDEL15</v>
      </c>
      <c r="W321" s="230"/>
      <c r="X321" s="230" t="str">
        <f t="array" ref="X321:X322">{"FORTITUDEL17";((IF("17"=(INDEX(ALLCLASSDATA,MATCH("FortitudeSaveLegendary",CLASSFEATUREHEADERS,0),MATCH($A322,CLASSNAMEHEADERS,0))),(INDEX(ALLCLASSDATA,MATCH("FortitudeSaveLegendary",CLASSFEATUREHEADERS,0),MATCH(($A322 &amp; "Points"),CLASSNAMEHEADERS,0))),(IF("17"=(INDEX(ALLCLASSDATA,MATCH("FortitudeSaveMaster",CLASSFEATUREHEADERS,0),MATCH($A322,CLASSNAMEHEADERS,0))),(INDEX(ALLCLASSDATA,MATCH("FortitudeSaveMaster",CLASSFEATUREHEADERS,0),MATCH(($A322 &amp; "Points"),CLASSNAMEHEADERS,0))),(IF("17"=(INDEX(ALLCLASSDATA,MATCH("FortitudeSaveExpert",CLASSFEATUREHEADERS,0),MATCH($A322,CLASSNAMEHEADERS,0))),(INDEX(ALLCLASSDATA,MATCH("FortitudeSaveExpert",CLASSFEATUREHEADERS,0),MATCH(($A322 &amp; "Points"),CLASSNAMEHEADERS,0))),(IF("17"=(INDEX(ALLCLASSDATA,MATCH("FortitudeSaveTrained",CLASSFEATUREHEADERS,0),MATCH($A322,CLASSNAMEHEADERS,0))),(INDEX(ALLCLASSDATA,MATCH("FortitudeSaveTrained",CLASSFEATUREHEADERS,0),MATCH(($A322 &amp; "Points"),CLASSNAMEHEADERS,0))),"")))))))))}</f>
        <v>FORTITUDEL17</v>
      </c>
      <c r="Y321" s="230"/>
      <c r="Z321" s="230" t="str">
        <f t="array" ref="Z321:Z322">{"FORTITUDEL19";((IF("19"=(INDEX(ALLCLASSDATA,MATCH("FortitudeSaveLegendary",CLASSFEATUREHEADERS,0),MATCH($A322,CLASSNAMEHEADERS,0))),(INDEX(ALLCLASSDATA,MATCH("FortitudeSaveLegendary",CLASSFEATUREHEADERS,0),MATCH(($A322 &amp; "Points"),CLASSNAMEHEADERS,0))),(IF("19"=(INDEX(ALLCLASSDATA,MATCH("FortitudeSaveMaster",CLASSFEATUREHEADERS,0),MATCH($A322,CLASSNAMEHEADERS,0))),(INDEX(ALLCLASSDATA,MATCH("FortitudeSaveMaster",CLASSFEATUREHEADERS,0),MATCH(($A322 &amp; "Points"),CLASSNAMEHEADERS,0))),(IF("19"=(INDEX(ALLCLASSDATA,MATCH("FortitudeSaveExpert",CLASSFEATUREHEADERS,0),MATCH($A322,CLASSNAMEHEADERS,0))),(INDEX(ALLCLASSDATA,MATCH("FortitudeSaveExpert",CLASSFEATUREHEADERS,0),MATCH(($A322 &amp; "Points"),CLASSNAMEHEADERS,0))),(IF("19"=(INDEX(ALLCLASSDATA,MATCH("FortitudeSaveTrained",CLASSFEATUREHEADERS,0),MATCH($A322,CLASSNAMEHEADERS,0))),(INDEX(ALLCLASSDATA,MATCH("FortitudeSaveTrained",CLASSFEATUREHEADERS,0),MATCH(($A322 &amp; "Points"),CLASSNAMEHEADERS,0))),"")))))))))}</f>
        <v>FORTITUDEL19</v>
      </c>
      <c r="AA321" s="230"/>
      <c r="AB321" s="76" t="str">
        <f t="array" ref="AB321:AB322">{"FORTITUDE TOTAL";(IF(COUNTBLANK(G322:AA322)=17,"L",(IF(COUNTBLANK(G322:AA322)=18,"M",(IF(COUNTBLANK(G322:AA322)=19,"E",(IF(COUNTBLANK(G322:AA322)=20,"T",""))))))))}</f>
        <v>FORTITUDE TOTAL</v>
      </c>
      <c r="AC321" s="76" t="str">
        <f t="array" ref="AC321:AC322">{"FORTITUDE TOTAL";(sum(G322:AA322))}</f>
        <v>FORTITUDE TOTAL</v>
      </c>
    </row>
    <row r="322">
      <c r="A322" s="48" t="s">
        <v>114</v>
      </c>
      <c r="B322" s="48"/>
      <c r="C322" s="48" t="s">
        <v>412</v>
      </c>
      <c r="D322" s="48" t="s">
        <v>1549</v>
      </c>
      <c r="E322" s="48" t="s">
        <v>1550</v>
      </c>
      <c r="F322" s="5" t="s">
        <v>436</v>
      </c>
      <c r="G322" s="47">
        <v>10.0</v>
      </c>
      <c r="H322" s="5">
        <v>50.0</v>
      </c>
      <c r="I322" s="5"/>
      <c r="J322" s="5" t="s">
        <v>603</v>
      </c>
      <c r="K322" s="5"/>
      <c r="L322" s="5" t="s">
        <v>603</v>
      </c>
      <c r="M322" s="5"/>
      <c r="N322" s="5">
        <v>110.0</v>
      </c>
      <c r="O322" s="5"/>
      <c r="P322" s="5" t="s">
        <v>603</v>
      </c>
      <c r="Q322" s="5"/>
      <c r="R322" s="5" t="s">
        <v>603</v>
      </c>
      <c r="S322" s="5"/>
      <c r="T322" s="5">
        <v>190.0</v>
      </c>
      <c r="U322" s="5"/>
      <c r="V322" s="5" t="s">
        <v>603</v>
      </c>
      <c r="W322" s="5"/>
      <c r="X322" s="5" t="s">
        <v>603</v>
      </c>
      <c r="Y322" s="5"/>
      <c r="Z322" s="5" t="s">
        <v>603</v>
      </c>
      <c r="AA322" s="5"/>
      <c r="AB322" s="5" t="s">
        <v>466</v>
      </c>
      <c r="AC322" s="47">
        <v>360.0</v>
      </c>
    </row>
    <row r="323" hidden="1">
      <c r="A323" s="222" t="str">
        <f t="array" ref="A323:A324">{"FormulaRow24";(INDEX(CLASSLIST,A276,1))}</f>
        <v>FormulaRow24</v>
      </c>
      <c r="B323" s="77" t="s">
        <v>236</v>
      </c>
      <c r="C323" s="222" t="str">
        <f t="array" ref="C323:C324">{"CLASSTYPE";((INDEX(ALLCLASSDATA,MATCH("ClassType",CLASSFEATUREHEADERS,0),MATCH($A324,CLASSNAMEHEADERS,0))))}</f>
        <v>CLASSTYPE</v>
      </c>
      <c r="D323" s="222" t="str">
        <f t="array" ref="D323:D324">{"SAVES";"Saves"}</f>
        <v>SAVES</v>
      </c>
      <c r="E323" s="222" t="str">
        <f t="array" ref="E323:E324">{"REFLEXSAVE";"ReflexSave"}</f>
        <v>REFLEXSAVE</v>
      </c>
      <c r="F323" s="223" t="str">
        <f t="array" ref="F323:F324">{"REFLEXINITIAL";((IF(H324=10,"T",(IF(H324=50,"E","")))))}</f>
        <v>REFLEXINITIAL</v>
      </c>
      <c r="G323" s="223" t="str">
        <f t="array" ref="G323:G324">{"REFLEXINITIALPTS";((IF("00"=(INDEX(ALLCLASSDATA,MATCH("ReflexSaveLegendary",CLASSFEATUREHEADERS,0),MATCH($A324,CLASSNAMEHEADERS,0))),(INDEX(ALLCLASSDATA,MATCH("ReflexSaveLegendary",CLASSFEATUREHEADERS,0),MATCH(($A324 &amp; "Points"),CLASSNAMEHEADERS,0))),(IF("00"=(INDEX(ALLCLASSDATA,MATCH("ReflexSaveMaster",CLASSFEATUREHEADERS,0),MATCH($A324,CLASSNAMEHEADERS,0))),(INDEX(ALLCLASSDATA,MATCH("ReflexSaveMaster",CLASSFEATUREHEADERS,0),MATCH(($A324 &amp; "Points"),CLASSNAMEHEADERS,0))),(IF("00"=(INDEX(ALLCLASSDATA,MATCH("ReflexSaveExpert",CLASSFEATUREHEADERS,0),MATCH($A324,CLASSNAMEHEADERS,0))),(INDEX(ALLCLASSDATA,MATCH("ReflexSaveExpert",CLASSFEATUREHEADERS,0),MATCH(($A324 &amp; "Points"),CLASSNAMEHEADERS,0))),(IF("00"=(INDEX(ALLCLASSDATA,MATCH("ReflexSaveTrained",CLASSFEATUREHEADERS,0),MATCH($A324,CLASSNAMEHEADERS,0))),(INDEX(ALLCLASSDATA,MATCH("ReflexSaveTrained",CLASSFEATUREHEADERS,0),MATCH(($A324 &amp; "Points"),CLASSNAMEHEADERS,0))),"")))))))))}</f>
        <v>REFLEXINITIALPTS</v>
      </c>
      <c r="H323" s="223" t="str">
        <f t="array" ref="H323:H324">{"REFLEXL01";((IF("01"=(INDEX(ALLCLASSDATA,MATCH("ReflexSaveLegendary",CLASSFEATUREHEADERS,0),MATCH($A324,CLASSNAMEHEADERS,0))),(INDEX(ALLCLASSDATA,MATCH("ReflexSaveLegendary",CLASSFEATUREHEADERS,0),MATCH(($A324 &amp; "Points"),CLASSNAMEHEADERS,0))),(IF("01"=(INDEX(ALLCLASSDATA,MATCH("ReflexSaveMaster",CLASSFEATUREHEADERS,0),MATCH($A324,CLASSNAMEHEADERS,0))),(INDEX(ALLCLASSDATA,MATCH("ReflexSaveMaster",CLASSFEATUREHEADERS,0),MATCH(($A324 &amp; "Points"),CLASSNAMEHEADERS,0))),(IF("01"=(INDEX(ALLCLASSDATA,MATCH("ReflexSaveExpert",CLASSFEATUREHEADERS,0),MATCH($A324,CLASSNAMEHEADERS,0))),(INDEX(ALLCLASSDATA,MATCH("ReflexSaveExpert",CLASSFEATUREHEADERS,0),MATCH(($A324 &amp; "Points"),CLASSNAMEHEADERS,0))),(IF("01"=(INDEX(ALLCLASSDATA,MATCH("ReflexSaveTrained",CLASSFEATUREHEADERS,0),MATCH($A324,CLASSNAMEHEADERS,0))),(INDEX(ALLCLASSDATA,MATCH("ReflexSaveTrained",CLASSFEATUREHEADERS,0),MATCH(($A324 &amp; "Points"),CLASSNAMEHEADERS,0))),"")))))))))}</f>
        <v>REFLEXL01</v>
      </c>
      <c r="I323" s="223"/>
      <c r="J323" s="223" t="str">
        <f t="array" ref="J323:J324">{"REFLEXL03";((IF("03"=(INDEX(ALLCLASSDATA,MATCH("ReflexSaveLegendary",CLASSFEATUREHEADERS,0),MATCH($A324,CLASSNAMEHEADERS,0))),(INDEX(ALLCLASSDATA,MATCH("ReflexSaveLegendary",CLASSFEATUREHEADERS,0),MATCH(($A324 &amp; "Points"),CLASSNAMEHEADERS,0))),(IF("03"=(INDEX(ALLCLASSDATA,MATCH("ReflexSaveMaster",CLASSFEATUREHEADERS,0),MATCH($A324,CLASSNAMEHEADERS,0))),(INDEX(ALLCLASSDATA,MATCH("ReflexSaveMaster",CLASSFEATUREHEADERS,0),MATCH(($A324 &amp; "Points"),CLASSNAMEHEADERS,0))),(IF("03"=(INDEX(ALLCLASSDATA,MATCH("ReflexSaveExpert",CLASSFEATUREHEADERS,0),MATCH($A324,CLASSNAMEHEADERS,0))),(INDEX(ALLCLASSDATA,MATCH("ReflexSaveExpert",CLASSFEATUREHEADERS,0),MATCH(($A324 &amp; "Points"),CLASSNAMEHEADERS,0))),(IF("03"=(INDEX(ALLCLASSDATA,MATCH("ReflexSaveTrained",CLASSFEATUREHEADERS,0),MATCH($A324,CLASSNAMEHEADERS,0))),(INDEX(ALLCLASSDATA,MATCH("ReflexSaveTrained",CLASSFEATUREHEADERS,0),MATCH(($A324 &amp; "Points"),CLASSNAMEHEADERS,0))),"")))))))))}</f>
        <v>REFLEXL03</v>
      </c>
      <c r="K323" s="223"/>
      <c r="L323" s="223" t="str">
        <f t="array" ref="L323:L324">{"REFLEXL05";((IF("05"=(INDEX(ALLCLASSDATA,MATCH("ReflexSaveLegendary",CLASSFEATUREHEADERS,0),MATCH($A324,CLASSNAMEHEADERS,0))),(INDEX(ALLCLASSDATA,MATCH("ReflexSaveLegendary",CLASSFEATUREHEADERS,0),MATCH(($A324 &amp; "Points"),CLASSNAMEHEADERS,0))),(IF("05"=(INDEX(ALLCLASSDATA,MATCH("ReflexSaveMaster",CLASSFEATUREHEADERS,0),MATCH($A324,CLASSNAMEHEADERS,0))),(INDEX(ALLCLASSDATA,MATCH("ReflexSaveMaster",CLASSFEATUREHEADERS,0),MATCH(($A324 &amp; "Points"),CLASSNAMEHEADERS,0))),(IF("05"=(INDEX(ALLCLASSDATA,MATCH("ReflexSaveExpert",CLASSFEATUREHEADERS,0),MATCH($A324,CLASSNAMEHEADERS,0))),(INDEX(ALLCLASSDATA,MATCH("ReflexSaveExpert",CLASSFEATUREHEADERS,0),MATCH(($A324 &amp; "Points"),CLASSNAMEHEADERS,0))),(IF("05"=(INDEX(ALLCLASSDATA,MATCH("ReflexSaveTrained",CLASSFEATUREHEADERS,0),MATCH($A324,CLASSNAMEHEADERS,0))),(INDEX(ALLCLASSDATA,MATCH("ReflexSaveTrained",CLASSFEATUREHEADERS,0),MATCH(($A324 &amp; "Points"),CLASSNAMEHEADERS,0))),"")))))))))}</f>
        <v>REFLEXL05</v>
      </c>
      <c r="M323" s="223"/>
      <c r="N323" s="223" t="str">
        <f t="array" ref="N323:N324">{"REFLEXL07";((IF("07"=(INDEX(ALLCLASSDATA,MATCH("ReflexSaveLegendary",CLASSFEATUREHEADERS,0),MATCH($A324,CLASSNAMEHEADERS,0))),(INDEX(ALLCLASSDATA,MATCH("ReflexSaveLegendary",CLASSFEATUREHEADERS,0),MATCH(($A324 &amp; "Points"),CLASSNAMEHEADERS,0))),(IF("07"=(INDEX(ALLCLASSDATA,MATCH("ReflexSaveMaster",CLASSFEATUREHEADERS,0),MATCH($A324,CLASSNAMEHEADERS,0))),(INDEX(ALLCLASSDATA,MATCH("ReflexSaveMaster",CLASSFEATUREHEADERS,0),MATCH(($A324 &amp; "Points"),CLASSNAMEHEADERS,0))),(IF("07"=(INDEX(ALLCLASSDATA,MATCH("ReflexSaveExpert",CLASSFEATUREHEADERS,0),MATCH($A324,CLASSNAMEHEADERS,0))),(INDEX(ALLCLASSDATA,MATCH("ReflexSaveExpert",CLASSFEATUREHEADERS,0),MATCH(($A324 &amp; "Points"),CLASSNAMEHEADERS,0))),(IF("07"=(INDEX(ALLCLASSDATA,MATCH("ReflexSaveTrained",CLASSFEATUREHEADERS,0),MATCH($A324,CLASSNAMEHEADERS,0))),(INDEX(ALLCLASSDATA,MATCH("ReflexSaveTrained",CLASSFEATUREHEADERS,0),MATCH(($A324 &amp; "Points"),CLASSNAMEHEADERS,0))),"")))))))))}</f>
        <v>REFLEXL07</v>
      </c>
      <c r="O323" s="223"/>
      <c r="P323" s="223" t="str">
        <f t="array" ref="P323:P324">{"REFLEXL09";((IF("09"=(INDEX(ALLCLASSDATA,MATCH("ReflexSaveLegendary",CLASSFEATUREHEADERS,0),MATCH($A324,CLASSNAMEHEADERS,0))),(INDEX(ALLCLASSDATA,MATCH("ReflexSaveLegendary",CLASSFEATUREHEADERS,0),MATCH(($A324 &amp; "Points"),CLASSNAMEHEADERS,0))),(IF("09"=(INDEX(ALLCLASSDATA,MATCH("ReflexSaveMaster",CLASSFEATUREHEADERS,0),MATCH($A324,CLASSNAMEHEADERS,0))),(INDEX(ALLCLASSDATA,MATCH("ReflexSaveMaster",CLASSFEATUREHEADERS,0),MATCH(($A324 &amp; "Points"),CLASSNAMEHEADERS,0))),(IF("09"=(INDEX(ALLCLASSDATA,MATCH("ReflexSaveExpert",CLASSFEATUREHEADERS,0),MATCH($A324,CLASSNAMEHEADERS,0))),(INDEX(ALLCLASSDATA,MATCH("ReflexSaveExpert",CLASSFEATUREHEADERS,0),MATCH(($A324 &amp; "Points"),CLASSNAMEHEADERS,0))),(IF("09"=(INDEX(ALLCLASSDATA,MATCH("ReflexSaveTrained",CLASSFEATUREHEADERS,0),MATCH($A324,CLASSNAMEHEADERS,0))),(INDEX(ALLCLASSDATA,MATCH("ReflexSaveTrained",CLASSFEATUREHEADERS,0),MATCH(($A324 &amp; "Points"),CLASSNAMEHEADERS,0))),"")))))))))}</f>
        <v>REFLEXL09</v>
      </c>
      <c r="Q323" s="223"/>
      <c r="R323" s="223" t="str">
        <f t="array" ref="R323:R324">{"REFLEXL11";((IF("11"=(INDEX(ALLCLASSDATA,MATCH("ReflexSaveLegendary",CLASSFEATUREHEADERS,0),MATCH($A324,CLASSNAMEHEADERS,0))),(INDEX(ALLCLASSDATA,MATCH("ReflexSaveLegendary",CLASSFEATUREHEADERS,0),MATCH(($A324 &amp; "Points"),CLASSNAMEHEADERS,0))),(IF("11"=(INDEX(ALLCLASSDATA,MATCH("ReflexSaveMaster",CLASSFEATUREHEADERS,0),MATCH($A324,CLASSNAMEHEADERS,0))),(INDEX(ALLCLASSDATA,MATCH("ReflexSaveMaster",CLASSFEATUREHEADERS,0),MATCH(($A324 &amp; "Points"),CLASSNAMEHEADERS,0))),(IF("11"=(INDEX(ALLCLASSDATA,MATCH("ReflexSaveExpert",CLASSFEATUREHEADERS,0),MATCH($A324,CLASSNAMEHEADERS,0))),(INDEX(ALLCLASSDATA,MATCH("ReflexSaveExpert",CLASSFEATUREHEADERS,0),MATCH(($A324 &amp; "Points"),CLASSNAMEHEADERS,0))),(IF("11"=(INDEX(ALLCLASSDATA,MATCH("ReflexSaveTrained",CLASSFEATUREHEADERS,0),MATCH($A324,CLASSNAMEHEADERS,0))),(INDEX(ALLCLASSDATA,MATCH("ReflexSaveTrained",CLASSFEATUREHEADERS,0),MATCH(($A324 &amp; "Points"),CLASSNAMEHEADERS,0))),"")))))))))}</f>
        <v>REFLEXL11</v>
      </c>
      <c r="S323" s="223"/>
      <c r="T323" s="223" t="str">
        <f t="array" ref="T323:T324">{"REFLEXL13";((IF("13"=(INDEX(ALLCLASSDATA,MATCH("ReflexSaveLegendary",CLASSFEATUREHEADERS,0),MATCH($A324,CLASSNAMEHEADERS,0))),(INDEX(ALLCLASSDATA,MATCH("ReflexSaveLegendary",CLASSFEATUREHEADERS,0),MATCH(($A324 &amp; "Points"),CLASSNAMEHEADERS,0))),(IF("13"=(INDEX(ALLCLASSDATA,MATCH("ReflexSaveMaster",CLASSFEATUREHEADERS,0),MATCH($A324,CLASSNAMEHEADERS,0))),(INDEX(ALLCLASSDATA,MATCH("ReflexSaveMaster",CLASSFEATUREHEADERS,0),MATCH(($A324 &amp; "Points"),CLASSNAMEHEADERS,0))),(IF("13"=(INDEX(ALLCLASSDATA,MATCH("ReflexSaveExpert",CLASSFEATUREHEADERS,0),MATCH($A324,CLASSNAMEHEADERS,0))),(INDEX(ALLCLASSDATA,MATCH("ReflexSaveExpert",CLASSFEATUREHEADERS,0),MATCH(($A324 &amp; "Points"),CLASSNAMEHEADERS,0))),(IF("13"=(INDEX(ALLCLASSDATA,MATCH("ReflexSaveTrained",CLASSFEATUREHEADERS,0),MATCH($A324,CLASSNAMEHEADERS,0))),(INDEX(ALLCLASSDATA,MATCH("ReflexSaveTrained",CLASSFEATUREHEADERS,0),MATCH(($A324 &amp; "Points"),CLASSNAMEHEADERS,0))),"")))))))))}</f>
        <v>REFLEXL13</v>
      </c>
      <c r="U323" s="223"/>
      <c r="V323" s="223" t="str">
        <f t="array" ref="V323:V324">{"REFLEXL15";((IF("15"=(INDEX(ALLCLASSDATA,MATCH("ReflexSaveLegendary",CLASSFEATUREHEADERS,0),MATCH($A324,CLASSNAMEHEADERS,0))),(INDEX(ALLCLASSDATA,MATCH("ReflexSaveLegendary",CLASSFEATUREHEADERS,0),MATCH(($A324 &amp; "Points"),CLASSNAMEHEADERS,0))),(IF("15"=(INDEX(ALLCLASSDATA,MATCH("ReflexSaveMaster",CLASSFEATUREHEADERS,0),MATCH($A324,CLASSNAMEHEADERS,0))),(INDEX(ALLCLASSDATA,MATCH("ReflexSaveMaster",CLASSFEATUREHEADERS,0),MATCH(($A324 &amp; "Points"),CLASSNAMEHEADERS,0))),(IF("15"=(INDEX(ALLCLASSDATA,MATCH("ReflexSaveExpert",CLASSFEATUREHEADERS,0),MATCH($A324,CLASSNAMEHEADERS,0))),(INDEX(ALLCLASSDATA,MATCH("ReflexSaveExpert",CLASSFEATUREHEADERS,0),MATCH(($A324 &amp; "Points"),CLASSNAMEHEADERS,0))),(IF("15"=(INDEX(ALLCLASSDATA,MATCH("ReflexSaveTrained",CLASSFEATUREHEADERS,0),MATCH($A324,CLASSNAMEHEADERS,0))),(INDEX(ALLCLASSDATA,MATCH("ReflexSaveTrained",CLASSFEATUREHEADERS,0),MATCH(($A324 &amp; "Points"),CLASSNAMEHEADERS,0))),"")))))))))}</f>
        <v>REFLEXL15</v>
      </c>
      <c r="W323" s="223"/>
      <c r="X323" s="223" t="str">
        <f t="array" ref="X323:X324">{"REFLEXL17";((IF("17"=(INDEX(ALLCLASSDATA,MATCH("ReflexSaveLegendary",CLASSFEATUREHEADERS,0),MATCH($A324,CLASSNAMEHEADERS,0))),(INDEX(ALLCLASSDATA,MATCH("ReflexSaveLegendary",CLASSFEATUREHEADERS,0),MATCH(($A324 &amp; "Points"),CLASSNAMEHEADERS,0))),(IF("17"=(INDEX(ALLCLASSDATA,MATCH("ReflexSaveMaster",CLASSFEATUREHEADERS,0),MATCH($A324,CLASSNAMEHEADERS,0))),(INDEX(ALLCLASSDATA,MATCH("ReflexSaveMaster",CLASSFEATUREHEADERS,0),MATCH(($A324 &amp; "Points"),CLASSNAMEHEADERS,0))),(IF("17"=(INDEX(ALLCLASSDATA,MATCH("ReflexSaveExpert",CLASSFEATUREHEADERS,0),MATCH($A324,CLASSNAMEHEADERS,0))),(INDEX(ALLCLASSDATA,MATCH("ReflexSaveExpert",CLASSFEATUREHEADERS,0),MATCH(($A324 &amp; "Points"),CLASSNAMEHEADERS,0))),(IF("17"=(INDEX(ALLCLASSDATA,MATCH("ReflexSaveTrained",CLASSFEATUREHEADERS,0),MATCH($A324,CLASSNAMEHEADERS,0))),(INDEX(ALLCLASSDATA,MATCH("ReflexSaveTrained",CLASSFEATUREHEADERS,0),MATCH(($A324 &amp; "Points"),CLASSNAMEHEADERS,0))),"")))))))))}</f>
        <v>REFLEXL17</v>
      </c>
      <c r="Y323" s="223"/>
      <c r="Z323" s="223" t="str">
        <f t="array" ref="Z323:Z324">{"REFLEXL19";((IF("19"=(INDEX(ALLCLASSDATA,MATCH("ReflexSaveLegendary",CLASSFEATUREHEADERS,0),MATCH($A324,CLASSNAMEHEADERS,0))),(INDEX(ALLCLASSDATA,MATCH("ReflexSaveLegendary",CLASSFEATUREHEADERS,0),MATCH(($A324 &amp; "Points"),CLASSNAMEHEADERS,0))),(IF("19"=(INDEX(ALLCLASSDATA,MATCH("ReflexSaveMaster",CLASSFEATUREHEADERS,0),MATCH($A324,CLASSNAMEHEADERS,0))),(INDEX(ALLCLASSDATA,MATCH("ReflexSaveMaster",CLASSFEATUREHEADERS,0),MATCH(($A324 &amp; "Points"),CLASSNAMEHEADERS,0))),(IF("19"=(INDEX(ALLCLASSDATA,MATCH("ReflexSaveExpert",CLASSFEATUREHEADERS,0),MATCH($A324,CLASSNAMEHEADERS,0))),(INDEX(ALLCLASSDATA,MATCH("ReflexSaveExpert",CLASSFEATUREHEADERS,0),MATCH(($A324 &amp; "Points"),CLASSNAMEHEADERS,0))),(IF("19"=(INDEX(ALLCLASSDATA,MATCH("ReflexSaveTrained",CLASSFEATUREHEADERS,0),MATCH($A324,CLASSNAMEHEADERS,0))),(INDEX(ALLCLASSDATA,MATCH("ReflexSaveTrained",CLASSFEATUREHEADERS,0),MATCH(($A324 &amp; "Points"),CLASSNAMEHEADERS,0))),"")))))))))}</f>
        <v>REFLEXL19</v>
      </c>
      <c r="AA323" s="223"/>
      <c r="AB323" s="76" t="str">
        <f t="array" ref="AB323:AB324">{"REFLEX TOTAL";(IF(COUNTBLANK(G324:AA324)=17,"L",(IF(COUNTBLANK(G324:AA324)=18,"M",(IF(COUNTBLANK(G324:AA324)=19,"E",(IF(COUNTBLANK(G324:AA324)=20,"T",""))))))))}</f>
        <v>REFLEX TOTAL</v>
      </c>
      <c r="AC323" s="76" t="str">
        <f t="array" ref="AC323:AC324">{"REFLEX TOTAL";(sum(G324:AA324))}</f>
        <v>REFLEX TOTAL</v>
      </c>
    </row>
    <row r="324">
      <c r="A324" s="48" t="s">
        <v>114</v>
      </c>
      <c r="B324" s="48"/>
      <c r="C324" s="48" t="s">
        <v>412</v>
      </c>
      <c r="D324" s="48" t="s">
        <v>1549</v>
      </c>
      <c r="E324" s="48" t="s">
        <v>1572</v>
      </c>
      <c r="F324" s="5" t="s">
        <v>435</v>
      </c>
      <c r="G324" s="47" t="s">
        <v>603</v>
      </c>
      <c r="H324" s="5">
        <v>10.0</v>
      </c>
      <c r="I324" s="5"/>
      <c r="J324" s="5" t="s">
        <v>603</v>
      </c>
      <c r="K324" s="5"/>
      <c r="L324" s="5" t="s">
        <v>603</v>
      </c>
      <c r="M324" s="5"/>
      <c r="N324" s="5" t="s">
        <v>603</v>
      </c>
      <c r="O324" s="5"/>
      <c r="P324" s="5">
        <v>50.0</v>
      </c>
      <c r="Q324" s="5"/>
      <c r="R324" s="5" t="s">
        <v>603</v>
      </c>
      <c r="S324" s="5"/>
      <c r="T324" s="5" t="s">
        <v>603</v>
      </c>
      <c r="U324" s="5"/>
      <c r="V324" s="5" t="s">
        <v>603</v>
      </c>
      <c r="W324" s="5"/>
      <c r="X324" s="5" t="s">
        <v>603</v>
      </c>
      <c r="Y324" s="5"/>
      <c r="Z324" s="5" t="s">
        <v>603</v>
      </c>
      <c r="AA324" s="5"/>
      <c r="AB324" s="5" t="s">
        <v>436</v>
      </c>
      <c r="AC324" s="47">
        <v>60.0</v>
      </c>
    </row>
    <row r="325" hidden="1">
      <c r="A325" s="222" t="str">
        <f t="array" ref="A325:A326">{"FormulaRow25";(INDEX(CLASSLIST,A276,1))}</f>
        <v>FormulaRow25</v>
      </c>
      <c r="B325" s="77" t="s">
        <v>236</v>
      </c>
      <c r="C325" s="222" t="str">
        <f t="array" ref="C325:C326">{"CLASSTYPE";((INDEX(ALLCLASSDATA,MATCH("ClassType",CLASSFEATUREHEADERS,0),MATCH($A326,CLASSNAMEHEADERS,0))))}</f>
        <v>CLASSTYPE</v>
      </c>
      <c r="D325" s="222" t="str">
        <f t="array" ref="D325:D326">{"SAVES";"Saves"}</f>
        <v>SAVES</v>
      </c>
      <c r="E325" s="222" t="str">
        <f t="array" ref="E325:E326">{"WILLSAVE";"WillSave"}</f>
        <v>WILLSAVE</v>
      </c>
      <c r="F325" s="223" t="str">
        <f t="array" ref="F325:F326">{"WILLINITIAL";((IF(H326=10,"T",(IF(H326=50,"E","")))))}</f>
        <v>WILLINITIAL</v>
      </c>
      <c r="G325" s="223" t="str">
        <f t="array" ref="G325:G326">{"WILLINITIALPTS";((IF("00"=(INDEX(ALLCLASSDATA,MATCH("WillSaveLegendary",CLASSFEATUREHEADERS,0),MATCH($A326,CLASSNAMEHEADERS,0))),(INDEX(ALLCLASSDATA,MATCH("WillSaveLegendary",CLASSFEATUREHEADERS,0),MATCH(($A326 &amp; "Points"),CLASSNAMEHEADERS,0))),(IF("00"=(INDEX(ALLCLASSDATA,MATCH("WillSaveMaster",CLASSFEATUREHEADERS,0),MATCH($A326,CLASSNAMEHEADERS,0))),(INDEX(ALLCLASSDATA,MATCH("WillSaveMaster",CLASSFEATUREHEADERS,0),MATCH(($A326 &amp; "Points"),CLASSNAMEHEADERS,0))),(IF("00"=(INDEX(ALLCLASSDATA,MATCH("WillSaveExpert",CLASSFEATUREHEADERS,0),MATCH($A326,CLASSNAMEHEADERS,0))),(INDEX(ALLCLASSDATA,MATCH("WillSaveExpert",CLASSFEATUREHEADERS,0),MATCH(($A326 &amp; "Points"),CLASSNAMEHEADERS,0))),(IF("00"=(INDEX(ALLCLASSDATA,MATCH("WillSaveTrained",CLASSFEATUREHEADERS,0),MATCH($A326,CLASSNAMEHEADERS,0))),(INDEX(ALLCLASSDATA,MATCH("WillSaveTrained",CLASSFEATUREHEADERS,0),MATCH(($A326 &amp; "Points"),CLASSNAMEHEADERS,0))),"")))))))))}</f>
        <v>WILLINITIALPTS</v>
      </c>
      <c r="H325" s="223" t="str">
        <f t="array" ref="H325:H326">{"WILLL01";((IF("01"=(INDEX(ALLCLASSDATA,MATCH("WillSaveLegendary",CLASSFEATUREHEADERS,0),MATCH($A326,CLASSNAMEHEADERS,0))),(INDEX(ALLCLASSDATA,MATCH("WillSaveLegendary",CLASSFEATUREHEADERS,0),MATCH(($A326 &amp; "Points"),CLASSNAMEHEADERS,0))),(IF("01"=(INDEX(ALLCLASSDATA,MATCH("WillSaveMaster",CLASSFEATUREHEADERS,0),MATCH($A326,CLASSNAMEHEADERS,0))),(INDEX(ALLCLASSDATA,MATCH("WillSaveMaster",CLASSFEATUREHEADERS,0),MATCH(($A326 &amp; "Points"),CLASSNAMEHEADERS,0))),(IF("01"=(INDEX(ALLCLASSDATA,MATCH("WillSaveExpert",CLASSFEATUREHEADERS,0),MATCH($A326,CLASSNAMEHEADERS,0))),(INDEX(ALLCLASSDATA,MATCH("WillSaveExpert",CLASSFEATUREHEADERS,0),MATCH(($A326 &amp; "Points"),CLASSNAMEHEADERS,0))),(IF("01"=(INDEX(ALLCLASSDATA,MATCH("WillSaveTrained",CLASSFEATUREHEADERS,0),MATCH($A326,CLASSNAMEHEADERS,0))),(INDEX(ALLCLASSDATA,MATCH("WillSaveTrained",CLASSFEATUREHEADERS,0),MATCH(($A326 &amp; "Points"),CLASSNAMEHEADERS,0))),"")))))))))}</f>
        <v>WILLL01</v>
      </c>
      <c r="I325" s="223"/>
      <c r="J325" s="223" t="str">
        <f t="array" ref="J325:J326">{"WILLL03";((IF("03"=(INDEX(ALLCLASSDATA,MATCH("WillSaveLegendary",CLASSFEATUREHEADERS,0),MATCH($A326,CLASSNAMEHEADERS,0))),(INDEX(ALLCLASSDATA,MATCH("WillSaveLegendary",CLASSFEATUREHEADERS,0),MATCH(($A326 &amp; "Points"),CLASSNAMEHEADERS,0))),(IF("03"=(INDEX(ALLCLASSDATA,MATCH("WillSaveMaster",CLASSFEATUREHEADERS,0),MATCH($A326,CLASSNAMEHEADERS,0))),(INDEX(ALLCLASSDATA,MATCH("WillSaveMaster",CLASSFEATUREHEADERS,0),MATCH(($A326 &amp; "Points"),CLASSNAMEHEADERS,0))),(IF("03"=(INDEX(ALLCLASSDATA,MATCH("WillSaveExpert",CLASSFEATUREHEADERS,0),MATCH($A326,CLASSNAMEHEADERS,0))),(INDEX(ALLCLASSDATA,MATCH("WillSaveExpert",CLASSFEATUREHEADERS,0),MATCH(($A326 &amp; "Points"),CLASSNAMEHEADERS,0))),(IF("03"=(INDEX(ALLCLASSDATA,MATCH("WillSaveTrained",CLASSFEATUREHEADERS,0),MATCH($A326,CLASSNAMEHEADERS,0))),(INDEX(ALLCLASSDATA,MATCH("WillSaveTrained",CLASSFEATUREHEADERS,0),MATCH(($A326 &amp; "Points"),CLASSNAMEHEADERS,0))),"")))))))))}</f>
        <v>WILLL03</v>
      </c>
      <c r="K325" s="223"/>
      <c r="L325" s="223" t="str">
        <f t="array" ref="L325:L326">{"WILLL05";((IF("05"=(INDEX(ALLCLASSDATA,MATCH("WillSaveLegendary",CLASSFEATUREHEADERS,0),MATCH($A326,CLASSNAMEHEADERS,0))),(INDEX(ALLCLASSDATA,MATCH("WillSaveLegendary",CLASSFEATUREHEADERS,0),MATCH(($A326 &amp; "Points"),CLASSNAMEHEADERS,0))),(IF("05"=(INDEX(ALLCLASSDATA,MATCH("WillSaveMaster",CLASSFEATUREHEADERS,0),MATCH($A326,CLASSNAMEHEADERS,0))),(INDEX(ALLCLASSDATA,MATCH("WillSaveMaster",CLASSFEATUREHEADERS,0),MATCH(($A326 &amp; "Points"),CLASSNAMEHEADERS,0))),(IF("05"=(INDEX(ALLCLASSDATA,MATCH("WillSaveExpert",CLASSFEATUREHEADERS,0),MATCH($A326,CLASSNAMEHEADERS,0))),(INDEX(ALLCLASSDATA,MATCH("WillSaveExpert",CLASSFEATUREHEADERS,0),MATCH(($A326 &amp; "Points"),CLASSNAMEHEADERS,0))),(IF("05"=(INDEX(ALLCLASSDATA,MATCH("WillSaveTrained",CLASSFEATUREHEADERS,0),MATCH($A326,CLASSNAMEHEADERS,0))),(INDEX(ALLCLASSDATA,MATCH("WillSaveTrained",CLASSFEATUREHEADERS,0),MATCH(($A326 &amp; "Points"),CLASSNAMEHEADERS,0))),"")))))))))}</f>
        <v>WILLL05</v>
      </c>
      <c r="M325" s="223"/>
      <c r="N325" s="223" t="str">
        <f t="array" ref="N325:N326">{"WILLL07";((IF("07"=(INDEX(ALLCLASSDATA,MATCH("WillSaveLegendary",CLASSFEATUREHEADERS,0),MATCH($A326,CLASSNAMEHEADERS,0))),(INDEX(ALLCLASSDATA,MATCH("WillSaveLegendary",CLASSFEATUREHEADERS,0),MATCH(($A326 &amp; "Points"),CLASSNAMEHEADERS,0))),(IF("07"=(INDEX(ALLCLASSDATA,MATCH("WillSaveMaster",CLASSFEATUREHEADERS,0),MATCH($A326,CLASSNAMEHEADERS,0))),(INDEX(ALLCLASSDATA,MATCH("WillSaveMaster",CLASSFEATUREHEADERS,0),MATCH(($A326 &amp; "Points"),CLASSNAMEHEADERS,0))),(IF("07"=(INDEX(ALLCLASSDATA,MATCH("WillSaveExpert",CLASSFEATUREHEADERS,0),MATCH($A326,CLASSNAMEHEADERS,0))),(INDEX(ALLCLASSDATA,MATCH("WillSaveExpert",CLASSFEATUREHEADERS,0),MATCH(($A326 &amp; "Points"),CLASSNAMEHEADERS,0))),(IF("07"=(INDEX(ALLCLASSDATA,MATCH("WillSaveTrained",CLASSFEATUREHEADERS,0),MATCH($A326,CLASSNAMEHEADERS,0))),(INDEX(ALLCLASSDATA,MATCH("WillSaveTrained",CLASSFEATUREHEADERS,0),MATCH(($A326 &amp; "Points"),CLASSNAMEHEADERS,0))),"")))))))))}</f>
        <v>WILLL07</v>
      </c>
      <c r="O325" s="223"/>
      <c r="P325" s="223" t="str">
        <f t="array" ref="P325:P326">{"WILLL09";((IF("09"=(INDEX(ALLCLASSDATA,MATCH("WillSaveLegendary",CLASSFEATUREHEADERS,0),MATCH($A326,CLASSNAMEHEADERS,0))),(INDEX(ALLCLASSDATA,MATCH("WillSaveLegendary",CLASSFEATUREHEADERS,0),MATCH(($A326 &amp; "Points"),CLASSNAMEHEADERS,0))),(IF("09"=(INDEX(ALLCLASSDATA,MATCH("WillSaveMaster",CLASSFEATUREHEADERS,0),MATCH($A326,CLASSNAMEHEADERS,0))),(INDEX(ALLCLASSDATA,MATCH("WillSaveMaster",CLASSFEATUREHEADERS,0),MATCH(($A326 &amp; "Points"),CLASSNAMEHEADERS,0))),(IF("09"=(INDEX(ALLCLASSDATA,MATCH("WillSaveExpert",CLASSFEATUREHEADERS,0),MATCH($A326,CLASSNAMEHEADERS,0))),(INDEX(ALLCLASSDATA,MATCH("WillSaveExpert",CLASSFEATUREHEADERS,0),MATCH(($A326 &amp; "Points"),CLASSNAMEHEADERS,0))),(IF("09"=(INDEX(ALLCLASSDATA,MATCH("WillSaveTrained",CLASSFEATUREHEADERS,0),MATCH($A326,CLASSNAMEHEADERS,0))),(INDEX(ALLCLASSDATA,MATCH("WillSaveTrained",CLASSFEATUREHEADERS,0),MATCH(($A326 &amp; "Points"),CLASSNAMEHEADERS,0))),"")))))))))}</f>
        <v>WILLL09</v>
      </c>
      <c r="Q325" s="223"/>
      <c r="R325" s="223" t="str">
        <f t="array" ref="R325:R326">{"WILLL11";((IF("11"=(INDEX(ALLCLASSDATA,MATCH("WillSaveLegendary",CLASSFEATUREHEADERS,0),MATCH($A326,CLASSNAMEHEADERS,0))),(INDEX(ALLCLASSDATA,MATCH("WillSaveLegendary",CLASSFEATUREHEADERS,0),MATCH(($A326 &amp; "Points"),CLASSNAMEHEADERS,0))),(IF("11"=(INDEX(ALLCLASSDATA,MATCH("WillSaveMaster",CLASSFEATUREHEADERS,0),MATCH($A326,CLASSNAMEHEADERS,0))),(INDEX(ALLCLASSDATA,MATCH("WillSaveMaster",CLASSFEATUREHEADERS,0),MATCH(($A326 &amp; "Points"),CLASSNAMEHEADERS,0))),(IF("11"=(INDEX(ALLCLASSDATA,MATCH("WillSaveExpert",CLASSFEATUREHEADERS,0),MATCH($A326,CLASSNAMEHEADERS,0))),(INDEX(ALLCLASSDATA,MATCH("WillSaveExpert",CLASSFEATUREHEADERS,0),MATCH(($A326 &amp; "Points"),CLASSNAMEHEADERS,0))),(IF("11"=(INDEX(ALLCLASSDATA,MATCH("WillSaveTrained",CLASSFEATUREHEADERS,0),MATCH($A326,CLASSNAMEHEADERS,0))),(INDEX(ALLCLASSDATA,MATCH("WillSaveTrained",CLASSFEATUREHEADERS,0),MATCH(($A326 &amp; "Points"),CLASSNAMEHEADERS,0))),"")))))))))}</f>
        <v>WILLL11</v>
      </c>
      <c r="S325" s="223"/>
      <c r="T325" s="223" t="str">
        <f t="array" ref="T325:T326">{"WILLL13";((IF("13"=(INDEX(ALLCLASSDATA,MATCH("WillSaveLegendary",CLASSFEATUREHEADERS,0),MATCH($A326,CLASSNAMEHEADERS,0))),(INDEX(ALLCLASSDATA,MATCH("WillSaveLegendary",CLASSFEATUREHEADERS,0),MATCH(($A326 &amp; "Points"),CLASSNAMEHEADERS,0))),(IF("13"=(INDEX(ALLCLASSDATA,MATCH("WillSaveMaster",CLASSFEATUREHEADERS,0),MATCH($A326,CLASSNAMEHEADERS,0))),(INDEX(ALLCLASSDATA,MATCH("WillSaveMaster",CLASSFEATUREHEADERS,0),MATCH(($A326 &amp; "Points"),CLASSNAMEHEADERS,0))),(IF("13"=(INDEX(ALLCLASSDATA,MATCH("WillSaveExpert",CLASSFEATUREHEADERS,0),MATCH($A326,CLASSNAMEHEADERS,0))),(INDEX(ALLCLASSDATA,MATCH("WillSaveExpert",CLASSFEATUREHEADERS,0),MATCH(($A326 &amp; "Points"),CLASSNAMEHEADERS,0))),(IF("13"=(INDEX(ALLCLASSDATA,MATCH("WillSaveTrained",CLASSFEATUREHEADERS,0),MATCH($A326,CLASSNAMEHEADERS,0))),(INDEX(ALLCLASSDATA,MATCH("WillSaveTrained",CLASSFEATUREHEADERS,0),MATCH(($A326 &amp; "Points"),CLASSNAMEHEADERS,0))),"")))))))))}</f>
        <v>WILLL13</v>
      </c>
      <c r="U325" s="223"/>
      <c r="V325" s="223" t="str">
        <f t="array" ref="V325:V326">{"WILLL15";((IF("15"=(INDEX(ALLCLASSDATA,MATCH("WillSaveLegendary",CLASSFEATUREHEADERS,0),MATCH($A326,CLASSNAMEHEADERS,0))),(INDEX(ALLCLASSDATA,MATCH("WillSaveLegendary",CLASSFEATUREHEADERS,0),MATCH(($A326 &amp; "Points"),CLASSNAMEHEADERS,0))),(IF("15"=(INDEX(ALLCLASSDATA,MATCH("WillSaveMaster",CLASSFEATUREHEADERS,0),MATCH($A326,CLASSNAMEHEADERS,0))),(INDEX(ALLCLASSDATA,MATCH("WillSaveMaster",CLASSFEATUREHEADERS,0),MATCH(($A326 &amp; "Points"),CLASSNAMEHEADERS,0))),(IF("15"=(INDEX(ALLCLASSDATA,MATCH("WillSaveExpert",CLASSFEATUREHEADERS,0),MATCH($A326,CLASSNAMEHEADERS,0))),(INDEX(ALLCLASSDATA,MATCH("WillSaveExpert",CLASSFEATUREHEADERS,0),MATCH(($A326 &amp; "Points"),CLASSNAMEHEADERS,0))),(IF("15"=(INDEX(ALLCLASSDATA,MATCH("WillSaveTrained",CLASSFEATUREHEADERS,0),MATCH($A326,CLASSNAMEHEADERS,0))),(INDEX(ALLCLASSDATA,MATCH("WillSaveTrained",CLASSFEATUREHEADERS,0),MATCH(($A326 &amp; "Points"),CLASSNAMEHEADERS,0))),"")))))))))}</f>
        <v>WILLL15</v>
      </c>
      <c r="W325" s="223"/>
      <c r="X325" s="223" t="str">
        <f t="array" ref="X325:X326">{"WILLL17";((IF("17"=(INDEX(ALLCLASSDATA,MATCH("WillSaveLegendary",CLASSFEATUREHEADERS,0),MATCH($A326,CLASSNAMEHEADERS,0))),(INDEX(ALLCLASSDATA,MATCH("WillSaveLegendary",CLASSFEATUREHEADERS,0),MATCH(($A326 &amp; "Points"),CLASSNAMEHEADERS,0))),(IF("17"=(INDEX(ALLCLASSDATA,MATCH("WillSaveMaster",CLASSFEATUREHEADERS,0),MATCH($A326,CLASSNAMEHEADERS,0))),(INDEX(ALLCLASSDATA,MATCH("WillSaveMaster",CLASSFEATUREHEADERS,0),MATCH(($A326 &amp; "Points"),CLASSNAMEHEADERS,0))),(IF("17"=(INDEX(ALLCLASSDATA,MATCH("WillSaveExpert",CLASSFEATUREHEADERS,0),MATCH($A326,CLASSNAMEHEADERS,0))),(INDEX(ALLCLASSDATA,MATCH("WillSaveExpert",CLASSFEATUREHEADERS,0),MATCH(($A326 &amp; "Points"),CLASSNAMEHEADERS,0))),(IF("17"=(INDEX(ALLCLASSDATA,MATCH("WillSaveTrained",CLASSFEATUREHEADERS,0),MATCH($A326,CLASSNAMEHEADERS,0))),(INDEX(ALLCLASSDATA,MATCH("WillSaveTrained",CLASSFEATUREHEADERS,0),MATCH(($A326 &amp; "Points"),CLASSNAMEHEADERS,0))),"")))))))))}</f>
        <v>WILLL17</v>
      </c>
      <c r="Y325" s="223"/>
      <c r="Z325" s="223" t="str">
        <f t="array" ref="Z325:Z326">{"WILLL19";((IF("19"=(INDEX(ALLCLASSDATA,MATCH("WillSaveLegendary",CLASSFEATUREHEADERS,0),MATCH($A326,CLASSNAMEHEADERS,0))),(INDEX(ALLCLASSDATA,MATCH("WillSaveLegendary",CLASSFEATUREHEADERS,0),MATCH(($A326 &amp; "Points"),CLASSNAMEHEADERS,0))),(IF("19"=(INDEX(ALLCLASSDATA,MATCH("WillSaveMaster",CLASSFEATUREHEADERS,0),MATCH($A326,CLASSNAMEHEADERS,0))),(INDEX(ALLCLASSDATA,MATCH("WillSaveMaster",CLASSFEATUREHEADERS,0),MATCH(($A326 &amp; "Points"),CLASSNAMEHEADERS,0))),(IF("19"=(INDEX(ALLCLASSDATA,MATCH("WillSaveExpert",CLASSFEATUREHEADERS,0),MATCH($A326,CLASSNAMEHEADERS,0))),(INDEX(ALLCLASSDATA,MATCH("WillSaveExpert",CLASSFEATUREHEADERS,0),MATCH(($A326 &amp; "Points"),CLASSNAMEHEADERS,0))),(IF("19"=(INDEX(ALLCLASSDATA,MATCH("WillSaveTrained",CLASSFEATUREHEADERS,0),MATCH($A326,CLASSNAMEHEADERS,0))),(INDEX(ALLCLASSDATA,MATCH("WillSaveTrained",CLASSFEATUREHEADERS,0),MATCH(($A326 &amp; "Points"),CLASSNAMEHEADERS,0))),"")))))))))}</f>
        <v>WILLL19</v>
      </c>
      <c r="AA325" s="223"/>
      <c r="AB325" s="76" t="str">
        <f t="array" ref="AB325:AB326">{"WILL TOTAL";(IF(COUNTBLANK(G326:AA326)=17,"L",(IF(COUNTBLANK(G326:AA326)=18,"M",(IF(COUNTBLANK(G326:AA326)=19,"E",(IF(COUNTBLANK(G326:AA326)=20,"T",""))))))))}</f>
        <v>WILL TOTAL</v>
      </c>
      <c r="AC325" s="76" t="str">
        <f t="array" ref="AC325:AC326">{"WILL TOTAL";(sum(G326:AA326))}</f>
        <v>WILL TOTAL</v>
      </c>
    </row>
    <row r="326">
      <c r="A326" s="48" t="s">
        <v>114</v>
      </c>
      <c r="B326" s="48"/>
      <c r="C326" s="48" t="s">
        <v>412</v>
      </c>
      <c r="D326" s="97" t="s">
        <v>1549</v>
      </c>
      <c r="E326" s="97" t="s">
        <v>1591</v>
      </c>
      <c r="F326" s="98" t="s">
        <v>436</v>
      </c>
      <c r="G326" s="132">
        <v>10.0</v>
      </c>
      <c r="H326" s="98">
        <v>50.0</v>
      </c>
      <c r="I326" s="98"/>
      <c r="J326" s="98" t="s">
        <v>603</v>
      </c>
      <c r="K326" s="98"/>
      <c r="L326" s="98" t="s">
        <v>603</v>
      </c>
      <c r="M326" s="97"/>
      <c r="N326" s="98" t="s">
        <v>603</v>
      </c>
      <c r="O326" s="98"/>
      <c r="P326" s="98" t="s">
        <v>603</v>
      </c>
      <c r="Q326" s="97"/>
      <c r="R326" s="98" t="s">
        <v>603</v>
      </c>
      <c r="S326" s="98"/>
      <c r="T326" s="98" t="s">
        <v>603</v>
      </c>
      <c r="U326" s="98"/>
      <c r="V326" s="98">
        <v>110.0</v>
      </c>
      <c r="W326" s="98"/>
      <c r="X326" s="98" t="s">
        <v>603</v>
      </c>
      <c r="Y326" s="98"/>
      <c r="Z326" s="98" t="s">
        <v>603</v>
      </c>
      <c r="AA326" s="98"/>
      <c r="AB326" s="5" t="s">
        <v>437</v>
      </c>
      <c r="AC326" s="47">
        <v>170.0</v>
      </c>
    </row>
    <row r="327" hidden="1">
      <c r="A327" s="222" t="str">
        <f t="array" ref="A327:A328">{"FormulaRow26";(INDEX(CLASSLIST,A276,1))}</f>
        <v>FormulaRow26</v>
      </c>
      <c r="B327" s="77" t="s">
        <v>236</v>
      </c>
      <c r="C327" s="222" t="str">
        <f t="array" ref="C327:C328">{"CLASSTYPE";((INDEX(ALLCLASSDATA,MATCH("ClassType",CLASSFEATUREHEADERS,0),MATCH($A328,CLASSNAMEHEADERS,0))))}</f>
        <v>CLASSTYPE</v>
      </c>
      <c r="D327" s="228" t="str">
        <f t="array" ref="D327:D328">{"ATTACK";"Attack"}</f>
        <v>ATTACK</v>
      </c>
      <c r="E327" s="228" t="str">
        <f t="array" ref="E327:E328">{"WEAPONSPECIAL";"WeaponCS/WS/GWS"}</f>
        <v>WEAPONSPECIAL</v>
      </c>
      <c r="F327" s="230"/>
      <c r="G327" s="230"/>
      <c r="H327" s="230" t="str">
        <f t="array" ref="H327:H328">{"WEAPONSPECIALL01";((IF("01"=INDEX(ALLCLASSDATA,MATCH("WeaponGreaterSpecialization",CLASSFEATUREHEADERS,0),MATCH($A328,CLASSNAMEHEADERS,0)),WeaponGWS,(IF("01"=INDEX(ALLCLASSDATA,MATCH("WeaponSpecialization",CLASSFEATUREHEADERS,0),MATCH($A328,CLASSNAMEHEADERS,0)),WeaponWS,(IF("01"=INDEX(ALLCLASSDATA,MATCH("WeaponCriticalSpecialization",CLASSFEATUREHEADERS,0),MATCH($A328,CLASSNAMEHEADERS,0)),WeaponCS,"")))))))}</f>
        <v>WEAPONSPECIALL01</v>
      </c>
      <c r="I327" s="230"/>
      <c r="J327" s="230" t="str">
        <f t="array" ref="J327:J328">{"WEAPONSPECIALL03";((IF("03"=INDEX(ALLCLASSDATA,MATCH("WeaponGreaterSpecialization",CLASSFEATUREHEADERS,0),MATCH($A328,CLASSNAMEHEADERS,0)),WeaponGWS,(IF("03"=INDEX(ALLCLASSDATA,MATCH("WeaponSpecialization",CLASSFEATUREHEADERS,0),MATCH($A328,CLASSNAMEHEADERS,0)),WeaponWS,(IF("03"=INDEX(ALLCLASSDATA,MATCH("WeaponCriticalSpecialization",CLASSFEATUREHEADERS,0),MATCH($A328,CLASSNAMEHEADERS,0)),WeaponCS,"")))))))}</f>
        <v>WEAPONSPECIALL03</v>
      </c>
      <c r="K327" s="230"/>
      <c r="L327" s="230" t="str">
        <f t="array" ref="L327:L328">{"WEAPONSPECIALL05";((IF("05"=INDEX(ALLCLASSDATA,MATCH("WeaponGreaterSpecialization",CLASSFEATUREHEADERS,0),MATCH($A328,CLASSNAMEHEADERS,0)),WeaponGWS,(IF("05"=INDEX(ALLCLASSDATA,MATCH("WeaponSpecialization",CLASSFEATUREHEADERS,0),MATCH($A328,CLASSNAMEHEADERS,0)),WeaponWS,(IF("05"=INDEX(ALLCLASSDATA,MATCH("WeaponCriticalSpecialization",CLASSFEATUREHEADERS,0),MATCH($A328,CLASSNAMEHEADERS,0)),WeaponCS,"")))))))}</f>
        <v>WEAPONSPECIALL05</v>
      </c>
      <c r="M327" s="230"/>
      <c r="N327" s="230" t="str">
        <f t="array" ref="N327:N328">{"WEAPONSPECIALL07";((IF("07"=INDEX(ALLCLASSDATA,MATCH("WeaponGreaterSpecialization",CLASSFEATUREHEADERS,0),MATCH($A328,CLASSNAMEHEADERS,0)),WeaponGWS,(IF("07"=INDEX(ALLCLASSDATA,MATCH("WeaponSpecialization",CLASSFEATUREHEADERS,0),MATCH($A328,CLASSNAMEHEADERS,0)),WeaponWS,(IF("07"=INDEX(ALLCLASSDATA,MATCH("WeaponCriticalSpecialization",CLASSFEATUREHEADERS,0),MATCH($A328,CLASSNAMEHEADERS,0)),WeaponCS,"")))))))}</f>
        <v>WEAPONSPECIALL07</v>
      </c>
      <c r="O327" s="230"/>
      <c r="P327" s="230" t="str">
        <f t="array" ref="P327:P328">{"WEAPONSPECIALL09";((IF("09"=INDEX(ALLCLASSDATA,MATCH("WeaponGreaterSpecialization",CLASSFEATUREHEADERS,0),MATCH($A328,CLASSNAMEHEADERS,0)),WeaponGWS,(IF("09"=INDEX(ALLCLASSDATA,MATCH("WeaponSpecialization",CLASSFEATUREHEADERS,0),MATCH($A328,CLASSNAMEHEADERS,0)),WeaponWS,(IF("09"=INDEX(ALLCLASSDATA,MATCH("WeaponCriticalSpecialization",CLASSFEATUREHEADERS,0),MATCH($A328,CLASSNAMEHEADERS,0)),WeaponCS,"")))))))}</f>
        <v>WEAPONSPECIALL09</v>
      </c>
      <c r="Q327" s="230"/>
      <c r="R327" s="230" t="str">
        <f t="array" ref="R327:R328">{"WEAPONSPECIALL11";((IF("11"=INDEX(ALLCLASSDATA,MATCH("WeaponGreaterSpecialization",CLASSFEATUREHEADERS,0),MATCH($A328,CLASSNAMEHEADERS,0)),WeaponGWS,(IF("11"=INDEX(ALLCLASSDATA,MATCH("WeaponSpecialization",CLASSFEATUREHEADERS,0),MATCH($A328,CLASSNAMEHEADERS,0)),WeaponWS,(IF("11"=INDEX(ALLCLASSDATA,MATCH("WeaponCriticalSpecialization",CLASSFEATUREHEADERS,0),MATCH($A328,CLASSNAMEHEADERS,0)),WeaponCS,"")))))))}</f>
        <v>WEAPONSPECIALL11</v>
      </c>
      <c r="S327" s="230"/>
      <c r="T327" s="230" t="str">
        <f t="array" ref="T327:T328">{"WEAPONSPECIALL13";((IF("13"=INDEX(ALLCLASSDATA,MATCH("WeaponGreaterSpecialization",CLASSFEATUREHEADERS,0),MATCH($A328,CLASSNAMEHEADERS,0)),WeaponGWS,(IF("13"=INDEX(ALLCLASSDATA,MATCH("WeaponSpecialization",CLASSFEATUREHEADERS,0),MATCH($A328,CLASSNAMEHEADERS,0)),WeaponWS,(IF("13"=INDEX(ALLCLASSDATA,MATCH("WeaponCriticalSpecialization",CLASSFEATUREHEADERS,0),MATCH($A328,CLASSNAMEHEADERS,0)),WeaponCS,"")))))))}</f>
        <v>WEAPONSPECIALL13</v>
      </c>
      <c r="U327" s="230"/>
      <c r="V327" s="230" t="str">
        <f t="array" ref="V327:V328">{"WEAPONSPECIALL15";((IF("15"=INDEX(ALLCLASSDATA,MATCH("WeaponGreaterSpecialization",CLASSFEATUREHEADERS,0),MATCH($A328,CLASSNAMEHEADERS,0)),WeaponGWS,(IF("15"=INDEX(ALLCLASSDATA,MATCH("WeaponSpecialization",CLASSFEATUREHEADERS,0),MATCH($A328,CLASSNAMEHEADERS,0)),WeaponWS,(IF("15"=INDEX(ALLCLASSDATA,MATCH("WeaponCriticalSpecialization",CLASSFEATUREHEADERS,0),MATCH($A328,CLASSNAMEHEADERS,0)),WeaponCS,"")))))))}</f>
        <v>WEAPONSPECIALL15</v>
      </c>
      <c r="W327" s="230"/>
      <c r="X327" s="230" t="str">
        <f t="array" ref="X327:X328">{"WEAPONSPECIALL17";((IF("17"=INDEX(ALLCLASSDATA,MATCH("WeaponGreaterSpecialization",CLASSFEATUREHEADERS,0),MATCH($A328,CLASSNAMEHEADERS,0)),WeaponGWS,(IF("17"=INDEX(ALLCLASSDATA,MATCH("WeaponSpecialization",CLASSFEATUREHEADERS,0),MATCH($A328,CLASSNAMEHEADERS,0)),WeaponWS,(IF("17"=INDEX(ALLCLASSDATA,MATCH("WeaponCriticalSpecialization",CLASSFEATUREHEADERS,0),MATCH($A328,CLASSNAMEHEADERS,0)),WeaponCS,"")))))))}</f>
        <v>WEAPONSPECIALL17</v>
      </c>
      <c r="Y327" s="230"/>
      <c r="Z327" s="230" t="str">
        <f t="array" ref="Z327:Z328">{"WEAPONSPECIALL19";((IF("19"=INDEX(ALLCLASSDATA,MATCH("WeaponGreaterSpecialization",CLASSFEATUREHEADERS,0),MATCH($A328,CLASSNAMEHEADERS,0)),WeaponGWS,(IF("19"=INDEX(ALLCLASSDATA,MATCH("WeaponSpecialization",CLASSFEATUREHEADERS,0),MATCH($A328,CLASSNAMEHEADERS,0)),WeaponWS,(IF("19"=INDEX(ALLCLASSDATA,MATCH("WeaponCriticalSpecialization",CLASSFEATUREHEADERS,0),MATCH($A328,CLASSNAMEHEADERS,0)),WeaponCS,"")))))))}</f>
        <v>WEAPONSPECIALL19</v>
      </c>
      <c r="AA327" s="230"/>
      <c r="AB327" s="76"/>
      <c r="AC327" s="76" t="str">
        <f t="array" ref="AC327:AC328">{"WEAPONSPECIAL TOTAL";(sum(G328:AA328))}</f>
        <v>WEAPONSPECIAL TOTAL</v>
      </c>
    </row>
    <row r="328">
      <c r="A328" s="48" t="s">
        <v>114</v>
      </c>
      <c r="B328" s="48"/>
      <c r="C328" s="48" t="s">
        <v>412</v>
      </c>
      <c r="D328" s="48" t="s">
        <v>1634</v>
      </c>
      <c r="E328" s="48" t="s">
        <v>1635</v>
      </c>
      <c r="F328" s="5"/>
      <c r="G328" s="47"/>
      <c r="H328" s="5" t="s">
        <v>603</v>
      </c>
      <c r="I328" s="5"/>
      <c r="J328" s="5" t="s">
        <v>603</v>
      </c>
      <c r="K328" s="5"/>
      <c r="L328" s="5">
        <v>50.0</v>
      </c>
      <c r="M328" s="5"/>
      <c r="N328" s="5">
        <v>70.0</v>
      </c>
      <c r="O328" s="5"/>
      <c r="P328" s="5" t="s">
        <v>603</v>
      </c>
      <c r="Q328" s="5"/>
      <c r="R328" s="5" t="s">
        <v>603</v>
      </c>
      <c r="S328" s="5"/>
      <c r="T328" s="5" t="s">
        <v>603</v>
      </c>
      <c r="U328" s="5"/>
      <c r="V328" s="5">
        <v>150.0</v>
      </c>
      <c r="W328" s="5"/>
      <c r="X328" s="5" t="s">
        <v>603</v>
      </c>
      <c r="Y328" s="5"/>
      <c r="Z328" s="5" t="s">
        <v>603</v>
      </c>
      <c r="AA328" s="5"/>
      <c r="AB328" s="5"/>
      <c r="AC328" s="47">
        <v>270.0</v>
      </c>
    </row>
    <row r="329" hidden="1">
      <c r="A329" s="222" t="str">
        <f t="array" ref="A329:A330">{"FormulaRow27";(INDEX(CLASSLIST,A276,1))}</f>
        <v>FormulaRow27</v>
      </c>
      <c r="B329" s="77" t="s">
        <v>236</v>
      </c>
      <c r="C329" s="222" t="str">
        <f t="array" ref="C329:C330">{"CLASSTYPE";((INDEX(ALLCLASSDATA,MATCH("ClassType",CLASSFEATUREHEADERS,0),MATCH($A330,CLASSNAMEHEADERS,0))))}</f>
        <v>CLASSTYPE</v>
      </c>
      <c r="D329" s="222" t="str">
        <f t="array" ref="D329:D330">{"ATTACK";"Attack"}</f>
        <v>ATTACK</v>
      </c>
      <c r="E329" s="222" t="str">
        <f t="array" ref="E329:E330">{"UNARMED";"Unarmed"}</f>
        <v>UNARMED</v>
      </c>
      <c r="F329" s="223" t="str">
        <f t="array" ref="F329:F330">{"UNARMEDINITIAL";((IF(H330=10,"T",(IF(H330=50,"E","")))))}</f>
        <v>UNARMEDINITIAL</v>
      </c>
      <c r="G329" s="223" t="str">
        <f t="array" ref="G329:G330">{"UNARMEDINITIALPTS";((IF("00"=(INDEX(ALLCLASSDATA,MATCH("UnarmedLegendary",CLASSFEATUREHEADERS,0),MATCH($A330,CLASSNAMEHEADERS,0))),(INDEX(ALLCLASSDATA,MATCH("UnarmedLegendary",CLASSFEATUREHEADERS,0),MATCH(($A330 &amp; "Points"),CLASSNAMEHEADERS,0))),(IF("00"=(INDEX(ALLCLASSDATA,MATCH("UnarmedMaster",CLASSFEATUREHEADERS,0),MATCH($A330,CLASSNAMEHEADERS,0))),(INDEX(ALLCLASSDATA,MATCH("UnarmedMaster",CLASSFEATUREHEADERS,0),MATCH(($A330 &amp; "Points"),CLASSNAMEHEADERS,0))),(IF("00"=(INDEX(ALLCLASSDATA,MATCH("UnarmedExpert",CLASSFEATUREHEADERS,0),MATCH($A330,CLASSNAMEHEADERS,0))),(INDEX(ALLCLASSDATA,MATCH("UnarmedExpert",CLASSFEATUREHEADERS,0),MATCH(($A330 &amp; "Points"),CLASSNAMEHEADERS,0))),(IF("00"=(INDEX(ALLCLASSDATA,MATCH("UnarmedTrained",CLASSFEATUREHEADERS,0),MATCH($A330,CLASSNAMEHEADERS,0))),(INDEX(ALLCLASSDATA,MATCH("UnarmedTrained",CLASSFEATUREHEADERS,0),MATCH(($A330 &amp; "Points"),CLASSNAMEHEADERS,0))),"")))))))))}</f>
        <v>UNARMEDINITIALPTS</v>
      </c>
      <c r="H329" s="223" t="str">
        <f t="array" ref="H329:H330">{"UNARMEDL01";((IF("01"=(INDEX(ALLCLASSDATA,MATCH("UnarmedLegendary",CLASSFEATUREHEADERS,0),MATCH($A330,CLASSNAMEHEADERS,0))),(INDEX(ALLCLASSDATA,MATCH("UnarmedLegendary",CLASSFEATUREHEADERS,0),MATCH(($A330 &amp; "Points"),CLASSNAMEHEADERS,0))),(IF("01"=(INDEX(ALLCLASSDATA,MATCH("UnarmedMaster",CLASSFEATUREHEADERS,0),MATCH($A330,CLASSNAMEHEADERS,0))),(INDEX(ALLCLASSDATA,MATCH("UnarmedMaster",CLASSFEATUREHEADERS,0),MATCH(($A330 &amp; "Points"),CLASSNAMEHEADERS,0))),(IF("01"=(INDEX(ALLCLASSDATA,MATCH("UnarmedExpert",CLASSFEATUREHEADERS,0),MATCH($A330,CLASSNAMEHEADERS,0))),(INDEX(ALLCLASSDATA,MATCH("UnarmedExpert",CLASSFEATUREHEADERS,0),MATCH(($A330 &amp; "Points"),CLASSNAMEHEADERS,0))),(IF("01"=(INDEX(ALLCLASSDATA,MATCH("UnarmedTrained",CLASSFEATUREHEADERS,0),MATCH($A330,CLASSNAMEHEADERS,0))),(INDEX(ALLCLASSDATA,MATCH("UnarmedTrained",CLASSFEATUREHEADERS,0),MATCH(($A330 &amp; "Points"),CLASSNAMEHEADERS,0))),"")))))))))}</f>
        <v>UNARMEDL01</v>
      </c>
      <c r="I329" s="223"/>
      <c r="J329" s="223" t="str">
        <f t="array" ref="J329:J330">{"UNARMEDL03";((IF("03"=(INDEX(ALLCLASSDATA,MATCH("UnarmedLegendary",CLASSFEATUREHEADERS,0),MATCH($A330,CLASSNAMEHEADERS,0))),(INDEX(ALLCLASSDATA,MATCH("UnarmedLegendary",CLASSFEATUREHEADERS,0),MATCH(($A330 &amp; "Points"),CLASSNAMEHEADERS,0))),(IF("03"=(INDEX(ALLCLASSDATA,MATCH("UnarmedMaster",CLASSFEATUREHEADERS,0),MATCH($A330,CLASSNAMEHEADERS,0))),(INDEX(ALLCLASSDATA,MATCH("UnarmedMaster",CLASSFEATUREHEADERS,0),MATCH(($A330 &amp; "Points"),CLASSNAMEHEADERS,0))),(IF("03"=(INDEX(ALLCLASSDATA,MATCH("UnarmedExpert",CLASSFEATUREHEADERS,0),MATCH($A330,CLASSNAMEHEADERS,0))),(INDEX(ALLCLASSDATA,MATCH("UnarmedExpert",CLASSFEATUREHEADERS,0),MATCH(($A330 &amp; "Points"),CLASSNAMEHEADERS,0))),(IF("03"=(INDEX(ALLCLASSDATA,MATCH("UnarmedTrained",CLASSFEATUREHEADERS,0),MATCH($A330,CLASSNAMEHEADERS,0))),(INDEX(ALLCLASSDATA,MATCH("UnarmedTrained",CLASSFEATUREHEADERS,0),MATCH(($A330 &amp; "Points"),CLASSNAMEHEADERS,0))),"")))))))))}</f>
        <v>UNARMEDL03</v>
      </c>
      <c r="K329" s="223"/>
      <c r="L329" s="223" t="str">
        <f t="array" ref="L329:L330">{"UNARMEDL05";((IF("05"=(INDEX(ALLCLASSDATA,MATCH("UnarmedLegendary",CLASSFEATUREHEADERS,0),MATCH($A330,CLASSNAMEHEADERS,0))),(INDEX(ALLCLASSDATA,MATCH("UnarmedLegendary",CLASSFEATUREHEADERS,0),MATCH(($A330 &amp; "Points"),CLASSNAMEHEADERS,0))),(IF("05"=(INDEX(ALLCLASSDATA,MATCH("UnarmedMaster",CLASSFEATUREHEADERS,0),MATCH($A330,CLASSNAMEHEADERS,0))),(INDEX(ALLCLASSDATA,MATCH("UnarmedMaster",CLASSFEATUREHEADERS,0),MATCH(($A330 &amp; "Points"),CLASSNAMEHEADERS,0))),(IF("05"=(INDEX(ALLCLASSDATA,MATCH("UnarmedExpert",CLASSFEATUREHEADERS,0),MATCH($A330,CLASSNAMEHEADERS,0))),(INDEX(ALLCLASSDATA,MATCH("UnarmedExpert",CLASSFEATUREHEADERS,0),MATCH(($A330 &amp; "Points"),CLASSNAMEHEADERS,0))),(IF("05"=(INDEX(ALLCLASSDATA,MATCH("UnarmedTrained",CLASSFEATUREHEADERS,0),MATCH($A330,CLASSNAMEHEADERS,0))),(INDEX(ALLCLASSDATA,MATCH("UnarmedTrained",CLASSFEATUREHEADERS,0),MATCH(($A330 &amp; "Points"),CLASSNAMEHEADERS,0))),"")))))))))}</f>
        <v>UNARMEDL05</v>
      </c>
      <c r="M329" s="223"/>
      <c r="N329" s="223" t="str">
        <f t="array" ref="N329:N330">{"UNARMEDL07";((IF("07"=(INDEX(ALLCLASSDATA,MATCH("UnarmedLegendary",CLASSFEATUREHEADERS,0),MATCH($A330,CLASSNAMEHEADERS,0))),(INDEX(ALLCLASSDATA,MATCH("UnarmedLegendary",CLASSFEATUREHEADERS,0),MATCH(($A330 &amp; "Points"),CLASSNAMEHEADERS,0))),(IF("07"=(INDEX(ALLCLASSDATA,MATCH("UnarmedMaster",CLASSFEATUREHEADERS,0),MATCH($A330,CLASSNAMEHEADERS,0))),(INDEX(ALLCLASSDATA,MATCH("UnarmedMaster",CLASSFEATUREHEADERS,0),MATCH(($A330 &amp; "Points"),CLASSNAMEHEADERS,0))),(IF("07"=(INDEX(ALLCLASSDATA,MATCH("UnarmedExpert",CLASSFEATUREHEADERS,0),MATCH($A330,CLASSNAMEHEADERS,0))),(INDEX(ALLCLASSDATA,MATCH("UnarmedExpert",CLASSFEATUREHEADERS,0),MATCH(($A330 &amp; "Points"),CLASSNAMEHEADERS,0))),(IF("07"=(INDEX(ALLCLASSDATA,MATCH("UnarmedTrained",CLASSFEATUREHEADERS,0),MATCH($A330,CLASSNAMEHEADERS,0))),(INDEX(ALLCLASSDATA,MATCH("UnarmedTrained",CLASSFEATUREHEADERS,0),MATCH(($A330 &amp; "Points"),CLASSNAMEHEADERS,0))),"")))))))))}</f>
        <v>UNARMEDL07</v>
      </c>
      <c r="O329" s="223"/>
      <c r="P329" s="223" t="str">
        <f t="array" ref="P329:P330">{"UNARMEDL09";((IF("09"=(INDEX(ALLCLASSDATA,MATCH("UnarmedLegendary",CLASSFEATUREHEADERS,0),MATCH($A330,CLASSNAMEHEADERS,0))),(INDEX(ALLCLASSDATA,MATCH("UnarmedLegendary",CLASSFEATUREHEADERS,0),MATCH(($A330 &amp; "Points"),CLASSNAMEHEADERS,0))),(IF("09"=(INDEX(ALLCLASSDATA,MATCH("UnarmedMaster",CLASSFEATUREHEADERS,0),MATCH($A330,CLASSNAMEHEADERS,0))),(INDEX(ALLCLASSDATA,MATCH("UnarmedMaster",CLASSFEATUREHEADERS,0),MATCH(($A330 &amp; "Points"),CLASSNAMEHEADERS,0))),(IF("09"=(INDEX(ALLCLASSDATA,MATCH("UnarmedExpert",CLASSFEATUREHEADERS,0),MATCH($A330,CLASSNAMEHEADERS,0))),(INDEX(ALLCLASSDATA,MATCH("UnarmedExpert",CLASSFEATUREHEADERS,0),MATCH(($A330 &amp; "Points"),CLASSNAMEHEADERS,0))),(IF("09"=(INDEX(ALLCLASSDATA,MATCH("UnarmedTrained",CLASSFEATUREHEADERS,0),MATCH($A330,CLASSNAMEHEADERS,0))),(INDEX(ALLCLASSDATA,MATCH("UnarmedTrained",CLASSFEATUREHEADERS,0),MATCH(($A330 &amp; "Points"),CLASSNAMEHEADERS,0))),"")))))))))}</f>
        <v>UNARMEDL09</v>
      </c>
      <c r="Q329" s="223"/>
      <c r="R329" s="223" t="str">
        <f t="array" ref="R329:R330">{"UNARMEDL11";((IF("11"=(INDEX(ALLCLASSDATA,MATCH("UnarmedLegendary",CLASSFEATUREHEADERS,0),MATCH($A330,CLASSNAMEHEADERS,0))),(INDEX(ALLCLASSDATA,MATCH("UnarmedLegendary",CLASSFEATUREHEADERS,0),MATCH(($A330 &amp; "Points"),CLASSNAMEHEADERS,0))),(IF("11"=(INDEX(ALLCLASSDATA,MATCH("UnarmedMaster",CLASSFEATUREHEADERS,0),MATCH($A330,CLASSNAMEHEADERS,0))),(INDEX(ALLCLASSDATA,MATCH("UnarmedMaster",CLASSFEATUREHEADERS,0),MATCH(($A330 &amp; "Points"),CLASSNAMEHEADERS,0))),(IF("11"=(INDEX(ALLCLASSDATA,MATCH("UnarmedExpert",CLASSFEATUREHEADERS,0),MATCH($A330,CLASSNAMEHEADERS,0))),(INDEX(ALLCLASSDATA,MATCH("UnarmedExpert",CLASSFEATUREHEADERS,0),MATCH(($A330 &amp; "Points"),CLASSNAMEHEADERS,0))),(IF("11"=(INDEX(ALLCLASSDATA,MATCH("UnarmedTrained",CLASSFEATUREHEADERS,0),MATCH($A330,CLASSNAMEHEADERS,0))),(INDEX(ALLCLASSDATA,MATCH("UnarmedTrained",CLASSFEATUREHEADERS,0),MATCH(($A330 &amp; "Points"),CLASSNAMEHEADERS,0))),"")))))))))}</f>
        <v>UNARMEDL11</v>
      </c>
      <c r="S329" s="223"/>
      <c r="T329" s="223" t="str">
        <f t="array" ref="T329:T330">{"UNARMEDL13";((IF("13"=(INDEX(ALLCLASSDATA,MATCH("UnarmedLegendary",CLASSFEATUREHEADERS,0),MATCH($A330,CLASSNAMEHEADERS,0))),(INDEX(ALLCLASSDATA,MATCH("UnarmedLegendary",CLASSFEATUREHEADERS,0),MATCH(($A330 &amp; "Points"),CLASSNAMEHEADERS,0))),(IF("13"=(INDEX(ALLCLASSDATA,MATCH("UnarmedMaster",CLASSFEATUREHEADERS,0),MATCH($A330,CLASSNAMEHEADERS,0))),(INDEX(ALLCLASSDATA,MATCH("UnarmedMaster",CLASSFEATUREHEADERS,0),MATCH(($A330 &amp; "Points"),CLASSNAMEHEADERS,0))),(IF("13"=(INDEX(ALLCLASSDATA,MATCH("UnarmedExpert",CLASSFEATUREHEADERS,0),MATCH($A330,CLASSNAMEHEADERS,0))),(INDEX(ALLCLASSDATA,MATCH("UnarmedExpert",CLASSFEATUREHEADERS,0),MATCH(($A330 &amp; "Points"),CLASSNAMEHEADERS,0))),(IF("13"=(INDEX(ALLCLASSDATA,MATCH("UnarmedTrained",CLASSFEATUREHEADERS,0),MATCH($A330,CLASSNAMEHEADERS,0))),(INDEX(ALLCLASSDATA,MATCH("UnarmedTrained",CLASSFEATUREHEADERS,0),MATCH(($A330 &amp; "Points"),CLASSNAMEHEADERS,0))),"")))))))))}</f>
        <v>UNARMEDL13</v>
      </c>
      <c r="U329" s="223"/>
      <c r="V329" s="223" t="str">
        <f t="array" ref="V329:V330">{"UNARMEDL15";((IF("15"=(INDEX(ALLCLASSDATA,MATCH("UnarmedLegendary",CLASSFEATUREHEADERS,0),MATCH($A330,CLASSNAMEHEADERS,0))),(INDEX(ALLCLASSDATA,MATCH("UnarmedLegendary",CLASSFEATUREHEADERS,0),MATCH(($A330 &amp; "Points"),CLASSNAMEHEADERS,0))),(IF("15"=(INDEX(ALLCLASSDATA,MATCH("UnarmedMaster",CLASSFEATUREHEADERS,0),MATCH($A330,CLASSNAMEHEADERS,0))),(INDEX(ALLCLASSDATA,MATCH("UnarmedMaster",CLASSFEATUREHEADERS,0),MATCH(($A330 &amp; "Points"),CLASSNAMEHEADERS,0))),(IF("15"=(INDEX(ALLCLASSDATA,MATCH("UnarmedExpert",CLASSFEATUREHEADERS,0),MATCH($A330,CLASSNAMEHEADERS,0))),(INDEX(ALLCLASSDATA,MATCH("UnarmedExpert",CLASSFEATUREHEADERS,0),MATCH(($A330 &amp; "Points"),CLASSNAMEHEADERS,0))),(IF("15"=(INDEX(ALLCLASSDATA,MATCH("UnarmedTrained",CLASSFEATUREHEADERS,0),MATCH($A330,CLASSNAMEHEADERS,0))),(INDEX(ALLCLASSDATA,MATCH("UnarmedTrained",CLASSFEATUREHEADERS,0),MATCH(($A330 &amp; "Points"),CLASSNAMEHEADERS,0))),"")))))))))}</f>
        <v>UNARMEDL15</v>
      </c>
      <c r="W329" s="223"/>
      <c r="X329" s="223" t="str">
        <f t="array" ref="X329:X330">{"UNARMEDL17";((IF("17"=(INDEX(ALLCLASSDATA,MATCH("UnarmedLegendary",CLASSFEATUREHEADERS,0),MATCH($A330,CLASSNAMEHEADERS,0))),(INDEX(ALLCLASSDATA,MATCH("UnarmedLegendary",CLASSFEATUREHEADERS,0),MATCH(($A330 &amp; "Points"),CLASSNAMEHEADERS,0))),(IF("17"=(INDEX(ALLCLASSDATA,MATCH("UnarmedMaster",CLASSFEATUREHEADERS,0),MATCH($A330,CLASSNAMEHEADERS,0))),(INDEX(ALLCLASSDATA,MATCH("UnarmedMaster",CLASSFEATUREHEADERS,0),MATCH(($A330 &amp; "Points"),CLASSNAMEHEADERS,0))),(IF("17"=(INDEX(ALLCLASSDATA,MATCH("UnarmedExpert",CLASSFEATUREHEADERS,0),MATCH($A330,CLASSNAMEHEADERS,0))),(INDEX(ALLCLASSDATA,MATCH("UnarmedExpert",CLASSFEATUREHEADERS,0),MATCH(($A330 &amp; "Points"),CLASSNAMEHEADERS,0))),(IF("17"=(INDEX(ALLCLASSDATA,MATCH("UnarmedTrained",CLASSFEATUREHEADERS,0),MATCH($A330,CLASSNAMEHEADERS,0))),(INDEX(ALLCLASSDATA,MATCH("UnarmedTrained",CLASSFEATUREHEADERS,0),MATCH(($A330 &amp; "Points"),CLASSNAMEHEADERS,0))),"")))))))))}</f>
        <v>UNARMEDL17</v>
      </c>
      <c r="Y329" s="223"/>
      <c r="Z329" s="223" t="str">
        <f t="array" ref="Z329:Z330">{"UNARMEDL19";((IF("19"=(INDEX(ALLCLASSDATA,MATCH("UnarmedLegendary",CLASSFEATUREHEADERS,0),MATCH($A330,CLASSNAMEHEADERS,0))),(INDEX(ALLCLASSDATA,MATCH("UnarmedLegendary",CLASSFEATUREHEADERS,0),MATCH(($A330 &amp; "Points"),CLASSNAMEHEADERS,0))),(IF("19"=(INDEX(ALLCLASSDATA,MATCH("UnarmedMaster",CLASSFEATUREHEADERS,0),MATCH($A330,CLASSNAMEHEADERS,0))),(INDEX(ALLCLASSDATA,MATCH("UnarmedMaster",CLASSFEATUREHEADERS,0),MATCH(($A330 &amp; "Points"),CLASSNAMEHEADERS,0))),(IF("19"=(INDEX(ALLCLASSDATA,MATCH("UnarmedExpert",CLASSFEATUREHEADERS,0),MATCH($A330,CLASSNAMEHEADERS,0))),(INDEX(ALLCLASSDATA,MATCH("UnarmedExpert",CLASSFEATUREHEADERS,0),MATCH(($A330 &amp; "Points"),CLASSNAMEHEADERS,0))),(IF("19"=(INDEX(ALLCLASSDATA,MATCH("UnarmedTrained",CLASSFEATUREHEADERS,0),MATCH($A330,CLASSNAMEHEADERS,0))),(INDEX(ALLCLASSDATA,MATCH("UnarmedTrained",CLASSFEATUREHEADERS,0),MATCH(($A330 &amp; "Points"),CLASSNAMEHEADERS,0))),"")))))))))}</f>
        <v>UNARMEDL19</v>
      </c>
      <c r="AA329" s="223"/>
      <c r="AB329" s="76" t="str">
        <f t="array" ref="AB329:AB330">{"UNARMED TOTAL";(IF(COUNTBLANK(G330:AA330)=17,"L",(IF(COUNTBLANK(G330:AA330)=18,"M",(IF(COUNTBLANK(G330:AA330)=19,"E",(IF(COUNTBLANK(G330:AA330)=20,"T",""))))))))}</f>
        <v>UNARMED TOTAL</v>
      </c>
      <c r="AC329" s="76" t="str">
        <f t="array" ref="AC329:AC330">{"UNARMED TOTAL";(sum(G330:AA330))}</f>
        <v>UNARMED TOTAL</v>
      </c>
    </row>
    <row r="330">
      <c r="A330" s="48" t="s">
        <v>114</v>
      </c>
      <c r="B330" s="48"/>
      <c r="C330" s="48" t="s">
        <v>412</v>
      </c>
      <c r="D330" s="48" t="s">
        <v>1634</v>
      </c>
      <c r="E330" s="48" t="s">
        <v>257</v>
      </c>
      <c r="F330" s="5" t="s">
        <v>435</v>
      </c>
      <c r="G330" s="47" t="s">
        <v>603</v>
      </c>
      <c r="H330" s="5">
        <v>10.0</v>
      </c>
      <c r="I330" s="5"/>
      <c r="J330" s="5" t="s">
        <v>603</v>
      </c>
      <c r="K330" s="5"/>
      <c r="L330" s="5" t="s">
        <v>436</v>
      </c>
      <c r="M330" s="5"/>
      <c r="N330" s="5" t="s">
        <v>603</v>
      </c>
      <c r="O330" s="5"/>
      <c r="P330" s="5" t="s">
        <v>603</v>
      </c>
      <c r="Q330" s="5"/>
      <c r="R330" s="5" t="s">
        <v>603</v>
      </c>
      <c r="S330" s="5"/>
      <c r="T330" s="5" t="s">
        <v>437</v>
      </c>
      <c r="U330" s="5"/>
      <c r="V330" s="5" t="s">
        <v>603</v>
      </c>
      <c r="W330" s="5"/>
      <c r="X330" s="5" t="s">
        <v>603</v>
      </c>
      <c r="Y330" s="5"/>
      <c r="Z330" s="5" t="s">
        <v>603</v>
      </c>
      <c r="AA330" s="5"/>
      <c r="AB330" s="5" t="s">
        <v>437</v>
      </c>
      <c r="AC330" s="47">
        <v>10.0</v>
      </c>
    </row>
    <row r="331" hidden="1">
      <c r="A331" s="222" t="str">
        <f t="array" ref="A331:A332">{"FormulaRow28";(INDEX(CLASSLIST,A276,1))}</f>
        <v>FormulaRow28</v>
      </c>
      <c r="B331" s="77" t="s">
        <v>236</v>
      </c>
      <c r="C331" s="222" t="str">
        <f t="array" ref="C331:C332">{"CLASSTYPE";((INDEX(ALLCLASSDATA,MATCH("ClassType",CLASSFEATUREHEADERS,0),MATCH($A332,CLASSNAMEHEADERS,0))))}</f>
        <v>CLASSTYPE</v>
      </c>
      <c r="D331" s="222" t="str">
        <f t="array" ref="D331:D332">{"ATTACK";"Attack"}</f>
        <v>ATTACK</v>
      </c>
      <c r="E331" s="222" t="str">
        <f t="array" ref="E331:E332">{"SIMPLELIMITED";"SimpleLimited"}</f>
        <v>SIMPLELIMITED</v>
      </c>
      <c r="F331" s="223" t="str">
        <f t="array" ref="F331:F332">{"SIMPLELIMITEDINITIAL";((IF(H332=10,"T",(IF(H332=50,"E","")))))}</f>
        <v>SIMPLELIMITEDINITIAL</v>
      </c>
      <c r="G331" s="223" t="str">
        <f t="array" ref="G331:G332">{"SIMPLELIMITEDINITIALPTS";((IF("00"=(INDEX(ALLCLASSDATA,MATCH("SimpleLimitedLegendary",CLASSFEATUREHEADERS,0),MATCH($A332,CLASSNAMEHEADERS,0))),(INDEX(ALLCLASSDATA,MATCH("SimpleLimitedLegendary",CLASSFEATUREHEADERS,0),MATCH(($A332 &amp; "Points"),CLASSNAMEHEADERS,0))),(IF("00"=(INDEX(ALLCLASSDATA,MATCH("SimpleLimitedMaster",CLASSFEATUREHEADERS,0),MATCH($A332,CLASSNAMEHEADERS,0))),(INDEX(ALLCLASSDATA,MATCH("SimpleLimitedMaster",CLASSFEATUREHEADERS,0),MATCH(($A332 &amp; "Points"),CLASSNAMEHEADERS,0))),(IF("00"=(INDEX(ALLCLASSDATA,MATCH("SimpleLimitedExpert",CLASSFEATUREHEADERS,0),MATCH($A332,CLASSNAMEHEADERS,0))),(INDEX(ALLCLASSDATA,MATCH("SimpleLimitedExpert",CLASSFEATUREHEADERS,0),MATCH(($A332 &amp; "Points"),CLASSNAMEHEADERS,0))),(IF("00"=(INDEX(ALLCLASSDATA,MATCH("SimpleLimitedTrained",CLASSFEATUREHEADERS,0),MATCH($A332,CLASSNAMEHEADERS,0))),(INDEX(ALLCLASSDATA,MATCH("SimpleLimitedTrained",CLASSFEATUREHEADERS,0),MATCH(($A332 &amp; "Points"),CLASSNAMEHEADERS,0))),"")))))))))}</f>
        <v>SIMPLELIMITEDINITIALPTS</v>
      </c>
      <c r="H331" s="223" t="str">
        <f t="array" ref="H331:H332">{"SIMPLELIMITEDL01";((IF("01"=(INDEX(ALLCLASSDATA,MATCH("SimpleLimitedLegendary",CLASSFEATUREHEADERS,0),MATCH($A332,CLASSNAMEHEADERS,0))),(INDEX(ALLCLASSDATA,MATCH("SimpleLimitedLegendary",CLASSFEATUREHEADERS,0),MATCH(($A332 &amp; "Points"),CLASSNAMEHEADERS,0))),(IF("01"=(INDEX(ALLCLASSDATA,MATCH("SimpleLimitedMaster",CLASSFEATUREHEADERS,0),MATCH($A332,CLASSNAMEHEADERS,0))),(INDEX(ALLCLASSDATA,MATCH("SimpleLimitedMaster",CLASSFEATUREHEADERS,0),MATCH(($A332 &amp; "Points"),CLASSNAMEHEADERS,0))),(IF("01"=(INDEX(ALLCLASSDATA,MATCH("SimpleLimitedExpert",CLASSFEATUREHEADERS,0),MATCH($A332,CLASSNAMEHEADERS,0))),(INDEX(ALLCLASSDATA,MATCH("SimpleLimitedExpert",CLASSFEATUREHEADERS,0),MATCH(($A332 &amp; "Points"),CLASSNAMEHEADERS,0))),(IF("01"=(INDEX(ALLCLASSDATA,MATCH("SimpleLimitedTrained",CLASSFEATUREHEADERS,0),MATCH($A332,CLASSNAMEHEADERS,0))),(INDEX(ALLCLASSDATA,MATCH("SimpleLimitedTrained",CLASSFEATUREHEADERS,0),MATCH(($A332 &amp; "Points"),CLASSNAMEHEADERS,0))),"")))))))))}</f>
        <v>SIMPLELIMITEDL01</v>
      </c>
      <c r="I331" s="223"/>
      <c r="J331" s="223" t="str">
        <f t="array" ref="J331:J332">{"SIMPLELIMITEDL03";((IF("03"=(INDEX(ALLCLASSDATA,MATCH("SimpleLimitedLegendary",CLASSFEATUREHEADERS,0),MATCH($A332,CLASSNAMEHEADERS,0))),(INDEX(ALLCLASSDATA,MATCH("SimpleLimitedLegendary",CLASSFEATUREHEADERS,0),MATCH(($A332 &amp; "Points"),CLASSNAMEHEADERS,0))),(IF("03"=(INDEX(ALLCLASSDATA,MATCH("SimpleLimitedMaster",CLASSFEATUREHEADERS,0),MATCH($A332,CLASSNAMEHEADERS,0))),(INDEX(ALLCLASSDATA,MATCH("SimpleLimitedMaster",CLASSFEATUREHEADERS,0),MATCH(($A332 &amp; "Points"),CLASSNAMEHEADERS,0))),(IF("03"=(INDEX(ALLCLASSDATA,MATCH("SimpleLimitedExpert",CLASSFEATUREHEADERS,0),MATCH($A332,CLASSNAMEHEADERS,0))),(INDEX(ALLCLASSDATA,MATCH("SimpleLimitedExpert",CLASSFEATUREHEADERS,0),MATCH(($A332 &amp; "Points"),CLASSNAMEHEADERS,0))),(IF("03"=(INDEX(ALLCLASSDATA,MATCH("SimpleLimitedTrained",CLASSFEATUREHEADERS,0),MATCH($A332,CLASSNAMEHEADERS,0))),(INDEX(ALLCLASSDATA,MATCH("SimpleLimitedTrained",CLASSFEATUREHEADERS,0),MATCH(($A332 &amp; "Points"),CLASSNAMEHEADERS,0))),"")))))))))}</f>
        <v>SIMPLELIMITEDL03</v>
      </c>
      <c r="K331" s="223"/>
      <c r="L331" s="223" t="str">
        <f t="array" ref="L331:L332">{"SIMPLELIMITEDL05";((IF("05"=(INDEX(ALLCLASSDATA,MATCH("SimpleLimitedLegendary",CLASSFEATUREHEADERS,0),MATCH($A332,CLASSNAMEHEADERS,0))),(INDEX(ALLCLASSDATA,MATCH("SimpleLimitedLegendary",CLASSFEATUREHEADERS,0),MATCH(($A332 &amp; "Points"),CLASSNAMEHEADERS,0))),(IF("05"=(INDEX(ALLCLASSDATA,MATCH("SimpleLimitedMaster",CLASSFEATUREHEADERS,0),MATCH($A332,CLASSNAMEHEADERS,0))),(INDEX(ALLCLASSDATA,MATCH("SimpleLimitedMaster",CLASSFEATUREHEADERS,0),MATCH(($A332 &amp; "Points"),CLASSNAMEHEADERS,0))),(IF("05"=(INDEX(ALLCLASSDATA,MATCH("SimpleLimitedExpert",CLASSFEATUREHEADERS,0),MATCH($A332,CLASSNAMEHEADERS,0))),(INDEX(ALLCLASSDATA,MATCH("SimpleLimitedExpert",CLASSFEATUREHEADERS,0),MATCH(($A332 &amp; "Points"),CLASSNAMEHEADERS,0))),(IF("05"=(INDEX(ALLCLASSDATA,MATCH("SimpleLimitedTrained",CLASSFEATUREHEADERS,0),MATCH($A332,CLASSNAMEHEADERS,0))),(INDEX(ALLCLASSDATA,MATCH("SimpleLimitedTrained",CLASSFEATUREHEADERS,0),MATCH(($A332 &amp; "Points"),CLASSNAMEHEADERS,0))),"")))))))))}</f>
        <v>SIMPLELIMITEDL05</v>
      </c>
      <c r="M331" s="223"/>
      <c r="N331" s="223" t="str">
        <f t="array" ref="N331:N332">{"SIMPLELIMITEDL07";((IF("07"=(INDEX(ALLCLASSDATA,MATCH("SimpleLimitedLegendary",CLASSFEATUREHEADERS,0),MATCH($A332,CLASSNAMEHEADERS,0))),(INDEX(ALLCLASSDATA,MATCH("SimpleLimitedLegendary",CLASSFEATUREHEADERS,0),MATCH(($A332 &amp; "Points"),CLASSNAMEHEADERS,0))),(IF("07"=(INDEX(ALLCLASSDATA,MATCH("SimpleLimitedMaster",CLASSFEATUREHEADERS,0),MATCH($A332,CLASSNAMEHEADERS,0))),(INDEX(ALLCLASSDATA,MATCH("SimpleLimitedMaster",CLASSFEATUREHEADERS,0),MATCH(($A332 &amp; "Points"),CLASSNAMEHEADERS,0))),(IF("07"=(INDEX(ALLCLASSDATA,MATCH("SimpleLimitedExpert",CLASSFEATUREHEADERS,0),MATCH($A332,CLASSNAMEHEADERS,0))),(INDEX(ALLCLASSDATA,MATCH("SimpleLimitedExpert",CLASSFEATUREHEADERS,0),MATCH(($A332 &amp; "Points"),CLASSNAMEHEADERS,0))),(IF("07"=(INDEX(ALLCLASSDATA,MATCH("SimpleLimitedTrained",CLASSFEATUREHEADERS,0),MATCH($A332,CLASSNAMEHEADERS,0))),(INDEX(ALLCLASSDATA,MATCH("SimpleLimitedTrained",CLASSFEATUREHEADERS,0),MATCH(($A332 &amp; "Points"),CLASSNAMEHEADERS,0))),"")))))))))}</f>
        <v>SIMPLELIMITEDL07</v>
      </c>
      <c r="O331" s="223"/>
      <c r="P331" s="223" t="str">
        <f t="array" ref="P331:P332">{"SIMPLELIMITEDL09";((IF("09"=(INDEX(ALLCLASSDATA,MATCH("SimpleLimitedLegendary",CLASSFEATUREHEADERS,0),MATCH($A332,CLASSNAMEHEADERS,0))),(INDEX(ALLCLASSDATA,MATCH("SimpleLimitedLegendary",CLASSFEATUREHEADERS,0),MATCH(($A332 &amp; "Points"),CLASSNAMEHEADERS,0))),(IF("09"=(INDEX(ALLCLASSDATA,MATCH("SimpleLimitedMaster",CLASSFEATUREHEADERS,0),MATCH($A332,CLASSNAMEHEADERS,0))),(INDEX(ALLCLASSDATA,MATCH("SimpleLimitedMaster",CLASSFEATUREHEADERS,0),MATCH(($A332 &amp; "Points"),CLASSNAMEHEADERS,0))),(IF("09"=(INDEX(ALLCLASSDATA,MATCH("SimpleLimitedExpert",CLASSFEATUREHEADERS,0),MATCH($A332,CLASSNAMEHEADERS,0))),(INDEX(ALLCLASSDATA,MATCH("SimpleLimitedExpert",CLASSFEATUREHEADERS,0),MATCH(($A332 &amp; "Points"),CLASSNAMEHEADERS,0))),(IF("09"=(INDEX(ALLCLASSDATA,MATCH("SimpleLimitedTrained",CLASSFEATUREHEADERS,0),MATCH($A332,CLASSNAMEHEADERS,0))),(INDEX(ALLCLASSDATA,MATCH("SimpleLimitedTrained",CLASSFEATUREHEADERS,0),MATCH(($A332 &amp; "Points"),CLASSNAMEHEADERS,0))),"")))))))))}</f>
        <v>SIMPLELIMITEDL09</v>
      </c>
      <c r="Q331" s="223"/>
      <c r="R331" s="223" t="str">
        <f t="array" ref="R331:R332">{"SIMPLELIMITEDL11";((IF("11"=(INDEX(ALLCLASSDATA,MATCH("SimpleLimitedLegendary",CLASSFEATUREHEADERS,0),MATCH($A332,CLASSNAMEHEADERS,0))),(INDEX(ALLCLASSDATA,MATCH("SimpleLimitedLegendary",CLASSFEATUREHEADERS,0),MATCH(($A332 &amp; "Points"),CLASSNAMEHEADERS,0))),(IF("11"=(INDEX(ALLCLASSDATA,MATCH("SimpleLimitedMaster",CLASSFEATUREHEADERS,0),MATCH($A332,CLASSNAMEHEADERS,0))),(INDEX(ALLCLASSDATA,MATCH("SimpleLimitedMaster",CLASSFEATUREHEADERS,0),MATCH(($A332 &amp; "Points"),CLASSNAMEHEADERS,0))),(IF("11"=(INDEX(ALLCLASSDATA,MATCH("SimpleLimitedExpert",CLASSFEATUREHEADERS,0),MATCH($A332,CLASSNAMEHEADERS,0))),(INDEX(ALLCLASSDATA,MATCH("SimpleLimitedExpert",CLASSFEATUREHEADERS,0),MATCH(($A332 &amp; "Points"),CLASSNAMEHEADERS,0))),(IF("11"=(INDEX(ALLCLASSDATA,MATCH("SimpleLimitedTrained",CLASSFEATUREHEADERS,0),MATCH($A332,CLASSNAMEHEADERS,0))),(INDEX(ALLCLASSDATA,MATCH("SimpleLimitedTrained",CLASSFEATUREHEADERS,0),MATCH(($A332 &amp; "Points"),CLASSNAMEHEADERS,0))),"")))))))))}</f>
        <v>SIMPLELIMITEDL11</v>
      </c>
      <c r="S331" s="223"/>
      <c r="T331" s="223" t="str">
        <f t="array" ref="T331:T332">{"SIMPLELIMITEDL13";((IF("13"=(INDEX(ALLCLASSDATA,MATCH("SimpleLimitedLegendary",CLASSFEATUREHEADERS,0),MATCH($A332,CLASSNAMEHEADERS,0))),(INDEX(ALLCLASSDATA,MATCH("SimpleLimitedLegendary",CLASSFEATUREHEADERS,0),MATCH(($A332 &amp; "Points"),CLASSNAMEHEADERS,0))),(IF("13"=(INDEX(ALLCLASSDATA,MATCH("SimpleLimitedMaster",CLASSFEATUREHEADERS,0),MATCH($A332,CLASSNAMEHEADERS,0))),(INDEX(ALLCLASSDATA,MATCH("SimpleLimitedMaster",CLASSFEATUREHEADERS,0),MATCH(($A332 &amp; "Points"),CLASSNAMEHEADERS,0))),(IF("13"=(INDEX(ALLCLASSDATA,MATCH("SimpleLimitedExpert",CLASSFEATUREHEADERS,0),MATCH($A332,CLASSNAMEHEADERS,0))),(INDEX(ALLCLASSDATA,MATCH("SimpleLimitedExpert",CLASSFEATUREHEADERS,0),MATCH(($A332 &amp; "Points"),CLASSNAMEHEADERS,0))),(IF("13"=(INDEX(ALLCLASSDATA,MATCH("SimpleLimitedTrained",CLASSFEATUREHEADERS,0),MATCH($A332,CLASSNAMEHEADERS,0))),(INDEX(ALLCLASSDATA,MATCH("SimpleLimitedTrained",CLASSFEATUREHEADERS,0),MATCH(($A332 &amp; "Points"),CLASSNAMEHEADERS,0))),"")))))))))}</f>
        <v>SIMPLELIMITEDL13</v>
      </c>
      <c r="U331" s="223"/>
      <c r="V331" s="223" t="str">
        <f t="array" ref="V331:V332">{"SIMPLELIMITEDL15";((IF("15"=(INDEX(ALLCLASSDATA,MATCH("SimpleLimitedLegendary",CLASSFEATUREHEADERS,0),MATCH($A332,CLASSNAMEHEADERS,0))),(INDEX(ALLCLASSDATA,MATCH("SimpleLimitedLegendary",CLASSFEATUREHEADERS,0),MATCH(($A332 &amp; "Points"),CLASSNAMEHEADERS,0))),(IF("15"=(INDEX(ALLCLASSDATA,MATCH("SimpleLimitedMaster",CLASSFEATUREHEADERS,0),MATCH($A332,CLASSNAMEHEADERS,0))),(INDEX(ALLCLASSDATA,MATCH("SimpleLimitedMaster",CLASSFEATUREHEADERS,0),MATCH(($A332 &amp; "Points"),CLASSNAMEHEADERS,0))),(IF("15"=(INDEX(ALLCLASSDATA,MATCH("SimpleLimitedExpert",CLASSFEATUREHEADERS,0),MATCH($A332,CLASSNAMEHEADERS,0))),(INDEX(ALLCLASSDATA,MATCH("SimpleLimitedExpert",CLASSFEATUREHEADERS,0),MATCH(($A332 &amp; "Points"),CLASSNAMEHEADERS,0))),(IF("15"=(INDEX(ALLCLASSDATA,MATCH("SimpleLimitedTrained",CLASSFEATUREHEADERS,0),MATCH($A332,CLASSNAMEHEADERS,0))),(INDEX(ALLCLASSDATA,MATCH("SimpleLimitedTrained",CLASSFEATUREHEADERS,0),MATCH(($A332 &amp; "Points"),CLASSNAMEHEADERS,0))),"")))))))))}</f>
        <v>SIMPLELIMITEDL15</v>
      </c>
      <c r="W331" s="223"/>
      <c r="X331" s="223" t="str">
        <f t="array" ref="X331:X332">{"SIMPLELIMITEDL17";((IF("17"=(INDEX(ALLCLASSDATA,MATCH("SimpleLimitedLegendary",CLASSFEATUREHEADERS,0),MATCH($A332,CLASSNAMEHEADERS,0))),(INDEX(ALLCLASSDATA,MATCH("SimpleLimitedLegendary",CLASSFEATUREHEADERS,0),MATCH(($A332 &amp; "Points"),CLASSNAMEHEADERS,0))),(IF("17"=(INDEX(ALLCLASSDATA,MATCH("SimpleLimitedMaster",CLASSFEATUREHEADERS,0),MATCH($A332,CLASSNAMEHEADERS,0))),(INDEX(ALLCLASSDATA,MATCH("SimpleLimitedMaster",CLASSFEATUREHEADERS,0),MATCH(($A332 &amp; "Points"),CLASSNAMEHEADERS,0))),(IF("17"=(INDEX(ALLCLASSDATA,MATCH("SimpleLimitedExpert",CLASSFEATUREHEADERS,0),MATCH($A332,CLASSNAMEHEADERS,0))),(INDEX(ALLCLASSDATA,MATCH("SimpleLimitedExpert",CLASSFEATUREHEADERS,0),MATCH(($A332 &amp; "Points"),CLASSNAMEHEADERS,0))),(IF("17"=(INDEX(ALLCLASSDATA,MATCH("SimpleLimitedTrained",CLASSFEATUREHEADERS,0),MATCH($A332,CLASSNAMEHEADERS,0))),(INDEX(ALLCLASSDATA,MATCH("SimpleLimitedTrained",CLASSFEATUREHEADERS,0),MATCH(($A332 &amp; "Points"),CLASSNAMEHEADERS,0))),"")))))))))}</f>
        <v>SIMPLELIMITEDL17</v>
      </c>
      <c r="Y331" s="223"/>
      <c r="Z331" s="223" t="str">
        <f t="array" ref="Z331:Z332">{"SIMPLELIMITEDL19";((IF("19"=(INDEX(ALLCLASSDATA,MATCH("SimpleLimitedLegendary",CLASSFEATUREHEADERS,0),MATCH($A332,CLASSNAMEHEADERS,0))),(INDEX(ALLCLASSDATA,MATCH("SimpleLimitedLegendary",CLASSFEATUREHEADERS,0),MATCH(($A332 &amp; "Points"),CLASSNAMEHEADERS,0))),(IF("19"=(INDEX(ALLCLASSDATA,MATCH("SimpleLimitedMaster",CLASSFEATUREHEADERS,0),MATCH($A332,CLASSNAMEHEADERS,0))),(INDEX(ALLCLASSDATA,MATCH("SimpleLimitedMaster",CLASSFEATUREHEADERS,0),MATCH(($A332 &amp; "Points"),CLASSNAMEHEADERS,0))),(IF("19"=(INDEX(ALLCLASSDATA,MATCH("SimpleLimitedExpert",CLASSFEATUREHEADERS,0),MATCH($A332,CLASSNAMEHEADERS,0))),(INDEX(ALLCLASSDATA,MATCH("SimpleLimitedExpert",CLASSFEATUREHEADERS,0),MATCH(($A332 &amp; "Points"),CLASSNAMEHEADERS,0))),(IF("19"=(INDEX(ALLCLASSDATA,MATCH("SimpleLimitedTrained",CLASSFEATUREHEADERS,0),MATCH($A332,CLASSNAMEHEADERS,0))),(INDEX(ALLCLASSDATA,MATCH("SimpleLimitedTrained",CLASSFEATUREHEADERS,0),MATCH(($A332 &amp; "Points"),CLASSNAMEHEADERS,0))),"")))))))))}</f>
        <v>SIMPLELIMITEDL19</v>
      </c>
      <c r="AA331" s="223"/>
      <c r="AB331" s="76" t="str">
        <f t="array" ref="AB331:AB332">{"SIMPLELIMITED TOTAL";(IF(COUNTBLANK(G332:AA332)=17,"L",(IF(COUNTBLANK(G332:AA332)=18,"M",(IF(COUNTBLANK(G332:AA332)=19,"E",(IF(COUNTBLANK(G332:AA332)=20,"T",""))))))))}</f>
        <v>SIMPLELIMITED TOTAL</v>
      </c>
      <c r="AC331" s="76" t="str">
        <f t="array" ref="AC331:AC332">{"SIMPLELIMITED TOTAL";(sum(G332:AA332))}</f>
        <v>SIMPLELIMITED TOTAL</v>
      </c>
    </row>
    <row r="332">
      <c r="A332" s="48" t="s">
        <v>114</v>
      </c>
      <c r="B332" s="48"/>
      <c r="C332" s="48" t="s">
        <v>412</v>
      </c>
      <c r="D332" s="48" t="s">
        <v>1634</v>
      </c>
      <c r="E332" s="48" t="s">
        <v>599</v>
      </c>
      <c r="F332" s="5" t="s">
        <v>603</v>
      </c>
      <c r="G332" s="47" t="s">
        <v>603</v>
      </c>
      <c r="H332" s="5" t="s">
        <v>603</v>
      </c>
      <c r="I332" s="5"/>
      <c r="J332" s="5" t="s">
        <v>603</v>
      </c>
      <c r="K332" s="5"/>
      <c r="L332" s="5" t="s">
        <v>603</v>
      </c>
      <c r="M332" s="5"/>
      <c r="N332" s="5" t="s">
        <v>603</v>
      </c>
      <c r="O332" s="5"/>
      <c r="P332" s="5" t="s">
        <v>603</v>
      </c>
      <c r="Q332" s="5"/>
      <c r="R332" s="5" t="s">
        <v>603</v>
      </c>
      <c r="S332" s="5"/>
      <c r="T332" s="5" t="s">
        <v>603</v>
      </c>
      <c r="U332" s="5"/>
      <c r="V332" s="5" t="s">
        <v>603</v>
      </c>
      <c r="W332" s="5"/>
      <c r="X332" s="5" t="s">
        <v>603</v>
      </c>
      <c r="Y332" s="5"/>
      <c r="Z332" s="5" t="s">
        <v>603</v>
      </c>
      <c r="AA332" s="5"/>
      <c r="AB332" s="5" t="s">
        <v>603</v>
      </c>
      <c r="AC332" s="47">
        <v>0.0</v>
      </c>
    </row>
    <row r="333" hidden="1">
      <c r="A333" s="222" t="str">
        <f t="array" ref="A333:A334">{"FormulaRow29";(INDEX(CLASSLIST,A276,1))}</f>
        <v>FormulaRow29</v>
      </c>
      <c r="B333" s="77" t="s">
        <v>236</v>
      </c>
      <c r="C333" s="222" t="str">
        <f t="array" ref="C333:C334">{"CLASSTYPE";((INDEX(ALLCLASSDATA,MATCH("ClassType",CLASSFEATUREHEADERS,0),MATCH($A334,CLASSNAMEHEADERS,0))))}</f>
        <v>CLASSTYPE</v>
      </c>
      <c r="D333" s="222" t="str">
        <f t="array" ref="D333:D334">{"ATTACK";"Attack"}</f>
        <v>ATTACK</v>
      </c>
      <c r="E333" s="222" t="str">
        <f t="array" ref="E333:E334">{"SIMPLE";"Simple"}</f>
        <v>SIMPLE</v>
      </c>
      <c r="F333" s="223" t="str">
        <f t="array" ref="F333:F334">{"SIMPLEINITIAL";((IF(H334=10,"T",(IF(H334=50,"E","")))))}</f>
        <v>SIMPLEINITIAL</v>
      </c>
      <c r="G333" s="223" t="str">
        <f t="array" ref="G333:G334">{"SIMPLEINITIALPTS";((IF("00"=(INDEX(ALLCLASSDATA,MATCH("SimpleLegendary",CLASSFEATUREHEADERS,0),MATCH($A334,CLASSNAMEHEADERS,0))),(INDEX(ALLCLASSDATA,MATCH("SimpleLegendary",CLASSFEATUREHEADERS,0),MATCH(($A334 &amp; "Points"),CLASSNAMEHEADERS,0))),(IF("00"=(INDEX(ALLCLASSDATA,MATCH("SimpleMaster",CLASSFEATUREHEADERS,0),MATCH($A334,CLASSNAMEHEADERS,0))),(INDEX(ALLCLASSDATA,MATCH("SimpleMaster",CLASSFEATUREHEADERS,0),MATCH(($A334 &amp; "Points"),CLASSNAMEHEADERS,0))),(IF("00"=(INDEX(ALLCLASSDATA,MATCH("SimpleExpert",CLASSFEATUREHEADERS,0),MATCH($A334,CLASSNAMEHEADERS,0))),(INDEX(ALLCLASSDATA,MATCH("SimpleExpert",CLASSFEATUREHEADERS,0),MATCH(($A334 &amp; "Points"),CLASSNAMEHEADERS,0))),(IF("00"=(INDEX(ALLCLASSDATA,MATCH("SimpleTrained",CLASSFEATUREHEADERS,0),MATCH($A334,CLASSNAMEHEADERS,0))),(INDEX(ALLCLASSDATA,MATCH("SimpleTrained",CLASSFEATUREHEADERS,0),MATCH(($A334 &amp; "Points"),CLASSNAMEHEADERS,0))),"")))))))))}</f>
        <v>SIMPLEINITIALPTS</v>
      </c>
      <c r="H333" s="223" t="str">
        <f t="array" ref="H333:H334">{"SIMPLEL01";((IF("01"=(INDEX(ALLCLASSDATA,MATCH("SimpleLegendary",CLASSFEATUREHEADERS,0),MATCH($A334,CLASSNAMEHEADERS,0))),(INDEX(ALLCLASSDATA,MATCH("SimpleLegendary",CLASSFEATUREHEADERS,0),MATCH(($A334 &amp; "Points"),CLASSNAMEHEADERS,0))),(IF("01"=(INDEX(ALLCLASSDATA,MATCH("SimpleMaster",CLASSFEATUREHEADERS,0),MATCH($A334,CLASSNAMEHEADERS,0))),(INDEX(ALLCLASSDATA,MATCH("SimpleMaster",CLASSFEATUREHEADERS,0),MATCH(($A334 &amp; "Points"),CLASSNAMEHEADERS,0))),(IF("01"=(INDEX(ALLCLASSDATA,MATCH("SimpleExpert",CLASSFEATUREHEADERS,0),MATCH($A334,CLASSNAMEHEADERS,0))),(INDEX(ALLCLASSDATA,MATCH("SimpleExpert",CLASSFEATUREHEADERS,0),MATCH(($A334 &amp; "Points"),CLASSNAMEHEADERS,0))),(IF("01"=(INDEX(ALLCLASSDATA,MATCH("SimpleTrained",CLASSFEATUREHEADERS,0),MATCH($A334,CLASSNAMEHEADERS,0))),(INDEX(ALLCLASSDATA,MATCH("SimpleTrained",CLASSFEATUREHEADERS,0),MATCH(($A334 &amp; "Points"),CLASSNAMEHEADERS,0))),"")))))))))}</f>
        <v>SIMPLEL01</v>
      </c>
      <c r="I333" s="223"/>
      <c r="J333" s="223" t="str">
        <f t="array" ref="J333:J334">{"SIMPLEL03";((IF("03"=(INDEX(ALLCLASSDATA,MATCH("SimpleLegendary",CLASSFEATUREHEADERS,0),MATCH($A334,CLASSNAMEHEADERS,0))),(INDEX(ALLCLASSDATA,MATCH("SimpleLegendary",CLASSFEATUREHEADERS,0),MATCH(($A334 &amp; "Points"),CLASSNAMEHEADERS,0))),(IF("03"=(INDEX(ALLCLASSDATA,MATCH("SimpleMaster",CLASSFEATUREHEADERS,0),MATCH($A334,CLASSNAMEHEADERS,0))),(INDEX(ALLCLASSDATA,MATCH("SimpleMaster",CLASSFEATUREHEADERS,0),MATCH(($A334 &amp; "Points"),CLASSNAMEHEADERS,0))),(IF("03"=(INDEX(ALLCLASSDATA,MATCH("SimpleExpert",CLASSFEATUREHEADERS,0),MATCH($A334,CLASSNAMEHEADERS,0))),(INDEX(ALLCLASSDATA,MATCH("SimpleExpert",CLASSFEATUREHEADERS,0),MATCH(($A334 &amp; "Points"),CLASSNAMEHEADERS,0))),(IF("03"=(INDEX(ALLCLASSDATA,MATCH("SimpleTrained",CLASSFEATUREHEADERS,0),MATCH($A334,CLASSNAMEHEADERS,0))),(INDEX(ALLCLASSDATA,MATCH("SimpleTrained",CLASSFEATUREHEADERS,0),MATCH(($A334 &amp; "Points"),CLASSNAMEHEADERS,0))),"")))))))))}</f>
        <v>SIMPLEL03</v>
      </c>
      <c r="K333" s="223"/>
      <c r="L333" s="223" t="str">
        <f t="array" ref="L333:L334">{"SIMPLEL05";((IF("05"=(INDEX(ALLCLASSDATA,MATCH("SimpleLegendary",CLASSFEATUREHEADERS,0),MATCH($A334,CLASSNAMEHEADERS,0))),(INDEX(ALLCLASSDATA,MATCH("SimpleLegendary",CLASSFEATUREHEADERS,0),MATCH(($A334 &amp; "Points"),CLASSNAMEHEADERS,0))),(IF("05"=(INDEX(ALLCLASSDATA,MATCH("SimpleMaster",CLASSFEATUREHEADERS,0),MATCH($A334,CLASSNAMEHEADERS,0))),(INDEX(ALLCLASSDATA,MATCH("SimpleMaster",CLASSFEATUREHEADERS,0),MATCH(($A334 &amp; "Points"),CLASSNAMEHEADERS,0))),(IF("05"=(INDEX(ALLCLASSDATA,MATCH("SimpleExpert",CLASSFEATUREHEADERS,0),MATCH($A334,CLASSNAMEHEADERS,0))),(INDEX(ALLCLASSDATA,MATCH("SimpleExpert",CLASSFEATUREHEADERS,0),MATCH(($A334 &amp; "Points"),CLASSNAMEHEADERS,0))),(IF("05"=(INDEX(ALLCLASSDATA,MATCH("SimpleTrained",CLASSFEATUREHEADERS,0),MATCH($A334,CLASSNAMEHEADERS,0))),(INDEX(ALLCLASSDATA,MATCH("SimpleTrained",CLASSFEATUREHEADERS,0),MATCH(($A334 &amp; "Points"),CLASSNAMEHEADERS,0))),"")))))))))}</f>
        <v>SIMPLEL05</v>
      </c>
      <c r="M333" s="223"/>
      <c r="N333" s="223" t="str">
        <f t="array" ref="N333:N334">{"SIMPLEL07";((IF("07"=(INDEX(ALLCLASSDATA,MATCH("SimpleLegendary",CLASSFEATUREHEADERS,0),MATCH($A334,CLASSNAMEHEADERS,0))),(INDEX(ALLCLASSDATA,MATCH("SimpleLegendary",CLASSFEATUREHEADERS,0),MATCH(($A334 &amp; "Points"),CLASSNAMEHEADERS,0))),(IF("07"=(INDEX(ALLCLASSDATA,MATCH("SimpleMaster",CLASSFEATUREHEADERS,0),MATCH($A334,CLASSNAMEHEADERS,0))),(INDEX(ALLCLASSDATA,MATCH("SimpleMaster",CLASSFEATUREHEADERS,0),MATCH(($A334 &amp; "Points"),CLASSNAMEHEADERS,0))),(IF("07"=(INDEX(ALLCLASSDATA,MATCH("SimpleExpert",CLASSFEATUREHEADERS,0),MATCH($A334,CLASSNAMEHEADERS,0))),(INDEX(ALLCLASSDATA,MATCH("SimpleExpert",CLASSFEATUREHEADERS,0),MATCH(($A334 &amp; "Points"),CLASSNAMEHEADERS,0))),(IF("07"=(INDEX(ALLCLASSDATA,MATCH("SimpleTrained",CLASSFEATUREHEADERS,0),MATCH($A334,CLASSNAMEHEADERS,0))),(INDEX(ALLCLASSDATA,MATCH("SimpleTrained",CLASSFEATUREHEADERS,0),MATCH(($A334 &amp; "Points"),CLASSNAMEHEADERS,0))),"")))))))))}</f>
        <v>SIMPLEL07</v>
      </c>
      <c r="O333" s="223"/>
      <c r="P333" s="223" t="str">
        <f t="array" ref="P333:P334">{"SIMPLEL09";((IF("09"=(INDEX(ALLCLASSDATA,MATCH("SimpleLegendary",CLASSFEATUREHEADERS,0),MATCH($A334,CLASSNAMEHEADERS,0))),(INDEX(ALLCLASSDATA,MATCH("SimpleLegendary",CLASSFEATUREHEADERS,0),MATCH(($A334 &amp; "Points"),CLASSNAMEHEADERS,0))),(IF("09"=(INDEX(ALLCLASSDATA,MATCH("SimpleMaster",CLASSFEATUREHEADERS,0),MATCH($A334,CLASSNAMEHEADERS,0))),(INDEX(ALLCLASSDATA,MATCH("SimpleMaster",CLASSFEATUREHEADERS,0),MATCH(($A334 &amp; "Points"),CLASSNAMEHEADERS,0))),(IF("09"=(INDEX(ALLCLASSDATA,MATCH("SimpleExpert",CLASSFEATUREHEADERS,0),MATCH($A334,CLASSNAMEHEADERS,0))),(INDEX(ALLCLASSDATA,MATCH("SimpleExpert",CLASSFEATUREHEADERS,0),MATCH(($A334 &amp; "Points"),CLASSNAMEHEADERS,0))),(IF("09"=(INDEX(ALLCLASSDATA,MATCH("SimpleTrained",CLASSFEATUREHEADERS,0),MATCH($A334,CLASSNAMEHEADERS,0))),(INDEX(ALLCLASSDATA,MATCH("SimpleTrained",CLASSFEATUREHEADERS,0),MATCH(($A334 &amp; "Points"),CLASSNAMEHEADERS,0))),"")))))))))}</f>
        <v>SIMPLEL09</v>
      </c>
      <c r="Q333" s="223"/>
      <c r="R333" s="223" t="str">
        <f t="array" ref="R333:R334">{"SIMPLEL11";((IF("11"=(INDEX(ALLCLASSDATA,MATCH("SimpleLegendary",CLASSFEATUREHEADERS,0),MATCH($A334,CLASSNAMEHEADERS,0))),(INDEX(ALLCLASSDATA,MATCH("SimpleLegendary",CLASSFEATUREHEADERS,0),MATCH(($A334 &amp; "Points"),CLASSNAMEHEADERS,0))),(IF("11"=(INDEX(ALLCLASSDATA,MATCH("SimpleMaster",CLASSFEATUREHEADERS,0),MATCH($A334,CLASSNAMEHEADERS,0))),(INDEX(ALLCLASSDATA,MATCH("SimpleMaster",CLASSFEATUREHEADERS,0),MATCH(($A334 &amp; "Points"),CLASSNAMEHEADERS,0))),(IF("11"=(INDEX(ALLCLASSDATA,MATCH("SimpleExpert",CLASSFEATUREHEADERS,0),MATCH($A334,CLASSNAMEHEADERS,0))),(INDEX(ALLCLASSDATA,MATCH("SimpleExpert",CLASSFEATUREHEADERS,0),MATCH(($A334 &amp; "Points"),CLASSNAMEHEADERS,0))),(IF("11"=(INDEX(ALLCLASSDATA,MATCH("SimpleTrained",CLASSFEATUREHEADERS,0),MATCH($A334,CLASSNAMEHEADERS,0))),(INDEX(ALLCLASSDATA,MATCH("SimpleTrained",CLASSFEATUREHEADERS,0),MATCH(($A334 &amp; "Points"),CLASSNAMEHEADERS,0))),"")))))))))}</f>
        <v>SIMPLEL11</v>
      </c>
      <c r="S333" s="223"/>
      <c r="T333" s="223" t="str">
        <f t="array" ref="T333:T334">{"SIMPLEL13";((IF("13"=(INDEX(ALLCLASSDATA,MATCH("SimpleLegendary",CLASSFEATUREHEADERS,0),MATCH($A334,CLASSNAMEHEADERS,0))),(INDEX(ALLCLASSDATA,MATCH("SimpleLegendary",CLASSFEATUREHEADERS,0),MATCH(($A334 &amp; "Points"),CLASSNAMEHEADERS,0))),(IF("13"=(INDEX(ALLCLASSDATA,MATCH("SimpleMaster",CLASSFEATUREHEADERS,0),MATCH($A334,CLASSNAMEHEADERS,0))),(INDEX(ALLCLASSDATA,MATCH("SimpleMaster",CLASSFEATUREHEADERS,0),MATCH(($A334 &amp; "Points"),CLASSNAMEHEADERS,0))),(IF("13"=(INDEX(ALLCLASSDATA,MATCH("SimpleExpert",CLASSFEATUREHEADERS,0),MATCH($A334,CLASSNAMEHEADERS,0))),(INDEX(ALLCLASSDATA,MATCH("SimpleExpert",CLASSFEATUREHEADERS,0),MATCH(($A334 &amp; "Points"),CLASSNAMEHEADERS,0))),(IF("13"=(INDEX(ALLCLASSDATA,MATCH("SimpleTrained",CLASSFEATUREHEADERS,0),MATCH($A334,CLASSNAMEHEADERS,0))),(INDEX(ALLCLASSDATA,MATCH("SimpleTrained",CLASSFEATUREHEADERS,0),MATCH(($A334 &amp; "Points"),CLASSNAMEHEADERS,0))),"")))))))))}</f>
        <v>SIMPLEL13</v>
      </c>
      <c r="U333" s="223"/>
      <c r="V333" s="223" t="str">
        <f t="array" ref="V333:V334">{"SIMPLEL15";((IF("15"=(INDEX(ALLCLASSDATA,MATCH("SimpleLegendary",CLASSFEATUREHEADERS,0),MATCH($A334,CLASSNAMEHEADERS,0))),(INDEX(ALLCLASSDATA,MATCH("SimpleLegendary",CLASSFEATUREHEADERS,0),MATCH(($A334 &amp; "Points"),CLASSNAMEHEADERS,0))),(IF("15"=(INDEX(ALLCLASSDATA,MATCH("SimpleMaster",CLASSFEATUREHEADERS,0),MATCH($A334,CLASSNAMEHEADERS,0))),(INDEX(ALLCLASSDATA,MATCH("SimpleMaster",CLASSFEATUREHEADERS,0),MATCH(($A334 &amp; "Points"),CLASSNAMEHEADERS,0))),(IF("15"=(INDEX(ALLCLASSDATA,MATCH("SimpleExpert",CLASSFEATUREHEADERS,0),MATCH($A334,CLASSNAMEHEADERS,0))),(INDEX(ALLCLASSDATA,MATCH("SimpleExpert",CLASSFEATUREHEADERS,0),MATCH(($A334 &amp; "Points"),CLASSNAMEHEADERS,0))),(IF("15"=(INDEX(ALLCLASSDATA,MATCH("SimpleTrained",CLASSFEATUREHEADERS,0),MATCH($A334,CLASSNAMEHEADERS,0))),(INDEX(ALLCLASSDATA,MATCH("SimpleTrained",CLASSFEATUREHEADERS,0),MATCH(($A334 &amp; "Points"),CLASSNAMEHEADERS,0))),"")))))))))}</f>
        <v>SIMPLEL15</v>
      </c>
      <c r="W333" s="223"/>
      <c r="X333" s="223" t="str">
        <f t="array" ref="X333:X334">{"SIMPLEL17";((IF("17"=(INDEX(ALLCLASSDATA,MATCH("SimpleLegendary",CLASSFEATUREHEADERS,0),MATCH($A334,CLASSNAMEHEADERS,0))),(INDEX(ALLCLASSDATA,MATCH("SimpleLegendary",CLASSFEATUREHEADERS,0),MATCH(($A334 &amp; "Points"),CLASSNAMEHEADERS,0))),(IF("17"=(INDEX(ALLCLASSDATA,MATCH("SimpleMaster",CLASSFEATUREHEADERS,0),MATCH($A334,CLASSNAMEHEADERS,0))),(INDEX(ALLCLASSDATA,MATCH("SimpleMaster",CLASSFEATUREHEADERS,0),MATCH(($A334 &amp; "Points"),CLASSNAMEHEADERS,0))),(IF("17"=(INDEX(ALLCLASSDATA,MATCH("SimpleExpert",CLASSFEATUREHEADERS,0),MATCH($A334,CLASSNAMEHEADERS,0))),(INDEX(ALLCLASSDATA,MATCH("SimpleExpert",CLASSFEATUREHEADERS,0),MATCH(($A334 &amp; "Points"),CLASSNAMEHEADERS,0))),(IF("17"=(INDEX(ALLCLASSDATA,MATCH("SimpleTrained",CLASSFEATUREHEADERS,0),MATCH($A334,CLASSNAMEHEADERS,0))),(INDEX(ALLCLASSDATA,MATCH("SimpleTrained",CLASSFEATUREHEADERS,0),MATCH(($A334 &amp; "Points"),CLASSNAMEHEADERS,0))),"")))))))))}</f>
        <v>SIMPLEL17</v>
      </c>
      <c r="Y333" s="223"/>
      <c r="Z333" s="223" t="str">
        <f t="array" ref="Z333:Z334">{"SIMPLEL19";((IF("19"=(INDEX(ALLCLASSDATA,MATCH("SimpleLegendary",CLASSFEATUREHEADERS,0),MATCH($A334,CLASSNAMEHEADERS,0))),(INDEX(ALLCLASSDATA,MATCH("SimpleLegendary",CLASSFEATUREHEADERS,0),MATCH(($A334 &amp; "Points"),CLASSNAMEHEADERS,0))),(IF("19"=(INDEX(ALLCLASSDATA,MATCH("SimpleMaster",CLASSFEATUREHEADERS,0),MATCH($A334,CLASSNAMEHEADERS,0))),(INDEX(ALLCLASSDATA,MATCH("SimpleMaster",CLASSFEATUREHEADERS,0),MATCH(($A334 &amp; "Points"),CLASSNAMEHEADERS,0))),(IF("19"=(INDEX(ALLCLASSDATA,MATCH("SimpleExpert",CLASSFEATUREHEADERS,0),MATCH($A334,CLASSNAMEHEADERS,0))),(INDEX(ALLCLASSDATA,MATCH("SimpleExpert",CLASSFEATUREHEADERS,0),MATCH(($A334 &amp; "Points"),CLASSNAMEHEADERS,0))),(IF("19"=(INDEX(ALLCLASSDATA,MATCH("SimpleTrained",CLASSFEATUREHEADERS,0),MATCH($A334,CLASSNAMEHEADERS,0))),(INDEX(ALLCLASSDATA,MATCH("SimpleTrained",CLASSFEATUREHEADERS,0),MATCH(($A334 &amp; "Points"),CLASSNAMEHEADERS,0))),"")))))))))}</f>
        <v>SIMPLEL19</v>
      </c>
      <c r="AA333" s="223"/>
      <c r="AB333" s="76" t="str">
        <f t="array" ref="AB333:AB334">{"SIMPLE TOTAL";(IF(COUNTBLANK(G334:AA334)=17,"L",(IF(COUNTBLANK(G334:AA334)=18,"M",(IF(COUNTBLANK(G334:AA334)=19,"E",(IF(COUNTBLANK(G334:AA334)=20,"T",""))))))))}</f>
        <v>SIMPLE TOTAL</v>
      </c>
      <c r="AC333" s="76" t="str">
        <f t="array" ref="AC333:AC334">{"SIMPLE TOTAL";(sum(G334:AA334))}</f>
        <v>SIMPLE TOTAL</v>
      </c>
    </row>
    <row r="334">
      <c r="A334" s="48" t="s">
        <v>114</v>
      </c>
      <c r="B334" s="48"/>
      <c r="C334" s="48" t="s">
        <v>412</v>
      </c>
      <c r="D334" s="48" t="s">
        <v>1634</v>
      </c>
      <c r="E334" s="48" t="s">
        <v>68</v>
      </c>
      <c r="F334" s="5" t="s">
        <v>435</v>
      </c>
      <c r="G334" s="47" t="s">
        <v>603</v>
      </c>
      <c r="H334" s="5">
        <v>10.0</v>
      </c>
      <c r="I334" s="5"/>
      <c r="J334" s="5" t="s">
        <v>603</v>
      </c>
      <c r="K334" s="5"/>
      <c r="L334" s="5" t="s">
        <v>436</v>
      </c>
      <c r="M334" s="5"/>
      <c r="N334" s="5" t="s">
        <v>603</v>
      </c>
      <c r="O334" s="5"/>
      <c r="P334" s="5" t="s">
        <v>603</v>
      </c>
      <c r="Q334" s="5"/>
      <c r="R334" s="5" t="s">
        <v>603</v>
      </c>
      <c r="S334" s="5"/>
      <c r="T334" s="5" t="s">
        <v>437</v>
      </c>
      <c r="U334" s="5"/>
      <c r="V334" s="5" t="s">
        <v>603</v>
      </c>
      <c r="W334" s="5"/>
      <c r="X334" s="5" t="s">
        <v>603</v>
      </c>
      <c r="Y334" s="5"/>
      <c r="Z334" s="5" t="s">
        <v>603</v>
      </c>
      <c r="AA334" s="5"/>
      <c r="AB334" s="5" t="s">
        <v>437</v>
      </c>
      <c r="AC334" s="47">
        <v>10.0</v>
      </c>
    </row>
    <row r="335" hidden="1">
      <c r="A335" s="222" t="str">
        <f t="array" ref="A335:A336">{"FormulaRow30";(INDEX(CLASSLIST,A276,1))}</f>
        <v>FormulaRow30</v>
      </c>
      <c r="B335" s="77" t="s">
        <v>236</v>
      </c>
      <c r="C335" s="222" t="str">
        <f t="array" ref="C335:C336">{"CLASSTYPE";((INDEX(ALLCLASSDATA,MATCH("ClassType",CLASSFEATUREHEADERS,0),MATCH($A336,CLASSNAMEHEADERS,0))))}</f>
        <v>CLASSTYPE</v>
      </c>
      <c r="D335" s="222" t="str">
        <f t="array" ref="D335:D336">{"ATTACK";"Attack"}</f>
        <v>ATTACK</v>
      </c>
      <c r="E335" s="222" t="str">
        <f t="array" ref="E335:E336">{"MARTIALLIMITED";"MartialLimited"}</f>
        <v>MARTIALLIMITED</v>
      </c>
      <c r="F335" s="223" t="str">
        <f t="array" ref="F335:F336">{"MARTIALLIMITEDINITIAL";((IF(H336=10,"T",(IF(H336=50,"E","")))))}</f>
        <v>MARTIALLIMITEDINITIAL</v>
      </c>
      <c r="G335" s="223" t="str">
        <f t="array" ref="G335:G336">{"MARTIALLIMITEDINITIALPTS";((IF("00"=(INDEX(ALLCLASSDATA,MATCH("MartialLimitedLegendary",CLASSFEATUREHEADERS,0),MATCH($A336,CLASSNAMEHEADERS,0))),(INDEX(ALLCLASSDATA,MATCH("MartialLimitedLegendary",CLASSFEATUREHEADERS,0),MATCH(($A336 &amp; "Points"),CLASSNAMEHEADERS,0))),(IF("00"=(INDEX(ALLCLASSDATA,MATCH("MartialLimitedMaster",CLASSFEATUREHEADERS,0),MATCH($A336,CLASSNAMEHEADERS,0))),(INDEX(ALLCLASSDATA,MATCH("MartialLimitedMaster",CLASSFEATUREHEADERS,0),MATCH(($A336 &amp; "Points"),CLASSNAMEHEADERS,0))),(IF("00"=(INDEX(ALLCLASSDATA,MATCH("MartialLimitedExpert",CLASSFEATUREHEADERS,0),MATCH($A336,CLASSNAMEHEADERS,0))),(INDEX(ALLCLASSDATA,MATCH("MartialLimitedExpert",CLASSFEATUREHEADERS,0),MATCH(($A336 &amp; "Points"),CLASSNAMEHEADERS,0))),(IF("00"=(INDEX(ALLCLASSDATA,MATCH("MartialLimitedTrained",CLASSFEATUREHEADERS,0),MATCH($A336,CLASSNAMEHEADERS,0))),(INDEX(ALLCLASSDATA,MATCH("MartialLimitedTrained",CLASSFEATUREHEADERS,0),MATCH(($A336 &amp; "Points"),CLASSNAMEHEADERS,0))),"")))))))))}</f>
        <v>MARTIALLIMITEDINITIALPTS</v>
      </c>
      <c r="H335" s="223" t="str">
        <f t="array" ref="H335:H336">{"MARTIALLIMITEDL01";((IF("01"=(INDEX(ALLCLASSDATA,MATCH("MartialLimitedLegendary",CLASSFEATUREHEADERS,0),MATCH($A336,CLASSNAMEHEADERS,0))),(INDEX(ALLCLASSDATA,MATCH("MartialLimitedLegendary",CLASSFEATUREHEADERS,0),MATCH(($A336 &amp; "Points"),CLASSNAMEHEADERS,0))),(IF("01"=(INDEX(ALLCLASSDATA,MATCH("MartialLimitedMaster",CLASSFEATUREHEADERS,0),MATCH($A336,CLASSNAMEHEADERS,0))),(INDEX(ALLCLASSDATA,MATCH("MartialLimitedMaster",CLASSFEATUREHEADERS,0),MATCH(($A336 &amp; "Points"),CLASSNAMEHEADERS,0))),(IF("01"=(INDEX(ALLCLASSDATA,MATCH("MartialLimitedExpert",CLASSFEATUREHEADERS,0),MATCH($A336,CLASSNAMEHEADERS,0))),(INDEX(ALLCLASSDATA,MATCH("MartialLimitedExpert",CLASSFEATUREHEADERS,0),MATCH(($A336 &amp; "Points"),CLASSNAMEHEADERS,0))),(IF("01"=(INDEX(ALLCLASSDATA,MATCH("MartialLimitedTrained",CLASSFEATUREHEADERS,0),MATCH($A336,CLASSNAMEHEADERS,0))),(INDEX(ALLCLASSDATA,MATCH("MartialLimitedTrained",CLASSFEATUREHEADERS,0),MATCH(($A336 &amp; "Points"),CLASSNAMEHEADERS,0))),"")))))))))}</f>
        <v>MARTIALLIMITEDL01</v>
      </c>
      <c r="I335" s="223"/>
      <c r="J335" s="223" t="str">
        <f t="array" ref="J335:J336">{"MARTIALLIMITEDL03";((IF("03"=(INDEX(ALLCLASSDATA,MATCH("MartialLimitedLegendary",CLASSFEATUREHEADERS,0),MATCH($A336,CLASSNAMEHEADERS,0))),(INDEX(ALLCLASSDATA,MATCH("MartialLimitedLegendary",CLASSFEATUREHEADERS,0),MATCH(($A336 &amp; "Points"),CLASSNAMEHEADERS,0))),(IF("03"=(INDEX(ALLCLASSDATA,MATCH("MartialLimitedMaster",CLASSFEATUREHEADERS,0),MATCH($A336,CLASSNAMEHEADERS,0))),(INDEX(ALLCLASSDATA,MATCH("MartialLimitedMaster",CLASSFEATUREHEADERS,0),MATCH(($A336 &amp; "Points"),CLASSNAMEHEADERS,0))),(IF("03"=(INDEX(ALLCLASSDATA,MATCH("MartialLimitedExpert",CLASSFEATUREHEADERS,0),MATCH($A336,CLASSNAMEHEADERS,0))),(INDEX(ALLCLASSDATA,MATCH("MartialLimitedExpert",CLASSFEATUREHEADERS,0),MATCH(($A336 &amp; "Points"),CLASSNAMEHEADERS,0))),(IF("03"=(INDEX(ALLCLASSDATA,MATCH("MartialLimitedTrained",CLASSFEATUREHEADERS,0),MATCH($A336,CLASSNAMEHEADERS,0))),(INDEX(ALLCLASSDATA,MATCH("MartialLimitedTrained",CLASSFEATUREHEADERS,0),MATCH(($A336 &amp; "Points"),CLASSNAMEHEADERS,0))),"")))))))))}</f>
        <v>MARTIALLIMITEDL03</v>
      </c>
      <c r="K335" s="223"/>
      <c r="L335" s="223" t="str">
        <f t="array" ref="L335:L336">{"MARTIALLIMITEDL05";((IF("05"=(INDEX(ALLCLASSDATA,MATCH("MartialLimitedLegendary",CLASSFEATUREHEADERS,0),MATCH($A336,CLASSNAMEHEADERS,0))),(INDEX(ALLCLASSDATA,MATCH("MartialLimitedLegendary",CLASSFEATUREHEADERS,0),MATCH(($A336 &amp; "Points"),CLASSNAMEHEADERS,0))),(IF("05"=(INDEX(ALLCLASSDATA,MATCH("MartialLimitedMaster",CLASSFEATUREHEADERS,0),MATCH($A336,CLASSNAMEHEADERS,0))),(INDEX(ALLCLASSDATA,MATCH("MartialLimitedMaster",CLASSFEATUREHEADERS,0),MATCH(($A336 &amp; "Points"),CLASSNAMEHEADERS,0))),(IF("05"=(INDEX(ALLCLASSDATA,MATCH("MartialLimitedExpert",CLASSFEATUREHEADERS,0),MATCH($A336,CLASSNAMEHEADERS,0))),(INDEX(ALLCLASSDATA,MATCH("MartialLimitedExpert",CLASSFEATUREHEADERS,0),MATCH(($A336 &amp; "Points"),CLASSNAMEHEADERS,0))),(IF("05"=(INDEX(ALLCLASSDATA,MATCH("MartialLimitedTrained",CLASSFEATUREHEADERS,0),MATCH($A336,CLASSNAMEHEADERS,0))),(INDEX(ALLCLASSDATA,MATCH("MartialLimitedTrained",CLASSFEATUREHEADERS,0),MATCH(($A336 &amp; "Points"),CLASSNAMEHEADERS,0))),"")))))))))}</f>
        <v>MARTIALLIMITEDL05</v>
      </c>
      <c r="M335" s="223"/>
      <c r="N335" s="223" t="str">
        <f t="array" ref="N335:N336">{"MARTIALLIMITEDL07";((IF("07"=(INDEX(ALLCLASSDATA,MATCH("MartialLimitedLegendary",CLASSFEATUREHEADERS,0),MATCH($A336,CLASSNAMEHEADERS,0))),(INDEX(ALLCLASSDATA,MATCH("MartialLimitedLegendary",CLASSFEATUREHEADERS,0),MATCH(($A336 &amp; "Points"),CLASSNAMEHEADERS,0))),(IF("07"=(INDEX(ALLCLASSDATA,MATCH("MartialLimitedMaster",CLASSFEATUREHEADERS,0),MATCH($A336,CLASSNAMEHEADERS,0))),(INDEX(ALLCLASSDATA,MATCH("MartialLimitedMaster",CLASSFEATUREHEADERS,0),MATCH(($A336 &amp; "Points"),CLASSNAMEHEADERS,0))),(IF("07"=(INDEX(ALLCLASSDATA,MATCH("MartialLimitedExpert",CLASSFEATUREHEADERS,0),MATCH($A336,CLASSNAMEHEADERS,0))),(INDEX(ALLCLASSDATA,MATCH("MartialLimitedExpert",CLASSFEATUREHEADERS,0),MATCH(($A336 &amp; "Points"),CLASSNAMEHEADERS,0))),(IF("07"=(INDEX(ALLCLASSDATA,MATCH("MartialLimitedTrained",CLASSFEATUREHEADERS,0),MATCH($A336,CLASSNAMEHEADERS,0))),(INDEX(ALLCLASSDATA,MATCH("MartialLimitedTrained",CLASSFEATUREHEADERS,0),MATCH(($A336 &amp; "Points"),CLASSNAMEHEADERS,0))),"")))))))))}</f>
        <v>MARTIALLIMITEDL07</v>
      </c>
      <c r="O335" s="223"/>
      <c r="P335" s="223" t="str">
        <f t="array" ref="P335:P336">{"MARTIALLIMITEDL09";((IF("09"=(INDEX(ALLCLASSDATA,MATCH("MartialLimitedLegendary",CLASSFEATUREHEADERS,0),MATCH($A336,CLASSNAMEHEADERS,0))),(INDEX(ALLCLASSDATA,MATCH("MartialLimitedLegendary",CLASSFEATUREHEADERS,0),MATCH(($A336 &amp; "Points"),CLASSNAMEHEADERS,0))),(IF("09"=(INDEX(ALLCLASSDATA,MATCH("MartialLimitedMaster",CLASSFEATUREHEADERS,0),MATCH($A336,CLASSNAMEHEADERS,0))),(INDEX(ALLCLASSDATA,MATCH("MartialLimitedMaster",CLASSFEATUREHEADERS,0),MATCH(($A336 &amp; "Points"),CLASSNAMEHEADERS,0))),(IF("09"=(INDEX(ALLCLASSDATA,MATCH("MartialLimitedExpert",CLASSFEATUREHEADERS,0),MATCH($A336,CLASSNAMEHEADERS,0))),(INDEX(ALLCLASSDATA,MATCH("MartialLimitedExpert",CLASSFEATUREHEADERS,0),MATCH(($A336 &amp; "Points"),CLASSNAMEHEADERS,0))),(IF("09"=(INDEX(ALLCLASSDATA,MATCH("MartialLimitedTrained",CLASSFEATUREHEADERS,0),MATCH($A336,CLASSNAMEHEADERS,0))),(INDEX(ALLCLASSDATA,MATCH("MartialLimitedTrained",CLASSFEATUREHEADERS,0),MATCH(($A336 &amp; "Points"),CLASSNAMEHEADERS,0))),"")))))))))}</f>
        <v>MARTIALLIMITEDL09</v>
      </c>
      <c r="Q335" s="223"/>
      <c r="R335" s="223" t="str">
        <f t="array" ref="R335:R336">{"MARTIALLIMITEDL11";((IF("11"=(INDEX(ALLCLASSDATA,MATCH("MartialLimitedLegendary",CLASSFEATUREHEADERS,0),MATCH($A336,CLASSNAMEHEADERS,0))),(INDEX(ALLCLASSDATA,MATCH("MartialLimitedLegendary",CLASSFEATUREHEADERS,0),MATCH(($A336 &amp; "Points"),CLASSNAMEHEADERS,0))),(IF("11"=(INDEX(ALLCLASSDATA,MATCH("MartialLimitedMaster",CLASSFEATUREHEADERS,0),MATCH($A336,CLASSNAMEHEADERS,0))),(INDEX(ALLCLASSDATA,MATCH("MartialLimitedMaster",CLASSFEATUREHEADERS,0),MATCH(($A336 &amp; "Points"),CLASSNAMEHEADERS,0))),(IF("11"=(INDEX(ALLCLASSDATA,MATCH("MartialLimitedExpert",CLASSFEATUREHEADERS,0),MATCH($A336,CLASSNAMEHEADERS,0))),(INDEX(ALLCLASSDATA,MATCH("MartialLimitedExpert",CLASSFEATUREHEADERS,0),MATCH(($A336 &amp; "Points"),CLASSNAMEHEADERS,0))),(IF("11"=(INDEX(ALLCLASSDATA,MATCH("MartialLimitedTrained",CLASSFEATUREHEADERS,0),MATCH($A336,CLASSNAMEHEADERS,0))),(INDEX(ALLCLASSDATA,MATCH("MartialLimitedTrained",CLASSFEATUREHEADERS,0),MATCH(($A336 &amp; "Points"),CLASSNAMEHEADERS,0))),"")))))))))}</f>
        <v>MARTIALLIMITEDL11</v>
      </c>
      <c r="S335" s="223"/>
      <c r="T335" s="223" t="str">
        <f t="array" ref="T335:T336">{"MARTIALLIMITEDL13";((IF("13"=(INDEX(ALLCLASSDATA,MATCH("MartialLimitedLegendary",CLASSFEATUREHEADERS,0),MATCH($A336,CLASSNAMEHEADERS,0))),(INDEX(ALLCLASSDATA,MATCH("MartialLimitedLegendary",CLASSFEATUREHEADERS,0),MATCH(($A336 &amp; "Points"),CLASSNAMEHEADERS,0))),(IF("13"=(INDEX(ALLCLASSDATA,MATCH("MartialLimitedMaster",CLASSFEATUREHEADERS,0),MATCH($A336,CLASSNAMEHEADERS,0))),(INDEX(ALLCLASSDATA,MATCH("MartialLimitedMaster",CLASSFEATUREHEADERS,0),MATCH(($A336 &amp; "Points"),CLASSNAMEHEADERS,0))),(IF("13"=(INDEX(ALLCLASSDATA,MATCH("MartialLimitedExpert",CLASSFEATUREHEADERS,0),MATCH($A336,CLASSNAMEHEADERS,0))),(INDEX(ALLCLASSDATA,MATCH("MartialLimitedExpert",CLASSFEATUREHEADERS,0),MATCH(($A336 &amp; "Points"),CLASSNAMEHEADERS,0))),(IF("13"=(INDEX(ALLCLASSDATA,MATCH("MartialLimitedTrained",CLASSFEATUREHEADERS,0),MATCH($A336,CLASSNAMEHEADERS,0))),(INDEX(ALLCLASSDATA,MATCH("MartialLimitedTrained",CLASSFEATUREHEADERS,0),MATCH(($A336 &amp; "Points"),CLASSNAMEHEADERS,0))),"")))))))))}</f>
        <v>MARTIALLIMITEDL13</v>
      </c>
      <c r="U335" s="223"/>
      <c r="V335" s="223" t="str">
        <f t="array" ref="V335:V336">{"MARTIALLIMITEDL15";((IF("15"=(INDEX(ALLCLASSDATA,MATCH("MartialLimitedLegendary",CLASSFEATUREHEADERS,0),MATCH($A336,CLASSNAMEHEADERS,0))),(INDEX(ALLCLASSDATA,MATCH("MartialLimitedLegendary",CLASSFEATUREHEADERS,0),MATCH(($A336 &amp; "Points"),CLASSNAMEHEADERS,0))),(IF("15"=(INDEX(ALLCLASSDATA,MATCH("MartialLimitedMaster",CLASSFEATUREHEADERS,0),MATCH($A336,CLASSNAMEHEADERS,0))),(INDEX(ALLCLASSDATA,MATCH("MartialLimitedMaster",CLASSFEATUREHEADERS,0),MATCH(($A336 &amp; "Points"),CLASSNAMEHEADERS,0))),(IF("15"=(INDEX(ALLCLASSDATA,MATCH("MartialLimitedExpert",CLASSFEATUREHEADERS,0),MATCH($A336,CLASSNAMEHEADERS,0))),(INDEX(ALLCLASSDATA,MATCH("MartialLimitedExpert",CLASSFEATUREHEADERS,0),MATCH(($A336 &amp; "Points"),CLASSNAMEHEADERS,0))),(IF("15"=(INDEX(ALLCLASSDATA,MATCH("MartialLimitedTrained",CLASSFEATUREHEADERS,0),MATCH($A336,CLASSNAMEHEADERS,0))),(INDEX(ALLCLASSDATA,MATCH("MartialLimitedTrained",CLASSFEATUREHEADERS,0),MATCH(($A336 &amp; "Points"),CLASSNAMEHEADERS,0))),"")))))))))}</f>
        <v>MARTIALLIMITEDL15</v>
      </c>
      <c r="W335" s="223"/>
      <c r="X335" s="223" t="str">
        <f t="array" ref="X335:X336">{"MARTIALLIMITEDL17";((IF("17"=(INDEX(ALLCLASSDATA,MATCH("MartialLimitedLegendary",CLASSFEATUREHEADERS,0),MATCH($A336,CLASSNAMEHEADERS,0))),(INDEX(ALLCLASSDATA,MATCH("MartialLimitedLegendary",CLASSFEATUREHEADERS,0),MATCH(($A336 &amp; "Points"),CLASSNAMEHEADERS,0))),(IF("17"=(INDEX(ALLCLASSDATA,MATCH("MartialLimitedMaster",CLASSFEATUREHEADERS,0),MATCH($A336,CLASSNAMEHEADERS,0))),(INDEX(ALLCLASSDATA,MATCH("MartialLimitedMaster",CLASSFEATUREHEADERS,0),MATCH(($A336 &amp; "Points"),CLASSNAMEHEADERS,0))),(IF("17"=(INDEX(ALLCLASSDATA,MATCH("MartialLimitedExpert",CLASSFEATUREHEADERS,0),MATCH($A336,CLASSNAMEHEADERS,0))),(INDEX(ALLCLASSDATA,MATCH("MartialLimitedExpert",CLASSFEATUREHEADERS,0),MATCH(($A336 &amp; "Points"),CLASSNAMEHEADERS,0))),(IF("17"=(INDEX(ALLCLASSDATA,MATCH("MartialLimitedTrained",CLASSFEATUREHEADERS,0),MATCH($A336,CLASSNAMEHEADERS,0))),(INDEX(ALLCLASSDATA,MATCH("MartialLimitedTrained",CLASSFEATUREHEADERS,0),MATCH(($A336 &amp; "Points"),CLASSNAMEHEADERS,0))),"")))))))))}</f>
        <v>MARTIALLIMITEDL17</v>
      </c>
      <c r="Y335" s="223"/>
      <c r="Z335" s="223" t="str">
        <f t="array" ref="Z335:Z336">{"MARTIALLIMITEDL19";((IF("19"=(INDEX(ALLCLASSDATA,MATCH("MartialLimitedLegendary",CLASSFEATUREHEADERS,0),MATCH($A336,CLASSNAMEHEADERS,0))),(INDEX(ALLCLASSDATA,MATCH("MartialLimitedLegendary",CLASSFEATUREHEADERS,0),MATCH(($A336 &amp; "Points"),CLASSNAMEHEADERS,0))),(IF("19"=(INDEX(ALLCLASSDATA,MATCH("MartialLimitedMaster",CLASSFEATUREHEADERS,0),MATCH($A336,CLASSNAMEHEADERS,0))),(INDEX(ALLCLASSDATA,MATCH("MartialLimitedMaster",CLASSFEATUREHEADERS,0),MATCH(($A336 &amp; "Points"),CLASSNAMEHEADERS,0))),(IF("19"=(INDEX(ALLCLASSDATA,MATCH("MartialLimitedExpert",CLASSFEATUREHEADERS,0),MATCH($A336,CLASSNAMEHEADERS,0))),(INDEX(ALLCLASSDATA,MATCH("MartialLimitedExpert",CLASSFEATUREHEADERS,0),MATCH(($A336 &amp; "Points"),CLASSNAMEHEADERS,0))),(IF("19"=(INDEX(ALLCLASSDATA,MATCH("MartialLimitedTrained",CLASSFEATUREHEADERS,0),MATCH($A336,CLASSNAMEHEADERS,0))),(INDEX(ALLCLASSDATA,MATCH("MartialLimitedTrained",CLASSFEATUREHEADERS,0),MATCH(($A336 &amp; "Points"),CLASSNAMEHEADERS,0))),"")))))))))}</f>
        <v>MARTIALLIMITEDL19</v>
      </c>
      <c r="AA335" s="223"/>
      <c r="AB335" s="76" t="str">
        <f t="array" ref="AB335:AB336">{"MARTIALLIMITED TOTAL";(IF(COUNTBLANK(G336:AA336)=17,"L",(IF(COUNTBLANK(G336:AA336)=18,"M",(IF(COUNTBLANK(G336:AA336)=19,"E",(IF(COUNTBLANK(G336:AA336)=20,"T",""))))))))}</f>
        <v>MARTIALLIMITED TOTAL</v>
      </c>
      <c r="AC335" s="76" t="str">
        <f t="array" ref="AC335:AC336">{"MARTIALLIMITED TOTAL";(sum(G336:AA336))}</f>
        <v>MARTIALLIMITED TOTAL</v>
      </c>
    </row>
    <row r="336">
      <c r="A336" s="48" t="s">
        <v>114</v>
      </c>
      <c r="B336" s="48"/>
      <c r="C336" s="48" t="s">
        <v>412</v>
      </c>
      <c r="D336" s="48" t="s">
        <v>1634</v>
      </c>
      <c r="E336" s="48" t="s">
        <v>600</v>
      </c>
      <c r="F336" s="5" t="s">
        <v>603</v>
      </c>
      <c r="G336" s="47" t="s">
        <v>603</v>
      </c>
      <c r="H336" s="5" t="s">
        <v>603</v>
      </c>
      <c r="I336" s="5"/>
      <c r="J336" s="5" t="s">
        <v>603</v>
      </c>
      <c r="K336" s="5"/>
      <c r="L336" s="5" t="s">
        <v>603</v>
      </c>
      <c r="M336" s="5"/>
      <c r="N336" s="5" t="s">
        <v>603</v>
      </c>
      <c r="O336" s="5"/>
      <c r="P336" s="5" t="s">
        <v>603</v>
      </c>
      <c r="Q336" s="5"/>
      <c r="R336" s="5" t="s">
        <v>603</v>
      </c>
      <c r="S336" s="5"/>
      <c r="T336" s="5" t="s">
        <v>603</v>
      </c>
      <c r="U336" s="5"/>
      <c r="V336" s="5" t="s">
        <v>603</v>
      </c>
      <c r="W336" s="5"/>
      <c r="X336" s="5" t="s">
        <v>603</v>
      </c>
      <c r="Y336" s="5"/>
      <c r="Z336" s="5" t="s">
        <v>603</v>
      </c>
      <c r="AA336" s="5"/>
      <c r="AB336" s="5" t="s">
        <v>603</v>
      </c>
      <c r="AC336" s="47">
        <v>0.0</v>
      </c>
    </row>
    <row r="337" hidden="1">
      <c r="A337" s="222" t="str">
        <f t="array" ref="A337:A338">{"FormulaRow31";(INDEX(CLASSLIST,A276,1))}</f>
        <v>FormulaRow31</v>
      </c>
      <c r="B337" s="77" t="s">
        <v>236</v>
      </c>
      <c r="C337" s="222" t="str">
        <f t="array" ref="C337:C338">{"CLASSTYPE";((INDEX(ALLCLASSDATA,MATCH("ClassType",CLASSFEATUREHEADERS,0),MATCH($A338,CLASSNAMEHEADERS,0))))}</f>
        <v>CLASSTYPE</v>
      </c>
      <c r="D337" s="222" t="str">
        <f t="array" ref="D337:D338">{"ATTACK";"Attack"}</f>
        <v>ATTACK</v>
      </c>
      <c r="E337" s="222" t="str">
        <f t="array" ref="E337:E338">{"MARTIAL";"Martial"}</f>
        <v>MARTIAL</v>
      </c>
      <c r="F337" s="223" t="str">
        <f t="array" ref="F337:F338">{"MARTIALINITIAL";((IF(H338=10,"T",(IF(H338=50,"E","")))))}</f>
        <v>MARTIALINITIAL</v>
      </c>
      <c r="G337" s="223" t="str">
        <f t="array" ref="G337:G338">{"MARTIALINITIALPTS";((IF("00"=(INDEX(ALLCLASSDATA,MATCH("MartialLegendary",CLASSFEATUREHEADERS,0),MATCH($A338,CLASSNAMEHEADERS,0))),(INDEX(ALLCLASSDATA,MATCH("MartialLegendary",CLASSFEATUREHEADERS,0),MATCH(($A338 &amp; "Points"),CLASSNAMEHEADERS,0))),(IF("00"=(INDEX(ALLCLASSDATA,MATCH("MartialMaster",CLASSFEATUREHEADERS,0),MATCH($A338,CLASSNAMEHEADERS,0))),(INDEX(ALLCLASSDATA,MATCH("MartialMaster",CLASSFEATUREHEADERS,0),MATCH(($A338 &amp; "Points"),CLASSNAMEHEADERS,0))),(IF("00"=(INDEX(ALLCLASSDATA,MATCH("MartialExpert",CLASSFEATUREHEADERS,0),MATCH($A338,CLASSNAMEHEADERS,0))),(INDEX(ALLCLASSDATA,MATCH("MartialExpert",CLASSFEATUREHEADERS,0),MATCH(($A338 &amp; "Points"),CLASSNAMEHEADERS,0))),(IF("00"=(INDEX(ALLCLASSDATA,MATCH("MartialTrained",CLASSFEATUREHEADERS,0),MATCH($A338,CLASSNAMEHEADERS,0))),(INDEX(ALLCLASSDATA,MATCH("MartialTrained",CLASSFEATUREHEADERS,0),MATCH(($A338 &amp; "Points"),CLASSNAMEHEADERS,0))),"")))))))))}</f>
        <v>MARTIALINITIALPTS</v>
      </c>
      <c r="H337" s="223" t="str">
        <f t="array" ref="H337:H338">{"MARTIALL01";((IF("01"=(INDEX(ALLCLASSDATA,MATCH("MartialLegendary",CLASSFEATUREHEADERS,0),MATCH($A338,CLASSNAMEHEADERS,0))),(INDEX(ALLCLASSDATA,MATCH("MartialLegendary",CLASSFEATUREHEADERS,0),MATCH(($A338 &amp; "Points"),CLASSNAMEHEADERS,0))),(IF("01"=(INDEX(ALLCLASSDATA,MATCH("MartialMaster",CLASSFEATUREHEADERS,0),MATCH($A338,CLASSNAMEHEADERS,0))),(INDEX(ALLCLASSDATA,MATCH("MartialMaster",CLASSFEATUREHEADERS,0),MATCH(($A338 &amp; "Points"),CLASSNAMEHEADERS,0))),(IF("01"=(INDEX(ALLCLASSDATA,MATCH("MartialExpert",CLASSFEATUREHEADERS,0),MATCH($A338,CLASSNAMEHEADERS,0))),(INDEX(ALLCLASSDATA,MATCH("MartialExpert",CLASSFEATUREHEADERS,0),MATCH(($A338 &amp; "Points"),CLASSNAMEHEADERS,0))),(IF("01"=(INDEX(ALLCLASSDATA,MATCH("MartialTrained",CLASSFEATUREHEADERS,0),MATCH($A338,CLASSNAMEHEADERS,0))),(INDEX(ALLCLASSDATA,MATCH("MartialTrained",CLASSFEATUREHEADERS,0),MATCH(($A338 &amp; "Points"),CLASSNAMEHEADERS,0))),"")))))))))}</f>
        <v>MARTIALL01</v>
      </c>
      <c r="I337" s="223"/>
      <c r="J337" s="223" t="str">
        <f t="array" ref="J337:J338">{"MARTIALL03";((IF("03"=(INDEX(ALLCLASSDATA,MATCH("MartialLegendary",CLASSFEATUREHEADERS,0),MATCH($A338,CLASSNAMEHEADERS,0))),(INDEX(ALLCLASSDATA,MATCH("MartialLegendary",CLASSFEATUREHEADERS,0),MATCH(($A338 &amp; "Points"),CLASSNAMEHEADERS,0))),(IF("03"=(INDEX(ALLCLASSDATA,MATCH("MartialMaster",CLASSFEATUREHEADERS,0),MATCH($A338,CLASSNAMEHEADERS,0))),(INDEX(ALLCLASSDATA,MATCH("MartialMaster",CLASSFEATUREHEADERS,0),MATCH(($A338 &amp; "Points"),CLASSNAMEHEADERS,0))),(IF("03"=(INDEX(ALLCLASSDATA,MATCH("MartialExpert",CLASSFEATUREHEADERS,0),MATCH($A338,CLASSNAMEHEADERS,0))),(INDEX(ALLCLASSDATA,MATCH("MartialExpert",CLASSFEATUREHEADERS,0),MATCH(($A338 &amp; "Points"),CLASSNAMEHEADERS,0))),(IF("03"=(INDEX(ALLCLASSDATA,MATCH("MartialTrained",CLASSFEATUREHEADERS,0),MATCH($A338,CLASSNAMEHEADERS,0))),(INDEX(ALLCLASSDATA,MATCH("MartialTrained",CLASSFEATUREHEADERS,0),MATCH(($A338 &amp; "Points"),CLASSNAMEHEADERS,0))),"")))))))))}</f>
        <v>MARTIALL03</v>
      </c>
      <c r="K337" s="223"/>
      <c r="L337" s="223" t="str">
        <f t="array" ref="L337:L338">{"MARTIALL05";((IF("05"=(INDEX(ALLCLASSDATA,MATCH("MartialLegendary",CLASSFEATUREHEADERS,0),MATCH($A338,CLASSNAMEHEADERS,0))),(INDEX(ALLCLASSDATA,MATCH("MartialLegendary",CLASSFEATUREHEADERS,0),MATCH(($A338 &amp; "Points"),CLASSNAMEHEADERS,0))),(IF("05"=(INDEX(ALLCLASSDATA,MATCH("MartialMaster",CLASSFEATUREHEADERS,0),MATCH($A338,CLASSNAMEHEADERS,0))),(INDEX(ALLCLASSDATA,MATCH("MartialMaster",CLASSFEATUREHEADERS,0),MATCH(($A338 &amp; "Points"),CLASSNAMEHEADERS,0))),(IF("05"=(INDEX(ALLCLASSDATA,MATCH("MartialExpert",CLASSFEATUREHEADERS,0),MATCH($A338,CLASSNAMEHEADERS,0))),(INDEX(ALLCLASSDATA,MATCH("MartialExpert",CLASSFEATUREHEADERS,0),MATCH(($A338 &amp; "Points"),CLASSNAMEHEADERS,0))),(IF("05"=(INDEX(ALLCLASSDATA,MATCH("MartialTrained",CLASSFEATUREHEADERS,0),MATCH($A338,CLASSNAMEHEADERS,0))),(INDEX(ALLCLASSDATA,MATCH("MartialTrained",CLASSFEATUREHEADERS,0),MATCH(($A338 &amp; "Points"),CLASSNAMEHEADERS,0))),"")))))))))}</f>
        <v>MARTIALL05</v>
      </c>
      <c r="M337" s="223"/>
      <c r="N337" s="223" t="str">
        <f t="array" ref="N337:N338">{"MARTIALL07";((IF("07"=(INDEX(ALLCLASSDATA,MATCH("MartialLegendary",CLASSFEATUREHEADERS,0),MATCH($A338,CLASSNAMEHEADERS,0))),(INDEX(ALLCLASSDATA,MATCH("MartialLegendary",CLASSFEATUREHEADERS,0),MATCH(($A338 &amp; "Points"),CLASSNAMEHEADERS,0))),(IF("07"=(INDEX(ALLCLASSDATA,MATCH("MartialMaster",CLASSFEATUREHEADERS,0),MATCH($A338,CLASSNAMEHEADERS,0))),(INDEX(ALLCLASSDATA,MATCH("MartialMaster",CLASSFEATUREHEADERS,0),MATCH(($A338 &amp; "Points"),CLASSNAMEHEADERS,0))),(IF("07"=(INDEX(ALLCLASSDATA,MATCH("MartialExpert",CLASSFEATUREHEADERS,0),MATCH($A338,CLASSNAMEHEADERS,0))),(INDEX(ALLCLASSDATA,MATCH("MartialExpert",CLASSFEATUREHEADERS,0),MATCH(($A338 &amp; "Points"),CLASSNAMEHEADERS,0))),(IF("07"=(INDEX(ALLCLASSDATA,MATCH("MartialTrained",CLASSFEATUREHEADERS,0),MATCH($A338,CLASSNAMEHEADERS,0))),(INDEX(ALLCLASSDATA,MATCH("MartialTrained",CLASSFEATUREHEADERS,0),MATCH(($A338 &amp; "Points"),CLASSNAMEHEADERS,0))),"")))))))))}</f>
        <v>MARTIALL07</v>
      </c>
      <c r="O337" s="223"/>
      <c r="P337" s="223" t="str">
        <f t="array" ref="P337:P338">{"MARTIALL09";((IF("09"=(INDEX(ALLCLASSDATA,MATCH("MartialLegendary",CLASSFEATUREHEADERS,0),MATCH($A338,CLASSNAMEHEADERS,0))),(INDEX(ALLCLASSDATA,MATCH("MartialLegendary",CLASSFEATUREHEADERS,0),MATCH(($A338 &amp; "Points"),CLASSNAMEHEADERS,0))),(IF("09"=(INDEX(ALLCLASSDATA,MATCH("MartialMaster",CLASSFEATUREHEADERS,0),MATCH($A338,CLASSNAMEHEADERS,0))),(INDEX(ALLCLASSDATA,MATCH("MartialMaster",CLASSFEATUREHEADERS,0),MATCH(($A338 &amp; "Points"),CLASSNAMEHEADERS,0))),(IF("09"=(INDEX(ALLCLASSDATA,MATCH("MartialExpert",CLASSFEATUREHEADERS,0),MATCH($A338,CLASSNAMEHEADERS,0))),(INDEX(ALLCLASSDATA,MATCH("MartialExpert",CLASSFEATUREHEADERS,0),MATCH(($A338 &amp; "Points"),CLASSNAMEHEADERS,0))),(IF("09"=(INDEX(ALLCLASSDATA,MATCH("MartialTrained",CLASSFEATUREHEADERS,0),MATCH($A338,CLASSNAMEHEADERS,0))),(INDEX(ALLCLASSDATA,MATCH("MartialTrained",CLASSFEATUREHEADERS,0),MATCH(($A338 &amp; "Points"),CLASSNAMEHEADERS,0))),"")))))))))}</f>
        <v>MARTIALL09</v>
      </c>
      <c r="Q337" s="223"/>
      <c r="R337" s="223" t="str">
        <f t="array" ref="R337:R338">{"MARTIALL11";((IF("11"=(INDEX(ALLCLASSDATA,MATCH("MartialLegendary",CLASSFEATUREHEADERS,0),MATCH($A338,CLASSNAMEHEADERS,0))),(INDEX(ALLCLASSDATA,MATCH("MartialLegendary",CLASSFEATUREHEADERS,0),MATCH(($A338 &amp; "Points"),CLASSNAMEHEADERS,0))),(IF("11"=(INDEX(ALLCLASSDATA,MATCH("MartialMaster",CLASSFEATUREHEADERS,0),MATCH($A338,CLASSNAMEHEADERS,0))),(INDEX(ALLCLASSDATA,MATCH("MartialMaster",CLASSFEATUREHEADERS,0),MATCH(($A338 &amp; "Points"),CLASSNAMEHEADERS,0))),(IF("11"=(INDEX(ALLCLASSDATA,MATCH("MartialExpert",CLASSFEATUREHEADERS,0),MATCH($A338,CLASSNAMEHEADERS,0))),(INDEX(ALLCLASSDATA,MATCH("MartialExpert",CLASSFEATUREHEADERS,0),MATCH(($A338 &amp; "Points"),CLASSNAMEHEADERS,0))),(IF("11"=(INDEX(ALLCLASSDATA,MATCH("MartialTrained",CLASSFEATUREHEADERS,0),MATCH($A338,CLASSNAMEHEADERS,0))),(INDEX(ALLCLASSDATA,MATCH("MartialTrained",CLASSFEATUREHEADERS,0),MATCH(($A338 &amp; "Points"),CLASSNAMEHEADERS,0))),"")))))))))}</f>
        <v>MARTIALL11</v>
      </c>
      <c r="S337" s="223"/>
      <c r="T337" s="223" t="str">
        <f t="array" ref="T337:T338">{"MARTIALL13";((IF("13"=(INDEX(ALLCLASSDATA,MATCH("MartialLegendary",CLASSFEATUREHEADERS,0),MATCH($A338,CLASSNAMEHEADERS,0))),(INDEX(ALLCLASSDATA,MATCH("MartialLegendary",CLASSFEATUREHEADERS,0),MATCH(($A338 &amp; "Points"),CLASSNAMEHEADERS,0))),(IF("13"=(INDEX(ALLCLASSDATA,MATCH("MartialMaster",CLASSFEATUREHEADERS,0),MATCH($A338,CLASSNAMEHEADERS,0))),(INDEX(ALLCLASSDATA,MATCH("MartialMaster",CLASSFEATUREHEADERS,0),MATCH(($A338 &amp; "Points"),CLASSNAMEHEADERS,0))),(IF("13"=(INDEX(ALLCLASSDATA,MATCH("MartialExpert",CLASSFEATUREHEADERS,0),MATCH($A338,CLASSNAMEHEADERS,0))),(INDEX(ALLCLASSDATA,MATCH("MartialExpert",CLASSFEATUREHEADERS,0),MATCH(($A338 &amp; "Points"),CLASSNAMEHEADERS,0))),(IF("13"=(INDEX(ALLCLASSDATA,MATCH("MartialTrained",CLASSFEATUREHEADERS,0),MATCH($A338,CLASSNAMEHEADERS,0))),(INDEX(ALLCLASSDATA,MATCH("MartialTrained",CLASSFEATUREHEADERS,0),MATCH(($A338 &amp; "Points"),CLASSNAMEHEADERS,0))),"")))))))))}</f>
        <v>MARTIALL13</v>
      </c>
      <c r="U337" s="223"/>
      <c r="V337" s="223" t="str">
        <f t="array" ref="V337:V338">{"MARTIALL15";((IF("15"=(INDEX(ALLCLASSDATA,MATCH("MartialLegendary",CLASSFEATUREHEADERS,0),MATCH($A338,CLASSNAMEHEADERS,0))),(INDEX(ALLCLASSDATA,MATCH("MartialLegendary",CLASSFEATUREHEADERS,0),MATCH(($A338 &amp; "Points"),CLASSNAMEHEADERS,0))),(IF("15"=(INDEX(ALLCLASSDATA,MATCH("MartialMaster",CLASSFEATUREHEADERS,0),MATCH($A338,CLASSNAMEHEADERS,0))),(INDEX(ALLCLASSDATA,MATCH("MartialMaster",CLASSFEATUREHEADERS,0),MATCH(($A338 &amp; "Points"),CLASSNAMEHEADERS,0))),(IF("15"=(INDEX(ALLCLASSDATA,MATCH("MartialExpert",CLASSFEATUREHEADERS,0),MATCH($A338,CLASSNAMEHEADERS,0))),(INDEX(ALLCLASSDATA,MATCH("MartialExpert",CLASSFEATUREHEADERS,0),MATCH(($A338 &amp; "Points"),CLASSNAMEHEADERS,0))),(IF("15"=(INDEX(ALLCLASSDATA,MATCH("MartialTrained",CLASSFEATUREHEADERS,0),MATCH($A338,CLASSNAMEHEADERS,0))),(INDEX(ALLCLASSDATA,MATCH("MartialTrained",CLASSFEATUREHEADERS,0),MATCH(($A338 &amp; "Points"),CLASSNAMEHEADERS,0))),"")))))))))}</f>
        <v>MARTIALL15</v>
      </c>
      <c r="W337" s="223"/>
      <c r="X337" s="223" t="str">
        <f t="array" ref="X337:X338">{"MARTIALL17";((IF("17"=(INDEX(ALLCLASSDATA,MATCH("MartialLegendary",CLASSFEATUREHEADERS,0),MATCH($A338,CLASSNAMEHEADERS,0))),(INDEX(ALLCLASSDATA,MATCH("MartialLegendary",CLASSFEATUREHEADERS,0),MATCH(($A338 &amp; "Points"),CLASSNAMEHEADERS,0))),(IF("17"=(INDEX(ALLCLASSDATA,MATCH("MartialMaster",CLASSFEATUREHEADERS,0),MATCH($A338,CLASSNAMEHEADERS,0))),(INDEX(ALLCLASSDATA,MATCH("MartialMaster",CLASSFEATUREHEADERS,0),MATCH(($A338 &amp; "Points"),CLASSNAMEHEADERS,0))),(IF("17"=(INDEX(ALLCLASSDATA,MATCH("MartialExpert",CLASSFEATUREHEADERS,0),MATCH($A338,CLASSNAMEHEADERS,0))),(INDEX(ALLCLASSDATA,MATCH("MartialExpert",CLASSFEATUREHEADERS,0),MATCH(($A338 &amp; "Points"),CLASSNAMEHEADERS,0))),(IF("17"=(INDEX(ALLCLASSDATA,MATCH("MartialTrained",CLASSFEATUREHEADERS,0),MATCH($A338,CLASSNAMEHEADERS,0))),(INDEX(ALLCLASSDATA,MATCH("MartialTrained",CLASSFEATUREHEADERS,0),MATCH(($A338 &amp; "Points"),CLASSNAMEHEADERS,0))),"")))))))))}</f>
        <v>MARTIALL17</v>
      </c>
      <c r="Y337" s="223"/>
      <c r="Z337" s="223" t="str">
        <f t="array" ref="Z337:Z338">{"MARTIALL19";((IF("19"=(INDEX(ALLCLASSDATA,MATCH("MartialLegendary",CLASSFEATUREHEADERS,0),MATCH($A338,CLASSNAMEHEADERS,0))),(INDEX(ALLCLASSDATA,MATCH("MartialLegendary",CLASSFEATUREHEADERS,0),MATCH(($A338 &amp; "Points"),CLASSNAMEHEADERS,0))),(IF("19"=(INDEX(ALLCLASSDATA,MATCH("MartialMaster",CLASSFEATUREHEADERS,0),MATCH($A338,CLASSNAMEHEADERS,0))),(INDEX(ALLCLASSDATA,MATCH("MartialMaster",CLASSFEATUREHEADERS,0),MATCH(($A338 &amp; "Points"),CLASSNAMEHEADERS,0))),(IF("19"=(INDEX(ALLCLASSDATA,MATCH("MartialExpert",CLASSFEATUREHEADERS,0),MATCH($A338,CLASSNAMEHEADERS,0))),(INDEX(ALLCLASSDATA,MATCH("MartialExpert",CLASSFEATUREHEADERS,0),MATCH(($A338 &amp; "Points"),CLASSNAMEHEADERS,0))),(IF("19"=(INDEX(ALLCLASSDATA,MATCH("MartialTrained",CLASSFEATUREHEADERS,0),MATCH($A338,CLASSNAMEHEADERS,0))),(INDEX(ALLCLASSDATA,MATCH("MartialTrained",CLASSFEATUREHEADERS,0),MATCH(($A338 &amp; "Points"),CLASSNAMEHEADERS,0))),"")))))))))}</f>
        <v>MARTIALL19</v>
      </c>
      <c r="AA337" s="223"/>
      <c r="AB337" s="76" t="str">
        <f t="array" ref="AB337:AB338">{"MARTIAL TOTAL";(IF(COUNTBLANK(G338:AA338)=17,"L",(IF(COUNTBLANK(G338:AA338)=18,"M",(IF(COUNTBLANK(G338:AA338)=19,"E",(IF(COUNTBLANK(G338:AA338)=20,"T",""))))))))}</f>
        <v>MARTIAL TOTAL</v>
      </c>
      <c r="AC337" s="76" t="str">
        <f t="array" ref="AC337:AC338">{"MARTIAL TOTAL";(sum(G338:AA338))}</f>
        <v>MARTIAL TOTAL</v>
      </c>
    </row>
    <row r="338">
      <c r="A338" s="48" t="s">
        <v>114</v>
      </c>
      <c r="B338" s="48"/>
      <c r="C338" s="48" t="s">
        <v>412</v>
      </c>
      <c r="D338" s="48" t="s">
        <v>1634</v>
      </c>
      <c r="E338" s="48" t="s">
        <v>6</v>
      </c>
      <c r="F338" s="5" t="s">
        <v>435</v>
      </c>
      <c r="G338" s="47" t="s">
        <v>603</v>
      </c>
      <c r="H338" s="5">
        <v>10.0</v>
      </c>
      <c r="I338" s="5"/>
      <c r="J338" s="5" t="s">
        <v>603</v>
      </c>
      <c r="K338" s="5"/>
      <c r="L338" s="5">
        <v>50.0</v>
      </c>
      <c r="M338" s="5"/>
      <c r="N338" s="5" t="s">
        <v>603</v>
      </c>
      <c r="O338" s="5"/>
      <c r="P338" s="5" t="s">
        <v>603</v>
      </c>
      <c r="Q338" s="48"/>
      <c r="R338" s="5" t="s">
        <v>603</v>
      </c>
      <c r="S338" s="5"/>
      <c r="T338" s="5">
        <v>110.0</v>
      </c>
      <c r="U338" s="5"/>
      <c r="V338" s="5" t="s">
        <v>603</v>
      </c>
      <c r="W338" s="5"/>
      <c r="X338" s="5" t="s">
        <v>603</v>
      </c>
      <c r="Y338" s="5"/>
      <c r="Z338" s="5" t="s">
        <v>603</v>
      </c>
      <c r="AA338" s="5"/>
      <c r="AB338" s="5" t="s">
        <v>437</v>
      </c>
      <c r="AC338" s="47">
        <v>170.0</v>
      </c>
    </row>
    <row r="339" hidden="1">
      <c r="A339" s="222" t="str">
        <f t="array" ref="A339:A340">{"FormulaRow32";(INDEX(CLASSLIST,A276,1))}</f>
        <v>FormulaRow32</v>
      </c>
      <c r="B339" s="77" t="s">
        <v>236</v>
      </c>
      <c r="C339" s="222" t="str">
        <f t="array" ref="C339:C340">{"CLASSTYPE";((INDEX(ALLCLASSDATA,MATCH("ClassType",CLASSFEATUREHEADERS,0),MATCH($A340,CLASSNAMEHEADERS,0))))}</f>
        <v>CLASSTYPE</v>
      </c>
      <c r="D339" s="222" t="str">
        <f t="array" ref="D339:D340">{"ATTACK";"Attack"}</f>
        <v>ATTACK</v>
      </c>
      <c r="E339" s="222" t="str">
        <f t="array" ref="E339:E340">{"ADVANCEDGROUP";"AdvancedGroup"}</f>
        <v>ADVANCEDGROUP</v>
      </c>
      <c r="F339" s="223" t="str">
        <f t="array" ref="F339:F340">{"ADVANCEDGROUPINITIAL";((IF(H340=10,"T",(IF(H340=50,"E","")))))}</f>
        <v>ADVANCEDGROUPINITIAL</v>
      </c>
      <c r="G339" s="223" t="str">
        <f t="array" ref="G339:G340">{"ADVANCEDGROUPINITIALPTS";((IF("00"=(INDEX(ALLCLASSDATA,MATCH("AdvancedGroupLegendary",CLASSFEATUREHEADERS,0),MATCH($A340,CLASSNAMEHEADERS,0))),(INDEX(ALLCLASSDATA,MATCH("AdvancedGroupLegendary",CLASSFEATUREHEADERS,0),MATCH(($A340 &amp; "Points"),CLASSNAMEHEADERS,0))),(IF("00"=(INDEX(ALLCLASSDATA,MATCH("AdvancedGroupMaster",CLASSFEATUREHEADERS,0),MATCH($A340,CLASSNAMEHEADERS,0))),(INDEX(ALLCLASSDATA,MATCH("AdvancedGroupMaster",CLASSFEATUREHEADERS,0),MATCH(($A340 &amp; "Points"),CLASSNAMEHEADERS,0))),(IF("00"=(INDEX(ALLCLASSDATA,MATCH("AdvancedGroupExpert",CLASSFEATUREHEADERS,0),MATCH($A340,CLASSNAMEHEADERS,0))),(INDEX(ALLCLASSDATA,MATCH("AdvancedGroupExpert",CLASSFEATUREHEADERS,0),MATCH(($A340 &amp; "Points"),CLASSNAMEHEADERS,0))),(IF("00"=(INDEX(ALLCLASSDATA,MATCH("AdvancedGroupTrained",CLASSFEATUREHEADERS,0),MATCH($A340,CLASSNAMEHEADERS,0))),(INDEX(ALLCLASSDATA,MATCH("AdvancedGroupTrained",CLASSFEATUREHEADERS,0),MATCH(($A340 &amp; "Points"),CLASSNAMEHEADERS,0))),"")))))))))}</f>
        <v>ADVANCEDGROUPINITIALPTS</v>
      </c>
      <c r="H339" s="223" t="str">
        <f t="array" ref="H339:H340">{"ADVANCEDGROUPL01";((IF("01"=(INDEX(ALLCLASSDATA,MATCH("AdvancedGroupLegendary",CLASSFEATUREHEADERS,0),MATCH($A340,CLASSNAMEHEADERS,0))),(INDEX(ALLCLASSDATA,MATCH("AdvancedGroupLegendary",CLASSFEATUREHEADERS,0),MATCH(($A340 &amp; "Points"),CLASSNAMEHEADERS,0))),(IF("01"=(INDEX(ALLCLASSDATA,MATCH("AdvancedGroupMaster",CLASSFEATUREHEADERS,0),MATCH($A340,CLASSNAMEHEADERS,0))),(INDEX(ALLCLASSDATA,MATCH("AdvancedGroupMaster",CLASSFEATUREHEADERS,0),MATCH(($A340 &amp; "Points"),CLASSNAMEHEADERS,0))),(IF("01"=(INDEX(ALLCLASSDATA,MATCH("AdvancedGroupExpert",CLASSFEATUREHEADERS,0),MATCH($A340,CLASSNAMEHEADERS,0))),(INDEX(ALLCLASSDATA,MATCH("AdvancedGroupExpert",CLASSFEATUREHEADERS,0),MATCH(($A340 &amp; "Points"),CLASSNAMEHEADERS,0))),(IF("01"=(INDEX(ALLCLASSDATA,MATCH("AdvancedGroupTrained",CLASSFEATUREHEADERS,0),MATCH($A340,CLASSNAMEHEADERS,0))),(INDEX(ALLCLASSDATA,MATCH("AdvancedGroupTrained",CLASSFEATUREHEADERS,0),MATCH(($A340 &amp; "Points"),CLASSNAMEHEADERS,0))),"")))))))))}</f>
        <v>ADVANCEDGROUPL01</v>
      </c>
      <c r="I339" s="223"/>
      <c r="J339" s="223" t="str">
        <f t="array" ref="J339:J340">{"ADVANCEDGROUPL03";((IF("03"=(INDEX(ALLCLASSDATA,MATCH("AdvancedGroupLegendary",CLASSFEATUREHEADERS,0),MATCH($A340,CLASSNAMEHEADERS,0))),(INDEX(ALLCLASSDATA,MATCH("AdvancedGroupLegendary",CLASSFEATUREHEADERS,0),MATCH(($A340 &amp; "Points"),CLASSNAMEHEADERS,0))),(IF("03"=(INDEX(ALLCLASSDATA,MATCH("AdvancedGroupMaster",CLASSFEATUREHEADERS,0),MATCH($A340,CLASSNAMEHEADERS,0))),(INDEX(ALLCLASSDATA,MATCH("AdvancedGroupMaster",CLASSFEATUREHEADERS,0),MATCH(($A340 &amp; "Points"),CLASSNAMEHEADERS,0))),(IF("03"=(INDEX(ALLCLASSDATA,MATCH("AdvancedGroupExpert",CLASSFEATUREHEADERS,0),MATCH($A340,CLASSNAMEHEADERS,0))),(INDEX(ALLCLASSDATA,MATCH("AdvancedGroupExpert",CLASSFEATUREHEADERS,0),MATCH(($A340 &amp; "Points"),CLASSNAMEHEADERS,0))),(IF("03"=(INDEX(ALLCLASSDATA,MATCH("AdvancedGroupTrained",CLASSFEATUREHEADERS,0),MATCH($A340,CLASSNAMEHEADERS,0))),(INDEX(ALLCLASSDATA,MATCH("AdvancedGroupTrained",CLASSFEATUREHEADERS,0),MATCH(($A340 &amp; "Points"),CLASSNAMEHEADERS,0))),"")))))))))}</f>
        <v>ADVANCEDGROUPL03</v>
      </c>
      <c r="K339" s="223"/>
      <c r="L339" s="223" t="str">
        <f t="array" ref="L339:L340">{"ADVANCEDGROUPL05";((IF("05"=(INDEX(ALLCLASSDATA,MATCH("AdvancedGroupLegendary",CLASSFEATUREHEADERS,0),MATCH($A340,CLASSNAMEHEADERS,0))),(INDEX(ALLCLASSDATA,MATCH("AdvancedGroupLegendary",CLASSFEATUREHEADERS,0),MATCH(($A340 &amp; "Points"),CLASSNAMEHEADERS,0))),(IF("05"=(INDEX(ALLCLASSDATA,MATCH("AdvancedGroupMaster",CLASSFEATUREHEADERS,0),MATCH($A340,CLASSNAMEHEADERS,0))),(INDEX(ALLCLASSDATA,MATCH("AdvancedGroupMaster",CLASSFEATUREHEADERS,0),MATCH(($A340 &amp; "Points"),CLASSNAMEHEADERS,0))),(IF("05"=(INDEX(ALLCLASSDATA,MATCH("AdvancedGroupExpert",CLASSFEATUREHEADERS,0),MATCH($A340,CLASSNAMEHEADERS,0))),(INDEX(ALLCLASSDATA,MATCH("AdvancedGroupExpert",CLASSFEATUREHEADERS,0),MATCH(($A340 &amp; "Points"),CLASSNAMEHEADERS,0))),(IF("05"=(INDEX(ALLCLASSDATA,MATCH("AdvancedGroupTrained",CLASSFEATUREHEADERS,0),MATCH($A340,CLASSNAMEHEADERS,0))),(INDEX(ALLCLASSDATA,MATCH("AdvancedGroupTrained",CLASSFEATUREHEADERS,0),MATCH(($A340 &amp; "Points"),CLASSNAMEHEADERS,0))),"")))))))))}</f>
        <v>ADVANCEDGROUPL05</v>
      </c>
      <c r="M339" s="223"/>
      <c r="N339" s="223" t="str">
        <f t="array" ref="N339:N340">{"ADVANCEDGROUPL07";((IF("07"=(INDEX(ALLCLASSDATA,MATCH("AdvancedGroupLegendary",CLASSFEATUREHEADERS,0),MATCH($A340,CLASSNAMEHEADERS,0))),(INDEX(ALLCLASSDATA,MATCH("AdvancedGroupLegendary",CLASSFEATUREHEADERS,0),MATCH(($A340 &amp; "Points"),CLASSNAMEHEADERS,0))),(IF("07"=(INDEX(ALLCLASSDATA,MATCH("AdvancedGroupMaster",CLASSFEATUREHEADERS,0),MATCH($A340,CLASSNAMEHEADERS,0))),(INDEX(ALLCLASSDATA,MATCH("AdvancedGroupMaster",CLASSFEATUREHEADERS,0),MATCH(($A340 &amp; "Points"),CLASSNAMEHEADERS,0))),(IF("07"=(INDEX(ALLCLASSDATA,MATCH("AdvancedGroupExpert",CLASSFEATUREHEADERS,0),MATCH($A340,CLASSNAMEHEADERS,0))),(INDEX(ALLCLASSDATA,MATCH("AdvancedGroupExpert",CLASSFEATUREHEADERS,0),MATCH(($A340 &amp; "Points"),CLASSNAMEHEADERS,0))),(IF("07"=(INDEX(ALLCLASSDATA,MATCH("AdvancedGroupTrained",CLASSFEATUREHEADERS,0),MATCH($A340,CLASSNAMEHEADERS,0))),(INDEX(ALLCLASSDATA,MATCH("AdvancedGroupTrained",CLASSFEATUREHEADERS,0),MATCH(($A340 &amp; "Points"),CLASSNAMEHEADERS,0))),"")))))))))}</f>
        <v>ADVANCEDGROUPL07</v>
      </c>
      <c r="O339" s="223"/>
      <c r="P339" s="223" t="str">
        <f t="array" ref="P339:P340">{"ADVANCEDGROUPL09";((IF("09"=(INDEX(ALLCLASSDATA,MATCH("AdvancedGroupLegendary",CLASSFEATUREHEADERS,0),MATCH($A340,CLASSNAMEHEADERS,0))),(INDEX(ALLCLASSDATA,MATCH("AdvancedGroupLegendary",CLASSFEATUREHEADERS,0),MATCH(($A340 &amp; "Points"),CLASSNAMEHEADERS,0))),(IF("09"=(INDEX(ALLCLASSDATA,MATCH("AdvancedGroupMaster",CLASSFEATUREHEADERS,0),MATCH($A340,CLASSNAMEHEADERS,0))),(INDEX(ALLCLASSDATA,MATCH("AdvancedGroupMaster",CLASSFEATUREHEADERS,0),MATCH(($A340 &amp; "Points"),CLASSNAMEHEADERS,0))),(IF("09"=(INDEX(ALLCLASSDATA,MATCH("AdvancedGroupExpert",CLASSFEATUREHEADERS,0),MATCH($A340,CLASSNAMEHEADERS,0))),(INDEX(ALLCLASSDATA,MATCH("AdvancedGroupExpert",CLASSFEATUREHEADERS,0),MATCH(($A340 &amp; "Points"),CLASSNAMEHEADERS,0))),(IF("09"=(INDEX(ALLCLASSDATA,MATCH("AdvancedGroupTrained",CLASSFEATUREHEADERS,0),MATCH($A340,CLASSNAMEHEADERS,0))),(INDEX(ALLCLASSDATA,MATCH("AdvancedGroupTrained",CLASSFEATUREHEADERS,0),MATCH(($A340 &amp; "Points"),CLASSNAMEHEADERS,0))),"")))))))))}</f>
        <v>ADVANCEDGROUPL09</v>
      </c>
      <c r="Q339" s="223"/>
      <c r="R339" s="223" t="str">
        <f t="array" ref="R339:R340">{"ADVANCEDGROUPL11";((IF("11"=(INDEX(ALLCLASSDATA,MATCH("AdvancedGroupLegendary",CLASSFEATUREHEADERS,0),MATCH($A340,CLASSNAMEHEADERS,0))),(INDEX(ALLCLASSDATA,MATCH("AdvancedGroupLegendary",CLASSFEATUREHEADERS,0),MATCH(($A340 &amp; "Points"),CLASSNAMEHEADERS,0))),(IF("11"=(INDEX(ALLCLASSDATA,MATCH("AdvancedGroupMaster",CLASSFEATUREHEADERS,0),MATCH($A340,CLASSNAMEHEADERS,0))),(INDEX(ALLCLASSDATA,MATCH("AdvancedGroupMaster",CLASSFEATUREHEADERS,0),MATCH(($A340 &amp; "Points"),CLASSNAMEHEADERS,0))),(IF("11"=(INDEX(ALLCLASSDATA,MATCH("AdvancedGroupExpert",CLASSFEATUREHEADERS,0),MATCH($A340,CLASSNAMEHEADERS,0))),(INDEX(ALLCLASSDATA,MATCH("AdvancedGroupExpert",CLASSFEATUREHEADERS,0),MATCH(($A340 &amp; "Points"),CLASSNAMEHEADERS,0))),(IF("11"=(INDEX(ALLCLASSDATA,MATCH("AdvancedGroupTrained",CLASSFEATUREHEADERS,0),MATCH($A340,CLASSNAMEHEADERS,0))),(INDEX(ALLCLASSDATA,MATCH("AdvancedGroupTrained",CLASSFEATUREHEADERS,0),MATCH(($A340 &amp; "Points"),CLASSNAMEHEADERS,0))),"")))))))))}</f>
        <v>ADVANCEDGROUPL11</v>
      </c>
      <c r="S339" s="223"/>
      <c r="T339" s="223" t="str">
        <f t="array" ref="T339:T340">{"ADVANCEDGROUPL13";((IF("13"=(INDEX(ALLCLASSDATA,MATCH("AdvancedGroupLegendary",CLASSFEATUREHEADERS,0),MATCH($A340,CLASSNAMEHEADERS,0))),(INDEX(ALLCLASSDATA,MATCH("AdvancedGroupLegendary",CLASSFEATUREHEADERS,0),MATCH(($A340 &amp; "Points"),CLASSNAMEHEADERS,0))),(IF("13"=(INDEX(ALLCLASSDATA,MATCH("AdvancedGroupMaster",CLASSFEATUREHEADERS,0),MATCH($A340,CLASSNAMEHEADERS,0))),(INDEX(ALLCLASSDATA,MATCH("AdvancedGroupMaster",CLASSFEATUREHEADERS,0),MATCH(($A340 &amp; "Points"),CLASSNAMEHEADERS,0))),(IF("13"=(INDEX(ALLCLASSDATA,MATCH("AdvancedGroupExpert",CLASSFEATUREHEADERS,0),MATCH($A340,CLASSNAMEHEADERS,0))),(INDEX(ALLCLASSDATA,MATCH("AdvancedGroupExpert",CLASSFEATUREHEADERS,0),MATCH(($A340 &amp; "Points"),CLASSNAMEHEADERS,0))),(IF("13"=(INDEX(ALLCLASSDATA,MATCH("AdvancedGroupTrained",CLASSFEATUREHEADERS,0),MATCH($A340,CLASSNAMEHEADERS,0))),(INDEX(ALLCLASSDATA,MATCH("AdvancedGroupTrained",CLASSFEATUREHEADERS,0),MATCH(($A340 &amp; "Points"),CLASSNAMEHEADERS,0))),"")))))))))}</f>
        <v>ADVANCEDGROUPL13</v>
      </c>
      <c r="U339" s="223"/>
      <c r="V339" s="223" t="str">
        <f t="array" ref="V339:V340">{"ADVANCEDGROUPL15";((IF("15"=(INDEX(ALLCLASSDATA,MATCH("AdvancedGroupLegendary",CLASSFEATUREHEADERS,0),MATCH($A340,CLASSNAMEHEADERS,0))),(INDEX(ALLCLASSDATA,MATCH("AdvancedGroupLegendary",CLASSFEATUREHEADERS,0),MATCH(($A340 &amp; "Points"),CLASSNAMEHEADERS,0))),(IF("15"=(INDEX(ALLCLASSDATA,MATCH("AdvancedGroupMaster",CLASSFEATUREHEADERS,0),MATCH($A340,CLASSNAMEHEADERS,0))),(INDEX(ALLCLASSDATA,MATCH("AdvancedGroupMaster",CLASSFEATUREHEADERS,0),MATCH(($A340 &amp; "Points"),CLASSNAMEHEADERS,0))),(IF("15"=(INDEX(ALLCLASSDATA,MATCH("AdvancedGroupExpert",CLASSFEATUREHEADERS,0),MATCH($A340,CLASSNAMEHEADERS,0))),(INDEX(ALLCLASSDATA,MATCH("AdvancedGroupExpert",CLASSFEATUREHEADERS,0),MATCH(($A340 &amp; "Points"),CLASSNAMEHEADERS,0))),(IF("15"=(INDEX(ALLCLASSDATA,MATCH("AdvancedGroupTrained",CLASSFEATUREHEADERS,0),MATCH($A340,CLASSNAMEHEADERS,0))),(INDEX(ALLCLASSDATA,MATCH("AdvancedGroupTrained",CLASSFEATUREHEADERS,0),MATCH(($A340 &amp; "Points"),CLASSNAMEHEADERS,0))),"")))))))))}</f>
        <v>ADVANCEDGROUPL15</v>
      </c>
      <c r="W339" s="223"/>
      <c r="X339" s="223" t="str">
        <f t="array" ref="X339:X340">{"ADVANCEDGROUPL17";((IF("17"=(INDEX(ALLCLASSDATA,MATCH("AdvancedGroupLegendary",CLASSFEATUREHEADERS,0),MATCH($A340,CLASSNAMEHEADERS,0))),(INDEX(ALLCLASSDATA,MATCH("AdvancedGroupLegendary",CLASSFEATUREHEADERS,0),MATCH(($A340 &amp; "Points"),CLASSNAMEHEADERS,0))),(IF("17"=(INDEX(ALLCLASSDATA,MATCH("AdvancedGroupMaster",CLASSFEATUREHEADERS,0),MATCH($A340,CLASSNAMEHEADERS,0))),(INDEX(ALLCLASSDATA,MATCH("AdvancedGroupMaster",CLASSFEATUREHEADERS,0),MATCH(($A340 &amp; "Points"),CLASSNAMEHEADERS,0))),(IF("17"=(INDEX(ALLCLASSDATA,MATCH("AdvancedGroupExpert",CLASSFEATUREHEADERS,0),MATCH($A340,CLASSNAMEHEADERS,0))),(INDEX(ALLCLASSDATA,MATCH("AdvancedGroupExpert",CLASSFEATUREHEADERS,0),MATCH(($A340 &amp; "Points"),CLASSNAMEHEADERS,0))),(IF("17"=(INDEX(ALLCLASSDATA,MATCH("AdvancedGroupTrained",CLASSFEATUREHEADERS,0),MATCH($A340,CLASSNAMEHEADERS,0))),(INDEX(ALLCLASSDATA,MATCH("AdvancedGroupTrained",CLASSFEATUREHEADERS,0),MATCH(($A340 &amp; "Points"),CLASSNAMEHEADERS,0))),"")))))))))}</f>
        <v>ADVANCEDGROUPL17</v>
      </c>
      <c r="Y339" s="223"/>
      <c r="Z339" s="223" t="str">
        <f t="array" ref="Z339:Z340">{"ADVANCEDGROUPL19";((IF("19"=(INDEX(ALLCLASSDATA,MATCH("AdvancedGroupLegendary",CLASSFEATUREHEADERS,0),MATCH($A340,CLASSNAMEHEADERS,0))),(INDEX(ALLCLASSDATA,MATCH("AdvancedGroupLegendary",CLASSFEATUREHEADERS,0),MATCH(($A340 &amp; "Points"),CLASSNAMEHEADERS,0))),(IF("19"=(INDEX(ALLCLASSDATA,MATCH("AdvancedGroupMaster",CLASSFEATUREHEADERS,0),MATCH($A340,CLASSNAMEHEADERS,0))),(INDEX(ALLCLASSDATA,MATCH("AdvancedGroupMaster",CLASSFEATUREHEADERS,0),MATCH(($A340 &amp; "Points"),CLASSNAMEHEADERS,0))),(IF("19"=(INDEX(ALLCLASSDATA,MATCH("AdvancedGroupExpert",CLASSFEATUREHEADERS,0),MATCH($A340,CLASSNAMEHEADERS,0))),(INDEX(ALLCLASSDATA,MATCH("AdvancedGroupExpert",CLASSFEATUREHEADERS,0),MATCH(($A340 &amp; "Points"),CLASSNAMEHEADERS,0))),(IF("19"=(INDEX(ALLCLASSDATA,MATCH("AdvancedGroupTrained",CLASSFEATUREHEADERS,0),MATCH($A340,CLASSNAMEHEADERS,0))),(INDEX(ALLCLASSDATA,MATCH("AdvancedGroupTrained",CLASSFEATUREHEADERS,0),MATCH(($A340 &amp; "Points"),CLASSNAMEHEADERS,0))),"")))))))))}</f>
        <v>ADVANCEDGROUPL19</v>
      </c>
      <c r="AA339" s="223"/>
      <c r="AB339" s="76" t="str">
        <f t="array" ref="AB339:AB340">{"ADVANCEDGROUP TOTAL";(IF(COUNTBLANK(G340:AA340)=17,"L",(IF(COUNTBLANK(G340:AA340)=18,"M",(IF(COUNTBLANK(G340:AA340)=19,"E",(IF(COUNTBLANK(G340:AA340)=20,"T",""))))))))}</f>
        <v>ADVANCEDGROUP TOTAL</v>
      </c>
      <c r="AC339" s="76" t="str">
        <f t="array" ref="AC339:AC340">{"ADVANCEDGROUP TOTAL";(sum(G340:AA340))}</f>
        <v>ADVANCEDGROUP TOTAL</v>
      </c>
    </row>
    <row r="340">
      <c r="A340" s="48" t="s">
        <v>114</v>
      </c>
      <c r="B340" s="48"/>
      <c r="C340" s="48" t="s">
        <v>412</v>
      </c>
      <c r="D340" s="48" t="s">
        <v>1634</v>
      </c>
      <c r="E340" s="48" t="s">
        <v>601</v>
      </c>
      <c r="F340" s="5" t="s">
        <v>603</v>
      </c>
      <c r="G340" s="47" t="s">
        <v>603</v>
      </c>
      <c r="H340" s="5" t="s">
        <v>603</v>
      </c>
      <c r="I340" s="5"/>
      <c r="J340" s="5" t="s">
        <v>603</v>
      </c>
      <c r="K340" s="5"/>
      <c r="L340" s="5" t="s">
        <v>603</v>
      </c>
      <c r="M340" s="5"/>
      <c r="N340" s="5" t="s">
        <v>603</v>
      </c>
      <c r="O340" s="5"/>
      <c r="P340" s="5" t="s">
        <v>603</v>
      </c>
      <c r="Q340" s="5"/>
      <c r="R340" s="5" t="s">
        <v>603</v>
      </c>
      <c r="S340" s="5"/>
      <c r="T340" s="5" t="s">
        <v>603</v>
      </c>
      <c r="U340" s="5"/>
      <c r="V340" s="5" t="s">
        <v>603</v>
      </c>
      <c r="W340" s="5"/>
      <c r="X340" s="5" t="s">
        <v>603</v>
      </c>
      <c r="Y340" s="5"/>
      <c r="Z340" s="5" t="s">
        <v>603</v>
      </c>
      <c r="AA340" s="5"/>
      <c r="AB340" s="5" t="s">
        <v>603</v>
      </c>
      <c r="AC340" s="47">
        <v>0.0</v>
      </c>
    </row>
    <row r="341" hidden="1">
      <c r="A341" s="222" t="str">
        <f t="array" ref="A341:A342">{"FormulaRow33";(INDEX(CLASSLIST,A276,1))}</f>
        <v>FormulaRow33</v>
      </c>
      <c r="B341" s="77" t="s">
        <v>236</v>
      </c>
      <c r="C341" s="222" t="str">
        <f t="array" ref="C341:C342">{"CLASSTYPE";((INDEX(ALLCLASSDATA,MATCH("ClassType",CLASSFEATUREHEADERS,0),MATCH($A342,CLASSNAMEHEADERS,0))))}</f>
        <v>CLASSTYPE</v>
      </c>
      <c r="D341" s="222" t="str">
        <f t="array" ref="D341:D342">{"ATTACK";"Attack"}</f>
        <v>ATTACK</v>
      </c>
      <c r="E341" s="222" t="str">
        <f t="array" ref="E341:E342">{"ADVANCED";"Advanced"}</f>
        <v>ADVANCED</v>
      </c>
      <c r="F341" s="223" t="str">
        <f t="array" ref="F341:F342">{"ADVANCEDINITIAL";((IF(H342=10,"T",(IF(H342=50,"E","")))))}</f>
        <v>ADVANCEDINITIAL</v>
      </c>
      <c r="G341" s="223" t="str">
        <f t="array" ref="G341:G342">{"ADVANCEDINITIALPTS";((IF("00"=(INDEX(ALLCLASSDATA,MATCH("AdvancedLegendary",CLASSFEATUREHEADERS,0),MATCH($A342,CLASSNAMEHEADERS,0))),(INDEX(ALLCLASSDATA,MATCH("AdvancedLegendary",CLASSFEATUREHEADERS,0),MATCH(($A342 &amp; "Points"),CLASSNAMEHEADERS,0))),(IF("00"=(INDEX(ALLCLASSDATA,MATCH("AdvancedMaster",CLASSFEATUREHEADERS,0),MATCH($A342,CLASSNAMEHEADERS,0))),(INDEX(ALLCLASSDATA,MATCH("AdvancedMaster",CLASSFEATUREHEADERS,0),MATCH(($A342 &amp; "Points"),CLASSNAMEHEADERS,0))),(IF("00"=(INDEX(ALLCLASSDATA,MATCH("AdvancedExpert",CLASSFEATUREHEADERS,0),MATCH($A342,CLASSNAMEHEADERS,0))),(INDEX(ALLCLASSDATA,MATCH("AdvancedExpert",CLASSFEATUREHEADERS,0),MATCH(($A342 &amp; "Points"),CLASSNAMEHEADERS,0))),(IF("00"=(INDEX(ALLCLASSDATA,MATCH("AdvancedTrained",CLASSFEATUREHEADERS,0),MATCH($A342,CLASSNAMEHEADERS,0))),(INDEX(ALLCLASSDATA,MATCH("AdvancedTrained",CLASSFEATUREHEADERS,0),MATCH(($A342 &amp; "Points"),CLASSNAMEHEADERS,0))),"")))))))))}</f>
        <v>ADVANCEDINITIALPTS</v>
      </c>
      <c r="H341" s="223" t="str">
        <f t="array" ref="H341:H342">{"ADVANCEDL01";((IF("01"=(INDEX(ALLCLASSDATA,MATCH("AdvancedLegendary",CLASSFEATUREHEADERS,0),MATCH($A342,CLASSNAMEHEADERS,0))),(INDEX(ALLCLASSDATA,MATCH("AdvancedLegendary",CLASSFEATUREHEADERS,0),MATCH(($A342 &amp; "Points"),CLASSNAMEHEADERS,0))),(IF("01"=(INDEX(ALLCLASSDATA,MATCH("AdvancedMaster",CLASSFEATUREHEADERS,0),MATCH($A342,CLASSNAMEHEADERS,0))),(INDEX(ALLCLASSDATA,MATCH("AdvancedMaster",CLASSFEATUREHEADERS,0),MATCH(($A342 &amp; "Points"),CLASSNAMEHEADERS,0))),(IF("01"=(INDEX(ALLCLASSDATA,MATCH("AdvancedExpert",CLASSFEATUREHEADERS,0),MATCH($A342,CLASSNAMEHEADERS,0))),(INDEX(ALLCLASSDATA,MATCH("AdvancedExpert",CLASSFEATUREHEADERS,0),MATCH(($A342 &amp; "Points"),CLASSNAMEHEADERS,0))),(IF("01"=(INDEX(ALLCLASSDATA,MATCH("AdvancedTrained",CLASSFEATUREHEADERS,0),MATCH($A342,CLASSNAMEHEADERS,0))),(INDEX(ALLCLASSDATA,MATCH("AdvancedTrained",CLASSFEATUREHEADERS,0),MATCH(($A342 &amp; "Points"),CLASSNAMEHEADERS,0))),"")))))))))}</f>
        <v>ADVANCEDL01</v>
      </c>
      <c r="I341" s="223"/>
      <c r="J341" s="223" t="str">
        <f t="array" ref="J341:J342">{"ADVANCEDL03";((IF("03"=(INDEX(ALLCLASSDATA,MATCH("AdvancedLegendary",CLASSFEATUREHEADERS,0),MATCH($A342,CLASSNAMEHEADERS,0))),(INDEX(ALLCLASSDATA,MATCH("AdvancedLegendary",CLASSFEATUREHEADERS,0),MATCH(($A342 &amp; "Points"),CLASSNAMEHEADERS,0))),(IF("03"=(INDEX(ALLCLASSDATA,MATCH("AdvancedMaster",CLASSFEATUREHEADERS,0),MATCH($A342,CLASSNAMEHEADERS,0))),(INDEX(ALLCLASSDATA,MATCH("AdvancedMaster",CLASSFEATUREHEADERS,0),MATCH(($A342 &amp; "Points"),CLASSNAMEHEADERS,0))),(IF("03"=(INDEX(ALLCLASSDATA,MATCH("AdvancedExpert",CLASSFEATUREHEADERS,0),MATCH($A342,CLASSNAMEHEADERS,0))),(INDEX(ALLCLASSDATA,MATCH("AdvancedExpert",CLASSFEATUREHEADERS,0),MATCH(($A342 &amp; "Points"),CLASSNAMEHEADERS,0))),(IF("03"=(INDEX(ALLCLASSDATA,MATCH("AdvancedTrained",CLASSFEATUREHEADERS,0),MATCH($A342,CLASSNAMEHEADERS,0))),(INDEX(ALLCLASSDATA,MATCH("AdvancedTrained",CLASSFEATUREHEADERS,0),MATCH(($A342 &amp; "Points"),CLASSNAMEHEADERS,0))),"")))))))))}</f>
        <v>ADVANCEDL03</v>
      </c>
      <c r="K341" s="223"/>
      <c r="L341" s="223" t="str">
        <f t="array" ref="L341:L342">{"ADVANCEDL05";((IF("05"=(INDEX(ALLCLASSDATA,MATCH("AdvancedLegendary",CLASSFEATUREHEADERS,0),MATCH($A342,CLASSNAMEHEADERS,0))),(INDEX(ALLCLASSDATA,MATCH("AdvancedLegendary",CLASSFEATUREHEADERS,0),MATCH(($A342 &amp; "Points"),CLASSNAMEHEADERS,0))),(IF("05"=(INDEX(ALLCLASSDATA,MATCH("AdvancedMaster",CLASSFEATUREHEADERS,0),MATCH($A342,CLASSNAMEHEADERS,0))),(INDEX(ALLCLASSDATA,MATCH("AdvancedMaster",CLASSFEATUREHEADERS,0),MATCH(($A342 &amp; "Points"),CLASSNAMEHEADERS,0))),(IF("05"=(INDEX(ALLCLASSDATA,MATCH("AdvancedExpert",CLASSFEATUREHEADERS,0),MATCH($A342,CLASSNAMEHEADERS,0))),(INDEX(ALLCLASSDATA,MATCH("AdvancedExpert",CLASSFEATUREHEADERS,0),MATCH(($A342 &amp; "Points"),CLASSNAMEHEADERS,0))),(IF("05"=(INDEX(ALLCLASSDATA,MATCH("AdvancedTrained",CLASSFEATUREHEADERS,0),MATCH($A342,CLASSNAMEHEADERS,0))),(INDEX(ALLCLASSDATA,MATCH("AdvancedTrained",CLASSFEATUREHEADERS,0),MATCH(($A342 &amp; "Points"),CLASSNAMEHEADERS,0))),"")))))))))}</f>
        <v>ADVANCEDL05</v>
      </c>
      <c r="M341" s="223"/>
      <c r="N341" s="223" t="str">
        <f t="array" ref="N341:N342">{"ADVANCEDL07";((IF("07"=(INDEX(ALLCLASSDATA,MATCH("AdvancedLegendary",CLASSFEATUREHEADERS,0),MATCH($A342,CLASSNAMEHEADERS,0))),(INDEX(ALLCLASSDATA,MATCH("AdvancedLegendary",CLASSFEATUREHEADERS,0),MATCH(($A342 &amp; "Points"),CLASSNAMEHEADERS,0))),(IF("07"=(INDEX(ALLCLASSDATA,MATCH("AdvancedMaster",CLASSFEATUREHEADERS,0),MATCH($A342,CLASSNAMEHEADERS,0))),(INDEX(ALLCLASSDATA,MATCH("AdvancedMaster",CLASSFEATUREHEADERS,0),MATCH(($A342 &amp; "Points"),CLASSNAMEHEADERS,0))),(IF("07"=(INDEX(ALLCLASSDATA,MATCH("AdvancedExpert",CLASSFEATUREHEADERS,0),MATCH($A342,CLASSNAMEHEADERS,0))),(INDEX(ALLCLASSDATA,MATCH("AdvancedExpert",CLASSFEATUREHEADERS,0),MATCH(($A342 &amp; "Points"),CLASSNAMEHEADERS,0))),(IF("07"=(INDEX(ALLCLASSDATA,MATCH("AdvancedTrained",CLASSFEATUREHEADERS,0),MATCH($A342,CLASSNAMEHEADERS,0))),(INDEX(ALLCLASSDATA,MATCH("AdvancedTrained",CLASSFEATUREHEADERS,0),MATCH(($A342 &amp; "Points"),CLASSNAMEHEADERS,0))),"")))))))))}</f>
        <v>ADVANCEDL07</v>
      </c>
      <c r="O341" s="223"/>
      <c r="P341" s="223" t="str">
        <f t="array" ref="P341:P342">{"ADVANCEDL09";((IF("09"=(INDEX(ALLCLASSDATA,MATCH("AdvancedLegendary",CLASSFEATUREHEADERS,0),MATCH($A342,CLASSNAMEHEADERS,0))),(INDEX(ALLCLASSDATA,MATCH("AdvancedLegendary",CLASSFEATUREHEADERS,0),MATCH(($A342 &amp; "Points"),CLASSNAMEHEADERS,0))),(IF("09"=(INDEX(ALLCLASSDATA,MATCH("AdvancedMaster",CLASSFEATUREHEADERS,0),MATCH($A342,CLASSNAMEHEADERS,0))),(INDEX(ALLCLASSDATA,MATCH("AdvancedMaster",CLASSFEATUREHEADERS,0),MATCH(($A342 &amp; "Points"),CLASSNAMEHEADERS,0))),(IF("09"=(INDEX(ALLCLASSDATA,MATCH("AdvancedExpert",CLASSFEATUREHEADERS,0),MATCH($A342,CLASSNAMEHEADERS,0))),(INDEX(ALLCLASSDATA,MATCH("AdvancedExpert",CLASSFEATUREHEADERS,0),MATCH(($A342 &amp; "Points"),CLASSNAMEHEADERS,0))),(IF("09"=(INDEX(ALLCLASSDATA,MATCH("AdvancedTrained",CLASSFEATUREHEADERS,0),MATCH($A342,CLASSNAMEHEADERS,0))),(INDEX(ALLCLASSDATA,MATCH("AdvancedTrained",CLASSFEATUREHEADERS,0),MATCH(($A342 &amp; "Points"),CLASSNAMEHEADERS,0))),"")))))))))}</f>
        <v>ADVANCEDL09</v>
      </c>
      <c r="Q341" s="223"/>
      <c r="R341" s="223" t="str">
        <f t="array" ref="R341:R342">{"ADVANCEDL11";((IF("11"=(INDEX(ALLCLASSDATA,MATCH("AdvancedLegendary",CLASSFEATUREHEADERS,0),MATCH($A342,CLASSNAMEHEADERS,0))),(INDEX(ALLCLASSDATA,MATCH("AdvancedLegendary",CLASSFEATUREHEADERS,0),MATCH(($A342 &amp; "Points"),CLASSNAMEHEADERS,0))),(IF("11"=(INDEX(ALLCLASSDATA,MATCH("AdvancedMaster",CLASSFEATUREHEADERS,0),MATCH($A342,CLASSNAMEHEADERS,0))),(INDEX(ALLCLASSDATA,MATCH("AdvancedMaster",CLASSFEATUREHEADERS,0),MATCH(($A342 &amp; "Points"),CLASSNAMEHEADERS,0))),(IF("11"=(INDEX(ALLCLASSDATA,MATCH("AdvancedExpert",CLASSFEATUREHEADERS,0),MATCH($A342,CLASSNAMEHEADERS,0))),(INDEX(ALLCLASSDATA,MATCH("AdvancedExpert",CLASSFEATUREHEADERS,0),MATCH(($A342 &amp; "Points"),CLASSNAMEHEADERS,0))),(IF("11"=(INDEX(ALLCLASSDATA,MATCH("AdvancedTrained",CLASSFEATUREHEADERS,0),MATCH($A342,CLASSNAMEHEADERS,0))),(INDEX(ALLCLASSDATA,MATCH("AdvancedTrained",CLASSFEATUREHEADERS,0),MATCH(($A342 &amp; "Points"),CLASSNAMEHEADERS,0))),"")))))))))}</f>
        <v>ADVANCEDL11</v>
      </c>
      <c r="S341" s="223"/>
      <c r="T341" s="223" t="str">
        <f t="array" ref="T341:T342">{"ADVANCEDL13";((IF("13"=(INDEX(ALLCLASSDATA,MATCH("AdvancedLegendary",CLASSFEATUREHEADERS,0),MATCH($A342,CLASSNAMEHEADERS,0))),(INDEX(ALLCLASSDATA,MATCH("AdvancedLegendary",CLASSFEATUREHEADERS,0),MATCH(($A342 &amp; "Points"),CLASSNAMEHEADERS,0))),(IF("13"=(INDEX(ALLCLASSDATA,MATCH("AdvancedMaster",CLASSFEATUREHEADERS,0),MATCH($A342,CLASSNAMEHEADERS,0))),(INDEX(ALLCLASSDATA,MATCH("AdvancedMaster",CLASSFEATUREHEADERS,0),MATCH(($A342 &amp; "Points"),CLASSNAMEHEADERS,0))),(IF("13"=(INDEX(ALLCLASSDATA,MATCH("AdvancedExpert",CLASSFEATUREHEADERS,0),MATCH($A342,CLASSNAMEHEADERS,0))),(INDEX(ALLCLASSDATA,MATCH("AdvancedExpert",CLASSFEATUREHEADERS,0),MATCH(($A342 &amp; "Points"),CLASSNAMEHEADERS,0))),(IF("13"=(INDEX(ALLCLASSDATA,MATCH("AdvancedTrained",CLASSFEATUREHEADERS,0),MATCH($A342,CLASSNAMEHEADERS,0))),(INDEX(ALLCLASSDATA,MATCH("AdvancedTrained",CLASSFEATUREHEADERS,0),MATCH(($A342 &amp; "Points"),CLASSNAMEHEADERS,0))),"")))))))))}</f>
        <v>ADVANCEDL13</v>
      </c>
      <c r="U341" s="223"/>
      <c r="V341" s="223" t="str">
        <f t="array" ref="V341:V342">{"ADVANCEDL15";((IF("15"=(INDEX(ALLCLASSDATA,MATCH("AdvancedLegendary",CLASSFEATUREHEADERS,0),MATCH($A342,CLASSNAMEHEADERS,0))),(INDEX(ALLCLASSDATA,MATCH("AdvancedLegendary",CLASSFEATUREHEADERS,0),MATCH(($A342 &amp; "Points"),CLASSNAMEHEADERS,0))),(IF("15"=(INDEX(ALLCLASSDATA,MATCH("AdvancedMaster",CLASSFEATUREHEADERS,0),MATCH($A342,CLASSNAMEHEADERS,0))),(INDEX(ALLCLASSDATA,MATCH("AdvancedMaster",CLASSFEATUREHEADERS,0),MATCH(($A342 &amp; "Points"),CLASSNAMEHEADERS,0))),(IF("15"=(INDEX(ALLCLASSDATA,MATCH("AdvancedExpert",CLASSFEATUREHEADERS,0),MATCH($A342,CLASSNAMEHEADERS,0))),(INDEX(ALLCLASSDATA,MATCH("AdvancedExpert",CLASSFEATUREHEADERS,0),MATCH(($A342 &amp; "Points"),CLASSNAMEHEADERS,0))),(IF("15"=(INDEX(ALLCLASSDATA,MATCH("AdvancedTrained",CLASSFEATUREHEADERS,0),MATCH($A342,CLASSNAMEHEADERS,0))),(INDEX(ALLCLASSDATA,MATCH("AdvancedTrained",CLASSFEATUREHEADERS,0),MATCH(($A342 &amp; "Points"),CLASSNAMEHEADERS,0))),"")))))))))}</f>
        <v>ADVANCEDL15</v>
      </c>
      <c r="W341" s="223"/>
      <c r="X341" s="223" t="str">
        <f t="array" ref="X341:X342">{"ADVANCEDL17";((IF("17"=(INDEX(ALLCLASSDATA,MATCH("AdvancedLegendary",CLASSFEATUREHEADERS,0),MATCH($A342,CLASSNAMEHEADERS,0))),(INDEX(ALLCLASSDATA,MATCH("AdvancedLegendary",CLASSFEATUREHEADERS,0),MATCH(($A342 &amp; "Points"),CLASSNAMEHEADERS,0))),(IF("17"=(INDEX(ALLCLASSDATA,MATCH("AdvancedMaster",CLASSFEATUREHEADERS,0),MATCH($A342,CLASSNAMEHEADERS,0))),(INDEX(ALLCLASSDATA,MATCH("AdvancedMaster",CLASSFEATUREHEADERS,0),MATCH(($A342 &amp; "Points"),CLASSNAMEHEADERS,0))),(IF("17"=(INDEX(ALLCLASSDATA,MATCH("AdvancedExpert",CLASSFEATUREHEADERS,0),MATCH($A342,CLASSNAMEHEADERS,0))),(INDEX(ALLCLASSDATA,MATCH("AdvancedExpert",CLASSFEATUREHEADERS,0),MATCH(($A342 &amp; "Points"),CLASSNAMEHEADERS,0))),(IF("17"=(INDEX(ALLCLASSDATA,MATCH("AdvancedTrained",CLASSFEATUREHEADERS,0),MATCH($A342,CLASSNAMEHEADERS,0))),(INDEX(ALLCLASSDATA,MATCH("AdvancedTrained",CLASSFEATUREHEADERS,0),MATCH(($A342 &amp; "Points"),CLASSNAMEHEADERS,0))),"")))))))))}</f>
        <v>ADVANCEDL17</v>
      </c>
      <c r="Y341" s="223"/>
      <c r="Z341" s="223" t="str">
        <f t="array" ref="Z341:Z342">{"ADVANCEDL19";((IF("19"=(INDEX(ALLCLASSDATA,MATCH("AdvancedLegendary",CLASSFEATUREHEADERS,0),MATCH($A342,CLASSNAMEHEADERS,0))),(INDEX(ALLCLASSDATA,MATCH("AdvancedLegendary",CLASSFEATUREHEADERS,0),MATCH(($A342 &amp; "Points"),CLASSNAMEHEADERS,0))),(IF("19"=(INDEX(ALLCLASSDATA,MATCH("AdvancedMaster",CLASSFEATUREHEADERS,0),MATCH($A342,CLASSNAMEHEADERS,0))),(INDEX(ALLCLASSDATA,MATCH("AdvancedMaster",CLASSFEATUREHEADERS,0),MATCH(($A342 &amp; "Points"),CLASSNAMEHEADERS,0))),(IF("19"=(INDEX(ALLCLASSDATA,MATCH("AdvancedExpert",CLASSFEATUREHEADERS,0),MATCH($A342,CLASSNAMEHEADERS,0))),(INDEX(ALLCLASSDATA,MATCH("AdvancedExpert",CLASSFEATUREHEADERS,0),MATCH(($A342 &amp; "Points"),CLASSNAMEHEADERS,0))),(IF("19"=(INDEX(ALLCLASSDATA,MATCH("AdvancedTrained",CLASSFEATUREHEADERS,0),MATCH($A342,CLASSNAMEHEADERS,0))),(INDEX(ALLCLASSDATA,MATCH("AdvancedTrained",CLASSFEATUREHEADERS,0),MATCH(($A342 &amp; "Points"),CLASSNAMEHEADERS,0))),"")))))))))}</f>
        <v>ADVANCEDL19</v>
      </c>
      <c r="AA341" s="223"/>
      <c r="AB341" s="76" t="str">
        <f t="array" ref="AB341:AB342">{"ADVANCED TOTAL";(IF(COUNTBLANK(G342:AA342)=17,"L",(IF(COUNTBLANK(G342:AA342)=18,"M",(IF(COUNTBLANK(G342:AA342)=19,"E",(IF(COUNTBLANK(G342:AA342)=20,"T",""))))))))}</f>
        <v>ADVANCED TOTAL</v>
      </c>
      <c r="AC341" s="76" t="str">
        <f t="array" ref="AC341:AC342">{"ADVANCED TOTAL";(sum(G342:AA342))}</f>
        <v>ADVANCED TOTAL</v>
      </c>
    </row>
    <row r="342">
      <c r="A342" s="48" t="s">
        <v>114</v>
      </c>
      <c r="B342" s="48"/>
      <c r="C342" s="48" t="s">
        <v>412</v>
      </c>
      <c r="D342" s="97" t="s">
        <v>1634</v>
      </c>
      <c r="E342" s="97" t="s">
        <v>602</v>
      </c>
      <c r="F342" s="98" t="s">
        <v>603</v>
      </c>
      <c r="G342" s="132" t="s">
        <v>603</v>
      </c>
      <c r="H342" s="98" t="s">
        <v>603</v>
      </c>
      <c r="I342" s="98"/>
      <c r="J342" s="98" t="s">
        <v>603</v>
      </c>
      <c r="K342" s="98"/>
      <c r="L342" s="98" t="s">
        <v>603</v>
      </c>
      <c r="M342" s="98"/>
      <c r="N342" s="98" t="s">
        <v>603</v>
      </c>
      <c r="O342" s="98"/>
      <c r="P342" s="98" t="s">
        <v>603</v>
      </c>
      <c r="Q342" s="98"/>
      <c r="R342" s="98" t="s">
        <v>603</v>
      </c>
      <c r="S342" s="98"/>
      <c r="T342" s="98" t="s">
        <v>603</v>
      </c>
      <c r="U342" s="98"/>
      <c r="V342" s="98" t="s">
        <v>603</v>
      </c>
      <c r="W342" s="98"/>
      <c r="X342" s="98" t="s">
        <v>603</v>
      </c>
      <c r="Y342" s="98"/>
      <c r="Z342" s="98" t="s">
        <v>603</v>
      </c>
      <c r="AA342" s="98"/>
      <c r="AB342" s="5" t="s">
        <v>603</v>
      </c>
      <c r="AC342" s="47">
        <v>0.0</v>
      </c>
    </row>
    <row r="343" hidden="1">
      <c r="A343" s="222" t="str">
        <f t="array" ref="A343:A344">{"FormulaRow34";(INDEX(CLASSLIST,A276,1))}</f>
        <v>FormulaRow34</v>
      </c>
      <c r="B343" s="77" t="s">
        <v>236</v>
      </c>
      <c r="C343" s="222" t="str">
        <f t="array" ref="C343:C344">{"CLASSTYPE";((INDEX(ALLCLASSDATA,MATCH("ClassType",CLASSFEATUREHEADERS,0),MATCH($A344,CLASSNAMEHEADERS,0))))}</f>
        <v>CLASSTYPE</v>
      </c>
      <c r="D343" s="222" t="str">
        <f t="array" ref="D343:D344">{"DEFENSE";"Defense"}</f>
        <v>DEFENSE</v>
      </c>
      <c r="E343" s="222" t="str">
        <f t="array" ref="E343:E344">{"ARMORSPECIAL";"ArmorAS"}</f>
        <v>ARMORSPECIAL</v>
      </c>
      <c r="F343" s="223"/>
      <c r="G343" s="223"/>
      <c r="H343" s="223" t="str">
        <f t="array" ref="H343:H344">{"ARMORSPECIALL01";((IF("01"=INDEX(ALLCLASSDATA,MATCH("ArmorSpecialization",CLASSFEATUREHEADERS,0),MATCH($A344,CLASSNAMEHEADERS,0)),ArmorAS,"")))}</f>
        <v>ARMORSPECIALL01</v>
      </c>
      <c r="I343" s="223"/>
      <c r="J343" s="223" t="str">
        <f t="array" ref="J343:J344">{"ARMORSPECIALL03";((IF("03"=INDEX(ALLCLASSDATA,MATCH("ArmorSpecialization",CLASSFEATUREHEADERS,0),MATCH($A344,CLASSNAMEHEADERS,0)),ArmorAS,"")))}</f>
        <v>ARMORSPECIALL03</v>
      </c>
      <c r="K343" s="223"/>
      <c r="L343" s="223" t="str">
        <f t="array" ref="L343:L344">{"ARMORSPECIALL05";((IF("05"=INDEX(ALLCLASSDATA,MATCH("ArmorSpecialization",CLASSFEATUREHEADERS,0),MATCH($A344,CLASSNAMEHEADERS,0)),ArmorAS,"")))}</f>
        <v>ARMORSPECIALL05</v>
      </c>
      <c r="M343" s="223"/>
      <c r="N343" s="223" t="str">
        <f t="array" ref="N343:N344">{"ARMORSPECIALL07";((IF("07"=INDEX(ALLCLASSDATA,MATCH("ArmorSpecialization",CLASSFEATUREHEADERS,0),MATCH($A344,CLASSNAMEHEADERS,0)),ArmorAS,"")))}</f>
        <v>ARMORSPECIALL07</v>
      </c>
      <c r="O343" s="223"/>
      <c r="P343" s="223" t="str">
        <f t="array" ref="P343:P344">{"ARMORSPECIALL09";((IF("09"=INDEX(ALLCLASSDATA,MATCH("ArmorSpecialization",CLASSFEATUREHEADERS,0),MATCH($A344,CLASSNAMEHEADERS,0)),ArmorAS,"")))}</f>
        <v>ARMORSPECIALL09</v>
      </c>
      <c r="Q343" s="223"/>
      <c r="R343" s="223" t="str">
        <f t="array" ref="R343:R344">{"ARMORSPECIALL11";((IF("11"=INDEX(ALLCLASSDATA,MATCH("ArmorSpecialization",CLASSFEATUREHEADERS,0),MATCH($A344,CLASSNAMEHEADERS,0)),ArmorAS,"")))}</f>
        <v>ARMORSPECIALL11</v>
      </c>
      <c r="S343" s="223"/>
      <c r="T343" s="223" t="str">
        <f t="array" ref="T343:T344">{"ARMORSPECIALL13";((IF("13"=INDEX(ALLCLASSDATA,MATCH("ArmorSpecialization",CLASSFEATUREHEADERS,0),MATCH($A344,CLASSNAMEHEADERS,0)),ArmorAS,"")))}</f>
        <v>ARMORSPECIALL13</v>
      </c>
      <c r="U343" s="223"/>
      <c r="V343" s="223" t="str">
        <f t="array" ref="V343:V344">{"ARMORSPECIALL15";((IF("15"=INDEX(ALLCLASSDATA,MATCH("ArmorSpecialization",CLASSFEATUREHEADERS,0),MATCH($A344,CLASSNAMEHEADERS,0)),ArmorAS,"")))}</f>
        <v>ARMORSPECIALL15</v>
      </c>
      <c r="W343" s="223"/>
      <c r="X343" s="223" t="str">
        <f t="array" ref="X343:X344">{"ARMORSPECIALL17";((IF("17"=INDEX(ALLCLASSDATA,MATCH("ArmorSpecialization",CLASSFEATUREHEADERS,0),MATCH($A344,CLASSNAMEHEADERS,0)),ArmorAS,"")))}</f>
        <v>ARMORSPECIALL17</v>
      </c>
      <c r="Y343" s="223"/>
      <c r="Z343" s="223" t="str">
        <f t="array" ref="Z343:Z344">{"ARMORSPECIALL19";((IF("19"=INDEX(ALLCLASSDATA,MATCH("ArmorSpecialization",CLASSFEATUREHEADERS,0),MATCH($A344,CLASSNAMEHEADERS,0)),ArmorAS,"")))}</f>
        <v>ARMORSPECIALL19</v>
      </c>
      <c r="AA343" s="223"/>
      <c r="AB343" s="76"/>
      <c r="AC343" s="76" t="str">
        <f t="array" ref="AC343:AC344">{"ARMORSPECIAL TOTAL";(sum(G344:AA344))}</f>
        <v>ARMORSPECIAL TOTAL</v>
      </c>
    </row>
    <row r="344">
      <c r="A344" s="48" t="s">
        <v>114</v>
      </c>
      <c r="B344" s="48"/>
      <c r="C344" s="48" t="s">
        <v>412</v>
      </c>
      <c r="D344" s="48" t="s">
        <v>1900</v>
      </c>
      <c r="E344" s="48" t="s">
        <v>51</v>
      </c>
      <c r="F344" s="5"/>
      <c r="G344" s="47"/>
      <c r="H344" s="5" t="s">
        <v>603</v>
      </c>
      <c r="I344" s="5"/>
      <c r="J344" s="5" t="s">
        <v>603</v>
      </c>
      <c r="K344" s="5"/>
      <c r="L344" s="5" t="s">
        <v>603</v>
      </c>
      <c r="M344" s="5"/>
      <c r="N344" s="5" t="s">
        <v>603</v>
      </c>
      <c r="O344" s="5"/>
      <c r="P344" s="5" t="s">
        <v>603</v>
      </c>
      <c r="Q344" s="5"/>
      <c r="R344" s="5" t="s">
        <v>603</v>
      </c>
      <c r="S344" s="5"/>
      <c r="T344" s="5" t="s">
        <v>603</v>
      </c>
      <c r="U344" s="5"/>
      <c r="V344" s="5" t="s">
        <v>603</v>
      </c>
      <c r="W344" s="5"/>
      <c r="X344" s="5" t="s">
        <v>603</v>
      </c>
      <c r="Y344" s="5"/>
      <c r="Z344" s="5" t="s">
        <v>603</v>
      </c>
      <c r="AA344" s="5"/>
      <c r="AB344" s="5"/>
      <c r="AC344" s="47">
        <v>0.0</v>
      </c>
    </row>
    <row r="345" hidden="1">
      <c r="A345" s="222" t="str">
        <f t="array" ref="A345:A346">{"FormulaRow35";(INDEX(CLASSLIST,A276,1))}</f>
        <v>FormulaRow35</v>
      </c>
      <c r="B345" s="77" t="s">
        <v>236</v>
      </c>
      <c r="C345" s="222" t="str">
        <f t="array" ref="C345:C346">{"CLASSTYPE";((INDEX(ALLCLASSDATA,MATCH("ClassType",CLASSFEATUREHEADERS,0),MATCH($A346,CLASSNAMEHEADERS,0))))}</f>
        <v>CLASSTYPE</v>
      </c>
      <c r="D345" s="222" t="str">
        <f t="array" ref="D345:D346">{"DEFENSE";"Defense"}</f>
        <v>DEFENSE</v>
      </c>
      <c r="E345" s="222" t="str">
        <f t="array" ref="E345:E346">{"UNARMORED";"Unarmored"}</f>
        <v>UNARMORED</v>
      </c>
      <c r="F345" s="223" t="str">
        <f t="array" ref="F345:F346">{"UNARMOREDINITIAL";((IF(H346=10,"T",(IF(H346=50,"E","")))))}</f>
        <v>UNARMOREDINITIAL</v>
      </c>
      <c r="G345" s="223" t="str">
        <f t="array" ref="G345:G346">{"UNARMOREDINITIALPTS";((IF("00"=(INDEX(ALLCLASSDATA,MATCH("UnarmoredLegendary",CLASSFEATUREHEADERS,0),MATCH($A346,CLASSNAMEHEADERS,0))),(INDEX(ALLCLASSDATA,MATCH("UnarmoredLegendary",CLASSFEATUREHEADERS,0),MATCH(($A346 &amp; "Points"),CLASSNAMEHEADERS,0))),(IF("00"=(INDEX(ALLCLASSDATA,MATCH("UnarmoredMaster",CLASSFEATUREHEADERS,0),MATCH($A346,CLASSNAMEHEADERS,0))),(INDEX(ALLCLASSDATA,MATCH("UnarmoredMaster",CLASSFEATUREHEADERS,0),MATCH(($A346 &amp; "Points"),CLASSNAMEHEADERS,0))),(IF("00"=(INDEX(ALLCLASSDATA,MATCH("UnarmoredExpert",CLASSFEATUREHEADERS,0),MATCH($A346,CLASSNAMEHEADERS,0))),(INDEX(ALLCLASSDATA,MATCH("UnarmoredExpert",CLASSFEATUREHEADERS,0),MATCH(($A346 &amp; "Points"),CLASSNAMEHEADERS,0))),(IF("00"=(INDEX(ALLCLASSDATA,MATCH("UnarmoredTrained",CLASSFEATUREHEADERS,0),MATCH($A346,CLASSNAMEHEADERS,0))),(INDEX(ALLCLASSDATA,MATCH("UnarmoredTrained",CLASSFEATUREHEADERS,0),MATCH(($A346 &amp; "Points"),CLASSNAMEHEADERS,0))),"")))))))))}</f>
        <v>UNARMOREDINITIALPTS</v>
      </c>
      <c r="H345" s="223" t="str">
        <f t="array" ref="H345:H346">{"UNARMOREDL01";((IF("01"=(INDEX(ALLCLASSDATA,MATCH("UnarmoredLegendary",CLASSFEATUREHEADERS,0),MATCH($A346,CLASSNAMEHEADERS,0))),(INDEX(ALLCLASSDATA,MATCH("UnarmoredLegendary",CLASSFEATUREHEADERS,0),MATCH(($A346 &amp; "Points"),CLASSNAMEHEADERS,0))),(IF("01"=(INDEX(ALLCLASSDATA,MATCH("UnarmoredMaster",CLASSFEATUREHEADERS,0),MATCH($A346,CLASSNAMEHEADERS,0))),(INDEX(ALLCLASSDATA,MATCH("UnarmoredMaster",CLASSFEATUREHEADERS,0),MATCH(($A346 &amp; "Points"),CLASSNAMEHEADERS,0))),(IF("01"=(INDEX(ALLCLASSDATA,MATCH("UnarmoredExpert",CLASSFEATUREHEADERS,0),MATCH($A346,CLASSNAMEHEADERS,0))),(INDEX(ALLCLASSDATA,MATCH("UnarmoredExpert",CLASSFEATUREHEADERS,0),MATCH(($A346 &amp; "Points"),CLASSNAMEHEADERS,0))),(IF("01"=(INDEX(ALLCLASSDATA,MATCH("UnarmoredTrained",CLASSFEATUREHEADERS,0),MATCH($A346,CLASSNAMEHEADERS,0))),(INDEX(ALLCLASSDATA,MATCH("UnarmoredTrained",CLASSFEATUREHEADERS,0),MATCH(($A346 &amp; "Points"),CLASSNAMEHEADERS,0))),"")))))))))}</f>
        <v>UNARMOREDL01</v>
      </c>
      <c r="I345" s="223"/>
      <c r="J345" s="223" t="str">
        <f t="array" ref="J345:J346">{"UNARMOREDL03";((IF("03"=(INDEX(ALLCLASSDATA,MATCH("UnarmoredLegendary",CLASSFEATUREHEADERS,0),MATCH($A346,CLASSNAMEHEADERS,0))),(INDEX(ALLCLASSDATA,MATCH("UnarmoredLegendary",CLASSFEATUREHEADERS,0),MATCH(($A346 &amp; "Points"),CLASSNAMEHEADERS,0))),(IF("03"=(INDEX(ALLCLASSDATA,MATCH("UnarmoredMaster",CLASSFEATUREHEADERS,0),MATCH($A346,CLASSNAMEHEADERS,0))),(INDEX(ALLCLASSDATA,MATCH("UnarmoredMaster",CLASSFEATUREHEADERS,0),MATCH(($A346 &amp; "Points"),CLASSNAMEHEADERS,0))),(IF("03"=(INDEX(ALLCLASSDATA,MATCH("UnarmoredExpert",CLASSFEATUREHEADERS,0),MATCH($A346,CLASSNAMEHEADERS,0))),(INDEX(ALLCLASSDATA,MATCH("UnarmoredExpert",CLASSFEATUREHEADERS,0),MATCH(($A346 &amp; "Points"),CLASSNAMEHEADERS,0))),(IF("03"=(INDEX(ALLCLASSDATA,MATCH("UnarmoredTrained",CLASSFEATUREHEADERS,0),MATCH($A346,CLASSNAMEHEADERS,0))),(INDEX(ALLCLASSDATA,MATCH("UnarmoredTrained",CLASSFEATUREHEADERS,0),MATCH(($A346 &amp; "Points"),CLASSNAMEHEADERS,0))),"")))))))))}</f>
        <v>UNARMOREDL03</v>
      </c>
      <c r="K345" s="223"/>
      <c r="L345" s="223" t="str">
        <f t="array" ref="L345:L346">{"UNARMOREDL05";((IF("05"=(INDEX(ALLCLASSDATA,MATCH("UnarmoredLegendary",CLASSFEATUREHEADERS,0),MATCH($A346,CLASSNAMEHEADERS,0))),(INDEX(ALLCLASSDATA,MATCH("UnarmoredLegendary",CLASSFEATUREHEADERS,0),MATCH(($A346 &amp; "Points"),CLASSNAMEHEADERS,0))),(IF("05"=(INDEX(ALLCLASSDATA,MATCH("UnarmoredMaster",CLASSFEATUREHEADERS,0),MATCH($A346,CLASSNAMEHEADERS,0))),(INDEX(ALLCLASSDATA,MATCH("UnarmoredMaster",CLASSFEATUREHEADERS,0),MATCH(($A346 &amp; "Points"),CLASSNAMEHEADERS,0))),(IF("05"=(INDEX(ALLCLASSDATA,MATCH("UnarmoredExpert",CLASSFEATUREHEADERS,0),MATCH($A346,CLASSNAMEHEADERS,0))),(INDEX(ALLCLASSDATA,MATCH("UnarmoredExpert",CLASSFEATUREHEADERS,0),MATCH(($A346 &amp; "Points"),CLASSNAMEHEADERS,0))),(IF("05"=(INDEX(ALLCLASSDATA,MATCH("UnarmoredTrained",CLASSFEATUREHEADERS,0),MATCH($A346,CLASSNAMEHEADERS,0))),(INDEX(ALLCLASSDATA,MATCH("UnarmoredTrained",CLASSFEATUREHEADERS,0),MATCH(($A346 &amp; "Points"),CLASSNAMEHEADERS,0))),"")))))))))}</f>
        <v>UNARMOREDL05</v>
      </c>
      <c r="M345" s="223"/>
      <c r="N345" s="223" t="str">
        <f t="array" ref="N345:N346">{"UNARMOREDL07";((IF("07"=(INDEX(ALLCLASSDATA,MATCH("UnarmoredLegendary",CLASSFEATUREHEADERS,0),MATCH($A346,CLASSNAMEHEADERS,0))),(INDEX(ALLCLASSDATA,MATCH("UnarmoredLegendary",CLASSFEATUREHEADERS,0),MATCH(($A346 &amp; "Points"),CLASSNAMEHEADERS,0))),(IF("07"=(INDEX(ALLCLASSDATA,MATCH("UnarmoredMaster",CLASSFEATUREHEADERS,0),MATCH($A346,CLASSNAMEHEADERS,0))),(INDEX(ALLCLASSDATA,MATCH("UnarmoredMaster",CLASSFEATUREHEADERS,0),MATCH(($A346 &amp; "Points"),CLASSNAMEHEADERS,0))),(IF("07"=(INDEX(ALLCLASSDATA,MATCH("UnarmoredExpert",CLASSFEATUREHEADERS,0),MATCH($A346,CLASSNAMEHEADERS,0))),(INDEX(ALLCLASSDATA,MATCH("UnarmoredExpert",CLASSFEATUREHEADERS,0),MATCH(($A346 &amp; "Points"),CLASSNAMEHEADERS,0))),(IF("07"=(INDEX(ALLCLASSDATA,MATCH("UnarmoredTrained",CLASSFEATUREHEADERS,0),MATCH($A346,CLASSNAMEHEADERS,0))),(INDEX(ALLCLASSDATA,MATCH("UnarmoredTrained",CLASSFEATUREHEADERS,0),MATCH(($A346 &amp; "Points"),CLASSNAMEHEADERS,0))),"")))))))))}</f>
        <v>UNARMOREDL07</v>
      </c>
      <c r="O345" s="223"/>
      <c r="P345" s="223" t="str">
        <f t="array" ref="P345:P346">{"UNARMOREDL09";((IF("09"=(INDEX(ALLCLASSDATA,MATCH("UnarmoredLegendary",CLASSFEATUREHEADERS,0),MATCH($A346,CLASSNAMEHEADERS,0))),(INDEX(ALLCLASSDATA,MATCH("UnarmoredLegendary",CLASSFEATUREHEADERS,0),MATCH(($A346 &amp; "Points"),CLASSNAMEHEADERS,0))),(IF("09"=(INDEX(ALLCLASSDATA,MATCH("UnarmoredMaster",CLASSFEATUREHEADERS,0),MATCH($A346,CLASSNAMEHEADERS,0))),(INDEX(ALLCLASSDATA,MATCH("UnarmoredMaster",CLASSFEATUREHEADERS,0),MATCH(($A346 &amp; "Points"),CLASSNAMEHEADERS,0))),(IF("09"=(INDEX(ALLCLASSDATA,MATCH("UnarmoredExpert",CLASSFEATUREHEADERS,0),MATCH($A346,CLASSNAMEHEADERS,0))),(INDEX(ALLCLASSDATA,MATCH("UnarmoredExpert",CLASSFEATUREHEADERS,0),MATCH(($A346 &amp; "Points"),CLASSNAMEHEADERS,0))),(IF("09"=(INDEX(ALLCLASSDATA,MATCH("UnarmoredTrained",CLASSFEATUREHEADERS,0),MATCH($A346,CLASSNAMEHEADERS,0))),(INDEX(ALLCLASSDATA,MATCH("UnarmoredTrained",CLASSFEATUREHEADERS,0),MATCH(($A346 &amp; "Points"),CLASSNAMEHEADERS,0))),"")))))))))}</f>
        <v>UNARMOREDL09</v>
      </c>
      <c r="Q345" s="223"/>
      <c r="R345" s="223" t="str">
        <f t="array" ref="R345:R346">{"UNARMOREDL11";((IF("11"=(INDEX(ALLCLASSDATA,MATCH("UnarmoredLegendary",CLASSFEATUREHEADERS,0),MATCH($A346,CLASSNAMEHEADERS,0))),(INDEX(ALLCLASSDATA,MATCH("UnarmoredLegendary",CLASSFEATUREHEADERS,0),MATCH(($A346 &amp; "Points"),CLASSNAMEHEADERS,0))),(IF("11"=(INDEX(ALLCLASSDATA,MATCH("UnarmoredMaster",CLASSFEATUREHEADERS,0),MATCH($A346,CLASSNAMEHEADERS,0))),(INDEX(ALLCLASSDATA,MATCH("UnarmoredMaster",CLASSFEATUREHEADERS,0),MATCH(($A346 &amp; "Points"),CLASSNAMEHEADERS,0))),(IF("11"=(INDEX(ALLCLASSDATA,MATCH("UnarmoredExpert",CLASSFEATUREHEADERS,0),MATCH($A346,CLASSNAMEHEADERS,0))),(INDEX(ALLCLASSDATA,MATCH("UnarmoredExpert",CLASSFEATUREHEADERS,0),MATCH(($A346 &amp; "Points"),CLASSNAMEHEADERS,0))),(IF("11"=(INDEX(ALLCLASSDATA,MATCH("UnarmoredTrained",CLASSFEATUREHEADERS,0),MATCH($A346,CLASSNAMEHEADERS,0))),(INDEX(ALLCLASSDATA,MATCH("UnarmoredTrained",CLASSFEATUREHEADERS,0),MATCH(($A346 &amp; "Points"),CLASSNAMEHEADERS,0))),"")))))))))}</f>
        <v>UNARMOREDL11</v>
      </c>
      <c r="S345" s="223"/>
      <c r="T345" s="223" t="str">
        <f t="array" ref="T345:T346">{"UNARMOREDL13";((IF("13"=(INDEX(ALLCLASSDATA,MATCH("UnarmoredLegendary",CLASSFEATUREHEADERS,0),MATCH($A346,CLASSNAMEHEADERS,0))),(INDEX(ALLCLASSDATA,MATCH("UnarmoredLegendary",CLASSFEATUREHEADERS,0),MATCH(($A346 &amp; "Points"),CLASSNAMEHEADERS,0))),(IF("13"=(INDEX(ALLCLASSDATA,MATCH("UnarmoredMaster",CLASSFEATUREHEADERS,0),MATCH($A346,CLASSNAMEHEADERS,0))),(INDEX(ALLCLASSDATA,MATCH("UnarmoredMaster",CLASSFEATUREHEADERS,0),MATCH(($A346 &amp; "Points"),CLASSNAMEHEADERS,0))),(IF("13"=(INDEX(ALLCLASSDATA,MATCH("UnarmoredExpert",CLASSFEATUREHEADERS,0),MATCH($A346,CLASSNAMEHEADERS,0))),(INDEX(ALLCLASSDATA,MATCH("UnarmoredExpert",CLASSFEATUREHEADERS,0),MATCH(($A346 &amp; "Points"),CLASSNAMEHEADERS,0))),(IF("13"=(INDEX(ALLCLASSDATA,MATCH("UnarmoredTrained",CLASSFEATUREHEADERS,0),MATCH($A346,CLASSNAMEHEADERS,0))),(INDEX(ALLCLASSDATA,MATCH("UnarmoredTrained",CLASSFEATUREHEADERS,0),MATCH(($A346 &amp; "Points"),CLASSNAMEHEADERS,0))),"")))))))))}</f>
        <v>UNARMOREDL13</v>
      </c>
      <c r="U345" s="223"/>
      <c r="V345" s="223" t="str">
        <f t="array" ref="V345:V346">{"UNARMOREDL15";((IF("15"=(INDEX(ALLCLASSDATA,MATCH("UnarmoredLegendary",CLASSFEATUREHEADERS,0),MATCH($A346,CLASSNAMEHEADERS,0))),(INDEX(ALLCLASSDATA,MATCH("UnarmoredLegendary",CLASSFEATUREHEADERS,0),MATCH(($A346 &amp; "Points"),CLASSNAMEHEADERS,0))),(IF("15"=(INDEX(ALLCLASSDATA,MATCH("UnarmoredMaster",CLASSFEATUREHEADERS,0),MATCH($A346,CLASSNAMEHEADERS,0))),(INDEX(ALLCLASSDATA,MATCH("UnarmoredMaster",CLASSFEATUREHEADERS,0),MATCH(($A346 &amp; "Points"),CLASSNAMEHEADERS,0))),(IF("15"=(INDEX(ALLCLASSDATA,MATCH("UnarmoredExpert",CLASSFEATUREHEADERS,0),MATCH($A346,CLASSNAMEHEADERS,0))),(INDEX(ALLCLASSDATA,MATCH("UnarmoredExpert",CLASSFEATUREHEADERS,0),MATCH(($A346 &amp; "Points"),CLASSNAMEHEADERS,0))),(IF("15"=(INDEX(ALLCLASSDATA,MATCH("UnarmoredTrained",CLASSFEATUREHEADERS,0),MATCH($A346,CLASSNAMEHEADERS,0))),(INDEX(ALLCLASSDATA,MATCH("UnarmoredTrained",CLASSFEATUREHEADERS,0),MATCH(($A346 &amp; "Points"),CLASSNAMEHEADERS,0))),"")))))))))}</f>
        <v>UNARMOREDL15</v>
      </c>
      <c r="W345" s="223"/>
      <c r="X345" s="223" t="str">
        <f t="array" ref="X345:X346">{"UNARMOREDL17";((IF("17"=(INDEX(ALLCLASSDATA,MATCH("UnarmoredLegendary",CLASSFEATUREHEADERS,0),MATCH($A346,CLASSNAMEHEADERS,0))),(INDEX(ALLCLASSDATA,MATCH("UnarmoredLegendary",CLASSFEATUREHEADERS,0),MATCH(($A346 &amp; "Points"),CLASSNAMEHEADERS,0))),(IF("17"=(INDEX(ALLCLASSDATA,MATCH("UnarmoredMaster",CLASSFEATUREHEADERS,0),MATCH($A346,CLASSNAMEHEADERS,0))),(INDEX(ALLCLASSDATA,MATCH("UnarmoredMaster",CLASSFEATUREHEADERS,0),MATCH(($A346 &amp; "Points"),CLASSNAMEHEADERS,0))),(IF("17"=(INDEX(ALLCLASSDATA,MATCH("UnarmoredExpert",CLASSFEATUREHEADERS,0),MATCH($A346,CLASSNAMEHEADERS,0))),(INDEX(ALLCLASSDATA,MATCH("UnarmoredExpert",CLASSFEATUREHEADERS,0),MATCH(($A346 &amp; "Points"),CLASSNAMEHEADERS,0))),(IF("17"=(INDEX(ALLCLASSDATA,MATCH("UnarmoredTrained",CLASSFEATUREHEADERS,0),MATCH($A346,CLASSNAMEHEADERS,0))),(INDEX(ALLCLASSDATA,MATCH("UnarmoredTrained",CLASSFEATUREHEADERS,0),MATCH(($A346 &amp; "Points"),CLASSNAMEHEADERS,0))),"")))))))))}</f>
        <v>UNARMOREDL17</v>
      </c>
      <c r="Y345" s="223"/>
      <c r="Z345" s="223" t="str">
        <f t="array" ref="Z345:Z346">{"UNARMOREDL19";((IF("19"=(INDEX(ALLCLASSDATA,MATCH("UnarmoredLegendary",CLASSFEATUREHEADERS,0),MATCH($A346,CLASSNAMEHEADERS,0))),(INDEX(ALLCLASSDATA,MATCH("UnarmoredLegendary",CLASSFEATUREHEADERS,0),MATCH(($A346 &amp; "Points"),CLASSNAMEHEADERS,0))),(IF("19"=(INDEX(ALLCLASSDATA,MATCH("UnarmoredMaster",CLASSFEATUREHEADERS,0),MATCH($A346,CLASSNAMEHEADERS,0))),(INDEX(ALLCLASSDATA,MATCH("UnarmoredMaster",CLASSFEATUREHEADERS,0),MATCH(($A346 &amp; "Points"),CLASSNAMEHEADERS,0))),(IF("19"=(INDEX(ALLCLASSDATA,MATCH("UnarmoredExpert",CLASSFEATUREHEADERS,0),MATCH($A346,CLASSNAMEHEADERS,0))),(INDEX(ALLCLASSDATA,MATCH("UnarmoredExpert",CLASSFEATUREHEADERS,0),MATCH(($A346 &amp; "Points"),CLASSNAMEHEADERS,0))),(IF("19"=(INDEX(ALLCLASSDATA,MATCH("UnarmoredTrained",CLASSFEATUREHEADERS,0),MATCH($A346,CLASSNAMEHEADERS,0))),(INDEX(ALLCLASSDATA,MATCH("UnarmoredTrained",CLASSFEATUREHEADERS,0),MATCH(($A346 &amp; "Points"),CLASSNAMEHEADERS,0))),"")))))))))}</f>
        <v>UNARMOREDL19</v>
      </c>
      <c r="AA345" s="223"/>
      <c r="AB345" s="76" t="str">
        <f t="array" ref="AB345:AB346">{"UNARMORED TOTAL";(IF(COUNTBLANK(G346:AA346)=17,"L",(IF(COUNTBLANK(G346:AA346)=18,"M",(IF(COUNTBLANK(G346:AA346)=19,"E",(IF(COUNTBLANK(G346:AA346)=20,"T",""))))))))}</f>
        <v>UNARMORED TOTAL</v>
      </c>
      <c r="AC345" s="76" t="str">
        <f t="array" ref="AC345:AC346">{"UNARMORED TOTAL";(sum(G346:AA346))}</f>
        <v>UNARMORED TOTAL</v>
      </c>
    </row>
    <row r="346">
      <c r="A346" s="48" t="s">
        <v>114</v>
      </c>
      <c r="B346" s="48"/>
      <c r="C346" s="48" t="s">
        <v>412</v>
      </c>
      <c r="D346" s="48" t="s">
        <v>1900</v>
      </c>
      <c r="E346" s="48" t="s">
        <v>78</v>
      </c>
      <c r="F346" s="5" t="s">
        <v>435</v>
      </c>
      <c r="G346" s="47" t="s">
        <v>603</v>
      </c>
      <c r="H346" s="5">
        <v>10.0</v>
      </c>
      <c r="I346" s="5"/>
      <c r="J346" s="5" t="s">
        <v>603</v>
      </c>
      <c r="K346" s="5"/>
      <c r="L346" s="5" t="s">
        <v>603</v>
      </c>
      <c r="M346" s="5"/>
      <c r="N346" s="5" t="s">
        <v>603</v>
      </c>
      <c r="O346" s="5"/>
      <c r="P346" s="5" t="s">
        <v>603</v>
      </c>
      <c r="Q346" s="5"/>
      <c r="R346" s="5" t="s">
        <v>603</v>
      </c>
      <c r="S346" s="5"/>
      <c r="T346" s="5" t="s">
        <v>436</v>
      </c>
      <c r="U346" s="5"/>
      <c r="V346" s="5" t="s">
        <v>603</v>
      </c>
      <c r="W346" s="5"/>
      <c r="X346" s="5" t="s">
        <v>603</v>
      </c>
      <c r="Y346" s="5"/>
      <c r="Z346" s="5" t="s">
        <v>437</v>
      </c>
      <c r="AA346" s="5"/>
      <c r="AB346" s="5" t="s">
        <v>437</v>
      </c>
      <c r="AC346" s="47">
        <v>10.0</v>
      </c>
    </row>
    <row r="347" hidden="1">
      <c r="A347" s="222" t="str">
        <f t="array" ref="A347:A348">{"FormulaRow36";(INDEX(CLASSLIST,A276,1))}</f>
        <v>FormulaRow36</v>
      </c>
      <c r="B347" s="77" t="s">
        <v>236</v>
      </c>
      <c r="C347" s="222" t="str">
        <f t="array" ref="C347:C348">{"CLASSTYPE";((INDEX(ALLCLASSDATA,MATCH("ClassType",CLASSFEATUREHEADERS,0),MATCH($A348,CLASSNAMEHEADERS,0))))}</f>
        <v>CLASSTYPE</v>
      </c>
      <c r="D347" s="222" t="str">
        <f t="array" ref="D347:D348">{"DEFENSE";"Defense"}</f>
        <v>DEFENSE</v>
      </c>
      <c r="E347" s="222" t="str">
        <f t="array" ref="E347:E348">{"LIGHT";"Light"}</f>
        <v>LIGHT</v>
      </c>
      <c r="F347" s="223" t="str">
        <f t="array" ref="F347:F348">{"LIGHTINITIAL";((IF(H348=10,"T",(IF(H348=50,"E","")))))}</f>
        <v>LIGHTINITIAL</v>
      </c>
      <c r="G347" s="223" t="str">
        <f t="array" ref="G347:G348">{"LIGHTINITIALPTS";((IF("00"=(INDEX(ALLCLASSDATA,MATCH("LightLegendary",CLASSFEATUREHEADERS,0),MATCH($A348,CLASSNAMEHEADERS,0))),(INDEX(ALLCLASSDATA,MATCH("LightLegendary",CLASSFEATUREHEADERS,0),MATCH(($A348 &amp; "Points"),CLASSNAMEHEADERS,0))),(IF("00"=(INDEX(ALLCLASSDATA,MATCH("LightMaster",CLASSFEATUREHEADERS,0),MATCH($A348,CLASSNAMEHEADERS,0))),(INDEX(ALLCLASSDATA,MATCH("LightMaster",CLASSFEATUREHEADERS,0),MATCH(($A348 &amp; "Points"),CLASSNAMEHEADERS,0))),(IF("00"=(INDEX(ALLCLASSDATA,MATCH("LightExpert",CLASSFEATUREHEADERS,0),MATCH($A348,CLASSNAMEHEADERS,0))),(INDEX(ALLCLASSDATA,MATCH("LightExpert",CLASSFEATUREHEADERS,0),MATCH(($A348 &amp; "Points"),CLASSNAMEHEADERS,0))),(IF("00"=(INDEX(ALLCLASSDATA,MATCH("LightTrained",CLASSFEATUREHEADERS,0),MATCH($A348,CLASSNAMEHEADERS,0))),(INDEX(ALLCLASSDATA,MATCH("LightTrained",CLASSFEATUREHEADERS,0),MATCH(($A348 &amp; "Points"),CLASSNAMEHEADERS,0))),"")))))))))}</f>
        <v>LIGHTINITIALPTS</v>
      </c>
      <c r="H347" s="223" t="str">
        <f t="array" ref="H347:H348">{"LIGHTL01";((IF("01"=(INDEX(ALLCLASSDATA,MATCH("LightLegendary",CLASSFEATUREHEADERS,0),MATCH($A348,CLASSNAMEHEADERS,0))),(INDEX(ALLCLASSDATA,MATCH("LightLegendary",CLASSFEATUREHEADERS,0),MATCH(($A348 &amp; "Points"),CLASSNAMEHEADERS,0))),(IF("01"=(INDEX(ALLCLASSDATA,MATCH("LightMaster",CLASSFEATUREHEADERS,0),MATCH($A348,CLASSNAMEHEADERS,0))),(INDEX(ALLCLASSDATA,MATCH("LightMaster",CLASSFEATUREHEADERS,0),MATCH(($A348 &amp; "Points"),CLASSNAMEHEADERS,0))),(IF("01"=(INDEX(ALLCLASSDATA,MATCH("LightExpert",CLASSFEATUREHEADERS,0),MATCH($A348,CLASSNAMEHEADERS,0))),(INDEX(ALLCLASSDATA,MATCH("LightExpert",CLASSFEATUREHEADERS,0),MATCH(($A348 &amp; "Points"),CLASSNAMEHEADERS,0))),(IF("01"=(INDEX(ALLCLASSDATA,MATCH("LightTrained",CLASSFEATUREHEADERS,0),MATCH($A348,CLASSNAMEHEADERS,0))),(INDEX(ALLCLASSDATA,MATCH("LightTrained",CLASSFEATUREHEADERS,0),MATCH(($A348 &amp; "Points"),CLASSNAMEHEADERS,0))),"")))))))))}</f>
        <v>LIGHTL01</v>
      </c>
      <c r="I347" s="223"/>
      <c r="J347" s="223" t="str">
        <f t="array" ref="J347:J348">{"LIGHTL03";((IF("03"=(INDEX(ALLCLASSDATA,MATCH("LightLegendary",CLASSFEATUREHEADERS,0),MATCH($A348,CLASSNAMEHEADERS,0))),(INDEX(ALLCLASSDATA,MATCH("LightLegendary",CLASSFEATUREHEADERS,0),MATCH(($A348 &amp; "Points"),CLASSNAMEHEADERS,0))),(IF("03"=(INDEX(ALLCLASSDATA,MATCH("LightMaster",CLASSFEATUREHEADERS,0),MATCH($A348,CLASSNAMEHEADERS,0))),(INDEX(ALLCLASSDATA,MATCH("LightMaster",CLASSFEATUREHEADERS,0),MATCH(($A348 &amp; "Points"),CLASSNAMEHEADERS,0))),(IF("03"=(INDEX(ALLCLASSDATA,MATCH("LightExpert",CLASSFEATUREHEADERS,0),MATCH($A348,CLASSNAMEHEADERS,0))),(INDEX(ALLCLASSDATA,MATCH("LightExpert",CLASSFEATUREHEADERS,0),MATCH(($A348 &amp; "Points"),CLASSNAMEHEADERS,0))),(IF("03"=(INDEX(ALLCLASSDATA,MATCH("LightTrained",CLASSFEATUREHEADERS,0),MATCH($A348,CLASSNAMEHEADERS,0))),(INDEX(ALLCLASSDATA,MATCH("LightTrained",CLASSFEATUREHEADERS,0),MATCH(($A348 &amp; "Points"),CLASSNAMEHEADERS,0))),"")))))))))}</f>
        <v>LIGHTL03</v>
      </c>
      <c r="K347" s="223"/>
      <c r="L347" s="223" t="str">
        <f t="array" ref="L347:L348">{"LIGHTL05";((IF("05"=(INDEX(ALLCLASSDATA,MATCH("LightLegendary",CLASSFEATUREHEADERS,0),MATCH($A348,CLASSNAMEHEADERS,0))),(INDEX(ALLCLASSDATA,MATCH("LightLegendary",CLASSFEATUREHEADERS,0),MATCH(($A348 &amp; "Points"),CLASSNAMEHEADERS,0))),(IF("05"=(INDEX(ALLCLASSDATA,MATCH("LightMaster",CLASSFEATUREHEADERS,0),MATCH($A348,CLASSNAMEHEADERS,0))),(INDEX(ALLCLASSDATA,MATCH("LightMaster",CLASSFEATUREHEADERS,0),MATCH(($A348 &amp; "Points"),CLASSNAMEHEADERS,0))),(IF("05"=(INDEX(ALLCLASSDATA,MATCH("LightExpert",CLASSFEATUREHEADERS,0),MATCH($A348,CLASSNAMEHEADERS,0))),(INDEX(ALLCLASSDATA,MATCH("LightExpert",CLASSFEATUREHEADERS,0),MATCH(($A348 &amp; "Points"),CLASSNAMEHEADERS,0))),(IF("05"=(INDEX(ALLCLASSDATA,MATCH("LightTrained",CLASSFEATUREHEADERS,0),MATCH($A348,CLASSNAMEHEADERS,0))),(INDEX(ALLCLASSDATA,MATCH("LightTrained",CLASSFEATUREHEADERS,0),MATCH(($A348 &amp; "Points"),CLASSNAMEHEADERS,0))),"")))))))))}</f>
        <v>LIGHTL05</v>
      </c>
      <c r="M347" s="223"/>
      <c r="N347" s="223" t="str">
        <f t="array" ref="N347:N348">{"LIGHTL07";((IF("07"=(INDEX(ALLCLASSDATA,MATCH("LightLegendary",CLASSFEATUREHEADERS,0),MATCH($A348,CLASSNAMEHEADERS,0))),(INDEX(ALLCLASSDATA,MATCH("LightLegendary",CLASSFEATUREHEADERS,0),MATCH(($A348 &amp; "Points"),CLASSNAMEHEADERS,0))),(IF("07"=(INDEX(ALLCLASSDATA,MATCH("LightMaster",CLASSFEATUREHEADERS,0),MATCH($A348,CLASSNAMEHEADERS,0))),(INDEX(ALLCLASSDATA,MATCH("LightMaster",CLASSFEATUREHEADERS,0),MATCH(($A348 &amp; "Points"),CLASSNAMEHEADERS,0))),(IF("07"=(INDEX(ALLCLASSDATA,MATCH("LightExpert",CLASSFEATUREHEADERS,0),MATCH($A348,CLASSNAMEHEADERS,0))),(INDEX(ALLCLASSDATA,MATCH("LightExpert",CLASSFEATUREHEADERS,0),MATCH(($A348 &amp; "Points"),CLASSNAMEHEADERS,0))),(IF("07"=(INDEX(ALLCLASSDATA,MATCH("LightTrained",CLASSFEATUREHEADERS,0),MATCH($A348,CLASSNAMEHEADERS,0))),(INDEX(ALLCLASSDATA,MATCH("LightTrained",CLASSFEATUREHEADERS,0),MATCH(($A348 &amp; "Points"),CLASSNAMEHEADERS,0))),"")))))))))}</f>
        <v>LIGHTL07</v>
      </c>
      <c r="O347" s="223"/>
      <c r="P347" s="223" t="str">
        <f t="array" ref="P347:P348">{"LIGHTL09";((IF("09"=(INDEX(ALLCLASSDATA,MATCH("LightLegendary",CLASSFEATUREHEADERS,0),MATCH($A348,CLASSNAMEHEADERS,0))),(INDEX(ALLCLASSDATA,MATCH("LightLegendary",CLASSFEATUREHEADERS,0),MATCH(($A348 &amp; "Points"),CLASSNAMEHEADERS,0))),(IF("09"=(INDEX(ALLCLASSDATA,MATCH("LightMaster",CLASSFEATUREHEADERS,0),MATCH($A348,CLASSNAMEHEADERS,0))),(INDEX(ALLCLASSDATA,MATCH("LightMaster",CLASSFEATUREHEADERS,0),MATCH(($A348 &amp; "Points"),CLASSNAMEHEADERS,0))),(IF("09"=(INDEX(ALLCLASSDATA,MATCH("LightExpert",CLASSFEATUREHEADERS,0),MATCH($A348,CLASSNAMEHEADERS,0))),(INDEX(ALLCLASSDATA,MATCH("LightExpert",CLASSFEATUREHEADERS,0),MATCH(($A348 &amp; "Points"),CLASSNAMEHEADERS,0))),(IF("09"=(INDEX(ALLCLASSDATA,MATCH("LightTrained",CLASSFEATUREHEADERS,0),MATCH($A348,CLASSNAMEHEADERS,0))),(INDEX(ALLCLASSDATA,MATCH("LightTrained",CLASSFEATUREHEADERS,0),MATCH(($A348 &amp; "Points"),CLASSNAMEHEADERS,0))),"")))))))))}</f>
        <v>LIGHTL09</v>
      </c>
      <c r="Q347" s="223"/>
      <c r="R347" s="223" t="str">
        <f t="array" ref="R347:R348">{"LIGHTL11";((IF("11"=(INDEX(ALLCLASSDATA,MATCH("LightLegendary",CLASSFEATUREHEADERS,0),MATCH($A348,CLASSNAMEHEADERS,0))),(INDEX(ALLCLASSDATA,MATCH("LightLegendary",CLASSFEATUREHEADERS,0),MATCH(($A348 &amp; "Points"),CLASSNAMEHEADERS,0))),(IF("11"=(INDEX(ALLCLASSDATA,MATCH("LightMaster",CLASSFEATUREHEADERS,0),MATCH($A348,CLASSNAMEHEADERS,0))),(INDEX(ALLCLASSDATA,MATCH("LightMaster",CLASSFEATUREHEADERS,0),MATCH(($A348 &amp; "Points"),CLASSNAMEHEADERS,0))),(IF("11"=(INDEX(ALLCLASSDATA,MATCH("LightExpert",CLASSFEATUREHEADERS,0),MATCH($A348,CLASSNAMEHEADERS,0))),(INDEX(ALLCLASSDATA,MATCH("LightExpert",CLASSFEATUREHEADERS,0),MATCH(($A348 &amp; "Points"),CLASSNAMEHEADERS,0))),(IF("11"=(INDEX(ALLCLASSDATA,MATCH("LightTrained",CLASSFEATUREHEADERS,0),MATCH($A348,CLASSNAMEHEADERS,0))),(INDEX(ALLCLASSDATA,MATCH("LightTrained",CLASSFEATUREHEADERS,0),MATCH(($A348 &amp; "Points"),CLASSNAMEHEADERS,0))),"")))))))))}</f>
        <v>LIGHTL11</v>
      </c>
      <c r="S347" s="223"/>
      <c r="T347" s="223" t="str">
        <f t="array" ref="T347:T348">{"LIGHTL13";((IF("13"=(INDEX(ALLCLASSDATA,MATCH("LightLegendary",CLASSFEATUREHEADERS,0),MATCH($A348,CLASSNAMEHEADERS,0))),(INDEX(ALLCLASSDATA,MATCH("LightLegendary",CLASSFEATUREHEADERS,0),MATCH(($A348 &amp; "Points"),CLASSNAMEHEADERS,0))),(IF("13"=(INDEX(ALLCLASSDATA,MATCH("LightMaster",CLASSFEATUREHEADERS,0),MATCH($A348,CLASSNAMEHEADERS,0))),(INDEX(ALLCLASSDATA,MATCH("LightMaster",CLASSFEATUREHEADERS,0),MATCH(($A348 &amp; "Points"),CLASSNAMEHEADERS,0))),(IF("13"=(INDEX(ALLCLASSDATA,MATCH("LightExpert",CLASSFEATUREHEADERS,0),MATCH($A348,CLASSNAMEHEADERS,0))),(INDEX(ALLCLASSDATA,MATCH("LightExpert",CLASSFEATUREHEADERS,0),MATCH(($A348 &amp; "Points"),CLASSNAMEHEADERS,0))),(IF("13"=(INDEX(ALLCLASSDATA,MATCH("LightTrained",CLASSFEATUREHEADERS,0),MATCH($A348,CLASSNAMEHEADERS,0))),(INDEX(ALLCLASSDATA,MATCH("LightTrained",CLASSFEATUREHEADERS,0),MATCH(($A348 &amp; "Points"),CLASSNAMEHEADERS,0))),"")))))))))}</f>
        <v>LIGHTL13</v>
      </c>
      <c r="U347" s="223"/>
      <c r="V347" s="223" t="str">
        <f t="array" ref="V347:V348">{"LIGHTL15";((IF("15"=(INDEX(ALLCLASSDATA,MATCH("LightLegendary",CLASSFEATUREHEADERS,0),MATCH($A348,CLASSNAMEHEADERS,0))),(INDEX(ALLCLASSDATA,MATCH("LightLegendary",CLASSFEATUREHEADERS,0),MATCH(($A348 &amp; "Points"),CLASSNAMEHEADERS,0))),(IF("15"=(INDEX(ALLCLASSDATA,MATCH("LightMaster",CLASSFEATUREHEADERS,0),MATCH($A348,CLASSNAMEHEADERS,0))),(INDEX(ALLCLASSDATA,MATCH("LightMaster",CLASSFEATUREHEADERS,0),MATCH(($A348 &amp; "Points"),CLASSNAMEHEADERS,0))),(IF("15"=(INDEX(ALLCLASSDATA,MATCH("LightExpert",CLASSFEATUREHEADERS,0),MATCH($A348,CLASSNAMEHEADERS,0))),(INDEX(ALLCLASSDATA,MATCH("LightExpert",CLASSFEATUREHEADERS,0),MATCH(($A348 &amp; "Points"),CLASSNAMEHEADERS,0))),(IF("15"=(INDEX(ALLCLASSDATA,MATCH("LightTrained",CLASSFEATUREHEADERS,0),MATCH($A348,CLASSNAMEHEADERS,0))),(INDEX(ALLCLASSDATA,MATCH("LightTrained",CLASSFEATUREHEADERS,0),MATCH(($A348 &amp; "Points"),CLASSNAMEHEADERS,0))),"")))))))))}</f>
        <v>LIGHTL15</v>
      </c>
      <c r="W347" s="223"/>
      <c r="X347" s="223" t="str">
        <f t="array" ref="X347:X348">{"LIGHTL17";((IF("17"=(INDEX(ALLCLASSDATA,MATCH("LightLegendary",CLASSFEATUREHEADERS,0),MATCH($A348,CLASSNAMEHEADERS,0))),(INDEX(ALLCLASSDATA,MATCH("LightLegendary",CLASSFEATUREHEADERS,0),MATCH(($A348 &amp; "Points"),CLASSNAMEHEADERS,0))),(IF("17"=(INDEX(ALLCLASSDATA,MATCH("LightMaster",CLASSFEATUREHEADERS,0),MATCH($A348,CLASSNAMEHEADERS,0))),(INDEX(ALLCLASSDATA,MATCH("LightMaster",CLASSFEATUREHEADERS,0),MATCH(($A348 &amp; "Points"),CLASSNAMEHEADERS,0))),(IF("17"=(INDEX(ALLCLASSDATA,MATCH("LightExpert",CLASSFEATUREHEADERS,0),MATCH($A348,CLASSNAMEHEADERS,0))),(INDEX(ALLCLASSDATA,MATCH("LightExpert",CLASSFEATUREHEADERS,0),MATCH(($A348 &amp; "Points"),CLASSNAMEHEADERS,0))),(IF("17"=(INDEX(ALLCLASSDATA,MATCH("LightTrained",CLASSFEATUREHEADERS,0),MATCH($A348,CLASSNAMEHEADERS,0))),(INDEX(ALLCLASSDATA,MATCH("LightTrained",CLASSFEATUREHEADERS,0),MATCH(($A348 &amp; "Points"),CLASSNAMEHEADERS,0))),"")))))))))}</f>
        <v>LIGHTL17</v>
      </c>
      <c r="Y347" s="223"/>
      <c r="Z347" s="223" t="str">
        <f t="array" ref="Z347:Z348">{"LIGHTL19";((IF("19"=(INDEX(ALLCLASSDATA,MATCH("LightLegendary",CLASSFEATUREHEADERS,0),MATCH($A348,CLASSNAMEHEADERS,0))),(INDEX(ALLCLASSDATA,MATCH("LightLegendary",CLASSFEATUREHEADERS,0),MATCH(($A348 &amp; "Points"),CLASSNAMEHEADERS,0))),(IF("19"=(INDEX(ALLCLASSDATA,MATCH("LightMaster",CLASSFEATUREHEADERS,0),MATCH($A348,CLASSNAMEHEADERS,0))),(INDEX(ALLCLASSDATA,MATCH("LightMaster",CLASSFEATUREHEADERS,0),MATCH(($A348 &amp; "Points"),CLASSNAMEHEADERS,0))),(IF("19"=(INDEX(ALLCLASSDATA,MATCH("LightExpert",CLASSFEATUREHEADERS,0),MATCH($A348,CLASSNAMEHEADERS,0))),(INDEX(ALLCLASSDATA,MATCH("LightExpert",CLASSFEATUREHEADERS,0),MATCH(($A348 &amp; "Points"),CLASSNAMEHEADERS,0))),(IF("19"=(INDEX(ALLCLASSDATA,MATCH("LightTrained",CLASSFEATUREHEADERS,0),MATCH($A348,CLASSNAMEHEADERS,0))),(INDEX(ALLCLASSDATA,MATCH("LightTrained",CLASSFEATUREHEADERS,0),MATCH(($A348 &amp; "Points"),CLASSNAMEHEADERS,0))),"")))))))))}</f>
        <v>LIGHTL19</v>
      </c>
      <c r="AA347" s="223"/>
      <c r="AB347" s="76" t="str">
        <f t="array" ref="AB347:AB348">{"LIGHT TOTAL";(IF(COUNTBLANK(G348:AA348)=17,"L",(IF(COUNTBLANK(G348:AA348)=18,"M",(IF(COUNTBLANK(G348:AA348)=19,"E",(IF(COUNTBLANK(G348:AA348)=20,"T",""))))))))}</f>
        <v>LIGHT TOTAL</v>
      </c>
      <c r="AC347" s="76" t="str">
        <f t="array" ref="AC347:AC348">{"LIGHT TOTAL";(sum(G348:AA348))}</f>
        <v>LIGHT TOTAL</v>
      </c>
    </row>
    <row r="348">
      <c r="A348" s="48" t="s">
        <v>114</v>
      </c>
      <c r="B348" s="48"/>
      <c r="C348" s="48" t="s">
        <v>412</v>
      </c>
      <c r="D348" s="48" t="s">
        <v>1900</v>
      </c>
      <c r="E348" s="48" t="s">
        <v>77</v>
      </c>
      <c r="F348" s="5" t="s">
        <v>435</v>
      </c>
      <c r="G348" s="47" t="s">
        <v>603</v>
      </c>
      <c r="H348" s="5">
        <v>10.0</v>
      </c>
      <c r="I348" s="5"/>
      <c r="J348" s="5" t="s">
        <v>603</v>
      </c>
      <c r="K348" s="5"/>
      <c r="L348" s="5" t="s">
        <v>603</v>
      </c>
      <c r="M348" s="5"/>
      <c r="N348" s="5" t="s">
        <v>603</v>
      </c>
      <c r="O348" s="5"/>
      <c r="P348" s="5" t="s">
        <v>603</v>
      </c>
      <c r="Q348" s="5"/>
      <c r="R348" s="5" t="s">
        <v>603</v>
      </c>
      <c r="S348" s="5"/>
      <c r="T348" s="5" t="s">
        <v>436</v>
      </c>
      <c r="U348" s="5"/>
      <c r="V348" s="5" t="s">
        <v>603</v>
      </c>
      <c r="W348" s="5"/>
      <c r="X348" s="5" t="s">
        <v>603</v>
      </c>
      <c r="Y348" s="5"/>
      <c r="Z348" s="5" t="s">
        <v>437</v>
      </c>
      <c r="AA348" s="5"/>
      <c r="AB348" s="5" t="s">
        <v>437</v>
      </c>
      <c r="AC348" s="47">
        <v>10.0</v>
      </c>
    </row>
    <row r="349" hidden="1">
      <c r="A349" s="222" t="str">
        <f t="array" ref="A349:A350">{"FormulaRow37";(INDEX(CLASSLIST,A276,1))}</f>
        <v>FormulaRow37</v>
      </c>
      <c r="B349" s="77" t="s">
        <v>236</v>
      </c>
      <c r="C349" s="222" t="str">
        <f t="array" ref="C349:C350">{"CLASSTYPE";((INDEX(ALLCLASSDATA,MATCH("ClassType",CLASSFEATUREHEADERS,0),MATCH($A350,CLASSNAMEHEADERS,0))))}</f>
        <v>CLASSTYPE</v>
      </c>
      <c r="D349" s="222" t="str">
        <f t="array" ref="D349:D350">{"DEFENSE";"Defense"}</f>
        <v>DEFENSE</v>
      </c>
      <c r="E349" s="222" t="str">
        <f t="array" ref="E349:E350">{"MEDIUM";"Medium"}</f>
        <v>MEDIUM</v>
      </c>
      <c r="F349" s="223" t="str">
        <f t="array" ref="F349:F350">{"MEDIUMINITIAL";((IF(H350=10,"T",(IF(H350=50,"E","")))))}</f>
        <v>MEDIUMINITIAL</v>
      </c>
      <c r="G349" s="223" t="str">
        <f t="array" ref="G349:G350">{"MEDIUMINITIALPTS";((IF("00"=(INDEX(ALLCLASSDATA,MATCH("MediumLegendary",CLASSFEATUREHEADERS,0),MATCH($A350,CLASSNAMEHEADERS,0))),(INDEX(ALLCLASSDATA,MATCH("MediumLegendary",CLASSFEATUREHEADERS,0),MATCH(($A350 &amp; "Points"),CLASSNAMEHEADERS,0))),(IF("00"=(INDEX(ALLCLASSDATA,MATCH("MediumMaster",CLASSFEATUREHEADERS,0),MATCH($A350,CLASSNAMEHEADERS,0))),(INDEX(ALLCLASSDATA,MATCH("MediumMaster",CLASSFEATUREHEADERS,0),MATCH(($A350 &amp; "Points"),CLASSNAMEHEADERS,0))),(IF("00"=(INDEX(ALLCLASSDATA,MATCH("MediumExpert",CLASSFEATUREHEADERS,0),MATCH($A350,CLASSNAMEHEADERS,0))),(INDEX(ALLCLASSDATA,MATCH("MediumExpert",CLASSFEATUREHEADERS,0),MATCH(($A350 &amp; "Points"),CLASSNAMEHEADERS,0))),(IF("00"=(INDEX(ALLCLASSDATA,MATCH("MediumTrained",CLASSFEATUREHEADERS,0),MATCH($A350,CLASSNAMEHEADERS,0))),(INDEX(ALLCLASSDATA,MATCH("MediumTrained",CLASSFEATUREHEADERS,0),MATCH(($A350 &amp; "Points"),CLASSNAMEHEADERS,0))),"")))))))))}</f>
        <v>MEDIUMINITIALPTS</v>
      </c>
      <c r="H349" s="223" t="str">
        <f t="array" ref="H349:H350">{"MEDIUML01";((IF("01"=(INDEX(ALLCLASSDATA,MATCH("MediumLegendary",CLASSFEATUREHEADERS,0),MATCH($A350,CLASSNAMEHEADERS,0))),(INDEX(ALLCLASSDATA,MATCH("MediumLegendary",CLASSFEATUREHEADERS,0),MATCH(($A350 &amp; "Points"),CLASSNAMEHEADERS,0))),(IF("01"=(INDEX(ALLCLASSDATA,MATCH("MediumMaster",CLASSFEATUREHEADERS,0),MATCH($A350,CLASSNAMEHEADERS,0))),(INDEX(ALLCLASSDATA,MATCH("MediumMaster",CLASSFEATUREHEADERS,0),MATCH(($A350 &amp; "Points"),CLASSNAMEHEADERS,0))),(IF("01"=(INDEX(ALLCLASSDATA,MATCH("MediumExpert",CLASSFEATUREHEADERS,0),MATCH($A350,CLASSNAMEHEADERS,0))),(INDEX(ALLCLASSDATA,MATCH("MediumExpert",CLASSFEATUREHEADERS,0),MATCH(($A350 &amp; "Points"),CLASSNAMEHEADERS,0))),(IF("01"=(INDEX(ALLCLASSDATA,MATCH("MediumTrained",CLASSFEATUREHEADERS,0),MATCH($A350,CLASSNAMEHEADERS,0))),(INDEX(ALLCLASSDATA,MATCH("MediumTrained",CLASSFEATUREHEADERS,0),MATCH(($A350 &amp; "Points"),CLASSNAMEHEADERS,0))),"")))))))))}</f>
        <v>MEDIUML01</v>
      </c>
      <c r="I349" s="223"/>
      <c r="J349" s="223" t="str">
        <f t="array" ref="J349:J350">{"MEDIUML03";((IF("03"=(INDEX(ALLCLASSDATA,MATCH("MediumLegendary",CLASSFEATUREHEADERS,0),MATCH($A350,CLASSNAMEHEADERS,0))),(INDEX(ALLCLASSDATA,MATCH("MediumLegendary",CLASSFEATUREHEADERS,0),MATCH(($A350 &amp; "Points"),CLASSNAMEHEADERS,0))),(IF("03"=(INDEX(ALLCLASSDATA,MATCH("MediumMaster",CLASSFEATUREHEADERS,0),MATCH($A350,CLASSNAMEHEADERS,0))),(INDEX(ALLCLASSDATA,MATCH("MediumMaster",CLASSFEATUREHEADERS,0),MATCH(($A350 &amp; "Points"),CLASSNAMEHEADERS,0))),(IF("03"=(INDEX(ALLCLASSDATA,MATCH("MediumExpert",CLASSFEATUREHEADERS,0),MATCH($A350,CLASSNAMEHEADERS,0))),(INDEX(ALLCLASSDATA,MATCH("MediumExpert",CLASSFEATUREHEADERS,0),MATCH(($A350 &amp; "Points"),CLASSNAMEHEADERS,0))),(IF("03"=(INDEX(ALLCLASSDATA,MATCH("MediumTrained",CLASSFEATUREHEADERS,0),MATCH($A350,CLASSNAMEHEADERS,0))),(INDEX(ALLCLASSDATA,MATCH("MediumTrained",CLASSFEATUREHEADERS,0),MATCH(($A350 &amp; "Points"),CLASSNAMEHEADERS,0))),"")))))))))}</f>
        <v>MEDIUML03</v>
      </c>
      <c r="K349" s="223"/>
      <c r="L349" s="223" t="str">
        <f t="array" ref="L349:L350">{"MEDIUML05";((IF("05"=(INDEX(ALLCLASSDATA,MATCH("MediumLegendary",CLASSFEATUREHEADERS,0),MATCH($A350,CLASSNAMEHEADERS,0))),(INDEX(ALLCLASSDATA,MATCH("MediumLegendary",CLASSFEATUREHEADERS,0),MATCH(($A350 &amp; "Points"),CLASSNAMEHEADERS,0))),(IF("05"=(INDEX(ALLCLASSDATA,MATCH("MediumMaster",CLASSFEATUREHEADERS,0),MATCH($A350,CLASSNAMEHEADERS,0))),(INDEX(ALLCLASSDATA,MATCH("MediumMaster",CLASSFEATUREHEADERS,0),MATCH(($A350 &amp; "Points"),CLASSNAMEHEADERS,0))),(IF("05"=(INDEX(ALLCLASSDATA,MATCH("MediumExpert",CLASSFEATUREHEADERS,0),MATCH($A350,CLASSNAMEHEADERS,0))),(INDEX(ALLCLASSDATA,MATCH("MediumExpert",CLASSFEATUREHEADERS,0),MATCH(($A350 &amp; "Points"),CLASSNAMEHEADERS,0))),(IF("05"=(INDEX(ALLCLASSDATA,MATCH("MediumTrained",CLASSFEATUREHEADERS,0),MATCH($A350,CLASSNAMEHEADERS,0))),(INDEX(ALLCLASSDATA,MATCH("MediumTrained",CLASSFEATUREHEADERS,0),MATCH(($A350 &amp; "Points"),CLASSNAMEHEADERS,0))),"")))))))))}</f>
        <v>MEDIUML05</v>
      </c>
      <c r="M349" s="223"/>
      <c r="N349" s="223" t="str">
        <f t="array" ref="N349:N350">{"MEDIUML07";((IF("07"=(INDEX(ALLCLASSDATA,MATCH("MediumLegendary",CLASSFEATUREHEADERS,0),MATCH($A350,CLASSNAMEHEADERS,0))),(INDEX(ALLCLASSDATA,MATCH("MediumLegendary",CLASSFEATUREHEADERS,0),MATCH(($A350 &amp; "Points"),CLASSNAMEHEADERS,0))),(IF("07"=(INDEX(ALLCLASSDATA,MATCH("MediumMaster",CLASSFEATUREHEADERS,0),MATCH($A350,CLASSNAMEHEADERS,0))),(INDEX(ALLCLASSDATA,MATCH("MediumMaster",CLASSFEATUREHEADERS,0),MATCH(($A350 &amp; "Points"),CLASSNAMEHEADERS,0))),(IF("07"=(INDEX(ALLCLASSDATA,MATCH("MediumExpert",CLASSFEATUREHEADERS,0),MATCH($A350,CLASSNAMEHEADERS,0))),(INDEX(ALLCLASSDATA,MATCH("MediumExpert",CLASSFEATUREHEADERS,0),MATCH(($A350 &amp; "Points"),CLASSNAMEHEADERS,0))),(IF("07"=(INDEX(ALLCLASSDATA,MATCH("MediumTrained",CLASSFEATUREHEADERS,0),MATCH($A350,CLASSNAMEHEADERS,0))),(INDEX(ALLCLASSDATA,MATCH("MediumTrained",CLASSFEATUREHEADERS,0),MATCH(($A350 &amp; "Points"),CLASSNAMEHEADERS,0))),"")))))))))}</f>
        <v>MEDIUML07</v>
      </c>
      <c r="O349" s="223"/>
      <c r="P349" s="223" t="str">
        <f t="array" ref="P349:P350">{"MEDIUML09";((IF("09"=(INDEX(ALLCLASSDATA,MATCH("MediumLegendary",CLASSFEATUREHEADERS,0),MATCH($A350,CLASSNAMEHEADERS,0))),(INDEX(ALLCLASSDATA,MATCH("MediumLegendary",CLASSFEATUREHEADERS,0),MATCH(($A350 &amp; "Points"),CLASSNAMEHEADERS,0))),(IF("09"=(INDEX(ALLCLASSDATA,MATCH("MediumMaster",CLASSFEATUREHEADERS,0),MATCH($A350,CLASSNAMEHEADERS,0))),(INDEX(ALLCLASSDATA,MATCH("MediumMaster",CLASSFEATUREHEADERS,0),MATCH(($A350 &amp; "Points"),CLASSNAMEHEADERS,0))),(IF("09"=(INDEX(ALLCLASSDATA,MATCH("MediumExpert",CLASSFEATUREHEADERS,0),MATCH($A350,CLASSNAMEHEADERS,0))),(INDEX(ALLCLASSDATA,MATCH("MediumExpert",CLASSFEATUREHEADERS,0),MATCH(($A350 &amp; "Points"),CLASSNAMEHEADERS,0))),(IF("09"=(INDEX(ALLCLASSDATA,MATCH("MediumTrained",CLASSFEATUREHEADERS,0),MATCH($A350,CLASSNAMEHEADERS,0))),(INDEX(ALLCLASSDATA,MATCH("MediumTrained",CLASSFEATUREHEADERS,0),MATCH(($A350 &amp; "Points"),CLASSNAMEHEADERS,0))),"")))))))))}</f>
        <v>MEDIUML09</v>
      </c>
      <c r="Q349" s="223"/>
      <c r="R349" s="223" t="str">
        <f t="array" ref="R349:R350">{"MEDIUML11";((IF("11"=(INDEX(ALLCLASSDATA,MATCH("MediumLegendary",CLASSFEATUREHEADERS,0),MATCH($A350,CLASSNAMEHEADERS,0))),(INDEX(ALLCLASSDATA,MATCH("MediumLegendary",CLASSFEATUREHEADERS,0),MATCH(($A350 &amp; "Points"),CLASSNAMEHEADERS,0))),(IF("11"=(INDEX(ALLCLASSDATA,MATCH("MediumMaster",CLASSFEATUREHEADERS,0),MATCH($A350,CLASSNAMEHEADERS,0))),(INDEX(ALLCLASSDATA,MATCH("MediumMaster",CLASSFEATUREHEADERS,0),MATCH(($A350 &amp; "Points"),CLASSNAMEHEADERS,0))),(IF("11"=(INDEX(ALLCLASSDATA,MATCH("MediumExpert",CLASSFEATUREHEADERS,0),MATCH($A350,CLASSNAMEHEADERS,0))),(INDEX(ALLCLASSDATA,MATCH("MediumExpert",CLASSFEATUREHEADERS,0),MATCH(($A350 &amp; "Points"),CLASSNAMEHEADERS,0))),(IF("11"=(INDEX(ALLCLASSDATA,MATCH("MediumTrained",CLASSFEATUREHEADERS,0),MATCH($A350,CLASSNAMEHEADERS,0))),(INDEX(ALLCLASSDATA,MATCH("MediumTrained",CLASSFEATUREHEADERS,0),MATCH(($A350 &amp; "Points"),CLASSNAMEHEADERS,0))),"")))))))))}</f>
        <v>MEDIUML11</v>
      </c>
      <c r="S349" s="223"/>
      <c r="T349" s="223" t="str">
        <f t="array" ref="T349:T350">{"MEDIUML13";((IF("13"=(INDEX(ALLCLASSDATA,MATCH("MediumLegendary",CLASSFEATUREHEADERS,0),MATCH($A350,CLASSNAMEHEADERS,0))),(INDEX(ALLCLASSDATA,MATCH("MediumLegendary",CLASSFEATUREHEADERS,0),MATCH(($A350 &amp; "Points"),CLASSNAMEHEADERS,0))),(IF("13"=(INDEX(ALLCLASSDATA,MATCH("MediumMaster",CLASSFEATUREHEADERS,0),MATCH($A350,CLASSNAMEHEADERS,0))),(INDEX(ALLCLASSDATA,MATCH("MediumMaster",CLASSFEATUREHEADERS,0),MATCH(($A350 &amp; "Points"),CLASSNAMEHEADERS,0))),(IF("13"=(INDEX(ALLCLASSDATA,MATCH("MediumExpert",CLASSFEATUREHEADERS,0),MATCH($A350,CLASSNAMEHEADERS,0))),(INDEX(ALLCLASSDATA,MATCH("MediumExpert",CLASSFEATUREHEADERS,0),MATCH(($A350 &amp; "Points"),CLASSNAMEHEADERS,0))),(IF("13"=(INDEX(ALLCLASSDATA,MATCH("MediumTrained",CLASSFEATUREHEADERS,0),MATCH($A350,CLASSNAMEHEADERS,0))),(INDEX(ALLCLASSDATA,MATCH("MediumTrained",CLASSFEATUREHEADERS,0),MATCH(($A350 &amp; "Points"),CLASSNAMEHEADERS,0))),"")))))))))}</f>
        <v>MEDIUML13</v>
      </c>
      <c r="U349" s="223"/>
      <c r="V349" s="223" t="str">
        <f t="array" ref="V349:V350">{"MEDIUML15";((IF("15"=(INDEX(ALLCLASSDATA,MATCH("MediumLegendary",CLASSFEATUREHEADERS,0),MATCH($A350,CLASSNAMEHEADERS,0))),(INDEX(ALLCLASSDATA,MATCH("MediumLegendary",CLASSFEATUREHEADERS,0),MATCH(($A350 &amp; "Points"),CLASSNAMEHEADERS,0))),(IF("15"=(INDEX(ALLCLASSDATA,MATCH("MediumMaster",CLASSFEATUREHEADERS,0),MATCH($A350,CLASSNAMEHEADERS,0))),(INDEX(ALLCLASSDATA,MATCH("MediumMaster",CLASSFEATUREHEADERS,0),MATCH(($A350 &amp; "Points"),CLASSNAMEHEADERS,0))),(IF("15"=(INDEX(ALLCLASSDATA,MATCH("MediumExpert",CLASSFEATUREHEADERS,0),MATCH($A350,CLASSNAMEHEADERS,0))),(INDEX(ALLCLASSDATA,MATCH("MediumExpert",CLASSFEATUREHEADERS,0),MATCH(($A350 &amp; "Points"),CLASSNAMEHEADERS,0))),(IF("15"=(INDEX(ALLCLASSDATA,MATCH("MediumTrained",CLASSFEATUREHEADERS,0),MATCH($A350,CLASSNAMEHEADERS,0))),(INDEX(ALLCLASSDATA,MATCH("MediumTrained",CLASSFEATUREHEADERS,0),MATCH(($A350 &amp; "Points"),CLASSNAMEHEADERS,0))),"")))))))))}</f>
        <v>MEDIUML15</v>
      </c>
      <c r="W349" s="223"/>
      <c r="X349" s="223" t="str">
        <f t="array" ref="X349:X350">{"MEDIUML17";((IF("17"=(INDEX(ALLCLASSDATA,MATCH("MediumLegendary",CLASSFEATUREHEADERS,0),MATCH($A350,CLASSNAMEHEADERS,0))),(INDEX(ALLCLASSDATA,MATCH("MediumLegendary",CLASSFEATUREHEADERS,0),MATCH(($A350 &amp; "Points"),CLASSNAMEHEADERS,0))),(IF("17"=(INDEX(ALLCLASSDATA,MATCH("MediumMaster",CLASSFEATUREHEADERS,0),MATCH($A350,CLASSNAMEHEADERS,0))),(INDEX(ALLCLASSDATA,MATCH("MediumMaster",CLASSFEATUREHEADERS,0),MATCH(($A350 &amp; "Points"),CLASSNAMEHEADERS,0))),(IF("17"=(INDEX(ALLCLASSDATA,MATCH("MediumExpert",CLASSFEATUREHEADERS,0),MATCH($A350,CLASSNAMEHEADERS,0))),(INDEX(ALLCLASSDATA,MATCH("MediumExpert",CLASSFEATUREHEADERS,0),MATCH(($A350 &amp; "Points"),CLASSNAMEHEADERS,0))),(IF("17"=(INDEX(ALLCLASSDATA,MATCH("MediumTrained",CLASSFEATUREHEADERS,0),MATCH($A350,CLASSNAMEHEADERS,0))),(INDEX(ALLCLASSDATA,MATCH("MediumTrained",CLASSFEATUREHEADERS,0),MATCH(($A350 &amp; "Points"),CLASSNAMEHEADERS,0))),"")))))))))}</f>
        <v>MEDIUML17</v>
      </c>
      <c r="Y349" s="223"/>
      <c r="Z349" s="223" t="str">
        <f t="array" ref="Z349:Z350">{"MEDIUML19";((IF("19"=(INDEX(ALLCLASSDATA,MATCH("MediumLegendary",CLASSFEATUREHEADERS,0),MATCH($A350,CLASSNAMEHEADERS,0))),(INDEX(ALLCLASSDATA,MATCH("MediumLegendary",CLASSFEATUREHEADERS,0),MATCH(($A350 &amp; "Points"),CLASSNAMEHEADERS,0))),(IF("19"=(INDEX(ALLCLASSDATA,MATCH("MediumMaster",CLASSFEATUREHEADERS,0),MATCH($A350,CLASSNAMEHEADERS,0))),(INDEX(ALLCLASSDATA,MATCH("MediumMaster",CLASSFEATUREHEADERS,0),MATCH(($A350 &amp; "Points"),CLASSNAMEHEADERS,0))),(IF("19"=(INDEX(ALLCLASSDATA,MATCH("MediumExpert",CLASSFEATUREHEADERS,0),MATCH($A350,CLASSNAMEHEADERS,0))),(INDEX(ALLCLASSDATA,MATCH("MediumExpert",CLASSFEATUREHEADERS,0),MATCH(($A350 &amp; "Points"),CLASSNAMEHEADERS,0))),(IF("19"=(INDEX(ALLCLASSDATA,MATCH("MediumTrained",CLASSFEATUREHEADERS,0),MATCH($A350,CLASSNAMEHEADERS,0))),(INDEX(ALLCLASSDATA,MATCH("MediumTrained",CLASSFEATUREHEADERS,0),MATCH(($A350 &amp; "Points"),CLASSNAMEHEADERS,0))),"")))))))))}</f>
        <v>MEDIUML19</v>
      </c>
      <c r="AA349" s="223"/>
      <c r="AB349" s="76" t="str">
        <f t="array" ref="AB349:AB350">{"MEDIUM TOTAL";(IF(COUNTBLANK(G350:AA350)=17,"L",(IF(COUNTBLANK(G350:AA350)=18,"M",(IF(COUNTBLANK(G350:AA350)=19,"E",(IF(COUNTBLANK(G350:AA350)=20,"T",""))))))))}</f>
        <v>MEDIUM TOTAL</v>
      </c>
      <c r="AC349" s="76" t="str">
        <f t="array" ref="AC349:AC350">{"MEDIUM TOTAL";(sum(G350:AA350))}</f>
        <v>MEDIUM TOTAL</v>
      </c>
    </row>
    <row r="350">
      <c r="A350" s="48" t="s">
        <v>114</v>
      </c>
      <c r="B350" s="48"/>
      <c r="C350" s="48" t="s">
        <v>412</v>
      </c>
      <c r="D350" s="48" t="s">
        <v>1900</v>
      </c>
      <c r="E350" s="48" t="s">
        <v>76</v>
      </c>
      <c r="F350" s="5" t="s">
        <v>435</v>
      </c>
      <c r="G350" s="47" t="s">
        <v>603</v>
      </c>
      <c r="H350" s="5">
        <v>10.0</v>
      </c>
      <c r="I350" s="5"/>
      <c r="J350" s="5" t="s">
        <v>603</v>
      </c>
      <c r="K350" s="5"/>
      <c r="L350" s="5" t="s">
        <v>603</v>
      </c>
      <c r="M350" s="5"/>
      <c r="N350" s="5" t="s">
        <v>603</v>
      </c>
      <c r="O350" s="5"/>
      <c r="P350" s="5" t="s">
        <v>603</v>
      </c>
      <c r="Q350" s="5"/>
      <c r="R350" s="5" t="s">
        <v>603</v>
      </c>
      <c r="S350" s="5"/>
      <c r="T350" s="5">
        <v>50.0</v>
      </c>
      <c r="U350" s="5"/>
      <c r="V350" s="5" t="s">
        <v>603</v>
      </c>
      <c r="W350" s="5"/>
      <c r="X350" s="5" t="s">
        <v>603</v>
      </c>
      <c r="Y350" s="5"/>
      <c r="Z350" s="5">
        <v>110.0</v>
      </c>
      <c r="AA350" s="5"/>
      <c r="AB350" s="5" t="s">
        <v>437</v>
      </c>
      <c r="AC350" s="47">
        <v>170.0</v>
      </c>
    </row>
    <row r="351" hidden="1">
      <c r="A351" s="222" t="str">
        <f t="array" ref="A351:A352">{"FormulaRow38";(INDEX(CLASSLIST,A276,1))}</f>
        <v>FormulaRow38</v>
      </c>
      <c r="B351" s="77" t="s">
        <v>236</v>
      </c>
      <c r="C351" s="222" t="str">
        <f t="array" ref="C351:C352">{"CLASSTYPE";((INDEX(ALLCLASSDATA,MATCH("ClassType",CLASSFEATUREHEADERS,0),MATCH($A352,CLASSNAMEHEADERS,0))))}</f>
        <v>CLASSTYPE</v>
      </c>
      <c r="D351" s="222" t="str">
        <f t="array" ref="D351:D352">{"DEFENSE";"Defense"}</f>
        <v>DEFENSE</v>
      </c>
      <c r="E351" s="222" t="str">
        <f t="array" ref="E351:E352">{"HEAVY";"Heavy"}</f>
        <v>HEAVY</v>
      </c>
      <c r="F351" s="223" t="str">
        <f t="array" ref="F351:F352">{"HEAVYINITIAL";((IF(H352=10,"T",(IF(H352=50,"E","")))))}</f>
        <v>HEAVYINITIAL</v>
      </c>
      <c r="G351" s="223" t="str">
        <f t="array" ref="G351:G352">{"HEAVYINITIALPTS";((IF("00"=(INDEX(ALLCLASSDATA,MATCH("HeavyLegendary",CLASSFEATUREHEADERS,0),MATCH($A352,CLASSNAMEHEADERS,0))),(INDEX(ALLCLASSDATA,MATCH("HeavyLegendary",CLASSFEATUREHEADERS,0),MATCH(($A352 &amp; "Points"),CLASSNAMEHEADERS,0))),(IF("00"=(INDEX(ALLCLASSDATA,MATCH("HeavyMaster",CLASSFEATUREHEADERS,0),MATCH($A352,CLASSNAMEHEADERS,0))),(INDEX(ALLCLASSDATA,MATCH("HeavyMaster",CLASSFEATUREHEADERS,0),MATCH(($A352 &amp; "Points"),CLASSNAMEHEADERS,0))),(IF("00"=(INDEX(ALLCLASSDATA,MATCH("HeavyExpert",CLASSFEATUREHEADERS,0),MATCH($A352,CLASSNAMEHEADERS,0))),(INDEX(ALLCLASSDATA,MATCH("HeavyExpert",CLASSFEATUREHEADERS,0),MATCH(($A352 &amp; "Points"),CLASSNAMEHEADERS,0))),(IF("00"=(INDEX(ALLCLASSDATA,MATCH("HeavyTrained",CLASSFEATUREHEADERS,0),MATCH($A352,CLASSNAMEHEADERS,0))),(INDEX(ALLCLASSDATA,MATCH("HeavyTrained",CLASSFEATUREHEADERS,0),MATCH(($A352 &amp; "Points"),CLASSNAMEHEADERS,0))),"")))))))))}</f>
        <v>HEAVYINITIALPTS</v>
      </c>
      <c r="H351" s="223" t="str">
        <f t="array" ref="H351:H352">{"HEAVYL01";((IF("01"=(INDEX(ALLCLASSDATA,MATCH("HeavyLegendary",CLASSFEATUREHEADERS,0),MATCH($A352,CLASSNAMEHEADERS,0))),(INDEX(ALLCLASSDATA,MATCH("HeavyLegendary",CLASSFEATUREHEADERS,0),MATCH(($A352 &amp; "Points"),CLASSNAMEHEADERS,0))),(IF("01"=(INDEX(ALLCLASSDATA,MATCH("HeavyMaster",CLASSFEATUREHEADERS,0),MATCH($A352,CLASSNAMEHEADERS,0))),(INDEX(ALLCLASSDATA,MATCH("HeavyMaster",CLASSFEATUREHEADERS,0),MATCH(($A352 &amp; "Points"),CLASSNAMEHEADERS,0))),(IF("01"=(INDEX(ALLCLASSDATA,MATCH("HeavyExpert",CLASSFEATUREHEADERS,0),MATCH($A352,CLASSNAMEHEADERS,0))),(INDEX(ALLCLASSDATA,MATCH("HeavyExpert",CLASSFEATUREHEADERS,0),MATCH(($A352 &amp; "Points"),CLASSNAMEHEADERS,0))),(IF("01"=(INDEX(ALLCLASSDATA,MATCH("HeavyTrained",CLASSFEATUREHEADERS,0),MATCH($A352,CLASSNAMEHEADERS,0))),(INDEX(ALLCLASSDATA,MATCH("HeavyTrained",CLASSFEATUREHEADERS,0),MATCH(($A352 &amp; "Points"),CLASSNAMEHEADERS,0))),"")))))))))}</f>
        <v>HEAVYL01</v>
      </c>
      <c r="I351" s="223"/>
      <c r="J351" s="223" t="str">
        <f t="array" ref="J351:J352">{"HEAVYL03";((IF("03"=(INDEX(ALLCLASSDATA,MATCH("HeavyLegendary",CLASSFEATUREHEADERS,0),MATCH($A352,CLASSNAMEHEADERS,0))),(INDEX(ALLCLASSDATA,MATCH("HeavyLegendary",CLASSFEATUREHEADERS,0),MATCH(($A352 &amp; "Points"),CLASSNAMEHEADERS,0))),(IF("03"=(INDEX(ALLCLASSDATA,MATCH("HeavyMaster",CLASSFEATUREHEADERS,0),MATCH($A352,CLASSNAMEHEADERS,0))),(INDEX(ALLCLASSDATA,MATCH("HeavyMaster",CLASSFEATUREHEADERS,0),MATCH(($A352 &amp; "Points"),CLASSNAMEHEADERS,0))),(IF("03"=(INDEX(ALLCLASSDATA,MATCH("HeavyExpert",CLASSFEATUREHEADERS,0),MATCH($A352,CLASSNAMEHEADERS,0))),(INDEX(ALLCLASSDATA,MATCH("HeavyExpert",CLASSFEATUREHEADERS,0),MATCH(($A352 &amp; "Points"),CLASSNAMEHEADERS,0))),(IF("03"=(INDEX(ALLCLASSDATA,MATCH("HeavyTrained",CLASSFEATUREHEADERS,0),MATCH($A352,CLASSNAMEHEADERS,0))),(INDEX(ALLCLASSDATA,MATCH("HeavyTrained",CLASSFEATUREHEADERS,0),MATCH(($A352 &amp; "Points"),CLASSNAMEHEADERS,0))),"")))))))))}</f>
        <v>HEAVYL03</v>
      </c>
      <c r="K351" s="223"/>
      <c r="L351" s="223" t="str">
        <f t="array" ref="L351:L352">{"HEAVYL05";((IF("05"=(INDEX(ALLCLASSDATA,MATCH("HeavyLegendary",CLASSFEATUREHEADERS,0),MATCH($A352,CLASSNAMEHEADERS,0))),(INDEX(ALLCLASSDATA,MATCH("HeavyLegendary",CLASSFEATUREHEADERS,0),MATCH(($A352 &amp; "Points"),CLASSNAMEHEADERS,0))),(IF("05"=(INDEX(ALLCLASSDATA,MATCH("HeavyMaster",CLASSFEATUREHEADERS,0),MATCH($A352,CLASSNAMEHEADERS,0))),(INDEX(ALLCLASSDATA,MATCH("HeavyMaster",CLASSFEATUREHEADERS,0),MATCH(($A352 &amp; "Points"),CLASSNAMEHEADERS,0))),(IF("05"=(INDEX(ALLCLASSDATA,MATCH("HeavyExpert",CLASSFEATUREHEADERS,0),MATCH($A352,CLASSNAMEHEADERS,0))),(INDEX(ALLCLASSDATA,MATCH("HeavyExpert",CLASSFEATUREHEADERS,0),MATCH(($A352 &amp; "Points"),CLASSNAMEHEADERS,0))),(IF("05"=(INDEX(ALLCLASSDATA,MATCH("HeavyTrained",CLASSFEATUREHEADERS,0),MATCH($A352,CLASSNAMEHEADERS,0))),(INDEX(ALLCLASSDATA,MATCH("HeavyTrained",CLASSFEATUREHEADERS,0),MATCH(($A352 &amp; "Points"),CLASSNAMEHEADERS,0))),"")))))))))}</f>
        <v>HEAVYL05</v>
      </c>
      <c r="M351" s="223"/>
      <c r="N351" s="223" t="str">
        <f t="array" ref="N351:N352">{"HEAVYL07";((IF("07"=(INDEX(ALLCLASSDATA,MATCH("HeavyLegendary",CLASSFEATUREHEADERS,0),MATCH($A352,CLASSNAMEHEADERS,0))),(INDEX(ALLCLASSDATA,MATCH("HeavyLegendary",CLASSFEATUREHEADERS,0),MATCH(($A352 &amp; "Points"),CLASSNAMEHEADERS,0))),(IF("07"=(INDEX(ALLCLASSDATA,MATCH("HeavyMaster",CLASSFEATUREHEADERS,0),MATCH($A352,CLASSNAMEHEADERS,0))),(INDEX(ALLCLASSDATA,MATCH("HeavyMaster",CLASSFEATUREHEADERS,0),MATCH(($A352 &amp; "Points"),CLASSNAMEHEADERS,0))),(IF("07"=(INDEX(ALLCLASSDATA,MATCH("HeavyExpert",CLASSFEATUREHEADERS,0),MATCH($A352,CLASSNAMEHEADERS,0))),(INDEX(ALLCLASSDATA,MATCH("HeavyExpert",CLASSFEATUREHEADERS,0),MATCH(($A352 &amp; "Points"),CLASSNAMEHEADERS,0))),(IF("07"=(INDEX(ALLCLASSDATA,MATCH("HeavyTrained",CLASSFEATUREHEADERS,0),MATCH($A352,CLASSNAMEHEADERS,0))),(INDEX(ALLCLASSDATA,MATCH("HeavyTrained",CLASSFEATUREHEADERS,0),MATCH(($A352 &amp; "Points"),CLASSNAMEHEADERS,0))),"")))))))))}</f>
        <v>HEAVYL07</v>
      </c>
      <c r="O351" s="223"/>
      <c r="P351" s="223" t="str">
        <f t="array" ref="P351:P352">{"HEAVYL09";((IF("09"=(INDEX(ALLCLASSDATA,MATCH("HeavyLegendary",CLASSFEATUREHEADERS,0),MATCH($A352,CLASSNAMEHEADERS,0))),(INDEX(ALLCLASSDATA,MATCH("HeavyLegendary",CLASSFEATUREHEADERS,0),MATCH(($A352 &amp; "Points"),CLASSNAMEHEADERS,0))),(IF("09"=(INDEX(ALLCLASSDATA,MATCH("HeavyMaster",CLASSFEATUREHEADERS,0),MATCH($A352,CLASSNAMEHEADERS,0))),(INDEX(ALLCLASSDATA,MATCH("HeavyMaster",CLASSFEATUREHEADERS,0),MATCH(($A352 &amp; "Points"),CLASSNAMEHEADERS,0))),(IF("09"=(INDEX(ALLCLASSDATA,MATCH("HeavyExpert",CLASSFEATUREHEADERS,0),MATCH($A352,CLASSNAMEHEADERS,0))),(INDEX(ALLCLASSDATA,MATCH("HeavyExpert",CLASSFEATUREHEADERS,0),MATCH(($A352 &amp; "Points"),CLASSNAMEHEADERS,0))),(IF("09"=(INDEX(ALLCLASSDATA,MATCH("HeavyTrained",CLASSFEATUREHEADERS,0),MATCH($A352,CLASSNAMEHEADERS,0))),(INDEX(ALLCLASSDATA,MATCH("HeavyTrained",CLASSFEATUREHEADERS,0),MATCH(($A352 &amp; "Points"),CLASSNAMEHEADERS,0))),"")))))))))}</f>
        <v>HEAVYL09</v>
      </c>
      <c r="Q351" s="223"/>
      <c r="R351" s="223" t="str">
        <f t="array" ref="R351:R352">{"HEAVYL11";((IF("11"=(INDEX(ALLCLASSDATA,MATCH("HeavyLegendary",CLASSFEATUREHEADERS,0),MATCH($A352,CLASSNAMEHEADERS,0))),(INDEX(ALLCLASSDATA,MATCH("HeavyLegendary",CLASSFEATUREHEADERS,0),MATCH(($A352 &amp; "Points"),CLASSNAMEHEADERS,0))),(IF("11"=(INDEX(ALLCLASSDATA,MATCH("HeavyMaster",CLASSFEATUREHEADERS,0),MATCH($A352,CLASSNAMEHEADERS,0))),(INDEX(ALLCLASSDATA,MATCH("HeavyMaster",CLASSFEATUREHEADERS,0),MATCH(($A352 &amp; "Points"),CLASSNAMEHEADERS,0))),(IF("11"=(INDEX(ALLCLASSDATA,MATCH("HeavyExpert",CLASSFEATUREHEADERS,0),MATCH($A352,CLASSNAMEHEADERS,0))),(INDEX(ALLCLASSDATA,MATCH("HeavyExpert",CLASSFEATUREHEADERS,0),MATCH(($A352 &amp; "Points"),CLASSNAMEHEADERS,0))),(IF("11"=(INDEX(ALLCLASSDATA,MATCH("HeavyTrained",CLASSFEATUREHEADERS,0),MATCH($A352,CLASSNAMEHEADERS,0))),(INDEX(ALLCLASSDATA,MATCH("HeavyTrained",CLASSFEATUREHEADERS,0),MATCH(($A352 &amp; "Points"),CLASSNAMEHEADERS,0))),"")))))))))}</f>
        <v>HEAVYL11</v>
      </c>
      <c r="S351" s="223"/>
      <c r="T351" s="223" t="str">
        <f t="array" ref="T351:T352">{"HEAVYL13";((IF("13"=(INDEX(ALLCLASSDATA,MATCH("HeavyLegendary",CLASSFEATUREHEADERS,0),MATCH($A352,CLASSNAMEHEADERS,0))),(INDEX(ALLCLASSDATA,MATCH("HeavyLegendary",CLASSFEATUREHEADERS,0),MATCH(($A352 &amp; "Points"),CLASSNAMEHEADERS,0))),(IF("13"=(INDEX(ALLCLASSDATA,MATCH("HeavyMaster",CLASSFEATUREHEADERS,0),MATCH($A352,CLASSNAMEHEADERS,0))),(INDEX(ALLCLASSDATA,MATCH("HeavyMaster",CLASSFEATUREHEADERS,0),MATCH(($A352 &amp; "Points"),CLASSNAMEHEADERS,0))),(IF("13"=(INDEX(ALLCLASSDATA,MATCH("HeavyExpert",CLASSFEATUREHEADERS,0),MATCH($A352,CLASSNAMEHEADERS,0))),(INDEX(ALLCLASSDATA,MATCH("HeavyExpert",CLASSFEATUREHEADERS,0),MATCH(($A352 &amp; "Points"),CLASSNAMEHEADERS,0))),(IF("13"=(INDEX(ALLCLASSDATA,MATCH("HeavyTrained",CLASSFEATUREHEADERS,0),MATCH($A352,CLASSNAMEHEADERS,0))),(INDEX(ALLCLASSDATA,MATCH("HeavyTrained",CLASSFEATUREHEADERS,0),MATCH(($A352 &amp; "Points"),CLASSNAMEHEADERS,0))),"")))))))))}</f>
        <v>HEAVYL13</v>
      </c>
      <c r="U351" s="223"/>
      <c r="V351" s="223" t="str">
        <f t="array" ref="V351:V352">{"HEAVYL15";((IF("15"=(INDEX(ALLCLASSDATA,MATCH("HeavyLegendary",CLASSFEATUREHEADERS,0),MATCH($A352,CLASSNAMEHEADERS,0))),(INDEX(ALLCLASSDATA,MATCH("HeavyLegendary",CLASSFEATUREHEADERS,0),MATCH(($A352 &amp; "Points"),CLASSNAMEHEADERS,0))),(IF("15"=(INDEX(ALLCLASSDATA,MATCH("HeavyMaster",CLASSFEATUREHEADERS,0),MATCH($A352,CLASSNAMEHEADERS,0))),(INDEX(ALLCLASSDATA,MATCH("HeavyMaster",CLASSFEATUREHEADERS,0),MATCH(($A352 &amp; "Points"),CLASSNAMEHEADERS,0))),(IF("15"=(INDEX(ALLCLASSDATA,MATCH("HeavyExpert",CLASSFEATUREHEADERS,0),MATCH($A352,CLASSNAMEHEADERS,0))),(INDEX(ALLCLASSDATA,MATCH("HeavyExpert",CLASSFEATUREHEADERS,0),MATCH(($A352 &amp; "Points"),CLASSNAMEHEADERS,0))),(IF("15"=(INDEX(ALLCLASSDATA,MATCH("HeavyTrained",CLASSFEATUREHEADERS,0),MATCH($A352,CLASSNAMEHEADERS,0))),(INDEX(ALLCLASSDATA,MATCH("HeavyTrained",CLASSFEATUREHEADERS,0),MATCH(($A352 &amp; "Points"),CLASSNAMEHEADERS,0))),"")))))))))}</f>
        <v>HEAVYL15</v>
      </c>
      <c r="W351" s="223"/>
      <c r="X351" s="223" t="str">
        <f t="array" ref="X351:X352">{"HEAVYL17";((IF("17"=(INDEX(ALLCLASSDATA,MATCH("HeavyLegendary",CLASSFEATUREHEADERS,0),MATCH($A352,CLASSNAMEHEADERS,0))),(INDEX(ALLCLASSDATA,MATCH("HeavyLegendary",CLASSFEATUREHEADERS,0),MATCH(($A352 &amp; "Points"),CLASSNAMEHEADERS,0))),(IF("17"=(INDEX(ALLCLASSDATA,MATCH("HeavyMaster",CLASSFEATUREHEADERS,0),MATCH($A352,CLASSNAMEHEADERS,0))),(INDEX(ALLCLASSDATA,MATCH("HeavyMaster",CLASSFEATUREHEADERS,0),MATCH(($A352 &amp; "Points"),CLASSNAMEHEADERS,0))),(IF("17"=(INDEX(ALLCLASSDATA,MATCH("HeavyExpert",CLASSFEATUREHEADERS,0),MATCH($A352,CLASSNAMEHEADERS,0))),(INDEX(ALLCLASSDATA,MATCH("HeavyExpert",CLASSFEATUREHEADERS,0),MATCH(($A352 &amp; "Points"),CLASSNAMEHEADERS,0))),(IF("17"=(INDEX(ALLCLASSDATA,MATCH("HeavyTrained",CLASSFEATUREHEADERS,0),MATCH($A352,CLASSNAMEHEADERS,0))),(INDEX(ALLCLASSDATA,MATCH("HeavyTrained",CLASSFEATUREHEADERS,0),MATCH(($A352 &amp; "Points"),CLASSNAMEHEADERS,0))),"")))))))))}</f>
        <v>HEAVYL17</v>
      </c>
      <c r="Y351" s="223"/>
      <c r="Z351" s="223" t="str">
        <f t="array" ref="Z351:Z352">{"HEAVYL19";((IF("19"=(INDEX(ALLCLASSDATA,MATCH("HeavyLegendary",CLASSFEATUREHEADERS,0),MATCH($A352,CLASSNAMEHEADERS,0))),(INDEX(ALLCLASSDATA,MATCH("HeavyLegendary",CLASSFEATUREHEADERS,0),MATCH(($A352 &amp; "Points"),CLASSNAMEHEADERS,0))),(IF("19"=(INDEX(ALLCLASSDATA,MATCH("HeavyMaster",CLASSFEATUREHEADERS,0),MATCH($A352,CLASSNAMEHEADERS,0))),(INDEX(ALLCLASSDATA,MATCH("HeavyMaster",CLASSFEATUREHEADERS,0),MATCH(($A352 &amp; "Points"),CLASSNAMEHEADERS,0))),(IF("19"=(INDEX(ALLCLASSDATA,MATCH("HeavyExpert",CLASSFEATUREHEADERS,0),MATCH($A352,CLASSNAMEHEADERS,0))),(INDEX(ALLCLASSDATA,MATCH("HeavyExpert",CLASSFEATUREHEADERS,0),MATCH(($A352 &amp; "Points"),CLASSNAMEHEADERS,0))),(IF("19"=(INDEX(ALLCLASSDATA,MATCH("HeavyTrained",CLASSFEATUREHEADERS,0),MATCH($A352,CLASSNAMEHEADERS,0))),(INDEX(ALLCLASSDATA,MATCH("HeavyTrained",CLASSFEATUREHEADERS,0),MATCH(($A352 &amp; "Points"),CLASSNAMEHEADERS,0))),"")))))))))}</f>
        <v>HEAVYL19</v>
      </c>
      <c r="AA351" s="223"/>
      <c r="AB351" s="76" t="str">
        <f t="array" ref="AB351:AB352">{"HEAVY TOTAL";(IF(COUNTBLANK(G352:AA352)=17,"L",(IF(COUNTBLANK(G352:AA352)=18,"M",(IF(COUNTBLANK(G352:AA352)=19,"E",(IF(COUNTBLANK(G352:AA352)=20,"T",""))))))))}</f>
        <v>HEAVY TOTAL</v>
      </c>
      <c r="AC351" s="76" t="str">
        <f t="array" ref="AC351:AC352">{"HEAVY TOTAL";(sum(G352:AA352))}</f>
        <v>HEAVY TOTAL</v>
      </c>
    </row>
    <row r="352">
      <c r="A352" s="48" t="s">
        <v>114</v>
      </c>
      <c r="B352" s="48"/>
      <c r="C352" s="48" t="s">
        <v>412</v>
      </c>
      <c r="D352" s="97" t="s">
        <v>1900</v>
      </c>
      <c r="E352" s="97" t="s">
        <v>533</v>
      </c>
      <c r="F352" s="98" t="s">
        <v>603</v>
      </c>
      <c r="G352" s="132" t="s">
        <v>603</v>
      </c>
      <c r="H352" s="98" t="s">
        <v>603</v>
      </c>
      <c r="I352" s="98"/>
      <c r="J352" s="98" t="s">
        <v>603</v>
      </c>
      <c r="K352" s="98"/>
      <c r="L352" s="98" t="s">
        <v>603</v>
      </c>
      <c r="M352" s="98"/>
      <c r="N352" s="98" t="s">
        <v>603</v>
      </c>
      <c r="O352" s="98"/>
      <c r="P352" s="98" t="s">
        <v>603</v>
      </c>
      <c r="Q352" s="98"/>
      <c r="R352" s="98" t="s">
        <v>603</v>
      </c>
      <c r="S352" s="98"/>
      <c r="T352" s="98" t="s">
        <v>603</v>
      </c>
      <c r="U352" s="98"/>
      <c r="V352" s="98" t="s">
        <v>603</v>
      </c>
      <c r="W352" s="98"/>
      <c r="X352" s="98" t="s">
        <v>603</v>
      </c>
      <c r="Y352" s="98"/>
      <c r="Z352" s="98" t="s">
        <v>603</v>
      </c>
      <c r="AA352" s="98"/>
      <c r="AB352" s="5" t="s">
        <v>603</v>
      </c>
      <c r="AC352" s="47">
        <v>0.0</v>
      </c>
    </row>
    <row r="353" hidden="1">
      <c r="A353" s="222" t="str">
        <f t="array" ref="A353:A354">{"FormulaRow39";(INDEX(CLASSLIST,A276,1))}</f>
        <v>FormulaRow39</v>
      </c>
      <c r="B353" s="77" t="s">
        <v>236</v>
      </c>
      <c r="C353" s="222" t="str">
        <f t="array" ref="C353:C354">{"CLASSTYPE";((INDEX(ALLCLASSDATA,MATCH("ClassType",CLASSFEATUREHEADERS,0),MATCH($A354,CLASSNAMEHEADERS,0))))}</f>
        <v>CLASSTYPE</v>
      </c>
      <c r="D353" s="222" t="str">
        <f t="array" ref="D353:D354">{"SPELL/ALCHEMY";((IF(INDEX(ALLCLASSDATA,MATCH("CasterType",CLASSFEATUREHEADERS,0),MATCH(($A354),CLASSNAMEHEADERS,0))="","",(IF(INDEX(ALLCLASSDATA,MATCH("CasterType",CLASSFEATUREHEADERS,0),MATCH(($A354),CLASSNAMEHEADERS,0))="Alchemy","Alchemy","Spells")))))}</f>
        <v>SPELL/ALCHEMY</v>
      </c>
      <c r="E353" s="222" t="str">
        <f t="array" ref="E353:E354">{"SPELLLIST";(IF(D354="Spells",((INDEX(ALLCLASSDATA,MATCH("CasterType",CLASSFEATUREHEADERS,0),MATCH(($A354),CLASSNAMEHEADERS,0))) &amp; ":" &amp; (INDEX(ALLCLASSDATA,MATCH("SpellList",CLASSFEATUREHEADERS,0),MATCH(($A354),CLASSNAMEHEADERS,0)))),""))}</f>
        <v>SPELLLIST</v>
      </c>
      <c r="F353" s="223" t="str">
        <f t="array" ref="F353:F354">{"SPL";(IF(D354="Spells","SPL:",""))}</f>
        <v>SPL</v>
      </c>
      <c r="G353" s="223" t="str">
        <f t="array" ref="G353:G354">{"CANTRIP/ALC";(IF(D354="Spells","C",(IF(D354="Alchemy","ALC:",""))))}</f>
        <v>CANTRIP/ALC</v>
      </c>
      <c r="H353" s="223" t="str">
        <f t="array" ref="H353:H354">{"SPELL/ALC L01";(IF(D354="Alchemy","L01",(IF(D354="Spells","S01",""))))}</f>
        <v>SPELL/ALC L01</v>
      </c>
      <c r="I353" s="223" t="str">
        <f t="array" ref="I353:I354">{"SPELL/ALC L02";(IF(D354="Alchemy","L02",(IF(D354="Spells","S01",""))))}</f>
        <v>SPELL/ALC L02</v>
      </c>
      <c r="J353" s="223" t="str">
        <f t="array" ref="J353:J354">{"SPELL/ALC L03";(IF(D354="Alchemy","L03",(IF(D354="Spells","S02",""))))}</f>
        <v>SPELL/ALC L03</v>
      </c>
      <c r="K353" s="223" t="str">
        <f t="array" ref="K353:K354">{"SPELL/ALC L04";(IF(D354="Alchemy","L04",(IF(D354="Spells","S02",""))))}</f>
        <v>SPELL/ALC L04</v>
      </c>
      <c r="L353" s="223" t="str">
        <f t="array" ref="L353:L354">{"SPELL/ALC L05";(IF(D354="Alchemy","L05",(IF(D354="Spells","S03",""))))}</f>
        <v>SPELL/ALC L05</v>
      </c>
      <c r="M353" s="223" t="str">
        <f t="array" ref="M353:M354">{"SPELL/ALC L06";(IF(D354="Alchemy","L06",(IF(D354="Spells","S03",""))))}</f>
        <v>SPELL/ALC L06</v>
      </c>
      <c r="N353" s="223" t="str">
        <f t="array" ref="N353:N354">{"SPELL/ALC L07";(IF(D354="Alchemy","L07",(IF(D354="Spells","S04",""))))}</f>
        <v>SPELL/ALC L07</v>
      </c>
      <c r="O353" s="223" t="str">
        <f t="array" ref="O353:O354">{"SPELL/ALC L08";(IF(D354="Alchemy","L08",(IF(D354="Spells","S04",""))))}</f>
        <v>SPELL/ALC L08</v>
      </c>
      <c r="P353" s="223" t="str">
        <f t="array" ref="P353:P354">{"SPELL/ALC L09";(IF(D354="Alchemy","L09",(IF(D354="Spells","S05",""))))}</f>
        <v>SPELL/ALC L09</v>
      </c>
      <c r="Q353" s="223" t="str">
        <f t="array" ref="Q353:Q354">{"SPELL/ALC L10";(IF(D354="Alchemy","L10",(IF(D354="Spells","S05",""))))}</f>
        <v>SPELL/ALC L10</v>
      </c>
      <c r="R353" s="223" t="str">
        <f t="array" ref="R353:R354">{"SPELL/ALC L11";(IF(D354="Alchemy","L11",(IF(D354="Spells","S06",""))))}</f>
        <v>SPELL/ALC L11</v>
      </c>
      <c r="S353" s="223" t="str">
        <f t="array" ref="S353:S354">{"SPELL/ALC L12";(IF(D354="Alchemy","L12",(IF(D354="Spells","S06",""))))}</f>
        <v>SPELL/ALC L12</v>
      </c>
      <c r="T353" s="223" t="str">
        <f t="array" ref="T353:T354">{"SPELL/ALC L13";(IF(D354="Alchemy","L13",(IF(D354="Spells","S07",""))))}</f>
        <v>SPELL/ALC L13</v>
      </c>
      <c r="U353" s="223" t="str">
        <f t="array" ref="U353:U354">{"SPELL/ALC L14";(IF(D354="Alchemy","L14",(IF(D354="Spells","S07",""))))}</f>
        <v>SPELL/ALC L14</v>
      </c>
      <c r="V353" s="223" t="str">
        <f t="array" ref="V353:V354">{"SPELL/ALC L15";(IF(D354="Alchemy","L15",(IF(D354="Spells","S08",""))))}</f>
        <v>SPELL/ALC L15</v>
      </c>
      <c r="W353" s="223" t="str">
        <f t="array" ref="W353:W354">{"SPELL/ALC L16";(IF(D354="Alchemy","L16",(IF(D354="Spells","S08",""))))}</f>
        <v>SPELL/ALC L16</v>
      </c>
      <c r="X353" s="223" t="str">
        <f t="array" ref="X353:X354">{"SPELL/ALC L17";(IF(D354="Alchemy","L17",(IF(D354="Spells","S09",""))))}</f>
        <v>SPELL/ALC L17</v>
      </c>
      <c r="Y353" s="223" t="str">
        <f t="array" ref="Y353:Y354">{"SPELL/ALC L18";(IF(D354="Alchemy","L18",(IF(D354="Spells","S09",""))))}</f>
        <v>SPELL/ALC L18</v>
      </c>
      <c r="Z353" s="223" t="str">
        <f t="array" ref="Z353:Z354">{"SPELL/ALC L19";(IF(D354="Alchemy","L19",(IF(D354="Spells","S10",""))))}</f>
        <v>SPELL/ALC L19</v>
      </c>
      <c r="AA353" s="223" t="str">
        <f t="array" ref="AA353:AA354">{"SPELL/ALC L20";(IF(D354="Alchemy","L20",(IF(D354="Spells","S10",""))))}</f>
        <v>SPELL/ALC L20</v>
      </c>
      <c r="AB353" s="76"/>
      <c r="AC353" s="76"/>
    </row>
    <row r="354">
      <c r="A354" s="48" t="s">
        <v>114</v>
      </c>
      <c r="B354" s="48"/>
      <c r="C354" s="48" t="s">
        <v>412</v>
      </c>
      <c r="D354" s="48" t="s">
        <v>603</v>
      </c>
      <c r="E354" s="48" t="s">
        <v>603</v>
      </c>
      <c r="F354" s="278" t="s">
        <v>603</v>
      </c>
      <c r="G354" s="114" t="s">
        <v>603</v>
      </c>
      <c r="H354" s="279" t="s">
        <v>603</v>
      </c>
      <c r="I354" s="28" t="s">
        <v>603</v>
      </c>
      <c r="J354" s="28" t="s">
        <v>603</v>
      </c>
      <c r="K354" s="28" t="s">
        <v>603</v>
      </c>
      <c r="L354" s="28" t="s">
        <v>603</v>
      </c>
      <c r="M354" s="28" t="s">
        <v>603</v>
      </c>
      <c r="N354" s="28" t="s">
        <v>603</v>
      </c>
      <c r="O354" s="28" t="s">
        <v>603</v>
      </c>
      <c r="P354" s="28" t="s">
        <v>603</v>
      </c>
      <c r="Q354" s="28" t="s">
        <v>603</v>
      </c>
      <c r="R354" s="28" t="s">
        <v>603</v>
      </c>
      <c r="S354" s="28" t="s">
        <v>603</v>
      </c>
      <c r="T354" s="28" t="s">
        <v>603</v>
      </c>
      <c r="U354" s="28" t="s">
        <v>603</v>
      </c>
      <c r="V354" s="28" t="s">
        <v>603</v>
      </c>
      <c r="W354" s="28" t="s">
        <v>603</v>
      </c>
      <c r="X354" s="28" t="s">
        <v>603</v>
      </c>
      <c r="Y354" s="28" t="s">
        <v>603</v>
      </c>
      <c r="Z354" s="28" t="s">
        <v>603</v>
      </c>
      <c r="AA354" s="28" t="s">
        <v>603</v>
      </c>
      <c r="AB354" s="5"/>
      <c r="AC354" s="47"/>
    </row>
    <row r="355" hidden="1">
      <c r="A355" s="222" t="str">
        <f t="array" ref="A355:A356">{"FormulaRow40";(INDEX(CLASSLIST,A276,1))}</f>
        <v>FormulaRow40</v>
      </c>
      <c r="B355" s="77" t="s">
        <v>236</v>
      </c>
      <c r="C355" s="222" t="str">
        <f t="array" ref="C355:C356">{"CLASSTYPE";((INDEX(ALLCLASSDATA,MATCH("ClassType",CLASSFEATUREHEADERS,0),MATCH($A356,CLASSNAMEHEADERS,0))))}</f>
        <v>CLASSTYPE</v>
      </c>
      <c r="D355" s="222" t="str">
        <f t="array" ref="D355:D356">{"SPELL/ALCHEMY";((IF(INDEX(ALLCLASSDATA,MATCH("CasterType",CLASSFEATUREHEADERS,0),MATCH(($A356),CLASSNAMEHEADERS,0))="","",(IF(INDEX(ALLCLASSDATA,MATCH("CasterType",CLASSFEATUREHEADERS,0),MATCH(($A356),CLASSNAMEHEADERS,0))="Alchemy","","Spells")))))}</f>
        <v>SPELL/ALCHEMY</v>
      </c>
      <c r="E355" s="222" t="str">
        <f t="array" ref="E355:E356">{"SPELLLIST";(IF(D356="Spells",((INDEX(ALLCLASSDATA,MATCH("CasterType",CLASSFEATUREHEADERS,0),MATCH(($A356),CLASSNAMEHEADERS,0))) &amp; ":" &amp; (INDEX(ALLCLASSDATA,MATCH("SpellList",CLASSFEATUREHEADERS,0),MATCH(($A356),CLASSNAMEHEADERS,0)))),""))}</f>
        <v>SPELLLIST</v>
      </c>
      <c r="F355" s="222" t="str">
        <f t="array" ref="F355:F356">{"SLOTCOST";(IF(D356="Spells","SlotCost:",""))}</f>
        <v>SLOTCOST</v>
      </c>
      <c r="G355" s="222" t="str">
        <f t="array" ref="G355:G356">{"SLOTCOST CANTRIP";(INDEX(ALLCLASSDATA,MATCH("CantripSlots-L00",CLASSFEATUREHEADERS,0),MATCH(($A356 &amp; "Points"),CLASSNAMEHEADERS,0)))}</f>
        <v>SLOTCOST CANTRIP</v>
      </c>
      <c r="H355" s="222" t="str">
        <f t="array" ref="H355:H356">{"SLOTCOST L01";(INDEX(ALLCLASSDATA,MATCH("SPL01-L01",CLASSFEATUREHEADERS,0),MATCH(($A356 &amp; "Points"),CLASSNAMEHEADERS,0)))}</f>
        <v>SLOTCOST L01</v>
      </c>
      <c r="I355" s="222" t="str">
        <f t="array" ref="I355:I356">{"SLOTCOST L02";(INDEX(ALLCLASSDATA,MATCH("SPL01-L02",CLASSFEATUREHEADERS,0),MATCH(($A356 &amp; "Points"),CLASSNAMEHEADERS,0)))}</f>
        <v>SLOTCOST L02</v>
      </c>
      <c r="J355" s="222" t="str">
        <f t="array" ref="J355:J356">{"SLOTCOST L03";(INDEX(ALLCLASSDATA,MATCH("SPL02-L03",CLASSFEATUREHEADERS,0),MATCH(($A356 &amp; "Points"),CLASSNAMEHEADERS,0)))}</f>
        <v>SLOTCOST L03</v>
      </c>
      <c r="K355" s="222" t="str">
        <f t="array" ref="K355:K356">{"SLOTCOST L04";(INDEX(ALLCLASSDATA,MATCH("SPL02-L04",CLASSFEATUREHEADERS,0),MATCH(($A356 &amp; "Points"),CLASSNAMEHEADERS,0)))}</f>
        <v>SLOTCOST L04</v>
      </c>
      <c r="L355" s="222" t="str">
        <f t="array" ref="L355:L356">{"SLOTCOST L05";(INDEX(ALLCLASSDATA,MATCH("SPL03-L05",CLASSFEATUREHEADERS,0),MATCH(($A356 &amp; "Points"),CLASSNAMEHEADERS,0)))}</f>
        <v>SLOTCOST L05</v>
      </c>
      <c r="M355" s="222" t="str">
        <f t="array" ref="M355:M356">{"SLOTCOST L06";(INDEX(ALLCLASSDATA,MATCH("SPL03-L06",CLASSFEATUREHEADERS,0),MATCH(($A356 &amp; "Points"),CLASSNAMEHEADERS,0)))}</f>
        <v>SLOTCOST L06</v>
      </c>
      <c r="N355" s="222" t="str">
        <f t="array" ref="N355:N356">{"SLOTCOST L07";(INDEX(ALLCLASSDATA,MATCH("SPL04-L07",CLASSFEATUREHEADERS,0),MATCH(($A356 &amp; "Points"),CLASSNAMEHEADERS,0)))}</f>
        <v>SLOTCOST L07</v>
      </c>
      <c r="O355" s="222" t="str">
        <f t="array" ref="O355:O356">{"SLOTCOST L08";(INDEX(ALLCLASSDATA,MATCH("SPL04-L08",CLASSFEATUREHEADERS,0),MATCH(($A356 &amp; "Points"),CLASSNAMEHEADERS,0)))}</f>
        <v>SLOTCOST L08</v>
      </c>
      <c r="P355" s="222" t="str">
        <f t="array" ref="P355:P356">{"SLOTCOST L09";(INDEX(ALLCLASSDATA,MATCH("SPL05-L09",CLASSFEATUREHEADERS,0),MATCH(($A356 &amp; "Points"),CLASSNAMEHEADERS,0)))}</f>
        <v>SLOTCOST L09</v>
      </c>
      <c r="Q355" s="222" t="str">
        <f t="array" ref="Q355:Q356">{"SLOTCOST L10";(INDEX(ALLCLASSDATA,MATCH("SPL05-L10",CLASSFEATUREHEADERS,0),MATCH(($A356 &amp; "Points"),CLASSNAMEHEADERS,0)))}</f>
        <v>SLOTCOST L10</v>
      </c>
      <c r="R355" s="222" t="str">
        <f t="array" ref="R355:R356">{"SLOTCOST L11";(INDEX(ALLCLASSDATA,MATCH("SPL06-L11",CLASSFEATUREHEADERS,0),MATCH(($A356 &amp; "Points"),CLASSNAMEHEADERS,0)))}</f>
        <v>SLOTCOST L11</v>
      </c>
      <c r="S355" s="222" t="str">
        <f t="array" ref="S355:S356">{"SLOTCOST L12";(INDEX(ALLCLASSDATA,MATCH("SPL06-L12",CLASSFEATUREHEADERS,0),MATCH(($A356 &amp; "Points"),CLASSNAMEHEADERS,0)))}</f>
        <v>SLOTCOST L12</v>
      </c>
      <c r="T355" s="222" t="str">
        <f t="array" ref="T355:T356">{"SLOTCOST L13";(INDEX(ALLCLASSDATA,MATCH("SPL07-L13",CLASSFEATUREHEADERS,0),MATCH(($A356 &amp; "Points"),CLASSNAMEHEADERS,0)))}</f>
        <v>SLOTCOST L13</v>
      </c>
      <c r="U355" s="222" t="str">
        <f t="array" ref="U355:U356">{"SLOTCOST L14";(INDEX(ALLCLASSDATA,MATCH("SPL07-L14",CLASSFEATUREHEADERS,0),MATCH(($A356 &amp; "Points"),CLASSNAMEHEADERS,0)))}</f>
        <v>SLOTCOST L14</v>
      </c>
      <c r="V355" s="222" t="str">
        <f t="array" ref="V355:V356">{"SLOTCOST L15";(INDEX(ALLCLASSDATA,MATCH("SPL08-L15",CLASSFEATUREHEADERS,0),MATCH(($A356 &amp; "Points"),CLASSNAMEHEADERS,0)))}</f>
        <v>SLOTCOST L15</v>
      </c>
      <c r="W355" s="222" t="str">
        <f t="array" ref="W355:W356">{"SLOTCOST L16";(INDEX(ALLCLASSDATA,MATCH("SPL08-L16",CLASSFEATUREHEADERS,0),MATCH(($A356 &amp; "Points"),CLASSNAMEHEADERS,0)))}</f>
        <v>SLOTCOST L16</v>
      </c>
      <c r="X355" s="222" t="str">
        <f t="array" ref="X355:X356">{"SLOTCOST L17";(INDEX(ALLCLASSDATA,MATCH("SPL09-L17",CLASSFEATUREHEADERS,0),MATCH(($A356 &amp; "Points"),CLASSNAMEHEADERS,0)))}</f>
        <v>SLOTCOST L17</v>
      </c>
      <c r="Y355" s="222" t="str">
        <f t="array" ref="Y355:Y356">{"SLOTCOST L18";(INDEX(ALLCLASSDATA,MATCH("SPL09-L18",CLASSFEATUREHEADERS,0),MATCH(($A356 &amp; "Points"),CLASSNAMEHEADERS,0)))}</f>
        <v>SLOTCOST L18</v>
      </c>
      <c r="Z355" s="222" t="str">
        <f t="array" ref="Z355:Z356">{"SLOTCOST L19";(INDEX(ALLCLASSDATA,MATCH("SPL10-L19",CLASSFEATUREHEADERS,0),MATCH(($A356 &amp; "Points"),CLASSNAMEHEADERS,0)))}</f>
        <v>SLOTCOST L19</v>
      </c>
      <c r="AA355" s="222" t="str">
        <f t="array" ref="AA355:AA356">{"SLOTCOST L20";(INDEX(ALLCLASSDATA,MATCH("SPL10-L20",CLASSFEATUREHEADERS,0),MATCH(($A356 &amp; "Points"),CLASSNAMEHEADERS,0)))}</f>
        <v>SLOTCOST L20</v>
      </c>
      <c r="AB355" s="76"/>
      <c r="AC355" s="76" t="str">
        <f t="array" ref="AC355:AC356">{"SLOT TOTAL";(sum(G356:AA356))}</f>
        <v>SLOT TOTAL</v>
      </c>
    </row>
    <row r="356">
      <c r="A356" s="48" t="s">
        <v>114</v>
      </c>
      <c r="B356" s="48"/>
      <c r="C356" s="48" t="s">
        <v>412</v>
      </c>
      <c r="D356" s="48" t="s">
        <v>603</v>
      </c>
      <c r="E356" s="48" t="s">
        <v>603</v>
      </c>
      <c r="F356" s="278" t="s">
        <v>603</v>
      </c>
      <c r="G356" s="47" t="s">
        <v>603</v>
      </c>
      <c r="H356" s="5" t="s">
        <v>603</v>
      </c>
      <c r="I356" s="5" t="s">
        <v>603</v>
      </c>
      <c r="J356" s="5" t="s">
        <v>603</v>
      </c>
      <c r="K356" s="5" t="s">
        <v>603</v>
      </c>
      <c r="L356" s="5" t="s">
        <v>603</v>
      </c>
      <c r="M356" s="48" t="s">
        <v>603</v>
      </c>
      <c r="N356" s="5" t="s">
        <v>603</v>
      </c>
      <c r="O356" s="5" t="s">
        <v>603</v>
      </c>
      <c r="P356" s="5" t="s">
        <v>603</v>
      </c>
      <c r="Q356" s="5" t="s">
        <v>603</v>
      </c>
      <c r="R356" s="5" t="s">
        <v>603</v>
      </c>
      <c r="S356" s="5" t="s">
        <v>603</v>
      </c>
      <c r="T356" s="5" t="s">
        <v>603</v>
      </c>
      <c r="U356" s="5" t="s">
        <v>603</v>
      </c>
      <c r="V356" s="5" t="s">
        <v>603</v>
      </c>
      <c r="W356" s="5" t="s">
        <v>603</v>
      </c>
      <c r="X356" s="5" t="s">
        <v>603</v>
      </c>
      <c r="Y356" s="5" t="s">
        <v>603</v>
      </c>
      <c r="Z356" s="5" t="s">
        <v>603</v>
      </c>
      <c r="AA356" s="5" t="s">
        <v>603</v>
      </c>
      <c r="AB356" s="5"/>
      <c r="AC356" s="47">
        <v>0.0</v>
      </c>
    </row>
    <row r="357" hidden="1">
      <c r="A357" s="222" t="str">
        <f t="array" ref="A357:A358">{"FormulaRow41";(INDEX(CLASSLIST,A276,1))}</f>
        <v>FormulaRow41</v>
      </c>
      <c r="B357" s="77" t="s">
        <v>236</v>
      </c>
      <c r="C357" s="222" t="str">
        <f t="array" ref="C357:C358">{"CLASSTYPE";((INDEX(ALLCLASSDATA,MATCH("ClassType",CLASSFEATUREHEADERS,0),MATCH($A358,CLASSNAMEHEADERS,0))))}</f>
        <v>CLASSTYPE</v>
      </c>
      <c r="D357" s="222" t="str">
        <f t="array" ref="D357:D358">{"SPELL/ALCHEMY";((IF(INDEX(ALLCLASSDATA,MATCH("CasterType",CLASSFEATUREHEADERS,0),MATCH(($A358),CLASSNAMEHEADERS,0))="","",(IF(INDEX(ALLCLASSDATA,MATCH("CasterType",CLASSFEATUREHEADERS,0),MATCH(($A358),CLASSNAMEHEADERS,0))="Alchemy","Alchemy","Spells")))))}</f>
        <v>SPELL/ALCHEMY</v>
      </c>
      <c r="E357" s="222" t="str">
        <f t="array" ref="E357:E358">{"SPELLLIST";(IF(D358="Spells",((INDEX(ALLCLASSDATA,MATCH("CasterType",CLASSFEATUREHEADERS,0),MATCH(($A358),CLASSNAMEHEADERS,0))) &amp; ":" &amp; (INDEX(ALLCLASSDATA,MATCH("SpellList",CLASSFEATUREHEADERS,0),MATCH(($A358),CLASSNAMEHEADERS,0)))),""))}</f>
        <v>SPELLLIST</v>
      </c>
      <c r="F357" s="223" t="str">
        <f t="array" ref="F357:F358">{"LEARNEDCOST";(IF(D358="","","LearnCost:"))}</f>
        <v>LEARNEDCOST</v>
      </c>
      <c r="G357" s="223" t="str">
        <f t="array" ref="G357:G358">{"LEARNED CANTRIPS";(INDEX(ALLCLASSDATA,MATCH("CantripsLearned-L00",CLASSFEATUREHEADERS,0),MATCH(($A358 &amp; "Points"),CLASSNAMEHEADERS,0)))}</f>
        <v>LEARNED CANTRIPS</v>
      </c>
      <c r="H357" s="223" t="str">
        <f t="array" ref="H357:H358">{"LEARNED L01";(INDEX(ALLCLASSDATA,MATCH("Learned-L01",CLASSFEATUREHEADERS,0),MATCH(($A358 &amp; "Points"),CLASSNAMEHEADERS,0)))}</f>
        <v>LEARNED L01</v>
      </c>
      <c r="I357" s="223" t="str">
        <f t="array" ref="I357:I358">{"LEARNED L02";(INDEX(ALLCLASSDATA,MATCH("Learned-L02",CLASSFEATUREHEADERS,0),MATCH(($A358 &amp; "Points"),CLASSNAMEHEADERS,0)))}</f>
        <v>LEARNED L02</v>
      </c>
      <c r="J357" s="223" t="str">
        <f t="array" ref="J357:J358">{"LEARNED L03";(INDEX(ALLCLASSDATA,MATCH("Learned-L03",CLASSFEATUREHEADERS,0),MATCH(($A358 &amp; "Points"),CLASSNAMEHEADERS,0)))}</f>
        <v>LEARNED L03</v>
      </c>
      <c r="K357" s="223" t="str">
        <f t="array" ref="K357:K358">{"LEARNED L04";(INDEX(ALLCLASSDATA,MATCH("Learned-L04",CLASSFEATUREHEADERS,0),MATCH(($A358 &amp; "Points"),CLASSNAMEHEADERS,0)))}</f>
        <v>LEARNED L04</v>
      </c>
      <c r="L357" s="223" t="str">
        <f t="array" ref="L357:L358">{"LEARNED L05";(INDEX(ALLCLASSDATA,MATCH("Learned-L05",CLASSFEATUREHEADERS,0),MATCH(($A358 &amp; "Points"),CLASSNAMEHEADERS,0)))}</f>
        <v>LEARNED L05</v>
      </c>
      <c r="M357" s="223" t="str">
        <f t="array" ref="M357:M358">{"LEARNED L06";(INDEX(ALLCLASSDATA,MATCH("Learned-L06",CLASSFEATUREHEADERS,0),MATCH(($A358 &amp; "Points"),CLASSNAMEHEADERS,0)))}</f>
        <v>LEARNED L06</v>
      </c>
      <c r="N357" s="223" t="str">
        <f t="array" ref="N357:N358">{"LEARNED L07";(INDEX(ALLCLASSDATA,MATCH("Learned-L07",CLASSFEATUREHEADERS,0),MATCH(($A358 &amp; "Points"),CLASSNAMEHEADERS,0)))}</f>
        <v>LEARNED L07</v>
      </c>
      <c r="O357" s="223" t="str">
        <f t="array" ref="O357:O358">{"LEARNED L08";(INDEX(ALLCLASSDATA,MATCH("Learned-L08",CLASSFEATUREHEADERS,0),MATCH(($A358 &amp; "Points"),CLASSNAMEHEADERS,0)))}</f>
        <v>LEARNED L08</v>
      </c>
      <c r="P357" s="223" t="str">
        <f t="array" ref="P357:P358">{"LEARNED L09";(INDEX(ALLCLASSDATA,MATCH("Learned-L09",CLASSFEATUREHEADERS,0),MATCH(($A358 &amp; "Points"),CLASSNAMEHEADERS,0)))}</f>
        <v>LEARNED L09</v>
      </c>
      <c r="Q357" s="223" t="str">
        <f t="array" ref="Q357:Q358">{"LEARNED L10";(INDEX(ALLCLASSDATA,MATCH("Learned-L10",CLASSFEATUREHEADERS,0),MATCH(($A358 &amp; "Points"),CLASSNAMEHEADERS,0)))}</f>
        <v>LEARNED L10</v>
      </c>
      <c r="R357" s="223" t="str">
        <f t="array" ref="R357:R358">{"LEARNED L11";(INDEX(ALLCLASSDATA,MATCH("Learned-L11",CLASSFEATUREHEADERS,0),MATCH(($A358 &amp; "Points"),CLASSNAMEHEADERS,0)))}</f>
        <v>LEARNED L11</v>
      </c>
      <c r="S357" s="223" t="str">
        <f t="array" ref="S357:S358">{"LEARNED L12";(INDEX(ALLCLASSDATA,MATCH("Learned-L12",CLASSFEATUREHEADERS,0),MATCH(($A358 &amp; "Points"),CLASSNAMEHEADERS,0)))}</f>
        <v>LEARNED L12</v>
      </c>
      <c r="T357" s="223" t="str">
        <f t="array" ref="T357:T358">{"LEARNED L13";(INDEX(ALLCLASSDATA,MATCH("Learned-L13",CLASSFEATUREHEADERS,0),MATCH(($A358 &amp; "Points"),CLASSNAMEHEADERS,0)))}</f>
        <v>LEARNED L13</v>
      </c>
      <c r="U357" s="223" t="str">
        <f t="array" ref="U357:U358">{"LEARNED L14";(INDEX(ALLCLASSDATA,MATCH("Learned-L14",CLASSFEATUREHEADERS,0),MATCH(($A358 &amp; "Points"),CLASSNAMEHEADERS,0)))}</f>
        <v>LEARNED L14</v>
      </c>
      <c r="V357" s="223" t="str">
        <f t="array" ref="V357:V358">{"LEARNED L15";(INDEX(ALLCLASSDATA,MATCH("Learned-L15",CLASSFEATUREHEADERS,0),MATCH(($A358 &amp; "Points"),CLASSNAMEHEADERS,0)))}</f>
        <v>LEARNED L15</v>
      </c>
      <c r="W357" s="223" t="str">
        <f t="array" ref="W357:W358">{"LEARNED L16";(INDEX(ALLCLASSDATA,MATCH("Learned-L16",CLASSFEATUREHEADERS,0),MATCH(($A358 &amp; "Points"),CLASSNAMEHEADERS,0)))}</f>
        <v>LEARNED L16</v>
      </c>
      <c r="X357" s="223" t="str">
        <f t="array" ref="X357:X358">{"LEARNED L17";(INDEX(ALLCLASSDATA,MATCH("Learned-L17",CLASSFEATUREHEADERS,0),MATCH(($A358 &amp; "Points"),CLASSNAMEHEADERS,0)))}</f>
        <v>LEARNED L17</v>
      </c>
      <c r="Y357" s="223" t="str">
        <f t="array" ref="Y357:Y358">{"LEARNED L18";(INDEX(ALLCLASSDATA,MATCH("Learned-L18",CLASSFEATUREHEADERS,0),MATCH(($A358 &amp; "Points"),CLASSNAMEHEADERS,0)))}</f>
        <v>LEARNED L18</v>
      </c>
      <c r="Z357" s="223" t="str">
        <f t="array" ref="Z357:Z358">{"LEARNED L19";(INDEX(ALLCLASSDATA,MATCH("Learned-L19",CLASSFEATUREHEADERS,0),MATCH(($A358 &amp; "Points"),CLASSNAMEHEADERS,0)))}</f>
        <v>LEARNED L19</v>
      </c>
      <c r="AA357" s="223" t="str">
        <f t="array" ref="AA357:AA358">{"LEARNED L20";(INDEX(ALLCLASSDATA,MATCH("Learned-L20",CLASSFEATUREHEADERS,0),MATCH(($A358 &amp; "Points"),CLASSNAMEHEADERS,0)))}</f>
        <v>LEARNED L20</v>
      </c>
      <c r="AB357" s="76"/>
      <c r="AC357" s="76" t="str">
        <f t="array" ref="AC357:AC358">{"LEARNED TOTAL";(sum(G358:AA358))}</f>
        <v>LEARNED TOTAL</v>
      </c>
    </row>
    <row r="358">
      <c r="A358" s="48" t="s">
        <v>114</v>
      </c>
      <c r="B358" s="48"/>
      <c r="C358" s="48" t="s">
        <v>412</v>
      </c>
      <c r="D358" s="48" t="s">
        <v>603</v>
      </c>
      <c r="E358" s="48" t="s">
        <v>603</v>
      </c>
      <c r="F358" s="278" t="s">
        <v>603</v>
      </c>
      <c r="G358" s="47" t="s">
        <v>603</v>
      </c>
      <c r="H358" s="5" t="s">
        <v>603</v>
      </c>
      <c r="I358" s="5" t="s">
        <v>603</v>
      </c>
      <c r="J358" s="5" t="s">
        <v>603</v>
      </c>
      <c r="K358" s="5" t="s">
        <v>603</v>
      </c>
      <c r="L358" s="5" t="s">
        <v>603</v>
      </c>
      <c r="M358" s="5" t="s">
        <v>603</v>
      </c>
      <c r="N358" s="48" t="s">
        <v>603</v>
      </c>
      <c r="O358" s="5" t="s">
        <v>603</v>
      </c>
      <c r="P358" s="5" t="s">
        <v>603</v>
      </c>
      <c r="Q358" s="5" t="s">
        <v>603</v>
      </c>
      <c r="R358" s="5" t="s">
        <v>603</v>
      </c>
      <c r="S358" s="5" t="s">
        <v>603</v>
      </c>
      <c r="T358" s="5" t="s">
        <v>603</v>
      </c>
      <c r="U358" s="5" t="s">
        <v>603</v>
      </c>
      <c r="V358" s="5" t="s">
        <v>603</v>
      </c>
      <c r="W358" s="5" t="s">
        <v>603</v>
      </c>
      <c r="X358" s="5" t="s">
        <v>603</v>
      </c>
      <c r="Y358" s="5" t="s">
        <v>603</v>
      </c>
      <c r="Z358" s="5" t="s">
        <v>603</v>
      </c>
      <c r="AA358" s="5" t="s">
        <v>603</v>
      </c>
      <c r="AB358" s="5"/>
      <c r="AC358" s="47">
        <v>0.0</v>
      </c>
    </row>
    <row r="359" hidden="1">
      <c r="A359" s="222" t="str">
        <f t="array" ref="A359:A360">{"FormulaRow42";(INDEX(CLASSLIST,A276,1))}</f>
        <v>FormulaRow42</v>
      </c>
      <c r="B359" s="77" t="s">
        <v>236</v>
      </c>
      <c r="C359" s="222" t="str">
        <f t="array" ref="C359:C360">{"CLASSTYPE";((INDEX(ALLCLASSDATA,MATCH("ClassType",CLASSFEATUREHEADERS,0),MATCH($A360,CLASSNAMEHEADERS,0))))}</f>
        <v>CLASSTYPE</v>
      </c>
      <c r="D359" s="222" t="str">
        <f t="array" ref="D359:D360">{"SPELL/ALCHEMY";((IF(INDEX(ALLCLASSDATA,MATCH("CasterType",CLASSFEATUREHEADERS,0),MATCH(($A360),CLASSNAMEHEADERS,0))="","",(IF(INDEX(ALLCLASSDATA,MATCH("CasterType",CLASSFEATUREHEADERS,0),MATCH(($A360),CLASSNAMEHEADERS,0))="Alchemy","","Spells")))))}</f>
        <v>SPELL/ALCHEMY</v>
      </c>
      <c r="E359" s="222" t="str">
        <f t="array" ref="E359:E360">{"SPELLLIST";(IF(D360="Spells",((INDEX(ALLCLASSDATA,MATCH("CasterType",CLASSFEATUREHEADERS,0),MATCH(($A360),CLASSNAMEHEADERS,0))) &amp; ":" &amp; (INDEX(ALLCLASSDATA,MATCH("SpellList",CLASSFEATUREHEADERS,0),MATCH(($A360),CLASSNAMEHEADERS,0)))),""))}</f>
        <v>SPELLLIST</v>
      </c>
      <c r="F359" s="223" t="str">
        <f t="array" ref="F359:F360">{"SLOT/LVL";(IF(D354="Spells","Slot/LVL:",""))}</f>
        <v>SLOT/LVL</v>
      </c>
      <c r="G359" s="223" t="str">
        <f t="array" ref="G359:G360">{"CANTRIPSLOTS";(INDEX(ALLCLASSDATA,MATCH("CantripSlots-L00",CLASSFEATUREHEADERS,0),MATCH($A360,CLASSNAMEHEADERS,0)))}</f>
        <v>CANTRIPSLOTS</v>
      </c>
      <c r="H359" s="223" t="str">
        <f t="array" ref="H359:H360">{"SPL01-L01";(INDEX(ALLCLASSDATA,MATCH("SPL01-L01",CLASSFEATUREHEADERS,0),MATCH($A360,CLASSNAMEHEADERS,0)))}</f>
        <v>SPL01-L01</v>
      </c>
      <c r="I359" s="223" t="str">
        <f t="array" ref="I359:I360">{"SPL01-L02";(INDEX(ALLCLASSDATA,MATCH("SPL01-L02",CLASSFEATUREHEADERS,0),MATCH($A360,CLASSNAMEHEADERS,0)))}</f>
        <v>SPL01-L02</v>
      </c>
      <c r="J359" s="223" t="str">
        <f t="array" ref="J359:J360">{"SPL02-L03";(INDEX(ALLCLASSDATA,MATCH("SPL02-L03",CLASSFEATUREHEADERS,0),MATCH($A360,CLASSNAMEHEADERS,0)))}</f>
        <v>SPL02-L03</v>
      </c>
      <c r="K359" s="223" t="str">
        <f t="array" ref="K359:K360">{"SPL02-L04";(INDEX(ALLCLASSDATA,MATCH("SPL02-L04",CLASSFEATUREHEADERS,0),MATCH($A360,CLASSNAMEHEADERS,0)))}</f>
        <v>SPL02-L04</v>
      </c>
      <c r="L359" s="223" t="str">
        <f t="array" ref="L359:L360">{"SPL03-L05";(INDEX(ALLCLASSDATA,MATCH("SPL03-L05",CLASSFEATUREHEADERS,0),MATCH($A360,CLASSNAMEHEADERS,0)))}</f>
        <v>SPL03-L05</v>
      </c>
      <c r="M359" s="223" t="str">
        <f t="array" ref="M359:M360">{"SPL03-L06";(INDEX(ALLCLASSDATA,MATCH("SPL03-L06",CLASSFEATUREHEADERS,0),MATCH($A360,CLASSNAMEHEADERS,0)))}</f>
        <v>SPL03-L06</v>
      </c>
      <c r="N359" s="223" t="str">
        <f t="array" ref="N359:N360">{"SPL04-L07";(INDEX(ALLCLASSDATA,MATCH("SPL04-L07",CLASSFEATUREHEADERS,0),MATCH($A360,CLASSNAMEHEADERS,0)))}</f>
        <v>SPL04-L07</v>
      </c>
      <c r="O359" s="223" t="str">
        <f t="array" ref="O359:O360">{"SPL04-L08";(INDEX(ALLCLASSDATA,MATCH("SPL04-L08",CLASSFEATUREHEADERS,0),MATCH($A360,CLASSNAMEHEADERS,0)))}</f>
        <v>SPL04-L08</v>
      </c>
      <c r="P359" s="223" t="str">
        <f t="array" ref="P359:P360">{"SPL05-L09";(INDEX(ALLCLASSDATA,MATCH("SPL05-L09",CLASSFEATUREHEADERS,0),MATCH($A360,CLASSNAMEHEADERS,0)))}</f>
        <v>SPL05-L09</v>
      </c>
      <c r="Q359" s="223" t="str">
        <f t="array" ref="Q359:Q360">{"SPL05-L10";(INDEX(ALLCLASSDATA,MATCH("SPL05-L10",CLASSFEATUREHEADERS,0),MATCH($A360,CLASSNAMEHEADERS,0)))}</f>
        <v>SPL05-L10</v>
      </c>
      <c r="R359" s="223" t="str">
        <f t="array" ref="R359:R360">{"SPL06-L11";(INDEX(ALLCLASSDATA,MATCH("SPL06-L11",CLASSFEATUREHEADERS,0),MATCH($A360,CLASSNAMEHEADERS,0)))}</f>
        <v>SPL06-L11</v>
      </c>
      <c r="S359" s="223" t="str">
        <f t="array" ref="S359:S360">{"SPL06-L12";(INDEX(ALLCLASSDATA,MATCH("SPL06-L12",CLASSFEATUREHEADERS,0),MATCH($A360,CLASSNAMEHEADERS,0)))}</f>
        <v>SPL06-L12</v>
      </c>
      <c r="T359" s="223" t="str">
        <f t="array" ref="T359:T360">{"SPL07-L13";(INDEX(ALLCLASSDATA,MATCH("SPL07-L13",CLASSFEATUREHEADERS,0),MATCH($A360,CLASSNAMEHEADERS,0)))}</f>
        <v>SPL07-L13</v>
      </c>
      <c r="U359" s="223" t="str">
        <f t="array" ref="U359:U360">{"SPL07-L14";(INDEX(ALLCLASSDATA,MATCH("SPL07-L14",CLASSFEATUREHEADERS,0),MATCH($A360,CLASSNAMEHEADERS,0)))}</f>
        <v>SPL07-L14</v>
      </c>
      <c r="V359" s="223" t="str">
        <f t="array" ref="V359:V360">{"SPL08-L15";(INDEX(ALLCLASSDATA,MATCH("SPL08-L15",CLASSFEATUREHEADERS,0),MATCH($A360,CLASSNAMEHEADERS,0)))}</f>
        <v>SPL08-L15</v>
      </c>
      <c r="W359" s="223" t="str">
        <f t="array" ref="W359:W360">{"SPL08-L16";(INDEX(ALLCLASSDATA,MATCH("SPL08-L16",CLASSFEATUREHEADERS,0),MATCH($A360,CLASSNAMEHEADERS,0)))}</f>
        <v>SPL08-L16</v>
      </c>
      <c r="X359" s="223" t="str">
        <f t="array" ref="X359:X360">{"SPL09-L17";(INDEX(ALLCLASSDATA,MATCH("SPL09-L17",CLASSFEATUREHEADERS,0),MATCH($A360,CLASSNAMEHEADERS,0)))}</f>
        <v>SPL09-L17</v>
      </c>
      <c r="Y359" s="223" t="str">
        <f t="array" ref="Y359:Y360">{"SPL09-L18";(INDEX(ALLCLASSDATA,MATCH("SPL09-L18",CLASSFEATUREHEADERS,0),MATCH($A360,CLASSNAMEHEADERS,0)))}</f>
        <v>SPL09-L18</v>
      </c>
      <c r="Z359" s="223" t="str">
        <f t="array" ref="Z359:Z360">{"SPL10-L19";(INDEX(ALLCLASSDATA,MATCH("SPL10-L19",CLASSFEATUREHEADERS,0),MATCH($A360,CLASSNAMEHEADERS,0)))}</f>
        <v>SPL10-L19</v>
      </c>
      <c r="AA359" s="223" t="str">
        <f t="array" ref="AA359:AA360">{"SPL10-L20";(INDEX(ALLCLASSDATA,MATCH("SPL10-L20",CLASSFEATUREHEADERS,0),MATCH($A360,CLASSNAMEHEADERS,0)))}</f>
        <v>SPL10-L20</v>
      </c>
      <c r="AB359" s="76"/>
      <c r="AC359" s="76"/>
    </row>
    <row r="360">
      <c r="A360" s="48" t="s">
        <v>114</v>
      </c>
      <c r="B360" s="48"/>
      <c r="C360" s="48" t="s">
        <v>412</v>
      </c>
      <c r="D360" s="48" t="s">
        <v>603</v>
      </c>
      <c r="E360" s="48" t="s">
        <v>603</v>
      </c>
      <c r="F360" s="278" t="s">
        <v>603</v>
      </c>
      <c r="G360" s="280"/>
      <c r="H360" s="50"/>
      <c r="I360" s="50"/>
      <c r="J360" s="50"/>
      <c r="K360" s="50"/>
      <c r="L360" s="50"/>
      <c r="M360" s="50"/>
      <c r="N360" s="50"/>
      <c r="O360" s="50"/>
      <c r="P360" s="50"/>
      <c r="Q360" s="50"/>
      <c r="R360" s="50"/>
      <c r="S360" s="50"/>
      <c r="T360" s="50"/>
      <c r="U360" s="50"/>
      <c r="V360" s="50"/>
      <c r="W360" s="50"/>
      <c r="X360" s="50"/>
      <c r="Y360" s="50"/>
      <c r="Z360" s="50"/>
      <c r="AA360" s="50"/>
      <c r="AB360" s="278"/>
      <c r="AC360" s="47"/>
    </row>
    <row r="361" hidden="1">
      <c r="A361" s="222" t="str">
        <f t="array" ref="A361:A362">{"FormulaRow43";(INDEX(CLASSLIST,A276,1))}</f>
        <v>FormulaRow43</v>
      </c>
      <c r="B361" s="77" t="s">
        <v>236</v>
      </c>
      <c r="C361" s="222" t="str">
        <f t="array" ref="C361:C362">{"CLASSTYPE";((INDEX(ALLCLASSDATA,MATCH("ClassType",CLASSFEATUREHEADERS,0),MATCH($A362,CLASSNAMEHEADERS,0))))}</f>
        <v>CLASSTYPE</v>
      </c>
      <c r="D361" s="222" t="str">
        <f t="array" ref="D361:D362">{"SPELL/ALCHEMY";((IF(INDEX(ALLCLASSDATA,MATCH("CasterType",CLASSFEATUREHEADERS,0),MATCH(($A362),CLASSNAMEHEADERS,0))="","",(IF(INDEX(ALLCLASSDATA,MATCH("CasterType",CLASSFEATUREHEADERS,0),MATCH(($A362),CLASSNAMEHEADERS,0))="Alchemy","Alchemy","Spells")))))}</f>
        <v>SPELL/ALCHEMY</v>
      </c>
      <c r="E361" s="222" t="str">
        <f t="array" ref="E361:E362">{"SPELLLIST";(IF(D362="Spells",((INDEX(ALLCLASSDATA,MATCH("CasterType",CLASSFEATUREHEADERS,0),MATCH(($A362),CLASSNAMEHEADERS,0))) &amp; ":" &amp; (INDEX(ALLCLASSDATA,MATCH("SpellList",CLASSFEATUREHEADERS,0),MATCH(($A362),CLASSNAMEHEADERS,0)))),""))}</f>
        <v>SPELLLIST</v>
      </c>
      <c r="F361" s="223" t="str">
        <f t="array" ref="F361:F362">{"LEARNED/LVL";(IF(D362="","","Learn/LVL:"))}</f>
        <v>LEARNED/LVL</v>
      </c>
      <c r="G361" s="223" t="str">
        <f t="array" ref="G361:G362">{"LEARNEDCANTRIPS";(INDEX(ALLCLASSDATA,MATCH("CantripsLearned-L00",CLASSFEATUREHEADERS,0),MATCH($A362,CLASSNAMEHEADERS,0)))}</f>
        <v>LEARNEDCANTRIPS</v>
      </c>
      <c r="H361" s="223" t="str">
        <f t="array" ref="H361:H362">{"LEARNED L01";(INDEX(ALLCLASSDATA,MATCH("Learned-L01",CLASSFEATUREHEADERS,0),MATCH($A362,CLASSNAMEHEADERS,0)))}</f>
        <v>LEARNED L01</v>
      </c>
      <c r="I361" s="223" t="str">
        <f t="array" ref="I361:I362">{"LEARNED L02";(INDEX(ALLCLASSDATA,MATCH("Learned-L02",CLASSFEATUREHEADERS,0),MATCH($A362,CLASSNAMEHEADERS,0)))}</f>
        <v>LEARNED L02</v>
      </c>
      <c r="J361" s="223" t="str">
        <f t="array" ref="J361:J362">{"LEARNED L03";(INDEX(ALLCLASSDATA,MATCH("Learned-L03",CLASSFEATUREHEADERS,0),MATCH($A362,CLASSNAMEHEADERS,0)))}</f>
        <v>LEARNED L03</v>
      </c>
      <c r="K361" s="223" t="str">
        <f t="array" ref="K361:K362">{"LEARNED L04";(INDEX(ALLCLASSDATA,MATCH("Learned-L04",CLASSFEATUREHEADERS,0),MATCH($A362,CLASSNAMEHEADERS,0)))}</f>
        <v>LEARNED L04</v>
      </c>
      <c r="L361" s="223" t="str">
        <f t="array" ref="L361:L362">{"LEARNED L05";(INDEX(ALLCLASSDATA,MATCH("Learned-L05",CLASSFEATUREHEADERS,0),MATCH($A362,CLASSNAMEHEADERS,0)))}</f>
        <v>LEARNED L05</v>
      </c>
      <c r="M361" s="223" t="str">
        <f t="array" ref="M361:M362">{"LEARNED L06";(INDEX(ALLCLASSDATA,MATCH("Learned-L06",CLASSFEATUREHEADERS,0),MATCH($A362,CLASSNAMEHEADERS,0)))}</f>
        <v>LEARNED L06</v>
      </c>
      <c r="N361" s="223" t="str">
        <f t="array" ref="N361:N362">{"LEARNED L07";(INDEX(ALLCLASSDATA,MATCH("Learned-L07",CLASSFEATUREHEADERS,0),MATCH($A362,CLASSNAMEHEADERS,0)))}</f>
        <v>LEARNED L07</v>
      </c>
      <c r="O361" s="223" t="str">
        <f t="array" ref="O361:O362">{"LEARNED L08";(INDEX(ALLCLASSDATA,MATCH("Learned-L08",CLASSFEATUREHEADERS,0),MATCH($A362,CLASSNAMEHEADERS,0)))}</f>
        <v>LEARNED L08</v>
      </c>
      <c r="P361" s="223" t="str">
        <f t="array" ref="P361:P362">{"LEARNED L09";(INDEX(ALLCLASSDATA,MATCH("Learned-L09",CLASSFEATUREHEADERS,0),MATCH($A362,CLASSNAMEHEADERS,0)))}</f>
        <v>LEARNED L09</v>
      </c>
      <c r="Q361" s="223" t="str">
        <f t="array" ref="Q361:Q362">{"LEARNED L10";(INDEX(ALLCLASSDATA,MATCH("Learned-L10",CLASSFEATUREHEADERS,0),MATCH($A362,CLASSNAMEHEADERS,0)))}</f>
        <v>LEARNED L10</v>
      </c>
      <c r="R361" s="223" t="str">
        <f t="array" ref="R361:R362">{"LEARNED L11";(INDEX(ALLCLASSDATA,MATCH("Learned-L11",CLASSFEATUREHEADERS,0),MATCH($A362,CLASSNAMEHEADERS,0)))}</f>
        <v>LEARNED L11</v>
      </c>
      <c r="S361" s="223" t="str">
        <f t="array" ref="S361:S362">{"LEARNED L12";(INDEX(ALLCLASSDATA,MATCH("Learned-L12",CLASSFEATUREHEADERS,0),MATCH($A362,CLASSNAMEHEADERS,0)))}</f>
        <v>LEARNED L12</v>
      </c>
      <c r="T361" s="223" t="str">
        <f t="array" ref="T361:T362">{"LEARNED L13";(INDEX(ALLCLASSDATA,MATCH("Learned-L13",CLASSFEATUREHEADERS,0),MATCH($A362,CLASSNAMEHEADERS,0)))}</f>
        <v>LEARNED L13</v>
      </c>
      <c r="U361" s="223" t="str">
        <f t="array" ref="U361:U362">{"LEARNED L14";(INDEX(ALLCLASSDATA,MATCH("Learned-L14",CLASSFEATUREHEADERS,0),MATCH($A362,CLASSNAMEHEADERS,0)))}</f>
        <v>LEARNED L14</v>
      </c>
      <c r="V361" s="223" t="str">
        <f t="array" ref="V361:V362">{"LEARNED L15";(INDEX(ALLCLASSDATA,MATCH("Learned-L15",CLASSFEATUREHEADERS,0),MATCH($A362,CLASSNAMEHEADERS,0)))}</f>
        <v>LEARNED L15</v>
      </c>
      <c r="W361" s="223" t="str">
        <f t="array" ref="W361:W362">{"LEARNED L16";(INDEX(ALLCLASSDATA,MATCH("Learned-L16",CLASSFEATUREHEADERS,0),MATCH($A362,CLASSNAMEHEADERS,0)))}</f>
        <v>LEARNED L16</v>
      </c>
      <c r="X361" s="223" t="str">
        <f t="array" ref="X361:X362">{"LEARNED L17";(INDEX(ALLCLASSDATA,MATCH("Learned-L17",CLASSFEATUREHEADERS,0),MATCH($A362,CLASSNAMEHEADERS,0)))}</f>
        <v>LEARNED L17</v>
      </c>
      <c r="Y361" s="223" t="str">
        <f t="array" ref="Y361:Y362">{"LEARNED L18";(INDEX(ALLCLASSDATA,MATCH("Learned-L18",CLASSFEATUREHEADERS,0),MATCH($A362,CLASSNAMEHEADERS,0)))}</f>
        <v>LEARNED L18</v>
      </c>
      <c r="Z361" s="223" t="str">
        <f t="array" ref="Z361:Z362">{"LEARNED L19";(INDEX(ALLCLASSDATA,MATCH("Learned-L19",CLASSFEATUREHEADERS,0),MATCH($A362,CLASSNAMEHEADERS,0)))}</f>
        <v>LEARNED L19</v>
      </c>
      <c r="AA361" s="223" t="str">
        <f t="array" ref="AA361:AA362">{"LEARNED L20";(INDEX(ALLCLASSDATA,MATCH("Learned-L20",CLASSFEATUREHEADERS,0),MATCH($A362,CLASSNAMEHEADERS,0)))}</f>
        <v>LEARNED L20</v>
      </c>
      <c r="AB361" s="76"/>
      <c r="AC361" s="76"/>
    </row>
    <row r="362">
      <c r="A362" s="48" t="s">
        <v>114</v>
      </c>
      <c r="B362" s="48"/>
      <c r="C362" s="48" t="s">
        <v>412</v>
      </c>
      <c r="D362" s="48" t="s">
        <v>603</v>
      </c>
      <c r="E362" s="48" t="s">
        <v>603</v>
      </c>
      <c r="F362" s="278" t="s">
        <v>603</v>
      </c>
      <c r="G362" s="280"/>
      <c r="H362" s="278"/>
      <c r="I362" s="278"/>
      <c r="J362" s="278"/>
      <c r="K362" s="278"/>
      <c r="L362" s="278"/>
      <c r="M362" s="278"/>
      <c r="N362" s="278"/>
      <c r="O362" s="50"/>
      <c r="P362" s="278"/>
      <c r="Q362" s="278"/>
      <c r="R362" s="278"/>
      <c r="S362" s="278"/>
      <c r="T362" s="278"/>
      <c r="U362" s="278"/>
      <c r="V362" s="278"/>
      <c r="W362" s="278"/>
      <c r="X362" s="278"/>
      <c r="Y362" s="278"/>
      <c r="Z362" s="278"/>
      <c r="AA362" s="278"/>
      <c r="AB362" s="278"/>
      <c r="AC362" s="47"/>
    </row>
    <row r="363" hidden="1">
      <c r="A363" s="222" t="str">
        <f t="array" ref="A363:A364">{"FormulaRow44";(INDEX(CLASSLIST,A276,1))}</f>
        <v>FormulaRow44</v>
      </c>
      <c r="B363" s="77" t="s">
        <v>236</v>
      </c>
      <c r="C363" s="222" t="str">
        <f t="array" ref="C363:C364">{"CLASSTYPE";((INDEX(ALLCLASSDATA,MATCH("ClassType",CLASSFEATUREHEADERS,0),MATCH($A364,CLASSNAMEHEADERS,0))))}</f>
        <v>CLASSTYPE</v>
      </c>
      <c r="D363" s="222" t="str">
        <f t="array" ref="D363:D364">{"SPELL/ALCHEMY";((IF(INDEX(ALLCLASSDATA,MATCH("CasterType",CLASSFEATUREHEADERS,0),MATCH(($A364),CLASSNAMEHEADERS,0))="","",(IF(INDEX(ALLCLASSDATA,MATCH("CasterType",CLASSFEATUREHEADERS,0),MATCH(($A364),CLASSNAMEHEADERS,0))="Alchemy","","Spells")))))}</f>
        <v>SPELL/ALCHEMY</v>
      </c>
      <c r="E363" s="222" t="str">
        <f t="array" ref="E363:E364">{"SPELLLIST";(IF(D364="Spells",((INDEX(ALLCLASSDATA,MATCH("CasterType",CLASSFEATUREHEADERS,0),MATCH(($A364),CLASSNAMEHEADERS,0))) &amp; ":" &amp; (INDEX(ALLCLASSDATA,MATCH("SpellList",CLASSFEATUREHEADERS,0),MATCH(($A364),CLASSNAMEHEADERS,0)))),""))}</f>
        <v>SPELLLIST</v>
      </c>
      <c r="F363" s="223" t="str">
        <f t="array" ref="F363:F364">{"TOTALSLOTS";(IF(D364="","","TotalSlots:"))}</f>
        <v>TOTALSLOTS</v>
      </c>
      <c r="G363" s="223" t="str">
        <f t="array" ref="G363:G364">{"TOTALCANTRIPSLOTS";(G360)}</f>
        <v>TOTALCANTRIPSLOTS</v>
      </c>
      <c r="H363" s="223" t="str">
        <f t="array" ref="H363:H364">{"TOTALSLOTS L01";(H360)}</f>
        <v>TOTALSLOTS L01</v>
      </c>
      <c r="I363" s="223" t="str">
        <f t="array" ref="I363:I364">{"TOTALSLOTS L02";(H364+I360)}</f>
        <v>TOTALSLOTS L02</v>
      </c>
      <c r="J363" s="223" t="str">
        <f t="array" ref="J363:J364">{"TOTALSLOTS L03";(I364+J360)}</f>
        <v>TOTALSLOTS L03</v>
      </c>
      <c r="K363" s="223" t="str">
        <f t="array" ref="K363:K364">{"TOTALSLOTS L04";(J364+K360)}</f>
        <v>TOTALSLOTS L04</v>
      </c>
      <c r="L363" s="223" t="str">
        <f t="array" ref="L363:L364">{"TOTALSLOTS L05";(K364+L360)}</f>
        <v>TOTALSLOTS L05</v>
      </c>
      <c r="M363" s="223" t="str">
        <f t="array" ref="M363:M364">{"TOTALSLOTS L06";(L364+M360)}</f>
        <v>TOTALSLOTS L06</v>
      </c>
      <c r="N363" s="223" t="str">
        <f t="array" ref="N363:N364">{"TOTALSLOTS L07";(M364+N360)}</f>
        <v>TOTALSLOTS L07</v>
      </c>
      <c r="O363" s="223" t="str">
        <f t="array" ref="O363:O364">{"TOTALSLOTS L08";(N364+O360)}</f>
        <v>TOTALSLOTS L08</v>
      </c>
      <c r="P363" s="223" t="str">
        <f t="array" ref="P363:P364">{"TOTALSLOTS L09";(O364+P360)}</f>
        <v>TOTALSLOTS L09</v>
      </c>
      <c r="Q363" s="223" t="str">
        <f t="array" ref="Q363:Q364">{"TOTALSLOTS L10";(P364+Q360)}</f>
        <v>TOTALSLOTS L10</v>
      </c>
      <c r="R363" s="223" t="str">
        <f t="array" ref="R363:R364">{"TOTALSLOTS L11";(Q364+R360)}</f>
        <v>TOTALSLOTS L11</v>
      </c>
      <c r="S363" s="223" t="str">
        <f t="array" ref="S363:S364">{"TOTALSLOTS L12";(R364+S360)}</f>
        <v>TOTALSLOTS L12</v>
      </c>
      <c r="T363" s="223" t="str">
        <f t="array" ref="T363:T364">{"TOTALSLOTS L13";(S364+T360)}</f>
        <v>TOTALSLOTS L13</v>
      </c>
      <c r="U363" s="223" t="str">
        <f t="array" ref="U363:U364">{"TOTALSLOTS L14";(T364+U360)}</f>
        <v>TOTALSLOTS L14</v>
      </c>
      <c r="V363" s="223" t="str">
        <f t="array" ref="V363:V364">{"TOTALSLOTS L15";(U364+V360)}</f>
        <v>TOTALSLOTS L15</v>
      </c>
      <c r="W363" s="223" t="str">
        <f t="array" ref="W363:W364">{"TOTALSLOTS L16";(V364+W360)}</f>
        <v>TOTALSLOTS L16</v>
      </c>
      <c r="X363" s="223" t="str">
        <f t="array" ref="X363:X364">{"TOTALSLOTS L17";(W364+X360)}</f>
        <v>TOTALSLOTS L17</v>
      </c>
      <c r="Y363" s="223" t="str">
        <f t="array" ref="Y363:Y364">{"TOTALSLOTS L18";(X364+Y360)}</f>
        <v>TOTALSLOTS L18</v>
      </c>
      <c r="Z363" s="223" t="str">
        <f t="array" ref="Z363:Z364">{"TOTALSLOTS L19";(Y364+Z360)}</f>
        <v>TOTALSLOTS L19</v>
      </c>
      <c r="AA363" s="223" t="str">
        <f t="array" ref="AA363:AA364">{"TOTALSLOTS L20";(Z364+AA360)}</f>
        <v>TOTALSLOTS L20</v>
      </c>
      <c r="AB363" s="76"/>
      <c r="AC363" s="76"/>
    </row>
    <row r="364">
      <c r="A364" s="48" t="s">
        <v>114</v>
      </c>
      <c r="B364" s="48"/>
      <c r="C364" s="48" t="s">
        <v>412</v>
      </c>
      <c r="D364" s="48" t="s">
        <v>603</v>
      </c>
      <c r="E364" s="48" t="s">
        <v>603</v>
      </c>
      <c r="F364" s="278" t="s">
        <v>603</v>
      </c>
      <c r="G364" s="280"/>
      <c r="H364" s="278"/>
      <c r="I364" s="278">
        <v>0.0</v>
      </c>
      <c r="J364" s="278">
        <v>0.0</v>
      </c>
      <c r="K364" s="278">
        <v>0.0</v>
      </c>
      <c r="L364" s="278">
        <v>0.0</v>
      </c>
      <c r="M364" s="278">
        <v>0.0</v>
      </c>
      <c r="N364" s="278">
        <v>0.0</v>
      </c>
      <c r="O364" s="278">
        <v>0.0</v>
      </c>
      <c r="P364" s="278">
        <v>0.0</v>
      </c>
      <c r="Q364" s="278">
        <v>0.0</v>
      </c>
      <c r="R364" s="278">
        <v>0.0</v>
      </c>
      <c r="S364" s="278">
        <v>0.0</v>
      </c>
      <c r="T364" s="278">
        <v>0.0</v>
      </c>
      <c r="U364" s="278">
        <v>0.0</v>
      </c>
      <c r="V364" s="278">
        <v>0.0</v>
      </c>
      <c r="W364" s="278">
        <v>0.0</v>
      </c>
      <c r="X364" s="278">
        <v>0.0</v>
      </c>
      <c r="Y364" s="278">
        <v>0.0</v>
      </c>
      <c r="Z364" s="278">
        <v>0.0</v>
      </c>
      <c r="AA364" s="278">
        <v>0.0</v>
      </c>
      <c r="AB364" s="5"/>
      <c r="AC364" s="47"/>
    </row>
    <row r="365" hidden="1">
      <c r="A365" s="222" t="str">
        <f t="array" ref="A365:A366">{"FormulaRow45";(INDEX(CLASSLIST,A276,1))}</f>
        <v>FormulaRow45</v>
      </c>
      <c r="B365" s="77" t="s">
        <v>236</v>
      </c>
      <c r="C365" s="222" t="str">
        <f t="array" ref="C365:C366">{"CLASSTYPE";((INDEX(ALLCLASSDATA,MATCH("ClassType",CLASSFEATUREHEADERS,0),MATCH($A366,CLASSNAMEHEADERS,0))))}</f>
        <v>CLASSTYPE</v>
      </c>
      <c r="D365" s="222" t="str">
        <f t="array" ref="D365:D366">{"SPELL/ALCHEMY";((IF(INDEX(ALLCLASSDATA,MATCH("CasterType",CLASSFEATUREHEADERS,0),MATCH(($A366),CLASSNAMEHEADERS,0))="","",(IF(INDEX(ALLCLASSDATA,MATCH("CasterType",CLASSFEATUREHEADERS,0),MATCH(($A366),CLASSNAMEHEADERS,0))="Alchemy","Alchemy","Spells")))))}</f>
        <v>SPELL/ALCHEMY</v>
      </c>
      <c r="E365" s="222" t="str">
        <f t="array" ref="E365:E366">{"SPELLLIST";(IF(D366="Spells",((INDEX(ALLCLASSDATA,MATCH("CasterType",CLASSFEATUREHEADERS,0),MATCH(($A366),CLASSNAMEHEADERS,0))) &amp; ":" &amp; (INDEX(ALLCLASSDATA,MATCH("SpellList",CLASSFEATUREHEADERS,0),MATCH(($A366),CLASSNAMEHEADERS,0)))),""))}</f>
        <v>SPELLLIST</v>
      </c>
      <c r="F365" s="223" t="str">
        <f t="array" ref="F365:F366">{"TOTALLEARNED";(IF(D366="","","TotalLearned:"))}</f>
        <v>TOTALLEARNED</v>
      </c>
      <c r="G365" s="223" t="str">
        <f t="array" ref="G365:G366">{"TOTALCANTRIPSLEARNED";(G362)}</f>
        <v>TOTALCANTRIPSLEARNED</v>
      </c>
      <c r="H365" s="223" t="str">
        <f t="array" ref="H365:H366">{"TOTALLEARNED L01";(H362)}</f>
        <v>TOTALLEARNED L01</v>
      </c>
      <c r="I365" s="223" t="str">
        <f t="array" ref="I365:I366">{"TOTALLEARNED L02";(H366+I362)}</f>
        <v>TOTALLEARNED L02</v>
      </c>
      <c r="J365" s="223" t="str">
        <f t="array" ref="J365:J366">{"TOTALLEARNED L03";(I366+J362)}</f>
        <v>TOTALLEARNED L03</v>
      </c>
      <c r="K365" s="223" t="str">
        <f t="array" ref="K365:K366">{"TOTALLEARNED L04";(J366+K362)}</f>
        <v>TOTALLEARNED L04</v>
      </c>
      <c r="L365" s="223" t="str">
        <f t="array" ref="L365:L366">{"TOTALLEARNED L05";(K366+L362)}</f>
        <v>TOTALLEARNED L05</v>
      </c>
      <c r="M365" s="223" t="str">
        <f t="array" ref="M365:M366">{"TOTALLEARNED L06";(L366+M362)}</f>
        <v>TOTALLEARNED L06</v>
      </c>
      <c r="N365" s="223" t="str">
        <f t="array" ref="N365:N366">{"TOTALLEARNED L07";(M366+N362)}</f>
        <v>TOTALLEARNED L07</v>
      </c>
      <c r="O365" s="223" t="str">
        <f t="array" ref="O365:O366">{"TOTALLEARNED L08";(N366+O362)}</f>
        <v>TOTALLEARNED L08</v>
      </c>
      <c r="P365" s="223" t="str">
        <f t="array" ref="P365:P366">{"TOTALLEARNED L09";(O366+P362)}</f>
        <v>TOTALLEARNED L09</v>
      </c>
      <c r="Q365" s="223" t="str">
        <f t="array" ref="Q365:Q366">{"TOTALLEARNED L10";(P366+Q362)}</f>
        <v>TOTALLEARNED L10</v>
      </c>
      <c r="R365" s="223" t="str">
        <f t="array" ref="R365:R366">{"TOTALLEARNED L11";(Q366+R362)}</f>
        <v>TOTALLEARNED L11</v>
      </c>
      <c r="S365" s="223" t="str">
        <f t="array" ref="S365:S366">{"TOTALLEARNED L12";(R366+S362)}</f>
        <v>TOTALLEARNED L12</v>
      </c>
      <c r="T365" s="223" t="str">
        <f t="array" ref="T365:T366">{"TOTALLEARNED L13";(S366+T362)}</f>
        <v>TOTALLEARNED L13</v>
      </c>
      <c r="U365" s="223" t="str">
        <f t="array" ref="U365:U366">{"TOTALLEARNED L14";(T366+U362)}</f>
        <v>TOTALLEARNED L14</v>
      </c>
      <c r="V365" s="223" t="str">
        <f t="array" ref="V365:V366">{"TOTALLEARNED L15";(U366+V362)}</f>
        <v>TOTALLEARNED L15</v>
      </c>
      <c r="W365" s="223" t="str">
        <f t="array" ref="W365:W366">{"TOTALLEARNED L16";(V366+W362)}</f>
        <v>TOTALLEARNED L16</v>
      </c>
      <c r="X365" s="223" t="str">
        <f t="array" ref="X365:X366">{"TOTALLEARNED L17";(W366+X362)}</f>
        <v>TOTALLEARNED L17</v>
      </c>
      <c r="Y365" s="223" t="str">
        <f t="array" ref="Y365:Y366">{"TOTALLEARNED L18";(X366+Y362)}</f>
        <v>TOTALLEARNED L18</v>
      </c>
      <c r="Z365" s="223" t="str">
        <f t="array" ref="Z365:Z366">{"TOTALLEARNED L19";(Y366+Z362)}</f>
        <v>TOTALLEARNED L19</v>
      </c>
      <c r="AA365" s="223" t="str">
        <f t="array" ref="AA365:AA366">{"TOTALLEARNED L20";(Z366+AA362)}</f>
        <v>TOTALLEARNED L20</v>
      </c>
      <c r="AB365" s="76"/>
      <c r="AC365" s="76"/>
    </row>
    <row r="366">
      <c r="A366" s="97" t="s">
        <v>114</v>
      </c>
      <c r="B366" s="97"/>
      <c r="C366" s="97" t="s">
        <v>412</v>
      </c>
      <c r="D366" s="97" t="s">
        <v>603</v>
      </c>
      <c r="E366" s="97" t="s">
        <v>603</v>
      </c>
      <c r="F366" s="281" t="s">
        <v>603</v>
      </c>
      <c r="G366" s="282"/>
      <c r="H366" s="278"/>
      <c r="I366" s="278">
        <v>0.0</v>
      </c>
      <c r="J366" s="278">
        <v>0.0</v>
      </c>
      <c r="K366" s="278">
        <v>0.0</v>
      </c>
      <c r="L366" s="278">
        <v>0.0</v>
      </c>
      <c r="M366" s="278">
        <v>0.0</v>
      </c>
      <c r="N366" s="278">
        <v>0.0</v>
      </c>
      <c r="O366" s="278">
        <v>0.0</v>
      </c>
      <c r="P366" s="278">
        <v>0.0</v>
      </c>
      <c r="Q366" s="278">
        <v>0.0</v>
      </c>
      <c r="R366" s="278">
        <v>0.0</v>
      </c>
      <c r="S366" s="278">
        <v>0.0</v>
      </c>
      <c r="T366" s="278">
        <v>0.0</v>
      </c>
      <c r="U366" s="278">
        <v>0.0</v>
      </c>
      <c r="V366" s="278">
        <v>0.0</v>
      </c>
      <c r="W366" s="278">
        <v>0.0</v>
      </c>
      <c r="X366" s="278">
        <v>0.0</v>
      </c>
      <c r="Y366" s="278">
        <v>0.0</v>
      </c>
      <c r="Z366" s="278">
        <v>0.0</v>
      </c>
      <c r="AA366" s="278">
        <v>0.0</v>
      </c>
      <c r="AB366" s="5"/>
      <c r="AC366" s="47"/>
    </row>
    <row r="367">
      <c r="A367" s="55">
        <f>VLOOKUP($C367, CLASSNUMBERFINDER, 2, false)</f>
        <v>5</v>
      </c>
      <c r="B367" s="58"/>
      <c r="C367" s="70" t="s">
        <v>124</v>
      </c>
      <c r="D367" s="71"/>
      <c r="E367" s="71"/>
      <c r="F367" s="71"/>
      <c r="G367" s="72"/>
      <c r="H367" s="71"/>
      <c r="I367" s="71"/>
      <c r="J367" s="71"/>
      <c r="K367" s="71"/>
      <c r="L367" s="71"/>
      <c r="M367" s="71"/>
      <c r="N367" s="71"/>
      <c r="O367" s="71"/>
      <c r="P367" s="71"/>
      <c r="Q367" s="71"/>
      <c r="R367" s="71"/>
      <c r="S367" s="71"/>
      <c r="T367" s="71"/>
      <c r="U367" s="71"/>
      <c r="V367" s="71"/>
      <c r="W367" s="71"/>
      <c r="X367" s="71"/>
      <c r="Y367" s="71"/>
      <c r="Z367" s="71"/>
      <c r="AA367" s="71"/>
      <c r="AB367" s="71"/>
      <c r="AC367" s="73"/>
    </row>
    <row r="368" hidden="1">
      <c r="A368" s="76" t="str">
        <f t="array" ref="A368:A369">{"FormulaRow01";(INDEX(CLASSLIST,A367,1))}</f>
        <v>FormulaRow01</v>
      </c>
      <c r="B368" s="77" t="s">
        <v>236</v>
      </c>
      <c r="C368" s="76" t="str">
        <f t="array" ref="C368:C369">{"CLASSTYPE";(INDEX(ALLCLASSDATA,MATCH("ClassType",CLASSFEATUREHEADERS,0),MATCH($A369,CLASSNAMEHEADERS,0)))}</f>
        <v>CLASSTYPE</v>
      </c>
      <c r="D368" s="81" t="str">
        <f t="array" ref="D368:D369">{"TOTAL";("Total: " &amp; H369+J369+L369+N369+P369+R369+T369+V369+X369+Z369)}</f>
        <v>TOTAL</v>
      </c>
      <c r="E368" s="81" t="str">
        <f t="array" ref="E368:E369">{"BALANCE";(IF((H369+J369+L369+N369+P369+R369+T369+V369+X369+Z369)=2100,"(balanced)",(IF((H369+J369+L369+N369+P369+R369+T369+V369+X369+Z369)&gt;2100,"OVERBUDGET: ","UNDERBUDGET: ")) &amp; (H369+J369+L369+N369+P369+R369+T369+V369+X369+Z369-2100)))}</f>
        <v>BALANCE</v>
      </c>
      <c r="F368" s="81"/>
      <c r="G368" s="81"/>
      <c r="H368" s="81" t="str">
        <f t="array" ref="H368:H369">{"SUM LVL0/1/2";((SUMIF(F370:I449,"&lt;&gt;#REF!")+(SUMIF(J370:AA377,"&lt;&gt;#REF!"))))}</f>
        <v>SUM LVL0/1/2</v>
      </c>
      <c r="I368" s="81"/>
      <c r="J368" s="81" t="str">
        <f t="array" ref="J368:J369">{"SUM LVL3/4";(SUMIF(J378:K449,"&lt;&gt;#REF!"))}</f>
        <v>SUM LVL3/4</v>
      </c>
      <c r="K368" s="81"/>
      <c r="L368" s="81" t="str">
        <f t="array" ref="L368:L369">{"SUM LVL5/6";(SUMIF(L378:M449,"&lt;&gt;#REF!"))}</f>
        <v>SUM LVL5/6</v>
      </c>
      <c r="M368" s="81"/>
      <c r="N368" s="81" t="str">
        <f t="array" ref="N368:N369">{"SUM LVL7/8";(SUMIF(N378:O449,"&lt;&gt;#REF!"))}</f>
        <v>SUM LVL7/8</v>
      </c>
      <c r="O368" s="81"/>
      <c r="P368" s="81" t="str">
        <f t="array" ref="P368:P369">{"SUM LVL9/10";(SUMIF(P378:Q449,"&lt;&gt;#REF!"))}</f>
        <v>SUM LVL9/10</v>
      </c>
      <c r="Q368" s="81"/>
      <c r="R368" s="81" t="str">
        <f t="array" ref="R368:R369">{"SUM LVL11/12";(SUMIF(R378:S449,"&lt;&gt;#REF!"))}</f>
        <v>SUM LVL11/12</v>
      </c>
      <c r="S368" s="81"/>
      <c r="T368" s="81" t="str">
        <f t="array" ref="T368:T369">{"SUM LVL13/14";(SUMIF(T378:U449,"&lt;&gt;#REF!"))}</f>
        <v>SUM LVL13/14</v>
      </c>
      <c r="U368" s="81"/>
      <c r="V368" s="81" t="str">
        <f t="array" ref="V368:V369">{"SUM LVL15/16";(SUMIF(V378:W449,"&lt;&gt;#REF!"))}</f>
        <v>SUM LVL15/16</v>
      </c>
      <c r="W368" s="81"/>
      <c r="X368" s="81" t="str">
        <f t="array" ref="X368:X369">{"SUM LVL17/18";(SUMIF(X378:Y449,"&lt;&gt;#REF!"))}</f>
        <v>SUM LVL17/18</v>
      </c>
      <c r="Y368" s="81"/>
      <c r="Z368" s="81" t="str">
        <f t="array" ref="Z368:Z369">{"SUM LVL19/20";(SUMIF(Z378:AA449,"&lt;&gt;#REF!"))}</f>
        <v>SUM LVL19/20</v>
      </c>
      <c r="AA368" s="81"/>
      <c r="AB368" s="76"/>
      <c r="AC368" s="76" t="str">
        <f t="array" ref="AC368:AC369">{"SUM ROWTOTALS";(SUMIF(AC371:AC457,"&lt;&gt;#REF!"))}</f>
        <v>SUM ROWTOTALS</v>
      </c>
    </row>
    <row r="369">
      <c r="A369" s="48" t="s">
        <v>124</v>
      </c>
      <c r="B369" s="48"/>
      <c r="C369" s="48" t="s">
        <v>413</v>
      </c>
      <c r="D369" s="91" t="s">
        <v>416</v>
      </c>
      <c r="E369" s="92" t="s">
        <v>419</v>
      </c>
      <c r="F369" s="91"/>
      <c r="G369" s="93"/>
      <c r="H369" s="92">
        <v>420.0</v>
      </c>
      <c r="I369" s="92"/>
      <c r="J369" s="92">
        <v>50.0</v>
      </c>
      <c r="K369" s="92"/>
      <c r="L369" s="92">
        <v>110.0</v>
      </c>
      <c r="M369" s="92"/>
      <c r="N369" s="92">
        <v>290.0</v>
      </c>
      <c r="O369" s="92"/>
      <c r="P369" s="92">
        <v>60.0</v>
      </c>
      <c r="Q369" s="92"/>
      <c r="R369" s="92">
        <v>170.0</v>
      </c>
      <c r="S369" s="92"/>
      <c r="T369" s="92">
        <v>110.0</v>
      </c>
      <c r="U369" s="92"/>
      <c r="V369" s="92">
        <v>530.0</v>
      </c>
      <c r="W369" s="92"/>
      <c r="X369" s="92">
        <v>150.0</v>
      </c>
      <c r="Y369" s="92"/>
      <c r="Z369" s="92">
        <v>210.0</v>
      </c>
      <c r="AA369" s="92"/>
      <c r="AB369" s="5"/>
      <c r="AC369" s="47">
        <v>2100.0</v>
      </c>
    </row>
    <row r="370" hidden="1">
      <c r="A370" s="76" t="str">
        <f t="array" ref="A370:A371">{"FormulaRow02";(INDEX(CLASSLIST,A367,1))}</f>
        <v>FormulaRow02</v>
      </c>
      <c r="B370" s="77" t="s">
        <v>236</v>
      </c>
      <c r="C370" s="76" t="str">
        <f t="array" ref="C370:C371">{"CLASSTYPE";((INDEX(ALLCLASSDATA,MATCH("ClassType",CLASSFEATUREHEADERS,0),MATCH($A371,CLASSNAMEHEADERS,0))))}</f>
        <v>CLASSTYPE</v>
      </c>
      <c r="D370" s="81" t="str">
        <f t="array" ref="D370:D371">{"FEATURES";"Features"}</f>
        <v>FEATURES</v>
      </c>
      <c r="E370" s="81" t="str">
        <f t="array" ref="E370:E371">{"INITIALFEATURES";"Initial Features"}</f>
        <v>INITIALFEATURES</v>
      </c>
      <c r="F370" s="81" t="str">
        <f t="array" ref="F370:F371">{"KEY";"Key"}</f>
        <v>KEY</v>
      </c>
      <c r="G370" s="81" t="str">
        <f t="array" ref="G370:G371">{"HP";"HP"}</f>
        <v>HP</v>
      </c>
      <c r="H370" s="81" t="str">
        <f t="array" ref="H370:H371">{"CLASSFEATL01";"ClassFeatL01"}</f>
        <v>CLASSFEATL01</v>
      </c>
      <c r="I370" s="81" t="str">
        <f t="array" ref="I370:I371">{"SHIELDBLOCKL01";"ShieldBlockL01"}</f>
        <v>SHIELDBLOCKL01</v>
      </c>
      <c r="J370" s="81" t="str">
        <f t="array" ref="J370:J371">{"INITIALSKILLS";"InitialSkills"}</f>
        <v>INITIALSKILLS</v>
      </c>
      <c r="K370" s="81" t="str">
        <f t="array" ref="K370:K371">{"SUBCLASSSKILLS";"SubclassSkills"}</f>
        <v>SUBCLASSSKILLS</v>
      </c>
      <c r="L370" s="81" t="str">
        <f t="array" ref="L370:L371">{"GRANTEDSKILLS";"GrantedSkills"}</f>
        <v>GRANTEDSKILLS</v>
      </c>
      <c r="M370" s="81"/>
      <c r="N370" s="81"/>
      <c r="O370" s="81"/>
      <c r="P370" s="81" t="str">
        <f t="array" ref="P370:P371">{"FOCUSSPELLS";"FocusSpells:"}</f>
        <v>FOCUSSPELLS</v>
      </c>
      <c r="Q370" s="81" t="str">
        <f t="array" ref="Q370:Q371">{"FOCUSSPELL1-L00";((INDEX(ALLCLASSDATA,MATCH("FocusSpell1-L00",CLASSFEATUREHEADERS,0),MATCH(($A371),CLASSNAMEHEADERS,0))))}</f>
        <v>FOCUSSPELL1-L00</v>
      </c>
      <c r="R370" s="81" t="str">
        <f t="array" ref="R370:R371">{"FOCUSSPELL2-L00";((INDEX(ALLCLASSDATA,MATCH("FocusSpell2-L00",CLASSFEATUREHEADERS,0),MATCH(($A371),CLASSNAMEHEADERS,0))))}</f>
        <v>FOCUSSPELL2-L00</v>
      </c>
      <c r="S370" s="81" t="str">
        <f t="array" ref="S370:S371">{"FOCUSSPELL3-L00";((INDEX(ALLCLASSDATA,MATCH("FocusSpell3-L00",CLASSFEATUREHEADERS,0),MATCH(($A371),CLASSNAMEHEADERS,0))))}</f>
        <v>FOCUSSPELL3-L00</v>
      </c>
      <c r="T370" s="81" t="str">
        <f t="array" ref="T370:T371">{"FOCUSSPELL4-L00";((INDEX(ALLCLASSDATA,MATCH("FocusSpell4-L00",CLASSFEATUREHEADERS,0),MATCH(($A371),CLASSNAMEHEADERS,0))))}</f>
        <v>FOCUSSPELL4-L00</v>
      </c>
      <c r="U370" s="81" t="str">
        <f t="array" ref="U370:U371">{"FOCUSSPELL5-L00";((INDEX(ALLCLASSDATA,MATCH("FocusSpell5-L00",CLASSFEATUREHEADERS,0),MATCH(($A371),CLASSNAMEHEADERS,0))))}</f>
        <v>FOCUSSPELL5-L00</v>
      </c>
      <c r="V370" s="81"/>
      <c r="W370" s="81"/>
      <c r="X370" s="81"/>
      <c r="Y370" s="81"/>
      <c r="Z370" s="81"/>
      <c r="AA370" s="81"/>
      <c r="AB370" s="76"/>
      <c r="AC370" s="76"/>
    </row>
    <row r="371">
      <c r="A371" s="48" t="s">
        <v>124</v>
      </c>
      <c r="B371" s="48"/>
      <c r="C371" s="48" t="s">
        <v>413</v>
      </c>
      <c r="D371" s="48" t="s">
        <v>467</v>
      </c>
      <c r="E371" s="48" t="s">
        <v>468</v>
      </c>
      <c r="F371" s="48" t="s">
        <v>469</v>
      </c>
      <c r="G371" s="114" t="s">
        <v>15</v>
      </c>
      <c r="H371" s="8" t="s">
        <v>451</v>
      </c>
      <c r="I371" s="8" t="s">
        <v>463</v>
      </c>
      <c r="J371" s="8" t="s">
        <v>473</v>
      </c>
      <c r="K371" s="8" t="s">
        <v>474</v>
      </c>
      <c r="L371" s="8" t="s">
        <v>475</v>
      </c>
      <c r="M371" s="8"/>
      <c r="N371" s="8"/>
      <c r="O371" s="8"/>
      <c r="P371" s="8" t="s">
        <v>476</v>
      </c>
      <c r="Q371" s="116"/>
      <c r="R371" s="116"/>
      <c r="S371" s="116"/>
      <c r="T371" s="116"/>
      <c r="U371" s="116"/>
      <c r="V371" s="8"/>
      <c r="W371" s="8"/>
      <c r="X371" s="8"/>
      <c r="Y371" s="8"/>
      <c r="Z371" s="5"/>
      <c r="AA371" s="5"/>
      <c r="AB371" s="5"/>
      <c r="AC371" s="47"/>
    </row>
    <row r="372" hidden="1">
      <c r="A372" s="76" t="str">
        <f t="array" ref="A372:A373">{"FormulaRow03";(INDEX(CLASSLIST,A367,1))}</f>
        <v>FormulaRow03</v>
      </c>
      <c r="B372" s="77" t="s">
        <v>236</v>
      </c>
      <c r="C372" s="76" t="str">
        <f t="array" ref="C372:C373">{"CLASSTYPE";((INDEX(ALLCLASSDATA,MATCH("ClassType",CLASSFEATUREHEADERS,0),MATCH($A373,CLASSNAMEHEADERS,0))))}</f>
        <v>CLASSTYPE</v>
      </c>
      <c r="D372" s="76" t="str">
        <f t="array" ref="D372:D373">{"FEATUREPTS";"FeaturesPts"}</f>
        <v>FEATUREPTS</v>
      </c>
      <c r="E372" s="76" t="str">
        <f t="array" ref="E372:E373">{"INITIALFEATURES";"Initial Features"}</f>
        <v>INITIALFEATURES</v>
      </c>
      <c r="F372" s="76" t="str">
        <f t="array" ref="F372:F373">{"KEYABILITY";((INDEX(ALLCLASSDATA,MATCH("KEYABILITY",CLASSFEATUREHEADERS,0),MATCH($A373,CLASSNAMEHEADERS,0))))}</f>
        <v>KEYABILITY</v>
      </c>
      <c r="G372" s="76" t="str">
        <f t="array" ref="G372:G373">{"HP";((INDEX(ALLCLASSDATA,MATCH("HP",CLASSFEATUREHEADERS,0),MATCH(($A373 &amp; "Points"),CLASSNAMEHEADERS,0))))}</f>
        <v>HP</v>
      </c>
      <c r="H372" s="76" t="str">
        <f t="array" ref="H372:H373">{"CLASSFEATL01";((INDEX(ALLCLASSDATA,MATCH("ClassFeatL01",CLASSFEATUREHEADERS,0),MATCH(($A373 &amp; "Points"),CLASSNAMEHEADERS,0))))}</f>
        <v>CLASSFEATL01</v>
      </c>
      <c r="I372" s="76" t="str">
        <f t="array" ref="I372:I373">{"SHIELDBLOCKL01";((INDEX(ALLCLASSDATA,MATCH("ShieldBlockL01",CLASSFEATUREHEADERS,0),MATCH(($A373 &amp; "Points"),CLASSNAMEHEADERS,0))))}</f>
        <v>SHIELDBLOCKL01</v>
      </c>
      <c r="J372" s="76" t="str">
        <f t="array" ref="J372:J373">{"INITIALSKILLINCREASES";((INDEX(ALLCLASSDATA,MATCH("InitialSkillIncreases",CLASSFEATUREHEADERS,0),MATCH(($A373 &amp; "Points"),CLASSNAMEHEADERS,0))))}</f>
        <v>INITIALSKILLINCREASES</v>
      </c>
      <c r="K372" s="76" t="str">
        <f t="array" ref="K372:K373">{"SUBCLASSSKILLINCREASES";((INDEX(ALLCLASSDATA,MATCH("SubclassSkillIncreases",CLASSFEATUREHEADERS,0),MATCH(($A373 &amp; "Points"),CLASSNAMEHEADERS,0))))}</f>
        <v>SUBCLASSSKILLINCREASES</v>
      </c>
      <c r="L372" s="76" t="str">
        <f t="array" ref="L372:L373">{"GRANTEDSKILLS";(((INDEX(ALLCLASSDATA,MATCH("SkillsGrantedTotal",CLASSFEATUREHEADERS,0),MATCH(($A373 &amp; "Points"),CLASSNAMEHEADERS,0)))-(INDEX(ALLCLASSDATA,MATCH("InitialSkillIncreases",CLASSFEATUREHEADERS,0),MATCH(($A373 &amp; "Points"),CLASSNAMEHEADERS,0)))-(INDEX(ALLCLASSDATA,MATCH("SubclassSkillIncreases",CLASSFEATUREHEADERS,0),MATCH(($A373 &amp; "Points"),CLASSNAMEHEADERS,0)))))}</f>
        <v>GRANTEDSKILLS</v>
      </c>
      <c r="M372" s="76"/>
      <c r="N372" s="76"/>
      <c r="O372" s="76"/>
      <c r="P372" s="76"/>
      <c r="Q372" s="76" t="str">
        <f t="array" ref="Q372:Q373">{"FOCUSSPELL1-L00";((INDEX(ALLCLASSDATA,MATCH("FocusSpell1-L00",CLASSFEATUREHEADERS,0),MATCH(($A373 &amp; "Points"),CLASSNAMEHEADERS,0))))}</f>
        <v>FOCUSSPELL1-L00</v>
      </c>
      <c r="R372" s="76" t="str">
        <f t="array" ref="R372:R373">{"FOCUSSPELL2-L00";((INDEX(ALLCLASSDATA,MATCH("FocusSpell2-L00",CLASSFEATUREHEADERS,0),MATCH(($A373 &amp; "Points"),CLASSNAMEHEADERS,0))))}</f>
        <v>FOCUSSPELL2-L00</v>
      </c>
      <c r="S372" s="76" t="str">
        <f t="array" ref="S372:S373">{"FOCUSSPELL3-L00";((INDEX(ALLCLASSDATA,MATCH("FocusSpell3-L00",CLASSFEATUREHEADERS,0),MATCH(($A373 &amp; "Points"),CLASSNAMEHEADERS,0))))}</f>
        <v>FOCUSSPELL3-L00</v>
      </c>
      <c r="T372" s="76" t="str">
        <f t="array" ref="T372:T373">{"FOCUSSPELL4-L00";((INDEX(ALLCLASSDATA,MATCH("FocusSpell4-L00",CLASSFEATUREHEADERS,0),MATCH(($A373 &amp; "Points"),CLASSNAMEHEADERS,0))))}</f>
        <v>FOCUSSPELL4-L00</v>
      </c>
      <c r="U372" s="76" t="str">
        <f t="array" ref="U372:U373">{"FOCUSSPELL5-L00";((INDEX(ALLCLASSDATA,MATCH("FocusSpell5-L00",CLASSFEATUREHEADERS,0),MATCH(($A373 &amp; "Points"),CLASSNAMEHEADERS,0))))}</f>
        <v>FOCUSSPELL5-L00</v>
      </c>
      <c r="V372" s="76"/>
      <c r="W372" s="76"/>
      <c r="X372" s="76"/>
      <c r="Y372" s="76"/>
      <c r="Z372" s="76"/>
      <c r="AA372" s="76"/>
      <c r="AB372" s="76"/>
      <c r="AC372" s="76" t="str">
        <f t="array" ref="AC372:AC373">{"FEATUREPTS TOTAL";(sum(G373:AA373))}</f>
        <v>FEATUREPTS TOTAL</v>
      </c>
    </row>
    <row r="373">
      <c r="A373" s="48" t="s">
        <v>124</v>
      </c>
      <c r="B373" s="48"/>
      <c r="C373" s="48" t="s">
        <v>413</v>
      </c>
      <c r="D373" s="97" t="s">
        <v>559</v>
      </c>
      <c r="E373" s="97" t="s">
        <v>468</v>
      </c>
      <c r="F373" s="97" t="s">
        <v>421</v>
      </c>
      <c r="G373" s="132">
        <v>100.0</v>
      </c>
      <c r="H373" s="98">
        <v>10.0</v>
      </c>
      <c r="I373" s="98" t="s">
        <v>603</v>
      </c>
      <c r="J373" s="98">
        <v>20.0</v>
      </c>
      <c r="K373" s="98"/>
      <c r="L373" s="98">
        <v>10.0</v>
      </c>
      <c r="M373" s="98"/>
      <c r="N373" s="98"/>
      <c r="O373" s="98"/>
      <c r="P373" s="98"/>
      <c r="Q373" s="98"/>
      <c r="R373" s="98"/>
      <c r="S373" s="98"/>
      <c r="T373" s="98"/>
      <c r="U373" s="98"/>
      <c r="V373" s="98"/>
      <c r="W373" s="98"/>
      <c r="X373" s="98"/>
      <c r="Y373" s="98"/>
      <c r="Z373" s="98"/>
      <c r="AA373" s="98"/>
      <c r="AB373" s="5"/>
      <c r="AC373" s="47">
        <v>140.0</v>
      </c>
    </row>
    <row r="374" hidden="1">
      <c r="A374" s="76" t="str">
        <f t="array" ref="A374:A375">{"FormulaRow04";(INDEX(CLASSLIST,A367,1))}</f>
        <v>FormulaRow04</v>
      </c>
      <c r="B374" s="77" t="s">
        <v>236</v>
      </c>
      <c r="C374" s="76" t="str">
        <f t="array" ref="C374:C375">{"CLASSTYPE";((INDEX(ALLCLASSDATA,MATCH("ClassType",CLASSFEATUREHEADERS,0),MATCH($A375,CLASSNAMEHEADERS,0))))}</f>
        <v>CLASSTYPE</v>
      </c>
      <c r="D374" s="81" t="str">
        <f t="array" ref="D374:D375">{"INITIALFEATURES";"InitialFeatures"}</f>
        <v>INITIALFEATURES</v>
      </c>
      <c r="E374" s="81" t="str">
        <f t="array" ref="E374:E375">{"CLASS/SUBCLASSFEATURES";"Class/Subclass Features"}</f>
        <v>CLASS/SUBCLASSFEATURES</v>
      </c>
      <c r="F374" s="81"/>
      <c r="G374" s="136"/>
      <c r="H374" s="81" t="str">
        <f t="array" ref="H374:H375">{"CLASSINITIALABILITY1-L00";((INDEX(ALLCLASSDATA,MATCH("ClassInitialAbility1-L00",CLASSFEATUREHEADERS,0),MATCH(($A375),CLASSNAMEHEADERS,0))))}</f>
        <v>CLASSINITIALABILITY1-L00</v>
      </c>
      <c r="I374" s="81" t="str">
        <f t="array" ref="I374:I375">{"CLASSINITIALABILITY2-L00";((INDEX(ALLCLASSDATA,MATCH("ClassInitialAbility2-L00",CLASSFEATUREHEADERS,0),MATCH(($A375),CLASSNAMEHEADERS,0))))}</f>
        <v>CLASSINITIALABILITY2-L00</v>
      </c>
      <c r="J374" s="81" t="str">
        <f t="array" ref="J374:J375">{"CLASSINITIALABILITY3-L00";((INDEX(ALLCLASSDATA,MATCH("ClassInitialAbility3-L00",CLASSFEATUREHEADERS,0),MATCH(($A375),CLASSNAMEHEADERS,0))))}</f>
        <v>CLASSINITIALABILITY3-L00</v>
      </c>
      <c r="K374" s="81" t="str">
        <f t="array" ref="K374:K375">{"CLASSINITIALABILITY4-L00";((INDEX(ALLCLASSDATA,MATCH("ClassInitialAbility4-L00",CLASSFEATUREHEADERS,0),MATCH(($A375),CLASSNAMEHEADERS,0))))}</f>
        <v>CLASSINITIALABILITY4-L00</v>
      </c>
      <c r="L374" s="81" t="str">
        <f t="array" ref="L374:L375">{"CLASSINITIALABILITY5-L00";((INDEX(ALLCLASSDATA,MATCH("ClassInitialAbility5-L00",CLASSFEATUREHEADERS,0),MATCH(($A375),CLASSNAMEHEADERS,0))))}</f>
        <v>CLASSINITIALABILITY5-L00</v>
      </c>
      <c r="M374" s="81" t="str">
        <f t="array" ref="M374:M375">{"CLASSINITIALABILITY6-L00";((INDEX(ALLCLASSDATA,MATCH("ClassInitialAbility6-L00",CLASSFEATUREHEADERS,0),MATCH(($A375),CLASSNAMEHEADERS,0))))}</f>
        <v>CLASSINITIALABILITY6-L00</v>
      </c>
      <c r="N374" s="81" t="str">
        <f t="array" ref="N374:N375">{"CLASSINITIALABILITY7-L00";((INDEX(ALLCLASSDATA,MATCH("ClassInitialAbility7-L00",CLASSFEATUREHEADERS,0),MATCH(($A375),CLASSNAMEHEADERS,0))))}</f>
        <v>CLASSINITIALABILITY7-L00</v>
      </c>
      <c r="O374" s="81" t="str">
        <f t="array" ref="O374:O375">{"CLASSINITIALABILITY8-L00";((INDEX(ALLCLASSDATA,MATCH("ClassInitialAbility8-L00",CLASSFEATUREHEADERS,0),MATCH(($A375),CLASSNAMEHEADERS,0))))}</f>
        <v>CLASSINITIALABILITY8-L00</v>
      </c>
      <c r="P374" s="81" t="str">
        <f t="array" ref="P374:P375">{"CLASSINITIALABILITY9-L00";((INDEX(ALLCLASSDATA,MATCH("ClassInitialAbility9-L00",CLASSFEATUREHEADERS,0),MATCH(($A375),CLASSNAMEHEADERS,0))))}</f>
        <v>CLASSINITIALABILITY9-L00</v>
      </c>
      <c r="Q374" s="81" t="str">
        <f t="array" ref="Q374:Q375">{"CLASSINITIALABILITY10-L00";((INDEX(ALLCLASSDATA,MATCH("ClassInitialAbility10-L00",CLASSFEATUREHEADERS,0),MATCH(($A375),CLASSNAMEHEADERS,0))))}</f>
        <v>CLASSINITIALABILITY10-L00</v>
      </c>
      <c r="R374" s="81" t="str">
        <f t="array" ref="R374:R375">{"SUBCLASSINITIAL1-L00";((INDEX(ALLCLASSDATA,MATCH("SubclassInitial1-L00",CLASSFEATUREHEADERS,0),MATCH(($A375),CLASSNAMEHEADERS,0))))}</f>
        <v>SUBCLASSINITIAL1-L00</v>
      </c>
      <c r="S374" s="81" t="str">
        <f t="array" ref="S374:S375">{"SUBCLASSINITIAL2-L00";((INDEX(ALLCLASSDATA,MATCH("SubclassInitial2-L00",CLASSFEATUREHEADERS,0),MATCH(($A375),CLASSNAMEHEADERS,0))))}</f>
        <v>SUBCLASSINITIAL2-L00</v>
      </c>
      <c r="T374" s="81" t="str">
        <f t="array" ref="T374:T375">{"SUBCLASSINITIAL3-L00";((INDEX(ALLCLASSDATA,MATCH("SubclassInitial3-L00",CLASSFEATUREHEADERS,0),MATCH(($A375),CLASSNAMEHEADERS,0))))}</f>
        <v>SUBCLASSINITIAL3-L00</v>
      </c>
      <c r="U374" s="81" t="str">
        <f t="array" ref="U374:U375">{"SUBCLASSINITIAL4-L00";((INDEX(ALLCLASSDATA,MATCH("SubclassInitial4-L00",CLASSFEATUREHEADERS,0),MATCH(($A375),CLASSNAMEHEADERS,0))))}</f>
        <v>SUBCLASSINITIAL4-L00</v>
      </c>
      <c r="V374" s="81" t="str">
        <f t="array" ref="V374:V375">{"SUBCLASSINITIAL5-L00";((INDEX(ALLCLASSDATA,MATCH("SubclassInitial5-L00",CLASSFEATUREHEADERS,0),MATCH(($A375),CLASSNAMEHEADERS,0))))}</f>
        <v>SUBCLASSINITIAL5-L00</v>
      </c>
      <c r="W374" s="81" t="str">
        <f t="array" ref="W374:W375">{"SUBCLASSINITIAL6-L00";((INDEX(ALLCLASSDATA,MATCH("SubclassInitial6-L00",CLASSFEATUREHEADERS,0),MATCH(($A375),CLASSNAMEHEADERS,0))))}</f>
        <v>SUBCLASSINITIAL6-L00</v>
      </c>
      <c r="X374" s="81" t="str">
        <f t="array" ref="X374:X375">{"SUBCLASSINITIAL7-L00";((INDEX(ALLCLASSDATA,MATCH("SubclassInitial7-L00",CLASSFEATUREHEADERS,0),MATCH(($A375),CLASSNAMEHEADERS,0))))}</f>
        <v>SUBCLASSINITIAL7-L00</v>
      </c>
      <c r="Y374" s="81" t="str">
        <f t="array" ref="Y374:Y375">{"SUBCLASSINITIAL8-L00";((INDEX(ALLCLASSDATA,MATCH("SubclassInitial8-L00",CLASSFEATUREHEADERS,0),MATCH(($A375),CLASSNAMEHEADERS,0))))}</f>
        <v>SUBCLASSINITIAL8-L00</v>
      </c>
      <c r="Z374" s="81" t="str">
        <f t="array" ref="Z374:Z375">{"SUBCLASSINITIAL9-L00";((INDEX(ALLCLASSDATA,MATCH("SubclassInitial9-L00",CLASSFEATUREHEADERS,0),MATCH(($A375),CLASSNAMEHEADERS,0))))}</f>
        <v>SUBCLASSINITIAL9-L00</v>
      </c>
      <c r="AA374" s="81" t="str">
        <f t="array" ref="AA374:AA375">{"SUBCLASSINITIAL10-L00";((INDEX(ALLCLASSDATA,MATCH("SubclassInitial10-L00",CLASSFEATUREHEADERS,0),MATCH(($A375),CLASSNAMEHEADERS,0))))}</f>
        <v>SUBCLASSINITIAL10-L00</v>
      </c>
      <c r="AB374" s="76"/>
      <c r="AC374" s="76"/>
    </row>
    <row r="375">
      <c r="A375" s="48" t="s">
        <v>124</v>
      </c>
      <c r="B375" s="48"/>
      <c r="C375" s="48" t="s">
        <v>413</v>
      </c>
      <c r="D375" s="48" t="s">
        <v>614</v>
      </c>
      <c r="E375" s="48" t="s">
        <v>616</v>
      </c>
      <c r="F375" s="48"/>
      <c r="G375" s="47"/>
      <c r="H375" s="5" t="s">
        <v>940</v>
      </c>
      <c r="I375" s="5"/>
      <c r="J375" s="5"/>
      <c r="K375" s="5"/>
      <c r="L375" s="5"/>
      <c r="M375" s="5"/>
      <c r="N375" s="5"/>
      <c r="O375" s="5"/>
      <c r="P375" s="5"/>
      <c r="Q375" s="5"/>
      <c r="R375" s="5" t="s">
        <v>1810</v>
      </c>
      <c r="S375" s="5"/>
      <c r="T375" s="5"/>
      <c r="U375" s="5"/>
      <c r="V375" s="5"/>
      <c r="W375" s="5"/>
      <c r="X375" s="5"/>
      <c r="Y375" s="5"/>
      <c r="Z375" s="5"/>
      <c r="AA375" s="5"/>
      <c r="AB375" s="5"/>
      <c r="AC375" s="47"/>
    </row>
    <row r="376" hidden="1">
      <c r="A376" s="76" t="str">
        <f t="array" ref="A376:A377">{"FormulaRow05";(INDEX(CLASSLIST,A367,1))}</f>
        <v>FormulaRow05</v>
      </c>
      <c r="B376" s="77" t="s">
        <v>236</v>
      </c>
      <c r="C376" s="76" t="str">
        <f t="array" ref="C376:C377">{"CLASSTYPE";((INDEX(ALLCLASSDATA,MATCH("ClassType",CLASSFEATUREHEADERS,0),MATCH($A377,CLASSNAMEHEADERS,0))))}</f>
        <v>CLASSTYPE</v>
      </c>
      <c r="D376" s="76" t="str">
        <f t="array" ref="D376:D377">{"INITIALFEATURESPTS";"InitialFeaturesPts"}</f>
        <v>INITIALFEATURESPTS</v>
      </c>
      <c r="E376" s="76" t="str">
        <f t="array" ref="E376:E377">{"CLASS/SUBCLASSFEATURES";"Class/Subclass Features"}</f>
        <v>CLASS/SUBCLASSFEATURES</v>
      </c>
      <c r="F376" s="76"/>
      <c r="G376" s="76"/>
      <c r="H376" s="76" t="str">
        <f t="array" ref="H376:H377">{"CLASSINITIALABILITY1-L00PTS";((INDEX(ALLCLASSDATA,MATCH("ClassInitialAbility1-L00",CLASSFEATUREHEADERS,0),MATCH(($A377 &amp; "Points"),CLASSNAMEHEADERS,0))))}</f>
        <v>CLASSINITIALABILITY1-L00PTS</v>
      </c>
      <c r="I376" s="76" t="str">
        <f t="array" ref="I376:I377">{"CLASSINITIALABILITY2-L00PTS";((INDEX(ALLCLASSDATA,MATCH("ClassInitialAbility2-L00",CLASSFEATUREHEADERS,0),MATCH(($A377 &amp; "Points"),CLASSNAMEHEADERS,0))))}</f>
        <v>CLASSINITIALABILITY2-L00PTS</v>
      </c>
      <c r="J376" s="76" t="str">
        <f t="array" ref="J376:J377">{"CLASSINITIALABILITY3-L00PTS";((INDEX(ALLCLASSDATA,MATCH("ClassInitialAbility3-L00",CLASSFEATUREHEADERS,0),MATCH(($A377 &amp; "Points"),CLASSNAMEHEADERS,0))))}</f>
        <v>CLASSINITIALABILITY3-L00PTS</v>
      </c>
      <c r="K376" s="76" t="str">
        <f t="array" ref="K376:K377">{"CLASSINITIALABILITY4-L00PTS";((INDEX(ALLCLASSDATA,MATCH("ClassInitialAbility4-L00",CLASSFEATUREHEADERS,0),MATCH(($A377 &amp; "Points"),CLASSNAMEHEADERS,0))))}</f>
        <v>CLASSINITIALABILITY4-L00PTS</v>
      </c>
      <c r="L376" s="76" t="str">
        <f t="array" ref="L376:L377">{"CLASSINITIALABILITY5-L00PTS";((INDEX(ALLCLASSDATA,MATCH("ClassInitialAbility5-L00",CLASSFEATUREHEADERS,0),MATCH(($A377 &amp; "Points"),CLASSNAMEHEADERS,0))))}</f>
        <v>CLASSINITIALABILITY5-L00PTS</v>
      </c>
      <c r="M376" s="76" t="str">
        <f t="array" ref="M376:M377">{"CLASSINITIALABILITY6-L00PTS";((INDEX(ALLCLASSDATA,MATCH("ClassInitialAbility6-L00",CLASSFEATUREHEADERS,0),MATCH(($A377 &amp; "Points"),CLASSNAMEHEADERS,0))))}</f>
        <v>CLASSINITIALABILITY6-L00PTS</v>
      </c>
      <c r="N376" s="76" t="str">
        <f t="array" ref="N376:N377">{"CLASSINITIALABILITY7-L00PTS";((INDEX(ALLCLASSDATA,MATCH("ClassInitialAbility7-L00",CLASSFEATUREHEADERS,0),MATCH(($A377 &amp; "Points"),CLASSNAMEHEADERS,0))))}</f>
        <v>CLASSINITIALABILITY7-L00PTS</v>
      </c>
      <c r="O376" s="76" t="str">
        <f t="array" ref="O376:O377">{"CLASSINITIALABILITY8-L00PTS";((INDEX(ALLCLASSDATA,MATCH("ClassInitialAbility8-L00",CLASSFEATUREHEADERS,0),MATCH(($A377 &amp; "Points"),CLASSNAMEHEADERS,0))))}</f>
        <v>CLASSINITIALABILITY8-L00PTS</v>
      </c>
      <c r="P376" s="76" t="str">
        <f t="array" ref="P376:P377">{"CLASSINITIALABILITY9-L00PTS";((INDEX(ALLCLASSDATA,MATCH("ClassInitialAbility9-L00",CLASSFEATUREHEADERS,0),MATCH(($A377 &amp; "Points"),CLASSNAMEHEADERS,0))))}</f>
        <v>CLASSINITIALABILITY9-L00PTS</v>
      </c>
      <c r="Q376" s="76" t="str">
        <f t="array" ref="Q376:Q377">{"CLASSINITIALABILITY10-L00PTS";((INDEX(ALLCLASSDATA,MATCH("ClassInitialAbility10-L00",CLASSFEATUREHEADERS,0),MATCH(($A377 &amp; "Points"),CLASSNAMEHEADERS,0))))}</f>
        <v>CLASSINITIALABILITY10-L00PTS</v>
      </c>
      <c r="R376" s="76" t="str">
        <f t="array" ref="R376:R377">{"SUBCLASSINITIAL1-L00PTS";((INDEX(ALLCLASSDATA,MATCH("SubclassInitial1-L00",CLASSFEATUREHEADERS,0),MATCH(($A377 &amp; "Points"),CLASSNAMEHEADERS,0))))}</f>
        <v>SUBCLASSINITIAL1-L00PTS</v>
      </c>
      <c r="S376" s="76" t="str">
        <f t="array" ref="S376:S377">{"SUBCLASSINITIAL2-L00PTS";((INDEX(ALLCLASSDATA,MATCH("SubclassInitial2-L00",CLASSFEATUREHEADERS,0),MATCH(($A377 &amp; "Points"),CLASSNAMEHEADERS,0))))}</f>
        <v>SUBCLASSINITIAL2-L00PTS</v>
      </c>
      <c r="T376" s="76" t="str">
        <f t="array" ref="T376:T377">{"SUBCLASSINITIAL3-L00PTS";((INDEX(ALLCLASSDATA,MATCH("SubclassInitial3-L00",CLASSFEATUREHEADERS,0),MATCH(($A377 &amp; "Points"),CLASSNAMEHEADERS,0))))}</f>
        <v>SUBCLASSINITIAL3-L00PTS</v>
      </c>
      <c r="U376" s="76" t="str">
        <f t="array" ref="U376:U377">{"SUBCLASSINITIAL4-L00PTS";((INDEX(ALLCLASSDATA,MATCH("SubclassInitial4-L00",CLASSFEATUREHEADERS,0),MATCH(($A377 &amp; "Points"),CLASSNAMEHEADERS,0))))}</f>
        <v>SUBCLASSINITIAL4-L00PTS</v>
      </c>
      <c r="V376" s="76" t="str">
        <f t="array" ref="V376:V377">{"SUBCLASSINITIAL5-L00PTS";((INDEX(ALLCLASSDATA,MATCH("SubclassInitial5-L00",CLASSFEATUREHEADERS,0),MATCH(($A377 &amp; "Points"),CLASSNAMEHEADERS,0))))}</f>
        <v>SUBCLASSINITIAL5-L00PTS</v>
      </c>
      <c r="W376" s="76" t="str">
        <f t="array" ref="W376:W377">{"SUBCLASSINITIAL6-L00PTS";((INDEX(ALLCLASSDATA,MATCH("SubclassInitial6-L00",CLASSFEATUREHEADERS,0),MATCH(($A377 &amp; "Points"),CLASSNAMEHEADERS,0))))}</f>
        <v>SUBCLASSINITIAL6-L00PTS</v>
      </c>
      <c r="X376" s="76" t="str">
        <f t="array" ref="X376:X377">{"SUBCLASSINITIAL7-L00PTS";((INDEX(ALLCLASSDATA,MATCH("SubclassInitial7-L00",CLASSFEATUREHEADERS,0),MATCH(($A377 &amp; "Points"),CLASSNAMEHEADERS,0))))}</f>
        <v>SUBCLASSINITIAL7-L00PTS</v>
      </c>
      <c r="Y376" s="76" t="str">
        <f t="array" ref="Y376:Y377">{"SUBCLASSINITIAL8-L00PTS";((INDEX(ALLCLASSDATA,MATCH("SubclassInitial8-L00",CLASSFEATUREHEADERS,0),MATCH(($A377 &amp; "Points"),CLASSNAMEHEADERS,0))))}</f>
        <v>SUBCLASSINITIAL8-L00PTS</v>
      </c>
      <c r="Z376" s="76" t="str">
        <f t="array" ref="Z376:Z377">{"SUBCLASSINITIAL9-L00PTS";((INDEX(ALLCLASSDATA,MATCH("SubclassInitial9-L00",CLASSFEATUREHEADERS,0),MATCH(($A377 &amp; "Points"),CLASSNAMEHEADERS,0))))}</f>
        <v>SUBCLASSINITIAL9-L00PTS</v>
      </c>
      <c r="AA376" s="76" t="str">
        <f t="array" ref="AA376:AA377">{"SUBCLASSINITIAL10-L00PTS";((INDEX(ALLCLASSDATA,MATCH("SubclassInitial10-L00",CLASSFEATUREHEADERS,0),MATCH(($A377 &amp; "Points"),CLASSNAMEHEADERS,0))))}</f>
        <v>SUBCLASSINITIAL10-L00PTS</v>
      </c>
      <c r="AB376" s="76"/>
      <c r="AC376" s="76" t="str">
        <f t="array" ref="AC376:AC377">{"INITIALFEATUREPTS TOTAL";(sum(G377:AA377))}</f>
        <v>INITIALFEATUREPTS TOTAL</v>
      </c>
    </row>
    <row r="377">
      <c r="A377" s="48" t="s">
        <v>124</v>
      </c>
      <c r="B377" s="48"/>
      <c r="C377" s="48" t="s">
        <v>413</v>
      </c>
      <c r="D377" s="97" t="s">
        <v>651</v>
      </c>
      <c r="E377" s="97" t="s">
        <v>616</v>
      </c>
      <c r="F377" s="97"/>
      <c r="G377" s="132"/>
      <c r="H377" s="98">
        <v>10.0</v>
      </c>
      <c r="I377" s="98"/>
      <c r="J377" s="97"/>
      <c r="K377" s="98"/>
      <c r="L377" s="97"/>
      <c r="M377" s="98"/>
      <c r="N377" s="98"/>
      <c r="O377" s="98"/>
      <c r="P377" s="98"/>
      <c r="Q377" s="98"/>
      <c r="R377" s="98">
        <v>10.0</v>
      </c>
      <c r="S377" s="98"/>
      <c r="T377" s="98"/>
      <c r="U377" s="98"/>
      <c r="V377" s="98"/>
      <c r="W377" s="98"/>
      <c r="X377" s="98"/>
      <c r="Y377" s="98"/>
      <c r="Z377" s="98"/>
      <c r="AA377" s="98"/>
      <c r="AB377" s="5"/>
      <c r="AC377" s="47">
        <v>20.0</v>
      </c>
    </row>
    <row r="378" hidden="1">
      <c r="A378" s="76" t="str">
        <f t="array" ref="A378:A379">{"FormulaRow06";(INDEX(CLASSLIST,A367,1))}</f>
        <v>FormulaRow06</v>
      </c>
      <c r="B378" s="77" t="s">
        <v>236</v>
      </c>
      <c r="C378" s="76" t="str">
        <f t="array" ref="C378:C379">{"CLASSTYPE";((INDEX(ALLCLASSDATA,MATCH("ClassType",CLASSFEATUREHEADERS,0),MATCH($A379,CLASSNAMEHEADERS,0))))}</f>
        <v>CLASSTYPE</v>
      </c>
      <c r="D378" s="81" t="str">
        <f t="array" ref="D378:D379">{"SKILLS";"Skills"}</f>
        <v>SKILLS</v>
      </c>
      <c r="E378" s="81" t="str">
        <f t="array" ref="E378:E379">{"EXTRASKILLINCREASES";"Extra Skill Increases"}</f>
        <v>EXTRASKILLINCREASES</v>
      </c>
      <c r="F378" s="81"/>
      <c r="G378" s="81"/>
      <c r="H378" s="81"/>
      <c r="I378" s="81" t="str">
        <f t="array" ref="I378:I379">{"SKILLINCREASEEXTRA-L02";((INDEX(ALLCLASSDATA,MATCH("SkillIncreaseExtra-L02",CLASSFEATUREHEADERS,0),MATCH(($A379 &amp; "Points"),CLASSNAMEHEADERS,0))))}</f>
        <v>SKILLINCREASEEXTRA-L02</v>
      </c>
      <c r="J378" s="81" t="str">
        <f t="array" ref="J378:J379">{"SKILLINCREASEEXTRA-L03";((INDEX(ALLCLASSDATA,MATCH("SkillIncreaseExtra-L03",CLASSFEATUREHEADERS,0),MATCH(($A379 &amp; "Points"),CLASSNAMEHEADERS,0))))}</f>
        <v>SKILLINCREASEEXTRA-L03</v>
      </c>
      <c r="K378" s="81" t="str">
        <f t="array" ref="K378:K379">{"SKILLINCREASEEXTRA-L04";((INDEX(ALLCLASSDATA,MATCH("SkillIncreaseExtra-L04",CLASSFEATUREHEADERS,0),MATCH(($A379 &amp; "Points"),CLASSNAMEHEADERS,0))))}</f>
        <v>SKILLINCREASEEXTRA-L04</v>
      </c>
      <c r="L378" s="81" t="str">
        <f t="array" ref="L378:L379">{"SKILLINCREASEEXTRA-L05";((INDEX(ALLCLASSDATA,MATCH("SkillIncreaseExtra-L05",CLASSFEATUREHEADERS,0),MATCH(($A379 &amp; "Points"),CLASSNAMEHEADERS,0))))}</f>
        <v>SKILLINCREASEEXTRA-L05</v>
      </c>
      <c r="M378" s="81" t="str">
        <f t="array" ref="M378:M379">{"SKILLINCREASEEXTRA-L06";((INDEX(ALLCLASSDATA,MATCH("SkillIncreaseExtra-L06",CLASSFEATUREHEADERS,0),MATCH(($A379 &amp; "Points"),CLASSNAMEHEADERS,0))))}</f>
        <v>SKILLINCREASEEXTRA-L06</v>
      </c>
      <c r="N378" s="81" t="str">
        <f t="array" ref="N378:N379">{"SKILLINCREASEEXTRA-L07";((INDEX(ALLCLASSDATA,MATCH("SkillIncreaseExtra-L07",CLASSFEATUREHEADERS,0),MATCH(($A379 &amp; "Points"),CLASSNAMEHEADERS,0))))}</f>
        <v>SKILLINCREASEEXTRA-L07</v>
      </c>
      <c r="O378" s="81" t="str">
        <f t="array" ref="O378:O379">{"SKILLINCREASEEXTRA-L08";((INDEX(ALLCLASSDATA,MATCH("SkillIncreaseExtra-L08",CLASSFEATUREHEADERS,0),MATCH(($A379 &amp; "Points"),CLASSNAMEHEADERS,0))))}</f>
        <v>SKILLINCREASEEXTRA-L08</v>
      </c>
      <c r="P378" s="81" t="str">
        <f t="array" ref="P378:P379">{"SKILLINCREASEEXTRA-L09";((INDEX(ALLCLASSDATA,MATCH("SkillIncreaseExtra-L09",CLASSFEATUREHEADERS,0),MATCH(($A379 &amp; "Points"),CLASSNAMEHEADERS,0))))}</f>
        <v>SKILLINCREASEEXTRA-L09</v>
      </c>
      <c r="Q378" s="81" t="str">
        <f t="array" ref="Q378:Q379">{"SKILLINCREASEEXTRA-L10";((INDEX(ALLCLASSDATA,MATCH("SkillIncreaseExtra-L10",CLASSFEATUREHEADERS,0),MATCH(($A379 &amp; "Points"),CLASSNAMEHEADERS,0))))}</f>
        <v>SKILLINCREASEEXTRA-L10</v>
      </c>
      <c r="R378" s="81" t="str">
        <f t="array" ref="R378:R379">{"SKILLINCREASEEXTRA-L11";((INDEX(ALLCLASSDATA,MATCH("SkillIncreaseExtra-L11",CLASSFEATUREHEADERS,0),MATCH(($A379 &amp; "Points"),CLASSNAMEHEADERS,0))))}</f>
        <v>SKILLINCREASEEXTRA-L11</v>
      </c>
      <c r="S378" s="81" t="str">
        <f t="array" ref="S378:S379">{"SKILLINCREASEEXTRA-L12";((INDEX(ALLCLASSDATA,MATCH("SkillIncreaseExtra-L12",CLASSFEATUREHEADERS,0),MATCH(($A379 &amp; "Points"),CLASSNAMEHEADERS,0))))}</f>
        <v>SKILLINCREASEEXTRA-L12</v>
      </c>
      <c r="T378" s="81" t="str">
        <f t="array" ref="T378:T379">{"SKILLINCREASEEXTRA-L13";((INDEX(ALLCLASSDATA,MATCH("SkillIncreaseExtra-L13",CLASSFEATUREHEADERS,0),MATCH(($A379 &amp; "Points"),CLASSNAMEHEADERS,0))))}</f>
        <v>SKILLINCREASEEXTRA-L13</v>
      </c>
      <c r="U378" s="81" t="str">
        <f t="array" ref="U378:U379">{"SKILLINCREASEEXTRA-L14";((INDEX(ALLCLASSDATA,MATCH("SkillIncreaseExtra-L14",CLASSFEATUREHEADERS,0),MATCH(($A379 &amp; "Points"),CLASSNAMEHEADERS,0))))}</f>
        <v>SKILLINCREASEEXTRA-L14</v>
      </c>
      <c r="V378" s="81" t="str">
        <f t="array" ref="V378:V379">{"SKILLINCREASEEXTRA-L15";((INDEX(ALLCLASSDATA,MATCH("SkillIncreaseExtra-L15",CLASSFEATUREHEADERS,0),MATCH(($A379 &amp; "Points"),CLASSNAMEHEADERS,0))))}</f>
        <v>SKILLINCREASEEXTRA-L15</v>
      </c>
      <c r="W378" s="81" t="str">
        <f t="array" ref="W378:W379">{"SKILLINCREASEEXTRA-L16";((INDEX(ALLCLASSDATA,MATCH("SkillIncreaseExtra-L16",CLASSFEATUREHEADERS,0),MATCH(($A379 &amp; "Points"),CLASSNAMEHEADERS,0))))}</f>
        <v>SKILLINCREASEEXTRA-L16</v>
      </c>
      <c r="X378" s="81" t="str">
        <f t="array" ref="X378:X379">{"SKILLINCREASEEXTRA-L17";((INDEX(ALLCLASSDATA,MATCH("SkillIncreaseExtra-L17",CLASSFEATUREHEADERS,0),MATCH(($A379 &amp; "Points"),CLASSNAMEHEADERS,0))))}</f>
        <v>SKILLINCREASEEXTRA-L17</v>
      </c>
      <c r="Y378" s="81" t="str">
        <f t="array" ref="Y378:Y379">{"SKILLINCREASEEXTRA-L18";((INDEX(ALLCLASSDATA,MATCH("SkillIncreaseExtra-L18",CLASSFEATUREHEADERS,0),MATCH(($A379 &amp; "Points"),CLASSNAMEHEADERS,0))))}</f>
        <v>SKILLINCREASEEXTRA-L18</v>
      </c>
      <c r="Z378" s="81" t="str">
        <f t="array" ref="Z378:Z379">{"SKILLINCREASEEXTRA-L19";((INDEX(ALLCLASSDATA,MATCH("SkillIncreaseExtra-L19",CLASSFEATUREHEADERS,0),MATCH(($A379 &amp; "Points"),CLASSNAMEHEADERS,0))))}</f>
        <v>SKILLINCREASEEXTRA-L19</v>
      </c>
      <c r="AA378" s="81" t="str">
        <f t="array" ref="AA378:AA379">{"SKILLINCREASEEXTRA-L20";((INDEX(ALLCLASSDATA,MATCH("SkillIncreaseExtra-L20",CLASSFEATUREHEADERS,0),MATCH(($A379 &amp; "Points"),CLASSNAMEHEADERS,0))))}</f>
        <v>SKILLINCREASEEXTRA-L20</v>
      </c>
      <c r="AB378" s="76"/>
      <c r="AC378" s="76" t="str">
        <f t="array" ref="AC378:AC379">{"SKILLINCREASE TOTAL";(sum(G379:AA379))}</f>
        <v>SKILLINCREASE TOTAL</v>
      </c>
    </row>
    <row r="379">
      <c r="A379" s="48" t="s">
        <v>124</v>
      </c>
      <c r="B379" s="48"/>
      <c r="C379" s="48" t="s">
        <v>413</v>
      </c>
      <c r="D379" s="48" t="s">
        <v>659</v>
      </c>
      <c r="E379" s="48" t="s">
        <v>661</v>
      </c>
      <c r="F379" s="48"/>
      <c r="G379" s="47"/>
      <c r="H379" s="5"/>
      <c r="I379" s="5" t="s">
        <v>603</v>
      </c>
      <c r="J379" s="5" t="s">
        <v>603</v>
      </c>
      <c r="K379" s="5" t="s">
        <v>603</v>
      </c>
      <c r="L379" s="48" t="s">
        <v>603</v>
      </c>
      <c r="M379" s="5" t="s">
        <v>603</v>
      </c>
      <c r="N379" s="5" t="s">
        <v>603</v>
      </c>
      <c r="O379" s="5" t="s">
        <v>603</v>
      </c>
      <c r="P379" s="5" t="s">
        <v>603</v>
      </c>
      <c r="Q379" s="5" t="s">
        <v>603</v>
      </c>
      <c r="R379" s="5" t="s">
        <v>603</v>
      </c>
      <c r="S379" s="5" t="s">
        <v>603</v>
      </c>
      <c r="T379" s="5" t="s">
        <v>603</v>
      </c>
      <c r="U379" s="5" t="s">
        <v>603</v>
      </c>
      <c r="V379" s="5" t="s">
        <v>603</v>
      </c>
      <c r="W379" s="5" t="s">
        <v>603</v>
      </c>
      <c r="X379" s="5" t="s">
        <v>603</v>
      </c>
      <c r="Y379" s="5" t="s">
        <v>603</v>
      </c>
      <c r="Z379" s="5" t="s">
        <v>603</v>
      </c>
      <c r="AA379" s="5" t="s">
        <v>603</v>
      </c>
      <c r="AB379" s="5"/>
      <c r="AC379" s="47">
        <v>0.0</v>
      </c>
    </row>
    <row r="380" hidden="1">
      <c r="A380" s="76" t="str">
        <f t="array" ref="A380:A381">{"FormulaRow07";(INDEX(CLASSLIST,A367,1))}</f>
        <v>FormulaRow07</v>
      </c>
      <c r="B380" s="77" t="s">
        <v>236</v>
      </c>
      <c r="C380" s="76" t="str">
        <f t="array" ref="C380:C381">{"CLASSTYPE";((INDEX(ALLCLASSDATA,MATCH("ClassType",CLASSFEATUREHEADERS,0),MATCH($A381,CLASSNAMEHEADERS,0))))}</f>
        <v>CLASSTYPE</v>
      </c>
      <c r="D380" s="76" t="str">
        <f t="array" ref="D380:D381">{"SKILLS";"Skills"}</f>
        <v>SKILLS</v>
      </c>
      <c r="E380" s="76" t="str">
        <f t="array" ref="E380:E381">{"EXTRASKILLFEATS";"Extra Skill Feats"}</f>
        <v>EXTRASKILLFEATS</v>
      </c>
      <c r="F380" s="76"/>
      <c r="G380" s="76"/>
      <c r="H380" s="76" t="str">
        <f t="array" ref="H380:H381">{"SKILLFEATEXTRA-L01";((INDEX(ALLCLASSDATA,MATCH("SkillFeatExtra-L01",CLASSFEATUREHEADERS,0),MATCH(($A381 &amp; "Points"),CLASSNAMEHEADERS,0))))}</f>
        <v>SKILLFEATEXTRA-L01</v>
      </c>
      <c r="I380" s="76" t="str">
        <f t="array" ref="I380:I381">{"SKILLFEATEXTRA-L02";((INDEX(ALLCLASSDATA,MATCH("SkillFeatExtra-L02",CLASSFEATUREHEADERS,0),MATCH(($A381 &amp; "Points"),CLASSNAMEHEADERS,0))))}</f>
        <v>SKILLFEATEXTRA-L02</v>
      </c>
      <c r="J380" s="76" t="str">
        <f t="array" ref="J380:J381">{"SKILLFEATEXTRA-L03";((INDEX(ALLCLASSDATA,MATCH("SkillFeatExtra-L03",CLASSFEATUREHEADERS,0),MATCH(($A381 &amp; "Points"),CLASSNAMEHEADERS,0))))}</f>
        <v>SKILLFEATEXTRA-L03</v>
      </c>
      <c r="K380" s="76" t="str">
        <f t="array" ref="K380:K381">{"SKILLFEATEXTRA-L04";((INDEX(ALLCLASSDATA,MATCH("SkillFeatExtra-L04",CLASSFEATUREHEADERS,0),MATCH(($A381 &amp; "Points"),CLASSNAMEHEADERS,0))))}</f>
        <v>SKILLFEATEXTRA-L04</v>
      </c>
      <c r="L380" s="76" t="str">
        <f t="array" ref="L380:L381">{"SKILLFEATEXTRA-L05";((INDEX(ALLCLASSDATA,MATCH("SkillFeatExtra-L05",CLASSFEATUREHEADERS,0),MATCH(($A381 &amp; "Points"),CLASSNAMEHEADERS,0))))}</f>
        <v>SKILLFEATEXTRA-L05</v>
      </c>
      <c r="M380" s="76" t="str">
        <f t="array" ref="M380:M381">{"SKILLFEATEXTRA-L06";((INDEX(ALLCLASSDATA,MATCH("SkillFeatExtra-L06",CLASSFEATUREHEADERS,0),MATCH(($A381 &amp; "Points"),CLASSNAMEHEADERS,0))))}</f>
        <v>SKILLFEATEXTRA-L06</v>
      </c>
      <c r="N380" s="76" t="str">
        <f t="array" ref="N380:N381">{"SKILLFEATEXTRA-L07";((INDEX(ALLCLASSDATA,MATCH("SkillFeatExtra-L07",CLASSFEATUREHEADERS,0),MATCH(($A381 &amp; "Points"),CLASSNAMEHEADERS,0))))}</f>
        <v>SKILLFEATEXTRA-L07</v>
      </c>
      <c r="O380" s="76" t="str">
        <f t="array" ref="O380:O381">{"SKILLFEATEXTRA-L08";((INDEX(ALLCLASSDATA,MATCH("SkillFeatExtra-L08",CLASSFEATUREHEADERS,0),MATCH(($A381 &amp; "Points"),CLASSNAMEHEADERS,0))))}</f>
        <v>SKILLFEATEXTRA-L08</v>
      </c>
      <c r="P380" s="76" t="str">
        <f t="array" ref="P380:P381">{"SKILLFEATEXTRA-L09";((INDEX(ALLCLASSDATA,MATCH("SkillFeatExtra-L09",CLASSFEATUREHEADERS,0),MATCH(($A381 &amp; "Points"),CLASSNAMEHEADERS,0))))}</f>
        <v>SKILLFEATEXTRA-L09</v>
      </c>
      <c r="Q380" s="76" t="str">
        <f t="array" ref="Q380:Q381">{"SKILLFEATEXTRA-L10";((INDEX(ALLCLASSDATA,MATCH("SkillFeatExtra-L10",CLASSFEATUREHEADERS,0),MATCH(($A381 &amp; "Points"),CLASSNAMEHEADERS,0))))}</f>
        <v>SKILLFEATEXTRA-L10</v>
      </c>
      <c r="R380" s="76" t="str">
        <f t="array" ref="R380:R381">{"SKILLFEATEXTRA-L11";((INDEX(ALLCLASSDATA,MATCH("SkillFeatExtra-L11",CLASSFEATUREHEADERS,0),MATCH(($A381 &amp; "Points"),CLASSNAMEHEADERS,0))))}</f>
        <v>SKILLFEATEXTRA-L11</v>
      </c>
      <c r="S380" s="76" t="str">
        <f t="array" ref="S380:S381">{"SKILLFEATEXTRA-L12";((INDEX(ALLCLASSDATA,MATCH("SkillFeatExtra-L12",CLASSFEATUREHEADERS,0),MATCH(($A381 &amp; "Points"),CLASSNAMEHEADERS,0))))}</f>
        <v>SKILLFEATEXTRA-L12</v>
      </c>
      <c r="T380" s="76" t="str">
        <f t="array" ref="T380:T381">{"SKILLFEATEXTRA-L13";((INDEX(ALLCLASSDATA,MATCH("SkillFeatExtra-L13",CLASSFEATUREHEADERS,0),MATCH(($A381 &amp; "Points"),CLASSNAMEHEADERS,0))))}</f>
        <v>SKILLFEATEXTRA-L13</v>
      </c>
      <c r="U380" s="76" t="str">
        <f t="array" ref="U380:U381">{"SKILLFEATEXTRA-L14";((INDEX(ALLCLASSDATA,MATCH("SkillFeatExtra-L14",CLASSFEATUREHEADERS,0),MATCH(($A381 &amp; "Points"),CLASSNAMEHEADERS,0))))}</f>
        <v>SKILLFEATEXTRA-L14</v>
      </c>
      <c r="V380" s="76" t="str">
        <f t="array" ref="V380:V381">{"SKILLFEATEXTRA-L15";((INDEX(ALLCLASSDATA,MATCH("SkillFeatExtra-L15",CLASSFEATUREHEADERS,0),MATCH(($A381 &amp; "Points"),CLASSNAMEHEADERS,0))))}</f>
        <v>SKILLFEATEXTRA-L15</v>
      </c>
      <c r="W380" s="76" t="str">
        <f t="array" ref="W380:W381">{"SKILLFEATEXTRA-L16";((INDEX(ALLCLASSDATA,MATCH("SkillFeatExtra-L16",CLASSFEATUREHEADERS,0),MATCH(($A381 &amp; "Points"),CLASSNAMEHEADERS,0))))}</f>
        <v>SKILLFEATEXTRA-L16</v>
      </c>
      <c r="X380" s="76" t="str">
        <f t="array" ref="X380:X381">{"SKILLFEATEXTRA-L17";((INDEX(ALLCLASSDATA,MATCH("SkillFeatExtra-L17",CLASSFEATUREHEADERS,0),MATCH(($A381 &amp; "Points"),CLASSNAMEHEADERS,0))))}</f>
        <v>SKILLFEATEXTRA-L17</v>
      </c>
      <c r="Y380" s="76" t="str">
        <f t="array" ref="Y380:Y381">{"SKILLFEATEXTRA-L18";((INDEX(ALLCLASSDATA,MATCH("SkillFeatExtra-L18",CLASSFEATUREHEADERS,0),MATCH(($A381 &amp; "Points"),CLASSNAMEHEADERS,0))))}</f>
        <v>SKILLFEATEXTRA-L18</v>
      </c>
      <c r="Z380" s="76" t="str">
        <f t="array" ref="Z380:Z381">{"SKILLFEATEXTRA-L19";((INDEX(ALLCLASSDATA,MATCH("SkillFeatExtra-L19",CLASSFEATUREHEADERS,0),MATCH(($A381 &amp; "Points"),CLASSNAMEHEADERS,0))))}</f>
        <v>SKILLFEATEXTRA-L19</v>
      </c>
      <c r="AA380" s="76" t="str">
        <f t="array" ref="AA380:AA381">{"SKILLFEATEXTRA-L20";((INDEX(ALLCLASSDATA,MATCH("SkillFeatExtra-L20",CLASSFEATUREHEADERS,0),MATCH(($A381 &amp; "Points"),CLASSNAMEHEADERS,0))))}</f>
        <v>SKILLFEATEXTRA-L20</v>
      </c>
      <c r="AB380" s="76"/>
      <c r="AC380" s="76" t="str">
        <f t="array" ref="AC380:AC381">{"SKILLFEAT TOTAL";(sum(G381:AA381))}</f>
        <v>SKILLFEAT TOTAL</v>
      </c>
    </row>
    <row r="381">
      <c r="A381" s="48" t="s">
        <v>124</v>
      </c>
      <c r="B381" s="48"/>
      <c r="C381" s="48" t="s">
        <v>413</v>
      </c>
      <c r="D381" s="97" t="s">
        <v>659</v>
      </c>
      <c r="E381" s="97" t="s">
        <v>722</v>
      </c>
      <c r="F381" s="97"/>
      <c r="G381" s="132"/>
      <c r="H381" s="98" t="s">
        <v>603</v>
      </c>
      <c r="I381" s="98" t="s">
        <v>603</v>
      </c>
      <c r="J381" s="97" t="s">
        <v>603</v>
      </c>
      <c r="K381" s="98" t="s">
        <v>603</v>
      </c>
      <c r="L381" s="97" t="s">
        <v>603</v>
      </c>
      <c r="M381" s="98" t="s">
        <v>603</v>
      </c>
      <c r="N381" s="98" t="s">
        <v>603</v>
      </c>
      <c r="O381" s="98" t="s">
        <v>603</v>
      </c>
      <c r="P381" s="98" t="s">
        <v>603</v>
      </c>
      <c r="Q381" s="98" t="s">
        <v>603</v>
      </c>
      <c r="R381" s="98" t="s">
        <v>603</v>
      </c>
      <c r="S381" s="98" t="s">
        <v>603</v>
      </c>
      <c r="T381" s="98" t="s">
        <v>603</v>
      </c>
      <c r="U381" s="98" t="s">
        <v>603</v>
      </c>
      <c r="V381" s="98" t="s">
        <v>603</v>
      </c>
      <c r="W381" s="98" t="s">
        <v>603</v>
      </c>
      <c r="X381" s="98" t="s">
        <v>603</v>
      </c>
      <c r="Y381" s="98" t="s">
        <v>603</v>
      </c>
      <c r="Z381" s="98" t="s">
        <v>603</v>
      </c>
      <c r="AA381" s="98" t="s">
        <v>603</v>
      </c>
      <c r="AB381" s="5"/>
      <c r="AC381" s="47">
        <v>0.0</v>
      </c>
    </row>
    <row r="382" hidden="1">
      <c r="A382" s="76" t="str">
        <f t="array" ref="A382:A383">{"FormulaRow08";(INDEX(CLASSLIST,A367,1))}</f>
        <v>FormulaRow08</v>
      </c>
      <c r="B382" s="77" t="s">
        <v>236</v>
      </c>
      <c r="C382" s="76" t="str">
        <f t="array" ref="C382:C383">{"CLASSTYPE";((INDEX(ALLCLASSDATA,MATCH("ClassType",CLASSFEATUREHEADERS,0),MATCH($A383,CLASSNAMEHEADERS,0))))}</f>
        <v>CLASSTYPE</v>
      </c>
      <c r="D382" s="81" t="str">
        <f t="array" ref="D382:D383">{"CLASSABILITY";"ClassAbility"}</f>
        <v>CLASSABILITY</v>
      </c>
      <c r="E382" s="81" t="str">
        <f t="array" ref="E382:E383">{"CLASSABILITY1";"ClassAbility1"}</f>
        <v>CLASSABILITY1</v>
      </c>
      <c r="F382" s="81"/>
      <c r="G382" s="81"/>
      <c r="H382" s="81"/>
      <c r="I382" s="81"/>
      <c r="J382" s="81" t="str">
        <f t="array" ref="J382:J383">{"CLASSABILITY1-L03";((INDEX(ALLCLASSDATA,MATCH("ClassAbility1-L03",CLASSFEATUREHEADERS,0),MATCH(($A383),CLASSNAMEHEADERS,0))))}</f>
        <v>CLASSABILITY1-L03</v>
      </c>
      <c r="K382" s="81"/>
      <c r="L382" s="81" t="str">
        <f t="array" ref="L382:L383">{"CLASSABILITY1-L05";((INDEX(ALLCLASSDATA,MATCH("ClassAbility1-L05",CLASSFEATUREHEADERS,0),MATCH(($A383),CLASSNAMEHEADERS,0))))}</f>
        <v>CLASSABILITY1-L05</v>
      </c>
      <c r="M382" s="81"/>
      <c r="N382" s="81" t="str">
        <f t="array" ref="N382:N383">{"CLASSABILITY1-L07";((INDEX(ALLCLASSDATA,MATCH("ClassAbility1-L07",CLASSFEATUREHEADERS,0),MATCH(($A383),CLASSNAMEHEADERS,0))))}</f>
        <v>CLASSABILITY1-L07</v>
      </c>
      <c r="O382" s="81"/>
      <c r="P382" s="81" t="str">
        <f t="array" ref="P382:P383">{"CLASSABILITY1-L09";((INDEX(ALLCLASSDATA,MATCH("ClassAbility1-L09",CLASSFEATUREHEADERS,0),MATCH(($A383),CLASSNAMEHEADERS,0))))}</f>
        <v>CLASSABILITY1-L09</v>
      </c>
      <c r="Q382" s="81"/>
      <c r="R382" s="81" t="str">
        <f t="array" ref="R382:R383">{"CLASSABILITY1-L11";((INDEX(ALLCLASSDATA,MATCH("ClassAbility1-L11",CLASSFEATUREHEADERS,0),MATCH(($A383),CLASSNAMEHEADERS,0))))}</f>
        <v>CLASSABILITY1-L11</v>
      </c>
      <c r="S382" s="81"/>
      <c r="T382" s="81" t="str">
        <f t="array" ref="T382:T383">{"CLASSABILITY1-L13";((INDEX(ALLCLASSDATA,MATCH("ClassAbility1-L13",CLASSFEATUREHEADERS,0),MATCH(($A383),CLASSNAMEHEADERS,0))))}</f>
        <v>CLASSABILITY1-L13</v>
      </c>
      <c r="U382" s="81"/>
      <c r="V382" s="81" t="str">
        <f t="array" ref="V382:V383">{"CLASSABILITY1-L15";((INDEX(ALLCLASSDATA,MATCH("ClassAbility1-L15",CLASSFEATUREHEADERS,0),MATCH(($A383),CLASSNAMEHEADERS,0))))}</f>
        <v>CLASSABILITY1-L15</v>
      </c>
      <c r="W382" s="81"/>
      <c r="X382" s="81" t="str">
        <f t="array" ref="X382:X383">{"CLASSABILITY1-L17";((INDEX(ALLCLASSDATA,MATCH("ClassAbility1-L17",CLASSFEATUREHEADERS,0),MATCH(($A383),CLASSNAMEHEADERS,0))))}</f>
        <v>CLASSABILITY1-L17</v>
      </c>
      <c r="Y382" s="81"/>
      <c r="Z382" s="81" t="str">
        <f t="array" ref="Z382:Z383">{"CLASSABILITY1-L19";((INDEX(ALLCLASSDATA,MATCH("ClassAbility1-L19",CLASSFEATUREHEADERS,0),MATCH(($A383),CLASSNAMEHEADERS,0))))}</f>
        <v>CLASSABILITY1-L19</v>
      </c>
      <c r="AA382" s="81"/>
      <c r="AB382" s="76"/>
      <c r="AC382" s="76"/>
    </row>
    <row r="383">
      <c r="A383" s="48" t="s">
        <v>124</v>
      </c>
      <c r="B383" s="48"/>
      <c r="C383" s="48" t="s">
        <v>413</v>
      </c>
      <c r="D383" s="48" t="s">
        <v>825</v>
      </c>
      <c r="E383" s="48" t="s">
        <v>826</v>
      </c>
      <c r="F383" s="5"/>
      <c r="G383" s="47"/>
      <c r="H383" s="5"/>
      <c r="I383" s="5"/>
      <c r="J383" s="5" t="s">
        <v>332</v>
      </c>
      <c r="K383" s="5"/>
      <c r="L383" s="5" t="s">
        <v>1692</v>
      </c>
      <c r="M383" s="5"/>
      <c r="N383" s="5" t="s">
        <v>369</v>
      </c>
      <c r="O383" s="5"/>
      <c r="P383" s="5" t="s">
        <v>1717</v>
      </c>
      <c r="Q383" s="5"/>
      <c r="R383" s="5" t="s">
        <v>1731</v>
      </c>
      <c r="S383" s="5"/>
      <c r="T383" s="5" t="s">
        <v>362</v>
      </c>
      <c r="U383" s="5"/>
      <c r="V383" s="5" t="s">
        <v>371</v>
      </c>
      <c r="W383" s="5"/>
      <c r="X383" s="5"/>
      <c r="Y383" s="5"/>
      <c r="Z383" s="5" t="s">
        <v>1788</v>
      </c>
      <c r="AA383" s="5"/>
      <c r="AB383" s="5"/>
      <c r="AC383" s="47"/>
    </row>
    <row r="384" hidden="1">
      <c r="A384" s="76" t="str">
        <f t="array" ref="A384:A385">{"FormulaRow09";(INDEX(CLASSLIST,A367,1))}</f>
        <v>FormulaRow09</v>
      </c>
      <c r="B384" s="77" t="s">
        <v>236</v>
      </c>
      <c r="C384" s="76" t="str">
        <f t="array" ref="C384:C385">{"CLASSTYPE";((INDEX(ALLCLASSDATA,MATCH("ClassType",CLASSFEATUREHEADERS,0),MATCH($A385,CLASSNAMEHEADERS,0))))}</f>
        <v>CLASSTYPE</v>
      </c>
      <c r="D384" s="76" t="str">
        <f t="array" ref="D384:D385">{"CLASSABILITYPTS";"ClassAbilityPts"}</f>
        <v>CLASSABILITYPTS</v>
      </c>
      <c r="E384" s="76" t="str">
        <f t="array" ref="E384:E385">{"CLASSABILITY1";"ClassAbility1"}</f>
        <v>CLASSABILITY1</v>
      </c>
      <c r="F384" s="76"/>
      <c r="G384" s="76"/>
      <c r="H384" s="76"/>
      <c r="I384" s="76"/>
      <c r="J384" s="76" t="str">
        <f t="array" ref="J384:J385">{"CLASSABILITY1-L03PTS";((INDEX(ALLCLASSDATA,MATCH("ClassAbility1-L03",CLASSFEATUREHEADERS,0),MATCH(($A385 &amp; "Points"),CLASSNAMEHEADERS,0))))}</f>
        <v>CLASSABILITY1-L03PTS</v>
      </c>
      <c r="K384" s="76"/>
      <c r="L384" s="76" t="str">
        <f t="array" ref="L384:L385">{"CLASSABILITY1-L05PTS";((INDEX(ALLCLASSDATA,MATCH("ClassAbility1-L05",CLASSFEATUREHEADERS,0),MATCH(($A385 &amp; "Points"),CLASSNAMEHEADERS,0))))}</f>
        <v>CLASSABILITY1-L05PTS</v>
      </c>
      <c r="M384" s="76"/>
      <c r="N384" s="76" t="str">
        <f t="array" ref="N384:N385">{"CLASSABILITY1-L07PTS";((INDEX(ALLCLASSDATA,MATCH("ClassAbility1-L07",CLASSFEATUREHEADERS,0),MATCH(($A385 &amp; "Points"),CLASSNAMEHEADERS,0))))}</f>
        <v>CLASSABILITY1-L07PTS</v>
      </c>
      <c r="O384" s="76"/>
      <c r="P384" s="76" t="str">
        <f t="array" ref="P384:P385">{"CLASSABILITY1-L09PTS";((INDEX(ALLCLASSDATA,MATCH("ClassAbility1-L09",CLASSFEATUREHEADERS,0),MATCH(($A385 &amp; "Points"),CLASSNAMEHEADERS,0))))}</f>
        <v>CLASSABILITY1-L09PTS</v>
      </c>
      <c r="Q384" s="76"/>
      <c r="R384" s="76" t="str">
        <f t="array" ref="R384:R385">{"CLASSABILITY1-L11PTS";((INDEX(ALLCLASSDATA,MATCH("ClassAbility1-L11",CLASSFEATUREHEADERS,0),MATCH(($A385 &amp; "Points"),CLASSNAMEHEADERS,0))))}</f>
        <v>CLASSABILITY1-L11PTS</v>
      </c>
      <c r="S384" s="76"/>
      <c r="T384" s="76" t="str">
        <f t="array" ref="T384:T385">{"CLASSABILITY1-L13PTS";((INDEX(ALLCLASSDATA,MATCH("ClassAbility1-L13",CLASSFEATUREHEADERS,0),MATCH(($A385 &amp; "Points"),CLASSNAMEHEADERS,0))))}</f>
        <v>CLASSABILITY1-L13PTS</v>
      </c>
      <c r="U384" s="76"/>
      <c r="V384" s="76" t="str">
        <f t="array" ref="V384:V385">{"CLASSABILITY1-L15PTS";((INDEX(ALLCLASSDATA,MATCH("ClassAbility1-L15",CLASSFEATUREHEADERS,0),MATCH(($A385 &amp; "Points"),CLASSNAMEHEADERS,0))))}</f>
        <v>CLASSABILITY1-L15PTS</v>
      </c>
      <c r="W384" s="76"/>
      <c r="X384" s="76" t="str">
        <f t="array" ref="X384:X385">{"CLASSABILITY1-L17PTS";((INDEX(ALLCLASSDATA,MATCH("ClassAbility1-L17",CLASSFEATUREHEADERS,0),MATCH(($A385 &amp; "Points"),CLASSNAMEHEADERS,0))))}</f>
        <v>CLASSABILITY1-L17PTS</v>
      </c>
      <c r="Y384" s="76"/>
      <c r="Z384" s="76" t="str">
        <f t="array" ref="Z384:Z385">{"CLASSABILITY1-L19PTS";((INDEX(ALLCLASSDATA,MATCH("ClassAbility1-L19",CLASSFEATUREHEADERS,0),MATCH(($A385 &amp; "Points"),CLASSNAMEHEADERS,0))))}</f>
        <v>CLASSABILITY1-L19PTS</v>
      </c>
      <c r="AA384" s="76"/>
      <c r="AB384" s="76"/>
      <c r="AC384" s="76" t="str">
        <f t="array" ref="AC384:AC385">{"CLASSABILITY1 TOTAL";(sum(G385:AA385))}</f>
        <v>CLASSABILITY1 TOTAL</v>
      </c>
    </row>
    <row r="385">
      <c r="A385" s="48" t="s">
        <v>124</v>
      </c>
      <c r="B385" s="48"/>
      <c r="C385" s="48" t="s">
        <v>413</v>
      </c>
      <c r="D385" s="48" t="s">
        <v>930</v>
      </c>
      <c r="E385" s="48" t="s">
        <v>826</v>
      </c>
      <c r="F385" s="5"/>
      <c r="G385" s="5"/>
      <c r="H385" s="5"/>
      <c r="I385" s="5"/>
      <c r="J385" s="48"/>
      <c r="K385" s="5"/>
      <c r="L385" s="5"/>
      <c r="M385" s="5"/>
      <c r="N385" s="5"/>
      <c r="O385" s="5"/>
      <c r="P385" s="5"/>
      <c r="Q385" s="5"/>
      <c r="R385" s="5"/>
      <c r="S385" s="5"/>
      <c r="T385" s="5"/>
      <c r="U385" s="5"/>
      <c r="V385" s="5"/>
      <c r="W385" s="5"/>
      <c r="X385" s="5"/>
      <c r="Y385" s="5"/>
      <c r="Z385" s="5">
        <v>10.0</v>
      </c>
      <c r="AA385" s="5"/>
      <c r="AB385" s="5"/>
      <c r="AC385" s="47">
        <v>10.0</v>
      </c>
    </row>
    <row r="386" hidden="1">
      <c r="A386" s="76" t="str">
        <f t="array" ref="A386:A387">{"FormulaRow10";(INDEX(CLASSLIST,A367,1))}</f>
        <v>FormulaRow10</v>
      </c>
      <c r="B386" s="77" t="s">
        <v>236</v>
      </c>
      <c r="C386" s="76" t="str">
        <f t="array" ref="C386:C387">{"CLASSTYPE";((INDEX(ALLCLASSDATA,MATCH("ClassType",CLASSFEATUREHEADERS,0),MATCH($A387,CLASSNAMEHEADERS,0))))}</f>
        <v>CLASSTYPE</v>
      </c>
      <c r="D386" s="76" t="str">
        <f t="array" ref="D386:D387">{"CLASSABILITY";"ClassAbility"}</f>
        <v>CLASSABILITY</v>
      </c>
      <c r="E386" s="76" t="str">
        <f t="array" ref="E386:E387">{"CLASSABILITY2";"ClassAbility2"}</f>
        <v>CLASSABILITY2</v>
      </c>
      <c r="F386" s="76"/>
      <c r="G386" s="76"/>
      <c r="H386" s="76"/>
      <c r="I386" s="76"/>
      <c r="J386" s="76" t="str">
        <f t="array" ref="J386:J387">{"CLASSABILITY2-L03";((INDEX(ALLCLASSDATA,MATCH("ClassAbility2-L03",CLASSFEATUREHEADERS,0),MATCH(($A387),CLASSNAMEHEADERS,0))))}</f>
        <v>CLASSABILITY2-L03</v>
      </c>
      <c r="K386" s="76"/>
      <c r="L386" s="76" t="str">
        <f t="array" ref="L386:L387">{"CLASSABILITY2-L05";((INDEX(ALLCLASSDATA,MATCH("ClassAbility2-L05",CLASSFEATUREHEADERS,0),MATCH(($A387),CLASSNAMEHEADERS,0))))}</f>
        <v>CLASSABILITY2-L05</v>
      </c>
      <c r="M386" s="76"/>
      <c r="N386" s="76" t="str">
        <f t="array" ref="N386:N387">{"CLASSABILITY2-L07";((INDEX(ALLCLASSDATA,MATCH("ClassAbility2-L07",CLASSFEATUREHEADERS,0),MATCH(($A387),CLASSNAMEHEADERS,0))))}</f>
        <v>CLASSABILITY2-L07</v>
      </c>
      <c r="O386" s="76"/>
      <c r="P386" s="76" t="str">
        <f t="array" ref="P386:P387">{"CLASSABILITY2-L09";((INDEX(ALLCLASSDATA,MATCH("ClassAbility2-L09",CLASSFEATUREHEADERS,0),MATCH(($A387),CLASSNAMEHEADERS,0))))}</f>
        <v>CLASSABILITY2-L09</v>
      </c>
      <c r="Q386" s="76"/>
      <c r="R386" s="76" t="str">
        <f t="array" ref="R386:R387">{"CLASSABILITY2-L11";((INDEX(ALLCLASSDATA,MATCH("ClassAbility2-L11",CLASSFEATUREHEADERS,0),MATCH(($A387),CLASSNAMEHEADERS,0))))}</f>
        <v>CLASSABILITY2-L11</v>
      </c>
      <c r="S386" s="76"/>
      <c r="T386" s="76" t="str">
        <f t="array" ref="T386:T387">{"CLASSABILITY2-L13";((INDEX(ALLCLASSDATA,MATCH("ClassAbility2-L13",CLASSFEATUREHEADERS,0),MATCH(($A387),CLASSNAMEHEADERS,0))))}</f>
        <v>CLASSABILITY2-L13</v>
      </c>
      <c r="U386" s="76"/>
      <c r="V386" s="76" t="str">
        <f t="array" ref="V386:V387">{"CLASSABILITY2-L15";((INDEX(ALLCLASSDATA,MATCH("ClassAbility2-L15",CLASSFEATUREHEADERS,0),MATCH(($A387),CLASSNAMEHEADERS,0))))}</f>
        <v>CLASSABILITY2-L15</v>
      </c>
      <c r="W386" s="76"/>
      <c r="X386" s="76" t="str">
        <f t="array" ref="X386:X387">{"CLASSABILITY2-L17";((INDEX(ALLCLASSDATA,MATCH("ClassAbility2-L17",CLASSFEATUREHEADERS,0),MATCH(($A387),CLASSNAMEHEADERS,0))))}</f>
        <v>CLASSABILITY2-L17</v>
      </c>
      <c r="Y386" s="76"/>
      <c r="Z386" s="76" t="str">
        <f t="array" ref="Z386:Z387">{"CLASSABILITY2-L19";((INDEX(ALLCLASSDATA,MATCH("ClassAbility2-L19",CLASSFEATUREHEADERS,0),MATCH(($A387),CLASSNAMEHEADERS,0))))}</f>
        <v>CLASSABILITY2-L19</v>
      </c>
      <c r="AA386" s="76"/>
      <c r="AB386" s="76"/>
      <c r="AC386" s="76"/>
    </row>
    <row r="387">
      <c r="A387" s="48" t="s">
        <v>124</v>
      </c>
      <c r="B387" s="48"/>
      <c r="C387" s="48" t="s">
        <v>413</v>
      </c>
      <c r="D387" s="48" t="s">
        <v>825</v>
      </c>
      <c r="E387" s="48" t="s">
        <v>1007</v>
      </c>
      <c r="F387" s="48"/>
      <c r="G387" s="47"/>
      <c r="H387" s="5"/>
      <c r="I387" s="5"/>
      <c r="J387" s="5"/>
      <c r="K387" s="5"/>
      <c r="L387" s="5" t="s">
        <v>927</v>
      </c>
      <c r="M387" s="5"/>
      <c r="N387" s="5" t="s">
        <v>326</v>
      </c>
      <c r="O387" s="5"/>
      <c r="P387" s="5" t="s">
        <v>928</v>
      </c>
      <c r="Q387" s="5"/>
      <c r="R387" s="5" t="s">
        <v>929</v>
      </c>
      <c r="S387" s="5"/>
      <c r="T387" s="5"/>
      <c r="U387" s="5"/>
      <c r="V387" s="5" t="s">
        <v>329</v>
      </c>
      <c r="W387" s="5"/>
      <c r="X387" s="5"/>
      <c r="Y387" s="5"/>
      <c r="Z387" s="5" t="s">
        <v>1799</v>
      </c>
      <c r="AA387" s="5"/>
      <c r="AB387" s="5"/>
      <c r="AC387" s="47"/>
    </row>
    <row r="388" hidden="1">
      <c r="A388" s="76" t="str">
        <f t="array" ref="A388:A389">{"FormulaRow11";(INDEX(CLASSLIST,A367,1))}</f>
        <v>FormulaRow11</v>
      </c>
      <c r="B388" s="77" t="s">
        <v>236</v>
      </c>
      <c r="C388" s="76" t="str">
        <f t="array" ref="C388:C389">{"CLASSTYPE";((INDEX(ALLCLASSDATA,MATCH("ClassType",CLASSFEATUREHEADERS,0),MATCH($A389,CLASSNAMEHEADERS,0))))}</f>
        <v>CLASSTYPE</v>
      </c>
      <c r="D388" s="76" t="str">
        <f t="array" ref="D388:D389">{"CLASSABILITYPTS";"ClassAbilityPts"}</f>
        <v>CLASSABILITYPTS</v>
      </c>
      <c r="E388" s="76" t="str">
        <f t="array" ref="E388:E389">{"CLASSABILITY2";"ClassAbility2"}</f>
        <v>CLASSABILITY2</v>
      </c>
      <c r="F388" s="76"/>
      <c r="G388" s="76"/>
      <c r="H388" s="76"/>
      <c r="I388" s="76"/>
      <c r="J388" s="76" t="str">
        <f t="array" ref="J388:J389">{"CLASSABILITY2-L03PTS";((INDEX(ALLCLASSDATA,MATCH("ClassAbility2-L03",CLASSFEATUREHEADERS,0),MATCH(($A389 &amp; "Points"),CLASSNAMEHEADERS,0))))}</f>
        <v>CLASSABILITY2-L03PTS</v>
      </c>
      <c r="K388" s="76"/>
      <c r="L388" s="76" t="str">
        <f t="array" ref="L388:L389">{"CLASSABILITY2-L05PTS";((INDEX(ALLCLASSDATA,MATCH("ClassAbility2-L05",CLASSFEATUREHEADERS,0),MATCH(($A389 &amp; "Points"),CLASSNAMEHEADERS,0))))}</f>
        <v>CLASSABILITY2-L05PTS</v>
      </c>
      <c r="M388" s="76"/>
      <c r="N388" s="76" t="str">
        <f t="array" ref="N388:N389">{"CLASSABILITY2-L07PTS";((INDEX(ALLCLASSDATA,MATCH("ClassAbility2-L07",CLASSFEATUREHEADERS,0),MATCH(($A389 &amp; "Points"),CLASSNAMEHEADERS,0))))}</f>
        <v>CLASSABILITY2-L07PTS</v>
      </c>
      <c r="O388" s="76"/>
      <c r="P388" s="76" t="str">
        <f t="array" ref="P388:P389">{"CLASSABILITY2-L09PTS";((INDEX(ALLCLASSDATA,MATCH("ClassAbility2-L09",CLASSFEATUREHEADERS,0),MATCH(($A389 &amp; "Points"),CLASSNAMEHEADERS,0))))}</f>
        <v>CLASSABILITY2-L09PTS</v>
      </c>
      <c r="Q388" s="76"/>
      <c r="R388" s="76" t="str">
        <f t="array" ref="R388:R389">{"CLASSABILITY2-L11PTS";((INDEX(ALLCLASSDATA,MATCH("ClassAbility2-L11",CLASSFEATUREHEADERS,0),MATCH(($A389 &amp; "Points"),CLASSNAMEHEADERS,0))))}</f>
        <v>CLASSABILITY2-L11PTS</v>
      </c>
      <c r="S388" s="76"/>
      <c r="T388" s="76" t="str">
        <f t="array" ref="T388:T389">{"CLASSABILITY2-L13PTS";((INDEX(ALLCLASSDATA,MATCH("ClassAbility2-L13",CLASSFEATUREHEADERS,0),MATCH(($A389 &amp; "Points"),CLASSNAMEHEADERS,0))))}</f>
        <v>CLASSABILITY2-L13PTS</v>
      </c>
      <c r="U388" s="76"/>
      <c r="V388" s="76" t="str">
        <f t="array" ref="V388:V389">{"CLASSABILITY2-L15PTS";((INDEX(ALLCLASSDATA,MATCH("ClassAbility2-L15",CLASSFEATUREHEADERS,0),MATCH(($A389 &amp; "Points"),CLASSNAMEHEADERS,0))))}</f>
        <v>CLASSABILITY2-L15PTS</v>
      </c>
      <c r="W388" s="76"/>
      <c r="X388" s="76" t="str">
        <f t="array" ref="X388:X389">{"CLASSABILITY2-L17PTS";((INDEX(ALLCLASSDATA,MATCH("ClassAbility2-L17",CLASSFEATUREHEADERS,0),MATCH(($A389 &amp; "Points"),CLASSNAMEHEADERS,0))))}</f>
        <v>CLASSABILITY2-L17PTS</v>
      </c>
      <c r="Y388" s="76"/>
      <c r="Z388" s="76" t="str">
        <f t="array" ref="Z388:Z389">{"CLASSABILITY2-L19PTS";((INDEX(ALLCLASSDATA,MATCH("ClassAbility2-L19",CLASSFEATUREHEADERS,0),MATCH(($A389 &amp; "Points"),CLASSNAMEHEADERS,0))))}</f>
        <v>CLASSABILITY2-L19PTS</v>
      </c>
      <c r="AA388" s="76"/>
      <c r="AB388" s="76"/>
      <c r="AC388" s="76" t="str">
        <f t="array" ref="AC388:AC389">{"CLASSABILITY2 TOTAL";(sum(G389:AA389))}</f>
        <v>CLASSABILITY2 TOTAL</v>
      </c>
    </row>
    <row r="389">
      <c r="A389" s="48" t="s">
        <v>124</v>
      </c>
      <c r="B389" s="48"/>
      <c r="C389" s="48" t="s">
        <v>413</v>
      </c>
      <c r="D389" s="48" t="s">
        <v>930</v>
      </c>
      <c r="E389" s="48" t="s">
        <v>1007</v>
      </c>
      <c r="F389" s="48"/>
      <c r="G389" s="47"/>
      <c r="H389" s="5"/>
      <c r="I389" s="5"/>
      <c r="J389" s="5"/>
      <c r="K389" s="5"/>
      <c r="L389" s="5">
        <v>10.0</v>
      </c>
      <c r="M389" s="5"/>
      <c r="N389" s="5"/>
      <c r="O389" s="5"/>
      <c r="P389" s="5">
        <v>10.0</v>
      </c>
      <c r="Q389" s="5"/>
      <c r="R389" s="5">
        <v>10.0</v>
      </c>
      <c r="S389" s="5"/>
      <c r="T389" s="5"/>
      <c r="U389" s="5"/>
      <c r="V389" s="5"/>
      <c r="W389" s="5"/>
      <c r="X389" s="5"/>
      <c r="Y389" s="5"/>
      <c r="Z389" s="5">
        <v>90.0</v>
      </c>
      <c r="AA389" s="5"/>
      <c r="AB389" s="5"/>
      <c r="AC389" s="47">
        <v>120.0</v>
      </c>
    </row>
    <row r="390" hidden="1">
      <c r="A390" s="76" t="str">
        <f t="array" ref="A390:A391">{"FormulaRow12";(INDEX(CLASSLIST,A367,1))}</f>
        <v>FormulaRow12</v>
      </c>
      <c r="B390" s="77" t="s">
        <v>236</v>
      </c>
      <c r="C390" s="76" t="str">
        <f t="array" ref="C390:C391">{"CLASSTYPE";((INDEX(ALLCLASSDATA,MATCH("ClassType",CLASSFEATUREHEADERS,0),MATCH($A391,CLASSNAMEHEADERS,0))))}</f>
        <v>CLASSTYPE</v>
      </c>
      <c r="D390" s="76" t="str">
        <f t="array" ref="D390:D391">{"CLASSABILITY";"ClassAbility"}</f>
        <v>CLASSABILITY</v>
      </c>
      <c r="E390" s="76" t="str">
        <f t="array" ref="E390:E391">{"CLASSABILITY3";"ClassAbility3"}</f>
        <v>CLASSABILITY3</v>
      </c>
      <c r="F390" s="76"/>
      <c r="G390" s="76"/>
      <c r="H390" s="76"/>
      <c r="I390" s="76"/>
      <c r="J390" s="76" t="str">
        <f t="array" ref="J390:J391">{"CLASSABILITY3-L03";((INDEX(ALLCLASSDATA,MATCH("ClassAbility3-L03",CLASSFEATUREHEADERS,0),MATCH(($A391),CLASSNAMEHEADERS,0))))}</f>
        <v>CLASSABILITY3-L03</v>
      </c>
      <c r="K390" s="76"/>
      <c r="L390" s="76" t="str">
        <f t="array" ref="L390:L391">{"CLASSABILITY3-L05";((INDEX(ALLCLASSDATA,MATCH("ClassAbility3-L05",CLASSFEATUREHEADERS,0),MATCH(($A391),CLASSNAMEHEADERS,0))))}</f>
        <v>CLASSABILITY3-L05</v>
      </c>
      <c r="M390" s="76"/>
      <c r="N390" s="76" t="str">
        <f t="array" ref="N390:N391">{"CLASSABILITY3-L07";((INDEX(ALLCLASSDATA,MATCH("ClassAbility3-L07",CLASSFEATUREHEADERS,0),MATCH(($A391),CLASSNAMEHEADERS,0))))}</f>
        <v>CLASSABILITY3-L07</v>
      </c>
      <c r="O390" s="76"/>
      <c r="P390" s="76" t="str">
        <f t="array" ref="P390:P391">{"CLASSABILITY3-L09";((INDEX(ALLCLASSDATA,MATCH("ClassAbility3-L09",CLASSFEATUREHEADERS,0),MATCH(($A391),CLASSNAMEHEADERS,0))))}</f>
        <v>CLASSABILITY3-L09</v>
      </c>
      <c r="Q390" s="76"/>
      <c r="R390" s="76" t="str">
        <f t="array" ref="R390:R391">{"CLASSABILITY3-L11";((INDEX(ALLCLASSDATA,MATCH("ClassAbility3-L11",CLASSFEATUREHEADERS,0),MATCH(($A391),CLASSNAMEHEADERS,0))))}</f>
        <v>CLASSABILITY3-L11</v>
      </c>
      <c r="S390" s="76"/>
      <c r="T390" s="76" t="str">
        <f t="array" ref="T390:T391">{"CLASSABILITY3-L13";((INDEX(ALLCLASSDATA,MATCH("ClassAbility3-L13",CLASSFEATUREHEADERS,0),MATCH(($A391),CLASSNAMEHEADERS,0))))}</f>
        <v>CLASSABILITY3-L13</v>
      </c>
      <c r="U390" s="76"/>
      <c r="V390" s="76" t="str">
        <f t="array" ref="V390:V391">{"CLASSABILITY3-L15";((INDEX(ALLCLASSDATA,MATCH("ClassAbility3-L15",CLASSFEATUREHEADERS,0),MATCH(($A391),CLASSNAMEHEADERS,0))))}</f>
        <v>CLASSABILITY3-L15</v>
      </c>
      <c r="W390" s="76"/>
      <c r="X390" s="76" t="str">
        <f t="array" ref="X390:X391">{"CLASSABILITY3-L17";((INDEX(ALLCLASSDATA,MATCH("ClassAbility3-L17",CLASSFEATUREHEADERS,0),MATCH(($A391),CLASSNAMEHEADERS,0))))}</f>
        <v>CLASSABILITY3-L17</v>
      </c>
      <c r="Y390" s="76"/>
      <c r="Z390" s="76" t="str">
        <f t="array" ref="Z390:Z391">{"CLASSABILITY3-L19";((INDEX(ALLCLASSDATA,MATCH("ClassAbility3-L19",CLASSFEATUREHEADERS,0),MATCH(($A391),CLASSNAMEHEADERS,0))))}</f>
        <v>CLASSABILITY3-L19</v>
      </c>
      <c r="AA390" s="76"/>
      <c r="AB390" s="76"/>
      <c r="AC390" s="76"/>
    </row>
    <row r="391">
      <c r="A391" s="48" t="s">
        <v>124</v>
      </c>
      <c r="B391" s="48"/>
      <c r="C391" s="48" t="s">
        <v>413</v>
      </c>
      <c r="D391" s="48" t="s">
        <v>825</v>
      </c>
      <c r="E391" s="48" t="s">
        <v>1144</v>
      </c>
      <c r="F391" s="48"/>
      <c r="G391" s="47"/>
      <c r="H391" s="5"/>
      <c r="I391" s="5"/>
      <c r="J391" s="5"/>
      <c r="K391" s="5"/>
      <c r="L391" s="5"/>
      <c r="M391" s="5"/>
      <c r="N391" s="5" t="s">
        <v>308</v>
      </c>
      <c r="O391" s="5"/>
      <c r="P391" s="5"/>
      <c r="Q391" s="5"/>
      <c r="R391" s="5" t="s">
        <v>317</v>
      </c>
      <c r="S391" s="5"/>
      <c r="T391" s="5"/>
      <c r="U391" s="5"/>
      <c r="V391" s="5" t="s">
        <v>311</v>
      </c>
      <c r="W391" s="5"/>
      <c r="X391" s="5"/>
      <c r="Y391" s="5"/>
      <c r="Z391" s="5"/>
      <c r="AA391" s="5"/>
      <c r="AB391" s="5"/>
      <c r="AC391" s="47"/>
    </row>
    <row r="392" hidden="1">
      <c r="A392" s="76" t="str">
        <f t="array" ref="A392:A393">{"FormulaRow13";(INDEX(CLASSLIST,A367,1))}</f>
        <v>FormulaRow13</v>
      </c>
      <c r="B392" s="77" t="s">
        <v>236</v>
      </c>
      <c r="C392" s="76" t="str">
        <f t="array" ref="C392:C393">{"CLASSTYPE";((INDEX(ALLCLASSDATA,MATCH("ClassType",CLASSFEATUREHEADERS,0),MATCH($A393,CLASSNAMEHEADERS,0))))}</f>
        <v>CLASSTYPE</v>
      </c>
      <c r="D392" s="76" t="str">
        <f t="array" ref="D392:D393">{"CLASSABILITYPTS";"ClassAbilityPts"}</f>
        <v>CLASSABILITYPTS</v>
      </c>
      <c r="E392" s="76" t="str">
        <f t="array" ref="E392:E393">{"CLASSABILITY3";"ClassAbility3"}</f>
        <v>CLASSABILITY3</v>
      </c>
      <c r="F392" s="76"/>
      <c r="G392" s="76"/>
      <c r="H392" s="76"/>
      <c r="I392" s="76"/>
      <c r="J392" s="76" t="str">
        <f t="array" ref="J392:J393">{"CLASSABILITY3-L03PTS";((INDEX(ALLCLASSDATA,MATCH("ClassAbility3-L03",CLASSFEATUREHEADERS,0),MATCH(($A393 &amp; "Points"),CLASSNAMEHEADERS,0))))}</f>
        <v>CLASSABILITY3-L03PTS</v>
      </c>
      <c r="K392" s="76"/>
      <c r="L392" s="76" t="str">
        <f t="array" ref="L392:L393">{"CLASSABILITY3-L05PTS";((INDEX(ALLCLASSDATA,MATCH("ClassAbility3-L05",CLASSFEATUREHEADERS,0),MATCH(($A393 &amp; "Points"),CLASSNAMEHEADERS,0))))}</f>
        <v>CLASSABILITY3-L05PTS</v>
      </c>
      <c r="M392" s="76"/>
      <c r="N392" s="76" t="str">
        <f t="array" ref="N392:N393">{"CLASSABILITY3-L07PTS";((INDEX(ALLCLASSDATA,MATCH("ClassAbility3-L07",CLASSFEATUREHEADERS,0),MATCH(($A393 &amp; "Points"),CLASSNAMEHEADERS,0))))}</f>
        <v>CLASSABILITY3-L07PTS</v>
      </c>
      <c r="O392" s="76"/>
      <c r="P392" s="76" t="str">
        <f t="array" ref="P392:P393">{"CLASSABILITY3-L09PTS";((INDEX(ALLCLASSDATA,MATCH("ClassAbility3-L09",CLASSFEATUREHEADERS,0),MATCH(($A393 &amp; "Points"),CLASSNAMEHEADERS,0))))}</f>
        <v>CLASSABILITY3-L09PTS</v>
      </c>
      <c r="Q392" s="76"/>
      <c r="R392" s="76" t="str">
        <f t="array" ref="R392:R393">{"CLASSABILITY3-L11PTS";((INDEX(ALLCLASSDATA,MATCH("ClassAbility3-L11",CLASSFEATUREHEADERS,0),MATCH(($A393 &amp; "Points"),CLASSNAMEHEADERS,0))))}</f>
        <v>CLASSABILITY3-L11PTS</v>
      </c>
      <c r="S392" s="76"/>
      <c r="T392" s="76" t="str">
        <f t="array" ref="T392:T393">{"CLASSABILITY3-L13PTS";((INDEX(ALLCLASSDATA,MATCH("ClassAbility3-L13",CLASSFEATUREHEADERS,0),MATCH(($A393 &amp; "Points"),CLASSNAMEHEADERS,0))))}</f>
        <v>CLASSABILITY3-L13PTS</v>
      </c>
      <c r="U392" s="76"/>
      <c r="V392" s="76" t="str">
        <f t="array" ref="V392:V393">{"CLASSABILITY3-L15PTS";((INDEX(ALLCLASSDATA,MATCH("ClassAbility3-L15",CLASSFEATUREHEADERS,0),MATCH(($A393 &amp; "Points"),CLASSNAMEHEADERS,0))))}</f>
        <v>CLASSABILITY3-L15PTS</v>
      </c>
      <c r="W392" s="76"/>
      <c r="X392" s="76" t="str">
        <f t="array" ref="X392:X393">{"CLASSABILITY3-L17PTS";((INDEX(ALLCLASSDATA,MATCH("ClassAbility3-L17",CLASSFEATUREHEADERS,0),MATCH(($A393 &amp; "Points"),CLASSNAMEHEADERS,0))))}</f>
        <v>CLASSABILITY3-L17PTS</v>
      </c>
      <c r="Y392" s="76"/>
      <c r="Z392" s="76" t="str">
        <f t="array" ref="Z392:Z393">{"CLASSABILITY3-L19PTS";((INDEX(ALLCLASSDATA,MATCH("ClassAbility3-L19",CLASSFEATUREHEADERS,0),MATCH(($A393 &amp; "Points"),CLASSNAMEHEADERS,0))))}</f>
        <v>CLASSABILITY3-L19PTS</v>
      </c>
      <c r="AA392" s="76"/>
      <c r="AB392" s="76"/>
      <c r="AC392" s="76" t="str">
        <f t="array" ref="AC392:AC393">{"CLASSABILITY3 TOTAL";(sum(G393:AA393))}</f>
        <v>CLASSABILITY3 TOTAL</v>
      </c>
    </row>
    <row r="393">
      <c r="A393" s="48" t="s">
        <v>124</v>
      </c>
      <c r="B393" s="48"/>
      <c r="C393" s="48" t="s">
        <v>413</v>
      </c>
      <c r="D393" s="48" t="s">
        <v>930</v>
      </c>
      <c r="E393" s="48" t="s">
        <v>1144</v>
      </c>
      <c r="F393" s="48"/>
      <c r="G393" s="47"/>
      <c r="H393" s="5"/>
      <c r="I393" s="5"/>
      <c r="J393" s="5"/>
      <c r="K393" s="5"/>
      <c r="L393" s="5"/>
      <c r="M393" s="5"/>
      <c r="N393" s="5"/>
      <c r="O393" s="5"/>
      <c r="P393" s="5"/>
      <c r="Q393" s="5"/>
      <c r="R393" s="5"/>
      <c r="S393" s="5"/>
      <c r="T393" s="5"/>
      <c r="U393" s="5"/>
      <c r="V393" s="5"/>
      <c r="W393" s="5"/>
      <c r="X393" s="5"/>
      <c r="Y393" s="5"/>
      <c r="Z393" s="5"/>
      <c r="AA393" s="5"/>
      <c r="AB393" s="5"/>
      <c r="AC393" s="47">
        <v>0.0</v>
      </c>
    </row>
    <row r="394" hidden="1">
      <c r="A394" s="76" t="str">
        <f t="array" ref="A394:A395">{"FormulaRow14";(INDEX(CLASSLIST,A367,1))}</f>
        <v>FormulaRow14</v>
      </c>
      <c r="B394" s="77" t="s">
        <v>236</v>
      </c>
      <c r="C394" s="76" t="str">
        <f t="array" ref="C394:C395">{"CLASSTYPE";((INDEX(ALLCLASSDATA,MATCH("ClassType",CLASSFEATUREHEADERS,0),MATCH($A395,CLASSNAMEHEADERS,0))))}</f>
        <v>CLASSTYPE</v>
      </c>
      <c r="D394" s="76" t="str">
        <f t="array" ref="D394:D395">{"CLASSABILITY";"ClassAbility"}</f>
        <v>CLASSABILITY</v>
      </c>
      <c r="E394" s="76" t="str">
        <f t="array" ref="E394:E395">{"CLASSABILITY4";"ClassAbility4"}</f>
        <v>CLASSABILITY4</v>
      </c>
      <c r="F394" s="76"/>
      <c r="G394" s="76"/>
      <c r="H394" s="76"/>
      <c r="I394" s="76"/>
      <c r="J394" s="76" t="str">
        <f t="array" ref="J394:J395">{"CLASSABILITY4-L03";((INDEX(ALLCLASSDATA,MATCH("ClassAbility4-L03",CLASSFEATUREHEADERS,0),MATCH(($A395),CLASSNAMEHEADERS,0))))}</f>
        <v>CLASSABILITY4-L03</v>
      </c>
      <c r="K394" s="76"/>
      <c r="L394" s="76" t="str">
        <f t="array" ref="L394:L395">{"CLASSABILITY4-L05";((INDEX(ALLCLASSDATA,MATCH("ClassAbility4-L05",CLASSFEATUREHEADERS,0),MATCH(($A395),CLASSNAMEHEADERS,0))))}</f>
        <v>CLASSABILITY4-L05</v>
      </c>
      <c r="M394" s="76"/>
      <c r="N394" s="76" t="str">
        <f t="array" ref="N394:N395">{"CLASSABILITY4-L07";((INDEX(ALLCLASSDATA,MATCH("ClassAbility4-L07",CLASSFEATUREHEADERS,0),MATCH(($A395),CLASSNAMEHEADERS,0))))}</f>
        <v>CLASSABILITY4-L07</v>
      </c>
      <c r="O394" s="76"/>
      <c r="P394" s="76" t="str">
        <f t="array" ref="P394:P395">{"CLASSABILITY4-L09";((INDEX(ALLCLASSDATA,MATCH("ClassAbility4-L09",CLASSFEATUREHEADERS,0),MATCH(($A395),CLASSNAMEHEADERS,0))))}</f>
        <v>CLASSABILITY4-L09</v>
      </c>
      <c r="Q394" s="76"/>
      <c r="R394" s="76" t="str">
        <f t="array" ref="R394:R395">{"CLASSABILITY4-L11";((INDEX(ALLCLASSDATA,MATCH("ClassAbility4-L11",CLASSFEATUREHEADERS,0),MATCH(($A395),CLASSNAMEHEADERS,0))))}</f>
        <v>CLASSABILITY4-L11</v>
      </c>
      <c r="S394" s="76"/>
      <c r="T394" s="76" t="str">
        <f t="array" ref="T394:T395">{"CLASSABILITY4-L13";((INDEX(ALLCLASSDATA,MATCH("ClassAbility4-L13",CLASSFEATUREHEADERS,0),MATCH(($A395),CLASSNAMEHEADERS,0))))}</f>
        <v>CLASSABILITY4-L13</v>
      </c>
      <c r="U394" s="76"/>
      <c r="V394" s="76" t="str">
        <f t="array" ref="V394:V395">{"CLASSABILITY4-L15";((INDEX(ALLCLASSDATA,MATCH("ClassAbility4-L15",CLASSFEATUREHEADERS,0),MATCH(($A395),CLASSNAMEHEADERS,0))))}</f>
        <v>CLASSABILITY4-L15</v>
      </c>
      <c r="W394" s="76"/>
      <c r="X394" s="76" t="str">
        <f t="array" ref="X394:X395">{"CLASSABILITY4-L17";((INDEX(ALLCLASSDATA,MATCH("ClassAbility4-L17",CLASSFEATUREHEADERS,0),MATCH(($A395),CLASSNAMEHEADERS,0))))}</f>
        <v>CLASSABILITY4-L17</v>
      </c>
      <c r="Y394" s="76"/>
      <c r="Z394" s="76" t="str">
        <f t="array" ref="Z394:Z395">{"CLASSABILITY4-L19";((INDEX(ALLCLASSDATA,MATCH("ClassAbility4-L19",CLASSFEATUREHEADERS,0),MATCH(($A395),CLASSNAMEHEADERS,0))))}</f>
        <v>CLASSABILITY4-L19</v>
      </c>
      <c r="AA394" s="76"/>
      <c r="AB394" s="76"/>
      <c r="AC394" s="76"/>
    </row>
    <row r="395">
      <c r="A395" s="48" t="s">
        <v>124</v>
      </c>
      <c r="B395" s="48"/>
      <c r="C395" s="48" t="s">
        <v>413</v>
      </c>
      <c r="D395" s="48" t="s">
        <v>825</v>
      </c>
      <c r="E395" s="48" t="s">
        <v>1273</v>
      </c>
      <c r="F395" s="48"/>
      <c r="G395" s="47"/>
      <c r="H395" s="5"/>
      <c r="I395" s="5"/>
      <c r="J395" s="5"/>
      <c r="K395" s="5"/>
      <c r="L395" s="5"/>
      <c r="M395" s="5"/>
      <c r="N395" s="5"/>
      <c r="O395" s="5"/>
      <c r="P395" s="5"/>
      <c r="Q395" s="5"/>
      <c r="R395" s="5"/>
      <c r="S395" s="5"/>
      <c r="T395" s="5"/>
      <c r="U395" s="5"/>
      <c r="V395" s="5"/>
      <c r="W395" s="5"/>
      <c r="X395" s="5"/>
      <c r="Y395" s="5"/>
      <c r="Z395" s="5"/>
      <c r="AA395" s="5"/>
      <c r="AB395" s="5"/>
      <c r="AC395" s="47"/>
    </row>
    <row r="396" hidden="1">
      <c r="A396" s="76" t="str">
        <f t="array" ref="A396:A397">{"FormulaRow15";(INDEX(CLASSLIST,A367,1))}</f>
        <v>FormulaRow15</v>
      </c>
      <c r="B396" s="77" t="s">
        <v>236</v>
      </c>
      <c r="C396" s="76" t="str">
        <f t="array" ref="C396:C397">{"CLASSTYPE";((INDEX(ALLCLASSDATA,MATCH("ClassType",CLASSFEATUREHEADERS,0),MATCH($A397,CLASSNAMEHEADERS,0))))}</f>
        <v>CLASSTYPE</v>
      </c>
      <c r="D396" s="76" t="str">
        <f t="array" ref="D396:D397">{"CLASSABILITYPTS";"ClassAbilityPts"}</f>
        <v>CLASSABILITYPTS</v>
      </c>
      <c r="E396" s="76" t="str">
        <f t="array" ref="E396:E397">{"CLASSABILITY4";"ClassAbility4"}</f>
        <v>CLASSABILITY4</v>
      </c>
      <c r="F396" s="76"/>
      <c r="G396" s="76"/>
      <c r="H396" s="76"/>
      <c r="I396" s="76"/>
      <c r="J396" s="76" t="str">
        <f t="array" ref="J396:J397">{"CLASSABILITY4-L03PTS";((INDEX(ALLCLASSDATA,MATCH("ClassAbility4-L03",CLASSFEATUREHEADERS,0),MATCH(($A397 &amp; "Points"),CLASSNAMEHEADERS,0))))}</f>
        <v>CLASSABILITY4-L03PTS</v>
      </c>
      <c r="K396" s="76"/>
      <c r="L396" s="76" t="str">
        <f t="array" ref="L396:L397">{"CLASSABILITY4-L05PTS";((INDEX(ALLCLASSDATA,MATCH("ClassAbility4-L05",CLASSFEATUREHEADERS,0),MATCH(($A397 &amp; "Points"),CLASSNAMEHEADERS,0))))}</f>
        <v>CLASSABILITY4-L05PTS</v>
      </c>
      <c r="M396" s="76"/>
      <c r="N396" s="76" t="str">
        <f t="array" ref="N396:N397">{"CLASSABILITY4-L07PTS";((INDEX(ALLCLASSDATA,MATCH("ClassAbility4-L07",CLASSFEATUREHEADERS,0),MATCH(($A397 &amp; "Points"),CLASSNAMEHEADERS,0))))}</f>
        <v>CLASSABILITY4-L07PTS</v>
      </c>
      <c r="O396" s="76"/>
      <c r="P396" s="76" t="str">
        <f t="array" ref="P396:P397">{"CLASSABILITY4-L09PTS";((INDEX(ALLCLASSDATA,MATCH("ClassAbility4-L09",CLASSFEATUREHEADERS,0),MATCH(($A397 &amp; "Points"),CLASSNAMEHEADERS,0))))}</f>
        <v>CLASSABILITY4-L09PTS</v>
      </c>
      <c r="Q396" s="76"/>
      <c r="R396" s="76" t="str">
        <f t="array" ref="R396:R397">{"CLASSABILITY4-L11PTS";((INDEX(ALLCLASSDATA,MATCH("ClassAbility4-L11",CLASSFEATUREHEADERS,0),MATCH(($A397 &amp; "Points"),CLASSNAMEHEADERS,0))))}</f>
        <v>CLASSABILITY4-L11PTS</v>
      </c>
      <c r="S396" s="76"/>
      <c r="T396" s="76" t="str">
        <f t="array" ref="T396:T397">{"CLASSABILITY4-L13PTS";((INDEX(ALLCLASSDATA,MATCH("ClassAbility4-L13",CLASSFEATUREHEADERS,0),MATCH(($A397 &amp; "Points"),CLASSNAMEHEADERS,0))))}</f>
        <v>CLASSABILITY4-L13PTS</v>
      </c>
      <c r="U396" s="76"/>
      <c r="V396" s="76" t="str">
        <f t="array" ref="V396:V397">{"CLASSABILITY4-L15PTS";((INDEX(ALLCLASSDATA,MATCH("ClassAbility4-L15",CLASSFEATUREHEADERS,0),MATCH(($A397 &amp; "Points"),CLASSNAMEHEADERS,0))))}</f>
        <v>CLASSABILITY4-L15PTS</v>
      </c>
      <c r="W396" s="76"/>
      <c r="X396" s="76" t="str">
        <f t="array" ref="X396:X397">{"CLASSABILITY4-L17PTS";((INDEX(ALLCLASSDATA,MATCH("ClassAbility4-L17",CLASSFEATUREHEADERS,0),MATCH(($A397 &amp; "Points"),CLASSNAMEHEADERS,0))))}</f>
        <v>CLASSABILITY4-L17PTS</v>
      </c>
      <c r="Y396" s="76"/>
      <c r="Z396" s="76" t="str">
        <f t="array" ref="Z396:Z397">{"CLASSABILITY4-L19PTS";((INDEX(ALLCLASSDATA,MATCH("ClassAbility4-L19",CLASSFEATUREHEADERS,0),MATCH(($A397 &amp; "Points"),CLASSNAMEHEADERS,0))))}</f>
        <v>CLASSABILITY4-L19PTS</v>
      </c>
      <c r="AA396" s="76"/>
      <c r="AB396" s="76"/>
      <c r="AC396" s="76" t="str">
        <f t="array" ref="AC396:AC397">{"CLASSABILITY4 TOTAL";(sum(G397:AA397))}</f>
        <v>CLASSABILITY4 TOTAL</v>
      </c>
    </row>
    <row r="397">
      <c r="A397" s="48" t="s">
        <v>124</v>
      </c>
      <c r="B397" s="48"/>
      <c r="C397" s="48" t="s">
        <v>413</v>
      </c>
      <c r="D397" s="48" t="s">
        <v>930</v>
      </c>
      <c r="E397" s="48" t="s">
        <v>1273</v>
      </c>
      <c r="F397" s="48"/>
      <c r="G397" s="47"/>
      <c r="H397" s="5"/>
      <c r="I397" s="5"/>
      <c r="J397" s="5"/>
      <c r="K397" s="5"/>
      <c r="L397" s="5"/>
      <c r="M397" s="5"/>
      <c r="N397" s="5"/>
      <c r="O397" s="5"/>
      <c r="P397" s="5"/>
      <c r="Q397" s="5"/>
      <c r="R397" s="5"/>
      <c r="S397" s="5"/>
      <c r="T397" s="5"/>
      <c r="U397" s="5"/>
      <c r="V397" s="5"/>
      <c r="W397" s="5"/>
      <c r="X397" s="5"/>
      <c r="Y397" s="5"/>
      <c r="Z397" s="5"/>
      <c r="AA397" s="5"/>
      <c r="AB397" s="5"/>
      <c r="AC397" s="47">
        <v>0.0</v>
      </c>
    </row>
    <row r="398" hidden="1">
      <c r="A398" s="76" t="str">
        <f t="array" ref="A398:A399">{"FormulaRow16";(INDEX(CLASSLIST,A367,1))}</f>
        <v>FormulaRow16</v>
      </c>
      <c r="B398" s="77" t="s">
        <v>236</v>
      </c>
      <c r="C398" s="76" t="str">
        <f t="array" ref="C398:C399">{"CLASSTYPE";((INDEX(ALLCLASSDATA,MATCH("ClassType",CLASSFEATUREHEADERS,0),MATCH($A399,CLASSNAMEHEADERS,0))))}</f>
        <v>CLASSTYPE</v>
      </c>
      <c r="D398" s="76" t="str">
        <f t="array" ref="D398:D399">{"CLASSABILITY";"ClassAbility"}</f>
        <v>CLASSABILITY</v>
      </c>
      <c r="E398" s="76" t="str">
        <f t="array" ref="E398:E399">{"SUBCLASSABILITY1";"SubclassAbility1"}</f>
        <v>SUBCLASSABILITY1</v>
      </c>
      <c r="F398" s="76"/>
      <c r="G398" s="76"/>
      <c r="H398" s="76"/>
      <c r="I398" s="76"/>
      <c r="J398" s="76" t="str">
        <f t="array" ref="J398:J399">{"SUBCLASSABILITY1-L03";((INDEX(ALLCLASSDATA,MATCH("SubclassAbility1-L03",CLASSFEATUREHEADERS,0),MATCH(($A399),CLASSNAMEHEADERS,0))))}</f>
        <v>SUBCLASSABILITY1-L03</v>
      </c>
      <c r="K398" s="76"/>
      <c r="L398" s="76" t="str">
        <f t="array" ref="L398:L399">{"SUBCLASSABILITY1-L05";((INDEX(ALLCLASSDATA,MATCH("SubclassAbility1-L05",CLASSFEATUREHEADERS,0),MATCH(($A399),CLASSNAMEHEADERS,0))))}</f>
        <v>SUBCLASSABILITY1-L05</v>
      </c>
      <c r="M398" s="76"/>
      <c r="N398" s="76" t="str">
        <f t="array" ref="N398:N399">{"SUBCLASSABILITY1-L07";((INDEX(ALLCLASSDATA,MATCH("SubclassAbility1-L07",CLASSFEATUREHEADERS,0),MATCH(($A399),CLASSNAMEHEADERS,0))))}</f>
        <v>SUBCLASSABILITY1-L07</v>
      </c>
      <c r="O398" s="76"/>
      <c r="P398" s="76" t="str">
        <f t="array" ref="P398:P399">{"SUBCLASSABILITY1-L09";((INDEX(ALLCLASSDATA,MATCH("SubclassAbility1-L09",CLASSFEATUREHEADERS,0),MATCH(($A399),CLASSNAMEHEADERS,0))))}</f>
        <v>SUBCLASSABILITY1-L09</v>
      </c>
      <c r="Q398" s="76"/>
      <c r="R398" s="76" t="str">
        <f t="array" ref="R398:R399">{"SUBCLASSABILITY1-L11";((INDEX(ALLCLASSDATA,MATCH("SubclassAbility1-L11",CLASSFEATUREHEADERS,0),MATCH(($A399),CLASSNAMEHEADERS,0))))}</f>
        <v>SUBCLASSABILITY1-L11</v>
      </c>
      <c r="S398" s="76"/>
      <c r="T398" s="76" t="str">
        <f t="array" ref="T398:T399">{"SUBCLASSABILITY1-L13";((INDEX(ALLCLASSDATA,MATCH("SubclassAbility1-L13",CLASSFEATUREHEADERS,0),MATCH(($A399),CLASSNAMEHEADERS,0))))}</f>
        <v>SUBCLASSABILITY1-L13</v>
      </c>
      <c r="U398" s="76"/>
      <c r="V398" s="76" t="str">
        <f t="array" ref="V398:V399">{"SUBCLASSABILITY1-L15";((INDEX(ALLCLASSDATA,MATCH("SubclassAbility1-L15",CLASSFEATUREHEADERS,0),MATCH(($A399),CLASSNAMEHEADERS,0))))}</f>
        <v>SUBCLASSABILITY1-L15</v>
      </c>
      <c r="W398" s="76"/>
      <c r="X398" s="76" t="str">
        <f t="array" ref="X398:X399">{"SUBCLASSABILITY1-L17";((INDEX(ALLCLASSDATA,MATCH("SubclassAbility1-L17",CLASSFEATUREHEADERS,0),MATCH(($A399),CLASSNAMEHEADERS,0))))}</f>
        <v>SUBCLASSABILITY1-L17</v>
      </c>
      <c r="Y398" s="76"/>
      <c r="Z398" s="76" t="str">
        <f t="array" ref="Z398:Z399">{"SUBCLASSABILITY1-L19";((INDEX(ALLCLASSDATA,MATCH("SubclassAbility1-L19",CLASSFEATUREHEADERS,0),MATCH(($A399),CLASSNAMEHEADERS,0))))}</f>
        <v>SUBCLASSABILITY1-L19</v>
      </c>
      <c r="AA398" s="76"/>
      <c r="AB398" s="76"/>
      <c r="AC398" s="76"/>
    </row>
    <row r="399">
      <c r="A399" s="48" t="s">
        <v>124</v>
      </c>
      <c r="B399" s="48"/>
      <c r="C399" s="48" t="s">
        <v>413</v>
      </c>
      <c r="D399" s="48" t="s">
        <v>825</v>
      </c>
      <c r="E399" s="28" t="s">
        <v>1355</v>
      </c>
      <c r="F399" s="5"/>
      <c r="G399" s="47"/>
      <c r="H399" s="5"/>
      <c r="I399" s="5"/>
      <c r="J399" s="5"/>
      <c r="K399" s="5"/>
      <c r="L399" s="5"/>
      <c r="M399" s="5"/>
      <c r="N399" s="5"/>
      <c r="O399" s="5"/>
      <c r="P399" s="5"/>
      <c r="Q399" s="5"/>
      <c r="R399" s="5"/>
      <c r="S399" s="5"/>
      <c r="T399" s="5"/>
      <c r="U399" s="5"/>
      <c r="V399" s="5"/>
      <c r="W399" s="5"/>
      <c r="X399" s="5" t="s">
        <v>1886</v>
      </c>
      <c r="Y399" s="5"/>
      <c r="Z399" s="5"/>
      <c r="AA399" s="5"/>
      <c r="AB399" s="5"/>
      <c r="AC399" s="47"/>
    </row>
    <row r="400" hidden="1">
      <c r="A400" s="76" t="str">
        <f t="array" ref="A400:A401">{"FormulaRow17";(INDEX(CLASSLIST,A367,1))}</f>
        <v>FormulaRow17</v>
      </c>
      <c r="B400" s="77" t="s">
        <v>236</v>
      </c>
      <c r="C400" s="76" t="str">
        <f t="array" ref="C400:C401">{"CLASSTYPE";((INDEX(ALLCLASSDATA,MATCH("ClassType",CLASSFEATUREHEADERS,0),MATCH($A401,CLASSNAMEHEADERS,0))))}</f>
        <v>CLASSTYPE</v>
      </c>
      <c r="D400" s="76" t="str">
        <f t="array" ref="D400:D401">{"CLASSABILITYPTS";"ClassAbilityPts"}</f>
        <v>CLASSABILITYPTS</v>
      </c>
      <c r="E400" s="76" t="str">
        <f t="array" ref="E400:E401">{"SUBCLASSABILITY1";"SubclassAbility1"}</f>
        <v>SUBCLASSABILITY1</v>
      </c>
      <c r="F400" s="76"/>
      <c r="G400" s="76"/>
      <c r="H400" s="76"/>
      <c r="I400" s="76"/>
      <c r="J400" s="76" t="str">
        <f t="array" ref="J400:J401">{"SUBCLASSABILITY1-L03PTS";((INDEX(ALLCLASSDATA,MATCH("SubclassAbility1-L03",CLASSFEATUREHEADERS,0),MATCH(($A401 &amp; "Points"),CLASSNAMEHEADERS,0))))}</f>
        <v>SUBCLASSABILITY1-L03PTS</v>
      </c>
      <c r="K400" s="76"/>
      <c r="L400" s="76" t="str">
        <f t="array" ref="L400:L401">{"SUBCLASSABILITY1-L05PTS";((INDEX(ALLCLASSDATA,MATCH("SubclassAbility1-L05",CLASSFEATUREHEADERS,0),MATCH(($A401 &amp; "Points"),CLASSNAMEHEADERS,0))))}</f>
        <v>SUBCLASSABILITY1-L05PTS</v>
      </c>
      <c r="M400" s="76"/>
      <c r="N400" s="76" t="str">
        <f t="array" ref="N400:N401">{"SUBCLASSABILITY1-L07PTS";((INDEX(ALLCLASSDATA,MATCH("SubclassAbility1-L07",CLASSFEATUREHEADERS,0),MATCH(($A401 &amp; "Points"),CLASSNAMEHEADERS,0))))}</f>
        <v>SUBCLASSABILITY1-L07PTS</v>
      </c>
      <c r="O400" s="76"/>
      <c r="P400" s="76" t="str">
        <f t="array" ref="P400:P401">{"SUBCLASSABILITY1-L09PTS";((INDEX(ALLCLASSDATA,MATCH("SubclassAbility1-L09",CLASSFEATUREHEADERS,0),MATCH(($A401 &amp; "Points"),CLASSNAMEHEADERS,0))))}</f>
        <v>SUBCLASSABILITY1-L09PTS</v>
      </c>
      <c r="Q400" s="76"/>
      <c r="R400" s="76" t="str">
        <f t="array" ref="R400:R401">{"SUBCLASSABILITY1-L11PTS";((INDEX(ALLCLASSDATA,MATCH("SubclassAbility1-L11",CLASSFEATUREHEADERS,0),MATCH(($A401 &amp; "Points"),CLASSNAMEHEADERS,0))))}</f>
        <v>SUBCLASSABILITY1-L11PTS</v>
      </c>
      <c r="S400" s="76"/>
      <c r="T400" s="76" t="str">
        <f t="array" ref="T400:T401">{"SUBCLASSABILITY1-L13PTS";((INDEX(ALLCLASSDATA,MATCH("SubclassAbility1-L13",CLASSFEATUREHEADERS,0),MATCH(($A401 &amp; "Points"),CLASSNAMEHEADERS,0))))}</f>
        <v>SUBCLASSABILITY1-L13PTS</v>
      </c>
      <c r="U400" s="76"/>
      <c r="V400" s="76" t="str">
        <f t="array" ref="V400:V401">{"SUBCLASSABILITY1-L15PTS";((INDEX(ALLCLASSDATA,MATCH("SubclassAbility1-L15",CLASSFEATUREHEADERS,0),MATCH(($A401 &amp; "Points"),CLASSNAMEHEADERS,0))))}</f>
        <v>SUBCLASSABILITY1-L15PTS</v>
      </c>
      <c r="W400" s="76"/>
      <c r="X400" s="76" t="str">
        <f t="array" ref="X400:X401">{"SUBCLASSABILITY1-L17PTS";((INDEX(ALLCLASSDATA,MATCH("SubclassAbility1-L17",CLASSFEATUREHEADERS,0),MATCH(($A401 &amp; "Points"),CLASSNAMEHEADERS,0))))}</f>
        <v>SUBCLASSABILITY1-L17PTS</v>
      </c>
      <c r="Y400" s="76"/>
      <c r="Z400" s="76" t="str">
        <f t="array" ref="Z400:Z401">{"SUBCLASSABILITY1-L19PTS";((INDEX(ALLCLASSDATA,MATCH("SubclassAbility1-L19",CLASSFEATUREHEADERS,0),MATCH(($A401 &amp; "Points"),CLASSNAMEHEADERS,0))))}</f>
        <v>SUBCLASSABILITY1-L19PTS</v>
      </c>
      <c r="AA400" s="76"/>
      <c r="AB400" s="76"/>
      <c r="AC400" s="76" t="str">
        <f t="array" ref="AC400:AC401">{"SUBCLASSABILITY1 TOTAL";(sum(G401:AA401))}</f>
        <v>SUBCLASSABILITY1 TOTAL</v>
      </c>
    </row>
    <row r="401">
      <c r="A401" s="48" t="s">
        <v>124</v>
      </c>
      <c r="B401" s="48"/>
      <c r="C401" s="48" t="s">
        <v>413</v>
      </c>
      <c r="D401" s="48" t="s">
        <v>930</v>
      </c>
      <c r="E401" s="28" t="s">
        <v>1355</v>
      </c>
      <c r="F401" s="5"/>
      <c r="G401" s="47"/>
      <c r="H401" s="5"/>
      <c r="I401" s="5"/>
      <c r="J401" s="5"/>
      <c r="K401" s="5"/>
      <c r="L401" s="5"/>
      <c r="M401" s="5"/>
      <c r="N401" s="5"/>
      <c r="O401" s="5"/>
      <c r="P401" s="5"/>
      <c r="Q401" s="5"/>
      <c r="R401" s="5"/>
      <c r="S401" s="5"/>
      <c r="T401" s="5"/>
      <c r="U401" s="5"/>
      <c r="V401" s="5"/>
      <c r="W401" s="5"/>
      <c r="X401" s="5">
        <v>40.0</v>
      </c>
      <c r="Y401" s="5"/>
      <c r="Z401" s="5"/>
      <c r="AA401" s="5"/>
      <c r="AB401" s="5"/>
      <c r="AC401" s="47">
        <v>40.0</v>
      </c>
    </row>
    <row r="402" hidden="1">
      <c r="A402" s="76" t="str">
        <f t="array" ref="A402:A403">{"FormulaRow18";(INDEX(CLASSLIST,A367,1))}</f>
        <v>FormulaRow18</v>
      </c>
      <c r="B402" s="77" t="s">
        <v>236</v>
      </c>
      <c r="C402" s="76" t="str">
        <f t="array" ref="C402:C403">{"CLASSTYPE";((INDEX(ALLCLASSDATA,MATCH("ClassType",CLASSFEATUREHEADERS,0),MATCH($A403,CLASSNAMEHEADERS,0))))}</f>
        <v>CLASSTYPE</v>
      </c>
      <c r="D402" s="76" t="str">
        <f t="array" ref="D402:D403">{"CLASSABILITY";"ClassAbility"}</f>
        <v>CLASSABILITY</v>
      </c>
      <c r="E402" s="76" t="str">
        <f t="array" ref="E402:E403">{"SUBCLASSABILITY2";"SubclassAbility2"}</f>
        <v>SUBCLASSABILITY2</v>
      </c>
      <c r="F402" s="76"/>
      <c r="G402" s="76"/>
      <c r="H402" s="76"/>
      <c r="I402" s="76"/>
      <c r="J402" s="76" t="str">
        <f t="array" ref="J402:J403">{"SUBCLASSABILITY2-L03";((INDEX(ALLCLASSDATA,MATCH("SubclassAbility2-L03",CLASSFEATUREHEADERS,0),MATCH(($A403),CLASSNAMEHEADERS,0))))}</f>
        <v>SUBCLASSABILITY2-L03</v>
      </c>
      <c r="K402" s="76"/>
      <c r="L402" s="76" t="str">
        <f t="array" ref="L402:L403">{"SUBCLASSABILITY2-L05";((INDEX(ALLCLASSDATA,MATCH("SubclassAbility2-L05",CLASSFEATUREHEADERS,0),MATCH(($A403),CLASSNAMEHEADERS,0))))}</f>
        <v>SUBCLASSABILITY2-L05</v>
      </c>
      <c r="M402" s="76"/>
      <c r="N402" s="76" t="str">
        <f t="array" ref="N402:N403">{"SUBCLASSABILITY2-L07";((INDEX(ALLCLASSDATA,MATCH("SubclassAbility2-L07",CLASSFEATUREHEADERS,0),MATCH(($A403),CLASSNAMEHEADERS,0))))}</f>
        <v>SUBCLASSABILITY2-L07</v>
      </c>
      <c r="O402" s="76"/>
      <c r="P402" s="76" t="str">
        <f t="array" ref="P402:P403">{"SUBCLASSABILITY2-L09";((INDEX(ALLCLASSDATA,MATCH("SubclassAbility2-L09",CLASSFEATUREHEADERS,0),MATCH(($A403),CLASSNAMEHEADERS,0))))}</f>
        <v>SUBCLASSABILITY2-L09</v>
      </c>
      <c r="Q402" s="76"/>
      <c r="R402" s="76" t="str">
        <f t="array" ref="R402:R403">{"SUBCLASSABILITY2-L11";((INDEX(ALLCLASSDATA,MATCH("SubclassAbility2-L11",CLASSFEATUREHEADERS,0),MATCH(($A403),CLASSNAMEHEADERS,0))))}</f>
        <v>SUBCLASSABILITY2-L11</v>
      </c>
      <c r="S402" s="76"/>
      <c r="T402" s="76" t="str">
        <f t="array" ref="T402:T403">{"SUBCLASSABILITY2-L13";((INDEX(ALLCLASSDATA,MATCH("SubclassAbility2-L13",CLASSFEATUREHEADERS,0),MATCH(($A403),CLASSNAMEHEADERS,0))))}</f>
        <v>SUBCLASSABILITY2-L13</v>
      </c>
      <c r="U402" s="76"/>
      <c r="V402" s="76" t="str">
        <f t="array" ref="V402:V403">{"SUBCLASSABILITY2-L15";((INDEX(ALLCLASSDATA,MATCH("SubclassAbility2-L15",CLASSFEATUREHEADERS,0),MATCH(($A403),CLASSNAMEHEADERS,0))))}</f>
        <v>SUBCLASSABILITY2-L15</v>
      </c>
      <c r="W402" s="76"/>
      <c r="X402" s="76" t="str">
        <f t="array" ref="X402:X403">{"SUBCLASSABILITY2-L17";((INDEX(ALLCLASSDATA,MATCH("SubclassAbility2-L17",CLASSFEATUREHEADERS,0),MATCH(($A403),CLASSNAMEHEADERS,0))))}</f>
        <v>SUBCLASSABILITY2-L17</v>
      </c>
      <c r="Y402" s="76"/>
      <c r="Z402" s="76" t="str">
        <f t="array" ref="Z402:Z403">{"SUBCLASSABILITY2-L19";((INDEX(ALLCLASSDATA,MATCH("SubclassAbility2-L19",CLASSFEATUREHEADERS,0),MATCH(($A403),CLASSNAMEHEADERS,0))))}</f>
        <v>SUBCLASSABILITY2-L19</v>
      </c>
      <c r="AA402" s="76"/>
      <c r="AB402" s="76"/>
      <c r="AC402" s="76"/>
    </row>
    <row r="403">
      <c r="A403" s="48" t="s">
        <v>124</v>
      </c>
      <c r="B403" s="48"/>
      <c r="C403" s="48" t="s">
        <v>413</v>
      </c>
      <c r="D403" s="48" t="s">
        <v>825</v>
      </c>
      <c r="E403" s="28" t="s">
        <v>1370</v>
      </c>
      <c r="F403" s="5"/>
      <c r="G403" s="47"/>
      <c r="H403" s="5"/>
      <c r="I403" s="5"/>
      <c r="J403" s="5"/>
      <c r="K403" s="5"/>
      <c r="L403" s="5"/>
      <c r="M403" s="5"/>
      <c r="N403" s="5"/>
      <c r="O403" s="5"/>
      <c r="P403" s="5"/>
      <c r="Q403" s="5"/>
      <c r="R403" s="5"/>
      <c r="S403" s="5"/>
      <c r="T403" s="5"/>
      <c r="U403" s="5"/>
      <c r="V403" s="5"/>
      <c r="W403" s="5"/>
      <c r="X403" s="5"/>
      <c r="Y403" s="5"/>
      <c r="Z403" s="5"/>
      <c r="AA403" s="5"/>
      <c r="AB403" s="5"/>
      <c r="AC403" s="47"/>
    </row>
    <row r="404" hidden="1">
      <c r="A404" s="76" t="str">
        <f t="array" ref="A404:A405">{"FormulaRow19";(INDEX(CLASSLIST,A367,1))}</f>
        <v>FormulaRow19</v>
      </c>
      <c r="B404" s="77" t="s">
        <v>236</v>
      </c>
      <c r="C404" s="76" t="str">
        <f t="array" ref="C404:C405">{"CLASSTYPE";((INDEX(ALLCLASSDATA,MATCH("ClassType",CLASSFEATUREHEADERS,0),MATCH($A405,CLASSNAMEHEADERS,0))))}</f>
        <v>CLASSTYPE</v>
      </c>
      <c r="D404" s="76" t="str">
        <f t="array" ref="D404:D405">{"CLASSABILITYPTS";"ClassAbilityPts"}</f>
        <v>CLASSABILITYPTS</v>
      </c>
      <c r="E404" s="76" t="str">
        <f t="array" ref="E404:E405">{"SUBCLASSABILITY2";"SubclassAbility2"}</f>
        <v>SUBCLASSABILITY2</v>
      </c>
      <c r="F404" s="76"/>
      <c r="G404" s="76"/>
      <c r="H404" s="76"/>
      <c r="I404" s="76"/>
      <c r="J404" s="76" t="str">
        <f t="array" ref="J404:J405">{"SUBCLASSABILITY2-L03PTS";((INDEX(ALLCLASSDATA,MATCH("SubclassAbility2-L03",CLASSFEATUREHEADERS,0),MATCH(($A405 &amp; "Points"),CLASSNAMEHEADERS,0))))}</f>
        <v>SUBCLASSABILITY2-L03PTS</v>
      </c>
      <c r="K404" s="76"/>
      <c r="L404" s="76" t="str">
        <f t="array" ref="L404:L405">{"SUBCLASSABILITY2-L05PTS";((INDEX(ALLCLASSDATA,MATCH("SubclassAbility2-L05",CLASSFEATUREHEADERS,0),MATCH(($A405 &amp; "Points"),CLASSNAMEHEADERS,0))))}</f>
        <v>SUBCLASSABILITY2-L05PTS</v>
      </c>
      <c r="M404" s="76"/>
      <c r="N404" s="76" t="str">
        <f t="array" ref="N404:N405">{"SUBCLASSABILITY2-L07PTS";((INDEX(ALLCLASSDATA,MATCH("SubclassAbility2-L07",CLASSFEATUREHEADERS,0),MATCH(($A405 &amp; "Points"),CLASSNAMEHEADERS,0))))}</f>
        <v>SUBCLASSABILITY2-L07PTS</v>
      </c>
      <c r="O404" s="76"/>
      <c r="P404" s="76" t="str">
        <f t="array" ref="P404:P405">{"SUBCLASSABILITY2-L09PTS";((INDEX(ALLCLASSDATA,MATCH("SubclassAbility2-L09",CLASSFEATUREHEADERS,0),MATCH(($A405 &amp; "Points"),CLASSNAMEHEADERS,0))))}</f>
        <v>SUBCLASSABILITY2-L09PTS</v>
      </c>
      <c r="Q404" s="76"/>
      <c r="R404" s="76" t="str">
        <f t="array" ref="R404:R405">{"SUBCLASSABILITY2-L11PTS";((INDEX(ALLCLASSDATA,MATCH("SubclassAbility2-L11",CLASSFEATUREHEADERS,0),MATCH(($A405 &amp; "Points"),CLASSNAMEHEADERS,0))))}</f>
        <v>SUBCLASSABILITY2-L11PTS</v>
      </c>
      <c r="S404" s="76"/>
      <c r="T404" s="76" t="str">
        <f t="array" ref="T404:T405">{"SUBCLASSABILITY2-L13PTS";((INDEX(ALLCLASSDATA,MATCH("SubclassAbility2-L13",CLASSFEATUREHEADERS,0),MATCH(($A405 &amp; "Points"),CLASSNAMEHEADERS,0))))}</f>
        <v>SUBCLASSABILITY2-L13PTS</v>
      </c>
      <c r="U404" s="76"/>
      <c r="V404" s="76" t="str">
        <f t="array" ref="V404:V405">{"SUBCLASSABILITY2-L15PTS";((INDEX(ALLCLASSDATA,MATCH("SubclassAbility2-L15",CLASSFEATUREHEADERS,0),MATCH(($A405 &amp; "Points"),CLASSNAMEHEADERS,0))))}</f>
        <v>SUBCLASSABILITY2-L15PTS</v>
      </c>
      <c r="W404" s="76"/>
      <c r="X404" s="76" t="str">
        <f t="array" ref="X404:X405">{"SUBCLASSABILITY2-L17PTS";((INDEX(ALLCLASSDATA,MATCH("SubclassAbility2-L17",CLASSFEATUREHEADERS,0),MATCH(($A405 &amp; "Points"),CLASSNAMEHEADERS,0))))}</f>
        <v>SUBCLASSABILITY2-L17PTS</v>
      </c>
      <c r="Y404" s="76"/>
      <c r="Z404" s="76" t="str">
        <f t="array" ref="Z404:Z405">{"SUBCLASSABILITY2-L19PTS";((INDEX(ALLCLASSDATA,MATCH("SubclassAbility2-L19",CLASSFEATUREHEADERS,0),MATCH(($A405 &amp; "Points"),CLASSNAMEHEADERS,0))))}</f>
        <v>SUBCLASSABILITY2-L19PTS</v>
      </c>
      <c r="AA404" s="76"/>
      <c r="AB404" s="76"/>
      <c r="AC404" s="76" t="str">
        <f t="array" ref="AC404:AC405">{"SUBCLASSABILITY2 TOTAL";(sum(G405:AA405))}</f>
        <v>SUBCLASSABILITY2 TOTAL</v>
      </c>
    </row>
    <row r="405">
      <c r="A405" s="48" t="s">
        <v>124</v>
      </c>
      <c r="B405" s="48"/>
      <c r="C405" s="48" t="s">
        <v>413</v>
      </c>
      <c r="D405" s="97" t="s">
        <v>930</v>
      </c>
      <c r="E405" s="215" t="s">
        <v>1370</v>
      </c>
      <c r="F405" s="98"/>
      <c r="G405" s="132"/>
      <c r="H405" s="98"/>
      <c r="I405" s="98"/>
      <c r="J405" s="98"/>
      <c r="K405" s="98"/>
      <c r="L405" s="98"/>
      <c r="M405" s="98"/>
      <c r="N405" s="98"/>
      <c r="O405" s="98"/>
      <c r="P405" s="98"/>
      <c r="Q405" s="98"/>
      <c r="R405" s="98"/>
      <c r="S405" s="98"/>
      <c r="T405" s="98"/>
      <c r="U405" s="98"/>
      <c r="V405" s="98"/>
      <c r="W405" s="98"/>
      <c r="X405" s="98"/>
      <c r="Y405" s="98"/>
      <c r="Z405" s="98"/>
      <c r="AA405" s="98"/>
      <c r="AB405" s="5"/>
      <c r="AC405" s="47">
        <v>0.0</v>
      </c>
    </row>
    <row r="406" hidden="1">
      <c r="A406" s="76" t="str">
        <f t="array" ref="A406:A407">{"FormulaRow20";(INDEX(CLASSLIST,A367,1))}</f>
        <v>FormulaRow20</v>
      </c>
      <c r="B406" s="77" t="s">
        <v>236</v>
      </c>
      <c r="C406" s="76" t="str">
        <f t="array" ref="C406:C407">{"CLASSTYPE";((INDEX(ALLCLASSDATA,MATCH("ClassType",CLASSFEATUREHEADERS,0),MATCH($A407,CLASSNAMEHEADERS,0))))}</f>
        <v>CLASSTYPE</v>
      </c>
      <c r="D406" s="81" t="str">
        <f t="array" ref="D406:D407">{"DC";"DC"}</f>
        <v>DC</v>
      </c>
      <c r="E406" s="81" t="str">
        <f t="array" ref="E406:E407">{"CLASSDC";"ClassDC"}</f>
        <v>CLASSDC</v>
      </c>
      <c r="F406" s="81" t="str">
        <f t="array" ref="F406:F407">{"CLASSDCINITIAL";((IF(H407=10,"T",(IF(H407=50,"E","")))))}</f>
        <v>CLASSDCINITIAL</v>
      </c>
      <c r="G406" s="81" t="str">
        <f t="array" ref="G406:G407">{"CLASSDCINITIALPTS";((IF("00"=(INDEX(ALLCLASSDATA,MATCH("ClassDCLegendary",CLASSFEATUREHEADERS,0),MATCH($A407,CLASSNAMEHEADERS,0))),(INDEX(ALLCLASSDATA,MATCH("ClassDCLegendary",CLASSFEATUREHEADERS,0),MATCH(($A407 &amp; "Points"),CLASSNAMEHEADERS,0))),(IF("00"=(INDEX(ALLCLASSDATA,MATCH("ClassDCMaster",CLASSFEATUREHEADERS,0),MATCH($A407,CLASSNAMEHEADERS,0))),(INDEX(ALLCLASSDATA,MATCH("ClassDCMaster",CLASSFEATUREHEADERS,0),MATCH(($A407 &amp; "Points"),CLASSNAMEHEADERS,0))),(IF("00"=(INDEX(ALLCLASSDATA,MATCH("ClassDCExpert",CLASSFEATUREHEADERS,0),MATCH($A407,CLASSNAMEHEADERS,0))),(INDEX(ALLCLASSDATA,MATCH("ClassDCExpert",CLASSFEATUREHEADERS,0),MATCH(($A407 &amp; "Points"),CLASSNAMEHEADERS,0))),(IF("00"=(INDEX(ALLCLASSDATA,MATCH("ClassDCTrained",CLASSFEATUREHEADERS,0),MATCH($A407,CLASSNAMEHEADERS,0))),(INDEX(ALLCLASSDATA,MATCH("ClassDCTrained",CLASSFEATUREHEADERS,0),MATCH(($A407 &amp; "Points"),CLASSNAMEHEADERS,0))),"")))))))))}</f>
        <v>CLASSDCINITIALPTS</v>
      </c>
      <c r="H406" s="81" t="str">
        <f t="array" ref="H406:H407">{"CLASSDCL01";((IF("01"=(INDEX(ALLCLASSDATA,MATCH("ClassDCLegendary",CLASSFEATUREHEADERS,0),MATCH($A407,CLASSNAMEHEADERS,0))),(INDEX(ALLCLASSDATA,MATCH("ClassDCLegendary",CLASSFEATUREHEADERS,0),MATCH(($A407 &amp; "Points"),CLASSNAMEHEADERS,0))),(IF("01"=(INDEX(ALLCLASSDATA,MATCH("ClassDCMaster",CLASSFEATUREHEADERS,0),MATCH($A407,CLASSNAMEHEADERS,0))),(INDEX(ALLCLASSDATA,MATCH("ClassDCMaster",CLASSFEATUREHEADERS,0),MATCH(($A407 &amp; "Points"),CLASSNAMEHEADERS,0))),(IF("01"=(INDEX(ALLCLASSDATA,MATCH("ClassDCExpert",CLASSFEATUREHEADERS,0),MATCH($A407,CLASSNAMEHEADERS,0))),(INDEX(ALLCLASSDATA,MATCH("ClassDCExpert",CLASSFEATUREHEADERS,0),MATCH(($A407 &amp; "Points"),CLASSNAMEHEADERS,0))),(IF("01"=(INDEX(ALLCLASSDATA,MATCH("ClassDCTrained",CLASSFEATUREHEADERS,0),MATCH($A407,CLASSNAMEHEADERS,0))),(INDEX(ALLCLASSDATA,MATCH("ClassDCTrained",CLASSFEATUREHEADERS,0),MATCH(($A407 &amp; "Points"),CLASSNAMEHEADERS,0))),"")))))))))}</f>
        <v>CLASSDCL01</v>
      </c>
      <c r="I406" s="81"/>
      <c r="J406" s="81" t="str">
        <f t="array" ref="J406:J407">{"CLASSDCL03";((IF("03"=(INDEX(ALLCLASSDATA,MATCH("ClassDCLegendary",CLASSFEATUREHEADERS,0),MATCH($A407,CLASSNAMEHEADERS,0))),(INDEX(ALLCLASSDATA,MATCH("ClassDCLegendary",CLASSFEATUREHEADERS,0),MATCH(($A407 &amp; "Points"),CLASSNAMEHEADERS,0))),(IF("03"=(INDEX(ALLCLASSDATA,MATCH("ClassDCMaster",CLASSFEATUREHEADERS,0),MATCH($A407,CLASSNAMEHEADERS,0))),(INDEX(ALLCLASSDATA,MATCH("ClassDCMaster",CLASSFEATUREHEADERS,0),MATCH(($A407 &amp; "Points"),CLASSNAMEHEADERS,0))),(IF("03"=(INDEX(ALLCLASSDATA,MATCH("ClassDCExpert",CLASSFEATUREHEADERS,0),MATCH($A407,CLASSNAMEHEADERS,0))),(INDEX(ALLCLASSDATA,MATCH("ClassDCExpert",CLASSFEATUREHEADERS,0),MATCH(($A407 &amp; "Points"),CLASSNAMEHEADERS,0))),(IF("03"=(INDEX(ALLCLASSDATA,MATCH("ClassDCTrained",CLASSFEATUREHEADERS,0),MATCH($A407,CLASSNAMEHEADERS,0))),(INDEX(ALLCLASSDATA,MATCH("ClassDCTrained",CLASSFEATUREHEADERS,0),MATCH(($A407 &amp; "Points"),CLASSNAMEHEADERS,0))),"")))))))))}</f>
        <v>CLASSDCL03</v>
      </c>
      <c r="K406" s="81"/>
      <c r="L406" s="81" t="str">
        <f t="array" ref="L406:L407">{"CLASSDCL05";((IF("05"=(INDEX(ALLCLASSDATA,MATCH("ClassDCLegendary",CLASSFEATUREHEADERS,0),MATCH($A407,CLASSNAMEHEADERS,0))),(INDEX(ALLCLASSDATA,MATCH("ClassDCLegendary",CLASSFEATUREHEADERS,0),MATCH(($A407 &amp; "Points"),CLASSNAMEHEADERS,0))),(IF("05"=(INDEX(ALLCLASSDATA,MATCH("ClassDCMaster",CLASSFEATUREHEADERS,0),MATCH($A407,CLASSNAMEHEADERS,0))),(INDEX(ALLCLASSDATA,MATCH("ClassDCMaster",CLASSFEATUREHEADERS,0),MATCH(($A407 &amp; "Points"),CLASSNAMEHEADERS,0))),(IF("05"=(INDEX(ALLCLASSDATA,MATCH("ClassDCExpert",CLASSFEATUREHEADERS,0),MATCH($A407,CLASSNAMEHEADERS,0))),(INDEX(ALLCLASSDATA,MATCH("ClassDCExpert",CLASSFEATUREHEADERS,0),MATCH(($A407 &amp; "Points"),CLASSNAMEHEADERS,0))),(IF("05"=(INDEX(ALLCLASSDATA,MATCH("ClassDCTrained",CLASSFEATUREHEADERS,0),MATCH($A407,CLASSNAMEHEADERS,0))),(INDEX(ALLCLASSDATA,MATCH("ClassDCTrained",CLASSFEATUREHEADERS,0),MATCH(($A407 &amp; "Points"),CLASSNAMEHEADERS,0))),"")))))))))}</f>
        <v>CLASSDCL05</v>
      </c>
      <c r="M406" s="81"/>
      <c r="N406" s="81" t="str">
        <f t="array" ref="N406:N407">{"CLASSDCL07";((IF("07"=(INDEX(ALLCLASSDATA,MATCH("ClassDCLegendary",CLASSFEATUREHEADERS,0),MATCH($A407,CLASSNAMEHEADERS,0))),(INDEX(ALLCLASSDATA,MATCH("ClassDCLegendary",CLASSFEATUREHEADERS,0),MATCH(($A407 &amp; "Points"),CLASSNAMEHEADERS,0))),(IF("07"=(INDEX(ALLCLASSDATA,MATCH("ClassDCMaster",CLASSFEATUREHEADERS,0),MATCH($A407,CLASSNAMEHEADERS,0))),(INDEX(ALLCLASSDATA,MATCH("ClassDCMaster",CLASSFEATUREHEADERS,0),MATCH(($A407 &amp; "Points"),CLASSNAMEHEADERS,0))),(IF("07"=(INDEX(ALLCLASSDATA,MATCH("ClassDCExpert",CLASSFEATUREHEADERS,0),MATCH($A407,CLASSNAMEHEADERS,0))),(INDEX(ALLCLASSDATA,MATCH("ClassDCExpert",CLASSFEATUREHEADERS,0),MATCH(($A407 &amp; "Points"),CLASSNAMEHEADERS,0))),(IF("07"=(INDEX(ALLCLASSDATA,MATCH("ClassDCTrained",CLASSFEATUREHEADERS,0),MATCH($A407,CLASSNAMEHEADERS,0))),(INDEX(ALLCLASSDATA,MATCH("ClassDCTrained",CLASSFEATUREHEADERS,0),MATCH(($A407 &amp; "Points"),CLASSNAMEHEADERS,0))),"")))))))))}</f>
        <v>CLASSDCL07</v>
      </c>
      <c r="O406" s="81"/>
      <c r="P406" s="81" t="str">
        <f t="array" ref="P406:P407">{"CLASSDCL09";((IF("09"=(INDEX(ALLCLASSDATA,MATCH("ClassDCLegendary",CLASSFEATUREHEADERS,0),MATCH($A407,CLASSNAMEHEADERS,0))),(INDEX(ALLCLASSDATA,MATCH("ClassDCLegendary",CLASSFEATUREHEADERS,0),MATCH(($A407 &amp; "Points"),CLASSNAMEHEADERS,0))),(IF("09"=(INDEX(ALLCLASSDATA,MATCH("ClassDCMaster",CLASSFEATUREHEADERS,0),MATCH($A407,CLASSNAMEHEADERS,0))),(INDEX(ALLCLASSDATA,MATCH("ClassDCMaster",CLASSFEATUREHEADERS,0),MATCH(($A407 &amp; "Points"),CLASSNAMEHEADERS,0))),(IF("09"=(INDEX(ALLCLASSDATA,MATCH("ClassDCExpert",CLASSFEATUREHEADERS,0),MATCH($A407,CLASSNAMEHEADERS,0))),(INDEX(ALLCLASSDATA,MATCH("ClassDCExpert",CLASSFEATUREHEADERS,0),MATCH(($A407 &amp; "Points"),CLASSNAMEHEADERS,0))),(IF("09"=(INDEX(ALLCLASSDATA,MATCH("ClassDCTrained",CLASSFEATUREHEADERS,0),MATCH($A407,CLASSNAMEHEADERS,0))),(INDEX(ALLCLASSDATA,MATCH("ClassDCTrained",CLASSFEATUREHEADERS,0),MATCH(($A407 &amp; "Points"),CLASSNAMEHEADERS,0))),"")))))))))}</f>
        <v>CLASSDCL09</v>
      </c>
      <c r="Q406" s="81"/>
      <c r="R406" s="81" t="str">
        <f t="array" ref="R406:R407">{"CLASSDCL11";((IF("11"=(INDEX(ALLCLASSDATA,MATCH("ClassDCLegendary",CLASSFEATUREHEADERS,0),MATCH($A407,CLASSNAMEHEADERS,0))),(INDEX(ALLCLASSDATA,MATCH("ClassDCLegendary",CLASSFEATUREHEADERS,0),MATCH(($A407 &amp; "Points"),CLASSNAMEHEADERS,0))),(IF("11"=(INDEX(ALLCLASSDATA,MATCH("ClassDCMaster",CLASSFEATUREHEADERS,0),MATCH($A407,CLASSNAMEHEADERS,0))),(INDEX(ALLCLASSDATA,MATCH("ClassDCMaster",CLASSFEATUREHEADERS,0),MATCH(($A407 &amp; "Points"),CLASSNAMEHEADERS,0))),(IF("11"=(INDEX(ALLCLASSDATA,MATCH("ClassDCExpert",CLASSFEATUREHEADERS,0),MATCH($A407,CLASSNAMEHEADERS,0))),(INDEX(ALLCLASSDATA,MATCH("ClassDCExpert",CLASSFEATUREHEADERS,0),MATCH(($A407 &amp; "Points"),CLASSNAMEHEADERS,0))),(IF("11"=(INDEX(ALLCLASSDATA,MATCH("ClassDCTrained",CLASSFEATUREHEADERS,0),MATCH($A407,CLASSNAMEHEADERS,0))),(INDEX(ALLCLASSDATA,MATCH("ClassDCTrained",CLASSFEATUREHEADERS,0),MATCH(($A407 &amp; "Points"),CLASSNAMEHEADERS,0))),"")))))))))}</f>
        <v>CLASSDCL11</v>
      </c>
      <c r="S406" s="81"/>
      <c r="T406" s="81" t="str">
        <f t="array" ref="T406:T407">{"CLASSDCL13";((IF("13"=(INDEX(ALLCLASSDATA,MATCH("ClassDCLegendary",CLASSFEATUREHEADERS,0),MATCH($A407,CLASSNAMEHEADERS,0))),(INDEX(ALLCLASSDATA,MATCH("ClassDCLegendary",CLASSFEATUREHEADERS,0),MATCH(($A407 &amp; "Points"),CLASSNAMEHEADERS,0))),(IF("13"=(INDEX(ALLCLASSDATA,MATCH("ClassDCMaster",CLASSFEATUREHEADERS,0),MATCH($A407,CLASSNAMEHEADERS,0))),(INDEX(ALLCLASSDATA,MATCH("ClassDCMaster",CLASSFEATUREHEADERS,0),MATCH(($A407 &amp; "Points"),CLASSNAMEHEADERS,0))),(IF("13"=(INDEX(ALLCLASSDATA,MATCH("ClassDCExpert",CLASSFEATUREHEADERS,0),MATCH($A407,CLASSNAMEHEADERS,0))),(INDEX(ALLCLASSDATA,MATCH("ClassDCExpert",CLASSFEATUREHEADERS,0),MATCH(($A407 &amp; "Points"),CLASSNAMEHEADERS,0))),(IF("13"=(INDEX(ALLCLASSDATA,MATCH("ClassDCTrained",CLASSFEATUREHEADERS,0),MATCH($A407,CLASSNAMEHEADERS,0))),(INDEX(ALLCLASSDATA,MATCH("ClassDCTrained",CLASSFEATUREHEADERS,0),MATCH(($A407 &amp; "Points"),CLASSNAMEHEADERS,0))),"")))))))))}</f>
        <v>CLASSDCL13</v>
      </c>
      <c r="U406" s="81"/>
      <c r="V406" s="81" t="str">
        <f t="array" ref="V406:V407">{"CLASSDCL15";((IF("15"=(INDEX(ALLCLASSDATA,MATCH("ClassDCLegendary",CLASSFEATUREHEADERS,0),MATCH($A407,CLASSNAMEHEADERS,0))),(INDEX(ALLCLASSDATA,MATCH("ClassDCLegendary",CLASSFEATUREHEADERS,0),MATCH(($A407 &amp; "Points"),CLASSNAMEHEADERS,0))),(IF("15"=(INDEX(ALLCLASSDATA,MATCH("ClassDCMaster",CLASSFEATUREHEADERS,0),MATCH($A407,CLASSNAMEHEADERS,0))),(INDEX(ALLCLASSDATA,MATCH("ClassDCMaster",CLASSFEATUREHEADERS,0),MATCH(($A407 &amp; "Points"),CLASSNAMEHEADERS,0))),(IF("15"=(INDEX(ALLCLASSDATA,MATCH("ClassDCExpert",CLASSFEATUREHEADERS,0),MATCH($A407,CLASSNAMEHEADERS,0))),(INDEX(ALLCLASSDATA,MATCH("ClassDCExpert",CLASSFEATUREHEADERS,0),MATCH(($A407 &amp; "Points"),CLASSNAMEHEADERS,0))),(IF("15"=(INDEX(ALLCLASSDATA,MATCH("ClassDCTrained",CLASSFEATUREHEADERS,0),MATCH($A407,CLASSNAMEHEADERS,0))),(INDEX(ALLCLASSDATA,MATCH("ClassDCTrained",CLASSFEATUREHEADERS,0),MATCH(($A407 &amp; "Points"),CLASSNAMEHEADERS,0))),"")))))))))}</f>
        <v>CLASSDCL15</v>
      </c>
      <c r="W406" s="81"/>
      <c r="X406" s="81" t="str">
        <f t="array" ref="X406:X407">{"CLASSDCL17";((IF("17"=(INDEX(ALLCLASSDATA,MATCH("ClassDCLegendary",CLASSFEATUREHEADERS,0),MATCH($A407,CLASSNAMEHEADERS,0))),(INDEX(ALLCLASSDATA,MATCH("ClassDCLegendary",CLASSFEATUREHEADERS,0),MATCH(($A407 &amp; "Points"),CLASSNAMEHEADERS,0))),(IF("17"=(INDEX(ALLCLASSDATA,MATCH("ClassDCMaster",CLASSFEATUREHEADERS,0),MATCH($A407,CLASSNAMEHEADERS,0))),(INDEX(ALLCLASSDATA,MATCH("ClassDCMaster",CLASSFEATUREHEADERS,0),MATCH(($A407 &amp; "Points"),CLASSNAMEHEADERS,0))),(IF("17"=(INDEX(ALLCLASSDATA,MATCH("ClassDCExpert",CLASSFEATUREHEADERS,0),MATCH($A407,CLASSNAMEHEADERS,0))),(INDEX(ALLCLASSDATA,MATCH("ClassDCExpert",CLASSFEATUREHEADERS,0),MATCH(($A407 &amp; "Points"),CLASSNAMEHEADERS,0))),(IF("17"=(INDEX(ALLCLASSDATA,MATCH("ClassDCTrained",CLASSFEATUREHEADERS,0),MATCH($A407,CLASSNAMEHEADERS,0))),(INDEX(ALLCLASSDATA,MATCH("ClassDCTrained",CLASSFEATUREHEADERS,0),MATCH(($A407 &amp; "Points"),CLASSNAMEHEADERS,0))),"")))))))))}</f>
        <v>CLASSDCL17</v>
      </c>
      <c r="Y406" s="81"/>
      <c r="Z406" s="81" t="str">
        <f t="array" ref="Z406:Z407">{"CLASSDCL19";((IF("19"=(INDEX(ALLCLASSDATA,MATCH("ClassDCLegendary",CLASSFEATUREHEADERS,0),MATCH($A407,CLASSNAMEHEADERS,0))),(INDEX(ALLCLASSDATA,MATCH("ClassDCLegendary",CLASSFEATUREHEADERS,0),MATCH(($A407 &amp; "Points"),CLASSNAMEHEADERS,0))),(IF("19"=(INDEX(ALLCLASSDATA,MATCH("ClassDCMaster",CLASSFEATUREHEADERS,0),MATCH($A407,CLASSNAMEHEADERS,0))),(INDEX(ALLCLASSDATA,MATCH("ClassDCMaster",CLASSFEATUREHEADERS,0),MATCH(($A407 &amp; "Points"),CLASSNAMEHEADERS,0))),(IF("19"=(INDEX(ALLCLASSDATA,MATCH("ClassDCExpert",CLASSFEATUREHEADERS,0),MATCH($A407,CLASSNAMEHEADERS,0))),(INDEX(ALLCLASSDATA,MATCH("ClassDCExpert",CLASSFEATUREHEADERS,0),MATCH(($A407 &amp; "Points"),CLASSNAMEHEADERS,0))),(IF("19"=(INDEX(ALLCLASSDATA,MATCH("ClassDCTrained",CLASSFEATUREHEADERS,0),MATCH($A407,CLASSNAMEHEADERS,0))),(INDEX(ALLCLASSDATA,MATCH("ClassDCTrained",CLASSFEATUREHEADERS,0),MATCH(($A407 &amp; "Points"),CLASSNAMEHEADERS,0))),"")))))))))}</f>
        <v>CLASSDCL19</v>
      </c>
      <c r="AA406" s="81"/>
      <c r="AB406" s="76" t="str">
        <f t="array" ref="AB406:AB407">{"CLASSDC TOTAL";(IF(COUNTBLANK(G407:AA407)=17,"L",(IF(COUNTBLANK(G407:AA407)=18,"M",(IF(COUNTBLANK(G407:AA407)=19,"E",(IF(COUNTBLANK(G407:AA407)=20,"T",""))))))))}</f>
        <v>CLASSDC TOTAL</v>
      </c>
      <c r="AC406" s="76" t="str">
        <f t="array" ref="AC406:AC407">{"CLASSDC TOTAL";(sum(G407:AA407))}</f>
        <v>CLASSDC TOTAL</v>
      </c>
    </row>
    <row r="407">
      <c r="A407" s="48" t="s">
        <v>124</v>
      </c>
      <c r="B407" s="48"/>
      <c r="C407" s="48" t="s">
        <v>413</v>
      </c>
      <c r="D407" s="48" t="s">
        <v>1465</v>
      </c>
      <c r="E407" s="48" t="s">
        <v>1466</v>
      </c>
      <c r="F407" s="5" t="s">
        <v>435</v>
      </c>
      <c r="G407" s="47" t="s">
        <v>603</v>
      </c>
      <c r="H407" s="5">
        <v>10.0</v>
      </c>
      <c r="I407" s="5"/>
      <c r="J407" s="5" t="s">
        <v>603</v>
      </c>
      <c r="K407" s="5"/>
      <c r="L407" s="5" t="s">
        <v>603</v>
      </c>
      <c r="M407" s="5"/>
      <c r="N407" s="5" t="s">
        <v>603</v>
      </c>
      <c r="O407" s="5"/>
      <c r="P407" s="5">
        <v>50.0</v>
      </c>
      <c r="Q407" s="5"/>
      <c r="R407" s="5" t="s">
        <v>603</v>
      </c>
      <c r="S407" s="5"/>
      <c r="T407" s="5" t="s">
        <v>603</v>
      </c>
      <c r="U407" s="5"/>
      <c r="V407" s="5" t="s">
        <v>603</v>
      </c>
      <c r="W407" s="5"/>
      <c r="X407" s="5">
        <v>110.0</v>
      </c>
      <c r="Y407" s="5"/>
      <c r="Z407" s="5" t="s">
        <v>603</v>
      </c>
      <c r="AA407" s="5"/>
      <c r="AB407" s="5" t="s">
        <v>437</v>
      </c>
      <c r="AC407" s="47">
        <v>170.0</v>
      </c>
    </row>
    <row r="408" hidden="1">
      <c r="A408" s="222" t="str">
        <f t="array" ref="A408:A409">{"FormulaRow21";(INDEX(CLASSLIST,A367,1))}</f>
        <v>FormulaRow21</v>
      </c>
      <c r="B408" s="77" t="s">
        <v>236</v>
      </c>
      <c r="C408" s="222" t="str">
        <f t="array" ref="C408:C409">{"CLASSTYPE";((INDEX(ALLCLASSDATA,MATCH("ClassType",CLASSFEATUREHEADERS,0),MATCH($A409,CLASSNAMEHEADERS,0))))}</f>
        <v>CLASSTYPE</v>
      </c>
      <c r="D408" s="222" t="str">
        <f t="array" ref="D408:D409">{"DC";"DC"}</f>
        <v>DC</v>
      </c>
      <c r="E408" s="222" t="str">
        <f t="array" ref="E408:E409">{"SPELLDC";"SpellDC"}</f>
        <v>SPELLDC</v>
      </c>
      <c r="F408" s="223" t="str">
        <f t="array" ref="F408:F409">{"SPELLDCINITIAL";((IF(H409=10,"T",(IF(H409=50,"E","")))))}</f>
        <v>SPELLDCINITIAL</v>
      </c>
      <c r="G408" s="223" t="str">
        <f t="array" ref="G408:G409">{"SPELLDCINITIALPTS";((IF("00"=(INDEX(ALLCLASSDATA,MATCH("SpellDCLegendary",CLASSFEATUREHEADERS,0),MATCH($A409,CLASSNAMEHEADERS,0))),(INDEX(ALLCLASSDATA,MATCH("SpellDCLegendary",CLASSFEATUREHEADERS,0),MATCH(($A409 &amp; "Points"),CLASSNAMEHEADERS,0))),(IF("00"=(INDEX(ALLCLASSDATA,MATCH("SpellDCMaster",CLASSFEATUREHEADERS,0),MATCH($A409,CLASSNAMEHEADERS,0))),(INDEX(ALLCLASSDATA,MATCH("SpellDCMaster",CLASSFEATUREHEADERS,0),MATCH(($A409 &amp; "Points"),CLASSNAMEHEADERS,0))),(IF("00"=(INDEX(ALLCLASSDATA,MATCH("SpellDCExpert",CLASSFEATUREHEADERS,0),MATCH($A409,CLASSNAMEHEADERS,0))),(INDEX(ALLCLASSDATA,MATCH("SpellDCExpert",CLASSFEATUREHEADERS,0),MATCH(($A409 &amp; "Points"),CLASSNAMEHEADERS,0))),(IF("00"=(INDEX(ALLCLASSDATA,MATCH("SpellDCTrained",CLASSFEATUREHEADERS,0),MATCH($A409,CLASSNAMEHEADERS,0))),(INDEX(ALLCLASSDATA,MATCH("SpellDCTrained",CLASSFEATUREHEADERS,0),MATCH(($A409 &amp; "Points"),CLASSNAMEHEADERS,0))),"")))))))))}</f>
        <v>SPELLDCINITIALPTS</v>
      </c>
      <c r="H408" s="223" t="str">
        <f t="array" ref="H408:H409">{"SPELLDCL01";((IF("01"=(INDEX(ALLCLASSDATA,MATCH("SpellDCLegendary",CLASSFEATUREHEADERS,0),MATCH($A409,CLASSNAMEHEADERS,0))),(INDEX(ALLCLASSDATA,MATCH("SpellDCLegendary",CLASSFEATUREHEADERS,0),MATCH(($A409 &amp; "Points"),CLASSNAMEHEADERS,0))),(IF("01"=(INDEX(ALLCLASSDATA,MATCH("SpellDCMaster",CLASSFEATUREHEADERS,0),MATCH($A409,CLASSNAMEHEADERS,0))),(INDEX(ALLCLASSDATA,MATCH("SpellDCMaster",CLASSFEATUREHEADERS,0),MATCH(($A409 &amp; "Points"),CLASSNAMEHEADERS,0))),(IF("01"=(INDEX(ALLCLASSDATA,MATCH("SpellDCExpert",CLASSFEATUREHEADERS,0),MATCH($A409,CLASSNAMEHEADERS,0))),(INDEX(ALLCLASSDATA,MATCH("SpellDCExpert",CLASSFEATUREHEADERS,0),MATCH(($A409 &amp; "Points"),CLASSNAMEHEADERS,0))),(IF("01"=(INDEX(ALLCLASSDATA,MATCH("SpellDCTrained",CLASSFEATUREHEADERS,0),MATCH($A409,CLASSNAMEHEADERS,0))),(INDEX(ALLCLASSDATA,MATCH("SpellDCTrained",CLASSFEATUREHEADERS,0),MATCH(($A409 &amp; "Points"),CLASSNAMEHEADERS,0))),"")))))))))}</f>
        <v>SPELLDCL01</v>
      </c>
      <c r="I408" s="223"/>
      <c r="J408" s="223" t="str">
        <f t="array" ref="J408:J409">{"SPELLDCL03";((IF("03"=(INDEX(ALLCLASSDATA,MATCH("SpellDCLegendary",CLASSFEATUREHEADERS,0),MATCH($A409,CLASSNAMEHEADERS,0))),(INDEX(ALLCLASSDATA,MATCH("SpellDCLegendary",CLASSFEATUREHEADERS,0),MATCH(($A409 &amp; "Points"),CLASSNAMEHEADERS,0))),(IF("03"=(INDEX(ALLCLASSDATA,MATCH("SpellDCMaster",CLASSFEATUREHEADERS,0),MATCH($A409,CLASSNAMEHEADERS,0))),(INDEX(ALLCLASSDATA,MATCH("SpellDCMaster",CLASSFEATUREHEADERS,0),MATCH(($A409 &amp; "Points"),CLASSNAMEHEADERS,0))),(IF("03"=(INDEX(ALLCLASSDATA,MATCH("SpellDCExpert",CLASSFEATUREHEADERS,0),MATCH($A409,CLASSNAMEHEADERS,0))),(INDEX(ALLCLASSDATA,MATCH("SpellDCExpert",CLASSFEATUREHEADERS,0),MATCH(($A409 &amp; "Points"),CLASSNAMEHEADERS,0))),(IF("03"=(INDEX(ALLCLASSDATA,MATCH("SpellDCTrained",CLASSFEATUREHEADERS,0),MATCH($A409,CLASSNAMEHEADERS,0))),(INDEX(ALLCLASSDATA,MATCH("SpellDCTrained",CLASSFEATUREHEADERS,0),MATCH(($A409 &amp; "Points"),CLASSNAMEHEADERS,0))),"")))))))))}</f>
        <v>SPELLDCL03</v>
      </c>
      <c r="K408" s="223"/>
      <c r="L408" s="223" t="str">
        <f t="array" ref="L408:L409">{"SPELLDCL05";((IF("05"=(INDEX(ALLCLASSDATA,MATCH("SpellDCLegendary",CLASSFEATUREHEADERS,0),MATCH($A409,CLASSNAMEHEADERS,0))),(INDEX(ALLCLASSDATA,MATCH("SpellDCLegendary",CLASSFEATUREHEADERS,0),MATCH(($A409 &amp; "Points"),CLASSNAMEHEADERS,0))),(IF("05"=(INDEX(ALLCLASSDATA,MATCH("SpellDCMaster",CLASSFEATUREHEADERS,0),MATCH($A409,CLASSNAMEHEADERS,0))),(INDEX(ALLCLASSDATA,MATCH("SpellDCMaster",CLASSFEATUREHEADERS,0),MATCH(($A409 &amp; "Points"),CLASSNAMEHEADERS,0))),(IF("05"=(INDEX(ALLCLASSDATA,MATCH("SpellDCExpert",CLASSFEATUREHEADERS,0),MATCH($A409,CLASSNAMEHEADERS,0))),(INDEX(ALLCLASSDATA,MATCH("SpellDCExpert",CLASSFEATUREHEADERS,0),MATCH(($A409 &amp; "Points"),CLASSNAMEHEADERS,0))),(IF("05"=(INDEX(ALLCLASSDATA,MATCH("SpellDCTrained",CLASSFEATUREHEADERS,0),MATCH($A409,CLASSNAMEHEADERS,0))),(INDEX(ALLCLASSDATA,MATCH("SpellDCTrained",CLASSFEATUREHEADERS,0),MATCH(($A409 &amp; "Points"),CLASSNAMEHEADERS,0))),"")))))))))}</f>
        <v>SPELLDCL05</v>
      </c>
      <c r="M408" s="223"/>
      <c r="N408" s="223" t="str">
        <f t="array" ref="N408:N409">{"SPELLDCL07";((IF("07"=(INDEX(ALLCLASSDATA,MATCH("SpellDCLegendary",CLASSFEATUREHEADERS,0),MATCH($A409,CLASSNAMEHEADERS,0))),(INDEX(ALLCLASSDATA,MATCH("SpellDCLegendary",CLASSFEATUREHEADERS,0),MATCH(($A409 &amp; "Points"),CLASSNAMEHEADERS,0))),(IF("07"=(INDEX(ALLCLASSDATA,MATCH("SpellDCMaster",CLASSFEATUREHEADERS,0),MATCH($A409,CLASSNAMEHEADERS,0))),(INDEX(ALLCLASSDATA,MATCH("SpellDCMaster",CLASSFEATUREHEADERS,0),MATCH(($A409 &amp; "Points"),CLASSNAMEHEADERS,0))),(IF("07"=(INDEX(ALLCLASSDATA,MATCH("SpellDCExpert",CLASSFEATUREHEADERS,0),MATCH($A409,CLASSNAMEHEADERS,0))),(INDEX(ALLCLASSDATA,MATCH("SpellDCExpert",CLASSFEATUREHEADERS,0),MATCH(($A409 &amp; "Points"),CLASSNAMEHEADERS,0))),(IF("07"=(INDEX(ALLCLASSDATA,MATCH("SpellDCTrained",CLASSFEATUREHEADERS,0),MATCH($A409,CLASSNAMEHEADERS,0))),(INDEX(ALLCLASSDATA,MATCH("SpellDCTrained",CLASSFEATUREHEADERS,0),MATCH(($A409 &amp; "Points"),CLASSNAMEHEADERS,0))),"")))))))))}</f>
        <v>SPELLDCL07</v>
      </c>
      <c r="O408" s="223"/>
      <c r="P408" s="223" t="str">
        <f t="array" ref="P408:P409">{"SPELLDCL09";((IF("09"=(INDEX(ALLCLASSDATA,MATCH("SpellDCLegendary",CLASSFEATUREHEADERS,0),MATCH($A409,CLASSNAMEHEADERS,0))),(INDEX(ALLCLASSDATA,MATCH("SpellDCLegendary",CLASSFEATUREHEADERS,0),MATCH(($A409 &amp; "Points"),CLASSNAMEHEADERS,0))),(IF("09"=(INDEX(ALLCLASSDATA,MATCH("SpellDCMaster",CLASSFEATUREHEADERS,0),MATCH($A409,CLASSNAMEHEADERS,0))),(INDEX(ALLCLASSDATA,MATCH("SpellDCMaster",CLASSFEATUREHEADERS,0),MATCH(($A409 &amp; "Points"),CLASSNAMEHEADERS,0))),(IF("09"=(INDEX(ALLCLASSDATA,MATCH("SpellDCExpert",CLASSFEATUREHEADERS,0),MATCH($A409,CLASSNAMEHEADERS,0))),(INDEX(ALLCLASSDATA,MATCH("SpellDCExpert",CLASSFEATUREHEADERS,0),MATCH(($A409 &amp; "Points"),CLASSNAMEHEADERS,0))),(IF("09"=(INDEX(ALLCLASSDATA,MATCH("SpellDCTrained",CLASSFEATUREHEADERS,0),MATCH($A409,CLASSNAMEHEADERS,0))),(INDEX(ALLCLASSDATA,MATCH("SpellDCTrained",CLASSFEATUREHEADERS,0),MATCH(($A409 &amp; "Points"),CLASSNAMEHEADERS,0))),"")))))))))}</f>
        <v>SPELLDCL09</v>
      </c>
      <c r="Q408" s="223"/>
      <c r="R408" s="223" t="str">
        <f t="array" ref="R408:R409">{"SPELLDCL11";((IF("11"=(INDEX(ALLCLASSDATA,MATCH("SpellDCLegendary",CLASSFEATUREHEADERS,0),MATCH($A409,CLASSNAMEHEADERS,0))),(INDEX(ALLCLASSDATA,MATCH("SpellDCLegendary",CLASSFEATUREHEADERS,0),MATCH(($A409 &amp; "Points"),CLASSNAMEHEADERS,0))),(IF("11"=(INDEX(ALLCLASSDATA,MATCH("SpellDCMaster",CLASSFEATUREHEADERS,0),MATCH($A409,CLASSNAMEHEADERS,0))),(INDEX(ALLCLASSDATA,MATCH("SpellDCMaster",CLASSFEATUREHEADERS,0),MATCH(($A409 &amp; "Points"),CLASSNAMEHEADERS,0))),(IF("11"=(INDEX(ALLCLASSDATA,MATCH("SpellDCExpert",CLASSFEATUREHEADERS,0),MATCH($A409,CLASSNAMEHEADERS,0))),(INDEX(ALLCLASSDATA,MATCH("SpellDCExpert",CLASSFEATUREHEADERS,0),MATCH(($A409 &amp; "Points"),CLASSNAMEHEADERS,0))),(IF("11"=(INDEX(ALLCLASSDATA,MATCH("SpellDCTrained",CLASSFEATUREHEADERS,0),MATCH($A409,CLASSNAMEHEADERS,0))),(INDEX(ALLCLASSDATA,MATCH("SpellDCTrained",CLASSFEATUREHEADERS,0),MATCH(($A409 &amp; "Points"),CLASSNAMEHEADERS,0))),"")))))))))}</f>
        <v>SPELLDCL11</v>
      </c>
      <c r="S408" s="223"/>
      <c r="T408" s="223" t="str">
        <f t="array" ref="T408:T409">{"SPELLDCL13";((IF("13"=(INDEX(ALLCLASSDATA,MATCH("SpellDCLegendary",CLASSFEATUREHEADERS,0),MATCH($A409,CLASSNAMEHEADERS,0))),(INDEX(ALLCLASSDATA,MATCH("SpellDCLegendary",CLASSFEATUREHEADERS,0),MATCH(($A409 &amp; "Points"),CLASSNAMEHEADERS,0))),(IF("13"=(INDEX(ALLCLASSDATA,MATCH("SpellDCMaster",CLASSFEATUREHEADERS,0),MATCH($A409,CLASSNAMEHEADERS,0))),(INDEX(ALLCLASSDATA,MATCH("SpellDCMaster",CLASSFEATUREHEADERS,0),MATCH(($A409 &amp; "Points"),CLASSNAMEHEADERS,0))),(IF("13"=(INDEX(ALLCLASSDATA,MATCH("SpellDCExpert",CLASSFEATUREHEADERS,0),MATCH($A409,CLASSNAMEHEADERS,0))),(INDEX(ALLCLASSDATA,MATCH("SpellDCExpert",CLASSFEATUREHEADERS,0),MATCH(($A409 &amp; "Points"),CLASSNAMEHEADERS,0))),(IF("13"=(INDEX(ALLCLASSDATA,MATCH("SpellDCTrained",CLASSFEATUREHEADERS,0),MATCH($A409,CLASSNAMEHEADERS,0))),(INDEX(ALLCLASSDATA,MATCH("SpellDCTrained",CLASSFEATUREHEADERS,0),MATCH(($A409 &amp; "Points"),CLASSNAMEHEADERS,0))),"")))))))))}</f>
        <v>SPELLDCL13</v>
      </c>
      <c r="U408" s="223"/>
      <c r="V408" s="223" t="str">
        <f t="array" ref="V408:V409">{"SPELLDCL15";((IF("15"=(INDEX(ALLCLASSDATA,MATCH("SpellDCLegendary",CLASSFEATUREHEADERS,0),MATCH($A409,CLASSNAMEHEADERS,0))),(INDEX(ALLCLASSDATA,MATCH("SpellDCLegendary",CLASSFEATUREHEADERS,0),MATCH(($A409 &amp; "Points"),CLASSNAMEHEADERS,0))),(IF("15"=(INDEX(ALLCLASSDATA,MATCH("SpellDCMaster",CLASSFEATUREHEADERS,0),MATCH($A409,CLASSNAMEHEADERS,0))),(INDEX(ALLCLASSDATA,MATCH("SpellDCMaster",CLASSFEATUREHEADERS,0),MATCH(($A409 &amp; "Points"),CLASSNAMEHEADERS,0))),(IF("15"=(INDEX(ALLCLASSDATA,MATCH("SpellDCExpert",CLASSFEATUREHEADERS,0),MATCH($A409,CLASSNAMEHEADERS,0))),(INDEX(ALLCLASSDATA,MATCH("SpellDCExpert",CLASSFEATUREHEADERS,0),MATCH(($A409 &amp; "Points"),CLASSNAMEHEADERS,0))),(IF("15"=(INDEX(ALLCLASSDATA,MATCH("SpellDCTrained",CLASSFEATUREHEADERS,0),MATCH($A409,CLASSNAMEHEADERS,0))),(INDEX(ALLCLASSDATA,MATCH("SpellDCTrained",CLASSFEATUREHEADERS,0),MATCH(($A409 &amp; "Points"),CLASSNAMEHEADERS,0))),"")))))))))}</f>
        <v>SPELLDCL15</v>
      </c>
      <c r="W408" s="223"/>
      <c r="X408" s="223" t="str">
        <f t="array" ref="X408:X409">{"SPELLDCL17";((IF("17"=(INDEX(ALLCLASSDATA,MATCH("SpellDCLegendary",CLASSFEATUREHEADERS,0),MATCH($A409,CLASSNAMEHEADERS,0))),(INDEX(ALLCLASSDATA,MATCH("SpellDCLegendary",CLASSFEATUREHEADERS,0),MATCH(($A409 &amp; "Points"),CLASSNAMEHEADERS,0))),(IF("17"=(INDEX(ALLCLASSDATA,MATCH("SpellDCMaster",CLASSFEATUREHEADERS,0),MATCH($A409,CLASSNAMEHEADERS,0))),(INDEX(ALLCLASSDATA,MATCH("SpellDCMaster",CLASSFEATUREHEADERS,0),MATCH(($A409 &amp; "Points"),CLASSNAMEHEADERS,0))),(IF("17"=(INDEX(ALLCLASSDATA,MATCH("SpellDCExpert",CLASSFEATUREHEADERS,0),MATCH($A409,CLASSNAMEHEADERS,0))),(INDEX(ALLCLASSDATA,MATCH("SpellDCExpert",CLASSFEATUREHEADERS,0),MATCH(($A409 &amp; "Points"),CLASSNAMEHEADERS,0))),(IF("17"=(INDEX(ALLCLASSDATA,MATCH("SpellDCTrained",CLASSFEATUREHEADERS,0),MATCH($A409,CLASSNAMEHEADERS,0))),(INDEX(ALLCLASSDATA,MATCH("SpellDCTrained",CLASSFEATUREHEADERS,0),MATCH(($A409 &amp; "Points"),CLASSNAMEHEADERS,0))),"")))))))))}</f>
        <v>SPELLDCL17</v>
      </c>
      <c r="Y408" s="223"/>
      <c r="Z408" s="223" t="str">
        <f t="array" ref="Z408:Z409">{"SPELLDCL19";((IF("19"=(INDEX(ALLCLASSDATA,MATCH("SpellDCLegendary",CLASSFEATUREHEADERS,0),MATCH($A409,CLASSNAMEHEADERS,0))),(INDEX(ALLCLASSDATA,MATCH("SpellDCLegendary",CLASSFEATUREHEADERS,0),MATCH(($A409 &amp; "Points"),CLASSNAMEHEADERS,0))),(IF("19"=(INDEX(ALLCLASSDATA,MATCH("SpellDCMaster",CLASSFEATUREHEADERS,0),MATCH($A409,CLASSNAMEHEADERS,0))),(INDEX(ALLCLASSDATA,MATCH("SpellDCMaster",CLASSFEATUREHEADERS,0),MATCH(($A409 &amp; "Points"),CLASSNAMEHEADERS,0))),(IF("19"=(INDEX(ALLCLASSDATA,MATCH("SpellDCExpert",CLASSFEATUREHEADERS,0),MATCH($A409,CLASSNAMEHEADERS,0))),(INDEX(ALLCLASSDATA,MATCH("SpellDCExpert",CLASSFEATUREHEADERS,0),MATCH(($A409 &amp; "Points"),CLASSNAMEHEADERS,0))),(IF("19"=(INDEX(ALLCLASSDATA,MATCH("SpellDCTrained",CLASSFEATUREHEADERS,0),MATCH($A409,CLASSNAMEHEADERS,0))),(INDEX(ALLCLASSDATA,MATCH("SpellDCTrained",CLASSFEATUREHEADERS,0),MATCH(($A409 &amp; "Points"),CLASSNAMEHEADERS,0))),"")))))))))}</f>
        <v>SPELLDCL19</v>
      </c>
      <c r="AA408" s="223"/>
      <c r="AB408" s="76" t="str">
        <f t="array" ref="AB408:AB409">{"SPELLDC TOTAL";(IF(COUNTBLANK(G409:AA409)=17,"L",(IF(COUNTBLANK(G409:AA409)=18,"M",(IF(COUNTBLANK(G409:AA409)=19,"E",(IF(COUNTBLANK(G409:AA409)=20,"T",""))))))))}</f>
        <v>SPELLDC TOTAL</v>
      </c>
      <c r="AC408" s="76" t="str">
        <f t="array" ref="AC408:AC409">{"SPELLDC TOTAL";(sum(G409:AA409))}</f>
        <v>SPELLDC TOTAL</v>
      </c>
    </row>
    <row r="409">
      <c r="A409" s="48" t="s">
        <v>124</v>
      </c>
      <c r="B409" s="48"/>
      <c r="C409" s="48" t="s">
        <v>413</v>
      </c>
      <c r="D409" s="97" t="s">
        <v>1465</v>
      </c>
      <c r="E409" s="97" t="s">
        <v>1485</v>
      </c>
      <c r="F409" s="98" t="s">
        <v>603</v>
      </c>
      <c r="G409" s="132" t="s">
        <v>603</v>
      </c>
      <c r="H409" s="98" t="s">
        <v>603</v>
      </c>
      <c r="I409" s="98"/>
      <c r="J409" s="98" t="s">
        <v>603</v>
      </c>
      <c r="K409" s="98"/>
      <c r="L409" s="98" t="s">
        <v>603</v>
      </c>
      <c r="M409" s="98"/>
      <c r="N409" s="98" t="s">
        <v>603</v>
      </c>
      <c r="O409" s="98"/>
      <c r="P409" s="98" t="s">
        <v>603</v>
      </c>
      <c r="Q409" s="98"/>
      <c r="R409" s="98" t="s">
        <v>603</v>
      </c>
      <c r="S409" s="98"/>
      <c r="T409" s="98" t="s">
        <v>603</v>
      </c>
      <c r="U409" s="98"/>
      <c r="V409" s="98" t="s">
        <v>603</v>
      </c>
      <c r="W409" s="98"/>
      <c r="X409" s="98" t="s">
        <v>603</v>
      </c>
      <c r="Y409" s="98"/>
      <c r="Z409" s="98" t="s">
        <v>603</v>
      </c>
      <c r="AA409" s="98"/>
      <c r="AB409" s="5" t="s">
        <v>603</v>
      </c>
      <c r="AC409" s="47">
        <v>0.0</v>
      </c>
    </row>
    <row r="410" hidden="1">
      <c r="A410" s="222" t="str">
        <f t="array" ref="A410:A411">{"FormulaRow22";(INDEX(CLASSLIST,A367,1))}</f>
        <v>FormulaRow22</v>
      </c>
      <c r="B410" s="77" t="s">
        <v>236</v>
      </c>
      <c r="C410" s="222" t="str">
        <f t="array" ref="C410:C411">{"CLASSTYPE";((INDEX(ALLCLASSDATA,MATCH("ClassType",CLASSFEATUREHEADERS,0),MATCH($A411,CLASSNAMEHEADERS,0))))}</f>
        <v>CLASSTYPE</v>
      </c>
      <c r="D410" s="228" t="str">
        <f t="shared" ref="D410:E410" si="5">{"PERCEPTION";"Perception"}</f>
        <v>PERCEPTION</v>
      </c>
      <c r="E410" s="228" t="str">
        <f t="shared" si="5"/>
        <v>PERCEPTION</v>
      </c>
      <c r="F410" s="230" t="str">
        <f t="array" ref="F410:F411">{"PERCEPTIONINITIAL";((IF(H411=10,"T",(IF(H411=50,"E","")))))}</f>
        <v>PERCEPTIONINITIAL</v>
      </c>
      <c r="G410" s="230" t="str">
        <f t="array" ref="G410:G411">{"PERCEPTIONINITIALPTS";((IF("00"=(INDEX(ALLCLASSDATA,MATCH("PerceptionLegendary",CLASSFEATUREHEADERS,0),MATCH($A411,CLASSNAMEHEADERS,0))),(INDEX(ALLCLASSDATA,MATCH("PerceptionLegendary",CLASSFEATUREHEADERS,0),MATCH(($A411 &amp; "Points"),CLASSNAMEHEADERS,0))),(IF("00"=(INDEX(ALLCLASSDATA,MATCH("PerceptionMaster",CLASSFEATUREHEADERS,0),MATCH($A411,CLASSNAMEHEADERS,0))),(INDEX(ALLCLASSDATA,MATCH("PerceptionMaster",CLASSFEATUREHEADERS,0),MATCH(($A411 &amp; "Points"),CLASSNAMEHEADERS,0))),(IF("00"=(INDEX(ALLCLASSDATA,MATCH("PerceptionExpert",CLASSFEATUREHEADERS,0),MATCH($A411,CLASSNAMEHEADERS,0))),(INDEX(ALLCLASSDATA,MATCH("PerceptionExpert",CLASSFEATUREHEADERS,0),MATCH(($A411 &amp; "Points"),CLASSNAMEHEADERS,0))),(IF("00"=(INDEX(ALLCLASSDATA,MATCH("PerceptionTrained",CLASSFEATUREHEADERS,0),MATCH($A411,CLASSNAMEHEADERS,0))),(INDEX(ALLCLASSDATA,MATCH("PerceptionTrained",CLASSFEATUREHEADERS,0),MATCH(($A411 &amp; "Points"),CLASSNAMEHEADERS,0))),"")))))))))}</f>
        <v>PERCEPTIONINITIALPTS</v>
      </c>
      <c r="H410" s="230" t="str">
        <f t="array" ref="H410:H411">{"PERCEPTIONL01";((IF("01"=(INDEX(ALLCLASSDATA,MATCH("PerceptionLegendary",CLASSFEATUREHEADERS,0),MATCH($A411,CLASSNAMEHEADERS,0))),(INDEX(ALLCLASSDATA,MATCH("PerceptionLegendary",CLASSFEATUREHEADERS,0),MATCH(($A411 &amp; "Points"),CLASSNAMEHEADERS,0))),(IF("01"=(INDEX(ALLCLASSDATA,MATCH("PerceptionMaster",CLASSFEATUREHEADERS,0),MATCH($A411,CLASSNAMEHEADERS,0))),(INDEX(ALLCLASSDATA,MATCH("PerceptionMaster",CLASSFEATUREHEADERS,0),MATCH(($A411 &amp; "Points"),CLASSNAMEHEADERS,0))),(IF("01"=(INDEX(ALLCLASSDATA,MATCH("PerceptionExpert",CLASSFEATUREHEADERS,0),MATCH($A411,CLASSNAMEHEADERS,0))),(INDEX(ALLCLASSDATA,MATCH("PerceptionExpert",CLASSFEATUREHEADERS,0),MATCH(($A411 &amp; "Points"),CLASSNAMEHEADERS,0))),(IF("01"=(INDEX(ALLCLASSDATA,MATCH("PerceptionTrained",CLASSFEATUREHEADERS,0),MATCH($A411,CLASSNAMEHEADERS,0))),(INDEX(ALLCLASSDATA,MATCH("PerceptionTrained",CLASSFEATUREHEADERS,0),MATCH(($A411 &amp; "Points"),CLASSNAMEHEADERS,0))),"")))))))))}</f>
        <v>PERCEPTIONL01</v>
      </c>
      <c r="I410" s="230"/>
      <c r="J410" s="230" t="str">
        <f t="array" ref="J410:J411">{"PERCEPTIONL03";((IF("03"=(INDEX(ALLCLASSDATA,MATCH("PerceptionLegendary",CLASSFEATUREHEADERS,0),MATCH($A411,CLASSNAMEHEADERS,0))),(INDEX(ALLCLASSDATA,MATCH("PerceptionLegendary",CLASSFEATUREHEADERS,0),MATCH(($A411 &amp; "Points"),CLASSNAMEHEADERS,0))),(IF("03"=(INDEX(ALLCLASSDATA,MATCH("PerceptionMaster",CLASSFEATUREHEADERS,0),MATCH($A411,CLASSNAMEHEADERS,0))),(INDEX(ALLCLASSDATA,MATCH("PerceptionMaster",CLASSFEATUREHEADERS,0),MATCH(($A411 &amp; "Points"),CLASSNAMEHEADERS,0))),(IF("03"=(INDEX(ALLCLASSDATA,MATCH("PerceptionExpert",CLASSFEATUREHEADERS,0),MATCH($A411,CLASSNAMEHEADERS,0))),(INDEX(ALLCLASSDATA,MATCH("PerceptionExpert",CLASSFEATUREHEADERS,0),MATCH(($A411 &amp; "Points"),CLASSNAMEHEADERS,0))),(IF("03"=(INDEX(ALLCLASSDATA,MATCH("PerceptionTrained",CLASSFEATUREHEADERS,0),MATCH($A411,CLASSNAMEHEADERS,0))),(INDEX(ALLCLASSDATA,MATCH("PerceptionTrained",CLASSFEATUREHEADERS,0),MATCH(($A411 &amp; "Points"),CLASSNAMEHEADERS,0))),"")))))))))}</f>
        <v>PERCEPTIONL03</v>
      </c>
      <c r="K410" s="230"/>
      <c r="L410" s="230" t="str">
        <f t="array" ref="L410:L411">{"PERCEPTIONL05";((IF("05"=(INDEX(ALLCLASSDATA,MATCH("PerceptionLegendary",CLASSFEATUREHEADERS,0),MATCH($A411,CLASSNAMEHEADERS,0))),(INDEX(ALLCLASSDATA,MATCH("PerceptionLegendary",CLASSFEATUREHEADERS,0),MATCH(($A411 &amp; "Points"),CLASSNAMEHEADERS,0))),(IF("05"=(INDEX(ALLCLASSDATA,MATCH("PerceptionMaster",CLASSFEATUREHEADERS,0),MATCH($A411,CLASSNAMEHEADERS,0))),(INDEX(ALLCLASSDATA,MATCH("PerceptionMaster",CLASSFEATUREHEADERS,0),MATCH(($A411 &amp; "Points"),CLASSNAMEHEADERS,0))),(IF("05"=(INDEX(ALLCLASSDATA,MATCH("PerceptionExpert",CLASSFEATUREHEADERS,0),MATCH($A411,CLASSNAMEHEADERS,0))),(INDEX(ALLCLASSDATA,MATCH("PerceptionExpert",CLASSFEATUREHEADERS,0),MATCH(($A411 &amp; "Points"),CLASSNAMEHEADERS,0))),(IF("05"=(INDEX(ALLCLASSDATA,MATCH("PerceptionTrained",CLASSFEATUREHEADERS,0),MATCH($A411,CLASSNAMEHEADERS,0))),(INDEX(ALLCLASSDATA,MATCH("PerceptionTrained",CLASSFEATUREHEADERS,0),MATCH(($A411 &amp; "Points"),CLASSNAMEHEADERS,0))),"")))))))))}</f>
        <v>PERCEPTIONL05</v>
      </c>
      <c r="M410" s="230"/>
      <c r="N410" s="230" t="str">
        <f t="array" ref="N410:N411">{"PERCEPTIONL07";((IF("07"=(INDEX(ALLCLASSDATA,MATCH("PerceptionLegendary",CLASSFEATUREHEADERS,0),MATCH($A411,CLASSNAMEHEADERS,0))),(INDEX(ALLCLASSDATA,MATCH("PerceptionLegendary",CLASSFEATUREHEADERS,0),MATCH(($A411 &amp; "Points"),CLASSNAMEHEADERS,0))),(IF("07"=(INDEX(ALLCLASSDATA,MATCH("PerceptionMaster",CLASSFEATUREHEADERS,0),MATCH($A411,CLASSNAMEHEADERS,0))),(INDEX(ALLCLASSDATA,MATCH("PerceptionMaster",CLASSFEATUREHEADERS,0),MATCH(($A411 &amp; "Points"),CLASSNAMEHEADERS,0))),(IF("07"=(INDEX(ALLCLASSDATA,MATCH("PerceptionExpert",CLASSFEATUREHEADERS,0),MATCH($A411,CLASSNAMEHEADERS,0))),(INDEX(ALLCLASSDATA,MATCH("PerceptionExpert",CLASSFEATUREHEADERS,0),MATCH(($A411 &amp; "Points"),CLASSNAMEHEADERS,0))),(IF("07"=(INDEX(ALLCLASSDATA,MATCH("PerceptionTrained",CLASSFEATUREHEADERS,0),MATCH($A411,CLASSNAMEHEADERS,0))),(INDEX(ALLCLASSDATA,MATCH("PerceptionTrained",CLASSFEATUREHEADERS,0),MATCH(($A411 &amp; "Points"),CLASSNAMEHEADERS,0))),"")))))))))}</f>
        <v>PERCEPTIONL07</v>
      </c>
      <c r="O410" s="230"/>
      <c r="P410" s="230" t="str">
        <f t="array" ref="P410:P411">{"PERCEPTIONL09";((IF("09"=(INDEX(ALLCLASSDATA,MATCH("PerceptionLegendary",CLASSFEATUREHEADERS,0),MATCH($A411,CLASSNAMEHEADERS,0))),(INDEX(ALLCLASSDATA,MATCH("PerceptionLegendary",CLASSFEATUREHEADERS,0),MATCH(($A411 &amp; "Points"),CLASSNAMEHEADERS,0))),(IF("09"=(INDEX(ALLCLASSDATA,MATCH("PerceptionMaster",CLASSFEATUREHEADERS,0),MATCH($A411,CLASSNAMEHEADERS,0))),(INDEX(ALLCLASSDATA,MATCH("PerceptionMaster",CLASSFEATUREHEADERS,0),MATCH(($A411 &amp; "Points"),CLASSNAMEHEADERS,0))),(IF("09"=(INDEX(ALLCLASSDATA,MATCH("PerceptionExpert",CLASSFEATUREHEADERS,0),MATCH($A411,CLASSNAMEHEADERS,0))),(INDEX(ALLCLASSDATA,MATCH("PerceptionExpert",CLASSFEATUREHEADERS,0),MATCH(($A411 &amp; "Points"),CLASSNAMEHEADERS,0))),(IF("09"=(INDEX(ALLCLASSDATA,MATCH("PerceptionTrained",CLASSFEATUREHEADERS,0),MATCH($A411,CLASSNAMEHEADERS,0))),(INDEX(ALLCLASSDATA,MATCH("PerceptionTrained",CLASSFEATUREHEADERS,0),MATCH(($A411 &amp; "Points"),CLASSNAMEHEADERS,0))),"")))))))))}</f>
        <v>PERCEPTIONL09</v>
      </c>
      <c r="Q410" s="230"/>
      <c r="R410" s="230" t="str">
        <f t="array" ref="R410:R411">{"PERCEPTIONL11";((IF("11"=(INDEX(ALLCLASSDATA,MATCH("PerceptionLegendary",CLASSFEATUREHEADERS,0),MATCH($A411,CLASSNAMEHEADERS,0))),(INDEX(ALLCLASSDATA,MATCH("PerceptionLegendary",CLASSFEATUREHEADERS,0),MATCH(($A411 &amp; "Points"),CLASSNAMEHEADERS,0))),(IF("11"=(INDEX(ALLCLASSDATA,MATCH("PerceptionMaster",CLASSFEATUREHEADERS,0),MATCH($A411,CLASSNAMEHEADERS,0))),(INDEX(ALLCLASSDATA,MATCH("PerceptionMaster",CLASSFEATUREHEADERS,0),MATCH(($A411 &amp; "Points"),CLASSNAMEHEADERS,0))),(IF("11"=(INDEX(ALLCLASSDATA,MATCH("PerceptionExpert",CLASSFEATUREHEADERS,0),MATCH($A411,CLASSNAMEHEADERS,0))),(INDEX(ALLCLASSDATA,MATCH("PerceptionExpert",CLASSFEATUREHEADERS,0),MATCH(($A411 &amp; "Points"),CLASSNAMEHEADERS,0))),(IF("11"=(INDEX(ALLCLASSDATA,MATCH("PerceptionTrained",CLASSFEATUREHEADERS,0),MATCH($A411,CLASSNAMEHEADERS,0))),(INDEX(ALLCLASSDATA,MATCH("PerceptionTrained",CLASSFEATUREHEADERS,0),MATCH(($A411 &amp; "Points"),CLASSNAMEHEADERS,0))),"")))))))))}</f>
        <v>PERCEPTIONL11</v>
      </c>
      <c r="S410" s="230"/>
      <c r="T410" s="230" t="str">
        <f t="array" ref="T410:T411">{"PERCEPTIONL13";((IF("13"=(INDEX(ALLCLASSDATA,MATCH("PerceptionLegendary",CLASSFEATUREHEADERS,0),MATCH($A411,CLASSNAMEHEADERS,0))),(INDEX(ALLCLASSDATA,MATCH("PerceptionLegendary",CLASSFEATUREHEADERS,0),MATCH(($A411 &amp; "Points"),CLASSNAMEHEADERS,0))),(IF("13"=(INDEX(ALLCLASSDATA,MATCH("PerceptionMaster",CLASSFEATUREHEADERS,0),MATCH($A411,CLASSNAMEHEADERS,0))),(INDEX(ALLCLASSDATA,MATCH("PerceptionMaster",CLASSFEATUREHEADERS,0),MATCH(($A411 &amp; "Points"),CLASSNAMEHEADERS,0))),(IF("13"=(INDEX(ALLCLASSDATA,MATCH("PerceptionExpert",CLASSFEATUREHEADERS,0),MATCH($A411,CLASSNAMEHEADERS,0))),(INDEX(ALLCLASSDATA,MATCH("PerceptionExpert",CLASSFEATUREHEADERS,0),MATCH(($A411 &amp; "Points"),CLASSNAMEHEADERS,0))),(IF("13"=(INDEX(ALLCLASSDATA,MATCH("PerceptionTrained",CLASSFEATUREHEADERS,0),MATCH($A411,CLASSNAMEHEADERS,0))),(INDEX(ALLCLASSDATA,MATCH("PerceptionTrained",CLASSFEATUREHEADERS,0),MATCH(($A411 &amp; "Points"),CLASSNAMEHEADERS,0))),"")))))))))}</f>
        <v>PERCEPTIONL13</v>
      </c>
      <c r="U410" s="230"/>
      <c r="V410" s="230" t="str">
        <f t="array" ref="V410:V411">{"PERCEPTIONL15";((IF("15"=(INDEX(ALLCLASSDATA,MATCH("PerceptionLegendary",CLASSFEATUREHEADERS,0),MATCH($A411,CLASSNAMEHEADERS,0))),(INDEX(ALLCLASSDATA,MATCH("PerceptionLegendary",CLASSFEATUREHEADERS,0),MATCH(($A411 &amp; "Points"),CLASSNAMEHEADERS,0))),(IF("15"=(INDEX(ALLCLASSDATA,MATCH("PerceptionMaster",CLASSFEATUREHEADERS,0),MATCH($A411,CLASSNAMEHEADERS,0))),(INDEX(ALLCLASSDATA,MATCH("PerceptionMaster",CLASSFEATUREHEADERS,0),MATCH(($A411 &amp; "Points"),CLASSNAMEHEADERS,0))),(IF("15"=(INDEX(ALLCLASSDATA,MATCH("PerceptionExpert",CLASSFEATUREHEADERS,0),MATCH($A411,CLASSNAMEHEADERS,0))),(INDEX(ALLCLASSDATA,MATCH("PerceptionExpert",CLASSFEATUREHEADERS,0),MATCH(($A411 &amp; "Points"),CLASSNAMEHEADERS,0))),(IF("15"=(INDEX(ALLCLASSDATA,MATCH("PerceptionTrained",CLASSFEATUREHEADERS,0),MATCH($A411,CLASSNAMEHEADERS,0))),(INDEX(ALLCLASSDATA,MATCH("PerceptionTrained",CLASSFEATUREHEADERS,0),MATCH(($A411 &amp; "Points"),CLASSNAMEHEADERS,0))),"")))))))))}</f>
        <v>PERCEPTIONL15</v>
      </c>
      <c r="W410" s="230"/>
      <c r="X410" s="230" t="str">
        <f t="array" ref="X410:X411">{"PERCEPTIONL17";((IF("17"=(INDEX(ALLCLASSDATA,MATCH("PerceptionLegendary",CLASSFEATUREHEADERS,0),MATCH($A411,CLASSNAMEHEADERS,0))),(INDEX(ALLCLASSDATA,MATCH("PerceptionLegendary",CLASSFEATUREHEADERS,0),MATCH(($A411 &amp; "Points"),CLASSNAMEHEADERS,0))),(IF("17"=(INDEX(ALLCLASSDATA,MATCH("PerceptionMaster",CLASSFEATUREHEADERS,0),MATCH($A411,CLASSNAMEHEADERS,0))),(INDEX(ALLCLASSDATA,MATCH("PerceptionMaster",CLASSFEATUREHEADERS,0),MATCH(($A411 &amp; "Points"),CLASSNAMEHEADERS,0))),(IF("17"=(INDEX(ALLCLASSDATA,MATCH("PerceptionExpert",CLASSFEATUREHEADERS,0),MATCH($A411,CLASSNAMEHEADERS,0))),(INDEX(ALLCLASSDATA,MATCH("PerceptionExpert",CLASSFEATUREHEADERS,0),MATCH(($A411 &amp; "Points"),CLASSNAMEHEADERS,0))),(IF("17"=(INDEX(ALLCLASSDATA,MATCH("PerceptionTrained",CLASSFEATUREHEADERS,0),MATCH($A411,CLASSNAMEHEADERS,0))),(INDEX(ALLCLASSDATA,MATCH("PerceptionTrained",CLASSFEATUREHEADERS,0),MATCH(($A411 &amp; "Points"),CLASSNAMEHEADERS,0))),"")))))))))}</f>
        <v>PERCEPTIONL17</v>
      </c>
      <c r="Y410" s="230"/>
      <c r="Z410" s="230" t="str">
        <f t="array" ref="Z410:Z411">{"PERCEPTIONL19";((IF("19"=(INDEX(ALLCLASSDATA,MATCH("PerceptionLegendary",CLASSFEATUREHEADERS,0),MATCH($A411,CLASSNAMEHEADERS,0))),(INDEX(ALLCLASSDATA,MATCH("PerceptionLegendary",CLASSFEATUREHEADERS,0),MATCH(($A411 &amp; "Points"),CLASSNAMEHEADERS,0))),(IF("19"=(INDEX(ALLCLASSDATA,MATCH("PerceptionMaster",CLASSFEATUREHEADERS,0),MATCH($A411,CLASSNAMEHEADERS,0))),(INDEX(ALLCLASSDATA,MATCH("PerceptionMaster",CLASSFEATUREHEADERS,0),MATCH(($A411 &amp; "Points"),CLASSNAMEHEADERS,0))),(IF("19"=(INDEX(ALLCLASSDATA,MATCH("PerceptionExpert",CLASSFEATUREHEADERS,0),MATCH($A411,CLASSNAMEHEADERS,0))),(INDEX(ALLCLASSDATA,MATCH("PerceptionExpert",CLASSFEATUREHEADERS,0),MATCH(($A411 &amp; "Points"),CLASSNAMEHEADERS,0))),(IF("19"=(INDEX(ALLCLASSDATA,MATCH("PerceptionTrained",CLASSFEATUREHEADERS,0),MATCH($A411,CLASSNAMEHEADERS,0))),(INDEX(ALLCLASSDATA,MATCH("PerceptionTrained",CLASSFEATUREHEADERS,0),MATCH(($A411 &amp; "Points"),CLASSNAMEHEADERS,0))),"")))))))))}</f>
        <v>PERCEPTIONL19</v>
      </c>
      <c r="AA410" s="230"/>
      <c r="AB410" s="76" t="str">
        <f t="array" ref="AB410:AB411">{"PERCEPTION TOTAL";(IF(COUNTBLANK(G411:AA411)=17,"L",(IF(COUNTBLANK(G411:AA411)=18,"M",(IF(COUNTBLANK(G411:AA411)=19,"E",(IF(COUNTBLANK(G411:AA411)=20,"T",""))))))))}</f>
        <v>PERCEPTION TOTAL</v>
      </c>
      <c r="AC410" s="76" t="str">
        <f t="array" ref="AC410:AC411">{"PERCEPTION TOTAL";(sum(G411:AA411))}</f>
        <v>PERCEPTION TOTAL</v>
      </c>
    </row>
    <row r="411">
      <c r="A411" s="48" t="s">
        <v>124</v>
      </c>
      <c r="B411" s="48"/>
      <c r="C411" s="48" t="s">
        <v>413</v>
      </c>
      <c r="D411" s="97" t="s">
        <v>637</v>
      </c>
      <c r="E411" s="97" t="s">
        <v>637</v>
      </c>
      <c r="F411" s="98" t="s">
        <v>436</v>
      </c>
      <c r="G411" s="132">
        <v>10.0</v>
      </c>
      <c r="H411" s="98">
        <v>50.0</v>
      </c>
      <c r="I411" s="98"/>
      <c r="J411" s="98" t="s">
        <v>603</v>
      </c>
      <c r="K411" s="98"/>
      <c r="L411" s="98" t="s">
        <v>603</v>
      </c>
      <c r="M411" s="98"/>
      <c r="N411" s="98">
        <v>110.0</v>
      </c>
      <c r="O411" s="98"/>
      <c r="P411" s="98" t="s">
        <v>603</v>
      </c>
      <c r="Q411" s="98"/>
      <c r="R411" s="98" t="s">
        <v>603</v>
      </c>
      <c r="S411" s="98"/>
      <c r="T411" s="98" t="s">
        <v>603</v>
      </c>
      <c r="U411" s="98"/>
      <c r="V411" s="98">
        <v>190.0</v>
      </c>
      <c r="W411" s="98"/>
      <c r="X411" s="98" t="s">
        <v>603</v>
      </c>
      <c r="Y411" s="98"/>
      <c r="Z411" s="98" t="s">
        <v>603</v>
      </c>
      <c r="AA411" s="98"/>
      <c r="AB411" s="5" t="s">
        <v>466</v>
      </c>
      <c r="AC411" s="47">
        <v>360.0</v>
      </c>
    </row>
    <row r="412" hidden="1">
      <c r="A412" s="222" t="str">
        <f t="array" ref="A412:A413">{"FormulaRow23";(INDEX(CLASSLIST,A367,1))}</f>
        <v>FormulaRow23</v>
      </c>
      <c r="B412" s="77" t="s">
        <v>236</v>
      </c>
      <c r="C412" s="222" t="str">
        <f t="array" ref="C412:C413">{"CLASSTYPE";((INDEX(ALLCLASSDATA,MATCH("ClassType",CLASSFEATUREHEADERS,0),MATCH($A413,CLASSNAMEHEADERS,0))))}</f>
        <v>CLASSTYPE</v>
      </c>
      <c r="D412" s="228" t="str">
        <f t="array" ref="D412:D413">{"SAVES";"Saves"}</f>
        <v>SAVES</v>
      </c>
      <c r="E412" s="228" t="str">
        <f t="array" ref="E412:E413">{"FORTITUDESAVE";"FortitudeSave"}</f>
        <v>FORTITUDESAVE</v>
      </c>
      <c r="F412" s="230" t="str">
        <f t="array" ref="F412:F413">{"FORTITUDEINITIAL";((IF(H413=10,"T",(IF(H413=50,"E","")))))}</f>
        <v>FORTITUDEINITIAL</v>
      </c>
      <c r="G412" s="230" t="str">
        <f t="array" ref="G412:G413">{"FORTITUDEINITIALPTS";((IF("00"=(INDEX(ALLCLASSDATA,MATCH("FortitudeSaveLegendary",CLASSFEATUREHEADERS,0),MATCH($A413,CLASSNAMEHEADERS,0))),(INDEX(ALLCLASSDATA,MATCH("FortitudeSaveLegendary",CLASSFEATUREHEADERS,0),MATCH(($A413 &amp; "Points"),CLASSNAMEHEADERS,0))),(IF("00"=(INDEX(ALLCLASSDATA,MATCH("FortitudeSaveMaster",CLASSFEATUREHEADERS,0),MATCH($A413,CLASSNAMEHEADERS,0))),(INDEX(ALLCLASSDATA,MATCH("FortitudeSaveMaster",CLASSFEATUREHEADERS,0),MATCH(($A413 &amp; "Points"),CLASSNAMEHEADERS,0))),(IF("00"=(INDEX(ALLCLASSDATA,MATCH("FortitudeSaveExpert",CLASSFEATUREHEADERS,0),MATCH($A413,CLASSNAMEHEADERS,0))),(INDEX(ALLCLASSDATA,MATCH("FortitudeSaveExpert",CLASSFEATUREHEADERS,0),MATCH(($A413 &amp; "Points"),CLASSNAMEHEADERS,0))),(IF("00"=(INDEX(ALLCLASSDATA,MATCH("FortitudeSaveTrained",CLASSFEATUREHEADERS,0),MATCH($A413,CLASSNAMEHEADERS,0))),(INDEX(ALLCLASSDATA,MATCH("FortitudeSaveTrained",CLASSFEATUREHEADERS,0),MATCH(($A413 &amp; "Points"),CLASSNAMEHEADERS,0))),"")))))))))}</f>
        <v>FORTITUDEINITIALPTS</v>
      </c>
      <c r="H412" s="230" t="str">
        <f t="array" ref="H412:H413">{"FORTITUDEL01";((IF("01"=(INDEX(ALLCLASSDATA,MATCH("FortitudeSaveLegendary",CLASSFEATUREHEADERS,0),MATCH($A413,CLASSNAMEHEADERS,0))),(INDEX(ALLCLASSDATA,MATCH("FortitudeSaveLegendary",CLASSFEATUREHEADERS,0),MATCH(($A413 &amp; "Points"),CLASSNAMEHEADERS,0))),(IF("01"=(INDEX(ALLCLASSDATA,MATCH("FortitudeSaveMaster",CLASSFEATUREHEADERS,0),MATCH($A413,CLASSNAMEHEADERS,0))),(INDEX(ALLCLASSDATA,MATCH("FortitudeSaveMaster",CLASSFEATUREHEADERS,0),MATCH(($A413 &amp; "Points"),CLASSNAMEHEADERS,0))),(IF("01"=(INDEX(ALLCLASSDATA,MATCH("FortitudeSaveExpert",CLASSFEATUREHEADERS,0),MATCH($A413,CLASSNAMEHEADERS,0))),(INDEX(ALLCLASSDATA,MATCH("FortitudeSaveExpert",CLASSFEATUREHEADERS,0),MATCH(($A413 &amp; "Points"),CLASSNAMEHEADERS,0))),(IF("01"=(INDEX(ALLCLASSDATA,MATCH("FortitudeSaveTrained",CLASSFEATUREHEADERS,0),MATCH($A413,CLASSNAMEHEADERS,0))),(INDEX(ALLCLASSDATA,MATCH("FortitudeSaveTrained",CLASSFEATUREHEADERS,0),MATCH(($A413 &amp; "Points"),CLASSNAMEHEADERS,0))),"")))))))))}</f>
        <v>FORTITUDEL01</v>
      </c>
      <c r="I412" s="230"/>
      <c r="J412" s="230" t="str">
        <f t="array" ref="J412:J413">{"FORTITUDEL03";((IF("03"=(INDEX(ALLCLASSDATA,MATCH("FortitudeSaveLegendary",CLASSFEATUREHEADERS,0),MATCH($A413,CLASSNAMEHEADERS,0))),(INDEX(ALLCLASSDATA,MATCH("FortitudeSaveLegendary",CLASSFEATUREHEADERS,0),MATCH(($A413 &amp; "Points"),CLASSNAMEHEADERS,0))),(IF("03"=(INDEX(ALLCLASSDATA,MATCH("FortitudeSaveMaster",CLASSFEATUREHEADERS,0),MATCH($A413,CLASSNAMEHEADERS,0))),(INDEX(ALLCLASSDATA,MATCH("FortitudeSaveMaster",CLASSFEATUREHEADERS,0),MATCH(($A413 &amp; "Points"),CLASSNAMEHEADERS,0))),(IF("03"=(INDEX(ALLCLASSDATA,MATCH("FortitudeSaveExpert",CLASSFEATUREHEADERS,0),MATCH($A413,CLASSNAMEHEADERS,0))),(INDEX(ALLCLASSDATA,MATCH("FortitudeSaveExpert",CLASSFEATUREHEADERS,0),MATCH(($A413 &amp; "Points"),CLASSNAMEHEADERS,0))),(IF("03"=(INDEX(ALLCLASSDATA,MATCH("FortitudeSaveTrained",CLASSFEATUREHEADERS,0),MATCH($A413,CLASSNAMEHEADERS,0))),(INDEX(ALLCLASSDATA,MATCH("FortitudeSaveTrained",CLASSFEATUREHEADERS,0),MATCH(($A413 &amp; "Points"),CLASSNAMEHEADERS,0))),"")))))))))}</f>
        <v>FORTITUDEL03</v>
      </c>
      <c r="K412" s="230"/>
      <c r="L412" s="230" t="str">
        <f t="array" ref="L412:L413">{"FORTITUDEL05";((IF("05"=(INDEX(ALLCLASSDATA,MATCH("FortitudeSaveLegendary",CLASSFEATUREHEADERS,0),MATCH($A413,CLASSNAMEHEADERS,0))),(INDEX(ALLCLASSDATA,MATCH("FortitudeSaveLegendary",CLASSFEATUREHEADERS,0),MATCH(($A413 &amp; "Points"),CLASSNAMEHEADERS,0))),(IF("05"=(INDEX(ALLCLASSDATA,MATCH("FortitudeSaveMaster",CLASSFEATUREHEADERS,0),MATCH($A413,CLASSNAMEHEADERS,0))),(INDEX(ALLCLASSDATA,MATCH("FortitudeSaveMaster",CLASSFEATUREHEADERS,0),MATCH(($A413 &amp; "Points"),CLASSNAMEHEADERS,0))),(IF("05"=(INDEX(ALLCLASSDATA,MATCH("FortitudeSaveExpert",CLASSFEATUREHEADERS,0),MATCH($A413,CLASSNAMEHEADERS,0))),(INDEX(ALLCLASSDATA,MATCH("FortitudeSaveExpert",CLASSFEATUREHEADERS,0),MATCH(($A413 &amp; "Points"),CLASSNAMEHEADERS,0))),(IF("05"=(INDEX(ALLCLASSDATA,MATCH("FortitudeSaveTrained",CLASSFEATUREHEADERS,0),MATCH($A413,CLASSNAMEHEADERS,0))),(INDEX(ALLCLASSDATA,MATCH("FortitudeSaveTrained",CLASSFEATUREHEADERS,0),MATCH(($A413 &amp; "Points"),CLASSNAMEHEADERS,0))),"")))))))))}</f>
        <v>FORTITUDEL05</v>
      </c>
      <c r="M412" s="230"/>
      <c r="N412" s="230" t="str">
        <f t="array" ref="N412:N413">{"FORTITUDEL07";((IF("07"=(INDEX(ALLCLASSDATA,MATCH("FortitudeSaveLegendary",CLASSFEATUREHEADERS,0),MATCH($A413,CLASSNAMEHEADERS,0))),(INDEX(ALLCLASSDATA,MATCH("FortitudeSaveLegendary",CLASSFEATUREHEADERS,0),MATCH(($A413 &amp; "Points"),CLASSNAMEHEADERS,0))),(IF("07"=(INDEX(ALLCLASSDATA,MATCH("FortitudeSaveMaster",CLASSFEATUREHEADERS,0),MATCH($A413,CLASSNAMEHEADERS,0))),(INDEX(ALLCLASSDATA,MATCH("FortitudeSaveMaster",CLASSFEATUREHEADERS,0),MATCH(($A413 &amp; "Points"),CLASSNAMEHEADERS,0))),(IF("07"=(INDEX(ALLCLASSDATA,MATCH("FortitudeSaveExpert",CLASSFEATUREHEADERS,0),MATCH($A413,CLASSNAMEHEADERS,0))),(INDEX(ALLCLASSDATA,MATCH("FortitudeSaveExpert",CLASSFEATUREHEADERS,0),MATCH(($A413 &amp; "Points"),CLASSNAMEHEADERS,0))),(IF("07"=(INDEX(ALLCLASSDATA,MATCH("FortitudeSaveTrained",CLASSFEATUREHEADERS,0),MATCH($A413,CLASSNAMEHEADERS,0))),(INDEX(ALLCLASSDATA,MATCH("FortitudeSaveTrained",CLASSFEATUREHEADERS,0),MATCH(($A413 &amp; "Points"),CLASSNAMEHEADERS,0))),"")))))))))}</f>
        <v>FORTITUDEL07</v>
      </c>
      <c r="O412" s="230"/>
      <c r="P412" s="230" t="str">
        <f t="array" ref="P412:P413">{"FORTITUDEL09";((IF("09"=(INDEX(ALLCLASSDATA,MATCH("FortitudeSaveLegendary",CLASSFEATUREHEADERS,0),MATCH($A413,CLASSNAMEHEADERS,0))),(INDEX(ALLCLASSDATA,MATCH("FortitudeSaveLegendary",CLASSFEATUREHEADERS,0),MATCH(($A413 &amp; "Points"),CLASSNAMEHEADERS,0))),(IF("09"=(INDEX(ALLCLASSDATA,MATCH("FortitudeSaveMaster",CLASSFEATUREHEADERS,0),MATCH($A413,CLASSNAMEHEADERS,0))),(INDEX(ALLCLASSDATA,MATCH("FortitudeSaveMaster",CLASSFEATUREHEADERS,0),MATCH(($A413 &amp; "Points"),CLASSNAMEHEADERS,0))),(IF("09"=(INDEX(ALLCLASSDATA,MATCH("FortitudeSaveExpert",CLASSFEATUREHEADERS,0),MATCH($A413,CLASSNAMEHEADERS,0))),(INDEX(ALLCLASSDATA,MATCH("FortitudeSaveExpert",CLASSFEATUREHEADERS,0),MATCH(($A413 &amp; "Points"),CLASSNAMEHEADERS,0))),(IF("09"=(INDEX(ALLCLASSDATA,MATCH("FortitudeSaveTrained",CLASSFEATUREHEADERS,0),MATCH($A413,CLASSNAMEHEADERS,0))),(INDEX(ALLCLASSDATA,MATCH("FortitudeSaveTrained",CLASSFEATUREHEADERS,0),MATCH(($A413 &amp; "Points"),CLASSNAMEHEADERS,0))),"")))))))))}</f>
        <v>FORTITUDEL09</v>
      </c>
      <c r="Q412" s="230"/>
      <c r="R412" s="230" t="str">
        <f t="array" ref="R412:R413">{"FORTITUDEL11";((IF("11"=(INDEX(ALLCLASSDATA,MATCH("FortitudeSaveLegendary",CLASSFEATUREHEADERS,0),MATCH($A413,CLASSNAMEHEADERS,0))),(INDEX(ALLCLASSDATA,MATCH("FortitudeSaveLegendary",CLASSFEATUREHEADERS,0),MATCH(($A413 &amp; "Points"),CLASSNAMEHEADERS,0))),(IF("11"=(INDEX(ALLCLASSDATA,MATCH("FortitudeSaveMaster",CLASSFEATUREHEADERS,0),MATCH($A413,CLASSNAMEHEADERS,0))),(INDEX(ALLCLASSDATA,MATCH("FortitudeSaveMaster",CLASSFEATUREHEADERS,0),MATCH(($A413 &amp; "Points"),CLASSNAMEHEADERS,0))),(IF("11"=(INDEX(ALLCLASSDATA,MATCH("FortitudeSaveExpert",CLASSFEATUREHEADERS,0),MATCH($A413,CLASSNAMEHEADERS,0))),(INDEX(ALLCLASSDATA,MATCH("FortitudeSaveExpert",CLASSFEATUREHEADERS,0),MATCH(($A413 &amp; "Points"),CLASSNAMEHEADERS,0))),(IF("11"=(INDEX(ALLCLASSDATA,MATCH("FortitudeSaveTrained",CLASSFEATUREHEADERS,0),MATCH($A413,CLASSNAMEHEADERS,0))),(INDEX(ALLCLASSDATA,MATCH("FortitudeSaveTrained",CLASSFEATUREHEADERS,0),MATCH(($A413 &amp; "Points"),CLASSNAMEHEADERS,0))),"")))))))))}</f>
        <v>FORTITUDEL11</v>
      </c>
      <c r="S412" s="230"/>
      <c r="T412" s="230" t="str">
        <f t="array" ref="T412:T413">{"FORTITUDEL13";((IF("13"=(INDEX(ALLCLASSDATA,MATCH("FortitudeSaveLegendary",CLASSFEATUREHEADERS,0),MATCH($A413,CLASSNAMEHEADERS,0))),(INDEX(ALLCLASSDATA,MATCH("FortitudeSaveLegendary",CLASSFEATUREHEADERS,0),MATCH(($A413 &amp; "Points"),CLASSNAMEHEADERS,0))),(IF("13"=(INDEX(ALLCLASSDATA,MATCH("FortitudeSaveMaster",CLASSFEATUREHEADERS,0),MATCH($A413,CLASSNAMEHEADERS,0))),(INDEX(ALLCLASSDATA,MATCH("FortitudeSaveMaster",CLASSFEATUREHEADERS,0),MATCH(($A413 &amp; "Points"),CLASSNAMEHEADERS,0))),(IF("13"=(INDEX(ALLCLASSDATA,MATCH("FortitudeSaveExpert",CLASSFEATUREHEADERS,0),MATCH($A413,CLASSNAMEHEADERS,0))),(INDEX(ALLCLASSDATA,MATCH("FortitudeSaveExpert",CLASSFEATUREHEADERS,0),MATCH(($A413 &amp; "Points"),CLASSNAMEHEADERS,0))),(IF("13"=(INDEX(ALLCLASSDATA,MATCH("FortitudeSaveTrained",CLASSFEATUREHEADERS,0),MATCH($A413,CLASSNAMEHEADERS,0))),(INDEX(ALLCLASSDATA,MATCH("FortitudeSaveTrained",CLASSFEATUREHEADERS,0),MATCH(($A413 &amp; "Points"),CLASSNAMEHEADERS,0))),"")))))))))}</f>
        <v>FORTITUDEL13</v>
      </c>
      <c r="U412" s="230"/>
      <c r="V412" s="230" t="str">
        <f t="array" ref="V412:V413">{"FORTITUDEL15";((IF("15"=(INDEX(ALLCLASSDATA,MATCH("FortitudeSaveLegendary",CLASSFEATUREHEADERS,0),MATCH($A413,CLASSNAMEHEADERS,0))),(INDEX(ALLCLASSDATA,MATCH("FortitudeSaveLegendary",CLASSFEATUREHEADERS,0),MATCH(($A413 &amp; "Points"),CLASSNAMEHEADERS,0))),(IF("15"=(INDEX(ALLCLASSDATA,MATCH("FortitudeSaveMaster",CLASSFEATUREHEADERS,0),MATCH($A413,CLASSNAMEHEADERS,0))),(INDEX(ALLCLASSDATA,MATCH("FortitudeSaveMaster",CLASSFEATUREHEADERS,0),MATCH(($A413 &amp; "Points"),CLASSNAMEHEADERS,0))),(IF("15"=(INDEX(ALLCLASSDATA,MATCH("FortitudeSaveExpert",CLASSFEATUREHEADERS,0),MATCH($A413,CLASSNAMEHEADERS,0))),(INDEX(ALLCLASSDATA,MATCH("FortitudeSaveExpert",CLASSFEATUREHEADERS,0),MATCH(($A413 &amp; "Points"),CLASSNAMEHEADERS,0))),(IF("15"=(INDEX(ALLCLASSDATA,MATCH("FortitudeSaveTrained",CLASSFEATUREHEADERS,0),MATCH($A413,CLASSNAMEHEADERS,0))),(INDEX(ALLCLASSDATA,MATCH("FortitudeSaveTrained",CLASSFEATUREHEADERS,0),MATCH(($A413 &amp; "Points"),CLASSNAMEHEADERS,0))),"")))))))))}</f>
        <v>FORTITUDEL15</v>
      </c>
      <c r="W412" s="230"/>
      <c r="X412" s="230" t="str">
        <f t="array" ref="X412:X413">{"FORTITUDEL17";((IF("17"=(INDEX(ALLCLASSDATA,MATCH("FortitudeSaveLegendary",CLASSFEATUREHEADERS,0),MATCH($A413,CLASSNAMEHEADERS,0))),(INDEX(ALLCLASSDATA,MATCH("FortitudeSaveLegendary",CLASSFEATUREHEADERS,0),MATCH(($A413 &amp; "Points"),CLASSNAMEHEADERS,0))),(IF("17"=(INDEX(ALLCLASSDATA,MATCH("FortitudeSaveMaster",CLASSFEATUREHEADERS,0),MATCH($A413,CLASSNAMEHEADERS,0))),(INDEX(ALLCLASSDATA,MATCH("FortitudeSaveMaster",CLASSFEATUREHEADERS,0),MATCH(($A413 &amp; "Points"),CLASSNAMEHEADERS,0))),(IF("17"=(INDEX(ALLCLASSDATA,MATCH("FortitudeSaveExpert",CLASSFEATUREHEADERS,0),MATCH($A413,CLASSNAMEHEADERS,0))),(INDEX(ALLCLASSDATA,MATCH("FortitudeSaveExpert",CLASSFEATUREHEADERS,0),MATCH(($A413 &amp; "Points"),CLASSNAMEHEADERS,0))),(IF("17"=(INDEX(ALLCLASSDATA,MATCH("FortitudeSaveTrained",CLASSFEATUREHEADERS,0),MATCH($A413,CLASSNAMEHEADERS,0))),(INDEX(ALLCLASSDATA,MATCH("FortitudeSaveTrained",CLASSFEATUREHEADERS,0),MATCH(($A413 &amp; "Points"),CLASSNAMEHEADERS,0))),"")))))))))}</f>
        <v>FORTITUDEL17</v>
      </c>
      <c r="Y412" s="230"/>
      <c r="Z412" s="230" t="str">
        <f t="array" ref="Z412:Z413">{"FORTITUDEL19";((IF("19"=(INDEX(ALLCLASSDATA,MATCH("FortitudeSaveLegendary",CLASSFEATUREHEADERS,0),MATCH($A413,CLASSNAMEHEADERS,0))),(INDEX(ALLCLASSDATA,MATCH("FortitudeSaveLegendary",CLASSFEATUREHEADERS,0),MATCH(($A413 &amp; "Points"),CLASSNAMEHEADERS,0))),(IF("19"=(INDEX(ALLCLASSDATA,MATCH("FortitudeSaveMaster",CLASSFEATUREHEADERS,0),MATCH($A413,CLASSNAMEHEADERS,0))),(INDEX(ALLCLASSDATA,MATCH("FortitudeSaveMaster",CLASSFEATUREHEADERS,0),MATCH(($A413 &amp; "Points"),CLASSNAMEHEADERS,0))),(IF("19"=(INDEX(ALLCLASSDATA,MATCH("FortitudeSaveExpert",CLASSFEATUREHEADERS,0),MATCH($A413,CLASSNAMEHEADERS,0))),(INDEX(ALLCLASSDATA,MATCH("FortitudeSaveExpert",CLASSFEATUREHEADERS,0),MATCH(($A413 &amp; "Points"),CLASSNAMEHEADERS,0))),(IF("19"=(INDEX(ALLCLASSDATA,MATCH("FortitudeSaveTrained",CLASSFEATUREHEADERS,0),MATCH($A413,CLASSNAMEHEADERS,0))),(INDEX(ALLCLASSDATA,MATCH("FortitudeSaveTrained",CLASSFEATUREHEADERS,0),MATCH(($A413 &amp; "Points"),CLASSNAMEHEADERS,0))),"")))))))))}</f>
        <v>FORTITUDEL19</v>
      </c>
      <c r="AA412" s="230"/>
      <c r="AB412" s="76" t="str">
        <f t="array" ref="AB412:AB413">{"FORTITUDE TOTAL";(IF(COUNTBLANK(G413:AA413)=17,"L",(IF(COUNTBLANK(G413:AA413)=18,"M",(IF(COUNTBLANK(G413:AA413)=19,"E",(IF(COUNTBLANK(G413:AA413)=20,"T",""))))))))}</f>
        <v>FORTITUDE TOTAL</v>
      </c>
      <c r="AC412" s="76" t="str">
        <f t="array" ref="AC412:AC413">{"FORTITUDE TOTAL";(sum(G413:AA413))}</f>
        <v>FORTITUDE TOTAL</v>
      </c>
    </row>
    <row r="413">
      <c r="A413" s="48" t="s">
        <v>124</v>
      </c>
      <c r="B413" s="48"/>
      <c r="C413" s="48" t="s">
        <v>413</v>
      </c>
      <c r="D413" s="48" t="s">
        <v>1549</v>
      </c>
      <c r="E413" s="48" t="s">
        <v>1550</v>
      </c>
      <c r="F413" s="5" t="s">
        <v>436</v>
      </c>
      <c r="G413" s="47">
        <v>10.0</v>
      </c>
      <c r="H413" s="5">
        <v>50.0</v>
      </c>
      <c r="I413" s="5"/>
      <c r="J413" s="5" t="s">
        <v>603</v>
      </c>
      <c r="K413" s="5"/>
      <c r="L413" s="5" t="s">
        <v>603</v>
      </c>
      <c r="M413" s="5"/>
      <c r="N413" s="5" t="s">
        <v>603</v>
      </c>
      <c r="O413" s="5"/>
      <c r="P413" s="5" t="s">
        <v>603</v>
      </c>
      <c r="Q413" s="5"/>
      <c r="R413" s="5">
        <v>110.0</v>
      </c>
      <c r="S413" s="5"/>
      <c r="T413" s="5" t="s">
        <v>603</v>
      </c>
      <c r="U413" s="5"/>
      <c r="V413" s="5" t="s">
        <v>603</v>
      </c>
      <c r="W413" s="5"/>
      <c r="X413" s="5" t="s">
        <v>603</v>
      </c>
      <c r="Y413" s="5"/>
      <c r="Z413" s="5" t="s">
        <v>603</v>
      </c>
      <c r="AA413" s="5"/>
      <c r="AB413" s="5" t="s">
        <v>437</v>
      </c>
      <c r="AC413" s="47">
        <v>170.0</v>
      </c>
    </row>
    <row r="414" hidden="1">
      <c r="A414" s="222" t="str">
        <f t="array" ref="A414:A415">{"FormulaRow24";(INDEX(CLASSLIST,A367,1))}</f>
        <v>FormulaRow24</v>
      </c>
      <c r="B414" s="77" t="s">
        <v>236</v>
      </c>
      <c r="C414" s="222" t="str">
        <f t="array" ref="C414:C415">{"CLASSTYPE";((INDEX(ALLCLASSDATA,MATCH("ClassType",CLASSFEATUREHEADERS,0),MATCH($A415,CLASSNAMEHEADERS,0))))}</f>
        <v>CLASSTYPE</v>
      </c>
      <c r="D414" s="222" t="str">
        <f t="array" ref="D414:D415">{"SAVES";"Saves"}</f>
        <v>SAVES</v>
      </c>
      <c r="E414" s="222" t="str">
        <f t="array" ref="E414:E415">{"REFLEXSAVE";"ReflexSave"}</f>
        <v>REFLEXSAVE</v>
      </c>
      <c r="F414" s="223" t="str">
        <f t="array" ref="F414:F415">{"REFLEXINITIAL";((IF(H415=10,"T",(IF(H415=50,"E","")))))}</f>
        <v>REFLEXINITIAL</v>
      </c>
      <c r="G414" s="223" t="str">
        <f t="array" ref="G414:G415">{"REFLEXINITIALPTS";((IF("00"=(INDEX(ALLCLASSDATA,MATCH("ReflexSaveLegendary",CLASSFEATUREHEADERS,0),MATCH($A415,CLASSNAMEHEADERS,0))),(INDEX(ALLCLASSDATA,MATCH("ReflexSaveLegendary",CLASSFEATUREHEADERS,0),MATCH(($A415 &amp; "Points"),CLASSNAMEHEADERS,0))),(IF("00"=(INDEX(ALLCLASSDATA,MATCH("ReflexSaveMaster",CLASSFEATUREHEADERS,0),MATCH($A415,CLASSNAMEHEADERS,0))),(INDEX(ALLCLASSDATA,MATCH("ReflexSaveMaster",CLASSFEATUREHEADERS,0),MATCH(($A415 &amp; "Points"),CLASSNAMEHEADERS,0))),(IF("00"=(INDEX(ALLCLASSDATA,MATCH("ReflexSaveExpert",CLASSFEATUREHEADERS,0),MATCH($A415,CLASSNAMEHEADERS,0))),(INDEX(ALLCLASSDATA,MATCH("ReflexSaveExpert",CLASSFEATUREHEADERS,0),MATCH(($A415 &amp; "Points"),CLASSNAMEHEADERS,0))),(IF("00"=(INDEX(ALLCLASSDATA,MATCH("ReflexSaveTrained",CLASSFEATUREHEADERS,0),MATCH($A415,CLASSNAMEHEADERS,0))),(INDEX(ALLCLASSDATA,MATCH("ReflexSaveTrained",CLASSFEATUREHEADERS,0),MATCH(($A415 &amp; "Points"),CLASSNAMEHEADERS,0))),"")))))))))}</f>
        <v>REFLEXINITIALPTS</v>
      </c>
      <c r="H414" s="223" t="str">
        <f t="array" ref="H414:H415">{"REFLEXL01";((IF("01"=(INDEX(ALLCLASSDATA,MATCH("ReflexSaveLegendary",CLASSFEATUREHEADERS,0),MATCH($A415,CLASSNAMEHEADERS,0))),(INDEX(ALLCLASSDATA,MATCH("ReflexSaveLegendary",CLASSFEATUREHEADERS,0),MATCH(($A415 &amp; "Points"),CLASSNAMEHEADERS,0))),(IF("01"=(INDEX(ALLCLASSDATA,MATCH("ReflexSaveMaster",CLASSFEATUREHEADERS,0),MATCH($A415,CLASSNAMEHEADERS,0))),(INDEX(ALLCLASSDATA,MATCH("ReflexSaveMaster",CLASSFEATUREHEADERS,0),MATCH(($A415 &amp; "Points"),CLASSNAMEHEADERS,0))),(IF("01"=(INDEX(ALLCLASSDATA,MATCH("ReflexSaveExpert",CLASSFEATUREHEADERS,0),MATCH($A415,CLASSNAMEHEADERS,0))),(INDEX(ALLCLASSDATA,MATCH("ReflexSaveExpert",CLASSFEATUREHEADERS,0),MATCH(($A415 &amp; "Points"),CLASSNAMEHEADERS,0))),(IF("01"=(INDEX(ALLCLASSDATA,MATCH("ReflexSaveTrained",CLASSFEATUREHEADERS,0),MATCH($A415,CLASSNAMEHEADERS,0))),(INDEX(ALLCLASSDATA,MATCH("ReflexSaveTrained",CLASSFEATUREHEADERS,0),MATCH(($A415 &amp; "Points"),CLASSNAMEHEADERS,0))),"")))))))))}</f>
        <v>REFLEXL01</v>
      </c>
      <c r="I414" s="223"/>
      <c r="J414" s="223" t="str">
        <f t="array" ref="J414:J415">{"REFLEXL03";((IF("03"=(INDEX(ALLCLASSDATA,MATCH("ReflexSaveLegendary",CLASSFEATUREHEADERS,0),MATCH($A415,CLASSNAMEHEADERS,0))),(INDEX(ALLCLASSDATA,MATCH("ReflexSaveLegendary",CLASSFEATUREHEADERS,0),MATCH(($A415 &amp; "Points"),CLASSNAMEHEADERS,0))),(IF("03"=(INDEX(ALLCLASSDATA,MATCH("ReflexSaveMaster",CLASSFEATUREHEADERS,0),MATCH($A415,CLASSNAMEHEADERS,0))),(INDEX(ALLCLASSDATA,MATCH("ReflexSaveMaster",CLASSFEATUREHEADERS,0),MATCH(($A415 &amp; "Points"),CLASSNAMEHEADERS,0))),(IF("03"=(INDEX(ALLCLASSDATA,MATCH("ReflexSaveExpert",CLASSFEATUREHEADERS,0),MATCH($A415,CLASSNAMEHEADERS,0))),(INDEX(ALLCLASSDATA,MATCH("ReflexSaveExpert",CLASSFEATUREHEADERS,0),MATCH(($A415 &amp; "Points"),CLASSNAMEHEADERS,0))),(IF("03"=(INDEX(ALLCLASSDATA,MATCH("ReflexSaveTrained",CLASSFEATUREHEADERS,0),MATCH($A415,CLASSNAMEHEADERS,0))),(INDEX(ALLCLASSDATA,MATCH("ReflexSaveTrained",CLASSFEATUREHEADERS,0),MATCH(($A415 &amp; "Points"),CLASSNAMEHEADERS,0))),"")))))))))}</f>
        <v>REFLEXL03</v>
      </c>
      <c r="K414" s="223"/>
      <c r="L414" s="223" t="str">
        <f t="array" ref="L414:L415">{"REFLEXL05";((IF("05"=(INDEX(ALLCLASSDATA,MATCH("ReflexSaveLegendary",CLASSFEATUREHEADERS,0),MATCH($A415,CLASSNAMEHEADERS,0))),(INDEX(ALLCLASSDATA,MATCH("ReflexSaveLegendary",CLASSFEATUREHEADERS,0),MATCH(($A415 &amp; "Points"),CLASSNAMEHEADERS,0))),(IF("05"=(INDEX(ALLCLASSDATA,MATCH("ReflexSaveMaster",CLASSFEATUREHEADERS,0),MATCH($A415,CLASSNAMEHEADERS,0))),(INDEX(ALLCLASSDATA,MATCH("ReflexSaveMaster",CLASSFEATUREHEADERS,0),MATCH(($A415 &amp; "Points"),CLASSNAMEHEADERS,0))),(IF("05"=(INDEX(ALLCLASSDATA,MATCH("ReflexSaveExpert",CLASSFEATUREHEADERS,0),MATCH($A415,CLASSNAMEHEADERS,0))),(INDEX(ALLCLASSDATA,MATCH("ReflexSaveExpert",CLASSFEATUREHEADERS,0),MATCH(($A415 &amp; "Points"),CLASSNAMEHEADERS,0))),(IF("05"=(INDEX(ALLCLASSDATA,MATCH("ReflexSaveTrained",CLASSFEATUREHEADERS,0),MATCH($A415,CLASSNAMEHEADERS,0))),(INDEX(ALLCLASSDATA,MATCH("ReflexSaveTrained",CLASSFEATUREHEADERS,0),MATCH(($A415 &amp; "Points"),CLASSNAMEHEADERS,0))),"")))))))))}</f>
        <v>REFLEXL05</v>
      </c>
      <c r="M414" s="223"/>
      <c r="N414" s="223" t="str">
        <f t="array" ref="N414:N415">{"REFLEXL07";((IF("07"=(INDEX(ALLCLASSDATA,MATCH("ReflexSaveLegendary",CLASSFEATUREHEADERS,0),MATCH($A415,CLASSNAMEHEADERS,0))),(INDEX(ALLCLASSDATA,MATCH("ReflexSaveLegendary",CLASSFEATUREHEADERS,0),MATCH(($A415 &amp; "Points"),CLASSNAMEHEADERS,0))),(IF("07"=(INDEX(ALLCLASSDATA,MATCH("ReflexSaveMaster",CLASSFEATUREHEADERS,0),MATCH($A415,CLASSNAMEHEADERS,0))),(INDEX(ALLCLASSDATA,MATCH("ReflexSaveMaster",CLASSFEATUREHEADERS,0),MATCH(($A415 &amp; "Points"),CLASSNAMEHEADERS,0))),(IF("07"=(INDEX(ALLCLASSDATA,MATCH("ReflexSaveExpert",CLASSFEATUREHEADERS,0),MATCH($A415,CLASSNAMEHEADERS,0))),(INDEX(ALLCLASSDATA,MATCH("ReflexSaveExpert",CLASSFEATUREHEADERS,0),MATCH(($A415 &amp; "Points"),CLASSNAMEHEADERS,0))),(IF("07"=(INDEX(ALLCLASSDATA,MATCH("ReflexSaveTrained",CLASSFEATUREHEADERS,0),MATCH($A415,CLASSNAMEHEADERS,0))),(INDEX(ALLCLASSDATA,MATCH("ReflexSaveTrained",CLASSFEATUREHEADERS,0),MATCH(($A415 &amp; "Points"),CLASSNAMEHEADERS,0))),"")))))))))}</f>
        <v>REFLEXL07</v>
      </c>
      <c r="O414" s="223"/>
      <c r="P414" s="223" t="str">
        <f t="array" ref="P414:P415">{"REFLEXL09";((IF("09"=(INDEX(ALLCLASSDATA,MATCH("ReflexSaveLegendary",CLASSFEATUREHEADERS,0),MATCH($A415,CLASSNAMEHEADERS,0))),(INDEX(ALLCLASSDATA,MATCH("ReflexSaveLegendary",CLASSFEATUREHEADERS,0),MATCH(($A415 &amp; "Points"),CLASSNAMEHEADERS,0))),(IF("09"=(INDEX(ALLCLASSDATA,MATCH("ReflexSaveMaster",CLASSFEATUREHEADERS,0),MATCH($A415,CLASSNAMEHEADERS,0))),(INDEX(ALLCLASSDATA,MATCH("ReflexSaveMaster",CLASSFEATUREHEADERS,0),MATCH(($A415 &amp; "Points"),CLASSNAMEHEADERS,0))),(IF("09"=(INDEX(ALLCLASSDATA,MATCH("ReflexSaveExpert",CLASSFEATUREHEADERS,0),MATCH($A415,CLASSNAMEHEADERS,0))),(INDEX(ALLCLASSDATA,MATCH("ReflexSaveExpert",CLASSFEATUREHEADERS,0),MATCH(($A415 &amp; "Points"),CLASSNAMEHEADERS,0))),(IF("09"=(INDEX(ALLCLASSDATA,MATCH("ReflexSaveTrained",CLASSFEATUREHEADERS,0),MATCH($A415,CLASSNAMEHEADERS,0))),(INDEX(ALLCLASSDATA,MATCH("ReflexSaveTrained",CLASSFEATUREHEADERS,0),MATCH(($A415 &amp; "Points"),CLASSNAMEHEADERS,0))),"")))))))))}</f>
        <v>REFLEXL09</v>
      </c>
      <c r="Q414" s="223"/>
      <c r="R414" s="223" t="str">
        <f t="array" ref="R414:R415">{"REFLEXL11";((IF("11"=(INDEX(ALLCLASSDATA,MATCH("ReflexSaveLegendary",CLASSFEATUREHEADERS,0),MATCH($A415,CLASSNAMEHEADERS,0))),(INDEX(ALLCLASSDATA,MATCH("ReflexSaveLegendary",CLASSFEATUREHEADERS,0),MATCH(($A415 &amp; "Points"),CLASSNAMEHEADERS,0))),(IF("11"=(INDEX(ALLCLASSDATA,MATCH("ReflexSaveMaster",CLASSFEATUREHEADERS,0),MATCH($A415,CLASSNAMEHEADERS,0))),(INDEX(ALLCLASSDATA,MATCH("ReflexSaveMaster",CLASSFEATUREHEADERS,0),MATCH(($A415 &amp; "Points"),CLASSNAMEHEADERS,0))),(IF("11"=(INDEX(ALLCLASSDATA,MATCH("ReflexSaveExpert",CLASSFEATUREHEADERS,0),MATCH($A415,CLASSNAMEHEADERS,0))),(INDEX(ALLCLASSDATA,MATCH("ReflexSaveExpert",CLASSFEATUREHEADERS,0),MATCH(($A415 &amp; "Points"),CLASSNAMEHEADERS,0))),(IF("11"=(INDEX(ALLCLASSDATA,MATCH("ReflexSaveTrained",CLASSFEATUREHEADERS,0),MATCH($A415,CLASSNAMEHEADERS,0))),(INDEX(ALLCLASSDATA,MATCH("ReflexSaveTrained",CLASSFEATUREHEADERS,0),MATCH(($A415 &amp; "Points"),CLASSNAMEHEADERS,0))),"")))))))))}</f>
        <v>REFLEXL11</v>
      </c>
      <c r="S414" s="223"/>
      <c r="T414" s="223" t="str">
        <f t="array" ref="T414:T415">{"REFLEXL13";((IF("13"=(INDEX(ALLCLASSDATA,MATCH("ReflexSaveLegendary",CLASSFEATUREHEADERS,0),MATCH($A415,CLASSNAMEHEADERS,0))),(INDEX(ALLCLASSDATA,MATCH("ReflexSaveLegendary",CLASSFEATUREHEADERS,0),MATCH(($A415 &amp; "Points"),CLASSNAMEHEADERS,0))),(IF("13"=(INDEX(ALLCLASSDATA,MATCH("ReflexSaveMaster",CLASSFEATUREHEADERS,0),MATCH($A415,CLASSNAMEHEADERS,0))),(INDEX(ALLCLASSDATA,MATCH("ReflexSaveMaster",CLASSFEATUREHEADERS,0),MATCH(($A415 &amp; "Points"),CLASSNAMEHEADERS,0))),(IF("13"=(INDEX(ALLCLASSDATA,MATCH("ReflexSaveExpert",CLASSFEATUREHEADERS,0),MATCH($A415,CLASSNAMEHEADERS,0))),(INDEX(ALLCLASSDATA,MATCH("ReflexSaveExpert",CLASSFEATUREHEADERS,0),MATCH(($A415 &amp; "Points"),CLASSNAMEHEADERS,0))),(IF("13"=(INDEX(ALLCLASSDATA,MATCH("ReflexSaveTrained",CLASSFEATUREHEADERS,0),MATCH($A415,CLASSNAMEHEADERS,0))),(INDEX(ALLCLASSDATA,MATCH("ReflexSaveTrained",CLASSFEATUREHEADERS,0),MATCH(($A415 &amp; "Points"),CLASSNAMEHEADERS,0))),"")))))))))}</f>
        <v>REFLEXL13</v>
      </c>
      <c r="U414" s="223"/>
      <c r="V414" s="223" t="str">
        <f t="array" ref="V414:V415">{"REFLEXL15";((IF("15"=(INDEX(ALLCLASSDATA,MATCH("ReflexSaveLegendary",CLASSFEATUREHEADERS,0),MATCH($A415,CLASSNAMEHEADERS,0))),(INDEX(ALLCLASSDATA,MATCH("ReflexSaveLegendary",CLASSFEATUREHEADERS,0),MATCH(($A415 &amp; "Points"),CLASSNAMEHEADERS,0))),(IF("15"=(INDEX(ALLCLASSDATA,MATCH("ReflexSaveMaster",CLASSFEATUREHEADERS,0),MATCH($A415,CLASSNAMEHEADERS,0))),(INDEX(ALLCLASSDATA,MATCH("ReflexSaveMaster",CLASSFEATUREHEADERS,0),MATCH(($A415 &amp; "Points"),CLASSNAMEHEADERS,0))),(IF("15"=(INDEX(ALLCLASSDATA,MATCH("ReflexSaveExpert",CLASSFEATUREHEADERS,0),MATCH($A415,CLASSNAMEHEADERS,0))),(INDEX(ALLCLASSDATA,MATCH("ReflexSaveExpert",CLASSFEATUREHEADERS,0),MATCH(($A415 &amp; "Points"),CLASSNAMEHEADERS,0))),(IF("15"=(INDEX(ALLCLASSDATA,MATCH("ReflexSaveTrained",CLASSFEATUREHEADERS,0),MATCH($A415,CLASSNAMEHEADERS,0))),(INDEX(ALLCLASSDATA,MATCH("ReflexSaveTrained",CLASSFEATUREHEADERS,0),MATCH(($A415 &amp; "Points"),CLASSNAMEHEADERS,0))),"")))))))))}</f>
        <v>REFLEXL15</v>
      </c>
      <c r="W414" s="223"/>
      <c r="X414" s="223" t="str">
        <f t="array" ref="X414:X415">{"REFLEXL17";((IF("17"=(INDEX(ALLCLASSDATA,MATCH("ReflexSaveLegendary",CLASSFEATUREHEADERS,0),MATCH($A415,CLASSNAMEHEADERS,0))),(INDEX(ALLCLASSDATA,MATCH("ReflexSaveLegendary",CLASSFEATUREHEADERS,0),MATCH(($A415 &amp; "Points"),CLASSNAMEHEADERS,0))),(IF("17"=(INDEX(ALLCLASSDATA,MATCH("ReflexSaveMaster",CLASSFEATUREHEADERS,0),MATCH($A415,CLASSNAMEHEADERS,0))),(INDEX(ALLCLASSDATA,MATCH("ReflexSaveMaster",CLASSFEATUREHEADERS,0),MATCH(($A415 &amp; "Points"),CLASSNAMEHEADERS,0))),(IF("17"=(INDEX(ALLCLASSDATA,MATCH("ReflexSaveExpert",CLASSFEATUREHEADERS,0),MATCH($A415,CLASSNAMEHEADERS,0))),(INDEX(ALLCLASSDATA,MATCH("ReflexSaveExpert",CLASSFEATUREHEADERS,0),MATCH(($A415 &amp; "Points"),CLASSNAMEHEADERS,0))),(IF("17"=(INDEX(ALLCLASSDATA,MATCH("ReflexSaveTrained",CLASSFEATUREHEADERS,0),MATCH($A415,CLASSNAMEHEADERS,0))),(INDEX(ALLCLASSDATA,MATCH("ReflexSaveTrained",CLASSFEATUREHEADERS,0),MATCH(($A415 &amp; "Points"),CLASSNAMEHEADERS,0))),"")))))))))}</f>
        <v>REFLEXL17</v>
      </c>
      <c r="Y414" s="223"/>
      <c r="Z414" s="223" t="str">
        <f t="array" ref="Z414:Z415">{"REFLEXL19";((IF("19"=(INDEX(ALLCLASSDATA,MATCH("ReflexSaveLegendary",CLASSFEATUREHEADERS,0),MATCH($A415,CLASSNAMEHEADERS,0))),(INDEX(ALLCLASSDATA,MATCH("ReflexSaveLegendary",CLASSFEATUREHEADERS,0),MATCH(($A415 &amp; "Points"),CLASSNAMEHEADERS,0))),(IF("19"=(INDEX(ALLCLASSDATA,MATCH("ReflexSaveMaster",CLASSFEATUREHEADERS,0),MATCH($A415,CLASSNAMEHEADERS,0))),(INDEX(ALLCLASSDATA,MATCH("ReflexSaveMaster",CLASSFEATUREHEADERS,0),MATCH(($A415 &amp; "Points"),CLASSNAMEHEADERS,0))),(IF("19"=(INDEX(ALLCLASSDATA,MATCH("ReflexSaveExpert",CLASSFEATUREHEADERS,0),MATCH($A415,CLASSNAMEHEADERS,0))),(INDEX(ALLCLASSDATA,MATCH("ReflexSaveExpert",CLASSFEATUREHEADERS,0),MATCH(($A415 &amp; "Points"),CLASSNAMEHEADERS,0))),(IF("19"=(INDEX(ALLCLASSDATA,MATCH("ReflexSaveTrained",CLASSFEATUREHEADERS,0),MATCH($A415,CLASSNAMEHEADERS,0))),(INDEX(ALLCLASSDATA,MATCH("ReflexSaveTrained",CLASSFEATUREHEADERS,0),MATCH(($A415 &amp; "Points"),CLASSNAMEHEADERS,0))),"")))))))))}</f>
        <v>REFLEXL19</v>
      </c>
      <c r="AA414" s="223"/>
      <c r="AB414" s="76" t="str">
        <f t="array" ref="AB414:AB415">{"REFLEX TOTAL";(IF(COUNTBLANK(G415:AA415)=17,"L",(IF(COUNTBLANK(G415:AA415)=18,"M",(IF(COUNTBLANK(G415:AA415)=19,"E",(IF(COUNTBLANK(G415:AA415)=20,"T",""))))))))}</f>
        <v>REFLEX TOTAL</v>
      </c>
      <c r="AC414" s="76" t="str">
        <f t="array" ref="AC414:AC415">{"REFLEX TOTAL";(sum(G415:AA415))}</f>
        <v>REFLEX TOTAL</v>
      </c>
    </row>
    <row r="415">
      <c r="A415" s="48" t="s">
        <v>124</v>
      </c>
      <c r="B415" s="48"/>
      <c r="C415" s="48" t="s">
        <v>413</v>
      </c>
      <c r="D415" s="48" t="s">
        <v>1549</v>
      </c>
      <c r="E415" s="48" t="s">
        <v>1572</v>
      </c>
      <c r="F415" s="5" t="s">
        <v>436</v>
      </c>
      <c r="G415" s="47">
        <v>10.0</v>
      </c>
      <c r="H415" s="5">
        <v>50.0</v>
      </c>
      <c r="I415" s="5"/>
      <c r="J415" s="5" t="s">
        <v>603</v>
      </c>
      <c r="K415" s="5"/>
      <c r="L415" s="5" t="s">
        <v>603</v>
      </c>
      <c r="M415" s="5"/>
      <c r="N415" s="5">
        <v>110.0</v>
      </c>
      <c r="O415" s="5"/>
      <c r="P415" s="5" t="s">
        <v>603</v>
      </c>
      <c r="Q415" s="5"/>
      <c r="R415" s="5" t="s">
        <v>603</v>
      </c>
      <c r="S415" s="5"/>
      <c r="T415" s="5" t="s">
        <v>603</v>
      </c>
      <c r="U415" s="5"/>
      <c r="V415" s="5">
        <v>190.0</v>
      </c>
      <c r="W415" s="5"/>
      <c r="X415" s="5" t="s">
        <v>603</v>
      </c>
      <c r="Y415" s="5"/>
      <c r="Z415" s="5" t="s">
        <v>603</v>
      </c>
      <c r="AA415" s="5"/>
      <c r="AB415" s="5" t="s">
        <v>466</v>
      </c>
      <c r="AC415" s="47">
        <v>360.0</v>
      </c>
    </row>
    <row r="416" hidden="1">
      <c r="A416" s="222" t="str">
        <f t="array" ref="A416:A417">{"FormulaRow25";(INDEX(CLASSLIST,A367,1))}</f>
        <v>FormulaRow25</v>
      </c>
      <c r="B416" s="77" t="s">
        <v>236</v>
      </c>
      <c r="C416" s="222" t="str">
        <f t="array" ref="C416:C417">{"CLASSTYPE";((INDEX(ALLCLASSDATA,MATCH("ClassType",CLASSFEATUREHEADERS,0),MATCH($A417,CLASSNAMEHEADERS,0))))}</f>
        <v>CLASSTYPE</v>
      </c>
      <c r="D416" s="222" t="str">
        <f t="array" ref="D416:D417">{"SAVES";"Saves"}</f>
        <v>SAVES</v>
      </c>
      <c r="E416" s="222" t="str">
        <f t="array" ref="E416:E417">{"WILLSAVE";"WillSave"}</f>
        <v>WILLSAVE</v>
      </c>
      <c r="F416" s="223" t="str">
        <f t="array" ref="F416:F417">{"WILLINITIAL";((IF(H417=10,"T",(IF(H417=50,"E","")))))}</f>
        <v>WILLINITIAL</v>
      </c>
      <c r="G416" s="223" t="str">
        <f t="array" ref="G416:G417">{"WILLINITIALPTS";((IF("00"=(INDEX(ALLCLASSDATA,MATCH("WillSaveLegendary",CLASSFEATUREHEADERS,0),MATCH($A417,CLASSNAMEHEADERS,0))),(INDEX(ALLCLASSDATA,MATCH("WillSaveLegendary",CLASSFEATUREHEADERS,0),MATCH(($A417 &amp; "Points"),CLASSNAMEHEADERS,0))),(IF("00"=(INDEX(ALLCLASSDATA,MATCH("WillSaveMaster",CLASSFEATUREHEADERS,0),MATCH($A417,CLASSNAMEHEADERS,0))),(INDEX(ALLCLASSDATA,MATCH("WillSaveMaster",CLASSFEATUREHEADERS,0),MATCH(($A417 &amp; "Points"),CLASSNAMEHEADERS,0))),(IF("00"=(INDEX(ALLCLASSDATA,MATCH("WillSaveExpert",CLASSFEATUREHEADERS,0),MATCH($A417,CLASSNAMEHEADERS,0))),(INDEX(ALLCLASSDATA,MATCH("WillSaveExpert",CLASSFEATUREHEADERS,0),MATCH(($A417 &amp; "Points"),CLASSNAMEHEADERS,0))),(IF("00"=(INDEX(ALLCLASSDATA,MATCH("WillSaveTrained",CLASSFEATUREHEADERS,0),MATCH($A417,CLASSNAMEHEADERS,0))),(INDEX(ALLCLASSDATA,MATCH("WillSaveTrained",CLASSFEATUREHEADERS,0),MATCH(($A417 &amp; "Points"),CLASSNAMEHEADERS,0))),"")))))))))}</f>
        <v>WILLINITIALPTS</v>
      </c>
      <c r="H416" s="223" t="str">
        <f t="array" ref="H416:H417">{"WILLL01";((IF("01"=(INDEX(ALLCLASSDATA,MATCH("WillSaveLegendary",CLASSFEATUREHEADERS,0),MATCH($A417,CLASSNAMEHEADERS,0))),(INDEX(ALLCLASSDATA,MATCH("WillSaveLegendary",CLASSFEATUREHEADERS,0),MATCH(($A417 &amp; "Points"),CLASSNAMEHEADERS,0))),(IF("01"=(INDEX(ALLCLASSDATA,MATCH("WillSaveMaster",CLASSFEATUREHEADERS,0),MATCH($A417,CLASSNAMEHEADERS,0))),(INDEX(ALLCLASSDATA,MATCH("WillSaveMaster",CLASSFEATUREHEADERS,0),MATCH(($A417 &amp; "Points"),CLASSNAMEHEADERS,0))),(IF("01"=(INDEX(ALLCLASSDATA,MATCH("WillSaveExpert",CLASSFEATUREHEADERS,0),MATCH($A417,CLASSNAMEHEADERS,0))),(INDEX(ALLCLASSDATA,MATCH("WillSaveExpert",CLASSFEATUREHEADERS,0),MATCH(($A417 &amp; "Points"),CLASSNAMEHEADERS,0))),(IF("01"=(INDEX(ALLCLASSDATA,MATCH("WillSaveTrained",CLASSFEATUREHEADERS,0),MATCH($A417,CLASSNAMEHEADERS,0))),(INDEX(ALLCLASSDATA,MATCH("WillSaveTrained",CLASSFEATUREHEADERS,0),MATCH(($A417 &amp; "Points"),CLASSNAMEHEADERS,0))),"")))))))))}</f>
        <v>WILLL01</v>
      </c>
      <c r="I416" s="223"/>
      <c r="J416" s="223" t="str">
        <f t="array" ref="J416:J417">{"WILLL03";((IF("03"=(INDEX(ALLCLASSDATA,MATCH("WillSaveLegendary",CLASSFEATUREHEADERS,0),MATCH($A417,CLASSNAMEHEADERS,0))),(INDEX(ALLCLASSDATA,MATCH("WillSaveLegendary",CLASSFEATUREHEADERS,0),MATCH(($A417 &amp; "Points"),CLASSNAMEHEADERS,0))),(IF("03"=(INDEX(ALLCLASSDATA,MATCH("WillSaveMaster",CLASSFEATUREHEADERS,0),MATCH($A417,CLASSNAMEHEADERS,0))),(INDEX(ALLCLASSDATA,MATCH("WillSaveMaster",CLASSFEATUREHEADERS,0),MATCH(($A417 &amp; "Points"),CLASSNAMEHEADERS,0))),(IF("03"=(INDEX(ALLCLASSDATA,MATCH("WillSaveExpert",CLASSFEATUREHEADERS,0),MATCH($A417,CLASSNAMEHEADERS,0))),(INDEX(ALLCLASSDATA,MATCH("WillSaveExpert",CLASSFEATUREHEADERS,0),MATCH(($A417 &amp; "Points"),CLASSNAMEHEADERS,0))),(IF("03"=(INDEX(ALLCLASSDATA,MATCH("WillSaveTrained",CLASSFEATUREHEADERS,0),MATCH($A417,CLASSNAMEHEADERS,0))),(INDEX(ALLCLASSDATA,MATCH("WillSaveTrained",CLASSFEATUREHEADERS,0),MATCH(($A417 &amp; "Points"),CLASSNAMEHEADERS,0))),"")))))))))}</f>
        <v>WILLL03</v>
      </c>
      <c r="K416" s="223"/>
      <c r="L416" s="223" t="str">
        <f t="array" ref="L416:L417">{"WILLL05";((IF("05"=(INDEX(ALLCLASSDATA,MATCH("WillSaveLegendary",CLASSFEATUREHEADERS,0),MATCH($A417,CLASSNAMEHEADERS,0))),(INDEX(ALLCLASSDATA,MATCH("WillSaveLegendary",CLASSFEATUREHEADERS,0),MATCH(($A417 &amp; "Points"),CLASSNAMEHEADERS,0))),(IF("05"=(INDEX(ALLCLASSDATA,MATCH("WillSaveMaster",CLASSFEATUREHEADERS,0),MATCH($A417,CLASSNAMEHEADERS,0))),(INDEX(ALLCLASSDATA,MATCH("WillSaveMaster",CLASSFEATUREHEADERS,0),MATCH(($A417 &amp; "Points"),CLASSNAMEHEADERS,0))),(IF("05"=(INDEX(ALLCLASSDATA,MATCH("WillSaveExpert",CLASSFEATUREHEADERS,0),MATCH($A417,CLASSNAMEHEADERS,0))),(INDEX(ALLCLASSDATA,MATCH("WillSaveExpert",CLASSFEATUREHEADERS,0),MATCH(($A417 &amp; "Points"),CLASSNAMEHEADERS,0))),(IF("05"=(INDEX(ALLCLASSDATA,MATCH("WillSaveTrained",CLASSFEATUREHEADERS,0),MATCH($A417,CLASSNAMEHEADERS,0))),(INDEX(ALLCLASSDATA,MATCH("WillSaveTrained",CLASSFEATUREHEADERS,0),MATCH(($A417 &amp; "Points"),CLASSNAMEHEADERS,0))),"")))))))))}</f>
        <v>WILLL05</v>
      </c>
      <c r="M416" s="223"/>
      <c r="N416" s="223" t="str">
        <f t="array" ref="N416:N417">{"WILLL07";((IF("07"=(INDEX(ALLCLASSDATA,MATCH("WillSaveLegendary",CLASSFEATUREHEADERS,0),MATCH($A417,CLASSNAMEHEADERS,0))),(INDEX(ALLCLASSDATA,MATCH("WillSaveLegendary",CLASSFEATUREHEADERS,0),MATCH(($A417 &amp; "Points"),CLASSNAMEHEADERS,0))),(IF("07"=(INDEX(ALLCLASSDATA,MATCH("WillSaveMaster",CLASSFEATUREHEADERS,0),MATCH($A417,CLASSNAMEHEADERS,0))),(INDEX(ALLCLASSDATA,MATCH("WillSaveMaster",CLASSFEATUREHEADERS,0),MATCH(($A417 &amp; "Points"),CLASSNAMEHEADERS,0))),(IF("07"=(INDEX(ALLCLASSDATA,MATCH("WillSaveExpert",CLASSFEATUREHEADERS,0),MATCH($A417,CLASSNAMEHEADERS,0))),(INDEX(ALLCLASSDATA,MATCH("WillSaveExpert",CLASSFEATUREHEADERS,0),MATCH(($A417 &amp; "Points"),CLASSNAMEHEADERS,0))),(IF("07"=(INDEX(ALLCLASSDATA,MATCH("WillSaveTrained",CLASSFEATUREHEADERS,0),MATCH($A417,CLASSNAMEHEADERS,0))),(INDEX(ALLCLASSDATA,MATCH("WillSaveTrained",CLASSFEATUREHEADERS,0),MATCH(($A417 &amp; "Points"),CLASSNAMEHEADERS,0))),"")))))))))}</f>
        <v>WILLL07</v>
      </c>
      <c r="O416" s="223"/>
      <c r="P416" s="223" t="str">
        <f t="array" ref="P416:P417">{"WILLL09";((IF("09"=(INDEX(ALLCLASSDATA,MATCH("WillSaveLegendary",CLASSFEATUREHEADERS,0),MATCH($A417,CLASSNAMEHEADERS,0))),(INDEX(ALLCLASSDATA,MATCH("WillSaveLegendary",CLASSFEATUREHEADERS,0),MATCH(($A417 &amp; "Points"),CLASSNAMEHEADERS,0))),(IF("09"=(INDEX(ALLCLASSDATA,MATCH("WillSaveMaster",CLASSFEATUREHEADERS,0),MATCH($A417,CLASSNAMEHEADERS,0))),(INDEX(ALLCLASSDATA,MATCH("WillSaveMaster",CLASSFEATUREHEADERS,0),MATCH(($A417 &amp; "Points"),CLASSNAMEHEADERS,0))),(IF("09"=(INDEX(ALLCLASSDATA,MATCH("WillSaveExpert",CLASSFEATUREHEADERS,0),MATCH($A417,CLASSNAMEHEADERS,0))),(INDEX(ALLCLASSDATA,MATCH("WillSaveExpert",CLASSFEATUREHEADERS,0),MATCH(($A417 &amp; "Points"),CLASSNAMEHEADERS,0))),(IF("09"=(INDEX(ALLCLASSDATA,MATCH("WillSaveTrained",CLASSFEATUREHEADERS,0),MATCH($A417,CLASSNAMEHEADERS,0))),(INDEX(ALLCLASSDATA,MATCH("WillSaveTrained",CLASSFEATUREHEADERS,0),MATCH(($A417 &amp; "Points"),CLASSNAMEHEADERS,0))),"")))))))))}</f>
        <v>WILLL09</v>
      </c>
      <c r="Q416" s="223"/>
      <c r="R416" s="223" t="str">
        <f t="array" ref="R416:R417">{"WILLL11";((IF("11"=(INDEX(ALLCLASSDATA,MATCH("WillSaveLegendary",CLASSFEATUREHEADERS,0),MATCH($A417,CLASSNAMEHEADERS,0))),(INDEX(ALLCLASSDATA,MATCH("WillSaveLegendary",CLASSFEATUREHEADERS,0),MATCH(($A417 &amp; "Points"),CLASSNAMEHEADERS,0))),(IF("11"=(INDEX(ALLCLASSDATA,MATCH("WillSaveMaster",CLASSFEATUREHEADERS,0),MATCH($A417,CLASSNAMEHEADERS,0))),(INDEX(ALLCLASSDATA,MATCH("WillSaveMaster",CLASSFEATUREHEADERS,0),MATCH(($A417 &amp; "Points"),CLASSNAMEHEADERS,0))),(IF("11"=(INDEX(ALLCLASSDATA,MATCH("WillSaveExpert",CLASSFEATUREHEADERS,0),MATCH($A417,CLASSNAMEHEADERS,0))),(INDEX(ALLCLASSDATA,MATCH("WillSaveExpert",CLASSFEATUREHEADERS,0),MATCH(($A417 &amp; "Points"),CLASSNAMEHEADERS,0))),(IF("11"=(INDEX(ALLCLASSDATA,MATCH("WillSaveTrained",CLASSFEATUREHEADERS,0),MATCH($A417,CLASSNAMEHEADERS,0))),(INDEX(ALLCLASSDATA,MATCH("WillSaveTrained",CLASSFEATUREHEADERS,0),MATCH(($A417 &amp; "Points"),CLASSNAMEHEADERS,0))),"")))))))))}</f>
        <v>WILLL11</v>
      </c>
      <c r="S416" s="223"/>
      <c r="T416" s="223" t="str">
        <f t="array" ref="T416:T417">{"WILLL13";((IF("13"=(INDEX(ALLCLASSDATA,MATCH("WillSaveLegendary",CLASSFEATUREHEADERS,0),MATCH($A417,CLASSNAMEHEADERS,0))),(INDEX(ALLCLASSDATA,MATCH("WillSaveLegendary",CLASSFEATUREHEADERS,0),MATCH(($A417 &amp; "Points"),CLASSNAMEHEADERS,0))),(IF("13"=(INDEX(ALLCLASSDATA,MATCH("WillSaveMaster",CLASSFEATUREHEADERS,0),MATCH($A417,CLASSNAMEHEADERS,0))),(INDEX(ALLCLASSDATA,MATCH("WillSaveMaster",CLASSFEATUREHEADERS,0),MATCH(($A417 &amp; "Points"),CLASSNAMEHEADERS,0))),(IF("13"=(INDEX(ALLCLASSDATA,MATCH("WillSaveExpert",CLASSFEATUREHEADERS,0),MATCH($A417,CLASSNAMEHEADERS,0))),(INDEX(ALLCLASSDATA,MATCH("WillSaveExpert",CLASSFEATUREHEADERS,0),MATCH(($A417 &amp; "Points"),CLASSNAMEHEADERS,0))),(IF("13"=(INDEX(ALLCLASSDATA,MATCH("WillSaveTrained",CLASSFEATUREHEADERS,0),MATCH($A417,CLASSNAMEHEADERS,0))),(INDEX(ALLCLASSDATA,MATCH("WillSaveTrained",CLASSFEATUREHEADERS,0),MATCH(($A417 &amp; "Points"),CLASSNAMEHEADERS,0))),"")))))))))}</f>
        <v>WILLL13</v>
      </c>
      <c r="U416" s="223"/>
      <c r="V416" s="223" t="str">
        <f t="array" ref="V416:V417">{"WILLL15";((IF("15"=(INDEX(ALLCLASSDATA,MATCH("WillSaveLegendary",CLASSFEATUREHEADERS,0),MATCH($A417,CLASSNAMEHEADERS,0))),(INDEX(ALLCLASSDATA,MATCH("WillSaveLegendary",CLASSFEATUREHEADERS,0),MATCH(($A417 &amp; "Points"),CLASSNAMEHEADERS,0))),(IF("15"=(INDEX(ALLCLASSDATA,MATCH("WillSaveMaster",CLASSFEATUREHEADERS,0),MATCH($A417,CLASSNAMEHEADERS,0))),(INDEX(ALLCLASSDATA,MATCH("WillSaveMaster",CLASSFEATUREHEADERS,0),MATCH(($A417 &amp; "Points"),CLASSNAMEHEADERS,0))),(IF("15"=(INDEX(ALLCLASSDATA,MATCH("WillSaveExpert",CLASSFEATUREHEADERS,0),MATCH($A417,CLASSNAMEHEADERS,0))),(INDEX(ALLCLASSDATA,MATCH("WillSaveExpert",CLASSFEATUREHEADERS,0),MATCH(($A417 &amp; "Points"),CLASSNAMEHEADERS,0))),(IF("15"=(INDEX(ALLCLASSDATA,MATCH("WillSaveTrained",CLASSFEATUREHEADERS,0),MATCH($A417,CLASSNAMEHEADERS,0))),(INDEX(ALLCLASSDATA,MATCH("WillSaveTrained",CLASSFEATUREHEADERS,0),MATCH(($A417 &amp; "Points"),CLASSNAMEHEADERS,0))),"")))))))))}</f>
        <v>WILLL15</v>
      </c>
      <c r="W416" s="223"/>
      <c r="X416" s="223" t="str">
        <f t="array" ref="X416:X417">{"WILLL17";((IF("17"=(INDEX(ALLCLASSDATA,MATCH("WillSaveLegendary",CLASSFEATUREHEADERS,0),MATCH($A417,CLASSNAMEHEADERS,0))),(INDEX(ALLCLASSDATA,MATCH("WillSaveLegendary",CLASSFEATUREHEADERS,0),MATCH(($A417 &amp; "Points"),CLASSNAMEHEADERS,0))),(IF("17"=(INDEX(ALLCLASSDATA,MATCH("WillSaveMaster",CLASSFEATUREHEADERS,0),MATCH($A417,CLASSNAMEHEADERS,0))),(INDEX(ALLCLASSDATA,MATCH("WillSaveMaster",CLASSFEATUREHEADERS,0),MATCH(($A417 &amp; "Points"),CLASSNAMEHEADERS,0))),(IF("17"=(INDEX(ALLCLASSDATA,MATCH("WillSaveExpert",CLASSFEATUREHEADERS,0),MATCH($A417,CLASSNAMEHEADERS,0))),(INDEX(ALLCLASSDATA,MATCH("WillSaveExpert",CLASSFEATUREHEADERS,0),MATCH(($A417 &amp; "Points"),CLASSNAMEHEADERS,0))),(IF("17"=(INDEX(ALLCLASSDATA,MATCH("WillSaveTrained",CLASSFEATUREHEADERS,0),MATCH($A417,CLASSNAMEHEADERS,0))),(INDEX(ALLCLASSDATA,MATCH("WillSaveTrained",CLASSFEATUREHEADERS,0),MATCH(($A417 &amp; "Points"),CLASSNAMEHEADERS,0))),"")))))))))}</f>
        <v>WILLL17</v>
      </c>
      <c r="Y416" s="223"/>
      <c r="Z416" s="223" t="str">
        <f t="array" ref="Z416:Z417">{"WILLL19";((IF("19"=(INDEX(ALLCLASSDATA,MATCH("WillSaveLegendary",CLASSFEATUREHEADERS,0),MATCH($A417,CLASSNAMEHEADERS,0))),(INDEX(ALLCLASSDATA,MATCH("WillSaveLegendary",CLASSFEATUREHEADERS,0),MATCH(($A417 &amp; "Points"),CLASSNAMEHEADERS,0))),(IF("19"=(INDEX(ALLCLASSDATA,MATCH("WillSaveMaster",CLASSFEATUREHEADERS,0),MATCH($A417,CLASSNAMEHEADERS,0))),(INDEX(ALLCLASSDATA,MATCH("WillSaveMaster",CLASSFEATUREHEADERS,0),MATCH(($A417 &amp; "Points"),CLASSNAMEHEADERS,0))),(IF("19"=(INDEX(ALLCLASSDATA,MATCH("WillSaveExpert",CLASSFEATUREHEADERS,0),MATCH($A417,CLASSNAMEHEADERS,0))),(INDEX(ALLCLASSDATA,MATCH("WillSaveExpert",CLASSFEATUREHEADERS,0),MATCH(($A417 &amp; "Points"),CLASSNAMEHEADERS,0))),(IF("19"=(INDEX(ALLCLASSDATA,MATCH("WillSaveTrained",CLASSFEATUREHEADERS,0),MATCH($A417,CLASSNAMEHEADERS,0))),(INDEX(ALLCLASSDATA,MATCH("WillSaveTrained",CLASSFEATUREHEADERS,0),MATCH(($A417 &amp; "Points"),CLASSNAMEHEADERS,0))),"")))))))))}</f>
        <v>WILLL19</v>
      </c>
      <c r="AA416" s="223"/>
      <c r="AB416" s="76" t="str">
        <f t="array" ref="AB416:AB417">{"WILL TOTAL";(IF(COUNTBLANK(G417:AA417)=17,"L",(IF(COUNTBLANK(G417:AA417)=18,"M",(IF(COUNTBLANK(G417:AA417)=19,"E",(IF(COUNTBLANK(G417:AA417)=20,"T",""))))))))}</f>
        <v>WILL TOTAL</v>
      </c>
      <c r="AC416" s="76" t="str">
        <f t="array" ref="AC416:AC417">{"WILL TOTAL";(sum(G417:AA417))}</f>
        <v>WILL TOTAL</v>
      </c>
    </row>
    <row r="417">
      <c r="A417" s="48" t="s">
        <v>124</v>
      </c>
      <c r="B417" s="48"/>
      <c r="C417" s="48" t="s">
        <v>413</v>
      </c>
      <c r="D417" s="97" t="s">
        <v>1549</v>
      </c>
      <c r="E417" s="97" t="s">
        <v>1591</v>
      </c>
      <c r="F417" s="98" t="s">
        <v>435</v>
      </c>
      <c r="G417" s="132" t="s">
        <v>603</v>
      </c>
      <c r="H417" s="98">
        <v>10.0</v>
      </c>
      <c r="I417" s="98"/>
      <c r="J417" s="98">
        <v>50.0</v>
      </c>
      <c r="K417" s="98"/>
      <c r="L417" s="98" t="s">
        <v>603</v>
      </c>
      <c r="M417" s="97"/>
      <c r="N417" s="98" t="s">
        <v>603</v>
      </c>
      <c r="O417" s="98"/>
      <c r="P417" s="98" t="s">
        <v>603</v>
      </c>
      <c r="Q417" s="97"/>
      <c r="R417" s="98" t="s">
        <v>603</v>
      </c>
      <c r="S417" s="98"/>
      <c r="T417" s="98" t="s">
        <v>603</v>
      </c>
      <c r="U417" s="98"/>
      <c r="V417" s="98" t="s">
        <v>603</v>
      </c>
      <c r="W417" s="98"/>
      <c r="X417" s="98" t="s">
        <v>603</v>
      </c>
      <c r="Y417" s="98"/>
      <c r="Z417" s="98" t="s">
        <v>603</v>
      </c>
      <c r="AA417" s="98"/>
      <c r="AB417" s="5" t="s">
        <v>436</v>
      </c>
      <c r="AC417" s="47">
        <v>60.0</v>
      </c>
    </row>
    <row r="418" hidden="1">
      <c r="A418" s="222" t="str">
        <f t="array" ref="A418:A419">{"FormulaRow26";(INDEX(CLASSLIST,A367,1))}</f>
        <v>FormulaRow26</v>
      </c>
      <c r="B418" s="77" t="s">
        <v>236</v>
      </c>
      <c r="C418" s="222" t="str">
        <f t="array" ref="C418:C419">{"CLASSTYPE";((INDEX(ALLCLASSDATA,MATCH("ClassType",CLASSFEATUREHEADERS,0),MATCH($A419,CLASSNAMEHEADERS,0))))}</f>
        <v>CLASSTYPE</v>
      </c>
      <c r="D418" s="228" t="str">
        <f t="array" ref="D418:D419">{"ATTACK";"Attack"}</f>
        <v>ATTACK</v>
      </c>
      <c r="E418" s="228" t="str">
        <f t="array" ref="E418:E419">{"WEAPONSPECIAL";"WeaponCS/WS/GWS"}</f>
        <v>WEAPONSPECIAL</v>
      </c>
      <c r="F418" s="230"/>
      <c r="G418" s="230"/>
      <c r="H418" s="230" t="str">
        <f t="array" ref="H418:H419">{"WEAPONSPECIALL01";((IF("01"=INDEX(ALLCLASSDATA,MATCH("WeaponGreaterSpecialization",CLASSFEATUREHEADERS,0),MATCH($A419,CLASSNAMEHEADERS,0)),WeaponGWS,(IF("01"=INDEX(ALLCLASSDATA,MATCH("WeaponSpecialization",CLASSFEATUREHEADERS,0),MATCH($A419,CLASSNAMEHEADERS,0)),WeaponWS,(IF("01"=INDEX(ALLCLASSDATA,MATCH("WeaponCriticalSpecialization",CLASSFEATUREHEADERS,0),MATCH($A419,CLASSNAMEHEADERS,0)),WeaponCS,"")))))))}</f>
        <v>WEAPONSPECIALL01</v>
      </c>
      <c r="I418" s="230"/>
      <c r="J418" s="230" t="str">
        <f t="array" ref="J418:J419">{"WEAPONSPECIALL03";((IF("03"=INDEX(ALLCLASSDATA,MATCH("WeaponGreaterSpecialization",CLASSFEATUREHEADERS,0),MATCH($A419,CLASSNAMEHEADERS,0)),WeaponGWS,(IF("03"=INDEX(ALLCLASSDATA,MATCH("WeaponSpecialization",CLASSFEATUREHEADERS,0),MATCH($A419,CLASSNAMEHEADERS,0)),WeaponWS,(IF("03"=INDEX(ALLCLASSDATA,MATCH("WeaponCriticalSpecialization",CLASSFEATUREHEADERS,0),MATCH($A419,CLASSNAMEHEADERS,0)),WeaponCS,"")))))))}</f>
        <v>WEAPONSPECIALL03</v>
      </c>
      <c r="K418" s="230"/>
      <c r="L418" s="230" t="str">
        <f t="array" ref="L418:L419">{"WEAPONSPECIALL05";((IF("05"=INDEX(ALLCLASSDATA,MATCH("WeaponGreaterSpecialization",CLASSFEATUREHEADERS,0),MATCH($A419,CLASSNAMEHEADERS,0)),WeaponGWS,(IF("05"=INDEX(ALLCLASSDATA,MATCH("WeaponSpecialization",CLASSFEATUREHEADERS,0),MATCH($A419,CLASSNAMEHEADERS,0)),WeaponWS,(IF("05"=INDEX(ALLCLASSDATA,MATCH("WeaponCriticalSpecialization",CLASSFEATUREHEADERS,0),MATCH($A419,CLASSNAMEHEADERS,0)),WeaponCS,"")))))))}</f>
        <v>WEAPONSPECIALL05</v>
      </c>
      <c r="M418" s="230"/>
      <c r="N418" s="230" t="str">
        <f t="array" ref="N418:N419">{"WEAPONSPECIALL07";((IF("07"=INDEX(ALLCLASSDATA,MATCH("WeaponGreaterSpecialization",CLASSFEATUREHEADERS,0),MATCH($A419,CLASSNAMEHEADERS,0)),WeaponGWS,(IF("07"=INDEX(ALLCLASSDATA,MATCH("WeaponSpecialization",CLASSFEATUREHEADERS,0),MATCH($A419,CLASSNAMEHEADERS,0)),WeaponWS,(IF("07"=INDEX(ALLCLASSDATA,MATCH("WeaponCriticalSpecialization",CLASSFEATUREHEADERS,0),MATCH($A419,CLASSNAMEHEADERS,0)),WeaponCS,"")))))))}</f>
        <v>WEAPONSPECIALL07</v>
      </c>
      <c r="O418" s="230"/>
      <c r="P418" s="230" t="str">
        <f t="array" ref="P418:P419">{"WEAPONSPECIALL09";((IF("09"=INDEX(ALLCLASSDATA,MATCH("WeaponGreaterSpecialization",CLASSFEATUREHEADERS,0),MATCH($A419,CLASSNAMEHEADERS,0)),WeaponGWS,(IF("09"=INDEX(ALLCLASSDATA,MATCH("WeaponSpecialization",CLASSFEATUREHEADERS,0),MATCH($A419,CLASSNAMEHEADERS,0)),WeaponWS,(IF("09"=INDEX(ALLCLASSDATA,MATCH("WeaponCriticalSpecialization",CLASSFEATUREHEADERS,0),MATCH($A419,CLASSNAMEHEADERS,0)),WeaponCS,"")))))))}</f>
        <v>WEAPONSPECIALL09</v>
      </c>
      <c r="Q418" s="230"/>
      <c r="R418" s="230" t="str">
        <f t="array" ref="R418:R419">{"WEAPONSPECIALL11";((IF("11"=INDEX(ALLCLASSDATA,MATCH("WeaponGreaterSpecialization",CLASSFEATUREHEADERS,0),MATCH($A419,CLASSNAMEHEADERS,0)),WeaponGWS,(IF("11"=INDEX(ALLCLASSDATA,MATCH("WeaponSpecialization",CLASSFEATUREHEADERS,0),MATCH($A419,CLASSNAMEHEADERS,0)),WeaponWS,(IF("11"=INDEX(ALLCLASSDATA,MATCH("WeaponCriticalSpecialization",CLASSFEATUREHEADERS,0),MATCH($A419,CLASSNAMEHEADERS,0)),WeaponCS,"")))))))}</f>
        <v>WEAPONSPECIALL11</v>
      </c>
      <c r="S418" s="230"/>
      <c r="T418" s="230" t="str">
        <f t="array" ref="T418:T419">{"WEAPONSPECIALL13";((IF("13"=INDEX(ALLCLASSDATA,MATCH("WeaponGreaterSpecialization",CLASSFEATUREHEADERS,0),MATCH($A419,CLASSNAMEHEADERS,0)),WeaponGWS,(IF("13"=INDEX(ALLCLASSDATA,MATCH("WeaponSpecialization",CLASSFEATUREHEADERS,0),MATCH($A419,CLASSNAMEHEADERS,0)),WeaponWS,(IF("13"=INDEX(ALLCLASSDATA,MATCH("WeaponCriticalSpecialization",CLASSFEATUREHEADERS,0),MATCH($A419,CLASSNAMEHEADERS,0)),WeaponCS,"")))))))}</f>
        <v>WEAPONSPECIALL13</v>
      </c>
      <c r="U418" s="230"/>
      <c r="V418" s="230" t="str">
        <f t="array" ref="V418:V419">{"WEAPONSPECIALL15";((IF("15"=INDEX(ALLCLASSDATA,MATCH("WeaponGreaterSpecialization",CLASSFEATUREHEADERS,0),MATCH($A419,CLASSNAMEHEADERS,0)),WeaponGWS,(IF("15"=INDEX(ALLCLASSDATA,MATCH("WeaponSpecialization",CLASSFEATUREHEADERS,0),MATCH($A419,CLASSNAMEHEADERS,0)),WeaponWS,(IF("15"=INDEX(ALLCLASSDATA,MATCH("WeaponCriticalSpecialization",CLASSFEATUREHEADERS,0),MATCH($A419,CLASSNAMEHEADERS,0)),WeaponCS,"")))))))}</f>
        <v>WEAPONSPECIALL15</v>
      </c>
      <c r="W418" s="230"/>
      <c r="X418" s="230" t="str">
        <f t="array" ref="X418:X419">{"WEAPONSPECIALL17";((IF("17"=INDEX(ALLCLASSDATA,MATCH("WeaponGreaterSpecialization",CLASSFEATUREHEADERS,0),MATCH($A419,CLASSNAMEHEADERS,0)),WeaponGWS,(IF("17"=INDEX(ALLCLASSDATA,MATCH("WeaponSpecialization",CLASSFEATUREHEADERS,0),MATCH($A419,CLASSNAMEHEADERS,0)),WeaponWS,(IF("17"=INDEX(ALLCLASSDATA,MATCH("WeaponCriticalSpecialization",CLASSFEATUREHEADERS,0),MATCH($A419,CLASSNAMEHEADERS,0)),WeaponCS,"")))))))}</f>
        <v>WEAPONSPECIALL17</v>
      </c>
      <c r="Y418" s="230"/>
      <c r="Z418" s="230" t="str">
        <f t="array" ref="Z418:Z419">{"WEAPONSPECIALL19";((IF("19"=INDEX(ALLCLASSDATA,MATCH("WeaponGreaterSpecialization",CLASSFEATUREHEADERS,0),MATCH($A419,CLASSNAMEHEADERS,0)),WeaponGWS,(IF("19"=INDEX(ALLCLASSDATA,MATCH("WeaponSpecialization",CLASSFEATUREHEADERS,0),MATCH($A419,CLASSNAMEHEADERS,0)),WeaponWS,(IF("19"=INDEX(ALLCLASSDATA,MATCH("WeaponCriticalSpecialization",CLASSFEATUREHEADERS,0),MATCH($A419,CLASSNAMEHEADERS,0)),WeaponCS,"")))))))}</f>
        <v>WEAPONSPECIALL19</v>
      </c>
      <c r="AA418" s="230"/>
      <c r="AB418" s="76"/>
      <c r="AC418" s="76" t="str">
        <f t="array" ref="AC418:AC419">{"WEAPONSPECIAL TOTAL";(sum(G419:AA419))}</f>
        <v>WEAPONSPECIAL TOTAL</v>
      </c>
    </row>
    <row r="419">
      <c r="A419" s="48" t="s">
        <v>124</v>
      </c>
      <c r="B419" s="48"/>
      <c r="C419" s="48" t="s">
        <v>413</v>
      </c>
      <c r="D419" s="48" t="s">
        <v>1634</v>
      </c>
      <c r="E419" s="48" t="s">
        <v>1635</v>
      </c>
      <c r="F419" s="5"/>
      <c r="G419" s="47"/>
      <c r="H419" s="5" t="s">
        <v>603</v>
      </c>
      <c r="I419" s="5"/>
      <c r="J419" s="5" t="s">
        <v>603</v>
      </c>
      <c r="K419" s="5"/>
      <c r="L419" s="5">
        <v>50.0</v>
      </c>
      <c r="M419" s="5"/>
      <c r="N419" s="5">
        <v>70.0</v>
      </c>
      <c r="O419" s="5"/>
      <c r="P419" s="5" t="s">
        <v>603</v>
      </c>
      <c r="Q419" s="5"/>
      <c r="R419" s="5" t="s">
        <v>603</v>
      </c>
      <c r="S419" s="5"/>
      <c r="T419" s="5" t="s">
        <v>603</v>
      </c>
      <c r="U419" s="5"/>
      <c r="V419" s="5">
        <v>150.0</v>
      </c>
      <c r="W419" s="5"/>
      <c r="X419" s="5" t="s">
        <v>603</v>
      </c>
      <c r="Y419" s="5"/>
      <c r="Z419" s="5" t="s">
        <v>603</v>
      </c>
      <c r="AA419" s="5"/>
      <c r="AB419" s="5"/>
      <c r="AC419" s="47">
        <v>270.0</v>
      </c>
    </row>
    <row r="420" hidden="1">
      <c r="A420" s="222" t="str">
        <f t="array" ref="A420:A421">{"FormulaRow27";(INDEX(CLASSLIST,A367,1))}</f>
        <v>FormulaRow27</v>
      </c>
      <c r="B420" s="77" t="s">
        <v>236</v>
      </c>
      <c r="C420" s="222" t="str">
        <f t="array" ref="C420:C421">{"CLASSTYPE";((INDEX(ALLCLASSDATA,MATCH("ClassType",CLASSFEATUREHEADERS,0),MATCH($A421,CLASSNAMEHEADERS,0))))}</f>
        <v>CLASSTYPE</v>
      </c>
      <c r="D420" s="222" t="str">
        <f t="array" ref="D420:D421">{"ATTACK";"Attack"}</f>
        <v>ATTACK</v>
      </c>
      <c r="E420" s="222" t="str">
        <f t="array" ref="E420:E421">{"UNARMED";"Unarmed"}</f>
        <v>UNARMED</v>
      </c>
      <c r="F420" s="223" t="str">
        <f t="array" ref="F420:F421">{"UNARMEDINITIAL";((IF(H421=10,"T",(IF(H421=50,"E","")))))}</f>
        <v>UNARMEDINITIAL</v>
      </c>
      <c r="G420" s="223" t="str">
        <f t="array" ref="G420:G421">{"UNARMEDINITIALPTS";((IF("00"=(INDEX(ALLCLASSDATA,MATCH("UnarmedLegendary",CLASSFEATUREHEADERS,0),MATCH($A421,CLASSNAMEHEADERS,0))),(INDEX(ALLCLASSDATA,MATCH("UnarmedLegendary",CLASSFEATUREHEADERS,0),MATCH(($A421 &amp; "Points"),CLASSNAMEHEADERS,0))),(IF("00"=(INDEX(ALLCLASSDATA,MATCH("UnarmedMaster",CLASSFEATUREHEADERS,0),MATCH($A421,CLASSNAMEHEADERS,0))),(INDEX(ALLCLASSDATA,MATCH("UnarmedMaster",CLASSFEATUREHEADERS,0),MATCH(($A421 &amp; "Points"),CLASSNAMEHEADERS,0))),(IF("00"=(INDEX(ALLCLASSDATA,MATCH("UnarmedExpert",CLASSFEATUREHEADERS,0),MATCH($A421,CLASSNAMEHEADERS,0))),(INDEX(ALLCLASSDATA,MATCH("UnarmedExpert",CLASSFEATUREHEADERS,0),MATCH(($A421 &amp; "Points"),CLASSNAMEHEADERS,0))),(IF("00"=(INDEX(ALLCLASSDATA,MATCH("UnarmedTrained",CLASSFEATUREHEADERS,0),MATCH($A421,CLASSNAMEHEADERS,0))),(INDEX(ALLCLASSDATA,MATCH("UnarmedTrained",CLASSFEATUREHEADERS,0),MATCH(($A421 &amp; "Points"),CLASSNAMEHEADERS,0))),"")))))))))}</f>
        <v>UNARMEDINITIALPTS</v>
      </c>
      <c r="H420" s="223" t="str">
        <f t="array" ref="H420:H421">{"UNARMEDL01";((IF("01"=(INDEX(ALLCLASSDATA,MATCH("UnarmedLegendary",CLASSFEATUREHEADERS,0),MATCH($A421,CLASSNAMEHEADERS,0))),(INDEX(ALLCLASSDATA,MATCH("UnarmedLegendary",CLASSFEATUREHEADERS,0),MATCH(($A421 &amp; "Points"),CLASSNAMEHEADERS,0))),(IF("01"=(INDEX(ALLCLASSDATA,MATCH("UnarmedMaster",CLASSFEATUREHEADERS,0),MATCH($A421,CLASSNAMEHEADERS,0))),(INDEX(ALLCLASSDATA,MATCH("UnarmedMaster",CLASSFEATUREHEADERS,0),MATCH(($A421 &amp; "Points"),CLASSNAMEHEADERS,0))),(IF("01"=(INDEX(ALLCLASSDATA,MATCH("UnarmedExpert",CLASSFEATUREHEADERS,0),MATCH($A421,CLASSNAMEHEADERS,0))),(INDEX(ALLCLASSDATA,MATCH("UnarmedExpert",CLASSFEATUREHEADERS,0),MATCH(($A421 &amp; "Points"),CLASSNAMEHEADERS,0))),(IF("01"=(INDEX(ALLCLASSDATA,MATCH("UnarmedTrained",CLASSFEATUREHEADERS,0),MATCH($A421,CLASSNAMEHEADERS,0))),(INDEX(ALLCLASSDATA,MATCH("UnarmedTrained",CLASSFEATUREHEADERS,0),MATCH(($A421 &amp; "Points"),CLASSNAMEHEADERS,0))),"")))))))))}</f>
        <v>UNARMEDL01</v>
      </c>
      <c r="I420" s="223"/>
      <c r="J420" s="223" t="str">
        <f t="array" ref="J420:J421">{"UNARMEDL03";((IF("03"=(INDEX(ALLCLASSDATA,MATCH("UnarmedLegendary",CLASSFEATUREHEADERS,0),MATCH($A421,CLASSNAMEHEADERS,0))),(INDEX(ALLCLASSDATA,MATCH("UnarmedLegendary",CLASSFEATUREHEADERS,0),MATCH(($A421 &amp; "Points"),CLASSNAMEHEADERS,0))),(IF("03"=(INDEX(ALLCLASSDATA,MATCH("UnarmedMaster",CLASSFEATUREHEADERS,0),MATCH($A421,CLASSNAMEHEADERS,0))),(INDEX(ALLCLASSDATA,MATCH("UnarmedMaster",CLASSFEATUREHEADERS,0),MATCH(($A421 &amp; "Points"),CLASSNAMEHEADERS,0))),(IF("03"=(INDEX(ALLCLASSDATA,MATCH("UnarmedExpert",CLASSFEATUREHEADERS,0),MATCH($A421,CLASSNAMEHEADERS,0))),(INDEX(ALLCLASSDATA,MATCH("UnarmedExpert",CLASSFEATUREHEADERS,0),MATCH(($A421 &amp; "Points"),CLASSNAMEHEADERS,0))),(IF("03"=(INDEX(ALLCLASSDATA,MATCH("UnarmedTrained",CLASSFEATUREHEADERS,0),MATCH($A421,CLASSNAMEHEADERS,0))),(INDEX(ALLCLASSDATA,MATCH("UnarmedTrained",CLASSFEATUREHEADERS,0),MATCH(($A421 &amp; "Points"),CLASSNAMEHEADERS,0))),"")))))))))}</f>
        <v>UNARMEDL03</v>
      </c>
      <c r="K420" s="223"/>
      <c r="L420" s="223" t="str">
        <f t="array" ref="L420:L421">{"UNARMEDL05";((IF("05"=(INDEX(ALLCLASSDATA,MATCH("UnarmedLegendary",CLASSFEATUREHEADERS,0),MATCH($A421,CLASSNAMEHEADERS,0))),(INDEX(ALLCLASSDATA,MATCH("UnarmedLegendary",CLASSFEATUREHEADERS,0),MATCH(($A421 &amp; "Points"),CLASSNAMEHEADERS,0))),(IF("05"=(INDEX(ALLCLASSDATA,MATCH("UnarmedMaster",CLASSFEATUREHEADERS,0),MATCH($A421,CLASSNAMEHEADERS,0))),(INDEX(ALLCLASSDATA,MATCH("UnarmedMaster",CLASSFEATUREHEADERS,0),MATCH(($A421 &amp; "Points"),CLASSNAMEHEADERS,0))),(IF("05"=(INDEX(ALLCLASSDATA,MATCH("UnarmedExpert",CLASSFEATUREHEADERS,0),MATCH($A421,CLASSNAMEHEADERS,0))),(INDEX(ALLCLASSDATA,MATCH("UnarmedExpert",CLASSFEATUREHEADERS,0),MATCH(($A421 &amp; "Points"),CLASSNAMEHEADERS,0))),(IF("05"=(INDEX(ALLCLASSDATA,MATCH("UnarmedTrained",CLASSFEATUREHEADERS,0),MATCH($A421,CLASSNAMEHEADERS,0))),(INDEX(ALLCLASSDATA,MATCH("UnarmedTrained",CLASSFEATUREHEADERS,0),MATCH(($A421 &amp; "Points"),CLASSNAMEHEADERS,0))),"")))))))))}</f>
        <v>UNARMEDL05</v>
      </c>
      <c r="M420" s="223"/>
      <c r="N420" s="223" t="str">
        <f t="array" ref="N420:N421">{"UNARMEDL07";((IF("07"=(INDEX(ALLCLASSDATA,MATCH("UnarmedLegendary",CLASSFEATUREHEADERS,0),MATCH($A421,CLASSNAMEHEADERS,0))),(INDEX(ALLCLASSDATA,MATCH("UnarmedLegendary",CLASSFEATUREHEADERS,0),MATCH(($A421 &amp; "Points"),CLASSNAMEHEADERS,0))),(IF("07"=(INDEX(ALLCLASSDATA,MATCH("UnarmedMaster",CLASSFEATUREHEADERS,0),MATCH($A421,CLASSNAMEHEADERS,0))),(INDEX(ALLCLASSDATA,MATCH("UnarmedMaster",CLASSFEATUREHEADERS,0),MATCH(($A421 &amp; "Points"),CLASSNAMEHEADERS,0))),(IF("07"=(INDEX(ALLCLASSDATA,MATCH("UnarmedExpert",CLASSFEATUREHEADERS,0),MATCH($A421,CLASSNAMEHEADERS,0))),(INDEX(ALLCLASSDATA,MATCH("UnarmedExpert",CLASSFEATUREHEADERS,0),MATCH(($A421 &amp; "Points"),CLASSNAMEHEADERS,0))),(IF("07"=(INDEX(ALLCLASSDATA,MATCH("UnarmedTrained",CLASSFEATUREHEADERS,0),MATCH($A421,CLASSNAMEHEADERS,0))),(INDEX(ALLCLASSDATA,MATCH("UnarmedTrained",CLASSFEATUREHEADERS,0),MATCH(($A421 &amp; "Points"),CLASSNAMEHEADERS,0))),"")))))))))}</f>
        <v>UNARMEDL07</v>
      </c>
      <c r="O420" s="223"/>
      <c r="P420" s="223" t="str">
        <f t="array" ref="P420:P421">{"UNARMEDL09";((IF("09"=(INDEX(ALLCLASSDATA,MATCH("UnarmedLegendary",CLASSFEATUREHEADERS,0),MATCH($A421,CLASSNAMEHEADERS,0))),(INDEX(ALLCLASSDATA,MATCH("UnarmedLegendary",CLASSFEATUREHEADERS,0),MATCH(($A421 &amp; "Points"),CLASSNAMEHEADERS,0))),(IF("09"=(INDEX(ALLCLASSDATA,MATCH("UnarmedMaster",CLASSFEATUREHEADERS,0),MATCH($A421,CLASSNAMEHEADERS,0))),(INDEX(ALLCLASSDATA,MATCH("UnarmedMaster",CLASSFEATUREHEADERS,0),MATCH(($A421 &amp; "Points"),CLASSNAMEHEADERS,0))),(IF("09"=(INDEX(ALLCLASSDATA,MATCH("UnarmedExpert",CLASSFEATUREHEADERS,0),MATCH($A421,CLASSNAMEHEADERS,0))),(INDEX(ALLCLASSDATA,MATCH("UnarmedExpert",CLASSFEATUREHEADERS,0),MATCH(($A421 &amp; "Points"),CLASSNAMEHEADERS,0))),(IF("09"=(INDEX(ALLCLASSDATA,MATCH("UnarmedTrained",CLASSFEATUREHEADERS,0),MATCH($A421,CLASSNAMEHEADERS,0))),(INDEX(ALLCLASSDATA,MATCH("UnarmedTrained",CLASSFEATUREHEADERS,0),MATCH(($A421 &amp; "Points"),CLASSNAMEHEADERS,0))),"")))))))))}</f>
        <v>UNARMEDL09</v>
      </c>
      <c r="Q420" s="223"/>
      <c r="R420" s="223" t="str">
        <f t="array" ref="R420:R421">{"UNARMEDL11";((IF("11"=(INDEX(ALLCLASSDATA,MATCH("UnarmedLegendary",CLASSFEATUREHEADERS,0),MATCH($A421,CLASSNAMEHEADERS,0))),(INDEX(ALLCLASSDATA,MATCH("UnarmedLegendary",CLASSFEATUREHEADERS,0),MATCH(($A421 &amp; "Points"),CLASSNAMEHEADERS,0))),(IF("11"=(INDEX(ALLCLASSDATA,MATCH("UnarmedMaster",CLASSFEATUREHEADERS,0),MATCH($A421,CLASSNAMEHEADERS,0))),(INDEX(ALLCLASSDATA,MATCH("UnarmedMaster",CLASSFEATUREHEADERS,0),MATCH(($A421 &amp; "Points"),CLASSNAMEHEADERS,0))),(IF("11"=(INDEX(ALLCLASSDATA,MATCH("UnarmedExpert",CLASSFEATUREHEADERS,0),MATCH($A421,CLASSNAMEHEADERS,0))),(INDEX(ALLCLASSDATA,MATCH("UnarmedExpert",CLASSFEATUREHEADERS,0),MATCH(($A421 &amp; "Points"),CLASSNAMEHEADERS,0))),(IF("11"=(INDEX(ALLCLASSDATA,MATCH("UnarmedTrained",CLASSFEATUREHEADERS,0),MATCH($A421,CLASSNAMEHEADERS,0))),(INDEX(ALLCLASSDATA,MATCH("UnarmedTrained",CLASSFEATUREHEADERS,0),MATCH(($A421 &amp; "Points"),CLASSNAMEHEADERS,0))),"")))))))))}</f>
        <v>UNARMEDL11</v>
      </c>
      <c r="S420" s="223"/>
      <c r="T420" s="223" t="str">
        <f t="array" ref="T420:T421">{"UNARMEDL13";((IF("13"=(INDEX(ALLCLASSDATA,MATCH("UnarmedLegendary",CLASSFEATUREHEADERS,0),MATCH($A421,CLASSNAMEHEADERS,0))),(INDEX(ALLCLASSDATA,MATCH("UnarmedLegendary",CLASSFEATUREHEADERS,0),MATCH(($A421 &amp; "Points"),CLASSNAMEHEADERS,0))),(IF("13"=(INDEX(ALLCLASSDATA,MATCH("UnarmedMaster",CLASSFEATUREHEADERS,0),MATCH($A421,CLASSNAMEHEADERS,0))),(INDEX(ALLCLASSDATA,MATCH("UnarmedMaster",CLASSFEATUREHEADERS,0),MATCH(($A421 &amp; "Points"),CLASSNAMEHEADERS,0))),(IF("13"=(INDEX(ALLCLASSDATA,MATCH("UnarmedExpert",CLASSFEATUREHEADERS,0),MATCH($A421,CLASSNAMEHEADERS,0))),(INDEX(ALLCLASSDATA,MATCH("UnarmedExpert",CLASSFEATUREHEADERS,0),MATCH(($A421 &amp; "Points"),CLASSNAMEHEADERS,0))),(IF("13"=(INDEX(ALLCLASSDATA,MATCH("UnarmedTrained",CLASSFEATUREHEADERS,0),MATCH($A421,CLASSNAMEHEADERS,0))),(INDEX(ALLCLASSDATA,MATCH("UnarmedTrained",CLASSFEATUREHEADERS,0),MATCH(($A421 &amp; "Points"),CLASSNAMEHEADERS,0))),"")))))))))}</f>
        <v>UNARMEDL13</v>
      </c>
      <c r="U420" s="223"/>
      <c r="V420" s="223" t="str">
        <f t="array" ref="V420:V421">{"UNARMEDL15";((IF("15"=(INDEX(ALLCLASSDATA,MATCH("UnarmedLegendary",CLASSFEATUREHEADERS,0),MATCH($A421,CLASSNAMEHEADERS,0))),(INDEX(ALLCLASSDATA,MATCH("UnarmedLegendary",CLASSFEATUREHEADERS,0),MATCH(($A421 &amp; "Points"),CLASSNAMEHEADERS,0))),(IF("15"=(INDEX(ALLCLASSDATA,MATCH("UnarmedMaster",CLASSFEATUREHEADERS,0),MATCH($A421,CLASSNAMEHEADERS,0))),(INDEX(ALLCLASSDATA,MATCH("UnarmedMaster",CLASSFEATUREHEADERS,0),MATCH(($A421 &amp; "Points"),CLASSNAMEHEADERS,0))),(IF("15"=(INDEX(ALLCLASSDATA,MATCH("UnarmedExpert",CLASSFEATUREHEADERS,0),MATCH($A421,CLASSNAMEHEADERS,0))),(INDEX(ALLCLASSDATA,MATCH("UnarmedExpert",CLASSFEATUREHEADERS,0),MATCH(($A421 &amp; "Points"),CLASSNAMEHEADERS,0))),(IF("15"=(INDEX(ALLCLASSDATA,MATCH("UnarmedTrained",CLASSFEATUREHEADERS,0),MATCH($A421,CLASSNAMEHEADERS,0))),(INDEX(ALLCLASSDATA,MATCH("UnarmedTrained",CLASSFEATUREHEADERS,0),MATCH(($A421 &amp; "Points"),CLASSNAMEHEADERS,0))),"")))))))))}</f>
        <v>UNARMEDL15</v>
      </c>
      <c r="W420" s="223"/>
      <c r="X420" s="223" t="str">
        <f t="array" ref="X420:X421">{"UNARMEDL17";((IF("17"=(INDEX(ALLCLASSDATA,MATCH("UnarmedLegendary",CLASSFEATUREHEADERS,0),MATCH($A421,CLASSNAMEHEADERS,0))),(INDEX(ALLCLASSDATA,MATCH("UnarmedLegendary",CLASSFEATUREHEADERS,0),MATCH(($A421 &amp; "Points"),CLASSNAMEHEADERS,0))),(IF("17"=(INDEX(ALLCLASSDATA,MATCH("UnarmedMaster",CLASSFEATUREHEADERS,0),MATCH($A421,CLASSNAMEHEADERS,0))),(INDEX(ALLCLASSDATA,MATCH("UnarmedMaster",CLASSFEATUREHEADERS,0),MATCH(($A421 &amp; "Points"),CLASSNAMEHEADERS,0))),(IF("17"=(INDEX(ALLCLASSDATA,MATCH("UnarmedExpert",CLASSFEATUREHEADERS,0),MATCH($A421,CLASSNAMEHEADERS,0))),(INDEX(ALLCLASSDATA,MATCH("UnarmedExpert",CLASSFEATUREHEADERS,0),MATCH(($A421 &amp; "Points"),CLASSNAMEHEADERS,0))),(IF("17"=(INDEX(ALLCLASSDATA,MATCH("UnarmedTrained",CLASSFEATUREHEADERS,0),MATCH($A421,CLASSNAMEHEADERS,0))),(INDEX(ALLCLASSDATA,MATCH("UnarmedTrained",CLASSFEATUREHEADERS,0),MATCH(($A421 &amp; "Points"),CLASSNAMEHEADERS,0))),"")))))))))}</f>
        <v>UNARMEDL17</v>
      </c>
      <c r="Y420" s="223"/>
      <c r="Z420" s="223" t="str">
        <f t="array" ref="Z420:Z421">{"UNARMEDL19";((IF("19"=(INDEX(ALLCLASSDATA,MATCH("UnarmedLegendary",CLASSFEATUREHEADERS,0),MATCH($A421,CLASSNAMEHEADERS,0))),(INDEX(ALLCLASSDATA,MATCH("UnarmedLegendary",CLASSFEATUREHEADERS,0),MATCH(($A421 &amp; "Points"),CLASSNAMEHEADERS,0))),(IF("19"=(INDEX(ALLCLASSDATA,MATCH("UnarmedMaster",CLASSFEATUREHEADERS,0),MATCH($A421,CLASSNAMEHEADERS,0))),(INDEX(ALLCLASSDATA,MATCH("UnarmedMaster",CLASSFEATUREHEADERS,0),MATCH(($A421 &amp; "Points"),CLASSNAMEHEADERS,0))),(IF("19"=(INDEX(ALLCLASSDATA,MATCH("UnarmedExpert",CLASSFEATUREHEADERS,0),MATCH($A421,CLASSNAMEHEADERS,0))),(INDEX(ALLCLASSDATA,MATCH("UnarmedExpert",CLASSFEATUREHEADERS,0),MATCH(($A421 &amp; "Points"),CLASSNAMEHEADERS,0))),(IF("19"=(INDEX(ALLCLASSDATA,MATCH("UnarmedTrained",CLASSFEATUREHEADERS,0),MATCH($A421,CLASSNAMEHEADERS,0))),(INDEX(ALLCLASSDATA,MATCH("UnarmedTrained",CLASSFEATUREHEADERS,0),MATCH(($A421 &amp; "Points"),CLASSNAMEHEADERS,0))),"")))))))))}</f>
        <v>UNARMEDL19</v>
      </c>
      <c r="AA420" s="223"/>
      <c r="AB420" s="76" t="str">
        <f t="array" ref="AB420:AB421">{"UNARMED TOTAL";(IF(COUNTBLANK(G421:AA421)=17,"L",(IF(COUNTBLANK(G421:AA421)=18,"M",(IF(COUNTBLANK(G421:AA421)=19,"E",(IF(COUNTBLANK(G421:AA421)=20,"T",""))))))))}</f>
        <v>UNARMED TOTAL</v>
      </c>
      <c r="AC420" s="76" t="str">
        <f t="array" ref="AC420:AC421">{"UNARMED TOTAL";(sum(G421:AA421))}</f>
        <v>UNARMED TOTAL</v>
      </c>
    </row>
    <row r="421">
      <c r="A421" s="48" t="s">
        <v>124</v>
      </c>
      <c r="B421" s="48"/>
      <c r="C421" s="48" t="s">
        <v>413</v>
      </c>
      <c r="D421" s="48" t="s">
        <v>1634</v>
      </c>
      <c r="E421" s="48" t="s">
        <v>257</v>
      </c>
      <c r="F421" s="5" t="s">
        <v>435</v>
      </c>
      <c r="G421" s="47" t="s">
        <v>603</v>
      </c>
      <c r="H421" s="5">
        <v>10.0</v>
      </c>
      <c r="I421" s="5"/>
      <c r="J421" s="5" t="s">
        <v>603</v>
      </c>
      <c r="K421" s="5"/>
      <c r="L421" s="5" t="s">
        <v>436</v>
      </c>
      <c r="M421" s="5"/>
      <c r="N421" s="5" t="s">
        <v>603</v>
      </c>
      <c r="O421" s="5"/>
      <c r="P421" s="5" t="s">
        <v>603</v>
      </c>
      <c r="Q421" s="5"/>
      <c r="R421" s="5" t="s">
        <v>603</v>
      </c>
      <c r="S421" s="5"/>
      <c r="T421" s="5" t="s">
        <v>437</v>
      </c>
      <c r="U421" s="5"/>
      <c r="V421" s="5" t="s">
        <v>603</v>
      </c>
      <c r="W421" s="5"/>
      <c r="X421" s="5" t="s">
        <v>603</v>
      </c>
      <c r="Y421" s="5"/>
      <c r="Z421" s="5" t="s">
        <v>603</v>
      </c>
      <c r="AA421" s="5"/>
      <c r="AB421" s="5" t="s">
        <v>437</v>
      </c>
      <c r="AC421" s="47">
        <v>10.0</v>
      </c>
    </row>
    <row r="422" hidden="1">
      <c r="A422" s="222" t="str">
        <f t="array" ref="A422:A423">{"FormulaRow28";(INDEX(CLASSLIST,A367,1))}</f>
        <v>FormulaRow28</v>
      </c>
      <c r="B422" s="77" t="s">
        <v>236</v>
      </c>
      <c r="C422" s="222" t="str">
        <f t="array" ref="C422:C423">{"CLASSTYPE";((INDEX(ALLCLASSDATA,MATCH("ClassType",CLASSFEATUREHEADERS,0),MATCH($A423,CLASSNAMEHEADERS,0))))}</f>
        <v>CLASSTYPE</v>
      </c>
      <c r="D422" s="222" t="str">
        <f t="array" ref="D422:D423">{"ATTACK";"Attack"}</f>
        <v>ATTACK</v>
      </c>
      <c r="E422" s="222" t="str">
        <f t="array" ref="E422:E423">{"SIMPLELIMITED";"SimpleLimited"}</f>
        <v>SIMPLELIMITED</v>
      </c>
      <c r="F422" s="223" t="str">
        <f t="array" ref="F422:F423">{"SIMPLELIMITEDINITIAL";((IF(H423=10,"T",(IF(H423=50,"E","")))))}</f>
        <v>SIMPLELIMITEDINITIAL</v>
      </c>
      <c r="G422" s="223" t="str">
        <f t="array" ref="G422:G423">{"SIMPLELIMITEDINITIALPTS";((IF("00"=(INDEX(ALLCLASSDATA,MATCH("SimpleLimitedLegendary",CLASSFEATUREHEADERS,0),MATCH($A423,CLASSNAMEHEADERS,0))),(INDEX(ALLCLASSDATA,MATCH("SimpleLimitedLegendary",CLASSFEATUREHEADERS,0),MATCH(($A423 &amp; "Points"),CLASSNAMEHEADERS,0))),(IF("00"=(INDEX(ALLCLASSDATA,MATCH("SimpleLimitedMaster",CLASSFEATUREHEADERS,0),MATCH($A423,CLASSNAMEHEADERS,0))),(INDEX(ALLCLASSDATA,MATCH("SimpleLimitedMaster",CLASSFEATUREHEADERS,0),MATCH(($A423 &amp; "Points"),CLASSNAMEHEADERS,0))),(IF("00"=(INDEX(ALLCLASSDATA,MATCH("SimpleLimitedExpert",CLASSFEATUREHEADERS,0),MATCH($A423,CLASSNAMEHEADERS,0))),(INDEX(ALLCLASSDATA,MATCH("SimpleLimitedExpert",CLASSFEATUREHEADERS,0),MATCH(($A423 &amp; "Points"),CLASSNAMEHEADERS,0))),(IF("00"=(INDEX(ALLCLASSDATA,MATCH("SimpleLimitedTrained",CLASSFEATUREHEADERS,0),MATCH($A423,CLASSNAMEHEADERS,0))),(INDEX(ALLCLASSDATA,MATCH("SimpleLimitedTrained",CLASSFEATUREHEADERS,0),MATCH(($A423 &amp; "Points"),CLASSNAMEHEADERS,0))),"")))))))))}</f>
        <v>SIMPLELIMITEDINITIALPTS</v>
      </c>
      <c r="H422" s="223" t="str">
        <f t="array" ref="H422:H423">{"SIMPLELIMITEDL01";((IF("01"=(INDEX(ALLCLASSDATA,MATCH("SimpleLimitedLegendary",CLASSFEATUREHEADERS,0),MATCH($A423,CLASSNAMEHEADERS,0))),(INDEX(ALLCLASSDATA,MATCH("SimpleLimitedLegendary",CLASSFEATUREHEADERS,0),MATCH(($A423 &amp; "Points"),CLASSNAMEHEADERS,0))),(IF("01"=(INDEX(ALLCLASSDATA,MATCH("SimpleLimitedMaster",CLASSFEATUREHEADERS,0),MATCH($A423,CLASSNAMEHEADERS,0))),(INDEX(ALLCLASSDATA,MATCH("SimpleLimitedMaster",CLASSFEATUREHEADERS,0),MATCH(($A423 &amp; "Points"),CLASSNAMEHEADERS,0))),(IF("01"=(INDEX(ALLCLASSDATA,MATCH("SimpleLimitedExpert",CLASSFEATUREHEADERS,0),MATCH($A423,CLASSNAMEHEADERS,0))),(INDEX(ALLCLASSDATA,MATCH("SimpleLimitedExpert",CLASSFEATUREHEADERS,0),MATCH(($A423 &amp; "Points"),CLASSNAMEHEADERS,0))),(IF("01"=(INDEX(ALLCLASSDATA,MATCH("SimpleLimitedTrained",CLASSFEATUREHEADERS,0),MATCH($A423,CLASSNAMEHEADERS,0))),(INDEX(ALLCLASSDATA,MATCH("SimpleLimitedTrained",CLASSFEATUREHEADERS,0),MATCH(($A423 &amp; "Points"),CLASSNAMEHEADERS,0))),"")))))))))}</f>
        <v>SIMPLELIMITEDL01</v>
      </c>
      <c r="I422" s="223"/>
      <c r="J422" s="223" t="str">
        <f t="array" ref="J422:J423">{"SIMPLELIMITEDL03";((IF("03"=(INDEX(ALLCLASSDATA,MATCH("SimpleLimitedLegendary",CLASSFEATUREHEADERS,0),MATCH($A423,CLASSNAMEHEADERS,0))),(INDEX(ALLCLASSDATA,MATCH("SimpleLimitedLegendary",CLASSFEATUREHEADERS,0),MATCH(($A423 &amp; "Points"),CLASSNAMEHEADERS,0))),(IF("03"=(INDEX(ALLCLASSDATA,MATCH("SimpleLimitedMaster",CLASSFEATUREHEADERS,0),MATCH($A423,CLASSNAMEHEADERS,0))),(INDEX(ALLCLASSDATA,MATCH("SimpleLimitedMaster",CLASSFEATUREHEADERS,0),MATCH(($A423 &amp; "Points"),CLASSNAMEHEADERS,0))),(IF("03"=(INDEX(ALLCLASSDATA,MATCH("SimpleLimitedExpert",CLASSFEATUREHEADERS,0),MATCH($A423,CLASSNAMEHEADERS,0))),(INDEX(ALLCLASSDATA,MATCH("SimpleLimitedExpert",CLASSFEATUREHEADERS,0),MATCH(($A423 &amp; "Points"),CLASSNAMEHEADERS,0))),(IF("03"=(INDEX(ALLCLASSDATA,MATCH("SimpleLimitedTrained",CLASSFEATUREHEADERS,0),MATCH($A423,CLASSNAMEHEADERS,0))),(INDEX(ALLCLASSDATA,MATCH("SimpleLimitedTrained",CLASSFEATUREHEADERS,0),MATCH(($A423 &amp; "Points"),CLASSNAMEHEADERS,0))),"")))))))))}</f>
        <v>SIMPLELIMITEDL03</v>
      </c>
      <c r="K422" s="223"/>
      <c r="L422" s="223" t="str">
        <f t="array" ref="L422:L423">{"SIMPLELIMITEDL05";((IF("05"=(INDEX(ALLCLASSDATA,MATCH("SimpleLimitedLegendary",CLASSFEATUREHEADERS,0),MATCH($A423,CLASSNAMEHEADERS,0))),(INDEX(ALLCLASSDATA,MATCH("SimpleLimitedLegendary",CLASSFEATUREHEADERS,0),MATCH(($A423 &amp; "Points"),CLASSNAMEHEADERS,0))),(IF("05"=(INDEX(ALLCLASSDATA,MATCH("SimpleLimitedMaster",CLASSFEATUREHEADERS,0),MATCH($A423,CLASSNAMEHEADERS,0))),(INDEX(ALLCLASSDATA,MATCH("SimpleLimitedMaster",CLASSFEATUREHEADERS,0),MATCH(($A423 &amp; "Points"),CLASSNAMEHEADERS,0))),(IF("05"=(INDEX(ALLCLASSDATA,MATCH("SimpleLimitedExpert",CLASSFEATUREHEADERS,0),MATCH($A423,CLASSNAMEHEADERS,0))),(INDEX(ALLCLASSDATA,MATCH("SimpleLimitedExpert",CLASSFEATUREHEADERS,0),MATCH(($A423 &amp; "Points"),CLASSNAMEHEADERS,0))),(IF("05"=(INDEX(ALLCLASSDATA,MATCH("SimpleLimitedTrained",CLASSFEATUREHEADERS,0),MATCH($A423,CLASSNAMEHEADERS,0))),(INDEX(ALLCLASSDATA,MATCH("SimpleLimitedTrained",CLASSFEATUREHEADERS,0),MATCH(($A423 &amp; "Points"),CLASSNAMEHEADERS,0))),"")))))))))}</f>
        <v>SIMPLELIMITEDL05</v>
      </c>
      <c r="M422" s="223"/>
      <c r="N422" s="223" t="str">
        <f t="array" ref="N422:N423">{"SIMPLELIMITEDL07";((IF("07"=(INDEX(ALLCLASSDATA,MATCH("SimpleLimitedLegendary",CLASSFEATUREHEADERS,0),MATCH($A423,CLASSNAMEHEADERS,0))),(INDEX(ALLCLASSDATA,MATCH("SimpleLimitedLegendary",CLASSFEATUREHEADERS,0),MATCH(($A423 &amp; "Points"),CLASSNAMEHEADERS,0))),(IF("07"=(INDEX(ALLCLASSDATA,MATCH("SimpleLimitedMaster",CLASSFEATUREHEADERS,0),MATCH($A423,CLASSNAMEHEADERS,0))),(INDEX(ALLCLASSDATA,MATCH("SimpleLimitedMaster",CLASSFEATUREHEADERS,0),MATCH(($A423 &amp; "Points"),CLASSNAMEHEADERS,0))),(IF("07"=(INDEX(ALLCLASSDATA,MATCH("SimpleLimitedExpert",CLASSFEATUREHEADERS,0),MATCH($A423,CLASSNAMEHEADERS,0))),(INDEX(ALLCLASSDATA,MATCH("SimpleLimitedExpert",CLASSFEATUREHEADERS,0),MATCH(($A423 &amp; "Points"),CLASSNAMEHEADERS,0))),(IF("07"=(INDEX(ALLCLASSDATA,MATCH("SimpleLimitedTrained",CLASSFEATUREHEADERS,0),MATCH($A423,CLASSNAMEHEADERS,0))),(INDEX(ALLCLASSDATA,MATCH("SimpleLimitedTrained",CLASSFEATUREHEADERS,0),MATCH(($A423 &amp; "Points"),CLASSNAMEHEADERS,0))),"")))))))))}</f>
        <v>SIMPLELIMITEDL07</v>
      </c>
      <c r="O422" s="223"/>
      <c r="P422" s="223" t="str">
        <f t="array" ref="P422:P423">{"SIMPLELIMITEDL09";((IF("09"=(INDEX(ALLCLASSDATA,MATCH("SimpleLimitedLegendary",CLASSFEATUREHEADERS,0),MATCH($A423,CLASSNAMEHEADERS,0))),(INDEX(ALLCLASSDATA,MATCH("SimpleLimitedLegendary",CLASSFEATUREHEADERS,0),MATCH(($A423 &amp; "Points"),CLASSNAMEHEADERS,0))),(IF("09"=(INDEX(ALLCLASSDATA,MATCH("SimpleLimitedMaster",CLASSFEATUREHEADERS,0),MATCH($A423,CLASSNAMEHEADERS,0))),(INDEX(ALLCLASSDATA,MATCH("SimpleLimitedMaster",CLASSFEATUREHEADERS,0),MATCH(($A423 &amp; "Points"),CLASSNAMEHEADERS,0))),(IF("09"=(INDEX(ALLCLASSDATA,MATCH("SimpleLimitedExpert",CLASSFEATUREHEADERS,0),MATCH($A423,CLASSNAMEHEADERS,0))),(INDEX(ALLCLASSDATA,MATCH("SimpleLimitedExpert",CLASSFEATUREHEADERS,0),MATCH(($A423 &amp; "Points"),CLASSNAMEHEADERS,0))),(IF("09"=(INDEX(ALLCLASSDATA,MATCH("SimpleLimitedTrained",CLASSFEATUREHEADERS,0),MATCH($A423,CLASSNAMEHEADERS,0))),(INDEX(ALLCLASSDATA,MATCH("SimpleLimitedTrained",CLASSFEATUREHEADERS,0),MATCH(($A423 &amp; "Points"),CLASSNAMEHEADERS,0))),"")))))))))}</f>
        <v>SIMPLELIMITEDL09</v>
      </c>
      <c r="Q422" s="223"/>
      <c r="R422" s="223" t="str">
        <f t="array" ref="R422:R423">{"SIMPLELIMITEDL11";((IF("11"=(INDEX(ALLCLASSDATA,MATCH("SimpleLimitedLegendary",CLASSFEATUREHEADERS,0),MATCH($A423,CLASSNAMEHEADERS,0))),(INDEX(ALLCLASSDATA,MATCH("SimpleLimitedLegendary",CLASSFEATUREHEADERS,0),MATCH(($A423 &amp; "Points"),CLASSNAMEHEADERS,0))),(IF("11"=(INDEX(ALLCLASSDATA,MATCH("SimpleLimitedMaster",CLASSFEATUREHEADERS,0),MATCH($A423,CLASSNAMEHEADERS,0))),(INDEX(ALLCLASSDATA,MATCH("SimpleLimitedMaster",CLASSFEATUREHEADERS,0),MATCH(($A423 &amp; "Points"),CLASSNAMEHEADERS,0))),(IF("11"=(INDEX(ALLCLASSDATA,MATCH("SimpleLimitedExpert",CLASSFEATUREHEADERS,0),MATCH($A423,CLASSNAMEHEADERS,0))),(INDEX(ALLCLASSDATA,MATCH("SimpleLimitedExpert",CLASSFEATUREHEADERS,0),MATCH(($A423 &amp; "Points"),CLASSNAMEHEADERS,0))),(IF("11"=(INDEX(ALLCLASSDATA,MATCH("SimpleLimitedTrained",CLASSFEATUREHEADERS,0),MATCH($A423,CLASSNAMEHEADERS,0))),(INDEX(ALLCLASSDATA,MATCH("SimpleLimitedTrained",CLASSFEATUREHEADERS,0),MATCH(($A423 &amp; "Points"),CLASSNAMEHEADERS,0))),"")))))))))}</f>
        <v>SIMPLELIMITEDL11</v>
      </c>
      <c r="S422" s="223"/>
      <c r="T422" s="223" t="str">
        <f t="array" ref="T422:T423">{"SIMPLELIMITEDL13";((IF("13"=(INDEX(ALLCLASSDATA,MATCH("SimpleLimitedLegendary",CLASSFEATUREHEADERS,0),MATCH($A423,CLASSNAMEHEADERS,0))),(INDEX(ALLCLASSDATA,MATCH("SimpleLimitedLegendary",CLASSFEATUREHEADERS,0),MATCH(($A423 &amp; "Points"),CLASSNAMEHEADERS,0))),(IF("13"=(INDEX(ALLCLASSDATA,MATCH("SimpleLimitedMaster",CLASSFEATUREHEADERS,0),MATCH($A423,CLASSNAMEHEADERS,0))),(INDEX(ALLCLASSDATA,MATCH("SimpleLimitedMaster",CLASSFEATUREHEADERS,0),MATCH(($A423 &amp; "Points"),CLASSNAMEHEADERS,0))),(IF("13"=(INDEX(ALLCLASSDATA,MATCH("SimpleLimitedExpert",CLASSFEATUREHEADERS,0),MATCH($A423,CLASSNAMEHEADERS,0))),(INDEX(ALLCLASSDATA,MATCH("SimpleLimitedExpert",CLASSFEATUREHEADERS,0),MATCH(($A423 &amp; "Points"),CLASSNAMEHEADERS,0))),(IF("13"=(INDEX(ALLCLASSDATA,MATCH("SimpleLimitedTrained",CLASSFEATUREHEADERS,0),MATCH($A423,CLASSNAMEHEADERS,0))),(INDEX(ALLCLASSDATA,MATCH("SimpleLimitedTrained",CLASSFEATUREHEADERS,0),MATCH(($A423 &amp; "Points"),CLASSNAMEHEADERS,0))),"")))))))))}</f>
        <v>SIMPLELIMITEDL13</v>
      </c>
      <c r="U422" s="223"/>
      <c r="V422" s="223" t="str">
        <f t="array" ref="V422:V423">{"SIMPLELIMITEDL15";((IF("15"=(INDEX(ALLCLASSDATA,MATCH("SimpleLimitedLegendary",CLASSFEATUREHEADERS,0),MATCH($A423,CLASSNAMEHEADERS,0))),(INDEX(ALLCLASSDATA,MATCH("SimpleLimitedLegendary",CLASSFEATUREHEADERS,0),MATCH(($A423 &amp; "Points"),CLASSNAMEHEADERS,0))),(IF("15"=(INDEX(ALLCLASSDATA,MATCH("SimpleLimitedMaster",CLASSFEATUREHEADERS,0),MATCH($A423,CLASSNAMEHEADERS,0))),(INDEX(ALLCLASSDATA,MATCH("SimpleLimitedMaster",CLASSFEATUREHEADERS,0),MATCH(($A423 &amp; "Points"),CLASSNAMEHEADERS,0))),(IF("15"=(INDEX(ALLCLASSDATA,MATCH("SimpleLimitedExpert",CLASSFEATUREHEADERS,0),MATCH($A423,CLASSNAMEHEADERS,0))),(INDEX(ALLCLASSDATA,MATCH("SimpleLimitedExpert",CLASSFEATUREHEADERS,0),MATCH(($A423 &amp; "Points"),CLASSNAMEHEADERS,0))),(IF("15"=(INDEX(ALLCLASSDATA,MATCH("SimpleLimitedTrained",CLASSFEATUREHEADERS,0),MATCH($A423,CLASSNAMEHEADERS,0))),(INDEX(ALLCLASSDATA,MATCH("SimpleLimitedTrained",CLASSFEATUREHEADERS,0),MATCH(($A423 &amp; "Points"),CLASSNAMEHEADERS,0))),"")))))))))}</f>
        <v>SIMPLELIMITEDL15</v>
      </c>
      <c r="W422" s="223"/>
      <c r="X422" s="223" t="str">
        <f t="array" ref="X422:X423">{"SIMPLELIMITEDL17";((IF("17"=(INDEX(ALLCLASSDATA,MATCH("SimpleLimitedLegendary",CLASSFEATUREHEADERS,0),MATCH($A423,CLASSNAMEHEADERS,0))),(INDEX(ALLCLASSDATA,MATCH("SimpleLimitedLegendary",CLASSFEATUREHEADERS,0),MATCH(($A423 &amp; "Points"),CLASSNAMEHEADERS,0))),(IF("17"=(INDEX(ALLCLASSDATA,MATCH("SimpleLimitedMaster",CLASSFEATUREHEADERS,0),MATCH($A423,CLASSNAMEHEADERS,0))),(INDEX(ALLCLASSDATA,MATCH("SimpleLimitedMaster",CLASSFEATUREHEADERS,0),MATCH(($A423 &amp; "Points"),CLASSNAMEHEADERS,0))),(IF("17"=(INDEX(ALLCLASSDATA,MATCH("SimpleLimitedExpert",CLASSFEATUREHEADERS,0),MATCH($A423,CLASSNAMEHEADERS,0))),(INDEX(ALLCLASSDATA,MATCH("SimpleLimitedExpert",CLASSFEATUREHEADERS,0),MATCH(($A423 &amp; "Points"),CLASSNAMEHEADERS,0))),(IF("17"=(INDEX(ALLCLASSDATA,MATCH("SimpleLimitedTrained",CLASSFEATUREHEADERS,0),MATCH($A423,CLASSNAMEHEADERS,0))),(INDEX(ALLCLASSDATA,MATCH("SimpleLimitedTrained",CLASSFEATUREHEADERS,0),MATCH(($A423 &amp; "Points"),CLASSNAMEHEADERS,0))),"")))))))))}</f>
        <v>SIMPLELIMITEDL17</v>
      </c>
      <c r="Y422" s="223"/>
      <c r="Z422" s="223" t="str">
        <f t="array" ref="Z422:Z423">{"SIMPLELIMITEDL19";((IF("19"=(INDEX(ALLCLASSDATA,MATCH("SimpleLimitedLegendary",CLASSFEATUREHEADERS,0),MATCH($A423,CLASSNAMEHEADERS,0))),(INDEX(ALLCLASSDATA,MATCH("SimpleLimitedLegendary",CLASSFEATUREHEADERS,0),MATCH(($A423 &amp; "Points"),CLASSNAMEHEADERS,0))),(IF("19"=(INDEX(ALLCLASSDATA,MATCH("SimpleLimitedMaster",CLASSFEATUREHEADERS,0),MATCH($A423,CLASSNAMEHEADERS,0))),(INDEX(ALLCLASSDATA,MATCH("SimpleLimitedMaster",CLASSFEATUREHEADERS,0),MATCH(($A423 &amp; "Points"),CLASSNAMEHEADERS,0))),(IF("19"=(INDEX(ALLCLASSDATA,MATCH("SimpleLimitedExpert",CLASSFEATUREHEADERS,0),MATCH($A423,CLASSNAMEHEADERS,0))),(INDEX(ALLCLASSDATA,MATCH("SimpleLimitedExpert",CLASSFEATUREHEADERS,0),MATCH(($A423 &amp; "Points"),CLASSNAMEHEADERS,0))),(IF("19"=(INDEX(ALLCLASSDATA,MATCH("SimpleLimitedTrained",CLASSFEATUREHEADERS,0),MATCH($A423,CLASSNAMEHEADERS,0))),(INDEX(ALLCLASSDATA,MATCH("SimpleLimitedTrained",CLASSFEATUREHEADERS,0),MATCH(($A423 &amp; "Points"),CLASSNAMEHEADERS,0))),"")))))))))}</f>
        <v>SIMPLELIMITEDL19</v>
      </c>
      <c r="AA422" s="223"/>
      <c r="AB422" s="76" t="str">
        <f t="array" ref="AB422:AB423">{"SIMPLELIMITED TOTAL";(IF(COUNTBLANK(G423:AA423)=17,"L",(IF(COUNTBLANK(G423:AA423)=18,"M",(IF(COUNTBLANK(G423:AA423)=19,"E",(IF(COUNTBLANK(G423:AA423)=20,"T",""))))))))}</f>
        <v>SIMPLELIMITED TOTAL</v>
      </c>
      <c r="AC422" s="76" t="str">
        <f t="array" ref="AC422:AC423">{"SIMPLELIMITED TOTAL";(sum(G423:AA423))}</f>
        <v>SIMPLELIMITED TOTAL</v>
      </c>
    </row>
    <row r="423">
      <c r="A423" s="48" t="s">
        <v>124</v>
      </c>
      <c r="B423" s="48"/>
      <c r="C423" s="48" t="s">
        <v>413</v>
      </c>
      <c r="D423" s="48" t="s">
        <v>1634</v>
      </c>
      <c r="E423" s="48" t="s">
        <v>599</v>
      </c>
      <c r="F423" s="5" t="s">
        <v>603</v>
      </c>
      <c r="G423" s="47" t="s">
        <v>603</v>
      </c>
      <c r="H423" s="5" t="s">
        <v>603</v>
      </c>
      <c r="I423" s="5"/>
      <c r="J423" s="5" t="s">
        <v>603</v>
      </c>
      <c r="K423" s="5"/>
      <c r="L423" s="5" t="s">
        <v>603</v>
      </c>
      <c r="M423" s="5"/>
      <c r="N423" s="5" t="s">
        <v>603</v>
      </c>
      <c r="O423" s="5"/>
      <c r="P423" s="5" t="s">
        <v>603</v>
      </c>
      <c r="Q423" s="5"/>
      <c r="R423" s="5" t="s">
        <v>603</v>
      </c>
      <c r="S423" s="5"/>
      <c r="T423" s="5" t="s">
        <v>603</v>
      </c>
      <c r="U423" s="5"/>
      <c r="V423" s="5" t="s">
        <v>603</v>
      </c>
      <c r="W423" s="5"/>
      <c r="X423" s="5" t="s">
        <v>603</v>
      </c>
      <c r="Y423" s="5"/>
      <c r="Z423" s="5" t="s">
        <v>603</v>
      </c>
      <c r="AA423" s="5"/>
      <c r="AB423" s="5" t="s">
        <v>603</v>
      </c>
      <c r="AC423" s="47">
        <v>0.0</v>
      </c>
    </row>
    <row r="424" hidden="1">
      <c r="A424" s="222" t="str">
        <f t="array" ref="A424:A425">{"FormulaRow29";(INDEX(CLASSLIST,A367,1))}</f>
        <v>FormulaRow29</v>
      </c>
      <c r="B424" s="77" t="s">
        <v>236</v>
      </c>
      <c r="C424" s="222" t="str">
        <f t="array" ref="C424:C425">{"CLASSTYPE";((INDEX(ALLCLASSDATA,MATCH("ClassType",CLASSFEATUREHEADERS,0),MATCH($A425,CLASSNAMEHEADERS,0))))}</f>
        <v>CLASSTYPE</v>
      </c>
      <c r="D424" s="222" t="str">
        <f t="array" ref="D424:D425">{"ATTACK";"Attack"}</f>
        <v>ATTACK</v>
      </c>
      <c r="E424" s="222" t="str">
        <f t="array" ref="E424:E425">{"SIMPLE";"Simple"}</f>
        <v>SIMPLE</v>
      </c>
      <c r="F424" s="223" t="str">
        <f t="array" ref="F424:F425">{"SIMPLEINITIAL";((IF(H425=10,"T",(IF(H425=50,"E","")))))}</f>
        <v>SIMPLEINITIAL</v>
      </c>
      <c r="G424" s="223" t="str">
        <f t="array" ref="G424:G425">{"SIMPLEINITIALPTS";((IF("00"=(INDEX(ALLCLASSDATA,MATCH("SimpleLegendary",CLASSFEATUREHEADERS,0),MATCH($A425,CLASSNAMEHEADERS,0))),(INDEX(ALLCLASSDATA,MATCH("SimpleLegendary",CLASSFEATUREHEADERS,0),MATCH(($A425 &amp; "Points"),CLASSNAMEHEADERS,0))),(IF("00"=(INDEX(ALLCLASSDATA,MATCH("SimpleMaster",CLASSFEATUREHEADERS,0),MATCH($A425,CLASSNAMEHEADERS,0))),(INDEX(ALLCLASSDATA,MATCH("SimpleMaster",CLASSFEATUREHEADERS,0),MATCH(($A425 &amp; "Points"),CLASSNAMEHEADERS,0))),(IF("00"=(INDEX(ALLCLASSDATA,MATCH("SimpleExpert",CLASSFEATUREHEADERS,0),MATCH($A425,CLASSNAMEHEADERS,0))),(INDEX(ALLCLASSDATA,MATCH("SimpleExpert",CLASSFEATUREHEADERS,0),MATCH(($A425 &amp; "Points"),CLASSNAMEHEADERS,0))),(IF("00"=(INDEX(ALLCLASSDATA,MATCH("SimpleTrained",CLASSFEATUREHEADERS,0),MATCH($A425,CLASSNAMEHEADERS,0))),(INDEX(ALLCLASSDATA,MATCH("SimpleTrained",CLASSFEATUREHEADERS,0),MATCH(($A425 &amp; "Points"),CLASSNAMEHEADERS,0))),"")))))))))}</f>
        <v>SIMPLEINITIALPTS</v>
      </c>
      <c r="H424" s="223" t="str">
        <f t="array" ref="H424:H425">{"SIMPLEL01";((IF("01"=(INDEX(ALLCLASSDATA,MATCH("SimpleLegendary",CLASSFEATUREHEADERS,0),MATCH($A425,CLASSNAMEHEADERS,0))),(INDEX(ALLCLASSDATA,MATCH("SimpleLegendary",CLASSFEATUREHEADERS,0),MATCH(($A425 &amp; "Points"),CLASSNAMEHEADERS,0))),(IF("01"=(INDEX(ALLCLASSDATA,MATCH("SimpleMaster",CLASSFEATUREHEADERS,0),MATCH($A425,CLASSNAMEHEADERS,0))),(INDEX(ALLCLASSDATA,MATCH("SimpleMaster",CLASSFEATUREHEADERS,0),MATCH(($A425 &amp; "Points"),CLASSNAMEHEADERS,0))),(IF("01"=(INDEX(ALLCLASSDATA,MATCH("SimpleExpert",CLASSFEATUREHEADERS,0),MATCH($A425,CLASSNAMEHEADERS,0))),(INDEX(ALLCLASSDATA,MATCH("SimpleExpert",CLASSFEATUREHEADERS,0),MATCH(($A425 &amp; "Points"),CLASSNAMEHEADERS,0))),(IF("01"=(INDEX(ALLCLASSDATA,MATCH("SimpleTrained",CLASSFEATUREHEADERS,0),MATCH($A425,CLASSNAMEHEADERS,0))),(INDEX(ALLCLASSDATA,MATCH("SimpleTrained",CLASSFEATUREHEADERS,0),MATCH(($A425 &amp; "Points"),CLASSNAMEHEADERS,0))),"")))))))))}</f>
        <v>SIMPLEL01</v>
      </c>
      <c r="I424" s="223"/>
      <c r="J424" s="223" t="str">
        <f t="array" ref="J424:J425">{"SIMPLEL03";((IF("03"=(INDEX(ALLCLASSDATA,MATCH("SimpleLegendary",CLASSFEATUREHEADERS,0),MATCH($A425,CLASSNAMEHEADERS,0))),(INDEX(ALLCLASSDATA,MATCH("SimpleLegendary",CLASSFEATUREHEADERS,0),MATCH(($A425 &amp; "Points"),CLASSNAMEHEADERS,0))),(IF("03"=(INDEX(ALLCLASSDATA,MATCH("SimpleMaster",CLASSFEATUREHEADERS,0),MATCH($A425,CLASSNAMEHEADERS,0))),(INDEX(ALLCLASSDATA,MATCH("SimpleMaster",CLASSFEATUREHEADERS,0),MATCH(($A425 &amp; "Points"),CLASSNAMEHEADERS,0))),(IF("03"=(INDEX(ALLCLASSDATA,MATCH("SimpleExpert",CLASSFEATUREHEADERS,0),MATCH($A425,CLASSNAMEHEADERS,0))),(INDEX(ALLCLASSDATA,MATCH("SimpleExpert",CLASSFEATUREHEADERS,0),MATCH(($A425 &amp; "Points"),CLASSNAMEHEADERS,0))),(IF("03"=(INDEX(ALLCLASSDATA,MATCH("SimpleTrained",CLASSFEATUREHEADERS,0),MATCH($A425,CLASSNAMEHEADERS,0))),(INDEX(ALLCLASSDATA,MATCH("SimpleTrained",CLASSFEATUREHEADERS,0),MATCH(($A425 &amp; "Points"),CLASSNAMEHEADERS,0))),"")))))))))}</f>
        <v>SIMPLEL03</v>
      </c>
      <c r="K424" s="223"/>
      <c r="L424" s="223" t="str">
        <f t="array" ref="L424:L425">{"SIMPLEL05";((IF("05"=(INDEX(ALLCLASSDATA,MATCH("SimpleLegendary",CLASSFEATUREHEADERS,0),MATCH($A425,CLASSNAMEHEADERS,0))),(INDEX(ALLCLASSDATA,MATCH("SimpleLegendary",CLASSFEATUREHEADERS,0),MATCH(($A425 &amp; "Points"),CLASSNAMEHEADERS,0))),(IF("05"=(INDEX(ALLCLASSDATA,MATCH("SimpleMaster",CLASSFEATUREHEADERS,0),MATCH($A425,CLASSNAMEHEADERS,0))),(INDEX(ALLCLASSDATA,MATCH("SimpleMaster",CLASSFEATUREHEADERS,0),MATCH(($A425 &amp; "Points"),CLASSNAMEHEADERS,0))),(IF("05"=(INDEX(ALLCLASSDATA,MATCH("SimpleExpert",CLASSFEATUREHEADERS,0),MATCH($A425,CLASSNAMEHEADERS,0))),(INDEX(ALLCLASSDATA,MATCH("SimpleExpert",CLASSFEATUREHEADERS,0),MATCH(($A425 &amp; "Points"),CLASSNAMEHEADERS,0))),(IF("05"=(INDEX(ALLCLASSDATA,MATCH("SimpleTrained",CLASSFEATUREHEADERS,0),MATCH($A425,CLASSNAMEHEADERS,0))),(INDEX(ALLCLASSDATA,MATCH("SimpleTrained",CLASSFEATUREHEADERS,0),MATCH(($A425 &amp; "Points"),CLASSNAMEHEADERS,0))),"")))))))))}</f>
        <v>SIMPLEL05</v>
      </c>
      <c r="M424" s="223"/>
      <c r="N424" s="223" t="str">
        <f t="array" ref="N424:N425">{"SIMPLEL07";((IF("07"=(INDEX(ALLCLASSDATA,MATCH("SimpleLegendary",CLASSFEATUREHEADERS,0),MATCH($A425,CLASSNAMEHEADERS,0))),(INDEX(ALLCLASSDATA,MATCH("SimpleLegendary",CLASSFEATUREHEADERS,0),MATCH(($A425 &amp; "Points"),CLASSNAMEHEADERS,0))),(IF("07"=(INDEX(ALLCLASSDATA,MATCH("SimpleMaster",CLASSFEATUREHEADERS,0),MATCH($A425,CLASSNAMEHEADERS,0))),(INDEX(ALLCLASSDATA,MATCH("SimpleMaster",CLASSFEATUREHEADERS,0),MATCH(($A425 &amp; "Points"),CLASSNAMEHEADERS,0))),(IF("07"=(INDEX(ALLCLASSDATA,MATCH("SimpleExpert",CLASSFEATUREHEADERS,0),MATCH($A425,CLASSNAMEHEADERS,0))),(INDEX(ALLCLASSDATA,MATCH("SimpleExpert",CLASSFEATUREHEADERS,0),MATCH(($A425 &amp; "Points"),CLASSNAMEHEADERS,0))),(IF("07"=(INDEX(ALLCLASSDATA,MATCH("SimpleTrained",CLASSFEATUREHEADERS,0),MATCH($A425,CLASSNAMEHEADERS,0))),(INDEX(ALLCLASSDATA,MATCH("SimpleTrained",CLASSFEATUREHEADERS,0),MATCH(($A425 &amp; "Points"),CLASSNAMEHEADERS,0))),"")))))))))}</f>
        <v>SIMPLEL07</v>
      </c>
      <c r="O424" s="223"/>
      <c r="P424" s="223" t="str">
        <f t="array" ref="P424:P425">{"SIMPLEL09";((IF("09"=(INDEX(ALLCLASSDATA,MATCH("SimpleLegendary",CLASSFEATUREHEADERS,0),MATCH($A425,CLASSNAMEHEADERS,0))),(INDEX(ALLCLASSDATA,MATCH("SimpleLegendary",CLASSFEATUREHEADERS,0),MATCH(($A425 &amp; "Points"),CLASSNAMEHEADERS,0))),(IF("09"=(INDEX(ALLCLASSDATA,MATCH("SimpleMaster",CLASSFEATUREHEADERS,0),MATCH($A425,CLASSNAMEHEADERS,0))),(INDEX(ALLCLASSDATA,MATCH("SimpleMaster",CLASSFEATUREHEADERS,0),MATCH(($A425 &amp; "Points"),CLASSNAMEHEADERS,0))),(IF("09"=(INDEX(ALLCLASSDATA,MATCH("SimpleExpert",CLASSFEATUREHEADERS,0),MATCH($A425,CLASSNAMEHEADERS,0))),(INDEX(ALLCLASSDATA,MATCH("SimpleExpert",CLASSFEATUREHEADERS,0),MATCH(($A425 &amp; "Points"),CLASSNAMEHEADERS,0))),(IF("09"=(INDEX(ALLCLASSDATA,MATCH("SimpleTrained",CLASSFEATUREHEADERS,0),MATCH($A425,CLASSNAMEHEADERS,0))),(INDEX(ALLCLASSDATA,MATCH("SimpleTrained",CLASSFEATUREHEADERS,0),MATCH(($A425 &amp; "Points"),CLASSNAMEHEADERS,0))),"")))))))))}</f>
        <v>SIMPLEL09</v>
      </c>
      <c r="Q424" s="223"/>
      <c r="R424" s="223" t="str">
        <f t="array" ref="R424:R425">{"SIMPLEL11";((IF("11"=(INDEX(ALLCLASSDATA,MATCH("SimpleLegendary",CLASSFEATUREHEADERS,0),MATCH($A425,CLASSNAMEHEADERS,0))),(INDEX(ALLCLASSDATA,MATCH("SimpleLegendary",CLASSFEATUREHEADERS,0),MATCH(($A425 &amp; "Points"),CLASSNAMEHEADERS,0))),(IF("11"=(INDEX(ALLCLASSDATA,MATCH("SimpleMaster",CLASSFEATUREHEADERS,0),MATCH($A425,CLASSNAMEHEADERS,0))),(INDEX(ALLCLASSDATA,MATCH("SimpleMaster",CLASSFEATUREHEADERS,0),MATCH(($A425 &amp; "Points"),CLASSNAMEHEADERS,0))),(IF("11"=(INDEX(ALLCLASSDATA,MATCH("SimpleExpert",CLASSFEATUREHEADERS,0),MATCH($A425,CLASSNAMEHEADERS,0))),(INDEX(ALLCLASSDATA,MATCH("SimpleExpert",CLASSFEATUREHEADERS,0),MATCH(($A425 &amp; "Points"),CLASSNAMEHEADERS,0))),(IF("11"=(INDEX(ALLCLASSDATA,MATCH("SimpleTrained",CLASSFEATUREHEADERS,0),MATCH($A425,CLASSNAMEHEADERS,0))),(INDEX(ALLCLASSDATA,MATCH("SimpleTrained",CLASSFEATUREHEADERS,0),MATCH(($A425 &amp; "Points"),CLASSNAMEHEADERS,0))),"")))))))))}</f>
        <v>SIMPLEL11</v>
      </c>
      <c r="S424" s="223"/>
      <c r="T424" s="223" t="str">
        <f t="array" ref="T424:T425">{"SIMPLEL13";((IF("13"=(INDEX(ALLCLASSDATA,MATCH("SimpleLegendary",CLASSFEATUREHEADERS,0),MATCH($A425,CLASSNAMEHEADERS,0))),(INDEX(ALLCLASSDATA,MATCH("SimpleLegendary",CLASSFEATUREHEADERS,0),MATCH(($A425 &amp; "Points"),CLASSNAMEHEADERS,0))),(IF("13"=(INDEX(ALLCLASSDATA,MATCH("SimpleMaster",CLASSFEATUREHEADERS,0),MATCH($A425,CLASSNAMEHEADERS,0))),(INDEX(ALLCLASSDATA,MATCH("SimpleMaster",CLASSFEATUREHEADERS,0),MATCH(($A425 &amp; "Points"),CLASSNAMEHEADERS,0))),(IF("13"=(INDEX(ALLCLASSDATA,MATCH("SimpleExpert",CLASSFEATUREHEADERS,0),MATCH($A425,CLASSNAMEHEADERS,0))),(INDEX(ALLCLASSDATA,MATCH("SimpleExpert",CLASSFEATUREHEADERS,0),MATCH(($A425 &amp; "Points"),CLASSNAMEHEADERS,0))),(IF("13"=(INDEX(ALLCLASSDATA,MATCH("SimpleTrained",CLASSFEATUREHEADERS,0),MATCH($A425,CLASSNAMEHEADERS,0))),(INDEX(ALLCLASSDATA,MATCH("SimpleTrained",CLASSFEATUREHEADERS,0),MATCH(($A425 &amp; "Points"),CLASSNAMEHEADERS,0))),"")))))))))}</f>
        <v>SIMPLEL13</v>
      </c>
      <c r="U424" s="223"/>
      <c r="V424" s="223" t="str">
        <f t="array" ref="V424:V425">{"SIMPLEL15";((IF("15"=(INDEX(ALLCLASSDATA,MATCH("SimpleLegendary",CLASSFEATUREHEADERS,0),MATCH($A425,CLASSNAMEHEADERS,0))),(INDEX(ALLCLASSDATA,MATCH("SimpleLegendary",CLASSFEATUREHEADERS,0),MATCH(($A425 &amp; "Points"),CLASSNAMEHEADERS,0))),(IF("15"=(INDEX(ALLCLASSDATA,MATCH("SimpleMaster",CLASSFEATUREHEADERS,0),MATCH($A425,CLASSNAMEHEADERS,0))),(INDEX(ALLCLASSDATA,MATCH("SimpleMaster",CLASSFEATUREHEADERS,0),MATCH(($A425 &amp; "Points"),CLASSNAMEHEADERS,0))),(IF("15"=(INDEX(ALLCLASSDATA,MATCH("SimpleExpert",CLASSFEATUREHEADERS,0),MATCH($A425,CLASSNAMEHEADERS,0))),(INDEX(ALLCLASSDATA,MATCH("SimpleExpert",CLASSFEATUREHEADERS,0),MATCH(($A425 &amp; "Points"),CLASSNAMEHEADERS,0))),(IF("15"=(INDEX(ALLCLASSDATA,MATCH("SimpleTrained",CLASSFEATUREHEADERS,0),MATCH($A425,CLASSNAMEHEADERS,0))),(INDEX(ALLCLASSDATA,MATCH("SimpleTrained",CLASSFEATUREHEADERS,0),MATCH(($A425 &amp; "Points"),CLASSNAMEHEADERS,0))),"")))))))))}</f>
        <v>SIMPLEL15</v>
      </c>
      <c r="W424" s="223"/>
      <c r="X424" s="223" t="str">
        <f t="array" ref="X424:X425">{"SIMPLEL17";((IF("17"=(INDEX(ALLCLASSDATA,MATCH("SimpleLegendary",CLASSFEATUREHEADERS,0),MATCH($A425,CLASSNAMEHEADERS,0))),(INDEX(ALLCLASSDATA,MATCH("SimpleLegendary",CLASSFEATUREHEADERS,0),MATCH(($A425 &amp; "Points"),CLASSNAMEHEADERS,0))),(IF("17"=(INDEX(ALLCLASSDATA,MATCH("SimpleMaster",CLASSFEATUREHEADERS,0),MATCH($A425,CLASSNAMEHEADERS,0))),(INDEX(ALLCLASSDATA,MATCH("SimpleMaster",CLASSFEATUREHEADERS,0),MATCH(($A425 &amp; "Points"),CLASSNAMEHEADERS,0))),(IF("17"=(INDEX(ALLCLASSDATA,MATCH("SimpleExpert",CLASSFEATUREHEADERS,0),MATCH($A425,CLASSNAMEHEADERS,0))),(INDEX(ALLCLASSDATA,MATCH("SimpleExpert",CLASSFEATUREHEADERS,0),MATCH(($A425 &amp; "Points"),CLASSNAMEHEADERS,0))),(IF("17"=(INDEX(ALLCLASSDATA,MATCH("SimpleTrained",CLASSFEATUREHEADERS,0),MATCH($A425,CLASSNAMEHEADERS,0))),(INDEX(ALLCLASSDATA,MATCH("SimpleTrained",CLASSFEATUREHEADERS,0),MATCH(($A425 &amp; "Points"),CLASSNAMEHEADERS,0))),"")))))))))}</f>
        <v>SIMPLEL17</v>
      </c>
      <c r="Y424" s="223"/>
      <c r="Z424" s="223" t="str">
        <f t="array" ref="Z424:Z425">{"SIMPLEL19";((IF("19"=(INDEX(ALLCLASSDATA,MATCH("SimpleLegendary",CLASSFEATUREHEADERS,0),MATCH($A425,CLASSNAMEHEADERS,0))),(INDEX(ALLCLASSDATA,MATCH("SimpleLegendary",CLASSFEATUREHEADERS,0),MATCH(($A425 &amp; "Points"),CLASSNAMEHEADERS,0))),(IF("19"=(INDEX(ALLCLASSDATA,MATCH("SimpleMaster",CLASSFEATUREHEADERS,0),MATCH($A425,CLASSNAMEHEADERS,0))),(INDEX(ALLCLASSDATA,MATCH("SimpleMaster",CLASSFEATUREHEADERS,0),MATCH(($A425 &amp; "Points"),CLASSNAMEHEADERS,0))),(IF("19"=(INDEX(ALLCLASSDATA,MATCH("SimpleExpert",CLASSFEATUREHEADERS,0),MATCH($A425,CLASSNAMEHEADERS,0))),(INDEX(ALLCLASSDATA,MATCH("SimpleExpert",CLASSFEATUREHEADERS,0),MATCH(($A425 &amp; "Points"),CLASSNAMEHEADERS,0))),(IF("19"=(INDEX(ALLCLASSDATA,MATCH("SimpleTrained",CLASSFEATUREHEADERS,0),MATCH($A425,CLASSNAMEHEADERS,0))),(INDEX(ALLCLASSDATA,MATCH("SimpleTrained",CLASSFEATUREHEADERS,0),MATCH(($A425 &amp; "Points"),CLASSNAMEHEADERS,0))),"")))))))))}</f>
        <v>SIMPLEL19</v>
      </c>
      <c r="AA424" s="223"/>
      <c r="AB424" s="76" t="str">
        <f t="array" ref="AB424:AB425">{"SIMPLE TOTAL";(IF(COUNTBLANK(G425:AA425)=17,"L",(IF(COUNTBLANK(G425:AA425)=18,"M",(IF(COUNTBLANK(G425:AA425)=19,"E",(IF(COUNTBLANK(G425:AA425)=20,"T",""))))))))}</f>
        <v>SIMPLE TOTAL</v>
      </c>
      <c r="AC424" s="76" t="str">
        <f t="array" ref="AC424:AC425">{"SIMPLE TOTAL";(sum(G425:AA425))}</f>
        <v>SIMPLE TOTAL</v>
      </c>
    </row>
    <row r="425">
      <c r="A425" s="48" t="s">
        <v>124</v>
      </c>
      <c r="B425" s="48"/>
      <c r="C425" s="48" t="s">
        <v>413</v>
      </c>
      <c r="D425" s="48" t="s">
        <v>1634</v>
      </c>
      <c r="E425" s="48" t="s">
        <v>68</v>
      </c>
      <c r="F425" s="5" t="s">
        <v>435</v>
      </c>
      <c r="G425" s="47" t="s">
        <v>603</v>
      </c>
      <c r="H425" s="5">
        <v>10.0</v>
      </c>
      <c r="I425" s="5"/>
      <c r="J425" s="5" t="s">
        <v>603</v>
      </c>
      <c r="K425" s="5"/>
      <c r="L425" s="5" t="s">
        <v>436</v>
      </c>
      <c r="M425" s="5"/>
      <c r="N425" s="5" t="s">
        <v>603</v>
      </c>
      <c r="O425" s="5"/>
      <c r="P425" s="5" t="s">
        <v>603</v>
      </c>
      <c r="Q425" s="5"/>
      <c r="R425" s="5" t="s">
        <v>603</v>
      </c>
      <c r="S425" s="5"/>
      <c r="T425" s="5" t="s">
        <v>437</v>
      </c>
      <c r="U425" s="5"/>
      <c r="V425" s="5" t="s">
        <v>603</v>
      </c>
      <c r="W425" s="5"/>
      <c r="X425" s="5" t="s">
        <v>603</v>
      </c>
      <c r="Y425" s="5"/>
      <c r="Z425" s="5" t="s">
        <v>603</v>
      </c>
      <c r="AA425" s="5"/>
      <c r="AB425" s="5" t="s">
        <v>437</v>
      </c>
      <c r="AC425" s="47">
        <v>10.0</v>
      </c>
    </row>
    <row r="426" hidden="1">
      <c r="A426" s="222" t="str">
        <f t="array" ref="A426:A427">{"FormulaRow30";(INDEX(CLASSLIST,A367,1))}</f>
        <v>FormulaRow30</v>
      </c>
      <c r="B426" s="77" t="s">
        <v>236</v>
      </c>
      <c r="C426" s="222" t="str">
        <f t="array" ref="C426:C427">{"CLASSTYPE";((INDEX(ALLCLASSDATA,MATCH("ClassType",CLASSFEATUREHEADERS,0),MATCH($A427,CLASSNAMEHEADERS,0))))}</f>
        <v>CLASSTYPE</v>
      </c>
      <c r="D426" s="222" t="str">
        <f t="array" ref="D426:D427">{"ATTACK";"Attack"}</f>
        <v>ATTACK</v>
      </c>
      <c r="E426" s="222" t="str">
        <f t="array" ref="E426:E427">{"MARTIALLIMITED";"MartialLimited"}</f>
        <v>MARTIALLIMITED</v>
      </c>
      <c r="F426" s="223" t="str">
        <f t="array" ref="F426:F427">{"MARTIALLIMITEDINITIAL";((IF(H427=10,"T",(IF(H427=50,"E","")))))}</f>
        <v>MARTIALLIMITEDINITIAL</v>
      </c>
      <c r="G426" s="223" t="str">
        <f t="array" ref="G426:G427">{"MARTIALLIMITEDINITIALPTS";((IF("00"=(INDEX(ALLCLASSDATA,MATCH("MartialLimitedLegendary",CLASSFEATUREHEADERS,0),MATCH($A427,CLASSNAMEHEADERS,0))),(INDEX(ALLCLASSDATA,MATCH("MartialLimitedLegendary",CLASSFEATUREHEADERS,0),MATCH(($A427 &amp; "Points"),CLASSNAMEHEADERS,0))),(IF("00"=(INDEX(ALLCLASSDATA,MATCH("MartialLimitedMaster",CLASSFEATUREHEADERS,0),MATCH($A427,CLASSNAMEHEADERS,0))),(INDEX(ALLCLASSDATA,MATCH("MartialLimitedMaster",CLASSFEATUREHEADERS,0),MATCH(($A427 &amp; "Points"),CLASSNAMEHEADERS,0))),(IF("00"=(INDEX(ALLCLASSDATA,MATCH("MartialLimitedExpert",CLASSFEATUREHEADERS,0),MATCH($A427,CLASSNAMEHEADERS,0))),(INDEX(ALLCLASSDATA,MATCH("MartialLimitedExpert",CLASSFEATUREHEADERS,0),MATCH(($A427 &amp; "Points"),CLASSNAMEHEADERS,0))),(IF("00"=(INDEX(ALLCLASSDATA,MATCH("MartialLimitedTrained",CLASSFEATUREHEADERS,0),MATCH($A427,CLASSNAMEHEADERS,0))),(INDEX(ALLCLASSDATA,MATCH("MartialLimitedTrained",CLASSFEATUREHEADERS,0),MATCH(($A427 &amp; "Points"),CLASSNAMEHEADERS,0))),"")))))))))}</f>
        <v>MARTIALLIMITEDINITIALPTS</v>
      </c>
      <c r="H426" s="223" t="str">
        <f t="array" ref="H426:H427">{"MARTIALLIMITEDL01";((IF("01"=(INDEX(ALLCLASSDATA,MATCH("MartialLimitedLegendary",CLASSFEATUREHEADERS,0),MATCH($A427,CLASSNAMEHEADERS,0))),(INDEX(ALLCLASSDATA,MATCH("MartialLimitedLegendary",CLASSFEATUREHEADERS,0),MATCH(($A427 &amp; "Points"),CLASSNAMEHEADERS,0))),(IF("01"=(INDEX(ALLCLASSDATA,MATCH("MartialLimitedMaster",CLASSFEATUREHEADERS,0),MATCH($A427,CLASSNAMEHEADERS,0))),(INDEX(ALLCLASSDATA,MATCH("MartialLimitedMaster",CLASSFEATUREHEADERS,0),MATCH(($A427 &amp; "Points"),CLASSNAMEHEADERS,0))),(IF("01"=(INDEX(ALLCLASSDATA,MATCH("MartialLimitedExpert",CLASSFEATUREHEADERS,0),MATCH($A427,CLASSNAMEHEADERS,0))),(INDEX(ALLCLASSDATA,MATCH("MartialLimitedExpert",CLASSFEATUREHEADERS,0),MATCH(($A427 &amp; "Points"),CLASSNAMEHEADERS,0))),(IF("01"=(INDEX(ALLCLASSDATA,MATCH("MartialLimitedTrained",CLASSFEATUREHEADERS,0),MATCH($A427,CLASSNAMEHEADERS,0))),(INDEX(ALLCLASSDATA,MATCH("MartialLimitedTrained",CLASSFEATUREHEADERS,0),MATCH(($A427 &amp; "Points"),CLASSNAMEHEADERS,0))),"")))))))))}</f>
        <v>MARTIALLIMITEDL01</v>
      </c>
      <c r="I426" s="223"/>
      <c r="J426" s="223" t="str">
        <f t="array" ref="J426:J427">{"MARTIALLIMITEDL03";((IF("03"=(INDEX(ALLCLASSDATA,MATCH("MartialLimitedLegendary",CLASSFEATUREHEADERS,0),MATCH($A427,CLASSNAMEHEADERS,0))),(INDEX(ALLCLASSDATA,MATCH("MartialLimitedLegendary",CLASSFEATUREHEADERS,0),MATCH(($A427 &amp; "Points"),CLASSNAMEHEADERS,0))),(IF("03"=(INDEX(ALLCLASSDATA,MATCH("MartialLimitedMaster",CLASSFEATUREHEADERS,0),MATCH($A427,CLASSNAMEHEADERS,0))),(INDEX(ALLCLASSDATA,MATCH("MartialLimitedMaster",CLASSFEATUREHEADERS,0),MATCH(($A427 &amp; "Points"),CLASSNAMEHEADERS,0))),(IF("03"=(INDEX(ALLCLASSDATA,MATCH("MartialLimitedExpert",CLASSFEATUREHEADERS,0),MATCH($A427,CLASSNAMEHEADERS,0))),(INDEX(ALLCLASSDATA,MATCH("MartialLimitedExpert",CLASSFEATUREHEADERS,0),MATCH(($A427 &amp; "Points"),CLASSNAMEHEADERS,0))),(IF("03"=(INDEX(ALLCLASSDATA,MATCH("MartialLimitedTrained",CLASSFEATUREHEADERS,0),MATCH($A427,CLASSNAMEHEADERS,0))),(INDEX(ALLCLASSDATA,MATCH("MartialLimitedTrained",CLASSFEATUREHEADERS,0),MATCH(($A427 &amp; "Points"),CLASSNAMEHEADERS,0))),"")))))))))}</f>
        <v>MARTIALLIMITEDL03</v>
      </c>
      <c r="K426" s="223"/>
      <c r="L426" s="223" t="str">
        <f t="array" ref="L426:L427">{"MARTIALLIMITEDL05";((IF("05"=(INDEX(ALLCLASSDATA,MATCH("MartialLimitedLegendary",CLASSFEATUREHEADERS,0),MATCH($A427,CLASSNAMEHEADERS,0))),(INDEX(ALLCLASSDATA,MATCH("MartialLimitedLegendary",CLASSFEATUREHEADERS,0),MATCH(($A427 &amp; "Points"),CLASSNAMEHEADERS,0))),(IF("05"=(INDEX(ALLCLASSDATA,MATCH("MartialLimitedMaster",CLASSFEATUREHEADERS,0),MATCH($A427,CLASSNAMEHEADERS,0))),(INDEX(ALLCLASSDATA,MATCH("MartialLimitedMaster",CLASSFEATUREHEADERS,0),MATCH(($A427 &amp; "Points"),CLASSNAMEHEADERS,0))),(IF("05"=(INDEX(ALLCLASSDATA,MATCH("MartialLimitedExpert",CLASSFEATUREHEADERS,0),MATCH($A427,CLASSNAMEHEADERS,0))),(INDEX(ALLCLASSDATA,MATCH("MartialLimitedExpert",CLASSFEATUREHEADERS,0),MATCH(($A427 &amp; "Points"),CLASSNAMEHEADERS,0))),(IF("05"=(INDEX(ALLCLASSDATA,MATCH("MartialLimitedTrained",CLASSFEATUREHEADERS,0),MATCH($A427,CLASSNAMEHEADERS,0))),(INDEX(ALLCLASSDATA,MATCH("MartialLimitedTrained",CLASSFEATUREHEADERS,0),MATCH(($A427 &amp; "Points"),CLASSNAMEHEADERS,0))),"")))))))))}</f>
        <v>MARTIALLIMITEDL05</v>
      </c>
      <c r="M426" s="223"/>
      <c r="N426" s="223" t="str">
        <f t="array" ref="N426:N427">{"MARTIALLIMITEDL07";((IF("07"=(INDEX(ALLCLASSDATA,MATCH("MartialLimitedLegendary",CLASSFEATUREHEADERS,0),MATCH($A427,CLASSNAMEHEADERS,0))),(INDEX(ALLCLASSDATA,MATCH("MartialLimitedLegendary",CLASSFEATUREHEADERS,0),MATCH(($A427 &amp; "Points"),CLASSNAMEHEADERS,0))),(IF("07"=(INDEX(ALLCLASSDATA,MATCH("MartialLimitedMaster",CLASSFEATUREHEADERS,0),MATCH($A427,CLASSNAMEHEADERS,0))),(INDEX(ALLCLASSDATA,MATCH("MartialLimitedMaster",CLASSFEATUREHEADERS,0),MATCH(($A427 &amp; "Points"),CLASSNAMEHEADERS,0))),(IF("07"=(INDEX(ALLCLASSDATA,MATCH("MartialLimitedExpert",CLASSFEATUREHEADERS,0),MATCH($A427,CLASSNAMEHEADERS,0))),(INDEX(ALLCLASSDATA,MATCH("MartialLimitedExpert",CLASSFEATUREHEADERS,0),MATCH(($A427 &amp; "Points"),CLASSNAMEHEADERS,0))),(IF("07"=(INDEX(ALLCLASSDATA,MATCH("MartialLimitedTrained",CLASSFEATUREHEADERS,0),MATCH($A427,CLASSNAMEHEADERS,0))),(INDEX(ALLCLASSDATA,MATCH("MartialLimitedTrained",CLASSFEATUREHEADERS,0),MATCH(($A427 &amp; "Points"),CLASSNAMEHEADERS,0))),"")))))))))}</f>
        <v>MARTIALLIMITEDL07</v>
      </c>
      <c r="O426" s="223"/>
      <c r="P426" s="223" t="str">
        <f t="array" ref="P426:P427">{"MARTIALLIMITEDL09";((IF("09"=(INDEX(ALLCLASSDATA,MATCH("MartialLimitedLegendary",CLASSFEATUREHEADERS,0),MATCH($A427,CLASSNAMEHEADERS,0))),(INDEX(ALLCLASSDATA,MATCH("MartialLimitedLegendary",CLASSFEATUREHEADERS,0),MATCH(($A427 &amp; "Points"),CLASSNAMEHEADERS,0))),(IF("09"=(INDEX(ALLCLASSDATA,MATCH("MartialLimitedMaster",CLASSFEATUREHEADERS,0),MATCH($A427,CLASSNAMEHEADERS,0))),(INDEX(ALLCLASSDATA,MATCH("MartialLimitedMaster",CLASSFEATUREHEADERS,0),MATCH(($A427 &amp; "Points"),CLASSNAMEHEADERS,0))),(IF("09"=(INDEX(ALLCLASSDATA,MATCH("MartialLimitedExpert",CLASSFEATUREHEADERS,0),MATCH($A427,CLASSNAMEHEADERS,0))),(INDEX(ALLCLASSDATA,MATCH("MartialLimitedExpert",CLASSFEATUREHEADERS,0),MATCH(($A427 &amp; "Points"),CLASSNAMEHEADERS,0))),(IF("09"=(INDEX(ALLCLASSDATA,MATCH("MartialLimitedTrained",CLASSFEATUREHEADERS,0),MATCH($A427,CLASSNAMEHEADERS,0))),(INDEX(ALLCLASSDATA,MATCH("MartialLimitedTrained",CLASSFEATUREHEADERS,0),MATCH(($A427 &amp; "Points"),CLASSNAMEHEADERS,0))),"")))))))))}</f>
        <v>MARTIALLIMITEDL09</v>
      </c>
      <c r="Q426" s="223"/>
      <c r="R426" s="223" t="str">
        <f t="array" ref="R426:R427">{"MARTIALLIMITEDL11";((IF("11"=(INDEX(ALLCLASSDATA,MATCH("MartialLimitedLegendary",CLASSFEATUREHEADERS,0),MATCH($A427,CLASSNAMEHEADERS,0))),(INDEX(ALLCLASSDATA,MATCH("MartialLimitedLegendary",CLASSFEATUREHEADERS,0),MATCH(($A427 &amp; "Points"),CLASSNAMEHEADERS,0))),(IF("11"=(INDEX(ALLCLASSDATA,MATCH("MartialLimitedMaster",CLASSFEATUREHEADERS,0),MATCH($A427,CLASSNAMEHEADERS,0))),(INDEX(ALLCLASSDATA,MATCH("MartialLimitedMaster",CLASSFEATUREHEADERS,0),MATCH(($A427 &amp; "Points"),CLASSNAMEHEADERS,0))),(IF("11"=(INDEX(ALLCLASSDATA,MATCH("MartialLimitedExpert",CLASSFEATUREHEADERS,0),MATCH($A427,CLASSNAMEHEADERS,0))),(INDEX(ALLCLASSDATA,MATCH("MartialLimitedExpert",CLASSFEATUREHEADERS,0),MATCH(($A427 &amp; "Points"),CLASSNAMEHEADERS,0))),(IF("11"=(INDEX(ALLCLASSDATA,MATCH("MartialLimitedTrained",CLASSFEATUREHEADERS,0),MATCH($A427,CLASSNAMEHEADERS,0))),(INDEX(ALLCLASSDATA,MATCH("MartialLimitedTrained",CLASSFEATUREHEADERS,0),MATCH(($A427 &amp; "Points"),CLASSNAMEHEADERS,0))),"")))))))))}</f>
        <v>MARTIALLIMITEDL11</v>
      </c>
      <c r="S426" s="223"/>
      <c r="T426" s="223" t="str">
        <f t="array" ref="T426:T427">{"MARTIALLIMITEDL13";((IF("13"=(INDEX(ALLCLASSDATA,MATCH("MartialLimitedLegendary",CLASSFEATUREHEADERS,0),MATCH($A427,CLASSNAMEHEADERS,0))),(INDEX(ALLCLASSDATA,MATCH("MartialLimitedLegendary",CLASSFEATUREHEADERS,0),MATCH(($A427 &amp; "Points"),CLASSNAMEHEADERS,0))),(IF("13"=(INDEX(ALLCLASSDATA,MATCH("MartialLimitedMaster",CLASSFEATUREHEADERS,0),MATCH($A427,CLASSNAMEHEADERS,0))),(INDEX(ALLCLASSDATA,MATCH("MartialLimitedMaster",CLASSFEATUREHEADERS,0),MATCH(($A427 &amp; "Points"),CLASSNAMEHEADERS,0))),(IF("13"=(INDEX(ALLCLASSDATA,MATCH("MartialLimitedExpert",CLASSFEATUREHEADERS,0),MATCH($A427,CLASSNAMEHEADERS,0))),(INDEX(ALLCLASSDATA,MATCH("MartialLimitedExpert",CLASSFEATUREHEADERS,0),MATCH(($A427 &amp; "Points"),CLASSNAMEHEADERS,0))),(IF("13"=(INDEX(ALLCLASSDATA,MATCH("MartialLimitedTrained",CLASSFEATUREHEADERS,0),MATCH($A427,CLASSNAMEHEADERS,0))),(INDEX(ALLCLASSDATA,MATCH("MartialLimitedTrained",CLASSFEATUREHEADERS,0),MATCH(($A427 &amp; "Points"),CLASSNAMEHEADERS,0))),"")))))))))}</f>
        <v>MARTIALLIMITEDL13</v>
      </c>
      <c r="U426" s="223"/>
      <c r="V426" s="223" t="str">
        <f t="array" ref="V426:V427">{"MARTIALLIMITEDL15";((IF("15"=(INDEX(ALLCLASSDATA,MATCH("MartialLimitedLegendary",CLASSFEATUREHEADERS,0),MATCH($A427,CLASSNAMEHEADERS,0))),(INDEX(ALLCLASSDATA,MATCH("MartialLimitedLegendary",CLASSFEATUREHEADERS,0),MATCH(($A427 &amp; "Points"),CLASSNAMEHEADERS,0))),(IF("15"=(INDEX(ALLCLASSDATA,MATCH("MartialLimitedMaster",CLASSFEATUREHEADERS,0),MATCH($A427,CLASSNAMEHEADERS,0))),(INDEX(ALLCLASSDATA,MATCH("MartialLimitedMaster",CLASSFEATUREHEADERS,0),MATCH(($A427 &amp; "Points"),CLASSNAMEHEADERS,0))),(IF("15"=(INDEX(ALLCLASSDATA,MATCH("MartialLimitedExpert",CLASSFEATUREHEADERS,0),MATCH($A427,CLASSNAMEHEADERS,0))),(INDEX(ALLCLASSDATA,MATCH("MartialLimitedExpert",CLASSFEATUREHEADERS,0),MATCH(($A427 &amp; "Points"),CLASSNAMEHEADERS,0))),(IF("15"=(INDEX(ALLCLASSDATA,MATCH("MartialLimitedTrained",CLASSFEATUREHEADERS,0),MATCH($A427,CLASSNAMEHEADERS,0))),(INDEX(ALLCLASSDATA,MATCH("MartialLimitedTrained",CLASSFEATUREHEADERS,0),MATCH(($A427 &amp; "Points"),CLASSNAMEHEADERS,0))),"")))))))))}</f>
        <v>MARTIALLIMITEDL15</v>
      </c>
      <c r="W426" s="223"/>
      <c r="X426" s="223" t="str">
        <f t="array" ref="X426:X427">{"MARTIALLIMITEDL17";((IF("17"=(INDEX(ALLCLASSDATA,MATCH("MartialLimitedLegendary",CLASSFEATUREHEADERS,0),MATCH($A427,CLASSNAMEHEADERS,0))),(INDEX(ALLCLASSDATA,MATCH("MartialLimitedLegendary",CLASSFEATUREHEADERS,0),MATCH(($A427 &amp; "Points"),CLASSNAMEHEADERS,0))),(IF("17"=(INDEX(ALLCLASSDATA,MATCH("MartialLimitedMaster",CLASSFEATUREHEADERS,0),MATCH($A427,CLASSNAMEHEADERS,0))),(INDEX(ALLCLASSDATA,MATCH("MartialLimitedMaster",CLASSFEATUREHEADERS,0),MATCH(($A427 &amp; "Points"),CLASSNAMEHEADERS,0))),(IF("17"=(INDEX(ALLCLASSDATA,MATCH("MartialLimitedExpert",CLASSFEATUREHEADERS,0),MATCH($A427,CLASSNAMEHEADERS,0))),(INDEX(ALLCLASSDATA,MATCH("MartialLimitedExpert",CLASSFEATUREHEADERS,0),MATCH(($A427 &amp; "Points"),CLASSNAMEHEADERS,0))),(IF("17"=(INDEX(ALLCLASSDATA,MATCH("MartialLimitedTrained",CLASSFEATUREHEADERS,0),MATCH($A427,CLASSNAMEHEADERS,0))),(INDEX(ALLCLASSDATA,MATCH("MartialLimitedTrained",CLASSFEATUREHEADERS,0),MATCH(($A427 &amp; "Points"),CLASSNAMEHEADERS,0))),"")))))))))}</f>
        <v>MARTIALLIMITEDL17</v>
      </c>
      <c r="Y426" s="223"/>
      <c r="Z426" s="223" t="str">
        <f t="array" ref="Z426:Z427">{"MARTIALLIMITEDL19";((IF("19"=(INDEX(ALLCLASSDATA,MATCH("MartialLimitedLegendary",CLASSFEATUREHEADERS,0),MATCH($A427,CLASSNAMEHEADERS,0))),(INDEX(ALLCLASSDATA,MATCH("MartialLimitedLegendary",CLASSFEATUREHEADERS,0),MATCH(($A427 &amp; "Points"),CLASSNAMEHEADERS,0))),(IF("19"=(INDEX(ALLCLASSDATA,MATCH("MartialLimitedMaster",CLASSFEATUREHEADERS,0),MATCH($A427,CLASSNAMEHEADERS,0))),(INDEX(ALLCLASSDATA,MATCH("MartialLimitedMaster",CLASSFEATUREHEADERS,0),MATCH(($A427 &amp; "Points"),CLASSNAMEHEADERS,0))),(IF("19"=(INDEX(ALLCLASSDATA,MATCH("MartialLimitedExpert",CLASSFEATUREHEADERS,0),MATCH($A427,CLASSNAMEHEADERS,0))),(INDEX(ALLCLASSDATA,MATCH("MartialLimitedExpert",CLASSFEATUREHEADERS,0),MATCH(($A427 &amp; "Points"),CLASSNAMEHEADERS,0))),(IF("19"=(INDEX(ALLCLASSDATA,MATCH("MartialLimitedTrained",CLASSFEATUREHEADERS,0),MATCH($A427,CLASSNAMEHEADERS,0))),(INDEX(ALLCLASSDATA,MATCH("MartialLimitedTrained",CLASSFEATUREHEADERS,0),MATCH(($A427 &amp; "Points"),CLASSNAMEHEADERS,0))),"")))))))))}</f>
        <v>MARTIALLIMITEDL19</v>
      </c>
      <c r="AA426" s="223"/>
      <c r="AB426" s="76" t="str">
        <f t="array" ref="AB426:AB427">{"MARTIALLIMITED TOTAL";(IF(COUNTBLANK(G427:AA427)=17,"L",(IF(COUNTBLANK(G427:AA427)=18,"M",(IF(COUNTBLANK(G427:AA427)=19,"E",(IF(COUNTBLANK(G427:AA427)=20,"T",""))))))))}</f>
        <v>MARTIALLIMITED TOTAL</v>
      </c>
      <c r="AC426" s="76" t="str">
        <f t="array" ref="AC426:AC427">{"MARTIALLIMITED TOTAL";(sum(G427:AA427))}</f>
        <v>MARTIALLIMITED TOTAL</v>
      </c>
    </row>
    <row r="427">
      <c r="A427" s="48" t="s">
        <v>124</v>
      </c>
      <c r="B427" s="48"/>
      <c r="C427" s="48" t="s">
        <v>413</v>
      </c>
      <c r="D427" s="48" t="s">
        <v>1634</v>
      </c>
      <c r="E427" s="48" t="s">
        <v>600</v>
      </c>
      <c r="F427" s="5" t="s">
        <v>603</v>
      </c>
      <c r="G427" s="47" t="s">
        <v>603</v>
      </c>
      <c r="H427" s="5" t="s">
        <v>603</v>
      </c>
      <c r="I427" s="5"/>
      <c r="J427" s="5" t="s">
        <v>603</v>
      </c>
      <c r="K427" s="5"/>
      <c r="L427" s="5" t="s">
        <v>603</v>
      </c>
      <c r="M427" s="5"/>
      <c r="N427" s="5" t="s">
        <v>603</v>
      </c>
      <c r="O427" s="5"/>
      <c r="P427" s="5" t="s">
        <v>603</v>
      </c>
      <c r="Q427" s="5"/>
      <c r="R427" s="5" t="s">
        <v>603</v>
      </c>
      <c r="S427" s="5"/>
      <c r="T427" s="5" t="s">
        <v>603</v>
      </c>
      <c r="U427" s="5"/>
      <c r="V427" s="5" t="s">
        <v>603</v>
      </c>
      <c r="W427" s="5"/>
      <c r="X427" s="5" t="s">
        <v>603</v>
      </c>
      <c r="Y427" s="5"/>
      <c r="Z427" s="5" t="s">
        <v>603</v>
      </c>
      <c r="AA427" s="5"/>
      <c r="AB427" s="5" t="s">
        <v>603</v>
      </c>
      <c r="AC427" s="47">
        <v>0.0</v>
      </c>
    </row>
    <row r="428" hidden="1">
      <c r="A428" s="222" t="str">
        <f t="array" ref="A428:A429">{"FormulaRow31";(INDEX(CLASSLIST,A367,1))}</f>
        <v>FormulaRow31</v>
      </c>
      <c r="B428" s="77" t="s">
        <v>236</v>
      </c>
      <c r="C428" s="222" t="str">
        <f t="array" ref="C428:C429">{"CLASSTYPE";((INDEX(ALLCLASSDATA,MATCH("ClassType",CLASSFEATUREHEADERS,0),MATCH($A429,CLASSNAMEHEADERS,0))))}</f>
        <v>CLASSTYPE</v>
      </c>
      <c r="D428" s="222" t="str">
        <f t="array" ref="D428:D429">{"ATTACK";"Attack"}</f>
        <v>ATTACK</v>
      </c>
      <c r="E428" s="222" t="str">
        <f t="array" ref="E428:E429">{"MARTIAL";"Martial"}</f>
        <v>MARTIAL</v>
      </c>
      <c r="F428" s="223" t="str">
        <f t="array" ref="F428:F429">{"MARTIALINITIAL";((IF(H429=10,"T",(IF(H429=50,"E","")))))}</f>
        <v>MARTIALINITIAL</v>
      </c>
      <c r="G428" s="223" t="str">
        <f t="array" ref="G428:G429">{"MARTIALINITIALPTS";((IF("00"=(INDEX(ALLCLASSDATA,MATCH("MartialLegendary",CLASSFEATUREHEADERS,0),MATCH($A429,CLASSNAMEHEADERS,0))),(INDEX(ALLCLASSDATA,MATCH("MartialLegendary",CLASSFEATUREHEADERS,0),MATCH(($A429 &amp; "Points"),CLASSNAMEHEADERS,0))),(IF("00"=(INDEX(ALLCLASSDATA,MATCH("MartialMaster",CLASSFEATUREHEADERS,0),MATCH($A429,CLASSNAMEHEADERS,0))),(INDEX(ALLCLASSDATA,MATCH("MartialMaster",CLASSFEATUREHEADERS,0),MATCH(($A429 &amp; "Points"),CLASSNAMEHEADERS,0))),(IF("00"=(INDEX(ALLCLASSDATA,MATCH("MartialExpert",CLASSFEATUREHEADERS,0),MATCH($A429,CLASSNAMEHEADERS,0))),(INDEX(ALLCLASSDATA,MATCH("MartialExpert",CLASSFEATUREHEADERS,0),MATCH(($A429 &amp; "Points"),CLASSNAMEHEADERS,0))),(IF("00"=(INDEX(ALLCLASSDATA,MATCH("MartialTrained",CLASSFEATUREHEADERS,0),MATCH($A429,CLASSNAMEHEADERS,0))),(INDEX(ALLCLASSDATA,MATCH("MartialTrained",CLASSFEATUREHEADERS,0),MATCH(($A429 &amp; "Points"),CLASSNAMEHEADERS,0))),"")))))))))}</f>
        <v>MARTIALINITIALPTS</v>
      </c>
      <c r="H428" s="223" t="str">
        <f t="array" ref="H428:H429">{"MARTIALL01";((IF("01"=(INDEX(ALLCLASSDATA,MATCH("MartialLegendary",CLASSFEATUREHEADERS,0),MATCH($A429,CLASSNAMEHEADERS,0))),(INDEX(ALLCLASSDATA,MATCH("MartialLegendary",CLASSFEATUREHEADERS,0),MATCH(($A429 &amp; "Points"),CLASSNAMEHEADERS,0))),(IF("01"=(INDEX(ALLCLASSDATA,MATCH("MartialMaster",CLASSFEATUREHEADERS,0),MATCH($A429,CLASSNAMEHEADERS,0))),(INDEX(ALLCLASSDATA,MATCH("MartialMaster",CLASSFEATUREHEADERS,0),MATCH(($A429 &amp; "Points"),CLASSNAMEHEADERS,0))),(IF("01"=(INDEX(ALLCLASSDATA,MATCH("MartialExpert",CLASSFEATUREHEADERS,0),MATCH($A429,CLASSNAMEHEADERS,0))),(INDEX(ALLCLASSDATA,MATCH("MartialExpert",CLASSFEATUREHEADERS,0),MATCH(($A429 &amp; "Points"),CLASSNAMEHEADERS,0))),(IF("01"=(INDEX(ALLCLASSDATA,MATCH("MartialTrained",CLASSFEATUREHEADERS,0),MATCH($A429,CLASSNAMEHEADERS,0))),(INDEX(ALLCLASSDATA,MATCH("MartialTrained",CLASSFEATUREHEADERS,0),MATCH(($A429 &amp; "Points"),CLASSNAMEHEADERS,0))),"")))))))))}</f>
        <v>MARTIALL01</v>
      </c>
      <c r="I428" s="223"/>
      <c r="J428" s="223" t="str">
        <f t="array" ref="J428:J429">{"MARTIALL03";((IF("03"=(INDEX(ALLCLASSDATA,MATCH("MartialLegendary",CLASSFEATUREHEADERS,0),MATCH($A429,CLASSNAMEHEADERS,0))),(INDEX(ALLCLASSDATA,MATCH("MartialLegendary",CLASSFEATUREHEADERS,0),MATCH(($A429 &amp; "Points"),CLASSNAMEHEADERS,0))),(IF("03"=(INDEX(ALLCLASSDATA,MATCH("MartialMaster",CLASSFEATUREHEADERS,0),MATCH($A429,CLASSNAMEHEADERS,0))),(INDEX(ALLCLASSDATA,MATCH("MartialMaster",CLASSFEATUREHEADERS,0),MATCH(($A429 &amp; "Points"),CLASSNAMEHEADERS,0))),(IF("03"=(INDEX(ALLCLASSDATA,MATCH("MartialExpert",CLASSFEATUREHEADERS,0),MATCH($A429,CLASSNAMEHEADERS,0))),(INDEX(ALLCLASSDATA,MATCH("MartialExpert",CLASSFEATUREHEADERS,0),MATCH(($A429 &amp; "Points"),CLASSNAMEHEADERS,0))),(IF("03"=(INDEX(ALLCLASSDATA,MATCH("MartialTrained",CLASSFEATUREHEADERS,0),MATCH($A429,CLASSNAMEHEADERS,0))),(INDEX(ALLCLASSDATA,MATCH("MartialTrained",CLASSFEATUREHEADERS,0),MATCH(($A429 &amp; "Points"),CLASSNAMEHEADERS,0))),"")))))))))}</f>
        <v>MARTIALL03</v>
      </c>
      <c r="K428" s="223"/>
      <c r="L428" s="223" t="str">
        <f t="array" ref="L428:L429">{"MARTIALL05";((IF("05"=(INDEX(ALLCLASSDATA,MATCH("MartialLegendary",CLASSFEATUREHEADERS,0),MATCH($A429,CLASSNAMEHEADERS,0))),(INDEX(ALLCLASSDATA,MATCH("MartialLegendary",CLASSFEATUREHEADERS,0),MATCH(($A429 &amp; "Points"),CLASSNAMEHEADERS,0))),(IF("05"=(INDEX(ALLCLASSDATA,MATCH("MartialMaster",CLASSFEATUREHEADERS,0),MATCH($A429,CLASSNAMEHEADERS,0))),(INDEX(ALLCLASSDATA,MATCH("MartialMaster",CLASSFEATUREHEADERS,0),MATCH(($A429 &amp; "Points"),CLASSNAMEHEADERS,0))),(IF("05"=(INDEX(ALLCLASSDATA,MATCH("MartialExpert",CLASSFEATUREHEADERS,0),MATCH($A429,CLASSNAMEHEADERS,0))),(INDEX(ALLCLASSDATA,MATCH("MartialExpert",CLASSFEATUREHEADERS,0),MATCH(($A429 &amp; "Points"),CLASSNAMEHEADERS,0))),(IF("05"=(INDEX(ALLCLASSDATA,MATCH("MartialTrained",CLASSFEATUREHEADERS,0),MATCH($A429,CLASSNAMEHEADERS,0))),(INDEX(ALLCLASSDATA,MATCH("MartialTrained",CLASSFEATUREHEADERS,0),MATCH(($A429 &amp; "Points"),CLASSNAMEHEADERS,0))),"")))))))))}</f>
        <v>MARTIALL05</v>
      </c>
      <c r="M428" s="223"/>
      <c r="N428" s="223" t="str">
        <f t="array" ref="N428:N429">{"MARTIALL07";((IF("07"=(INDEX(ALLCLASSDATA,MATCH("MartialLegendary",CLASSFEATUREHEADERS,0),MATCH($A429,CLASSNAMEHEADERS,0))),(INDEX(ALLCLASSDATA,MATCH("MartialLegendary",CLASSFEATUREHEADERS,0),MATCH(($A429 &amp; "Points"),CLASSNAMEHEADERS,0))),(IF("07"=(INDEX(ALLCLASSDATA,MATCH("MartialMaster",CLASSFEATUREHEADERS,0),MATCH($A429,CLASSNAMEHEADERS,0))),(INDEX(ALLCLASSDATA,MATCH("MartialMaster",CLASSFEATUREHEADERS,0),MATCH(($A429 &amp; "Points"),CLASSNAMEHEADERS,0))),(IF("07"=(INDEX(ALLCLASSDATA,MATCH("MartialExpert",CLASSFEATUREHEADERS,0),MATCH($A429,CLASSNAMEHEADERS,0))),(INDEX(ALLCLASSDATA,MATCH("MartialExpert",CLASSFEATUREHEADERS,0),MATCH(($A429 &amp; "Points"),CLASSNAMEHEADERS,0))),(IF("07"=(INDEX(ALLCLASSDATA,MATCH("MartialTrained",CLASSFEATUREHEADERS,0),MATCH($A429,CLASSNAMEHEADERS,0))),(INDEX(ALLCLASSDATA,MATCH("MartialTrained",CLASSFEATUREHEADERS,0),MATCH(($A429 &amp; "Points"),CLASSNAMEHEADERS,0))),"")))))))))}</f>
        <v>MARTIALL07</v>
      </c>
      <c r="O428" s="223"/>
      <c r="P428" s="223" t="str">
        <f t="array" ref="P428:P429">{"MARTIALL09";((IF("09"=(INDEX(ALLCLASSDATA,MATCH("MartialLegendary",CLASSFEATUREHEADERS,0),MATCH($A429,CLASSNAMEHEADERS,0))),(INDEX(ALLCLASSDATA,MATCH("MartialLegendary",CLASSFEATUREHEADERS,0),MATCH(($A429 &amp; "Points"),CLASSNAMEHEADERS,0))),(IF("09"=(INDEX(ALLCLASSDATA,MATCH("MartialMaster",CLASSFEATUREHEADERS,0),MATCH($A429,CLASSNAMEHEADERS,0))),(INDEX(ALLCLASSDATA,MATCH("MartialMaster",CLASSFEATUREHEADERS,0),MATCH(($A429 &amp; "Points"),CLASSNAMEHEADERS,0))),(IF("09"=(INDEX(ALLCLASSDATA,MATCH("MartialExpert",CLASSFEATUREHEADERS,0),MATCH($A429,CLASSNAMEHEADERS,0))),(INDEX(ALLCLASSDATA,MATCH("MartialExpert",CLASSFEATUREHEADERS,0),MATCH(($A429 &amp; "Points"),CLASSNAMEHEADERS,0))),(IF("09"=(INDEX(ALLCLASSDATA,MATCH("MartialTrained",CLASSFEATUREHEADERS,0),MATCH($A429,CLASSNAMEHEADERS,0))),(INDEX(ALLCLASSDATA,MATCH("MartialTrained",CLASSFEATUREHEADERS,0),MATCH(($A429 &amp; "Points"),CLASSNAMEHEADERS,0))),"")))))))))}</f>
        <v>MARTIALL09</v>
      </c>
      <c r="Q428" s="223"/>
      <c r="R428" s="223" t="str">
        <f t="array" ref="R428:R429">{"MARTIALL11";((IF("11"=(INDEX(ALLCLASSDATA,MATCH("MartialLegendary",CLASSFEATUREHEADERS,0),MATCH($A429,CLASSNAMEHEADERS,0))),(INDEX(ALLCLASSDATA,MATCH("MartialLegendary",CLASSFEATUREHEADERS,0),MATCH(($A429 &amp; "Points"),CLASSNAMEHEADERS,0))),(IF("11"=(INDEX(ALLCLASSDATA,MATCH("MartialMaster",CLASSFEATUREHEADERS,0),MATCH($A429,CLASSNAMEHEADERS,0))),(INDEX(ALLCLASSDATA,MATCH("MartialMaster",CLASSFEATUREHEADERS,0),MATCH(($A429 &amp; "Points"),CLASSNAMEHEADERS,0))),(IF("11"=(INDEX(ALLCLASSDATA,MATCH("MartialExpert",CLASSFEATUREHEADERS,0),MATCH($A429,CLASSNAMEHEADERS,0))),(INDEX(ALLCLASSDATA,MATCH("MartialExpert",CLASSFEATUREHEADERS,0),MATCH(($A429 &amp; "Points"),CLASSNAMEHEADERS,0))),(IF("11"=(INDEX(ALLCLASSDATA,MATCH("MartialTrained",CLASSFEATUREHEADERS,0),MATCH($A429,CLASSNAMEHEADERS,0))),(INDEX(ALLCLASSDATA,MATCH("MartialTrained",CLASSFEATUREHEADERS,0),MATCH(($A429 &amp; "Points"),CLASSNAMEHEADERS,0))),"")))))))))}</f>
        <v>MARTIALL11</v>
      </c>
      <c r="S428" s="223"/>
      <c r="T428" s="223" t="str">
        <f t="array" ref="T428:T429">{"MARTIALL13";((IF("13"=(INDEX(ALLCLASSDATA,MATCH("MartialLegendary",CLASSFEATUREHEADERS,0),MATCH($A429,CLASSNAMEHEADERS,0))),(INDEX(ALLCLASSDATA,MATCH("MartialLegendary",CLASSFEATUREHEADERS,0),MATCH(($A429 &amp; "Points"),CLASSNAMEHEADERS,0))),(IF("13"=(INDEX(ALLCLASSDATA,MATCH("MartialMaster",CLASSFEATUREHEADERS,0),MATCH($A429,CLASSNAMEHEADERS,0))),(INDEX(ALLCLASSDATA,MATCH("MartialMaster",CLASSFEATUREHEADERS,0),MATCH(($A429 &amp; "Points"),CLASSNAMEHEADERS,0))),(IF("13"=(INDEX(ALLCLASSDATA,MATCH("MartialExpert",CLASSFEATUREHEADERS,0),MATCH($A429,CLASSNAMEHEADERS,0))),(INDEX(ALLCLASSDATA,MATCH("MartialExpert",CLASSFEATUREHEADERS,0),MATCH(($A429 &amp; "Points"),CLASSNAMEHEADERS,0))),(IF("13"=(INDEX(ALLCLASSDATA,MATCH("MartialTrained",CLASSFEATUREHEADERS,0),MATCH($A429,CLASSNAMEHEADERS,0))),(INDEX(ALLCLASSDATA,MATCH("MartialTrained",CLASSFEATUREHEADERS,0),MATCH(($A429 &amp; "Points"),CLASSNAMEHEADERS,0))),"")))))))))}</f>
        <v>MARTIALL13</v>
      </c>
      <c r="U428" s="223"/>
      <c r="V428" s="223" t="str">
        <f t="array" ref="V428:V429">{"MARTIALL15";((IF("15"=(INDEX(ALLCLASSDATA,MATCH("MartialLegendary",CLASSFEATUREHEADERS,0),MATCH($A429,CLASSNAMEHEADERS,0))),(INDEX(ALLCLASSDATA,MATCH("MartialLegendary",CLASSFEATUREHEADERS,0),MATCH(($A429 &amp; "Points"),CLASSNAMEHEADERS,0))),(IF("15"=(INDEX(ALLCLASSDATA,MATCH("MartialMaster",CLASSFEATUREHEADERS,0),MATCH($A429,CLASSNAMEHEADERS,0))),(INDEX(ALLCLASSDATA,MATCH("MartialMaster",CLASSFEATUREHEADERS,0),MATCH(($A429 &amp; "Points"),CLASSNAMEHEADERS,0))),(IF("15"=(INDEX(ALLCLASSDATA,MATCH("MartialExpert",CLASSFEATUREHEADERS,0),MATCH($A429,CLASSNAMEHEADERS,0))),(INDEX(ALLCLASSDATA,MATCH("MartialExpert",CLASSFEATUREHEADERS,0),MATCH(($A429 &amp; "Points"),CLASSNAMEHEADERS,0))),(IF("15"=(INDEX(ALLCLASSDATA,MATCH("MartialTrained",CLASSFEATUREHEADERS,0),MATCH($A429,CLASSNAMEHEADERS,0))),(INDEX(ALLCLASSDATA,MATCH("MartialTrained",CLASSFEATUREHEADERS,0),MATCH(($A429 &amp; "Points"),CLASSNAMEHEADERS,0))),"")))))))))}</f>
        <v>MARTIALL15</v>
      </c>
      <c r="W428" s="223"/>
      <c r="X428" s="223" t="str">
        <f t="array" ref="X428:X429">{"MARTIALL17";((IF("17"=(INDEX(ALLCLASSDATA,MATCH("MartialLegendary",CLASSFEATUREHEADERS,0),MATCH($A429,CLASSNAMEHEADERS,0))),(INDEX(ALLCLASSDATA,MATCH("MartialLegendary",CLASSFEATUREHEADERS,0),MATCH(($A429 &amp; "Points"),CLASSNAMEHEADERS,0))),(IF("17"=(INDEX(ALLCLASSDATA,MATCH("MartialMaster",CLASSFEATUREHEADERS,0),MATCH($A429,CLASSNAMEHEADERS,0))),(INDEX(ALLCLASSDATA,MATCH("MartialMaster",CLASSFEATUREHEADERS,0),MATCH(($A429 &amp; "Points"),CLASSNAMEHEADERS,0))),(IF("17"=(INDEX(ALLCLASSDATA,MATCH("MartialExpert",CLASSFEATUREHEADERS,0),MATCH($A429,CLASSNAMEHEADERS,0))),(INDEX(ALLCLASSDATA,MATCH("MartialExpert",CLASSFEATUREHEADERS,0),MATCH(($A429 &amp; "Points"),CLASSNAMEHEADERS,0))),(IF("17"=(INDEX(ALLCLASSDATA,MATCH("MartialTrained",CLASSFEATUREHEADERS,0),MATCH($A429,CLASSNAMEHEADERS,0))),(INDEX(ALLCLASSDATA,MATCH("MartialTrained",CLASSFEATUREHEADERS,0),MATCH(($A429 &amp; "Points"),CLASSNAMEHEADERS,0))),"")))))))))}</f>
        <v>MARTIALL17</v>
      </c>
      <c r="Y428" s="223"/>
      <c r="Z428" s="223" t="str">
        <f t="array" ref="Z428:Z429">{"MARTIALL19";((IF("19"=(INDEX(ALLCLASSDATA,MATCH("MartialLegendary",CLASSFEATUREHEADERS,0),MATCH($A429,CLASSNAMEHEADERS,0))),(INDEX(ALLCLASSDATA,MATCH("MartialLegendary",CLASSFEATUREHEADERS,0),MATCH(($A429 &amp; "Points"),CLASSNAMEHEADERS,0))),(IF("19"=(INDEX(ALLCLASSDATA,MATCH("MartialMaster",CLASSFEATUREHEADERS,0),MATCH($A429,CLASSNAMEHEADERS,0))),(INDEX(ALLCLASSDATA,MATCH("MartialMaster",CLASSFEATUREHEADERS,0),MATCH(($A429 &amp; "Points"),CLASSNAMEHEADERS,0))),(IF("19"=(INDEX(ALLCLASSDATA,MATCH("MartialExpert",CLASSFEATUREHEADERS,0),MATCH($A429,CLASSNAMEHEADERS,0))),(INDEX(ALLCLASSDATA,MATCH("MartialExpert",CLASSFEATUREHEADERS,0),MATCH(($A429 &amp; "Points"),CLASSNAMEHEADERS,0))),(IF("19"=(INDEX(ALLCLASSDATA,MATCH("MartialTrained",CLASSFEATUREHEADERS,0),MATCH($A429,CLASSNAMEHEADERS,0))),(INDEX(ALLCLASSDATA,MATCH("MartialTrained",CLASSFEATUREHEADERS,0),MATCH(($A429 &amp; "Points"),CLASSNAMEHEADERS,0))),"")))))))))}</f>
        <v>MARTIALL19</v>
      </c>
      <c r="AA428" s="223"/>
      <c r="AB428" s="76" t="str">
        <f t="array" ref="AB428:AB429">{"MARTIAL TOTAL";(IF(COUNTBLANK(G429:AA429)=17,"L",(IF(COUNTBLANK(G429:AA429)=18,"M",(IF(COUNTBLANK(G429:AA429)=19,"E",(IF(COUNTBLANK(G429:AA429)=20,"T",""))))))))}</f>
        <v>MARTIAL TOTAL</v>
      </c>
      <c r="AC428" s="76" t="str">
        <f t="array" ref="AC428:AC429">{"MARTIAL TOTAL";(sum(G429:AA429))}</f>
        <v>MARTIAL TOTAL</v>
      </c>
    </row>
    <row r="429">
      <c r="A429" s="48" t="s">
        <v>124</v>
      </c>
      <c r="B429" s="48"/>
      <c r="C429" s="48" t="s">
        <v>413</v>
      </c>
      <c r="D429" s="48" t="s">
        <v>1634</v>
      </c>
      <c r="E429" s="48" t="s">
        <v>6</v>
      </c>
      <c r="F429" s="5" t="s">
        <v>435</v>
      </c>
      <c r="G429" s="47" t="s">
        <v>603</v>
      </c>
      <c r="H429" s="5">
        <v>10.0</v>
      </c>
      <c r="I429" s="5"/>
      <c r="J429" s="5" t="s">
        <v>603</v>
      </c>
      <c r="K429" s="5"/>
      <c r="L429" s="5">
        <v>50.0</v>
      </c>
      <c r="M429" s="5"/>
      <c r="N429" s="5" t="s">
        <v>603</v>
      </c>
      <c r="O429" s="5"/>
      <c r="P429" s="5" t="s">
        <v>603</v>
      </c>
      <c r="Q429" s="48"/>
      <c r="R429" s="5" t="s">
        <v>603</v>
      </c>
      <c r="S429" s="5"/>
      <c r="T429" s="5">
        <v>110.0</v>
      </c>
      <c r="U429" s="5"/>
      <c r="V429" s="5" t="s">
        <v>603</v>
      </c>
      <c r="W429" s="5"/>
      <c r="X429" s="5" t="s">
        <v>603</v>
      </c>
      <c r="Y429" s="5"/>
      <c r="Z429" s="5" t="s">
        <v>603</v>
      </c>
      <c r="AA429" s="5"/>
      <c r="AB429" s="5" t="s">
        <v>437</v>
      </c>
      <c r="AC429" s="47">
        <v>170.0</v>
      </c>
    </row>
    <row r="430" hidden="1">
      <c r="A430" s="222" t="str">
        <f t="array" ref="A430:A431">{"FormulaRow32";(INDEX(CLASSLIST,A367,1))}</f>
        <v>FormulaRow32</v>
      </c>
      <c r="B430" s="77" t="s">
        <v>236</v>
      </c>
      <c r="C430" s="222" t="str">
        <f t="array" ref="C430:C431">{"CLASSTYPE";((INDEX(ALLCLASSDATA,MATCH("ClassType",CLASSFEATUREHEADERS,0),MATCH($A431,CLASSNAMEHEADERS,0))))}</f>
        <v>CLASSTYPE</v>
      </c>
      <c r="D430" s="222" t="str">
        <f t="array" ref="D430:D431">{"ATTACK";"Attack"}</f>
        <v>ATTACK</v>
      </c>
      <c r="E430" s="222" t="str">
        <f t="array" ref="E430:E431">{"ADVANCEDGROUP";"AdvancedGroup"}</f>
        <v>ADVANCEDGROUP</v>
      </c>
      <c r="F430" s="223" t="str">
        <f t="array" ref="F430:F431">{"ADVANCEDGROUPINITIAL";((IF(H431=10,"T",(IF(H431=50,"E","")))))}</f>
        <v>ADVANCEDGROUPINITIAL</v>
      </c>
      <c r="G430" s="223" t="str">
        <f t="array" ref="G430:G431">{"ADVANCEDGROUPINITIALPTS";((IF("00"=(INDEX(ALLCLASSDATA,MATCH("AdvancedGroupLegendary",CLASSFEATUREHEADERS,0),MATCH($A431,CLASSNAMEHEADERS,0))),(INDEX(ALLCLASSDATA,MATCH("AdvancedGroupLegendary",CLASSFEATUREHEADERS,0),MATCH(($A431 &amp; "Points"),CLASSNAMEHEADERS,0))),(IF("00"=(INDEX(ALLCLASSDATA,MATCH("AdvancedGroupMaster",CLASSFEATUREHEADERS,0),MATCH($A431,CLASSNAMEHEADERS,0))),(INDEX(ALLCLASSDATA,MATCH("AdvancedGroupMaster",CLASSFEATUREHEADERS,0),MATCH(($A431 &amp; "Points"),CLASSNAMEHEADERS,0))),(IF("00"=(INDEX(ALLCLASSDATA,MATCH("AdvancedGroupExpert",CLASSFEATUREHEADERS,0),MATCH($A431,CLASSNAMEHEADERS,0))),(INDEX(ALLCLASSDATA,MATCH("AdvancedGroupExpert",CLASSFEATUREHEADERS,0),MATCH(($A431 &amp; "Points"),CLASSNAMEHEADERS,0))),(IF("00"=(INDEX(ALLCLASSDATA,MATCH("AdvancedGroupTrained",CLASSFEATUREHEADERS,0),MATCH($A431,CLASSNAMEHEADERS,0))),(INDEX(ALLCLASSDATA,MATCH("AdvancedGroupTrained",CLASSFEATUREHEADERS,0),MATCH(($A431 &amp; "Points"),CLASSNAMEHEADERS,0))),"")))))))))}</f>
        <v>ADVANCEDGROUPINITIALPTS</v>
      </c>
      <c r="H430" s="223" t="str">
        <f t="array" ref="H430:H431">{"ADVANCEDGROUPL01";((IF("01"=(INDEX(ALLCLASSDATA,MATCH("AdvancedGroupLegendary",CLASSFEATUREHEADERS,0),MATCH($A431,CLASSNAMEHEADERS,0))),(INDEX(ALLCLASSDATA,MATCH("AdvancedGroupLegendary",CLASSFEATUREHEADERS,0),MATCH(($A431 &amp; "Points"),CLASSNAMEHEADERS,0))),(IF("01"=(INDEX(ALLCLASSDATA,MATCH("AdvancedGroupMaster",CLASSFEATUREHEADERS,0),MATCH($A431,CLASSNAMEHEADERS,0))),(INDEX(ALLCLASSDATA,MATCH("AdvancedGroupMaster",CLASSFEATUREHEADERS,0),MATCH(($A431 &amp; "Points"),CLASSNAMEHEADERS,0))),(IF("01"=(INDEX(ALLCLASSDATA,MATCH("AdvancedGroupExpert",CLASSFEATUREHEADERS,0),MATCH($A431,CLASSNAMEHEADERS,0))),(INDEX(ALLCLASSDATA,MATCH("AdvancedGroupExpert",CLASSFEATUREHEADERS,0),MATCH(($A431 &amp; "Points"),CLASSNAMEHEADERS,0))),(IF("01"=(INDEX(ALLCLASSDATA,MATCH("AdvancedGroupTrained",CLASSFEATUREHEADERS,0),MATCH($A431,CLASSNAMEHEADERS,0))),(INDEX(ALLCLASSDATA,MATCH("AdvancedGroupTrained",CLASSFEATUREHEADERS,0),MATCH(($A431 &amp; "Points"),CLASSNAMEHEADERS,0))),"")))))))))}</f>
        <v>ADVANCEDGROUPL01</v>
      </c>
      <c r="I430" s="223"/>
      <c r="J430" s="223" t="str">
        <f t="array" ref="J430:J431">{"ADVANCEDGROUPL03";((IF("03"=(INDEX(ALLCLASSDATA,MATCH("AdvancedGroupLegendary",CLASSFEATUREHEADERS,0),MATCH($A431,CLASSNAMEHEADERS,0))),(INDEX(ALLCLASSDATA,MATCH("AdvancedGroupLegendary",CLASSFEATUREHEADERS,0),MATCH(($A431 &amp; "Points"),CLASSNAMEHEADERS,0))),(IF("03"=(INDEX(ALLCLASSDATA,MATCH("AdvancedGroupMaster",CLASSFEATUREHEADERS,0),MATCH($A431,CLASSNAMEHEADERS,0))),(INDEX(ALLCLASSDATA,MATCH("AdvancedGroupMaster",CLASSFEATUREHEADERS,0),MATCH(($A431 &amp; "Points"),CLASSNAMEHEADERS,0))),(IF("03"=(INDEX(ALLCLASSDATA,MATCH("AdvancedGroupExpert",CLASSFEATUREHEADERS,0),MATCH($A431,CLASSNAMEHEADERS,0))),(INDEX(ALLCLASSDATA,MATCH("AdvancedGroupExpert",CLASSFEATUREHEADERS,0),MATCH(($A431 &amp; "Points"),CLASSNAMEHEADERS,0))),(IF("03"=(INDEX(ALLCLASSDATA,MATCH("AdvancedGroupTrained",CLASSFEATUREHEADERS,0),MATCH($A431,CLASSNAMEHEADERS,0))),(INDEX(ALLCLASSDATA,MATCH("AdvancedGroupTrained",CLASSFEATUREHEADERS,0),MATCH(($A431 &amp; "Points"),CLASSNAMEHEADERS,0))),"")))))))))}</f>
        <v>ADVANCEDGROUPL03</v>
      </c>
      <c r="K430" s="223"/>
      <c r="L430" s="223" t="str">
        <f t="array" ref="L430:L431">{"ADVANCEDGROUPL05";((IF("05"=(INDEX(ALLCLASSDATA,MATCH("AdvancedGroupLegendary",CLASSFEATUREHEADERS,0),MATCH($A431,CLASSNAMEHEADERS,0))),(INDEX(ALLCLASSDATA,MATCH("AdvancedGroupLegendary",CLASSFEATUREHEADERS,0),MATCH(($A431 &amp; "Points"),CLASSNAMEHEADERS,0))),(IF("05"=(INDEX(ALLCLASSDATA,MATCH("AdvancedGroupMaster",CLASSFEATUREHEADERS,0),MATCH($A431,CLASSNAMEHEADERS,0))),(INDEX(ALLCLASSDATA,MATCH("AdvancedGroupMaster",CLASSFEATUREHEADERS,0),MATCH(($A431 &amp; "Points"),CLASSNAMEHEADERS,0))),(IF("05"=(INDEX(ALLCLASSDATA,MATCH("AdvancedGroupExpert",CLASSFEATUREHEADERS,0),MATCH($A431,CLASSNAMEHEADERS,0))),(INDEX(ALLCLASSDATA,MATCH("AdvancedGroupExpert",CLASSFEATUREHEADERS,0),MATCH(($A431 &amp; "Points"),CLASSNAMEHEADERS,0))),(IF("05"=(INDEX(ALLCLASSDATA,MATCH("AdvancedGroupTrained",CLASSFEATUREHEADERS,0),MATCH($A431,CLASSNAMEHEADERS,0))),(INDEX(ALLCLASSDATA,MATCH("AdvancedGroupTrained",CLASSFEATUREHEADERS,0),MATCH(($A431 &amp; "Points"),CLASSNAMEHEADERS,0))),"")))))))))}</f>
        <v>ADVANCEDGROUPL05</v>
      </c>
      <c r="M430" s="223"/>
      <c r="N430" s="223" t="str">
        <f t="array" ref="N430:N431">{"ADVANCEDGROUPL07";((IF("07"=(INDEX(ALLCLASSDATA,MATCH("AdvancedGroupLegendary",CLASSFEATUREHEADERS,0),MATCH($A431,CLASSNAMEHEADERS,0))),(INDEX(ALLCLASSDATA,MATCH("AdvancedGroupLegendary",CLASSFEATUREHEADERS,0),MATCH(($A431 &amp; "Points"),CLASSNAMEHEADERS,0))),(IF("07"=(INDEX(ALLCLASSDATA,MATCH("AdvancedGroupMaster",CLASSFEATUREHEADERS,0),MATCH($A431,CLASSNAMEHEADERS,0))),(INDEX(ALLCLASSDATA,MATCH("AdvancedGroupMaster",CLASSFEATUREHEADERS,0),MATCH(($A431 &amp; "Points"),CLASSNAMEHEADERS,0))),(IF("07"=(INDEX(ALLCLASSDATA,MATCH("AdvancedGroupExpert",CLASSFEATUREHEADERS,0),MATCH($A431,CLASSNAMEHEADERS,0))),(INDEX(ALLCLASSDATA,MATCH("AdvancedGroupExpert",CLASSFEATUREHEADERS,0),MATCH(($A431 &amp; "Points"),CLASSNAMEHEADERS,0))),(IF("07"=(INDEX(ALLCLASSDATA,MATCH("AdvancedGroupTrained",CLASSFEATUREHEADERS,0),MATCH($A431,CLASSNAMEHEADERS,0))),(INDEX(ALLCLASSDATA,MATCH("AdvancedGroupTrained",CLASSFEATUREHEADERS,0),MATCH(($A431 &amp; "Points"),CLASSNAMEHEADERS,0))),"")))))))))}</f>
        <v>ADVANCEDGROUPL07</v>
      </c>
      <c r="O430" s="223"/>
      <c r="P430" s="223" t="str">
        <f t="array" ref="P430:P431">{"ADVANCEDGROUPL09";((IF("09"=(INDEX(ALLCLASSDATA,MATCH("AdvancedGroupLegendary",CLASSFEATUREHEADERS,0),MATCH($A431,CLASSNAMEHEADERS,0))),(INDEX(ALLCLASSDATA,MATCH("AdvancedGroupLegendary",CLASSFEATUREHEADERS,0),MATCH(($A431 &amp; "Points"),CLASSNAMEHEADERS,0))),(IF("09"=(INDEX(ALLCLASSDATA,MATCH("AdvancedGroupMaster",CLASSFEATUREHEADERS,0),MATCH($A431,CLASSNAMEHEADERS,0))),(INDEX(ALLCLASSDATA,MATCH("AdvancedGroupMaster",CLASSFEATUREHEADERS,0),MATCH(($A431 &amp; "Points"),CLASSNAMEHEADERS,0))),(IF("09"=(INDEX(ALLCLASSDATA,MATCH("AdvancedGroupExpert",CLASSFEATUREHEADERS,0),MATCH($A431,CLASSNAMEHEADERS,0))),(INDEX(ALLCLASSDATA,MATCH("AdvancedGroupExpert",CLASSFEATUREHEADERS,0),MATCH(($A431 &amp; "Points"),CLASSNAMEHEADERS,0))),(IF("09"=(INDEX(ALLCLASSDATA,MATCH("AdvancedGroupTrained",CLASSFEATUREHEADERS,0),MATCH($A431,CLASSNAMEHEADERS,0))),(INDEX(ALLCLASSDATA,MATCH("AdvancedGroupTrained",CLASSFEATUREHEADERS,0),MATCH(($A431 &amp; "Points"),CLASSNAMEHEADERS,0))),"")))))))))}</f>
        <v>ADVANCEDGROUPL09</v>
      </c>
      <c r="Q430" s="223"/>
      <c r="R430" s="223" t="str">
        <f t="array" ref="R430:R431">{"ADVANCEDGROUPL11";((IF("11"=(INDEX(ALLCLASSDATA,MATCH("AdvancedGroupLegendary",CLASSFEATUREHEADERS,0),MATCH($A431,CLASSNAMEHEADERS,0))),(INDEX(ALLCLASSDATA,MATCH("AdvancedGroupLegendary",CLASSFEATUREHEADERS,0),MATCH(($A431 &amp; "Points"),CLASSNAMEHEADERS,0))),(IF("11"=(INDEX(ALLCLASSDATA,MATCH("AdvancedGroupMaster",CLASSFEATUREHEADERS,0),MATCH($A431,CLASSNAMEHEADERS,0))),(INDEX(ALLCLASSDATA,MATCH("AdvancedGroupMaster",CLASSFEATUREHEADERS,0),MATCH(($A431 &amp; "Points"),CLASSNAMEHEADERS,0))),(IF("11"=(INDEX(ALLCLASSDATA,MATCH("AdvancedGroupExpert",CLASSFEATUREHEADERS,0),MATCH($A431,CLASSNAMEHEADERS,0))),(INDEX(ALLCLASSDATA,MATCH("AdvancedGroupExpert",CLASSFEATUREHEADERS,0),MATCH(($A431 &amp; "Points"),CLASSNAMEHEADERS,0))),(IF("11"=(INDEX(ALLCLASSDATA,MATCH("AdvancedGroupTrained",CLASSFEATUREHEADERS,0),MATCH($A431,CLASSNAMEHEADERS,0))),(INDEX(ALLCLASSDATA,MATCH("AdvancedGroupTrained",CLASSFEATUREHEADERS,0),MATCH(($A431 &amp; "Points"),CLASSNAMEHEADERS,0))),"")))))))))}</f>
        <v>ADVANCEDGROUPL11</v>
      </c>
      <c r="S430" s="223"/>
      <c r="T430" s="223" t="str">
        <f t="array" ref="T430:T431">{"ADVANCEDGROUPL13";((IF("13"=(INDEX(ALLCLASSDATA,MATCH("AdvancedGroupLegendary",CLASSFEATUREHEADERS,0),MATCH($A431,CLASSNAMEHEADERS,0))),(INDEX(ALLCLASSDATA,MATCH("AdvancedGroupLegendary",CLASSFEATUREHEADERS,0),MATCH(($A431 &amp; "Points"),CLASSNAMEHEADERS,0))),(IF("13"=(INDEX(ALLCLASSDATA,MATCH("AdvancedGroupMaster",CLASSFEATUREHEADERS,0),MATCH($A431,CLASSNAMEHEADERS,0))),(INDEX(ALLCLASSDATA,MATCH("AdvancedGroupMaster",CLASSFEATUREHEADERS,0),MATCH(($A431 &amp; "Points"),CLASSNAMEHEADERS,0))),(IF("13"=(INDEX(ALLCLASSDATA,MATCH("AdvancedGroupExpert",CLASSFEATUREHEADERS,0),MATCH($A431,CLASSNAMEHEADERS,0))),(INDEX(ALLCLASSDATA,MATCH("AdvancedGroupExpert",CLASSFEATUREHEADERS,0),MATCH(($A431 &amp; "Points"),CLASSNAMEHEADERS,0))),(IF("13"=(INDEX(ALLCLASSDATA,MATCH("AdvancedGroupTrained",CLASSFEATUREHEADERS,0),MATCH($A431,CLASSNAMEHEADERS,0))),(INDEX(ALLCLASSDATA,MATCH("AdvancedGroupTrained",CLASSFEATUREHEADERS,0),MATCH(($A431 &amp; "Points"),CLASSNAMEHEADERS,0))),"")))))))))}</f>
        <v>ADVANCEDGROUPL13</v>
      </c>
      <c r="U430" s="223"/>
      <c r="V430" s="223" t="str">
        <f t="array" ref="V430:V431">{"ADVANCEDGROUPL15";((IF("15"=(INDEX(ALLCLASSDATA,MATCH("AdvancedGroupLegendary",CLASSFEATUREHEADERS,0),MATCH($A431,CLASSNAMEHEADERS,0))),(INDEX(ALLCLASSDATA,MATCH("AdvancedGroupLegendary",CLASSFEATUREHEADERS,0),MATCH(($A431 &amp; "Points"),CLASSNAMEHEADERS,0))),(IF("15"=(INDEX(ALLCLASSDATA,MATCH("AdvancedGroupMaster",CLASSFEATUREHEADERS,0),MATCH($A431,CLASSNAMEHEADERS,0))),(INDEX(ALLCLASSDATA,MATCH("AdvancedGroupMaster",CLASSFEATUREHEADERS,0),MATCH(($A431 &amp; "Points"),CLASSNAMEHEADERS,0))),(IF("15"=(INDEX(ALLCLASSDATA,MATCH("AdvancedGroupExpert",CLASSFEATUREHEADERS,0),MATCH($A431,CLASSNAMEHEADERS,0))),(INDEX(ALLCLASSDATA,MATCH("AdvancedGroupExpert",CLASSFEATUREHEADERS,0),MATCH(($A431 &amp; "Points"),CLASSNAMEHEADERS,0))),(IF("15"=(INDEX(ALLCLASSDATA,MATCH("AdvancedGroupTrained",CLASSFEATUREHEADERS,0),MATCH($A431,CLASSNAMEHEADERS,0))),(INDEX(ALLCLASSDATA,MATCH("AdvancedGroupTrained",CLASSFEATUREHEADERS,0),MATCH(($A431 &amp; "Points"),CLASSNAMEHEADERS,0))),"")))))))))}</f>
        <v>ADVANCEDGROUPL15</v>
      </c>
      <c r="W430" s="223"/>
      <c r="X430" s="223" t="str">
        <f t="array" ref="X430:X431">{"ADVANCEDGROUPL17";((IF("17"=(INDEX(ALLCLASSDATA,MATCH("AdvancedGroupLegendary",CLASSFEATUREHEADERS,0),MATCH($A431,CLASSNAMEHEADERS,0))),(INDEX(ALLCLASSDATA,MATCH("AdvancedGroupLegendary",CLASSFEATUREHEADERS,0),MATCH(($A431 &amp; "Points"),CLASSNAMEHEADERS,0))),(IF("17"=(INDEX(ALLCLASSDATA,MATCH("AdvancedGroupMaster",CLASSFEATUREHEADERS,0),MATCH($A431,CLASSNAMEHEADERS,0))),(INDEX(ALLCLASSDATA,MATCH("AdvancedGroupMaster",CLASSFEATUREHEADERS,0),MATCH(($A431 &amp; "Points"),CLASSNAMEHEADERS,0))),(IF("17"=(INDEX(ALLCLASSDATA,MATCH("AdvancedGroupExpert",CLASSFEATUREHEADERS,0),MATCH($A431,CLASSNAMEHEADERS,0))),(INDEX(ALLCLASSDATA,MATCH("AdvancedGroupExpert",CLASSFEATUREHEADERS,0),MATCH(($A431 &amp; "Points"),CLASSNAMEHEADERS,0))),(IF("17"=(INDEX(ALLCLASSDATA,MATCH("AdvancedGroupTrained",CLASSFEATUREHEADERS,0),MATCH($A431,CLASSNAMEHEADERS,0))),(INDEX(ALLCLASSDATA,MATCH("AdvancedGroupTrained",CLASSFEATUREHEADERS,0),MATCH(($A431 &amp; "Points"),CLASSNAMEHEADERS,0))),"")))))))))}</f>
        <v>ADVANCEDGROUPL17</v>
      </c>
      <c r="Y430" s="223"/>
      <c r="Z430" s="223" t="str">
        <f t="array" ref="Z430:Z431">{"ADVANCEDGROUPL19";((IF("19"=(INDEX(ALLCLASSDATA,MATCH("AdvancedGroupLegendary",CLASSFEATUREHEADERS,0),MATCH($A431,CLASSNAMEHEADERS,0))),(INDEX(ALLCLASSDATA,MATCH("AdvancedGroupLegendary",CLASSFEATUREHEADERS,0),MATCH(($A431 &amp; "Points"),CLASSNAMEHEADERS,0))),(IF("19"=(INDEX(ALLCLASSDATA,MATCH("AdvancedGroupMaster",CLASSFEATUREHEADERS,0),MATCH($A431,CLASSNAMEHEADERS,0))),(INDEX(ALLCLASSDATA,MATCH("AdvancedGroupMaster",CLASSFEATUREHEADERS,0),MATCH(($A431 &amp; "Points"),CLASSNAMEHEADERS,0))),(IF("19"=(INDEX(ALLCLASSDATA,MATCH("AdvancedGroupExpert",CLASSFEATUREHEADERS,0),MATCH($A431,CLASSNAMEHEADERS,0))),(INDEX(ALLCLASSDATA,MATCH("AdvancedGroupExpert",CLASSFEATUREHEADERS,0),MATCH(($A431 &amp; "Points"),CLASSNAMEHEADERS,0))),(IF("19"=(INDEX(ALLCLASSDATA,MATCH("AdvancedGroupTrained",CLASSFEATUREHEADERS,0),MATCH($A431,CLASSNAMEHEADERS,0))),(INDEX(ALLCLASSDATA,MATCH("AdvancedGroupTrained",CLASSFEATUREHEADERS,0),MATCH(($A431 &amp; "Points"),CLASSNAMEHEADERS,0))),"")))))))))}</f>
        <v>ADVANCEDGROUPL19</v>
      </c>
      <c r="AA430" s="223"/>
      <c r="AB430" s="76" t="str">
        <f t="array" ref="AB430:AB431">{"ADVANCEDGROUP TOTAL";(IF(COUNTBLANK(G431:AA431)=17,"L",(IF(COUNTBLANK(G431:AA431)=18,"M",(IF(COUNTBLANK(G431:AA431)=19,"E",(IF(COUNTBLANK(G431:AA431)=20,"T",""))))))))}</f>
        <v>ADVANCEDGROUP TOTAL</v>
      </c>
      <c r="AC430" s="76" t="str">
        <f t="array" ref="AC430:AC431">{"ADVANCEDGROUP TOTAL";(sum(G431:AA431))}</f>
        <v>ADVANCEDGROUP TOTAL</v>
      </c>
    </row>
    <row r="431">
      <c r="A431" s="48" t="s">
        <v>124</v>
      </c>
      <c r="B431" s="48"/>
      <c r="C431" s="48" t="s">
        <v>413</v>
      </c>
      <c r="D431" s="48" t="s">
        <v>1634</v>
      </c>
      <c r="E431" s="48" t="s">
        <v>601</v>
      </c>
      <c r="F431" s="5" t="s">
        <v>603</v>
      </c>
      <c r="G431" s="47" t="s">
        <v>603</v>
      </c>
      <c r="H431" s="5" t="s">
        <v>603</v>
      </c>
      <c r="I431" s="5"/>
      <c r="J431" s="5" t="s">
        <v>603</v>
      </c>
      <c r="K431" s="5"/>
      <c r="L431" s="5" t="s">
        <v>603</v>
      </c>
      <c r="M431" s="5"/>
      <c r="N431" s="5" t="s">
        <v>603</v>
      </c>
      <c r="O431" s="5"/>
      <c r="P431" s="5" t="s">
        <v>603</v>
      </c>
      <c r="Q431" s="5"/>
      <c r="R431" s="5" t="s">
        <v>603</v>
      </c>
      <c r="S431" s="5"/>
      <c r="T431" s="5" t="s">
        <v>603</v>
      </c>
      <c r="U431" s="5"/>
      <c r="V431" s="5" t="s">
        <v>603</v>
      </c>
      <c r="W431" s="5"/>
      <c r="X431" s="5" t="s">
        <v>603</v>
      </c>
      <c r="Y431" s="5"/>
      <c r="Z431" s="5" t="s">
        <v>603</v>
      </c>
      <c r="AA431" s="5"/>
      <c r="AB431" s="5" t="s">
        <v>603</v>
      </c>
      <c r="AC431" s="47">
        <v>0.0</v>
      </c>
    </row>
    <row r="432" hidden="1">
      <c r="A432" s="222" t="str">
        <f t="array" ref="A432:A433">{"FormulaRow33";(INDEX(CLASSLIST,A367,1))}</f>
        <v>FormulaRow33</v>
      </c>
      <c r="B432" s="77" t="s">
        <v>236</v>
      </c>
      <c r="C432" s="222" t="str">
        <f t="array" ref="C432:C433">{"CLASSTYPE";((INDEX(ALLCLASSDATA,MATCH("ClassType",CLASSFEATUREHEADERS,0),MATCH($A433,CLASSNAMEHEADERS,0))))}</f>
        <v>CLASSTYPE</v>
      </c>
      <c r="D432" s="222" t="str">
        <f t="array" ref="D432:D433">{"ATTACK";"Attack"}</f>
        <v>ATTACK</v>
      </c>
      <c r="E432" s="222" t="str">
        <f t="array" ref="E432:E433">{"ADVANCED";"Advanced"}</f>
        <v>ADVANCED</v>
      </c>
      <c r="F432" s="223" t="str">
        <f t="array" ref="F432:F433">{"ADVANCEDINITIAL";((IF(H433=10,"T",(IF(H433=50,"E","")))))}</f>
        <v>ADVANCEDINITIAL</v>
      </c>
      <c r="G432" s="223" t="str">
        <f t="array" ref="G432:G433">{"ADVANCEDINITIALPTS";((IF("00"=(INDEX(ALLCLASSDATA,MATCH("AdvancedLegendary",CLASSFEATUREHEADERS,0),MATCH($A433,CLASSNAMEHEADERS,0))),(INDEX(ALLCLASSDATA,MATCH("AdvancedLegendary",CLASSFEATUREHEADERS,0),MATCH(($A433 &amp; "Points"),CLASSNAMEHEADERS,0))),(IF("00"=(INDEX(ALLCLASSDATA,MATCH("AdvancedMaster",CLASSFEATUREHEADERS,0),MATCH($A433,CLASSNAMEHEADERS,0))),(INDEX(ALLCLASSDATA,MATCH("AdvancedMaster",CLASSFEATUREHEADERS,0),MATCH(($A433 &amp; "Points"),CLASSNAMEHEADERS,0))),(IF("00"=(INDEX(ALLCLASSDATA,MATCH("AdvancedExpert",CLASSFEATUREHEADERS,0),MATCH($A433,CLASSNAMEHEADERS,0))),(INDEX(ALLCLASSDATA,MATCH("AdvancedExpert",CLASSFEATUREHEADERS,0),MATCH(($A433 &amp; "Points"),CLASSNAMEHEADERS,0))),(IF("00"=(INDEX(ALLCLASSDATA,MATCH("AdvancedTrained",CLASSFEATUREHEADERS,0),MATCH($A433,CLASSNAMEHEADERS,0))),(INDEX(ALLCLASSDATA,MATCH("AdvancedTrained",CLASSFEATUREHEADERS,0),MATCH(($A433 &amp; "Points"),CLASSNAMEHEADERS,0))),"")))))))))}</f>
        <v>ADVANCEDINITIALPTS</v>
      </c>
      <c r="H432" s="223" t="str">
        <f t="array" ref="H432:H433">{"ADVANCEDL01";((IF("01"=(INDEX(ALLCLASSDATA,MATCH("AdvancedLegendary",CLASSFEATUREHEADERS,0),MATCH($A433,CLASSNAMEHEADERS,0))),(INDEX(ALLCLASSDATA,MATCH("AdvancedLegendary",CLASSFEATUREHEADERS,0),MATCH(($A433 &amp; "Points"),CLASSNAMEHEADERS,0))),(IF("01"=(INDEX(ALLCLASSDATA,MATCH("AdvancedMaster",CLASSFEATUREHEADERS,0),MATCH($A433,CLASSNAMEHEADERS,0))),(INDEX(ALLCLASSDATA,MATCH("AdvancedMaster",CLASSFEATUREHEADERS,0),MATCH(($A433 &amp; "Points"),CLASSNAMEHEADERS,0))),(IF("01"=(INDEX(ALLCLASSDATA,MATCH("AdvancedExpert",CLASSFEATUREHEADERS,0),MATCH($A433,CLASSNAMEHEADERS,0))),(INDEX(ALLCLASSDATA,MATCH("AdvancedExpert",CLASSFEATUREHEADERS,0),MATCH(($A433 &amp; "Points"),CLASSNAMEHEADERS,0))),(IF("01"=(INDEX(ALLCLASSDATA,MATCH("AdvancedTrained",CLASSFEATUREHEADERS,0),MATCH($A433,CLASSNAMEHEADERS,0))),(INDEX(ALLCLASSDATA,MATCH("AdvancedTrained",CLASSFEATUREHEADERS,0),MATCH(($A433 &amp; "Points"),CLASSNAMEHEADERS,0))),"")))))))))}</f>
        <v>ADVANCEDL01</v>
      </c>
      <c r="I432" s="223"/>
      <c r="J432" s="223" t="str">
        <f t="array" ref="J432:J433">{"ADVANCEDL03";((IF("03"=(INDEX(ALLCLASSDATA,MATCH("AdvancedLegendary",CLASSFEATUREHEADERS,0),MATCH($A433,CLASSNAMEHEADERS,0))),(INDEX(ALLCLASSDATA,MATCH("AdvancedLegendary",CLASSFEATUREHEADERS,0),MATCH(($A433 &amp; "Points"),CLASSNAMEHEADERS,0))),(IF("03"=(INDEX(ALLCLASSDATA,MATCH("AdvancedMaster",CLASSFEATUREHEADERS,0),MATCH($A433,CLASSNAMEHEADERS,0))),(INDEX(ALLCLASSDATA,MATCH("AdvancedMaster",CLASSFEATUREHEADERS,0),MATCH(($A433 &amp; "Points"),CLASSNAMEHEADERS,0))),(IF("03"=(INDEX(ALLCLASSDATA,MATCH("AdvancedExpert",CLASSFEATUREHEADERS,0),MATCH($A433,CLASSNAMEHEADERS,0))),(INDEX(ALLCLASSDATA,MATCH("AdvancedExpert",CLASSFEATUREHEADERS,0),MATCH(($A433 &amp; "Points"),CLASSNAMEHEADERS,0))),(IF("03"=(INDEX(ALLCLASSDATA,MATCH("AdvancedTrained",CLASSFEATUREHEADERS,0),MATCH($A433,CLASSNAMEHEADERS,0))),(INDEX(ALLCLASSDATA,MATCH("AdvancedTrained",CLASSFEATUREHEADERS,0),MATCH(($A433 &amp; "Points"),CLASSNAMEHEADERS,0))),"")))))))))}</f>
        <v>ADVANCEDL03</v>
      </c>
      <c r="K432" s="223"/>
      <c r="L432" s="223" t="str">
        <f t="array" ref="L432:L433">{"ADVANCEDL05";((IF("05"=(INDEX(ALLCLASSDATA,MATCH("AdvancedLegendary",CLASSFEATUREHEADERS,0),MATCH($A433,CLASSNAMEHEADERS,0))),(INDEX(ALLCLASSDATA,MATCH("AdvancedLegendary",CLASSFEATUREHEADERS,0),MATCH(($A433 &amp; "Points"),CLASSNAMEHEADERS,0))),(IF("05"=(INDEX(ALLCLASSDATA,MATCH("AdvancedMaster",CLASSFEATUREHEADERS,0),MATCH($A433,CLASSNAMEHEADERS,0))),(INDEX(ALLCLASSDATA,MATCH("AdvancedMaster",CLASSFEATUREHEADERS,0),MATCH(($A433 &amp; "Points"),CLASSNAMEHEADERS,0))),(IF("05"=(INDEX(ALLCLASSDATA,MATCH("AdvancedExpert",CLASSFEATUREHEADERS,0),MATCH($A433,CLASSNAMEHEADERS,0))),(INDEX(ALLCLASSDATA,MATCH("AdvancedExpert",CLASSFEATUREHEADERS,0),MATCH(($A433 &amp; "Points"),CLASSNAMEHEADERS,0))),(IF("05"=(INDEX(ALLCLASSDATA,MATCH("AdvancedTrained",CLASSFEATUREHEADERS,0),MATCH($A433,CLASSNAMEHEADERS,0))),(INDEX(ALLCLASSDATA,MATCH("AdvancedTrained",CLASSFEATUREHEADERS,0),MATCH(($A433 &amp; "Points"),CLASSNAMEHEADERS,0))),"")))))))))}</f>
        <v>ADVANCEDL05</v>
      </c>
      <c r="M432" s="223"/>
      <c r="N432" s="223" t="str">
        <f t="array" ref="N432:N433">{"ADVANCEDL07";((IF("07"=(INDEX(ALLCLASSDATA,MATCH("AdvancedLegendary",CLASSFEATUREHEADERS,0),MATCH($A433,CLASSNAMEHEADERS,0))),(INDEX(ALLCLASSDATA,MATCH("AdvancedLegendary",CLASSFEATUREHEADERS,0),MATCH(($A433 &amp; "Points"),CLASSNAMEHEADERS,0))),(IF("07"=(INDEX(ALLCLASSDATA,MATCH("AdvancedMaster",CLASSFEATUREHEADERS,0),MATCH($A433,CLASSNAMEHEADERS,0))),(INDEX(ALLCLASSDATA,MATCH("AdvancedMaster",CLASSFEATUREHEADERS,0),MATCH(($A433 &amp; "Points"),CLASSNAMEHEADERS,0))),(IF("07"=(INDEX(ALLCLASSDATA,MATCH("AdvancedExpert",CLASSFEATUREHEADERS,0),MATCH($A433,CLASSNAMEHEADERS,0))),(INDEX(ALLCLASSDATA,MATCH("AdvancedExpert",CLASSFEATUREHEADERS,0),MATCH(($A433 &amp; "Points"),CLASSNAMEHEADERS,0))),(IF("07"=(INDEX(ALLCLASSDATA,MATCH("AdvancedTrained",CLASSFEATUREHEADERS,0),MATCH($A433,CLASSNAMEHEADERS,0))),(INDEX(ALLCLASSDATA,MATCH("AdvancedTrained",CLASSFEATUREHEADERS,0),MATCH(($A433 &amp; "Points"),CLASSNAMEHEADERS,0))),"")))))))))}</f>
        <v>ADVANCEDL07</v>
      </c>
      <c r="O432" s="223"/>
      <c r="P432" s="223" t="str">
        <f t="array" ref="P432:P433">{"ADVANCEDL09";((IF("09"=(INDEX(ALLCLASSDATA,MATCH("AdvancedLegendary",CLASSFEATUREHEADERS,0),MATCH($A433,CLASSNAMEHEADERS,0))),(INDEX(ALLCLASSDATA,MATCH("AdvancedLegendary",CLASSFEATUREHEADERS,0),MATCH(($A433 &amp; "Points"),CLASSNAMEHEADERS,0))),(IF("09"=(INDEX(ALLCLASSDATA,MATCH("AdvancedMaster",CLASSFEATUREHEADERS,0),MATCH($A433,CLASSNAMEHEADERS,0))),(INDEX(ALLCLASSDATA,MATCH("AdvancedMaster",CLASSFEATUREHEADERS,0),MATCH(($A433 &amp; "Points"),CLASSNAMEHEADERS,0))),(IF("09"=(INDEX(ALLCLASSDATA,MATCH("AdvancedExpert",CLASSFEATUREHEADERS,0),MATCH($A433,CLASSNAMEHEADERS,0))),(INDEX(ALLCLASSDATA,MATCH("AdvancedExpert",CLASSFEATUREHEADERS,0),MATCH(($A433 &amp; "Points"),CLASSNAMEHEADERS,0))),(IF("09"=(INDEX(ALLCLASSDATA,MATCH("AdvancedTrained",CLASSFEATUREHEADERS,0),MATCH($A433,CLASSNAMEHEADERS,0))),(INDEX(ALLCLASSDATA,MATCH("AdvancedTrained",CLASSFEATUREHEADERS,0),MATCH(($A433 &amp; "Points"),CLASSNAMEHEADERS,0))),"")))))))))}</f>
        <v>ADVANCEDL09</v>
      </c>
      <c r="Q432" s="223"/>
      <c r="R432" s="223" t="str">
        <f t="array" ref="R432:R433">{"ADVANCEDL11";((IF("11"=(INDEX(ALLCLASSDATA,MATCH("AdvancedLegendary",CLASSFEATUREHEADERS,0),MATCH($A433,CLASSNAMEHEADERS,0))),(INDEX(ALLCLASSDATA,MATCH("AdvancedLegendary",CLASSFEATUREHEADERS,0),MATCH(($A433 &amp; "Points"),CLASSNAMEHEADERS,0))),(IF("11"=(INDEX(ALLCLASSDATA,MATCH("AdvancedMaster",CLASSFEATUREHEADERS,0),MATCH($A433,CLASSNAMEHEADERS,0))),(INDEX(ALLCLASSDATA,MATCH("AdvancedMaster",CLASSFEATUREHEADERS,0),MATCH(($A433 &amp; "Points"),CLASSNAMEHEADERS,0))),(IF("11"=(INDEX(ALLCLASSDATA,MATCH("AdvancedExpert",CLASSFEATUREHEADERS,0),MATCH($A433,CLASSNAMEHEADERS,0))),(INDEX(ALLCLASSDATA,MATCH("AdvancedExpert",CLASSFEATUREHEADERS,0),MATCH(($A433 &amp; "Points"),CLASSNAMEHEADERS,0))),(IF("11"=(INDEX(ALLCLASSDATA,MATCH("AdvancedTrained",CLASSFEATUREHEADERS,0),MATCH($A433,CLASSNAMEHEADERS,0))),(INDEX(ALLCLASSDATA,MATCH("AdvancedTrained",CLASSFEATUREHEADERS,0),MATCH(($A433 &amp; "Points"),CLASSNAMEHEADERS,0))),"")))))))))}</f>
        <v>ADVANCEDL11</v>
      </c>
      <c r="S432" s="223"/>
      <c r="T432" s="223" t="str">
        <f t="array" ref="T432:T433">{"ADVANCEDL13";((IF("13"=(INDEX(ALLCLASSDATA,MATCH("AdvancedLegendary",CLASSFEATUREHEADERS,0),MATCH($A433,CLASSNAMEHEADERS,0))),(INDEX(ALLCLASSDATA,MATCH("AdvancedLegendary",CLASSFEATUREHEADERS,0),MATCH(($A433 &amp; "Points"),CLASSNAMEHEADERS,0))),(IF("13"=(INDEX(ALLCLASSDATA,MATCH("AdvancedMaster",CLASSFEATUREHEADERS,0),MATCH($A433,CLASSNAMEHEADERS,0))),(INDEX(ALLCLASSDATA,MATCH("AdvancedMaster",CLASSFEATUREHEADERS,0),MATCH(($A433 &amp; "Points"),CLASSNAMEHEADERS,0))),(IF("13"=(INDEX(ALLCLASSDATA,MATCH("AdvancedExpert",CLASSFEATUREHEADERS,0),MATCH($A433,CLASSNAMEHEADERS,0))),(INDEX(ALLCLASSDATA,MATCH("AdvancedExpert",CLASSFEATUREHEADERS,0),MATCH(($A433 &amp; "Points"),CLASSNAMEHEADERS,0))),(IF("13"=(INDEX(ALLCLASSDATA,MATCH("AdvancedTrained",CLASSFEATUREHEADERS,0),MATCH($A433,CLASSNAMEHEADERS,0))),(INDEX(ALLCLASSDATA,MATCH("AdvancedTrained",CLASSFEATUREHEADERS,0),MATCH(($A433 &amp; "Points"),CLASSNAMEHEADERS,0))),"")))))))))}</f>
        <v>ADVANCEDL13</v>
      </c>
      <c r="U432" s="223"/>
      <c r="V432" s="223" t="str">
        <f t="array" ref="V432:V433">{"ADVANCEDL15";((IF("15"=(INDEX(ALLCLASSDATA,MATCH("AdvancedLegendary",CLASSFEATUREHEADERS,0),MATCH($A433,CLASSNAMEHEADERS,0))),(INDEX(ALLCLASSDATA,MATCH("AdvancedLegendary",CLASSFEATUREHEADERS,0),MATCH(($A433 &amp; "Points"),CLASSNAMEHEADERS,0))),(IF("15"=(INDEX(ALLCLASSDATA,MATCH("AdvancedMaster",CLASSFEATUREHEADERS,0),MATCH($A433,CLASSNAMEHEADERS,0))),(INDEX(ALLCLASSDATA,MATCH("AdvancedMaster",CLASSFEATUREHEADERS,0),MATCH(($A433 &amp; "Points"),CLASSNAMEHEADERS,0))),(IF("15"=(INDEX(ALLCLASSDATA,MATCH("AdvancedExpert",CLASSFEATUREHEADERS,0),MATCH($A433,CLASSNAMEHEADERS,0))),(INDEX(ALLCLASSDATA,MATCH("AdvancedExpert",CLASSFEATUREHEADERS,0),MATCH(($A433 &amp; "Points"),CLASSNAMEHEADERS,0))),(IF("15"=(INDEX(ALLCLASSDATA,MATCH("AdvancedTrained",CLASSFEATUREHEADERS,0),MATCH($A433,CLASSNAMEHEADERS,0))),(INDEX(ALLCLASSDATA,MATCH("AdvancedTrained",CLASSFEATUREHEADERS,0),MATCH(($A433 &amp; "Points"),CLASSNAMEHEADERS,0))),"")))))))))}</f>
        <v>ADVANCEDL15</v>
      </c>
      <c r="W432" s="223"/>
      <c r="X432" s="223" t="str">
        <f t="array" ref="X432:X433">{"ADVANCEDL17";((IF("17"=(INDEX(ALLCLASSDATA,MATCH("AdvancedLegendary",CLASSFEATUREHEADERS,0),MATCH($A433,CLASSNAMEHEADERS,0))),(INDEX(ALLCLASSDATA,MATCH("AdvancedLegendary",CLASSFEATUREHEADERS,0),MATCH(($A433 &amp; "Points"),CLASSNAMEHEADERS,0))),(IF("17"=(INDEX(ALLCLASSDATA,MATCH("AdvancedMaster",CLASSFEATUREHEADERS,0),MATCH($A433,CLASSNAMEHEADERS,0))),(INDEX(ALLCLASSDATA,MATCH("AdvancedMaster",CLASSFEATUREHEADERS,0),MATCH(($A433 &amp; "Points"),CLASSNAMEHEADERS,0))),(IF("17"=(INDEX(ALLCLASSDATA,MATCH("AdvancedExpert",CLASSFEATUREHEADERS,0),MATCH($A433,CLASSNAMEHEADERS,0))),(INDEX(ALLCLASSDATA,MATCH("AdvancedExpert",CLASSFEATUREHEADERS,0),MATCH(($A433 &amp; "Points"),CLASSNAMEHEADERS,0))),(IF("17"=(INDEX(ALLCLASSDATA,MATCH("AdvancedTrained",CLASSFEATUREHEADERS,0),MATCH($A433,CLASSNAMEHEADERS,0))),(INDEX(ALLCLASSDATA,MATCH("AdvancedTrained",CLASSFEATUREHEADERS,0),MATCH(($A433 &amp; "Points"),CLASSNAMEHEADERS,0))),"")))))))))}</f>
        <v>ADVANCEDL17</v>
      </c>
      <c r="Y432" s="223"/>
      <c r="Z432" s="223" t="str">
        <f t="array" ref="Z432:Z433">{"ADVANCEDL19";((IF("19"=(INDEX(ALLCLASSDATA,MATCH("AdvancedLegendary",CLASSFEATUREHEADERS,0),MATCH($A433,CLASSNAMEHEADERS,0))),(INDEX(ALLCLASSDATA,MATCH("AdvancedLegendary",CLASSFEATUREHEADERS,0),MATCH(($A433 &amp; "Points"),CLASSNAMEHEADERS,0))),(IF("19"=(INDEX(ALLCLASSDATA,MATCH("AdvancedMaster",CLASSFEATUREHEADERS,0),MATCH($A433,CLASSNAMEHEADERS,0))),(INDEX(ALLCLASSDATA,MATCH("AdvancedMaster",CLASSFEATUREHEADERS,0),MATCH(($A433 &amp; "Points"),CLASSNAMEHEADERS,0))),(IF("19"=(INDEX(ALLCLASSDATA,MATCH("AdvancedExpert",CLASSFEATUREHEADERS,0),MATCH($A433,CLASSNAMEHEADERS,0))),(INDEX(ALLCLASSDATA,MATCH("AdvancedExpert",CLASSFEATUREHEADERS,0),MATCH(($A433 &amp; "Points"),CLASSNAMEHEADERS,0))),(IF("19"=(INDEX(ALLCLASSDATA,MATCH("AdvancedTrained",CLASSFEATUREHEADERS,0),MATCH($A433,CLASSNAMEHEADERS,0))),(INDEX(ALLCLASSDATA,MATCH("AdvancedTrained",CLASSFEATUREHEADERS,0),MATCH(($A433 &amp; "Points"),CLASSNAMEHEADERS,0))),"")))))))))}</f>
        <v>ADVANCEDL19</v>
      </c>
      <c r="AA432" s="223"/>
      <c r="AB432" s="76" t="str">
        <f t="array" ref="AB432:AB433">{"ADVANCED TOTAL";(IF(COUNTBLANK(G433:AA433)=17,"L",(IF(COUNTBLANK(G433:AA433)=18,"M",(IF(COUNTBLANK(G433:AA433)=19,"E",(IF(COUNTBLANK(G433:AA433)=20,"T",""))))))))}</f>
        <v>ADVANCED TOTAL</v>
      </c>
      <c r="AC432" s="76" t="str">
        <f t="array" ref="AC432:AC433">{"ADVANCED TOTAL";(sum(G433:AA433))}</f>
        <v>ADVANCED TOTAL</v>
      </c>
    </row>
    <row r="433">
      <c r="A433" s="48" t="s">
        <v>124</v>
      </c>
      <c r="B433" s="48"/>
      <c r="C433" s="48" t="s">
        <v>413</v>
      </c>
      <c r="D433" s="97" t="s">
        <v>1634</v>
      </c>
      <c r="E433" s="97" t="s">
        <v>602</v>
      </c>
      <c r="F433" s="98" t="s">
        <v>603</v>
      </c>
      <c r="G433" s="132" t="s">
        <v>603</v>
      </c>
      <c r="H433" s="98" t="s">
        <v>603</v>
      </c>
      <c r="I433" s="98"/>
      <c r="J433" s="98" t="s">
        <v>603</v>
      </c>
      <c r="K433" s="98"/>
      <c r="L433" s="98" t="s">
        <v>603</v>
      </c>
      <c r="M433" s="98"/>
      <c r="N433" s="98" t="s">
        <v>603</v>
      </c>
      <c r="O433" s="98"/>
      <c r="P433" s="98" t="s">
        <v>603</v>
      </c>
      <c r="Q433" s="98"/>
      <c r="R433" s="98" t="s">
        <v>603</v>
      </c>
      <c r="S433" s="98"/>
      <c r="T433" s="98" t="s">
        <v>603</v>
      </c>
      <c r="U433" s="98"/>
      <c r="V433" s="98" t="s">
        <v>603</v>
      </c>
      <c r="W433" s="98"/>
      <c r="X433" s="98" t="s">
        <v>603</v>
      </c>
      <c r="Y433" s="98"/>
      <c r="Z433" s="98" t="s">
        <v>603</v>
      </c>
      <c r="AA433" s="98"/>
      <c r="AB433" s="5" t="s">
        <v>603</v>
      </c>
      <c r="AC433" s="47">
        <v>0.0</v>
      </c>
    </row>
    <row r="434" hidden="1">
      <c r="A434" s="222" t="str">
        <f t="array" ref="A434:A435">{"FormulaRow34";(INDEX(CLASSLIST,A367,1))}</f>
        <v>FormulaRow34</v>
      </c>
      <c r="B434" s="77" t="s">
        <v>236</v>
      </c>
      <c r="C434" s="222" t="str">
        <f t="array" ref="C434:C435">{"CLASSTYPE";((INDEX(ALLCLASSDATA,MATCH("ClassType",CLASSFEATUREHEADERS,0),MATCH($A435,CLASSNAMEHEADERS,0))))}</f>
        <v>CLASSTYPE</v>
      </c>
      <c r="D434" s="222" t="str">
        <f t="array" ref="D434:D435">{"DEFENSE";"Defense"}</f>
        <v>DEFENSE</v>
      </c>
      <c r="E434" s="222" t="str">
        <f t="array" ref="E434:E435">{"ARMORSPECIAL";"ArmorAS"}</f>
        <v>ARMORSPECIAL</v>
      </c>
      <c r="F434" s="223"/>
      <c r="G434" s="223"/>
      <c r="H434" s="223" t="str">
        <f t="array" ref="H434:H435">{"ARMORSPECIALL01";((IF("01"=INDEX(ALLCLASSDATA,MATCH("ArmorSpecialization",CLASSFEATUREHEADERS,0),MATCH($A435,CLASSNAMEHEADERS,0)),ArmorAS,"")))}</f>
        <v>ARMORSPECIALL01</v>
      </c>
      <c r="I434" s="223"/>
      <c r="J434" s="223" t="str">
        <f t="array" ref="J434:J435">{"ARMORSPECIALL03";((IF("03"=INDEX(ALLCLASSDATA,MATCH("ArmorSpecialization",CLASSFEATUREHEADERS,0),MATCH($A435,CLASSNAMEHEADERS,0)),ArmorAS,"")))}</f>
        <v>ARMORSPECIALL03</v>
      </c>
      <c r="K434" s="223"/>
      <c r="L434" s="223" t="str">
        <f t="array" ref="L434:L435">{"ARMORSPECIALL05";((IF("05"=INDEX(ALLCLASSDATA,MATCH("ArmorSpecialization",CLASSFEATUREHEADERS,0),MATCH($A435,CLASSNAMEHEADERS,0)),ArmorAS,"")))}</f>
        <v>ARMORSPECIALL05</v>
      </c>
      <c r="M434" s="223"/>
      <c r="N434" s="223" t="str">
        <f t="array" ref="N434:N435">{"ARMORSPECIALL07";((IF("07"=INDEX(ALLCLASSDATA,MATCH("ArmorSpecialization",CLASSFEATUREHEADERS,0),MATCH($A435,CLASSNAMEHEADERS,0)),ArmorAS,"")))}</f>
        <v>ARMORSPECIALL07</v>
      </c>
      <c r="O434" s="223"/>
      <c r="P434" s="223" t="str">
        <f t="array" ref="P434:P435">{"ARMORSPECIALL09";((IF("09"=INDEX(ALLCLASSDATA,MATCH("ArmorSpecialization",CLASSFEATUREHEADERS,0),MATCH($A435,CLASSNAMEHEADERS,0)),ArmorAS,"")))}</f>
        <v>ARMORSPECIALL09</v>
      </c>
      <c r="Q434" s="223"/>
      <c r="R434" s="223" t="str">
        <f t="array" ref="R434:R435">{"ARMORSPECIALL11";((IF("11"=INDEX(ALLCLASSDATA,MATCH("ArmorSpecialization",CLASSFEATUREHEADERS,0),MATCH($A435,CLASSNAMEHEADERS,0)),ArmorAS,"")))}</f>
        <v>ARMORSPECIALL11</v>
      </c>
      <c r="S434" s="223"/>
      <c r="T434" s="223" t="str">
        <f t="array" ref="T434:T435">{"ARMORSPECIALL13";((IF("13"=INDEX(ALLCLASSDATA,MATCH("ArmorSpecialization",CLASSFEATUREHEADERS,0),MATCH($A435,CLASSNAMEHEADERS,0)),ArmorAS,"")))}</f>
        <v>ARMORSPECIALL13</v>
      </c>
      <c r="U434" s="223"/>
      <c r="V434" s="223" t="str">
        <f t="array" ref="V434:V435">{"ARMORSPECIALL15";((IF("15"=INDEX(ALLCLASSDATA,MATCH("ArmorSpecialization",CLASSFEATUREHEADERS,0),MATCH($A435,CLASSNAMEHEADERS,0)),ArmorAS,"")))}</f>
        <v>ARMORSPECIALL15</v>
      </c>
      <c r="W434" s="223"/>
      <c r="X434" s="223" t="str">
        <f t="array" ref="X434:X435">{"ARMORSPECIALL17";((IF("17"=INDEX(ALLCLASSDATA,MATCH("ArmorSpecialization",CLASSFEATUREHEADERS,0),MATCH($A435,CLASSNAMEHEADERS,0)),ArmorAS,"")))}</f>
        <v>ARMORSPECIALL17</v>
      </c>
      <c r="Y434" s="223"/>
      <c r="Z434" s="223" t="str">
        <f t="array" ref="Z434:Z435">{"ARMORSPECIALL19";((IF("19"=INDEX(ALLCLASSDATA,MATCH("ArmorSpecialization",CLASSFEATUREHEADERS,0),MATCH($A435,CLASSNAMEHEADERS,0)),ArmorAS,"")))}</f>
        <v>ARMORSPECIALL19</v>
      </c>
      <c r="AA434" s="223"/>
      <c r="AB434" s="76"/>
      <c r="AC434" s="76" t="str">
        <f t="array" ref="AC434:AC435">{"ARMORSPECIAL TOTAL";(sum(G435:AA435))}</f>
        <v>ARMORSPECIAL TOTAL</v>
      </c>
    </row>
    <row r="435">
      <c r="A435" s="48" t="s">
        <v>124</v>
      </c>
      <c r="B435" s="48"/>
      <c r="C435" s="48" t="s">
        <v>413</v>
      </c>
      <c r="D435" s="48" t="s">
        <v>1900</v>
      </c>
      <c r="E435" s="48" t="s">
        <v>51</v>
      </c>
      <c r="F435" s="5"/>
      <c r="G435" s="47"/>
      <c r="H435" s="5" t="s">
        <v>603</v>
      </c>
      <c r="I435" s="5"/>
      <c r="J435" s="5" t="s">
        <v>603</v>
      </c>
      <c r="K435" s="5"/>
      <c r="L435" s="5" t="s">
        <v>603</v>
      </c>
      <c r="M435" s="5"/>
      <c r="N435" s="5" t="s">
        <v>603</v>
      </c>
      <c r="O435" s="5"/>
      <c r="P435" s="5" t="s">
        <v>603</v>
      </c>
      <c r="Q435" s="5"/>
      <c r="R435" s="5" t="s">
        <v>603</v>
      </c>
      <c r="S435" s="5"/>
      <c r="T435" s="5" t="s">
        <v>603</v>
      </c>
      <c r="U435" s="5"/>
      <c r="V435" s="5" t="s">
        <v>603</v>
      </c>
      <c r="W435" s="5"/>
      <c r="X435" s="5" t="s">
        <v>603</v>
      </c>
      <c r="Y435" s="5"/>
      <c r="Z435" s="5" t="s">
        <v>603</v>
      </c>
      <c r="AA435" s="5"/>
      <c r="AB435" s="5"/>
      <c r="AC435" s="47">
        <v>0.0</v>
      </c>
    </row>
    <row r="436" hidden="1">
      <c r="A436" s="222" t="str">
        <f t="array" ref="A436:A437">{"FormulaRow35";(INDEX(CLASSLIST,A367,1))}</f>
        <v>FormulaRow35</v>
      </c>
      <c r="B436" s="77" t="s">
        <v>236</v>
      </c>
      <c r="C436" s="222" t="str">
        <f t="array" ref="C436:C437">{"CLASSTYPE";((INDEX(ALLCLASSDATA,MATCH("ClassType",CLASSFEATUREHEADERS,0),MATCH($A437,CLASSNAMEHEADERS,0))))}</f>
        <v>CLASSTYPE</v>
      </c>
      <c r="D436" s="222" t="str">
        <f t="array" ref="D436:D437">{"DEFENSE";"Defense"}</f>
        <v>DEFENSE</v>
      </c>
      <c r="E436" s="222" t="str">
        <f t="array" ref="E436:E437">{"UNARMORED";"Unarmored"}</f>
        <v>UNARMORED</v>
      </c>
      <c r="F436" s="223" t="str">
        <f t="array" ref="F436:F437">{"UNARMOREDINITIAL";((IF(H437=10,"T",(IF(H437=50,"E","")))))}</f>
        <v>UNARMOREDINITIAL</v>
      </c>
      <c r="G436" s="223" t="str">
        <f t="array" ref="G436:G437">{"UNARMOREDINITIALPTS";((IF("00"=(INDEX(ALLCLASSDATA,MATCH("UnarmoredLegendary",CLASSFEATUREHEADERS,0),MATCH($A437,CLASSNAMEHEADERS,0))),(INDEX(ALLCLASSDATA,MATCH("UnarmoredLegendary",CLASSFEATUREHEADERS,0),MATCH(($A437 &amp; "Points"),CLASSNAMEHEADERS,0))),(IF("00"=(INDEX(ALLCLASSDATA,MATCH("UnarmoredMaster",CLASSFEATUREHEADERS,0),MATCH($A437,CLASSNAMEHEADERS,0))),(INDEX(ALLCLASSDATA,MATCH("UnarmoredMaster",CLASSFEATUREHEADERS,0),MATCH(($A437 &amp; "Points"),CLASSNAMEHEADERS,0))),(IF("00"=(INDEX(ALLCLASSDATA,MATCH("UnarmoredExpert",CLASSFEATUREHEADERS,0),MATCH($A437,CLASSNAMEHEADERS,0))),(INDEX(ALLCLASSDATA,MATCH("UnarmoredExpert",CLASSFEATUREHEADERS,0),MATCH(($A437 &amp; "Points"),CLASSNAMEHEADERS,0))),(IF("00"=(INDEX(ALLCLASSDATA,MATCH("UnarmoredTrained",CLASSFEATUREHEADERS,0),MATCH($A437,CLASSNAMEHEADERS,0))),(INDEX(ALLCLASSDATA,MATCH("UnarmoredTrained",CLASSFEATUREHEADERS,0),MATCH(($A437 &amp; "Points"),CLASSNAMEHEADERS,0))),"")))))))))}</f>
        <v>UNARMOREDINITIALPTS</v>
      </c>
      <c r="H436" s="223" t="str">
        <f t="array" ref="H436:H437">{"UNARMOREDL01";((IF("01"=(INDEX(ALLCLASSDATA,MATCH("UnarmoredLegendary",CLASSFEATUREHEADERS,0),MATCH($A437,CLASSNAMEHEADERS,0))),(INDEX(ALLCLASSDATA,MATCH("UnarmoredLegendary",CLASSFEATUREHEADERS,0),MATCH(($A437 &amp; "Points"),CLASSNAMEHEADERS,0))),(IF("01"=(INDEX(ALLCLASSDATA,MATCH("UnarmoredMaster",CLASSFEATUREHEADERS,0),MATCH($A437,CLASSNAMEHEADERS,0))),(INDEX(ALLCLASSDATA,MATCH("UnarmoredMaster",CLASSFEATUREHEADERS,0),MATCH(($A437 &amp; "Points"),CLASSNAMEHEADERS,0))),(IF("01"=(INDEX(ALLCLASSDATA,MATCH("UnarmoredExpert",CLASSFEATUREHEADERS,0),MATCH($A437,CLASSNAMEHEADERS,0))),(INDEX(ALLCLASSDATA,MATCH("UnarmoredExpert",CLASSFEATUREHEADERS,0),MATCH(($A437 &amp; "Points"),CLASSNAMEHEADERS,0))),(IF("01"=(INDEX(ALLCLASSDATA,MATCH("UnarmoredTrained",CLASSFEATUREHEADERS,0),MATCH($A437,CLASSNAMEHEADERS,0))),(INDEX(ALLCLASSDATA,MATCH("UnarmoredTrained",CLASSFEATUREHEADERS,0),MATCH(($A437 &amp; "Points"),CLASSNAMEHEADERS,0))),"")))))))))}</f>
        <v>UNARMOREDL01</v>
      </c>
      <c r="I436" s="223"/>
      <c r="J436" s="223" t="str">
        <f t="array" ref="J436:J437">{"UNARMOREDL03";((IF("03"=(INDEX(ALLCLASSDATA,MATCH("UnarmoredLegendary",CLASSFEATUREHEADERS,0),MATCH($A437,CLASSNAMEHEADERS,0))),(INDEX(ALLCLASSDATA,MATCH("UnarmoredLegendary",CLASSFEATUREHEADERS,0),MATCH(($A437 &amp; "Points"),CLASSNAMEHEADERS,0))),(IF("03"=(INDEX(ALLCLASSDATA,MATCH("UnarmoredMaster",CLASSFEATUREHEADERS,0),MATCH($A437,CLASSNAMEHEADERS,0))),(INDEX(ALLCLASSDATA,MATCH("UnarmoredMaster",CLASSFEATUREHEADERS,0),MATCH(($A437 &amp; "Points"),CLASSNAMEHEADERS,0))),(IF("03"=(INDEX(ALLCLASSDATA,MATCH("UnarmoredExpert",CLASSFEATUREHEADERS,0),MATCH($A437,CLASSNAMEHEADERS,0))),(INDEX(ALLCLASSDATA,MATCH("UnarmoredExpert",CLASSFEATUREHEADERS,0),MATCH(($A437 &amp; "Points"),CLASSNAMEHEADERS,0))),(IF("03"=(INDEX(ALLCLASSDATA,MATCH("UnarmoredTrained",CLASSFEATUREHEADERS,0),MATCH($A437,CLASSNAMEHEADERS,0))),(INDEX(ALLCLASSDATA,MATCH("UnarmoredTrained",CLASSFEATUREHEADERS,0),MATCH(($A437 &amp; "Points"),CLASSNAMEHEADERS,0))),"")))))))))}</f>
        <v>UNARMOREDL03</v>
      </c>
      <c r="K436" s="223"/>
      <c r="L436" s="223" t="str">
        <f t="array" ref="L436:L437">{"UNARMOREDL05";((IF("05"=(INDEX(ALLCLASSDATA,MATCH("UnarmoredLegendary",CLASSFEATUREHEADERS,0),MATCH($A437,CLASSNAMEHEADERS,0))),(INDEX(ALLCLASSDATA,MATCH("UnarmoredLegendary",CLASSFEATUREHEADERS,0),MATCH(($A437 &amp; "Points"),CLASSNAMEHEADERS,0))),(IF("05"=(INDEX(ALLCLASSDATA,MATCH("UnarmoredMaster",CLASSFEATUREHEADERS,0),MATCH($A437,CLASSNAMEHEADERS,0))),(INDEX(ALLCLASSDATA,MATCH("UnarmoredMaster",CLASSFEATUREHEADERS,0),MATCH(($A437 &amp; "Points"),CLASSNAMEHEADERS,0))),(IF("05"=(INDEX(ALLCLASSDATA,MATCH("UnarmoredExpert",CLASSFEATUREHEADERS,0),MATCH($A437,CLASSNAMEHEADERS,0))),(INDEX(ALLCLASSDATA,MATCH("UnarmoredExpert",CLASSFEATUREHEADERS,0),MATCH(($A437 &amp; "Points"),CLASSNAMEHEADERS,0))),(IF("05"=(INDEX(ALLCLASSDATA,MATCH("UnarmoredTrained",CLASSFEATUREHEADERS,0),MATCH($A437,CLASSNAMEHEADERS,0))),(INDEX(ALLCLASSDATA,MATCH("UnarmoredTrained",CLASSFEATUREHEADERS,0),MATCH(($A437 &amp; "Points"),CLASSNAMEHEADERS,0))),"")))))))))}</f>
        <v>UNARMOREDL05</v>
      </c>
      <c r="M436" s="223"/>
      <c r="N436" s="223" t="str">
        <f t="array" ref="N436:N437">{"UNARMOREDL07";((IF("07"=(INDEX(ALLCLASSDATA,MATCH("UnarmoredLegendary",CLASSFEATUREHEADERS,0),MATCH($A437,CLASSNAMEHEADERS,0))),(INDEX(ALLCLASSDATA,MATCH("UnarmoredLegendary",CLASSFEATUREHEADERS,0),MATCH(($A437 &amp; "Points"),CLASSNAMEHEADERS,0))),(IF("07"=(INDEX(ALLCLASSDATA,MATCH("UnarmoredMaster",CLASSFEATUREHEADERS,0),MATCH($A437,CLASSNAMEHEADERS,0))),(INDEX(ALLCLASSDATA,MATCH("UnarmoredMaster",CLASSFEATUREHEADERS,0),MATCH(($A437 &amp; "Points"),CLASSNAMEHEADERS,0))),(IF("07"=(INDEX(ALLCLASSDATA,MATCH("UnarmoredExpert",CLASSFEATUREHEADERS,0),MATCH($A437,CLASSNAMEHEADERS,0))),(INDEX(ALLCLASSDATA,MATCH("UnarmoredExpert",CLASSFEATUREHEADERS,0),MATCH(($A437 &amp; "Points"),CLASSNAMEHEADERS,0))),(IF("07"=(INDEX(ALLCLASSDATA,MATCH("UnarmoredTrained",CLASSFEATUREHEADERS,0),MATCH($A437,CLASSNAMEHEADERS,0))),(INDEX(ALLCLASSDATA,MATCH("UnarmoredTrained",CLASSFEATUREHEADERS,0),MATCH(($A437 &amp; "Points"),CLASSNAMEHEADERS,0))),"")))))))))}</f>
        <v>UNARMOREDL07</v>
      </c>
      <c r="O436" s="223"/>
      <c r="P436" s="223" t="str">
        <f t="array" ref="P436:P437">{"UNARMOREDL09";((IF("09"=(INDEX(ALLCLASSDATA,MATCH("UnarmoredLegendary",CLASSFEATUREHEADERS,0),MATCH($A437,CLASSNAMEHEADERS,0))),(INDEX(ALLCLASSDATA,MATCH("UnarmoredLegendary",CLASSFEATUREHEADERS,0),MATCH(($A437 &amp; "Points"),CLASSNAMEHEADERS,0))),(IF("09"=(INDEX(ALLCLASSDATA,MATCH("UnarmoredMaster",CLASSFEATUREHEADERS,0),MATCH($A437,CLASSNAMEHEADERS,0))),(INDEX(ALLCLASSDATA,MATCH("UnarmoredMaster",CLASSFEATUREHEADERS,0),MATCH(($A437 &amp; "Points"),CLASSNAMEHEADERS,0))),(IF("09"=(INDEX(ALLCLASSDATA,MATCH("UnarmoredExpert",CLASSFEATUREHEADERS,0),MATCH($A437,CLASSNAMEHEADERS,0))),(INDEX(ALLCLASSDATA,MATCH("UnarmoredExpert",CLASSFEATUREHEADERS,0),MATCH(($A437 &amp; "Points"),CLASSNAMEHEADERS,0))),(IF("09"=(INDEX(ALLCLASSDATA,MATCH("UnarmoredTrained",CLASSFEATUREHEADERS,0),MATCH($A437,CLASSNAMEHEADERS,0))),(INDEX(ALLCLASSDATA,MATCH("UnarmoredTrained",CLASSFEATUREHEADERS,0),MATCH(($A437 &amp; "Points"),CLASSNAMEHEADERS,0))),"")))))))))}</f>
        <v>UNARMOREDL09</v>
      </c>
      <c r="Q436" s="223"/>
      <c r="R436" s="223" t="str">
        <f t="array" ref="R436:R437">{"UNARMOREDL11";((IF("11"=(INDEX(ALLCLASSDATA,MATCH("UnarmoredLegendary",CLASSFEATUREHEADERS,0),MATCH($A437,CLASSNAMEHEADERS,0))),(INDEX(ALLCLASSDATA,MATCH("UnarmoredLegendary",CLASSFEATUREHEADERS,0),MATCH(($A437 &amp; "Points"),CLASSNAMEHEADERS,0))),(IF("11"=(INDEX(ALLCLASSDATA,MATCH("UnarmoredMaster",CLASSFEATUREHEADERS,0),MATCH($A437,CLASSNAMEHEADERS,0))),(INDEX(ALLCLASSDATA,MATCH("UnarmoredMaster",CLASSFEATUREHEADERS,0),MATCH(($A437 &amp; "Points"),CLASSNAMEHEADERS,0))),(IF("11"=(INDEX(ALLCLASSDATA,MATCH("UnarmoredExpert",CLASSFEATUREHEADERS,0),MATCH($A437,CLASSNAMEHEADERS,0))),(INDEX(ALLCLASSDATA,MATCH("UnarmoredExpert",CLASSFEATUREHEADERS,0),MATCH(($A437 &amp; "Points"),CLASSNAMEHEADERS,0))),(IF("11"=(INDEX(ALLCLASSDATA,MATCH("UnarmoredTrained",CLASSFEATUREHEADERS,0),MATCH($A437,CLASSNAMEHEADERS,0))),(INDEX(ALLCLASSDATA,MATCH("UnarmoredTrained",CLASSFEATUREHEADERS,0),MATCH(($A437 &amp; "Points"),CLASSNAMEHEADERS,0))),"")))))))))}</f>
        <v>UNARMOREDL11</v>
      </c>
      <c r="S436" s="223"/>
      <c r="T436" s="223" t="str">
        <f t="array" ref="T436:T437">{"UNARMOREDL13";((IF("13"=(INDEX(ALLCLASSDATA,MATCH("UnarmoredLegendary",CLASSFEATUREHEADERS,0),MATCH($A437,CLASSNAMEHEADERS,0))),(INDEX(ALLCLASSDATA,MATCH("UnarmoredLegendary",CLASSFEATUREHEADERS,0),MATCH(($A437 &amp; "Points"),CLASSNAMEHEADERS,0))),(IF("13"=(INDEX(ALLCLASSDATA,MATCH("UnarmoredMaster",CLASSFEATUREHEADERS,0),MATCH($A437,CLASSNAMEHEADERS,0))),(INDEX(ALLCLASSDATA,MATCH("UnarmoredMaster",CLASSFEATUREHEADERS,0),MATCH(($A437 &amp; "Points"),CLASSNAMEHEADERS,0))),(IF("13"=(INDEX(ALLCLASSDATA,MATCH("UnarmoredExpert",CLASSFEATUREHEADERS,0),MATCH($A437,CLASSNAMEHEADERS,0))),(INDEX(ALLCLASSDATA,MATCH("UnarmoredExpert",CLASSFEATUREHEADERS,0),MATCH(($A437 &amp; "Points"),CLASSNAMEHEADERS,0))),(IF("13"=(INDEX(ALLCLASSDATA,MATCH("UnarmoredTrained",CLASSFEATUREHEADERS,0),MATCH($A437,CLASSNAMEHEADERS,0))),(INDEX(ALLCLASSDATA,MATCH("UnarmoredTrained",CLASSFEATUREHEADERS,0),MATCH(($A437 &amp; "Points"),CLASSNAMEHEADERS,0))),"")))))))))}</f>
        <v>UNARMOREDL13</v>
      </c>
      <c r="U436" s="223"/>
      <c r="V436" s="223" t="str">
        <f t="array" ref="V436:V437">{"UNARMOREDL15";((IF("15"=(INDEX(ALLCLASSDATA,MATCH("UnarmoredLegendary",CLASSFEATUREHEADERS,0),MATCH($A437,CLASSNAMEHEADERS,0))),(INDEX(ALLCLASSDATA,MATCH("UnarmoredLegendary",CLASSFEATUREHEADERS,0),MATCH(($A437 &amp; "Points"),CLASSNAMEHEADERS,0))),(IF("15"=(INDEX(ALLCLASSDATA,MATCH("UnarmoredMaster",CLASSFEATUREHEADERS,0),MATCH($A437,CLASSNAMEHEADERS,0))),(INDEX(ALLCLASSDATA,MATCH("UnarmoredMaster",CLASSFEATUREHEADERS,0),MATCH(($A437 &amp; "Points"),CLASSNAMEHEADERS,0))),(IF("15"=(INDEX(ALLCLASSDATA,MATCH("UnarmoredExpert",CLASSFEATUREHEADERS,0),MATCH($A437,CLASSNAMEHEADERS,0))),(INDEX(ALLCLASSDATA,MATCH("UnarmoredExpert",CLASSFEATUREHEADERS,0),MATCH(($A437 &amp; "Points"),CLASSNAMEHEADERS,0))),(IF("15"=(INDEX(ALLCLASSDATA,MATCH("UnarmoredTrained",CLASSFEATUREHEADERS,0),MATCH($A437,CLASSNAMEHEADERS,0))),(INDEX(ALLCLASSDATA,MATCH("UnarmoredTrained",CLASSFEATUREHEADERS,0),MATCH(($A437 &amp; "Points"),CLASSNAMEHEADERS,0))),"")))))))))}</f>
        <v>UNARMOREDL15</v>
      </c>
      <c r="W436" s="223"/>
      <c r="X436" s="223" t="str">
        <f t="array" ref="X436:X437">{"UNARMOREDL17";((IF("17"=(INDEX(ALLCLASSDATA,MATCH("UnarmoredLegendary",CLASSFEATUREHEADERS,0),MATCH($A437,CLASSNAMEHEADERS,0))),(INDEX(ALLCLASSDATA,MATCH("UnarmoredLegendary",CLASSFEATUREHEADERS,0),MATCH(($A437 &amp; "Points"),CLASSNAMEHEADERS,0))),(IF("17"=(INDEX(ALLCLASSDATA,MATCH("UnarmoredMaster",CLASSFEATUREHEADERS,0),MATCH($A437,CLASSNAMEHEADERS,0))),(INDEX(ALLCLASSDATA,MATCH("UnarmoredMaster",CLASSFEATUREHEADERS,0),MATCH(($A437 &amp; "Points"),CLASSNAMEHEADERS,0))),(IF("17"=(INDEX(ALLCLASSDATA,MATCH("UnarmoredExpert",CLASSFEATUREHEADERS,0),MATCH($A437,CLASSNAMEHEADERS,0))),(INDEX(ALLCLASSDATA,MATCH("UnarmoredExpert",CLASSFEATUREHEADERS,0),MATCH(($A437 &amp; "Points"),CLASSNAMEHEADERS,0))),(IF("17"=(INDEX(ALLCLASSDATA,MATCH("UnarmoredTrained",CLASSFEATUREHEADERS,0),MATCH($A437,CLASSNAMEHEADERS,0))),(INDEX(ALLCLASSDATA,MATCH("UnarmoredTrained",CLASSFEATUREHEADERS,0),MATCH(($A437 &amp; "Points"),CLASSNAMEHEADERS,0))),"")))))))))}</f>
        <v>UNARMOREDL17</v>
      </c>
      <c r="Y436" s="223"/>
      <c r="Z436" s="223" t="str">
        <f t="array" ref="Z436:Z437">{"UNARMOREDL19";((IF("19"=(INDEX(ALLCLASSDATA,MATCH("UnarmoredLegendary",CLASSFEATUREHEADERS,0),MATCH($A437,CLASSNAMEHEADERS,0))),(INDEX(ALLCLASSDATA,MATCH("UnarmoredLegendary",CLASSFEATUREHEADERS,0),MATCH(($A437 &amp; "Points"),CLASSNAMEHEADERS,0))),(IF("19"=(INDEX(ALLCLASSDATA,MATCH("UnarmoredMaster",CLASSFEATUREHEADERS,0),MATCH($A437,CLASSNAMEHEADERS,0))),(INDEX(ALLCLASSDATA,MATCH("UnarmoredMaster",CLASSFEATUREHEADERS,0),MATCH(($A437 &amp; "Points"),CLASSNAMEHEADERS,0))),(IF("19"=(INDEX(ALLCLASSDATA,MATCH("UnarmoredExpert",CLASSFEATUREHEADERS,0),MATCH($A437,CLASSNAMEHEADERS,0))),(INDEX(ALLCLASSDATA,MATCH("UnarmoredExpert",CLASSFEATUREHEADERS,0),MATCH(($A437 &amp; "Points"),CLASSNAMEHEADERS,0))),(IF("19"=(INDEX(ALLCLASSDATA,MATCH("UnarmoredTrained",CLASSFEATUREHEADERS,0),MATCH($A437,CLASSNAMEHEADERS,0))),(INDEX(ALLCLASSDATA,MATCH("UnarmoredTrained",CLASSFEATUREHEADERS,0),MATCH(($A437 &amp; "Points"),CLASSNAMEHEADERS,0))),"")))))))))}</f>
        <v>UNARMOREDL19</v>
      </c>
      <c r="AA436" s="223"/>
      <c r="AB436" s="76" t="str">
        <f t="array" ref="AB436:AB437">{"UNARMORED TOTAL";(IF(COUNTBLANK(G437:AA437)=17,"L",(IF(COUNTBLANK(G437:AA437)=18,"M",(IF(COUNTBLANK(G437:AA437)=19,"E",(IF(COUNTBLANK(G437:AA437)=20,"T",""))))))))}</f>
        <v>UNARMORED TOTAL</v>
      </c>
      <c r="AC436" s="76" t="str">
        <f t="array" ref="AC436:AC437">{"UNARMORED TOTAL";(sum(G437:AA437))}</f>
        <v>UNARMORED TOTAL</v>
      </c>
    </row>
    <row r="437">
      <c r="A437" s="48" t="s">
        <v>124</v>
      </c>
      <c r="B437" s="48"/>
      <c r="C437" s="48" t="s">
        <v>413</v>
      </c>
      <c r="D437" s="48" t="s">
        <v>1900</v>
      </c>
      <c r="E437" s="48" t="s">
        <v>78</v>
      </c>
      <c r="F437" s="5" t="s">
        <v>435</v>
      </c>
      <c r="G437" s="47" t="s">
        <v>603</v>
      </c>
      <c r="H437" s="5">
        <v>10.0</v>
      </c>
      <c r="I437" s="5"/>
      <c r="J437" s="5" t="s">
        <v>603</v>
      </c>
      <c r="K437" s="5"/>
      <c r="L437" s="5" t="s">
        <v>603</v>
      </c>
      <c r="M437" s="5"/>
      <c r="N437" s="5" t="s">
        <v>603</v>
      </c>
      <c r="O437" s="5"/>
      <c r="P437" s="5" t="s">
        <v>603</v>
      </c>
      <c r="Q437" s="5"/>
      <c r="R437" s="5" t="s">
        <v>436</v>
      </c>
      <c r="S437" s="5"/>
      <c r="T437" s="5" t="s">
        <v>603</v>
      </c>
      <c r="U437" s="5"/>
      <c r="V437" s="5" t="s">
        <v>603</v>
      </c>
      <c r="W437" s="5"/>
      <c r="X437" s="5" t="s">
        <v>603</v>
      </c>
      <c r="Y437" s="5"/>
      <c r="Z437" s="5" t="s">
        <v>437</v>
      </c>
      <c r="AA437" s="5"/>
      <c r="AB437" s="5" t="s">
        <v>437</v>
      </c>
      <c r="AC437" s="47">
        <v>10.0</v>
      </c>
    </row>
    <row r="438" hidden="1">
      <c r="A438" s="222" t="str">
        <f t="array" ref="A438:A439">{"FormulaRow36";(INDEX(CLASSLIST,A367,1))}</f>
        <v>FormulaRow36</v>
      </c>
      <c r="B438" s="77" t="s">
        <v>236</v>
      </c>
      <c r="C438" s="222" t="str">
        <f t="array" ref="C438:C439">{"CLASSTYPE";((INDEX(ALLCLASSDATA,MATCH("ClassType",CLASSFEATUREHEADERS,0),MATCH($A439,CLASSNAMEHEADERS,0))))}</f>
        <v>CLASSTYPE</v>
      </c>
      <c r="D438" s="222" t="str">
        <f t="array" ref="D438:D439">{"DEFENSE";"Defense"}</f>
        <v>DEFENSE</v>
      </c>
      <c r="E438" s="222" t="str">
        <f t="array" ref="E438:E439">{"LIGHT";"Light"}</f>
        <v>LIGHT</v>
      </c>
      <c r="F438" s="223" t="str">
        <f t="array" ref="F438:F439">{"LIGHTINITIAL";((IF(H439=10,"T",(IF(H439=50,"E","")))))}</f>
        <v>LIGHTINITIAL</v>
      </c>
      <c r="G438" s="223" t="str">
        <f t="array" ref="G438:G439">{"LIGHTINITIALPTS";((IF("00"=(INDEX(ALLCLASSDATA,MATCH("LightLegendary",CLASSFEATUREHEADERS,0),MATCH($A439,CLASSNAMEHEADERS,0))),(INDEX(ALLCLASSDATA,MATCH("LightLegendary",CLASSFEATUREHEADERS,0),MATCH(($A439 &amp; "Points"),CLASSNAMEHEADERS,0))),(IF("00"=(INDEX(ALLCLASSDATA,MATCH("LightMaster",CLASSFEATUREHEADERS,0),MATCH($A439,CLASSNAMEHEADERS,0))),(INDEX(ALLCLASSDATA,MATCH("LightMaster",CLASSFEATUREHEADERS,0),MATCH(($A439 &amp; "Points"),CLASSNAMEHEADERS,0))),(IF("00"=(INDEX(ALLCLASSDATA,MATCH("LightExpert",CLASSFEATUREHEADERS,0),MATCH($A439,CLASSNAMEHEADERS,0))),(INDEX(ALLCLASSDATA,MATCH("LightExpert",CLASSFEATUREHEADERS,0),MATCH(($A439 &amp; "Points"),CLASSNAMEHEADERS,0))),(IF("00"=(INDEX(ALLCLASSDATA,MATCH("LightTrained",CLASSFEATUREHEADERS,0),MATCH($A439,CLASSNAMEHEADERS,0))),(INDEX(ALLCLASSDATA,MATCH("LightTrained",CLASSFEATUREHEADERS,0),MATCH(($A439 &amp; "Points"),CLASSNAMEHEADERS,0))),"")))))))))}</f>
        <v>LIGHTINITIALPTS</v>
      </c>
      <c r="H438" s="223" t="str">
        <f t="array" ref="H438:H439">{"LIGHTL01";((IF("01"=(INDEX(ALLCLASSDATA,MATCH("LightLegendary",CLASSFEATUREHEADERS,0),MATCH($A439,CLASSNAMEHEADERS,0))),(INDEX(ALLCLASSDATA,MATCH("LightLegendary",CLASSFEATUREHEADERS,0),MATCH(($A439 &amp; "Points"),CLASSNAMEHEADERS,0))),(IF("01"=(INDEX(ALLCLASSDATA,MATCH("LightMaster",CLASSFEATUREHEADERS,0),MATCH($A439,CLASSNAMEHEADERS,0))),(INDEX(ALLCLASSDATA,MATCH("LightMaster",CLASSFEATUREHEADERS,0),MATCH(($A439 &amp; "Points"),CLASSNAMEHEADERS,0))),(IF("01"=(INDEX(ALLCLASSDATA,MATCH("LightExpert",CLASSFEATUREHEADERS,0),MATCH($A439,CLASSNAMEHEADERS,0))),(INDEX(ALLCLASSDATA,MATCH("LightExpert",CLASSFEATUREHEADERS,0),MATCH(($A439 &amp; "Points"),CLASSNAMEHEADERS,0))),(IF("01"=(INDEX(ALLCLASSDATA,MATCH("LightTrained",CLASSFEATUREHEADERS,0),MATCH($A439,CLASSNAMEHEADERS,0))),(INDEX(ALLCLASSDATA,MATCH("LightTrained",CLASSFEATUREHEADERS,0),MATCH(($A439 &amp; "Points"),CLASSNAMEHEADERS,0))),"")))))))))}</f>
        <v>LIGHTL01</v>
      </c>
      <c r="I438" s="223"/>
      <c r="J438" s="223" t="str">
        <f t="array" ref="J438:J439">{"LIGHTL03";((IF("03"=(INDEX(ALLCLASSDATA,MATCH("LightLegendary",CLASSFEATUREHEADERS,0),MATCH($A439,CLASSNAMEHEADERS,0))),(INDEX(ALLCLASSDATA,MATCH("LightLegendary",CLASSFEATUREHEADERS,0),MATCH(($A439 &amp; "Points"),CLASSNAMEHEADERS,0))),(IF("03"=(INDEX(ALLCLASSDATA,MATCH("LightMaster",CLASSFEATUREHEADERS,0),MATCH($A439,CLASSNAMEHEADERS,0))),(INDEX(ALLCLASSDATA,MATCH("LightMaster",CLASSFEATUREHEADERS,0),MATCH(($A439 &amp; "Points"),CLASSNAMEHEADERS,0))),(IF("03"=(INDEX(ALLCLASSDATA,MATCH("LightExpert",CLASSFEATUREHEADERS,0),MATCH($A439,CLASSNAMEHEADERS,0))),(INDEX(ALLCLASSDATA,MATCH("LightExpert",CLASSFEATUREHEADERS,0),MATCH(($A439 &amp; "Points"),CLASSNAMEHEADERS,0))),(IF("03"=(INDEX(ALLCLASSDATA,MATCH("LightTrained",CLASSFEATUREHEADERS,0),MATCH($A439,CLASSNAMEHEADERS,0))),(INDEX(ALLCLASSDATA,MATCH("LightTrained",CLASSFEATUREHEADERS,0),MATCH(($A439 &amp; "Points"),CLASSNAMEHEADERS,0))),"")))))))))}</f>
        <v>LIGHTL03</v>
      </c>
      <c r="K438" s="223"/>
      <c r="L438" s="223" t="str">
        <f t="array" ref="L438:L439">{"LIGHTL05";((IF("05"=(INDEX(ALLCLASSDATA,MATCH("LightLegendary",CLASSFEATUREHEADERS,0),MATCH($A439,CLASSNAMEHEADERS,0))),(INDEX(ALLCLASSDATA,MATCH("LightLegendary",CLASSFEATUREHEADERS,0),MATCH(($A439 &amp; "Points"),CLASSNAMEHEADERS,0))),(IF("05"=(INDEX(ALLCLASSDATA,MATCH("LightMaster",CLASSFEATUREHEADERS,0),MATCH($A439,CLASSNAMEHEADERS,0))),(INDEX(ALLCLASSDATA,MATCH("LightMaster",CLASSFEATUREHEADERS,0),MATCH(($A439 &amp; "Points"),CLASSNAMEHEADERS,0))),(IF("05"=(INDEX(ALLCLASSDATA,MATCH("LightExpert",CLASSFEATUREHEADERS,0),MATCH($A439,CLASSNAMEHEADERS,0))),(INDEX(ALLCLASSDATA,MATCH("LightExpert",CLASSFEATUREHEADERS,0),MATCH(($A439 &amp; "Points"),CLASSNAMEHEADERS,0))),(IF("05"=(INDEX(ALLCLASSDATA,MATCH("LightTrained",CLASSFEATUREHEADERS,0),MATCH($A439,CLASSNAMEHEADERS,0))),(INDEX(ALLCLASSDATA,MATCH("LightTrained",CLASSFEATUREHEADERS,0),MATCH(($A439 &amp; "Points"),CLASSNAMEHEADERS,0))),"")))))))))}</f>
        <v>LIGHTL05</v>
      </c>
      <c r="M438" s="223"/>
      <c r="N438" s="223" t="str">
        <f t="array" ref="N438:N439">{"LIGHTL07";((IF("07"=(INDEX(ALLCLASSDATA,MATCH("LightLegendary",CLASSFEATUREHEADERS,0),MATCH($A439,CLASSNAMEHEADERS,0))),(INDEX(ALLCLASSDATA,MATCH("LightLegendary",CLASSFEATUREHEADERS,0),MATCH(($A439 &amp; "Points"),CLASSNAMEHEADERS,0))),(IF("07"=(INDEX(ALLCLASSDATA,MATCH("LightMaster",CLASSFEATUREHEADERS,0),MATCH($A439,CLASSNAMEHEADERS,0))),(INDEX(ALLCLASSDATA,MATCH("LightMaster",CLASSFEATUREHEADERS,0),MATCH(($A439 &amp; "Points"),CLASSNAMEHEADERS,0))),(IF("07"=(INDEX(ALLCLASSDATA,MATCH("LightExpert",CLASSFEATUREHEADERS,0),MATCH($A439,CLASSNAMEHEADERS,0))),(INDEX(ALLCLASSDATA,MATCH("LightExpert",CLASSFEATUREHEADERS,0),MATCH(($A439 &amp; "Points"),CLASSNAMEHEADERS,0))),(IF("07"=(INDEX(ALLCLASSDATA,MATCH("LightTrained",CLASSFEATUREHEADERS,0),MATCH($A439,CLASSNAMEHEADERS,0))),(INDEX(ALLCLASSDATA,MATCH("LightTrained",CLASSFEATUREHEADERS,0),MATCH(($A439 &amp; "Points"),CLASSNAMEHEADERS,0))),"")))))))))}</f>
        <v>LIGHTL07</v>
      </c>
      <c r="O438" s="223"/>
      <c r="P438" s="223" t="str">
        <f t="array" ref="P438:P439">{"LIGHTL09";((IF("09"=(INDEX(ALLCLASSDATA,MATCH("LightLegendary",CLASSFEATUREHEADERS,0),MATCH($A439,CLASSNAMEHEADERS,0))),(INDEX(ALLCLASSDATA,MATCH("LightLegendary",CLASSFEATUREHEADERS,0),MATCH(($A439 &amp; "Points"),CLASSNAMEHEADERS,0))),(IF("09"=(INDEX(ALLCLASSDATA,MATCH("LightMaster",CLASSFEATUREHEADERS,0),MATCH($A439,CLASSNAMEHEADERS,0))),(INDEX(ALLCLASSDATA,MATCH("LightMaster",CLASSFEATUREHEADERS,0),MATCH(($A439 &amp; "Points"),CLASSNAMEHEADERS,0))),(IF("09"=(INDEX(ALLCLASSDATA,MATCH("LightExpert",CLASSFEATUREHEADERS,0),MATCH($A439,CLASSNAMEHEADERS,0))),(INDEX(ALLCLASSDATA,MATCH("LightExpert",CLASSFEATUREHEADERS,0),MATCH(($A439 &amp; "Points"),CLASSNAMEHEADERS,0))),(IF("09"=(INDEX(ALLCLASSDATA,MATCH("LightTrained",CLASSFEATUREHEADERS,0),MATCH($A439,CLASSNAMEHEADERS,0))),(INDEX(ALLCLASSDATA,MATCH("LightTrained",CLASSFEATUREHEADERS,0),MATCH(($A439 &amp; "Points"),CLASSNAMEHEADERS,0))),"")))))))))}</f>
        <v>LIGHTL09</v>
      </c>
      <c r="Q438" s="223"/>
      <c r="R438" s="223" t="str">
        <f t="array" ref="R438:R439">{"LIGHTL11";((IF("11"=(INDEX(ALLCLASSDATA,MATCH("LightLegendary",CLASSFEATUREHEADERS,0),MATCH($A439,CLASSNAMEHEADERS,0))),(INDEX(ALLCLASSDATA,MATCH("LightLegendary",CLASSFEATUREHEADERS,0),MATCH(($A439 &amp; "Points"),CLASSNAMEHEADERS,0))),(IF("11"=(INDEX(ALLCLASSDATA,MATCH("LightMaster",CLASSFEATUREHEADERS,0),MATCH($A439,CLASSNAMEHEADERS,0))),(INDEX(ALLCLASSDATA,MATCH("LightMaster",CLASSFEATUREHEADERS,0),MATCH(($A439 &amp; "Points"),CLASSNAMEHEADERS,0))),(IF("11"=(INDEX(ALLCLASSDATA,MATCH("LightExpert",CLASSFEATUREHEADERS,0),MATCH($A439,CLASSNAMEHEADERS,0))),(INDEX(ALLCLASSDATA,MATCH("LightExpert",CLASSFEATUREHEADERS,0),MATCH(($A439 &amp; "Points"),CLASSNAMEHEADERS,0))),(IF("11"=(INDEX(ALLCLASSDATA,MATCH("LightTrained",CLASSFEATUREHEADERS,0),MATCH($A439,CLASSNAMEHEADERS,0))),(INDEX(ALLCLASSDATA,MATCH("LightTrained",CLASSFEATUREHEADERS,0),MATCH(($A439 &amp; "Points"),CLASSNAMEHEADERS,0))),"")))))))))}</f>
        <v>LIGHTL11</v>
      </c>
      <c r="S438" s="223"/>
      <c r="T438" s="223" t="str">
        <f t="array" ref="T438:T439">{"LIGHTL13";((IF("13"=(INDEX(ALLCLASSDATA,MATCH("LightLegendary",CLASSFEATUREHEADERS,0),MATCH($A439,CLASSNAMEHEADERS,0))),(INDEX(ALLCLASSDATA,MATCH("LightLegendary",CLASSFEATUREHEADERS,0),MATCH(($A439 &amp; "Points"),CLASSNAMEHEADERS,0))),(IF("13"=(INDEX(ALLCLASSDATA,MATCH("LightMaster",CLASSFEATUREHEADERS,0),MATCH($A439,CLASSNAMEHEADERS,0))),(INDEX(ALLCLASSDATA,MATCH("LightMaster",CLASSFEATUREHEADERS,0),MATCH(($A439 &amp; "Points"),CLASSNAMEHEADERS,0))),(IF("13"=(INDEX(ALLCLASSDATA,MATCH("LightExpert",CLASSFEATUREHEADERS,0),MATCH($A439,CLASSNAMEHEADERS,0))),(INDEX(ALLCLASSDATA,MATCH("LightExpert",CLASSFEATUREHEADERS,0),MATCH(($A439 &amp; "Points"),CLASSNAMEHEADERS,0))),(IF("13"=(INDEX(ALLCLASSDATA,MATCH("LightTrained",CLASSFEATUREHEADERS,0),MATCH($A439,CLASSNAMEHEADERS,0))),(INDEX(ALLCLASSDATA,MATCH("LightTrained",CLASSFEATUREHEADERS,0),MATCH(($A439 &amp; "Points"),CLASSNAMEHEADERS,0))),"")))))))))}</f>
        <v>LIGHTL13</v>
      </c>
      <c r="U438" s="223"/>
      <c r="V438" s="223" t="str">
        <f t="array" ref="V438:V439">{"LIGHTL15";((IF("15"=(INDEX(ALLCLASSDATA,MATCH("LightLegendary",CLASSFEATUREHEADERS,0),MATCH($A439,CLASSNAMEHEADERS,0))),(INDEX(ALLCLASSDATA,MATCH("LightLegendary",CLASSFEATUREHEADERS,0),MATCH(($A439 &amp; "Points"),CLASSNAMEHEADERS,0))),(IF("15"=(INDEX(ALLCLASSDATA,MATCH("LightMaster",CLASSFEATUREHEADERS,0),MATCH($A439,CLASSNAMEHEADERS,0))),(INDEX(ALLCLASSDATA,MATCH("LightMaster",CLASSFEATUREHEADERS,0),MATCH(($A439 &amp; "Points"),CLASSNAMEHEADERS,0))),(IF("15"=(INDEX(ALLCLASSDATA,MATCH("LightExpert",CLASSFEATUREHEADERS,0),MATCH($A439,CLASSNAMEHEADERS,0))),(INDEX(ALLCLASSDATA,MATCH("LightExpert",CLASSFEATUREHEADERS,0),MATCH(($A439 &amp; "Points"),CLASSNAMEHEADERS,0))),(IF("15"=(INDEX(ALLCLASSDATA,MATCH("LightTrained",CLASSFEATUREHEADERS,0),MATCH($A439,CLASSNAMEHEADERS,0))),(INDEX(ALLCLASSDATA,MATCH("LightTrained",CLASSFEATUREHEADERS,0),MATCH(($A439 &amp; "Points"),CLASSNAMEHEADERS,0))),"")))))))))}</f>
        <v>LIGHTL15</v>
      </c>
      <c r="W438" s="223"/>
      <c r="X438" s="223" t="str">
        <f t="array" ref="X438:X439">{"LIGHTL17";((IF("17"=(INDEX(ALLCLASSDATA,MATCH("LightLegendary",CLASSFEATUREHEADERS,0),MATCH($A439,CLASSNAMEHEADERS,0))),(INDEX(ALLCLASSDATA,MATCH("LightLegendary",CLASSFEATUREHEADERS,0),MATCH(($A439 &amp; "Points"),CLASSNAMEHEADERS,0))),(IF("17"=(INDEX(ALLCLASSDATA,MATCH("LightMaster",CLASSFEATUREHEADERS,0),MATCH($A439,CLASSNAMEHEADERS,0))),(INDEX(ALLCLASSDATA,MATCH("LightMaster",CLASSFEATUREHEADERS,0),MATCH(($A439 &amp; "Points"),CLASSNAMEHEADERS,0))),(IF("17"=(INDEX(ALLCLASSDATA,MATCH("LightExpert",CLASSFEATUREHEADERS,0),MATCH($A439,CLASSNAMEHEADERS,0))),(INDEX(ALLCLASSDATA,MATCH("LightExpert",CLASSFEATUREHEADERS,0),MATCH(($A439 &amp; "Points"),CLASSNAMEHEADERS,0))),(IF("17"=(INDEX(ALLCLASSDATA,MATCH("LightTrained",CLASSFEATUREHEADERS,0),MATCH($A439,CLASSNAMEHEADERS,0))),(INDEX(ALLCLASSDATA,MATCH("LightTrained",CLASSFEATUREHEADERS,0),MATCH(($A439 &amp; "Points"),CLASSNAMEHEADERS,0))),"")))))))))}</f>
        <v>LIGHTL17</v>
      </c>
      <c r="Y438" s="223"/>
      <c r="Z438" s="223" t="str">
        <f t="array" ref="Z438:Z439">{"LIGHTL19";((IF("19"=(INDEX(ALLCLASSDATA,MATCH("LightLegendary",CLASSFEATUREHEADERS,0),MATCH($A439,CLASSNAMEHEADERS,0))),(INDEX(ALLCLASSDATA,MATCH("LightLegendary",CLASSFEATUREHEADERS,0),MATCH(($A439 &amp; "Points"),CLASSNAMEHEADERS,0))),(IF("19"=(INDEX(ALLCLASSDATA,MATCH("LightMaster",CLASSFEATUREHEADERS,0),MATCH($A439,CLASSNAMEHEADERS,0))),(INDEX(ALLCLASSDATA,MATCH("LightMaster",CLASSFEATUREHEADERS,0),MATCH(($A439 &amp; "Points"),CLASSNAMEHEADERS,0))),(IF("19"=(INDEX(ALLCLASSDATA,MATCH("LightExpert",CLASSFEATUREHEADERS,0),MATCH($A439,CLASSNAMEHEADERS,0))),(INDEX(ALLCLASSDATA,MATCH("LightExpert",CLASSFEATUREHEADERS,0),MATCH(($A439 &amp; "Points"),CLASSNAMEHEADERS,0))),(IF("19"=(INDEX(ALLCLASSDATA,MATCH("LightTrained",CLASSFEATUREHEADERS,0),MATCH($A439,CLASSNAMEHEADERS,0))),(INDEX(ALLCLASSDATA,MATCH("LightTrained",CLASSFEATUREHEADERS,0),MATCH(($A439 &amp; "Points"),CLASSNAMEHEADERS,0))),"")))))))))}</f>
        <v>LIGHTL19</v>
      </c>
      <c r="AA438" s="223"/>
      <c r="AB438" s="76" t="str">
        <f t="array" ref="AB438:AB439">{"LIGHT TOTAL";(IF(COUNTBLANK(G439:AA439)=17,"L",(IF(COUNTBLANK(G439:AA439)=18,"M",(IF(COUNTBLANK(G439:AA439)=19,"E",(IF(COUNTBLANK(G439:AA439)=20,"T",""))))))))}</f>
        <v>LIGHT TOTAL</v>
      </c>
      <c r="AC438" s="76" t="str">
        <f t="array" ref="AC438:AC439">{"LIGHT TOTAL";(sum(G439:AA439))}</f>
        <v>LIGHT TOTAL</v>
      </c>
    </row>
    <row r="439">
      <c r="A439" s="48" t="s">
        <v>124</v>
      </c>
      <c r="B439" s="48"/>
      <c r="C439" s="48" t="s">
        <v>413</v>
      </c>
      <c r="D439" s="48" t="s">
        <v>1900</v>
      </c>
      <c r="E439" s="48" t="s">
        <v>77</v>
      </c>
      <c r="F439" s="5" t="s">
        <v>435</v>
      </c>
      <c r="G439" s="47" t="s">
        <v>603</v>
      </c>
      <c r="H439" s="5">
        <v>10.0</v>
      </c>
      <c r="I439" s="5"/>
      <c r="J439" s="5" t="s">
        <v>603</v>
      </c>
      <c r="K439" s="5"/>
      <c r="L439" s="5" t="s">
        <v>603</v>
      </c>
      <c r="M439" s="5"/>
      <c r="N439" s="5" t="s">
        <v>603</v>
      </c>
      <c r="O439" s="5"/>
      <c r="P439" s="5" t="s">
        <v>603</v>
      </c>
      <c r="Q439" s="5"/>
      <c r="R439" s="5" t="s">
        <v>436</v>
      </c>
      <c r="S439" s="5"/>
      <c r="T439" s="5" t="s">
        <v>603</v>
      </c>
      <c r="U439" s="5"/>
      <c r="V439" s="5" t="s">
        <v>603</v>
      </c>
      <c r="W439" s="5"/>
      <c r="X439" s="5" t="s">
        <v>603</v>
      </c>
      <c r="Y439" s="5"/>
      <c r="Z439" s="5" t="s">
        <v>437</v>
      </c>
      <c r="AA439" s="5"/>
      <c r="AB439" s="5" t="s">
        <v>437</v>
      </c>
      <c r="AC439" s="47">
        <v>10.0</v>
      </c>
    </row>
    <row r="440" hidden="1">
      <c r="A440" s="222" t="str">
        <f t="array" ref="A440:A441">{"FormulaRow37";(INDEX(CLASSLIST,A367,1))}</f>
        <v>FormulaRow37</v>
      </c>
      <c r="B440" s="77" t="s">
        <v>236</v>
      </c>
      <c r="C440" s="222" t="str">
        <f t="array" ref="C440:C441">{"CLASSTYPE";((INDEX(ALLCLASSDATA,MATCH("ClassType",CLASSFEATUREHEADERS,0),MATCH($A441,CLASSNAMEHEADERS,0))))}</f>
        <v>CLASSTYPE</v>
      </c>
      <c r="D440" s="222" t="str">
        <f t="array" ref="D440:D441">{"DEFENSE";"Defense"}</f>
        <v>DEFENSE</v>
      </c>
      <c r="E440" s="222" t="str">
        <f t="array" ref="E440:E441">{"MEDIUM";"Medium"}</f>
        <v>MEDIUM</v>
      </c>
      <c r="F440" s="223" t="str">
        <f t="array" ref="F440:F441">{"MEDIUMINITIAL";((IF(H441=10,"T",(IF(H441=50,"E","")))))}</f>
        <v>MEDIUMINITIAL</v>
      </c>
      <c r="G440" s="223" t="str">
        <f t="array" ref="G440:G441">{"MEDIUMINITIALPTS";((IF("00"=(INDEX(ALLCLASSDATA,MATCH("MediumLegendary",CLASSFEATUREHEADERS,0),MATCH($A441,CLASSNAMEHEADERS,0))),(INDEX(ALLCLASSDATA,MATCH("MediumLegendary",CLASSFEATUREHEADERS,0),MATCH(($A441 &amp; "Points"),CLASSNAMEHEADERS,0))),(IF("00"=(INDEX(ALLCLASSDATA,MATCH("MediumMaster",CLASSFEATUREHEADERS,0),MATCH($A441,CLASSNAMEHEADERS,0))),(INDEX(ALLCLASSDATA,MATCH("MediumMaster",CLASSFEATUREHEADERS,0),MATCH(($A441 &amp; "Points"),CLASSNAMEHEADERS,0))),(IF("00"=(INDEX(ALLCLASSDATA,MATCH("MediumExpert",CLASSFEATUREHEADERS,0),MATCH($A441,CLASSNAMEHEADERS,0))),(INDEX(ALLCLASSDATA,MATCH("MediumExpert",CLASSFEATUREHEADERS,0),MATCH(($A441 &amp; "Points"),CLASSNAMEHEADERS,0))),(IF("00"=(INDEX(ALLCLASSDATA,MATCH("MediumTrained",CLASSFEATUREHEADERS,0),MATCH($A441,CLASSNAMEHEADERS,0))),(INDEX(ALLCLASSDATA,MATCH("MediumTrained",CLASSFEATUREHEADERS,0),MATCH(($A441 &amp; "Points"),CLASSNAMEHEADERS,0))),"")))))))))}</f>
        <v>MEDIUMINITIALPTS</v>
      </c>
      <c r="H440" s="223" t="str">
        <f t="array" ref="H440:H441">{"MEDIUML01";((IF("01"=(INDEX(ALLCLASSDATA,MATCH("MediumLegendary",CLASSFEATUREHEADERS,0),MATCH($A441,CLASSNAMEHEADERS,0))),(INDEX(ALLCLASSDATA,MATCH("MediumLegendary",CLASSFEATUREHEADERS,0),MATCH(($A441 &amp; "Points"),CLASSNAMEHEADERS,0))),(IF("01"=(INDEX(ALLCLASSDATA,MATCH("MediumMaster",CLASSFEATUREHEADERS,0),MATCH($A441,CLASSNAMEHEADERS,0))),(INDEX(ALLCLASSDATA,MATCH("MediumMaster",CLASSFEATUREHEADERS,0),MATCH(($A441 &amp; "Points"),CLASSNAMEHEADERS,0))),(IF("01"=(INDEX(ALLCLASSDATA,MATCH("MediumExpert",CLASSFEATUREHEADERS,0),MATCH($A441,CLASSNAMEHEADERS,0))),(INDEX(ALLCLASSDATA,MATCH("MediumExpert",CLASSFEATUREHEADERS,0),MATCH(($A441 &amp; "Points"),CLASSNAMEHEADERS,0))),(IF("01"=(INDEX(ALLCLASSDATA,MATCH("MediumTrained",CLASSFEATUREHEADERS,0),MATCH($A441,CLASSNAMEHEADERS,0))),(INDEX(ALLCLASSDATA,MATCH("MediumTrained",CLASSFEATUREHEADERS,0),MATCH(($A441 &amp; "Points"),CLASSNAMEHEADERS,0))),"")))))))))}</f>
        <v>MEDIUML01</v>
      </c>
      <c r="I440" s="223"/>
      <c r="J440" s="223" t="str">
        <f t="array" ref="J440:J441">{"MEDIUML03";((IF("03"=(INDEX(ALLCLASSDATA,MATCH("MediumLegendary",CLASSFEATUREHEADERS,0),MATCH($A441,CLASSNAMEHEADERS,0))),(INDEX(ALLCLASSDATA,MATCH("MediumLegendary",CLASSFEATUREHEADERS,0),MATCH(($A441 &amp; "Points"),CLASSNAMEHEADERS,0))),(IF("03"=(INDEX(ALLCLASSDATA,MATCH("MediumMaster",CLASSFEATUREHEADERS,0),MATCH($A441,CLASSNAMEHEADERS,0))),(INDEX(ALLCLASSDATA,MATCH("MediumMaster",CLASSFEATUREHEADERS,0),MATCH(($A441 &amp; "Points"),CLASSNAMEHEADERS,0))),(IF("03"=(INDEX(ALLCLASSDATA,MATCH("MediumExpert",CLASSFEATUREHEADERS,0),MATCH($A441,CLASSNAMEHEADERS,0))),(INDEX(ALLCLASSDATA,MATCH("MediumExpert",CLASSFEATUREHEADERS,0),MATCH(($A441 &amp; "Points"),CLASSNAMEHEADERS,0))),(IF("03"=(INDEX(ALLCLASSDATA,MATCH("MediumTrained",CLASSFEATUREHEADERS,0),MATCH($A441,CLASSNAMEHEADERS,0))),(INDEX(ALLCLASSDATA,MATCH("MediumTrained",CLASSFEATUREHEADERS,0),MATCH(($A441 &amp; "Points"),CLASSNAMEHEADERS,0))),"")))))))))}</f>
        <v>MEDIUML03</v>
      </c>
      <c r="K440" s="223"/>
      <c r="L440" s="223" t="str">
        <f t="array" ref="L440:L441">{"MEDIUML05";((IF("05"=(INDEX(ALLCLASSDATA,MATCH("MediumLegendary",CLASSFEATUREHEADERS,0),MATCH($A441,CLASSNAMEHEADERS,0))),(INDEX(ALLCLASSDATA,MATCH("MediumLegendary",CLASSFEATUREHEADERS,0),MATCH(($A441 &amp; "Points"),CLASSNAMEHEADERS,0))),(IF("05"=(INDEX(ALLCLASSDATA,MATCH("MediumMaster",CLASSFEATUREHEADERS,0),MATCH($A441,CLASSNAMEHEADERS,0))),(INDEX(ALLCLASSDATA,MATCH("MediumMaster",CLASSFEATUREHEADERS,0),MATCH(($A441 &amp; "Points"),CLASSNAMEHEADERS,0))),(IF("05"=(INDEX(ALLCLASSDATA,MATCH("MediumExpert",CLASSFEATUREHEADERS,0),MATCH($A441,CLASSNAMEHEADERS,0))),(INDEX(ALLCLASSDATA,MATCH("MediumExpert",CLASSFEATUREHEADERS,0),MATCH(($A441 &amp; "Points"),CLASSNAMEHEADERS,0))),(IF("05"=(INDEX(ALLCLASSDATA,MATCH("MediumTrained",CLASSFEATUREHEADERS,0),MATCH($A441,CLASSNAMEHEADERS,0))),(INDEX(ALLCLASSDATA,MATCH("MediumTrained",CLASSFEATUREHEADERS,0),MATCH(($A441 &amp; "Points"),CLASSNAMEHEADERS,0))),"")))))))))}</f>
        <v>MEDIUML05</v>
      </c>
      <c r="M440" s="223"/>
      <c r="N440" s="223" t="str">
        <f t="array" ref="N440:N441">{"MEDIUML07";((IF("07"=(INDEX(ALLCLASSDATA,MATCH("MediumLegendary",CLASSFEATUREHEADERS,0),MATCH($A441,CLASSNAMEHEADERS,0))),(INDEX(ALLCLASSDATA,MATCH("MediumLegendary",CLASSFEATUREHEADERS,0),MATCH(($A441 &amp; "Points"),CLASSNAMEHEADERS,0))),(IF("07"=(INDEX(ALLCLASSDATA,MATCH("MediumMaster",CLASSFEATUREHEADERS,0),MATCH($A441,CLASSNAMEHEADERS,0))),(INDEX(ALLCLASSDATA,MATCH("MediumMaster",CLASSFEATUREHEADERS,0),MATCH(($A441 &amp; "Points"),CLASSNAMEHEADERS,0))),(IF("07"=(INDEX(ALLCLASSDATA,MATCH("MediumExpert",CLASSFEATUREHEADERS,0),MATCH($A441,CLASSNAMEHEADERS,0))),(INDEX(ALLCLASSDATA,MATCH("MediumExpert",CLASSFEATUREHEADERS,0),MATCH(($A441 &amp; "Points"),CLASSNAMEHEADERS,0))),(IF("07"=(INDEX(ALLCLASSDATA,MATCH("MediumTrained",CLASSFEATUREHEADERS,0),MATCH($A441,CLASSNAMEHEADERS,0))),(INDEX(ALLCLASSDATA,MATCH("MediumTrained",CLASSFEATUREHEADERS,0),MATCH(($A441 &amp; "Points"),CLASSNAMEHEADERS,0))),"")))))))))}</f>
        <v>MEDIUML07</v>
      </c>
      <c r="O440" s="223"/>
      <c r="P440" s="223" t="str">
        <f t="array" ref="P440:P441">{"MEDIUML09";((IF("09"=(INDEX(ALLCLASSDATA,MATCH("MediumLegendary",CLASSFEATUREHEADERS,0),MATCH($A441,CLASSNAMEHEADERS,0))),(INDEX(ALLCLASSDATA,MATCH("MediumLegendary",CLASSFEATUREHEADERS,0),MATCH(($A441 &amp; "Points"),CLASSNAMEHEADERS,0))),(IF("09"=(INDEX(ALLCLASSDATA,MATCH("MediumMaster",CLASSFEATUREHEADERS,0),MATCH($A441,CLASSNAMEHEADERS,0))),(INDEX(ALLCLASSDATA,MATCH("MediumMaster",CLASSFEATUREHEADERS,0),MATCH(($A441 &amp; "Points"),CLASSNAMEHEADERS,0))),(IF("09"=(INDEX(ALLCLASSDATA,MATCH("MediumExpert",CLASSFEATUREHEADERS,0),MATCH($A441,CLASSNAMEHEADERS,0))),(INDEX(ALLCLASSDATA,MATCH("MediumExpert",CLASSFEATUREHEADERS,0),MATCH(($A441 &amp; "Points"),CLASSNAMEHEADERS,0))),(IF("09"=(INDEX(ALLCLASSDATA,MATCH("MediumTrained",CLASSFEATUREHEADERS,0),MATCH($A441,CLASSNAMEHEADERS,0))),(INDEX(ALLCLASSDATA,MATCH("MediumTrained",CLASSFEATUREHEADERS,0),MATCH(($A441 &amp; "Points"),CLASSNAMEHEADERS,0))),"")))))))))}</f>
        <v>MEDIUML09</v>
      </c>
      <c r="Q440" s="223"/>
      <c r="R440" s="223" t="str">
        <f t="array" ref="R440:R441">{"MEDIUML11";((IF("11"=(INDEX(ALLCLASSDATA,MATCH("MediumLegendary",CLASSFEATUREHEADERS,0),MATCH($A441,CLASSNAMEHEADERS,0))),(INDEX(ALLCLASSDATA,MATCH("MediumLegendary",CLASSFEATUREHEADERS,0),MATCH(($A441 &amp; "Points"),CLASSNAMEHEADERS,0))),(IF("11"=(INDEX(ALLCLASSDATA,MATCH("MediumMaster",CLASSFEATUREHEADERS,0),MATCH($A441,CLASSNAMEHEADERS,0))),(INDEX(ALLCLASSDATA,MATCH("MediumMaster",CLASSFEATUREHEADERS,0),MATCH(($A441 &amp; "Points"),CLASSNAMEHEADERS,0))),(IF("11"=(INDEX(ALLCLASSDATA,MATCH("MediumExpert",CLASSFEATUREHEADERS,0),MATCH($A441,CLASSNAMEHEADERS,0))),(INDEX(ALLCLASSDATA,MATCH("MediumExpert",CLASSFEATUREHEADERS,0),MATCH(($A441 &amp; "Points"),CLASSNAMEHEADERS,0))),(IF("11"=(INDEX(ALLCLASSDATA,MATCH("MediumTrained",CLASSFEATUREHEADERS,0),MATCH($A441,CLASSNAMEHEADERS,0))),(INDEX(ALLCLASSDATA,MATCH("MediumTrained",CLASSFEATUREHEADERS,0),MATCH(($A441 &amp; "Points"),CLASSNAMEHEADERS,0))),"")))))))))}</f>
        <v>MEDIUML11</v>
      </c>
      <c r="S440" s="223"/>
      <c r="T440" s="223" t="str">
        <f t="array" ref="T440:T441">{"MEDIUML13";((IF("13"=(INDEX(ALLCLASSDATA,MATCH("MediumLegendary",CLASSFEATUREHEADERS,0),MATCH($A441,CLASSNAMEHEADERS,0))),(INDEX(ALLCLASSDATA,MATCH("MediumLegendary",CLASSFEATUREHEADERS,0),MATCH(($A441 &amp; "Points"),CLASSNAMEHEADERS,0))),(IF("13"=(INDEX(ALLCLASSDATA,MATCH("MediumMaster",CLASSFEATUREHEADERS,0),MATCH($A441,CLASSNAMEHEADERS,0))),(INDEX(ALLCLASSDATA,MATCH("MediumMaster",CLASSFEATUREHEADERS,0),MATCH(($A441 &amp; "Points"),CLASSNAMEHEADERS,0))),(IF("13"=(INDEX(ALLCLASSDATA,MATCH("MediumExpert",CLASSFEATUREHEADERS,0),MATCH($A441,CLASSNAMEHEADERS,0))),(INDEX(ALLCLASSDATA,MATCH("MediumExpert",CLASSFEATUREHEADERS,0),MATCH(($A441 &amp; "Points"),CLASSNAMEHEADERS,0))),(IF("13"=(INDEX(ALLCLASSDATA,MATCH("MediumTrained",CLASSFEATUREHEADERS,0),MATCH($A441,CLASSNAMEHEADERS,0))),(INDEX(ALLCLASSDATA,MATCH("MediumTrained",CLASSFEATUREHEADERS,0),MATCH(($A441 &amp; "Points"),CLASSNAMEHEADERS,0))),"")))))))))}</f>
        <v>MEDIUML13</v>
      </c>
      <c r="U440" s="223"/>
      <c r="V440" s="223" t="str">
        <f t="array" ref="V440:V441">{"MEDIUML15";((IF("15"=(INDEX(ALLCLASSDATA,MATCH("MediumLegendary",CLASSFEATUREHEADERS,0),MATCH($A441,CLASSNAMEHEADERS,0))),(INDEX(ALLCLASSDATA,MATCH("MediumLegendary",CLASSFEATUREHEADERS,0),MATCH(($A441 &amp; "Points"),CLASSNAMEHEADERS,0))),(IF("15"=(INDEX(ALLCLASSDATA,MATCH("MediumMaster",CLASSFEATUREHEADERS,0),MATCH($A441,CLASSNAMEHEADERS,0))),(INDEX(ALLCLASSDATA,MATCH("MediumMaster",CLASSFEATUREHEADERS,0),MATCH(($A441 &amp; "Points"),CLASSNAMEHEADERS,0))),(IF("15"=(INDEX(ALLCLASSDATA,MATCH("MediumExpert",CLASSFEATUREHEADERS,0),MATCH($A441,CLASSNAMEHEADERS,0))),(INDEX(ALLCLASSDATA,MATCH("MediumExpert",CLASSFEATUREHEADERS,0),MATCH(($A441 &amp; "Points"),CLASSNAMEHEADERS,0))),(IF("15"=(INDEX(ALLCLASSDATA,MATCH("MediumTrained",CLASSFEATUREHEADERS,0),MATCH($A441,CLASSNAMEHEADERS,0))),(INDEX(ALLCLASSDATA,MATCH("MediumTrained",CLASSFEATUREHEADERS,0),MATCH(($A441 &amp; "Points"),CLASSNAMEHEADERS,0))),"")))))))))}</f>
        <v>MEDIUML15</v>
      </c>
      <c r="W440" s="223"/>
      <c r="X440" s="223" t="str">
        <f t="array" ref="X440:X441">{"MEDIUML17";((IF("17"=(INDEX(ALLCLASSDATA,MATCH("MediumLegendary",CLASSFEATUREHEADERS,0),MATCH($A441,CLASSNAMEHEADERS,0))),(INDEX(ALLCLASSDATA,MATCH("MediumLegendary",CLASSFEATUREHEADERS,0),MATCH(($A441 &amp; "Points"),CLASSNAMEHEADERS,0))),(IF("17"=(INDEX(ALLCLASSDATA,MATCH("MediumMaster",CLASSFEATUREHEADERS,0),MATCH($A441,CLASSNAMEHEADERS,0))),(INDEX(ALLCLASSDATA,MATCH("MediumMaster",CLASSFEATUREHEADERS,0),MATCH(($A441 &amp; "Points"),CLASSNAMEHEADERS,0))),(IF("17"=(INDEX(ALLCLASSDATA,MATCH("MediumExpert",CLASSFEATUREHEADERS,0),MATCH($A441,CLASSNAMEHEADERS,0))),(INDEX(ALLCLASSDATA,MATCH("MediumExpert",CLASSFEATUREHEADERS,0),MATCH(($A441 &amp; "Points"),CLASSNAMEHEADERS,0))),(IF("17"=(INDEX(ALLCLASSDATA,MATCH("MediumTrained",CLASSFEATUREHEADERS,0),MATCH($A441,CLASSNAMEHEADERS,0))),(INDEX(ALLCLASSDATA,MATCH("MediumTrained",CLASSFEATUREHEADERS,0),MATCH(($A441 &amp; "Points"),CLASSNAMEHEADERS,0))),"")))))))))}</f>
        <v>MEDIUML17</v>
      </c>
      <c r="Y440" s="223"/>
      <c r="Z440" s="223" t="str">
        <f t="array" ref="Z440:Z441">{"MEDIUML19";((IF("19"=(INDEX(ALLCLASSDATA,MATCH("MediumLegendary",CLASSFEATUREHEADERS,0),MATCH($A441,CLASSNAMEHEADERS,0))),(INDEX(ALLCLASSDATA,MATCH("MediumLegendary",CLASSFEATUREHEADERS,0),MATCH(($A441 &amp; "Points"),CLASSNAMEHEADERS,0))),(IF("19"=(INDEX(ALLCLASSDATA,MATCH("MediumMaster",CLASSFEATUREHEADERS,0),MATCH($A441,CLASSNAMEHEADERS,0))),(INDEX(ALLCLASSDATA,MATCH("MediumMaster",CLASSFEATUREHEADERS,0),MATCH(($A441 &amp; "Points"),CLASSNAMEHEADERS,0))),(IF("19"=(INDEX(ALLCLASSDATA,MATCH("MediumExpert",CLASSFEATUREHEADERS,0),MATCH($A441,CLASSNAMEHEADERS,0))),(INDEX(ALLCLASSDATA,MATCH("MediumExpert",CLASSFEATUREHEADERS,0),MATCH(($A441 &amp; "Points"),CLASSNAMEHEADERS,0))),(IF("19"=(INDEX(ALLCLASSDATA,MATCH("MediumTrained",CLASSFEATUREHEADERS,0),MATCH($A441,CLASSNAMEHEADERS,0))),(INDEX(ALLCLASSDATA,MATCH("MediumTrained",CLASSFEATUREHEADERS,0),MATCH(($A441 &amp; "Points"),CLASSNAMEHEADERS,0))),"")))))))))}</f>
        <v>MEDIUML19</v>
      </c>
      <c r="AA440" s="223"/>
      <c r="AB440" s="76" t="str">
        <f t="array" ref="AB440:AB441">{"MEDIUM TOTAL";(IF(COUNTBLANK(G441:AA441)=17,"L",(IF(COUNTBLANK(G441:AA441)=18,"M",(IF(COUNTBLANK(G441:AA441)=19,"E",(IF(COUNTBLANK(G441:AA441)=20,"T",""))))))))}</f>
        <v>MEDIUM TOTAL</v>
      </c>
      <c r="AC440" s="76" t="str">
        <f t="array" ref="AC440:AC441">{"MEDIUM TOTAL";(sum(G441:AA441))}</f>
        <v>MEDIUM TOTAL</v>
      </c>
    </row>
    <row r="441">
      <c r="A441" s="48" t="s">
        <v>124</v>
      </c>
      <c r="B441" s="48"/>
      <c r="C441" s="48" t="s">
        <v>413</v>
      </c>
      <c r="D441" s="48" t="s">
        <v>1900</v>
      </c>
      <c r="E441" s="48" t="s">
        <v>76</v>
      </c>
      <c r="F441" s="5" t="s">
        <v>435</v>
      </c>
      <c r="G441" s="47" t="s">
        <v>603</v>
      </c>
      <c r="H441" s="5">
        <v>10.0</v>
      </c>
      <c r="I441" s="5"/>
      <c r="J441" s="5" t="s">
        <v>603</v>
      </c>
      <c r="K441" s="5"/>
      <c r="L441" s="5" t="s">
        <v>603</v>
      </c>
      <c r="M441" s="5"/>
      <c r="N441" s="5" t="s">
        <v>603</v>
      </c>
      <c r="O441" s="5"/>
      <c r="P441" s="5" t="s">
        <v>603</v>
      </c>
      <c r="Q441" s="5"/>
      <c r="R441" s="5">
        <v>50.0</v>
      </c>
      <c r="S441" s="5"/>
      <c r="T441" s="5" t="s">
        <v>603</v>
      </c>
      <c r="U441" s="5"/>
      <c r="V441" s="5" t="s">
        <v>603</v>
      </c>
      <c r="W441" s="5"/>
      <c r="X441" s="5" t="s">
        <v>603</v>
      </c>
      <c r="Y441" s="5"/>
      <c r="Z441" s="5">
        <v>110.0</v>
      </c>
      <c r="AA441" s="5"/>
      <c r="AB441" s="5" t="s">
        <v>437</v>
      </c>
      <c r="AC441" s="47">
        <v>170.0</v>
      </c>
    </row>
    <row r="442" hidden="1">
      <c r="A442" s="222" t="str">
        <f t="array" ref="A442:A443">{"FormulaRow38";(INDEX(CLASSLIST,A367,1))}</f>
        <v>FormulaRow38</v>
      </c>
      <c r="B442" s="77" t="s">
        <v>236</v>
      </c>
      <c r="C442" s="222" t="str">
        <f t="array" ref="C442:C443">{"CLASSTYPE";((INDEX(ALLCLASSDATA,MATCH("ClassType",CLASSFEATUREHEADERS,0),MATCH($A443,CLASSNAMEHEADERS,0))))}</f>
        <v>CLASSTYPE</v>
      </c>
      <c r="D442" s="222" t="str">
        <f t="array" ref="D442:D443">{"DEFENSE";"Defense"}</f>
        <v>DEFENSE</v>
      </c>
      <c r="E442" s="222" t="str">
        <f t="array" ref="E442:E443">{"HEAVY";"Heavy"}</f>
        <v>HEAVY</v>
      </c>
      <c r="F442" s="223" t="str">
        <f t="array" ref="F442:F443">{"HEAVYINITIAL";((IF(H443=10,"T",(IF(H443=50,"E","")))))}</f>
        <v>HEAVYINITIAL</v>
      </c>
      <c r="G442" s="223" t="str">
        <f t="array" ref="G442:G443">{"HEAVYINITIALPTS";((IF("00"=(INDEX(ALLCLASSDATA,MATCH("HeavyLegendary",CLASSFEATUREHEADERS,0),MATCH($A443,CLASSNAMEHEADERS,0))),(INDEX(ALLCLASSDATA,MATCH("HeavyLegendary",CLASSFEATUREHEADERS,0),MATCH(($A443 &amp; "Points"),CLASSNAMEHEADERS,0))),(IF("00"=(INDEX(ALLCLASSDATA,MATCH("HeavyMaster",CLASSFEATUREHEADERS,0),MATCH($A443,CLASSNAMEHEADERS,0))),(INDEX(ALLCLASSDATA,MATCH("HeavyMaster",CLASSFEATUREHEADERS,0),MATCH(($A443 &amp; "Points"),CLASSNAMEHEADERS,0))),(IF("00"=(INDEX(ALLCLASSDATA,MATCH("HeavyExpert",CLASSFEATUREHEADERS,0),MATCH($A443,CLASSNAMEHEADERS,0))),(INDEX(ALLCLASSDATA,MATCH("HeavyExpert",CLASSFEATUREHEADERS,0),MATCH(($A443 &amp; "Points"),CLASSNAMEHEADERS,0))),(IF("00"=(INDEX(ALLCLASSDATA,MATCH("HeavyTrained",CLASSFEATUREHEADERS,0),MATCH($A443,CLASSNAMEHEADERS,0))),(INDEX(ALLCLASSDATA,MATCH("HeavyTrained",CLASSFEATUREHEADERS,0),MATCH(($A443 &amp; "Points"),CLASSNAMEHEADERS,0))),"")))))))))}</f>
        <v>HEAVYINITIALPTS</v>
      </c>
      <c r="H442" s="223" t="str">
        <f t="array" ref="H442:H443">{"HEAVYL01";((IF("01"=(INDEX(ALLCLASSDATA,MATCH("HeavyLegendary",CLASSFEATUREHEADERS,0),MATCH($A443,CLASSNAMEHEADERS,0))),(INDEX(ALLCLASSDATA,MATCH("HeavyLegendary",CLASSFEATUREHEADERS,0),MATCH(($A443 &amp; "Points"),CLASSNAMEHEADERS,0))),(IF("01"=(INDEX(ALLCLASSDATA,MATCH("HeavyMaster",CLASSFEATUREHEADERS,0),MATCH($A443,CLASSNAMEHEADERS,0))),(INDEX(ALLCLASSDATA,MATCH("HeavyMaster",CLASSFEATUREHEADERS,0),MATCH(($A443 &amp; "Points"),CLASSNAMEHEADERS,0))),(IF("01"=(INDEX(ALLCLASSDATA,MATCH("HeavyExpert",CLASSFEATUREHEADERS,0),MATCH($A443,CLASSNAMEHEADERS,0))),(INDEX(ALLCLASSDATA,MATCH("HeavyExpert",CLASSFEATUREHEADERS,0),MATCH(($A443 &amp; "Points"),CLASSNAMEHEADERS,0))),(IF("01"=(INDEX(ALLCLASSDATA,MATCH("HeavyTrained",CLASSFEATUREHEADERS,0),MATCH($A443,CLASSNAMEHEADERS,0))),(INDEX(ALLCLASSDATA,MATCH("HeavyTrained",CLASSFEATUREHEADERS,0),MATCH(($A443 &amp; "Points"),CLASSNAMEHEADERS,0))),"")))))))))}</f>
        <v>HEAVYL01</v>
      </c>
      <c r="I442" s="223"/>
      <c r="J442" s="223" t="str">
        <f t="array" ref="J442:J443">{"HEAVYL03";((IF("03"=(INDEX(ALLCLASSDATA,MATCH("HeavyLegendary",CLASSFEATUREHEADERS,0),MATCH($A443,CLASSNAMEHEADERS,0))),(INDEX(ALLCLASSDATA,MATCH("HeavyLegendary",CLASSFEATUREHEADERS,0),MATCH(($A443 &amp; "Points"),CLASSNAMEHEADERS,0))),(IF("03"=(INDEX(ALLCLASSDATA,MATCH("HeavyMaster",CLASSFEATUREHEADERS,0),MATCH($A443,CLASSNAMEHEADERS,0))),(INDEX(ALLCLASSDATA,MATCH("HeavyMaster",CLASSFEATUREHEADERS,0),MATCH(($A443 &amp; "Points"),CLASSNAMEHEADERS,0))),(IF("03"=(INDEX(ALLCLASSDATA,MATCH("HeavyExpert",CLASSFEATUREHEADERS,0),MATCH($A443,CLASSNAMEHEADERS,0))),(INDEX(ALLCLASSDATA,MATCH("HeavyExpert",CLASSFEATUREHEADERS,0),MATCH(($A443 &amp; "Points"),CLASSNAMEHEADERS,0))),(IF("03"=(INDEX(ALLCLASSDATA,MATCH("HeavyTrained",CLASSFEATUREHEADERS,0),MATCH($A443,CLASSNAMEHEADERS,0))),(INDEX(ALLCLASSDATA,MATCH("HeavyTrained",CLASSFEATUREHEADERS,0),MATCH(($A443 &amp; "Points"),CLASSNAMEHEADERS,0))),"")))))))))}</f>
        <v>HEAVYL03</v>
      </c>
      <c r="K442" s="223"/>
      <c r="L442" s="223" t="str">
        <f t="array" ref="L442:L443">{"HEAVYL05";((IF("05"=(INDEX(ALLCLASSDATA,MATCH("HeavyLegendary",CLASSFEATUREHEADERS,0),MATCH($A443,CLASSNAMEHEADERS,0))),(INDEX(ALLCLASSDATA,MATCH("HeavyLegendary",CLASSFEATUREHEADERS,0),MATCH(($A443 &amp; "Points"),CLASSNAMEHEADERS,0))),(IF("05"=(INDEX(ALLCLASSDATA,MATCH("HeavyMaster",CLASSFEATUREHEADERS,0),MATCH($A443,CLASSNAMEHEADERS,0))),(INDEX(ALLCLASSDATA,MATCH("HeavyMaster",CLASSFEATUREHEADERS,0),MATCH(($A443 &amp; "Points"),CLASSNAMEHEADERS,0))),(IF("05"=(INDEX(ALLCLASSDATA,MATCH("HeavyExpert",CLASSFEATUREHEADERS,0),MATCH($A443,CLASSNAMEHEADERS,0))),(INDEX(ALLCLASSDATA,MATCH("HeavyExpert",CLASSFEATUREHEADERS,0),MATCH(($A443 &amp; "Points"),CLASSNAMEHEADERS,0))),(IF("05"=(INDEX(ALLCLASSDATA,MATCH("HeavyTrained",CLASSFEATUREHEADERS,0),MATCH($A443,CLASSNAMEHEADERS,0))),(INDEX(ALLCLASSDATA,MATCH("HeavyTrained",CLASSFEATUREHEADERS,0),MATCH(($A443 &amp; "Points"),CLASSNAMEHEADERS,0))),"")))))))))}</f>
        <v>HEAVYL05</v>
      </c>
      <c r="M442" s="223"/>
      <c r="N442" s="223" t="str">
        <f t="array" ref="N442:N443">{"HEAVYL07";((IF("07"=(INDEX(ALLCLASSDATA,MATCH("HeavyLegendary",CLASSFEATUREHEADERS,0),MATCH($A443,CLASSNAMEHEADERS,0))),(INDEX(ALLCLASSDATA,MATCH("HeavyLegendary",CLASSFEATUREHEADERS,0),MATCH(($A443 &amp; "Points"),CLASSNAMEHEADERS,0))),(IF("07"=(INDEX(ALLCLASSDATA,MATCH("HeavyMaster",CLASSFEATUREHEADERS,0),MATCH($A443,CLASSNAMEHEADERS,0))),(INDEX(ALLCLASSDATA,MATCH("HeavyMaster",CLASSFEATUREHEADERS,0),MATCH(($A443 &amp; "Points"),CLASSNAMEHEADERS,0))),(IF("07"=(INDEX(ALLCLASSDATA,MATCH("HeavyExpert",CLASSFEATUREHEADERS,0),MATCH($A443,CLASSNAMEHEADERS,0))),(INDEX(ALLCLASSDATA,MATCH("HeavyExpert",CLASSFEATUREHEADERS,0),MATCH(($A443 &amp; "Points"),CLASSNAMEHEADERS,0))),(IF("07"=(INDEX(ALLCLASSDATA,MATCH("HeavyTrained",CLASSFEATUREHEADERS,0),MATCH($A443,CLASSNAMEHEADERS,0))),(INDEX(ALLCLASSDATA,MATCH("HeavyTrained",CLASSFEATUREHEADERS,0),MATCH(($A443 &amp; "Points"),CLASSNAMEHEADERS,0))),"")))))))))}</f>
        <v>HEAVYL07</v>
      </c>
      <c r="O442" s="223"/>
      <c r="P442" s="223" t="str">
        <f t="array" ref="P442:P443">{"HEAVYL09";((IF("09"=(INDEX(ALLCLASSDATA,MATCH("HeavyLegendary",CLASSFEATUREHEADERS,0),MATCH($A443,CLASSNAMEHEADERS,0))),(INDEX(ALLCLASSDATA,MATCH("HeavyLegendary",CLASSFEATUREHEADERS,0),MATCH(($A443 &amp; "Points"),CLASSNAMEHEADERS,0))),(IF("09"=(INDEX(ALLCLASSDATA,MATCH("HeavyMaster",CLASSFEATUREHEADERS,0),MATCH($A443,CLASSNAMEHEADERS,0))),(INDEX(ALLCLASSDATA,MATCH("HeavyMaster",CLASSFEATUREHEADERS,0),MATCH(($A443 &amp; "Points"),CLASSNAMEHEADERS,0))),(IF("09"=(INDEX(ALLCLASSDATA,MATCH("HeavyExpert",CLASSFEATUREHEADERS,0),MATCH($A443,CLASSNAMEHEADERS,0))),(INDEX(ALLCLASSDATA,MATCH("HeavyExpert",CLASSFEATUREHEADERS,0),MATCH(($A443 &amp; "Points"),CLASSNAMEHEADERS,0))),(IF("09"=(INDEX(ALLCLASSDATA,MATCH("HeavyTrained",CLASSFEATUREHEADERS,0),MATCH($A443,CLASSNAMEHEADERS,0))),(INDEX(ALLCLASSDATA,MATCH("HeavyTrained",CLASSFEATUREHEADERS,0),MATCH(($A443 &amp; "Points"),CLASSNAMEHEADERS,0))),"")))))))))}</f>
        <v>HEAVYL09</v>
      </c>
      <c r="Q442" s="223"/>
      <c r="R442" s="223" t="str">
        <f t="array" ref="R442:R443">{"HEAVYL11";((IF("11"=(INDEX(ALLCLASSDATA,MATCH("HeavyLegendary",CLASSFEATUREHEADERS,0),MATCH($A443,CLASSNAMEHEADERS,0))),(INDEX(ALLCLASSDATA,MATCH("HeavyLegendary",CLASSFEATUREHEADERS,0),MATCH(($A443 &amp; "Points"),CLASSNAMEHEADERS,0))),(IF("11"=(INDEX(ALLCLASSDATA,MATCH("HeavyMaster",CLASSFEATUREHEADERS,0),MATCH($A443,CLASSNAMEHEADERS,0))),(INDEX(ALLCLASSDATA,MATCH("HeavyMaster",CLASSFEATUREHEADERS,0),MATCH(($A443 &amp; "Points"),CLASSNAMEHEADERS,0))),(IF("11"=(INDEX(ALLCLASSDATA,MATCH("HeavyExpert",CLASSFEATUREHEADERS,0),MATCH($A443,CLASSNAMEHEADERS,0))),(INDEX(ALLCLASSDATA,MATCH("HeavyExpert",CLASSFEATUREHEADERS,0),MATCH(($A443 &amp; "Points"),CLASSNAMEHEADERS,0))),(IF("11"=(INDEX(ALLCLASSDATA,MATCH("HeavyTrained",CLASSFEATUREHEADERS,0),MATCH($A443,CLASSNAMEHEADERS,0))),(INDEX(ALLCLASSDATA,MATCH("HeavyTrained",CLASSFEATUREHEADERS,0),MATCH(($A443 &amp; "Points"),CLASSNAMEHEADERS,0))),"")))))))))}</f>
        <v>HEAVYL11</v>
      </c>
      <c r="S442" s="223"/>
      <c r="T442" s="223" t="str">
        <f t="array" ref="T442:T443">{"HEAVYL13";((IF("13"=(INDEX(ALLCLASSDATA,MATCH("HeavyLegendary",CLASSFEATUREHEADERS,0),MATCH($A443,CLASSNAMEHEADERS,0))),(INDEX(ALLCLASSDATA,MATCH("HeavyLegendary",CLASSFEATUREHEADERS,0),MATCH(($A443 &amp; "Points"),CLASSNAMEHEADERS,0))),(IF("13"=(INDEX(ALLCLASSDATA,MATCH("HeavyMaster",CLASSFEATUREHEADERS,0),MATCH($A443,CLASSNAMEHEADERS,0))),(INDEX(ALLCLASSDATA,MATCH("HeavyMaster",CLASSFEATUREHEADERS,0),MATCH(($A443 &amp; "Points"),CLASSNAMEHEADERS,0))),(IF("13"=(INDEX(ALLCLASSDATA,MATCH("HeavyExpert",CLASSFEATUREHEADERS,0),MATCH($A443,CLASSNAMEHEADERS,0))),(INDEX(ALLCLASSDATA,MATCH("HeavyExpert",CLASSFEATUREHEADERS,0),MATCH(($A443 &amp; "Points"),CLASSNAMEHEADERS,0))),(IF("13"=(INDEX(ALLCLASSDATA,MATCH("HeavyTrained",CLASSFEATUREHEADERS,0),MATCH($A443,CLASSNAMEHEADERS,0))),(INDEX(ALLCLASSDATA,MATCH("HeavyTrained",CLASSFEATUREHEADERS,0),MATCH(($A443 &amp; "Points"),CLASSNAMEHEADERS,0))),"")))))))))}</f>
        <v>HEAVYL13</v>
      </c>
      <c r="U442" s="223"/>
      <c r="V442" s="223" t="str">
        <f t="array" ref="V442:V443">{"HEAVYL15";((IF("15"=(INDEX(ALLCLASSDATA,MATCH("HeavyLegendary",CLASSFEATUREHEADERS,0),MATCH($A443,CLASSNAMEHEADERS,0))),(INDEX(ALLCLASSDATA,MATCH("HeavyLegendary",CLASSFEATUREHEADERS,0),MATCH(($A443 &amp; "Points"),CLASSNAMEHEADERS,0))),(IF("15"=(INDEX(ALLCLASSDATA,MATCH("HeavyMaster",CLASSFEATUREHEADERS,0),MATCH($A443,CLASSNAMEHEADERS,0))),(INDEX(ALLCLASSDATA,MATCH("HeavyMaster",CLASSFEATUREHEADERS,0),MATCH(($A443 &amp; "Points"),CLASSNAMEHEADERS,0))),(IF("15"=(INDEX(ALLCLASSDATA,MATCH("HeavyExpert",CLASSFEATUREHEADERS,0),MATCH($A443,CLASSNAMEHEADERS,0))),(INDEX(ALLCLASSDATA,MATCH("HeavyExpert",CLASSFEATUREHEADERS,0),MATCH(($A443 &amp; "Points"),CLASSNAMEHEADERS,0))),(IF("15"=(INDEX(ALLCLASSDATA,MATCH("HeavyTrained",CLASSFEATUREHEADERS,0),MATCH($A443,CLASSNAMEHEADERS,0))),(INDEX(ALLCLASSDATA,MATCH("HeavyTrained",CLASSFEATUREHEADERS,0),MATCH(($A443 &amp; "Points"),CLASSNAMEHEADERS,0))),"")))))))))}</f>
        <v>HEAVYL15</v>
      </c>
      <c r="W442" s="223"/>
      <c r="X442" s="223" t="str">
        <f t="array" ref="X442:X443">{"HEAVYL17";((IF("17"=(INDEX(ALLCLASSDATA,MATCH("HeavyLegendary",CLASSFEATUREHEADERS,0),MATCH($A443,CLASSNAMEHEADERS,0))),(INDEX(ALLCLASSDATA,MATCH("HeavyLegendary",CLASSFEATUREHEADERS,0),MATCH(($A443 &amp; "Points"),CLASSNAMEHEADERS,0))),(IF("17"=(INDEX(ALLCLASSDATA,MATCH("HeavyMaster",CLASSFEATUREHEADERS,0),MATCH($A443,CLASSNAMEHEADERS,0))),(INDEX(ALLCLASSDATA,MATCH("HeavyMaster",CLASSFEATUREHEADERS,0),MATCH(($A443 &amp; "Points"),CLASSNAMEHEADERS,0))),(IF("17"=(INDEX(ALLCLASSDATA,MATCH("HeavyExpert",CLASSFEATUREHEADERS,0),MATCH($A443,CLASSNAMEHEADERS,0))),(INDEX(ALLCLASSDATA,MATCH("HeavyExpert",CLASSFEATUREHEADERS,0),MATCH(($A443 &amp; "Points"),CLASSNAMEHEADERS,0))),(IF("17"=(INDEX(ALLCLASSDATA,MATCH("HeavyTrained",CLASSFEATUREHEADERS,0),MATCH($A443,CLASSNAMEHEADERS,0))),(INDEX(ALLCLASSDATA,MATCH("HeavyTrained",CLASSFEATUREHEADERS,0),MATCH(($A443 &amp; "Points"),CLASSNAMEHEADERS,0))),"")))))))))}</f>
        <v>HEAVYL17</v>
      </c>
      <c r="Y442" s="223"/>
      <c r="Z442" s="223" t="str">
        <f t="array" ref="Z442:Z443">{"HEAVYL19";((IF("19"=(INDEX(ALLCLASSDATA,MATCH("HeavyLegendary",CLASSFEATUREHEADERS,0),MATCH($A443,CLASSNAMEHEADERS,0))),(INDEX(ALLCLASSDATA,MATCH("HeavyLegendary",CLASSFEATUREHEADERS,0),MATCH(($A443 &amp; "Points"),CLASSNAMEHEADERS,0))),(IF("19"=(INDEX(ALLCLASSDATA,MATCH("HeavyMaster",CLASSFEATUREHEADERS,0),MATCH($A443,CLASSNAMEHEADERS,0))),(INDEX(ALLCLASSDATA,MATCH("HeavyMaster",CLASSFEATUREHEADERS,0),MATCH(($A443 &amp; "Points"),CLASSNAMEHEADERS,0))),(IF("19"=(INDEX(ALLCLASSDATA,MATCH("HeavyExpert",CLASSFEATUREHEADERS,0),MATCH($A443,CLASSNAMEHEADERS,0))),(INDEX(ALLCLASSDATA,MATCH("HeavyExpert",CLASSFEATUREHEADERS,0),MATCH(($A443 &amp; "Points"),CLASSNAMEHEADERS,0))),(IF("19"=(INDEX(ALLCLASSDATA,MATCH("HeavyTrained",CLASSFEATUREHEADERS,0),MATCH($A443,CLASSNAMEHEADERS,0))),(INDEX(ALLCLASSDATA,MATCH("HeavyTrained",CLASSFEATUREHEADERS,0),MATCH(($A443 &amp; "Points"),CLASSNAMEHEADERS,0))),"")))))))))}</f>
        <v>HEAVYL19</v>
      </c>
      <c r="AA442" s="223"/>
      <c r="AB442" s="76" t="str">
        <f t="array" ref="AB442:AB443">{"HEAVY TOTAL";(IF(COUNTBLANK(G443:AA443)=17,"L",(IF(COUNTBLANK(G443:AA443)=18,"M",(IF(COUNTBLANK(G443:AA443)=19,"E",(IF(COUNTBLANK(G443:AA443)=20,"T",""))))))))}</f>
        <v>HEAVY TOTAL</v>
      </c>
      <c r="AC442" s="76" t="str">
        <f t="array" ref="AC442:AC443">{"HEAVY TOTAL";(sum(G443:AA443))}</f>
        <v>HEAVY TOTAL</v>
      </c>
    </row>
    <row r="443">
      <c r="A443" s="48" t="s">
        <v>124</v>
      </c>
      <c r="B443" s="48"/>
      <c r="C443" s="48" t="s">
        <v>413</v>
      </c>
      <c r="D443" s="97" t="s">
        <v>1900</v>
      </c>
      <c r="E443" s="97" t="s">
        <v>533</v>
      </c>
      <c r="F443" s="98" t="s">
        <v>603</v>
      </c>
      <c r="G443" s="132" t="s">
        <v>603</v>
      </c>
      <c r="H443" s="98" t="s">
        <v>603</v>
      </c>
      <c r="I443" s="98"/>
      <c r="J443" s="98" t="s">
        <v>603</v>
      </c>
      <c r="K443" s="98"/>
      <c r="L443" s="98" t="s">
        <v>603</v>
      </c>
      <c r="M443" s="98"/>
      <c r="N443" s="98" t="s">
        <v>603</v>
      </c>
      <c r="O443" s="98"/>
      <c r="P443" s="98" t="s">
        <v>603</v>
      </c>
      <c r="Q443" s="98"/>
      <c r="R443" s="98" t="s">
        <v>603</v>
      </c>
      <c r="S443" s="98"/>
      <c r="T443" s="98" t="s">
        <v>603</v>
      </c>
      <c r="U443" s="98"/>
      <c r="V443" s="98" t="s">
        <v>603</v>
      </c>
      <c r="W443" s="98"/>
      <c r="X443" s="98" t="s">
        <v>603</v>
      </c>
      <c r="Y443" s="98"/>
      <c r="Z443" s="98" t="s">
        <v>603</v>
      </c>
      <c r="AA443" s="98"/>
      <c r="AB443" s="5" t="s">
        <v>603</v>
      </c>
      <c r="AC443" s="47">
        <v>0.0</v>
      </c>
    </row>
    <row r="444" hidden="1">
      <c r="A444" s="222" t="str">
        <f t="array" ref="A444:A445">{"FormulaRow39";(INDEX(CLASSLIST,A367,1))}</f>
        <v>FormulaRow39</v>
      </c>
      <c r="B444" s="77" t="s">
        <v>236</v>
      </c>
      <c r="C444" s="222" t="str">
        <f t="array" ref="C444:C445">{"CLASSTYPE";((INDEX(ALLCLASSDATA,MATCH("ClassType",CLASSFEATUREHEADERS,0),MATCH($A445,CLASSNAMEHEADERS,0))))}</f>
        <v>CLASSTYPE</v>
      </c>
      <c r="D444" s="222" t="str">
        <f t="array" ref="D444:D445">{"SPELL/ALCHEMY";((IF(INDEX(ALLCLASSDATA,MATCH("CasterType",CLASSFEATUREHEADERS,0),MATCH(($A445),CLASSNAMEHEADERS,0))="","",(IF(INDEX(ALLCLASSDATA,MATCH("CasterType",CLASSFEATUREHEADERS,0),MATCH(($A445),CLASSNAMEHEADERS,0))="Alchemy","Alchemy","Spells")))))}</f>
        <v>SPELL/ALCHEMY</v>
      </c>
      <c r="E444" s="222" t="str">
        <f t="array" ref="E444:E445">{"SPELLLIST";(IF(D445="Spells",((INDEX(ALLCLASSDATA,MATCH("CasterType",CLASSFEATUREHEADERS,0),MATCH(($A445),CLASSNAMEHEADERS,0))) &amp; ":" &amp; (INDEX(ALLCLASSDATA,MATCH("SpellList",CLASSFEATUREHEADERS,0),MATCH(($A445),CLASSNAMEHEADERS,0)))),""))}</f>
        <v>SPELLLIST</v>
      </c>
      <c r="F444" s="223" t="str">
        <f t="array" ref="F444:F445">{"SPL";(IF(D445="Spells","SPL:",""))}</f>
        <v>SPL</v>
      </c>
      <c r="G444" s="223" t="str">
        <f t="array" ref="G444:G445">{"CANTRIP/ALC";(IF(D445="Spells","C",(IF(D445="Alchemy","ALC:",""))))}</f>
        <v>CANTRIP/ALC</v>
      </c>
      <c r="H444" s="223" t="str">
        <f t="array" ref="H444:H445">{"SPELL/ALC L01";(IF(D445="Alchemy","L01",(IF(D445="Spells","S01",""))))}</f>
        <v>SPELL/ALC L01</v>
      </c>
      <c r="I444" s="223" t="str">
        <f t="array" ref="I444:I445">{"SPELL/ALC L02";(IF(D445="Alchemy","L02",(IF(D445="Spells","S01",""))))}</f>
        <v>SPELL/ALC L02</v>
      </c>
      <c r="J444" s="223" t="str">
        <f t="array" ref="J444:J445">{"SPELL/ALC L03";(IF(D445="Alchemy","L03",(IF(D445="Spells","S02",""))))}</f>
        <v>SPELL/ALC L03</v>
      </c>
      <c r="K444" s="223" t="str">
        <f t="array" ref="K444:K445">{"SPELL/ALC L04";(IF(D445="Alchemy","L04",(IF(D445="Spells","S02",""))))}</f>
        <v>SPELL/ALC L04</v>
      </c>
      <c r="L444" s="223" t="str">
        <f t="array" ref="L444:L445">{"SPELL/ALC L05";(IF(D445="Alchemy","L05",(IF(D445="Spells","S03",""))))}</f>
        <v>SPELL/ALC L05</v>
      </c>
      <c r="M444" s="223" t="str">
        <f t="array" ref="M444:M445">{"SPELL/ALC L06";(IF(D445="Alchemy","L06",(IF(D445="Spells","S03",""))))}</f>
        <v>SPELL/ALC L06</v>
      </c>
      <c r="N444" s="223" t="str">
        <f t="array" ref="N444:N445">{"SPELL/ALC L07";(IF(D445="Alchemy","L07",(IF(D445="Spells","S04",""))))}</f>
        <v>SPELL/ALC L07</v>
      </c>
      <c r="O444" s="223" t="str">
        <f t="array" ref="O444:O445">{"SPELL/ALC L08";(IF(D445="Alchemy","L08",(IF(D445="Spells","S04",""))))}</f>
        <v>SPELL/ALC L08</v>
      </c>
      <c r="P444" s="223" t="str">
        <f t="array" ref="P444:P445">{"SPELL/ALC L09";(IF(D445="Alchemy","L09",(IF(D445="Spells","S05",""))))}</f>
        <v>SPELL/ALC L09</v>
      </c>
      <c r="Q444" s="223" t="str">
        <f t="array" ref="Q444:Q445">{"SPELL/ALC L10";(IF(D445="Alchemy","L10",(IF(D445="Spells","S05",""))))}</f>
        <v>SPELL/ALC L10</v>
      </c>
      <c r="R444" s="223" t="str">
        <f t="array" ref="R444:R445">{"SPELL/ALC L11";(IF(D445="Alchemy","L11",(IF(D445="Spells","S06",""))))}</f>
        <v>SPELL/ALC L11</v>
      </c>
      <c r="S444" s="223" t="str">
        <f t="array" ref="S444:S445">{"SPELL/ALC L12";(IF(D445="Alchemy","L12",(IF(D445="Spells","S06",""))))}</f>
        <v>SPELL/ALC L12</v>
      </c>
      <c r="T444" s="223" t="str">
        <f t="array" ref="T444:T445">{"SPELL/ALC L13";(IF(D445="Alchemy","L13",(IF(D445="Spells","S07",""))))}</f>
        <v>SPELL/ALC L13</v>
      </c>
      <c r="U444" s="223" t="str">
        <f t="array" ref="U444:U445">{"SPELL/ALC L14";(IF(D445="Alchemy","L14",(IF(D445="Spells","S07",""))))}</f>
        <v>SPELL/ALC L14</v>
      </c>
      <c r="V444" s="223" t="str">
        <f t="array" ref="V444:V445">{"SPELL/ALC L15";(IF(D445="Alchemy","L15",(IF(D445="Spells","S08",""))))}</f>
        <v>SPELL/ALC L15</v>
      </c>
      <c r="W444" s="223" t="str">
        <f t="array" ref="W444:W445">{"SPELL/ALC L16";(IF(D445="Alchemy","L16",(IF(D445="Spells","S08",""))))}</f>
        <v>SPELL/ALC L16</v>
      </c>
      <c r="X444" s="223" t="str">
        <f t="array" ref="X444:X445">{"SPELL/ALC L17";(IF(D445="Alchemy","L17",(IF(D445="Spells","S09",""))))}</f>
        <v>SPELL/ALC L17</v>
      </c>
      <c r="Y444" s="223" t="str">
        <f t="array" ref="Y444:Y445">{"SPELL/ALC L18";(IF(D445="Alchemy","L18",(IF(D445="Spells","S09",""))))}</f>
        <v>SPELL/ALC L18</v>
      </c>
      <c r="Z444" s="223" t="str">
        <f t="array" ref="Z444:Z445">{"SPELL/ALC L19";(IF(D445="Alchemy","L19",(IF(D445="Spells","S10",""))))}</f>
        <v>SPELL/ALC L19</v>
      </c>
      <c r="AA444" s="223" t="str">
        <f t="array" ref="AA444:AA445">{"SPELL/ALC L20";(IF(D445="Alchemy","L20",(IF(D445="Spells","S10",""))))}</f>
        <v>SPELL/ALC L20</v>
      </c>
      <c r="AB444" s="76"/>
      <c r="AC444" s="76"/>
    </row>
    <row r="445">
      <c r="A445" s="48" t="s">
        <v>124</v>
      </c>
      <c r="B445" s="48"/>
      <c r="C445" s="48" t="s">
        <v>413</v>
      </c>
      <c r="D445" s="48" t="s">
        <v>603</v>
      </c>
      <c r="E445" s="48" t="s">
        <v>603</v>
      </c>
      <c r="F445" s="278" t="s">
        <v>603</v>
      </c>
      <c r="G445" s="114" t="s">
        <v>603</v>
      </c>
      <c r="H445" s="279" t="s">
        <v>603</v>
      </c>
      <c r="I445" s="28" t="s">
        <v>603</v>
      </c>
      <c r="J445" s="28" t="s">
        <v>603</v>
      </c>
      <c r="K445" s="28" t="s">
        <v>603</v>
      </c>
      <c r="L445" s="28" t="s">
        <v>603</v>
      </c>
      <c r="M445" s="28" t="s">
        <v>603</v>
      </c>
      <c r="N445" s="28" t="s">
        <v>603</v>
      </c>
      <c r="O445" s="28" t="s">
        <v>603</v>
      </c>
      <c r="P445" s="28" t="s">
        <v>603</v>
      </c>
      <c r="Q445" s="28" t="s">
        <v>603</v>
      </c>
      <c r="R445" s="28" t="s">
        <v>603</v>
      </c>
      <c r="S445" s="28" t="s">
        <v>603</v>
      </c>
      <c r="T445" s="28" t="s">
        <v>603</v>
      </c>
      <c r="U445" s="28" t="s">
        <v>603</v>
      </c>
      <c r="V445" s="28" t="s">
        <v>603</v>
      </c>
      <c r="W445" s="28" t="s">
        <v>603</v>
      </c>
      <c r="X445" s="28" t="s">
        <v>603</v>
      </c>
      <c r="Y445" s="28" t="s">
        <v>603</v>
      </c>
      <c r="Z445" s="28" t="s">
        <v>603</v>
      </c>
      <c r="AA445" s="28" t="s">
        <v>603</v>
      </c>
      <c r="AB445" s="5"/>
      <c r="AC445" s="47"/>
    </row>
    <row r="446" hidden="1">
      <c r="A446" s="222" t="str">
        <f t="array" ref="A446:A447">{"FormulaRow40";(INDEX(CLASSLIST,A367,1))}</f>
        <v>FormulaRow40</v>
      </c>
      <c r="B446" s="77" t="s">
        <v>236</v>
      </c>
      <c r="C446" s="222" t="str">
        <f t="array" ref="C446:C447">{"CLASSTYPE";((INDEX(ALLCLASSDATA,MATCH("ClassType",CLASSFEATUREHEADERS,0),MATCH($A447,CLASSNAMEHEADERS,0))))}</f>
        <v>CLASSTYPE</v>
      </c>
      <c r="D446" s="222" t="str">
        <f t="array" ref="D446:D447">{"SPELL/ALCHEMY";((IF(INDEX(ALLCLASSDATA,MATCH("CasterType",CLASSFEATUREHEADERS,0),MATCH(($A447),CLASSNAMEHEADERS,0))="","",(IF(INDEX(ALLCLASSDATA,MATCH("CasterType",CLASSFEATUREHEADERS,0),MATCH(($A447),CLASSNAMEHEADERS,0))="Alchemy","","Spells")))))}</f>
        <v>SPELL/ALCHEMY</v>
      </c>
      <c r="E446" s="222" t="str">
        <f t="array" ref="E446:E447">{"SPELLLIST";(IF(D447="Spells",((INDEX(ALLCLASSDATA,MATCH("CasterType",CLASSFEATUREHEADERS,0),MATCH(($A447),CLASSNAMEHEADERS,0))) &amp; ":" &amp; (INDEX(ALLCLASSDATA,MATCH("SpellList",CLASSFEATUREHEADERS,0),MATCH(($A447),CLASSNAMEHEADERS,0)))),""))}</f>
        <v>SPELLLIST</v>
      </c>
      <c r="F446" s="222" t="str">
        <f t="array" ref="F446:F447">{"SLOTCOST";(IF(D447="Spells","SlotCost:",""))}</f>
        <v>SLOTCOST</v>
      </c>
      <c r="G446" s="222" t="str">
        <f t="array" ref="G446:G447">{"SLOTCOST CANTRIP";(INDEX(ALLCLASSDATA,MATCH("CantripSlots-L00",CLASSFEATUREHEADERS,0),MATCH(($A447 &amp; "Points"),CLASSNAMEHEADERS,0)))}</f>
        <v>SLOTCOST CANTRIP</v>
      </c>
      <c r="H446" s="222" t="str">
        <f t="array" ref="H446:H447">{"SLOTCOST L01";(INDEX(ALLCLASSDATA,MATCH("SPL01-L01",CLASSFEATUREHEADERS,0),MATCH(($A447 &amp; "Points"),CLASSNAMEHEADERS,0)))}</f>
        <v>SLOTCOST L01</v>
      </c>
      <c r="I446" s="222" t="str">
        <f t="array" ref="I446:I447">{"SLOTCOST L02";(INDEX(ALLCLASSDATA,MATCH("SPL01-L02",CLASSFEATUREHEADERS,0),MATCH(($A447 &amp; "Points"),CLASSNAMEHEADERS,0)))}</f>
        <v>SLOTCOST L02</v>
      </c>
      <c r="J446" s="222" t="str">
        <f t="array" ref="J446:J447">{"SLOTCOST L03";(INDEX(ALLCLASSDATA,MATCH("SPL02-L03",CLASSFEATUREHEADERS,0),MATCH(($A447 &amp; "Points"),CLASSNAMEHEADERS,0)))}</f>
        <v>SLOTCOST L03</v>
      </c>
      <c r="K446" s="222" t="str">
        <f t="array" ref="K446:K447">{"SLOTCOST L04";(INDEX(ALLCLASSDATA,MATCH("SPL02-L04",CLASSFEATUREHEADERS,0),MATCH(($A447 &amp; "Points"),CLASSNAMEHEADERS,0)))}</f>
        <v>SLOTCOST L04</v>
      </c>
      <c r="L446" s="222" t="str">
        <f t="array" ref="L446:L447">{"SLOTCOST L05";(INDEX(ALLCLASSDATA,MATCH("SPL03-L05",CLASSFEATUREHEADERS,0),MATCH(($A447 &amp; "Points"),CLASSNAMEHEADERS,0)))}</f>
        <v>SLOTCOST L05</v>
      </c>
      <c r="M446" s="222" t="str">
        <f t="array" ref="M446:M447">{"SLOTCOST L06";(INDEX(ALLCLASSDATA,MATCH("SPL03-L06",CLASSFEATUREHEADERS,0),MATCH(($A447 &amp; "Points"),CLASSNAMEHEADERS,0)))}</f>
        <v>SLOTCOST L06</v>
      </c>
      <c r="N446" s="222" t="str">
        <f t="array" ref="N446:N447">{"SLOTCOST L07";(INDEX(ALLCLASSDATA,MATCH("SPL04-L07",CLASSFEATUREHEADERS,0),MATCH(($A447 &amp; "Points"),CLASSNAMEHEADERS,0)))}</f>
        <v>SLOTCOST L07</v>
      </c>
      <c r="O446" s="222" t="str">
        <f t="array" ref="O446:O447">{"SLOTCOST L08";(INDEX(ALLCLASSDATA,MATCH("SPL04-L08",CLASSFEATUREHEADERS,0),MATCH(($A447 &amp; "Points"),CLASSNAMEHEADERS,0)))}</f>
        <v>SLOTCOST L08</v>
      </c>
      <c r="P446" s="222" t="str">
        <f t="array" ref="P446:P447">{"SLOTCOST L09";(INDEX(ALLCLASSDATA,MATCH("SPL05-L09",CLASSFEATUREHEADERS,0),MATCH(($A447 &amp; "Points"),CLASSNAMEHEADERS,0)))}</f>
        <v>SLOTCOST L09</v>
      </c>
      <c r="Q446" s="222" t="str">
        <f t="array" ref="Q446:Q447">{"SLOTCOST L10";(INDEX(ALLCLASSDATA,MATCH("SPL05-L10",CLASSFEATUREHEADERS,0),MATCH(($A447 &amp; "Points"),CLASSNAMEHEADERS,0)))}</f>
        <v>SLOTCOST L10</v>
      </c>
      <c r="R446" s="222" t="str">
        <f t="array" ref="R446:R447">{"SLOTCOST L11";(INDEX(ALLCLASSDATA,MATCH("SPL06-L11",CLASSFEATUREHEADERS,0),MATCH(($A447 &amp; "Points"),CLASSNAMEHEADERS,0)))}</f>
        <v>SLOTCOST L11</v>
      </c>
      <c r="S446" s="222" t="str">
        <f t="array" ref="S446:S447">{"SLOTCOST L12";(INDEX(ALLCLASSDATA,MATCH("SPL06-L12",CLASSFEATUREHEADERS,0),MATCH(($A447 &amp; "Points"),CLASSNAMEHEADERS,0)))}</f>
        <v>SLOTCOST L12</v>
      </c>
      <c r="T446" s="222" t="str">
        <f t="array" ref="T446:T447">{"SLOTCOST L13";(INDEX(ALLCLASSDATA,MATCH("SPL07-L13",CLASSFEATUREHEADERS,0),MATCH(($A447 &amp; "Points"),CLASSNAMEHEADERS,0)))}</f>
        <v>SLOTCOST L13</v>
      </c>
      <c r="U446" s="222" t="str">
        <f t="array" ref="U446:U447">{"SLOTCOST L14";(INDEX(ALLCLASSDATA,MATCH("SPL07-L14",CLASSFEATUREHEADERS,0),MATCH(($A447 &amp; "Points"),CLASSNAMEHEADERS,0)))}</f>
        <v>SLOTCOST L14</v>
      </c>
      <c r="V446" s="222" t="str">
        <f t="array" ref="V446:V447">{"SLOTCOST L15";(INDEX(ALLCLASSDATA,MATCH("SPL08-L15",CLASSFEATUREHEADERS,0),MATCH(($A447 &amp; "Points"),CLASSNAMEHEADERS,0)))}</f>
        <v>SLOTCOST L15</v>
      </c>
      <c r="W446" s="222" t="str">
        <f t="array" ref="W446:W447">{"SLOTCOST L16";(INDEX(ALLCLASSDATA,MATCH("SPL08-L16",CLASSFEATUREHEADERS,0),MATCH(($A447 &amp; "Points"),CLASSNAMEHEADERS,0)))}</f>
        <v>SLOTCOST L16</v>
      </c>
      <c r="X446" s="222" t="str">
        <f t="array" ref="X446:X447">{"SLOTCOST L17";(INDEX(ALLCLASSDATA,MATCH("SPL09-L17",CLASSFEATUREHEADERS,0),MATCH(($A447 &amp; "Points"),CLASSNAMEHEADERS,0)))}</f>
        <v>SLOTCOST L17</v>
      </c>
      <c r="Y446" s="222" t="str">
        <f t="array" ref="Y446:Y447">{"SLOTCOST L18";(INDEX(ALLCLASSDATA,MATCH("SPL09-L18",CLASSFEATUREHEADERS,0),MATCH(($A447 &amp; "Points"),CLASSNAMEHEADERS,0)))}</f>
        <v>SLOTCOST L18</v>
      </c>
      <c r="Z446" s="222" t="str">
        <f t="array" ref="Z446:Z447">{"SLOTCOST L19";(INDEX(ALLCLASSDATA,MATCH("SPL10-L19",CLASSFEATUREHEADERS,0),MATCH(($A447 &amp; "Points"),CLASSNAMEHEADERS,0)))}</f>
        <v>SLOTCOST L19</v>
      </c>
      <c r="AA446" s="222" t="str">
        <f t="array" ref="AA446:AA447">{"SLOTCOST L20";(INDEX(ALLCLASSDATA,MATCH("SPL10-L20",CLASSFEATUREHEADERS,0),MATCH(($A447 &amp; "Points"),CLASSNAMEHEADERS,0)))}</f>
        <v>SLOTCOST L20</v>
      </c>
      <c r="AB446" s="76"/>
      <c r="AC446" s="76" t="str">
        <f t="array" ref="AC446:AC447">{"SLOT TOTAL";(sum(G447:AA447))}</f>
        <v>SLOT TOTAL</v>
      </c>
    </row>
    <row r="447">
      <c r="A447" s="48" t="s">
        <v>124</v>
      </c>
      <c r="B447" s="48"/>
      <c r="C447" s="48" t="s">
        <v>413</v>
      </c>
      <c r="D447" s="48" t="s">
        <v>603</v>
      </c>
      <c r="E447" s="48" t="s">
        <v>603</v>
      </c>
      <c r="F447" s="278" t="s">
        <v>603</v>
      </c>
      <c r="G447" s="47" t="s">
        <v>603</v>
      </c>
      <c r="H447" s="5" t="s">
        <v>603</v>
      </c>
      <c r="I447" s="5" t="s">
        <v>603</v>
      </c>
      <c r="J447" s="5" t="s">
        <v>603</v>
      </c>
      <c r="K447" s="5" t="s">
        <v>603</v>
      </c>
      <c r="L447" s="5" t="s">
        <v>603</v>
      </c>
      <c r="M447" s="48" t="s">
        <v>603</v>
      </c>
      <c r="N447" s="5" t="s">
        <v>603</v>
      </c>
      <c r="O447" s="5" t="s">
        <v>603</v>
      </c>
      <c r="P447" s="5" t="s">
        <v>603</v>
      </c>
      <c r="Q447" s="5" t="s">
        <v>603</v>
      </c>
      <c r="R447" s="5" t="s">
        <v>603</v>
      </c>
      <c r="S447" s="5" t="s">
        <v>603</v>
      </c>
      <c r="T447" s="5" t="s">
        <v>603</v>
      </c>
      <c r="U447" s="5" t="s">
        <v>603</v>
      </c>
      <c r="V447" s="5" t="s">
        <v>603</v>
      </c>
      <c r="W447" s="5" t="s">
        <v>603</v>
      </c>
      <c r="X447" s="5" t="s">
        <v>603</v>
      </c>
      <c r="Y447" s="5" t="s">
        <v>603</v>
      </c>
      <c r="Z447" s="5" t="s">
        <v>603</v>
      </c>
      <c r="AA447" s="5" t="s">
        <v>603</v>
      </c>
      <c r="AB447" s="5"/>
      <c r="AC447" s="47">
        <v>0.0</v>
      </c>
    </row>
    <row r="448" hidden="1">
      <c r="A448" s="222" t="str">
        <f t="array" ref="A448:A449">{"FormulaRow41";(INDEX(CLASSLIST,A367,1))}</f>
        <v>FormulaRow41</v>
      </c>
      <c r="B448" s="77" t="s">
        <v>236</v>
      </c>
      <c r="C448" s="222" t="str">
        <f t="array" ref="C448:C449">{"CLASSTYPE";((INDEX(ALLCLASSDATA,MATCH("ClassType",CLASSFEATUREHEADERS,0),MATCH($A449,CLASSNAMEHEADERS,0))))}</f>
        <v>CLASSTYPE</v>
      </c>
      <c r="D448" s="222" t="str">
        <f t="array" ref="D448:D449">{"SPELL/ALCHEMY";((IF(INDEX(ALLCLASSDATA,MATCH("CasterType",CLASSFEATUREHEADERS,0),MATCH(($A449),CLASSNAMEHEADERS,0))="","",(IF(INDEX(ALLCLASSDATA,MATCH("CasterType",CLASSFEATUREHEADERS,0),MATCH(($A449),CLASSNAMEHEADERS,0))="Alchemy","Alchemy","Spells")))))}</f>
        <v>SPELL/ALCHEMY</v>
      </c>
      <c r="E448" s="222" t="str">
        <f t="array" ref="E448:E449">{"SPELLLIST";(IF(D449="Spells",((INDEX(ALLCLASSDATA,MATCH("CasterType",CLASSFEATUREHEADERS,0),MATCH(($A449),CLASSNAMEHEADERS,0))) &amp; ":" &amp; (INDEX(ALLCLASSDATA,MATCH("SpellList",CLASSFEATUREHEADERS,0),MATCH(($A449),CLASSNAMEHEADERS,0)))),""))}</f>
        <v>SPELLLIST</v>
      </c>
      <c r="F448" s="223" t="str">
        <f t="array" ref="F448:F449">{"LEARNEDCOST";(IF(D449="","","LearnCost:"))}</f>
        <v>LEARNEDCOST</v>
      </c>
      <c r="G448" s="223" t="str">
        <f t="array" ref="G448:G449">{"LEARNED CANTRIPS";(INDEX(ALLCLASSDATA,MATCH("CantripsLearned-L00",CLASSFEATUREHEADERS,0),MATCH(($A449 &amp; "Points"),CLASSNAMEHEADERS,0)))}</f>
        <v>LEARNED CANTRIPS</v>
      </c>
      <c r="H448" s="223" t="str">
        <f t="array" ref="H448:H449">{"LEARNED L01";(INDEX(ALLCLASSDATA,MATCH("Learned-L01",CLASSFEATUREHEADERS,0),MATCH(($A449 &amp; "Points"),CLASSNAMEHEADERS,0)))}</f>
        <v>LEARNED L01</v>
      </c>
      <c r="I448" s="223" t="str">
        <f t="array" ref="I448:I449">{"LEARNED L02";(INDEX(ALLCLASSDATA,MATCH("Learned-L02",CLASSFEATUREHEADERS,0),MATCH(($A449 &amp; "Points"),CLASSNAMEHEADERS,0)))}</f>
        <v>LEARNED L02</v>
      </c>
      <c r="J448" s="223" t="str">
        <f t="array" ref="J448:J449">{"LEARNED L03";(INDEX(ALLCLASSDATA,MATCH("Learned-L03",CLASSFEATUREHEADERS,0),MATCH(($A449 &amp; "Points"),CLASSNAMEHEADERS,0)))}</f>
        <v>LEARNED L03</v>
      </c>
      <c r="K448" s="223" t="str">
        <f t="array" ref="K448:K449">{"LEARNED L04";(INDEX(ALLCLASSDATA,MATCH("Learned-L04",CLASSFEATUREHEADERS,0),MATCH(($A449 &amp; "Points"),CLASSNAMEHEADERS,0)))}</f>
        <v>LEARNED L04</v>
      </c>
      <c r="L448" s="223" t="str">
        <f t="array" ref="L448:L449">{"LEARNED L05";(INDEX(ALLCLASSDATA,MATCH("Learned-L05",CLASSFEATUREHEADERS,0),MATCH(($A449 &amp; "Points"),CLASSNAMEHEADERS,0)))}</f>
        <v>LEARNED L05</v>
      </c>
      <c r="M448" s="223" t="str">
        <f t="array" ref="M448:M449">{"LEARNED L06";(INDEX(ALLCLASSDATA,MATCH("Learned-L06",CLASSFEATUREHEADERS,0),MATCH(($A449 &amp; "Points"),CLASSNAMEHEADERS,0)))}</f>
        <v>LEARNED L06</v>
      </c>
      <c r="N448" s="223" t="str">
        <f t="array" ref="N448:N449">{"LEARNED L07";(INDEX(ALLCLASSDATA,MATCH("Learned-L07",CLASSFEATUREHEADERS,0),MATCH(($A449 &amp; "Points"),CLASSNAMEHEADERS,0)))}</f>
        <v>LEARNED L07</v>
      </c>
      <c r="O448" s="223" t="str">
        <f t="array" ref="O448:O449">{"LEARNED L08";(INDEX(ALLCLASSDATA,MATCH("Learned-L08",CLASSFEATUREHEADERS,0),MATCH(($A449 &amp; "Points"),CLASSNAMEHEADERS,0)))}</f>
        <v>LEARNED L08</v>
      </c>
      <c r="P448" s="223" t="str">
        <f t="array" ref="P448:P449">{"LEARNED L09";(INDEX(ALLCLASSDATA,MATCH("Learned-L09",CLASSFEATUREHEADERS,0),MATCH(($A449 &amp; "Points"),CLASSNAMEHEADERS,0)))}</f>
        <v>LEARNED L09</v>
      </c>
      <c r="Q448" s="223" t="str">
        <f t="array" ref="Q448:Q449">{"LEARNED L10";(INDEX(ALLCLASSDATA,MATCH("Learned-L10",CLASSFEATUREHEADERS,0),MATCH(($A449 &amp; "Points"),CLASSNAMEHEADERS,0)))}</f>
        <v>LEARNED L10</v>
      </c>
      <c r="R448" s="223" t="str">
        <f t="array" ref="R448:R449">{"LEARNED L11";(INDEX(ALLCLASSDATA,MATCH("Learned-L11",CLASSFEATUREHEADERS,0),MATCH(($A449 &amp; "Points"),CLASSNAMEHEADERS,0)))}</f>
        <v>LEARNED L11</v>
      </c>
      <c r="S448" s="223" t="str">
        <f t="array" ref="S448:S449">{"LEARNED L12";(INDEX(ALLCLASSDATA,MATCH("Learned-L12",CLASSFEATUREHEADERS,0),MATCH(($A449 &amp; "Points"),CLASSNAMEHEADERS,0)))}</f>
        <v>LEARNED L12</v>
      </c>
      <c r="T448" s="223" t="str">
        <f t="array" ref="T448:T449">{"LEARNED L13";(INDEX(ALLCLASSDATA,MATCH("Learned-L13",CLASSFEATUREHEADERS,0),MATCH(($A449 &amp; "Points"),CLASSNAMEHEADERS,0)))}</f>
        <v>LEARNED L13</v>
      </c>
      <c r="U448" s="223" t="str">
        <f t="array" ref="U448:U449">{"LEARNED L14";(INDEX(ALLCLASSDATA,MATCH("Learned-L14",CLASSFEATUREHEADERS,0),MATCH(($A449 &amp; "Points"),CLASSNAMEHEADERS,0)))}</f>
        <v>LEARNED L14</v>
      </c>
      <c r="V448" s="223" t="str">
        <f t="array" ref="V448:V449">{"LEARNED L15";(INDEX(ALLCLASSDATA,MATCH("Learned-L15",CLASSFEATUREHEADERS,0),MATCH(($A449 &amp; "Points"),CLASSNAMEHEADERS,0)))}</f>
        <v>LEARNED L15</v>
      </c>
      <c r="W448" s="223" t="str">
        <f t="array" ref="W448:W449">{"LEARNED L16";(INDEX(ALLCLASSDATA,MATCH("Learned-L16",CLASSFEATUREHEADERS,0),MATCH(($A449 &amp; "Points"),CLASSNAMEHEADERS,0)))}</f>
        <v>LEARNED L16</v>
      </c>
      <c r="X448" s="223" t="str">
        <f t="array" ref="X448:X449">{"LEARNED L17";(INDEX(ALLCLASSDATA,MATCH("Learned-L17",CLASSFEATUREHEADERS,0),MATCH(($A449 &amp; "Points"),CLASSNAMEHEADERS,0)))}</f>
        <v>LEARNED L17</v>
      </c>
      <c r="Y448" s="223" t="str">
        <f t="array" ref="Y448:Y449">{"LEARNED L18";(INDEX(ALLCLASSDATA,MATCH("Learned-L18",CLASSFEATUREHEADERS,0),MATCH(($A449 &amp; "Points"),CLASSNAMEHEADERS,0)))}</f>
        <v>LEARNED L18</v>
      </c>
      <c r="Z448" s="223" t="str">
        <f t="array" ref="Z448:Z449">{"LEARNED L19";(INDEX(ALLCLASSDATA,MATCH("Learned-L19",CLASSFEATUREHEADERS,0),MATCH(($A449 &amp; "Points"),CLASSNAMEHEADERS,0)))}</f>
        <v>LEARNED L19</v>
      </c>
      <c r="AA448" s="223" t="str">
        <f t="array" ref="AA448:AA449">{"LEARNED L20";(INDEX(ALLCLASSDATA,MATCH("Learned-L20",CLASSFEATUREHEADERS,0),MATCH(($A449 &amp; "Points"),CLASSNAMEHEADERS,0)))}</f>
        <v>LEARNED L20</v>
      </c>
      <c r="AB448" s="76"/>
      <c r="AC448" s="76" t="str">
        <f t="array" ref="AC448:AC449">{"LEARNED TOTAL";(sum(G449:AA449))}</f>
        <v>LEARNED TOTAL</v>
      </c>
    </row>
    <row r="449">
      <c r="A449" s="48" t="s">
        <v>124</v>
      </c>
      <c r="B449" s="48"/>
      <c r="C449" s="48" t="s">
        <v>413</v>
      </c>
      <c r="D449" s="48" t="s">
        <v>603</v>
      </c>
      <c r="E449" s="48" t="s">
        <v>603</v>
      </c>
      <c r="F449" s="278" t="s">
        <v>603</v>
      </c>
      <c r="G449" s="47" t="s">
        <v>603</v>
      </c>
      <c r="H449" s="5" t="s">
        <v>603</v>
      </c>
      <c r="I449" s="5" t="s">
        <v>603</v>
      </c>
      <c r="J449" s="5" t="s">
        <v>603</v>
      </c>
      <c r="K449" s="5" t="s">
        <v>603</v>
      </c>
      <c r="L449" s="5" t="s">
        <v>603</v>
      </c>
      <c r="M449" s="5" t="s">
        <v>603</v>
      </c>
      <c r="N449" s="48" t="s">
        <v>603</v>
      </c>
      <c r="O449" s="5" t="s">
        <v>603</v>
      </c>
      <c r="P449" s="5" t="s">
        <v>603</v>
      </c>
      <c r="Q449" s="5" t="s">
        <v>603</v>
      </c>
      <c r="R449" s="5" t="s">
        <v>603</v>
      </c>
      <c r="S449" s="5" t="s">
        <v>603</v>
      </c>
      <c r="T449" s="5" t="s">
        <v>603</v>
      </c>
      <c r="U449" s="5" t="s">
        <v>603</v>
      </c>
      <c r="V449" s="5" t="s">
        <v>603</v>
      </c>
      <c r="W449" s="5" t="s">
        <v>603</v>
      </c>
      <c r="X449" s="5" t="s">
        <v>603</v>
      </c>
      <c r="Y449" s="5" t="s">
        <v>603</v>
      </c>
      <c r="Z449" s="5" t="s">
        <v>603</v>
      </c>
      <c r="AA449" s="5" t="s">
        <v>603</v>
      </c>
      <c r="AB449" s="5"/>
      <c r="AC449" s="47">
        <v>0.0</v>
      </c>
    </row>
    <row r="450" hidden="1">
      <c r="A450" s="222" t="str">
        <f t="array" ref="A450:A451">{"FormulaRow42";(INDEX(CLASSLIST,A367,1))}</f>
        <v>FormulaRow42</v>
      </c>
      <c r="B450" s="77" t="s">
        <v>236</v>
      </c>
      <c r="C450" s="222" t="str">
        <f t="array" ref="C450:C451">{"CLASSTYPE";((INDEX(ALLCLASSDATA,MATCH("ClassType",CLASSFEATUREHEADERS,0),MATCH($A451,CLASSNAMEHEADERS,0))))}</f>
        <v>CLASSTYPE</v>
      </c>
      <c r="D450" s="222" t="str">
        <f t="array" ref="D450:D451">{"SPELL/ALCHEMY";((IF(INDEX(ALLCLASSDATA,MATCH("CasterType",CLASSFEATUREHEADERS,0),MATCH(($A451),CLASSNAMEHEADERS,0))="","",(IF(INDEX(ALLCLASSDATA,MATCH("CasterType",CLASSFEATUREHEADERS,0),MATCH(($A451),CLASSNAMEHEADERS,0))="Alchemy","","Spells")))))}</f>
        <v>SPELL/ALCHEMY</v>
      </c>
      <c r="E450" s="222" t="str">
        <f t="array" ref="E450:E451">{"SPELLLIST";(IF(D451="Spells",((INDEX(ALLCLASSDATA,MATCH("CasterType",CLASSFEATUREHEADERS,0),MATCH(($A451),CLASSNAMEHEADERS,0))) &amp; ":" &amp; (INDEX(ALLCLASSDATA,MATCH("SpellList",CLASSFEATUREHEADERS,0),MATCH(($A451),CLASSNAMEHEADERS,0)))),""))}</f>
        <v>SPELLLIST</v>
      </c>
      <c r="F450" s="223" t="str">
        <f t="array" ref="F450:F451">{"SLOT/LVL";(IF(D445="Spells","Slot/LVL:",""))}</f>
        <v>SLOT/LVL</v>
      </c>
      <c r="G450" s="223" t="str">
        <f t="array" ref="G450:G451">{"CANTRIPSLOTS";(INDEX(ALLCLASSDATA,MATCH("CantripSlots-L00",CLASSFEATUREHEADERS,0),MATCH($A451,CLASSNAMEHEADERS,0)))}</f>
        <v>CANTRIPSLOTS</v>
      </c>
      <c r="H450" s="223" t="str">
        <f t="array" ref="H450:H451">{"SPL01-L01";(INDEX(ALLCLASSDATA,MATCH("SPL01-L01",CLASSFEATUREHEADERS,0),MATCH($A451,CLASSNAMEHEADERS,0)))}</f>
        <v>SPL01-L01</v>
      </c>
      <c r="I450" s="223" t="str">
        <f t="array" ref="I450:I451">{"SPL01-L02";(INDEX(ALLCLASSDATA,MATCH("SPL01-L02",CLASSFEATUREHEADERS,0),MATCH($A451,CLASSNAMEHEADERS,0)))}</f>
        <v>SPL01-L02</v>
      </c>
      <c r="J450" s="223" t="str">
        <f t="array" ref="J450:J451">{"SPL02-L03";(INDEX(ALLCLASSDATA,MATCH("SPL02-L03",CLASSFEATUREHEADERS,0),MATCH($A451,CLASSNAMEHEADERS,0)))}</f>
        <v>SPL02-L03</v>
      </c>
      <c r="K450" s="223" t="str">
        <f t="array" ref="K450:K451">{"SPL02-L04";(INDEX(ALLCLASSDATA,MATCH("SPL02-L04",CLASSFEATUREHEADERS,0),MATCH($A451,CLASSNAMEHEADERS,0)))}</f>
        <v>SPL02-L04</v>
      </c>
      <c r="L450" s="223" t="str">
        <f t="array" ref="L450:L451">{"SPL03-L05";(INDEX(ALLCLASSDATA,MATCH("SPL03-L05",CLASSFEATUREHEADERS,0),MATCH($A451,CLASSNAMEHEADERS,0)))}</f>
        <v>SPL03-L05</v>
      </c>
      <c r="M450" s="223" t="str">
        <f t="array" ref="M450:M451">{"SPL03-L06";(INDEX(ALLCLASSDATA,MATCH("SPL03-L06",CLASSFEATUREHEADERS,0),MATCH($A451,CLASSNAMEHEADERS,0)))}</f>
        <v>SPL03-L06</v>
      </c>
      <c r="N450" s="223" t="str">
        <f t="array" ref="N450:N451">{"SPL04-L07";(INDEX(ALLCLASSDATA,MATCH("SPL04-L07",CLASSFEATUREHEADERS,0),MATCH($A451,CLASSNAMEHEADERS,0)))}</f>
        <v>SPL04-L07</v>
      </c>
      <c r="O450" s="223" t="str">
        <f t="array" ref="O450:O451">{"SPL04-L08";(INDEX(ALLCLASSDATA,MATCH("SPL04-L08",CLASSFEATUREHEADERS,0),MATCH($A451,CLASSNAMEHEADERS,0)))}</f>
        <v>SPL04-L08</v>
      </c>
      <c r="P450" s="223" t="str">
        <f t="array" ref="P450:P451">{"SPL05-L09";(INDEX(ALLCLASSDATA,MATCH("SPL05-L09",CLASSFEATUREHEADERS,0),MATCH($A451,CLASSNAMEHEADERS,0)))}</f>
        <v>SPL05-L09</v>
      </c>
      <c r="Q450" s="223" t="str">
        <f t="array" ref="Q450:Q451">{"SPL05-L10";(INDEX(ALLCLASSDATA,MATCH("SPL05-L10",CLASSFEATUREHEADERS,0),MATCH($A451,CLASSNAMEHEADERS,0)))}</f>
        <v>SPL05-L10</v>
      </c>
      <c r="R450" s="223" t="str">
        <f t="array" ref="R450:R451">{"SPL06-L11";(INDEX(ALLCLASSDATA,MATCH("SPL06-L11",CLASSFEATUREHEADERS,0),MATCH($A451,CLASSNAMEHEADERS,0)))}</f>
        <v>SPL06-L11</v>
      </c>
      <c r="S450" s="223" t="str">
        <f t="array" ref="S450:S451">{"SPL06-L12";(INDEX(ALLCLASSDATA,MATCH("SPL06-L12",CLASSFEATUREHEADERS,0),MATCH($A451,CLASSNAMEHEADERS,0)))}</f>
        <v>SPL06-L12</v>
      </c>
      <c r="T450" s="223" t="str">
        <f t="array" ref="T450:T451">{"SPL07-L13";(INDEX(ALLCLASSDATA,MATCH("SPL07-L13",CLASSFEATUREHEADERS,0),MATCH($A451,CLASSNAMEHEADERS,0)))}</f>
        <v>SPL07-L13</v>
      </c>
      <c r="U450" s="223" t="str">
        <f t="array" ref="U450:U451">{"SPL07-L14";(INDEX(ALLCLASSDATA,MATCH("SPL07-L14",CLASSFEATUREHEADERS,0),MATCH($A451,CLASSNAMEHEADERS,0)))}</f>
        <v>SPL07-L14</v>
      </c>
      <c r="V450" s="223" t="str">
        <f t="array" ref="V450:V451">{"SPL08-L15";(INDEX(ALLCLASSDATA,MATCH("SPL08-L15",CLASSFEATUREHEADERS,0),MATCH($A451,CLASSNAMEHEADERS,0)))}</f>
        <v>SPL08-L15</v>
      </c>
      <c r="W450" s="223" t="str">
        <f t="array" ref="W450:W451">{"SPL08-L16";(INDEX(ALLCLASSDATA,MATCH("SPL08-L16",CLASSFEATUREHEADERS,0),MATCH($A451,CLASSNAMEHEADERS,0)))}</f>
        <v>SPL08-L16</v>
      </c>
      <c r="X450" s="223" t="str">
        <f t="array" ref="X450:X451">{"SPL09-L17";(INDEX(ALLCLASSDATA,MATCH("SPL09-L17",CLASSFEATUREHEADERS,0),MATCH($A451,CLASSNAMEHEADERS,0)))}</f>
        <v>SPL09-L17</v>
      </c>
      <c r="Y450" s="223" t="str">
        <f t="array" ref="Y450:Y451">{"SPL09-L18";(INDEX(ALLCLASSDATA,MATCH("SPL09-L18",CLASSFEATUREHEADERS,0),MATCH($A451,CLASSNAMEHEADERS,0)))}</f>
        <v>SPL09-L18</v>
      </c>
      <c r="Z450" s="223" t="str">
        <f t="array" ref="Z450:Z451">{"SPL10-L19";(INDEX(ALLCLASSDATA,MATCH("SPL10-L19",CLASSFEATUREHEADERS,0),MATCH($A451,CLASSNAMEHEADERS,0)))}</f>
        <v>SPL10-L19</v>
      </c>
      <c r="AA450" s="223" t="str">
        <f t="array" ref="AA450:AA451">{"SPL10-L20";(INDEX(ALLCLASSDATA,MATCH("SPL10-L20",CLASSFEATUREHEADERS,0),MATCH($A451,CLASSNAMEHEADERS,0)))}</f>
        <v>SPL10-L20</v>
      </c>
      <c r="AB450" s="76"/>
      <c r="AC450" s="76"/>
    </row>
    <row r="451">
      <c r="A451" s="48" t="s">
        <v>124</v>
      </c>
      <c r="B451" s="48"/>
      <c r="C451" s="48" t="s">
        <v>413</v>
      </c>
      <c r="D451" s="48" t="s">
        <v>603</v>
      </c>
      <c r="E451" s="48" t="s">
        <v>603</v>
      </c>
      <c r="F451" s="278" t="s">
        <v>603</v>
      </c>
      <c r="G451" s="280"/>
      <c r="H451" s="50"/>
      <c r="I451" s="50"/>
      <c r="J451" s="50"/>
      <c r="K451" s="50"/>
      <c r="L451" s="50"/>
      <c r="M451" s="50"/>
      <c r="N451" s="50"/>
      <c r="O451" s="50"/>
      <c r="P451" s="50"/>
      <c r="Q451" s="50"/>
      <c r="R451" s="50"/>
      <c r="S451" s="50"/>
      <c r="T451" s="50"/>
      <c r="U451" s="50"/>
      <c r="V451" s="50"/>
      <c r="W451" s="50"/>
      <c r="X451" s="50"/>
      <c r="Y451" s="50"/>
      <c r="Z451" s="50"/>
      <c r="AA451" s="50"/>
      <c r="AB451" s="278"/>
      <c r="AC451" s="47"/>
    </row>
    <row r="452" hidden="1">
      <c r="A452" s="222" t="str">
        <f t="array" ref="A452:A453">{"FormulaRow43";(INDEX(CLASSLIST,A367,1))}</f>
        <v>FormulaRow43</v>
      </c>
      <c r="B452" s="77" t="s">
        <v>236</v>
      </c>
      <c r="C452" s="222" t="str">
        <f t="array" ref="C452:C453">{"CLASSTYPE";((INDEX(ALLCLASSDATA,MATCH("ClassType",CLASSFEATUREHEADERS,0),MATCH($A453,CLASSNAMEHEADERS,0))))}</f>
        <v>CLASSTYPE</v>
      </c>
      <c r="D452" s="222" t="str">
        <f t="array" ref="D452:D453">{"SPELL/ALCHEMY";((IF(INDEX(ALLCLASSDATA,MATCH("CasterType",CLASSFEATUREHEADERS,0),MATCH(($A453),CLASSNAMEHEADERS,0))="","",(IF(INDEX(ALLCLASSDATA,MATCH("CasterType",CLASSFEATUREHEADERS,0),MATCH(($A453),CLASSNAMEHEADERS,0))="Alchemy","Alchemy","Spells")))))}</f>
        <v>SPELL/ALCHEMY</v>
      </c>
      <c r="E452" s="222" t="str">
        <f t="array" ref="E452:E453">{"SPELLLIST";(IF(D453="Spells",((INDEX(ALLCLASSDATA,MATCH("CasterType",CLASSFEATUREHEADERS,0),MATCH(($A453),CLASSNAMEHEADERS,0))) &amp; ":" &amp; (INDEX(ALLCLASSDATA,MATCH("SpellList",CLASSFEATUREHEADERS,0),MATCH(($A453),CLASSNAMEHEADERS,0)))),""))}</f>
        <v>SPELLLIST</v>
      </c>
      <c r="F452" s="223" t="str">
        <f t="array" ref="F452:F453">{"LEARNED/LVL";(IF(D453="","","Learn/LVL:"))}</f>
        <v>LEARNED/LVL</v>
      </c>
      <c r="G452" s="223" t="str">
        <f t="array" ref="G452:G453">{"LEARNEDCANTRIPS";(INDEX(ALLCLASSDATA,MATCH("CantripsLearned-L00",CLASSFEATUREHEADERS,0),MATCH($A453,CLASSNAMEHEADERS,0)))}</f>
        <v>LEARNEDCANTRIPS</v>
      </c>
      <c r="H452" s="223" t="str">
        <f t="array" ref="H452:H453">{"LEARNED L01";(INDEX(ALLCLASSDATA,MATCH("Learned-L01",CLASSFEATUREHEADERS,0),MATCH($A453,CLASSNAMEHEADERS,0)))}</f>
        <v>LEARNED L01</v>
      </c>
      <c r="I452" s="223" t="str">
        <f t="array" ref="I452:I453">{"LEARNED L02";(INDEX(ALLCLASSDATA,MATCH("Learned-L02",CLASSFEATUREHEADERS,0),MATCH($A453,CLASSNAMEHEADERS,0)))}</f>
        <v>LEARNED L02</v>
      </c>
      <c r="J452" s="223" t="str">
        <f t="array" ref="J452:J453">{"LEARNED L03";(INDEX(ALLCLASSDATA,MATCH("Learned-L03",CLASSFEATUREHEADERS,0),MATCH($A453,CLASSNAMEHEADERS,0)))}</f>
        <v>LEARNED L03</v>
      </c>
      <c r="K452" s="223" t="str">
        <f t="array" ref="K452:K453">{"LEARNED L04";(INDEX(ALLCLASSDATA,MATCH("Learned-L04",CLASSFEATUREHEADERS,0),MATCH($A453,CLASSNAMEHEADERS,0)))}</f>
        <v>LEARNED L04</v>
      </c>
      <c r="L452" s="223" t="str">
        <f t="array" ref="L452:L453">{"LEARNED L05";(INDEX(ALLCLASSDATA,MATCH("Learned-L05",CLASSFEATUREHEADERS,0),MATCH($A453,CLASSNAMEHEADERS,0)))}</f>
        <v>LEARNED L05</v>
      </c>
      <c r="M452" s="223" t="str">
        <f t="array" ref="M452:M453">{"LEARNED L06";(INDEX(ALLCLASSDATA,MATCH("Learned-L06",CLASSFEATUREHEADERS,0),MATCH($A453,CLASSNAMEHEADERS,0)))}</f>
        <v>LEARNED L06</v>
      </c>
      <c r="N452" s="223" t="str">
        <f t="array" ref="N452:N453">{"LEARNED L07";(INDEX(ALLCLASSDATA,MATCH("Learned-L07",CLASSFEATUREHEADERS,0),MATCH($A453,CLASSNAMEHEADERS,0)))}</f>
        <v>LEARNED L07</v>
      </c>
      <c r="O452" s="223" t="str">
        <f t="array" ref="O452:O453">{"LEARNED L08";(INDEX(ALLCLASSDATA,MATCH("Learned-L08",CLASSFEATUREHEADERS,0),MATCH($A453,CLASSNAMEHEADERS,0)))}</f>
        <v>LEARNED L08</v>
      </c>
      <c r="P452" s="223" t="str">
        <f t="array" ref="P452:P453">{"LEARNED L09";(INDEX(ALLCLASSDATA,MATCH("Learned-L09",CLASSFEATUREHEADERS,0),MATCH($A453,CLASSNAMEHEADERS,0)))}</f>
        <v>LEARNED L09</v>
      </c>
      <c r="Q452" s="223" t="str">
        <f t="array" ref="Q452:Q453">{"LEARNED L10";(INDEX(ALLCLASSDATA,MATCH("Learned-L10",CLASSFEATUREHEADERS,0),MATCH($A453,CLASSNAMEHEADERS,0)))}</f>
        <v>LEARNED L10</v>
      </c>
      <c r="R452" s="223" t="str">
        <f t="array" ref="R452:R453">{"LEARNED L11";(INDEX(ALLCLASSDATA,MATCH("Learned-L11",CLASSFEATUREHEADERS,0),MATCH($A453,CLASSNAMEHEADERS,0)))}</f>
        <v>LEARNED L11</v>
      </c>
      <c r="S452" s="223" t="str">
        <f t="array" ref="S452:S453">{"LEARNED L12";(INDEX(ALLCLASSDATA,MATCH("Learned-L12",CLASSFEATUREHEADERS,0),MATCH($A453,CLASSNAMEHEADERS,0)))}</f>
        <v>LEARNED L12</v>
      </c>
      <c r="T452" s="223" t="str">
        <f t="array" ref="T452:T453">{"LEARNED L13";(INDEX(ALLCLASSDATA,MATCH("Learned-L13",CLASSFEATUREHEADERS,0),MATCH($A453,CLASSNAMEHEADERS,0)))}</f>
        <v>LEARNED L13</v>
      </c>
      <c r="U452" s="223" t="str">
        <f t="array" ref="U452:U453">{"LEARNED L14";(INDEX(ALLCLASSDATA,MATCH("Learned-L14",CLASSFEATUREHEADERS,0),MATCH($A453,CLASSNAMEHEADERS,0)))}</f>
        <v>LEARNED L14</v>
      </c>
      <c r="V452" s="223" t="str">
        <f t="array" ref="V452:V453">{"LEARNED L15";(INDEX(ALLCLASSDATA,MATCH("Learned-L15",CLASSFEATUREHEADERS,0),MATCH($A453,CLASSNAMEHEADERS,0)))}</f>
        <v>LEARNED L15</v>
      </c>
      <c r="W452" s="223" t="str">
        <f t="array" ref="W452:W453">{"LEARNED L16";(INDEX(ALLCLASSDATA,MATCH("Learned-L16",CLASSFEATUREHEADERS,0),MATCH($A453,CLASSNAMEHEADERS,0)))}</f>
        <v>LEARNED L16</v>
      </c>
      <c r="X452" s="223" t="str">
        <f t="array" ref="X452:X453">{"LEARNED L17";(INDEX(ALLCLASSDATA,MATCH("Learned-L17",CLASSFEATUREHEADERS,0),MATCH($A453,CLASSNAMEHEADERS,0)))}</f>
        <v>LEARNED L17</v>
      </c>
      <c r="Y452" s="223" t="str">
        <f t="array" ref="Y452:Y453">{"LEARNED L18";(INDEX(ALLCLASSDATA,MATCH("Learned-L18",CLASSFEATUREHEADERS,0),MATCH($A453,CLASSNAMEHEADERS,0)))}</f>
        <v>LEARNED L18</v>
      </c>
      <c r="Z452" s="223" t="str">
        <f t="array" ref="Z452:Z453">{"LEARNED L19";(INDEX(ALLCLASSDATA,MATCH("Learned-L19",CLASSFEATUREHEADERS,0),MATCH($A453,CLASSNAMEHEADERS,0)))}</f>
        <v>LEARNED L19</v>
      </c>
      <c r="AA452" s="223" t="str">
        <f t="array" ref="AA452:AA453">{"LEARNED L20";(INDEX(ALLCLASSDATA,MATCH("Learned-L20",CLASSFEATUREHEADERS,0),MATCH($A453,CLASSNAMEHEADERS,0)))}</f>
        <v>LEARNED L20</v>
      </c>
      <c r="AB452" s="76"/>
      <c r="AC452" s="76"/>
    </row>
    <row r="453">
      <c r="A453" s="48" t="s">
        <v>124</v>
      </c>
      <c r="B453" s="48"/>
      <c r="C453" s="48" t="s">
        <v>413</v>
      </c>
      <c r="D453" s="48" t="s">
        <v>603</v>
      </c>
      <c r="E453" s="48" t="s">
        <v>603</v>
      </c>
      <c r="F453" s="278" t="s">
        <v>603</v>
      </c>
      <c r="G453" s="280"/>
      <c r="H453" s="278"/>
      <c r="I453" s="278"/>
      <c r="J453" s="278"/>
      <c r="K453" s="278"/>
      <c r="L453" s="278"/>
      <c r="M453" s="278"/>
      <c r="N453" s="278"/>
      <c r="O453" s="50"/>
      <c r="P453" s="278"/>
      <c r="Q453" s="278"/>
      <c r="R453" s="278"/>
      <c r="S453" s="278"/>
      <c r="T453" s="278"/>
      <c r="U453" s="278"/>
      <c r="V453" s="278"/>
      <c r="W453" s="278"/>
      <c r="X453" s="278"/>
      <c r="Y453" s="278"/>
      <c r="Z453" s="278"/>
      <c r="AA453" s="278"/>
      <c r="AB453" s="278"/>
      <c r="AC453" s="47"/>
    </row>
    <row r="454" hidden="1">
      <c r="A454" s="222" t="str">
        <f t="array" ref="A454:A455">{"FormulaRow44";(INDEX(CLASSLIST,A367,1))}</f>
        <v>FormulaRow44</v>
      </c>
      <c r="B454" s="77" t="s">
        <v>236</v>
      </c>
      <c r="C454" s="222" t="str">
        <f t="array" ref="C454:C455">{"CLASSTYPE";((INDEX(ALLCLASSDATA,MATCH("ClassType",CLASSFEATUREHEADERS,0),MATCH($A455,CLASSNAMEHEADERS,0))))}</f>
        <v>CLASSTYPE</v>
      </c>
      <c r="D454" s="222" t="str">
        <f t="array" ref="D454:D455">{"SPELL/ALCHEMY";((IF(INDEX(ALLCLASSDATA,MATCH("CasterType",CLASSFEATUREHEADERS,0),MATCH(($A455),CLASSNAMEHEADERS,0))="","",(IF(INDEX(ALLCLASSDATA,MATCH("CasterType",CLASSFEATUREHEADERS,0),MATCH(($A455),CLASSNAMEHEADERS,0))="Alchemy","","Spells")))))}</f>
        <v>SPELL/ALCHEMY</v>
      </c>
      <c r="E454" s="222" t="str">
        <f t="array" ref="E454:E455">{"SPELLLIST";(IF(D455="Spells",((INDEX(ALLCLASSDATA,MATCH("CasterType",CLASSFEATUREHEADERS,0),MATCH(($A455),CLASSNAMEHEADERS,0))) &amp; ":" &amp; (INDEX(ALLCLASSDATA,MATCH("SpellList",CLASSFEATUREHEADERS,0),MATCH(($A455),CLASSNAMEHEADERS,0)))),""))}</f>
        <v>SPELLLIST</v>
      </c>
      <c r="F454" s="223" t="str">
        <f t="array" ref="F454:F455">{"TOTALSLOTS";(IF(D455="","","TotalSlots:"))}</f>
        <v>TOTALSLOTS</v>
      </c>
      <c r="G454" s="223" t="str">
        <f t="array" ref="G454:G455">{"TOTALCANTRIPSLOTS";(G451)}</f>
        <v>TOTALCANTRIPSLOTS</v>
      </c>
      <c r="H454" s="223" t="str">
        <f t="array" ref="H454:H455">{"TOTALSLOTS L01";(H451)}</f>
        <v>TOTALSLOTS L01</v>
      </c>
      <c r="I454" s="223" t="str">
        <f t="array" ref="I454:I455">{"TOTALSLOTS L02";(H455+I451)}</f>
        <v>TOTALSLOTS L02</v>
      </c>
      <c r="J454" s="223" t="str">
        <f t="array" ref="J454:J455">{"TOTALSLOTS L03";(I455+J451)}</f>
        <v>TOTALSLOTS L03</v>
      </c>
      <c r="K454" s="223" t="str">
        <f t="array" ref="K454:K455">{"TOTALSLOTS L04";(J455+K451)}</f>
        <v>TOTALSLOTS L04</v>
      </c>
      <c r="L454" s="223" t="str">
        <f t="array" ref="L454:L455">{"TOTALSLOTS L05";(K455+L451)}</f>
        <v>TOTALSLOTS L05</v>
      </c>
      <c r="M454" s="223" t="str">
        <f t="array" ref="M454:M455">{"TOTALSLOTS L06";(L455+M451)}</f>
        <v>TOTALSLOTS L06</v>
      </c>
      <c r="N454" s="223" t="str">
        <f t="array" ref="N454:N455">{"TOTALSLOTS L07";(M455+N451)}</f>
        <v>TOTALSLOTS L07</v>
      </c>
      <c r="O454" s="223" t="str">
        <f t="array" ref="O454:O455">{"TOTALSLOTS L08";(N455+O451)}</f>
        <v>TOTALSLOTS L08</v>
      </c>
      <c r="P454" s="223" t="str">
        <f t="array" ref="P454:P455">{"TOTALSLOTS L09";(O455+P451)}</f>
        <v>TOTALSLOTS L09</v>
      </c>
      <c r="Q454" s="223" t="str">
        <f t="array" ref="Q454:Q455">{"TOTALSLOTS L10";(P455+Q451)}</f>
        <v>TOTALSLOTS L10</v>
      </c>
      <c r="R454" s="223" t="str">
        <f t="array" ref="R454:R455">{"TOTALSLOTS L11";(Q455+R451)}</f>
        <v>TOTALSLOTS L11</v>
      </c>
      <c r="S454" s="223" t="str">
        <f t="array" ref="S454:S455">{"TOTALSLOTS L12";(R455+S451)}</f>
        <v>TOTALSLOTS L12</v>
      </c>
      <c r="T454" s="223" t="str">
        <f t="array" ref="T454:T455">{"TOTALSLOTS L13";(S455+T451)}</f>
        <v>TOTALSLOTS L13</v>
      </c>
      <c r="U454" s="223" t="str">
        <f t="array" ref="U454:U455">{"TOTALSLOTS L14";(T455+U451)}</f>
        <v>TOTALSLOTS L14</v>
      </c>
      <c r="V454" s="223" t="str">
        <f t="array" ref="V454:V455">{"TOTALSLOTS L15";(U455+V451)}</f>
        <v>TOTALSLOTS L15</v>
      </c>
      <c r="W454" s="223" t="str">
        <f t="array" ref="W454:W455">{"TOTALSLOTS L16";(V455+W451)}</f>
        <v>TOTALSLOTS L16</v>
      </c>
      <c r="X454" s="223" t="str">
        <f t="array" ref="X454:X455">{"TOTALSLOTS L17";(W455+X451)}</f>
        <v>TOTALSLOTS L17</v>
      </c>
      <c r="Y454" s="223" t="str">
        <f t="array" ref="Y454:Y455">{"TOTALSLOTS L18";(X455+Y451)}</f>
        <v>TOTALSLOTS L18</v>
      </c>
      <c r="Z454" s="223" t="str">
        <f t="array" ref="Z454:Z455">{"TOTALSLOTS L19";(Y455+Z451)}</f>
        <v>TOTALSLOTS L19</v>
      </c>
      <c r="AA454" s="223" t="str">
        <f t="array" ref="AA454:AA455">{"TOTALSLOTS L20";(Z455+AA451)}</f>
        <v>TOTALSLOTS L20</v>
      </c>
      <c r="AB454" s="76"/>
      <c r="AC454" s="76"/>
    </row>
    <row r="455">
      <c r="A455" s="48" t="s">
        <v>124</v>
      </c>
      <c r="B455" s="48"/>
      <c r="C455" s="48" t="s">
        <v>413</v>
      </c>
      <c r="D455" s="48" t="s">
        <v>603</v>
      </c>
      <c r="E455" s="48" t="s">
        <v>603</v>
      </c>
      <c r="F455" s="278" t="s">
        <v>603</v>
      </c>
      <c r="G455" s="280"/>
      <c r="H455" s="278"/>
      <c r="I455" s="278">
        <v>0.0</v>
      </c>
      <c r="J455" s="278">
        <v>0.0</v>
      </c>
      <c r="K455" s="278">
        <v>0.0</v>
      </c>
      <c r="L455" s="278">
        <v>0.0</v>
      </c>
      <c r="M455" s="278">
        <v>0.0</v>
      </c>
      <c r="N455" s="278">
        <v>0.0</v>
      </c>
      <c r="O455" s="278">
        <v>0.0</v>
      </c>
      <c r="P455" s="278">
        <v>0.0</v>
      </c>
      <c r="Q455" s="278">
        <v>0.0</v>
      </c>
      <c r="R455" s="278">
        <v>0.0</v>
      </c>
      <c r="S455" s="278">
        <v>0.0</v>
      </c>
      <c r="T455" s="278">
        <v>0.0</v>
      </c>
      <c r="U455" s="278">
        <v>0.0</v>
      </c>
      <c r="V455" s="278">
        <v>0.0</v>
      </c>
      <c r="W455" s="278">
        <v>0.0</v>
      </c>
      <c r="X455" s="278">
        <v>0.0</v>
      </c>
      <c r="Y455" s="278">
        <v>0.0</v>
      </c>
      <c r="Z455" s="278">
        <v>0.0</v>
      </c>
      <c r="AA455" s="278">
        <v>0.0</v>
      </c>
      <c r="AB455" s="5"/>
      <c r="AC455" s="47"/>
    </row>
    <row r="456" hidden="1">
      <c r="A456" s="222" t="str">
        <f t="array" ref="A456:A457">{"FormulaRow45";(INDEX(CLASSLIST,A367,1))}</f>
        <v>FormulaRow45</v>
      </c>
      <c r="B456" s="77" t="s">
        <v>236</v>
      </c>
      <c r="C456" s="222" t="str">
        <f t="array" ref="C456:C457">{"CLASSTYPE";((INDEX(ALLCLASSDATA,MATCH("ClassType",CLASSFEATUREHEADERS,0),MATCH($A457,CLASSNAMEHEADERS,0))))}</f>
        <v>CLASSTYPE</v>
      </c>
      <c r="D456" s="222" t="str">
        <f t="array" ref="D456:D457">{"SPELL/ALCHEMY";((IF(INDEX(ALLCLASSDATA,MATCH("CasterType",CLASSFEATUREHEADERS,0),MATCH(($A457),CLASSNAMEHEADERS,0))="","",(IF(INDEX(ALLCLASSDATA,MATCH("CasterType",CLASSFEATUREHEADERS,0),MATCH(($A457),CLASSNAMEHEADERS,0))="Alchemy","Alchemy","Spells")))))}</f>
        <v>SPELL/ALCHEMY</v>
      </c>
      <c r="E456" s="222" t="str">
        <f t="array" ref="E456:E457">{"SPELLLIST";(IF(D457="Spells",((INDEX(ALLCLASSDATA,MATCH("CasterType",CLASSFEATUREHEADERS,0),MATCH(($A457),CLASSNAMEHEADERS,0))) &amp; ":" &amp; (INDEX(ALLCLASSDATA,MATCH("SpellList",CLASSFEATUREHEADERS,0),MATCH(($A457),CLASSNAMEHEADERS,0)))),""))}</f>
        <v>SPELLLIST</v>
      </c>
      <c r="F456" s="223" t="str">
        <f t="array" ref="F456:F457">{"TOTALLEARNED";(IF(D457="","","TotalLearned:"))}</f>
        <v>TOTALLEARNED</v>
      </c>
      <c r="G456" s="223" t="str">
        <f t="array" ref="G456:G457">{"TOTALCANTRIPSLEARNED";(G453)}</f>
        <v>TOTALCANTRIPSLEARNED</v>
      </c>
      <c r="H456" s="223" t="str">
        <f t="array" ref="H456:H457">{"TOTALLEARNED L01";(H453)}</f>
        <v>TOTALLEARNED L01</v>
      </c>
      <c r="I456" s="223" t="str">
        <f t="array" ref="I456:I457">{"TOTALLEARNED L02";(H457+I453)}</f>
        <v>TOTALLEARNED L02</v>
      </c>
      <c r="J456" s="223" t="str">
        <f t="array" ref="J456:J457">{"TOTALLEARNED L03";(I457+J453)}</f>
        <v>TOTALLEARNED L03</v>
      </c>
      <c r="K456" s="223" t="str">
        <f t="array" ref="K456:K457">{"TOTALLEARNED L04";(J457+K453)}</f>
        <v>TOTALLEARNED L04</v>
      </c>
      <c r="L456" s="223" t="str">
        <f t="array" ref="L456:L457">{"TOTALLEARNED L05";(K457+L453)}</f>
        <v>TOTALLEARNED L05</v>
      </c>
      <c r="M456" s="223" t="str">
        <f t="array" ref="M456:M457">{"TOTALLEARNED L06";(L457+M453)}</f>
        <v>TOTALLEARNED L06</v>
      </c>
      <c r="N456" s="223" t="str">
        <f t="array" ref="N456:N457">{"TOTALLEARNED L07";(M457+N453)}</f>
        <v>TOTALLEARNED L07</v>
      </c>
      <c r="O456" s="223" t="str">
        <f t="array" ref="O456:O457">{"TOTALLEARNED L08";(N457+O453)}</f>
        <v>TOTALLEARNED L08</v>
      </c>
      <c r="P456" s="223" t="str">
        <f t="array" ref="P456:P457">{"TOTALLEARNED L09";(O457+P453)}</f>
        <v>TOTALLEARNED L09</v>
      </c>
      <c r="Q456" s="223" t="str">
        <f t="array" ref="Q456:Q457">{"TOTALLEARNED L10";(P457+Q453)}</f>
        <v>TOTALLEARNED L10</v>
      </c>
      <c r="R456" s="223" t="str">
        <f t="array" ref="R456:R457">{"TOTALLEARNED L11";(Q457+R453)}</f>
        <v>TOTALLEARNED L11</v>
      </c>
      <c r="S456" s="223" t="str">
        <f t="array" ref="S456:S457">{"TOTALLEARNED L12";(R457+S453)}</f>
        <v>TOTALLEARNED L12</v>
      </c>
      <c r="T456" s="223" t="str">
        <f t="array" ref="T456:T457">{"TOTALLEARNED L13";(S457+T453)}</f>
        <v>TOTALLEARNED L13</v>
      </c>
      <c r="U456" s="223" t="str">
        <f t="array" ref="U456:U457">{"TOTALLEARNED L14";(T457+U453)}</f>
        <v>TOTALLEARNED L14</v>
      </c>
      <c r="V456" s="223" t="str">
        <f t="array" ref="V456:V457">{"TOTALLEARNED L15";(U457+V453)}</f>
        <v>TOTALLEARNED L15</v>
      </c>
      <c r="W456" s="223" t="str">
        <f t="array" ref="W456:W457">{"TOTALLEARNED L16";(V457+W453)}</f>
        <v>TOTALLEARNED L16</v>
      </c>
      <c r="X456" s="223" t="str">
        <f t="array" ref="X456:X457">{"TOTALLEARNED L17";(W457+X453)}</f>
        <v>TOTALLEARNED L17</v>
      </c>
      <c r="Y456" s="223" t="str">
        <f t="array" ref="Y456:Y457">{"TOTALLEARNED L18";(X457+Y453)}</f>
        <v>TOTALLEARNED L18</v>
      </c>
      <c r="Z456" s="223" t="str">
        <f t="array" ref="Z456:Z457">{"TOTALLEARNED L19";(Y457+Z453)}</f>
        <v>TOTALLEARNED L19</v>
      </c>
      <c r="AA456" s="223" t="str">
        <f t="array" ref="AA456:AA457">{"TOTALLEARNED L20";(Z457+AA453)}</f>
        <v>TOTALLEARNED L20</v>
      </c>
      <c r="AB456" s="76"/>
      <c r="AC456" s="76"/>
    </row>
    <row r="457">
      <c r="A457" s="97" t="s">
        <v>124</v>
      </c>
      <c r="B457" s="97"/>
      <c r="C457" s="97" t="s">
        <v>413</v>
      </c>
      <c r="D457" s="97" t="s">
        <v>603</v>
      </c>
      <c r="E457" s="97" t="s">
        <v>603</v>
      </c>
      <c r="F457" s="281" t="s">
        <v>603</v>
      </c>
      <c r="G457" s="282"/>
      <c r="H457" s="278"/>
      <c r="I457" s="278">
        <v>0.0</v>
      </c>
      <c r="J457" s="278">
        <v>0.0</v>
      </c>
      <c r="K457" s="278">
        <v>0.0</v>
      </c>
      <c r="L457" s="278">
        <v>0.0</v>
      </c>
      <c r="M457" s="278">
        <v>0.0</v>
      </c>
      <c r="N457" s="278">
        <v>0.0</v>
      </c>
      <c r="O457" s="278">
        <v>0.0</v>
      </c>
      <c r="P457" s="278">
        <v>0.0</v>
      </c>
      <c r="Q457" s="278">
        <v>0.0</v>
      </c>
      <c r="R457" s="278">
        <v>0.0</v>
      </c>
      <c r="S457" s="278">
        <v>0.0</v>
      </c>
      <c r="T457" s="278">
        <v>0.0</v>
      </c>
      <c r="U457" s="278">
        <v>0.0</v>
      </c>
      <c r="V457" s="278">
        <v>0.0</v>
      </c>
      <c r="W457" s="278">
        <v>0.0</v>
      </c>
      <c r="X457" s="278">
        <v>0.0</v>
      </c>
      <c r="Y457" s="278">
        <v>0.0</v>
      </c>
      <c r="Z457" s="278">
        <v>0.0</v>
      </c>
      <c r="AA457" s="278">
        <v>0.0</v>
      </c>
      <c r="AB457" s="5"/>
      <c r="AC457" s="47"/>
    </row>
    <row r="458">
      <c r="A458" s="55">
        <f>VLOOKUP($C458, CLASSNUMBERFINDER, 2, false)</f>
        <v>6</v>
      </c>
      <c r="B458" s="58"/>
      <c r="C458" s="70" t="s">
        <v>138</v>
      </c>
      <c r="D458" s="71"/>
      <c r="E458" s="71"/>
      <c r="F458" s="71"/>
      <c r="G458" s="72"/>
      <c r="H458" s="71"/>
      <c r="I458" s="71"/>
      <c r="J458" s="71"/>
      <c r="K458" s="71"/>
      <c r="L458" s="71"/>
      <c r="M458" s="71"/>
      <c r="N458" s="71"/>
      <c r="O458" s="71"/>
      <c r="P458" s="71"/>
      <c r="Q458" s="71"/>
      <c r="R458" s="71"/>
      <c r="S458" s="71"/>
      <c r="T458" s="71"/>
      <c r="U458" s="71"/>
      <c r="V458" s="71"/>
      <c r="W458" s="71"/>
      <c r="X458" s="71"/>
      <c r="Y458" s="71"/>
      <c r="Z458" s="71"/>
      <c r="AA458" s="71"/>
      <c r="AB458" s="71"/>
      <c r="AC458" s="73"/>
    </row>
    <row r="459" hidden="1">
      <c r="A459" s="76" t="str">
        <f t="array" ref="A459:A460">{"FormulaRow01";(INDEX(CLASSLIST,A458,1))}</f>
        <v>FormulaRow01</v>
      </c>
      <c r="B459" s="77" t="s">
        <v>236</v>
      </c>
      <c r="C459" s="76" t="str">
        <f t="array" ref="C459:C460">{"CLASSTYPE";(INDEX(ALLCLASSDATA,MATCH("ClassType",CLASSFEATUREHEADERS,0),MATCH($A460,CLASSNAMEHEADERS,0)))}</f>
        <v>CLASSTYPE</v>
      </c>
      <c r="D459" s="81" t="str">
        <f t="array" ref="D459:D460">{"TOTAL";("Total: " &amp; H460+J460+L460+N460+P460+R460+T460+V460+X460+Z460)}</f>
        <v>TOTAL</v>
      </c>
      <c r="E459" s="81" t="str">
        <f t="array" ref="E459:E460">{"BALANCE";(IF((H460+J460+L460+N460+P460+R460+T460+V460+X460+Z460)=2100,"(balanced)",(IF((H460+J460+L460+N460+P460+R460+T460+V460+X460+Z460)&gt;2100,"OVERBUDGET: ","UNDERBUDGET: ")) &amp; (H460+J460+L460+N460+P460+R460+T460+V460+X460+Z460-2100)))}</f>
        <v>BALANCE</v>
      </c>
      <c r="F459" s="81"/>
      <c r="G459" s="81"/>
      <c r="H459" s="81" t="str">
        <f t="array" ref="H459:H460">{"SUM LVL0/1/2";((SUMIF(F461:I540,"&lt;&gt;#REF!")+(SUMIF(J461:AA468,"&lt;&gt;#REF!"))))}</f>
        <v>SUM LVL0/1/2</v>
      </c>
      <c r="I459" s="81"/>
      <c r="J459" s="81" t="str">
        <f t="array" ref="J459:J460">{"SUM LVL3/4";(SUMIF(J469:K540,"&lt;&gt;#REF!"))}</f>
        <v>SUM LVL3/4</v>
      </c>
      <c r="K459" s="81"/>
      <c r="L459" s="81" t="str">
        <f t="array" ref="L459:L460">{"SUM LVL5/6";(SUMIF(L469:M540,"&lt;&gt;#REF!"))}</f>
        <v>SUM LVL5/6</v>
      </c>
      <c r="M459" s="81"/>
      <c r="N459" s="81" t="str">
        <f t="array" ref="N459:N460">{"SUM LVL7/8";(SUMIF(N469:O540,"&lt;&gt;#REF!"))}</f>
        <v>SUM LVL7/8</v>
      </c>
      <c r="O459" s="81"/>
      <c r="P459" s="81" t="str">
        <f t="array" ref="P459:P460">{"SUM LVL9/10";(SUMIF(P469:Q540,"&lt;&gt;#REF!"))}</f>
        <v>SUM LVL9/10</v>
      </c>
      <c r="Q459" s="81"/>
      <c r="R459" s="81" t="str">
        <f t="array" ref="R459:R460">{"SUM LVL11/12";(SUMIF(R469:S540,"&lt;&gt;#REF!"))}</f>
        <v>SUM LVL11/12</v>
      </c>
      <c r="S459" s="81"/>
      <c r="T459" s="81" t="str">
        <f t="array" ref="T459:T460">{"SUM LVL13/14";(SUMIF(T469:U540,"&lt;&gt;#REF!"))}</f>
        <v>SUM LVL13/14</v>
      </c>
      <c r="U459" s="81"/>
      <c r="V459" s="81" t="str">
        <f t="array" ref="V459:V460">{"SUM LVL15/16";(SUMIF(V469:W540,"&lt;&gt;#REF!"))}</f>
        <v>SUM LVL15/16</v>
      </c>
      <c r="W459" s="81"/>
      <c r="X459" s="81" t="str">
        <f t="array" ref="X459:X460">{"SUM LVL17/18";(SUMIF(X469:Y540,"&lt;&gt;#REF!"))}</f>
        <v>SUM LVL17/18</v>
      </c>
      <c r="Y459" s="81"/>
      <c r="Z459" s="81" t="str">
        <f t="array" ref="Z459:Z460">{"SUM LVL19/20";(SUMIF(Z469:AA540,"&lt;&gt;#REF!"))}</f>
        <v>SUM LVL19/20</v>
      </c>
      <c r="AA459" s="81"/>
      <c r="AB459" s="76"/>
      <c r="AC459" s="76" t="str">
        <f t="array" ref="AC459:AC460">{"SUM ROWTOTALS";(SUMIF(AC462:AC548,"&lt;&gt;#REF!"))}</f>
        <v>SUM ROWTOTALS</v>
      </c>
    </row>
    <row r="460">
      <c r="A460" s="48" t="s">
        <v>138</v>
      </c>
      <c r="B460" s="48"/>
      <c r="C460" s="48" t="s">
        <v>415</v>
      </c>
      <c r="D460" s="91" t="s">
        <v>416</v>
      </c>
      <c r="E460" s="92" t="s">
        <v>419</v>
      </c>
      <c r="F460" s="91"/>
      <c r="G460" s="93"/>
      <c r="H460" s="92">
        <v>440.0</v>
      </c>
      <c r="I460" s="92"/>
      <c r="J460" s="92">
        <v>40.0</v>
      </c>
      <c r="K460" s="92"/>
      <c r="L460" s="92">
        <v>110.0</v>
      </c>
      <c r="M460" s="92"/>
      <c r="N460" s="92">
        <v>300.0</v>
      </c>
      <c r="O460" s="92"/>
      <c r="P460" s="92">
        <v>70.0</v>
      </c>
      <c r="Q460" s="92"/>
      <c r="R460" s="92">
        <v>60.0</v>
      </c>
      <c r="S460" s="92"/>
      <c r="T460" s="92">
        <v>550.0</v>
      </c>
      <c r="U460" s="92"/>
      <c r="V460" s="92">
        <v>170.0</v>
      </c>
      <c r="W460" s="92"/>
      <c r="X460" s="92">
        <v>120.0</v>
      </c>
      <c r="Y460" s="92"/>
      <c r="Z460" s="92">
        <v>240.0</v>
      </c>
      <c r="AA460" s="92"/>
      <c r="AB460" s="5"/>
      <c r="AC460" s="47">
        <v>2100.0</v>
      </c>
    </row>
    <row r="461" hidden="1">
      <c r="A461" s="76" t="str">
        <f t="array" ref="A461:A462">{"FormulaRow02";(INDEX(CLASSLIST,A458,1))}</f>
        <v>FormulaRow02</v>
      </c>
      <c r="B461" s="77" t="s">
        <v>236</v>
      </c>
      <c r="C461" s="76" t="str">
        <f t="array" ref="C461:C462">{"CLASSTYPE";((INDEX(ALLCLASSDATA,MATCH("ClassType",CLASSFEATUREHEADERS,0),MATCH($A462,CLASSNAMEHEADERS,0))))}</f>
        <v>CLASSTYPE</v>
      </c>
      <c r="D461" s="81" t="str">
        <f t="array" ref="D461:D462">{"FEATURES";"Features"}</f>
        <v>FEATURES</v>
      </c>
      <c r="E461" s="81" t="str">
        <f t="array" ref="E461:E462">{"INITIALFEATURES";"Initial Features"}</f>
        <v>INITIALFEATURES</v>
      </c>
      <c r="F461" s="81" t="str">
        <f t="array" ref="F461:F462">{"KEY";"Key"}</f>
        <v>KEY</v>
      </c>
      <c r="G461" s="81" t="str">
        <f t="array" ref="G461:G462">{"HP";"HP"}</f>
        <v>HP</v>
      </c>
      <c r="H461" s="81" t="str">
        <f t="array" ref="H461:H462">{"CLASSFEATL01";"ClassFeatL01"}</f>
        <v>CLASSFEATL01</v>
      </c>
      <c r="I461" s="81" t="str">
        <f t="array" ref="I461:I462">{"SHIELDBLOCKL01";"ShieldBlockL01"}</f>
        <v>SHIELDBLOCKL01</v>
      </c>
      <c r="J461" s="81" t="str">
        <f t="array" ref="J461:J462">{"INITIALSKILLS";"InitialSkills"}</f>
        <v>INITIALSKILLS</v>
      </c>
      <c r="K461" s="81" t="str">
        <f t="array" ref="K461:K462">{"SUBCLASSSKILLS";"SubclassSkills"}</f>
        <v>SUBCLASSSKILLS</v>
      </c>
      <c r="L461" s="81" t="str">
        <f t="array" ref="L461:L462">{"GRANTEDSKILLS";"GrantedSkills"}</f>
        <v>GRANTEDSKILLS</v>
      </c>
      <c r="M461" s="81"/>
      <c r="N461" s="81"/>
      <c r="O461" s="81"/>
      <c r="P461" s="81" t="str">
        <f t="array" ref="P461:P462">{"FOCUSSPELLS";"FocusSpells:"}</f>
        <v>FOCUSSPELLS</v>
      </c>
      <c r="Q461" s="81" t="str">
        <f t="array" ref="Q461:Q462">{"FOCUSSPELL1-L00";((INDEX(ALLCLASSDATA,MATCH("FocusSpell1-L00",CLASSFEATUREHEADERS,0),MATCH(($A462),CLASSNAMEHEADERS,0))))}</f>
        <v>FOCUSSPELL1-L00</v>
      </c>
      <c r="R461" s="81" t="str">
        <f t="array" ref="R461:R462">{"FOCUSSPELL2-L00";((INDEX(ALLCLASSDATA,MATCH("FocusSpell2-L00",CLASSFEATUREHEADERS,0),MATCH(($A462),CLASSNAMEHEADERS,0))))}</f>
        <v>FOCUSSPELL2-L00</v>
      </c>
      <c r="S461" s="81" t="str">
        <f t="array" ref="S461:S462">{"FOCUSSPELL3-L00";((INDEX(ALLCLASSDATA,MATCH("FocusSpell3-L00",CLASSFEATUREHEADERS,0),MATCH(($A462),CLASSNAMEHEADERS,0))))}</f>
        <v>FOCUSSPELL3-L00</v>
      </c>
      <c r="T461" s="81" t="str">
        <f t="array" ref="T461:T462">{"FOCUSSPELL4-L00";((INDEX(ALLCLASSDATA,MATCH("FocusSpell4-L00",CLASSFEATUREHEADERS,0),MATCH(($A462),CLASSNAMEHEADERS,0))))}</f>
        <v>FOCUSSPELL4-L00</v>
      </c>
      <c r="U461" s="81" t="str">
        <f t="array" ref="U461:U462">{"FOCUSSPELL5-L00";((INDEX(ALLCLASSDATA,MATCH("FocusSpell5-L00",CLASSFEATUREHEADERS,0),MATCH(($A462),CLASSNAMEHEADERS,0))))}</f>
        <v>FOCUSSPELL5-L00</v>
      </c>
      <c r="V461" s="81"/>
      <c r="W461" s="81"/>
      <c r="X461" s="81"/>
      <c r="Y461" s="81"/>
      <c r="Z461" s="81"/>
      <c r="AA461" s="81"/>
      <c r="AB461" s="76"/>
      <c r="AC461" s="76"/>
    </row>
    <row r="462">
      <c r="A462" s="48" t="s">
        <v>138</v>
      </c>
      <c r="B462" s="48"/>
      <c r="C462" s="48" t="s">
        <v>415</v>
      </c>
      <c r="D462" s="48" t="s">
        <v>467</v>
      </c>
      <c r="E462" s="48" t="s">
        <v>468</v>
      </c>
      <c r="F462" s="48" t="s">
        <v>469</v>
      </c>
      <c r="G462" s="114" t="s">
        <v>15</v>
      </c>
      <c r="H462" s="8" t="s">
        <v>451</v>
      </c>
      <c r="I462" s="8" t="s">
        <v>463</v>
      </c>
      <c r="J462" s="8" t="s">
        <v>473</v>
      </c>
      <c r="K462" s="8" t="s">
        <v>474</v>
      </c>
      <c r="L462" s="8" t="s">
        <v>475</v>
      </c>
      <c r="M462" s="8"/>
      <c r="N462" s="8"/>
      <c r="O462" s="8"/>
      <c r="P462" s="8" t="s">
        <v>476</v>
      </c>
      <c r="Q462" s="116"/>
      <c r="R462" s="116"/>
      <c r="S462" s="116"/>
      <c r="T462" s="116"/>
      <c r="U462" s="116"/>
      <c r="V462" s="8"/>
      <c r="W462" s="8"/>
      <c r="X462" s="8"/>
      <c r="Y462" s="8"/>
      <c r="Z462" s="5"/>
      <c r="AA462" s="5"/>
      <c r="AB462" s="5"/>
      <c r="AC462" s="47"/>
    </row>
    <row r="463" hidden="1">
      <c r="A463" s="76" t="str">
        <f t="array" ref="A463:A464">{"FormulaRow03";(INDEX(CLASSLIST,A458,1))}</f>
        <v>FormulaRow03</v>
      </c>
      <c r="B463" s="77" t="s">
        <v>236</v>
      </c>
      <c r="C463" s="76" t="str">
        <f t="array" ref="C463:C464">{"CLASSTYPE";((INDEX(ALLCLASSDATA,MATCH("ClassType",CLASSFEATUREHEADERS,0),MATCH($A464,CLASSNAMEHEADERS,0))))}</f>
        <v>CLASSTYPE</v>
      </c>
      <c r="D463" s="76" t="str">
        <f t="array" ref="D463:D464">{"FEATUREPTS";"FeaturesPts"}</f>
        <v>FEATUREPTS</v>
      </c>
      <c r="E463" s="76" t="str">
        <f t="array" ref="E463:E464">{"INITIALFEATURES";"Initial Features"}</f>
        <v>INITIALFEATURES</v>
      </c>
      <c r="F463" s="76" t="str">
        <f t="array" ref="F463:F464">{"KEYABILITY";((INDEX(ALLCLASSDATA,MATCH("KEYABILITY",CLASSFEATUREHEADERS,0),MATCH($A464,CLASSNAMEHEADERS,0))))}</f>
        <v>KEYABILITY</v>
      </c>
      <c r="G463" s="76" t="str">
        <f t="array" ref="G463:G464">{"HP";((INDEX(ALLCLASSDATA,MATCH("HP",CLASSFEATUREHEADERS,0),MATCH(($A464 &amp; "Points"),CLASSNAMEHEADERS,0))))}</f>
        <v>HP</v>
      </c>
      <c r="H463" s="76" t="str">
        <f t="array" ref="H463:H464">{"CLASSFEATL01";((INDEX(ALLCLASSDATA,MATCH("ClassFeatL01",CLASSFEATUREHEADERS,0),MATCH(($A464 &amp; "Points"),CLASSNAMEHEADERS,0))))}</f>
        <v>CLASSFEATL01</v>
      </c>
      <c r="I463" s="76" t="str">
        <f t="array" ref="I463:I464">{"SHIELDBLOCKL01";((INDEX(ALLCLASSDATA,MATCH("ShieldBlockL01",CLASSFEATUREHEADERS,0),MATCH(($A464 &amp; "Points"),CLASSNAMEHEADERS,0))))}</f>
        <v>SHIELDBLOCKL01</v>
      </c>
      <c r="J463" s="76" t="str">
        <f t="array" ref="J463:J464">{"INITIALSKILLINCREASES";((INDEX(ALLCLASSDATA,MATCH("InitialSkillIncreases",CLASSFEATUREHEADERS,0),MATCH(($A464 &amp; "Points"),CLASSNAMEHEADERS,0))))}</f>
        <v>INITIALSKILLINCREASES</v>
      </c>
      <c r="K463" s="76" t="str">
        <f t="array" ref="K463:K464">{"SUBCLASSSKILLINCREASES";((INDEX(ALLCLASSDATA,MATCH("SubclassSkillIncreases",CLASSFEATUREHEADERS,0),MATCH(($A464 &amp; "Points"),CLASSNAMEHEADERS,0))))}</f>
        <v>SUBCLASSSKILLINCREASES</v>
      </c>
      <c r="L463" s="76" t="str">
        <f t="array" ref="L463:L464">{"GRANTEDSKILLS";(((INDEX(ALLCLASSDATA,MATCH("SkillsGrantedTotal",CLASSFEATUREHEADERS,0),MATCH(($A464 &amp; "Points"),CLASSNAMEHEADERS,0)))-(INDEX(ALLCLASSDATA,MATCH("InitialSkillIncreases",CLASSFEATUREHEADERS,0),MATCH(($A464 &amp; "Points"),CLASSNAMEHEADERS,0)))-(INDEX(ALLCLASSDATA,MATCH("SubclassSkillIncreases",CLASSFEATUREHEADERS,0),MATCH(($A464 &amp; "Points"),CLASSNAMEHEADERS,0)))))}</f>
        <v>GRANTEDSKILLS</v>
      </c>
      <c r="M463" s="76"/>
      <c r="N463" s="76"/>
      <c r="O463" s="76"/>
      <c r="P463" s="76"/>
      <c r="Q463" s="76" t="str">
        <f t="array" ref="Q463:Q464">{"FOCUSSPELL1-L00";((INDEX(ALLCLASSDATA,MATCH("FocusSpell1-L00",CLASSFEATUREHEADERS,0),MATCH(($A464 &amp; "Points"),CLASSNAMEHEADERS,0))))}</f>
        <v>FOCUSSPELL1-L00</v>
      </c>
      <c r="R463" s="76" t="str">
        <f t="array" ref="R463:R464">{"FOCUSSPELL2-L00";((INDEX(ALLCLASSDATA,MATCH("FocusSpell2-L00",CLASSFEATUREHEADERS,0),MATCH(($A464 &amp; "Points"),CLASSNAMEHEADERS,0))))}</f>
        <v>FOCUSSPELL2-L00</v>
      </c>
      <c r="S463" s="76" t="str">
        <f t="array" ref="S463:S464">{"FOCUSSPELL3-L00";((INDEX(ALLCLASSDATA,MATCH("FocusSpell3-L00",CLASSFEATUREHEADERS,0),MATCH(($A464 &amp; "Points"),CLASSNAMEHEADERS,0))))}</f>
        <v>FOCUSSPELL3-L00</v>
      </c>
      <c r="T463" s="76" t="str">
        <f t="array" ref="T463:T464">{"FOCUSSPELL4-L00";((INDEX(ALLCLASSDATA,MATCH("FocusSpell4-L00",CLASSFEATUREHEADERS,0),MATCH(($A464 &amp; "Points"),CLASSNAMEHEADERS,0))))}</f>
        <v>FOCUSSPELL4-L00</v>
      </c>
      <c r="U463" s="76" t="str">
        <f t="array" ref="U463:U464">{"FOCUSSPELL5-L00";((INDEX(ALLCLASSDATA,MATCH("FocusSpell5-L00",CLASSFEATUREHEADERS,0),MATCH(($A464 &amp; "Points"),CLASSNAMEHEADERS,0))))}</f>
        <v>FOCUSSPELL5-L00</v>
      </c>
      <c r="V463" s="76"/>
      <c r="W463" s="76"/>
      <c r="X463" s="76"/>
      <c r="Y463" s="76"/>
      <c r="Z463" s="76"/>
      <c r="AA463" s="76"/>
      <c r="AB463" s="76"/>
      <c r="AC463" s="76" t="str">
        <f t="array" ref="AC463:AC464">{"FEATUREPTS TOTAL";(sum(G464:AA464))}</f>
        <v>FEATUREPTS TOTAL</v>
      </c>
    </row>
    <row r="464">
      <c r="A464" s="48" t="s">
        <v>138</v>
      </c>
      <c r="B464" s="48"/>
      <c r="C464" s="48" t="s">
        <v>415</v>
      </c>
      <c r="D464" s="97" t="s">
        <v>559</v>
      </c>
      <c r="E464" s="97" t="s">
        <v>468</v>
      </c>
      <c r="F464" s="97" t="s">
        <v>422</v>
      </c>
      <c r="G464" s="132">
        <v>80.0</v>
      </c>
      <c r="H464" s="98">
        <v>10.0</v>
      </c>
      <c r="I464" s="98" t="s">
        <v>603</v>
      </c>
      <c r="J464" s="98">
        <v>35.0</v>
      </c>
      <c r="K464" s="98">
        <v>0.0</v>
      </c>
      <c r="L464" s="98">
        <v>5.0</v>
      </c>
      <c r="M464" s="98"/>
      <c r="N464" s="98"/>
      <c r="O464" s="98"/>
      <c r="P464" s="98"/>
      <c r="Q464" s="98"/>
      <c r="R464" s="98"/>
      <c r="S464" s="98"/>
      <c r="T464" s="98"/>
      <c r="U464" s="98"/>
      <c r="V464" s="98"/>
      <c r="W464" s="98"/>
      <c r="X464" s="98"/>
      <c r="Y464" s="98"/>
      <c r="Z464" s="98"/>
      <c r="AA464" s="98"/>
      <c r="AB464" s="5"/>
      <c r="AC464" s="47">
        <v>130.0</v>
      </c>
    </row>
    <row r="465" hidden="1">
      <c r="A465" s="76" t="str">
        <f t="array" ref="A465:A466">{"FormulaRow04";(INDEX(CLASSLIST,A458,1))}</f>
        <v>FormulaRow04</v>
      </c>
      <c r="B465" s="77" t="s">
        <v>236</v>
      </c>
      <c r="C465" s="76" t="str">
        <f t="array" ref="C465:C466">{"CLASSTYPE";((INDEX(ALLCLASSDATA,MATCH("ClassType",CLASSFEATUREHEADERS,0),MATCH($A466,CLASSNAMEHEADERS,0))))}</f>
        <v>CLASSTYPE</v>
      </c>
      <c r="D465" s="81" t="str">
        <f t="array" ref="D465:D466">{"INITIALFEATURES";"InitialFeatures"}</f>
        <v>INITIALFEATURES</v>
      </c>
      <c r="E465" s="81" t="str">
        <f t="array" ref="E465:E466">{"CLASS/SUBCLASSFEATURES";"Class/Subclass Features"}</f>
        <v>CLASS/SUBCLASSFEATURES</v>
      </c>
      <c r="F465" s="81"/>
      <c r="G465" s="136"/>
      <c r="H465" s="81" t="str">
        <f t="array" ref="H465:H466">{"CLASSINITIALABILITY1-L00";((INDEX(ALLCLASSDATA,MATCH("ClassInitialAbility1-L00",CLASSFEATUREHEADERS,0),MATCH(($A466),CLASSNAMEHEADERS,0))))}</f>
        <v>CLASSINITIALABILITY1-L00</v>
      </c>
      <c r="I465" s="81" t="str">
        <f t="array" ref="I465:I466">{"CLASSINITIALABILITY2-L00";((INDEX(ALLCLASSDATA,MATCH("ClassInitialAbility2-L00",CLASSFEATUREHEADERS,0),MATCH(($A466),CLASSNAMEHEADERS,0))))}</f>
        <v>CLASSINITIALABILITY2-L00</v>
      </c>
      <c r="J465" s="81" t="str">
        <f t="array" ref="J465:J466">{"CLASSINITIALABILITY3-L00";((INDEX(ALLCLASSDATA,MATCH("ClassInitialAbility3-L00",CLASSFEATUREHEADERS,0),MATCH(($A466),CLASSNAMEHEADERS,0))))}</f>
        <v>CLASSINITIALABILITY3-L00</v>
      </c>
      <c r="K465" s="81" t="str">
        <f t="array" ref="K465:K466">{"CLASSINITIALABILITY4-L00";((INDEX(ALLCLASSDATA,MATCH("ClassInitialAbility4-L00",CLASSFEATUREHEADERS,0),MATCH(($A466),CLASSNAMEHEADERS,0))))}</f>
        <v>CLASSINITIALABILITY4-L00</v>
      </c>
      <c r="L465" s="81" t="str">
        <f t="array" ref="L465:L466">{"CLASSINITIALABILITY5-L00";((INDEX(ALLCLASSDATA,MATCH("ClassInitialAbility5-L00",CLASSFEATUREHEADERS,0),MATCH(($A466),CLASSNAMEHEADERS,0))))}</f>
        <v>CLASSINITIALABILITY5-L00</v>
      </c>
      <c r="M465" s="81" t="str">
        <f t="array" ref="M465:M466">{"CLASSINITIALABILITY6-L00";((INDEX(ALLCLASSDATA,MATCH("ClassInitialAbility6-L00",CLASSFEATUREHEADERS,0),MATCH(($A466),CLASSNAMEHEADERS,0))))}</f>
        <v>CLASSINITIALABILITY6-L00</v>
      </c>
      <c r="N465" s="81" t="str">
        <f t="array" ref="N465:N466">{"CLASSINITIALABILITY7-L00";((INDEX(ALLCLASSDATA,MATCH("ClassInitialAbility7-L00",CLASSFEATUREHEADERS,0),MATCH(($A466),CLASSNAMEHEADERS,0))))}</f>
        <v>CLASSINITIALABILITY7-L00</v>
      </c>
      <c r="O465" s="81" t="str">
        <f t="array" ref="O465:O466">{"CLASSINITIALABILITY8-L00";((INDEX(ALLCLASSDATA,MATCH("ClassInitialAbility8-L00",CLASSFEATUREHEADERS,0),MATCH(($A466),CLASSNAMEHEADERS,0))))}</f>
        <v>CLASSINITIALABILITY8-L00</v>
      </c>
      <c r="P465" s="81" t="str">
        <f t="array" ref="P465:P466">{"CLASSINITIALABILITY9-L00";((INDEX(ALLCLASSDATA,MATCH("ClassInitialAbility9-L00",CLASSFEATUREHEADERS,0),MATCH(($A466),CLASSNAMEHEADERS,0))))}</f>
        <v>CLASSINITIALABILITY9-L00</v>
      </c>
      <c r="Q465" s="81" t="str">
        <f t="array" ref="Q465:Q466">{"CLASSINITIALABILITY10-L00";((INDEX(ALLCLASSDATA,MATCH("ClassInitialAbility10-L00",CLASSFEATUREHEADERS,0),MATCH(($A466),CLASSNAMEHEADERS,0))))}</f>
        <v>CLASSINITIALABILITY10-L00</v>
      </c>
      <c r="R465" s="81" t="str">
        <f t="array" ref="R465:R466">{"SUBCLASSINITIAL1-L00";((INDEX(ALLCLASSDATA,MATCH("SubclassInitial1-L00",CLASSFEATUREHEADERS,0),MATCH(($A466),CLASSNAMEHEADERS,0))))}</f>
        <v>SUBCLASSINITIAL1-L00</v>
      </c>
      <c r="S465" s="81" t="str">
        <f t="array" ref="S465:S466">{"SUBCLASSINITIAL2-L00";((INDEX(ALLCLASSDATA,MATCH("SubclassInitial2-L00",CLASSFEATUREHEADERS,0),MATCH(($A466),CLASSNAMEHEADERS,0))))}</f>
        <v>SUBCLASSINITIAL2-L00</v>
      </c>
      <c r="T465" s="81" t="str">
        <f t="array" ref="T465:T466">{"SUBCLASSINITIAL3-L00";((INDEX(ALLCLASSDATA,MATCH("SubclassInitial3-L00",CLASSFEATUREHEADERS,0),MATCH(($A466),CLASSNAMEHEADERS,0))))}</f>
        <v>SUBCLASSINITIAL3-L00</v>
      </c>
      <c r="U465" s="81" t="str">
        <f t="array" ref="U465:U466">{"SUBCLASSINITIAL4-L00";((INDEX(ALLCLASSDATA,MATCH("SubclassInitial4-L00",CLASSFEATUREHEADERS,0),MATCH(($A466),CLASSNAMEHEADERS,0))))}</f>
        <v>SUBCLASSINITIAL4-L00</v>
      </c>
      <c r="V465" s="81" t="str">
        <f t="array" ref="V465:V466">{"SUBCLASSINITIAL5-L00";((INDEX(ALLCLASSDATA,MATCH("SubclassInitial5-L00",CLASSFEATUREHEADERS,0),MATCH(($A466),CLASSNAMEHEADERS,0))))}</f>
        <v>SUBCLASSINITIAL5-L00</v>
      </c>
      <c r="W465" s="81" t="str">
        <f t="array" ref="W465:W466">{"SUBCLASSINITIAL6-L00";((INDEX(ALLCLASSDATA,MATCH("SubclassInitial6-L00",CLASSFEATUREHEADERS,0),MATCH(($A466),CLASSNAMEHEADERS,0))))}</f>
        <v>SUBCLASSINITIAL6-L00</v>
      </c>
      <c r="X465" s="81" t="str">
        <f t="array" ref="X465:X466">{"SUBCLASSINITIAL7-L00";((INDEX(ALLCLASSDATA,MATCH("SubclassInitial7-L00",CLASSFEATUREHEADERS,0),MATCH(($A466),CLASSNAMEHEADERS,0))))}</f>
        <v>SUBCLASSINITIAL7-L00</v>
      </c>
      <c r="Y465" s="81" t="str">
        <f t="array" ref="Y465:Y466">{"SUBCLASSINITIAL8-L00";((INDEX(ALLCLASSDATA,MATCH("SubclassInitial8-L00",CLASSFEATUREHEADERS,0),MATCH(($A466),CLASSNAMEHEADERS,0))))}</f>
        <v>SUBCLASSINITIAL8-L00</v>
      </c>
      <c r="Z465" s="81" t="str">
        <f t="array" ref="Z465:Z466">{"SUBCLASSINITIAL9-L00";((INDEX(ALLCLASSDATA,MATCH("SubclassInitial9-L00",CLASSFEATUREHEADERS,0),MATCH(($A466),CLASSNAMEHEADERS,0))))}</f>
        <v>SUBCLASSINITIAL9-L00</v>
      </c>
      <c r="AA465" s="81" t="str">
        <f t="array" ref="AA465:AA466">{"SUBCLASSINITIAL10-L00";((INDEX(ALLCLASSDATA,MATCH("SubclassInitial10-L00",CLASSFEATUREHEADERS,0),MATCH(($A466),CLASSNAMEHEADERS,0))))}</f>
        <v>SUBCLASSINITIAL10-L00</v>
      </c>
      <c r="AB465" s="76"/>
      <c r="AC465" s="76"/>
    </row>
    <row r="466">
      <c r="A466" s="48" t="s">
        <v>138</v>
      </c>
      <c r="B466" s="48"/>
      <c r="C466" s="48" t="s">
        <v>415</v>
      </c>
      <c r="D466" s="48" t="s">
        <v>614</v>
      </c>
      <c r="E466" s="48" t="s">
        <v>616</v>
      </c>
      <c r="F466" s="48"/>
      <c r="G466" s="47"/>
      <c r="H466" s="5" t="s">
        <v>1619</v>
      </c>
      <c r="I466" s="5" t="s">
        <v>951</v>
      </c>
      <c r="J466" s="5" t="s">
        <v>1642</v>
      </c>
      <c r="K466" s="5" t="s">
        <v>1655</v>
      </c>
      <c r="L466" s="5"/>
      <c r="M466" s="5"/>
      <c r="N466" s="5"/>
      <c r="O466" s="5"/>
      <c r="P466" s="5"/>
      <c r="Q466" s="5"/>
      <c r="R466" s="5" t="s">
        <v>1811</v>
      </c>
      <c r="S466" s="5"/>
      <c r="T466" s="5"/>
      <c r="U466" s="5"/>
      <c r="V466" s="5"/>
      <c r="W466" s="5"/>
      <c r="X466" s="5"/>
      <c r="Y466" s="5"/>
      <c r="Z466" s="5"/>
      <c r="AA466" s="5"/>
      <c r="AB466" s="5"/>
      <c r="AC466" s="47"/>
    </row>
    <row r="467" hidden="1">
      <c r="A467" s="76" t="str">
        <f t="array" ref="A467:A468">{"FormulaRow05";(INDEX(CLASSLIST,A458,1))}</f>
        <v>FormulaRow05</v>
      </c>
      <c r="B467" s="77" t="s">
        <v>236</v>
      </c>
      <c r="C467" s="76" t="str">
        <f t="array" ref="C467:C468">{"CLASSTYPE";((INDEX(ALLCLASSDATA,MATCH("ClassType",CLASSFEATUREHEADERS,0),MATCH($A468,CLASSNAMEHEADERS,0))))}</f>
        <v>CLASSTYPE</v>
      </c>
      <c r="D467" s="76" t="str">
        <f t="array" ref="D467:D468">{"INITIALFEATURESPTS";"InitialFeaturesPts"}</f>
        <v>INITIALFEATURESPTS</v>
      </c>
      <c r="E467" s="76" t="str">
        <f t="array" ref="E467:E468">{"CLASS/SUBCLASSFEATURES";"Class/Subclass Features"}</f>
        <v>CLASS/SUBCLASSFEATURES</v>
      </c>
      <c r="F467" s="76"/>
      <c r="G467" s="76"/>
      <c r="H467" s="76" t="str">
        <f t="array" ref="H467:H468">{"CLASSINITIALABILITY1-L00PTS";((INDEX(ALLCLASSDATA,MATCH("ClassInitialAbility1-L00",CLASSFEATUREHEADERS,0),MATCH(($A468 &amp; "Points"),CLASSNAMEHEADERS,0))))}</f>
        <v>CLASSINITIALABILITY1-L00PTS</v>
      </c>
      <c r="I467" s="76" t="str">
        <f t="array" ref="I467:I468">{"CLASSINITIALABILITY2-L00PTS";((INDEX(ALLCLASSDATA,MATCH("ClassInitialAbility2-L00",CLASSFEATUREHEADERS,0),MATCH(($A468 &amp; "Points"),CLASSNAMEHEADERS,0))))}</f>
        <v>CLASSINITIALABILITY2-L00PTS</v>
      </c>
      <c r="J467" s="76" t="str">
        <f t="array" ref="J467:J468">{"CLASSINITIALABILITY3-L00PTS";((INDEX(ALLCLASSDATA,MATCH("ClassInitialAbility3-L00",CLASSFEATUREHEADERS,0),MATCH(($A468 &amp; "Points"),CLASSNAMEHEADERS,0))))}</f>
        <v>CLASSINITIALABILITY3-L00PTS</v>
      </c>
      <c r="K467" s="76" t="str">
        <f t="array" ref="K467:K468">{"CLASSINITIALABILITY4-L00PTS";((INDEX(ALLCLASSDATA,MATCH("ClassInitialAbility4-L00",CLASSFEATUREHEADERS,0),MATCH(($A468 &amp; "Points"),CLASSNAMEHEADERS,0))))}</f>
        <v>CLASSINITIALABILITY4-L00PTS</v>
      </c>
      <c r="L467" s="76" t="str">
        <f t="array" ref="L467:L468">{"CLASSINITIALABILITY5-L00PTS";((INDEX(ALLCLASSDATA,MATCH("ClassInitialAbility5-L00",CLASSFEATUREHEADERS,0),MATCH(($A468 &amp; "Points"),CLASSNAMEHEADERS,0))))}</f>
        <v>CLASSINITIALABILITY5-L00PTS</v>
      </c>
      <c r="M467" s="76" t="str">
        <f t="array" ref="M467:M468">{"CLASSINITIALABILITY6-L00PTS";((INDEX(ALLCLASSDATA,MATCH("ClassInitialAbility6-L00",CLASSFEATUREHEADERS,0),MATCH(($A468 &amp; "Points"),CLASSNAMEHEADERS,0))))}</f>
        <v>CLASSINITIALABILITY6-L00PTS</v>
      </c>
      <c r="N467" s="76" t="str">
        <f t="array" ref="N467:N468">{"CLASSINITIALABILITY7-L00PTS";((INDEX(ALLCLASSDATA,MATCH("ClassInitialAbility7-L00",CLASSFEATUREHEADERS,0),MATCH(($A468 &amp; "Points"),CLASSNAMEHEADERS,0))))}</f>
        <v>CLASSINITIALABILITY7-L00PTS</v>
      </c>
      <c r="O467" s="76" t="str">
        <f t="array" ref="O467:O468">{"CLASSINITIALABILITY8-L00PTS";((INDEX(ALLCLASSDATA,MATCH("ClassInitialAbility8-L00",CLASSFEATUREHEADERS,0),MATCH(($A468 &amp; "Points"),CLASSNAMEHEADERS,0))))}</f>
        <v>CLASSINITIALABILITY8-L00PTS</v>
      </c>
      <c r="P467" s="76" t="str">
        <f t="array" ref="P467:P468">{"CLASSINITIALABILITY9-L00PTS";((INDEX(ALLCLASSDATA,MATCH("ClassInitialAbility9-L00",CLASSFEATUREHEADERS,0),MATCH(($A468 &amp; "Points"),CLASSNAMEHEADERS,0))))}</f>
        <v>CLASSINITIALABILITY9-L00PTS</v>
      </c>
      <c r="Q467" s="76" t="str">
        <f t="array" ref="Q467:Q468">{"CLASSINITIALABILITY10-L00PTS";((INDEX(ALLCLASSDATA,MATCH("ClassInitialAbility10-L00",CLASSFEATUREHEADERS,0),MATCH(($A468 &amp; "Points"),CLASSNAMEHEADERS,0))))}</f>
        <v>CLASSINITIALABILITY10-L00PTS</v>
      </c>
      <c r="R467" s="76" t="str">
        <f t="array" ref="R467:R468">{"SUBCLASSINITIAL1-L00PTS";((INDEX(ALLCLASSDATA,MATCH("SubclassInitial1-L00",CLASSFEATUREHEADERS,0),MATCH(($A468 &amp; "Points"),CLASSNAMEHEADERS,0))))}</f>
        <v>SUBCLASSINITIAL1-L00PTS</v>
      </c>
      <c r="S467" s="76" t="str">
        <f t="array" ref="S467:S468">{"SUBCLASSINITIAL2-L00PTS";((INDEX(ALLCLASSDATA,MATCH("SubclassInitial2-L00",CLASSFEATUREHEADERS,0),MATCH(($A468 &amp; "Points"),CLASSNAMEHEADERS,0))))}</f>
        <v>SUBCLASSINITIAL2-L00PTS</v>
      </c>
      <c r="T467" s="76" t="str">
        <f t="array" ref="T467:T468">{"SUBCLASSINITIAL3-L00PTS";((INDEX(ALLCLASSDATA,MATCH("SubclassInitial3-L00",CLASSFEATUREHEADERS,0),MATCH(($A468 &amp; "Points"),CLASSNAMEHEADERS,0))))}</f>
        <v>SUBCLASSINITIAL3-L00PTS</v>
      </c>
      <c r="U467" s="76" t="str">
        <f t="array" ref="U467:U468">{"SUBCLASSINITIAL4-L00PTS";((INDEX(ALLCLASSDATA,MATCH("SubclassInitial4-L00",CLASSFEATUREHEADERS,0),MATCH(($A468 &amp; "Points"),CLASSNAMEHEADERS,0))))}</f>
        <v>SUBCLASSINITIAL4-L00PTS</v>
      </c>
      <c r="V467" s="76" t="str">
        <f t="array" ref="V467:V468">{"SUBCLASSINITIAL5-L00PTS";((INDEX(ALLCLASSDATA,MATCH("SubclassInitial5-L00",CLASSFEATUREHEADERS,0),MATCH(($A468 &amp; "Points"),CLASSNAMEHEADERS,0))))}</f>
        <v>SUBCLASSINITIAL5-L00PTS</v>
      </c>
      <c r="W467" s="76" t="str">
        <f t="array" ref="W467:W468">{"SUBCLASSINITIAL6-L00PTS";((INDEX(ALLCLASSDATA,MATCH("SubclassInitial6-L00",CLASSFEATUREHEADERS,0),MATCH(($A468 &amp; "Points"),CLASSNAMEHEADERS,0))))}</f>
        <v>SUBCLASSINITIAL6-L00PTS</v>
      </c>
      <c r="X467" s="76" t="str">
        <f t="array" ref="X467:X468">{"SUBCLASSINITIAL7-L00PTS";((INDEX(ALLCLASSDATA,MATCH("SubclassInitial7-L00",CLASSFEATUREHEADERS,0),MATCH(($A468 &amp; "Points"),CLASSNAMEHEADERS,0))))}</f>
        <v>SUBCLASSINITIAL7-L00PTS</v>
      </c>
      <c r="Y467" s="76" t="str">
        <f t="array" ref="Y467:Y468">{"SUBCLASSINITIAL8-L00PTS";((INDEX(ALLCLASSDATA,MATCH("SubclassInitial8-L00",CLASSFEATUREHEADERS,0),MATCH(($A468 &amp; "Points"),CLASSNAMEHEADERS,0))))}</f>
        <v>SUBCLASSINITIAL8-L00PTS</v>
      </c>
      <c r="Z467" s="76" t="str">
        <f t="array" ref="Z467:Z468">{"SUBCLASSINITIAL9-L00PTS";((INDEX(ALLCLASSDATA,MATCH("SubclassInitial9-L00",CLASSFEATUREHEADERS,0),MATCH(($A468 &amp; "Points"),CLASSNAMEHEADERS,0))))}</f>
        <v>SUBCLASSINITIAL9-L00PTS</v>
      </c>
      <c r="AA467" s="76" t="str">
        <f t="array" ref="AA467:AA468">{"SUBCLASSINITIAL10-L00PTS";((INDEX(ALLCLASSDATA,MATCH("SubclassInitial10-L00",CLASSFEATUREHEADERS,0),MATCH(($A468 &amp; "Points"),CLASSNAMEHEADERS,0))))}</f>
        <v>SUBCLASSINITIAL10-L00PTS</v>
      </c>
      <c r="AB467" s="76"/>
      <c r="AC467" s="76" t="str">
        <f t="array" ref="AC467:AC468">{"INITIALFEATUREPTS TOTAL";(sum(G468:AA468))}</f>
        <v>INITIALFEATUREPTS TOTAL</v>
      </c>
    </row>
    <row r="468">
      <c r="A468" s="48" t="s">
        <v>138</v>
      </c>
      <c r="B468" s="48"/>
      <c r="C468" s="48" t="s">
        <v>415</v>
      </c>
      <c r="D468" s="97" t="s">
        <v>651</v>
      </c>
      <c r="E468" s="97" t="s">
        <v>616</v>
      </c>
      <c r="F468" s="97"/>
      <c r="G468" s="132"/>
      <c r="H468" s="98"/>
      <c r="I468" s="98">
        <v>10.0</v>
      </c>
      <c r="J468" s="97">
        <v>10.0</v>
      </c>
      <c r="K468" s="98"/>
      <c r="L468" s="97"/>
      <c r="M468" s="98"/>
      <c r="N468" s="98"/>
      <c r="O468" s="98"/>
      <c r="P468" s="98"/>
      <c r="Q468" s="98"/>
      <c r="R468" s="98">
        <v>30.0</v>
      </c>
      <c r="S468" s="98"/>
      <c r="T468" s="98"/>
      <c r="U468" s="98"/>
      <c r="V468" s="98"/>
      <c r="W468" s="98"/>
      <c r="X468" s="98"/>
      <c r="Y468" s="98"/>
      <c r="Z468" s="98"/>
      <c r="AA468" s="98"/>
      <c r="AB468" s="5"/>
      <c r="AC468" s="47">
        <v>50.0</v>
      </c>
    </row>
    <row r="469" hidden="1">
      <c r="A469" s="76" t="str">
        <f t="array" ref="A469:A470">{"FormulaRow06";(INDEX(CLASSLIST,A458,1))}</f>
        <v>FormulaRow06</v>
      </c>
      <c r="B469" s="77" t="s">
        <v>236</v>
      </c>
      <c r="C469" s="76" t="str">
        <f t="array" ref="C469:C470">{"CLASSTYPE";((INDEX(ALLCLASSDATA,MATCH("ClassType",CLASSFEATUREHEADERS,0),MATCH($A470,CLASSNAMEHEADERS,0))))}</f>
        <v>CLASSTYPE</v>
      </c>
      <c r="D469" s="81" t="str">
        <f t="array" ref="D469:D470">{"SKILLS";"Skills"}</f>
        <v>SKILLS</v>
      </c>
      <c r="E469" s="81" t="str">
        <f t="array" ref="E469:E470">{"EXTRASKILLINCREASES";"Extra Skill Increases"}</f>
        <v>EXTRASKILLINCREASES</v>
      </c>
      <c r="F469" s="81"/>
      <c r="G469" s="81"/>
      <c r="H469" s="81"/>
      <c r="I469" s="81" t="str">
        <f t="array" ref="I469:I470">{"SKILLINCREASEEXTRA-L02";((INDEX(ALLCLASSDATA,MATCH("SkillIncreaseExtra-L02",CLASSFEATUREHEADERS,0),MATCH(($A470 &amp; "Points"),CLASSNAMEHEADERS,0))))}</f>
        <v>SKILLINCREASEEXTRA-L02</v>
      </c>
      <c r="J469" s="81" t="str">
        <f t="array" ref="J469:J470">{"SKILLINCREASEEXTRA-L03";((INDEX(ALLCLASSDATA,MATCH("SkillIncreaseExtra-L03",CLASSFEATUREHEADERS,0),MATCH(($A470 &amp; "Points"),CLASSNAMEHEADERS,0))))}</f>
        <v>SKILLINCREASEEXTRA-L03</v>
      </c>
      <c r="K469" s="81" t="str">
        <f t="array" ref="K469:K470">{"SKILLINCREASEEXTRA-L04";((INDEX(ALLCLASSDATA,MATCH("SkillIncreaseExtra-L04",CLASSFEATUREHEADERS,0),MATCH(($A470 &amp; "Points"),CLASSNAMEHEADERS,0))))}</f>
        <v>SKILLINCREASEEXTRA-L04</v>
      </c>
      <c r="L469" s="81" t="str">
        <f t="array" ref="L469:L470">{"SKILLINCREASEEXTRA-L05";((INDEX(ALLCLASSDATA,MATCH("SkillIncreaseExtra-L05",CLASSFEATUREHEADERS,0),MATCH(($A470 &amp; "Points"),CLASSNAMEHEADERS,0))))}</f>
        <v>SKILLINCREASEEXTRA-L05</v>
      </c>
      <c r="M469" s="81" t="str">
        <f t="array" ref="M469:M470">{"SKILLINCREASEEXTRA-L06";((INDEX(ALLCLASSDATA,MATCH("SkillIncreaseExtra-L06",CLASSFEATUREHEADERS,0),MATCH(($A470 &amp; "Points"),CLASSNAMEHEADERS,0))))}</f>
        <v>SKILLINCREASEEXTRA-L06</v>
      </c>
      <c r="N469" s="81" t="str">
        <f t="array" ref="N469:N470">{"SKILLINCREASEEXTRA-L07";((INDEX(ALLCLASSDATA,MATCH("SkillIncreaseExtra-L07",CLASSFEATUREHEADERS,0),MATCH(($A470 &amp; "Points"),CLASSNAMEHEADERS,0))))}</f>
        <v>SKILLINCREASEEXTRA-L07</v>
      </c>
      <c r="O469" s="81" t="str">
        <f t="array" ref="O469:O470">{"SKILLINCREASEEXTRA-L08";((INDEX(ALLCLASSDATA,MATCH("SkillIncreaseExtra-L08",CLASSFEATUREHEADERS,0),MATCH(($A470 &amp; "Points"),CLASSNAMEHEADERS,0))))}</f>
        <v>SKILLINCREASEEXTRA-L08</v>
      </c>
      <c r="P469" s="81" t="str">
        <f t="array" ref="P469:P470">{"SKILLINCREASEEXTRA-L09";((INDEX(ALLCLASSDATA,MATCH("SkillIncreaseExtra-L09",CLASSFEATUREHEADERS,0),MATCH(($A470 &amp; "Points"),CLASSNAMEHEADERS,0))))}</f>
        <v>SKILLINCREASEEXTRA-L09</v>
      </c>
      <c r="Q469" s="81" t="str">
        <f t="array" ref="Q469:Q470">{"SKILLINCREASEEXTRA-L10";((INDEX(ALLCLASSDATA,MATCH("SkillIncreaseExtra-L10",CLASSFEATUREHEADERS,0),MATCH(($A470 &amp; "Points"),CLASSNAMEHEADERS,0))))}</f>
        <v>SKILLINCREASEEXTRA-L10</v>
      </c>
      <c r="R469" s="81" t="str">
        <f t="array" ref="R469:R470">{"SKILLINCREASEEXTRA-L11";((INDEX(ALLCLASSDATA,MATCH("SkillIncreaseExtra-L11",CLASSFEATUREHEADERS,0),MATCH(($A470 &amp; "Points"),CLASSNAMEHEADERS,0))))}</f>
        <v>SKILLINCREASEEXTRA-L11</v>
      </c>
      <c r="S469" s="81" t="str">
        <f t="array" ref="S469:S470">{"SKILLINCREASEEXTRA-L12";((INDEX(ALLCLASSDATA,MATCH("SkillIncreaseExtra-L12",CLASSFEATUREHEADERS,0),MATCH(($A470 &amp; "Points"),CLASSNAMEHEADERS,0))))}</f>
        <v>SKILLINCREASEEXTRA-L12</v>
      </c>
      <c r="T469" s="81" t="str">
        <f t="array" ref="T469:T470">{"SKILLINCREASEEXTRA-L13";((INDEX(ALLCLASSDATA,MATCH("SkillIncreaseExtra-L13",CLASSFEATUREHEADERS,0),MATCH(($A470 &amp; "Points"),CLASSNAMEHEADERS,0))))}</f>
        <v>SKILLINCREASEEXTRA-L13</v>
      </c>
      <c r="U469" s="81" t="str">
        <f t="array" ref="U469:U470">{"SKILLINCREASEEXTRA-L14";((INDEX(ALLCLASSDATA,MATCH("SkillIncreaseExtra-L14",CLASSFEATUREHEADERS,0),MATCH(($A470 &amp; "Points"),CLASSNAMEHEADERS,0))))}</f>
        <v>SKILLINCREASEEXTRA-L14</v>
      </c>
      <c r="V469" s="81" t="str">
        <f t="array" ref="V469:V470">{"SKILLINCREASEEXTRA-L15";((INDEX(ALLCLASSDATA,MATCH("SkillIncreaseExtra-L15",CLASSFEATUREHEADERS,0),MATCH(($A470 &amp; "Points"),CLASSNAMEHEADERS,0))))}</f>
        <v>SKILLINCREASEEXTRA-L15</v>
      </c>
      <c r="W469" s="81" t="str">
        <f t="array" ref="W469:W470">{"SKILLINCREASEEXTRA-L16";((INDEX(ALLCLASSDATA,MATCH("SkillIncreaseExtra-L16",CLASSFEATUREHEADERS,0),MATCH(($A470 &amp; "Points"),CLASSNAMEHEADERS,0))))}</f>
        <v>SKILLINCREASEEXTRA-L16</v>
      </c>
      <c r="X469" s="81" t="str">
        <f t="array" ref="X469:X470">{"SKILLINCREASEEXTRA-L17";((INDEX(ALLCLASSDATA,MATCH("SkillIncreaseExtra-L17",CLASSFEATUREHEADERS,0),MATCH(($A470 &amp; "Points"),CLASSNAMEHEADERS,0))))}</f>
        <v>SKILLINCREASEEXTRA-L17</v>
      </c>
      <c r="Y469" s="81" t="str">
        <f t="array" ref="Y469:Y470">{"SKILLINCREASEEXTRA-L18";((INDEX(ALLCLASSDATA,MATCH("SkillIncreaseExtra-L18",CLASSFEATUREHEADERS,0),MATCH(($A470 &amp; "Points"),CLASSNAMEHEADERS,0))))}</f>
        <v>SKILLINCREASEEXTRA-L18</v>
      </c>
      <c r="Z469" s="81" t="str">
        <f t="array" ref="Z469:Z470">{"SKILLINCREASEEXTRA-L19";((INDEX(ALLCLASSDATA,MATCH("SkillIncreaseExtra-L19",CLASSFEATUREHEADERS,0),MATCH(($A470 &amp; "Points"),CLASSNAMEHEADERS,0))))}</f>
        <v>SKILLINCREASEEXTRA-L19</v>
      </c>
      <c r="AA469" s="81" t="str">
        <f t="array" ref="AA469:AA470">{"SKILLINCREASEEXTRA-L20";((INDEX(ALLCLASSDATA,MATCH("SkillIncreaseExtra-L20",CLASSFEATUREHEADERS,0),MATCH(($A470 &amp; "Points"),CLASSNAMEHEADERS,0))))}</f>
        <v>SKILLINCREASEEXTRA-L20</v>
      </c>
      <c r="AB469" s="76"/>
      <c r="AC469" s="76" t="str">
        <f t="array" ref="AC469:AC470">{"SKILLINCREASE TOTAL";(sum(G470:AA470))}</f>
        <v>SKILLINCREASE TOTAL</v>
      </c>
    </row>
    <row r="470">
      <c r="A470" s="48" t="s">
        <v>138</v>
      </c>
      <c r="B470" s="48"/>
      <c r="C470" s="48" t="s">
        <v>415</v>
      </c>
      <c r="D470" s="48" t="s">
        <v>659</v>
      </c>
      <c r="E470" s="48" t="s">
        <v>661</v>
      </c>
      <c r="F470" s="48"/>
      <c r="G470" s="47"/>
      <c r="H470" s="5"/>
      <c r="I470" s="5">
        <v>5.0</v>
      </c>
      <c r="J470" s="5" t="s">
        <v>603</v>
      </c>
      <c r="K470" s="5">
        <v>5.0</v>
      </c>
      <c r="L470" s="48" t="s">
        <v>603</v>
      </c>
      <c r="M470" s="5">
        <v>5.0</v>
      </c>
      <c r="N470" s="5" t="s">
        <v>603</v>
      </c>
      <c r="O470" s="5">
        <v>5.0</v>
      </c>
      <c r="P470" s="5" t="s">
        <v>603</v>
      </c>
      <c r="Q470" s="5">
        <v>5.0</v>
      </c>
      <c r="R470" s="5" t="s">
        <v>603</v>
      </c>
      <c r="S470" s="5">
        <v>5.0</v>
      </c>
      <c r="T470" s="5" t="s">
        <v>603</v>
      </c>
      <c r="U470" s="5">
        <v>5.0</v>
      </c>
      <c r="V470" s="5" t="s">
        <v>603</v>
      </c>
      <c r="W470" s="5">
        <v>5.0</v>
      </c>
      <c r="X470" s="5" t="s">
        <v>603</v>
      </c>
      <c r="Y470" s="5">
        <v>5.0</v>
      </c>
      <c r="Z470" s="5" t="s">
        <v>603</v>
      </c>
      <c r="AA470" s="5">
        <v>5.0</v>
      </c>
      <c r="AB470" s="5"/>
      <c r="AC470" s="47">
        <v>50.0</v>
      </c>
    </row>
    <row r="471" hidden="1">
      <c r="A471" s="76" t="str">
        <f t="array" ref="A471:A472">{"FormulaRow07";(INDEX(CLASSLIST,A458,1))}</f>
        <v>FormulaRow07</v>
      </c>
      <c r="B471" s="77" t="s">
        <v>236</v>
      </c>
      <c r="C471" s="76" t="str">
        <f t="array" ref="C471:C472">{"CLASSTYPE";((INDEX(ALLCLASSDATA,MATCH("ClassType",CLASSFEATUREHEADERS,0),MATCH($A472,CLASSNAMEHEADERS,0))))}</f>
        <v>CLASSTYPE</v>
      </c>
      <c r="D471" s="76" t="str">
        <f t="array" ref="D471:D472">{"SKILLS";"Skills"}</f>
        <v>SKILLS</v>
      </c>
      <c r="E471" s="76" t="str">
        <f t="array" ref="E471:E472">{"EXTRASKILLFEATS";"Extra Skill Feats"}</f>
        <v>EXTRASKILLFEATS</v>
      </c>
      <c r="F471" s="76"/>
      <c r="G471" s="76"/>
      <c r="H471" s="76" t="str">
        <f t="array" ref="H471:H472">{"SKILLFEATEXTRA-L01";((INDEX(ALLCLASSDATA,MATCH("SkillFeatExtra-L01",CLASSFEATUREHEADERS,0),MATCH(($A472 &amp; "Points"),CLASSNAMEHEADERS,0))))}</f>
        <v>SKILLFEATEXTRA-L01</v>
      </c>
      <c r="I471" s="76" t="str">
        <f t="array" ref="I471:I472">{"SKILLFEATEXTRA-L02";((INDEX(ALLCLASSDATA,MATCH("SkillFeatExtra-L02",CLASSFEATUREHEADERS,0),MATCH(($A472 &amp; "Points"),CLASSNAMEHEADERS,0))))}</f>
        <v>SKILLFEATEXTRA-L02</v>
      </c>
      <c r="J471" s="76" t="str">
        <f t="array" ref="J471:J472">{"SKILLFEATEXTRA-L03";((INDEX(ALLCLASSDATA,MATCH("SkillFeatExtra-L03",CLASSFEATUREHEADERS,0),MATCH(($A472 &amp; "Points"),CLASSNAMEHEADERS,0))))}</f>
        <v>SKILLFEATEXTRA-L03</v>
      </c>
      <c r="K471" s="76" t="str">
        <f t="array" ref="K471:K472">{"SKILLFEATEXTRA-L04";((INDEX(ALLCLASSDATA,MATCH("SkillFeatExtra-L04",CLASSFEATUREHEADERS,0),MATCH(($A472 &amp; "Points"),CLASSNAMEHEADERS,0))))}</f>
        <v>SKILLFEATEXTRA-L04</v>
      </c>
      <c r="L471" s="76" t="str">
        <f t="array" ref="L471:L472">{"SKILLFEATEXTRA-L05";((INDEX(ALLCLASSDATA,MATCH("SkillFeatExtra-L05",CLASSFEATUREHEADERS,0),MATCH(($A472 &amp; "Points"),CLASSNAMEHEADERS,0))))}</f>
        <v>SKILLFEATEXTRA-L05</v>
      </c>
      <c r="M471" s="76" t="str">
        <f t="array" ref="M471:M472">{"SKILLFEATEXTRA-L06";((INDEX(ALLCLASSDATA,MATCH("SkillFeatExtra-L06",CLASSFEATUREHEADERS,0),MATCH(($A472 &amp; "Points"),CLASSNAMEHEADERS,0))))}</f>
        <v>SKILLFEATEXTRA-L06</v>
      </c>
      <c r="N471" s="76" t="str">
        <f t="array" ref="N471:N472">{"SKILLFEATEXTRA-L07";((INDEX(ALLCLASSDATA,MATCH("SkillFeatExtra-L07",CLASSFEATUREHEADERS,0),MATCH(($A472 &amp; "Points"),CLASSNAMEHEADERS,0))))}</f>
        <v>SKILLFEATEXTRA-L07</v>
      </c>
      <c r="O471" s="76" t="str">
        <f t="array" ref="O471:O472">{"SKILLFEATEXTRA-L08";((INDEX(ALLCLASSDATA,MATCH("SkillFeatExtra-L08",CLASSFEATUREHEADERS,0),MATCH(($A472 &amp; "Points"),CLASSNAMEHEADERS,0))))}</f>
        <v>SKILLFEATEXTRA-L08</v>
      </c>
      <c r="P471" s="76" t="str">
        <f t="array" ref="P471:P472">{"SKILLFEATEXTRA-L09";((INDEX(ALLCLASSDATA,MATCH("SkillFeatExtra-L09",CLASSFEATUREHEADERS,0),MATCH(($A472 &amp; "Points"),CLASSNAMEHEADERS,0))))}</f>
        <v>SKILLFEATEXTRA-L09</v>
      </c>
      <c r="Q471" s="76" t="str">
        <f t="array" ref="Q471:Q472">{"SKILLFEATEXTRA-L10";((INDEX(ALLCLASSDATA,MATCH("SkillFeatExtra-L10",CLASSFEATUREHEADERS,0),MATCH(($A472 &amp; "Points"),CLASSNAMEHEADERS,0))))}</f>
        <v>SKILLFEATEXTRA-L10</v>
      </c>
      <c r="R471" s="76" t="str">
        <f t="array" ref="R471:R472">{"SKILLFEATEXTRA-L11";((INDEX(ALLCLASSDATA,MATCH("SkillFeatExtra-L11",CLASSFEATUREHEADERS,0),MATCH(($A472 &amp; "Points"),CLASSNAMEHEADERS,0))))}</f>
        <v>SKILLFEATEXTRA-L11</v>
      </c>
      <c r="S471" s="76" t="str">
        <f t="array" ref="S471:S472">{"SKILLFEATEXTRA-L12";((INDEX(ALLCLASSDATA,MATCH("SkillFeatExtra-L12",CLASSFEATUREHEADERS,0),MATCH(($A472 &amp; "Points"),CLASSNAMEHEADERS,0))))}</f>
        <v>SKILLFEATEXTRA-L12</v>
      </c>
      <c r="T471" s="76" t="str">
        <f t="array" ref="T471:T472">{"SKILLFEATEXTRA-L13";((INDEX(ALLCLASSDATA,MATCH("SkillFeatExtra-L13",CLASSFEATUREHEADERS,0),MATCH(($A472 &amp; "Points"),CLASSNAMEHEADERS,0))))}</f>
        <v>SKILLFEATEXTRA-L13</v>
      </c>
      <c r="U471" s="76" t="str">
        <f t="array" ref="U471:U472">{"SKILLFEATEXTRA-L14";((INDEX(ALLCLASSDATA,MATCH("SkillFeatExtra-L14",CLASSFEATUREHEADERS,0),MATCH(($A472 &amp; "Points"),CLASSNAMEHEADERS,0))))}</f>
        <v>SKILLFEATEXTRA-L14</v>
      </c>
      <c r="V471" s="76" t="str">
        <f t="array" ref="V471:V472">{"SKILLFEATEXTRA-L15";((INDEX(ALLCLASSDATA,MATCH("SkillFeatExtra-L15",CLASSFEATUREHEADERS,0),MATCH(($A472 &amp; "Points"),CLASSNAMEHEADERS,0))))}</f>
        <v>SKILLFEATEXTRA-L15</v>
      </c>
      <c r="W471" s="76" t="str">
        <f t="array" ref="W471:W472">{"SKILLFEATEXTRA-L16";((INDEX(ALLCLASSDATA,MATCH("SkillFeatExtra-L16",CLASSFEATUREHEADERS,0),MATCH(($A472 &amp; "Points"),CLASSNAMEHEADERS,0))))}</f>
        <v>SKILLFEATEXTRA-L16</v>
      </c>
      <c r="X471" s="76" t="str">
        <f t="array" ref="X471:X472">{"SKILLFEATEXTRA-L17";((INDEX(ALLCLASSDATA,MATCH("SkillFeatExtra-L17",CLASSFEATUREHEADERS,0),MATCH(($A472 &amp; "Points"),CLASSNAMEHEADERS,0))))}</f>
        <v>SKILLFEATEXTRA-L17</v>
      </c>
      <c r="Y471" s="76" t="str">
        <f t="array" ref="Y471:Y472">{"SKILLFEATEXTRA-L18";((INDEX(ALLCLASSDATA,MATCH("SkillFeatExtra-L18",CLASSFEATUREHEADERS,0),MATCH(($A472 &amp; "Points"),CLASSNAMEHEADERS,0))))}</f>
        <v>SKILLFEATEXTRA-L18</v>
      </c>
      <c r="Z471" s="76" t="str">
        <f t="array" ref="Z471:Z472">{"SKILLFEATEXTRA-L19";((INDEX(ALLCLASSDATA,MATCH("SkillFeatExtra-L19",CLASSFEATUREHEADERS,0),MATCH(($A472 &amp; "Points"),CLASSNAMEHEADERS,0))))}</f>
        <v>SKILLFEATEXTRA-L19</v>
      </c>
      <c r="AA471" s="76" t="str">
        <f t="array" ref="AA471:AA472">{"SKILLFEATEXTRA-L20";((INDEX(ALLCLASSDATA,MATCH("SkillFeatExtra-L20",CLASSFEATUREHEADERS,0),MATCH(($A472 &amp; "Points"),CLASSNAMEHEADERS,0))))}</f>
        <v>SKILLFEATEXTRA-L20</v>
      </c>
      <c r="AB471" s="76"/>
      <c r="AC471" s="76" t="str">
        <f t="array" ref="AC471:AC472">{"SKILLFEAT TOTAL";(sum(G472:AA472))}</f>
        <v>SKILLFEAT TOTAL</v>
      </c>
    </row>
    <row r="472">
      <c r="A472" s="48" t="s">
        <v>138</v>
      </c>
      <c r="B472" s="48"/>
      <c r="C472" s="48" t="s">
        <v>415</v>
      </c>
      <c r="D472" s="97" t="s">
        <v>659</v>
      </c>
      <c r="E472" s="97" t="s">
        <v>722</v>
      </c>
      <c r="F472" s="97"/>
      <c r="G472" s="132"/>
      <c r="H472" s="98">
        <v>5.0</v>
      </c>
      <c r="I472" s="98" t="s">
        <v>603</v>
      </c>
      <c r="J472" s="97">
        <v>5.0</v>
      </c>
      <c r="K472" s="98" t="s">
        <v>603</v>
      </c>
      <c r="L472" s="97">
        <v>5.0</v>
      </c>
      <c r="M472" s="98" t="s">
        <v>603</v>
      </c>
      <c r="N472" s="98">
        <v>5.0</v>
      </c>
      <c r="O472" s="98" t="s">
        <v>603</v>
      </c>
      <c r="P472" s="98">
        <v>5.0</v>
      </c>
      <c r="Q472" s="98" t="s">
        <v>603</v>
      </c>
      <c r="R472" s="98">
        <v>5.0</v>
      </c>
      <c r="S472" s="98" t="s">
        <v>603</v>
      </c>
      <c r="T472" s="98">
        <v>5.0</v>
      </c>
      <c r="U472" s="98" t="s">
        <v>603</v>
      </c>
      <c r="V472" s="98">
        <v>5.0</v>
      </c>
      <c r="W472" s="98" t="s">
        <v>603</v>
      </c>
      <c r="X472" s="98">
        <v>5.0</v>
      </c>
      <c r="Y472" s="98" t="s">
        <v>603</v>
      </c>
      <c r="Z472" s="98">
        <v>5.0</v>
      </c>
      <c r="AA472" s="98" t="s">
        <v>603</v>
      </c>
      <c r="AB472" s="5"/>
      <c r="AC472" s="47">
        <v>50.0</v>
      </c>
    </row>
    <row r="473" hidden="1">
      <c r="A473" s="76" t="str">
        <f t="array" ref="A473:A474">{"FormulaRow08";(INDEX(CLASSLIST,A458,1))}</f>
        <v>FormulaRow08</v>
      </c>
      <c r="B473" s="77" t="s">
        <v>236</v>
      </c>
      <c r="C473" s="76" t="str">
        <f t="array" ref="C473:C474">{"CLASSTYPE";((INDEX(ALLCLASSDATA,MATCH("ClassType",CLASSFEATUREHEADERS,0),MATCH($A474,CLASSNAMEHEADERS,0))))}</f>
        <v>CLASSTYPE</v>
      </c>
      <c r="D473" s="81" t="str">
        <f t="array" ref="D473:D474">{"CLASSABILITY";"ClassAbility"}</f>
        <v>CLASSABILITY</v>
      </c>
      <c r="E473" s="81" t="str">
        <f t="array" ref="E473:E474">{"CLASSABILITY1";"ClassAbility1"}</f>
        <v>CLASSABILITY1</v>
      </c>
      <c r="F473" s="81"/>
      <c r="G473" s="81"/>
      <c r="H473" s="81"/>
      <c r="I473" s="81"/>
      <c r="J473" s="81" t="str">
        <f t="array" ref="J473:J474">{"CLASSABILITY1-L03";((INDEX(ALLCLASSDATA,MATCH("ClassAbility1-L03",CLASSFEATUREHEADERS,0),MATCH(($A474),CLASSNAMEHEADERS,0))))}</f>
        <v>CLASSABILITY1-L03</v>
      </c>
      <c r="K473" s="81"/>
      <c r="L473" s="81" t="str">
        <f t="array" ref="L473:L474">{"CLASSABILITY1-L05";((INDEX(ALLCLASSDATA,MATCH("ClassAbility1-L05",CLASSFEATUREHEADERS,0),MATCH(($A474),CLASSNAMEHEADERS,0))))}</f>
        <v>CLASSABILITY1-L05</v>
      </c>
      <c r="M473" s="81"/>
      <c r="N473" s="81" t="str">
        <f t="array" ref="N473:N474">{"CLASSABILITY1-L07";((INDEX(ALLCLASSDATA,MATCH("ClassAbility1-L07",CLASSFEATUREHEADERS,0),MATCH(($A474),CLASSNAMEHEADERS,0))))}</f>
        <v>CLASSABILITY1-L07</v>
      </c>
      <c r="O473" s="81"/>
      <c r="P473" s="81" t="str">
        <f t="array" ref="P473:P474">{"CLASSABILITY1-L09";((INDEX(ALLCLASSDATA,MATCH("ClassAbility1-L09",CLASSFEATUREHEADERS,0),MATCH(($A474),CLASSNAMEHEADERS,0))))}</f>
        <v>CLASSABILITY1-L09</v>
      </c>
      <c r="Q473" s="81"/>
      <c r="R473" s="81" t="str">
        <f t="array" ref="R473:R474">{"CLASSABILITY1-L11";((INDEX(ALLCLASSDATA,MATCH("ClassAbility1-L11",CLASSFEATUREHEADERS,0),MATCH(($A474),CLASSNAMEHEADERS,0))))}</f>
        <v>CLASSABILITY1-L11</v>
      </c>
      <c r="S473" s="81"/>
      <c r="T473" s="81" t="str">
        <f t="array" ref="T473:T474">{"CLASSABILITY1-L13";((INDEX(ALLCLASSDATA,MATCH("ClassAbility1-L13",CLASSFEATUREHEADERS,0),MATCH(($A474),CLASSNAMEHEADERS,0))))}</f>
        <v>CLASSABILITY1-L13</v>
      </c>
      <c r="U473" s="81"/>
      <c r="V473" s="81" t="str">
        <f t="array" ref="V473:V474">{"CLASSABILITY1-L15";((INDEX(ALLCLASSDATA,MATCH("ClassAbility1-L15",CLASSFEATUREHEADERS,0),MATCH(($A474),CLASSNAMEHEADERS,0))))}</f>
        <v>CLASSABILITY1-L15</v>
      </c>
      <c r="W473" s="81"/>
      <c r="X473" s="81" t="str">
        <f t="array" ref="X473:X474">{"CLASSABILITY1-L17";((INDEX(ALLCLASSDATA,MATCH("ClassAbility1-L17",CLASSFEATUREHEADERS,0),MATCH(($A474),CLASSNAMEHEADERS,0))))}</f>
        <v>CLASSABILITY1-L17</v>
      </c>
      <c r="Y473" s="81"/>
      <c r="Z473" s="81" t="str">
        <f t="array" ref="Z473:Z474">{"CLASSABILITY1-L19";((INDEX(ALLCLASSDATA,MATCH("ClassAbility1-L19",CLASSFEATUREHEADERS,0),MATCH(($A474),CLASSNAMEHEADERS,0))))}</f>
        <v>CLASSABILITY1-L19</v>
      </c>
      <c r="AA473" s="81"/>
      <c r="AB473" s="76"/>
      <c r="AC473" s="76"/>
    </row>
    <row r="474">
      <c r="A474" s="48" t="s">
        <v>138</v>
      </c>
      <c r="B474" s="48"/>
      <c r="C474" s="48" t="s">
        <v>415</v>
      </c>
      <c r="D474" s="48" t="s">
        <v>825</v>
      </c>
      <c r="E474" s="48" t="s">
        <v>826</v>
      </c>
      <c r="F474" s="5"/>
      <c r="G474" s="47"/>
      <c r="H474" s="5"/>
      <c r="I474" s="5"/>
      <c r="J474" s="5" t="s">
        <v>800</v>
      </c>
      <c r="K474" s="5"/>
      <c r="L474" s="5" t="s">
        <v>1693</v>
      </c>
      <c r="M474" s="5"/>
      <c r="N474" s="5" t="s">
        <v>369</v>
      </c>
      <c r="O474" s="5"/>
      <c r="P474" s="5" t="s">
        <v>1718</v>
      </c>
      <c r="Q474" s="5"/>
      <c r="R474" s="5" t="s">
        <v>1732</v>
      </c>
      <c r="S474" s="5"/>
      <c r="T474" s="5" t="s">
        <v>1750</v>
      </c>
      <c r="U474" s="5"/>
      <c r="V474" s="5" t="s">
        <v>371</v>
      </c>
      <c r="W474" s="5"/>
      <c r="X474" s="5" t="s">
        <v>1772</v>
      </c>
      <c r="Y474" s="5"/>
      <c r="Z474" s="5" t="s">
        <v>1789</v>
      </c>
      <c r="AA474" s="5"/>
      <c r="AB474" s="5"/>
      <c r="AC474" s="47"/>
    </row>
    <row r="475" hidden="1">
      <c r="A475" s="76" t="str">
        <f t="array" ref="A475:A476">{"FormulaRow09";(INDEX(CLASSLIST,A458,1))}</f>
        <v>FormulaRow09</v>
      </c>
      <c r="B475" s="77" t="s">
        <v>236</v>
      </c>
      <c r="C475" s="76" t="str">
        <f t="array" ref="C475:C476">{"CLASSTYPE";((INDEX(ALLCLASSDATA,MATCH("ClassType",CLASSFEATUREHEADERS,0),MATCH($A476,CLASSNAMEHEADERS,0))))}</f>
        <v>CLASSTYPE</v>
      </c>
      <c r="D475" s="76" t="str">
        <f t="array" ref="D475:D476">{"CLASSABILITYPTS";"ClassAbilityPts"}</f>
        <v>CLASSABILITYPTS</v>
      </c>
      <c r="E475" s="76" t="str">
        <f t="array" ref="E475:E476">{"CLASSABILITY1";"ClassAbility1"}</f>
        <v>CLASSABILITY1</v>
      </c>
      <c r="F475" s="76"/>
      <c r="G475" s="76"/>
      <c r="H475" s="76"/>
      <c r="I475" s="76"/>
      <c r="J475" s="76" t="str">
        <f t="array" ref="J475:J476">{"CLASSABILITY1-L03PTS";((INDEX(ALLCLASSDATA,MATCH("ClassAbility1-L03",CLASSFEATUREHEADERS,0),MATCH(($A476 &amp; "Points"),CLASSNAMEHEADERS,0))))}</f>
        <v>CLASSABILITY1-L03PTS</v>
      </c>
      <c r="K475" s="76"/>
      <c r="L475" s="76" t="str">
        <f t="array" ref="L475:L476">{"CLASSABILITY1-L05PTS";((INDEX(ALLCLASSDATA,MATCH("ClassAbility1-L05",CLASSFEATUREHEADERS,0),MATCH(($A476 &amp; "Points"),CLASSNAMEHEADERS,0))))}</f>
        <v>CLASSABILITY1-L05PTS</v>
      </c>
      <c r="M475" s="76"/>
      <c r="N475" s="76" t="str">
        <f t="array" ref="N475:N476">{"CLASSABILITY1-L07PTS";((INDEX(ALLCLASSDATA,MATCH("ClassAbility1-L07",CLASSFEATUREHEADERS,0),MATCH(($A476 &amp; "Points"),CLASSNAMEHEADERS,0))))}</f>
        <v>CLASSABILITY1-L07PTS</v>
      </c>
      <c r="O475" s="76"/>
      <c r="P475" s="76" t="str">
        <f t="array" ref="P475:P476">{"CLASSABILITY1-L09PTS";((INDEX(ALLCLASSDATA,MATCH("ClassAbility1-L09",CLASSFEATUREHEADERS,0),MATCH(($A476 &amp; "Points"),CLASSNAMEHEADERS,0))))}</f>
        <v>CLASSABILITY1-L09PTS</v>
      </c>
      <c r="Q475" s="76"/>
      <c r="R475" s="76" t="str">
        <f t="array" ref="R475:R476">{"CLASSABILITY1-L11PTS";((INDEX(ALLCLASSDATA,MATCH("ClassAbility1-L11",CLASSFEATUREHEADERS,0),MATCH(($A476 &amp; "Points"),CLASSNAMEHEADERS,0))))}</f>
        <v>CLASSABILITY1-L11PTS</v>
      </c>
      <c r="S475" s="76"/>
      <c r="T475" s="76" t="str">
        <f t="array" ref="T475:T476">{"CLASSABILITY1-L13PTS";((INDEX(ALLCLASSDATA,MATCH("ClassAbility1-L13",CLASSFEATUREHEADERS,0),MATCH(($A476 &amp; "Points"),CLASSNAMEHEADERS,0))))}</f>
        <v>CLASSABILITY1-L13PTS</v>
      </c>
      <c r="U475" s="76"/>
      <c r="V475" s="76" t="str">
        <f t="array" ref="V475:V476">{"CLASSABILITY1-L15PTS";((INDEX(ALLCLASSDATA,MATCH("ClassAbility1-L15",CLASSFEATUREHEADERS,0),MATCH(($A476 &amp; "Points"),CLASSNAMEHEADERS,0))))}</f>
        <v>CLASSABILITY1-L15PTS</v>
      </c>
      <c r="W475" s="76"/>
      <c r="X475" s="76" t="str">
        <f t="array" ref="X475:X476">{"CLASSABILITY1-L17PTS";((INDEX(ALLCLASSDATA,MATCH("ClassAbility1-L17",CLASSFEATUREHEADERS,0),MATCH(($A476 &amp; "Points"),CLASSNAMEHEADERS,0))))}</f>
        <v>CLASSABILITY1-L17PTS</v>
      </c>
      <c r="Y475" s="76"/>
      <c r="Z475" s="76" t="str">
        <f t="array" ref="Z475:Z476">{"CLASSABILITY1-L19PTS";((INDEX(ALLCLASSDATA,MATCH("ClassAbility1-L19",CLASSFEATUREHEADERS,0),MATCH(($A476 &amp; "Points"),CLASSNAMEHEADERS,0))))}</f>
        <v>CLASSABILITY1-L19PTS</v>
      </c>
      <c r="AA475" s="76"/>
      <c r="AB475" s="76"/>
      <c r="AC475" s="76" t="str">
        <f t="array" ref="AC475:AC476">{"CLASSABILITY1 TOTAL";(sum(G476:AA476))}</f>
        <v>CLASSABILITY1 TOTAL</v>
      </c>
    </row>
    <row r="476">
      <c r="A476" s="48" t="s">
        <v>138</v>
      </c>
      <c r="B476" s="48"/>
      <c r="C476" s="48" t="s">
        <v>415</v>
      </c>
      <c r="D476" s="48" t="s">
        <v>930</v>
      </c>
      <c r="E476" s="48" t="s">
        <v>826</v>
      </c>
      <c r="F476" s="5"/>
      <c r="G476" s="5"/>
      <c r="H476" s="5"/>
      <c r="I476" s="5"/>
      <c r="J476" s="48">
        <v>30.0</v>
      </c>
      <c r="K476" s="5"/>
      <c r="L476" s="5"/>
      <c r="M476" s="5"/>
      <c r="N476" s="5"/>
      <c r="O476" s="5"/>
      <c r="P476" s="5">
        <v>10.0</v>
      </c>
      <c r="Q476" s="5"/>
      <c r="R476" s="5"/>
      <c r="S476" s="5"/>
      <c r="T476" s="5"/>
      <c r="U476" s="5"/>
      <c r="V476" s="5"/>
      <c r="W476" s="5"/>
      <c r="X476" s="5"/>
      <c r="Y476" s="5"/>
      <c r="Z476" s="5">
        <v>10.0</v>
      </c>
      <c r="AA476" s="5"/>
      <c r="AB476" s="5"/>
      <c r="AC476" s="47">
        <v>50.0</v>
      </c>
    </row>
    <row r="477" hidden="1">
      <c r="A477" s="76" t="str">
        <f t="array" ref="A477:A478">{"FormulaRow10";(INDEX(CLASSLIST,A458,1))}</f>
        <v>FormulaRow10</v>
      </c>
      <c r="B477" s="77" t="s">
        <v>236</v>
      </c>
      <c r="C477" s="76" t="str">
        <f t="array" ref="C477:C478">{"CLASSTYPE";((INDEX(ALLCLASSDATA,MATCH("ClassType",CLASSFEATUREHEADERS,0),MATCH($A478,CLASSNAMEHEADERS,0))))}</f>
        <v>CLASSTYPE</v>
      </c>
      <c r="D477" s="76" t="str">
        <f t="array" ref="D477:D478">{"CLASSABILITY";"ClassAbility"}</f>
        <v>CLASSABILITY</v>
      </c>
      <c r="E477" s="76" t="str">
        <f t="array" ref="E477:E478">{"CLASSABILITY2";"ClassAbility2"}</f>
        <v>CLASSABILITY2</v>
      </c>
      <c r="F477" s="76"/>
      <c r="G477" s="76"/>
      <c r="H477" s="76"/>
      <c r="I477" s="76"/>
      <c r="J477" s="76" t="str">
        <f t="array" ref="J477:J478">{"CLASSABILITY2-L03";((INDEX(ALLCLASSDATA,MATCH("ClassAbility2-L03",CLASSFEATUREHEADERS,0),MATCH(($A478),CLASSNAMEHEADERS,0))))}</f>
        <v>CLASSABILITY2-L03</v>
      </c>
      <c r="K477" s="76"/>
      <c r="L477" s="76" t="str">
        <f t="array" ref="L477:L478">{"CLASSABILITY2-L05";((INDEX(ALLCLASSDATA,MATCH("ClassAbility2-L05",CLASSFEATUREHEADERS,0),MATCH(($A478),CLASSNAMEHEADERS,0))))}</f>
        <v>CLASSABILITY2-L05</v>
      </c>
      <c r="M477" s="76"/>
      <c r="N477" s="76" t="str">
        <f t="array" ref="N477:N478">{"CLASSABILITY2-L07";((INDEX(ALLCLASSDATA,MATCH("ClassAbility2-L07",CLASSFEATUREHEADERS,0),MATCH(($A478),CLASSNAMEHEADERS,0))))}</f>
        <v>CLASSABILITY2-L07</v>
      </c>
      <c r="O477" s="76"/>
      <c r="P477" s="76" t="str">
        <f t="array" ref="P477:P478">{"CLASSABILITY2-L09";((INDEX(ALLCLASSDATA,MATCH("ClassAbility2-L09",CLASSFEATUREHEADERS,0),MATCH(($A478),CLASSNAMEHEADERS,0))))}</f>
        <v>CLASSABILITY2-L09</v>
      </c>
      <c r="Q477" s="76"/>
      <c r="R477" s="76" t="str">
        <f t="array" ref="R477:R478">{"CLASSABILITY2-L11";((INDEX(ALLCLASSDATA,MATCH("ClassAbility2-L11",CLASSFEATUREHEADERS,0),MATCH(($A478),CLASSNAMEHEADERS,0))))}</f>
        <v>CLASSABILITY2-L11</v>
      </c>
      <c r="S477" s="76"/>
      <c r="T477" s="76" t="str">
        <f t="array" ref="T477:T478">{"CLASSABILITY2-L13";((INDEX(ALLCLASSDATA,MATCH("ClassAbility2-L13",CLASSFEATUREHEADERS,0),MATCH(($A478),CLASSNAMEHEADERS,0))))}</f>
        <v>CLASSABILITY2-L13</v>
      </c>
      <c r="U477" s="76"/>
      <c r="V477" s="76" t="str">
        <f t="array" ref="V477:V478">{"CLASSABILITY2-L15";((INDEX(ALLCLASSDATA,MATCH("ClassAbility2-L15",CLASSFEATUREHEADERS,0),MATCH(($A478),CLASSNAMEHEADERS,0))))}</f>
        <v>CLASSABILITY2-L15</v>
      </c>
      <c r="W477" s="76"/>
      <c r="X477" s="76" t="str">
        <f t="array" ref="X477:X478">{"CLASSABILITY2-L17";((INDEX(ALLCLASSDATA,MATCH("ClassAbility2-L17",CLASSFEATUREHEADERS,0),MATCH(($A478),CLASSNAMEHEADERS,0))))}</f>
        <v>CLASSABILITY2-L17</v>
      </c>
      <c r="Y477" s="76"/>
      <c r="Z477" s="76" t="str">
        <f t="array" ref="Z477:Z478">{"CLASSABILITY2-L19";((INDEX(ALLCLASSDATA,MATCH("ClassAbility2-L19",CLASSFEATUREHEADERS,0),MATCH(($A478),CLASSNAMEHEADERS,0))))}</f>
        <v>CLASSABILITY2-L19</v>
      </c>
      <c r="AA477" s="76"/>
      <c r="AB477" s="76"/>
      <c r="AC477" s="76"/>
    </row>
    <row r="478">
      <c r="A478" s="48" t="s">
        <v>138</v>
      </c>
      <c r="B478" s="48"/>
      <c r="C478" s="48" t="s">
        <v>415</v>
      </c>
      <c r="D478" s="48" t="s">
        <v>825</v>
      </c>
      <c r="E478" s="48" t="s">
        <v>1007</v>
      </c>
      <c r="F478" s="48"/>
      <c r="G478" s="47"/>
      <c r="H478" s="5"/>
      <c r="I478" s="5"/>
      <c r="J478" s="5"/>
      <c r="K478" s="5"/>
      <c r="L478" s="5"/>
      <c r="M478" s="5"/>
      <c r="N478" s="5" t="s">
        <v>326</v>
      </c>
      <c r="O478" s="5"/>
      <c r="P478" s="5" t="s">
        <v>314</v>
      </c>
      <c r="Q478" s="5"/>
      <c r="R478" s="5"/>
      <c r="S478" s="5"/>
      <c r="T478" s="5" t="s">
        <v>1755</v>
      </c>
      <c r="U478" s="5"/>
      <c r="V478" s="5" t="s">
        <v>952</v>
      </c>
      <c r="W478" s="5"/>
      <c r="X478" s="5"/>
      <c r="Y478" s="5"/>
      <c r="Z478" s="5" t="s">
        <v>1793</v>
      </c>
      <c r="AA478" s="5"/>
      <c r="AB478" s="5"/>
      <c r="AC478" s="47"/>
    </row>
    <row r="479" hidden="1">
      <c r="A479" s="76" t="str">
        <f t="array" ref="A479:A480">{"FormulaRow11";(INDEX(CLASSLIST,A458,1))}</f>
        <v>FormulaRow11</v>
      </c>
      <c r="B479" s="77" t="s">
        <v>236</v>
      </c>
      <c r="C479" s="76" t="str">
        <f t="array" ref="C479:C480">{"CLASSTYPE";((INDEX(ALLCLASSDATA,MATCH("ClassType",CLASSFEATUREHEADERS,0),MATCH($A480,CLASSNAMEHEADERS,0))))}</f>
        <v>CLASSTYPE</v>
      </c>
      <c r="D479" s="76" t="str">
        <f t="array" ref="D479:D480">{"CLASSABILITYPTS";"ClassAbilityPts"}</f>
        <v>CLASSABILITYPTS</v>
      </c>
      <c r="E479" s="76" t="str">
        <f t="array" ref="E479:E480">{"CLASSABILITY2";"ClassAbility2"}</f>
        <v>CLASSABILITY2</v>
      </c>
      <c r="F479" s="76"/>
      <c r="G479" s="76"/>
      <c r="H479" s="76"/>
      <c r="I479" s="76"/>
      <c r="J479" s="76" t="str">
        <f t="array" ref="J479:J480">{"CLASSABILITY2-L03PTS";((INDEX(ALLCLASSDATA,MATCH("ClassAbility2-L03",CLASSFEATUREHEADERS,0),MATCH(($A480 &amp; "Points"),CLASSNAMEHEADERS,0))))}</f>
        <v>CLASSABILITY2-L03PTS</v>
      </c>
      <c r="K479" s="76"/>
      <c r="L479" s="76" t="str">
        <f t="array" ref="L479:L480">{"CLASSABILITY2-L05PTS";((INDEX(ALLCLASSDATA,MATCH("ClassAbility2-L05",CLASSFEATUREHEADERS,0),MATCH(($A480 &amp; "Points"),CLASSNAMEHEADERS,0))))}</f>
        <v>CLASSABILITY2-L05PTS</v>
      </c>
      <c r="M479" s="76"/>
      <c r="N479" s="76" t="str">
        <f t="array" ref="N479:N480">{"CLASSABILITY2-L07PTS";((INDEX(ALLCLASSDATA,MATCH("ClassAbility2-L07",CLASSFEATUREHEADERS,0),MATCH(($A480 &amp; "Points"),CLASSNAMEHEADERS,0))))}</f>
        <v>CLASSABILITY2-L07PTS</v>
      </c>
      <c r="O479" s="76"/>
      <c r="P479" s="76" t="str">
        <f t="array" ref="P479:P480">{"CLASSABILITY2-L09PTS";((INDEX(ALLCLASSDATA,MATCH("ClassAbility2-L09",CLASSFEATUREHEADERS,0),MATCH(($A480 &amp; "Points"),CLASSNAMEHEADERS,0))))}</f>
        <v>CLASSABILITY2-L09PTS</v>
      </c>
      <c r="Q479" s="76"/>
      <c r="R479" s="76" t="str">
        <f t="array" ref="R479:R480">{"CLASSABILITY2-L11PTS";((INDEX(ALLCLASSDATA,MATCH("ClassAbility2-L11",CLASSFEATUREHEADERS,0),MATCH(($A480 &amp; "Points"),CLASSNAMEHEADERS,0))))}</f>
        <v>CLASSABILITY2-L11PTS</v>
      </c>
      <c r="S479" s="76"/>
      <c r="T479" s="76" t="str">
        <f t="array" ref="T479:T480">{"CLASSABILITY2-L13PTS";((INDEX(ALLCLASSDATA,MATCH("ClassAbility2-L13",CLASSFEATUREHEADERS,0),MATCH(($A480 &amp; "Points"),CLASSNAMEHEADERS,0))))}</f>
        <v>CLASSABILITY2-L13PTS</v>
      </c>
      <c r="U479" s="76"/>
      <c r="V479" s="76" t="str">
        <f t="array" ref="V479:V480">{"CLASSABILITY2-L15PTS";((INDEX(ALLCLASSDATA,MATCH("ClassAbility2-L15",CLASSFEATUREHEADERS,0),MATCH(($A480 &amp; "Points"),CLASSNAMEHEADERS,0))))}</f>
        <v>CLASSABILITY2-L15PTS</v>
      </c>
      <c r="W479" s="76"/>
      <c r="X479" s="76" t="str">
        <f t="array" ref="X479:X480">{"CLASSABILITY2-L17PTS";((INDEX(ALLCLASSDATA,MATCH("ClassAbility2-L17",CLASSFEATUREHEADERS,0),MATCH(($A480 &amp; "Points"),CLASSNAMEHEADERS,0))))}</f>
        <v>CLASSABILITY2-L17PTS</v>
      </c>
      <c r="Y479" s="76"/>
      <c r="Z479" s="76" t="str">
        <f t="array" ref="Z479:Z480">{"CLASSABILITY2-L19PTS";((INDEX(ALLCLASSDATA,MATCH("ClassAbility2-L19",CLASSFEATUREHEADERS,0),MATCH(($A480 &amp; "Points"),CLASSNAMEHEADERS,0))))}</f>
        <v>CLASSABILITY2-L19PTS</v>
      </c>
      <c r="AA479" s="76"/>
      <c r="AB479" s="76"/>
      <c r="AC479" s="76" t="str">
        <f t="array" ref="AC479:AC480">{"CLASSABILITY2 TOTAL";(sum(G480:AA480))}</f>
        <v>CLASSABILITY2 TOTAL</v>
      </c>
    </row>
    <row r="480">
      <c r="A480" s="48" t="s">
        <v>138</v>
      </c>
      <c r="B480" s="48"/>
      <c r="C480" s="48" t="s">
        <v>415</v>
      </c>
      <c r="D480" s="48" t="s">
        <v>930</v>
      </c>
      <c r="E480" s="48" t="s">
        <v>1007</v>
      </c>
      <c r="F480" s="48"/>
      <c r="G480" s="47"/>
      <c r="H480" s="5"/>
      <c r="I480" s="5"/>
      <c r="J480" s="5"/>
      <c r="K480" s="5"/>
      <c r="L480" s="5"/>
      <c r="M480" s="5"/>
      <c r="N480" s="5"/>
      <c r="O480" s="5"/>
      <c r="P480" s="5"/>
      <c r="Q480" s="5"/>
      <c r="R480" s="5"/>
      <c r="S480" s="5"/>
      <c r="T480" s="5"/>
      <c r="U480" s="5"/>
      <c r="V480" s="5">
        <v>10.0</v>
      </c>
      <c r="W480" s="5"/>
      <c r="X480" s="5"/>
      <c r="Y480" s="5"/>
      <c r="Z480" s="5"/>
      <c r="AA480" s="5"/>
      <c r="AB480" s="5"/>
      <c r="AC480" s="47">
        <v>10.0</v>
      </c>
    </row>
    <row r="481" hidden="1">
      <c r="A481" s="76" t="str">
        <f t="array" ref="A481:A482">{"FormulaRow12";(INDEX(CLASSLIST,A458,1))}</f>
        <v>FormulaRow12</v>
      </c>
      <c r="B481" s="77" t="s">
        <v>236</v>
      </c>
      <c r="C481" s="76" t="str">
        <f t="array" ref="C481:C482">{"CLASSTYPE";((INDEX(ALLCLASSDATA,MATCH("ClassType",CLASSFEATUREHEADERS,0),MATCH($A482,CLASSNAMEHEADERS,0))))}</f>
        <v>CLASSTYPE</v>
      </c>
      <c r="D481" s="76" t="str">
        <f t="array" ref="D481:D482">{"CLASSABILITY";"ClassAbility"}</f>
        <v>CLASSABILITY</v>
      </c>
      <c r="E481" s="76" t="str">
        <f t="array" ref="E481:E482">{"CLASSABILITY3";"ClassAbility3"}</f>
        <v>CLASSABILITY3</v>
      </c>
      <c r="F481" s="76"/>
      <c r="G481" s="76"/>
      <c r="H481" s="76"/>
      <c r="I481" s="76"/>
      <c r="J481" s="76" t="str">
        <f t="array" ref="J481:J482">{"CLASSABILITY3-L03";((INDEX(ALLCLASSDATA,MATCH("ClassAbility3-L03",CLASSFEATUREHEADERS,0),MATCH(($A482),CLASSNAMEHEADERS,0))))}</f>
        <v>CLASSABILITY3-L03</v>
      </c>
      <c r="K481" s="76"/>
      <c r="L481" s="76" t="str">
        <f t="array" ref="L481:L482">{"CLASSABILITY3-L05";((INDEX(ALLCLASSDATA,MATCH("ClassAbility3-L05",CLASSFEATUREHEADERS,0),MATCH(($A482),CLASSNAMEHEADERS,0))))}</f>
        <v>CLASSABILITY3-L05</v>
      </c>
      <c r="M481" s="76"/>
      <c r="N481" s="76" t="str">
        <f t="array" ref="N481:N482">{"CLASSABILITY3-L07";((INDEX(ALLCLASSDATA,MATCH("ClassAbility3-L07",CLASSFEATUREHEADERS,0),MATCH(($A482),CLASSNAMEHEADERS,0))))}</f>
        <v>CLASSABILITY3-L07</v>
      </c>
      <c r="O481" s="76"/>
      <c r="P481" s="76" t="str">
        <f t="array" ref="P481:P482">{"CLASSABILITY3-L09";((INDEX(ALLCLASSDATA,MATCH("ClassAbility3-L09",CLASSFEATUREHEADERS,0),MATCH(($A482),CLASSNAMEHEADERS,0))))}</f>
        <v>CLASSABILITY3-L09</v>
      </c>
      <c r="Q481" s="76"/>
      <c r="R481" s="76" t="str">
        <f t="array" ref="R481:R482">{"CLASSABILITY3-L11";((INDEX(ALLCLASSDATA,MATCH("ClassAbility3-L11",CLASSFEATUREHEADERS,0),MATCH(($A482),CLASSNAMEHEADERS,0))))}</f>
        <v>CLASSABILITY3-L11</v>
      </c>
      <c r="S481" s="76"/>
      <c r="T481" s="76" t="str">
        <f t="array" ref="T481:T482">{"CLASSABILITY3-L13";((INDEX(ALLCLASSDATA,MATCH("ClassAbility3-L13",CLASSFEATUREHEADERS,0),MATCH(($A482),CLASSNAMEHEADERS,0))))}</f>
        <v>CLASSABILITY3-L13</v>
      </c>
      <c r="U481" s="76"/>
      <c r="V481" s="76" t="str">
        <f t="array" ref="V481:V482">{"CLASSABILITY3-L15";((INDEX(ALLCLASSDATA,MATCH("ClassAbility3-L15",CLASSFEATUREHEADERS,0),MATCH(($A482),CLASSNAMEHEADERS,0))))}</f>
        <v>CLASSABILITY3-L15</v>
      </c>
      <c r="W481" s="76"/>
      <c r="X481" s="76" t="str">
        <f t="array" ref="X481:X482">{"CLASSABILITY3-L17";((INDEX(ALLCLASSDATA,MATCH("ClassAbility3-L17",CLASSFEATUREHEADERS,0),MATCH(($A482),CLASSNAMEHEADERS,0))))}</f>
        <v>CLASSABILITY3-L17</v>
      </c>
      <c r="Y481" s="76"/>
      <c r="Z481" s="76" t="str">
        <f t="array" ref="Z481:Z482">{"CLASSABILITY3-L19";((INDEX(ALLCLASSDATA,MATCH("ClassAbility3-L19",CLASSFEATUREHEADERS,0),MATCH(($A482),CLASSNAMEHEADERS,0))))}</f>
        <v>CLASSABILITY3-L19</v>
      </c>
      <c r="AA481" s="76"/>
      <c r="AB481" s="76"/>
      <c r="AC481" s="76"/>
    </row>
    <row r="482">
      <c r="A482" s="48" t="s">
        <v>138</v>
      </c>
      <c r="B482" s="48"/>
      <c r="C482" s="48" t="s">
        <v>415</v>
      </c>
      <c r="D482" s="48" t="s">
        <v>825</v>
      </c>
      <c r="E482" s="48" t="s">
        <v>1144</v>
      </c>
      <c r="F482" s="48"/>
      <c r="G482" s="47"/>
      <c r="H482" s="5"/>
      <c r="I482" s="5"/>
      <c r="J482" s="5"/>
      <c r="K482" s="5"/>
      <c r="L482" s="5"/>
      <c r="M482" s="5"/>
      <c r="N482" s="5" t="s">
        <v>308</v>
      </c>
      <c r="O482" s="5"/>
      <c r="P482" s="5"/>
      <c r="Q482" s="5"/>
      <c r="R482" s="5"/>
      <c r="S482" s="5"/>
      <c r="T482" s="5" t="s">
        <v>329</v>
      </c>
      <c r="U482" s="5"/>
      <c r="V482" s="5"/>
      <c r="W482" s="5"/>
      <c r="X482" s="5"/>
      <c r="Y482" s="5"/>
      <c r="Z482" s="5"/>
      <c r="AA482" s="5"/>
      <c r="AB482" s="5"/>
      <c r="AC482" s="47"/>
    </row>
    <row r="483" hidden="1">
      <c r="A483" s="76" t="str">
        <f t="array" ref="A483:A484">{"FormulaRow13";(INDEX(CLASSLIST,A458,1))}</f>
        <v>FormulaRow13</v>
      </c>
      <c r="B483" s="77" t="s">
        <v>236</v>
      </c>
      <c r="C483" s="76" t="str">
        <f t="array" ref="C483:C484">{"CLASSTYPE";((INDEX(ALLCLASSDATA,MATCH("ClassType",CLASSFEATUREHEADERS,0),MATCH($A484,CLASSNAMEHEADERS,0))))}</f>
        <v>CLASSTYPE</v>
      </c>
      <c r="D483" s="76" t="str">
        <f t="array" ref="D483:D484">{"CLASSABILITYPTS";"ClassAbilityPts"}</f>
        <v>CLASSABILITYPTS</v>
      </c>
      <c r="E483" s="76" t="str">
        <f t="array" ref="E483:E484">{"CLASSABILITY3";"ClassAbility3"}</f>
        <v>CLASSABILITY3</v>
      </c>
      <c r="F483" s="76"/>
      <c r="G483" s="76"/>
      <c r="H483" s="76"/>
      <c r="I483" s="76"/>
      <c r="J483" s="76" t="str">
        <f t="array" ref="J483:J484">{"CLASSABILITY3-L03PTS";((INDEX(ALLCLASSDATA,MATCH("ClassAbility3-L03",CLASSFEATUREHEADERS,0),MATCH(($A484 &amp; "Points"),CLASSNAMEHEADERS,0))))}</f>
        <v>CLASSABILITY3-L03PTS</v>
      </c>
      <c r="K483" s="76"/>
      <c r="L483" s="76" t="str">
        <f t="array" ref="L483:L484">{"CLASSABILITY3-L05PTS";((INDEX(ALLCLASSDATA,MATCH("ClassAbility3-L05",CLASSFEATUREHEADERS,0),MATCH(($A484 &amp; "Points"),CLASSNAMEHEADERS,0))))}</f>
        <v>CLASSABILITY3-L05PTS</v>
      </c>
      <c r="M483" s="76"/>
      <c r="N483" s="76" t="str">
        <f t="array" ref="N483:N484">{"CLASSABILITY3-L07PTS";((INDEX(ALLCLASSDATA,MATCH("ClassAbility3-L07",CLASSFEATUREHEADERS,0),MATCH(($A484 &amp; "Points"),CLASSNAMEHEADERS,0))))}</f>
        <v>CLASSABILITY3-L07PTS</v>
      </c>
      <c r="O483" s="76"/>
      <c r="P483" s="76" t="str">
        <f t="array" ref="P483:P484">{"CLASSABILITY3-L09PTS";((INDEX(ALLCLASSDATA,MATCH("ClassAbility3-L09",CLASSFEATUREHEADERS,0),MATCH(($A484 &amp; "Points"),CLASSNAMEHEADERS,0))))}</f>
        <v>CLASSABILITY3-L09PTS</v>
      </c>
      <c r="Q483" s="76"/>
      <c r="R483" s="76" t="str">
        <f t="array" ref="R483:R484">{"CLASSABILITY3-L11PTS";((INDEX(ALLCLASSDATA,MATCH("ClassAbility3-L11",CLASSFEATUREHEADERS,0),MATCH(($A484 &amp; "Points"),CLASSNAMEHEADERS,0))))}</f>
        <v>CLASSABILITY3-L11PTS</v>
      </c>
      <c r="S483" s="76"/>
      <c r="T483" s="76" t="str">
        <f t="array" ref="T483:T484">{"CLASSABILITY3-L13PTS";((INDEX(ALLCLASSDATA,MATCH("ClassAbility3-L13",CLASSFEATUREHEADERS,0),MATCH(($A484 &amp; "Points"),CLASSNAMEHEADERS,0))))}</f>
        <v>CLASSABILITY3-L13PTS</v>
      </c>
      <c r="U483" s="76"/>
      <c r="V483" s="76" t="str">
        <f t="array" ref="V483:V484">{"CLASSABILITY3-L15PTS";((INDEX(ALLCLASSDATA,MATCH("ClassAbility3-L15",CLASSFEATUREHEADERS,0),MATCH(($A484 &amp; "Points"),CLASSNAMEHEADERS,0))))}</f>
        <v>CLASSABILITY3-L15PTS</v>
      </c>
      <c r="W483" s="76"/>
      <c r="X483" s="76" t="str">
        <f t="array" ref="X483:X484">{"CLASSABILITY3-L17PTS";((INDEX(ALLCLASSDATA,MATCH("ClassAbility3-L17",CLASSFEATUREHEADERS,0),MATCH(($A484 &amp; "Points"),CLASSNAMEHEADERS,0))))}</f>
        <v>CLASSABILITY3-L17PTS</v>
      </c>
      <c r="Y483" s="76"/>
      <c r="Z483" s="76" t="str">
        <f t="array" ref="Z483:Z484">{"CLASSABILITY3-L19PTS";((INDEX(ALLCLASSDATA,MATCH("ClassAbility3-L19",CLASSFEATUREHEADERS,0),MATCH(($A484 &amp; "Points"),CLASSNAMEHEADERS,0))))}</f>
        <v>CLASSABILITY3-L19PTS</v>
      </c>
      <c r="AA483" s="76"/>
      <c r="AB483" s="76"/>
      <c r="AC483" s="76" t="str">
        <f t="array" ref="AC483:AC484">{"CLASSABILITY3 TOTAL";(sum(G484:AA484))}</f>
        <v>CLASSABILITY3 TOTAL</v>
      </c>
    </row>
    <row r="484">
      <c r="A484" s="48" t="s">
        <v>138</v>
      </c>
      <c r="B484" s="48"/>
      <c r="C484" s="48" t="s">
        <v>415</v>
      </c>
      <c r="D484" s="48" t="s">
        <v>930</v>
      </c>
      <c r="E484" s="48" t="s">
        <v>1144</v>
      </c>
      <c r="F484" s="48"/>
      <c r="G484" s="47"/>
      <c r="H484" s="5"/>
      <c r="I484" s="5"/>
      <c r="J484" s="5"/>
      <c r="K484" s="5"/>
      <c r="L484" s="5"/>
      <c r="M484" s="5"/>
      <c r="N484" s="5"/>
      <c r="O484" s="5"/>
      <c r="P484" s="5"/>
      <c r="Q484" s="5"/>
      <c r="R484" s="5"/>
      <c r="S484" s="5"/>
      <c r="T484" s="5"/>
      <c r="U484" s="5"/>
      <c r="V484" s="5"/>
      <c r="W484" s="5"/>
      <c r="X484" s="5"/>
      <c r="Y484" s="5"/>
      <c r="Z484" s="5"/>
      <c r="AA484" s="5"/>
      <c r="AB484" s="5"/>
      <c r="AC484" s="47">
        <v>0.0</v>
      </c>
    </row>
    <row r="485" hidden="1">
      <c r="A485" s="76" t="str">
        <f t="array" ref="A485:A486">{"FormulaRow14";(INDEX(CLASSLIST,A458,1))}</f>
        <v>FormulaRow14</v>
      </c>
      <c r="B485" s="77" t="s">
        <v>236</v>
      </c>
      <c r="C485" s="76" t="str">
        <f t="array" ref="C485:C486">{"CLASSTYPE";((INDEX(ALLCLASSDATA,MATCH("ClassType",CLASSFEATUREHEADERS,0),MATCH($A486,CLASSNAMEHEADERS,0))))}</f>
        <v>CLASSTYPE</v>
      </c>
      <c r="D485" s="76" t="str">
        <f t="array" ref="D485:D486">{"CLASSABILITY";"ClassAbility"}</f>
        <v>CLASSABILITY</v>
      </c>
      <c r="E485" s="76" t="str">
        <f t="array" ref="E485:E486">{"CLASSABILITY4";"ClassAbility4"}</f>
        <v>CLASSABILITY4</v>
      </c>
      <c r="F485" s="76"/>
      <c r="G485" s="76"/>
      <c r="H485" s="76"/>
      <c r="I485" s="76"/>
      <c r="J485" s="76" t="str">
        <f t="array" ref="J485:J486">{"CLASSABILITY4-L03";((INDEX(ALLCLASSDATA,MATCH("ClassAbility4-L03",CLASSFEATUREHEADERS,0),MATCH(($A486),CLASSNAMEHEADERS,0))))}</f>
        <v>CLASSABILITY4-L03</v>
      </c>
      <c r="K485" s="76"/>
      <c r="L485" s="76" t="str">
        <f t="array" ref="L485:L486">{"CLASSABILITY4-L05";((INDEX(ALLCLASSDATA,MATCH("ClassAbility4-L05",CLASSFEATUREHEADERS,0),MATCH(($A486),CLASSNAMEHEADERS,0))))}</f>
        <v>CLASSABILITY4-L05</v>
      </c>
      <c r="M485" s="76"/>
      <c r="N485" s="76" t="str">
        <f t="array" ref="N485:N486">{"CLASSABILITY4-L07";((INDEX(ALLCLASSDATA,MATCH("ClassAbility4-L07",CLASSFEATUREHEADERS,0),MATCH(($A486),CLASSNAMEHEADERS,0))))}</f>
        <v>CLASSABILITY4-L07</v>
      </c>
      <c r="O485" s="76"/>
      <c r="P485" s="76" t="str">
        <f t="array" ref="P485:P486">{"CLASSABILITY4-L09";((INDEX(ALLCLASSDATA,MATCH("ClassAbility4-L09",CLASSFEATUREHEADERS,0),MATCH(($A486),CLASSNAMEHEADERS,0))))}</f>
        <v>CLASSABILITY4-L09</v>
      </c>
      <c r="Q485" s="76"/>
      <c r="R485" s="76" t="str">
        <f t="array" ref="R485:R486">{"CLASSABILITY4-L11";((INDEX(ALLCLASSDATA,MATCH("ClassAbility4-L11",CLASSFEATUREHEADERS,0),MATCH(($A486),CLASSNAMEHEADERS,0))))}</f>
        <v>CLASSABILITY4-L11</v>
      </c>
      <c r="S485" s="76"/>
      <c r="T485" s="76" t="str">
        <f t="array" ref="T485:T486">{"CLASSABILITY4-L13";((INDEX(ALLCLASSDATA,MATCH("ClassAbility4-L13",CLASSFEATUREHEADERS,0),MATCH(($A486),CLASSNAMEHEADERS,0))))}</f>
        <v>CLASSABILITY4-L13</v>
      </c>
      <c r="U485" s="76"/>
      <c r="V485" s="76" t="str">
        <f t="array" ref="V485:V486">{"CLASSABILITY4-L15";((INDEX(ALLCLASSDATA,MATCH("ClassAbility4-L15",CLASSFEATUREHEADERS,0),MATCH(($A486),CLASSNAMEHEADERS,0))))}</f>
        <v>CLASSABILITY4-L15</v>
      </c>
      <c r="W485" s="76"/>
      <c r="X485" s="76" t="str">
        <f t="array" ref="X485:X486">{"CLASSABILITY4-L17";((INDEX(ALLCLASSDATA,MATCH("ClassAbility4-L17",CLASSFEATUREHEADERS,0),MATCH(($A486),CLASSNAMEHEADERS,0))))}</f>
        <v>CLASSABILITY4-L17</v>
      </c>
      <c r="Y485" s="76"/>
      <c r="Z485" s="76" t="str">
        <f t="array" ref="Z485:Z486">{"CLASSABILITY4-L19";((INDEX(ALLCLASSDATA,MATCH("ClassAbility4-L19",CLASSFEATUREHEADERS,0),MATCH(($A486),CLASSNAMEHEADERS,0))))}</f>
        <v>CLASSABILITY4-L19</v>
      </c>
      <c r="AA485" s="76"/>
      <c r="AB485" s="76"/>
      <c r="AC485" s="76"/>
    </row>
    <row r="486">
      <c r="A486" s="48" t="s">
        <v>138</v>
      </c>
      <c r="B486" s="48"/>
      <c r="C486" s="48" t="s">
        <v>415</v>
      </c>
      <c r="D486" s="48" t="s">
        <v>825</v>
      </c>
      <c r="E486" s="48" t="s">
        <v>1273</v>
      </c>
      <c r="F486" s="48"/>
      <c r="G486" s="47"/>
      <c r="H486" s="5"/>
      <c r="I486" s="5"/>
      <c r="J486" s="5"/>
      <c r="K486" s="5"/>
      <c r="L486" s="5"/>
      <c r="M486" s="5"/>
      <c r="N486" s="5"/>
      <c r="O486" s="5"/>
      <c r="P486" s="5"/>
      <c r="Q486" s="5"/>
      <c r="R486" s="5"/>
      <c r="S486" s="5"/>
      <c r="T486" s="5" t="s">
        <v>311</v>
      </c>
      <c r="U486" s="5"/>
      <c r="V486" s="5"/>
      <c r="W486" s="5"/>
      <c r="X486" s="5"/>
      <c r="Y486" s="5"/>
      <c r="Z486" s="5"/>
      <c r="AA486" s="5"/>
      <c r="AB486" s="5"/>
      <c r="AC486" s="47"/>
    </row>
    <row r="487" hidden="1">
      <c r="A487" s="76" t="str">
        <f t="array" ref="A487:A488">{"FormulaRow15";(INDEX(CLASSLIST,A458,1))}</f>
        <v>FormulaRow15</v>
      </c>
      <c r="B487" s="77" t="s">
        <v>236</v>
      </c>
      <c r="C487" s="76" t="str">
        <f t="array" ref="C487:C488">{"CLASSTYPE";((INDEX(ALLCLASSDATA,MATCH("ClassType",CLASSFEATUREHEADERS,0),MATCH($A488,CLASSNAMEHEADERS,0))))}</f>
        <v>CLASSTYPE</v>
      </c>
      <c r="D487" s="76" t="str">
        <f t="array" ref="D487:D488">{"CLASSABILITYPTS";"ClassAbilityPts"}</f>
        <v>CLASSABILITYPTS</v>
      </c>
      <c r="E487" s="76" t="str">
        <f t="array" ref="E487:E488">{"CLASSABILITY4";"ClassAbility4"}</f>
        <v>CLASSABILITY4</v>
      </c>
      <c r="F487" s="76"/>
      <c r="G487" s="76"/>
      <c r="H487" s="76"/>
      <c r="I487" s="76"/>
      <c r="J487" s="76" t="str">
        <f t="array" ref="J487:J488">{"CLASSABILITY4-L03PTS";((INDEX(ALLCLASSDATA,MATCH("ClassAbility4-L03",CLASSFEATUREHEADERS,0),MATCH(($A488 &amp; "Points"),CLASSNAMEHEADERS,0))))}</f>
        <v>CLASSABILITY4-L03PTS</v>
      </c>
      <c r="K487" s="76"/>
      <c r="L487" s="76" t="str">
        <f t="array" ref="L487:L488">{"CLASSABILITY4-L05PTS";((INDEX(ALLCLASSDATA,MATCH("ClassAbility4-L05",CLASSFEATUREHEADERS,0),MATCH(($A488 &amp; "Points"),CLASSNAMEHEADERS,0))))}</f>
        <v>CLASSABILITY4-L05PTS</v>
      </c>
      <c r="M487" s="76"/>
      <c r="N487" s="76" t="str">
        <f t="array" ref="N487:N488">{"CLASSABILITY4-L07PTS";((INDEX(ALLCLASSDATA,MATCH("ClassAbility4-L07",CLASSFEATUREHEADERS,0),MATCH(($A488 &amp; "Points"),CLASSNAMEHEADERS,0))))}</f>
        <v>CLASSABILITY4-L07PTS</v>
      </c>
      <c r="O487" s="76"/>
      <c r="P487" s="76" t="str">
        <f t="array" ref="P487:P488">{"CLASSABILITY4-L09PTS";((INDEX(ALLCLASSDATA,MATCH("ClassAbility4-L09",CLASSFEATUREHEADERS,0),MATCH(($A488 &amp; "Points"),CLASSNAMEHEADERS,0))))}</f>
        <v>CLASSABILITY4-L09PTS</v>
      </c>
      <c r="Q487" s="76"/>
      <c r="R487" s="76" t="str">
        <f t="array" ref="R487:R488">{"CLASSABILITY4-L11PTS";((INDEX(ALLCLASSDATA,MATCH("ClassAbility4-L11",CLASSFEATUREHEADERS,0),MATCH(($A488 &amp; "Points"),CLASSNAMEHEADERS,0))))}</f>
        <v>CLASSABILITY4-L11PTS</v>
      </c>
      <c r="S487" s="76"/>
      <c r="T487" s="76" t="str">
        <f t="array" ref="T487:T488">{"CLASSABILITY4-L13PTS";((INDEX(ALLCLASSDATA,MATCH("ClassAbility4-L13",CLASSFEATUREHEADERS,0),MATCH(($A488 &amp; "Points"),CLASSNAMEHEADERS,0))))}</f>
        <v>CLASSABILITY4-L13PTS</v>
      </c>
      <c r="U487" s="76"/>
      <c r="V487" s="76" t="str">
        <f t="array" ref="V487:V488">{"CLASSABILITY4-L15PTS";((INDEX(ALLCLASSDATA,MATCH("ClassAbility4-L15",CLASSFEATUREHEADERS,0),MATCH(($A488 &amp; "Points"),CLASSNAMEHEADERS,0))))}</f>
        <v>CLASSABILITY4-L15PTS</v>
      </c>
      <c r="W487" s="76"/>
      <c r="X487" s="76" t="str">
        <f t="array" ref="X487:X488">{"CLASSABILITY4-L17PTS";((INDEX(ALLCLASSDATA,MATCH("ClassAbility4-L17",CLASSFEATUREHEADERS,0),MATCH(($A488 &amp; "Points"),CLASSNAMEHEADERS,0))))}</f>
        <v>CLASSABILITY4-L17PTS</v>
      </c>
      <c r="Y487" s="76"/>
      <c r="Z487" s="76" t="str">
        <f t="array" ref="Z487:Z488">{"CLASSABILITY4-L19PTS";((INDEX(ALLCLASSDATA,MATCH("ClassAbility4-L19",CLASSFEATUREHEADERS,0),MATCH(($A488 &amp; "Points"),CLASSNAMEHEADERS,0))))}</f>
        <v>CLASSABILITY4-L19PTS</v>
      </c>
      <c r="AA487" s="76"/>
      <c r="AB487" s="76"/>
      <c r="AC487" s="76" t="str">
        <f t="array" ref="AC487:AC488">{"CLASSABILITY4 TOTAL";(sum(G488:AA488))}</f>
        <v>CLASSABILITY4 TOTAL</v>
      </c>
    </row>
    <row r="488">
      <c r="A488" s="48" t="s">
        <v>138</v>
      </c>
      <c r="B488" s="48"/>
      <c r="C488" s="48" t="s">
        <v>415</v>
      </c>
      <c r="D488" s="48" t="s">
        <v>930</v>
      </c>
      <c r="E488" s="48" t="s">
        <v>1273</v>
      </c>
      <c r="F488" s="48"/>
      <c r="G488" s="47"/>
      <c r="H488" s="5"/>
      <c r="I488" s="5"/>
      <c r="J488" s="5"/>
      <c r="K488" s="5"/>
      <c r="L488" s="5"/>
      <c r="M488" s="5"/>
      <c r="N488" s="5"/>
      <c r="O488" s="5"/>
      <c r="P488" s="5"/>
      <c r="Q488" s="5"/>
      <c r="R488" s="5"/>
      <c r="S488" s="5"/>
      <c r="T488" s="5"/>
      <c r="U488" s="5"/>
      <c r="V488" s="5"/>
      <c r="W488" s="5"/>
      <c r="X488" s="5"/>
      <c r="Y488" s="5"/>
      <c r="Z488" s="5"/>
      <c r="AA488" s="5"/>
      <c r="AB488" s="5"/>
      <c r="AC488" s="47">
        <v>0.0</v>
      </c>
    </row>
    <row r="489" hidden="1">
      <c r="A489" s="76" t="str">
        <f t="array" ref="A489:A490">{"FormulaRow16";(INDEX(CLASSLIST,A458,1))}</f>
        <v>FormulaRow16</v>
      </c>
      <c r="B489" s="77" t="s">
        <v>236</v>
      </c>
      <c r="C489" s="76" t="str">
        <f t="array" ref="C489:C490">{"CLASSTYPE";((INDEX(ALLCLASSDATA,MATCH("ClassType",CLASSFEATUREHEADERS,0),MATCH($A490,CLASSNAMEHEADERS,0))))}</f>
        <v>CLASSTYPE</v>
      </c>
      <c r="D489" s="76" t="str">
        <f t="array" ref="D489:D490">{"CLASSABILITY";"ClassAbility"}</f>
        <v>CLASSABILITY</v>
      </c>
      <c r="E489" s="76" t="str">
        <f t="array" ref="E489:E490">{"SUBCLASSABILITY1";"SubclassAbility1"}</f>
        <v>SUBCLASSABILITY1</v>
      </c>
      <c r="F489" s="76"/>
      <c r="G489" s="76"/>
      <c r="H489" s="76"/>
      <c r="I489" s="76"/>
      <c r="J489" s="76" t="str">
        <f t="array" ref="J489:J490">{"SUBCLASSABILITY1-L03";((INDEX(ALLCLASSDATA,MATCH("SubclassAbility1-L03",CLASSFEATUREHEADERS,0),MATCH(($A490),CLASSNAMEHEADERS,0))))}</f>
        <v>SUBCLASSABILITY1-L03</v>
      </c>
      <c r="K489" s="76"/>
      <c r="L489" s="76" t="str">
        <f t="array" ref="L489:L490">{"SUBCLASSABILITY1-L05";((INDEX(ALLCLASSDATA,MATCH("SubclassAbility1-L05",CLASSFEATUREHEADERS,0),MATCH(($A490),CLASSNAMEHEADERS,0))))}</f>
        <v>SUBCLASSABILITY1-L05</v>
      </c>
      <c r="M489" s="76"/>
      <c r="N489" s="76" t="str">
        <f t="array" ref="N489:N490">{"SUBCLASSABILITY1-L07";((INDEX(ALLCLASSDATA,MATCH("SubclassAbility1-L07",CLASSFEATUREHEADERS,0),MATCH(($A490),CLASSNAMEHEADERS,0))))}</f>
        <v>SUBCLASSABILITY1-L07</v>
      </c>
      <c r="O489" s="76"/>
      <c r="P489" s="76" t="str">
        <f t="array" ref="P489:P490">{"SUBCLASSABILITY1-L09";((INDEX(ALLCLASSDATA,MATCH("SubclassAbility1-L09",CLASSFEATUREHEADERS,0),MATCH(($A490),CLASSNAMEHEADERS,0))))}</f>
        <v>SUBCLASSABILITY1-L09</v>
      </c>
      <c r="Q489" s="76"/>
      <c r="R489" s="76" t="str">
        <f t="array" ref="R489:R490">{"SUBCLASSABILITY1-L11";((INDEX(ALLCLASSDATA,MATCH("SubclassAbility1-L11",CLASSFEATUREHEADERS,0),MATCH(($A490),CLASSNAMEHEADERS,0))))}</f>
        <v>SUBCLASSABILITY1-L11</v>
      </c>
      <c r="S489" s="76"/>
      <c r="T489" s="76" t="str">
        <f t="array" ref="T489:T490">{"SUBCLASSABILITY1-L13";((INDEX(ALLCLASSDATA,MATCH("SubclassAbility1-L13",CLASSFEATUREHEADERS,0),MATCH(($A490),CLASSNAMEHEADERS,0))))}</f>
        <v>SUBCLASSABILITY1-L13</v>
      </c>
      <c r="U489" s="76"/>
      <c r="V489" s="76" t="str">
        <f t="array" ref="V489:V490">{"SUBCLASSABILITY1-L15";((INDEX(ALLCLASSDATA,MATCH("SubclassAbility1-L15",CLASSFEATUREHEADERS,0),MATCH(($A490),CLASSNAMEHEADERS,0))))}</f>
        <v>SUBCLASSABILITY1-L15</v>
      </c>
      <c r="W489" s="76"/>
      <c r="X489" s="76" t="str">
        <f t="array" ref="X489:X490">{"SUBCLASSABILITY1-L17";((INDEX(ALLCLASSDATA,MATCH("SubclassAbility1-L17",CLASSFEATUREHEADERS,0),MATCH(($A490),CLASSNAMEHEADERS,0))))}</f>
        <v>SUBCLASSABILITY1-L17</v>
      </c>
      <c r="Y489" s="76"/>
      <c r="Z489" s="76" t="str">
        <f t="array" ref="Z489:Z490">{"SUBCLASSABILITY1-L19";((INDEX(ALLCLASSDATA,MATCH("SubclassAbility1-L19",CLASSFEATUREHEADERS,0),MATCH(($A490),CLASSNAMEHEADERS,0))))}</f>
        <v>SUBCLASSABILITY1-L19</v>
      </c>
      <c r="AA489" s="76"/>
      <c r="AB489" s="76"/>
      <c r="AC489" s="76"/>
    </row>
    <row r="490">
      <c r="A490" s="48" t="s">
        <v>138</v>
      </c>
      <c r="B490" s="48"/>
      <c r="C490" s="48" t="s">
        <v>415</v>
      </c>
      <c r="D490" s="48" t="s">
        <v>825</v>
      </c>
      <c r="E490" s="28" t="s">
        <v>1355</v>
      </c>
      <c r="F490" s="5"/>
      <c r="G490" s="47"/>
      <c r="H490" s="5"/>
      <c r="I490" s="5"/>
      <c r="J490" s="5"/>
      <c r="K490" s="5"/>
      <c r="L490" s="5"/>
      <c r="M490" s="5"/>
      <c r="N490" s="5"/>
      <c r="O490" s="5"/>
      <c r="P490" s="5"/>
      <c r="Q490" s="5"/>
      <c r="R490" s="5"/>
      <c r="S490" s="5"/>
      <c r="T490" s="5"/>
      <c r="U490" s="5"/>
      <c r="V490" s="5"/>
      <c r="W490" s="5"/>
      <c r="X490" s="5"/>
      <c r="Y490" s="5"/>
      <c r="Z490" s="5"/>
      <c r="AA490" s="5"/>
      <c r="AB490" s="5"/>
      <c r="AC490" s="47"/>
    </row>
    <row r="491" hidden="1">
      <c r="A491" s="76" t="str">
        <f t="array" ref="A491:A492">{"FormulaRow17";(INDEX(CLASSLIST,A458,1))}</f>
        <v>FormulaRow17</v>
      </c>
      <c r="B491" s="77" t="s">
        <v>236</v>
      </c>
      <c r="C491" s="76" t="str">
        <f t="array" ref="C491:C492">{"CLASSTYPE";((INDEX(ALLCLASSDATA,MATCH("ClassType",CLASSFEATUREHEADERS,0),MATCH($A492,CLASSNAMEHEADERS,0))))}</f>
        <v>CLASSTYPE</v>
      </c>
      <c r="D491" s="76" t="str">
        <f t="array" ref="D491:D492">{"CLASSABILITYPTS";"ClassAbilityPts"}</f>
        <v>CLASSABILITYPTS</v>
      </c>
      <c r="E491" s="76" t="str">
        <f t="array" ref="E491:E492">{"SUBCLASSABILITY1";"SubclassAbility1"}</f>
        <v>SUBCLASSABILITY1</v>
      </c>
      <c r="F491" s="76"/>
      <c r="G491" s="76"/>
      <c r="H491" s="76"/>
      <c r="I491" s="76"/>
      <c r="J491" s="76" t="str">
        <f t="array" ref="J491:J492">{"SUBCLASSABILITY1-L03PTS";((INDEX(ALLCLASSDATA,MATCH("SubclassAbility1-L03",CLASSFEATUREHEADERS,0),MATCH(($A492 &amp; "Points"),CLASSNAMEHEADERS,0))))}</f>
        <v>SUBCLASSABILITY1-L03PTS</v>
      </c>
      <c r="K491" s="76"/>
      <c r="L491" s="76" t="str">
        <f t="array" ref="L491:L492">{"SUBCLASSABILITY1-L05PTS";((INDEX(ALLCLASSDATA,MATCH("SubclassAbility1-L05",CLASSFEATUREHEADERS,0),MATCH(($A492 &amp; "Points"),CLASSNAMEHEADERS,0))))}</f>
        <v>SUBCLASSABILITY1-L05PTS</v>
      </c>
      <c r="M491" s="76"/>
      <c r="N491" s="76" t="str">
        <f t="array" ref="N491:N492">{"SUBCLASSABILITY1-L07PTS";((INDEX(ALLCLASSDATA,MATCH("SubclassAbility1-L07",CLASSFEATUREHEADERS,0),MATCH(($A492 &amp; "Points"),CLASSNAMEHEADERS,0))))}</f>
        <v>SUBCLASSABILITY1-L07PTS</v>
      </c>
      <c r="O491" s="76"/>
      <c r="P491" s="76" t="str">
        <f t="array" ref="P491:P492">{"SUBCLASSABILITY1-L09PTS";((INDEX(ALLCLASSDATA,MATCH("SubclassAbility1-L09",CLASSFEATUREHEADERS,0),MATCH(($A492 &amp; "Points"),CLASSNAMEHEADERS,0))))}</f>
        <v>SUBCLASSABILITY1-L09PTS</v>
      </c>
      <c r="Q491" s="76"/>
      <c r="R491" s="76" t="str">
        <f t="array" ref="R491:R492">{"SUBCLASSABILITY1-L11PTS";((INDEX(ALLCLASSDATA,MATCH("SubclassAbility1-L11",CLASSFEATUREHEADERS,0),MATCH(($A492 &amp; "Points"),CLASSNAMEHEADERS,0))))}</f>
        <v>SUBCLASSABILITY1-L11PTS</v>
      </c>
      <c r="S491" s="76"/>
      <c r="T491" s="76" t="str">
        <f t="array" ref="T491:T492">{"SUBCLASSABILITY1-L13PTS";((INDEX(ALLCLASSDATA,MATCH("SubclassAbility1-L13",CLASSFEATUREHEADERS,0),MATCH(($A492 &amp; "Points"),CLASSNAMEHEADERS,0))))}</f>
        <v>SUBCLASSABILITY1-L13PTS</v>
      </c>
      <c r="U491" s="76"/>
      <c r="V491" s="76" t="str">
        <f t="array" ref="V491:V492">{"SUBCLASSABILITY1-L15PTS";((INDEX(ALLCLASSDATA,MATCH("SubclassAbility1-L15",CLASSFEATUREHEADERS,0),MATCH(($A492 &amp; "Points"),CLASSNAMEHEADERS,0))))}</f>
        <v>SUBCLASSABILITY1-L15PTS</v>
      </c>
      <c r="W491" s="76"/>
      <c r="X491" s="76" t="str">
        <f t="array" ref="X491:X492">{"SUBCLASSABILITY1-L17PTS";((INDEX(ALLCLASSDATA,MATCH("SubclassAbility1-L17",CLASSFEATUREHEADERS,0),MATCH(($A492 &amp; "Points"),CLASSNAMEHEADERS,0))))}</f>
        <v>SUBCLASSABILITY1-L17PTS</v>
      </c>
      <c r="Y491" s="76"/>
      <c r="Z491" s="76" t="str">
        <f t="array" ref="Z491:Z492">{"SUBCLASSABILITY1-L19PTS";((INDEX(ALLCLASSDATA,MATCH("SubclassAbility1-L19",CLASSFEATUREHEADERS,0),MATCH(($A492 &amp; "Points"),CLASSNAMEHEADERS,0))))}</f>
        <v>SUBCLASSABILITY1-L19PTS</v>
      </c>
      <c r="AA491" s="76"/>
      <c r="AB491" s="76"/>
      <c r="AC491" s="76" t="str">
        <f t="array" ref="AC491:AC492">{"SUBCLASSABILITY1 TOTAL";(sum(G492:AA492))}</f>
        <v>SUBCLASSABILITY1 TOTAL</v>
      </c>
    </row>
    <row r="492">
      <c r="A492" s="48" t="s">
        <v>138</v>
      </c>
      <c r="B492" s="48"/>
      <c r="C492" s="48" t="s">
        <v>415</v>
      </c>
      <c r="D492" s="48" t="s">
        <v>930</v>
      </c>
      <c r="E492" s="28" t="s">
        <v>1355</v>
      </c>
      <c r="F492" s="5"/>
      <c r="G492" s="47"/>
      <c r="H492" s="5"/>
      <c r="I492" s="5"/>
      <c r="J492" s="5"/>
      <c r="K492" s="5"/>
      <c r="L492" s="5"/>
      <c r="M492" s="5"/>
      <c r="N492" s="5"/>
      <c r="O492" s="5"/>
      <c r="P492" s="5"/>
      <c r="Q492" s="5"/>
      <c r="R492" s="5"/>
      <c r="S492" s="5"/>
      <c r="T492" s="5"/>
      <c r="U492" s="5"/>
      <c r="V492" s="5"/>
      <c r="W492" s="5"/>
      <c r="X492" s="5"/>
      <c r="Y492" s="5"/>
      <c r="Z492" s="5"/>
      <c r="AA492" s="5"/>
      <c r="AB492" s="5"/>
      <c r="AC492" s="47">
        <v>0.0</v>
      </c>
    </row>
    <row r="493" hidden="1">
      <c r="A493" s="76" t="str">
        <f t="array" ref="A493:A494">{"FormulaRow18";(INDEX(CLASSLIST,A458,1))}</f>
        <v>FormulaRow18</v>
      </c>
      <c r="B493" s="77" t="s">
        <v>236</v>
      </c>
      <c r="C493" s="76" t="str">
        <f t="array" ref="C493:C494">{"CLASSTYPE";((INDEX(ALLCLASSDATA,MATCH("ClassType",CLASSFEATUREHEADERS,0),MATCH($A494,CLASSNAMEHEADERS,0))))}</f>
        <v>CLASSTYPE</v>
      </c>
      <c r="D493" s="76" t="str">
        <f t="array" ref="D493:D494">{"CLASSABILITY";"ClassAbility"}</f>
        <v>CLASSABILITY</v>
      </c>
      <c r="E493" s="76" t="str">
        <f t="array" ref="E493:E494">{"SUBCLASSABILITY2";"SubclassAbility2"}</f>
        <v>SUBCLASSABILITY2</v>
      </c>
      <c r="F493" s="76"/>
      <c r="G493" s="76"/>
      <c r="H493" s="76"/>
      <c r="I493" s="76"/>
      <c r="J493" s="76" t="str">
        <f t="array" ref="J493:J494">{"SUBCLASSABILITY2-L03";((INDEX(ALLCLASSDATA,MATCH("SubclassAbility2-L03",CLASSFEATUREHEADERS,0),MATCH(($A494),CLASSNAMEHEADERS,0))))}</f>
        <v>SUBCLASSABILITY2-L03</v>
      </c>
      <c r="K493" s="76"/>
      <c r="L493" s="76" t="str">
        <f t="array" ref="L493:L494">{"SUBCLASSABILITY2-L05";((INDEX(ALLCLASSDATA,MATCH("SubclassAbility2-L05",CLASSFEATUREHEADERS,0),MATCH(($A494),CLASSNAMEHEADERS,0))))}</f>
        <v>SUBCLASSABILITY2-L05</v>
      </c>
      <c r="M493" s="76"/>
      <c r="N493" s="76" t="str">
        <f t="array" ref="N493:N494">{"SUBCLASSABILITY2-L07";((INDEX(ALLCLASSDATA,MATCH("SubclassAbility2-L07",CLASSFEATUREHEADERS,0),MATCH(($A494),CLASSNAMEHEADERS,0))))}</f>
        <v>SUBCLASSABILITY2-L07</v>
      </c>
      <c r="O493" s="76"/>
      <c r="P493" s="76" t="str">
        <f t="array" ref="P493:P494">{"SUBCLASSABILITY2-L09";((INDEX(ALLCLASSDATA,MATCH("SubclassAbility2-L09",CLASSFEATUREHEADERS,0),MATCH(($A494),CLASSNAMEHEADERS,0))))}</f>
        <v>SUBCLASSABILITY2-L09</v>
      </c>
      <c r="Q493" s="76"/>
      <c r="R493" s="76" t="str">
        <f t="array" ref="R493:R494">{"SUBCLASSABILITY2-L11";((INDEX(ALLCLASSDATA,MATCH("SubclassAbility2-L11",CLASSFEATUREHEADERS,0),MATCH(($A494),CLASSNAMEHEADERS,0))))}</f>
        <v>SUBCLASSABILITY2-L11</v>
      </c>
      <c r="S493" s="76"/>
      <c r="T493" s="76" t="str">
        <f t="array" ref="T493:T494">{"SUBCLASSABILITY2-L13";((INDEX(ALLCLASSDATA,MATCH("SubclassAbility2-L13",CLASSFEATUREHEADERS,0),MATCH(($A494),CLASSNAMEHEADERS,0))))}</f>
        <v>SUBCLASSABILITY2-L13</v>
      </c>
      <c r="U493" s="76"/>
      <c r="V493" s="76" t="str">
        <f t="array" ref="V493:V494">{"SUBCLASSABILITY2-L15";((INDEX(ALLCLASSDATA,MATCH("SubclassAbility2-L15",CLASSFEATUREHEADERS,0),MATCH(($A494),CLASSNAMEHEADERS,0))))}</f>
        <v>SUBCLASSABILITY2-L15</v>
      </c>
      <c r="W493" s="76"/>
      <c r="X493" s="76" t="str">
        <f t="array" ref="X493:X494">{"SUBCLASSABILITY2-L17";((INDEX(ALLCLASSDATA,MATCH("SubclassAbility2-L17",CLASSFEATUREHEADERS,0),MATCH(($A494),CLASSNAMEHEADERS,0))))}</f>
        <v>SUBCLASSABILITY2-L17</v>
      </c>
      <c r="Y493" s="76"/>
      <c r="Z493" s="76" t="str">
        <f t="array" ref="Z493:Z494">{"SUBCLASSABILITY2-L19";((INDEX(ALLCLASSDATA,MATCH("SubclassAbility2-L19",CLASSFEATUREHEADERS,0),MATCH(($A494),CLASSNAMEHEADERS,0))))}</f>
        <v>SUBCLASSABILITY2-L19</v>
      </c>
      <c r="AA493" s="76"/>
      <c r="AB493" s="76"/>
      <c r="AC493" s="76"/>
    </row>
    <row r="494">
      <c r="A494" s="48" t="s">
        <v>138</v>
      </c>
      <c r="B494" s="48"/>
      <c r="C494" s="48" t="s">
        <v>415</v>
      </c>
      <c r="D494" s="48" t="s">
        <v>825</v>
      </c>
      <c r="E494" s="28" t="s">
        <v>1370</v>
      </c>
      <c r="F494" s="5"/>
      <c r="G494" s="47"/>
      <c r="H494" s="5"/>
      <c r="I494" s="5"/>
      <c r="J494" s="5"/>
      <c r="K494" s="5"/>
      <c r="L494" s="5"/>
      <c r="M494" s="5"/>
      <c r="N494" s="5"/>
      <c r="O494" s="5"/>
      <c r="P494" s="5"/>
      <c r="Q494" s="5"/>
      <c r="R494" s="5"/>
      <c r="S494" s="5"/>
      <c r="T494" s="5"/>
      <c r="U494" s="5"/>
      <c r="V494" s="5"/>
      <c r="W494" s="5"/>
      <c r="X494" s="5"/>
      <c r="Y494" s="5"/>
      <c r="Z494" s="5"/>
      <c r="AA494" s="5"/>
      <c r="AB494" s="5"/>
      <c r="AC494" s="47"/>
    </row>
    <row r="495" hidden="1">
      <c r="A495" s="76" t="str">
        <f t="array" ref="A495:A496">{"FormulaRow19";(INDEX(CLASSLIST,A458,1))}</f>
        <v>FormulaRow19</v>
      </c>
      <c r="B495" s="77" t="s">
        <v>236</v>
      </c>
      <c r="C495" s="76" t="str">
        <f t="array" ref="C495:C496">{"CLASSTYPE";((INDEX(ALLCLASSDATA,MATCH("ClassType",CLASSFEATUREHEADERS,0),MATCH($A496,CLASSNAMEHEADERS,0))))}</f>
        <v>CLASSTYPE</v>
      </c>
      <c r="D495" s="76" t="str">
        <f t="array" ref="D495:D496">{"CLASSABILITYPTS";"ClassAbilityPts"}</f>
        <v>CLASSABILITYPTS</v>
      </c>
      <c r="E495" s="76" t="str">
        <f t="array" ref="E495:E496">{"SUBCLASSABILITY2";"SubclassAbility2"}</f>
        <v>SUBCLASSABILITY2</v>
      </c>
      <c r="F495" s="76"/>
      <c r="G495" s="76"/>
      <c r="H495" s="76"/>
      <c r="I495" s="76"/>
      <c r="J495" s="76" t="str">
        <f t="array" ref="J495:J496">{"SUBCLASSABILITY2-L03PTS";((INDEX(ALLCLASSDATA,MATCH("SubclassAbility2-L03",CLASSFEATUREHEADERS,0),MATCH(($A496 &amp; "Points"),CLASSNAMEHEADERS,0))))}</f>
        <v>SUBCLASSABILITY2-L03PTS</v>
      </c>
      <c r="K495" s="76"/>
      <c r="L495" s="76" t="str">
        <f t="array" ref="L495:L496">{"SUBCLASSABILITY2-L05PTS";((INDEX(ALLCLASSDATA,MATCH("SubclassAbility2-L05",CLASSFEATUREHEADERS,0),MATCH(($A496 &amp; "Points"),CLASSNAMEHEADERS,0))))}</f>
        <v>SUBCLASSABILITY2-L05PTS</v>
      </c>
      <c r="M495" s="76"/>
      <c r="N495" s="76" t="str">
        <f t="array" ref="N495:N496">{"SUBCLASSABILITY2-L07PTS";((INDEX(ALLCLASSDATA,MATCH("SubclassAbility2-L07",CLASSFEATUREHEADERS,0),MATCH(($A496 &amp; "Points"),CLASSNAMEHEADERS,0))))}</f>
        <v>SUBCLASSABILITY2-L07PTS</v>
      </c>
      <c r="O495" s="76"/>
      <c r="P495" s="76" t="str">
        <f t="array" ref="P495:P496">{"SUBCLASSABILITY2-L09PTS";((INDEX(ALLCLASSDATA,MATCH("SubclassAbility2-L09",CLASSFEATUREHEADERS,0),MATCH(($A496 &amp; "Points"),CLASSNAMEHEADERS,0))))}</f>
        <v>SUBCLASSABILITY2-L09PTS</v>
      </c>
      <c r="Q495" s="76"/>
      <c r="R495" s="76" t="str">
        <f t="array" ref="R495:R496">{"SUBCLASSABILITY2-L11PTS";((INDEX(ALLCLASSDATA,MATCH("SubclassAbility2-L11",CLASSFEATUREHEADERS,0),MATCH(($A496 &amp; "Points"),CLASSNAMEHEADERS,0))))}</f>
        <v>SUBCLASSABILITY2-L11PTS</v>
      </c>
      <c r="S495" s="76"/>
      <c r="T495" s="76" t="str">
        <f t="array" ref="T495:T496">{"SUBCLASSABILITY2-L13PTS";((INDEX(ALLCLASSDATA,MATCH("SubclassAbility2-L13",CLASSFEATUREHEADERS,0),MATCH(($A496 &amp; "Points"),CLASSNAMEHEADERS,0))))}</f>
        <v>SUBCLASSABILITY2-L13PTS</v>
      </c>
      <c r="U495" s="76"/>
      <c r="V495" s="76" t="str">
        <f t="array" ref="V495:V496">{"SUBCLASSABILITY2-L15PTS";((INDEX(ALLCLASSDATA,MATCH("SubclassAbility2-L15",CLASSFEATUREHEADERS,0),MATCH(($A496 &amp; "Points"),CLASSNAMEHEADERS,0))))}</f>
        <v>SUBCLASSABILITY2-L15PTS</v>
      </c>
      <c r="W495" s="76"/>
      <c r="X495" s="76" t="str">
        <f t="array" ref="X495:X496">{"SUBCLASSABILITY2-L17PTS";((INDEX(ALLCLASSDATA,MATCH("SubclassAbility2-L17",CLASSFEATUREHEADERS,0),MATCH(($A496 &amp; "Points"),CLASSNAMEHEADERS,0))))}</f>
        <v>SUBCLASSABILITY2-L17PTS</v>
      </c>
      <c r="Y495" s="76"/>
      <c r="Z495" s="76" t="str">
        <f t="array" ref="Z495:Z496">{"SUBCLASSABILITY2-L19PTS";((INDEX(ALLCLASSDATA,MATCH("SubclassAbility2-L19",CLASSFEATUREHEADERS,0),MATCH(($A496 &amp; "Points"),CLASSNAMEHEADERS,0))))}</f>
        <v>SUBCLASSABILITY2-L19PTS</v>
      </c>
      <c r="AA495" s="76"/>
      <c r="AB495" s="76"/>
      <c r="AC495" s="76" t="str">
        <f t="array" ref="AC495:AC496">{"SUBCLASSABILITY2 TOTAL";(sum(G496:AA496))}</f>
        <v>SUBCLASSABILITY2 TOTAL</v>
      </c>
    </row>
    <row r="496">
      <c r="A496" s="48" t="s">
        <v>138</v>
      </c>
      <c r="B496" s="48"/>
      <c r="C496" s="48" t="s">
        <v>415</v>
      </c>
      <c r="D496" s="97" t="s">
        <v>930</v>
      </c>
      <c r="E496" s="215" t="s">
        <v>1370</v>
      </c>
      <c r="F496" s="98"/>
      <c r="G496" s="132"/>
      <c r="H496" s="98"/>
      <c r="I496" s="98"/>
      <c r="J496" s="98"/>
      <c r="K496" s="98"/>
      <c r="L496" s="98"/>
      <c r="M496" s="98"/>
      <c r="N496" s="98"/>
      <c r="O496" s="98"/>
      <c r="P496" s="98"/>
      <c r="Q496" s="98"/>
      <c r="R496" s="98"/>
      <c r="S496" s="98"/>
      <c r="T496" s="98"/>
      <c r="U496" s="98"/>
      <c r="V496" s="98"/>
      <c r="W496" s="98"/>
      <c r="X496" s="98"/>
      <c r="Y496" s="98"/>
      <c r="Z496" s="98"/>
      <c r="AA496" s="98"/>
      <c r="AB496" s="5"/>
      <c r="AC496" s="47">
        <v>0.0</v>
      </c>
    </row>
    <row r="497" hidden="1">
      <c r="A497" s="76" t="str">
        <f t="array" ref="A497:A498">{"FormulaRow20";(INDEX(CLASSLIST,A458,1))}</f>
        <v>FormulaRow20</v>
      </c>
      <c r="B497" s="77" t="s">
        <v>236</v>
      </c>
      <c r="C497" s="76" t="str">
        <f t="array" ref="C497:C498">{"CLASSTYPE";((INDEX(ALLCLASSDATA,MATCH("ClassType",CLASSFEATUREHEADERS,0),MATCH($A498,CLASSNAMEHEADERS,0))))}</f>
        <v>CLASSTYPE</v>
      </c>
      <c r="D497" s="81" t="str">
        <f t="array" ref="D497:D498">{"DC";"DC"}</f>
        <v>DC</v>
      </c>
      <c r="E497" s="81" t="str">
        <f t="array" ref="E497:E498">{"CLASSDC";"ClassDC"}</f>
        <v>CLASSDC</v>
      </c>
      <c r="F497" s="81" t="str">
        <f t="array" ref="F497:F498">{"CLASSDCINITIAL";((IF(H498=10,"T",(IF(H498=50,"E","")))))}</f>
        <v>CLASSDCINITIAL</v>
      </c>
      <c r="G497" s="81" t="str">
        <f t="array" ref="G497:G498">{"CLASSDCINITIALPTS";((IF("00"=(INDEX(ALLCLASSDATA,MATCH("ClassDCLegendary",CLASSFEATUREHEADERS,0),MATCH($A498,CLASSNAMEHEADERS,0))),(INDEX(ALLCLASSDATA,MATCH("ClassDCLegendary",CLASSFEATUREHEADERS,0),MATCH(($A498 &amp; "Points"),CLASSNAMEHEADERS,0))),(IF("00"=(INDEX(ALLCLASSDATA,MATCH("ClassDCMaster",CLASSFEATUREHEADERS,0),MATCH($A498,CLASSNAMEHEADERS,0))),(INDEX(ALLCLASSDATA,MATCH("ClassDCMaster",CLASSFEATUREHEADERS,0),MATCH(($A498 &amp; "Points"),CLASSNAMEHEADERS,0))),(IF("00"=(INDEX(ALLCLASSDATA,MATCH("ClassDCExpert",CLASSFEATUREHEADERS,0),MATCH($A498,CLASSNAMEHEADERS,0))),(INDEX(ALLCLASSDATA,MATCH("ClassDCExpert",CLASSFEATUREHEADERS,0),MATCH(($A498 &amp; "Points"),CLASSNAMEHEADERS,0))),(IF("00"=(INDEX(ALLCLASSDATA,MATCH("ClassDCTrained",CLASSFEATUREHEADERS,0),MATCH($A498,CLASSNAMEHEADERS,0))),(INDEX(ALLCLASSDATA,MATCH("ClassDCTrained",CLASSFEATUREHEADERS,0),MATCH(($A498 &amp; "Points"),CLASSNAMEHEADERS,0))),"")))))))))}</f>
        <v>CLASSDCINITIALPTS</v>
      </c>
      <c r="H497" s="81" t="str">
        <f t="array" ref="H497:H498">{"CLASSDCL01";((IF("01"=(INDEX(ALLCLASSDATA,MATCH("ClassDCLegendary",CLASSFEATUREHEADERS,0),MATCH($A498,CLASSNAMEHEADERS,0))),(INDEX(ALLCLASSDATA,MATCH("ClassDCLegendary",CLASSFEATUREHEADERS,0),MATCH(($A498 &amp; "Points"),CLASSNAMEHEADERS,0))),(IF("01"=(INDEX(ALLCLASSDATA,MATCH("ClassDCMaster",CLASSFEATUREHEADERS,0),MATCH($A498,CLASSNAMEHEADERS,0))),(INDEX(ALLCLASSDATA,MATCH("ClassDCMaster",CLASSFEATUREHEADERS,0),MATCH(($A498 &amp; "Points"),CLASSNAMEHEADERS,0))),(IF("01"=(INDEX(ALLCLASSDATA,MATCH("ClassDCExpert",CLASSFEATUREHEADERS,0),MATCH($A498,CLASSNAMEHEADERS,0))),(INDEX(ALLCLASSDATA,MATCH("ClassDCExpert",CLASSFEATUREHEADERS,0),MATCH(($A498 &amp; "Points"),CLASSNAMEHEADERS,0))),(IF("01"=(INDEX(ALLCLASSDATA,MATCH("ClassDCTrained",CLASSFEATUREHEADERS,0),MATCH($A498,CLASSNAMEHEADERS,0))),(INDEX(ALLCLASSDATA,MATCH("ClassDCTrained",CLASSFEATUREHEADERS,0),MATCH(($A498 &amp; "Points"),CLASSNAMEHEADERS,0))),"")))))))))}</f>
        <v>CLASSDCL01</v>
      </c>
      <c r="I497" s="81"/>
      <c r="J497" s="81" t="str">
        <f t="array" ref="J497:J498">{"CLASSDCL03";((IF("03"=(INDEX(ALLCLASSDATA,MATCH("ClassDCLegendary",CLASSFEATUREHEADERS,0),MATCH($A498,CLASSNAMEHEADERS,0))),(INDEX(ALLCLASSDATA,MATCH("ClassDCLegendary",CLASSFEATUREHEADERS,0),MATCH(($A498 &amp; "Points"),CLASSNAMEHEADERS,0))),(IF("03"=(INDEX(ALLCLASSDATA,MATCH("ClassDCMaster",CLASSFEATUREHEADERS,0),MATCH($A498,CLASSNAMEHEADERS,0))),(INDEX(ALLCLASSDATA,MATCH("ClassDCMaster",CLASSFEATUREHEADERS,0),MATCH(($A498 &amp; "Points"),CLASSNAMEHEADERS,0))),(IF("03"=(INDEX(ALLCLASSDATA,MATCH("ClassDCExpert",CLASSFEATUREHEADERS,0),MATCH($A498,CLASSNAMEHEADERS,0))),(INDEX(ALLCLASSDATA,MATCH("ClassDCExpert",CLASSFEATUREHEADERS,0),MATCH(($A498 &amp; "Points"),CLASSNAMEHEADERS,0))),(IF("03"=(INDEX(ALLCLASSDATA,MATCH("ClassDCTrained",CLASSFEATUREHEADERS,0),MATCH($A498,CLASSNAMEHEADERS,0))),(INDEX(ALLCLASSDATA,MATCH("ClassDCTrained",CLASSFEATUREHEADERS,0),MATCH(($A498 &amp; "Points"),CLASSNAMEHEADERS,0))),"")))))))))}</f>
        <v>CLASSDCL03</v>
      </c>
      <c r="K497" s="81"/>
      <c r="L497" s="81" t="str">
        <f t="array" ref="L497:L498">{"CLASSDCL05";((IF("05"=(INDEX(ALLCLASSDATA,MATCH("ClassDCLegendary",CLASSFEATUREHEADERS,0),MATCH($A498,CLASSNAMEHEADERS,0))),(INDEX(ALLCLASSDATA,MATCH("ClassDCLegendary",CLASSFEATUREHEADERS,0),MATCH(($A498 &amp; "Points"),CLASSNAMEHEADERS,0))),(IF("05"=(INDEX(ALLCLASSDATA,MATCH("ClassDCMaster",CLASSFEATUREHEADERS,0),MATCH($A498,CLASSNAMEHEADERS,0))),(INDEX(ALLCLASSDATA,MATCH("ClassDCMaster",CLASSFEATUREHEADERS,0),MATCH(($A498 &amp; "Points"),CLASSNAMEHEADERS,0))),(IF("05"=(INDEX(ALLCLASSDATA,MATCH("ClassDCExpert",CLASSFEATUREHEADERS,0),MATCH($A498,CLASSNAMEHEADERS,0))),(INDEX(ALLCLASSDATA,MATCH("ClassDCExpert",CLASSFEATUREHEADERS,0),MATCH(($A498 &amp; "Points"),CLASSNAMEHEADERS,0))),(IF("05"=(INDEX(ALLCLASSDATA,MATCH("ClassDCTrained",CLASSFEATUREHEADERS,0),MATCH($A498,CLASSNAMEHEADERS,0))),(INDEX(ALLCLASSDATA,MATCH("ClassDCTrained",CLASSFEATUREHEADERS,0),MATCH(($A498 &amp; "Points"),CLASSNAMEHEADERS,0))),"")))))))))}</f>
        <v>CLASSDCL05</v>
      </c>
      <c r="M497" s="81"/>
      <c r="N497" s="81" t="str">
        <f t="array" ref="N497:N498">{"CLASSDCL07";((IF("07"=(INDEX(ALLCLASSDATA,MATCH("ClassDCLegendary",CLASSFEATUREHEADERS,0),MATCH($A498,CLASSNAMEHEADERS,0))),(INDEX(ALLCLASSDATA,MATCH("ClassDCLegendary",CLASSFEATUREHEADERS,0),MATCH(($A498 &amp; "Points"),CLASSNAMEHEADERS,0))),(IF("07"=(INDEX(ALLCLASSDATA,MATCH("ClassDCMaster",CLASSFEATUREHEADERS,0),MATCH($A498,CLASSNAMEHEADERS,0))),(INDEX(ALLCLASSDATA,MATCH("ClassDCMaster",CLASSFEATUREHEADERS,0),MATCH(($A498 &amp; "Points"),CLASSNAMEHEADERS,0))),(IF("07"=(INDEX(ALLCLASSDATA,MATCH("ClassDCExpert",CLASSFEATUREHEADERS,0),MATCH($A498,CLASSNAMEHEADERS,0))),(INDEX(ALLCLASSDATA,MATCH("ClassDCExpert",CLASSFEATUREHEADERS,0),MATCH(($A498 &amp; "Points"),CLASSNAMEHEADERS,0))),(IF("07"=(INDEX(ALLCLASSDATA,MATCH("ClassDCTrained",CLASSFEATUREHEADERS,0),MATCH($A498,CLASSNAMEHEADERS,0))),(INDEX(ALLCLASSDATA,MATCH("ClassDCTrained",CLASSFEATUREHEADERS,0),MATCH(($A498 &amp; "Points"),CLASSNAMEHEADERS,0))),"")))))))))}</f>
        <v>CLASSDCL07</v>
      </c>
      <c r="O497" s="81"/>
      <c r="P497" s="81" t="str">
        <f t="array" ref="P497:P498">{"CLASSDCL09";((IF("09"=(INDEX(ALLCLASSDATA,MATCH("ClassDCLegendary",CLASSFEATUREHEADERS,0),MATCH($A498,CLASSNAMEHEADERS,0))),(INDEX(ALLCLASSDATA,MATCH("ClassDCLegendary",CLASSFEATUREHEADERS,0),MATCH(($A498 &amp; "Points"),CLASSNAMEHEADERS,0))),(IF("09"=(INDEX(ALLCLASSDATA,MATCH("ClassDCMaster",CLASSFEATUREHEADERS,0),MATCH($A498,CLASSNAMEHEADERS,0))),(INDEX(ALLCLASSDATA,MATCH("ClassDCMaster",CLASSFEATUREHEADERS,0),MATCH(($A498 &amp; "Points"),CLASSNAMEHEADERS,0))),(IF("09"=(INDEX(ALLCLASSDATA,MATCH("ClassDCExpert",CLASSFEATUREHEADERS,0),MATCH($A498,CLASSNAMEHEADERS,0))),(INDEX(ALLCLASSDATA,MATCH("ClassDCExpert",CLASSFEATUREHEADERS,0),MATCH(($A498 &amp; "Points"),CLASSNAMEHEADERS,0))),(IF("09"=(INDEX(ALLCLASSDATA,MATCH("ClassDCTrained",CLASSFEATUREHEADERS,0),MATCH($A498,CLASSNAMEHEADERS,0))),(INDEX(ALLCLASSDATA,MATCH("ClassDCTrained",CLASSFEATUREHEADERS,0),MATCH(($A498 &amp; "Points"),CLASSNAMEHEADERS,0))),"")))))))))}</f>
        <v>CLASSDCL09</v>
      </c>
      <c r="Q497" s="81"/>
      <c r="R497" s="81" t="str">
        <f t="array" ref="R497:R498">{"CLASSDCL11";((IF("11"=(INDEX(ALLCLASSDATA,MATCH("ClassDCLegendary",CLASSFEATUREHEADERS,0),MATCH($A498,CLASSNAMEHEADERS,0))),(INDEX(ALLCLASSDATA,MATCH("ClassDCLegendary",CLASSFEATUREHEADERS,0),MATCH(($A498 &amp; "Points"),CLASSNAMEHEADERS,0))),(IF("11"=(INDEX(ALLCLASSDATA,MATCH("ClassDCMaster",CLASSFEATUREHEADERS,0),MATCH($A498,CLASSNAMEHEADERS,0))),(INDEX(ALLCLASSDATA,MATCH("ClassDCMaster",CLASSFEATUREHEADERS,0),MATCH(($A498 &amp; "Points"),CLASSNAMEHEADERS,0))),(IF("11"=(INDEX(ALLCLASSDATA,MATCH("ClassDCExpert",CLASSFEATUREHEADERS,0),MATCH($A498,CLASSNAMEHEADERS,0))),(INDEX(ALLCLASSDATA,MATCH("ClassDCExpert",CLASSFEATUREHEADERS,0),MATCH(($A498 &amp; "Points"),CLASSNAMEHEADERS,0))),(IF("11"=(INDEX(ALLCLASSDATA,MATCH("ClassDCTrained",CLASSFEATUREHEADERS,0),MATCH($A498,CLASSNAMEHEADERS,0))),(INDEX(ALLCLASSDATA,MATCH("ClassDCTrained",CLASSFEATUREHEADERS,0),MATCH(($A498 &amp; "Points"),CLASSNAMEHEADERS,0))),"")))))))))}</f>
        <v>CLASSDCL11</v>
      </c>
      <c r="S497" s="81"/>
      <c r="T497" s="81" t="str">
        <f t="array" ref="T497:T498">{"CLASSDCL13";((IF("13"=(INDEX(ALLCLASSDATA,MATCH("ClassDCLegendary",CLASSFEATUREHEADERS,0),MATCH($A498,CLASSNAMEHEADERS,0))),(INDEX(ALLCLASSDATA,MATCH("ClassDCLegendary",CLASSFEATUREHEADERS,0),MATCH(($A498 &amp; "Points"),CLASSNAMEHEADERS,0))),(IF("13"=(INDEX(ALLCLASSDATA,MATCH("ClassDCMaster",CLASSFEATUREHEADERS,0),MATCH($A498,CLASSNAMEHEADERS,0))),(INDEX(ALLCLASSDATA,MATCH("ClassDCMaster",CLASSFEATUREHEADERS,0),MATCH(($A498 &amp; "Points"),CLASSNAMEHEADERS,0))),(IF("13"=(INDEX(ALLCLASSDATA,MATCH("ClassDCExpert",CLASSFEATUREHEADERS,0),MATCH($A498,CLASSNAMEHEADERS,0))),(INDEX(ALLCLASSDATA,MATCH("ClassDCExpert",CLASSFEATUREHEADERS,0),MATCH(($A498 &amp; "Points"),CLASSNAMEHEADERS,0))),(IF("13"=(INDEX(ALLCLASSDATA,MATCH("ClassDCTrained",CLASSFEATUREHEADERS,0),MATCH($A498,CLASSNAMEHEADERS,0))),(INDEX(ALLCLASSDATA,MATCH("ClassDCTrained",CLASSFEATUREHEADERS,0),MATCH(($A498 &amp; "Points"),CLASSNAMEHEADERS,0))),"")))))))))}</f>
        <v>CLASSDCL13</v>
      </c>
      <c r="U497" s="81"/>
      <c r="V497" s="81" t="str">
        <f t="array" ref="V497:V498">{"CLASSDCL15";((IF("15"=(INDEX(ALLCLASSDATA,MATCH("ClassDCLegendary",CLASSFEATUREHEADERS,0),MATCH($A498,CLASSNAMEHEADERS,0))),(INDEX(ALLCLASSDATA,MATCH("ClassDCLegendary",CLASSFEATUREHEADERS,0),MATCH(($A498 &amp; "Points"),CLASSNAMEHEADERS,0))),(IF("15"=(INDEX(ALLCLASSDATA,MATCH("ClassDCMaster",CLASSFEATUREHEADERS,0),MATCH($A498,CLASSNAMEHEADERS,0))),(INDEX(ALLCLASSDATA,MATCH("ClassDCMaster",CLASSFEATUREHEADERS,0),MATCH(($A498 &amp; "Points"),CLASSNAMEHEADERS,0))),(IF("15"=(INDEX(ALLCLASSDATA,MATCH("ClassDCExpert",CLASSFEATUREHEADERS,0),MATCH($A498,CLASSNAMEHEADERS,0))),(INDEX(ALLCLASSDATA,MATCH("ClassDCExpert",CLASSFEATUREHEADERS,0),MATCH(($A498 &amp; "Points"),CLASSNAMEHEADERS,0))),(IF("15"=(INDEX(ALLCLASSDATA,MATCH("ClassDCTrained",CLASSFEATUREHEADERS,0),MATCH($A498,CLASSNAMEHEADERS,0))),(INDEX(ALLCLASSDATA,MATCH("ClassDCTrained",CLASSFEATUREHEADERS,0),MATCH(($A498 &amp; "Points"),CLASSNAMEHEADERS,0))),"")))))))))}</f>
        <v>CLASSDCL15</v>
      </c>
      <c r="W497" s="81"/>
      <c r="X497" s="81" t="str">
        <f t="array" ref="X497:X498">{"CLASSDCL17";((IF("17"=(INDEX(ALLCLASSDATA,MATCH("ClassDCLegendary",CLASSFEATUREHEADERS,0),MATCH($A498,CLASSNAMEHEADERS,0))),(INDEX(ALLCLASSDATA,MATCH("ClassDCLegendary",CLASSFEATUREHEADERS,0),MATCH(($A498 &amp; "Points"),CLASSNAMEHEADERS,0))),(IF("17"=(INDEX(ALLCLASSDATA,MATCH("ClassDCMaster",CLASSFEATUREHEADERS,0),MATCH($A498,CLASSNAMEHEADERS,0))),(INDEX(ALLCLASSDATA,MATCH("ClassDCMaster",CLASSFEATUREHEADERS,0),MATCH(($A498 &amp; "Points"),CLASSNAMEHEADERS,0))),(IF("17"=(INDEX(ALLCLASSDATA,MATCH("ClassDCExpert",CLASSFEATUREHEADERS,0),MATCH($A498,CLASSNAMEHEADERS,0))),(INDEX(ALLCLASSDATA,MATCH("ClassDCExpert",CLASSFEATUREHEADERS,0),MATCH(($A498 &amp; "Points"),CLASSNAMEHEADERS,0))),(IF("17"=(INDEX(ALLCLASSDATA,MATCH("ClassDCTrained",CLASSFEATUREHEADERS,0),MATCH($A498,CLASSNAMEHEADERS,0))),(INDEX(ALLCLASSDATA,MATCH("ClassDCTrained",CLASSFEATUREHEADERS,0),MATCH(($A498 &amp; "Points"),CLASSNAMEHEADERS,0))),"")))))))))}</f>
        <v>CLASSDCL17</v>
      </c>
      <c r="Y497" s="81"/>
      <c r="Z497" s="81" t="str">
        <f t="array" ref="Z497:Z498">{"CLASSDCL19";((IF("19"=(INDEX(ALLCLASSDATA,MATCH("ClassDCLegendary",CLASSFEATUREHEADERS,0),MATCH($A498,CLASSNAMEHEADERS,0))),(INDEX(ALLCLASSDATA,MATCH("ClassDCLegendary",CLASSFEATUREHEADERS,0),MATCH(($A498 &amp; "Points"),CLASSNAMEHEADERS,0))),(IF("19"=(INDEX(ALLCLASSDATA,MATCH("ClassDCMaster",CLASSFEATUREHEADERS,0),MATCH($A498,CLASSNAMEHEADERS,0))),(INDEX(ALLCLASSDATA,MATCH("ClassDCMaster",CLASSFEATUREHEADERS,0),MATCH(($A498 &amp; "Points"),CLASSNAMEHEADERS,0))),(IF("19"=(INDEX(ALLCLASSDATA,MATCH("ClassDCExpert",CLASSFEATUREHEADERS,0),MATCH($A498,CLASSNAMEHEADERS,0))),(INDEX(ALLCLASSDATA,MATCH("ClassDCExpert",CLASSFEATUREHEADERS,0),MATCH(($A498 &amp; "Points"),CLASSNAMEHEADERS,0))),(IF("19"=(INDEX(ALLCLASSDATA,MATCH("ClassDCTrained",CLASSFEATUREHEADERS,0),MATCH($A498,CLASSNAMEHEADERS,0))),(INDEX(ALLCLASSDATA,MATCH("ClassDCTrained",CLASSFEATUREHEADERS,0),MATCH(($A498 &amp; "Points"),CLASSNAMEHEADERS,0))),"")))))))))}</f>
        <v>CLASSDCL19</v>
      </c>
      <c r="AA497" s="81"/>
      <c r="AB497" s="76" t="str">
        <f t="array" ref="AB497:AB498">{"CLASSDC TOTAL";(IF(COUNTBLANK(G498:AA498)=17,"L",(IF(COUNTBLANK(G498:AA498)=18,"M",(IF(COUNTBLANK(G498:AA498)=19,"E",(IF(COUNTBLANK(G498:AA498)=20,"T",""))))))))}</f>
        <v>CLASSDC TOTAL</v>
      </c>
      <c r="AC497" s="76" t="str">
        <f t="array" ref="AC497:AC498">{"CLASSDC TOTAL";(sum(G498:AA498))}</f>
        <v>CLASSDC TOTAL</v>
      </c>
    </row>
    <row r="498">
      <c r="A498" s="48" t="s">
        <v>138</v>
      </c>
      <c r="B498" s="48"/>
      <c r="C498" s="48" t="s">
        <v>415</v>
      </c>
      <c r="D498" s="48" t="s">
        <v>1465</v>
      </c>
      <c r="E498" s="48" t="s">
        <v>1466</v>
      </c>
      <c r="F498" s="5" t="s">
        <v>435</v>
      </c>
      <c r="G498" s="47" t="s">
        <v>603</v>
      </c>
      <c r="H498" s="5">
        <v>10.0</v>
      </c>
      <c r="I498" s="5"/>
      <c r="J498" s="5" t="s">
        <v>603</v>
      </c>
      <c r="K498" s="5"/>
      <c r="L498" s="5" t="s">
        <v>603</v>
      </c>
      <c r="M498" s="5"/>
      <c r="N498" s="5" t="s">
        <v>603</v>
      </c>
      <c r="O498" s="5"/>
      <c r="P498" s="5" t="s">
        <v>603</v>
      </c>
      <c r="Q498" s="5"/>
      <c r="R498" s="5">
        <v>50.0</v>
      </c>
      <c r="S498" s="5"/>
      <c r="T498" s="5" t="s">
        <v>603</v>
      </c>
      <c r="U498" s="5"/>
      <c r="V498" s="5" t="s">
        <v>603</v>
      </c>
      <c r="W498" s="5"/>
      <c r="X498" s="5" t="s">
        <v>603</v>
      </c>
      <c r="Y498" s="5"/>
      <c r="Z498" s="5">
        <v>110.0</v>
      </c>
      <c r="AA498" s="5"/>
      <c r="AB498" s="5" t="s">
        <v>437</v>
      </c>
      <c r="AC498" s="47">
        <v>170.0</v>
      </c>
    </row>
    <row r="499" hidden="1">
      <c r="A499" s="222" t="str">
        <f t="array" ref="A499:A500">{"FormulaRow21";(INDEX(CLASSLIST,A458,1))}</f>
        <v>FormulaRow21</v>
      </c>
      <c r="B499" s="77" t="s">
        <v>236</v>
      </c>
      <c r="C499" s="222" t="str">
        <f t="array" ref="C499:C500">{"CLASSTYPE";((INDEX(ALLCLASSDATA,MATCH("ClassType",CLASSFEATUREHEADERS,0),MATCH($A500,CLASSNAMEHEADERS,0))))}</f>
        <v>CLASSTYPE</v>
      </c>
      <c r="D499" s="222" t="str">
        <f t="array" ref="D499:D500">{"DC";"DC"}</f>
        <v>DC</v>
      </c>
      <c r="E499" s="222" t="str">
        <f t="array" ref="E499:E500">{"SPELLDC";"SpellDC"}</f>
        <v>SPELLDC</v>
      </c>
      <c r="F499" s="223" t="str">
        <f t="array" ref="F499:F500">{"SPELLDCINITIAL";((IF(H500=10,"T",(IF(H500=50,"E","")))))}</f>
        <v>SPELLDCINITIAL</v>
      </c>
      <c r="G499" s="223" t="str">
        <f t="array" ref="G499:G500">{"SPELLDCINITIALPTS";((IF("00"=(INDEX(ALLCLASSDATA,MATCH("SpellDCLegendary",CLASSFEATUREHEADERS,0),MATCH($A500,CLASSNAMEHEADERS,0))),(INDEX(ALLCLASSDATA,MATCH("SpellDCLegendary",CLASSFEATUREHEADERS,0),MATCH(($A500 &amp; "Points"),CLASSNAMEHEADERS,0))),(IF("00"=(INDEX(ALLCLASSDATA,MATCH("SpellDCMaster",CLASSFEATUREHEADERS,0),MATCH($A500,CLASSNAMEHEADERS,0))),(INDEX(ALLCLASSDATA,MATCH("SpellDCMaster",CLASSFEATUREHEADERS,0),MATCH(($A500 &amp; "Points"),CLASSNAMEHEADERS,0))),(IF("00"=(INDEX(ALLCLASSDATA,MATCH("SpellDCExpert",CLASSFEATUREHEADERS,0),MATCH($A500,CLASSNAMEHEADERS,0))),(INDEX(ALLCLASSDATA,MATCH("SpellDCExpert",CLASSFEATUREHEADERS,0),MATCH(($A500 &amp; "Points"),CLASSNAMEHEADERS,0))),(IF("00"=(INDEX(ALLCLASSDATA,MATCH("SpellDCTrained",CLASSFEATUREHEADERS,0),MATCH($A500,CLASSNAMEHEADERS,0))),(INDEX(ALLCLASSDATA,MATCH("SpellDCTrained",CLASSFEATUREHEADERS,0),MATCH(($A500 &amp; "Points"),CLASSNAMEHEADERS,0))),"")))))))))}</f>
        <v>SPELLDCINITIALPTS</v>
      </c>
      <c r="H499" s="223" t="str">
        <f t="array" ref="H499:H500">{"SPELLDCL01";((IF("01"=(INDEX(ALLCLASSDATA,MATCH("SpellDCLegendary",CLASSFEATUREHEADERS,0),MATCH($A500,CLASSNAMEHEADERS,0))),(INDEX(ALLCLASSDATA,MATCH("SpellDCLegendary",CLASSFEATUREHEADERS,0),MATCH(($A500 &amp; "Points"),CLASSNAMEHEADERS,0))),(IF("01"=(INDEX(ALLCLASSDATA,MATCH("SpellDCMaster",CLASSFEATUREHEADERS,0),MATCH($A500,CLASSNAMEHEADERS,0))),(INDEX(ALLCLASSDATA,MATCH("SpellDCMaster",CLASSFEATUREHEADERS,0),MATCH(($A500 &amp; "Points"),CLASSNAMEHEADERS,0))),(IF("01"=(INDEX(ALLCLASSDATA,MATCH("SpellDCExpert",CLASSFEATUREHEADERS,0),MATCH($A500,CLASSNAMEHEADERS,0))),(INDEX(ALLCLASSDATA,MATCH("SpellDCExpert",CLASSFEATUREHEADERS,0),MATCH(($A500 &amp; "Points"),CLASSNAMEHEADERS,0))),(IF("01"=(INDEX(ALLCLASSDATA,MATCH("SpellDCTrained",CLASSFEATUREHEADERS,0),MATCH($A500,CLASSNAMEHEADERS,0))),(INDEX(ALLCLASSDATA,MATCH("SpellDCTrained",CLASSFEATUREHEADERS,0),MATCH(($A500 &amp; "Points"),CLASSNAMEHEADERS,0))),"")))))))))}</f>
        <v>SPELLDCL01</v>
      </c>
      <c r="I499" s="223"/>
      <c r="J499" s="223" t="str">
        <f t="array" ref="J499:J500">{"SPELLDCL03";((IF("03"=(INDEX(ALLCLASSDATA,MATCH("SpellDCLegendary",CLASSFEATUREHEADERS,0),MATCH($A500,CLASSNAMEHEADERS,0))),(INDEX(ALLCLASSDATA,MATCH("SpellDCLegendary",CLASSFEATUREHEADERS,0),MATCH(($A500 &amp; "Points"),CLASSNAMEHEADERS,0))),(IF("03"=(INDEX(ALLCLASSDATA,MATCH("SpellDCMaster",CLASSFEATUREHEADERS,0),MATCH($A500,CLASSNAMEHEADERS,0))),(INDEX(ALLCLASSDATA,MATCH("SpellDCMaster",CLASSFEATUREHEADERS,0),MATCH(($A500 &amp; "Points"),CLASSNAMEHEADERS,0))),(IF("03"=(INDEX(ALLCLASSDATA,MATCH("SpellDCExpert",CLASSFEATUREHEADERS,0),MATCH($A500,CLASSNAMEHEADERS,0))),(INDEX(ALLCLASSDATA,MATCH("SpellDCExpert",CLASSFEATUREHEADERS,0),MATCH(($A500 &amp; "Points"),CLASSNAMEHEADERS,0))),(IF("03"=(INDEX(ALLCLASSDATA,MATCH("SpellDCTrained",CLASSFEATUREHEADERS,0),MATCH($A500,CLASSNAMEHEADERS,0))),(INDEX(ALLCLASSDATA,MATCH("SpellDCTrained",CLASSFEATUREHEADERS,0),MATCH(($A500 &amp; "Points"),CLASSNAMEHEADERS,0))),"")))))))))}</f>
        <v>SPELLDCL03</v>
      </c>
      <c r="K499" s="223"/>
      <c r="L499" s="223" t="str">
        <f t="array" ref="L499:L500">{"SPELLDCL05";((IF("05"=(INDEX(ALLCLASSDATA,MATCH("SpellDCLegendary",CLASSFEATUREHEADERS,0),MATCH($A500,CLASSNAMEHEADERS,0))),(INDEX(ALLCLASSDATA,MATCH("SpellDCLegendary",CLASSFEATUREHEADERS,0),MATCH(($A500 &amp; "Points"),CLASSNAMEHEADERS,0))),(IF("05"=(INDEX(ALLCLASSDATA,MATCH("SpellDCMaster",CLASSFEATUREHEADERS,0),MATCH($A500,CLASSNAMEHEADERS,0))),(INDEX(ALLCLASSDATA,MATCH("SpellDCMaster",CLASSFEATUREHEADERS,0),MATCH(($A500 &amp; "Points"),CLASSNAMEHEADERS,0))),(IF("05"=(INDEX(ALLCLASSDATA,MATCH("SpellDCExpert",CLASSFEATUREHEADERS,0),MATCH($A500,CLASSNAMEHEADERS,0))),(INDEX(ALLCLASSDATA,MATCH("SpellDCExpert",CLASSFEATUREHEADERS,0),MATCH(($A500 &amp; "Points"),CLASSNAMEHEADERS,0))),(IF("05"=(INDEX(ALLCLASSDATA,MATCH("SpellDCTrained",CLASSFEATUREHEADERS,0),MATCH($A500,CLASSNAMEHEADERS,0))),(INDEX(ALLCLASSDATA,MATCH("SpellDCTrained",CLASSFEATUREHEADERS,0),MATCH(($A500 &amp; "Points"),CLASSNAMEHEADERS,0))),"")))))))))}</f>
        <v>SPELLDCL05</v>
      </c>
      <c r="M499" s="223"/>
      <c r="N499" s="223" t="str">
        <f t="array" ref="N499:N500">{"SPELLDCL07";((IF("07"=(INDEX(ALLCLASSDATA,MATCH("SpellDCLegendary",CLASSFEATUREHEADERS,0),MATCH($A500,CLASSNAMEHEADERS,0))),(INDEX(ALLCLASSDATA,MATCH("SpellDCLegendary",CLASSFEATUREHEADERS,0),MATCH(($A500 &amp; "Points"),CLASSNAMEHEADERS,0))),(IF("07"=(INDEX(ALLCLASSDATA,MATCH("SpellDCMaster",CLASSFEATUREHEADERS,0),MATCH($A500,CLASSNAMEHEADERS,0))),(INDEX(ALLCLASSDATA,MATCH("SpellDCMaster",CLASSFEATUREHEADERS,0),MATCH(($A500 &amp; "Points"),CLASSNAMEHEADERS,0))),(IF("07"=(INDEX(ALLCLASSDATA,MATCH("SpellDCExpert",CLASSFEATUREHEADERS,0),MATCH($A500,CLASSNAMEHEADERS,0))),(INDEX(ALLCLASSDATA,MATCH("SpellDCExpert",CLASSFEATUREHEADERS,0),MATCH(($A500 &amp; "Points"),CLASSNAMEHEADERS,0))),(IF("07"=(INDEX(ALLCLASSDATA,MATCH("SpellDCTrained",CLASSFEATUREHEADERS,0),MATCH($A500,CLASSNAMEHEADERS,0))),(INDEX(ALLCLASSDATA,MATCH("SpellDCTrained",CLASSFEATUREHEADERS,0),MATCH(($A500 &amp; "Points"),CLASSNAMEHEADERS,0))),"")))))))))}</f>
        <v>SPELLDCL07</v>
      </c>
      <c r="O499" s="223"/>
      <c r="P499" s="223" t="str">
        <f t="array" ref="P499:P500">{"SPELLDCL09";((IF("09"=(INDEX(ALLCLASSDATA,MATCH("SpellDCLegendary",CLASSFEATUREHEADERS,0),MATCH($A500,CLASSNAMEHEADERS,0))),(INDEX(ALLCLASSDATA,MATCH("SpellDCLegendary",CLASSFEATUREHEADERS,0),MATCH(($A500 &amp; "Points"),CLASSNAMEHEADERS,0))),(IF("09"=(INDEX(ALLCLASSDATA,MATCH("SpellDCMaster",CLASSFEATUREHEADERS,0),MATCH($A500,CLASSNAMEHEADERS,0))),(INDEX(ALLCLASSDATA,MATCH("SpellDCMaster",CLASSFEATUREHEADERS,0),MATCH(($A500 &amp; "Points"),CLASSNAMEHEADERS,0))),(IF("09"=(INDEX(ALLCLASSDATA,MATCH("SpellDCExpert",CLASSFEATUREHEADERS,0),MATCH($A500,CLASSNAMEHEADERS,0))),(INDEX(ALLCLASSDATA,MATCH("SpellDCExpert",CLASSFEATUREHEADERS,0),MATCH(($A500 &amp; "Points"),CLASSNAMEHEADERS,0))),(IF("09"=(INDEX(ALLCLASSDATA,MATCH("SpellDCTrained",CLASSFEATUREHEADERS,0),MATCH($A500,CLASSNAMEHEADERS,0))),(INDEX(ALLCLASSDATA,MATCH("SpellDCTrained",CLASSFEATUREHEADERS,0),MATCH(($A500 &amp; "Points"),CLASSNAMEHEADERS,0))),"")))))))))}</f>
        <v>SPELLDCL09</v>
      </c>
      <c r="Q499" s="223"/>
      <c r="R499" s="223" t="str">
        <f t="array" ref="R499:R500">{"SPELLDCL11";((IF("11"=(INDEX(ALLCLASSDATA,MATCH("SpellDCLegendary",CLASSFEATUREHEADERS,0),MATCH($A500,CLASSNAMEHEADERS,0))),(INDEX(ALLCLASSDATA,MATCH("SpellDCLegendary",CLASSFEATUREHEADERS,0),MATCH(($A500 &amp; "Points"),CLASSNAMEHEADERS,0))),(IF("11"=(INDEX(ALLCLASSDATA,MATCH("SpellDCMaster",CLASSFEATUREHEADERS,0),MATCH($A500,CLASSNAMEHEADERS,0))),(INDEX(ALLCLASSDATA,MATCH("SpellDCMaster",CLASSFEATUREHEADERS,0),MATCH(($A500 &amp; "Points"),CLASSNAMEHEADERS,0))),(IF("11"=(INDEX(ALLCLASSDATA,MATCH("SpellDCExpert",CLASSFEATUREHEADERS,0),MATCH($A500,CLASSNAMEHEADERS,0))),(INDEX(ALLCLASSDATA,MATCH("SpellDCExpert",CLASSFEATUREHEADERS,0),MATCH(($A500 &amp; "Points"),CLASSNAMEHEADERS,0))),(IF("11"=(INDEX(ALLCLASSDATA,MATCH("SpellDCTrained",CLASSFEATUREHEADERS,0),MATCH($A500,CLASSNAMEHEADERS,0))),(INDEX(ALLCLASSDATA,MATCH("SpellDCTrained",CLASSFEATUREHEADERS,0),MATCH(($A500 &amp; "Points"),CLASSNAMEHEADERS,0))),"")))))))))}</f>
        <v>SPELLDCL11</v>
      </c>
      <c r="S499" s="223"/>
      <c r="T499" s="223" t="str">
        <f t="array" ref="T499:T500">{"SPELLDCL13";((IF("13"=(INDEX(ALLCLASSDATA,MATCH("SpellDCLegendary",CLASSFEATUREHEADERS,0),MATCH($A500,CLASSNAMEHEADERS,0))),(INDEX(ALLCLASSDATA,MATCH("SpellDCLegendary",CLASSFEATUREHEADERS,0),MATCH(($A500 &amp; "Points"),CLASSNAMEHEADERS,0))),(IF("13"=(INDEX(ALLCLASSDATA,MATCH("SpellDCMaster",CLASSFEATUREHEADERS,0),MATCH($A500,CLASSNAMEHEADERS,0))),(INDEX(ALLCLASSDATA,MATCH("SpellDCMaster",CLASSFEATUREHEADERS,0),MATCH(($A500 &amp; "Points"),CLASSNAMEHEADERS,0))),(IF("13"=(INDEX(ALLCLASSDATA,MATCH("SpellDCExpert",CLASSFEATUREHEADERS,0),MATCH($A500,CLASSNAMEHEADERS,0))),(INDEX(ALLCLASSDATA,MATCH("SpellDCExpert",CLASSFEATUREHEADERS,0),MATCH(($A500 &amp; "Points"),CLASSNAMEHEADERS,0))),(IF("13"=(INDEX(ALLCLASSDATA,MATCH("SpellDCTrained",CLASSFEATUREHEADERS,0),MATCH($A500,CLASSNAMEHEADERS,0))),(INDEX(ALLCLASSDATA,MATCH("SpellDCTrained",CLASSFEATUREHEADERS,0),MATCH(($A500 &amp; "Points"),CLASSNAMEHEADERS,0))),"")))))))))}</f>
        <v>SPELLDCL13</v>
      </c>
      <c r="U499" s="223"/>
      <c r="V499" s="223" t="str">
        <f t="array" ref="V499:V500">{"SPELLDCL15";((IF("15"=(INDEX(ALLCLASSDATA,MATCH("SpellDCLegendary",CLASSFEATUREHEADERS,0),MATCH($A500,CLASSNAMEHEADERS,0))),(INDEX(ALLCLASSDATA,MATCH("SpellDCLegendary",CLASSFEATUREHEADERS,0),MATCH(($A500 &amp; "Points"),CLASSNAMEHEADERS,0))),(IF("15"=(INDEX(ALLCLASSDATA,MATCH("SpellDCMaster",CLASSFEATUREHEADERS,0),MATCH($A500,CLASSNAMEHEADERS,0))),(INDEX(ALLCLASSDATA,MATCH("SpellDCMaster",CLASSFEATUREHEADERS,0),MATCH(($A500 &amp; "Points"),CLASSNAMEHEADERS,0))),(IF("15"=(INDEX(ALLCLASSDATA,MATCH("SpellDCExpert",CLASSFEATUREHEADERS,0),MATCH($A500,CLASSNAMEHEADERS,0))),(INDEX(ALLCLASSDATA,MATCH("SpellDCExpert",CLASSFEATUREHEADERS,0),MATCH(($A500 &amp; "Points"),CLASSNAMEHEADERS,0))),(IF("15"=(INDEX(ALLCLASSDATA,MATCH("SpellDCTrained",CLASSFEATUREHEADERS,0),MATCH($A500,CLASSNAMEHEADERS,0))),(INDEX(ALLCLASSDATA,MATCH("SpellDCTrained",CLASSFEATUREHEADERS,0),MATCH(($A500 &amp; "Points"),CLASSNAMEHEADERS,0))),"")))))))))}</f>
        <v>SPELLDCL15</v>
      </c>
      <c r="W499" s="223"/>
      <c r="X499" s="223" t="str">
        <f t="array" ref="X499:X500">{"SPELLDCL17";((IF("17"=(INDEX(ALLCLASSDATA,MATCH("SpellDCLegendary",CLASSFEATUREHEADERS,0),MATCH($A500,CLASSNAMEHEADERS,0))),(INDEX(ALLCLASSDATA,MATCH("SpellDCLegendary",CLASSFEATUREHEADERS,0),MATCH(($A500 &amp; "Points"),CLASSNAMEHEADERS,0))),(IF("17"=(INDEX(ALLCLASSDATA,MATCH("SpellDCMaster",CLASSFEATUREHEADERS,0),MATCH($A500,CLASSNAMEHEADERS,0))),(INDEX(ALLCLASSDATA,MATCH("SpellDCMaster",CLASSFEATUREHEADERS,0),MATCH(($A500 &amp; "Points"),CLASSNAMEHEADERS,0))),(IF("17"=(INDEX(ALLCLASSDATA,MATCH("SpellDCExpert",CLASSFEATUREHEADERS,0),MATCH($A500,CLASSNAMEHEADERS,0))),(INDEX(ALLCLASSDATA,MATCH("SpellDCExpert",CLASSFEATUREHEADERS,0),MATCH(($A500 &amp; "Points"),CLASSNAMEHEADERS,0))),(IF("17"=(INDEX(ALLCLASSDATA,MATCH("SpellDCTrained",CLASSFEATUREHEADERS,0),MATCH($A500,CLASSNAMEHEADERS,0))),(INDEX(ALLCLASSDATA,MATCH("SpellDCTrained",CLASSFEATUREHEADERS,0),MATCH(($A500 &amp; "Points"),CLASSNAMEHEADERS,0))),"")))))))))}</f>
        <v>SPELLDCL17</v>
      </c>
      <c r="Y499" s="223"/>
      <c r="Z499" s="223" t="str">
        <f t="array" ref="Z499:Z500">{"SPELLDCL19";((IF("19"=(INDEX(ALLCLASSDATA,MATCH("SpellDCLegendary",CLASSFEATUREHEADERS,0),MATCH($A500,CLASSNAMEHEADERS,0))),(INDEX(ALLCLASSDATA,MATCH("SpellDCLegendary",CLASSFEATUREHEADERS,0),MATCH(($A500 &amp; "Points"),CLASSNAMEHEADERS,0))),(IF("19"=(INDEX(ALLCLASSDATA,MATCH("SpellDCMaster",CLASSFEATUREHEADERS,0),MATCH($A500,CLASSNAMEHEADERS,0))),(INDEX(ALLCLASSDATA,MATCH("SpellDCMaster",CLASSFEATUREHEADERS,0),MATCH(($A500 &amp; "Points"),CLASSNAMEHEADERS,0))),(IF("19"=(INDEX(ALLCLASSDATA,MATCH("SpellDCExpert",CLASSFEATUREHEADERS,0),MATCH($A500,CLASSNAMEHEADERS,0))),(INDEX(ALLCLASSDATA,MATCH("SpellDCExpert",CLASSFEATUREHEADERS,0),MATCH(($A500 &amp; "Points"),CLASSNAMEHEADERS,0))),(IF("19"=(INDEX(ALLCLASSDATA,MATCH("SpellDCTrained",CLASSFEATUREHEADERS,0),MATCH($A500,CLASSNAMEHEADERS,0))),(INDEX(ALLCLASSDATA,MATCH("SpellDCTrained",CLASSFEATUREHEADERS,0),MATCH(($A500 &amp; "Points"),CLASSNAMEHEADERS,0))),"")))))))))}</f>
        <v>SPELLDCL19</v>
      </c>
      <c r="AA499" s="223"/>
      <c r="AB499" s="76" t="str">
        <f t="array" ref="AB499:AB500">{"SPELLDC TOTAL";(IF(COUNTBLANK(G500:AA500)=17,"L",(IF(COUNTBLANK(G500:AA500)=18,"M",(IF(COUNTBLANK(G500:AA500)=19,"E",(IF(COUNTBLANK(G500:AA500)=20,"T",""))))))))}</f>
        <v>SPELLDC TOTAL</v>
      </c>
      <c r="AC499" s="76" t="str">
        <f t="array" ref="AC499:AC500">{"SPELLDC TOTAL";(sum(G500:AA500))}</f>
        <v>SPELLDC TOTAL</v>
      </c>
    </row>
    <row r="500">
      <c r="A500" s="48" t="s">
        <v>138</v>
      </c>
      <c r="B500" s="48"/>
      <c r="C500" s="48" t="s">
        <v>415</v>
      </c>
      <c r="D500" s="97" t="s">
        <v>1465</v>
      </c>
      <c r="E500" s="97" t="s">
        <v>1485</v>
      </c>
      <c r="F500" s="98" t="s">
        <v>603</v>
      </c>
      <c r="G500" s="132" t="s">
        <v>603</v>
      </c>
      <c r="H500" s="98" t="s">
        <v>603</v>
      </c>
      <c r="I500" s="98"/>
      <c r="J500" s="98" t="s">
        <v>603</v>
      </c>
      <c r="K500" s="98"/>
      <c r="L500" s="98" t="s">
        <v>603</v>
      </c>
      <c r="M500" s="98"/>
      <c r="N500" s="98" t="s">
        <v>603</v>
      </c>
      <c r="O500" s="98"/>
      <c r="P500" s="98" t="s">
        <v>603</v>
      </c>
      <c r="Q500" s="98"/>
      <c r="R500" s="98" t="s">
        <v>603</v>
      </c>
      <c r="S500" s="98"/>
      <c r="T500" s="98" t="s">
        <v>603</v>
      </c>
      <c r="U500" s="98"/>
      <c r="V500" s="98" t="s">
        <v>603</v>
      </c>
      <c r="W500" s="98"/>
      <c r="X500" s="98" t="s">
        <v>603</v>
      </c>
      <c r="Y500" s="98"/>
      <c r="Z500" s="98" t="s">
        <v>603</v>
      </c>
      <c r="AA500" s="98"/>
      <c r="AB500" s="5" t="s">
        <v>603</v>
      </c>
      <c r="AC500" s="47">
        <v>0.0</v>
      </c>
    </row>
    <row r="501" hidden="1">
      <c r="A501" s="222" t="str">
        <f t="array" ref="A501:A502">{"FormulaRow22";(INDEX(CLASSLIST,A458,1))}</f>
        <v>FormulaRow22</v>
      </c>
      <c r="B501" s="77" t="s">
        <v>236</v>
      </c>
      <c r="C501" s="222" t="str">
        <f t="array" ref="C501:C502">{"CLASSTYPE";((INDEX(ALLCLASSDATA,MATCH("ClassType",CLASSFEATUREHEADERS,0),MATCH($A502,CLASSNAMEHEADERS,0))))}</f>
        <v>CLASSTYPE</v>
      </c>
      <c r="D501" s="228" t="str">
        <f t="shared" ref="D501:E501" si="6">{"PERCEPTION";"Perception"}</f>
        <v>PERCEPTION</v>
      </c>
      <c r="E501" s="228" t="str">
        <f t="shared" si="6"/>
        <v>PERCEPTION</v>
      </c>
      <c r="F501" s="230" t="str">
        <f t="array" ref="F501:F502">{"PERCEPTIONINITIAL";((IF(H502=10,"T",(IF(H502=50,"E","")))))}</f>
        <v>PERCEPTIONINITIAL</v>
      </c>
      <c r="G501" s="230" t="str">
        <f t="array" ref="G501:G502">{"PERCEPTIONINITIALPTS";((IF("00"=(INDEX(ALLCLASSDATA,MATCH("PerceptionLegendary",CLASSFEATUREHEADERS,0),MATCH($A502,CLASSNAMEHEADERS,0))),(INDEX(ALLCLASSDATA,MATCH("PerceptionLegendary",CLASSFEATUREHEADERS,0),MATCH(($A502 &amp; "Points"),CLASSNAMEHEADERS,0))),(IF("00"=(INDEX(ALLCLASSDATA,MATCH("PerceptionMaster",CLASSFEATUREHEADERS,0),MATCH($A502,CLASSNAMEHEADERS,0))),(INDEX(ALLCLASSDATA,MATCH("PerceptionMaster",CLASSFEATUREHEADERS,0),MATCH(($A502 &amp; "Points"),CLASSNAMEHEADERS,0))),(IF("00"=(INDEX(ALLCLASSDATA,MATCH("PerceptionExpert",CLASSFEATUREHEADERS,0),MATCH($A502,CLASSNAMEHEADERS,0))),(INDEX(ALLCLASSDATA,MATCH("PerceptionExpert",CLASSFEATUREHEADERS,0),MATCH(($A502 &amp; "Points"),CLASSNAMEHEADERS,0))),(IF("00"=(INDEX(ALLCLASSDATA,MATCH("PerceptionTrained",CLASSFEATUREHEADERS,0),MATCH($A502,CLASSNAMEHEADERS,0))),(INDEX(ALLCLASSDATA,MATCH("PerceptionTrained",CLASSFEATUREHEADERS,0),MATCH(($A502 &amp; "Points"),CLASSNAMEHEADERS,0))),"")))))))))}</f>
        <v>PERCEPTIONINITIALPTS</v>
      </c>
      <c r="H501" s="230" t="str">
        <f t="array" ref="H501:H502">{"PERCEPTIONL01";((IF("01"=(INDEX(ALLCLASSDATA,MATCH("PerceptionLegendary",CLASSFEATUREHEADERS,0),MATCH($A502,CLASSNAMEHEADERS,0))),(INDEX(ALLCLASSDATA,MATCH("PerceptionLegendary",CLASSFEATUREHEADERS,0),MATCH(($A502 &amp; "Points"),CLASSNAMEHEADERS,0))),(IF("01"=(INDEX(ALLCLASSDATA,MATCH("PerceptionMaster",CLASSFEATUREHEADERS,0),MATCH($A502,CLASSNAMEHEADERS,0))),(INDEX(ALLCLASSDATA,MATCH("PerceptionMaster",CLASSFEATUREHEADERS,0),MATCH(($A502 &amp; "Points"),CLASSNAMEHEADERS,0))),(IF("01"=(INDEX(ALLCLASSDATA,MATCH("PerceptionExpert",CLASSFEATUREHEADERS,0),MATCH($A502,CLASSNAMEHEADERS,0))),(INDEX(ALLCLASSDATA,MATCH("PerceptionExpert",CLASSFEATUREHEADERS,0),MATCH(($A502 &amp; "Points"),CLASSNAMEHEADERS,0))),(IF("01"=(INDEX(ALLCLASSDATA,MATCH("PerceptionTrained",CLASSFEATUREHEADERS,0),MATCH($A502,CLASSNAMEHEADERS,0))),(INDEX(ALLCLASSDATA,MATCH("PerceptionTrained",CLASSFEATUREHEADERS,0),MATCH(($A502 &amp; "Points"),CLASSNAMEHEADERS,0))),"")))))))))}</f>
        <v>PERCEPTIONL01</v>
      </c>
      <c r="I501" s="230"/>
      <c r="J501" s="230" t="str">
        <f t="array" ref="J501:J502">{"PERCEPTIONL03";((IF("03"=(INDEX(ALLCLASSDATA,MATCH("PerceptionLegendary",CLASSFEATUREHEADERS,0),MATCH($A502,CLASSNAMEHEADERS,0))),(INDEX(ALLCLASSDATA,MATCH("PerceptionLegendary",CLASSFEATUREHEADERS,0),MATCH(($A502 &amp; "Points"),CLASSNAMEHEADERS,0))),(IF("03"=(INDEX(ALLCLASSDATA,MATCH("PerceptionMaster",CLASSFEATUREHEADERS,0),MATCH($A502,CLASSNAMEHEADERS,0))),(INDEX(ALLCLASSDATA,MATCH("PerceptionMaster",CLASSFEATUREHEADERS,0),MATCH(($A502 &amp; "Points"),CLASSNAMEHEADERS,0))),(IF("03"=(INDEX(ALLCLASSDATA,MATCH("PerceptionExpert",CLASSFEATUREHEADERS,0),MATCH($A502,CLASSNAMEHEADERS,0))),(INDEX(ALLCLASSDATA,MATCH("PerceptionExpert",CLASSFEATUREHEADERS,0),MATCH(($A502 &amp; "Points"),CLASSNAMEHEADERS,0))),(IF("03"=(INDEX(ALLCLASSDATA,MATCH("PerceptionTrained",CLASSFEATUREHEADERS,0),MATCH($A502,CLASSNAMEHEADERS,0))),(INDEX(ALLCLASSDATA,MATCH("PerceptionTrained",CLASSFEATUREHEADERS,0),MATCH(($A502 &amp; "Points"),CLASSNAMEHEADERS,0))),"")))))))))}</f>
        <v>PERCEPTIONL03</v>
      </c>
      <c r="K501" s="230"/>
      <c r="L501" s="230" t="str">
        <f t="array" ref="L501:L502">{"PERCEPTIONL05";((IF("05"=(INDEX(ALLCLASSDATA,MATCH("PerceptionLegendary",CLASSFEATUREHEADERS,0),MATCH($A502,CLASSNAMEHEADERS,0))),(INDEX(ALLCLASSDATA,MATCH("PerceptionLegendary",CLASSFEATUREHEADERS,0),MATCH(($A502 &amp; "Points"),CLASSNAMEHEADERS,0))),(IF("05"=(INDEX(ALLCLASSDATA,MATCH("PerceptionMaster",CLASSFEATUREHEADERS,0),MATCH($A502,CLASSNAMEHEADERS,0))),(INDEX(ALLCLASSDATA,MATCH("PerceptionMaster",CLASSFEATUREHEADERS,0),MATCH(($A502 &amp; "Points"),CLASSNAMEHEADERS,0))),(IF("05"=(INDEX(ALLCLASSDATA,MATCH("PerceptionExpert",CLASSFEATUREHEADERS,0),MATCH($A502,CLASSNAMEHEADERS,0))),(INDEX(ALLCLASSDATA,MATCH("PerceptionExpert",CLASSFEATUREHEADERS,0),MATCH(($A502 &amp; "Points"),CLASSNAMEHEADERS,0))),(IF("05"=(INDEX(ALLCLASSDATA,MATCH("PerceptionTrained",CLASSFEATUREHEADERS,0),MATCH($A502,CLASSNAMEHEADERS,0))),(INDEX(ALLCLASSDATA,MATCH("PerceptionTrained",CLASSFEATUREHEADERS,0),MATCH(($A502 &amp; "Points"),CLASSNAMEHEADERS,0))),"")))))))))}</f>
        <v>PERCEPTIONL05</v>
      </c>
      <c r="M501" s="230"/>
      <c r="N501" s="230" t="str">
        <f t="array" ref="N501:N502">{"PERCEPTIONL07";((IF("07"=(INDEX(ALLCLASSDATA,MATCH("PerceptionLegendary",CLASSFEATUREHEADERS,0),MATCH($A502,CLASSNAMEHEADERS,0))),(INDEX(ALLCLASSDATA,MATCH("PerceptionLegendary",CLASSFEATUREHEADERS,0),MATCH(($A502 &amp; "Points"),CLASSNAMEHEADERS,0))),(IF("07"=(INDEX(ALLCLASSDATA,MATCH("PerceptionMaster",CLASSFEATUREHEADERS,0),MATCH($A502,CLASSNAMEHEADERS,0))),(INDEX(ALLCLASSDATA,MATCH("PerceptionMaster",CLASSFEATUREHEADERS,0),MATCH(($A502 &amp; "Points"),CLASSNAMEHEADERS,0))),(IF("07"=(INDEX(ALLCLASSDATA,MATCH("PerceptionExpert",CLASSFEATUREHEADERS,0),MATCH($A502,CLASSNAMEHEADERS,0))),(INDEX(ALLCLASSDATA,MATCH("PerceptionExpert",CLASSFEATUREHEADERS,0),MATCH(($A502 &amp; "Points"),CLASSNAMEHEADERS,0))),(IF("07"=(INDEX(ALLCLASSDATA,MATCH("PerceptionTrained",CLASSFEATUREHEADERS,0),MATCH($A502,CLASSNAMEHEADERS,0))),(INDEX(ALLCLASSDATA,MATCH("PerceptionTrained",CLASSFEATUREHEADERS,0),MATCH(($A502 &amp; "Points"),CLASSNAMEHEADERS,0))),"")))))))))}</f>
        <v>PERCEPTIONL07</v>
      </c>
      <c r="O501" s="230"/>
      <c r="P501" s="230" t="str">
        <f t="array" ref="P501:P502">{"PERCEPTIONL09";((IF("09"=(INDEX(ALLCLASSDATA,MATCH("PerceptionLegendary",CLASSFEATUREHEADERS,0),MATCH($A502,CLASSNAMEHEADERS,0))),(INDEX(ALLCLASSDATA,MATCH("PerceptionLegendary",CLASSFEATUREHEADERS,0),MATCH(($A502 &amp; "Points"),CLASSNAMEHEADERS,0))),(IF("09"=(INDEX(ALLCLASSDATA,MATCH("PerceptionMaster",CLASSFEATUREHEADERS,0),MATCH($A502,CLASSNAMEHEADERS,0))),(INDEX(ALLCLASSDATA,MATCH("PerceptionMaster",CLASSFEATUREHEADERS,0),MATCH(($A502 &amp; "Points"),CLASSNAMEHEADERS,0))),(IF("09"=(INDEX(ALLCLASSDATA,MATCH("PerceptionExpert",CLASSFEATUREHEADERS,0),MATCH($A502,CLASSNAMEHEADERS,0))),(INDEX(ALLCLASSDATA,MATCH("PerceptionExpert",CLASSFEATUREHEADERS,0),MATCH(($A502 &amp; "Points"),CLASSNAMEHEADERS,0))),(IF("09"=(INDEX(ALLCLASSDATA,MATCH("PerceptionTrained",CLASSFEATUREHEADERS,0),MATCH($A502,CLASSNAMEHEADERS,0))),(INDEX(ALLCLASSDATA,MATCH("PerceptionTrained",CLASSFEATUREHEADERS,0),MATCH(($A502 &amp; "Points"),CLASSNAMEHEADERS,0))),"")))))))))}</f>
        <v>PERCEPTIONL09</v>
      </c>
      <c r="Q501" s="230"/>
      <c r="R501" s="230" t="str">
        <f t="array" ref="R501:R502">{"PERCEPTIONL11";((IF("11"=(INDEX(ALLCLASSDATA,MATCH("PerceptionLegendary",CLASSFEATUREHEADERS,0),MATCH($A502,CLASSNAMEHEADERS,0))),(INDEX(ALLCLASSDATA,MATCH("PerceptionLegendary",CLASSFEATUREHEADERS,0),MATCH(($A502 &amp; "Points"),CLASSNAMEHEADERS,0))),(IF("11"=(INDEX(ALLCLASSDATA,MATCH("PerceptionMaster",CLASSFEATUREHEADERS,0),MATCH($A502,CLASSNAMEHEADERS,0))),(INDEX(ALLCLASSDATA,MATCH("PerceptionMaster",CLASSFEATUREHEADERS,0),MATCH(($A502 &amp; "Points"),CLASSNAMEHEADERS,0))),(IF("11"=(INDEX(ALLCLASSDATA,MATCH("PerceptionExpert",CLASSFEATUREHEADERS,0),MATCH($A502,CLASSNAMEHEADERS,0))),(INDEX(ALLCLASSDATA,MATCH("PerceptionExpert",CLASSFEATUREHEADERS,0),MATCH(($A502 &amp; "Points"),CLASSNAMEHEADERS,0))),(IF("11"=(INDEX(ALLCLASSDATA,MATCH("PerceptionTrained",CLASSFEATUREHEADERS,0),MATCH($A502,CLASSNAMEHEADERS,0))),(INDEX(ALLCLASSDATA,MATCH("PerceptionTrained",CLASSFEATUREHEADERS,0),MATCH(($A502 &amp; "Points"),CLASSNAMEHEADERS,0))),"")))))))))}</f>
        <v>PERCEPTIONL11</v>
      </c>
      <c r="S501" s="230"/>
      <c r="T501" s="230" t="str">
        <f t="array" ref="T501:T502">{"PERCEPTIONL13";((IF("13"=(INDEX(ALLCLASSDATA,MATCH("PerceptionLegendary",CLASSFEATUREHEADERS,0),MATCH($A502,CLASSNAMEHEADERS,0))),(INDEX(ALLCLASSDATA,MATCH("PerceptionLegendary",CLASSFEATUREHEADERS,0),MATCH(($A502 &amp; "Points"),CLASSNAMEHEADERS,0))),(IF("13"=(INDEX(ALLCLASSDATA,MATCH("PerceptionMaster",CLASSFEATUREHEADERS,0),MATCH($A502,CLASSNAMEHEADERS,0))),(INDEX(ALLCLASSDATA,MATCH("PerceptionMaster",CLASSFEATUREHEADERS,0),MATCH(($A502 &amp; "Points"),CLASSNAMEHEADERS,0))),(IF("13"=(INDEX(ALLCLASSDATA,MATCH("PerceptionExpert",CLASSFEATUREHEADERS,0),MATCH($A502,CLASSNAMEHEADERS,0))),(INDEX(ALLCLASSDATA,MATCH("PerceptionExpert",CLASSFEATUREHEADERS,0),MATCH(($A502 &amp; "Points"),CLASSNAMEHEADERS,0))),(IF("13"=(INDEX(ALLCLASSDATA,MATCH("PerceptionTrained",CLASSFEATUREHEADERS,0),MATCH($A502,CLASSNAMEHEADERS,0))),(INDEX(ALLCLASSDATA,MATCH("PerceptionTrained",CLASSFEATUREHEADERS,0),MATCH(($A502 &amp; "Points"),CLASSNAMEHEADERS,0))),"")))))))))}</f>
        <v>PERCEPTIONL13</v>
      </c>
      <c r="U501" s="230"/>
      <c r="V501" s="230" t="str">
        <f t="array" ref="V501:V502">{"PERCEPTIONL15";((IF("15"=(INDEX(ALLCLASSDATA,MATCH("PerceptionLegendary",CLASSFEATUREHEADERS,0),MATCH($A502,CLASSNAMEHEADERS,0))),(INDEX(ALLCLASSDATA,MATCH("PerceptionLegendary",CLASSFEATUREHEADERS,0),MATCH(($A502 &amp; "Points"),CLASSNAMEHEADERS,0))),(IF("15"=(INDEX(ALLCLASSDATA,MATCH("PerceptionMaster",CLASSFEATUREHEADERS,0),MATCH($A502,CLASSNAMEHEADERS,0))),(INDEX(ALLCLASSDATA,MATCH("PerceptionMaster",CLASSFEATUREHEADERS,0),MATCH(($A502 &amp; "Points"),CLASSNAMEHEADERS,0))),(IF("15"=(INDEX(ALLCLASSDATA,MATCH("PerceptionExpert",CLASSFEATUREHEADERS,0),MATCH($A502,CLASSNAMEHEADERS,0))),(INDEX(ALLCLASSDATA,MATCH("PerceptionExpert",CLASSFEATUREHEADERS,0),MATCH(($A502 &amp; "Points"),CLASSNAMEHEADERS,0))),(IF("15"=(INDEX(ALLCLASSDATA,MATCH("PerceptionTrained",CLASSFEATUREHEADERS,0),MATCH($A502,CLASSNAMEHEADERS,0))),(INDEX(ALLCLASSDATA,MATCH("PerceptionTrained",CLASSFEATUREHEADERS,0),MATCH(($A502 &amp; "Points"),CLASSNAMEHEADERS,0))),"")))))))))}</f>
        <v>PERCEPTIONL15</v>
      </c>
      <c r="W501" s="230"/>
      <c r="X501" s="230" t="str">
        <f t="array" ref="X501:X502">{"PERCEPTIONL17";((IF("17"=(INDEX(ALLCLASSDATA,MATCH("PerceptionLegendary",CLASSFEATUREHEADERS,0),MATCH($A502,CLASSNAMEHEADERS,0))),(INDEX(ALLCLASSDATA,MATCH("PerceptionLegendary",CLASSFEATUREHEADERS,0),MATCH(($A502 &amp; "Points"),CLASSNAMEHEADERS,0))),(IF("17"=(INDEX(ALLCLASSDATA,MATCH("PerceptionMaster",CLASSFEATUREHEADERS,0),MATCH($A502,CLASSNAMEHEADERS,0))),(INDEX(ALLCLASSDATA,MATCH("PerceptionMaster",CLASSFEATUREHEADERS,0),MATCH(($A502 &amp; "Points"),CLASSNAMEHEADERS,0))),(IF("17"=(INDEX(ALLCLASSDATA,MATCH("PerceptionExpert",CLASSFEATUREHEADERS,0),MATCH($A502,CLASSNAMEHEADERS,0))),(INDEX(ALLCLASSDATA,MATCH("PerceptionExpert",CLASSFEATUREHEADERS,0),MATCH(($A502 &amp; "Points"),CLASSNAMEHEADERS,0))),(IF("17"=(INDEX(ALLCLASSDATA,MATCH("PerceptionTrained",CLASSFEATUREHEADERS,0),MATCH($A502,CLASSNAMEHEADERS,0))),(INDEX(ALLCLASSDATA,MATCH("PerceptionTrained",CLASSFEATUREHEADERS,0),MATCH(($A502 &amp; "Points"),CLASSNAMEHEADERS,0))),"")))))))))}</f>
        <v>PERCEPTIONL17</v>
      </c>
      <c r="Y501" s="230"/>
      <c r="Z501" s="230" t="str">
        <f t="array" ref="Z501:Z502">{"PERCEPTIONL19";((IF("19"=(INDEX(ALLCLASSDATA,MATCH("PerceptionLegendary",CLASSFEATUREHEADERS,0),MATCH($A502,CLASSNAMEHEADERS,0))),(INDEX(ALLCLASSDATA,MATCH("PerceptionLegendary",CLASSFEATUREHEADERS,0),MATCH(($A502 &amp; "Points"),CLASSNAMEHEADERS,0))),(IF("19"=(INDEX(ALLCLASSDATA,MATCH("PerceptionMaster",CLASSFEATUREHEADERS,0),MATCH($A502,CLASSNAMEHEADERS,0))),(INDEX(ALLCLASSDATA,MATCH("PerceptionMaster",CLASSFEATUREHEADERS,0),MATCH(($A502 &amp; "Points"),CLASSNAMEHEADERS,0))),(IF("19"=(INDEX(ALLCLASSDATA,MATCH("PerceptionExpert",CLASSFEATUREHEADERS,0),MATCH($A502,CLASSNAMEHEADERS,0))),(INDEX(ALLCLASSDATA,MATCH("PerceptionExpert",CLASSFEATUREHEADERS,0),MATCH(($A502 &amp; "Points"),CLASSNAMEHEADERS,0))),(IF("19"=(INDEX(ALLCLASSDATA,MATCH("PerceptionTrained",CLASSFEATUREHEADERS,0),MATCH($A502,CLASSNAMEHEADERS,0))),(INDEX(ALLCLASSDATA,MATCH("PerceptionTrained",CLASSFEATUREHEADERS,0),MATCH(($A502 &amp; "Points"),CLASSNAMEHEADERS,0))),"")))))))))}</f>
        <v>PERCEPTIONL19</v>
      </c>
      <c r="AA501" s="230"/>
      <c r="AB501" s="76" t="str">
        <f t="array" ref="AB501:AB502">{"PERCEPTION TOTAL";(IF(COUNTBLANK(G502:AA502)=17,"L",(IF(COUNTBLANK(G502:AA502)=18,"M",(IF(COUNTBLANK(G502:AA502)=19,"E",(IF(COUNTBLANK(G502:AA502)=20,"T",""))))))))}</f>
        <v>PERCEPTION TOTAL</v>
      </c>
      <c r="AC501" s="76" t="str">
        <f t="array" ref="AC501:AC502">{"PERCEPTION TOTAL";(sum(G502:AA502))}</f>
        <v>PERCEPTION TOTAL</v>
      </c>
    </row>
    <row r="502">
      <c r="A502" s="48" t="s">
        <v>138</v>
      </c>
      <c r="B502" s="48"/>
      <c r="C502" s="48" t="s">
        <v>415</v>
      </c>
      <c r="D502" s="97" t="s">
        <v>637</v>
      </c>
      <c r="E502" s="97" t="s">
        <v>637</v>
      </c>
      <c r="F502" s="98" t="s">
        <v>436</v>
      </c>
      <c r="G502" s="132">
        <v>10.0</v>
      </c>
      <c r="H502" s="98">
        <v>50.0</v>
      </c>
      <c r="I502" s="98"/>
      <c r="J502" s="98" t="s">
        <v>603</v>
      </c>
      <c r="K502" s="98"/>
      <c r="L502" s="98" t="s">
        <v>603</v>
      </c>
      <c r="M502" s="98"/>
      <c r="N502" s="98">
        <v>110.0</v>
      </c>
      <c r="O502" s="98"/>
      <c r="P502" s="98" t="s">
        <v>603</v>
      </c>
      <c r="Q502" s="98"/>
      <c r="R502" s="98" t="s">
        <v>603</v>
      </c>
      <c r="S502" s="98"/>
      <c r="T502" s="98">
        <v>190.0</v>
      </c>
      <c r="U502" s="98"/>
      <c r="V502" s="98" t="s">
        <v>603</v>
      </c>
      <c r="W502" s="98"/>
      <c r="X502" s="98" t="s">
        <v>603</v>
      </c>
      <c r="Y502" s="98"/>
      <c r="Z502" s="98" t="s">
        <v>603</v>
      </c>
      <c r="AA502" s="98"/>
      <c r="AB502" s="5" t="s">
        <v>466</v>
      </c>
      <c r="AC502" s="47">
        <v>360.0</v>
      </c>
    </row>
    <row r="503" hidden="1">
      <c r="A503" s="222" t="str">
        <f t="array" ref="A503:A504">{"FormulaRow23";(INDEX(CLASSLIST,A458,1))}</f>
        <v>FormulaRow23</v>
      </c>
      <c r="B503" s="77" t="s">
        <v>236</v>
      </c>
      <c r="C503" s="222" t="str">
        <f t="array" ref="C503:C504">{"CLASSTYPE";((INDEX(ALLCLASSDATA,MATCH("ClassType",CLASSFEATUREHEADERS,0),MATCH($A504,CLASSNAMEHEADERS,0))))}</f>
        <v>CLASSTYPE</v>
      </c>
      <c r="D503" s="228" t="str">
        <f t="array" ref="D503:D504">{"SAVES";"Saves"}</f>
        <v>SAVES</v>
      </c>
      <c r="E503" s="228" t="str">
        <f t="array" ref="E503:E504">{"FORTITUDESAVE";"FortitudeSave"}</f>
        <v>FORTITUDESAVE</v>
      </c>
      <c r="F503" s="230" t="str">
        <f t="array" ref="F503:F504">{"FORTITUDEINITIAL";((IF(H504=10,"T",(IF(H504=50,"E","")))))}</f>
        <v>FORTITUDEINITIAL</v>
      </c>
      <c r="G503" s="230" t="str">
        <f t="array" ref="G503:G504">{"FORTITUDEINITIALPTS";((IF("00"=(INDEX(ALLCLASSDATA,MATCH("FortitudeSaveLegendary",CLASSFEATUREHEADERS,0),MATCH($A504,CLASSNAMEHEADERS,0))),(INDEX(ALLCLASSDATA,MATCH("FortitudeSaveLegendary",CLASSFEATUREHEADERS,0),MATCH(($A504 &amp; "Points"),CLASSNAMEHEADERS,0))),(IF("00"=(INDEX(ALLCLASSDATA,MATCH("FortitudeSaveMaster",CLASSFEATUREHEADERS,0),MATCH($A504,CLASSNAMEHEADERS,0))),(INDEX(ALLCLASSDATA,MATCH("FortitudeSaveMaster",CLASSFEATUREHEADERS,0),MATCH(($A504 &amp; "Points"),CLASSNAMEHEADERS,0))),(IF("00"=(INDEX(ALLCLASSDATA,MATCH("FortitudeSaveExpert",CLASSFEATUREHEADERS,0),MATCH($A504,CLASSNAMEHEADERS,0))),(INDEX(ALLCLASSDATA,MATCH("FortitudeSaveExpert",CLASSFEATUREHEADERS,0),MATCH(($A504 &amp; "Points"),CLASSNAMEHEADERS,0))),(IF("00"=(INDEX(ALLCLASSDATA,MATCH("FortitudeSaveTrained",CLASSFEATUREHEADERS,0),MATCH($A504,CLASSNAMEHEADERS,0))),(INDEX(ALLCLASSDATA,MATCH("FortitudeSaveTrained",CLASSFEATUREHEADERS,0),MATCH(($A504 &amp; "Points"),CLASSNAMEHEADERS,0))),"")))))))))}</f>
        <v>FORTITUDEINITIALPTS</v>
      </c>
      <c r="H503" s="230" t="str">
        <f t="array" ref="H503:H504">{"FORTITUDEL01";((IF("01"=(INDEX(ALLCLASSDATA,MATCH("FortitudeSaveLegendary",CLASSFEATUREHEADERS,0),MATCH($A504,CLASSNAMEHEADERS,0))),(INDEX(ALLCLASSDATA,MATCH("FortitudeSaveLegendary",CLASSFEATUREHEADERS,0),MATCH(($A504 &amp; "Points"),CLASSNAMEHEADERS,0))),(IF("01"=(INDEX(ALLCLASSDATA,MATCH("FortitudeSaveMaster",CLASSFEATUREHEADERS,0),MATCH($A504,CLASSNAMEHEADERS,0))),(INDEX(ALLCLASSDATA,MATCH("FortitudeSaveMaster",CLASSFEATUREHEADERS,0),MATCH(($A504 &amp; "Points"),CLASSNAMEHEADERS,0))),(IF("01"=(INDEX(ALLCLASSDATA,MATCH("FortitudeSaveExpert",CLASSFEATUREHEADERS,0),MATCH($A504,CLASSNAMEHEADERS,0))),(INDEX(ALLCLASSDATA,MATCH("FortitudeSaveExpert",CLASSFEATUREHEADERS,0),MATCH(($A504 &amp; "Points"),CLASSNAMEHEADERS,0))),(IF("01"=(INDEX(ALLCLASSDATA,MATCH("FortitudeSaveTrained",CLASSFEATUREHEADERS,0),MATCH($A504,CLASSNAMEHEADERS,0))),(INDEX(ALLCLASSDATA,MATCH("FortitudeSaveTrained",CLASSFEATUREHEADERS,0),MATCH(($A504 &amp; "Points"),CLASSNAMEHEADERS,0))),"")))))))))}</f>
        <v>FORTITUDEL01</v>
      </c>
      <c r="I503" s="230"/>
      <c r="J503" s="230" t="str">
        <f t="array" ref="J503:J504">{"FORTITUDEL03";((IF("03"=(INDEX(ALLCLASSDATA,MATCH("FortitudeSaveLegendary",CLASSFEATUREHEADERS,0),MATCH($A504,CLASSNAMEHEADERS,0))),(INDEX(ALLCLASSDATA,MATCH("FortitudeSaveLegendary",CLASSFEATUREHEADERS,0),MATCH(($A504 &amp; "Points"),CLASSNAMEHEADERS,0))),(IF("03"=(INDEX(ALLCLASSDATA,MATCH("FortitudeSaveMaster",CLASSFEATUREHEADERS,0),MATCH($A504,CLASSNAMEHEADERS,0))),(INDEX(ALLCLASSDATA,MATCH("FortitudeSaveMaster",CLASSFEATUREHEADERS,0),MATCH(($A504 &amp; "Points"),CLASSNAMEHEADERS,0))),(IF("03"=(INDEX(ALLCLASSDATA,MATCH("FortitudeSaveExpert",CLASSFEATUREHEADERS,0),MATCH($A504,CLASSNAMEHEADERS,0))),(INDEX(ALLCLASSDATA,MATCH("FortitudeSaveExpert",CLASSFEATUREHEADERS,0),MATCH(($A504 &amp; "Points"),CLASSNAMEHEADERS,0))),(IF("03"=(INDEX(ALLCLASSDATA,MATCH("FortitudeSaveTrained",CLASSFEATUREHEADERS,0),MATCH($A504,CLASSNAMEHEADERS,0))),(INDEX(ALLCLASSDATA,MATCH("FortitudeSaveTrained",CLASSFEATUREHEADERS,0),MATCH(($A504 &amp; "Points"),CLASSNAMEHEADERS,0))),"")))))))))}</f>
        <v>FORTITUDEL03</v>
      </c>
      <c r="K503" s="230"/>
      <c r="L503" s="230" t="str">
        <f t="array" ref="L503:L504">{"FORTITUDEL05";((IF("05"=(INDEX(ALLCLASSDATA,MATCH("FortitudeSaveLegendary",CLASSFEATUREHEADERS,0),MATCH($A504,CLASSNAMEHEADERS,0))),(INDEX(ALLCLASSDATA,MATCH("FortitudeSaveLegendary",CLASSFEATUREHEADERS,0),MATCH(($A504 &amp; "Points"),CLASSNAMEHEADERS,0))),(IF("05"=(INDEX(ALLCLASSDATA,MATCH("FortitudeSaveMaster",CLASSFEATUREHEADERS,0),MATCH($A504,CLASSNAMEHEADERS,0))),(INDEX(ALLCLASSDATA,MATCH("FortitudeSaveMaster",CLASSFEATUREHEADERS,0),MATCH(($A504 &amp; "Points"),CLASSNAMEHEADERS,0))),(IF("05"=(INDEX(ALLCLASSDATA,MATCH("FortitudeSaveExpert",CLASSFEATUREHEADERS,0),MATCH($A504,CLASSNAMEHEADERS,0))),(INDEX(ALLCLASSDATA,MATCH("FortitudeSaveExpert",CLASSFEATUREHEADERS,0),MATCH(($A504 &amp; "Points"),CLASSNAMEHEADERS,0))),(IF("05"=(INDEX(ALLCLASSDATA,MATCH("FortitudeSaveTrained",CLASSFEATUREHEADERS,0),MATCH($A504,CLASSNAMEHEADERS,0))),(INDEX(ALLCLASSDATA,MATCH("FortitudeSaveTrained",CLASSFEATUREHEADERS,0),MATCH(($A504 &amp; "Points"),CLASSNAMEHEADERS,0))),"")))))))))}</f>
        <v>FORTITUDEL05</v>
      </c>
      <c r="M503" s="230"/>
      <c r="N503" s="230" t="str">
        <f t="array" ref="N503:N504">{"FORTITUDEL07";((IF("07"=(INDEX(ALLCLASSDATA,MATCH("FortitudeSaveLegendary",CLASSFEATUREHEADERS,0),MATCH($A504,CLASSNAMEHEADERS,0))),(INDEX(ALLCLASSDATA,MATCH("FortitudeSaveLegendary",CLASSFEATUREHEADERS,0),MATCH(($A504 &amp; "Points"),CLASSNAMEHEADERS,0))),(IF("07"=(INDEX(ALLCLASSDATA,MATCH("FortitudeSaveMaster",CLASSFEATUREHEADERS,0),MATCH($A504,CLASSNAMEHEADERS,0))),(INDEX(ALLCLASSDATA,MATCH("FortitudeSaveMaster",CLASSFEATUREHEADERS,0),MATCH(($A504 &amp; "Points"),CLASSNAMEHEADERS,0))),(IF("07"=(INDEX(ALLCLASSDATA,MATCH("FortitudeSaveExpert",CLASSFEATUREHEADERS,0),MATCH($A504,CLASSNAMEHEADERS,0))),(INDEX(ALLCLASSDATA,MATCH("FortitudeSaveExpert",CLASSFEATUREHEADERS,0),MATCH(($A504 &amp; "Points"),CLASSNAMEHEADERS,0))),(IF("07"=(INDEX(ALLCLASSDATA,MATCH("FortitudeSaveTrained",CLASSFEATUREHEADERS,0),MATCH($A504,CLASSNAMEHEADERS,0))),(INDEX(ALLCLASSDATA,MATCH("FortitudeSaveTrained",CLASSFEATUREHEADERS,0),MATCH(($A504 &amp; "Points"),CLASSNAMEHEADERS,0))),"")))))))))}</f>
        <v>FORTITUDEL07</v>
      </c>
      <c r="O503" s="230"/>
      <c r="P503" s="230" t="str">
        <f t="array" ref="P503:P504">{"FORTITUDEL09";((IF("09"=(INDEX(ALLCLASSDATA,MATCH("FortitudeSaveLegendary",CLASSFEATUREHEADERS,0),MATCH($A504,CLASSNAMEHEADERS,0))),(INDEX(ALLCLASSDATA,MATCH("FortitudeSaveLegendary",CLASSFEATUREHEADERS,0),MATCH(($A504 &amp; "Points"),CLASSNAMEHEADERS,0))),(IF("09"=(INDEX(ALLCLASSDATA,MATCH("FortitudeSaveMaster",CLASSFEATUREHEADERS,0),MATCH($A504,CLASSNAMEHEADERS,0))),(INDEX(ALLCLASSDATA,MATCH("FortitudeSaveMaster",CLASSFEATUREHEADERS,0),MATCH(($A504 &amp; "Points"),CLASSNAMEHEADERS,0))),(IF("09"=(INDEX(ALLCLASSDATA,MATCH("FortitudeSaveExpert",CLASSFEATUREHEADERS,0),MATCH($A504,CLASSNAMEHEADERS,0))),(INDEX(ALLCLASSDATA,MATCH("FortitudeSaveExpert",CLASSFEATUREHEADERS,0),MATCH(($A504 &amp; "Points"),CLASSNAMEHEADERS,0))),(IF("09"=(INDEX(ALLCLASSDATA,MATCH("FortitudeSaveTrained",CLASSFEATUREHEADERS,0),MATCH($A504,CLASSNAMEHEADERS,0))),(INDEX(ALLCLASSDATA,MATCH("FortitudeSaveTrained",CLASSFEATUREHEADERS,0),MATCH(($A504 &amp; "Points"),CLASSNAMEHEADERS,0))),"")))))))))}</f>
        <v>FORTITUDEL09</v>
      </c>
      <c r="Q503" s="230"/>
      <c r="R503" s="230" t="str">
        <f t="array" ref="R503:R504">{"FORTITUDEL11";((IF("11"=(INDEX(ALLCLASSDATA,MATCH("FortitudeSaveLegendary",CLASSFEATUREHEADERS,0),MATCH($A504,CLASSNAMEHEADERS,0))),(INDEX(ALLCLASSDATA,MATCH("FortitudeSaveLegendary",CLASSFEATUREHEADERS,0),MATCH(($A504 &amp; "Points"),CLASSNAMEHEADERS,0))),(IF("11"=(INDEX(ALLCLASSDATA,MATCH("FortitudeSaveMaster",CLASSFEATUREHEADERS,0),MATCH($A504,CLASSNAMEHEADERS,0))),(INDEX(ALLCLASSDATA,MATCH("FortitudeSaveMaster",CLASSFEATUREHEADERS,0),MATCH(($A504 &amp; "Points"),CLASSNAMEHEADERS,0))),(IF("11"=(INDEX(ALLCLASSDATA,MATCH("FortitudeSaveExpert",CLASSFEATUREHEADERS,0),MATCH($A504,CLASSNAMEHEADERS,0))),(INDEX(ALLCLASSDATA,MATCH("FortitudeSaveExpert",CLASSFEATUREHEADERS,0),MATCH(($A504 &amp; "Points"),CLASSNAMEHEADERS,0))),(IF("11"=(INDEX(ALLCLASSDATA,MATCH("FortitudeSaveTrained",CLASSFEATUREHEADERS,0),MATCH($A504,CLASSNAMEHEADERS,0))),(INDEX(ALLCLASSDATA,MATCH("FortitudeSaveTrained",CLASSFEATUREHEADERS,0),MATCH(($A504 &amp; "Points"),CLASSNAMEHEADERS,0))),"")))))))))}</f>
        <v>FORTITUDEL11</v>
      </c>
      <c r="S503" s="230"/>
      <c r="T503" s="230" t="str">
        <f t="array" ref="T503:T504">{"FORTITUDEL13";((IF("13"=(INDEX(ALLCLASSDATA,MATCH("FortitudeSaveLegendary",CLASSFEATUREHEADERS,0),MATCH($A504,CLASSNAMEHEADERS,0))),(INDEX(ALLCLASSDATA,MATCH("FortitudeSaveLegendary",CLASSFEATUREHEADERS,0),MATCH(($A504 &amp; "Points"),CLASSNAMEHEADERS,0))),(IF("13"=(INDEX(ALLCLASSDATA,MATCH("FortitudeSaveMaster",CLASSFEATUREHEADERS,0),MATCH($A504,CLASSNAMEHEADERS,0))),(INDEX(ALLCLASSDATA,MATCH("FortitudeSaveMaster",CLASSFEATUREHEADERS,0),MATCH(($A504 &amp; "Points"),CLASSNAMEHEADERS,0))),(IF("13"=(INDEX(ALLCLASSDATA,MATCH("FortitudeSaveExpert",CLASSFEATUREHEADERS,0),MATCH($A504,CLASSNAMEHEADERS,0))),(INDEX(ALLCLASSDATA,MATCH("FortitudeSaveExpert",CLASSFEATUREHEADERS,0),MATCH(($A504 &amp; "Points"),CLASSNAMEHEADERS,0))),(IF("13"=(INDEX(ALLCLASSDATA,MATCH("FortitudeSaveTrained",CLASSFEATUREHEADERS,0),MATCH($A504,CLASSNAMEHEADERS,0))),(INDEX(ALLCLASSDATA,MATCH("FortitudeSaveTrained",CLASSFEATUREHEADERS,0),MATCH(($A504 &amp; "Points"),CLASSNAMEHEADERS,0))),"")))))))))}</f>
        <v>FORTITUDEL13</v>
      </c>
      <c r="U503" s="230"/>
      <c r="V503" s="230" t="str">
        <f t="array" ref="V503:V504">{"FORTITUDEL15";((IF("15"=(INDEX(ALLCLASSDATA,MATCH("FortitudeSaveLegendary",CLASSFEATUREHEADERS,0),MATCH($A504,CLASSNAMEHEADERS,0))),(INDEX(ALLCLASSDATA,MATCH("FortitudeSaveLegendary",CLASSFEATUREHEADERS,0),MATCH(($A504 &amp; "Points"),CLASSNAMEHEADERS,0))),(IF("15"=(INDEX(ALLCLASSDATA,MATCH("FortitudeSaveMaster",CLASSFEATUREHEADERS,0),MATCH($A504,CLASSNAMEHEADERS,0))),(INDEX(ALLCLASSDATA,MATCH("FortitudeSaveMaster",CLASSFEATUREHEADERS,0),MATCH(($A504 &amp; "Points"),CLASSNAMEHEADERS,0))),(IF("15"=(INDEX(ALLCLASSDATA,MATCH("FortitudeSaveExpert",CLASSFEATUREHEADERS,0),MATCH($A504,CLASSNAMEHEADERS,0))),(INDEX(ALLCLASSDATA,MATCH("FortitudeSaveExpert",CLASSFEATUREHEADERS,0),MATCH(($A504 &amp; "Points"),CLASSNAMEHEADERS,0))),(IF("15"=(INDEX(ALLCLASSDATA,MATCH("FortitudeSaveTrained",CLASSFEATUREHEADERS,0),MATCH($A504,CLASSNAMEHEADERS,0))),(INDEX(ALLCLASSDATA,MATCH("FortitudeSaveTrained",CLASSFEATUREHEADERS,0),MATCH(($A504 &amp; "Points"),CLASSNAMEHEADERS,0))),"")))))))))}</f>
        <v>FORTITUDEL15</v>
      </c>
      <c r="W503" s="230"/>
      <c r="X503" s="230" t="str">
        <f t="array" ref="X503:X504">{"FORTITUDEL17";((IF("17"=(INDEX(ALLCLASSDATA,MATCH("FortitudeSaveLegendary",CLASSFEATUREHEADERS,0),MATCH($A504,CLASSNAMEHEADERS,0))),(INDEX(ALLCLASSDATA,MATCH("FortitudeSaveLegendary",CLASSFEATUREHEADERS,0),MATCH(($A504 &amp; "Points"),CLASSNAMEHEADERS,0))),(IF("17"=(INDEX(ALLCLASSDATA,MATCH("FortitudeSaveMaster",CLASSFEATUREHEADERS,0),MATCH($A504,CLASSNAMEHEADERS,0))),(INDEX(ALLCLASSDATA,MATCH("FortitudeSaveMaster",CLASSFEATUREHEADERS,0),MATCH(($A504 &amp; "Points"),CLASSNAMEHEADERS,0))),(IF("17"=(INDEX(ALLCLASSDATA,MATCH("FortitudeSaveExpert",CLASSFEATUREHEADERS,0),MATCH($A504,CLASSNAMEHEADERS,0))),(INDEX(ALLCLASSDATA,MATCH("FortitudeSaveExpert",CLASSFEATUREHEADERS,0),MATCH(($A504 &amp; "Points"),CLASSNAMEHEADERS,0))),(IF("17"=(INDEX(ALLCLASSDATA,MATCH("FortitudeSaveTrained",CLASSFEATUREHEADERS,0),MATCH($A504,CLASSNAMEHEADERS,0))),(INDEX(ALLCLASSDATA,MATCH("FortitudeSaveTrained",CLASSFEATUREHEADERS,0),MATCH(($A504 &amp; "Points"),CLASSNAMEHEADERS,0))),"")))))))))}</f>
        <v>FORTITUDEL17</v>
      </c>
      <c r="Y503" s="230"/>
      <c r="Z503" s="230" t="str">
        <f t="array" ref="Z503:Z504">{"FORTITUDEL19";((IF("19"=(INDEX(ALLCLASSDATA,MATCH("FortitudeSaveLegendary",CLASSFEATUREHEADERS,0),MATCH($A504,CLASSNAMEHEADERS,0))),(INDEX(ALLCLASSDATA,MATCH("FortitudeSaveLegendary",CLASSFEATUREHEADERS,0),MATCH(($A504 &amp; "Points"),CLASSNAMEHEADERS,0))),(IF("19"=(INDEX(ALLCLASSDATA,MATCH("FortitudeSaveMaster",CLASSFEATUREHEADERS,0),MATCH($A504,CLASSNAMEHEADERS,0))),(INDEX(ALLCLASSDATA,MATCH("FortitudeSaveMaster",CLASSFEATUREHEADERS,0),MATCH(($A504 &amp; "Points"),CLASSNAMEHEADERS,0))),(IF("19"=(INDEX(ALLCLASSDATA,MATCH("FortitudeSaveExpert",CLASSFEATUREHEADERS,0),MATCH($A504,CLASSNAMEHEADERS,0))),(INDEX(ALLCLASSDATA,MATCH("FortitudeSaveExpert",CLASSFEATUREHEADERS,0),MATCH(($A504 &amp; "Points"),CLASSNAMEHEADERS,0))),(IF("19"=(INDEX(ALLCLASSDATA,MATCH("FortitudeSaveTrained",CLASSFEATUREHEADERS,0),MATCH($A504,CLASSNAMEHEADERS,0))),(INDEX(ALLCLASSDATA,MATCH("FortitudeSaveTrained",CLASSFEATUREHEADERS,0),MATCH(($A504 &amp; "Points"),CLASSNAMEHEADERS,0))),"")))))))))}</f>
        <v>FORTITUDEL19</v>
      </c>
      <c r="AA503" s="230"/>
      <c r="AB503" s="76" t="str">
        <f t="array" ref="AB503:AB504">{"FORTITUDE TOTAL";(IF(COUNTBLANK(G504:AA504)=17,"L",(IF(COUNTBLANK(G504:AA504)=18,"M",(IF(COUNTBLANK(G504:AA504)=19,"E",(IF(COUNTBLANK(G504:AA504)=20,"T",""))))))))}</f>
        <v>FORTITUDE TOTAL</v>
      </c>
      <c r="AC503" s="76" t="str">
        <f t="array" ref="AC503:AC504">{"FORTITUDE TOTAL";(sum(G504:AA504))}</f>
        <v>FORTITUDE TOTAL</v>
      </c>
    </row>
    <row r="504">
      <c r="A504" s="48" t="s">
        <v>138</v>
      </c>
      <c r="B504" s="48"/>
      <c r="C504" s="48" t="s">
        <v>415</v>
      </c>
      <c r="D504" s="48" t="s">
        <v>1549</v>
      </c>
      <c r="E504" s="48" t="s">
        <v>1550</v>
      </c>
      <c r="F504" s="5" t="s">
        <v>435</v>
      </c>
      <c r="G504" s="47" t="s">
        <v>603</v>
      </c>
      <c r="H504" s="5">
        <v>10.0</v>
      </c>
      <c r="I504" s="5"/>
      <c r="J504" s="5" t="s">
        <v>603</v>
      </c>
      <c r="K504" s="5"/>
      <c r="L504" s="5" t="s">
        <v>603</v>
      </c>
      <c r="M504" s="5"/>
      <c r="N504" s="5" t="s">
        <v>603</v>
      </c>
      <c r="O504" s="5"/>
      <c r="P504" s="5">
        <v>50.0</v>
      </c>
      <c r="Q504" s="5"/>
      <c r="R504" s="5" t="s">
        <v>603</v>
      </c>
      <c r="S504" s="5"/>
      <c r="T504" s="5" t="s">
        <v>603</v>
      </c>
      <c r="U504" s="5"/>
      <c r="V504" s="5" t="s">
        <v>603</v>
      </c>
      <c r="W504" s="5"/>
      <c r="X504" s="5" t="s">
        <v>603</v>
      </c>
      <c r="Y504" s="5"/>
      <c r="Z504" s="5" t="s">
        <v>603</v>
      </c>
      <c r="AA504" s="5"/>
      <c r="AB504" s="5" t="s">
        <v>436</v>
      </c>
      <c r="AC504" s="47">
        <v>60.0</v>
      </c>
    </row>
    <row r="505" hidden="1">
      <c r="A505" s="222" t="str">
        <f t="array" ref="A505:A506">{"FormulaRow24";(INDEX(CLASSLIST,A458,1))}</f>
        <v>FormulaRow24</v>
      </c>
      <c r="B505" s="77" t="s">
        <v>236</v>
      </c>
      <c r="C505" s="222" t="str">
        <f t="array" ref="C505:C506">{"CLASSTYPE";((INDEX(ALLCLASSDATA,MATCH("ClassType",CLASSFEATUREHEADERS,0),MATCH($A506,CLASSNAMEHEADERS,0))))}</f>
        <v>CLASSTYPE</v>
      </c>
      <c r="D505" s="222" t="str">
        <f t="array" ref="D505:D506">{"SAVES";"Saves"}</f>
        <v>SAVES</v>
      </c>
      <c r="E505" s="222" t="str">
        <f t="array" ref="E505:E506">{"REFLEXSAVE";"ReflexSave"}</f>
        <v>REFLEXSAVE</v>
      </c>
      <c r="F505" s="223" t="str">
        <f t="array" ref="F505:F506">{"REFLEXINITIAL";((IF(H506=10,"T",(IF(H506=50,"E","")))))}</f>
        <v>REFLEXINITIAL</v>
      </c>
      <c r="G505" s="223" t="str">
        <f t="array" ref="G505:G506">{"REFLEXINITIALPTS";((IF("00"=(INDEX(ALLCLASSDATA,MATCH("ReflexSaveLegendary",CLASSFEATUREHEADERS,0),MATCH($A506,CLASSNAMEHEADERS,0))),(INDEX(ALLCLASSDATA,MATCH("ReflexSaveLegendary",CLASSFEATUREHEADERS,0),MATCH(($A506 &amp; "Points"),CLASSNAMEHEADERS,0))),(IF("00"=(INDEX(ALLCLASSDATA,MATCH("ReflexSaveMaster",CLASSFEATUREHEADERS,0),MATCH($A506,CLASSNAMEHEADERS,0))),(INDEX(ALLCLASSDATA,MATCH("ReflexSaveMaster",CLASSFEATUREHEADERS,0),MATCH(($A506 &amp; "Points"),CLASSNAMEHEADERS,0))),(IF("00"=(INDEX(ALLCLASSDATA,MATCH("ReflexSaveExpert",CLASSFEATUREHEADERS,0),MATCH($A506,CLASSNAMEHEADERS,0))),(INDEX(ALLCLASSDATA,MATCH("ReflexSaveExpert",CLASSFEATUREHEADERS,0),MATCH(($A506 &amp; "Points"),CLASSNAMEHEADERS,0))),(IF("00"=(INDEX(ALLCLASSDATA,MATCH("ReflexSaveTrained",CLASSFEATUREHEADERS,0),MATCH($A506,CLASSNAMEHEADERS,0))),(INDEX(ALLCLASSDATA,MATCH("ReflexSaveTrained",CLASSFEATUREHEADERS,0),MATCH(($A506 &amp; "Points"),CLASSNAMEHEADERS,0))),"")))))))))}</f>
        <v>REFLEXINITIALPTS</v>
      </c>
      <c r="H505" s="223" t="str">
        <f t="array" ref="H505:H506">{"REFLEXL01";((IF("01"=(INDEX(ALLCLASSDATA,MATCH("ReflexSaveLegendary",CLASSFEATUREHEADERS,0),MATCH($A506,CLASSNAMEHEADERS,0))),(INDEX(ALLCLASSDATA,MATCH("ReflexSaveLegendary",CLASSFEATUREHEADERS,0),MATCH(($A506 &amp; "Points"),CLASSNAMEHEADERS,0))),(IF("01"=(INDEX(ALLCLASSDATA,MATCH("ReflexSaveMaster",CLASSFEATUREHEADERS,0),MATCH($A506,CLASSNAMEHEADERS,0))),(INDEX(ALLCLASSDATA,MATCH("ReflexSaveMaster",CLASSFEATUREHEADERS,0),MATCH(($A506 &amp; "Points"),CLASSNAMEHEADERS,0))),(IF("01"=(INDEX(ALLCLASSDATA,MATCH("ReflexSaveExpert",CLASSFEATUREHEADERS,0),MATCH($A506,CLASSNAMEHEADERS,0))),(INDEX(ALLCLASSDATA,MATCH("ReflexSaveExpert",CLASSFEATUREHEADERS,0),MATCH(($A506 &amp; "Points"),CLASSNAMEHEADERS,0))),(IF("01"=(INDEX(ALLCLASSDATA,MATCH("ReflexSaveTrained",CLASSFEATUREHEADERS,0),MATCH($A506,CLASSNAMEHEADERS,0))),(INDEX(ALLCLASSDATA,MATCH("ReflexSaveTrained",CLASSFEATUREHEADERS,0),MATCH(($A506 &amp; "Points"),CLASSNAMEHEADERS,0))),"")))))))))}</f>
        <v>REFLEXL01</v>
      </c>
      <c r="I505" s="223"/>
      <c r="J505" s="223" t="str">
        <f t="array" ref="J505:J506">{"REFLEXL03";((IF("03"=(INDEX(ALLCLASSDATA,MATCH("ReflexSaveLegendary",CLASSFEATUREHEADERS,0),MATCH($A506,CLASSNAMEHEADERS,0))),(INDEX(ALLCLASSDATA,MATCH("ReflexSaveLegendary",CLASSFEATUREHEADERS,0),MATCH(($A506 &amp; "Points"),CLASSNAMEHEADERS,0))),(IF("03"=(INDEX(ALLCLASSDATA,MATCH("ReflexSaveMaster",CLASSFEATUREHEADERS,0),MATCH($A506,CLASSNAMEHEADERS,0))),(INDEX(ALLCLASSDATA,MATCH("ReflexSaveMaster",CLASSFEATUREHEADERS,0),MATCH(($A506 &amp; "Points"),CLASSNAMEHEADERS,0))),(IF("03"=(INDEX(ALLCLASSDATA,MATCH("ReflexSaveExpert",CLASSFEATUREHEADERS,0),MATCH($A506,CLASSNAMEHEADERS,0))),(INDEX(ALLCLASSDATA,MATCH("ReflexSaveExpert",CLASSFEATUREHEADERS,0),MATCH(($A506 &amp; "Points"),CLASSNAMEHEADERS,0))),(IF("03"=(INDEX(ALLCLASSDATA,MATCH("ReflexSaveTrained",CLASSFEATUREHEADERS,0),MATCH($A506,CLASSNAMEHEADERS,0))),(INDEX(ALLCLASSDATA,MATCH("ReflexSaveTrained",CLASSFEATUREHEADERS,0),MATCH(($A506 &amp; "Points"),CLASSNAMEHEADERS,0))),"")))))))))}</f>
        <v>REFLEXL03</v>
      </c>
      <c r="K505" s="223"/>
      <c r="L505" s="223" t="str">
        <f t="array" ref="L505:L506">{"REFLEXL05";((IF("05"=(INDEX(ALLCLASSDATA,MATCH("ReflexSaveLegendary",CLASSFEATUREHEADERS,0),MATCH($A506,CLASSNAMEHEADERS,0))),(INDEX(ALLCLASSDATA,MATCH("ReflexSaveLegendary",CLASSFEATUREHEADERS,0),MATCH(($A506 &amp; "Points"),CLASSNAMEHEADERS,0))),(IF("05"=(INDEX(ALLCLASSDATA,MATCH("ReflexSaveMaster",CLASSFEATUREHEADERS,0),MATCH($A506,CLASSNAMEHEADERS,0))),(INDEX(ALLCLASSDATA,MATCH("ReflexSaveMaster",CLASSFEATUREHEADERS,0),MATCH(($A506 &amp; "Points"),CLASSNAMEHEADERS,0))),(IF("05"=(INDEX(ALLCLASSDATA,MATCH("ReflexSaveExpert",CLASSFEATUREHEADERS,0),MATCH($A506,CLASSNAMEHEADERS,0))),(INDEX(ALLCLASSDATA,MATCH("ReflexSaveExpert",CLASSFEATUREHEADERS,0),MATCH(($A506 &amp; "Points"),CLASSNAMEHEADERS,0))),(IF("05"=(INDEX(ALLCLASSDATA,MATCH("ReflexSaveTrained",CLASSFEATUREHEADERS,0),MATCH($A506,CLASSNAMEHEADERS,0))),(INDEX(ALLCLASSDATA,MATCH("ReflexSaveTrained",CLASSFEATUREHEADERS,0),MATCH(($A506 &amp; "Points"),CLASSNAMEHEADERS,0))),"")))))))))}</f>
        <v>REFLEXL05</v>
      </c>
      <c r="M505" s="223"/>
      <c r="N505" s="223" t="str">
        <f t="array" ref="N505:N506">{"REFLEXL07";((IF("07"=(INDEX(ALLCLASSDATA,MATCH("ReflexSaveLegendary",CLASSFEATUREHEADERS,0),MATCH($A506,CLASSNAMEHEADERS,0))),(INDEX(ALLCLASSDATA,MATCH("ReflexSaveLegendary",CLASSFEATUREHEADERS,0),MATCH(($A506 &amp; "Points"),CLASSNAMEHEADERS,0))),(IF("07"=(INDEX(ALLCLASSDATA,MATCH("ReflexSaveMaster",CLASSFEATUREHEADERS,0),MATCH($A506,CLASSNAMEHEADERS,0))),(INDEX(ALLCLASSDATA,MATCH("ReflexSaveMaster",CLASSFEATUREHEADERS,0),MATCH(($A506 &amp; "Points"),CLASSNAMEHEADERS,0))),(IF("07"=(INDEX(ALLCLASSDATA,MATCH("ReflexSaveExpert",CLASSFEATUREHEADERS,0),MATCH($A506,CLASSNAMEHEADERS,0))),(INDEX(ALLCLASSDATA,MATCH("ReflexSaveExpert",CLASSFEATUREHEADERS,0),MATCH(($A506 &amp; "Points"),CLASSNAMEHEADERS,0))),(IF("07"=(INDEX(ALLCLASSDATA,MATCH("ReflexSaveTrained",CLASSFEATUREHEADERS,0),MATCH($A506,CLASSNAMEHEADERS,0))),(INDEX(ALLCLASSDATA,MATCH("ReflexSaveTrained",CLASSFEATUREHEADERS,0),MATCH(($A506 &amp; "Points"),CLASSNAMEHEADERS,0))),"")))))))))}</f>
        <v>REFLEXL07</v>
      </c>
      <c r="O505" s="223"/>
      <c r="P505" s="223" t="str">
        <f t="array" ref="P505:P506">{"REFLEXL09";((IF("09"=(INDEX(ALLCLASSDATA,MATCH("ReflexSaveLegendary",CLASSFEATUREHEADERS,0),MATCH($A506,CLASSNAMEHEADERS,0))),(INDEX(ALLCLASSDATA,MATCH("ReflexSaveLegendary",CLASSFEATUREHEADERS,0),MATCH(($A506 &amp; "Points"),CLASSNAMEHEADERS,0))),(IF("09"=(INDEX(ALLCLASSDATA,MATCH("ReflexSaveMaster",CLASSFEATUREHEADERS,0),MATCH($A506,CLASSNAMEHEADERS,0))),(INDEX(ALLCLASSDATA,MATCH("ReflexSaveMaster",CLASSFEATUREHEADERS,0),MATCH(($A506 &amp; "Points"),CLASSNAMEHEADERS,0))),(IF("09"=(INDEX(ALLCLASSDATA,MATCH("ReflexSaveExpert",CLASSFEATUREHEADERS,0),MATCH($A506,CLASSNAMEHEADERS,0))),(INDEX(ALLCLASSDATA,MATCH("ReflexSaveExpert",CLASSFEATUREHEADERS,0),MATCH(($A506 &amp; "Points"),CLASSNAMEHEADERS,0))),(IF("09"=(INDEX(ALLCLASSDATA,MATCH("ReflexSaveTrained",CLASSFEATUREHEADERS,0),MATCH($A506,CLASSNAMEHEADERS,0))),(INDEX(ALLCLASSDATA,MATCH("ReflexSaveTrained",CLASSFEATUREHEADERS,0),MATCH(($A506 &amp; "Points"),CLASSNAMEHEADERS,0))),"")))))))))}</f>
        <v>REFLEXL09</v>
      </c>
      <c r="Q505" s="223"/>
      <c r="R505" s="223" t="str">
        <f t="array" ref="R505:R506">{"REFLEXL11";((IF("11"=(INDEX(ALLCLASSDATA,MATCH("ReflexSaveLegendary",CLASSFEATUREHEADERS,0),MATCH($A506,CLASSNAMEHEADERS,0))),(INDEX(ALLCLASSDATA,MATCH("ReflexSaveLegendary",CLASSFEATUREHEADERS,0),MATCH(($A506 &amp; "Points"),CLASSNAMEHEADERS,0))),(IF("11"=(INDEX(ALLCLASSDATA,MATCH("ReflexSaveMaster",CLASSFEATUREHEADERS,0),MATCH($A506,CLASSNAMEHEADERS,0))),(INDEX(ALLCLASSDATA,MATCH("ReflexSaveMaster",CLASSFEATUREHEADERS,0),MATCH(($A506 &amp; "Points"),CLASSNAMEHEADERS,0))),(IF("11"=(INDEX(ALLCLASSDATA,MATCH("ReflexSaveExpert",CLASSFEATUREHEADERS,0),MATCH($A506,CLASSNAMEHEADERS,0))),(INDEX(ALLCLASSDATA,MATCH("ReflexSaveExpert",CLASSFEATUREHEADERS,0),MATCH(($A506 &amp; "Points"),CLASSNAMEHEADERS,0))),(IF("11"=(INDEX(ALLCLASSDATA,MATCH("ReflexSaveTrained",CLASSFEATUREHEADERS,0),MATCH($A506,CLASSNAMEHEADERS,0))),(INDEX(ALLCLASSDATA,MATCH("ReflexSaveTrained",CLASSFEATUREHEADERS,0),MATCH(($A506 &amp; "Points"),CLASSNAMEHEADERS,0))),"")))))))))}</f>
        <v>REFLEXL11</v>
      </c>
      <c r="S505" s="223"/>
      <c r="T505" s="223" t="str">
        <f t="array" ref="T505:T506">{"REFLEXL13";((IF("13"=(INDEX(ALLCLASSDATA,MATCH("ReflexSaveLegendary",CLASSFEATUREHEADERS,0),MATCH($A506,CLASSNAMEHEADERS,0))),(INDEX(ALLCLASSDATA,MATCH("ReflexSaveLegendary",CLASSFEATUREHEADERS,0),MATCH(($A506 &amp; "Points"),CLASSNAMEHEADERS,0))),(IF("13"=(INDEX(ALLCLASSDATA,MATCH("ReflexSaveMaster",CLASSFEATUREHEADERS,0),MATCH($A506,CLASSNAMEHEADERS,0))),(INDEX(ALLCLASSDATA,MATCH("ReflexSaveMaster",CLASSFEATUREHEADERS,0),MATCH(($A506 &amp; "Points"),CLASSNAMEHEADERS,0))),(IF("13"=(INDEX(ALLCLASSDATA,MATCH("ReflexSaveExpert",CLASSFEATUREHEADERS,0),MATCH($A506,CLASSNAMEHEADERS,0))),(INDEX(ALLCLASSDATA,MATCH("ReflexSaveExpert",CLASSFEATUREHEADERS,0),MATCH(($A506 &amp; "Points"),CLASSNAMEHEADERS,0))),(IF("13"=(INDEX(ALLCLASSDATA,MATCH("ReflexSaveTrained",CLASSFEATUREHEADERS,0),MATCH($A506,CLASSNAMEHEADERS,0))),(INDEX(ALLCLASSDATA,MATCH("ReflexSaveTrained",CLASSFEATUREHEADERS,0),MATCH(($A506 &amp; "Points"),CLASSNAMEHEADERS,0))),"")))))))))}</f>
        <v>REFLEXL13</v>
      </c>
      <c r="U505" s="223"/>
      <c r="V505" s="223" t="str">
        <f t="array" ref="V505:V506">{"REFLEXL15";((IF("15"=(INDEX(ALLCLASSDATA,MATCH("ReflexSaveLegendary",CLASSFEATUREHEADERS,0),MATCH($A506,CLASSNAMEHEADERS,0))),(INDEX(ALLCLASSDATA,MATCH("ReflexSaveLegendary",CLASSFEATUREHEADERS,0),MATCH(($A506 &amp; "Points"),CLASSNAMEHEADERS,0))),(IF("15"=(INDEX(ALLCLASSDATA,MATCH("ReflexSaveMaster",CLASSFEATUREHEADERS,0),MATCH($A506,CLASSNAMEHEADERS,0))),(INDEX(ALLCLASSDATA,MATCH("ReflexSaveMaster",CLASSFEATUREHEADERS,0),MATCH(($A506 &amp; "Points"),CLASSNAMEHEADERS,0))),(IF("15"=(INDEX(ALLCLASSDATA,MATCH("ReflexSaveExpert",CLASSFEATUREHEADERS,0),MATCH($A506,CLASSNAMEHEADERS,0))),(INDEX(ALLCLASSDATA,MATCH("ReflexSaveExpert",CLASSFEATUREHEADERS,0),MATCH(($A506 &amp; "Points"),CLASSNAMEHEADERS,0))),(IF("15"=(INDEX(ALLCLASSDATA,MATCH("ReflexSaveTrained",CLASSFEATUREHEADERS,0),MATCH($A506,CLASSNAMEHEADERS,0))),(INDEX(ALLCLASSDATA,MATCH("ReflexSaveTrained",CLASSFEATUREHEADERS,0),MATCH(($A506 &amp; "Points"),CLASSNAMEHEADERS,0))),"")))))))))}</f>
        <v>REFLEXL15</v>
      </c>
      <c r="W505" s="223"/>
      <c r="X505" s="223" t="str">
        <f t="array" ref="X505:X506">{"REFLEXL17";((IF("17"=(INDEX(ALLCLASSDATA,MATCH("ReflexSaveLegendary",CLASSFEATUREHEADERS,0),MATCH($A506,CLASSNAMEHEADERS,0))),(INDEX(ALLCLASSDATA,MATCH("ReflexSaveLegendary",CLASSFEATUREHEADERS,0),MATCH(($A506 &amp; "Points"),CLASSNAMEHEADERS,0))),(IF("17"=(INDEX(ALLCLASSDATA,MATCH("ReflexSaveMaster",CLASSFEATUREHEADERS,0),MATCH($A506,CLASSNAMEHEADERS,0))),(INDEX(ALLCLASSDATA,MATCH("ReflexSaveMaster",CLASSFEATUREHEADERS,0),MATCH(($A506 &amp; "Points"),CLASSNAMEHEADERS,0))),(IF("17"=(INDEX(ALLCLASSDATA,MATCH("ReflexSaveExpert",CLASSFEATUREHEADERS,0),MATCH($A506,CLASSNAMEHEADERS,0))),(INDEX(ALLCLASSDATA,MATCH("ReflexSaveExpert",CLASSFEATUREHEADERS,0),MATCH(($A506 &amp; "Points"),CLASSNAMEHEADERS,0))),(IF("17"=(INDEX(ALLCLASSDATA,MATCH("ReflexSaveTrained",CLASSFEATUREHEADERS,0),MATCH($A506,CLASSNAMEHEADERS,0))),(INDEX(ALLCLASSDATA,MATCH("ReflexSaveTrained",CLASSFEATUREHEADERS,0),MATCH(($A506 &amp; "Points"),CLASSNAMEHEADERS,0))),"")))))))))}</f>
        <v>REFLEXL17</v>
      </c>
      <c r="Y505" s="223"/>
      <c r="Z505" s="223" t="str">
        <f t="array" ref="Z505:Z506">{"REFLEXL19";((IF("19"=(INDEX(ALLCLASSDATA,MATCH("ReflexSaveLegendary",CLASSFEATUREHEADERS,0),MATCH($A506,CLASSNAMEHEADERS,0))),(INDEX(ALLCLASSDATA,MATCH("ReflexSaveLegendary",CLASSFEATUREHEADERS,0),MATCH(($A506 &amp; "Points"),CLASSNAMEHEADERS,0))),(IF("19"=(INDEX(ALLCLASSDATA,MATCH("ReflexSaveMaster",CLASSFEATUREHEADERS,0),MATCH($A506,CLASSNAMEHEADERS,0))),(INDEX(ALLCLASSDATA,MATCH("ReflexSaveMaster",CLASSFEATUREHEADERS,0),MATCH(($A506 &amp; "Points"),CLASSNAMEHEADERS,0))),(IF("19"=(INDEX(ALLCLASSDATA,MATCH("ReflexSaveExpert",CLASSFEATUREHEADERS,0),MATCH($A506,CLASSNAMEHEADERS,0))),(INDEX(ALLCLASSDATA,MATCH("ReflexSaveExpert",CLASSFEATUREHEADERS,0),MATCH(($A506 &amp; "Points"),CLASSNAMEHEADERS,0))),(IF("19"=(INDEX(ALLCLASSDATA,MATCH("ReflexSaveTrained",CLASSFEATUREHEADERS,0),MATCH($A506,CLASSNAMEHEADERS,0))),(INDEX(ALLCLASSDATA,MATCH("ReflexSaveTrained",CLASSFEATUREHEADERS,0),MATCH(($A506 &amp; "Points"),CLASSNAMEHEADERS,0))),"")))))))))}</f>
        <v>REFLEXL19</v>
      </c>
      <c r="AA505" s="223"/>
      <c r="AB505" s="76" t="str">
        <f t="array" ref="AB505:AB506">{"REFLEX TOTAL";(IF(COUNTBLANK(G506:AA506)=17,"L",(IF(COUNTBLANK(G506:AA506)=18,"M",(IF(COUNTBLANK(G506:AA506)=19,"E",(IF(COUNTBLANK(G506:AA506)=20,"T",""))))))))}</f>
        <v>REFLEX TOTAL</v>
      </c>
      <c r="AC505" s="76" t="str">
        <f t="array" ref="AC505:AC506">{"REFLEX TOTAL";(sum(G506:AA506))}</f>
        <v>REFLEX TOTAL</v>
      </c>
    </row>
    <row r="506">
      <c r="A506" s="48" t="s">
        <v>138</v>
      </c>
      <c r="B506" s="48"/>
      <c r="C506" s="48" t="s">
        <v>415</v>
      </c>
      <c r="D506" s="48" t="s">
        <v>1549</v>
      </c>
      <c r="E506" s="48" t="s">
        <v>1572</v>
      </c>
      <c r="F506" s="5" t="s">
        <v>436</v>
      </c>
      <c r="G506" s="47">
        <v>10.0</v>
      </c>
      <c r="H506" s="5">
        <v>50.0</v>
      </c>
      <c r="I506" s="5"/>
      <c r="J506" s="5" t="s">
        <v>603</v>
      </c>
      <c r="K506" s="5"/>
      <c r="L506" s="5" t="s">
        <v>603</v>
      </c>
      <c r="M506" s="5"/>
      <c r="N506" s="5">
        <v>110.0</v>
      </c>
      <c r="O506" s="5"/>
      <c r="P506" s="5" t="s">
        <v>603</v>
      </c>
      <c r="Q506" s="5"/>
      <c r="R506" s="5" t="s">
        <v>603</v>
      </c>
      <c r="S506" s="5"/>
      <c r="T506" s="5">
        <v>190.0</v>
      </c>
      <c r="U506" s="5"/>
      <c r="V506" s="5" t="s">
        <v>603</v>
      </c>
      <c r="W506" s="5"/>
      <c r="X506" s="5" t="s">
        <v>603</v>
      </c>
      <c r="Y506" s="5"/>
      <c r="Z506" s="5" t="s">
        <v>603</v>
      </c>
      <c r="AA506" s="5"/>
      <c r="AB506" s="5" t="s">
        <v>466</v>
      </c>
      <c r="AC506" s="47">
        <v>360.0</v>
      </c>
    </row>
    <row r="507" hidden="1">
      <c r="A507" s="222" t="str">
        <f t="array" ref="A507:A508">{"FormulaRow25";(INDEX(CLASSLIST,A458,1))}</f>
        <v>FormulaRow25</v>
      </c>
      <c r="B507" s="77" t="s">
        <v>236</v>
      </c>
      <c r="C507" s="222" t="str">
        <f t="array" ref="C507:C508">{"CLASSTYPE";((INDEX(ALLCLASSDATA,MATCH("ClassType",CLASSFEATUREHEADERS,0),MATCH($A508,CLASSNAMEHEADERS,0))))}</f>
        <v>CLASSTYPE</v>
      </c>
      <c r="D507" s="222" t="str">
        <f t="array" ref="D507:D508">{"SAVES";"Saves"}</f>
        <v>SAVES</v>
      </c>
      <c r="E507" s="222" t="str">
        <f t="array" ref="E507:E508">{"WILLSAVE";"WillSave"}</f>
        <v>WILLSAVE</v>
      </c>
      <c r="F507" s="223" t="str">
        <f t="array" ref="F507:F508">{"WILLINITIAL";((IF(H508=10,"T",(IF(H508=50,"E","")))))}</f>
        <v>WILLINITIAL</v>
      </c>
      <c r="G507" s="223" t="str">
        <f t="array" ref="G507:G508">{"WILLINITIALPTS";((IF("00"=(INDEX(ALLCLASSDATA,MATCH("WillSaveLegendary",CLASSFEATUREHEADERS,0),MATCH($A508,CLASSNAMEHEADERS,0))),(INDEX(ALLCLASSDATA,MATCH("WillSaveLegendary",CLASSFEATUREHEADERS,0),MATCH(($A508 &amp; "Points"),CLASSNAMEHEADERS,0))),(IF("00"=(INDEX(ALLCLASSDATA,MATCH("WillSaveMaster",CLASSFEATUREHEADERS,0),MATCH($A508,CLASSNAMEHEADERS,0))),(INDEX(ALLCLASSDATA,MATCH("WillSaveMaster",CLASSFEATUREHEADERS,0),MATCH(($A508 &amp; "Points"),CLASSNAMEHEADERS,0))),(IF("00"=(INDEX(ALLCLASSDATA,MATCH("WillSaveExpert",CLASSFEATUREHEADERS,0),MATCH($A508,CLASSNAMEHEADERS,0))),(INDEX(ALLCLASSDATA,MATCH("WillSaveExpert",CLASSFEATUREHEADERS,0),MATCH(($A508 &amp; "Points"),CLASSNAMEHEADERS,0))),(IF("00"=(INDEX(ALLCLASSDATA,MATCH("WillSaveTrained",CLASSFEATUREHEADERS,0),MATCH($A508,CLASSNAMEHEADERS,0))),(INDEX(ALLCLASSDATA,MATCH("WillSaveTrained",CLASSFEATUREHEADERS,0),MATCH(($A508 &amp; "Points"),CLASSNAMEHEADERS,0))),"")))))))))}</f>
        <v>WILLINITIALPTS</v>
      </c>
      <c r="H507" s="223" t="str">
        <f t="array" ref="H507:H508">{"WILLL01";((IF("01"=(INDEX(ALLCLASSDATA,MATCH("WillSaveLegendary",CLASSFEATUREHEADERS,0),MATCH($A508,CLASSNAMEHEADERS,0))),(INDEX(ALLCLASSDATA,MATCH("WillSaveLegendary",CLASSFEATUREHEADERS,0),MATCH(($A508 &amp; "Points"),CLASSNAMEHEADERS,0))),(IF("01"=(INDEX(ALLCLASSDATA,MATCH("WillSaveMaster",CLASSFEATUREHEADERS,0),MATCH($A508,CLASSNAMEHEADERS,0))),(INDEX(ALLCLASSDATA,MATCH("WillSaveMaster",CLASSFEATUREHEADERS,0),MATCH(($A508 &amp; "Points"),CLASSNAMEHEADERS,0))),(IF("01"=(INDEX(ALLCLASSDATA,MATCH("WillSaveExpert",CLASSFEATUREHEADERS,0),MATCH($A508,CLASSNAMEHEADERS,0))),(INDEX(ALLCLASSDATA,MATCH("WillSaveExpert",CLASSFEATUREHEADERS,0),MATCH(($A508 &amp; "Points"),CLASSNAMEHEADERS,0))),(IF("01"=(INDEX(ALLCLASSDATA,MATCH("WillSaveTrained",CLASSFEATUREHEADERS,0),MATCH($A508,CLASSNAMEHEADERS,0))),(INDEX(ALLCLASSDATA,MATCH("WillSaveTrained",CLASSFEATUREHEADERS,0),MATCH(($A508 &amp; "Points"),CLASSNAMEHEADERS,0))),"")))))))))}</f>
        <v>WILLL01</v>
      </c>
      <c r="I507" s="223"/>
      <c r="J507" s="223" t="str">
        <f t="array" ref="J507:J508">{"WILLL03";((IF("03"=(INDEX(ALLCLASSDATA,MATCH("WillSaveLegendary",CLASSFEATUREHEADERS,0),MATCH($A508,CLASSNAMEHEADERS,0))),(INDEX(ALLCLASSDATA,MATCH("WillSaveLegendary",CLASSFEATUREHEADERS,0),MATCH(($A508 &amp; "Points"),CLASSNAMEHEADERS,0))),(IF("03"=(INDEX(ALLCLASSDATA,MATCH("WillSaveMaster",CLASSFEATUREHEADERS,0),MATCH($A508,CLASSNAMEHEADERS,0))),(INDEX(ALLCLASSDATA,MATCH("WillSaveMaster",CLASSFEATUREHEADERS,0),MATCH(($A508 &amp; "Points"),CLASSNAMEHEADERS,0))),(IF("03"=(INDEX(ALLCLASSDATA,MATCH("WillSaveExpert",CLASSFEATUREHEADERS,0),MATCH($A508,CLASSNAMEHEADERS,0))),(INDEX(ALLCLASSDATA,MATCH("WillSaveExpert",CLASSFEATUREHEADERS,0),MATCH(($A508 &amp; "Points"),CLASSNAMEHEADERS,0))),(IF("03"=(INDEX(ALLCLASSDATA,MATCH("WillSaveTrained",CLASSFEATUREHEADERS,0),MATCH($A508,CLASSNAMEHEADERS,0))),(INDEX(ALLCLASSDATA,MATCH("WillSaveTrained",CLASSFEATUREHEADERS,0),MATCH(($A508 &amp; "Points"),CLASSNAMEHEADERS,0))),"")))))))))}</f>
        <v>WILLL03</v>
      </c>
      <c r="K507" s="223"/>
      <c r="L507" s="223" t="str">
        <f t="array" ref="L507:L508">{"WILLL05";((IF("05"=(INDEX(ALLCLASSDATA,MATCH("WillSaveLegendary",CLASSFEATUREHEADERS,0),MATCH($A508,CLASSNAMEHEADERS,0))),(INDEX(ALLCLASSDATA,MATCH("WillSaveLegendary",CLASSFEATUREHEADERS,0),MATCH(($A508 &amp; "Points"),CLASSNAMEHEADERS,0))),(IF("05"=(INDEX(ALLCLASSDATA,MATCH("WillSaveMaster",CLASSFEATUREHEADERS,0),MATCH($A508,CLASSNAMEHEADERS,0))),(INDEX(ALLCLASSDATA,MATCH("WillSaveMaster",CLASSFEATUREHEADERS,0),MATCH(($A508 &amp; "Points"),CLASSNAMEHEADERS,0))),(IF("05"=(INDEX(ALLCLASSDATA,MATCH("WillSaveExpert",CLASSFEATUREHEADERS,0),MATCH($A508,CLASSNAMEHEADERS,0))),(INDEX(ALLCLASSDATA,MATCH("WillSaveExpert",CLASSFEATUREHEADERS,0),MATCH(($A508 &amp; "Points"),CLASSNAMEHEADERS,0))),(IF("05"=(INDEX(ALLCLASSDATA,MATCH("WillSaveTrained",CLASSFEATUREHEADERS,0),MATCH($A508,CLASSNAMEHEADERS,0))),(INDEX(ALLCLASSDATA,MATCH("WillSaveTrained",CLASSFEATUREHEADERS,0),MATCH(($A508 &amp; "Points"),CLASSNAMEHEADERS,0))),"")))))))))}</f>
        <v>WILLL05</v>
      </c>
      <c r="M507" s="223"/>
      <c r="N507" s="223" t="str">
        <f t="array" ref="N507:N508">{"WILLL07";((IF("07"=(INDEX(ALLCLASSDATA,MATCH("WillSaveLegendary",CLASSFEATUREHEADERS,0),MATCH($A508,CLASSNAMEHEADERS,0))),(INDEX(ALLCLASSDATA,MATCH("WillSaveLegendary",CLASSFEATUREHEADERS,0),MATCH(($A508 &amp; "Points"),CLASSNAMEHEADERS,0))),(IF("07"=(INDEX(ALLCLASSDATA,MATCH("WillSaveMaster",CLASSFEATUREHEADERS,0),MATCH($A508,CLASSNAMEHEADERS,0))),(INDEX(ALLCLASSDATA,MATCH("WillSaveMaster",CLASSFEATUREHEADERS,0),MATCH(($A508 &amp; "Points"),CLASSNAMEHEADERS,0))),(IF("07"=(INDEX(ALLCLASSDATA,MATCH("WillSaveExpert",CLASSFEATUREHEADERS,0),MATCH($A508,CLASSNAMEHEADERS,0))),(INDEX(ALLCLASSDATA,MATCH("WillSaveExpert",CLASSFEATUREHEADERS,0),MATCH(($A508 &amp; "Points"),CLASSNAMEHEADERS,0))),(IF("07"=(INDEX(ALLCLASSDATA,MATCH("WillSaveTrained",CLASSFEATUREHEADERS,0),MATCH($A508,CLASSNAMEHEADERS,0))),(INDEX(ALLCLASSDATA,MATCH("WillSaveTrained",CLASSFEATUREHEADERS,0),MATCH(($A508 &amp; "Points"),CLASSNAMEHEADERS,0))),"")))))))))}</f>
        <v>WILLL07</v>
      </c>
      <c r="O507" s="223"/>
      <c r="P507" s="223" t="str">
        <f t="array" ref="P507:P508">{"WILLL09";((IF("09"=(INDEX(ALLCLASSDATA,MATCH("WillSaveLegendary",CLASSFEATUREHEADERS,0),MATCH($A508,CLASSNAMEHEADERS,0))),(INDEX(ALLCLASSDATA,MATCH("WillSaveLegendary",CLASSFEATUREHEADERS,0),MATCH(($A508 &amp; "Points"),CLASSNAMEHEADERS,0))),(IF("09"=(INDEX(ALLCLASSDATA,MATCH("WillSaveMaster",CLASSFEATUREHEADERS,0),MATCH($A508,CLASSNAMEHEADERS,0))),(INDEX(ALLCLASSDATA,MATCH("WillSaveMaster",CLASSFEATUREHEADERS,0),MATCH(($A508 &amp; "Points"),CLASSNAMEHEADERS,0))),(IF("09"=(INDEX(ALLCLASSDATA,MATCH("WillSaveExpert",CLASSFEATUREHEADERS,0),MATCH($A508,CLASSNAMEHEADERS,0))),(INDEX(ALLCLASSDATA,MATCH("WillSaveExpert",CLASSFEATUREHEADERS,0),MATCH(($A508 &amp; "Points"),CLASSNAMEHEADERS,0))),(IF("09"=(INDEX(ALLCLASSDATA,MATCH("WillSaveTrained",CLASSFEATUREHEADERS,0),MATCH($A508,CLASSNAMEHEADERS,0))),(INDEX(ALLCLASSDATA,MATCH("WillSaveTrained",CLASSFEATUREHEADERS,0),MATCH(($A508 &amp; "Points"),CLASSNAMEHEADERS,0))),"")))))))))}</f>
        <v>WILLL09</v>
      </c>
      <c r="Q507" s="223"/>
      <c r="R507" s="223" t="str">
        <f t="array" ref="R507:R508">{"WILLL11";((IF("11"=(INDEX(ALLCLASSDATA,MATCH("WillSaveLegendary",CLASSFEATUREHEADERS,0),MATCH($A508,CLASSNAMEHEADERS,0))),(INDEX(ALLCLASSDATA,MATCH("WillSaveLegendary",CLASSFEATUREHEADERS,0),MATCH(($A508 &amp; "Points"),CLASSNAMEHEADERS,0))),(IF("11"=(INDEX(ALLCLASSDATA,MATCH("WillSaveMaster",CLASSFEATUREHEADERS,0),MATCH($A508,CLASSNAMEHEADERS,0))),(INDEX(ALLCLASSDATA,MATCH("WillSaveMaster",CLASSFEATUREHEADERS,0),MATCH(($A508 &amp; "Points"),CLASSNAMEHEADERS,0))),(IF("11"=(INDEX(ALLCLASSDATA,MATCH("WillSaveExpert",CLASSFEATUREHEADERS,0),MATCH($A508,CLASSNAMEHEADERS,0))),(INDEX(ALLCLASSDATA,MATCH("WillSaveExpert",CLASSFEATUREHEADERS,0),MATCH(($A508 &amp; "Points"),CLASSNAMEHEADERS,0))),(IF("11"=(INDEX(ALLCLASSDATA,MATCH("WillSaveTrained",CLASSFEATUREHEADERS,0),MATCH($A508,CLASSNAMEHEADERS,0))),(INDEX(ALLCLASSDATA,MATCH("WillSaveTrained",CLASSFEATUREHEADERS,0),MATCH(($A508 &amp; "Points"),CLASSNAMEHEADERS,0))),"")))))))))}</f>
        <v>WILLL11</v>
      </c>
      <c r="S507" s="223"/>
      <c r="T507" s="223" t="str">
        <f t="array" ref="T507:T508">{"WILLL13";((IF("13"=(INDEX(ALLCLASSDATA,MATCH("WillSaveLegendary",CLASSFEATUREHEADERS,0),MATCH($A508,CLASSNAMEHEADERS,0))),(INDEX(ALLCLASSDATA,MATCH("WillSaveLegendary",CLASSFEATUREHEADERS,0),MATCH(($A508 &amp; "Points"),CLASSNAMEHEADERS,0))),(IF("13"=(INDEX(ALLCLASSDATA,MATCH("WillSaveMaster",CLASSFEATUREHEADERS,0),MATCH($A508,CLASSNAMEHEADERS,0))),(INDEX(ALLCLASSDATA,MATCH("WillSaveMaster",CLASSFEATUREHEADERS,0),MATCH(($A508 &amp; "Points"),CLASSNAMEHEADERS,0))),(IF("13"=(INDEX(ALLCLASSDATA,MATCH("WillSaveExpert",CLASSFEATUREHEADERS,0),MATCH($A508,CLASSNAMEHEADERS,0))),(INDEX(ALLCLASSDATA,MATCH("WillSaveExpert",CLASSFEATUREHEADERS,0),MATCH(($A508 &amp; "Points"),CLASSNAMEHEADERS,0))),(IF("13"=(INDEX(ALLCLASSDATA,MATCH("WillSaveTrained",CLASSFEATUREHEADERS,0),MATCH($A508,CLASSNAMEHEADERS,0))),(INDEX(ALLCLASSDATA,MATCH("WillSaveTrained",CLASSFEATUREHEADERS,0),MATCH(($A508 &amp; "Points"),CLASSNAMEHEADERS,0))),"")))))))))}</f>
        <v>WILLL13</v>
      </c>
      <c r="U507" s="223"/>
      <c r="V507" s="223" t="str">
        <f t="array" ref="V507:V508">{"WILLL15";((IF("15"=(INDEX(ALLCLASSDATA,MATCH("WillSaveLegendary",CLASSFEATUREHEADERS,0),MATCH($A508,CLASSNAMEHEADERS,0))),(INDEX(ALLCLASSDATA,MATCH("WillSaveLegendary",CLASSFEATUREHEADERS,0),MATCH(($A508 &amp; "Points"),CLASSNAMEHEADERS,0))),(IF("15"=(INDEX(ALLCLASSDATA,MATCH("WillSaveMaster",CLASSFEATUREHEADERS,0),MATCH($A508,CLASSNAMEHEADERS,0))),(INDEX(ALLCLASSDATA,MATCH("WillSaveMaster",CLASSFEATUREHEADERS,0),MATCH(($A508 &amp; "Points"),CLASSNAMEHEADERS,0))),(IF("15"=(INDEX(ALLCLASSDATA,MATCH("WillSaveExpert",CLASSFEATUREHEADERS,0),MATCH($A508,CLASSNAMEHEADERS,0))),(INDEX(ALLCLASSDATA,MATCH("WillSaveExpert",CLASSFEATUREHEADERS,0),MATCH(($A508 &amp; "Points"),CLASSNAMEHEADERS,0))),(IF("15"=(INDEX(ALLCLASSDATA,MATCH("WillSaveTrained",CLASSFEATUREHEADERS,0),MATCH($A508,CLASSNAMEHEADERS,0))),(INDEX(ALLCLASSDATA,MATCH("WillSaveTrained",CLASSFEATUREHEADERS,0),MATCH(($A508 &amp; "Points"),CLASSNAMEHEADERS,0))),"")))))))))}</f>
        <v>WILLL15</v>
      </c>
      <c r="W507" s="223"/>
      <c r="X507" s="223" t="str">
        <f t="array" ref="X507:X508">{"WILLL17";((IF("17"=(INDEX(ALLCLASSDATA,MATCH("WillSaveLegendary",CLASSFEATUREHEADERS,0),MATCH($A508,CLASSNAMEHEADERS,0))),(INDEX(ALLCLASSDATA,MATCH("WillSaveLegendary",CLASSFEATUREHEADERS,0),MATCH(($A508 &amp; "Points"),CLASSNAMEHEADERS,0))),(IF("17"=(INDEX(ALLCLASSDATA,MATCH("WillSaveMaster",CLASSFEATUREHEADERS,0),MATCH($A508,CLASSNAMEHEADERS,0))),(INDEX(ALLCLASSDATA,MATCH("WillSaveMaster",CLASSFEATUREHEADERS,0),MATCH(($A508 &amp; "Points"),CLASSNAMEHEADERS,0))),(IF("17"=(INDEX(ALLCLASSDATA,MATCH("WillSaveExpert",CLASSFEATUREHEADERS,0),MATCH($A508,CLASSNAMEHEADERS,0))),(INDEX(ALLCLASSDATA,MATCH("WillSaveExpert",CLASSFEATUREHEADERS,0),MATCH(($A508 &amp; "Points"),CLASSNAMEHEADERS,0))),(IF("17"=(INDEX(ALLCLASSDATA,MATCH("WillSaveTrained",CLASSFEATUREHEADERS,0),MATCH($A508,CLASSNAMEHEADERS,0))),(INDEX(ALLCLASSDATA,MATCH("WillSaveTrained",CLASSFEATUREHEADERS,0),MATCH(($A508 &amp; "Points"),CLASSNAMEHEADERS,0))),"")))))))))}</f>
        <v>WILLL17</v>
      </c>
      <c r="Y507" s="223"/>
      <c r="Z507" s="223" t="str">
        <f t="array" ref="Z507:Z508">{"WILLL19";((IF("19"=(INDEX(ALLCLASSDATA,MATCH("WillSaveLegendary",CLASSFEATUREHEADERS,0),MATCH($A508,CLASSNAMEHEADERS,0))),(INDEX(ALLCLASSDATA,MATCH("WillSaveLegendary",CLASSFEATUREHEADERS,0),MATCH(($A508 &amp; "Points"),CLASSNAMEHEADERS,0))),(IF("19"=(INDEX(ALLCLASSDATA,MATCH("WillSaveMaster",CLASSFEATUREHEADERS,0),MATCH($A508,CLASSNAMEHEADERS,0))),(INDEX(ALLCLASSDATA,MATCH("WillSaveMaster",CLASSFEATUREHEADERS,0),MATCH(($A508 &amp; "Points"),CLASSNAMEHEADERS,0))),(IF("19"=(INDEX(ALLCLASSDATA,MATCH("WillSaveExpert",CLASSFEATUREHEADERS,0),MATCH($A508,CLASSNAMEHEADERS,0))),(INDEX(ALLCLASSDATA,MATCH("WillSaveExpert",CLASSFEATUREHEADERS,0),MATCH(($A508 &amp; "Points"),CLASSNAMEHEADERS,0))),(IF("19"=(INDEX(ALLCLASSDATA,MATCH("WillSaveTrained",CLASSFEATUREHEADERS,0),MATCH($A508,CLASSNAMEHEADERS,0))),(INDEX(ALLCLASSDATA,MATCH("WillSaveTrained",CLASSFEATUREHEADERS,0),MATCH(($A508 &amp; "Points"),CLASSNAMEHEADERS,0))),"")))))))))}</f>
        <v>WILLL19</v>
      </c>
      <c r="AA507" s="223"/>
      <c r="AB507" s="76" t="str">
        <f t="array" ref="AB507:AB508">{"WILL TOTAL";(IF(COUNTBLANK(G508:AA508)=17,"L",(IF(COUNTBLANK(G508:AA508)=18,"M",(IF(COUNTBLANK(G508:AA508)=19,"E",(IF(COUNTBLANK(G508:AA508)=20,"T",""))))))))}</f>
        <v>WILL TOTAL</v>
      </c>
      <c r="AC507" s="76" t="str">
        <f t="array" ref="AC507:AC508">{"WILL TOTAL";(sum(G508:AA508))}</f>
        <v>WILL TOTAL</v>
      </c>
    </row>
    <row r="508">
      <c r="A508" s="48" t="s">
        <v>138</v>
      </c>
      <c r="B508" s="48"/>
      <c r="C508" s="48" t="s">
        <v>415</v>
      </c>
      <c r="D508" s="97" t="s">
        <v>1549</v>
      </c>
      <c r="E508" s="97" t="s">
        <v>1591</v>
      </c>
      <c r="F508" s="98" t="s">
        <v>436</v>
      </c>
      <c r="G508" s="132">
        <v>10.0</v>
      </c>
      <c r="H508" s="98">
        <v>50.0</v>
      </c>
      <c r="I508" s="98"/>
      <c r="J508" s="98" t="s">
        <v>603</v>
      </c>
      <c r="K508" s="98"/>
      <c r="L508" s="98" t="s">
        <v>603</v>
      </c>
      <c r="M508" s="97"/>
      <c r="N508" s="98" t="s">
        <v>603</v>
      </c>
      <c r="O508" s="98"/>
      <c r="P508" s="98" t="s">
        <v>603</v>
      </c>
      <c r="Q508" s="97"/>
      <c r="R508" s="98" t="s">
        <v>603</v>
      </c>
      <c r="S508" s="98"/>
      <c r="T508" s="98" t="s">
        <v>603</v>
      </c>
      <c r="U508" s="98"/>
      <c r="V508" s="98" t="s">
        <v>603</v>
      </c>
      <c r="W508" s="98"/>
      <c r="X508" s="98">
        <v>110.0</v>
      </c>
      <c r="Y508" s="98"/>
      <c r="Z508" s="98" t="s">
        <v>603</v>
      </c>
      <c r="AA508" s="98"/>
      <c r="AB508" s="5" t="s">
        <v>437</v>
      </c>
      <c r="AC508" s="47">
        <v>170.0</v>
      </c>
    </row>
    <row r="509" hidden="1">
      <c r="A509" s="222" t="str">
        <f t="array" ref="A509:A510">{"FormulaRow26";(INDEX(CLASSLIST,A458,1))}</f>
        <v>FormulaRow26</v>
      </c>
      <c r="B509" s="77" t="s">
        <v>236</v>
      </c>
      <c r="C509" s="222" t="str">
        <f t="array" ref="C509:C510">{"CLASSTYPE";((INDEX(ALLCLASSDATA,MATCH("ClassType",CLASSFEATUREHEADERS,0),MATCH($A510,CLASSNAMEHEADERS,0))))}</f>
        <v>CLASSTYPE</v>
      </c>
      <c r="D509" s="228" t="str">
        <f t="array" ref="D509:D510">{"ATTACK";"Attack"}</f>
        <v>ATTACK</v>
      </c>
      <c r="E509" s="228" t="str">
        <f t="array" ref="E509:E510">{"WEAPONSPECIAL";"WeaponCS/WS/GWS"}</f>
        <v>WEAPONSPECIAL</v>
      </c>
      <c r="F509" s="230"/>
      <c r="G509" s="230"/>
      <c r="H509" s="230" t="str">
        <f t="array" ref="H509:H510">{"WEAPONSPECIALL01";((IF("01"=INDEX(ALLCLASSDATA,MATCH("WeaponGreaterSpecialization",CLASSFEATUREHEADERS,0),MATCH($A510,CLASSNAMEHEADERS,0)),WeaponGWS,(IF("01"=INDEX(ALLCLASSDATA,MATCH("WeaponSpecialization",CLASSFEATUREHEADERS,0),MATCH($A510,CLASSNAMEHEADERS,0)),WeaponWS,(IF("01"=INDEX(ALLCLASSDATA,MATCH("WeaponCriticalSpecialization",CLASSFEATUREHEADERS,0),MATCH($A510,CLASSNAMEHEADERS,0)),WeaponCS,"")))))))}</f>
        <v>WEAPONSPECIALL01</v>
      </c>
      <c r="I509" s="230"/>
      <c r="J509" s="230" t="str">
        <f t="array" ref="J509:J510">{"WEAPONSPECIALL03";((IF("03"=INDEX(ALLCLASSDATA,MATCH("WeaponGreaterSpecialization",CLASSFEATUREHEADERS,0),MATCH($A510,CLASSNAMEHEADERS,0)),WeaponGWS,(IF("03"=INDEX(ALLCLASSDATA,MATCH("WeaponSpecialization",CLASSFEATUREHEADERS,0),MATCH($A510,CLASSNAMEHEADERS,0)),WeaponWS,(IF("03"=INDEX(ALLCLASSDATA,MATCH("WeaponCriticalSpecialization",CLASSFEATUREHEADERS,0),MATCH($A510,CLASSNAMEHEADERS,0)),WeaponCS,"")))))))}</f>
        <v>WEAPONSPECIALL03</v>
      </c>
      <c r="K509" s="230"/>
      <c r="L509" s="230" t="str">
        <f t="array" ref="L509:L510">{"WEAPONSPECIALL05";((IF("05"=INDEX(ALLCLASSDATA,MATCH("WeaponGreaterSpecialization",CLASSFEATUREHEADERS,0),MATCH($A510,CLASSNAMEHEADERS,0)),WeaponGWS,(IF("05"=INDEX(ALLCLASSDATA,MATCH("WeaponSpecialization",CLASSFEATUREHEADERS,0),MATCH($A510,CLASSNAMEHEADERS,0)),WeaponWS,(IF("05"=INDEX(ALLCLASSDATA,MATCH("WeaponCriticalSpecialization",CLASSFEATUREHEADERS,0),MATCH($A510,CLASSNAMEHEADERS,0)),WeaponCS,"")))))))}</f>
        <v>WEAPONSPECIALL05</v>
      </c>
      <c r="M509" s="230"/>
      <c r="N509" s="230" t="str">
        <f t="array" ref="N509:N510">{"WEAPONSPECIALL07";((IF("07"=INDEX(ALLCLASSDATA,MATCH("WeaponGreaterSpecialization",CLASSFEATUREHEADERS,0),MATCH($A510,CLASSNAMEHEADERS,0)),WeaponGWS,(IF("07"=INDEX(ALLCLASSDATA,MATCH("WeaponSpecialization",CLASSFEATUREHEADERS,0),MATCH($A510,CLASSNAMEHEADERS,0)),WeaponWS,(IF("07"=INDEX(ALLCLASSDATA,MATCH("WeaponCriticalSpecialization",CLASSFEATUREHEADERS,0),MATCH($A510,CLASSNAMEHEADERS,0)),WeaponCS,"")))))))}</f>
        <v>WEAPONSPECIALL07</v>
      </c>
      <c r="O509" s="230"/>
      <c r="P509" s="230" t="str">
        <f t="array" ref="P509:P510">{"WEAPONSPECIALL09";((IF("09"=INDEX(ALLCLASSDATA,MATCH("WeaponGreaterSpecialization",CLASSFEATUREHEADERS,0),MATCH($A510,CLASSNAMEHEADERS,0)),WeaponGWS,(IF("09"=INDEX(ALLCLASSDATA,MATCH("WeaponSpecialization",CLASSFEATUREHEADERS,0),MATCH($A510,CLASSNAMEHEADERS,0)),WeaponWS,(IF("09"=INDEX(ALLCLASSDATA,MATCH("WeaponCriticalSpecialization",CLASSFEATUREHEADERS,0),MATCH($A510,CLASSNAMEHEADERS,0)),WeaponCS,"")))))))}</f>
        <v>WEAPONSPECIALL09</v>
      </c>
      <c r="Q509" s="230"/>
      <c r="R509" s="230" t="str">
        <f t="array" ref="R509:R510">{"WEAPONSPECIALL11";((IF("11"=INDEX(ALLCLASSDATA,MATCH("WeaponGreaterSpecialization",CLASSFEATUREHEADERS,0),MATCH($A510,CLASSNAMEHEADERS,0)),WeaponGWS,(IF("11"=INDEX(ALLCLASSDATA,MATCH("WeaponSpecialization",CLASSFEATUREHEADERS,0),MATCH($A510,CLASSNAMEHEADERS,0)),WeaponWS,(IF("11"=INDEX(ALLCLASSDATA,MATCH("WeaponCriticalSpecialization",CLASSFEATUREHEADERS,0),MATCH($A510,CLASSNAMEHEADERS,0)),WeaponCS,"")))))))}</f>
        <v>WEAPONSPECIALL11</v>
      </c>
      <c r="S509" s="230"/>
      <c r="T509" s="230" t="str">
        <f t="array" ref="T509:T510">{"WEAPONSPECIALL13";((IF("13"=INDEX(ALLCLASSDATA,MATCH("WeaponGreaterSpecialization",CLASSFEATUREHEADERS,0),MATCH($A510,CLASSNAMEHEADERS,0)),WeaponGWS,(IF("13"=INDEX(ALLCLASSDATA,MATCH("WeaponSpecialization",CLASSFEATUREHEADERS,0),MATCH($A510,CLASSNAMEHEADERS,0)),WeaponWS,(IF("13"=INDEX(ALLCLASSDATA,MATCH("WeaponCriticalSpecialization",CLASSFEATUREHEADERS,0),MATCH($A510,CLASSNAMEHEADERS,0)),WeaponCS,"")))))))}</f>
        <v>WEAPONSPECIALL13</v>
      </c>
      <c r="U509" s="230"/>
      <c r="V509" s="230" t="str">
        <f t="array" ref="V509:V510">{"WEAPONSPECIALL15";((IF("15"=INDEX(ALLCLASSDATA,MATCH("WeaponGreaterSpecialization",CLASSFEATUREHEADERS,0),MATCH($A510,CLASSNAMEHEADERS,0)),WeaponGWS,(IF("15"=INDEX(ALLCLASSDATA,MATCH("WeaponSpecialization",CLASSFEATUREHEADERS,0),MATCH($A510,CLASSNAMEHEADERS,0)),WeaponWS,(IF("15"=INDEX(ALLCLASSDATA,MATCH("WeaponCriticalSpecialization",CLASSFEATUREHEADERS,0),MATCH($A510,CLASSNAMEHEADERS,0)),WeaponCS,"")))))))}</f>
        <v>WEAPONSPECIALL15</v>
      </c>
      <c r="W509" s="230"/>
      <c r="X509" s="230" t="str">
        <f t="array" ref="X509:X510">{"WEAPONSPECIALL17";((IF("17"=INDEX(ALLCLASSDATA,MATCH("WeaponGreaterSpecialization",CLASSFEATUREHEADERS,0),MATCH($A510,CLASSNAMEHEADERS,0)),WeaponGWS,(IF("17"=INDEX(ALLCLASSDATA,MATCH("WeaponSpecialization",CLASSFEATUREHEADERS,0),MATCH($A510,CLASSNAMEHEADERS,0)),WeaponWS,(IF("17"=INDEX(ALLCLASSDATA,MATCH("WeaponCriticalSpecialization",CLASSFEATUREHEADERS,0),MATCH($A510,CLASSNAMEHEADERS,0)),WeaponCS,"")))))))}</f>
        <v>WEAPONSPECIALL17</v>
      </c>
      <c r="Y509" s="230"/>
      <c r="Z509" s="230" t="str">
        <f t="array" ref="Z509:Z510">{"WEAPONSPECIALL19";((IF("19"=INDEX(ALLCLASSDATA,MATCH("WeaponGreaterSpecialization",CLASSFEATUREHEADERS,0),MATCH($A510,CLASSNAMEHEADERS,0)),WeaponGWS,(IF("19"=INDEX(ALLCLASSDATA,MATCH("WeaponSpecialization",CLASSFEATUREHEADERS,0),MATCH($A510,CLASSNAMEHEADERS,0)),WeaponWS,(IF("19"=INDEX(ALLCLASSDATA,MATCH("WeaponCriticalSpecialization",CLASSFEATUREHEADERS,0),MATCH($A510,CLASSNAMEHEADERS,0)),WeaponCS,"")))))))}</f>
        <v>WEAPONSPECIALL19</v>
      </c>
      <c r="AA509" s="230"/>
      <c r="AB509" s="76"/>
      <c r="AC509" s="76" t="str">
        <f t="array" ref="AC509:AC510">{"WEAPONSPECIAL TOTAL";(sum(G510:AA510))}</f>
        <v>WEAPONSPECIAL TOTAL</v>
      </c>
    </row>
    <row r="510">
      <c r="A510" s="48" t="s">
        <v>138</v>
      </c>
      <c r="B510" s="48"/>
      <c r="C510" s="48" t="s">
        <v>415</v>
      </c>
      <c r="D510" s="48" t="s">
        <v>1634</v>
      </c>
      <c r="E510" s="48" t="s">
        <v>1635</v>
      </c>
      <c r="F510" s="5"/>
      <c r="G510" s="47"/>
      <c r="H510" s="5" t="s">
        <v>603</v>
      </c>
      <c r="I510" s="5"/>
      <c r="J510" s="5" t="s">
        <v>603</v>
      </c>
      <c r="K510" s="5"/>
      <c r="L510" s="5">
        <v>50.0</v>
      </c>
      <c r="M510" s="5"/>
      <c r="N510" s="5">
        <v>70.0</v>
      </c>
      <c r="O510" s="5"/>
      <c r="P510" s="5" t="s">
        <v>603</v>
      </c>
      <c r="Q510" s="5"/>
      <c r="R510" s="5" t="s">
        <v>603</v>
      </c>
      <c r="S510" s="5"/>
      <c r="T510" s="5" t="s">
        <v>603</v>
      </c>
      <c r="U510" s="5"/>
      <c r="V510" s="5">
        <v>150.0</v>
      </c>
      <c r="W510" s="5"/>
      <c r="X510" s="5" t="s">
        <v>603</v>
      </c>
      <c r="Y510" s="5"/>
      <c r="Z510" s="5" t="s">
        <v>603</v>
      </c>
      <c r="AA510" s="5"/>
      <c r="AB510" s="5"/>
      <c r="AC510" s="47">
        <v>270.0</v>
      </c>
    </row>
    <row r="511" hidden="1">
      <c r="A511" s="222" t="str">
        <f t="array" ref="A511:A512">{"FormulaRow27";(INDEX(CLASSLIST,A458,1))}</f>
        <v>FormulaRow27</v>
      </c>
      <c r="B511" s="77" t="s">
        <v>236</v>
      </c>
      <c r="C511" s="222" t="str">
        <f t="array" ref="C511:C512">{"CLASSTYPE";((INDEX(ALLCLASSDATA,MATCH("ClassType",CLASSFEATUREHEADERS,0),MATCH($A512,CLASSNAMEHEADERS,0))))}</f>
        <v>CLASSTYPE</v>
      </c>
      <c r="D511" s="222" t="str">
        <f t="array" ref="D511:D512">{"ATTACK";"Attack"}</f>
        <v>ATTACK</v>
      </c>
      <c r="E511" s="222" t="str">
        <f t="array" ref="E511:E512">{"UNARMED";"Unarmed"}</f>
        <v>UNARMED</v>
      </c>
      <c r="F511" s="223" t="str">
        <f t="array" ref="F511:F512">{"UNARMEDINITIAL";((IF(H512=10,"T",(IF(H512=50,"E","")))))}</f>
        <v>UNARMEDINITIAL</v>
      </c>
      <c r="G511" s="223" t="str">
        <f t="array" ref="G511:G512">{"UNARMEDINITIALPTS";((IF("00"=(INDEX(ALLCLASSDATA,MATCH("UnarmedLegendary",CLASSFEATUREHEADERS,0),MATCH($A512,CLASSNAMEHEADERS,0))),(INDEX(ALLCLASSDATA,MATCH("UnarmedLegendary",CLASSFEATUREHEADERS,0),MATCH(($A512 &amp; "Points"),CLASSNAMEHEADERS,0))),(IF("00"=(INDEX(ALLCLASSDATA,MATCH("UnarmedMaster",CLASSFEATUREHEADERS,0),MATCH($A512,CLASSNAMEHEADERS,0))),(INDEX(ALLCLASSDATA,MATCH("UnarmedMaster",CLASSFEATUREHEADERS,0),MATCH(($A512 &amp; "Points"),CLASSNAMEHEADERS,0))),(IF("00"=(INDEX(ALLCLASSDATA,MATCH("UnarmedExpert",CLASSFEATUREHEADERS,0),MATCH($A512,CLASSNAMEHEADERS,0))),(INDEX(ALLCLASSDATA,MATCH("UnarmedExpert",CLASSFEATUREHEADERS,0),MATCH(($A512 &amp; "Points"),CLASSNAMEHEADERS,0))),(IF("00"=(INDEX(ALLCLASSDATA,MATCH("UnarmedTrained",CLASSFEATUREHEADERS,0),MATCH($A512,CLASSNAMEHEADERS,0))),(INDEX(ALLCLASSDATA,MATCH("UnarmedTrained",CLASSFEATUREHEADERS,0),MATCH(($A512 &amp; "Points"),CLASSNAMEHEADERS,0))),"")))))))))}</f>
        <v>UNARMEDINITIALPTS</v>
      </c>
      <c r="H511" s="223" t="str">
        <f t="array" ref="H511:H512">{"UNARMEDL01";((IF("01"=(INDEX(ALLCLASSDATA,MATCH("UnarmedLegendary",CLASSFEATUREHEADERS,0),MATCH($A512,CLASSNAMEHEADERS,0))),(INDEX(ALLCLASSDATA,MATCH("UnarmedLegendary",CLASSFEATUREHEADERS,0),MATCH(($A512 &amp; "Points"),CLASSNAMEHEADERS,0))),(IF("01"=(INDEX(ALLCLASSDATA,MATCH("UnarmedMaster",CLASSFEATUREHEADERS,0),MATCH($A512,CLASSNAMEHEADERS,0))),(INDEX(ALLCLASSDATA,MATCH("UnarmedMaster",CLASSFEATUREHEADERS,0),MATCH(($A512 &amp; "Points"),CLASSNAMEHEADERS,0))),(IF("01"=(INDEX(ALLCLASSDATA,MATCH("UnarmedExpert",CLASSFEATUREHEADERS,0),MATCH($A512,CLASSNAMEHEADERS,0))),(INDEX(ALLCLASSDATA,MATCH("UnarmedExpert",CLASSFEATUREHEADERS,0),MATCH(($A512 &amp; "Points"),CLASSNAMEHEADERS,0))),(IF("01"=(INDEX(ALLCLASSDATA,MATCH("UnarmedTrained",CLASSFEATUREHEADERS,0),MATCH($A512,CLASSNAMEHEADERS,0))),(INDEX(ALLCLASSDATA,MATCH("UnarmedTrained",CLASSFEATUREHEADERS,0),MATCH(($A512 &amp; "Points"),CLASSNAMEHEADERS,0))),"")))))))))}</f>
        <v>UNARMEDL01</v>
      </c>
      <c r="I511" s="223"/>
      <c r="J511" s="223" t="str">
        <f t="array" ref="J511:J512">{"UNARMEDL03";((IF("03"=(INDEX(ALLCLASSDATA,MATCH("UnarmedLegendary",CLASSFEATUREHEADERS,0),MATCH($A512,CLASSNAMEHEADERS,0))),(INDEX(ALLCLASSDATA,MATCH("UnarmedLegendary",CLASSFEATUREHEADERS,0),MATCH(($A512 &amp; "Points"),CLASSNAMEHEADERS,0))),(IF("03"=(INDEX(ALLCLASSDATA,MATCH("UnarmedMaster",CLASSFEATUREHEADERS,0),MATCH($A512,CLASSNAMEHEADERS,0))),(INDEX(ALLCLASSDATA,MATCH("UnarmedMaster",CLASSFEATUREHEADERS,0),MATCH(($A512 &amp; "Points"),CLASSNAMEHEADERS,0))),(IF("03"=(INDEX(ALLCLASSDATA,MATCH("UnarmedExpert",CLASSFEATUREHEADERS,0),MATCH($A512,CLASSNAMEHEADERS,0))),(INDEX(ALLCLASSDATA,MATCH("UnarmedExpert",CLASSFEATUREHEADERS,0),MATCH(($A512 &amp; "Points"),CLASSNAMEHEADERS,0))),(IF("03"=(INDEX(ALLCLASSDATA,MATCH("UnarmedTrained",CLASSFEATUREHEADERS,0),MATCH($A512,CLASSNAMEHEADERS,0))),(INDEX(ALLCLASSDATA,MATCH("UnarmedTrained",CLASSFEATUREHEADERS,0),MATCH(($A512 &amp; "Points"),CLASSNAMEHEADERS,0))),"")))))))))}</f>
        <v>UNARMEDL03</v>
      </c>
      <c r="K511" s="223"/>
      <c r="L511" s="223" t="str">
        <f t="array" ref="L511:L512">{"UNARMEDL05";((IF("05"=(INDEX(ALLCLASSDATA,MATCH("UnarmedLegendary",CLASSFEATUREHEADERS,0),MATCH($A512,CLASSNAMEHEADERS,0))),(INDEX(ALLCLASSDATA,MATCH("UnarmedLegendary",CLASSFEATUREHEADERS,0),MATCH(($A512 &amp; "Points"),CLASSNAMEHEADERS,0))),(IF("05"=(INDEX(ALLCLASSDATA,MATCH("UnarmedMaster",CLASSFEATUREHEADERS,0),MATCH($A512,CLASSNAMEHEADERS,0))),(INDEX(ALLCLASSDATA,MATCH("UnarmedMaster",CLASSFEATUREHEADERS,0),MATCH(($A512 &amp; "Points"),CLASSNAMEHEADERS,0))),(IF("05"=(INDEX(ALLCLASSDATA,MATCH("UnarmedExpert",CLASSFEATUREHEADERS,0),MATCH($A512,CLASSNAMEHEADERS,0))),(INDEX(ALLCLASSDATA,MATCH("UnarmedExpert",CLASSFEATUREHEADERS,0),MATCH(($A512 &amp; "Points"),CLASSNAMEHEADERS,0))),(IF("05"=(INDEX(ALLCLASSDATA,MATCH("UnarmedTrained",CLASSFEATUREHEADERS,0),MATCH($A512,CLASSNAMEHEADERS,0))),(INDEX(ALLCLASSDATA,MATCH("UnarmedTrained",CLASSFEATUREHEADERS,0),MATCH(($A512 &amp; "Points"),CLASSNAMEHEADERS,0))),"")))))))))}</f>
        <v>UNARMEDL05</v>
      </c>
      <c r="M511" s="223"/>
      <c r="N511" s="223" t="str">
        <f t="array" ref="N511:N512">{"UNARMEDL07";((IF("07"=(INDEX(ALLCLASSDATA,MATCH("UnarmedLegendary",CLASSFEATUREHEADERS,0),MATCH($A512,CLASSNAMEHEADERS,0))),(INDEX(ALLCLASSDATA,MATCH("UnarmedLegendary",CLASSFEATUREHEADERS,0),MATCH(($A512 &amp; "Points"),CLASSNAMEHEADERS,0))),(IF("07"=(INDEX(ALLCLASSDATA,MATCH("UnarmedMaster",CLASSFEATUREHEADERS,0),MATCH($A512,CLASSNAMEHEADERS,0))),(INDEX(ALLCLASSDATA,MATCH("UnarmedMaster",CLASSFEATUREHEADERS,0),MATCH(($A512 &amp; "Points"),CLASSNAMEHEADERS,0))),(IF("07"=(INDEX(ALLCLASSDATA,MATCH("UnarmedExpert",CLASSFEATUREHEADERS,0),MATCH($A512,CLASSNAMEHEADERS,0))),(INDEX(ALLCLASSDATA,MATCH("UnarmedExpert",CLASSFEATUREHEADERS,0),MATCH(($A512 &amp; "Points"),CLASSNAMEHEADERS,0))),(IF("07"=(INDEX(ALLCLASSDATA,MATCH("UnarmedTrained",CLASSFEATUREHEADERS,0),MATCH($A512,CLASSNAMEHEADERS,0))),(INDEX(ALLCLASSDATA,MATCH("UnarmedTrained",CLASSFEATUREHEADERS,0),MATCH(($A512 &amp; "Points"),CLASSNAMEHEADERS,0))),"")))))))))}</f>
        <v>UNARMEDL07</v>
      </c>
      <c r="O511" s="223"/>
      <c r="P511" s="223" t="str">
        <f t="array" ref="P511:P512">{"UNARMEDL09";((IF("09"=(INDEX(ALLCLASSDATA,MATCH("UnarmedLegendary",CLASSFEATUREHEADERS,0),MATCH($A512,CLASSNAMEHEADERS,0))),(INDEX(ALLCLASSDATA,MATCH("UnarmedLegendary",CLASSFEATUREHEADERS,0),MATCH(($A512 &amp; "Points"),CLASSNAMEHEADERS,0))),(IF("09"=(INDEX(ALLCLASSDATA,MATCH("UnarmedMaster",CLASSFEATUREHEADERS,0),MATCH($A512,CLASSNAMEHEADERS,0))),(INDEX(ALLCLASSDATA,MATCH("UnarmedMaster",CLASSFEATUREHEADERS,0),MATCH(($A512 &amp; "Points"),CLASSNAMEHEADERS,0))),(IF("09"=(INDEX(ALLCLASSDATA,MATCH("UnarmedExpert",CLASSFEATUREHEADERS,0),MATCH($A512,CLASSNAMEHEADERS,0))),(INDEX(ALLCLASSDATA,MATCH("UnarmedExpert",CLASSFEATUREHEADERS,0),MATCH(($A512 &amp; "Points"),CLASSNAMEHEADERS,0))),(IF("09"=(INDEX(ALLCLASSDATA,MATCH("UnarmedTrained",CLASSFEATUREHEADERS,0),MATCH($A512,CLASSNAMEHEADERS,0))),(INDEX(ALLCLASSDATA,MATCH("UnarmedTrained",CLASSFEATUREHEADERS,0),MATCH(($A512 &amp; "Points"),CLASSNAMEHEADERS,0))),"")))))))))}</f>
        <v>UNARMEDL09</v>
      </c>
      <c r="Q511" s="223"/>
      <c r="R511" s="223" t="str">
        <f t="array" ref="R511:R512">{"UNARMEDL11";((IF("11"=(INDEX(ALLCLASSDATA,MATCH("UnarmedLegendary",CLASSFEATUREHEADERS,0),MATCH($A512,CLASSNAMEHEADERS,0))),(INDEX(ALLCLASSDATA,MATCH("UnarmedLegendary",CLASSFEATUREHEADERS,0),MATCH(($A512 &amp; "Points"),CLASSNAMEHEADERS,0))),(IF("11"=(INDEX(ALLCLASSDATA,MATCH("UnarmedMaster",CLASSFEATUREHEADERS,0),MATCH($A512,CLASSNAMEHEADERS,0))),(INDEX(ALLCLASSDATA,MATCH("UnarmedMaster",CLASSFEATUREHEADERS,0),MATCH(($A512 &amp; "Points"),CLASSNAMEHEADERS,0))),(IF("11"=(INDEX(ALLCLASSDATA,MATCH("UnarmedExpert",CLASSFEATUREHEADERS,0),MATCH($A512,CLASSNAMEHEADERS,0))),(INDEX(ALLCLASSDATA,MATCH("UnarmedExpert",CLASSFEATUREHEADERS,0),MATCH(($A512 &amp; "Points"),CLASSNAMEHEADERS,0))),(IF("11"=(INDEX(ALLCLASSDATA,MATCH("UnarmedTrained",CLASSFEATUREHEADERS,0),MATCH($A512,CLASSNAMEHEADERS,0))),(INDEX(ALLCLASSDATA,MATCH("UnarmedTrained",CLASSFEATUREHEADERS,0),MATCH(($A512 &amp; "Points"),CLASSNAMEHEADERS,0))),"")))))))))}</f>
        <v>UNARMEDL11</v>
      </c>
      <c r="S511" s="223"/>
      <c r="T511" s="223" t="str">
        <f t="array" ref="T511:T512">{"UNARMEDL13";((IF("13"=(INDEX(ALLCLASSDATA,MATCH("UnarmedLegendary",CLASSFEATUREHEADERS,0),MATCH($A512,CLASSNAMEHEADERS,0))),(INDEX(ALLCLASSDATA,MATCH("UnarmedLegendary",CLASSFEATUREHEADERS,0),MATCH(($A512 &amp; "Points"),CLASSNAMEHEADERS,0))),(IF("13"=(INDEX(ALLCLASSDATA,MATCH("UnarmedMaster",CLASSFEATUREHEADERS,0),MATCH($A512,CLASSNAMEHEADERS,0))),(INDEX(ALLCLASSDATA,MATCH("UnarmedMaster",CLASSFEATUREHEADERS,0),MATCH(($A512 &amp; "Points"),CLASSNAMEHEADERS,0))),(IF("13"=(INDEX(ALLCLASSDATA,MATCH("UnarmedExpert",CLASSFEATUREHEADERS,0),MATCH($A512,CLASSNAMEHEADERS,0))),(INDEX(ALLCLASSDATA,MATCH("UnarmedExpert",CLASSFEATUREHEADERS,0),MATCH(($A512 &amp; "Points"),CLASSNAMEHEADERS,0))),(IF("13"=(INDEX(ALLCLASSDATA,MATCH("UnarmedTrained",CLASSFEATUREHEADERS,0),MATCH($A512,CLASSNAMEHEADERS,0))),(INDEX(ALLCLASSDATA,MATCH("UnarmedTrained",CLASSFEATUREHEADERS,0),MATCH(($A512 &amp; "Points"),CLASSNAMEHEADERS,0))),"")))))))))}</f>
        <v>UNARMEDL13</v>
      </c>
      <c r="U511" s="223"/>
      <c r="V511" s="223" t="str">
        <f t="array" ref="V511:V512">{"UNARMEDL15";((IF("15"=(INDEX(ALLCLASSDATA,MATCH("UnarmedLegendary",CLASSFEATUREHEADERS,0),MATCH($A512,CLASSNAMEHEADERS,0))),(INDEX(ALLCLASSDATA,MATCH("UnarmedLegendary",CLASSFEATUREHEADERS,0),MATCH(($A512 &amp; "Points"),CLASSNAMEHEADERS,0))),(IF("15"=(INDEX(ALLCLASSDATA,MATCH("UnarmedMaster",CLASSFEATUREHEADERS,0),MATCH($A512,CLASSNAMEHEADERS,0))),(INDEX(ALLCLASSDATA,MATCH("UnarmedMaster",CLASSFEATUREHEADERS,0),MATCH(($A512 &amp; "Points"),CLASSNAMEHEADERS,0))),(IF("15"=(INDEX(ALLCLASSDATA,MATCH("UnarmedExpert",CLASSFEATUREHEADERS,0),MATCH($A512,CLASSNAMEHEADERS,0))),(INDEX(ALLCLASSDATA,MATCH("UnarmedExpert",CLASSFEATUREHEADERS,0),MATCH(($A512 &amp; "Points"),CLASSNAMEHEADERS,0))),(IF("15"=(INDEX(ALLCLASSDATA,MATCH("UnarmedTrained",CLASSFEATUREHEADERS,0),MATCH($A512,CLASSNAMEHEADERS,0))),(INDEX(ALLCLASSDATA,MATCH("UnarmedTrained",CLASSFEATUREHEADERS,0),MATCH(($A512 &amp; "Points"),CLASSNAMEHEADERS,0))),"")))))))))}</f>
        <v>UNARMEDL15</v>
      </c>
      <c r="W511" s="223"/>
      <c r="X511" s="223" t="str">
        <f t="array" ref="X511:X512">{"UNARMEDL17";((IF("17"=(INDEX(ALLCLASSDATA,MATCH("UnarmedLegendary",CLASSFEATUREHEADERS,0),MATCH($A512,CLASSNAMEHEADERS,0))),(INDEX(ALLCLASSDATA,MATCH("UnarmedLegendary",CLASSFEATUREHEADERS,0),MATCH(($A512 &amp; "Points"),CLASSNAMEHEADERS,0))),(IF("17"=(INDEX(ALLCLASSDATA,MATCH("UnarmedMaster",CLASSFEATUREHEADERS,0),MATCH($A512,CLASSNAMEHEADERS,0))),(INDEX(ALLCLASSDATA,MATCH("UnarmedMaster",CLASSFEATUREHEADERS,0),MATCH(($A512 &amp; "Points"),CLASSNAMEHEADERS,0))),(IF("17"=(INDEX(ALLCLASSDATA,MATCH("UnarmedExpert",CLASSFEATUREHEADERS,0),MATCH($A512,CLASSNAMEHEADERS,0))),(INDEX(ALLCLASSDATA,MATCH("UnarmedExpert",CLASSFEATUREHEADERS,0),MATCH(($A512 &amp; "Points"),CLASSNAMEHEADERS,0))),(IF("17"=(INDEX(ALLCLASSDATA,MATCH("UnarmedTrained",CLASSFEATUREHEADERS,0),MATCH($A512,CLASSNAMEHEADERS,0))),(INDEX(ALLCLASSDATA,MATCH("UnarmedTrained",CLASSFEATUREHEADERS,0),MATCH(($A512 &amp; "Points"),CLASSNAMEHEADERS,0))),"")))))))))}</f>
        <v>UNARMEDL17</v>
      </c>
      <c r="Y511" s="223"/>
      <c r="Z511" s="223" t="str">
        <f t="array" ref="Z511:Z512">{"UNARMEDL19";((IF("19"=(INDEX(ALLCLASSDATA,MATCH("UnarmedLegendary",CLASSFEATUREHEADERS,0),MATCH($A512,CLASSNAMEHEADERS,0))),(INDEX(ALLCLASSDATA,MATCH("UnarmedLegendary",CLASSFEATUREHEADERS,0),MATCH(($A512 &amp; "Points"),CLASSNAMEHEADERS,0))),(IF("19"=(INDEX(ALLCLASSDATA,MATCH("UnarmedMaster",CLASSFEATUREHEADERS,0),MATCH($A512,CLASSNAMEHEADERS,0))),(INDEX(ALLCLASSDATA,MATCH("UnarmedMaster",CLASSFEATUREHEADERS,0),MATCH(($A512 &amp; "Points"),CLASSNAMEHEADERS,0))),(IF("19"=(INDEX(ALLCLASSDATA,MATCH("UnarmedExpert",CLASSFEATUREHEADERS,0),MATCH($A512,CLASSNAMEHEADERS,0))),(INDEX(ALLCLASSDATA,MATCH("UnarmedExpert",CLASSFEATUREHEADERS,0),MATCH(($A512 &amp; "Points"),CLASSNAMEHEADERS,0))),(IF("19"=(INDEX(ALLCLASSDATA,MATCH("UnarmedTrained",CLASSFEATUREHEADERS,0),MATCH($A512,CLASSNAMEHEADERS,0))),(INDEX(ALLCLASSDATA,MATCH("UnarmedTrained",CLASSFEATUREHEADERS,0),MATCH(($A512 &amp; "Points"),CLASSNAMEHEADERS,0))),"")))))))))}</f>
        <v>UNARMEDL19</v>
      </c>
      <c r="AA511" s="223"/>
      <c r="AB511" s="76" t="str">
        <f t="array" ref="AB511:AB512">{"UNARMED TOTAL";(IF(COUNTBLANK(G512:AA512)=17,"L",(IF(COUNTBLANK(G512:AA512)=18,"M",(IF(COUNTBLANK(G512:AA512)=19,"E",(IF(COUNTBLANK(G512:AA512)=20,"T",""))))))))}</f>
        <v>UNARMED TOTAL</v>
      </c>
      <c r="AC511" s="76" t="str">
        <f t="array" ref="AC511:AC512">{"UNARMED TOTAL";(sum(G512:AA512))}</f>
        <v>UNARMED TOTAL</v>
      </c>
    </row>
    <row r="512">
      <c r="A512" s="48" t="s">
        <v>138</v>
      </c>
      <c r="B512" s="48"/>
      <c r="C512" s="48" t="s">
        <v>415</v>
      </c>
      <c r="D512" s="48" t="s">
        <v>1634</v>
      </c>
      <c r="E512" s="48" t="s">
        <v>257</v>
      </c>
      <c r="F512" s="5" t="s">
        <v>435</v>
      </c>
      <c r="G512" s="47" t="s">
        <v>603</v>
      </c>
      <c r="H512" s="5">
        <v>10.0</v>
      </c>
      <c r="I512" s="5"/>
      <c r="J512" s="5" t="s">
        <v>603</v>
      </c>
      <c r="K512" s="5"/>
      <c r="L512" s="5" t="s">
        <v>436</v>
      </c>
      <c r="M512" s="5"/>
      <c r="N512" s="5" t="s">
        <v>603</v>
      </c>
      <c r="O512" s="5"/>
      <c r="P512" s="5" t="s">
        <v>603</v>
      </c>
      <c r="Q512" s="5"/>
      <c r="R512" s="5" t="s">
        <v>603</v>
      </c>
      <c r="S512" s="5"/>
      <c r="T512" s="5" t="s">
        <v>437</v>
      </c>
      <c r="U512" s="5"/>
      <c r="V512" s="5" t="s">
        <v>603</v>
      </c>
      <c r="W512" s="5"/>
      <c r="X512" s="5" t="s">
        <v>603</v>
      </c>
      <c r="Y512" s="5"/>
      <c r="Z512" s="5" t="s">
        <v>603</v>
      </c>
      <c r="AA512" s="5"/>
      <c r="AB512" s="5" t="s">
        <v>437</v>
      </c>
      <c r="AC512" s="47">
        <v>10.0</v>
      </c>
    </row>
    <row r="513" hidden="1">
      <c r="A513" s="222" t="str">
        <f t="array" ref="A513:A514">{"FormulaRow28";(INDEX(CLASSLIST,A458,1))}</f>
        <v>FormulaRow28</v>
      </c>
      <c r="B513" s="77" t="s">
        <v>236</v>
      </c>
      <c r="C513" s="222" t="str">
        <f t="array" ref="C513:C514">{"CLASSTYPE";((INDEX(ALLCLASSDATA,MATCH("ClassType",CLASSFEATUREHEADERS,0),MATCH($A514,CLASSNAMEHEADERS,0))))}</f>
        <v>CLASSTYPE</v>
      </c>
      <c r="D513" s="222" t="str">
        <f t="array" ref="D513:D514">{"ATTACK";"Attack"}</f>
        <v>ATTACK</v>
      </c>
      <c r="E513" s="222" t="str">
        <f t="array" ref="E513:E514">{"SIMPLELIMITED";"SimpleLimited"}</f>
        <v>SIMPLELIMITED</v>
      </c>
      <c r="F513" s="223" t="str">
        <f t="array" ref="F513:F514">{"SIMPLELIMITEDINITIAL";((IF(H514=10,"T",(IF(H514=50,"E","")))))}</f>
        <v>SIMPLELIMITEDINITIAL</v>
      </c>
      <c r="G513" s="223" t="str">
        <f t="array" ref="G513:G514">{"SIMPLELIMITEDINITIALPTS";((IF("00"=(INDEX(ALLCLASSDATA,MATCH("SimpleLimitedLegendary",CLASSFEATUREHEADERS,0),MATCH($A514,CLASSNAMEHEADERS,0))),(INDEX(ALLCLASSDATA,MATCH("SimpleLimitedLegendary",CLASSFEATUREHEADERS,0),MATCH(($A514 &amp; "Points"),CLASSNAMEHEADERS,0))),(IF("00"=(INDEX(ALLCLASSDATA,MATCH("SimpleLimitedMaster",CLASSFEATUREHEADERS,0),MATCH($A514,CLASSNAMEHEADERS,0))),(INDEX(ALLCLASSDATA,MATCH("SimpleLimitedMaster",CLASSFEATUREHEADERS,0),MATCH(($A514 &amp; "Points"),CLASSNAMEHEADERS,0))),(IF("00"=(INDEX(ALLCLASSDATA,MATCH("SimpleLimitedExpert",CLASSFEATUREHEADERS,0),MATCH($A514,CLASSNAMEHEADERS,0))),(INDEX(ALLCLASSDATA,MATCH("SimpleLimitedExpert",CLASSFEATUREHEADERS,0),MATCH(($A514 &amp; "Points"),CLASSNAMEHEADERS,0))),(IF("00"=(INDEX(ALLCLASSDATA,MATCH("SimpleLimitedTrained",CLASSFEATUREHEADERS,0),MATCH($A514,CLASSNAMEHEADERS,0))),(INDEX(ALLCLASSDATA,MATCH("SimpleLimitedTrained",CLASSFEATUREHEADERS,0),MATCH(($A514 &amp; "Points"),CLASSNAMEHEADERS,0))),"")))))))))}</f>
        <v>SIMPLELIMITEDINITIALPTS</v>
      </c>
      <c r="H513" s="223" t="str">
        <f t="array" ref="H513:H514">{"SIMPLELIMITEDL01";((IF("01"=(INDEX(ALLCLASSDATA,MATCH("SimpleLimitedLegendary",CLASSFEATUREHEADERS,0),MATCH($A514,CLASSNAMEHEADERS,0))),(INDEX(ALLCLASSDATA,MATCH("SimpleLimitedLegendary",CLASSFEATUREHEADERS,0),MATCH(($A514 &amp; "Points"),CLASSNAMEHEADERS,0))),(IF("01"=(INDEX(ALLCLASSDATA,MATCH("SimpleLimitedMaster",CLASSFEATUREHEADERS,0),MATCH($A514,CLASSNAMEHEADERS,0))),(INDEX(ALLCLASSDATA,MATCH("SimpleLimitedMaster",CLASSFEATUREHEADERS,0),MATCH(($A514 &amp; "Points"),CLASSNAMEHEADERS,0))),(IF("01"=(INDEX(ALLCLASSDATA,MATCH("SimpleLimitedExpert",CLASSFEATUREHEADERS,0),MATCH($A514,CLASSNAMEHEADERS,0))),(INDEX(ALLCLASSDATA,MATCH("SimpleLimitedExpert",CLASSFEATUREHEADERS,0),MATCH(($A514 &amp; "Points"),CLASSNAMEHEADERS,0))),(IF("01"=(INDEX(ALLCLASSDATA,MATCH("SimpleLimitedTrained",CLASSFEATUREHEADERS,0),MATCH($A514,CLASSNAMEHEADERS,0))),(INDEX(ALLCLASSDATA,MATCH("SimpleLimitedTrained",CLASSFEATUREHEADERS,0),MATCH(($A514 &amp; "Points"),CLASSNAMEHEADERS,0))),"")))))))))}</f>
        <v>SIMPLELIMITEDL01</v>
      </c>
      <c r="I513" s="223"/>
      <c r="J513" s="223" t="str">
        <f t="array" ref="J513:J514">{"SIMPLELIMITEDL03";((IF("03"=(INDEX(ALLCLASSDATA,MATCH("SimpleLimitedLegendary",CLASSFEATUREHEADERS,0),MATCH($A514,CLASSNAMEHEADERS,0))),(INDEX(ALLCLASSDATA,MATCH("SimpleLimitedLegendary",CLASSFEATUREHEADERS,0),MATCH(($A514 &amp; "Points"),CLASSNAMEHEADERS,0))),(IF("03"=(INDEX(ALLCLASSDATA,MATCH("SimpleLimitedMaster",CLASSFEATUREHEADERS,0),MATCH($A514,CLASSNAMEHEADERS,0))),(INDEX(ALLCLASSDATA,MATCH("SimpleLimitedMaster",CLASSFEATUREHEADERS,0),MATCH(($A514 &amp; "Points"),CLASSNAMEHEADERS,0))),(IF("03"=(INDEX(ALLCLASSDATA,MATCH("SimpleLimitedExpert",CLASSFEATUREHEADERS,0),MATCH($A514,CLASSNAMEHEADERS,0))),(INDEX(ALLCLASSDATA,MATCH("SimpleLimitedExpert",CLASSFEATUREHEADERS,0),MATCH(($A514 &amp; "Points"),CLASSNAMEHEADERS,0))),(IF("03"=(INDEX(ALLCLASSDATA,MATCH("SimpleLimitedTrained",CLASSFEATUREHEADERS,0),MATCH($A514,CLASSNAMEHEADERS,0))),(INDEX(ALLCLASSDATA,MATCH("SimpleLimitedTrained",CLASSFEATUREHEADERS,0),MATCH(($A514 &amp; "Points"),CLASSNAMEHEADERS,0))),"")))))))))}</f>
        <v>SIMPLELIMITEDL03</v>
      </c>
      <c r="K513" s="223"/>
      <c r="L513" s="223" t="str">
        <f t="array" ref="L513:L514">{"SIMPLELIMITEDL05";((IF("05"=(INDEX(ALLCLASSDATA,MATCH("SimpleLimitedLegendary",CLASSFEATUREHEADERS,0),MATCH($A514,CLASSNAMEHEADERS,0))),(INDEX(ALLCLASSDATA,MATCH("SimpleLimitedLegendary",CLASSFEATUREHEADERS,0),MATCH(($A514 &amp; "Points"),CLASSNAMEHEADERS,0))),(IF("05"=(INDEX(ALLCLASSDATA,MATCH("SimpleLimitedMaster",CLASSFEATUREHEADERS,0),MATCH($A514,CLASSNAMEHEADERS,0))),(INDEX(ALLCLASSDATA,MATCH("SimpleLimitedMaster",CLASSFEATUREHEADERS,0),MATCH(($A514 &amp; "Points"),CLASSNAMEHEADERS,0))),(IF("05"=(INDEX(ALLCLASSDATA,MATCH("SimpleLimitedExpert",CLASSFEATUREHEADERS,0),MATCH($A514,CLASSNAMEHEADERS,0))),(INDEX(ALLCLASSDATA,MATCH("SimpleLimitedExpert",CLASSFEATUREHEADERS,0),MATCH(($A514 &amp; "Points"),CLASSNAMEHEADERS,0))),(IF("05"=(INDEX(ALLCLASSDATA,MATCH("SimpleLimitedTrained",CLASSFEATUREHEADERS,0),MATCH($A514,CLASSNAMEHEADERS,0))),(INDEX(ALLCLASSDATA,MATCH("SimpleLimitedTrained",CLASSFEATUREHEADERS,0),MATCH(($A514 &amp; "Points"),CLASSNAMEHEADERS,0))),"")))))))))}</f>
        <v>SIMPLELIMITEDL05</v>
      </c>
      <c r="M513" s="223"/>
      <c r="N513" s="223" t="str">
        <f t="array" ref="N513:N514">{"SIMPLELIMITEDL07";((IF("07"=(INDEX(ALLCLASSDATA,MATCH("SimpleLimitedLegendary",CLASSFEATUREHEADERS,0),MATCH($A514,CLASSNAMEHEADERS,0))),(INDEX(ALLCLASSDATA,MATCH("SimpleLimitedLegendary",CLASSFEATUREHEADERS,0),MATCH(($A514 &amp; "Points"),CLASSNAMEHEADERS,0))),(IF("07"=(INDEX(ALLCLASSDATA,MATCH("SimpleLimitedMaster",CLASSFEATUREHEADERS,0),MATCH($A514,CLASSNAMEHEADERS,0))),(INDEX(ALLCLASSDATA,MATCH("SimpleLimitedMaster",CLASSFEATUREHEADERS,0),MATCH(($A514 &amp; "Points"),CLASSNAMEHEADERS,0))),(IF("07"=(INDEX(ALLCLASSDATA,MATCH("SimpleLimitedExpert",CLASSFEATUREHEADERS,0),MATCH($A514,CLASSNAMEHEADERS,0))),(INDEX(ALLCLASSDATA,MATCH("SimpleLimitedExpert",CLASSFEATUREHEADERS,0),MATCH(($A514 &amp; "Points"),CLASSNAMEHEADERS,0))),(IF("07"=(INDEX(ALLCLASSDATA,MATCH("SimpleLimitedTrained",CLASSFEATUREHEADERS,0),MATCH($A514,CLASSNAMEHEADERS,0))),(INDEX(ALLCLASSDATA,MATCH("SimpleLimitedTrained",CLASSFEATUREHEADERS,0),MATCH(($A514 &amp; "Points"),CLASSNAMEHEADERS,0))),"")))))))))}</f>
        <v>SIMPLELIMITEDL07</v>
      </c>
      <c r="O513" s="223"/>
      <c r="P513" s="223" t="str">
        <f t="array" ref="P513:P514">{"SIMPLELIMITEDL09";((IF("09"=(INDEX(ALLCLASSDATA,MATCH("SimpleLimitedLegendary",CLASSFEATUREHEADERS,0),MATCH($A514,CLASSNAMEHEADERS,0))),(INDEX(ALLCLASSDATA,MATCH("SimpleLimitedLegendary",CLASSFEATUREHEADERS,0),MATCH(($A514 &amp; "Points"),CLASSNAMEHEADERS,0))),(IF("09"=(INDEX(ALLCLASSDATA,MATCH("SimpleLimitedMaster",CLASSFEATUREHEADERS,0),MATCH($A514,CLASSNAMEHEADERS,0))),(INDEX(ALLCLASSDATA,MATCH("SimpleLimitedMaster",CLASSFEATUREHEADERS,0),MATCH(($A514 &amp; "Points"),CLASSNAMEHEADERS,0))),(IF("09"=(INDEX(ALLCLASSDATA,MATCH("SimpleLimitedExpert",CLASSFEATUREHEADERS,0),MATCH($A514,CLASSNAMEHEADERS,0))),(INDEX(ALLCLASSDATA,MATCH("SimpleLimitedExpert",CLASSFEATUREHEADERS,0),MATCH(($A514 &amp; "Points"),CLASSNAMEHEADERS,0))),(IF("09"=(INDEX(ALLCLASSDATA,MATCH("SimpleLimitedTrained",CLASSFEATUREHEADERS,0),MATCH($A514,CLASSNAMEHEADERS,0))),(INDEX(ALLCLASSDATA,MATCH("SimpleLimitedTrained",CLASSFEATUREHEADERS,0),MATCH(($A514 &amp; "Points"),CLASSNAMEHEADERS,0))),"")))))))))}</f>
        <v>SIMPLELIMITEDL09</v>
      </c>
      <c r="Q513" s="223"/>
      <c r="R513" s="223" t="str">
        <f t="array" ref="R513:R514">{"SIMPLELIMITEDL11";((IF("11"=(INDEX(ALLCLASSDATA,MATCH("SimpleLimitedLegendary",CLASSFEATUREHEADERS,0),MATCH($A514,CLASSNAMEHEADERS,0))),(INDEX(ALLCLASSDATA,MATCH("SimpleLimitedLegendary",CLASSFEATUREHEADERS,0),MATCH(($A514 &amp; "Points"),CLASSNAMEHEADERS,0))),(IF("11"=(INDEX(ALLCLASSDATA,MATCH("SimpleLimitedMaster",CLASSFEATUREHEADERS,0),MATCH($A514,CLASSNAMEHEADERS,0))),(INDEX(ALLCLASSDATA,MATCH("SimpleLimitedMaster",CLASSFEATUREHEADERS,0),MATCH(($A514 &amp; "Points"),CLASSNAMEHEADERS,0))),(IF("11"=(INDEX(ALLCLASSDATA,MATCH("SimpleLimitedExpert",CLASSFEATUREHEADERS,0),MATCH($A514,CLASSNAMEHEADERS,0))),(INDEX(ALLCLASSDATA,MATCH("SimpleLimitedExpert",CLASSFEATUREHEADERS,0),MATCH(($A514 &amp; "Points"),CLASSNAMEHEADERS,0))),(IF("11"=(INDEX(ALLCLASSDATA,MATCH("SimpleLimitedTrained",CLASSFEATUREHEADERS,0),MATCH($A514,CLASSNAMEHEADERS,0))),(INDEX(ALLCLASSDATA,MATCH("SimpleLimitedTrained",CLASSFEATUREHEADERS,0),MATCH(($A514 &amp; "Points"),CLASSNAMEHEADERS,0))),"")))))))))}</f>
        <v>SIMPLELIMITEDL11</v>
      </c>
      <c r="S513" s="223"/>
      <c r="T513" s="223" t="str">
        <f t="array" ref="T513:T514">{"SIMPLELIMITEDL13";((IF("13"=(INDEX(ALLCLASSDATA,MATCH("SimpleLimitedLegendary",CLASSFEATUREHEADERS,0),MATCH($A514,CLASSNAMEHEADERS,0))),(INDEX(ALLCLASSDATA,MATCH("SimpleLimitedLegendary",CLASSFEATUREHEADERS,0),MATCH(($A514 &amp; "Points"),CLASSNAMEHEADERS,0))),(IF("13"=(INDEX(ALLCLASSDATA,MATCH("SimpleLimitedMaster",CLASSFEATUREHEADERS,0),MATCH($A514,CLASSNAMEHEADERS,0))),(INDEX(ALLCLASSDATA,MATCH("SimpleLimitedMaster",CLASSFEATUREHEADERS,0),MATCH(($A514 &amp; "Points"),CLASSNAMEHEADERS,0))),(IF("13"=(INDEX(ALLCLASSDATA,MATCH("SimpleLimitedExpert",CLASSFEATUREHEADERS,0),MATCH($A514,CLASSNAMEHEADERS,0))),(INDEX(ALLCLASSDATA,MATCH("SimpleLimitedExpert",CLASSFEATUREHEADERS,0),MATCH(($A514 &amp; "Points"),CLASSNAMEHEADERS,0))),(IF("13"=(INDEX(ALLCLASSDATA,MATCH("SimpleLimitedTrained",CLASSFEATUREHEADERS,0),MATCH($A514,CLASSNAMEHEADERS,0))),(INDEX(ALLCLASSDATA,MATCH("SimpleLimitedTrained",CLASSFEATUREHEADERS,0),MATCH(($A514 &amp; "Points"),CLASSNAMEHEADERS,0))),"")))))))))}</f>
        <v>SIMPLELIMITEDL13</v>
      </c>
      <c r="U513" s="223"/>
      <c r="V513" s="223" t="str">
        <f t="array" ref="V513:V514">{"SIMPLELIMITEDL15";((IF("15"=(INDEX(ALLCLASSDATA,MATCH("SimpleLimitedLegendary",CLASSFEATUREHEADERS,0),MATCH($A514,CLASSNAMEHEADERS,0))),(INDEX(ALLCLASSDATA,MATCH("SimpleLimitedLegendary",CLASSFEATUREHEADERS,0),MATCH(($A514 &amp; "Points"),CLASSNAMEHEADERS,0))),(IF("15"=(INDEX(ALLCLASSDATA,MATCH("SimpleLimitedMaster",CLASSFEATUREHEADERS,0),MATCH($A514,CLASSNAMEHEADERS,0))),(INDEX(ALLCLASSDATA,MATCH("SimpleLimitedMaster",CLASSFEATUREHEADERS,0),MATCH(($A514 &amp; "Points"),CLASSNAMEHEADERS,0))),(IF("15"=(INDEX(ALLCLASSDATA,MATCH("SimpleLimitedExpert",CLASSFEATUREHEADERS,0),MATCH($A514,CLASSNAMEHEADERS,0))),(INDEX(ALLCLASSDATA,MATCH("SimpleLimitedExpert",CLASSFEATUREHEADERS,0),MATCH(($A514 &amp; "Points"),CLASSNAMEHEADERS,0))),(IF("15"=(INDEX(ALLCLASSDATA,MATCH("SimpleLimitedTrained",CLASSFEATUREHEADERS,0),MATCH($A514,CLASSNAMEHEADERS,0))),(INDEX(ALLCLASSDATA,MATCH("SimpleLimitedTrained",CLASSFEATUREHEADERS,0),MATCH(($A514 &amp; "Points"),CLASSNAMEHEADERS,0))),"")))))))))}</f>
        <v>SIMPLELIMITEDL15</v>
      </c>
      <c r="W513" s="223"/>
      <c r="X513" s="223" t="str">
        <f t="array" ref="X513:X514">{"SIMPLELIMITEDL17";((IF("17"=(INDEX(ALLCLASSDATA,MATCH("SimpleLimitedLegendary",CLASSFEATUREHEADERS,0),MATCH($A514,CLASSNAMEHEADERS,0))),(INDEX(ALLCLASSDATA,MATCH("SimpleLimitedLegendary",CLASSFEATUREHEADERS,0),MATCH(($A514 &amp; "Points"),CLASSNAMEHEADERS,0))),(IF("17"=(INDEX(ALLCLASSDATA,MATCH("SimpleLimitedMaster",CLASSFEATUREHEADERS,0),MATCH($A514,CLASSNAMEHEADERS,0))),(INDEX(ALLCLASSDATA,MATCH("SimpleLimitedMaster",CLASSFEATUREHEADERS,0),MATCH(($A514 &amp; "Points"),CLASSNAMEHEADERS,0))),(IF("17"=(INDEX(ALLCLASSDATA,MATCH("SimpleLimitedExpert",CLASSFEATUREHEADERS,0),MATCH($A514,CLASSNAMEHEADERS,0))),(INDEX(ALLCLASSDATA,MATCH("SimpleLimitedExpert",CLASSFEATUREHEADERS,0),MATCH(($A514 &amp; "Points"),CLASSNAMEHEADERS,0))),(IF("17"=(INDEX(ALLCLASSDATA,MATCH("SimpleLimitedTrained",CLASSFEATUREHEADERS,0),MATCH($A514,CLASSNAMEHEADERS,0))),(INDEX(ALLCLASSDATA,MATCH("SimpleLimitedTrained",CLASSFEATUREHEADERS,0),MATCH(($A514 &amp; "Points"),CLASSNAMEHEADERS,0))),"")))))))))}</f>
        <v>SIMPLELIMITEDL17</v>
      </c>
      <c r="Y513" s="223"/>
      <c r="Z513" s="223" t="str">
        <f t="array" ref="Z513:Z514">{"SIMPLELIMITEDL19";((IF("19"=(INDEX(ALLCLASSDATA,MATCH("SimpleLimitedLegendary",CLASSFEATUREHEADERS,0),MATCH($A514,CLASSNAMEHEADERS,0))),(INDEX(ALLCLASSDATA,MATCH("SimpleLimitedLegendary",CLASSFEATUREHEADERS,0),MATCH(($A514 &amp; "Points"),CLASSNAMEHEADERS,0))),(IF("19"=(INDEX(ALLCLASSDATA,MATCH("SimpleLimitedMaster",CLASSFEATUREHEADERS,0),MATCH($A514,CLASSNAMEHEADERS,0))),(INDEX(ALLCLASSDATA,MATCH("SimpleLimitedMaster",CLASSFEATUREHEADERS,0),MATCH(($A514 &amp; "Points"),CLASSNAMEHEADERS,0))),(IF("19"=(INDEX(ALLCLASSDATA,MATCH("SimpleLimitedExpert",CLASSFEATUREHEADERS,0),MATCH($A514,CLASSNAMEHEADERS,0))),(INDEX(ALLCLASSDATA,MATCH("SimpleLimitedExpert",CLASSFEATUREHEADERS,0),MATCH(($A514 &amp; "Points"),CLASSNAMEHEADERS,0))),(IF("19"=(INDEX(ALLCLASSDATA,MATCH("SimpleLimitedTrained",CLASSFEATUREHEADERS,0),MATCH($A514,CLASSNAMEHEADERS,0))),(INDEX(ALLCLASSDATA,MATCH("SimpleLimitedTrained",CLASSFEATUREHEADERS,0),MATCH(($A514 &amp; "Points"),CLASSNAMEHEADERS,0))),"")))))))))}</f>
        <v>SIMPLELIMITEDL19</v>
      </c>
      <c r="AA513" s="223"/>
      <c r="AB513" s="76" t="str">
        <f t="array" ref="AB513:AB514">{"SIMPLELIMITED TOTAL";(IF(COUNTBLANK(G514:AA514)=17,"L",(IF(COUNTBLANK(G514:AA514)=18,"M",(IF(COUNTBLANK(G514:AA514)=19,"E",(IF(COUNTBLANK(G514:AA514)=20,"T",""))))))))}</f>
        <v>SIMPLELIMITED TOTAL</v>
      </c>
      <c r="AC513" s="76" t="str">
        <f t="array" ref="AC513:AC514">{"SIMPLELIMITED TOTAL";(sum(G514:AA514))}</f>
        <v>SIMPLELIMITED TOTAL</v>
      </c>
    </row>
    <row r="514">
      <c r="A514" s="48" t="s">
        <v>138</v>
      </c>
      <c r="B514" s="48"/>
      <c r="C514" s="48" t="s">
        <v>415</v>
      </c>
      <c r="D514" s="48" t="s">
        <v>1634</v>
      </c>
      <c r="E514" s="48" t="s">
        <v>599</v>
      </c>
      <c r="F514" s="5" t="s">
        <v>603</v>
      </c>
      <c r="G514" s="47" t="s">
        <v>603</v>
      </c>
      <c r="H514" s="5" t="s">
        <v>603</v>
      </c>
      <c r="I514" s="5"/>
      <c r="J514" s="5" t="s">
        <v>603</v>
      </c>
      <c r="K514" s="5"/>
      <c r="L514" s="5" t="s">
        <v>603</v>
      </c>
      <c r="M514" s="5"/>
      <c r="N514" s="5" t="s">
        <v>603</v>
      </c>
      <c r="O514" s="5"/>
      <c r="P514" s="5" t="s">
        <v>603</v>
      </c>
      <c r="Q514" s="5"/>
      <c r="R514" s="5" t="s">
        <v>603</v>
      </c>
      <c r="S514" s="5"/>
      <c r="T514" s="5" t="s">
        <v>603</v>
      </c>
      <c r="U514" s="5"/>
      <c r="V514" s="5" t="s">
        <v>603</v>
      </c>
      <c r="W514" s="5"/>
      <c r="X514" s="5" t="s">
        <v>603</v>
      </c>
      <c r="Y514" s="5"/>
      <c r="Z514" s="5" t="s">
        <v>603</v>
      </c>
      <c r="AA514" s="5"/>
      <c r="AB514" s="5" t="s">
        <v>603</v>
      </c>
      <c r="AC514" s="47">
        <v>0.0</v>
      </c>
    </row>
    <row r="515" hidden="1">
      <c r="A515" s="222" t="str">
        <f t="array" ref="A515:A516">{"FormulaRow29";(INDEX(CLASSLIST,A458,1))}</f>
        <v>FormulaRow29</v>
      </c>
      <c r="B515" s="77" t="s">
        <v>236</v>
      </c>
      <c r="C515" s="222" t="str">
        <f t="array" ref="C515:C516">{"CLASSTYPE";((INDEX(ALLCLASSDATA,MATCH("ClassType",CLASSFEATUREHEADERS,0),MATCH($A516,CLASSNAMEHEADERS,0))))}</f>
        <v>CLASSTYPE</v>
      </c>
      <c r="D515" s="222" t="str">
        <f t="array" ref="D515:D516">{"ATTACK";"Attack"}</f>
        <v>ATTACK</v>
      </c>
      <c r="E515" s="222" t="str">
        <f t="array" ref="E515:E516">{"SIMPLE";"Simple"}</f>
        <v>SIMPLE</v>
      </c>
      <c r="F515" s="223" t="str">
        <f t="array" ref="F515:F516">{"SIMPLEINITIAL";((IF(H516=10,"T",(IF(H516=50,"E","")))))}</f>
        <v>SIMPLEINITIAL</v>
      </c>
      <c r="G515" s="223" t="str">
        <f t="array" ref="G515:G516">{"SIMPLEINITIALPTS";((IF("00"=(INDEX(ALLCLASSDATA,MATCH("SimpleLegendary",CLASSFEATUREHEADERS,0),MATCH($A516,CLASSNAMEHEADERS,0))),(INDEX(ALLCLASSDATA,MATCH("SimpleLegendary",CLASSFEATUREHEADERS,0),MATCH(($A516 &amp; "Points"),CLASSNAMEHEADERS,0))),(IF("00"=(INDEX(ALLCLASSDATA,MATCH("SimpleMaster",CLASSFEATUREHEADERS,0),MATCH($A516,CLASSNAMEHEADERS,0))),(INDEX(ALLCLASSDATA,MATCH("SimpleMaster",CLASSFEATUREHEADERS,0),MATCH(($A516 &amp; "Points"),CLASSNAMEHEADERS,0))),(IF("00"=(INDEX(ALLCLASSDATA,MATCH("SimpleExpert",CLASSFEATUREHEADERS,0),MATCH($A516,CLASSNAMEHEADERS,0))),(INDEX(ALLCLASSDATA,MATCH("SimpleExpert",CLASSFEATUREHEADERS,0),MATCH(($A516 &amp; "Points"),CLASSNAMEHEADERS,0))),(IF("00"=(INDEX(ALLCLASSDATA,MATCH("SimpleTrained",CLASSFEATUREHEADERS,0),MATCH($A516,CLASSNAMEHEADERS,0))),(INDEX(ALLCLASSDATA,MATCH("SimpleTrained",CLASSFEATUREHEADERS,0),MATCH(($A516 &amp; "Points"),CLASSNAMEHEADERS,0))),"")))))))))}</f>
        <v>SIMPLEINITIALPTS</v>
      </c>
      <c r="H515" s="223" t="str">
        <f t="array" ref="H515:H516">{"SIMPLEL01";((IF("01"=(INDEX(ALLCLASSDATA,MATCH("SimpleLegendary",CLASSFEATUREHEADERS,0),MATCH($A516,CLASSNAMEHEADERS,0))),(INDEX(ALLCLASSDATA,MATCH("SimpleLegendary",CLASSFEATUREHEADERS,0),MATCH(($A516 &amp; "Points"),CLASSNAMEHEADERS,0))),(IF("01"=(INDEX(ALLCLASSDATA,MATCH("SimpleMaster",CLASSFEATUREHEADERS,0),MATCH($A516,CLASSNAMEHEADERS,0))),(INDEX(ALLCLASSDATA,MATCH("SimpleMaster",CLASSFEATUREHEADERS,0),MATCH(($A516 &amp; "Points"),CLASSNAMEHEADERS,0))),(IF("01"=(INDEX(ALLCLASSDATA,MATCH("SimpleExpert",CLASSFEATUREHEADERS,0),MATCH($A516,CLASSNAMEHEADERS,0))),(INDEX(ALLCLASSDATA,MATCH("SimpleExpert",CLASSFEATUREHEADERS,0),MATCH(($A516 &amp; "Points"),CLASSNAMEHEADERS,0))),(IF("01"=(INDEX(ALLCLASSDATA,MATCH("SimpleTrained",CLASSFEATUREHEADERS,0),MATCH($A516,CLASSNAMEHEADERS,0))),(INDEX(ALLCLASSDATA,MATCH("SimpleTrained",CLASSFEATUREHEADERS,0),MATCH(($A516 &amp; "Points"),CLASSNAMEHEADERS,0))),"")))))))))}</f>
        <v>SIMPLEL01</v>
      </c>
      <c r="I515" s="223"/>
      <c r="J515" s="223" t="str">
        <f t="array" ref="J515:J516">{"SIMPLEL03";((IF("03"=(INDEX(ALLCLASSDATA,MATCH("SimpleLegendary",CLASSFEATUREHEADERS,0),MATCH($A516,CLASSNAMEHEADERS,0))),(INDEX(ALLCLASSDATA,MATCH("SimpleLegendary",CLASSFEATUREHEADERS,0),MATCH(($A516 &amp; "Points"),CLASSNAMEHEADERS,0))),(IF("03"=(INDEX(ALLCLASSDATA,MATCH("SimpleMaster",CLASSFEATUREHEADERS,0),MATCH($A516,CLASSNAMEHEADERS,0))),(INDEX(ALLCLASSDATA,MATCH("SimpleMaster",CLASSFEATUREHEADERS,0),MATCH(($A516 &amp; "Points"),CLASSNAMEHEADERS,0))),(IF("03"=(INDEX(ALLCLASSDATA,MATCH("SimpleExpert",CLASSFEATUREHEADERS,0),MATCH($A516,CLASSNAMEHEADERS,0))),(INDEX(ALLCLASSDATA,MATCH("SimpleExpert",CLASSFEATUREHEADERS,0),MATCH(($A516 &amp; "Points"),CLASSNAMEHEADERS,0))),(IF("03"=(INDEX(ALLCLASSDATA,MATCH("SimpleTrained",CLASSFEATUREHEADERS,0),MATCH($A516,CLASSNAMEHEADERS,0))),(INDEX(ALLCLASSDATA,MATCH("SimpleTrained",CLASSFEATUREHEADERS,0),MATCH(($A516 &amp; "Points"),CLASSNAMEHEADERS,0))),"")))))))))}</f>
        <v>SIMPLEL03</v>
      </c>
      <c r="K515" s="223"/>
      <c r="L515" s="223" t="str">
        <f t="array" ref="L515:L516">{"SIMPLEL05";((IF("05"=(INDEX(ALLCLASSDATA,MATCH("SimpleLegendary",CLASSFEATUREHEADERS,0),MATCH($A516,CLASSNAMEHEADERS,0))),(INDEX(ALLCLASSDATA,MATCH("SimpleLegendary",CLASSFEATUREHEADERS,0),MATCH(($A516 &amp; "Points"),CLASSNAMEHEADERS,0))),(IF("05"=(INDEX(ALLCLASSDATA,MATCH("SimpleMaster",CLASSFEATUREHEADERS,0),MATCH($A516,CLASSNAMEHEADERS,0))),(INDEX(ALLCLASSDATA,MATCH("SimpleMaster",CLASSFEATUREHEADERS,0),MATCH(($A516 &amp; "Points"),CLASSNAMEHEADERS,0))),(IF("05"=(INDEX(ALLCLASSDATA,MATCH("SimpleExpert",CLASSFEATUREHEADERS,0),MATCH($A516,CLASSNAMEHEADERS,0))),(INDEX(ALLCLASSDATA,MATCH("SimpleExpert",CLASSFEATUREHEADERS,0),MATCH(($A516 &amp; "Points"),CLASSNAMEHEADERS,0))),(IF("05"=(INDEX(ALLCLASSDATA,MATCH("SimpleTrained",CLASSFEATUREHEADERS,0),MATCH($A516,CLASSNAMEHEADERS,0))),(INDEX(ALLCLASSDATA,MATCH("SimpleTrained",CLASSFEATUREHEADERS,0),MATCH(($A516 &amp; "Points"),CLASSNAMEHEADERS,0))),"")))))))))}</f>
        <v>SIMPLEL05</v>
      </c>
      <c r="M515" s="223"/>
      <c r="N515" s="223" t="str">
        <f t="array" ref="N515:N516">{"SIMPLEL07";((IF("07"=(INDEX(ALLCLASSDATA,MATCH("SimpleLegendary",CLASSFEATUREHEADERS,0),MATCH($A516,CLASSNAMEHEADERS,0))),(INDEX(ALLCLASSDATA,MATCH("SimpleLegendary",CLASSFEATUREHEADERS,0),MATCH(($A516 &amp; "Points"),CLASSNAMEHEADERS,0))),(IF("07"=(INDEX(ALLCLASSDATA,MATCH("SimpleMaster",CLASSFEATUREHEADERS,0),MATCH($A516,CLASSNAMEHEADERS,0))),(INDEX(ALLCLASSDATA,MATCH("SimpleMaster",CLASSFEATUREHEADERS,0),MATCH(($A516 &amp; "Points"),CLASSNAMEHEADERS,0))),(IF("07"=(INDEX(ALLCLASSDATA,MATCH("SimpleExpert",CLASSFEATUREHEADERS,0),MATCH($A516,CLASSNAMEHEADERS,0))),(INDEX(ALLCLASSDATA,MATCH("SimpleExpert",CLASSFEATUREHEADERS,0),MATCH(($A516 &amp; "Points"),CLASSNAMEHEADERS,0))),(IF("07"=(INDEX(ALLCLASSDATA,MATCH("SimpleTrained",CLASSFEATUREHEADERS,0),MATCH($A516,CLASSNAMEHEADERS,0))),(INDEX(ALLCLASSDATA,MATCH("SimpleTrained",CLASSFEATUREHEADERS,0),MATCH(($A516 &amp; "Points"),CLASSNAMEHEADERS,0))),"")))))))))}</f>
        <v>SIMPLEL07</v>
      </c>
      <c r="O515" s="223"/>
      <c r="P515" s="223" t="str">
        <f t="array" ref="P515:P516">{"SIMPLEL09";((IF("09"=(INDEX(ALLCLASSDATA,MATCH("SimpleLegendary",CLASSFEATUREHEADERS,0),MATCH($A516,CLASSNAMEHEADERS,0))),(INDEX(ALLCLASSDATA,MATCH("SimpleLegendary",CLASSFEATUREHEADERS,0),MATCH(($A516 &amp; "Points"),CLASSNAMEHEADERS,0))),(IF("09"=(INDEX(ALLCLASSDATA,MATCH("SimpleMaster",CLASSFEATUREHEADERS,0),MATCH($A516,CLASSNAMEHEADERS,0))),(INDEX(ALLCLASSDATA,MATCH("SimpleMaster",CLASSFEATUREHEADERS,0),MATCH(($A516 &amp; "Points"),CLASSNAMEHEADERS,0))),(IF("09"=(INDEX(ALLCLASSDATA,MATCH("SimpleExpert",CLASSFEATUREHEADERS,0),MATCH($A516,CLASSNAMEHEADERS,0))),(INDEX(ALLCLASSDATA,MATCH("SimpleExpert",CLASSFEATUREHEADERS,0),MATCH(($A516 &amp; "Points"),CLASSNAMEHEADERS,0))),(IF("09"=(INDEX(ALLCLASSDATA,MATCH("SimpleTrained",CLASSFEATUREHEADERS,0),MATCH($A516,CLASSNAMEHEADERS,0))),(INDEX(ALLCLASSDATA,MATCH("SimpleTrained",CLASSFEATUREHEADERS,0),MATCH(($A516 &amp; "Points"),CLASSNAMEHEADERS,0))),"")))))))))}</f>
        <v>SIMPLEL09</v>
      </c>
      <c r="Q515" s="223"/>
      <c r="R515" s="223" t="str">
        <f t="array" ref="R515:R516">{"SIMPLEL11";((IF("11"=(INDEX(ALLCLASSDATA,MATCH("SimpleLegendary",CLASSFEATUREHEADERS,0),MATCH($A516,CLASSNAMEHEADERS,0))),(INDEX(ALLCLASSDATA,MATCH("SimpleLegendary",CLASSFEATUREHEADERS,0),MATCH(($A516 &amp; "Points"),CLASSNAMEHEADERS,0))),(IF("11"=(INDEX(ALLCLASSDATA,MATCH("SimpleMaster",CLASSFEATUREHEADERS,0),MATCH($A516,CLASSNAMEHEADERS,0))),(INDEX(ALLCLASSDATA,MATCH("SimpleMaster",CLASSFEATUREHEADERS,0),MATCH(($A516 &amp; "Points"),CLASSNAMEHEADERS,0))),(IF("11"=(INDEX(ALLCLASSDATA,MATCH("SimpleExpert",CLASSFEATUREHEADERS,0),MATCH($A516,CLASSNAMEHEADERS,0))),(INDEX(ALLCLASSDATA,MATCH("SimpleExpert",CLASSFEATUREHEADERS,0),MATCH(($A516 &amp; "Points"),CLASSNAMEHEADERS,0))),(IF("11"=(INDEX(ALLCLASSDATA,MATCH("SimpleTrained",CLASSFEATUREHEADERS,0),MATCH($A516,CLASSNAMEHEADERS,0))),(INDEX(ALLCLASSDATA,MATCH("SimpleTrained",CLASSFEATUREHEADERS,0),MATCH(($A516 &amp; "Points"),CLASSNAMEHEADERS,0))),"")))))))))}</f>
        <v>SIMPLEL11</v>
      </c>
      <c r="S515" s="223"/>
      <c r="T515" s="223" t="str">
        <f t="array" ref="T515:T516">{"SIMPLEL13";((IF("13"=(INDEX(ALLCLASSDATA,MATCH("SimpleLegendary",CLASSFEATUREHEADERS,0),MATCH($A516,CLASSNAMEHEADERS,0))),(INDEX(ALLCLASSDATA,MATCH("SimpleLegendary",CLASSFEATUREHEADERS,0),MATCH(($A516 &amp; "Points"),CLASSNAMEHEADERS,0))),(IF("13"=(INDEX(ALLCLASSDATA,MATCH("SimpleMaster",CLASSFEATUREHEADERS,0),MATCH($A516,CLASSNAMEHEADERS,0))),(INDEX(ALLCLASSDATA,MATCH("SimpleMaster",CLASSFEATUREHEADERS,0),MATCH(($A516 &amp; "Points"),CLASSNAMEHEADERS,0))),(IF("13"=(INDEX(ALLCLASSDATA,MATCH("SimpleExpert",CLASSFEATUREHEADERS,0),MATCH($A516,CLASSNAMEHEADERS,0))),(INDEX(ALLCLASSDATA,MATCH("SimpleExpert",CLASSFEATUREHEADERS,0),MATCH(($A516 &amp; "Points"),CLASSNAMEHEADERS,0))),(IF("13"=(INDEX(ALLCLASSDATA,MATCH("SimpleTrained",CLASSFEATUREHEADERS,0),MATCH($A516,CLASSNAMEHEADERS,0))),(INDEX(ALLCLASSDATA,MATCH("SimpleTrained",CLASSFEATUREHEADERS,0),MATCH(($A516 &amp; "Points"),CLASSNAMEHEADERS,0))),"")))))))))}</f>
        <v>SIMPLEL13</v>
      </c>
      <c r="U515" s="223"/>
      <c r="V515" s="223" t="str">
        <f t="array" ref="V515:V516">{"SIMPLEL15";((IF("15"=(INDEX(ALLCLASSDATA,MATCH("SimpleLegendary",CLASSFEATUREHEADERS,0),MATCH($A516,CLASSNAMEHEADERS,0))),(INDEX(ALLCLASSDATA,MATCH("SimpleLegendary",CLASSFEATUREHEADERS,0),MATCH(($A516 &amp; "Points"),CLASSNAMEHEADERS,0))),(IF("15"=(INDEX(ALLCLASSDATA,MATCH("SimpleMaster",CLASSFEATUREHEADERS,0),MATCH($A516,CLASSNAMEHEADERS,0))),(INDEX(ALLCLASSDATA,MATCH("SimpleMaster",CLASSFEATUREHEADERS,0),MATCH(($A516 &amp; "Points"),CLASSNAMEHEADERS,0))),(IF("15"=(INDEX(ALLCLASSDATA,MATCH("SimpleExpert",CLASSFEATUREHEADERS,0),MATCH($A516,CLASSNAMEHEADERS,0))),(INDEX(ALLCLASSDATA,MATCH("SimpleExpert",CLASSFEATUREHEADERS,0),MATCH(($A516 &amp; "Points"),CLASSNAMEHEADERS,0))),(IF("15"=(INDEX(ALLCLASSDATA,MATCH("SimpleTrained",CLASSFEATUREHEADERS,0),MATCH($A516,CLASSNAMEHEADERS,0))),(INDEX(ALLCLASSDATA,MATCH("SimpleTrained",CLASSFEATUREHEADERS,0),MATCH(($A516 &amp; "Points"),CLASSNAMEHEADERS,0))),"")))))))))}</f>
        <v>SIMPLEL15</v>
      </c>
      <c r="W515" s="223"/>
      <c r="X515" s="223" t="str">
        <f t="array" ref="X515:X516">{"SIMPLEL17";((IF("17"=(INDEX(ALLCLASSDATA,MATCH("SimpleLegendary",CLASSFEATUREHEADERS,0),MATCH($A516,CLASSNAMEHEADERS,0))),(INDEX(ALLCLASSDATA,MATCH("SimpleLegendary",CLASSFEATUREHEADERS,0),MATCH(($A516 &amp; "Points"),CLASSNAMEHEADERS,0))),(IF("17"=(INDEX(ALLCLASSDATA,MATCH("SimpleMaster",CLASSFEATUREHEADERS,0),MATCH($A516,CLASSNAMEHEADERS,0))),(INDEX(ALLCLASSDATA,MATCH("SimpleMaster",CLASSFEATUREHEADERS,0),MATCH(($A516 &amp; "Points"),CLASSNAMEHEADERS,0))),(IF("17"=(INDEX(ALLCLASSDATA,MATCH("SimpleExpert",CLASSFEATUREHEADERS,0),MATCH($A516,CLASSNAMEHEADERS,0))),(INDEX(ALLCLASSDATA,MATCH("SimpleExpert",CLASSFEATUREHEADERS,0),MATCH(($A516 &amp; "Points"),CLASSNAMEHEADERS,0))),(IF("17"=(INDEX(ALLCLASSDATA,MATCH("SimpleTrained",CLASSFEATUREHEADERS,0),MATCH($A516,CLASSNAMEHEADERS,0))),(INDEX(ALLCLASSDATA,MATCH("SimpleTrained",CLASSFEATUREHEADERS,0),MATCH(($A516 &amp; "Points"),CLASSNAMEHEADERS,0))),"")))))))))}</f>
        <v>SIMPLEL17</v>
      </c>
      <c r="Y515" s="223"/>
      <c r="Z515" s="223" t="str">
        <f t="array" ref="Z515:Z516">{"SIMPLEL19";((IF("19"=(INDEX(ALLCLASSDATA,MATCH("SimpleLegendary",CLASSFEATUREHEADERS,0),MATCH($A516,CLASSNAMEHEADERS,0))),(INDEX(ALLCLASSDATA,MATCH("SimpleLegendary",CLASSFEATUREHEADERS,0),MATCH(($A516 &amp; "Points"),CLASSNAMEHEADERS,0))),(IF("19"=(INDEX(ALLCLASSDATA,MATCH("SimpleMaster",CLASSFEATUREHEADERS,0),MATCH($A516,CLASSNAMEHEADERS,0))),(INDEX(ALLCLASSDATA,MATCH("SimpleMaster",CLASSFEATUREHEADERS,0),MATCH(($A516 &amp; "Points"),CLASSNAMEHEADERS,0))),(IF("19"=(INDEX(ALLCLASSDATA,MATCH("SimpleExpert",CLASSFEATUREHEADERS,0),MATCH($A516,CLASSNAMEHEADERS,0))),(INDEX(ALLCLASSDATA,MATCH("SimpleExpert",CLASSFEATUREHEADERS,0),MATCH(($A516 &amp; "Points"),CLASSNAMEHEADERS,0))),(IF("19"=(INDEX(ALLCLASSDATA,MATCH("SimpleTrained",CLASSFEATUREHEADERS,0),MATCH($A516,CLASSNAMEHEADERS,0))),(INDEX(ALLCLASSDATA,MATCH("SimpleTrained",CLASSFEATUREHEADERS,0),MATCH(($A516 &amp; "Points"),CLASSNAMEHEADERS,0))),"")))))))))}</f>
        <v>SIMPLEL19</v>
      </c>
      <c r="AA515" s="223"/>
      <c r="AB515" s="76" t="str">
        <f t="array" ref="AB515:AB516">{"SIMPLE TOTAL";(IF(COUNTBLANK(G516:AA516)=17,"L",(IF(COUNTBLANK(G516:AA516)=18,"M",(IF(COUNTBLANK(G516:AA516)=19,"E",(IF(COUNTBLANK(G516:AA516)=20,"T",""))))))))}</f>
        <v>SIMPLE TOTAL</v>
      </c>
      <c r="AC515" s="76" t="str">
        <f t="array" ref="AC515:AC516">{"SIMPLE TOTAL";(sum(G516:AA516))}</f>
        <v>SIMPLE TOTAL</v>
      </c>
    </row>
    <row r="516">
      <c r="A516" s="48" t="s">
        <v>138</v>
      </c>
      <c r="B516" s="48"/>
      <c r="C516" s="48" t="s">
        <v>415</v>
      </c>
      <c r="D516" s="48" t="s">
        <v>1634</v>
      </c>
      <c r="E516" s="48" t="s">
        <v>68</v>
      </c>
      <c r="F516" s="5" t="s">
        <v>435</v>
      </c>
      <c r="G516" s="47" t="s">
        <v>603</v>
      </c>
      <c r="H516" s="5">
        <v>10.0</v>
      </c>
      <c r="I516" s="5"/>
      <c r="J516" s="5" t="s">
        <v>603</v>
      </c>
      <c r="K516" s="5"/>
      <c r="L516" s="5" t="s">
        <v>436</v>
      </c>
      <c r="M516" s="5"/>
      <c r="N516" s="5" t="s">
        <v>603</v>
      </c>
      <c r="O516" s="5"/>
      <c r="P516" s="5" t="s">
        <v>603</v>
      </c>
      <c r="Q516" s="5"/>
      <c r="R516" s="5" t="s">
        <v>603</v>
      </c>
      <c r="S516" s="5"/>
      <c r="T516" s="5" t="s">
        <v>437</v>
      </c>
      <c r="U516" s="5"/>
      <c r="V516" s="5" t="s">
        <v>603</v>
      </c>
      <c r="W516" s="5"/>
      <c r="X516" s="5" t="s">
        <v>603</v>
      </c>
      <c r="Y516" s="5"/>
      <c r="Z516" s="5" t="s">
        <v>603</v>
      </c>
      <c r="AA516" s="5"/>
      <c r="AB516" s="5" t="s">
        <v>437</v>
      </c>
      <c r="AC516" s="47">
        <v>10.0</v>
      </c>
    </row>
    <row r="517" hidden="1">
      <c r="A517" s="222" t="str">
        <f t="array" ref="A517:A518">{"FormulaRow30";(INDEX(CLASSLIST,A458,1))}</f>
        <v>FormulaRow30</v>
      </c>
      <c r="B517" s="77" t="s">
        <v>236</v>
      </c>
      <c r="C517" s="222" t="str">
        <f t="array" ref="C517:C518">{"CLASSTYPE";((INDEX(ALLCLASSDATA,MATCH("ClassType",CLASSFEATUREHEADERS,0),MATCH($A518,CLASSNAMEHEADERS,0))))}</f>
        <v>CLASSTYPE</v>
      </c>
      <c r="D517" s="222" t="str">
        <f t="array" ref="D517:D518">{"ATTACK";"Attack"}</f>
        <v>ATTACK</v>
      </c>
      <c r="E517" s="222" t="str">
        <f t="array" ref="E517:E518">{"MARTIALLIMITED";"MartialLimited"}</f>
        <v>MARTIALLIMITED</v>
      </c>
      <c r="F517" s="223" t="str">
        <f t="array" ref="F517:F518">{"MARTIALLIMITEDINITIAL";((IF(H518=10,"T",(IF(H518=50,"E","")))))}</f>
        <v>MARTIALLIMITEDINITIAL</v>
      </c>
      <c r="G517" s="223" t="str">
        <f t="array" ref="G517:G518">{"MARTIALLIMITEDINITIALPTS";((IF("00"=(INDEX(ALLCLASSDATA,MATCH("MartialLimitedLegendary",CLASSFEATUREHEADERS,0),MATCH($A518,CLASSNAMEHEADERS,0))),(INDEX(ALLCLASSDATA,MATCH("MartialLimitedLegendary",CLASSFEATUREHEADERS,0),MATCH(($A518 &amp; "Points"),CLASSNAMEHEADERS,0))),(IF("00"=(INDEX(ALLCLASSDATA,MATCH("MartialLimitedMaster",CLASSFEATUREHEADERS,0),MATCH($A518,CLASSNAMEHEADERS,0))),(INDEX(ALLCLASSDATA,MATCH("MartialLimitedMaster",CLASSFEATUREHEADERS,0),MATCH(($A518 &amp; "Points"),CLASSNAMEHEADERS,0))),(IF("00"=(INDEX(ALLCLASSDATA,MATCH("MartialLimitedExpert",CLASSFEATUREHEADERS,0),MATCH($A518,CLASSNAMEHEADERS,0))),(INDEX(ALLCLASSDATA,MATCH("MartialLimitedExpert",CLASSFEATUREHEADERS,0),MATCH(($A518 &amp; "Points"),CLASSNAMEHEADERS,0))),(IF("00"=(INDEX(ALLCLASSDATA,MATCH("MartialLimitedTrained",CLASSFEATUREHEADERS,0),MATCH($A518,CLASSNAMEHEADERS,0))),(INDEX(ALLCLASSDATA,MATCH("MartialLimitedTrained",CLASSFEATUREHEADERS,0),MATCH(($A518 &amp; "Points"),CLASSNAMEHEADERS,0))),"")))))))))}</f>
        <v>MARTIALLIMITEDINITIALPTS</v>
      </c>
      <c r="H517" s="223" t="str">
        <f t="array" ref="H517:H518">{"MARTIALLIMITEDL01";((IF("01"=(INDEX(ALLCLASSDATA,MATCH("MartialLimitedLegendary",CLASSFEATUREHEADERS,0),MATCH($A518,CLASSNAMEHEADERS,0))),(INDEX(ALLCLASSDATA,MATCH("MartialLimitedLegendary",CLASSFEATUREHEADERS,0),MATCH(($A518 &amp; "Points"),CLASSNAMEHEADERS,0))),(IF("01"=(INDEX(ALLCLASSDATA,MATCH("MartialLimitedMaster",CLASSFEATUREHEADERS,0),MATCH($A518,CLASSNAMEHEADERS,0))),(INDEX(ALLCLASSDATA,MATCH("MartialLimitedMaster",CLASSFEATUREHEADERS,0),MATCH(($A518 &amp; "Points"),CLASSNAMEHEADERS,0))),(IF("01"=(INDEX(ALLCLASSDATA,MATCH("MartialLimitedExpert",CLASSFEATUREHEADERS,0),MATCH($A518,CLASSNAMEHEADERS,0))),(INDEX(ALLCLASSDATA,MATCH("MartialLimitedExpert",CLASSFEATUREHEADERS,0),MATCH(($A518 &amp; "Points"),CLASSNAMEHEADERS,0))),(IF("01"=(INDEX(ALLCLASSDATA,MATCH("MartialLimitedTrained",CLASSFEATUREHEADERS,0),MATCH($A518,CLASSNAMEHEADERS,0))),(INDEX(ALLCLASSDATA,MATCH("MartialLimitedTrained",CLASSFEATUREHEADERS,0),MATCH(($A518 &amp; "Points"),CLASSNAMEHEADERS,0))),"")))))))))}</f>
        <v>MARTIALLIMITEDL01</v>
      </c>
      <c r="I517" s="223"/>
      <c r="J517" s="223" t="str">
        <f t="array" ref="J517:J518">{"MARTIALLIMITEDL03";((IF("03"=(INDEX(ALLCLASSDATA,MATCH("MartialLimitedLegendary",CLASSFEATUREHEADERS,0),MATCH($A518,CLASSNAMEHEADERS,0))),(INDEX(ALLCLASSDATA,MATCH("MartialLimitedLegendary",CLASSFEATUREHEADERS,0),MATCH(($A518 &amp; "Points"),CLASSNAMEHEADERS,0))),(IF("03"=(INDEX(ALLCLASSDATA,MATCH("MartialLimitedMaster",CLASSFEATUREHEADERS,0),MATCH($A518,CLASSNAMEHEADERS,0))),(INDEX(ALLCLASSDATA,MATCH("MartialLimitedMaster",CLASSFEATUREHEADERS,0),MATCH(($A518 &amp; "Points"),CLASSNAMEHEADERS,0))),(IF("03"=(INDEX(ALLCLASSDATA,MATCH("MartialLimitedExpert",CLASSFEATUREHEADERS,0),MATCH($A518,CLASSNAMEHEADERS,0))),(INDEX(ALLCLASSDATA,MATCH("MartialLimitedExpert",CLASSFEATUREHEADERS,0),MATCH(($A518 &amp; "Points"),CLASSNAMEHEADERS,0))),(IF("03"=(INDEX(ALLCLASSDATA,MATCH("MartialLimitedTrained",CLASSFEATUREHEADERS,0),MATCH($A518,CLASSNAMEHEADERS,0))),(INDEX(ALLCLASSDATA,MATCH("MartialLimitedTrained",CLASSFEATUREHEADERS,0),MATCH(($A518 &amp; "Points"),CLASSNAMEHEADERS,0))),"")))))))))}</f>
        <v>MARTIALLIMITEDL03</v>
      </c>
      <c r="K517" s="223"/>
      <c r="L517" s="223" t="str">
        <f t="array" ref="L517:L518">{"MARTIALLIMITEDL05";((IF("05"=(INDEX(ALLCLASSDATA,MATCH("MartialLimitedLegendary",CLASSFEATUREHEADERS,0),MATCH($A518,CLASSNAMEHEADERS,0))),(INDEX(ALLCLASSDATA,MATCH("MartialLimitedLegendary",CLASSFEATUREHEADERS,0),MATCH(($A518 &amp; "Points"),CLASSNAMEHEADERS,0))),(IF("05"=(INDEX(ALLCLASSDATA,MATCH("MartialLimitedMaster",CLASSFEATUREHEADERS,0),MATCH($A518,CLASSNAMEHEADERS,0))),(INDEX(ALLCLASSDATA,MATCH("MartialLimitedMaster",CLASSFEATUREHEADERS,0),MATCH(($A518 &amp; "Points"),CLASSNAMEHEADERS,0))),(IF("05"=(INDEX(ALLCLASSDATA,MATCH("MartialLimitedExpert",CLASSFEATUREHEADERS,0),MATCH($A518,CLASSNAMEHEADERS,0))),(INDEX(ALLCLASSDATA,MATCH("MartialLimitedExpert",CLASSFEATUREHEADERS,0),MATCH(($A518 &amp; "Points"),CLASSNAMEHEADERS,0))),(IF("05"=(INDEX(ALLCLASSDATA,MATCH("MartialLimitedTrained",CLASSFEATUREHEADERS,0),MATCH($A518,CLASSNAMEHEADERS,0))),(INDEX(ALLCLASSDATA,MATCH("MartialLimitedTrained",CLASSFEATUREHEADERS,0),MATCH(($A518 &amp; "Points"),CLASSNAMEHEADERS,0))),"")))))))))}</f>
        <v>MARTIALLIMITEDL05</v>
      </c>
      <c r="M517" s="223"/>
      <c r="N517" s="223" t="str">
        <f t="array" ref="N517:N518">{"MARTIALLIMITEDL07";((IF("07"=(INDEX(ALLCLASSDATA,MATCH("MartialLimitedLegendary",CLASSFEATUREHEADERS,0),MATCH($A518,CLASSNAMEHEADERS,0))),(INDEX(ALLCLASSDATA,MATCH("MartialLimitedLegendary",CLASSFEATUREHEADERS,0),MATCH(($A518 &amp; "Points"),CLASSNAMEHEADERS,0))),(IF("07"=(INDEX(ALLCLASSDATA,MATCH("MartialLimitedMaster",CLASSFEATUREHEADERS,0),MATCH($A518,CLASSNAMEHEADERS,0))),(INDEX(ALLCLASSDATA,MATCH("MartialLimitedMaster",CLASSFEATUREHEADERS,0),MATCH(($A518 &amp; "Points"),CLASSNAMEHEADERS,0))),(IF("07"=(INDEX(ALLCLASSDATA,MATCH("MartialLimitedExpert",CLASSFEATUREHEADERS,0),MATCH($A518,CLASSNAMEHEADERS,0))),(INDEX(ALLCLASSDATA,MATCH("MartialLimitedExpert",CLASSFEATUREHEADERS,0),MATCH(($A518 &amp; "Points"),CLASSNAMEHEADERS,0))),(IF("07"=(INDEX(ALLCLASSDATA,MATCH("MartialLimitedTrained",CLASSFEATUREHEADERS,0),MATCH($A518,CLASSNAMEHEADERS,0))),(INDEX(ALLCLASSDATA,MATCH("MartialLimitedTrained",CLASSFEATUREHEADERS,0),MATCH(($A518 &amp; "Points"),CLASSNAMEHEADERS,0))),"")))))))))}</f>
        <v>MARTIALLIMITEDL07</v>
      </c>
      <c r="O517" s="223"/>
      <c r="P517" s="223" t="str">
        <f t="array" ref="P517:P518">{"MARTIALLIMITEDL09";((IF("09"=(INDEX(ALLCLASSDATA,MATCH("MartialLimitedLegendary",CLASSFEATUREHEADERS,0),MATCH($A518,CLASSNAMEHEADERS,0))),(INDEX(ALLCLASSDATA,MATCH("MartialLimitedLegendary",CLASSFEATUREHEADERS,0),MATCH(($A518 &amp; "Points"),CLASSNAMEHEADERS,0))),(IF("09"=(INDEX(ALLCLASSDATA,MATCH("MartialLimitedMaster",CLASSFEATUREHEADERS,0),MATCH($A518,CLASSNAMEHEADERS,0))),(INDEX(ALLCLASSDATA,MATCH("MartialLimitedMaster",CLASSFEATUREHEADERS,0),MATCH(($A518 &amp; "Points"),CLASSNAMEHEADERS,0))),(IF("09"=(INDEX(ALLCLASSDATA,MATCH("MartialLimitedExpert",CLASSFEATUREHEADERS,0),MATCH($A518,CLASSNAMEHEADERS,0))),(INDEX(ALLCLASSDATA,MATCH("MartialLimitedExpert",CLASSFEATUREHEADERS,0),MATCH(($A518 &amp; "Points"),CLASSNAMEHEADERS,0))),(IF("09"=(INDEX(ALLCLASSDATA,MATCH("MartialLimitedTrained",CLASSFEATUREHEADERS,0),MATCH($A518,CLASSNAMEHEADERS,0))),(INDEX(ALLCLASSDATA,MATCH("MartialLimitedTrained",CLASSFEATUREHEADERS,0),MATCH(($A518 &amp; "Points"),CLASSNAMEHEADERS,0))),"")))))))))}</f>
        <v>MARTIALLIMITEDL09</v>
      </c>
      <c r="Q517" s="223"/>
      <c r="R517" s="223" t="str">
        <f t="array" ref="R517:R518">{"MARTIALLIMITEDL11";((IF("11"=(INDEX(ALLCLASSDATA,MATCH("MartialLimitedLegendary",CLASSFEATUREHEADERS,0),MATCH($A518,CLASSNAMEHEADERS,0))),(INDEX(ALLCLASSDATA,MATCH("MartialLimitedLegendary",CLASSFEATUREHEADERS,0),MATCH(($A518 &amp; "Points"),CLASSNAMEHEADERS,0))),(IF("11"=(INDEX(ALLCLASSDATA,MATCH("MartialLimitedMaster",CLASSFEATUREHEADERS,0),MATCH($A518,CLASSNAMEHEADERS,0))),(INDEX(ALLCLASSDATA,MATCH("MartialLimitedMaster",CLASSFEATUREHEADERS,0),MATCH(($A518 &amp; "Points"),CLASSNAMEHEADERS,0))),(IF("11"=(INDEX(ALLCLASSDATA,MATCH("MartialLimitedExpert",CLASSFEATUREHEADERS,0),MATCH($A518,CLASSNAMEHEADERS,0))),(INDEX(ALLCLASSDATA,MATCH("MartialLimitedExpert",CLASSFEATUREHEADERS,0),MATCH(($A518 &amp; "Points"),CLASSNAMEHEADERS,0))),(IF("11"=(INDEX(ALLCLASSDATA,MATCH("MartialLimitedTrained",CLASSFEATUREHEADERS,0),MATCH($A518,CLASSNAMEHEADERS,0))),(INDEX(ALLCLASSDATA,MATCH("MartialLimitedTrained",CLASSFEATUREHEADERS,0),MATCH(($A518 &amp; "Points"),CLASSNAMEHEADERS,0))),"")))))))))}</f>
        <v>MARTIALLIMITEDL11</v>
      </c>
      <c r="S517" s="223"/>
      <c r="T517" s="223" t="str">
        <f t="array" ref="T517:T518">{"MARTIALLIMITEDL13";((IF("13"=(INDEX(ALLCLASSDATA,MATCH("MartialLimitedLegendary",CLASSFEATUREHEADERS,0),MATCH($A518,CLASSNAMEHEADERS,0))),(INDEX(ALLCLASSDATA,MATCH("MartialLimitedLegendary",CLASSFEATUREHEADERS,0),MATCH(($A518 &amp; "Points"),CLASSNAMEHEADERS,0))),(IF("13"=(INDEX(ALLCLASSDATA,MATCH("MartialLimitedMaster",CLASSFEATUREHEADERS,0),MATCH($A518,CLASSNAMEHEADERS,0))),(INDEX(ALLCLASSDATA,MATCH("MartialLimitedMaster",CLASSFEATUREHEADERS,0),MATCH(($A518 &amp; "Points"),CLASSNAMEHEADERS,0))),(IF("13"=(INDEX(ALLCLASSDATA,MATCH("MartialLimitedExpert",CLASSFEATUREHEADERS,0),MATCH($A518,CLASSNAMEHEADERS,0))),(INDEX(ALLCLASSDATA,MATCH("MartialLimitedExpert",CLASSFEATUREHEADERS,0),MATCH(($A518 &amp; "Points"),CLASSNAMEHEADERS,0))),(IF("13"=(INDEX(ALLCLASSDATA,MATCH("MartialLimitedTrained",CLASSFEATUREHEADERS,0),MATCH($A518,CLASSNAMEHEADERS,0))),(INDEX(ALLCLASSDATA,MATCH("MartialLimitedTrained",CLASSFEATUREHEADERS,0),MATCH(($A518 &amp; "Points"),CLASSNAMEHEADERS,0))),"")))))))))}</f>
        <v>MARTIALLIMITEDL13</v>
      </c>
      <c r="U517" s="223"/>
      <c r="V517" s="223" t="str">
        <f t="array" ref="V517:V518">{"MARTIALLIMITEDL15";((IF("15"=(INDEX(ALLCLASSDATA,MATCH("MartialLimitedLegendary",CLASSFEATUREHEADERS,0),MATCH($A518,CLASSNAMEHEADERS,0))),(INDEX(ALLCLASSDATA,MATCH("MartialLimitedLegendary",CLASSFEATUREHEADERS,0),MATCH(($A518 &amp; "Points"),CLASSNAMEHEADERS,0))),(IF("15"=(INDEX(ALLCLASSDATA,MATCH("MartialLimitedMaster",CLASSFEATUREHEADERS,0),MATCH($A518,CLASSNAMEHEADERS,0))),(INDEX(ALLCLASSDATA,MATCH("MartialLimitedMaster",CLASSFEATUREHEADERS,0),MATCH(($A518 &amp; "Points"),CLASSNAMEHEADERS,0))),(IF("15"=(INDEX(ALLCLASSDATA,MATCH("MartialLimitedExpert",CLASSFEATUREHEADERS,0),MATCH($A518,CLASSNAMEHEADERS,0))),(INDEX(ALLCLASSDATA,MATCH("MartialLimitedExpert",CLASSFEATUREHEADERS,0),MATCH(($A518 &amp; "Points"),CLASSNAMEHEADERS,0))),(IF("15"=(INDEX(ALLCLASSDATA,MATCH("MartialLimitedTrained",CLASSFEATUREHEADERS,0),MATCH($A518,CLASSNAMEHEADERS,0))),(INDEX(ALLCLASSDATA,MATCH("MartialLimitedTrained",CLASSFEATUREHEADERS,0),MATCH(($A518 &amp; "Points"),CLASSNAMEHEADERS,0))),"")))))))))}</f>
        <v>MARTIALLIMITEDL15</v>
      </c>
      <c r="W517" s="223"/>
      <c r="X517" s="223" t="str">
        <f t="array" ref="X517:X518">{"MARTIALLIMITEDL17";((IF("17"=(INDEX(ALLCLASSDATA,MATCH("MartialLimitedLegendary",CLASSFEATUREHEADERS,0),MATCH($A518,CLASSNAMEHEADERS,0))),(INDEX(ALLCLASSDATA,MATCH("MartialLimitedLegendary",CLASSFEATUREHEADERS,0),MATCH(($A518 &amp; "Points"),CLASSNAMEHEADERS,0))),(IF("17"=(INDEX(ALLCLASSDATA,MATCH("MartialLimitedMaster",CLASSFEATUREHEADERS,0),MATCH($A518,CLASSNAMEHEADERS,0))),(INDEX(ALLCLASSDATA,MATCH("MartialLimitedMaster",CLASSFEATUREHEADERS,0),MATCH(($A518 &amp; "Points"),CLASSNAMEHEADERS,0))),(IF("17"=(INDEX(ALLCLASSDATA,MATCH("MartialLimitedExpert",CLASSFEATUREHEADERS,0),MATCH($A518,CLASSNAMEHEADERS,0))),(INDEX(ALLCLASSDATA,MATCH("MartialLimitedExpert",CLASSFEATUREHEADERS,0),MATCH(($A518 &amp; "Points"),CLASSNAMEHEADERS,0))),(IF("17"=(INDEX(ALLCLASSDATA,MATCH("MartialLimitedTrained",CLASSFEATUREHEADERS,0),MATCH($A518,CLASSNAMEHEADERS,0))),(INDEX(ALLCLASSDATA,MATCH("MartialLimitedTrained",CLASSFEATUREHEADERS,0),MATCH(($A518 &amp; "Points"),CLASSNAMEHEADERS,0))),"")))))))))}</f>
        <v>MARTIALLIMITEDL17</v>
      </c>
      <c r="Y517" s="223"/>
      <c r="Z517" s="223" t="str">
        <f t="array" ref="Z517:Z518">{"MARTIALLIMITEDL19";((IF("19"=(INDEX(ALLCLASSDATA,MATCH("MartialLimitedLegendary",CLASSFEATUREHEADERS,0),MATCH($A518,CLASSNAMEHEADERS,0))),(INDEX(ALLCLASSDATA,MATCH("MartialLimitedLegendary",CLASSFEATUREHEADERS,0),MATCH(($A518 &amp; "Points"),CLASSNAMEHEADERS,0))),(IF("19"=(INDEX(ALLCLASSDATA,MATCH("MartialLimitedMaster",CLASSFEATUREHEADERS,0),MATCH($A518,CLASSNAMEHEADERS,0))),(INDEX(ALLCLASSDATA,MATCH("MartialLimitedMaster",CLASSFEATUREHEADERS,0),MATCH(($A518 &amp; "Points"),CLASSNAMEHEADERS,0))),(IF("19"=(INDEX(ALLCLASSDATA,MATCH("MartialLimitedExpert",CLASSFEATUREHEADERS,0),MATCH($A518,CLASSNAMEHEADERS,0))),(INDEX(ALLCLASSDATA,MATCH("MartialLimitedExpert",CLASSFEATUREHEADERS,0),MATCH(($A518 &amp; "Points"),CLASSNAMEHEADERS,0))),(IF("19"=(INDEX(ALLCLASSDATA,MATCH("MartialLimitedTrained",CLASSFEATUREHEADERS,0),MATCH($A518,CLASSNAMEHEADERS,0))),(INDEX(ALLCLASSDATA,MATCH("MartialLimitedTrained",CLASSFEATUREHEADERS,0),MATCH(($A518 &amp; "Points"),CLASSNAMEHEADERS,0))),"")))))))))}</f>
        <v>MARTIALLIMITEDL19</v>
      </c>
      <c r="AA517" s="223"/>
      <c r="AB517" s="76" t="str">
        <f t="array" ref="AB517:AB518">{"MARTIALLIMITED TOTAL";(IF(COUNTBLANK(G518:AA518)=17,"L",(IF(COUNTBLANK(G518:AA518)=18,"M",(IF(COUNTBLANK(G518:AA518)=19,"E",(IF(COUNTBLANK(G518:AA518)=20,"T",""))))))))}</f>
        <v>MARTIALLIMITED TOTAL</v>
      </c>
      <c r="AC517" s="76" t="str">
        <f t="array" ref="AC517:AC518">{"MARTIALLIMITED TOTAL";(sum(G518:AA518))}</f>
        <v>MARTIALLIMITED TOTAL</v>
      </c>
    </row>
    <row r="518">
      <c r="A518" s="48" t="s">
        <v>138</v>
      </c>
      <c r="B518" s="48"/>
      <c r="C518" s="48" t="s">
        <v>415</v>
      </c>
      <c r="D518" s="48" t="s">
        <v>1634</v>
      </c>
      <c r="E518" s="48" t="s">
        <v>600</v>
      </c>
      <c r="F518" s="5" t="s">
        <v>435</v>
      </c>
      <c r="G518" s="47" t="s">
        <v>603</v>
      </c>
      <c r="H518" s="5">
        <v>10.0</v>
      </c>
      <c r="I518" s="5"/>
      <c r="J518" s="5" t="s">
        <v>603</v>
      </c>
      <c r="K518" s="5"/>
      <c r="L518" s="5">
        <v>50.0</v>
      </c>
      <c r="M518" s="5"/>
      <c r="N518" s="5" t="s">
        <v>603</v>
      </c>
      <c r="O518" s="5"/>
      <c r="P518" s="5" t="s">
        <v>603</v>
      </c>
      <c r="Q518" s="5"/>
      <c r="R518" s="5" t="s">
        <v>603</v>
      </c>
      <c r="S518" s="5"/>
      <c r="T518" s="5">
        <v>110.0</v>
      </c>
      <c r="U518" s="5"/>
      <c r="V518" s="5" t="s">
        <v>603</v>
      </c>
      <c r="W518" s="5"/>
      <c r="X518" s="5" t="s">
        <v>603</v>
      </c>
      <c r="Y518" s="5"/>
      <c r="Z518" s="5" t="s">
        <v>603</v>
      </c>
      <c r="AA518" s="5"/>
      <c r="AB518" s="5" t="s">
        <v>437</v>
      </c>
      <c r="AC518" s="47">
        <v>170.0</v>
      </c>
    </row>
    <row r="519" hidden="1">
      <c r="A519" s="222" t="str">
        <f t="array" ref="A519:A520">{"FormulaRow31";(INDEX(CLASSLIST,A458,1))}</f>
        <v>FormulaRow31</v>
      </c>
      <c r="B519" s="77" t="s">
        <v>236</v>
      </c>
      <c r="C519" s="222" t="str">
        <f t="array" ref="C519:C520">{"CLASSTYPE";((INDEX(ALLCLASSDATA,MATCH("ClassType",CLASSFEATUREHEADERS,0),MATCH($A520,CLASSNAMEHEADERS,0))))}</f>
        <v>CLASSTYPE</v>
      </c>
      <c r="D519" s="222" t="str">
        <f t="array" ref="D519:D520">{"ATTACK";"Attack"}</f>
        <v>ATTACK</v>
      </c>
      <c r="E519" s="222" t="str">
        <f t="array" ref="E519:E520">{"MARTIAL";"Martial"}</f>
        <v>MARTIAL</v>
      </c>
      <c r="F519" s="223" t="str">
        <f t="array" ref="F519:F520">{"MARTIALINITIAL";((IF(H520=10,"T",(IF(H520=50,"E","")))))}</f>
        <v>MARTIALINITIAL</v>
      </c>
      <c r="G519" s="223" t="str">
        <f t="array" ref="G519:G520">{"MARTIALINITIALPTS";((IF("00"=(INDEX(ALLCLASSDATA,MATCH("MartialLegendary",CLASSFEATUREHEADERS,0),MATCH($A520,CLASSNAMEHEADERS,0))),(INDEX(ALLCLASSDATA,MATCH("MartialLegendary",CLASSFEATUREHEADERS,0),MATCH(($A520 &amp; "Points"),CLASSNAMEHEADERS,0))),(IF("00"=(INDEX(ALLCLASSDATA,MATCH("MartialMaster",CLASSFEATUREHEADERS,0),MATCH($A520,CLASSNAMEHEADERS,0))),(INDEX(ALLCLASSDATA,MATCH("MartialMaster",CLASSFEATUREHEADERS,0),MATCH(($A520 &amp; "Points"),CLASSNAMEHEADERS,0))),(IF("00"=(INDEX(ALLCLASSDATA,MATCH("MartialExpert",CLASSFEATUREHEADERS,0),MATCH($A520,CLASSNAMEHEADERS,0))),(INDEX(ALLCLASSDATA,MATCH("MartialExpert",CLASSFEATUREHEADERS,0),MATCH(($A520 &amp; "Points"),CLASSNAMEHEADERS,0))),(IF("00"=(INDEX(ALLCLASSDATA,MATCH("MartialTrained",CLASSFEATUREHEADERS,0),MATCH($A520,CLASSNAMEHEADERS,0))),(INDEX(ALLCLASSDATA,MATCH("MartialTrained",CLASSFEATUREHEADERS,0),MATCH(($A520 &amp; "Points"),CLASSNAMEHEADERS,0))),"")))))))))}</f>
        <v>MARTIALINITIALPTS</v>
      </c>
      <c r="H519" s="223" t="str">
        <f t="array" ref="H519:H520">{"MARTIALL01";((IF("01"=(INDEX(ALLCLASSDATA,MATCH("MartialLegendary",CLASSFEATUREHEADERS,0),MATCH($A520,CLASSNAMEHEADERS,0))),(INDEX(ALLCLASSDATA,MATCH("MartialLegendary",CLASSFEATUREHEADERS,0),MATCH(($A520 &amp; "Points"),CLASSNAMEHEADERS,0))),(IF("01"=(INDEX(ALLCLASSDATA,MATCH("MartialMaster",CLASSFEATUREHEADERS,0),MATCH($A520,CLASSNAMEHEADERS,0))),(INDEX(ALLCLASSDATA,MATCH("MartialMaster",CLASSFEATUREHEADERS,0),MATCH(($A520 &amp; "Points"),CLASSNAMEHEADERS,0))),(IF("01"=(INDEX(ALLCLASSDATA,MATCH("MartialExpert",CLASSFEATUREHEADERS,0),MATCH($A520,CLASSNAMEHEADERS,0))),(INDEX(ALLCLASSDATA,MATCH("MartialExpert",CLASSFEATUREHEADERS,0),MATCH(($A520 &amp; "Points"),CLASSNAMEHEADERS,0))),(IF("01"=(INDEX(ALLCLASSDATA,MATCH("MartialTrained",CLASSFEATUREHEADERS,0),MATCH($A520,CLASSNAMEHEADERS,0))),(INDEX(ALLCLASSDATA,MATCH("MartialTrained",CLASSFEATUREHEADERS,0),MATCH(($A520 &amp; "Points"),CLASSNAMEHEADERS,0))),"")))))))))}</f>
        <v>MARTIALL01</v>
      </c>
      <c r="I519" s="223"/>
      <c r="J519" s="223" t="str">
        <f t="array" ref="J519:J520">{"MARTIALL03";((IF("03"=(INDEX(ALLCLASSDATA,MATCH("MartialLegendary",CLASSFEATUREHEADERS,0),MATCH($A520,CLASSNAMEHEADERS,0))),(INDEX(ALLCLASSDATA,MATCH("MartialLegendary",CLASSFEATUREHEADERS,0),MATCH(($A520 &amp; "Points"),CLASSNAMEHEADERS,0))),(IF("03"=(INDEX(ALLCLASSDATA,MATCH("MartialMaster",CLASSFEATUREHEADERS,0),MATCH($A520,CLASSNAMEHEADERS,0))),(INDEX(ALLCLASSDATA,MATCH("MartialMaster",CLASSFEATUREHEADERS,0),MATCH(($A520 &amp; "Points"),CLASSNAMEHEADERS,0))),(IF("03"=(INDEX(ALLCLASSDATA,MATCH("MartialExpert",CLASSFEATUREHEADERS,0),MATCH($A520,CLASSNAMEHEADERS,0))),(INDEX(ALLCLASSDATA,MATCH("MartialExpert",CLASSFEATUREHEADERS,0),MATCH(($A520 &amp; "Points"),CLASSNAMEHEADERS,0))),(IF("03"=(INDEX(ALLCLASSDATA,MATCH("MartialTrained",CLASSFEATUREHEADERS,0),MATCH($A520,CLASSNAMEHEADERS,0))),(INDEX(ALLCLASSDATA,MATCH("MartialTrained",CLASSFEATUREHEADERS,0),MATCH(($A520 &amp; "Points"),CLASSNAMEHEADERS,0))),"")))))))))}</f>
        <v>MARTIALL03</v>
      </c>
      <c r="K519" s="223"/>
      <c r="L519" s="223" t="str">
        <f t="array" ref="L519:L520">{"MARTIALL05";((IF("05"=(INDEX(ALLCLASSDATA,MATCH("MartialLegendary",CLASSFEATUREHEADERS,0),MATCH($A520,CLASSNAMEHEADERS,0))),(INDEX(ALLCLASSDATA,MATCH("MartialLegendary",CLASSFEATUREHEADERS,0),MATCH(($A520 &amp; "Points"),CLASSNAMEHEADERS,0))),(IF("05"=(INDEX(ALLCLASSDATA,MATCH("MartialMaster",CLASSFEATUREHEADERS,0),MATCH($A520,CLASSNAMEHEADERS,0))),(INDEX(ALLCLASSDATA,MATCH("MartialMaster",CLASSFEATUREHEADERS,0),MATCH(($A520 &amp; "Points"),CLASSNAMEHEADERS,0))),(IF("05"=(INDEX(ALLCLASSDATA,MATCH("MartialExpert",CLASSFEATUREHEADERS,0),MATCH($A520,CLASSNAMEHEADERS,0))),(INDEX(ALLCLASSDATA,MATCH("MartialExpert",CLASSFEATUREHEADERS,0),MATCH(($A520 &amp; "Points"),CLASSNAMEHEADERS,0))),(IF("05"=(INDEX(ALLCLASSDATA,MATCH("MartialTrained",CLASSFEATUREHEADERS,0),MATCH($A520,CLASSNAMEHEADERS,0))),(INDEX(ALLCLASSDATA,MATCH("MartialTrained",CLASSFEATUREHEADERS,0),MATCH(($A520 &amp; "Points"),CLASSNAMEHEADERS,0))),"")))))))))}</f>
        <v>MARTIALL05</v>
      </c>
      <c r="M519" s="223"/>
      <c r="N519" s="223" t="str">
        <f t="array" ref="N519:N520">{"MARTIALL07";((IF("07"=(INDEX(ALLCLASSDATA,MATCH("MartialLegendary",CLASSFEATUREHEADERS,0),MATCH($A520,CLASSNAMEHEADERS,0))),(INDEX(ALLCLASSDATA,MATCH("MartialLegendary",CLASSFEATUREHEADERS,0),MATCH(($A520 &amp; "Points"),CLASSNAMEHEADERS,0))),(IF("07"=(INDEX(ALLCLASSDATA,MATCH("MartialMaster",CLASSFEATUREHEADERS,0),MATCH($A520,CLASSNAMEHEADERS,0))),(INDEX(ALLCLASSDATA,MATCH("MartialMaster",CLASSFEATUREHEADERS,0),MATCH(($A520 &amp; "Points"),CLASSNAMEHEADERS,0))),(IF("07"=(INDEX(ALLCLASSDATA,MATCH("MartialExpert",CLASSFEATUREHEADERS,0),MATCH($A520,CLASSNAMEHEADERS,0))),(INDEX(ALLCLASSDATA,MATCH("MartialExpert",CLASSFEATUREHEADERS,0),MATCH(($A520 &amp; "Points"),CLASSNAMEHEADERS,0))),(IF("07"=(INDEX(ALLCLASSDATA,MATCH("MartialTrained",CLASSFEATUREHEADERS,0),MATCH($A520,CLASSNAMEHEADERS,0))),(INDEX(ALLCLASSDATA,MATCH("MartialTrained",CLASSFEATUREHEADERS,0),MATCH(($A520 &amp; "Points"),CLASSNAMEHEADERS,0))),"")))))))))}</f>
        <v>MARTIALL07</v>
      </c>
      <c r="O519" s="223"/>
      <c r="P519" s="223" t="str">
        <f t="array" ref="P519:P520">{"MARTIALL09";((IF("09"=(INDEX(ALLCLASSDATA,MATCH("MartialLegendary",CLASSFEATUREHEADERS,0),MATCH($A520,CLASSNAMEHEADERS,0))),(INDEX(ALLCLASSDATA,MATCH("MartialLegendary",CLASSFEATUREHEADERS,0),MATCH(($A520 &amp; "Points"),CLASSNAMEHEADERS,0))),(IF("09"=(INDEX(ALLCLASSDATA,MATCH("MartialMaster",CLASSFEATUREHEADERS,0),MATCH($A520,CLASSNAMEHEADERS,0))),(INDEX(ALLCLASSDATA,MATCH("MartialMaster",CLASSFEATUREHEADERS,0),MATCH(($A520 &amp; "Points"),CLASSNAMEHEADERS,0))),(IF("09"=(INDEX(ALLCLASSDATA,MATCH("MartialExpert",CLASSFEATUREHEADERS,0),MATCH($A520,CLASSNAMEHEADERS,0))),(INDEX(ALLCLASSDATA,MATCH("MartialExpert",CLASSFEATUREHEADERS,0),MATCH(($A520 &amp; "Points"),CLASSNAMEHEADERS,0))),(IF("09"=(INDEX(ALLCLASSDATA,MATCH("MartialTrained",CLASSFEATUREHEADERS,0),MATCH($A520,CLASSNAMEHEADERS,0))),(INDEX(ALLCLASSDATA,MATCH("MartialTrained",CLASSFEATUREHEADERS,0),MATCH(($A520 &amp; "Points"),CLASSNAMEHEADERS,0))),"")))))))))}</f>
        <v>MARTIALL09</v>
      </c>
      <c r="Q519" s="223"/>
      <c r="R519" s="223" t="str">
        <f t="array" ref="R519:R520">{"MARTIALL11";((IF("11"=(INDEX(ALLCLASSDATA,MATCH("MartialLegendary",CLASSFEATUREHEADERS,0),MATCH($A520,CLASSNAMEHEADERS,0))),(INDEX(ALLCLASSDATA,MATCH("MartialLegendary",CLASSFEATUREHEADERS,0),MATCH(($A520 &amp; "Points"),CLASSNAMEHEADERS,0))),(IF("11"=(INDEX(ALLCLASSDATA,MATCH("MartialMaster",CLASSFEATUREHEADERS,0),MATCH($A520,CLASSNAMEHEADERS,0))),(INDEX(ALLCLASSDATA,MATCH("MartialMaster",CLASSFEATUREHEADERS,0),MATCH(($A520 &amp; "Points"),CLASSNAMEHEADERS,0))),(IF("11"=(INDEX(ALLCLASSDATA,MATCH("MartialExpert",CLASSFEATUREHEADERS,0),MATCH($A520,CLASSNAMEHEADERS,0))),(INDEX(ALLCLASSDATA,MATCH("MartialExpert",CLASSFEATUREHEADERS,0),MATCH(($A520 &amp; "Points"),CLASSNAMEHEADERS,0))),(IF("11"=(INDEX(ALLCLASSDATA,MATCH("MartialTrained",CLASSFEATUREHEADERS,0),MATCH($A520,CLASSNAMEHEADERS,0))),(INDEX(ALLCLASSDATA,MATCH("MartialTrained",CLASSFEATUREHEADERS,0),MATCH(($A520 &amp; "Points"),CLASSNAMEHEADERS,0))),"")))))))))}</f>
        <v>MARTIALL11</v>
      </c>
      <c r="S519" s="223"/>
      <c r="T519" s="223" t="str">
        <f t="array" ref="T519:T520">{"MARTIALL13";((IF("13"=(INDEX(ALLCLASSDATA,MATCH("MartialLegendary",CLASSFEATUREHEADERS,0),MATCH($A520,CLASSNAMEHEADERS,0))),(INDEX(ALLCLASSDATA,MATCH("MartialLegendary",CLASSFEATUREHEADERS,0),MATCH(($A520 &amp; "Points"),CLASSNAMEHEADERS,0))),(IF("13"=(INDEX(ALLCLASSDATA,MATCH("MartialMaster",CLASSFEATUREHEADERS,0),MATCH($A520,CLASSNAMEHEADERS,0))),(INDEX(ALLCLASSDATA,MATCH("MartialMaster",CLASSFEATUREHEADERS,0),MATCH(($A520 &amp; "Points"),CLASSNAMEHEADERS,0))),(IF("13"=(INDEX(ALLCLASSDATA,MATCH("MartialExpert",CLASSFEATUREHEADERS,0),MATCH($A520,CLASSNAMEHEADERS,0))),(INDEX(ALLCLASSDATA,MATCH("MartialExpert",CLASSFEATUREHEADERS,0),MATCH(($A520 &amp; "Points"),CLASSNAMEHEADERS,0))),(IF("13"=(INDEX(ALLCLASSDATA,MATCH("MartialTrained",CLASSFEATUREHEADERS,0),MATCH($A520,CLASSNAMEHEADERS,0))),(INDEX(ALLCLASSDATA,MATCH("MartialTrained",CLASSFEATUREHEADERS,0),MATCH(($A520 &amp; "Points"),CLASSNAMEHEADERS,0))),"")))))))))}</f>
        <v>MARTIALL13</v>
      </c>
      <c r="U519" s="223"/>
      <c r="V519" s="223" t="str">
        <f t="array" ref="V519:V520">{"MARTIALL15";((IF("15"=(INDEX(ALLCLASSDATA,MATCH("MartialLegendary",CLASSFEATUREHEADERS,0),MATCH($A520,CLASSNAMEHEADERS,0))),(INDEX(ALLCLASSDATA,MATCH("MartialLegendary",CLASSFEATUREHEADERS,0),MATCH(($A520 &amp; "Points"),CLASSNAMEHEADERS,0))),(IF("15"=(INDEX(ALLCLASSDATA,MATCH("MartialMaster",CLASSFEATUREHEADERS,0),MATCH($A520,CLASSNAMEHEADERS,0))),(INDEX(ALLCLASSDATA,MATCH("MartialMaster",CLASSFEATUREHEADERS,0),MATCH(($A520 &amp; "Points"),CLASSNAMEHEADERS,0))),(IF("15"=(INDEX(ALLCLASSDATA,MATCH("MartialExpert",CLASSFEATUREHEADERS,0),MATCH($A520,CLASSNAMEHEADERS,0))),(INDEX(ALLCLASSDATA,MATCH("MartialExpert",CLASSFEATUREHEADERS,0),MATCH(($A520 &amp; "Points"),CLASSNAMEHEADERS,0))),(IF("15"=(INDEX(ALLCLASSDATA,MATCH("MartialTrained",CLASSFEATUREHEADERS,0),MATCH($A520,CLASSNAMEHEADERS,0))),(INDEX(ALLCLASSDATA,MATCH("MartialTrained",CLASSFEATUREHEADERS,0),MATCH(($A520 &amp; "Points"),CLASSNAMEHEADERS,0))),"")))))))))}</f>
        <v>MARTIALL15</v>
      </c>
      <c r="W519" s="223"/>
      <c r="X519" s="223" t="str">
        <f t="array" ref="X519:X520">{"MARTIALL17";((IF("17"=(INDEX(ALLCLASSDATA,MATCH("MartialLegendary",CLASSFEATUREHEADERS,0),MATCH($A520,CLASSNAMEHEADERS,0))),(INDEX(ALLCLASSDATA,MATCH("MartialLegendary",CLASSFEATUREHEADERS,0),MATCH(($A520 &amp; "Points"),CLASSNAMEHEADERS,0))),(IF("17"=(INDEX(ALLCLASSDATA,MATCH("MartialMaster",CLASSFEATUREHEADERS,0),MATCH($A520,CLASSNAMEHEADERS,0))),(INDEX(ALLCLASSDATA,MATCH("MartialMaster",CLASSFEATUREHEADERS,0),MATCH(($A520 &amp; "Points"),CLASSNAMEHEADERS,0))),(IF("17"=(INDEX(ALLCLASSDATA,MATCH("MartialExpert",CLASSFEATUREHEADERS,0),MATCH($A520,CLASSNAMEHEADERS,0))),(INDEX(ALLCLASSDATA,MATCH("MartialExpert",CLASSFEATUREHEADERS,0),MATCH(($A520 &amp; "Points"),CLASSNAMEHEADERS,0))),(IF("17"=(INDEX(ALLCLASSDATA,MATCH("MartialTrained",CLASSFEATUREHEADERS,0),MATCH($A520,CLASSNAMEHEADERS,0))),(INDEX(ALLCLASSDATA,MATCH("MartialTrained",CLASSFEATUREHEADERS,0),MATCH(($A520 &amp; "Points"),CLASSNAMEHEADERS,0))),"")))))))))}</f>
        <v>MARTIALL17</v>
      </c>
      <c r="Y519" s="223"/>
      <c r="Z519" s="223" t="str">
        <f t="array" ref="Z519:Z520">{"MARTIALL19";((IF("19"=(INDEX(ALLCLASSDATA,MATCH("MartialLegendary",CLASSFEATUREHEADERS,0),MATCH($A520,CLASSNAMEHEADERS,0))),(INDEX(ALLCLASSDATA,MATCH("MartialLegendary",CLASSFEATUREHEADERS,0),MATCH(($A520 &amp; "Points"),CLASSNAMEHEADERS,0))),(IF("19"=(INDEX(ALLCLASSDATA,MATCH("MartialMaster",CLASSFEATUREHEADERS,0),MATCH($A520,CLASSNAMEHEADERS,0))),(INDEX(ALLCLASSDATA,MATCH("MartialMaster",CLASSFEATUREHEADERS,0),MATCH(($A520 &amp; "Points"),CLASSNAMEHEADERS,0))),(IF("19"=(INDEX(ALLCLASSDATA,MATCH("MartialExpert",CLASSFEATUREHEADERS,0),MATCH($A520,CLASSNAMEHEADERS,0))),(INDEX(ALLCLASSDATA,MATCH("MartialExpert",CLASSFEATUREHEADERS,0),MATCH(($A520 &amp; "Points"),CLASSNAMEHEADERS,0))),(IF("19"=(INDEX(ALLCLASSDATA,MATCH("MartialTrained",CLASSFEATUREHEADERS,0),MATCH($A520,CLASSNAMEHEADERS,0))),(INDEX(ALLCLASSDATA,MATCH("MartialTrained",CLASSFEATUREHEADERS,0),MATCH(($A520 &amp; "Points"),CLASSNAMEHEADERS,0))),"")))))))))}</f>
        <v>MARTIALL19</v>
      </c>
      <c r="AA519" s="223"/>
      <c r="AB519" s="76" t="str">
        <f t="array" ref="AB519:AB520">{"MARTIAL TOTAL";(IF(COUNTBLANK(G520:AA520)=17,"L",(IF(COUNTBLANK(G520:AA520)=18,"M",(IF(COUNTBLANK(G520:AA520)=19,"E",(IF(COUNTBLANK(G520:AA520)=20,"T",""))))))))}</f>
        <v>MARTIAL TOTAL</v>
      </c>
      <c r="AC519" s="76" t="str">
        <f t="array" ref="AC519:AC520">{"MARTIAL TOTAL";(sum(G520:AA520))}</f>
        <v>MARTIAL TOTAL</v>
      </c>
    </row>
    <row r="520">
      <c r="A520" s="48" t="s">
        <v>138</v>
      </c>
      <c r="B520" s="48"/>
      <c r="C520" s="48" t="s">
        <v>415</v>
      </c>
      <c r="D520" s="48" t="s">
        <v>1634</v>
      </c>
      <c r="E520" s="48" t="s">
        <v>6</v>
      </c>
      <c r="F520" s="5" t="s">
        <v>603</v>
      </c>
      <c r="G520" s="47" t="s">
        <v>603</v>
      </c>
      <c r="H520" s="5" t="s">
        <v>603</v>
      </c>
      <c r="I520" s="5"/>
      <c r="J520" s="5" t="s">
        <v>603</v>
      </c>
      <c r="K520" s="5"/>
      <c r="L520" s="5" t="s">
        <v>603</v>
      </c>
      <c r="M520" s="5"/>
      <c r="N520" s="5" t="s">
        <v>603</v>
      </c>
      <c r="O520" s="5"/>
      <c r="P520" s="5" t="s">
        <v>603</v>
      </c>
      <c r="Q520" s="48"/>
      <c r="R520" s="5" t="s">
        <v>603</v>
      </c>
      <c r="S520" s="5"/>
      <c r="T520" s="5" t="s">
        <v>603</v>
      </c>
      <c r="U520" s="5"/>
      <c r="V520" s="5" t="s">
        <v>603</v>
      </c>
      <c r="W520" s="5"/>
      <c r="X520" s="5" t="s">
        <v>603</v>
      </c>
      <c r="Y520" s="5"/>
      <c r="Z520" s="5" t="s">
        <v>603</v>
      </c>
      <c r="AA520" s="5"/>
      <c r="AB520" s="5" t="s">
        <v>603</v>
      </c>
      <c r="AC520" s="47">
        <v>0.0</v>
      </c>
    </row>
    <row r="521" hidden="1">
      <c r="A521" s="222" t="str">
        <f t="array" ref="A521:A522">{"FormulaRow32";(INDEX(CLASSLIST,A458,1))}</f>
        <v>FormulaRow32</v>
      </c>
      <c r="B521" s="77" t="s">
        <v>236</v>
      </c>
      <c r="C521" s="222" t="str">
        <f t="array" ref="C521:C522">{"CLASSTYPE";((INDEX(ALLCLASSDATA,MATCH("ClassType",CLASSFEATUREHEADERS,0),MATCH($A522,CLASSNAMEHEADERS,0))))}</f>
        <v>CLASSTYPE</v>
      </c>
      <c r="D521" s="222" t="str">
        <f t="array" ref="D521:D522">{"ATTACK";"Attack"}</f>
        <v>ATTACK</v>
      </c>
      <c r="E521" s="222" t="str">
        <f t="array" ref="E521:E522">{"ADVANCEDGROUP";"AdvancedGroup"}</f>
        <v>ADVANCEDGROUP</v>
      </c>
      <c r="F521" s="223" t="str">
        <f t="array" ref="F521:F522">{"ADVANCEDGROUPINITIAL";((IF(H522=10,"T",(IF(H522=50,"E","")))))}</f>
        <v>ADVANCEDGROUPINITIAL</v>
      </c>
      <c r="G521" s="223" t="str">
        <f t="array" ref="G521:G522">{"ADVANCEDGROUPINITIALPTS";((IF("00"=(INDEX(ALLCLASSDATA,MATCH("AdvancedGroupLegendary",CLASSFEATUREHEADERS,0),MATCH($A522,CLASSNAMEHEADERS,0))),(INDEX(ALLCLASSDATA,MATCH("AdvancedGroupLegendary",CLASSFEATUREHEADERS,0),MATCH(($A522 &amp; "Points"),CLASSNAMEHEADERS,0))),(IF("00"=(INDEX(ALLCLASSDATA,MATCH("AdvancedGroupMaster",CLASSFEATUREHEADERS,0),MATCH($A522,CLASSNAMEHEADERS,0))),(INDEX(ALLCLASSDATA,MATCH("AdvancedGroupMaster",CLASSFEATUREHEADERS,0),MATCH(($A522 &amp; "Points"),CLASSNAMEHEADERS,0))),(IF("00"=(INDEX(ALLCLASSDATA,MATCH("AdvancedGroupExpert",CLASSFEATUREHEADERS,0),MATCH($A522,CLASSNAMEHEADERS,0))),(INDEX(ALLCLASSDATA,MATCH("AdvancedGroupExpert",CLASSFEATUREHEADERS,0),MATCH(($A522 &amp; "Points"),CLASSNAMEHEADERS,0))),(IF("00"=(INDEX(ALLCLASSDATA,MATCH("AdvancedGroupTrained",CLASSFEATUREHEADERS,0),MATCH($A522,CLASSNAMEHEADERS,0))),(INDEX(ALLCLASSDATA,MATCH("AdvancedGroupTrained",CLASSFEATUREHEADERS,0),MATCH(($A522 &amp; "Points"),CLASSNAMEHEADERS,0))),"")))))))))}</f>
        <v>ADVANCEDGROUPINITIALPTS</v>
      </c>
      <c r="H521" s="223" t="str">
        <f t="array" ref="H521:H522">{"ADVANCEDGROUPL01";((IF("01"=(INDEX(ALLCLASSDATA,MATCH("AdvancedGroupLegendary",CLASSFEATUREHEADERS,0),MATCH($A522,CLASSNAMEHEADERS,0))),(INDEX(ALLCLASSDATA,MATCH("AdvancedGroupLegendary",CLASSFEATUREHEADERS,0),MATCH(($A522 &amp; "Points"),CLASSNAMEHEADERS,0))),(IF("01"=(INDEX(ALLCLASSDATA,MATCH("AdvancedGroupMaster",CLASSFEATUREHEADERS,0),MATCH($A522,CLASSNAMEHEADERS,0))),(INDEX(ALLCLASSDATA,MATCH("AdvancedGroupMaster",CLASSFEATUREHEADERS,0),MATCH(($A522 &amp; "Points"),CLASSNAMEHEADERS,0))),(IF("01"=(INDEX(ALLCLASSDATA,MATCH("AdvancedGroupExpert",CLASSFEATUREHEADERS,0),MATCH($A522,CLASSNAMEHEADERS,0))),(INDEX(ALLCLASSDATA,MATCH("AdvancedGroupExpert",CLASSFEATUREHEADERS,0),MATCH(($A522 &amp; "Points"),CLASSNAMEHEADERS,0))),(IF("01"=(INDEX(ALLCLASSDATA,MATCH("AdvancedGroupTrained",CLASSFEATUREHEADERS,0),MATCH($A522,CLASSNAMEHEADERS,0))),(INDEX(ALLCLASSDATA,MATCH("AdvancedGroupTrained",CLASSFEATUREHEADERS,0),MATCH(($A522 &amp; "Points"),CLASSNAMEHEADERS,0))),"")))))))))}</f>
        <v>ADVANCEDGROUPL01</v>
      </c>
      <c r="I521" s="223"/>
      <c r="J521" s="223" t="str">
        <f t="array" ref="J521:J522">{"ADVANCEDGROUPL03";((IF("03"=(INDEX(ALLCLASSDATA,MATCH("AdvancedGroupLegendary",CLASSFEATUREHEADERS,0),MATCH($A522,CLASSNAMEHEADERS,0))),(INDEX(ALLCLASSDATA,MATCH("AdvancedGroupLegendary",CLASSFEATUREHEADERS,0),MATCH(($A522 &amp; "Points"),CLASSNAMEHEADERS,0))),(IF("03"=(INDEX(ALLCLASSDATA,MATCH("AdvancedGroupMaster",CLASSFEATUREHEADERS,0),MATCH($A522,CLASSNAMEHEADERS,0))),(INDEX(ALLCLASSDATA,MATCH("AdvancedGroupMaster",CLASSFEATUREHEADERS,0),MATCH(($A522 &amp; "Points"),CLASSNAMEHEADERS,0))),(IF("03"=(INDEX(ALLCLASSDATA,MATCH("AdvancedGroupExpert",CLASSFEATUREHEADERS,0),MATCH($A522,CLASSNAMEHEADERS,0))),(INDEX(ALLCLASSDATA,MATCH("AdvancedGroupExpert",CLASSFEATUREHEADERS,0),MATCH(($A522 &amp; "Points"),CLASSNAMEHEADERS,0))),(IF("03"=(INDEX(ALLCLASSDATA,MATCH("AdvancedGroupTrained",CLASSFEATUREHEADERS,0),MATCH($A522,CLASSNAMEHEADERS,0))),(INDEX(ALLCLASSDATA,MATCH("AdvancedGroupTrained",CLASSFEATUREHEADERS,0),MATCH(($A522 &amp; "Points"),CLASSNAMEHEADERS,0))),"")))))))))}</f>
        <v>ADVANCEDGROUPL03</v>
      </c>
      <c r="K521" s="223"/>
      <c r="L521" s="223" t="str">
        <f t="array" ref="L521:L522">{"ADVANCEDGROUPL05";((IF("05"=(INDEX(ALLCLASSDATA,MATCH("AdvancedGroupLegendary",CLASSFEATUREHEADERS,0),MATCH($A522,CLASSNAMEHEADERS,0))),(INDEX(ALLCLASSDATA,MATCH("AdvancedGroupLegendary",CLASSFEATUREHEADERS,0),MATCH(($A522 &amp; "Points"),CLASSNAMEHEADERS,0))),(IF("05"=(INDEX(ALLCLASSDATA,MATCH("AdvancedGroupMaster",CLASSFEATUREHEADERS,0),MATCH($A522,CLASSNAMEHEADERS,0))),(INDEX(ALLCLASSDATA,MATCH("AdvancedGroupMaster",CLASSFEATUREHEADERS,0),MATCH(($A522 &amp; "Points"),CLASSNAMEHEADERS,0))),(IF("05"=(INDEX(ALLCLASSDATA,MATCH("AdvancedGroupExpert",CLASSFEATUREHEADERS,0),MATCH($A522,CLASSNAMEHEADERS,0))),(INDEX(ALLCLASSDATA,MATCH("AdvancedGroupExpert",CLASSFEATUREHEADERS,0),MATCH(($A522 &amp; "Points"),CLASSNAMEHEADERS,0))),(IF("05"=(INDEX(ALLCLASSDATA,MATCH("AdvancedGroupTrained",CLASSFEATUREHEADERS,0),MATCH($A522,CLASSNAMEHEADERS,0))),(INDEX(ALLCLASSDATA,MATCH("AdvancedGroupTrained",CLASSFEATUREHEADERS,0),MATCH(($A522 &amp; "Points"),CLASSNAMEHEADERS,0))),"")))))))))}</f>
        <v>ADVANCEDGROUPL05</v>
      </c>
      <c r="M521" s="223"/>
      <c r="N521" s="223" t="str">
        <f t="array" ref="N521:N522">{"ADVANCEDGROUPL07";((IF("07"=(INDEX(ALLCLASSDATA,MATCH("AdvancedGroupLegendary",CLASSFEATUREHEADERS,0),MATCH($A522,CLASSNAMEHEADERS,0))),(INDEX(ALLCLASSDATA,MATCH("AdvancedGroupLegendary",CLASSFEATUREHEADERS,0),MATCH(($A522 &amp; "Points"),CLASSNAMEHEADERS,0))),(IF("07"=(INDEX(ALLCLASSDATA,MATCH("AdvancedGroupMaster",CLASSFEATUREHEADERS,0),MATCH($A522,CLASSNAMEHEADERS,0))),(INDEX(ALLCLASSDATA,MATCH("AdvancedGroupMaster",CLASSFEATUREHEADERS,0),MATCH(($A522 &amp; "Points"),CLASSNAMEHEADERS,0))),(IF("07"=(INDEX(ALLCLASSDATA,MATCH("AdvancedGroupExpert",CLASSFEATUREHEADERS,0),MATCH($A522,CLASSNAMEHEADERS,0))),(INDEX(ALLCLASSDATA,MATCH("AdvancedGroupExpert",CLASSFEATUREHEADERS,0),MATCH(($A522 &amp; "Points"),CLASSNAMEHEADERS,0))),(IF("07"=(INDEX(ALLCLASSDATA,MATCH("AdvancedGroupTrained",CLASSFEATUREHEADERS,0),MATCH($A522,CLASSNAMEHEADERS,0))),(INDEX(ALLCLASSDATA,MATCH("AdvancedGroupTrained",CLASSFEATUREHEADERS,0),MATCH(($A522 &amp; "Points"),CLASSNAMEHEADERS,0))),"")))))))))}</f>
        <v>ADVANCEDGROUPL07</v>
      </c>
      <c r="O521" s="223"/>
      <c r="P521" s="223" t="str">
        <f t="array" ref="P521:P522">{"ADVANCEDGROUPL09";((IF("09"=(INDEX(ALLCLASSDATA,MATCH("AdvancedGroupLegendary",CLASSFEATUREHEADERS,0),MATCH($A522,CLASSNAMEHEADERS,0))),(INDEX(ALLCLASSDATA,MATCH("AdvancedGroupLegendary",CLASSFEATUREHEADERS,0),MATCH(($A522 &amp; "Points"),CLASSNAMEHEADERS,0))),(IF("09"=(INDEX(ALLCLASSDATA,MATCH("AdvancedGroupMaster",CLASSFEATUREHEADERS,0),MATCH($A522,CLASSNAMEHEADERS,0))),(INDEX(ALLCLASSDATA,MATCH("AdvancedGroupMaster",CLASSFEATUREHEADERS,0),MATCH(($A522 &amp; "Points"),CLASSNAMEHEADERS,0))),(IF("09"=(INDEX(ALLCLASSDATA,MATCH("AdvancedGroupExpert",CLASSFEATUREHEADERS,0),MATCH($A522,CLASSNAMEHEADERS,0))),(INDEX(ALLCLASSDATA,MATCH("AdvancedGroupExpert",CLASSFEATUREHEADERS,0),MATCH(($A522 &amp; "Points"),CLASSNAMEHEADERS,0))),(IF("09"=(INDEX(ALLCLASSDATA,MATCH("AdvancedGroupTrained",CLASSFEATUREHEADERS,0),MATCH($A522,CLASSNAMEHEADERS,0))),(INDEX(ALLCLASSDATA,MATCH("AdvancedGroupTrained",CLASSFEATUREHEADERS,0),MATCH(($A522 &amp; "Points"),CLASSNAMEHEADERS,0))),"")))))))))}</f>
        <v>ADVANCEDGROUPL09</v>
      </c>
      <c r="Q521" s="223"/>
      <c r="R521" s="223" t="str">
        <f t="array" ref="R521:R522">{"ADVANCEDGROUPL11";((IF("11"=(INDEX(ALLCLASSDATA,MATCH("AdvancedGroupLegendary",CLASSFEATUREHEADERS,0),MATCH($A522,CLASSNAMEHEADERS,0))),(INDEX(ALLCLASSDATA,MATCH("AdvancedGroupLegendary",CLASSFEATUREHEADERS,0),MATCH(($A522 &amp; "Points"),CLASSNAMEHEADERS,0))),(IF("11"=(INDEX(ALLCLASSDATA,MATCH("AdvancedGroupMaster",CLASSFEATUREHEADERS,0),MATCH($A522,CLASSNAMEHEADERS,0))),(INDEX(ALLCLASSDATA,MATCH("AdvancedGroupMaster",CLASSFEATUREHEADERS,0),MATCH(($A522 &amp; "Points"),CLASSNAMEHEADERS,0))),(IF("11"=(INDEX(ALLCLASSDATA,MATCH("AdvancedGroupExpert",CLASSFEATUREHEADERS,0),MATCH($A522,CLASSNAMEHEADERS,0))),(INDEX(ALLCLASSDATA,MATCH("AdvancedGroupExpert",CLASSFEATUREHEADERS,0),MATCH(($A522 &amp; "Points"),CLASSNAMEHEADERS,0))),(IF("11"=(INDEX(ALLCLASSDATA,MATCH("AdvancedGroupTrained",CLASSFEATUREHEADERS,0),MATCH($A522,CLASSNAMEHEADERS,0))),(INDEX(ALLCLASSDATA,MATCH("AdvancedGroupTrained",CLASSFEATUREHEADERS,0),MATCH(($A522 &amp; "Points"),CLASSNAMEHEADERS,0))),"")))))))))}</f>
        <v>ADVANCEDGROUPL11</v>
      </c>
      <c r="S521" s="223"/>
      <c r="T521" s="223" t="str">
        <f t="array" ref="T521:T522">{"ADVANCEDGROUPL13";((IF("13"=(INDEX(ALLCLASSDATA,MATCH("AdvancedGroupLegendary",CLASSFEATUREHEADERS,0),MATCH($A522,CLASSNAMEHEADERS,0))),(INDEX(ALLCLASSDATA,MATCH("AdvancedGroupLegendary",CLASSFEATUREHEADERS,0),MATCH(($A522 &amp; "Points"),CLASSNAMEHEADERS,0))),(IF("13"=(INDEX(ALLCLASSDATA,MATCH("AdvancedGroupMaster",CLASSFEATUREHEADERS,0),MATCH($A522,CLASSNAMEHEADERS,0))),(INDEX(ALLCLASSDATA,MATCH("AdvancedGroupMaster",CLASSFEATUREHEADERS,0),MATCH(($A522 &amp; "Points"),CLASSNAMEHEADERS,0))),(IF("13"=(INDEX(ALLCLASSDATA,MATCH("AdvancedGroupExpert",CLASSFEATUREHEADERS,0),MATCH($A522,CLASSNAMEHEADERS,0))),(INDEX(ALLCLASSDATA,MATCH("AdvancedGroupExpert",CLASSFEATUREHEADERS,0),MATCH(($A522 &amp; "Points"),CLASSNAMEHEADERS,0))),(IF("13"=(INDEX(ALLCLASSDATA,MATCH("AdvancedGroupTrained",CLASSFEATUREHEADERS,0),MATCH($A522,CLASSNAMEHEADERS,0))),(INDEX(ALLCLASSDATA,MATCH("AdvancedGroupTrained",CLASSFEATUREHEADERS,0),MATCH(($A522 &amp; "Points"),CLASSNAMEHEADERS,0))),"")))))))))}</f>
        <v>ADVANCEDGROUPL13</v>
      </c>
      <c r="U521" s="223"/>
      <c r="V521" s="223" t="str">
        <f t="array" ref="V521:V522">{"ADVANCEDGROUPL15";((IF("15"=(INDEX(ALLCLASSDATA,MATCH("AdvancedGroupLegendary",CLASSFEATUREHEADERS,0),MATCH($A522,CLASSNAMEHEADERS,0))),(INDEX(ALLCLASSDATA,MATCH("AdvancedGroupLegendary",CLASSFEATUREHEADERS,0),MATCH(($A522 &amp; "Points"),CLASSNAMEHEADERS,0))),(IF("15"=(INDEX(ALLCLASSDATA,MATCH("AdvancedGroupMaster",CLASSFEATUREHEADERS,0),MATCH($A522,CLASSNAMEHEADERS,0))),(INDEX(ALLCLASSDATA,MATCH("AdvancedGroupMaster",CLASSFEATUREHEADERS,0),MATCH(($A522 &amp; "Points"),CLASSNAMEHEADERS,0))),(IF("15"=(INDEX(ALLCLASSDATA,MATCH("AdvancedGroupExpert",CLASSFEATUREHEADERS,0),MATCH($A522,CLASSNAMEHEADERS,0))),(INDEX(ALLCLASSDATA,MATCH("AdvancedGroupExpert",CLASSFEATUREHEADERS,0),MATCH(($A522 &amp; "Points"),CLASSNAMEHEADERS,0))),(IF("15"=(INDEX(ALLCLASSDATA,MATCH("AdvancedGroupTrained",CLASSFEATUREHEADERS,0),MATCH($A522,CLASSNAMEHEADERS,0))),(INDEX(ALLCLASSDATA,MATCH("AdvancedGroupTrained",CLASSFEATUREHEADERS,0),MATCH(($A522 &amp; "Points"),CLASSNAMEHEADERS,0))),"")))))))))}</f>
        <v>ADVANCEDGROUPL15</v>
      </c>
      <c r="W521" s="223"/>
      <c r="X521" s="223" t="str">
        <f t="array" ref="X521:X522">{"ADVANCEDGROUPL17";((IF("17"=(INDEX(ALLCLASSDATA,MATCH("AdvancedGroupLegendary",CLASSFEATUREHEADERS,0),MATCH($A522,CLASSNAMEHEADERS,0))),(INDEX(ALLCLASSDATA,MATCH("AdvancedGroupLegendary",CLASSFEATUREHEADERS,0),MATCH(($A522 &amp; "Points"),CLASSNAMEHEADERS,0))),(IF("17"=(INDEX(ALLCLASSDATA,MATCH("AdvancedGroupMaster",CLASSFEATUREHEADERS,0),MATCH($A522,CLASSNAMEHEADERS,0))),(INDEX(ALLCLASSDATA,MATCH("AdvancedGroupMaster",CLASSFEATUREHEADERS,0),MATCH(($A522 &amp; "Points"),CLASSNAMEHEADERS,0))),(IF("17"=(INDEX(ALLCLASSDATA,MATCH("AdvancedGroupExpert",CLASSFEATUREHEADERS,0),MATCH($A522,CLASSNAMEHEADERS,0))),(INDEX(ALLCLASSDATA,MATCH("AdvancedGroupExpert",CLASSFEATUREHEADERS,0),MATCH(($A522 &amp; "Points"),CLASSNAMEHEADERS,0))),(IF("17"=(INDEX(ALLCLASSDATA,MATCH("AdvancedGroupTrained",CLASSFEATUREHEADERS,0),MATCH($A522,CLASSNAMEHEADERS,0))),(INDEX(ALLCLASSDATA,MATCH("AdvancedGroupTrained",CLASSFEATUREHEADERS,0),MATCH(($A522 &amp; "Points"),CLASSNAMEHEADERS,0))),"")))))))))}</f>
        <v>ADVANCEDGROUPL17</v>
      </c>
      <c r="Y521" s="223"/>
      <c r="Z521" s="223" t="str">
        <f t="array" ref="Z521:Z522">{"ADVANCEDGROUPL19";((IF("19"=(INDEX(ALLCLASSDATA,MATCH("AdvancedGroupLegendary",CLASSFEATUREHEADERS,0),MATCH($A522,CLASSNAMEHEADERS,0))),(INDEX(ALLCLASSDATA,MATCH("AdvancedGroupLegendary",CLASSFEATUREHEADERS,0),MATCH(($A522 &amp; "Points"),CLASSNAMEHEADERS,0))),(IF("19"=(INDEX(ALLCLASSDATA,MATCH("AdvancedGroupMaster",CLASSFEATUREHEADERS,0),MATCH($A522,CLASSNAMEHEADERS,0))),(INDEX(ALLCLASSDATA,MATCH("AdvancedGroupMaster",CLASSFEATUREHEADERS,0),MATCH(($A522 &amp; "Points"),CLASSNAMEHEADERS,0))),(IF("19"=(INDEX(ALLCLASSDATA,MATCH("AdvancedGroupExpert",CLASSFEATUREHEADERS,0),MATCH($A522,CLASSNAMEHEADERS,0))),(INDEX(ALLCLASSDATA,MATCH("AdvancedGroupExpert",CLASSFEATUREHEADERS,0),MATCH(($A522 &amp; "Points"),CLASSNAMEHEADERS,0))),(IF("19"=(INDEX(ALLCLASSDATA,MATCH("AdvancedGroupTrained",CLASSFEATUREHEADERS,0),MATCH($A522,CLASSNAMEHEADERS,0))),(INDEX(ALLCLASSDATA,MATCH("AdvancedGroupTrained",CLASSFEATUREHEADERS,0),MATCH(($A522 &amp; "Points"),CLASSNAMEHEADERS,0))),"")))))))))}</f>
        <v>ADVANCEDGROUPL19</v>
      </c>
      <c r="AA521" s="223"/>
      <c r="AB521" s="76" t="str">
        <f t="array" ref="AB521:AB522">{"ADVANCEDGROUP TOTAL";(IF(COUNTBLANK(G522:AA522)=17,"L",(IF(COUNTBLANK(G522:AA522)=18,"M",(IF(COUNTBLANK(G522:AA522)=19,"E",(IF(COUNTBLANK(G522:AA522)=20,"T",""))))))))}</f>
        <v>ADVANCEDGROUP TOTAL</v>
      </c>
      <c r="AC521" s="76" t="str">
        <f t="array" ref="AC521:AC522">{"ADVANCEDGROUP TOTAL";(sum(G522:AA522))}</f>
        <v>ADVANCEDGROUP TOTAL</v>
      </c>
    </row>
    <row r="522">
      <c r="A522" s="48" t="s">
        <v>138</v>
      </c>
      <c r="B522" s="48"/>
      <c r="C522" s="48" t="s">
        <v>415</v>
      </c>
      <c r="D522" s="48" t="s">
        <v>1634</v>
      </c>
      <c r="E522" s="48" t="s">
        <v>601</v>
      </c>
      <c r="F522" s="5" t="s">
        <v>603</v>
      </c>
      <c r="G522" s="47" t="s">
        <v>603</v>
      </c>
      <c r="H522" s="5" t="s">
        <v>603</v>
      </c>
      <c r="I522" s="5"/>
      <c r="J522" s="5" t="s">
        <v>603</v>
      </c>
      <c r="K522" s="5"/>
      <c r="L522" s="5" t="s">
        <v>603</v>
      </c>
      <c r="M522" s="5"/>
      <c r="N522" s="5" t="s">
        <v>603</v>
      </c>
      <c r="O522" s="5"/>
      <c r="P522" s="5" t="s">
        <v>603</v>
      </c>
      <c r="Q522" s="5"/>
      <c r="R522" s="5" t="s">
        <v>603</v>
      </c>
      <c r="S522" s="5"/>
      <c r="T522" s="5" t="s">
        <v>603</v>
      </c>
      <c r="U522" s="5"/>
      <c r="V522" s="5" t="s">
        <v>603</v>
      </c>
      <c r="W522" s="5"/>
      <c r="X522" s="5" t="s">
        <v>603</v>
      </c>
      <c r="Y522" s="5"/>
      <c r="Z522" s="5" t="s">
        <v>603</v>
      </c>
      <c r="AA522" s="5"/>
      <c r="AB522" s="5" t="s">
        <v>603</v>
      </c>
      <c r="AC522" s="47">
        <v>0.0</v>
      </c>
    </row>
    <row r="523" hidden="1">
      <c r="A523" s="222" t="str">
        <f t="array" ref="A523:A524">{"FormulaRow33";(INDEX(CLASSLIST,A458,1))}</f>
        <v>FormulaRow33</v>
      </c>
      <c r="B523" s="77" t="s">
        <v>236</v>
      </c>
      <c r="C523" s="222" t="str">
        <f t="array" ref="C523:C524">{"CLASSTYPE";((INDEX(ALLCLASSDATA,MATCH("ClassType",CLASSFEATUREHEADERS,0),MATCH($A524,CLASSNAMEHEADERS,0))))}</f>
        <v>CLASSTYPE</v>
      </c>
      <c r="D523" s="222" t="str">
        <f t="array" ref="D523:D524">{"ATTACK";"Attack"}</f>
        <v>ATTACK</v>
      </c>
      <c r="E523" s="222" t="str">
        <f t="array" ref="E523:E524">{"ADVANCED";"Advanced"}</f>
        <v>ADVANCED</v>
      </c>
      <c r="F523" s="223" t="str">
        <f t="array" ref="F523:F524">{"ADVANCEDINITIAL";((IF(H524=10,"T",(IF(H524=50,"E","")))))}</f>
        <v>ADVANCEDINITIAL</v>
      </c>
      <c r="G523" s="223" t="str">
        <f t="array" ref="G523:G524">{"ADVANCEDINITIALPTS";((IF("00"=(INDEX(ALLCLASSDATA,MATCH("AdvancedLegendary",CLASSFEATUREHEADERS,0),MATCH($A524,CLASSNAMEHEADERS,0))),(INDEX(ALLCLASSDATA,MATCH("AdvancedLegendary",CLASSFEATUREHEADERS,0),MATCH(($A524 &amp; "Points"),CLASSNAMEHEADERS,0))),(IF("00"=(INDEX(ALLCLASSDATA,MATCH("AdvancedMaster",CLASSFEATUREHEADERS,0),MATCH($A524,CLASSNAMEHEADERS,0))),(INDEX(ALLCLASSDATA,MATCH("AdvancedMaster",CLASSFEATUREHEADERS,0),MATCH(($A524 &amp; "Points"),CLASSNAMEHEADERS,0))),(IF("00"=(INDEX(ALLCLASSDATA,MATCH("AdvancedExpert",CLASSFEATUREHEADERS,0),MATCH($A524,CLASSNAMEHEADERS,0))),(INDEX(ALLCLASSDATA,MATCH("AdvancedExpert",CLASSFEATUREHEADERS,0),MATCH(($A524 &amp; "Points"),CLASSNAMEHEADERS,0))),(IF("00"=(INDEX(ALLCLASSDATA,MATCH("AdvancedTrained",CLASSFEATUREHEADERS,0),MATCH($A524,CLASSNAMEHEADERS,0))),(INDEX(ALLCLASSDATA,MATCH("AdvancedTrained",CLASSFEATUREHEADERS,0),MATCH(($A524 &amp; "Points"),CLASSNAMEHEADERS,0))),"")))))))))}</f>
        <v>ADVANCEDINITIALPTS</v>
      </c>
      <c r="H523" s="223" t="str">
        <f t="array" ref="H523:H524">{"ADVANCEDL01";((IF("01"=(INDEX(ALLCLASSDATA,MATCH("AdvancedLegendary",CLASSFEATUREHEADERS,0),MATCH($A524,CLASSNAMEHEADERS,0))),(INDEX(ALLCLASSDATA,MATCH("AdvancedLegendary",CLASSFEATUREHEADERS,0),MATCH(($A524 &amp; "Points"),CLASSNAMEHEADERS,0))),(IF("01"=(INDEX(ALLCLASSDATA,MATCH("AdvancedMaster",CLASSFEATUREHEADERS,0),MATCH($A524,CLASSNAMEHEADERS,0))),(INDEX(ALLCLASSDATA,MATCH("AdvancedMaster",CLASSFEATUREHEADERS,0),MATCH(($A524 &amp; "Points"),CLASSNAMEHEADERS,0))),(IF("01"=(INDEX(ALLCLASSDATA,MATCH("AdvancedExpert",CLASSFEATUREHEADERS,0),MATCH($A524,CLASSNAMEHEADERS,0))),(INDEX(ALLCLASSDATA,MATCH("AdvancedExpert",CLASSFEATUREHEADERS,0),MATCH(($A524 &amp; "Points"),CLASSNAMEHEADERS,0))),(IF("01"=(INDEX(ALLCLASSDATA,MATCH("AdvancedTrained",CLASSFEATUREHEADERS,0),MATCH($A524,CLASSNAMEHEADERS,0))),(INDEX(ALLCLASSDATA,MATCH("AdvancedTrained",CLASSFEATUREHEADERS,0),MATCH(($A524 &amp; "Points"),CLASSNAMEHEADERS,0))),"")))))))))}</f>
        <v>ADVANCEDL01</v>
      </c>
      <c r="I523" s="223"/>
      <c r="J523" s="223" t="str">
        <f t="array" ref="J523:J524">{"ADVANCEDL03";((IF("03"=(INDEX(ALLCLASSDATA,MATCH("AdvancedLegendary",CLASSFEATUREHEADERS,0),MATCH($A524,CLASSNAMEHEADERS,0))),(INDEX(ALLCLASSDATA,MATCH("AdvancedLegendary",CLASSFEATUREHEADERS,0),MATCH(($A524 &amp; "Points"),CLASSNAMEHEADERS,0))),(IF("03"=(INDEX(ALLCLASSDATA,MATCH("AdvancedMaster",CLASSFEATUREHEADERS,0),MATCH($A524,CLASSNAMEHEADERS,0))),(INDEX(ALLCLASSDATA,MATCH("AdvancedMaster",CLASSFEATUREHEADERS,0),MATCH(($A524 &amp; "Points"),CLASSNAMEHEADERS,0))),(IF("03"=(INDEX(ALLCLASSDATA,MATCH("AdvancedExpert",CLASSFEATUREHEADERS,0),MATCH($A524,CLASSNAMEHEADERS,0))),(INDEX(ALLCLASSDATA,MATCH("AdvancedExpert",CLASSFEATUREHEADERS,0),MATCH(($A524 &amp; "Points"),CLASSNAMEHEADERS,0))),(IF("03"=(INDEX(ALLCLASSDATA,MATCH("AdvancedTrained",CLASSFEATUREHEADERS,0),MATCH($A524,CLASSNAMEHEADERS,0))),(INDEX(ALLCLASSDATA,MATCH("AdvancedTrained",CLASSFEATUREHEADERS,0),MATCH(($A524 &amp; "Points"),CLASSNAMEHEADERS,0))),"")))))))))}</f>
        <v>ADVANCEDL03</v>
      </c>
      <c r="K523" s="223"/>
      <c r="L523" s="223" t="str">
        <f t="array" ref="L523:L524">{"ADVANCEDL05";((IF("05"=(INDEX(ALLCLASSDATA,MATCH("AdvancedLegendary",CLASSFEATUREHEADERS,0),MATCH($A524,CLASSNAMEHEADERS,0))),(INDEX(ALLCLASSDATA,MATCH("AdvancedLegendary",CLASSFEATUREHEADERS,0),MATCH(($A524 &amp; "Points"),CLASSNAMEHEADERS,0))),(IF("05"=(INDEX(ALLCLASSDATA,MATCH("AdvancedMaster",CLASSFEATUREHEADERS,0),MATCH($A524,CLASSNAMEHEADERS,0))),(INDEX(ALLCLASSDATA,MATCH("AdvancedMaster",CLASSFEATUREHEADERS,0),MATCH(($A524 &amp; "Points"),CLASSNAMEHEADERS,0))),(IF("05"=(INDEX(ALLCLASSDATA,MATCH("AdvancedExpert",CLASSFEATUREHEADERS,0),MATCH($A524,CLASSNAMEHEADERS,0))),(INDEX(ALLCLASSDATA,MATCH("AdvancedExpert",CLASSFEATUREHEADERS,0),MATCH(($A524 &amp; "Points"),CLASSNAMEHEADERS,0))),(IF("05"=(INDEX(ALLCLASSDATA,MATCH("AdvancedTrained",CLASSFEATUREHEADERS,0),MATCH($A524,CLASSNAMEHEADERS,0))),(INDEX(ALLCLASSDATA,MATCH("AdvancedTrained",CLASSFEATUREHEADERS,0),MATCH(($A524 &amp; "Points"),CLASSNAMEHEADERS,0))),"")))))))))}</f>
        <v>ADVANCEDL05</v>
      </c>
      <c r="M523" s="223"/>
      <c r="N523" s="223" t="str">
        <f t="array" ref="N523:N524">{"ADVANCEDL07";((IF("07"=(INDEX(ALLCLASSDATA,MATCH("AdvancedLegendary",CLASSFEATUREHEADERS,0),MATCH($A524,CLASSNAMEHEADERS,0))),(INDEX(ALLCLASSDATA,MATCH("AdvancedLegendary",CLASSFEATUREHEADERS,0),MATCH(($A524 &amp; "Points"),CLASSNAMEHEADERS,0))),(IF("07"=(INDEX(ALLCLASSDATA,MATCH("AdvancedMaster",CLASSFEATUREHEADERS,0),MATCH($A524,CLASSNAMEHEADERS,0))),(INDEX(ALLCLASSDATA,MATCH("AdvancedMaster",CLASSFEATUREHEADERS,0),MATCH(($A524 &amp; "Points"),CLASSNAMEHEADERS,0))),(IF("07"=(INDEX(ALLCLASSDATA,MATCH("AdvancedExpert",CLASSFEATUREHEADERS,0),MATCH($A524,CLASSNAMEHEADERS,0))),(INDEX(ALLCLASSDATA,MATCH("AdvancedExpert",CLASSFEATUREHEADERS,0),MATCH(($A524 &amp; "Points"),CLASSNAMEHEADERS,0))),(IF("07"=(INDEX(ALLCLASSDATA,MATCH("AdvancedTrained",CLASSFEATUREHEADERS,0),MATCH($A524,CLASSNAMEHEADERS,0))),(INDEX(ALLCLASSDATA,MATCH("AdvancedTrained",CLASSFEATUREHEADERS,0),MATCH(($A524 &amp; "Points"),CLASSNAMEHEADERS,0))),"")))))))))}</f>
        <v>ADVANCEDL07</v>
      </c>
      <c r="O523" s="223"/>
      <c r="P523" s="223" t="str">
        <f t="array" ref="P523:P524">{"ADVANCEDL09";((IF("09"=(INDEX(ALLCLASSDATA,MATCH("AdvancedLegendary",CLASSFEATUREHEADERS,0),MATCH($A524,CLASSNAMEHEADERS,0))),(INDEX(ALLCLASSDATA,MATCH("AdvancedLegendary",CLASSFEATUREHEADERS,0),MATCH(($A524 &amp; "Points"),CLASSNAMEHEADERS,0))),(IF("09"=(INDEX(ALLCLASSDATA,MATCH("AdvancedMaster",CLASSFEATUREHEADERS,0),MATCH($A524,CLASSNAMEHEADERS,0))),(INDEX(ALLCLASSDATA,MATCH("AdvancedMaster",CLASSFEATUREHEADERS,0),MATCH(($A524 &amp; "Points"),CLASSNAMEHEADERS,0))),(IF("09"=(INDEX(ALLCLASSDATA,MATCH("AdvancedExpert",CLASSFEATUREHEADERS,0),MATCH($A524,CLASSNAMEHEADERS,0))),(INDEX(ALLCLASSDATA,MATCH("AdvancedExpert",CLASSFEATUREHEADERS,0),MATCH(($A524 &amp; "Points"),CLASSNAMEHEADERS,0))),(IF("09"=(INDEX(ALLCLASSDATA,MATCH("AdvancedTrained",CLASSFEATUREHEADERS,0),MATCH($A524,CLASSNAMEHEADERS,0))),(INDEX(ALLCLASSDATA,MATCH("AdvancedTrained",CLASSFEATUREHEADERS,0),MATCH(($A524 &amp; "Points"),CLASSNAMEHEADERS,0))),"")))))))))}</f>
        <v>ADVANCEDL09</v>
      </c>
      <c r="Q523" s="223"/>
      <c r="R523" s="223" t="str">
        <f t="array" ref="R523:R524">{"ADVANCEDL11";((IF("11"=(INDEX(ALLCLASSDATA,MATCH("AdvancedLegendary",CLASSFEATUREHEADERS,0),MATCH($A524,CLASSNAMEHEADERS,0))),(INDEX(ALLCLASSDATA,MATCH("AdvancedLegendary",CLASSFEATUREHEADERS,0),MATCH(($A524 &amp; "Points"),CLASSNAMEHEADERS,0))),(IF("11"=(INDEX(ALLCLASSDATA,MATCH("AdvancedMaster",CLASSFEATUREHEADERS,0),MATCH($A524,CLASSNAMEHEADERS,0))),(INDEX(ALLCLASSDATA,MATCH("AdvancedMaster",CLASSFEATUREHEADERS,0),MATCH(($A524 &amp; "Points"),CLASSNAMEHEADERS,0))),(IF("11"=(INDEX(ALLCLASSDATA,MATCH("AdvancedExpert",CLASSFEATUREHEADERS,0),MATCH($A524,CLASSNAMEHEADERS,0))),(INDEX(ALLCLASSDATA,MATCH("AdvancedExpert",CLASSFEATUREHEADERS,0),MATCH(($A524 &amp; "Points"),CLASSNAMEHEADERS,0))),(IF("11"=(INDEX(ALLCLASSDATA,MATCH("AdvancedTrained",CLASSFEATUREHEADERS,0),MATCH($A524,CLASSNAMEHEADERS,0))),(INDEX(ALLCLASSDATA,MATCH("AdvancedTrained",CLASSFEATUREHEADERS,0),MATCH(($A524 &amp; "Points"),CLASSNAMEHEADERS,0))),"")))))))))}</f>
        <v>ADVANCEDL11</v>
      </c>
      <c r="S523" s="223"/>
      <c r="T523" s="223" t="str">
        <f t="array" ref="T523:T524">{"ADVANCEDL13";((IF("13"=(INDEX(ALLCLASSDATA,MATCH("AdvancedLegendary",CLASSFEATUREHEADERS,0),MATCH($A524,CLASSNAMEHEADERS,0))),(INDEX(ALLCLASSDATA,MATCH("AdvancedLegendary",CLASSFEATUREHEADERS,0),MATCH(($A524 &amp; "Points"),CLASSNAMEHEADERS,0))),(IF("13"=(INDEX(ALLCLASSDATA,MATCH("AdvancedMaster",CLASSFEATUREHEADERS,0),MATCH($A524,CLASSNAMEHEADERS,0))),(INDEX(ALLCLASSDATA,MATCH("AdvancedMaster",CLASSFEATUREHEADERS,0),MATCH(($A524 &amp; "Points"),CLASSNAMEHEADERS,0))),(IF("13"=(INDEX(ALLCLASSDATA,MATCH("AdvancedExpert",CLASSFEATUREHEADERS,0),MATCH($A524,CLASSNAMEHEADERS,0))),(INDEX(ALLCLASSDATA,MATCH("AdvancedExpert",CLASSFEATUREHEADERS,0),MATCH(($A524 &amp; "Points"),CLASSNAMEHEADERS,0))),(IF("13"=(INDEX(ALLCLASSDATA,MATCH("AdvancedTrained",CLASSFEATUREHEADERS,0),MATCH($A524,CLASSNAMEHEADERS,0))),(INDEX(ALLCLASSDATA,MATCH("AdvancedTrained",CLASSFEATUREHEADERS,0),MATCH(($A524 &amp; "Points"),CLASSNAMEHEADERS,0))),"")))))))))}</f>
        <v>ADVANCEDL13</v>
      </c>
      <c r="U523" s="223"/>
      <c r="V523" s="223" t="str">
        <f t="array" ref="V523:V524">{"ADVANCEDL15";((IF("15"=(INDEX(ALLCLASSDATA,MATCH("AdvancedLegendary",CLASSFEATUREHEADERS,0),MATCH($A524,CLASSNAMEHEADERS,0))),(INDEX(ALLCLASSDATA,MATCH("AdvancedLegendary",CLASSFEATUREHEADERS,0),MATCH(($A524 &amp; "Points"),CLASSNAMEHEADERS,0))),(IF("15"=(INDEX(ALLCLASSDATA,MATCH("AdvancedMaster",CLASSFEATUREHEADERS,0),MATCH($A524,CLASSNAMEHEADERS,0))),(INDEX(ALLCLASSDATA,MATCH("AdvancedMaster",CLASSFEATUREHEADERS,0),MATCH(($A524 &amp; "Points"),CLASSNAMEHEADERS,0))),(IF("15"=(INDEX(ALLCLASSDATA,MATCH("AdvancedExpert",CLASSFEATUREHEADERS,0),MATCH($A524,CLASSNAMEHEADERS,0))),(INDEX(ALLCLASSDATA,MATCH("AdvancedExpert",CLASSFEATUREHEADERS,0),MATCH(($A524 &amp; "Points"),CLASSNAMEHEADERS,0))),(IF("15"=(INDEX(ALLCLASSDATA,MATCH("AdvancedTrained",CLASSFEATUREHEADERS,0),MATCH($A524,CLASSNAMEHEADERS,0))),(INDEX(ALLCLASSDATA,MATCH("AdvancedTrained",CLASSFEATUREHEADERS,0),MATCH(($A524 &amp; "Points"),CLASSNAMEHEADERS,0))),"")))))))))}</f>
        <v>ADVANCEDL15</v>
      </c>
      <c r="W523" s="223"/>
      <c r="X523" s="223" t="str">
        <f t="array" ref="X523:X524">{"ADVANCEDL17";((IF("17"=(INDEX(ALLCLASSDATA,MATCH("AdvancedLegendary",CLASSFEATUREHEADERS,0),MATCH($A524,CLASSNAMEHEADERS,0))),(INDEX(ALLCLASSDATA,MATCH("AdvancedLegendary",CLASSFEATUREHEADERS,0),MATCH(($A524 &amp; "Points"),CLASSNAMEHEADERS,0))),(IF("17"=(INDEX(ALLCLASSDATA,MATCH("AdvancedMaster",CLASSFEATUREHEADERS,0),MATCH($A524,CLASSNAMEHEADERS,0))),(INDEX(ALLCLASSDATA,MATCH("AdvancedMaster",CLASSFEATUREHEADERS,0),MATCH(($A524 &amp; "Points"),CLASSNAMEHEADERS,0))),(IF("17"=(INDEX(ALLCLASSDATA,MATCH("AdvancedExpert",CLASSFEATUREHEADERS,0),MATCH($A524,CLASSNAMEHEADERS,0))),(INDEX(ALLCLASSDATA,MATCH("AdvancedExpert",CLASSFEATUREHEADERS,0),MATCH(($A524 &amp; "Points"),CLASSNAMEHEADERS,0))),(IF("17"=(INDEX(ALLCLASSDATA,MATCH("AdvancedTrained",CLASSFEATUREHEADERS,0),MATCH($A524,CLASSNAMEHEADERS,0))),(INDEX(ALLCLASSDATA,MATCH("AdvancedTrained",CLASSFEATUREHEADERS,0),MATCH(($A524 &amp; "Points"),CLASSNAMEHEADERS,0))),"")))))))))}</f>
        <v>ADVANCEDL17</v>
      </c>
      <c r="Y523" s="223"/>
      <c r="Z523" s="223" t="str">
        <f t="array" ref="Z523:Z524">{"ADVANCEDL19";((IF("19"=(INDEX(ALLCLASSDATA,MATCH("AdvancedLegendary",CLASSFEATUREHEADERS,0),MATCH($A524,CLASSNAMEHEADERS,0))),(INDEX(ALLCLASSDATA,MATCH("AdvancedLegendary",CLASSFEATUREHEADERS,0),MATCH(($A524 &amp; "Points"),CLASSNAMEHEADERS,0))),(IF("19"=(INDEX(ALLCLASSDATA,MATCH("AdvancedMaster",CLASSFEATUREHEADERS,0),MATCH($A524,CLASSNAMEHEADERS,0))),(INDEX(ALLCLASSDATA,MATCH("AdvancedMaster",CLASSFEATUREHEADERS,0),MATCH(($A524 &amp; "Points"),CLASSNAMEHEADERS,0))),(IF("19"=(INDEX(ALLCLASSDATA,MATCH("AdvancedExpert",CLASSFEATUREHEADERS,0),MATCH($A524,CLASSNAMEHEADERS,0))),(INDEX(ALLCLASSDATA,MATCH("AdvancedExpert",CLASSFEATUREHEADERS,0),MATCH(($A524 &amp; "Points"),CLASSNAMEHEADERS,0))),(IF("19"=(INDEX(ALLCLASSDATA,MATCH("AdvancedTrained",CLASSFEATUREHEADERS,0),MATCH($A524,CLASSNAMEHEADERS,0))),(INDEX(ALLCLASSDATA,MATCH("AdvancedTrained",CLASSFEATUREHEADERS,0),MATCH(($A524 &amp; "Points"),CLASSNAMEHEADERS,0))),"")))))))))}</f>
        <v>ADVANCEDL19</v>
      </c>
      <c r="AA523" s="223"/>
      <c r="AB523" s="76" t="str">
        <f t="array" ref="AB523:AB524">{"ADVANCED TOTAL";(IF(COUNTBLANK(G524:AA524)=17,"L",(IF(COUNTBLANK(G524:AA524)=18,"M",(IF(COUNTBLANK(G524:AA524)=19,"E",(IF(COUNTBLANK(G524:AA524)=20,"T",""))))))))}</f>
        <v>ADVANCED TOTAL</v>
      </c>
      <c r="AC523" s="76" t="str">
        <f t="array" ref="AC523:AC524">{"ADVANCED TOTAL";(sum(G524:AA524))}</f>
        <v>ADVANCED TOTAL</v>
      </c>
    </row>
    <row r="524">
      <c r="A524" s="48" t="s">
        <v>138</v>
      </c>
      <c r="B524" s="48"/>
      <c r="C524" s="48" t="s">
        <v>415</v>
      </c>
      <c r="D524" s="97" t="s">
        <v>1634</v>
      </c>
      <c r="E524" s="97" t="s">
        <v>602</v>
      </c>
      <c r="F524" s="98" t="s">
        <v>603</v>
      </c>
      <c r="G524" s="132" t="s">
        <v>603</v>
      </c>
      <c r="H524" s="98" t="s">
        <v>603</v>
      </c>
      <c r="I524" s="98"/>
      <c r="J524" s="98" t="s">
        <v>603</v>
      </c>
      <c r="K524" s="98"/>
      <c r="L524" s="98" t="s">
        <v>603</v>
      </c>
      <c r="M524" s="98"/>
      <c r="N524" s="98" t="s">
        <v>603</v>
      </c>
      <c r="O524" s="98"/>
      <c r="P524" s="98" t="s">
        <v>603</v>
      </c>
      <c r="Q524" s="98"/>
      <c r="R524" s="98" t="s">
        <v>603</v>
      </c>
      <c r="S524" s="98"/>
      <c r="T524" s="98" t="s">
        <v>603</v>
      </c>
      <c r="U524" s="98"/>
      <c r="V524" s="98" t="s">
        <v>603</v>
      </c>
      <c r="W524" s="98"/>
      <c r="X524" s="98" t="s">
        <v>603</v>
      </c>
      <c r="Y524" s="98"/>
      <c r="Z524" s="98" t="s">
        <v>603</v>
      </c>
      <c r="AA524" s="98"/>
      <c r="AB524" s="5" t="s">
        <v>603</v>
      </c>
      <c r="AC524" s="47">
        <v>0.0</v>
      </c>
    </row>
    <row r="525" hidden="1">
      <c r="A525" s="222" t="str">
        <f t="array" ref="A525:A526">{"FormulaRow34";(INDEX(CLASSLIST,A458,1))}</f>
        <v>FormulaRow34</v>
      </c>
      <c r="B525" s="77" t="s">
        <v>236</v>
      </c>
      <c r="C525" s="222" t="str">
        <f t="array" ref="C525:C526">{"CLASSTYPE";((INDEX(ALLCLASSDATA,MATCH("ClassType",CLASSFEATUREHEADERS,0),MATCH($A526,CLASSNAMEHEADERS,0))))}</f>
        <v>CLASSTYPE</v>
      </c>
      <c r="D525" s="222" t="str">
        <f t="array" ref="D525:D526">{"DEFENSE";"Defense"}</f>
        <v>DEFENSE</v>
      </c>
      <c r="E525" s="222" t="str">
        <f t="array" ref="E525:E526">{"ARMORSPECIAL";"ArmorAS"}</f>
        <v>ARMORSPECIAL</v>
      </c>
      <c r="F525" s="223"/>
      <c r="G525" s="223"/>
      <c r="H525" s="223" t="str">
        <f t="array" ref="H525:H526">{"ARMORSPECIALL01";((IF("01"=INDEX(ALLCLASSDATA,MATCH("ArmorSpecialization",CLASSFEATUREHEADERS,0),MATCH($A526,CLASSNAMEHEADERS,0)),ArmorAS,"")))}</f>
        <v>ARMORSPECIALL01</v>
      </c>
      <c r="I525" s="223"/>
      <c r="J525" s="223" t="str">
        <f t="array" ref="J525:J526">{"ARMORSPECIALL03";((IF("03"=INDEX(ALLCLASSDATA,MATCH("ArmorSpecialization",CLASSFEATUREHEADERS,0),MATCH($A526,CLASSNAMEHEADERS,0)),ArmorAS,"")))}</f>
        <v>ARMORSPECIALL03</v>
      </c>
      <c r="K525" s="223"/>
      <c r="L525" s="223" t="str">
        <f t="array" ref="L525:L526">{"ARMORSPECIALL05";((IF("05"=INDEX(ALLCLASSDATA,MATCH("ArmorSpecialization",CLASSFEATUREHEADERS,0),MATCH($A526,CLASSNAMEHEADERS,0)),ArmorAS,"")))}</f>
        <v>ARMORSPECIALL05</v>
      </c>
      <c r="M525" s="223"/>
      <c r="N525" s="223" t="str">
        <f t="array" ref="N525:N526">{"ARMORSPECIALL07";((IF("07"=INDEX(ALLCLASSDATA,MATCH("ArmorSpecialization",CLASSFEATUREHEADERS,0),MATCH($A526,CLASSNAMEHEADERS,0)),ArmorAS,"")))}</f>
        <v>ARMORSPECIALL07</v>
      </c>
      <c r="O525" s="223"/>
      <c r="P525" s="223" t="str">
        <f t="array" ref="P525:P526">{"ARMORSPECIALL09";((IF("09"=INDEX(ALLCLASSDATA,MATCH("ArmorSpecialization",CLASSFEATUREHEADERS,0),MATCH($A526,CLASSNAMEHEADERS,0)),ArmorAS,"")))}</f>
        <v>ARMORSPECIALL09</v>
      </c>
      <c r="Q525" s="223"/>
      <c r="R525" s="223" t="str">
        <f t="array" ref="R525:R526">{"ARMORSPECIALL11";((IF("11"=INDEX(ALLCLASSDATA,MATCH("ArmorSpecialization",CLASSFEATUREHEADERS,0),MATCH($A526,CLASSNAMEHEADERS,0)),ArmorAS,"")))}</f>
        <v>ARMORSPECIALL11</v>
      </c>
      <c r="S525" s="223"/>
      <c r="T525" s="223" t="str">
        <f t="array" ref="T525:T526">{"ARMORSPECIALL13";((IF("13"=INDEX(ALLCLASSDATA,MATCH("ArmorSpecialization",CLASSFEATUREHEADERS,0),MATCH($A526,CLASSNAMEHEADERS,0)),ArmorAS,"")))}</f>
        <v>ARMORSPECIALL13</v>
      </c>
      <c r="U525" s="223"/>
      <c r="V525" s="223" t="str">
        <f t="array" ref="V525:V526">{"ARMORSPECIALL15";((IF("15"=INDEX(ALLCLASSDATA,MATCH("ArmorSpecialization",CLASSFEATUREHEADERS,0),MATCH($A526,CLASSNAMEHEADERS,0)),ArmorAS,"")))}</f>
        <v>ARMORSPECIALL15</v>
      </c>
      <c r="W525" s="223"/>
      <c r="X525" s="223" t="str">
        <f t="array" ref="X525:X526">{"ARMORSPECIALL17";((IF("17"=INDEX(ALLCLASSDATA,MATCH("ArmorSpecialization",CLASSFEATUREHEADERS,0),MATCH($A526,CLASSNAMEHEADERS,0)),ArmorAS,"")))}</f>
        <v>ARMORSPECIALL17</v>
      </c>
      <c r="Y525" s="223"/>
      <c r="Z525" s="223" t="str">
        <f t="array" ref="Z525:Z526">{"ARMORSPECIALL19";((IF("19"=INDEX(ALLCLASSDATA,MATCH("ArmorSpecialization",CLASSFEATUREHEADERS,0),MATCH($A526,CLASSNAMEHEADERS,0)),ArmorAS,"")))}</f>
        <v>ARMORSPECIALL19</v>
      </c>
      <c r="AA525" s="223"/>
      <c r="AB525" s="76"/>
      <c r="AC525" s="76" t="str">
        <f t="array" ref="AC525:AC526">{"ARMORSPECIAL TOTAL";(sum(G526:AA526))}</f>
        <v>ARMORSPECIAL TOTAL</v>
      </c>
    </row>
    <row r="526">
      <c r="A526" s="48" t="s">
        <v>138</v>
      </c>
      <c r="B526" s="48"/>
      <c r="C526" s="48" t="s">
        <v>415</v>
      </c>
      <c r="D526" s="48" t="s">
        <v>1900</v>
      </c>
      <c r="E526" s="48" t="s">
        <v>51</v>
      </c>
      <c r="F526" s="5"/>
      <c r="G526" s="47"/>
      <c r="H526" s="5" t="s">
        <v>603</v>
      </c>
      <c r="I526" s="5"/>
      <c r="J526" s="5" t="s">
        <v>603</v>
      </c>
      <c r="K526" s="5"/>
      <c r="L526" s="5" t="s">
        <v>603</v>
      </c>
      <c r="M526" s="5"/>
      <c r="N526" s="5" t="s">
        <v>603</v>
      </c>
      <c r="O526" s="5"/>
      <c r="P526" s="5" t="s">
        <v>603</v>
      </c>
      <c r="Q526" s="5"/>
      <c r="R526" s="5" t="s">
        <v>603</v>
      </c>
      <c r="S526" s="5"/>
      <c r="T526" s="5" t="s">
        <v>603</v>
      </c>
      <c r="U526" s="5"/>
      <c r="V526" s="5" t="s">
        <v>603</v>
      </c>
      <c r="W526" s="5"/>
      <c r="X526" s="5" t="s">
        <v>603</v>
      </c>
      <c r="Y526" s="5"/>
      <c r="Z526" s="5" t="s">
        <v>603</v>
      </c>
      <c r="AA526" s="5"/>
      <c r="AB526" s="5"/>
      <c r="AC526" s="47">
        <v>0.0</v>
      </c>
    </row>
    <row r="527" hidden="1">
      <c r="A527" s="222" t="str">
        <f t="array" ref="A527:A528">{"FormulaRow35";(INDEX(CLASSLIST,A458,1))}</f>
        <v>FormulaRow35</v>
      </c>
      <c r="B527" s="77" t="s">
        <v>236</v>
      </c>
      <c r="C527" s="222" t="str">
        <f t="array" ref="C527:C528">{"CLASSTYPE";((INDEX(ALLCLASSDATA,MATCH("ClassType",CLASSFEATUREHEADERS,0),MATCH($A528,CLASSNAMEHEADERS,0))))}</f>
        <v>CLASSTYPE</v>
      </c>
      <c r="D527" s="222" t="str">
        <f t="array" ref="D527:D528">{"DEFENSE";"Defense"}</f>
        <v>DEFENSE</v>
      </c>
      <c r="E527" s="222" t="str">
        <f t="array" ref="E527:E528">{"UNARMORED";"Unarmored"}</f>
        <v>UNARMORED</v>
      </c>
      <c r="F527" s="223" t="str">
        <f t="array" ref="F527:F528">{"UNARMOREDINITIAL";((IF(H528=10,"T",(IF(H528=50,"E","")))))}</f>
        <v>UNARMOREDINITIAL</v>
      </c>
      <c r="G527" s="223" t="str">
        <f t="array" ref="G527:G528">{"UNARMOREDINITIALPTS";((IF("00"=(INDEX(ALLCLASSDATA,MATCH("UnarmoredLegendary",CLASSFEATUREHEADERS,0),MATCH($A528,CLASSNAMEHEADERS,0))),(INDEX(ALLCLASSDATA,MATCH("UnarmoredLegendary",CLASSFEATUREHEADERS,0),MATCH(($A528 &amp; "Points"),CLASSNAMEHEADERS,0))),(IF("00"=(INDEX(ALLCLASSDATA,MATCH("UnarmoredMaster",CLASSFEATUREHEADERS,0),MATCH($A528,CLASSNAMEHEADERS,0))),(INDEX(ALLCLASSDATA,MATCH("UnarmoredMaster",CLASSFEATUREHEADERS,0),MATCH(($A528 &amp; "Points"),CLASSNAMEHEADERS,0))),(IF("00"=(INDEX(ALLCLASSDATA,MATCH("UnarmoredExpert",CLASSFEATUREHEADERS,0),MATCH($A528,CLASSNAMEHEADERS,0))),(INDEX(ALLCLASSDATA,MATCH("UnarmoredExpert",CLASSFEATUREHEADERS,0),MATCH(($A528 &amp; "Points"),CLASSNAMEHEADERS,0))),(IF("00"=(INDEX(ALLCLASSDATA,MATCH("UnarmoredTrained",CLASSFEATUREHEADERS,0),MATCH($A528,CLASSNAMEHEADERS,0))),(INDEX(ALLCLASSDATA,MATCH("UnarmoredTrained",CLASSFEATUREHEADERS,0),MATCH(($A528 &amp; "Points"),CLASSNAMEHEADERS,0))),"")))))))))}</f>
        <v>UNARMOREDINITIALPTS</v>
      </c>
      <c r="H527" s="223" t="str">
        <f t="array" ref="H527:H528">{"UNARMOREDL01";((IF("01"=(INDEX(ALLCLASSDATA,MATCH("UnarmoredLegendary",CLASSFEATUREHEADERS,0),MATCH($A528,CLASSNAMEHEADERS,0))),(INDEX(ALLCLASSDATA,MATCH("UnarmoredLegendary",CLASSFEATUREHEADERS,0),MATCH(($A528 &amp; "Points"),CLASSNAMEHEADERS,0))),(IF("01"=(INDEX(ALLCLASSDATA,MATCH("UnarmoredMaster",CLASSFEATUREHEADERS,0),MATCH($A528,CLASSNAMEHEADERS,0))),(INDEX(ALLCLASSDATA,MATCH("UnarmoredMaster",CLASSFEATUREHEADERS,0),MATCH(($A528 &amp; "Points"),CLASSNAMEHEADERS,0))),(IF("01"=(INDEX(ALLCLASSDATA,MATCH("UnarmoredExpert",CLASSFEATUREHEADERS,0),MATCH($A528,CLASSNAMEHEADERS,0))),(INDEX(ALLCLASSDATA,MATCH("UnarmoredExpert",CLASSFEATUREHEADERS,0),MATCH(($A528 &amp; "Points"),CLASSNAMEHEADERS,0))),(IF("01"=(INDEX(ALLCLASSDATA,MATCH("UnarmoredTrained",CLASSFEATUREHEADERS,0),MATCH($A528,CLASSNAMEHEADERS,0))),(INDEX(ALLCLASSDATA,MATCH("UnarmoredTrained",CLASSFEATUREHEADERS,0),MATCH(($A528 &amp; "Points"),CLASSNAMEHEADERS,0))),"")))))))))}</f>
        <v>UNARMOREDL01</v>
      </c>
      <c r="I527" s="223"/>
      <c r="J527" s="223" t="str">
        <f t="array" ref="J527:J528">{"UNARMOREDL03";((IF("03"=(INDEX(ALLCLASSDATA,MATCH("UnarmoredLegendary",CLASSFEATUREHEADERS,0),MATCH($A528,CLASSNAMEHEADERS,0))),(INDEX(ALLCLASSDATA,MATCH("UnarmoredLegendary",CLASSFEATUREHEADERS,0),MATCH(($A528 &amp; "Points"),CLASSNAMEHEADERS,0))),(IF("03"=(INDEX(ALLCLASSDATA,MATCH("UnarmoredMaster",CLASSFEATUREHEADERS,0),MATCH($A528,CLASSNAMEHEADERS,0))),(INDEX(ALLCLASSDATA,MATCH("UnarmoredMaster",CLASSFEATUREHEADERS,0),MATCH(($A528 &amp; "Points"),CLASSNAMEHEADERS,0))),(IF("03"=(INDEX(ALLCLASSDATA,MATCH("UnarmoredExpert",CLASSFEATUREHEADERS,0),MATCH($A528,CLASSNAMEHEADERS,0))),(INDEX(ALLCLASSDATA,MATCH("UnarmoredExpert",CLASSFEATUREHEADERS,0),MATCH(($A528 &amp; "Points"),CLASSNAMEHEADERS,0))),(IF("03"=(INDEX(ALLCLASSDATA,MATCH("UnarmoredTrained",CLASSFEATUREHEADERS,0),MATCH($A528,CLASSNAMEHEADERS,0))),(INDEX(ALLCLASSDATA,MATCH("UnarmoredTrained",CLASSFEATUREHEADERS,0),MATCH(($A528 &amp; "Points"),CLASSNAMEHEADERS,0))),"")))))))))}</f>
        <v>UNARMOREDL03</v>
      </c>
      <c r="K527" s="223"/>
      <c r="L527" s="223" t="str">
        <f t="array" ref="L527:L528">{"UNARMOREDL05";((IF("05"=(INDEX(ALLCLASSDATA,MATCH("UnarmoredLegendary",CLASSFEATUREHEADERS,0),MATCH($A528,CLASSNAMEHEADERS,0))),(INDEX(ALLCLASSDATA,MATCH("UnarmoredLegendary",CLASSFEATUREHEADERS,0),MATCH(($A528 &amp; "Points"),CLASSNAMEHEADERS,0))),(IF("05"=(INDEX(ALLCLASSDATA,MATCH("UnarmoredMaster",CLASSFEATUREHEADERS,0),MATCH($A528,CLASSNAMEHEADERS,0))),(INDEX(ALLCLASSDATA,MATCH("UnarmoredMaster",CLASSFEATUREHEADERS,0),MATCH(($A528 &amp; "Points"),CLASSNAMEHEADERS,0))),(IF("05"=(INDEX(ALLCLASSDATA,MATCH("UnarmoredExpert",CLASSFEATUREHEADERS,0),MATCH($A528,CLASSNAMEHEADERS,0))),(INDEX(ALLCLASSDATA,MATCH("UnarmoredExpert",CLASSFEATUREHEADERS,0),MATCH(($A528 &amp; "Points"),CLASSNAMEHEADERS,0))),(IF("05"=(INDEX(ALLCLASSDATA,MATCH("UnarmoredTrained",CLASSFEATUREHEADERS,0),MATCH($A528,CLASSNAMEHEADERS,0))),(INDEX(ALLCLASSDATA,MATCH("UnarmoredTrained",CLASSFEATUREHEADERS,0),MATCH(($A528 &amp; "Points"),CLASSNAMEHEADERS,0))),"")))))))))}</f>
        <v>UNARMOREDL05</v>
      </c>
      <c r="M527" s="223"/>
      <c r="N527" s="223" t="str">
        <f t="array" ref="N527:N528">{"UNARMOREDL07";((IF("07"=(INDEX(ALLCLASSDATA,MATCH("UnarmoredLegendary",CLASSFEATUREHEADERS,0),MATCH($A528,CLASSNAMEHEADERS,0))),(INDEX(ALLCLASSDATA,MATCH("UnarmoredLegendary",CLASSFEATUREHEADERS,0),MATCH(($A528 &amp; "Points"),CLASSNAMEHEADERS,0))),(IF("07"=(INDEX(ALLCLASSDATA,MATCH("UnarmoredMaster",CLASSFEATUREHEADERS,0),MATCH($A528,CLASSNAMEHEADERS,0))),(INDEX(ALLCLASSDATA,MATCH("UnarmoredMaster",CLASSFEATUREHEADERS,0),MATCH(($A528 &amp; "Points"),CLASSNAMEHEADERS,0))),(IF("07"=(INDEX(ALLCLASSDATA,MATCH("UnarmoredExpert",CLASSFEATUREHEADERS,0),MATCH($A528,CLASSNAMEHEADERS,0))),(INDEX(ALLCLASSDATA,MATCH("UnarmoredExpert",CLASSFEATUREHEADERS,0),MATCH(($A528 &amp; "Points"),CLASSNAMEHEADERS,0))),(IF("07"=(INDEX(ALLCLASSDATA,MATCH("UnarmoredTrained",CLASSFEATUREHEADERS,0),MATCH($A528,CLASSNAMEHEADERS,0))),(INDEX(ALLCLASSDATA,MATCH("UnarmoredTrained",CLASSFEATUREHEADERS,0),MATCH(($A528 &amp; "Points"),CLASSNAMEHEADERS,0))),"")))))))))}</f>
        <v>UNARMOREDL07</v>
      </c>
      <c r="O527" s="223"/>
      <c r="P527" s="223" t="str">
        <f t="array" ref="P527:P528">{"UNARMOREDL09";((IF("09"=(INDEX(ALLCLASSDATA,MATCH("UnarmoredLegendary",CLASSFEATUREHEADERS,0),MATCH($A528,CLASSNAMEHEADERS,0))),(INDEX(ALLCLASSDATA,MATCH("UnarmoredLegendary",CLASSFEATUREHEADERS,0),MATCH(($A528 &amp; "Points"),CLASSNAMEHEADERS,0))),(IF("09"=(INDEX(ALLCLASSDATA,MATCH("UnarmoredMaster",CLASSFEATUREHEADERS,0),MATCH($A528,CLASSNAMEHEADERS,0))),(INDEX(ALLCLASSDATA,MATCH("UnarmoredMaster",CLASSFEATUREHEADERS,0),MATCH(($A528 &amp; "Points"),CLASSNAMEHEADERS,0))),(IF("09"=(INDEX(ALLCLASSDATA,MATCH("UnarmoredExpert",CLASSFEATUREHEADERS,0),MATCH($A528,CLASSNAMEHEADERS,0))),(INDEX(ALLCLASSDATA,MATCH("UnarmoredExpert",CLASSFEATUREHEADERS,0),MATCH(($A528 &amp; "Points"),CLASSNAMEHEADERS,0))),(IF("09"=(INDEX(ALLCLASSDATA,MATCH("UnarmoredTrained",CLASSFEATUREHEADERS,0),MATCH($A528,CLASSNAMEHEADERS,0))),(INDEX(ALLCLASSDATA,MATCH("UnarmoredTrained",CLASSFEATUREHEADERS,0),MATCH(($A528 &amp; "Points"),CLASSNAMEHEADERS,0))),"")))))))))}</f>
        <v>UNARMOREDL09</v>
      </c>
      <c r="Q527" s="223"/>
      <c r="R527" s="223" t="str">
        <f t="array" ref="R527:R528">{"UNARMOREDL11";((IF("11"=(INDEX(ALLCLASSDATA,MATCH("UnarmoredLegendary",CLASSFEATUREHEADERS,0),MATCH($A528,CLASSNAMEHEADERS,0))),(INDEX(ALLCLASSDATA,MATCH("UnarmoredLegendary",CLASSFEATUREHEADERS,0),MATCH(($A528 &amp; "Points"),CLASSNAMEHEADERS,0))),(IF("11"=(INDEX(ALLCLASSDATA,MATCH("UnarmoredMaster",CLASSFEATUREHEADERS,0),MATCH($A528,CLASSNAMEHEADERS,0))),(INDEX(ALLCLASSDATA,MATCH("UnarmoredMaster",CLASSFEATUREHEADERS,0),MATCH(($A528 &amp; "Points"),CLASSNAMEHEADERS,0))),(IF("11"=(INDEX(ALLCLASSDATA,MATCH("UnarmoredExpert",CLASSFEATUREHEADERS,0),MATCH($A528,CLASSNAMEHEADERS,0))),(INDEX(ALLCLASSDATA,MATCH("UnarmoredExpert",CLASSFEATUREHEADERS,0),MATCH(($A528 &amp; "Points"),CLASSNAMEHEADERS,0))),(IF("11"=(INDEX(ALLCLASSDATA,MATCH("UnarmoredTrained",CLASSFEATUREHEADERS,0),MATCH($A528,CLASSNAMEHEADERS,0))),(INDEX(ALLCLASSDATA,MATCH("UnarmoredTrained",CLASSFEATUREHEADERS,0),MATCH(($A528 &amp; "Points"),CLASSNAMEHEADERS,0))),"")))))))))}</f>
        <v>UNARMOREDL11</v>
      </c>
      <c r="S527" s="223"/>
      <c r="T527" s="223" t="str">
        <f t="array" ref="T527:T528">{"UNARMOREDL13";((IF("13"=(INDEX(ALLCLASSDATA,MATCH("UnarmoredLegendary",CLASSFEATUREHEADERS,0),MATCH($A528,CLASSNAMEHEADERS,0))),(INDEX(ALLCLASSDATA,MATCH("UnarmoredLegendary",CLASSFEATUREHEADERS,0),MATCH(($A528 &amp; "Points"),CLASSNAMEHEADERS,0))),(IF("13"=(INDEX(ALLCLASSDATA,MATCH("UnarmoredMaster",CLASSFEATUREHEADERS,0),MATCH($A528,CLASSNAMEHEADERS,0))),(INDEX(ALLCLASSDATA,MATCH("UnarmoredMaster",CLASSFEATUREHEADERS,0),MATCH(($A528 &amp; "Points"),CLASSNAMEHEADERS,0))),(IF("13"=(INDEX(ALLCLASSDATA,MATCH("UnarmoredExpert",CLASSFEATUREHEADERS,0),MATCH($A528,CLASSNAMEHEADERS,0))),(INDEX(ALLCLASSDATA,MATCH("UnarmoredExpert",CLASSFEATUREHEADERS,0),MATCH(($A528 &amp; "Points"),CLASSNAMEHEADERS,0))),(IF("13"=(INDEX(ALLCLASSDATA,MATCH("UnarmoredTrained",CLASSFEATUREHEADERS,0),MATCH($A528,CLASSNAMEHEADERS,0))),(INDEX(ALLCLASSDATA,MATCH("UnarmoredTrained",CLASSFEATUREHEADERS,0),MATCH(($A528 &amp; "Points"),CLASSNAMEHEADERS,0))),"")))))))))}</f>
        <v>UNARMOREDL13</v>
      </c>
      <c r="U527" s="223"/>
      <c r="V527" s="223" t="str">
        <f t="array" ref="V527:V528">{"UNARMOREDL15";((IF("15"=(INDEX(ALLCLASSDATA,MATCH("UnarmoredLegendary",CLASSFEATUREHEADERS,0),MATCH($A528,CLASSNAMEHEADERS,0))),(INDEX(ALLCLASSDATA,MATCH("UnarmoredLegendary",CLASSFEATUREHEADERS,0),MATCH(($A528 &amp; "Points"),CLASSNAMEHEADERS,0))),(IF("15"=(INDEX(ALLCLASSDATA,MATCH("UnarmoredMaster",CLASSFEATUREHEADERS,0),MATCH($A528,CLASSNAMEHEADERS,0))),(INDEX(ALLCLASSDATA,MATCH("UnarmoredMaster",CLASSFEATUREHEADERS,0),MATCH(($A528 &amp; "Points"),CLASSNAMEHEADERS,0))),(IF("15"=(INDEX(ALLCLASSDATA,MATCH("UnarmoredExpert",CLASSFEATUREHEADERS,0),MATCH($A528,CLASSNAMEHEADERS,0))),(INDEX(ALLCLASSDATA,MATCH("UnarmoredExpert",CLASSFEATUREHEADERS,0),MATCH(($A528 &amp; "Points"),CLASSNAMEHEADERS,0))),(IF("15"=(INDEX(ALLCLASSDATA,MATCH("UnarmoredTrained",CLASSFEATUREHEADERS,0),MATCH($A528,CLASSNAMEHEADERS,0))),(INDEX(ALLCLASSDATA,MATCH("UnarmoredTrained",CLASSFEATUREHEADERS,0),MATCH(($A528 &amp; "Points"),CLASSNAMEHEADERS,0))),"")))))))))}</f>
        <v>UNARMOREDL15</v>
      </c>
      <c r="W527" s="223"/>
      <c r="X527" s="223" t="str">
        <f t="array" ref="X527:X528">{"UNARMOREDL17";((IF("17"=(INDEX(ALLCLASSDATA,MATCH("UnarmoredLegendary",CLASSFEATUREHEADERS,0),MATCH($A528,CLASSNAMEHEADERS,0))),(INDEX(ALLCLASSDATA,MATCH("UnarmoredLegendary",CLASSFEATUREHEADERS,0),MATCH(($A528 &amp; "Points"),CLASSNAMEHEADERS,0))),(IF("17"=(INDEX(ALLCLASSDATA,MATCH("UnarmoredMaster",CLASSFEATUREHEADERS,0),MATCH($A528,CLASSNAMEHEADERS,0))),(INDEX(ALLCLASSDATA,MATCH("UnarmoredMaster",CLASSFEATUREHEADERS,0),MATCH(($A528 &amp; "Points"),CLASSNAMEHEADERS,0))),(IF("17"=(INDEX(ALLCLASSDATA,MATCH("UnarmoredExpert",CLASSFEATUREHEADERS,0),MATCH($A528,CLASSNAMEHEADERS,0))),(INDEX(ALLCLASSDATA,MATCH("UnarmoredExpert",CLASSFEATUREHEADERS,0),MATCH(($A528 &amp; "Points"),CLASSNAMEHEADERS,0))),(IF("17"=(INDEX(ALLCLASSDATA,MATCH("UnarmoredTrained",CLASSFEATUREHEADERS,0),MATCH($A528,CLASSNAMEHEADERS,0))),(INDEX(ALLCLASSDATA,MATCH("UnarmoredTrained",CLASSFEATUREHEADERS,0),MATCH(($A528 &amp; "Points"),CLASSNAMEHEADERS,0))),"")))))))))}</f>
        <v>UNARMOREDL17</v>
      </c>
      <c r="Y527" s="223"/>
      <c r="Z527" s="223" t="str">
        <f t="array" ref="Z527:Z528">{"UNARMOREDL19";((IF("19"=(INDEX(ALLCLASSDATA,MATCH("UnarmoredLegendary",CLASSFEATUREHEADERS,0),MATCH($A528,CLASSNAMEHEADERS,0))),(INDEX(ALLCLASSDATA,MATCH("UnarmoredLegendary",CLASSFEATUREHEADERS,0),MATCH(($A528 &amp; "Points"),CLASSNAMEHEADERS,0))),(IF("19"=(INDEX(ALLCLASSDATA,MATCH("UnarmoredMaster",CLASSFEATUREHEADERS,0),MATCH($A528,CLASSNAMEHEADERS,0))),(INDEX(ALLCLASSDATA,MATCH("UnarmoredMaster",CLASSFEATUREHEADERS,0),MATCH(($A528 &amp; "Points"),CLASSNAMEHEADERS,0))),(IF("19"=(INDEX(ALLCLASSDATA,MATCH("UnarmoredExpert",CLASSFEATUREHEADERS,0),MATCH($A528,CLASSNAMEHEADERS,0))),(INDEX(ALLCLASSDATA,MATCH("UnarmoredExpert",CLASSFEATUREHEADERS,0),MATCH(($A528 &amp; "Points"),CLASSNAMEHEADERS,0))),(IF("19"=(INDEX(ALLCLASSDATA,MATCH("UnarmoredTrained",CLASSFEATUREHEADERS,0),MATCH($A528,CLASSNAMEHEADERS,0))),(INDEX(ALLCLASSDATA,MATCH("UnarmoredTrained",CLASSFEATUREHEADERS,0),MATCH(($A528 &amp; "Points"),CLASSNAMEHEADERS,0))),"")))))))))}</f>
        <v>UNARMOREDL19</v>
      </c>
      <c r="AA527" s="223"/>
      <c r="AB527" s="76" t="str">
        <f t="array" ref="AB527:AB528">{"UNARMORED TOTAL";(IF(COUNTBLANK(G528:AA528)=17,"L",(IF(COUNTBLANK(G528:AA528)=18,"M",(IF(COUNTBLANK(G528:AA528)=19,"E",(IF(COUNTBLANK(G528:AA528)=20,"T",""))))))))}</f>
        <v>UNARMORED TOTAL</v>
      </c>
      <c r="AC527" s="76" t="str">
        <f t="array" ref="AC527:AC528">{"UNARMORED TOTAL";(sum(G528:AA528))}</f>
        <v>UNARMORED TOTAL</v>
      </c>
    </row>
    <row r="528">
      <c r="A528" s="48" t="s">
        <v>138</v>
      </c>
      <c r="B528" s="48"/>
      <c r="C528" s="48" t="s">
        <v>415</v>
      </c>
      <c r="D528" s="48" t="s">
        <v>1900</v>
      </c>
      <c r="E528" s="48" t="s">
        <v>78</v>
      </c>
      <c r="F528" s="5" t="s">
        <v>435</v>
      </c>
      <c r="G528" s="47" t="s">
        <v>603</v>
      </c>
      <c r="H528" s="5">
        <v>10.0</v>
      </c>
      <c r="I528" s="5"/>
      <c r="J528" s="5" t="s">
        <v>603</v>
      </c>
      <c r="K528" s="5"/>
      <c r="L528" s="5" t="s">
        <v>603</v>
      </c>
      <c r="M528" s="5"/>
      <c r="N528" s="5" t="s">
        <v>603</v>
      </c>
      <c r="O528" s="5"/>
      <c r="P528" s="5" t="s">
        <v>603</v>
      </c>
      <c r="Q528" s="5"/>
      <c r="R528" s="5" t="s">
        <v>603</v>
      </c>
      <c r="S528" s="5"/>
      <c r="T528" s="5" t="s">
        <v>436</v>
      </c>
      <c r="U528" s="5"/>
      <c r="V528" s="5" t="s">
        <v>603</v>
      </c>
      <c r="W528" s="5"/>
      <c r="X528" s="5" t="s">
        <v>603</v>
      </c>
      <c r="Y528" s="5"/>
      <c r="Z528" s="5" t="s">
        <v>437</v>
      </c>
      <c r="AA528" s="5"/>
      <c r="AB528" s="5" t="s">
        <v>437</v>
      </c>
      <c r="AC528" s="47">
        <v>10.0</v>
      </c>
    </row>
    <row r="529" hidden="1">
      <c r="A529" s="222" t="str">
        <f t="array" ref="A529:A530">{"FormulaRow36";(INDEX(CLASSLIST,A458,1))}</f>
        <v>FormulaRow36</v>
      </c>
      <c r="B529" s="77" t="s">
        <v>236</v>
      </c>
      <c r="C529" s="222" t="str">
        <f t="array" ref="C529:C530">{"CLASSTYPE";((INDEX(ALLCLASSDATA,MATCH("ClassType",CLASSFEATUREHEADERS,0),MATCH($A530,CLASSNAMEHEADERS,0))))}</f>
        <v>CLASSTYPE</v>
      </c>
      <c r="D529" s="222" t="str">
        <f t="array" ref="D529:D530">{"DEFENSE";"Defense"}</f>
        <v>DEFENSE</v>
      </c>
      <c r="E529" s="222" t="str">
        <f t="array" ref="E529:E530">{"LIGHT";"Light"}</f>
        <v>LIGHT</v>
      </c>
      <c r="F529" s="223" t="str">
        <f t="array" ref="F529:F530">{"LIGHTINITIAL";((IF(H530=10,"T",(IF(H530=50,"E","")))))}</f>
        <v>LIGHTINITIAL</v>
      </c>
      <c r="G529" s="223" t="str">
        <f t="array" ref="G529:G530">{"LIGHTINITIALPTS";((IF("00"=(INDEX(ALLCLASSDATA,MATCH("LightLegendary",CLASSFEATUREHEADERS,0),MATCH($A530,CLASSNAMEHEADERS,0))),(INDEX(ALLCLASSDATA,MATCH("LightLegendary",CLASSFEATUREHEADERS,0),MATCH(($A530 &amp; "Points"),CLASSNAMEHEADERS,0))),(IF("00"=(INDEX(ALLCLASSDATA,MATCH("LightMaster",CLASSFEATUREHEADERS,0),MATCH($A530,CLASSNAMEHEADERS,0))),(INDEX(ALLCLASSDATA,MATCH("LightMaster",CLASSFEATUREHEADERS,0),MATCH(($A530 &amp; "Points"),CLASSNAMEHEADERS,0))),(IF("00"=(INDEX(ALLCLASSDATA,MATCH("LightExpert",CLASSFEATUREHEADERS,0),MATCH($A530,CLASSNAMEHEADERS,0))),(INDEX(ALLCLASSDATA,MATCH("LightExpert",CLASSFEATUREHEADERS,0),MATCH(($A530 &amp; "Points"),CLASSNAMEHEADERS,0))),(IF("00"=(INDEX(ALLCLASSDATA,MATCH("LightTrained",CLASSFEATUREHEADERS,0),MATCH($A530,CLASSNAMEHEADERS,0))),(INDEX(ALLCLASSDATA,MATCH("LightTrained",CLASSFEATUREHEADERS,0),MATCH(($A530 &amp; "Points"),CLASSNAMEHEADERS,0))),"")))))))))}</f>
        <v>LIGHTINITIALPTS</v>
      </c>
      <c r="H529" s="223" t="str">
        <f t="array" ref="H529:H530">{"LIGHTL01";((IF("01"=(INDEX(ALLCLASSDATA,MATCH("LightLegendary",CLASSFEATUREHEADERS,0),MATCH($A530,CLASSNAMEHEADERS,0))),(INDEX(ALLCLASSDATA,MATCH("LightLegendary",CLASSFEATUREHEADERS,0),MATCH(($A530 &amp; "Points"),CLASSNAMEHEADERS,0))),(IF("01"=(INDEX(ALLCLASSDATA,MATCH("LightMaster",CLASSFEATUREHEADERS,0),MATCH($A530,CLASSNAMEHEADERS,0))),(INDEX(ALLCLASSDATA,MATCH("LightMaster",CLASSFEATUREHEADERS,0),MATCH(($A530 &amp; "Points"),CLASSNAMEHEADERS,0))),(IF("01"=(INDEX(ALLCLASSDATA,MATCH("LightExpert",CLASSFEATUREHEADERS,0),MATCH($A530,CLASSNAMEHEADERS,0))),(INDEX(ALLCLASSDATA,MATCH("LightExpert",CLASSFEATUREHEADERS,0),MATCH(($A530 &amp; "Points"),CLASSNAMEHEADERS,0))),(IF("01"=(INDEX(ALLCLASSDATA,MATCH("LightTrained",CLASSFEATUREHEADERS,0),MATCH($A530,CLASSNAMEHEADERS,0))),(INDEX(ALLCLASSDATA,MATCH("LightTrained",CLASSFEATUREHEADERS,0),MATCH(($A530 &amp; "Points"),CLASSNAMEHEADERS,0))),"")))))))))}</f>
        <v>LIGHTL01</v>
      </c>
      <c r="I529" s="223"/>
      <c r="J529" s="223" t="str">
        <f t="array" ref="J529:J530">{"LIGHTL03";((IF("03"=(INDEX(ALLCLASSDATA,MATCH("LightLegendary",CLASSFEATUREHEADERS,0),MATCH($A530,CLASSNAMEHEADERS,0))),(INDEX(ALLCLASSDATA,MATCH("LightLegendary",CLASSFEATUREHEADERS,0),MATCH(($A530 &amp; "Points"),CLASSNAMEHEADERS,0))),(IF("03"=(INDEX(ALLCLASSDATA,MATCH("LightMaster",CLASSFEATUREHEADERS,0),MATCH($A530,CLASSNAMEHEADERS,0))),(INDEX(ALLCLASSDATA,MATCH("LightMaster",CLASSFEATUREHEADERS,0),MATCH(($A530 &amp; "Points"),CLASSNAMEHEADERS,0))),(IF("03"=(INDEX(ALLCLASSDATA,MATCH("LightExpert",CLASSFEATUREHEADERS,0),MATCH($A530,CLASSNAMEHEADERS,0))),(INDEX(ALLCLASSDATA,MATCH("LightExpert",CLASSFEATUREHEADERS,0),MATCH(($A530 &amp; "Points"),CLASSNAMEHEADERS,0))),(IF("03"=(INDEX(ALLCLASSDATA,MATCH("LightTrained",CLASSFEATUREHEADERS,0),MATCH($A530,CLASSNAMEHEADERS,0))),(INDEX(ALLCLASSDATA,MATCH("LightTrained",CLASSFEATUREHEADERS,0),MATCH(($A530 &amp; "Points"),CLASSNAMEHEADERS,0))),"")))))))))}</f>
        <v>LIGHTL03</v>
      </c>
      <c r="K529" s="223"/>
      <c r="L529" s="223" t="str">
        <f t="array" ref="L529:L530">{"LIGHTL05";((IF("05"=(INDEX(ALLCLASSDATA,MATCH("LightLegendary",CLASSFEATUREHEADERS,0),MATCH($A530,CLASSNAMEHEADERS,0))),(INDEX(ALLCLASSDATA,MATCH("LightLegendary",CLASSFEATUREHEADERS,0),MATCH(($A530 &amp; "Points"),CLASSNAMEHEADERS,0))),(IF("05"=(INDEX(ALLCLASSDATA,MATCH("LightMaster",CLASSFEATUREHEADERS,0),MATCH($A530,CLASSNAMEHEADERS,0))),(INDEX(ALLCLASSDATA,MATCH("LightMaster",CLASSFEATUREHEADERS,0),MATCH(($A530 &amp; "Points"),CLASSNAMEHEADERS,0))),(IF("05"=(INDEX(ALLCLASSDATA,MATCH("LightExpert",CLASSFEATUREHEADERS,0),MATCH($A530,CLASSNAMEHEADERS,0))),(INDEX(ALLCLASSDATA,MATCH("LightExpert",CLASSFEATUREHEADERS,0),MATCH(($A530 &amp; "Points"),CLASSNAMEHEADERS,0))),(IF("05"=(INDEX(ALLCLASSDATA,MATCH("LightTrained",CLASSFEATUREHEADERS,0),MATCH($A530,CLASSNAMEHEADERS,0))),(INDEX(ALLCLASSDATA,MATCH("LightTrained",CLASSFEATUREHEADERS,0),MATCH(($A530 &amp; "Points"),CLASSNAMEHEADERS,0))),"")))))))))}</f>
        <v>LIGHTL05</v>
      </c>
      <c r="M529" s="223"/>
      <c r="N529" s="223" t="str">
        <f t="array" ref="N529:N530">{"LIGHTL07";((IF("07"=(INDEX(ALLCLASSDATA,MATCH("LightLegendary",CLASSFEATUREHEADERS,0),MATCH($A530,CLASSNAMEHEADERS,0))),(INDEX(ALLCLASSDATA,MATCH("LightLegendary",CLASSFEATUREHEADERS,0),MATCH(($A530 &amp; "Points"),CLASSNAMEHEADERS,0))),(IF("07"=(INDEX(ALLCLASSDATA,MATCH("LightMaster",CLASSFEATUREHEADERS,0),MATCH($A530,CLASSNAMEHEADERS,0))),(INDEX(ALLCLASSDATA,MATCH("LightMaster",CLASSFEATUREHEADERS,0),MATCH(($A530 &amp; "Points"),CLASSNAMEHEADERS,0))),(IF("07"=(INDEX(ALLCLASSDATA,MATCH("LightExpert",CLASSFEATUREHEADERS,0),MATCH($A530,CLASSNAMEHEADERS,0))),(INDEX(ALLCLASSDATA,MATCH("LightExpert",CLASSFEATUREHEADERS,0),MATCH(($A530 &amp; "Points"),CLASSNAMEHEADERS,0))),(IF("07"=(INDEX(ALLCLASSDATA,MATCH("LightTrained",CLASSFEATUREHEADERS,0),MATCH($A530,CLASSNAMEHEADERS,0))),(INDEX(ALLCLASSDATA,MATCH("LightTrained",CLASSFEATUREHEADERS,0),MATCH(($A530 &amp; "Points"),CLASSNAMEHEADERS,0))),"")))))))))}</f>
        <v>LIGHTL07</v>
      </c>
      <c r="O529" s="223"/>
      <c r="P529" s="223" t="str">
        <f t="array" ref="P529:P530">{"LIGHTL09";((IF("09"=(INDEX(ALLCLASSDATA,MATCH("LightLegendary",CLASSFEATUREHEADERS,0),MATCH($A530,CLASSNAMEHEADERS,0))),(INDEX(ALLCLASSDATA,MATCH("LightLegendary",CLASSFEATUREHEADERS,0),MATCH(($A530 &amp; "Points"),CLASSNAMEHEADERS,0))),(IF("09"=(INDEX(ALLCLASSDATA,MATCH("LightMaster",CLASSFEATUREHEADERS,0),MATCH($A530,CLASSNAMEHEADERS,0))),(INDEX(ALLCLASSDATA,MATCH("LightMaster",CLASSFEATUREHEADERS,0),MATCH(($A530 &amp; "Points"),CLASSNAMEHEADERS,0))),(IF("09"=(INDEX(ALLCLASSDATA,MATCH("LightExpert",CLASSFEATUREHEADERS,0),MATCH($A530,CLASSNAMEHEADERS,0))),(INDEX(ALLCLASSDATA,MATCH("LightExpert",CLASSFEATUREHEADERS,0),MATCH(($A530 &amp; "Points"),CLASSNAMEHEADERS,0))),(IF("09"=(INDEX(ALLCLASSDATA,MATCH("LightTrained",CLASSFEATUREHEADERS,0),MATCH($A530,CLASSNAMEHEADERS,0))),(INDEX(ALLCLASSDATA,MATCH("LightTrained",CLASSFEATUREHEADERS,0),MATCH(($A530 &amp; "Points"),CLASSNAMEHEADERS,0))),"")))))))))}</f>
        <v>LIGHTL09</v>
      </c>
      <c r="Q529" s="223"/>
      <c r="R529" s="223" t="str">
        <f t="array" ref="R529:R530">{"LIGHTL11";((IF("11"=(INDEX(ALLCLASSDATA,MATCH("LightLegendary",CLASSFEATUREHEADERS,0),MATCH($A530,CLASSNAMEHEADERS,0))),(INDEX(ALLCLASSDATA,MATCH("LightLegendary",CLASSFEATUREHEADERS,0),MATCH(($A530 &amp; "Points"),CLASSNAMEHEADERS,0))),(IF("11"=(INDEX(ALLCLASSDATA,MATCH("LightMaster",CLASSFEATUREHEADERS,0),MATCH($A530,CLASSNAMEHEADERS,0))),(INDEX(ALLCLASSDATA,MATCH("LightMaster",CLASSFEATUREHEADERS,0),MATCH(($A530 &amp; "Points"),CLASSNAMEHEADERS,0))),(IF("11"=(INDEX(ALLCLASSDATA,MATCH("LightExpert",CLASSFEATUREHEADERS,0),MATCH($A530,CLASSNAMEHEADERS,0))),(INDEX(ALLCLASSDATA,MATCH("LightExpert",CLASSFEATUREHEADERS,0),MATCH(($A530 &amp; "Points"),CLASSNAMEHEADERS,0))),(IF("11"=(INDEX(ALLCLASSDATA,MATCH("LightTrained",CLASSFEATUREHEADERS,0),MATCH($A530,CLASSNAMEHEADERS,0))),(INDEX(ALLCLASSDATA,MATCH("LightTrained",CLASSFEATUREHEADERS,0),MATCH(($A530 &amp; "Points"),CLASSNAMEHEADERS,0))),"")))))))))}</f>
        <v>LIGHTL11</v>
      </c>
      <c r="S529" s="223"/>
      <c r="T529" s="223" t="str">
        <f t="array" ref="T529:T530">{"LIGHTL13";((IF("13"=(INDEX(ALLCLASSDATA,MATCH("LightLegendary",CLASSFEATUREHEADERS,0),MATCH($A530,CLASSNAMEHEADERS,0))),(INDEX(ALLCLASSDATA,MATCH("LightLegendary",CLASSFEATUREHEADERS,0),MATCH(($A530 &amp; "Points"),CLASSNAMEHEADERS,0))),(IF("13"=(INDEX(ALLCLASSDATA,MATCH("LightMaster",CLASSFEATUREHEADERS,0),MATCH($A530,CLASSNAMEHEADERS,0))),(INDEX(ALLCLASSDATA,MATCH("LightMaster",CLASSFEATUREHEADERS,0),MATCH(($A530 &amp; "Points"),CLASSNAMEHEADERS,0))),(IF("13"=(INDEX(ALLCLASSDATA,MATCH("LightExpert",CLASSFEATUREHEADERS,0),MATCH($A530,CLASSNAMEHEADERS,0))),(INDEX(ALLCLASSDATA,MATCH("LightExpert",CLASSFEATUREHEADERS,0),MATCH(($A530 &amp; "Points"),CLASSNAMEHEADERS,0))),(IF("13"=(INDEX(ALLCLASSDATA,MATCH("LightTrained",CLASSFEATUREHEADERS,0),MATCH($A530,CLASSNAMEHEADERS,0))),(INDEX(ALLCLASSDATA,MATCH("LightTrained",CLASSFEATUREHEADERS,0),MATCH(($A530 &amp; "Points"),CLASSNAMEHEADERS,0))),"")))))))))}</f>
        <v>LIGHTL13</v>
      </c>
      <c r="U529" s="223"/>
      <c r="V529" s="223" t="str">
        <f t="array" ref="V529:V530">{"LIGHTL15";((IF("15"=(INDEX(ALLCLASSDATA,MATCH("LightLegendary",CLASSFEATUREHEADERS,0),MATCH($A530,CLASSNAMEHEADERS,0))),(INDEX(ALLCLASSDATA,MATCH("LightLegendary",CLASSFEATUREHEADERS,0),MATCH(($A530 &amp; "Points"),CLASSNAMEHEADERS,0))),(IF("15"=(INDEX(ALLCLASSDATA,MATCH("LightMaster",CLASSFEATUREHEADERS,0),MATCH($A530,CLASSNAMEHEADERS,0))),(INDEX(ALLCLASSDATA,MATCH("LightMaster",CLASSFEATUREHEADERS,0),MATCH(($A530 &amp; "Points"),CLASSNAMEHEADERS,0))),(IF("15"=(INDEX(ALLCLASSDATA,MATCH("LightExpert",CLASSFEATUREHEADERS,0),MATCH($A530,CLASSNAMEHEADERS,0))),(INDEX(ALLCLASSDATA,MATCH("LightExpert",CLASSFEATUREHEADERS,0),MATCH(($A530 &amp; "Points"),CLASSNAMEHEADERS,0))),(IF("15"=(INDEX(ALLCLASSDATA,MATCH("LightTrained",CLASSFEATUREHEADERS,0),MATCH($A530,CLASSNAMEHEADERS,0))),(INDEX(ALLCLASSDATA,MATCH("LightTrained",CLASSFEATUREHEADERS,0),MATCH(($A530 &amp; "Points"),CLASSNAMEHEADERS,0))),"")))))))))}</f>
        <v>LIGHTL15</v>
      </c>
      <c r="W529" s="223"/>
      <c r="X529" s="223" t="str">
        <f t="array" ref="X529:X530">{"LIGHTL17";((IF("17"=(INDEX(ALLCLASSDATA,MATCH("LightLegendary",CLASSFEATUREHEADERS,0),MATCH($A530,CLASSNAMEHEADERS,0))),(INDEX(ALLCLASSDATA,MATCH("LightLegendary",CLASSFEATUREHEADERS,0),MATCH(($A530 &amp; "Points"),CLASSNAMEHEADERS,0))),(IF("17"=(INDEX(ALLCLASSDATA,MATCH("LightMaster",CLASSFEATUREHEADERS,0),MATCH($A530,CLASSNAMEHEADERS,0))),(INDEX(ALLCLASSDATA,MATCH("LightMaster",CLASSFEATUREHEADERS,0),MATCH(($A530 &amp; "Points"),CLASSNAMEHEADERS,0))),(IF("17"=(INDEX(ALLCLASSDATA,MATCH("LightExpert",CLASSFEATUREHEADERS,0),MATCH($A530,CLASSNAMEHEADERS,0))),(INDEX(ALLCLASSDATA,MATCH("LightExpert",CLASSFEATUREHEADERS,0),MATCH(($A530 &amp; "Points"),CLASSNAMEHEADERS,0))),(IF("17"=(INDEX(ALLCLASSDATA,MATCH("LightTrained",CLASSFEATUREHEADERS,0),MATCH($A530,CLASSNAMEHEADERS,0))),(INDEX(ALLCLASSDATA,MATCH("LightTrained",CLASSFEATUREHEADERS,0),MATCH(($A530 &amp; "Points"),CLASSNAMEHEADERS,0))),"")))))))))}</f>
        <v>LIGHTL17</v>
      </c>
      <c r="Y529" s="223"/>
      <c r="Z529" s="223" t="str">
        <f t="array" ref="Z529:Z530">{"LIGHTL19";((IF("19"=(INDEX(ALLCLASSDATA,MATCH("LightLegendary",CLASSFEATUREHEADERS,0),MATCH($A530,CLASSNAMEHEADERS,0))),(INDEX(ALLCLASSDATA,MATCH("LightLegendary",CLASSFEATUREHEADERS,0),MATCH(($A530 &amp; "Points"),CLASSNAMEHEADERS,0))),(IF("19"=(INDEX(ALLCLASSDATA,MATCH("LightMaster",CLASSFEATUREHEADERS,0),MATCH($A530,CLASSNAMEHEADERS,0))),(INDEX(ALLCLASSDATA,MATCH("LightMaster",CLASSFEATUREHEADERS,0),MATCH(($A530 &amp; "Points"),CLASSNAMEHEADERS,0))),(IF("19"=(INDEX(ALLCLASSDATA,MATCH("LightExpert",CLASSFEATUREHEADERS,0),MATCH($A530,CLASSNAMEHEADERS,0))),(INDEX(ALLCLASSDATA,MATCH("LightExpert",CLASSFEATUREHEADERS,0),MATCH(($A530 &amp; "Points"),CLASSNAMEHEADERS,0))),(IF("19"=(INDEX(ALLCLASSDATA,MATCH("LightTrained",CLASSFEATUREHEADERS,0),MATCH($A530,CLASSNAMEHEADERS,0))),(INDEX(ALLCLASSDATA,MATCH("LightTrained",CLASSFEATUREHEADERS,0),MATCH(($A530 &amp; "Points"),CLASSNAMEHEADERS,0))),"")))))))))}</f>
        <v>LIGHTL19</v>
      </c>
      <c r="AA529" s="223"/>
      <c r="AB529" s="76" t="str">
        <f t="array" ref="AB529:AB530">{"LIGHT TOTAL";(IF(COUNTBLANK(G530:AA530)=17,"L",(IF(COUNTBLANK(G530:AA530)=18,"M",(IF(COUNTBLANK(G530:AA530)=19,"E",(IF(COUNTBLANK(G530:AA530)=20,"T",""))))))))}</f>
        <v>LIGHT TOTAL</v>
      </c>
      <c r="AC529" s="76" t="str">
        <f t="array" ref="AC529:AC530">{"LIGHT TOTAL";(sum(G530:AA530))}</f>
        <v>LIGHT TOTAL</v>
      </c>
    </row>
    <row r="530">
      <c r="A530" s="48" t="s">
        <v>138</v>
      </c>
      <c r="B530" s="48"/>
      <c r="C530" s="48" t="s">
        <v>415</v>
      </c>
      <c r="D530" s="48" t="s">
        <v>1900</v>
      </c>
      <c r="E530" s="48" t="s">
        <v>77</v>
      </c>
      <c r="F530" s="5" t="s">
        <v>435</v>
      </c>
      <c r="G530" s="47" t="s">
        <v>603</v>
      </c>
      <c r="H530" s="5">
        <v>10.0</v>
      </c>
      <c r="I530" s="5"/>
      <c r="J530" s="5" t="s">
        <v>603</v>
      </c>
      <c r="K530" s="5"/>
      <c r="L530" s="5" t="s">
        <v>603</v>
      </c>
      <c r="M530" s="5"/>
      <c r="N530" s="5" t="s">
        <v>603</v>
      </c>
      <c r="O530" s="5"/>
      <c r="P530" s="5" t="s">
        <v>603</v>
      </c>
      <c r="Q530" s="5"/>
      <c r="R530" s="5" t="s">
        <v>603</v>
      </c>
      <c r="S530" s="5"/>
      <c r="T530" s="5">
        <v>50.0</v>
      </c>
      <c r="U530" s="5"/>
      <c r="V530" s="5" t="s">
        <v>603</v>
      </c>
      <c r="W530" s="5"/>
      <c r="X530" s="5" t="s">
        <v>603</v>
      </c>
      <c r="Y530" s="5"/>
      <c r="Z530" s="5">
        <v>110.0</v>
      </c>
      <c r="AA530" s="5"/>
      <c r="AB530" s="5" t="s">
        <v>437</v>
      </c>
      <c r="AC530" s="47">
        <v>170.0</v>
      </c>
    </row>
    <row r="531" hidden="1">
      <c r="A531" s="222" t="str">
        <f t="array" ref="A531:A532">{"FormulaRow37";(INDEX(CLASSLIST,A458,1))}</f>
        <v>FormulaRow37</v>
      </c>
      <c r="B531" s="77" t="s">
        <v>236</v>
      </c>
      <c r="C531" s="222" t="str">
        <f t="array" ref="C531:C532">{"CLASSTYPE";((INDEX(ALLCLASSDATA,MATCH("ClassType",CLASSFEATUREHEADERS,0),MATCH($A532,CLASSNAMEHEADERS,0))))}</f>
        <v>CLASSTYPE</v>
      </c>
      <c r="D531" s="222" t="str">
        <f t="array" ref="D531:D532">{"DEFENSE";"Defense"}</f>
        <v>DEFENSE</v>
      </c>
      <c r="E531" s="222" t="str">
        <f t="array" ref="E531:E532">{"MEDIUM";"Medium"}</f>
        <v>MEDIUM</v>
      </c>
      <c r="F531" s="223" t="str">
        <f t="array" ref="F531:F532">{"MEDIUMINITIAL";((IF(H532=10,"T",(IF(H532=50,"E","")))))}</f>
        <v>MEDIUMINITIAL</v>
      </c>
      <c r="G531" s="223" t="str">
        <f t="array" ref="G531:G532">{"MEDIUMINITIALPTS";((IF("00"=(INDEX(ALLCLASSDATA,MATCH("MediumLegendary",CLASSFEATUREHEADERS,0),MATCH($A532,CLASSNAMEHEADERS,0))),(INDEX(ALLCLASSDATA,MATCH("MediumLegendary",CLASSFEATUREHEADERS,0),MATCH(($A532 &amp; "Points"),CLASSNAMEHEADERS,0))),(IF("00"=(INDEX(ALLCLASSDATA,MATCH("MediumMaster",CLASSFEATUREHEADERS,0),MATCH($A532,CLASSNAMEHEADERS,0))),(INDEX(ALLCLASSDATA,MATCH("MediumMaster",CLASSFEATUREHEADERS,0),MATCH(($A532 &amp; "Points"),CLASSNAMEHEADERS,0))),(IF("00"=(INDEX(ALLCLASSDATA,MATCH("MediumExpert",CLASSFEATUREHEADERS,0),MATCH($A532,CLASSNAMEHEADERS,0))),(INDEX(ALLCLASSDATA,MATCH("MediumExpert",CLASSFEATUREHEADERS,0),MATCH(($A532 &amp; "Points"),CLASSNAMEHEADERS,0))),(IF("00"=(INDEX(ALLCLASSDATA,MATCH("MediumTrained",CLASSFEATUREHEADERS,0),MATCH($A532,CLASSNAMEHEADERS,0))),(INDEX(ALLCLASSDATA,MATCH("MediumTrained",CLASSFEATUREHEADERS,0),MATCH(($A532 &amp; "Points"),CLASSNAMEHEADERS,0))),"")))))))))}</f>
        <v>MEDIUMINITIALPTS</v>
      </c>
      <c r="H531" s="223" t="str">
        <f t="array" ref="H531:H532">{"MEDIUML01";((IF("01"=(INDEX(ALLCLASSDATA,MATCH("MediumLegendary",CLASSFEATUREHEADERS,0),MATCH($A532,CLASSNAMEHEADERS,0))),(INDEX(ALLCLASSDATA,MATCH("MediumLegendary",CLASSFEATUREHEADERS,0),MATCH(($A532 &amp; "Points"),CLASSNAMEHEADERS,0))),(IF("01"=(INDEX(ALLCLASSDATA,MATCH("MediumMaster",CLASSFEATUREHEADERS,0),MATCH($A532,CLASSNAMEHEADERS,0))),(INDEX(ALLCLASSDATA,MATCH("MediumMaster",CLASSFEATUREHEADERS,0),MATCH(($A532 &amp; "Points"),CLASSNAMEHEADERS,0))),(IF("01"=(INDEX(ALLCLASSDATA,MATCH("MediumExpert",CLASSFEATUREHEADERS,0),MATCH($A532,CLASSNAMEHEADERS,0))),(INDEX(ALLCLASSDATA,MATCH("MediumExpert",CLASSFEATUREHEADERS,0),MATCH(($A532 &amp; "Points"),CLASSNAMEHEADERS,0))),(IF("01"=(INDEX(ALLCLASSDATA,MATCH("MediumTrained",CLASSFEATUREHEADERS,0),MATCH($A532,CLASSNAMEHEADERS,0))),(INDEX(ALLCLASSDATA,MATCH("MediumTrained",CLASSFEATUREHEADERS,0),MATCH(($A532 &amp; "Points"),CLASSNAMEHEADERS,0))),"")))))))))}</f>
        <v>MEDIUML01</v>
      </c>
      <c r="I531" s="223"/>
      <c r="J531" s="223" t="str">
        <f t="array" ref="J531:J532">{"MEDIUML03";((IF("03"=(INDEX(ALLCLASSDATA,MATCH("MediumLegendary",CLASSFEATUREHEADERS,0),MATCH($A532,CLASSNAMEHEADERS,0))),(INDEX(ALLCLASSDATA,MATCH("MediumLegendary",CLASSFEATUREHEADERS,0),MATCH(($A532 &amp; "Points"),CLASSNAMEHEADERS,0))),(IF("03"=(INDEX(ALLCLASSDATA,MATCH("MediumMaster",CLASSFEATUREHEADERS,0),MATCH($A532,CLASSNAMEHEADERS,0))),(INDEX(ALLCLASSDATA,MATCH("MediumMaster",CLASSFEATUREHEADERS,0),MATCH(($A532 &amp; "Points"),CLASSNAMEHEADERS,0))),(IF("03"=(INDEX(ALLCLASSDATA,MATCH("MediumExpert",CLASSFEATUREHEADERS,0),MATCH($A532,CLASSNAMEHEADERS,0))),(INDEX(ALLCLASSDATA,MATCH("MediumExpert",CLASSFEATUREHEADERS,0),MATCH(($A532 &amp; "Points"),CLASSNAMEHEADERS,0))),(IF("03"=(INDEX(ALLCLASSDATA,MATCH("MediumTrained",CLASSFEATUREHEADERS,0),MATCH($A532,CLASSNAMEHEADERS,0))),(INDEX(ALLCLASSDATA,MATCH("MediumTrained",CLASSFEATUREHEADERS,0),MATCH(($A532 &amp; "Points"),CLASSNAMEHEADERS,0))),"")))))))))}</f>
        <v>MEDIUML03</v>
      </c>
      <c r="K531" s="223"/>
      <c r="L531" s="223" t="str">
        <f t="array" ref="L531:L532">{"MEDIUML05";((IF("05"=(INDEX(ALLCLASSDATA,MATCH("MediumLegendary",CLASSFEATUREHEADERS,0),MATCH($A532,CLASSNAMEHEADERS,0))),(INDEX(ALLCLASSDATA,MATCH("MediumLegendary",CLASSFEATUREHEADERS,0),MATCH(($A532 &amp; "Points"),CLASSNAMEHEADERS,0))),(IF("05"=(INDEX(ALLCLASSDATA,MATCH("MediumMaster",CLASSFEATUREHEADERS,0),MATCH($A532,CLASSNAMEHEADERS,0))),(INDEX(ALLCLASSDATA,MATCH("MediumMaster",CLASSFEATUREHEADERS,0),MATCH(($A532 &amp; "Points"),CLASSNAMEHEADERS,0))),(IF("05"=(INDEX(ALLCLASSDATA,MATCH("MediumExpert",CLASSFEATUREHEADERS,0),MATCH($A532,CLASSNAMEHEADERS,0))),(INDEX(ALLCLASSDATA,MATCH("MediumExpert",CLASSFEATUREHEADERS,0),MATCH(($A532 &amp; "Points"),CLASSNAMEHEADERS,0))),(IF("05"=(INDEX(ALLCLASSDATA,MATCH("MediumTrained",CLASSFEATUREHEADERS,0),MATCH($A532,CLASSNAMEHEADERS,0))),(INDEX(ALLCLASSDATA,MATCH("MediumTrained",CLASSFEATUREHEADERS,0),MATCH(($A532 &amp; "Points"),CLASSNAMEHEADERS,0))),"")))))))))}</f>
        <v>MEDIUML05</v>
      </c>
      <c r="M531" s="223"/>
      <c r="N531" s="223" t="str">
        <f t="array" ref="N531:N532">{"MEDIUML07";((IF("07"=(INDEX(ALLCLASSDATA,MATCH("MediumLegendary",CLASSFEATUREHEADERS,0),MATCH($A532,CLASSNAMEHEADERS,0))),(INDEX(ALLCLASSDATA,MATCH("MediumLegendary",CLASSFEATUREHEADERS,0),MATCH(($A532 &amp; "Points"),CLASSNAMEHEADERS,0))),(IF("07"=(INDEX(ALLCLASSDATA,MATCH("MediumMaster",CLASSFEATUREHEADERS,0),MATCH($A532,CLASSNAMEHEADERS,0))),(INDEX(ALLCLASSDATA,MATCH("MediumMaster",CLASSFEATUREHEADERS,0),MATCH(($A532 &amp; "Points"),CLASSNAMEHEADERS,0))),(IF("07"=(INDEX(ALLCLASSDATA,MATCH("MediumExpert",CLASSFEATUREHEADERS,0),MATCH($A532,CLASSNAMEHEADERS,0))),(INDEX(ALLCLASSDATA,MATCH("MediumExpert",CLASSFEATUREHEADERS,0),MATCH(($A532 &amp; "Points"),CLASSNAMEHEADERS,0))),(IF("07"=(INDEX(ALLCLASSDATA,MATCH("MediumTrained",CLASSFEATUREHEADERS,0),MATCH($A532,CLASSNAMEHEADERS,0))),(INDEX(ALLCLASSDATA,MATCH("MediumTrained",CLASSFEATUREHEADERS,0),MATCH(($A532 &amp; "Points"),CLASSNAMEHEADERS,0))),"")))))))))}</f>
        <v>MEDIUML07</v>
      </c>
      <c r="O531" s="223"/>
      <c r="P531" s="223" t="str">
        <f t="array" ref="P531:P532">{"MEDIUML09";((IF("09"=(INDEX(ALLCLASSDATA,MATCH("MediumLegendary",CLASSFEATUREHEADERS,0),MATCH($A532,CLASSNAMEHEADERS,0))),(INDEX(ALLCLASSDATA,MATCH("MediumLegendary",CLASSFEATUREHEADERS,0),MATCH(($A532 &amp; "Points"),CLASSNAMEHEADERS,0))),(IF("09"=(INDEX(ALLCLASSDATA,MATCH("MediumMaster",CLASSFEATUREHEADERS,0),MATCH($A532,CLASSNAMEHEADERS,0))),(INDEX(ALLCLASSDATA,MATCH("MediumMaster",CLASSFEATUREHEADERS,0),MATCH(($A532 &amp; "Points"),CLASSNAMEHEADERS,0))),(IF("09"=(INDEX(ALLCLASSDATA,MATCH("MediumExpert",CLASSFEATUREHEADERS,0),MATCH($A532,CLASSNAMEHEADERS,0))),(INDEX(ALLCLASSDATA,MATCH("MediumExpert",CLASSFEATUREHEADERS,0),MATCH(($A532 &amp; "Points"),CLASSNAMEHEADERS,0))),(IF("09"=(INDEX(ALLCLASSDATA,MATCH("MediumTrained",CLASSFEATUREHEADERS,0),MATCH($A532,CLASSNAMEHEADERS,0))),(INDEX(ALLCLASSDATA,MATCH("MediumTrained",CLASSFEATUREHEADERS,0),MATCH(($A532 &amp; "Points"),CLASSNAMEHEADERS,0))),"")))))))))}</f>
        <v>MEDIUML09</v>
      </c>
      <c r="Q531" s="223"/>
      <c r="R531" s="223" t="str">
        <f t="array" ref="R531:R532">{"MEDIUML11";((IF("11"=(INDEX(ALLCLASSDATA,MATCH("MediumLegendary",CLASSFEATUREHEADERS,0),MATCH($A532,CLASSNAMEHEADERS,0))),(INDEX(ALLCLASSDATA,MATCH("MediumLegendary",CLASSFEATUREHEADERS,0),MATCH(($A532 &amp; "Points"),CLASSNAMEHEADERS,0))),(IF("11"=(INDEX(ALLCLASSDATA,MATCH("MediumMaster",CLASSFEATUREHEADERS,0),MATCH($A532,CLASSNAMEHEADERS,0))),(INDEX(ALLCLASSDATA,MATCH("MediumMaster",CLASSFEATUREHEADERS,0),MATCH(($A532 &amp; "Points"),CLASSNAMEHEADERS,0))),(IF("11"=(INDEX(ALLCLASSDATA,MATCH("MediumExpert",CLASSFEATUREHEADERS,0),MATCH($A532,CLASSNAMEHEADERS,0))),(INDEX(ALLCLASSDATA,MATCH("MediumExpert",CLASSFEATUREHEADERS,0),MATCH(($A532 &amp; "Points"),CLASSNAMEHEADERS,0))),(IF("11"=(INDEX(ALLCLASSDATA,MATCH("MediumTrained",CLASSFEATUREHEADERS,0),MATCH($A532,CLASSNAMEHEADERS,0))),(INDEX(ALLCLASSDATA,MATCH("MediumTrained",CLASSFEATUREHEADERS,0),MATCH(($A532 &amp; "Points"),CLASSNAMEHEADERS,0))),"")))))))))}</f>
        <v>MEDIUML11</v>
      </c>
      <c r="S531" s="223"/>
      <c r="T531" s="223" t="str">
        <f t="array" ref="T531:T532">{"MEDIUML13";((IF("13"=(INDEX(ALLCLASSDATA,MATCH("MediumLegendary",CLASSFEATUREHEADERS,0),MATCH($A532,CLASSNAMEHEADERS,0))),(INDEX(ALLCLASSDATA,MATCH("MediumLegendary",CLASSFEATUREHEADERS,0),MATCH(($A532 &amp; "Points"),CLASSNAMEHEADERS,0))),(IF("13"=(INDEX(ALLCLASSDATA,MATCH("MediumMaster",CLASSFEATUREHEADERS,0),MATCH($A532,CLASSNAMEHEADERS,0))),(INDEX(ALLCLASSDATA,MATCH("MediumMaster",CLASSFEATUREHEADERS,0),MATCH(($A532 &amp; "Points"),CLASSNAMEHEADERS,0))),(IF("13"=(INDEX(ALLCLASSDATA,MATCH("MediumExpert",CLASSFEATUREHEADERS,0),MATCH($A532,CLASSNAMEHEADERS,0))),(INDEX(ALLCLASSDATA,MATCH("MediumExpert",CLASSFEATUREHEADERS,0),MATCH(($A532 &amp; "Points"),CLASSNAMEHEADERS,0))),(IF("13"=(INDEX(ALLCLASSDATA,MATCH("MediumTrained",CLASSFEATUREHEADERS,0),MATCH($A532,CLASSNAMEHEADERS,0))),(INDEX(ALLCLASSDATA,MATCH("MediumTrained",CLASSFEATUREHEADERS,0),MATCH(($A532 &amp; "Points"),CLASSNAMEHEADERS,0))),"")))))))))}</f>
        <v>MEDIUML13</v>
      </c>
      <c r="U531" s="223"/>
      <c r="V531" s="223" t="str">
        <f t="array" ref="V531:V532">{"MEDIUML15";((IF("15"=(INDEX(ALLCLASSDATA,MATCH("MediumLegendary",CLASSFEATUREHEADERS,0),MATCH($A532,CLASSNAMEHEADERS,0))),(INDEX(ALLCLASSDATA,MATCH("MediumLegendary",CLASSFEATUREHEADERS,0),MATCH(($A532 &amp; "Points"),CLASSNAMEHEADERS,0))),(IF("15"=(INDEX(ALLCLASSDATA,MATCH("MediumMaster",CLASSFEATUREHEADERS,0),MATCH($A532,CLASSNAMEHEADERS,0))),(INDEX(ALLCLASSDATA,MATCH("MediumMaster",CLASSFEATUREHEADERS,0),MATCH(($A532 &amp; "Points"),CLASSNAMEHEADERS,0))),(IF("15"=(INDEX(ALLCLASSDATA,MATCH("MediumExpert",CLASSFEATUREHEADERS,0),MATCH($A532,CLASSNAMEHEADERS,0))),(INDEX(ALLCLASSDATA,MATCH("MediumExpert",CLASSFEATUREHEADERS,0),MATCH(($A532 &amp; "Points"),CLASSNAMEHEADERS,0))),(IF("15"=(INDEX(ALLCLASSDATA,MATCH("MediumTrained",CLASSFEATUREHEADERS,0),MATCH($A532,CLASSNAMEHEADERS,0))),(INDEX(ALLCLASSDATA,MATCH("MediumTrained",CLASSFEATUREHEADERS,0),MATCH(($A532 &amp; "Points"),CLASSNAMEHEADERS,0))),"")))))))))}</f>
        <v>MEDIUML15</v>
      </c>
      <c r="W531" s="223"/>
      <c r="X531" s="223" t="str">
        <f t="array" ref="X531:X532">{"MEDIUML17";((IF("17"=(INDEX(ALLCLASSDATA,MATCH("MediumLegendary",CLASSFEATUREHEADERS,0),MATCH($A532,CLASSNAMEHEADERS,0))),(INDEX(ALLCLASSDATA,MATCH("MediumLegendary",CLASSFEATUREHEADERS,0),MATCH(($A532 &amp; "Points"),CLASSNAMEHEADERS,0))),(IF("17"=(INDEX(ALLCLASSDATA,MATCH("MediumMaster",CLASSFEATUREHEADERS,0),MATCH($A532,CLASSNAMEHEADERS,0))),(INDEX(ALLCLASSDATA,MATCH("MediumMaster",CLASSFEATUREHEADERS,0),MATCH(($A532 &amp; "Points"),CLASSNAMEHEADERS,0))),(IF("17"=(INDEX(ALLCLASSDATA,MATCH("MediumExpert",CLASSFEATUREHEADERS,0),MATCH($A532,CLASSNAMEHEADERS,0))),(INDEX(ALLCLASSDATA,MATCH("MediumExpert",CLASSFEATUREHEADERS,0),MATCH(($A532 &amp; "Points"),CLASSNAMEHEADERS,0))),(IF("17"=(INDEX(ALLCLASSDATA,MATCH("MediumTrained",CLASSFEATUREHEADERS,0),MATCH($A532,CLASSNAMEHEADERS,0))),(INDEX(ALLCLASSDATA,MATCH("MediumTrained",CLASSFEATUREHEADERS,0),MATCH(($A532 &amp; "Points"),CLASSNAMEHEADERS,0))),"")))))))))}</f>
        <v>MEDIUML17</v>
      </c>
      <c r="Y531" s="223"/>
      <c r="Z531" s="223" t="str">
        <f t="array" ref="Z531:Z532">{"MEDIUML19";((IF("19"=(INDEX(ALLCLASSDATA,MATCH("MediumLegendary",CLASSFEATUREHEADERS,0),MATCH($A532,CLASSNAMEHEADERS,0))),(INDEX(ALLCLASSDATA,MATCH("MediumLegendary",CLASSFEATUREHEADERS,0),MATCH(($A532 &amp; "Points"),CLASSNAMEHEADERS,0))),(IF("19"=(INDEX(ALLCLASSDATA,MATCH("MediumMaster",CLASSFEATUREHEADERS,0),MATCH($A532,CLASSNAMEHEADERS,0))),(INDEX(ALLCLASSDATA,MATCH("MediumMaster",CLASSFEATUREHEADERS,0),MATCH(($A532 &amp; "Points"),CLASSNAMEHEADERS,0))),(IF("19"=(INDEX(ALLCLASSDATA,MATCH("MediumExpert",CLASSFEATUREHEADERS,0),MATCH($A532,CLASSNAMEHEADERS,0))),(INDEX(ALLCLASSDATA,MATCH("MediumExpert",CLASSFEATUREHEADERS,0),MATCH(($A532 &amp; "Points"),CLASSNAMEHEADERS,0))),(IF("19"=(INDEX(ALLCLASSDATA,MATCH("MediumTrained",CLASSFEATUREHEADERS,0),MATCH($A532,CLASSNAMEHEADERS,0))),(INDEX(ALLCLASSDATA,MATCH("MediumTrained",CLASSFEATUREHEADERS,0),MATCH(($A532 &amp; "Points"),CLASSNAMEHEADERS,0))),"")))))))))}</f>
        <v>MEDIUML19</v>
      </c>
      <c r="AA531" s="223"/>
      <c r="AB531" s="76" t="str">
        <f t="array" ref="AB531:AB532">{"MEDIUM TOTAL";(IF(COUNTBLANK(G532:AA532)=17,"L",(IF(COUNTBLANK(G532:AA532)=18,"M",(IF(COUNTBLANK(G532:AA532)=19,"E",(IF(COUNTBLANK(G532:AA532)=20,"T",""))))))))}</f>
        <v>MEDIUM TOTAL</v>
      </c>
      <c r="AC531" s="76" t="str">
        <f t="array" ref="AC531:AC532">{"MEDIUM TOTAL";(sum(G532:AA532))}</f>
        <v>MEDIUM TOTAL</v>
      </c>
    </row>
    <row r="532">
      <c r="A532" s="48" t="s">
        <v>138</v>
      </c>
      <c r="B532" s="48"/>
      <c r="C532" s="48" t="s">
        <v>415</v>
      </c>
      <c r="D532" s="48" t="s">
        <v>1900</v>
      </c>
      <c r="E532" s="48" t="s">
        <v>76</v>
      </c>
      <c r="F532" s="5" t="s">
        <v>603</v>
      </c>
      <c r="G532" s="47" t="s">
        <v>603</v>
      </c>
      <c r="H532" s="5" t="s">
        <v>603</v>
      </c>
      <c r="I532" s="5"/>
      <c r="J532" s="5" t="s">
        <v>603</v>
      </c>
      <c r="K532" s="5"/>
      <c r="L532" s="5" t="s">
        <v>603</v>
      </c>
      <c r="M532" s="5"/>
      <c r="N532" s="5" t="s">
        <v>603</v>
      </c>
      <c r="O532" s="5"/>
      <c r="P532" s="5" t="s">
        <v>603</v>
      </c>
      <c r="Q532" s="5"/>
      <c r="R532" s="5" t="s">
        <v>603</v>
      </c>
      <c r="S532" s="5"/>
      <c r="T532" s="5" t="s">
        <v>603</v>
      </c>
      <c r="U532" s="5"/>
      <c r="V532" s="5" t="s">
        <v>603</v>
      </c>
      <c r="W532" s="5"/>
      <c r="X532" s="5" t="s">
        <v>603</v>
      </c>
      <c r="Y532" s="5"/>
      <c r="Z532" s="5" t="s">
        <v>603</v>
      </c>
      <c r="AA532" s="5"/>
      <c r="AB532" s="5" t="s">
        <v>603</v>
      </c>
      <c r="AC532" s="47">
        <v>0.0</v>
      </c>
    </row>
    <row r="533" hidden="1">
      <c r="A533" s="222" t="str">
        <f t="array" ref="A533:A534">{"FormulaRow38";(INDEX(CLASSLIST,A458,1))}</f>
        <v>FormulaRow38</v>
      </c>
      <c r="B533" s="77" t="s">
        <v>236</v>
      </c>
      <c r="C533" s="222" t="str">
        <f t="array" ref="C533:C534">{"CLASSTYPE";((INDEX(ALLCLASSDATA,MATCH("ClassType",CLASSFEATUREHEADERS,0),MATCH($A534,CLASSNAMEHEADERS,0))))}</f>
        <v>CLASSTYPE</v>
      </c>
      <c r="D533" s="222" t="str">
        <f t="array" ref="D533:D534">{"DEFENSE";"Defense"}</f>
        <v>DEFENSE</v>
      </c>
      <c r="E533" s="222" t="str">
        <f t="array" ref="E533:E534">{"HEAVY";"Heavy"}</f>
        <v>HEAVY</v>
      </c>
      <c r="F533" s="223" t="str">
        <f t="array" ref="F533:F534">{"HEAVYINITIAL";((IF(H534=10,"T",(IF(H534=50,"E","")))))}</f>
        <v>HEAVYINITIAL</v>
      </c>
      <c r="G533" s="223" t="str">
        <f t="array" ref="G533:G534">{"HEAVYINITIALPTS";((IF("00"=(INDEX(ALLCLASSDATA,MATCH("HeavyLegendary",CLASSFEATUREHEADERS,0),MATCH($A534,CLASSNAMEHEADERS,0))),(INDEX(ALLCLASSDATA,MATCH("HeavyLegendary",CLASSFEATUREHEADERS,0),MATCH(($A534 &amp; "Points"),CLASSNAMEHEADERS,0))),(IF("00"=(INDEX(ALLCLASSDATA,MATCH("HeavyMaster",CLASSFEATUREHEADERS,0),MATCH($A534,CLASSNAMEHEADERS,0))),(INDEX(ALLCLASSDATA,MATCH("HeavyMaster",CLASSFEATUREHEADERS,0),MATCH(($A534 &amp; "Points"),CLASSNAMEHEADERS,0))),(IF("00"=(INDEX(ALLCLASSDATA,MATCH("HeavyExpert",CLASSFEATUREHEADERS,0),MATCH($A534,CLASSNAMEHEADERS,0))),(INDEX(ALLCLASSDATA,MATCH("HeavyExpert",CLASSFEATUREHEADERS,0),MATCH(($A534 &amp; "Points"),CLASSNAMEHEADERS,0))),(IF("00"=(INDEX(ALLCLASSDATA,MATCH("HeavyTrained",CLASSFEATUREHEADERS,0),MATCH($A534,CLASSNAMEHEADERS,0))),(INDEX(ALLCLASSDATA,MATCH("HeavyTrained",CLASSFEATUREHEADERS,0),MATCH(($A534 &amp; "Points"),CLASSNAMEHEADERS,0))),"")))))))))}</f>
        <v>HEAVYINITIALPTS</v>
      </c>
      <c r="H533" s="223" t="str">
        <f t="array" ref="H533:H534">{"HEAVYL01";((IF("01"=(INDEX(ALLCLASSDATA,MATCH("HeavyLegendary",CLASSFEATUREHEADERS,0),MATCH($A534,CLASSNAMEHEADERS,0))),(INDEX(ALLCLASSDATA,MATCH("HeavyLegendary",CLASSFEATUREHEADERS,0),MATCH(($A534 &amp; "Points"),CLASSNAMEHEADERS,0))),(IF("01"=(INDEX(ALLCLASSDATA,MATCH("HeavyMaster",CLASSFEATUREHEADERS,0),MATCH($A534,CLASSNAMEHEADERS,0))),(INDEX(ALLCLASSDATA,MATCH("HeavyMaster",CLASSFEATUREHEADERS,0),MATCH(($A534 &amp; "Points"),CLASSNAMEHEADERS,0))),(IF("01"=(INDEX(ALLCLASSDATA,MATCH("HeavyExpert",CLASSFEATUREHEADERS,0),MATCH($A534,CLASSNAMEHEADERS,0))),(INDEX(ALLCLASSDATA,MATCH("HeavyExpert",CLASSFEATUREHEADERS,0),MATCH(($A534 &amp; "Points"),CLASSNAMEHEADERS,0))),(IF("01"=(INDEX(ALLCLASSDATA,MATCH("HeavyTrained",CLASSFEATUREHEADERS,0),MATCH($A534,CLASSNAMEHEADERS,0))),(INDEX(ALLCLASSDATA,MATCH("HeavyTrained",CLASSFEATUREHEADERS,0),MATCH(($A534 &amp; "Points"),CLASSNAMEHEADERS,0))),"")))))))))}</f>
        <v>HEAVYL01</v>
      </c>
      <c r="I533" s="223"/>
      <c r="J533" s="223" t="str">
        <f t="array" ref="J533:J534">{"HEAVYL03";((IF("03"=(INDEX(ALLCLASSDATA,MATCH("HeavyLegendary",CLASSFEATUREHEADERS,0),MATCH($A534,CLASSNAMEHEADERS,0))),(INDEX(ALLCLASSDATA,MATCH("HeavyLegendary",CLASSFEATUREHEADERS,0),MATCH(($A534 &amp; "Points"),CLASSNAMEHEADERS,0))),(IF("03"=(INDEX(ALLCLASSDATA,MATCH("HeavyMaster",CLASSFEATUREHEADERS,0),MATCH($A534,CLASSNAMEHEADERS,0))),(INDEX(ALLCLASSDATA,MATCH("HeavyMaster",CLASSFEATUREHEADERS,0),MATCH(($A534 &amp; "Points"),CLASSNAMEHEADERS,0))),(IF("03"=(INDEX(ALLCLASSDATA,MATCH("HeavyExpert",CLASSFEATUREHEADERS,0),MATCH($A534,CLASSNAMEHEADERS,0))),(INDEX(ALLCLASSDATA,MATCH("HeavyExpert",CLASSFEATUREHEADERS,0),MATCH(($A534 &amp; "Points"),CLASSNAMEHEADERS,0))),(IF("03"=(INDEX(ALLCLASSDATA,MATCH("HeavyTrained",CLASSFEATUREHEADERS,0),MATCH($A534,CLASSNAMEHEADERS,0))),(INDEX(ALLCLASSDATA,MATCH("HeavyTrained",CLASSFEATUREHEADERS,0),MATCH(($A534 &amp; "Points"),CLASSNAMEHEADERS,0))),"")))))))))}</f>
        <v>HEAVYL03</v>
      </c>
      <c r="K533" s="223"/>
      <c r="L533" s="223" t="str">
        <f t="array" ref="L533:L534">{"HEAVYL05";((IF("05"=(INDEX(ALLCLASSDATA,MATCH("HeavyLegendary",CLASSFEATUREHEADERS,0),MATCH($A534,CLASSNAMEHEADERS,0))),(INDEX(ALLCLASSDATA,MATCH("HeavyLegendary",CLASSFEATUREHEADERS,0),MATCH(($A534 &amp; "Points"),CLASSNAMEHEADERS,0))),(IF("05"=(INDEX(ALLCLASSDATA,MATCH("HeavyMaster",CLASSFEATUREHEADERS,0),MATCH($A534,CLASSNAMEHEADERS,0))),(INDEX(ALLCLASSDATA,MATCH("HeavyMaster",CLASSFEATUREHEADERS,0),MATCH(($A534 &amp; "Points"),CLASSNAMEHEADERS,0))),(IF("05"=(INDEX(ALLCLASSDATA,MATCH("HeavyExpert",CLASSFEATUREHEADERS,0),MATCH($A534,CLASSNAMEHEADERS,0))),(INDEX(ALLCLASSDATA,MATCH("HeavyExpert",CLASSFEATUREHEADERS,0),MATCH(($A534 &amp; "Points"),CLASSNAMEHEADERS,0))),(IF("05"=(INDEX(ALLCLASSDATA,MATCH("HeavyTrained",CLASSFEATUREHEADERS,0),MATCH($A534,CLASSNAMEHEADERS,0))),(INDEX(ALLCLASSDATA,MATCH("HeavyTrained",CLASSFEATUREHEADERS,0),MATCH(($A534 &amp; "Points"),CLASSNAMEHEADERS,0))),"")))))))))}</f>
        <v>HEAVYL05</v>
      </c>
      <c r="M533" s="223"/>
      <c r="N533" s="223" t="str">
        <f t="array" ref="N533:N534">{"HEAVYL07";((IF("07"=(INDEX(ALLCLASSDATA,MATCH("HeavyLegendary",CLASSFEATUREHEADERS,0),MATCH($A534,CLASSNAMEHEADERS,0))),(INDEX(ALLCLASSDATA,MATCH("HeavyLegendary",CLASSFEATUREHEADERS,0),MATCH(($A534 &amp; "Points"),CLASSNAMEHEADERS,0))),(IF("07"=(INDEX(ALLCLASSDATA,MATCH("HeavyMaster",CLASSFEATUREHEADERS,0),MATCH($A534,CLASSNAMEHEADERS,0))),(INDEX(ALLCLASSDATA,MATCH("HeavyMaster",CLASSFEATUREHEADERS,0),MATCH(($A534 &amp; "Points"),CLASSNAMEHEADERS,0))),(IF("07"=(INDEX(ALLCLASSDATA,MATCH("HeavyExpert",CLASSFEATUREHEADERS,0),MATCH($A534,CLASSNAMEHEADERS,0))),(INDEX(ALLCLASSDATA,MATCH("HeavyExpert",CLASSFEATUREHEADERS,0),MATCH(($A534 &amp; "Points"),CLASSNAMEHEADERS,0))),(IF("07"=(INDEX(ALLCLASSDATA,MATCH("HeavyTrained",CLASSFEATUREHEADERS,0),MATCH($A534,CLASSNAMEHEADERS,0))),(INDEX(ALLCLASSDATA,MATCH("HeavyTrained",CLASSFEATUREHEADERS,0),MATCH(($A534 &amp; "Points"),CLASSNAMEHEADERS,0))),"")))))))))}</f>
        <v>HEAVYL07</v>
      </c>
      <c r="O533" s="223"/>
      <c r="P533" s="223" t="str">
        <f t="array" ref="P533:P534">{"HEAVYL09";((IF("09"=(INDEX(ALLCLASSDATA,MATCH("HeavyLegendary",CLASSFEATUREHEADERS,0),MATCH($A534,CLASSNAMEHEADERS,0))),(INDEX(ALLCLASSDATA,MATCH("HeavyLegendary",CLASSFEATUREHEADERS,0),MATCH(($A534 &amp; "Points"),CLASSNAMEHEADERS,0))),(IF("09"=(INDEX(ALLCLASSDATA,MATCH("HeavyMaster",CLASSFEATUREHEADERS,0),MATCH($A534,CLASSNAMEHEADERS,0))),(INDEX(ALLCLASSDATA,MATCH("HeavyMaster",CLASSFEATUREHEADERS,0),MATCH(($A534 &amp; "Points"),CLASSNAMEHEADERS,0))),(IF("09"=(INDEX(ALLCLASSDATA,MATCH("HeavyExpert",CLASSFEATUREHEADERS,0),MATCH($A534,CLASSNAMEHEADERS,0))),(INDEX(ALLCLASSDATA,MATCH("HeavyExpert",CLASSFEATUREHEADERS,0),MATCH(($A534 &amp; "Points"),CLASSNAMEHEADERS,0))),(IF("09"=(INDEX(ALLCLASSDATA,MATCH("HeavyTrained",CLASSFEATUREHEADERS,0),MATCH($A534,CLASSNAMEHEADERS,0))),(INDEX(ALLCLASSDATA,MATCH("HeavyTrained",CLASSFEATUREHEADERS,0),MATCH(($A534 &amp; "Points"),CLASSNAMEHEADERS,0))),"")))))))))}</f>
        <v>HEAVYL09</v>
      </c>
      <c r="Q533" s="223"/>
      <c r="R533" s="223" t="str">
        <f t="array" ref="R533:R534">{"HEAVYL11";((IF("11"=(INDEX(ALLCLASSDATA,MATCH("HeavyLegendary",CLASSFEATUREHEADERS,0),MATCH($A534,CLASSNAMEHEADERS,0))),(INDEX(ALLCLASSDATA,MATCH("HeavyLegendary",CLASSFEATUREHEADERS,0),MATCH(($A534 &amp; "Points"),CLASSNAMEHEADERS,0))),(IF("11"=(INDEX(ALLCLASSDATA,MATCH("HeavyMaster",CLASSFEATUREHEADERS,0),MATCH($A534,CLASSNAMEHEADERS,0))),(INDEX(ALLCLASSDATA,MATCH("HeavyMaster",CLASSFEATUREHEADERS,0),MATCH(($A534 &amp; "Points"),CLASSNAMEHEADERS,0))),(IF("11"=(INDEX(ALLCLASSDATA,MATCH("HeavyExpert",CLASSFEATUREHEADERS,0),MATCH($A534,CLASSNAMEHEADERS,0))),(INDEX(ALLCLASSDATA,MATCH("HeavyExpert",CLASSFEATUREHEADERS,0),MATCH(($A534 &amp; "Points"),CLASSNAMEHEADERS,0))),(IF("11"=(INDEX(ALLCLASSDATA,MATCH("HeavyTrained",CLASSFEATUREHEADERS,0),MATCH($A534,CLASSNAMEHEADERS,0))),(INDEX(ALLCLASSDATA,MATCH("HeavyTrained",CLASSFEATUREHEADERS,0),MATCH(($A534 &amp; "Points"),CLASSNAMEHEADERS,0))),"")))))))))}</f>
        <v>HEAVYL11</v>
      </c>
      <c r="S533" s="223"/>
      <c r="T533" s="223" t="str">
        <f t="array" ref="T533:T534">{"HEAVYL13";((IF("13"=(INDEX(ALLCLASSDATA,MATCH("HeavyLegendary",CLASSFEATUREHEADERS,0),MATCH($A534,CLASSNAMEHEADERS,0))),(INDEX(ALLCLASSDATA,MATCH("HeavyLegendary",CLASSFEATUREHEADERS,0),MATCH(($A534 &amp; "Points"),CLASSNAMEHEADERS,0))),(IF("13"=(INDEX(ALLCLASSDATA,MATCH("HeavyMaster",CLASSFEATUREHEADERS,0),MATCH($A534,CLASSNAMEHEADERS,0))),(INDEX(ALLCLASSDATA,MATCH("HeavyMaster",CLASSFEATUREHEADERS,0),MATCH(($A534 &amp; "Points"),CLASSNAMEHEADERS,0))),(IF("13"=(INDEX(ALLCLASSDATA,MATCH("HeavyExpert",CLASSFEATUREHEADERS,0),MATCH($A534,CLASSNAMEHEADERS,0))),(INDEX(ALLCLASSDATA,MATCH("HeavyExpert",CLASSFEATUREHEADERS,0),MATCH(($A534 &amp; "Points"),CLASSNAMEHEADERS,0))),(IF("13"=(INDEX(ALLCLASSDATA,MATCH("HeavyTrained",CLASSFEATUREHEADERS,0),MATCH($A534,CLASSNAMEHEADERS,0))),(INDEX(ALLCLASSDATA,MATCH("HeavyTrained",CLASSFEATUREHEADERS,0),MATCH(($A534 &amp; "Points"),CLASSNAMEHEADERS,0))),"")))))))))}</f>
        <v>HEAVYL13</v>
      </c>
      <c r="U533" s="223"/>
      <c r="V533" s="223" t="str">
        <f t="array" ref="V533:V534">{"HEAVYL15";((IF("15"=(INDEX(ALLCLASSDATA,MATCH("HeavyLegendary",CLASSFEATUREHEADERS,0),MATCH($A534,CLASSNAMEHEADERS,0))),(INDEX(ALLCLASSDATA,MATCH("HeavyLegendary",CLASSFEATUREHEADERS,0),MATCH(($A534 &amp; "Points"),CLASSNAMEHEADERS,0))),(IF("15"=(INDEX(ALLCLASSDATA,MATCH("HeavyMaster",CLASSFEATUREHEADERS,0),MATCH($A534,CLASSNAMEHEADERS,0))),(INDEX(ALLCLASSDATA,MATCH("HeavyMaster",CLASSFEATUREHEADERS,0),MATCH(($A534 &amp; "Points"),CLASSNAMEHEADERS,0))),(IF("15"=(INDEX(ALLCLASSDATA,MATCH("HeavyExpert",CLASSFEATUREHEADERS,0),MATCH($A534,CLASSNAMEHEADERS,0))),(INDEX(ALLCLASSDATA,MATCH("HeavyExpert",CLASSFEATUREHEADERS,0),MATCH(($A534 &amp; "Points"),CLASSNAMEHEADERS,0))),(IF("15"=(INDEX(ALLCLASSDATA,MATCH("HeavyTrained",CLASSFEATUREHEADERS,0),MATCH($A534,CLASSNAMEHEADERS,0))),(INDEX(ALLCLASSDATA,MATCH("HeavyTrained",CLASSFEATUREHEADERS,0),MATCH(($A534 &amp; "Points"),CLASSNAMEHEADERS,0))),"")))))))))}</f>
        <v>HEAVYL15</v>
      </c>
      <c r="W533" s="223"/>
      <c r="X533" s="223" t="str">
        <f t="array" ref="X533:X534">{"HEAVYL17";((IF("17"=(INDEX(ALLCLASSDATA,MATCH("HeavyLegendary",CLASSFEATUREHEADERS,0),MATCH($A534,CLASSNAMEHEADERS,0))),(INDEX(ALLCLASSDATA,MATCH("HeavyLegendary",CLASSFEATUREHEADERS,0),MATCH(($A534 &amp; "Points"),CLASSNAMEHEADERS,0))),(IF("17"=(INDEX(ALLCLASSDATA,MATCH("HeavyMaster",CLASSFEATUREHEADERS,0),MATCH($A534,CLASSNAMEHEADERS,0))),(INDEX(ALLCLASSDATA,MATCH("HeavyMaster",CLASSFEATUREHEADERS,0),MATCH(($A534 &amp; "Points"),CLASSNAMEHEADERS,0))),(IF("17"=(INDEX(ALLCLASSDATA,MATCH("HeavyExpert",CLASSFEATUREHEADERS,0),MATCH($A534,CLASSNAMEHEADERS,0))),(INDEX(ALLCLASSDATA,MATCH("HeavyExpert",CLASSFEATUREHEADERS,0),MATCH(($A534 &amp; "Points"),CLASSNAMEHEADERS,0))),(IF("17"=(INDEX(ALLCLASSDATA,MATCH("HeavyTrained",CLASSFEATUREHEADERS,0),MATCH($A534,CLASSNAMEHEADERS,0))),(INDEX(ALLCLASSDATA,MATCH("HeavyTrained",CLASSFEATUREHEADERS,0),MATCH(($A534 &amp; "Points"),CLASSNAMEHEADERS,0))),"")))))))))}</f>
        <v>HEAVYL17</v>
      </c>
      <c r="Y533" s="223"/>
      <c r="Z533" s="223" t="str">
        <f t="array" ref="Z533:Z534">{"HEAVYL19";((IF("19"=(INDEX(ALLCLASSDATA,MATCH("HeavyLegendary",CLASSFEATUREHEADERS,0),MATCH($A534,CLASSNAMEHEADERS,0))),(INDEX(ALLCLASSDATA,MATCH("HeavyLegendary",CLASSFEATUREHEADERS,0),MATCH(($A534 &amp; "Points"),CLASSNAMEHEADERS,0))),(IF("19"=(INDEX(ALLCLASSDATA,MATCH("HeavyMaster",CLASSFEATUREHEADERS,0),MATCH($A534,CLASSNAMEHEADERS,0))),(INDEX(ALLCLASSDATA,MATCH("HeavyMaster",CLASSFEATUREHEADERS,0),MATCH(($A534 &amp; "Points"),CLASSNAMEHEADERS,0))),(IF("19"=(INDEX(ALLCLASSDATA,MATCH("HeavyExpert",CLASSFEATUREHEADERS,0),MATCH($A534,CLASSNAMEHEADERS,0))),(INDEX(ALLCLASSDATA,MATCH("HeavyExpert",CLASSFEATUREHEADERS,0),MATCH(($A534 &amp; "Points"),CLASSNAMEHEADERS,0))),(IF("19"=(INDEX(ALLCLASSDATA,MATCH("HeavyTrained",CLASSFEATUREHEADERS,0),MATCH($A534,CLASSNAMEHEADERS,0))),(INDEX(ALLCLASSDATA,MATCH("HeavyTrained",CLASSFEATUREHEADERS,0),MATCH(($A534 &amp; "Points"),CLASSNAMEHEADERS,0))),"")))))))))}</f>
        <v>HEAVYL19</v>
      </c>
      <c r="AA533" s="223"/>
      <c r="AB533" s="76" t="str">
        <f t="array" ref="AB533:AB534">{"HEAVY TOTAL";(IF(COUNTBLANK(G534:AA534)=17,"L",(IF(COUNTBLANK(G534:AA534)=18,"M",(IF(COUNTBLANK(G534:AA534)=19,"E",(IF(COUNTBLANK(G534:AA534)=20,"T",""))))))))}</f>
        <v>HEAVY TOTAL</v>
      </c>
      <c r="AC533" s="76" t="str">
        <f t="array" ref="AC533:AC534">{"HEAVY TOTAL";(sum(G534:AA534))}</f>
        <v>HEAVY TOTAL</v>
      </c>
    </row>
    <row r="534">
      <c r="A534" s="48" t="s">
        <v>138</v>
      </c>
      <c r="B534" s="48"/>
      <c r="C534" s="48" t="s">
        <v>415</v>
      </c>
      <c r="D534" s="97" t="s">
        <v>1900</v>
      </c>
      <c r="E534" s="97" t="s">
        <v>533</v>
      </c>
      <c r="F534" s="98" t="s">
        <v>603</v>
      </c>
      <c r="G534" s="132" t="s">
        <v>603</v>
      </c>
      <c r="H534" s="98" t="s">
        <v>603</v>
      </c>
      <c r="I534" s="98"/>
      <c r="J534" s="98" t="s">
        <v>603</v>
      </c>
      <c r="K534" s="98"/>
      <c r="L534" s="98" t="s">
        <v>603</v>
      </c>
      <c r="M534" s="98"/>
      <c r="N534" s="98" t="s">
        <v>603</v>
      </c>
      <c r="O534" s="98"/>
      <c r="P534" s="98" t="s">
        <v>603</v>
      </c>
      <c r="Q534" s="98"/>
      <c r="R534" s="98" t="s">
        <v>603</v>
      </c>
      <c r="S534" s="98"/>
      <c r="T534" s="98" t="s">
        <v>603</v>
      </c>
      <c r="U534" s="98"/>
      <c r="V534" s="98" t="s">
        <v>603</v>
      </c>
      <c r="W534" s="98"/>
      <c r="X534" s="98" t="s">
        <v>603</v>
      </c>
      <c r="Y534" s="98"/>
      <c r="Z534" s="98" t="s">
        <v>603</v>
      </c>
      <c r="AA534" s="98"/>
      <c r="AB534" s="5" t="s">
        <v>603</v>
      </c>
      <c r="AC534" s="47">
        <v>0.0</v>
      </c>
    </row>
    <row r="535" hidden="1">
      <c r="A535" s="222" t="str">
        <f t="array" ref="A535:A536">{"FormulaRow39";(INDEX(CLASSLIST,A458,1))}</f>
        <v>FormulaRow39</v>
      </c>
      <c r="B535" s="77" t="s">
        <v>236</v>
      </c>
      <c r="C535" s="222" t="str">
        <f t="array" ref="C535:C536">{"CLASSTYPE";((INDEX(ALLCLASSDATA,MATCH("ClassType",CLASSFEATUREHEADERS,0),MATCH($A536,CLASSNAMEHEADERS,0))))}</f>
        <v>CLASSTYPE</v>
      </c>
      <c r="D535" s="222" t="str">
        <f t="array" ref="D535:D536">{"SPELL/ALCHEMY";((IF(INDEX(ALLCLASSDATA,MATCH("CasterType",CLASSFEATUREHEADERS,0),MATCH(($A536),CLASSNAMEHEADERS,0))="","",(IF(INDEX(ALLCLASSDATA,MATCH("CasterType",CLASSFEATUREHEADERS,0),MATCH(($A536),CLASSNAMEHEADERS,0))="Alchemy","Alchemy","Spells")))))}</f>
        <v>SPELL/ALCHEMY</v>
      </c>
      <c r="E535" s="222" t="str">
        <f t="array" ref="E535:E536">{"SPELLLIST";(IF(D536="Spells",((INDEX(ALLCLASSDATA,MATCH("CasterType",CLASSFEATUREHEADERS,0),MATCH(($A536),CLASSNAMEHEADERS,0))) &amp; ":" &amp; (INDEX(ALLCLASSDATA,MATCH("SpellList",CLASSFEATUREHEADERS,0),MATCH(($A536),CLASSNAMEHEADERS,0)))),""))}</f>
        <v>SPELLLIST</v>
      </c>
      <c r="F535" s="223" t="str">
        <f t="array" ref="F535:F536">{"SPL";(IF(D536="Spells","SPL:",""))}</f>
        <v>SPL</v>
      </c>
      <c r="G535" s="223" t="str">
        <f t="array" ref="G535:G536">{"CANTRIP/ALC";(IF(D536="Spells","C",(IF(D536="Alchemy","ALC:",""))))}</f>
        <v>CANTRIP/ALC</v>
      </c>
      <c r="H535" s="223" t="str">
        <f t="array" ref="H535:H536">{"SPELL/ALC L01";(IF(D536="Alchemy","L01",(IF(D536="Spells","S01",""))))}</f>
        <v>SPELL/ALC L01</v>
      </c>
      <c r="I535" s="223" t="str">
        <f t="array" ref="I535:I536">{"SPELL/ALC L02";(IF(D536="Alchemy","L02",(IF(D536="Spells","S01",""))))}</f>
        <v>SPELL/ALC L02</v>
      </c>
      <c r="J535" s="223" t="str">
        <f t="array" ref="J535:J536">{"SPELL/ALC L03";(IF(D536="Alchemy","L03",(IF(D536="Spells","S02",""))))}</f>
        <v>SPELL/ALC L03</v>
      </c>
      <c r="K535" s="223" t="str">
        <f t="array" ref="K535:K536">{"SPELL/ALC L04";(IF(D536="Alchemy","L04",(IF(D536="Spells","S02",""))))}</f>
        <v>SPELL/ALC L04</v>
      </c>
      <c r="L535" s="223" t="str">
        <f t="array" ref="L535:L536">{"SPELL/ALC L05";(IF(D536="Alchemy","L05",(IF(D536="Spells","S03",""))))}</f>
        <v>SPELL/ALC L05</v>
      </c>
      <c r="M535" s="223" t="str">
        <f t="array" ref="M535:M536">{"SPELL/ALC L06";(IF(D536="Alchemy","L06",(IF(D536="Spells","S03",""))))}</f>
        <v>SPELL/ALC L06</v>
      </c>
      <c r="N535" s="223" t="str">
        <f t="array" ref="N535:N536">{"SPELL/ALC L07";(IF(D536="Alchemy","L07",(IF(D536="Spells","S04",""))))}</f>
        <v>SPELL/ALC L07</v>
      </c>
      <c r="O535" s="223" t="str">
        <f t="array" ref="O535:O536">{"SPELL/ALC L08";(IF(D536="Alchemy","L08",(IF(D536="Spells","S04",""))))}</f>
        <v>SPELL/ALC L08</v>
      </c>
      <c r="P535" s="223" t="str">
        <f t="array" ref="P535:P536">{"SPELL/ALC L09";(IF(D536="Alchemy","L09",(IF(D536="Spells","S05",""))))}</f>
        <v>SPELL/ALC L09</v>
      </c>
      <c r="Q535" s="223" t="str">
        <f t="array" ref="Q535:Q536">{"SPELL/ALC L10";(IF(D536="Alchemy","L10",(IF(D536="Spells","S05",""))))}</f>
        <v>SPELL/ALC L10</v>
      </c>
      <c r="R535" s="223" t="str">
        <f t="array" ref="R535:R536">{"SPELL/ALC L11";(IF(D536="Alchemy","L11",(IF(D536="Spells","S06",""))))}</f>
        <v>SPELL/ALC L11</v>
      </c>
      <c r="S535" s="223" t="str">
        <f t="array" ref="S535:S536">{"SPELL/ALC L12";(IF(D536="Alchemy","L12",(IF(D536="Spells","S06",""))))}</f>
        <v>SPELL/ALC L12</v>
      </c>
      <c r="T535" s="223" t="str">
        <f t="array" ref="T535:T536">{"SPELL/ALC L13";(IF(D536="Alchemy","L13",(IF(D536="Spells","S07",""))))}</f>
        <v>SPELL/ALC L13</v>
      </c>
      <c r="U535" s="223" t="str">
        <f t="array" ref="U535:U536">{"SPELL/ALC L14";(IF(D536="Alchemy","L14",(IF(D536="Spells","S07",""))))}</f>
        <v>SPELL/ALC L14</v>
      </c>
      <c r="V535" s="223" t="str">
        <f t="array" ref="V535:V536">{"SPELL/ALC L15";(IF(D536="Alchemy","L15",(IF(D536="Spells","S08",""))))}</f>
        <v>SPELL/ALC L15</v>
      </c>
      <c r="W535" s="223" t="str">
        <f t="array" ref="W535:W536">{"SPELL/ALC L16";(IF(D536="Alchemy","L16",(IF(D536="Spells","S08",""))))}</f>
        <v>SPELL/ALC L16</v>
      </c>
      <c r="X535" s="223" t="str">
        <f t="array" ref="X535:X536">{"SPELL/ALC L17";(IF(D536="Alchemy","L17",(IF(D536="Spells","S09",""))))}</f>
        <v>SPELL/ALC L17</v>
      </c>
      <c r="Y535" s="223" t="str">
        <f t="array" ref="Y535:Y536">{"SPELL/ALC L18";(IF(D536="Alchemy","L18",(IF(D536="Spells","S09",""))))}</f>
        <v>SPELL/ALC L18</v>
      </c>
      <c r="Z535" s="223" t="str">
        <f t="array" ref="Z535:Z536">{"SPELL/ALC L19";(IF(D536="Alchemy","L19",(IF(D536="Spells","S10",""))))}</f>
        <v>SPELL/ALC L19</v>
      </c>
      <c r="AA535" s="223" t="str">
        <f t="array" ref="AA535:AA536">{"SPELL/ALC L20";(IF(D536="Alchemy","L20",(IF(D536="Spells","S10",""))))}</f>
        <v>SPELL/ALC L20</v>
      </c>
      <c r="AB535" s="76"/>
      <c r="AC535" s="76"/>
    </row>
    <row r="536">
      <c r="A536" s="48" t="s">
        <v>138</v>
      </c>
      <c r="B536" s="48"/>
      <c r="C536" s="48" t="s">
        <v>415</v>
      </c>
      <c r="D536" s="48" t="s">
        <v>603</v>
      </c>
      <c r="E536" s="48" t="s">
        <v>603</v>
      </c>
      <c r="F536" s="278" t="s">
        <v>603</v>
      </c>
      <c r="G536" s="114" t="s">
        <v>603</v>
      </c>
      <c r="H536" s="279" t="s">
        <v>603</v>
      </c>
      <c r="I536" s="28" t="s">
        <v>603</v>
      </c>
      <c r="J536" s="28" t="s">
        <v>603</v>
      </c>
      <c r="K536" s="28" t="s">
        <v>603</v>
      </c>
      <c r="L536" s="28" t="s">
        <v>603</v>
      </c>
      <c r="M536" s="28" t="s">
        <v>603</v>
      </c>
      <c r="N536" s="28" t="s">
        <v>603</v>
      </c>
      <c r="O536" s="28" t="s">
        <v>603</v>
      </c>
      <c r="P536" s="28" t="s">
        <v>603</v>
      </c>
      <c r="Q536" s="28" t="s">
        <v>603</v>
      </c>
      <c r="R536" s="28" t="s">
        <v>603</v>
      </c>
      <c r="S536" s="28" t="s">
        <v>603</v>
      </c>
      <c r="T536" s="28" t="s">
        <v>603</v>
      </c>
      <c r="U536" s="28" t="s">
        <v>603</v>
      </c>
      <c r="V536" s="28" t="s">
        <v>603</v>
      </c>
      <c r="W536" s="28" t="s">
        <v>603</v>
      </c>
      <c r="X536" s="28" t="s">
        <v>603</v>
      </c>
      <c r="Y536" s="28" t="s">
        <v>603</v>
      </c>
      <c r="Z536" s="28" t="s">
        <v>603</v>
      </c>
      <c r="AA536" s="28" t="s">
        <v>603</v>
      </c>
      <c r="AB536" s="5"/>
      <c r="AC536" s="47"/>
    </row>
    <row r="537" hidden="1">
      <c r="A537" s="222" t="str">
        <f t="array" ref="A537:A538">{"FormulaRow40";(INDEX(CLASSLIST,A458,1))}</f>
        <v>FormulaRow40</v>
      </c>
      <c r="B537" s="77" t="s">
        <v>236</v>
      </c>
      <c r="C537" s="222" t="str">
        <f t="array" ref="C537:C538">{"CLASSTYPE";((INDEX(ALLCLASSDATA,MATCH("ClassType",CLASSFEATUREHEADERS,0),MATCH($A538,CLASSNAMEHEADERS,0))))}</f>
        <v>CLASSTYPE</v>
      </c>
      <c r="D537" s="222" t="str">
        <f t="array" ref="D537:D538">{"SPELL/ALCHEMY";((IF(INDEX(ALLCLASSDATA,MATCH("CasterType",CLASSFEATUREHEADERS,0),MATCH(($A538),CLASSNAMEHEADERS,0))="","",(IF(INDEX(ALLCLASSDATA,MATCH("CasterType",CLASSFEATUREHEADERS,0),MATCH(($A538),CLASSNAMEHEADERS,0))="Alchemy","","Spells")))))}</f>
        <v>SPELL/ALCHEMY</v>
      </c>
      <c r="E537" s="222" t="str">
        <f t="array" ref="E537:E538">{"SPELLLIST";(IF(D538="Spells",((INDEX(ALLCLASSDATA,MATCH("CasterType",CLASSFEATUREHEADERS,0),MATCH(($A538),CLASSNAMEHEADERS,0))) &amp; ":" &amp; (INDEX(ALLCLASSDATA,MATCH("SpellList",CLASSFEATUREHEADERS,0),MATCH(($A538),CLASSNAMEHEADERS,0)))),""))}</f>
        <v>SPELLLIST</v>
      </c>
      <c r="F537" s="222" t="str">
        <f t="array" ref="F537:F538">{"SLOTCOST";(IF(D538="Spells","SlotCost:",""))}</f>
        <v>SLOTCOST</v>
      </c>
      <c r="G537" s="222" t="str">
        <f t="array" ref="G537:G538">{"SLOTCOST CANTRIP";(INDEX(ALLCLASSDATA,MATCH("CantripSlots-L00",CLASSFEATUREHEADERS,0),MATCH(($A538 &amp; "Points"),CLASSNAMEHEADERS,0)))}</f>
        <v>SLOTCOST CANTRIP</v>
      </c>
      <c r="H537" s="222" t="str">
        <f t="array" ref="H537:H538">{"SLOTCOST L01";(INDEX(ALLCLASSDATA,MATCH("SPL01-L01",CLASSFEATUREHEADERS,0),MATCH(($A538 &amp; "Points"),CLASSNAMEHEADERS,0)))}</f>
        <v>SLOTCOST L01</v>
      </c>
      <c r="I537" s="222" t="str">
        <f t="array" ref="I537:I538">{"SLOTCOST L02";(INDEX(ALLCLASSDATA,MATCH("SPL01-L02",CLASSFEATUREHEADERS,0),MATCH(($A538 &amp; "Points"),CLASSNAMEHEADERS,0)))}</f>
        <v>SLOTCOST L02</v>
      </c>
      <c r="J537" s="222" t="str">
        <f t="array" ref="J537:J538">{"SLOTCOST L03";(INDEX(ALLCLASSDATA,MATCH("SPL02-L03",CLASSFEATUREHEADERS,0),MATCH(($A538 &amp; "Points"),CLASSNAMEHEADERS,0)))}</f>
        <v>SLOTCOST L03</v>
      </c>
      <c r="K537" s="222" t="str">
        <f t="array" ref="K537:K538">{"SLOTCOST L04";(INDEX(ALLCLASSDATA,MATCH("SPL02-L04",CLASSFEATUREHEADERS,0),MATCH(($A538 &amp; "Points"),CLASSNAMEHEADERS,0)))}</f>
        <v>SLOTCOST L04</v>
      </c>
      <c r="L537" s="222" t="str">
        <f t="array" ref="L537:L538">{"SLOTCOST L05";(INDEX(ALLCLASSDATA,MATCH("SPL03-L05",CLASSFEATUREHEADERS,0),MATCH(($A538 &amp; "Points"),CLASSNAMEHEADERS,0)))}</f>
        <v>SLOTCOST L05</v>
      </c>
      <c r="M537" s="222" t="str">
        <f t="array" ref="M537:M538">{"SLOTCOST L06";(INDEX(ALLCLASSDATA,MATCH("SPL03-L06",CLASSFEATUREHEADERS,0),MATCH(($A538 &amp; "Points"),CLASSNAMEHEADERS,0)))}</f>
        <v>SLOTCOST L06</v>
      </c>
      <c r="N537" s="222" t="str">
        <f t="array" ref="N537:N538">{"SLOTCOST L07";(INDEX(ALLCLASSDATA,MATCH("SPL04-L07",CLASSFEATUREHEADERS,0),MATCH(($A538 &amp; "Points"),CLASSNAMEHEADERS,0)))}</f>
        <v>SLOTCOST L07</v>
      </c>
      <c r="O537" s="222" t="str">
        <f t="array" ref="O537:O538">{"SLOTCOST L08";(INDEX(ALLCLASSDATA,MATCH("SPL04-L08",CLASSFEATUREHEADERS,0),MATCH(($A538 &amp; "Points"),CLASSNAMEHEADERS,0)))}</f>
        <v>SLOTCOST L08</v>
      </c>
      <c r="P537" s="222" t="str">
        <f t="array" ref="P537:P538">{"SLOTCOST L09";(INDEX(ALLCLASSDATA,MATCH("SPL05-L09",CLASSFEATUREHEADERS,0),MATCH(($A538 &amp; "Points"),CLASSNAMEHEADERS,0)))}</f>
        <v>SLOTCOST L09</v>
      </c>
      <c r="Q537" s="222" t="str">
        <f t="array" ref="Q537:Q538">{"SLOTCOST L10";(INDEX(ALLCLASSDATA,MATCH("SPL05-L10",CLASSFEATUREHEADERS,0),MATCH(($A538 &amp; "Points"),CLASSNAMEHEADERS,0)))}</f>
        <v>SLOTCOST L10</v>
      </c>
      <c r="R537" s="222" t="str">
        <f t="array" ref="R537:R538">{"SLOTCOST L11";(INDEX(ALLCLASSDATA,MATCH("SPL06-L11",CLASSFEATUREHEADERS,0),MATCH(($A538 &amp; "Points"),CLASSNAMEHEADERS,0)))}</f>
        <v>SLOTCOST L11</v>
      </c>
      <c r="S537" s="222" t="str">
        <f t="array" ref="S537:S538">{"SLOTCOST L12";(INDEX(ALLCLASSDATA,MATCH("SPL06-L12",CLASSFEATUREHEADERS,0),MATCH(($A538 &amp; "Points"),CLASSNAMEHEADERS,0)))}</f>
        <v>SLOTCOST L12</v>
      </c>
      <c r="T537" s="222" t="str">
        <f t="array" ref="T537:T538">{"SLOTCOST L13";(INDEX(ALLCLASSDATA,MATCH("SPL07-L13",CLASSFEATUREHEADERS,0),MATCH(($A538 &amp; "Points"),CLASSNAMEHEADERS,0)))}</f>
        <v>SLOTCOST L13</v>
      </c>
      <c r="U537" s="222" t="str">
        <f t="array" ref="U537:U538">{"SLOTCOST L14";(INDEX(ALLCLASSDATA,MATCH("SPL07-L14",CLASSFEATUREHEADERS,0),MATCH(($A538 &amp; "Points"),CLASSNAMEHEADERS,0)))}</f>
        <v>SLOTCOST L14</v>
      </c>
      <c r="V537" s="222" t="str">
        <f t="array" ref="V537:V538">{"SLOTCOST L15";(INDEX(ALLCLASSDATA,MATCH("SPL08-L15",CLASSFEATUREHEADERS,0),MATCH(($A538 &amp; "Points"),CLASSNAMEHEADERS,0)))}</f>
        <v>SLOTCOST L15</v>
      </c>
      <c r="W537" s="222" t="str">
        <f t="array" ref="W537:W538">{"SLOTCOST L16";(INDEX(ALLCLASSDATA,MATCH("SPL08-L16",CLASSFEATUREHEADERS,0),MATCH(($A538 &amp; "Points"),CLASSNAMEHEADERS,0)))}</f>
        <v>SLOTCOST L16</v>
      </c>
      <c r="X537" s="222" t="str">
        <f t="array" ref="X537:X538">{"SLOTCOST L17";(INDEX(ALLCLASSDATA,MATCH("SPL09-L17",CLASSFEATUREHEADERS,0),MATCH(($A538 &amp; "Points"),CLASSNAMEHEADERS,0)))}</f>
        <v>SLOTCOST L17</v>
      </c>
      <c r="Y537" s="222" t="str">
        <f t="array" ref="Y537:Y538">{"SLOTCOST L18";(INDEX(ALLCLASSDATA,MATCH("SPL09-L18",CLASSFEATUREHEADERS,0),MATCH(($A538 &amp; "Points"),CLASSNAMEHEADERS,0)))}</f>
        <v>SLOTCOST L18</v>
      </c>
      <c r="Z537" s="222" t="str">
        <f t="array" ref="Z537:Z538">{"SLOTCOST L19";(INDEX(ALLCLASSDATA,MATCH("SPL10-L19",CLASSFEATUREHEADERS,0),MATCH(($A538 &amp; "Points"),CLASSNAMEHEADERS,0)))}</f>
        <v>SLOTCOST L19</v>
      </c>
      <c r="AA537" s="222" t="str">
        <f t="array" ref="AA537:AA538">{"SLOTCOST L20";(INDEX(ALLCLASSDATA,MATCH("SPL10-L20",CLASSFEATUREHEADERS,0),MATCH(($A538 &amp; "Points"),CLASSNAMEHEADERS,0)))}</f>
        <v>SLOTCOST L20</v>
      </c>
      <c r="AB537" s="76"/>
      <c r="AC537" s="76" t="str">
        <f t="array" ref="AC537:AC538">{"SLOT TOTAL";(sum(G538:AA538))}</f>
        <v>SLOT TOTAL</v>
      </c>
    </row>
    <row r="538">
      <c r="A538" s="48" t="s">
        <v>138</v>
      </c>
      <c r="B538" s="48"/>
      <c r="C538" s="48" t="s">
        <v>415</v>
      </c>
      <c r="D538" s="48" t="s">
        <v>603</v>
      </c>
      <c r="E538" s="48" t="s">
        <v>603</v>
      </c>
      <c r="F538" s="278" t="s">
        <v>603</v>
      </c>
      <c r="G538" s="47" t="s">
        <v>603</v>
      </c>
      <c r="H538" s="5" t="s">
        <v>603</v>
      </c>
      <c r="I538" s="5" t="s">
        <v>603</v>
      </c>
      <c r="J538" s="5" t="s">
        <v>603</v>
      </c>
      <c r="K538" s="5" t="s">
        <v>603</v>
      </c>
      <c r="L538" s="5" t="s">
        <v>603</v>
      </c>
      <c r="M538" s="48" t="s">
        <v>603</v>
      </c>
      <c r="N538" s="5" t="s">
        <v>603</v>
      </c>
      <c r="O538" s="5" t="s">
        <v>603</v>
      </c>
      <c r="P538" s="5" t="s">
        <v>603</v>
      </c>
      <c r="Q538" s="5" t="s">
        <v>603</v>
      </c>
      <c r="R538" s="5" t="s">
        <v>603</v>
      </c>
      <c r="S538" s="5" t="s">
        <v>603</v>
      </c>
      <c r="T538" s="5" t="s">
        <v>603</v>
      </c>
      <c r="U538" s="5" t="s">
        <v>603</v>
      </c>
      <c r="V538" s="5" t="s">
        <v>603</v>
      </c>
      <c r="W538" s="5" t="s">
        <v>603</v>
      </c>
      <c r="X538" s="5" t="s">
        <v>603</v>
      </c>
      <c r="Y538" s="5" t="s">
        <v>603</v>
      </c>
      <c r="Z538" s="5" t="s">
        <v>603</v>
      </c>
      <c r="AA538" s="5" t="s">
        <v>603</v>
      </c>
      <c r="AB538" s="5"/>
      <c r="AC538" s="47">
        <v>0.0</v>
      </c>
    </row>
    <row r="539" hidden="1">
      <c r="A539" s="222" t="str">
        <f t="array" ref="A539:A540">{"FormulaRow41";(INDEX(CLASSLIST,A458,1))}</f>
        <v>FormulaRow41</v>
      </c>
      <c r="B539" s="77" t="s">
        <v>236</v>
      </c>
      <c r="C539" s="222" t="str">
        <f t="array" ref="C539:C540">{"CLASSTYPE";((INDEX(ALLCLASSDATA,MATCH("ClassType",CLASSFEATUREHEADERS,0),MATCH($A540,CLASSNAMEHEADERS,0))))}</f>
        <v>CLASSTYPE</v>
      </c>
      <c r="D539" s="222" t="str">
        <f t="array" ref="D539:D540">{"SPELL/ALCHEMY";((IF(INDEX(ALLCLASSDATA,MATCH("CasterType",CLASSFEATUREHEADERS,0),MATCH(($A540),CLASSNAMEHEADERS,0))="","",(IF(INDEX(ALLCLASSDATA,MATCH("CasterType",CLASSFEATUREHEADERS,0),MATCH(($A540),CLASSNAMEHEADERS,0))="Alchemy","Alchemy","Spells")))))}</f>
        <v>SPELL/ALCHEMY</v>
      </c>
      <c r="E539" s="222" t="str">
        <f t="array" ref="E539:E540">{"SPELLLIST";(IF(D540="Spells",((INDEX(ALLCLASSDATA,MATCH("CasterType",CLASSFEATUREHEADERS,0),MATCH(($A540),CLASSNAMEHEADERS,0))) &amp; ":" &amp; (INDEX(ALLCLASSDATA,MATCH("SpellList",CLASSFEATUREHEADERS,0),MATCH(($A540),CLASSNAMEHEADERS,0)))),""))}</f>
        <v>SPELLLIST</v>
      </c>
      <c r="F539" s="223" t="str">
        <f t="array" ref="F539:F540">{"LEARNEDCOST";(IF(D540="","","LearnCost:"))}</f>
        <v>LEARNEDCOST</v>
      </c>
      <c r="G539" s="223" t="str">
        <f t="array" ref="G539:G540">{"LEARNED CANTRIPS";(INDEX(ALLCLASSDATA,MATCH("CantripsLearned-L00",CLASSFEATUREHEADERS,0),MATCH(($A540 &amp; "Points"),CLASSNAMEHEADERS,0)))}</f>
        <v>LEARNED CANTRIPS</v>
      </c>
      <c r="H539" s="223" t="str">
        <f t="array" ref="H539:H540">{"LEARNED L01";(INDEX(ALLCLASSDATA,MATCH("Learned-L01",CLASSFEATUREHEADERS,0),MATCH(($A540 &amp; "Points"),CLASSNAMEHEADERS,0)))}</f>
        <v>LEARNED L01</v>
      </c>
      <c r="I539" s="223" t="str">
        <f t="array" ref="I539:I540">{"LEARNED L02";(INDEX(ALLCLASSDATA,MATCH("Learned-L02",CLASSFEATUREHEADERS,0),MATCH(($A540 &amp; "Points"),CLASSNAMEHEADERS,0)))}</f>
        <v>LEARNED L02</v>
      </c>
      <c r="J539" s="223" t="str">
        <f t="array" ref="J539:J540">{"LEARNED L03";(INDEX(ALLCLASSDATA,MATCH("Learned-L03",CLASSFEATUREHEADERS,0),MATCH(($A540 &amp; "Points"),CLASSNAMEHEADERS,0)))}</f>
        <v>LEARNED L03</v>
      </c>
      <c r="K539" s="223" t="str">
        <f t="array" ref="K539:K540">{"LEARNED L04";(INDEX(ALLCLASSDATA,MATCH("Learned-L04",CLASSFEATUREHEADERS,0),MATCH(($A540 &amp; "Points"),CLASSNAMEHEADERS,0)))}</f>
        <v>LEARNED L04</v>
      </c>
      <c r="L539" s="223" t="str">
        <f t="array" ref="L539:L540">{"LEARNED L05";(INDEX(ALLCLASSDATA,MATCH("Learned-L05",CLASSFEATUREHEADERS,0),MATCH(($A540 &amp; "Points"),CLASSNAMEHEADERS,0)))}</f>
        <v>LEARNED L05</v>
      </c>
      <c r="M539" s="223" t="str">
        <f t="array" ref="M539:M540">{"LEARNED L06";(INDEX(ALLCLASSDATA,MATCH("Learned-L06",CLASSFEATUREHEADERS,0),MATCH(($A540 &amp; "Points"),CLASSNAMEHEADERS,0)))}</f>
        <v>LEARNED L06</v>
      </c>
      <c r="N539" s="223" t="str">
        <f t="array" ref="N539:N540">{"LEARNED L07";(INDEX(ALLCLASSDATA,MATCH("Learned-L07",CLASSFEATUREHEADERS,0),MATCH(($A540 &amp; "Points"),CLASSNAMEHEADERS,0)))}</f>
        <v>LEARNED L07</v>
      </c>
      <c r="O539" s="223" t="str">
        <f t="array" ref="O539:O540">{"LEARNED L08";(INDEX(ALLCLASSDATA,MATCH("Learned-L08",CLASSFEATUREHEADERS,0),MATCH(($A540 &amp; "Points"),CLASSNAMEHEADERS,0)))}</f>
        <v>LEARNED L08</v>
      </c>
      <c r="P539" s="223" t="str">
        <f t="array" ref="P539:P540">{"LEARNED L09";(INDEX(ALLCLASSDATA,MATCH("Learned-L09",CLASSFEATUREHEADERS,0),MATCH(($A540 &amp; "Points"),CLASSNAMEHEADERS,0)))}</f>
        <v>LEARNED L09</v>
      </c>
      <c r="Q539" s="223" t="str">
        <f t="array" ref="Q539:Q540">{"LEARNED L10";(INDEX(ALLCLASSDATA,MATCH("Learned-L10",CLASSFEATUREHEADERS,0),MATCH(($A540 &amp; "Points"),CLASSNAMEHEADERS,0)))}</f>
        <v>LEARNED L10</v>
      </c>
      <c r="R539" s="223" t="str">
        <f t="array" ref="R539:R540">{"LEARNED L11";(INDEX(ALLCLASSDATA,MATCH("Learned-L11",CLASSFEATUREHEADERS,0),MATCH(($A540 &amp; "Points"),CLASSNAMEHEADERS,0)))}</f>
        <v>LEARNED L11</v>
      </c>
      <c r="S539" s="223" t="str">
        <f t="array" ref="S539:S540">{"LEARNED L12";(INDEX(ALLCLASSDATA,MATCH("Learned-L12",CLASSFEATUREHEADERS,0),MATCH(($A540 &amp; "Points"),CLASSNAMEHEADERS,0)))}</f>
        <v>LEARNED L12</v>
      </c>
      <c r="T539" s="223" t="str">
        <f t="array" ref="T539:T540">{"LEARNED L13";(INDEX(ALLCLASSDATA,MATCH("Learned-L13",CLASSFEATUREHEADERS,0),MATCH(($A540 &amp; "Points"),CLASSNAMEHEADERS,0)))}</f>
        <v>LEARNED L13</v>
      </c>
      <c r="U539" s="223" t="str">
        <f t="array" ref="U539:U540">{"LEARNED L14";(INDEX(ALLCLASSDATA,MATCH("Learned-L14",CLASSFEATUREHEADERS,0),MATCH(($A540 &amp; "Points"),CLASSNAMEHEADERS,0)))}</f>
        <v>LEARNED L14</v>
      </c>
      <c r="V539" s="223" t="str">
        <f t="array" ref="V539:V540">{"LEARNED L15";(INDEX(ALLCLASSDATA,MATCH("Learned-L15",CLASSFEATUREHEADERS,0),MATCH(($A540 &amp; "Points"),CLASSNAMEHEADERS,0)))}</f>
        <v>LEARNED L15</v>
      </c>
      <c r="W539" s="223" t="str">
        <f t="array" ref="W539:W540">{"LEARNED L16";(INDEX(ALLCLASSDATA,MATCH("Learned-L16",CLASSFEATUREHEADERS,0),MATCH(($A540 &amp; "Points"),CLASSNAMEHEADERS,0)))}</f>
        <v>LEARNED L16</v>
      </c>
      <c r="X539" s="223" t="str">
        <f t="array" ref="X539:X540">{"LEARNED L17";(INDEX(ALLCLASSDATA,MATCH("Learned-L17",CLASSFEATUREHEADERS,0),MATCH(($A540 &amp; "Points"),CLASSNAMEHEADERS,0)))}</f>
        <v>LEARNED L17</v>
      </c>
      <c r="Y539" s="223" t="str">
        <f t="array" ref="Y539:Y540">{"LEARNED L18";(INDEX(ALLCLASSDATA,MATCH("Learned-L18",CLASSFEATUREHEADERS,0),MATCH(($A540 &amp; "Points"),CLASSNAMEHEADERS,0)))}</f>
        <v>LEARNED L18</v>
      </c>
      <c r="Z539" s="223" t="str">
        <f t="array" ref="Z539:Z540">{"LEARNED L19";(INDEX(ALLCLASSDATA,MATCH("Learned-L19",CLASSFEATUREHEADERS,0),MATCH(($A540 &amp; "Points"),CLASSNAMEHEADERS,0)))}</f>
        <v>LEARNED L19</v>
      </c>
      <c r="AA539" s="223" t="str">
        <f t="array" ref="AA539:AA540">{"LEARNED L20";(INDEX(ALLCLASSDATA,MATCH("Learned-L20",CLASSFEATUREHEADERS,0),MATCH(($A540 &amp; "Points"),CLASSNAMEHEADERS,0)))}</f>
        <v>LEARNED L20</v>
      </c>
      <c r="AB539" s="76"/>
      <c r="AC539" s="76" t="str">
        <f t="array" ref="AC539:AC540">{"LEARNED TOTAL";(sum(G540:AA540))}</f>
        <v>LEARNED TOTAL</v>
      </c>
    </row>
    <row r="540">
      <c r="A540" s="48" t="s">
        <v>138</v>
      </c>
      <c r="B540" s="48"/>
      <c r="C540" s="48" t="s">
        <v>415</v>
      </c>
      <c r="D540" s="48" t="s">
        <v>603</v>
      </c>
      <c r="E540" s="48" t="s">
        <v>603</v>
      </c>
      <c r="F540" s="278" t="s">
        <v>603</v>
      </c>
      <c r="G540" s="47" t="s">
        <v>603</v>
      </c>
      <c r="H540" s="5" t="s">
        <v>603</v>
      </c>
      <c r="I540" s="5" t="s">
        <v>603</v>
      </c>
      <c r="J540" s="5" t="s">
        <v>603</v>
      </c>
      <c r="K540" s="5" t="s">
        <v>603</v>
      </c>
      <c r="L540" s="5" t="s">
        <v>603</v>
      </c>
      <c r="M540" s="5" t="s">
        <v>603</v>
      </c>
      <c r="N540" s="48" t="s">
        <v>603</v>
      </c>
      <c r="O540" s="5" t="s">
        <v>603</v>
      </c>
      <c r="P540" s="5" t="s">
        <v>603</v>
      </c>
      <c r="Q540" s="5" t="s">
        <v>603</v>
      </c>
      <c r="R540" s="5" t="s">
        <v>603</v>
      </c>
      <c r="S540" s="5" t="s">
        <v>603</v>
      </c>
      <c r="T540" s="5" t="s">
        <v>603</v>
      </c>
      <c r="U540" s="5" t="s">
        <v>603</v>
      </c>
      <c r="V540" s="5" t="s">
        <v>603</v>
      </c>
      <c r="W540" s="5" t="s">
        <v>603</v>
      </c>
      <c r="X540" s="5" t="s">
        <v>603</v>
      </c>
      <c r="Y540" s="5" t="s">
        <v>603</v>
      </c>
      <c r="Z540" s="5" t="s">
        <v>603</v>
      </c>
      <c r="AA540" s="5" t="s">
        <v>603</v>
      </c>
      <c r="AB540" s="5"/>
      <c r="AC540" s="47">
        <v>0.0</v>
      </c>
    </row>
    <row r="541" hidden="1">
      <c r="A541" s="222" t="str">
        <f t="array" ref="A541:A542">{"FormulaRow42";(INDEX(CLASSLIST,A458,1))}</f>
        <v>FormulaRow42</v>
      </c>
      <c r="B541" s="77" t="s">
        <v>236</v>
      </c>
      <c r="C541" s="222" t="str">
        <f t="array" ref="C541:C542">{"CLASSTYPE";((INDEX(ALLCLASSDATA,MATCH("ClassType",CLASSFEATUREHEADERS,0),MATCH($A542,CLASSNAMEHEADERS,0))))}</f>
        <v>CLASSTYPE</v>
      </c>
      <c r="D541" s="222" t="str">
        <f t="array" ref="D541:D542">{"SPELL/ALCHEMY";((IF(INDEX(ALLCLASSDATA,MATCH("CasterType",CLASSFEATUREHEADERS,0),MATCH(($A542),CLASSNAMEHEADERS,0))="","",(IF(INDEX(ALLCLASSDATA,MATCH("CasterType",CLASSFEATUREHEADERS,0),MATCH(($A542),CLASSNAMEHEADERS,0))="Alchemy","","Spells")))))}</f>
        <v>SPELL/ALCHEMY</v>
      </c>
      <c r="E541" s="222" t="str">
        <f t="array" ref="E541:E542">{"SPELLLIST";(IF(D542="Spells",((INDEX(ALLCLASSDATA,MATCH("CasterType",CLASSFEATUREHEADERS,0),MATCH(($A542),CLASSNAMEHEADERS,0))) &amp; ":" &amp; (INDEX(ALLCLASSDATA,MATCH("SpellList",CLASSFEATUREHEADERS,0),MATCH(($A542),CLASSNAMEHEADERS,0)))),""))}</f>
        <v>SPELLLIST</v>
      </c>
      <c r="F541" s="223" t="str">
        <f t="array" ref="F541:F542">{"SLOT/LVL";(IF(D536="Spells","Slot/LVL:",""))}</f>
        <v>SLOT/LVL</v>
      </c>
      <c r="G541" s="223" t="str">
        <f t="array" ref="G541:G542">{"CANTRIPSLOTS";(INDEX(ALLCLASSDATA,MATCH("CantripSlots-L00",CLASSFEATUREHEADERS,0),MATCH($A542,CLASSNAMEHEADERS,0)))}</f>
        <v>CANTRIPSLOTS</v>
      </c>
      <c r="H541" s="223" t="str">
        <f t="array" ref="H541:H542">{"SPL01-L01";(INDEX(ALLCLASSDATA,MATCH("SPL01-L01",CLASSFEATUREHEADERS,0),MATCH($A542,CLASSNAMEHEADERS,0)))}</f>
        <v>SPL01-L01</v>
      </c>
      <c r="I541" s="223" t="str">
        <f t="array" ref="I541:I542">{"SPL01-L02";(INDEX(ALLCLASSDATA,MATCH("SPL01-L02",CLASSFEATUREHEADERS,0),MATCH($A542,CLASSNAMEHEADERS,0)))}</f>
        <v>SPL01-L02</v>
      </c>
      <c r="J541" s="223" t="str">
        <f t="array" ref="J541:J542">{"SPL02-L03";(INDEX(ALLCLASSDATA,MATCH("SPL02-L03",CLASSFEATUREHEADERS,0),MATCH($A542,CLASSNAMEHEADERS,0)))}</f>
        <v>SPL02-L03</v>
      </c>
      <c r="K541" s="223" t="str">
        <f t="array" ref="K541:K542">{"SPL02-L04";(INDEX(ALLCLASSDATA,MATCH("SPL02-L04",CLASSFEATUREHEADERS,0),MATCH($A542,CLASSNAMEHEADERS,0)))}</f>
        <v>SPL02-L04</v>
      </c>
      <c r="L541" s="223" t="str">
        <f t="array" ref="L541:L542">{"SPL03-L05";(INDEX(ALLCLASSDATA,MATCH("SPL03-L05",CLASSFEATUREHEADERS,0),MATCH($A542,CLASSNAMEHEADERS,0)))}</f>
        <v>SPL03-L05</v>
      </c>
      <c r="M541" s="223" t="str">
        <f t="array" ref="M541:M542">{"SPL03-L06";(INDEX(ALLCLASSDATA,MATCH("SPL03-L06",CLASSFEATUREHEADERS,0),MATCH($A542,CLASSNAMEHEADERS,0)))}</f>
        <v>SPL03-L06</v>
      </c>
      <c r="N541" s="223" t="str">
        <f t="array" ref="N541:N542">{"SPL04-L07";(INDEX(ALLCLASSDATA,MATCH("SPL04-L07",CLASSFEATUREHEADERS,0),MATCH($A542,CLASSNAMEHEADERS,0)))}</f>
        <v>SPL04-L07</v>
      </c>
      <c r="O541" s="223" t="str">
        <f t="array" ref="O541:O542">{"SPL04-L08";(INDEX(ALLCLASSDATA,MATCH("SPL04-L08",CLASSFEATUREHEADERS,0),MATCH($A542,CLASSNAMEHEADERS,0)))}</f>
        <v>SPL04-L08</v>
      </c>
      <c r="P541" s="223" t="str">
        <f t="array" ref="P541:P542">{"SPL05-L09";(INDEX(ALLCLASSDATA,MATCH("SPL05-L09",CLASSFEATUREHEADERS,0),MATCH($A542,CLASSNAMEHEADERS,0)))}</f>
        <v>SPL05-L09</v>
      </c>
      <c r="Q541" s="223" t="str">
        <f t="array" ref="Q541:Q542">{"SPL05-L10";(INDEX(ALLCLASSDATA,MATCH("SPL05-L10",CLASSFEATUREHEADERS,0),MATCH($A542,CLASSNAMEHEADERS,0)))}</f>
        <v>SPL05-L10</v>
      </c>
      <c r="R541" s="223" t="str">
        <f t="array" ref="R541:R542">{"SPL06-L11";(INDEX(ALLCLASSDATA,MATCH("SPL06-L11",CLASSFEATUREHEADERS,0),MATCH($A542,CLASSNAMEHEADERS,0)))}</f>
        <v>SPL06-L11</v>
      </c>
      <c r="S541" s="223" t="str">
        <f t="array" ref="S541:S542">{"SPL06-L12";(INDEX(ALLCLASSDATA,MATCH("SPL06-L12",CLASSFEATUREHEADERS,0),MATCH($A542,CLASSNAMEHEADERS,0)))}</f>
        <v>SPL06-L12</v>
      </c>
      <c r="T541" s="223" t="str">
        <f t="array" ref="T541:T542">{"SPL07-L13";(INDEX(ALLCLASSDATA,MATCH("SPL07-L13",CLASSFEATUREHEADERS,0),MATCH($A542,CLASSNAMEHEADERS,0)))}</f>
        <v>SPL07-L13</v>
      </c>
      <c r="U541" s="223" t="str">
        <f t="array" ref="U541:U542">{"SPL07-L14";(INDEX(ALLCLASSDATA,MATCH("SPL07-L14",CLASSFEATUREHEADERS,0),MATCH($A542,CLASSNAMEHEADERS,0)))}</f>
        <v>SPL07-L14</v>
      </c>
      <c r="V541" s="223" t="str">
        <f t="array" ref="V541:V542">{"SPL08-L15";(INDEX(ALLCLASSDATA,MATCH("SPL08-L15",CLASSFEATUREHEADERS,0),MATCH($A542,CLASSNAMEHEADERS,0)))}</f>
        <v>SPL08-L15</v>
      </c>
      <c r="W541" s="223" t="str">
        <f t="array" ref="W541:W542">{"SPL08-L16";(INDEX(ALLCLASSDATA,MATCH("SPL08-L16",CLASSFEATUREHEADERS,0),MATCH($A542,CLASSNAMEHEADERS,0)))}</f>
        <v>SPL08-L16</v>
      </c>
      <c r="X541" s="223" t="str">
        <f t="array" ref="X541:X542">{"SPL09-L17";(INDEX(ALLCLASSDATA,MATCH("SPL09-L17",CLASSFEATUREHEADERS,0),MATCH($A542,CLASSNAMEHEADERS,0)))}</f>
        <v>SPL09-L17</v>
      </c>
      <c r="Y541" s="223" t="str">
        <f t="array" ref="Y541:Y542">{"SPL09-L18";(INDEX(ALLCLASSDATA,MATCH("SPL09-L18",CLASSFEATUREHEADERS,0),MATCH($A542,CLASSNAMEHEADERS,0)))}</f>
        <v>SPL09-L18</v>
      </c>
      <c r="Z541" s="223" t="str">
        <f t="array" ref="Z541:Z542">{"SPL10-L19";(INDEX(ALLCLASSDATA,MATCH("SPL10-L19",CLASSFEATUREHEADERS,0),MATCH($A542,CLASSNAMEHEADERS,0)))}</f>
        <v>SPL10-L19</v>
      </c>
      <c r="AA541" s="223" t="str">
        <f t="array" ref="AA541:AA542">{"SPL10-L20";(INDEX(ALLCLASSDATA,MATCH("SPL10-L20",CLASSFEATUREHEADERS,0),MATCH($A542,CLASSNAMEHEADERS,0)))}</f>
        <v>SPL10-L20</v>
      </c>
      <c r="AB541" s="76"/>
      <c r="AC541" s="76"/>
    </row>
    <row r="542">
      <c r="A542" s="48" t="s">
        <v>138</v>
      </c>
      <c r="B542" s="48"/>
      <c r="C542" s="48" t="s">
        <v>415</v>
      </c>
      <c r="D542" s="48" t="s">
        <v>603</v>
      </c>
      <c r="E542" s="48" t="s">
        <v>603</v>
      </c>
      <c r="F542" s="278" t="s">
        <v>603</v>
      </c>
      <c r="G542" s="280"/>
      <c r="H542" s="50"/>
      <c r="I542" s="50"/>
      <c r="J542" s="50"/>
      <c r="K542" s="50"/>
      <c r="L542" s="50"/>
      <c r="M542" s="50"/>
      <c r="N542" s="50"/>
      <c r="O542" s="50"/>
      <c r="P542" s="50"/>
      <c r="Q542" s="50"/>
      <c r="R542" s="50"/>
      <c r="S542" s="50"/>
      <c r="T542" s="50"/>
      <c r="U542" s="50"/>
      <c r="V542" s="50"/>
      <c r="W542" s="50"/>
      <c r="X542" s="50"/>
      <c r="Y542" s="50"/>
      <c r="Z542" s="50"/>
      <c r="AA542" s="50"/>
      <c r="AB542" s="278"/>
      <c r="AC542" s="47"/>
    </row>
    <row r="543" hidden="1">
      <c r="A543" s="222" t="str">
        <f t="array" ref="A543:A544">{"FormulaRow43";(INDEX(CLASSLIST,A458,1))}</f>
        <v>FormulaRow43</v>
      </c>
      <c r="B543" s="77" t="s">
        <v>236</v>
      </c>
      <c r="C543" s="222" t="str">
        <f t="array" ref="C543:C544">{"CLASSTYPE";((INDEX(ALLCLASSDATA,MATCH("ClassType",CLASSFEATUREHEADERS,0),MATCH($A544,CLASSNAMEHEADERS,0))))}</f>
        <v>CLASSTYPE</v>
      </c>
      <c r="D543" s="222" t="str">
        <f t="array" ref="D543:D544">{"SPELL/ALCHEMY";((IF(INDEX(ALLCLASSDATA,MATCH("CasterType",CLASSFEATUREHEADERS,0),MATCH(($A544),CLASSNAMEHEADERS,0))="","",(IF(INDEX(ALLCLASSDATA,MATCH("CasterType",CLASSFEATUREHEADERS,0),MATCH(($A544),CLASSNAMEHEADERS,0))="Alchemy","Alchemy","Spells")))))}</f>
        <v>SPELL/ALCHEMY</v>
      </c>
      <c r="E543" s="222" t="str">
        <f t="array" ref="E543:E544">{"SPELLLIST";(IF(D544="Spells",((INDEX(ALLCLASSDATA,MATCH("CasterType",CLASSFEATUREHEADERS,0),MATCH(($A544),CLASSNAMEHEADERS,0))) &amp; ":" &amp; (INDEX(ALLCLASSDATA,MATCH("SpellList",CLASSFEATUREHEADERS,0),MATCH(($A544),CLASSNAMEHEADERS,0)))),""))}</f>
        <v>SPELLLIST</v>
      </c>
      <c r="F543" s="223" t="str">
        <f t="array" ref="F543:F544">{"LEARNED/LVL";(IF(D544="","","Learn/LVL:"))}</f>
        <v>LEARNED/LVL</v>
      </c>
      <c r="G543" s="223" t="str">
        <f t="array" ref="G543:G544">{"LEARNEDCANTRIPS";(INDEX(ALLCLASSDATA,MATCH("CantripsLearned-L00",CLASSFEATUREHEADERS,0),MATCH($A544,CLASSNAMEHEADERS,0)))}</f>
        <v>LEARNEDCANTRIPS</v>
      </c>
      <c r="H543" s="223" t="str">
        <f t="array" ref="H543:H544">{"LEARNED L01";(INDEX(ALLCLASSDATA,MATCH("Learned-L01",CLASSFEATUREHEADERS,0),MATCH($A544,CLASSNAMEHEADERS,0)))}</f>
        <v>LEARNED L01</v>
      </c>
      <c r="I543" s="223" t="str">
        <f t="array" ref="I543:I544">{"LEARNED L02";(INDEX(ALLCLASSDATA,MATCH("Learned-L02",CLASSFEATUREHEADERS,0),MATCH($A544,CLASSNAMEHEADERS,0)))}</f>
        <v>LEARNED L02</v>
      </c>
      <c r="J543" s="223" t="str">
        <f t="array" ref="J543:J544">{"LEARNED L03";(INDEX(ALLCLASSDATA,MATCH("Learned-L03",CLASSFEATUREHEADERS,0),MATCH($A544,CLASSNAMEHEADERS,0)))}</f>
        <v>LEARNED L03</v>
      </c>
      <c r="K543" s="223" t="str">
        <f t="array" ref="K543:K544">{"LEARNED L04";(INDEX(ALLCLASSDATA,MATCH("Learned-L04",CLASSFEATUREHEADERS,0),MATCH($A544,CLASSNAMEHEADERS,0)))}</f>
        <v>LEARNED L04</v>
      </c>
      <c r="L543" s="223" t="str">
        <f t="array" ref="L543:L544">{"LEARNED L05";(INDEX(ALLCLASSDATA,MATCH("Learned-L05",CLASSFEATUREHEADERS,0),MATCH($A544,CLASSNAMEHEADERS,0)))}</f>
        <v>LEARNED L05</v>
      </c>
      <c r="M543" s="223" t="str">
        <f t="array" ref="M543:M544">{"LEARNED L06";(INDEX(ALLCLASSDATA,MATCH("Learned-L06",CLASSFEATUREHEADERS,0),MATCH($A544,CLASSNAMEHEADERS,0)))}</f>
        <v>LEARNED L06</v>
      </c>
      <c r="N543" s="223" t="str">
        <f t="array" ref="N543:N544">{"LEARNED L07";(INDEX(ALLCLASSDATA,MATCH("Learned-L07",CLASSFEATUREHEADERS,0),MATCH($A544,CLASSNAMEHEADERS,0)))}</f>
        <v>LEARNED L07</v>
      </c>
      <c r="O543" s="223" t="str">
        <f t="array" ref="O543:O544">{"LEARNED L08";(INDEX(ALLCLASSDATA,MATCH("Learned-L08",CLASSFEATUREHEADERS,0),MATCH($A544,CLASSNAMEHEADERS,0)))}</f>
        <v>LEARNED L08</v>
      </c>
      <c r="P543" s="223" t="str">
        <f t="array" ref="P543:P544">{"LEARNED L09";(INDEX(ALLCLASSDATA,MATCH("Learned-L09",CLASSFEATUREHEADERS,0),MATCH($A544,CLASSNAMEHEADERS,0)))}</f>
        <v>LEARNED L09</v>
      </c>
      <c r="Q543" s="223" t="str">
        <f t="array" ref="Q543:Q544">{"LEARNED L10";(INDEX(ALLCLASSDATA,MATCH("Learned-L10",CLASSFEATUREHEADERS,0),MATCH($A544,CLASSNAMEHEADERS,0)))}</f>
        <v>LEARNED L10</v>
      </c>
      <c r="R543" s="223" t="str">
        <f t="array" ref="R543:R544">{"LEARNED L11";(INDEX(ALLCLASSDATA,MATCH("Learned-L11",CLASSFEATUREHEADERS,0),MATCH($A544,CLASSNAMEHEADERS,0)))}</f>
        <v>LEARNED L11</v>
      </c>
      <c r="S543" s="223" t="str">
        <f t="array" ref="S543:S544">{"LEARNED L12";(INDEX(ALLCLASSDATA,MATCH("Learned-L12",CLASSFEATUREHEADERS,0),MATCH($A544,CLASSNAMEHEADERS,0)))}</f>
        <v>LEARNED L12</v>
      </c>
      <c r="T543" s="223" t="str">
        <f t="array" ref="T543:T544">{"LEARNED L13";(INDEX(ALLCLASSDATA,MATCH("Learned-L13",CLASSFEATUREHEADERS,0),MATCH($A544,CLASSNAMEHEADERS,0)))}</f>
        <v>LEARNED L13</v>
      </c>
      <c r="U543" s="223" t="str">
        <f t="array" ref="U543:U544">{"LEARNED L14";(INDEX(ALLCLASSDATA,MATCH("Learned-L14",CLASSFEATUREHEADERS,0),MATCH($A544,CLASSNAMEHEADERS,0)))}</f>
        <v>LEARNED L14</v>
      </c>
      <c r="V543" s="223" t="str">
        <f t="array" ref="V543:V544">{"LEARNED L15";(INDEX(ALLCLASSDATA,MATCH("Learned-L15",CLASSFEATUREHEADERS,0),MATCH($A544,CLASSNAMEHEADERS,0)))}</f>
        <v>LEARNED L15</v>
      </c>
      <c r="W543" s="223" t="str">
        <f t="array" ref="W543:W544">{"LEARNED L16";(INDEX(ALLCLASSDATA,MATCH("Learned-L16",CLASSFEATUREHEADERS,0),MATCH($A544,CLASSNAMEHEADERS,0)))}</f>
        <v>LEARNED L16</v>
      </c>
      <c r="X543" s="223" t="str">
        <f t="array" ref="X543:X544">{"LEARNED L17";(INDEX(ALLCLASSDATA,MATCH("Learned-L17",CLASSFEATUREHEADERS,0),MATCH($A544,CLASSNAMEHEADERS,0)))}</f>
        <v>LEARNED L17</v>
      </c>
      <c r="Y543" s="223" t="str">
        <f t="array" ref="Y543:Y544">{"LEARNED L18";(INDEX(ALLCLASSDATA,MATCH("Learned-L18",CLASSFEATUREHEADERS,0),MATCH($A544,CLASSNAMEHEADERS,0)))}</f>
        <v>LEARNED L18</v>
      </c>
      <c r="Z543" s="223" t="str">
        <f t="array" ref="Z543:Z544">{"LEARNED L19";(INDEX(ALLCLASSDATA,MATCH("Learned-L19",CLASSFEATUREHEADERS,0),MATCH($A544,CLASSNAMEHEADERS,0)))}</f>
        <v>LEARNED L19</v>
      </c>
      <c r="AA543" s="223" t="str">
        <f t="array" ref="AA543:AA544">{"LEARNED L20";(INDEX(ALLCLASSDATA,MATCH("Learned-L20",CLASSFEATUREHEADERS,0),MATCH($A544,CLASSNAMEHEADERS,0)))}</f>
        <v>LEARNED L20</v>
      </c>
      <c r="AB543" s="76"/>
      <c r="AC543" s="76"/>
    </row>
    <row r="544">
      <c r="A544" s="48" t="s">
        <v>138</v>
      </c>
      <c r="B544" s="48"/>
      <c r="C544" s="48" t="s">
        <v>415</v>
      </c>
      <c r="D544" s="48" t="s">
        <v>603</v>
      </c>
      <c r="E544" s="48" t="s">
        <v>603</v>
      </c>
      <c r="F544" s="278" t="s">
        <v>603</v>
      </c>
      <c r="G544" s="280"/>
      <c r="H544" s="278"/>
      <c r="I544" s="278"/>
      <c r="J544" s="278"/>
      <c r="K544" s="278"/>
      <c r="L544" s="278"/>
      <c r="M544" s="278"/>
      <c r="N544" s="278"/>
      <c r="O544" s="50"/>
      <c r="P544" s="278"/>
      <c r="Q544" s="278"/>
      <c r="R544" s="278"/>
      <c r="S544" s="278"/>
      <c r="T544" s="278"/>
      <c r="U544" s="278"/>
      <c r="V544" s="278"/>
      <c r="W544" s="278"/>
      <c r="X544" s="278"/>
      <c r="Y544" s="278"/>
      <c r="Z544" s="278"/>
      <c r="AA544" s="278"/>
      <c r="AB544" s="278"/>
      <c r="AC544" s="47"/>
    </row>
    <row r="545" hidden="1">
      <c r="A545" s="222" t="str">
        <f t="array" ref="A545:A546">{"FormulaRow44";(INDEX(CLASSLIST,A458,1))}</f>
        <v>FormulaRow44</v>
      </c>
      <c r="B545" s="77" t="s">
        <v>236</v>
      </c>
      <c r="C545" s="222" t="str">
        <f t="array" ref="C545:C546">{"CLASSTYPE";((INDEX(ALLCLASSDATA,MATCH("ClassType",CLASSFEATUREHEADERS,0),MATCH($A546,CLASSNAMEHEADERS,0))))}</f>
        <v>CLASSTYPE</v>
      </c>
      <c r="D545" s="222" t="str">
        <f t="array" ref="D545:D546">{"SPELL/ALCHEMY";((IF(INDEX(ALLCLASSDATA,MATCH("CasterType",CLASSFEATUREHEADERS,0),MATCH(($A546),CLASSNAMEHEADERS,0))="","",(IF(INDEX(ALLCLASSDATA,MATCH("CasterType",CLASSFEATUREHEADERS,0),MATCH(($A546),CLASSNAMEHEADERS,0))="Alchemy","","Spells")))))}</f>
        <v>SPELL/ALCHEMY</v>
      </c>
      <c r="E545" s="222" t="str">
        <f t="array" ref="E545:E546">{"SPELLLIST";(IF(D546="Spells",((INDEX(ALLCLASSDATA,MATCH("CasterType",CLASSFEATUREHEADERS,0),MATCH(($A546),CLASSNAMEHEADERS,0))) &amp; ":" &amp; (INDEX(ALLCLASSDATA,MATCH("SpellList",CLASSFEATUREHEADERS,0),MATCH(($A546),CLASSNAMEHEADERS,0)))),""))}</f>
        <v>SPELLLIST</v>
      </c>
      <c r="F545" s="223" t="str">
        <f t="array" ref="F545:F546">{"TOTALSLOTS";(IF(D546="","","TotalSlots:"))}</f>
        <v>TOTALSLOTS</v>
      </c>
      <c r="G545" s="223" t="str">
        <f t="array" ref="G545:G546">{"TOTALCANTRIPSLOTS";(G542)}</f>
        <v>TOTALCANTRIPSLOTS</v>
      </c>
      <c r="H545" s="223" t="str">
        <f t="array" ref="H545:H546">{"TOTALSLOTS L01";(H542)}</f>
        <v>TOTALSLOTS L01</v>
      </c>
      <c r="I545" s="223" t="str">
        <f t="array" ref="I545:I546">{"TOTALSLOTS L02";(H546+I542)}</f>
        <v>TOTALSLOTS L02</v>
      </c>
      <c r="J545" s="223" t="str">
        <f t="array" ref="J545:J546">{"TOTALSLOTS L03";(I546+J542)}</f>
        <v>TOTALSLOTS L03</v>
      </c>
      <c r="K545" s="223" t="str">
        <f t="array" ref="K545:K546">{"TOTALSLOTS L04";(J546+K542)}</f>
        <v>TOTALSLOTS L04</v>
      </c>
      <c r="L545" s="223" t="str">
        <f t="array" ref="L545:L546">{"TOTALSLOTS L05";(K546+L542)}</f>
        <v>TOTALSLOTS L05</v>
      </c>
      <c r="M545" s="223" t="str">
        <f t="array" ref="M545:M546">{"TOTALSLOTS L06";(L546+M542)}</f>
        <v>TOTALSLOTS L06</v>
      </c>
      <c r="N545" s="223" t="str">
        <f t="array" ref="N545:N546">{"TOTALSLOTS L07";(M546+N542)}</f>
        <v>TOTALSLOTS L07</v>
      </c>
      <c r="O545" s="223" t="str">
        <f t="array" ref="O545:O546">{"TOTALSLOTS L08";(N546+O542)}</f>
        <v>TOTALSLOTS L08</v>
      </c>
      <c r="P545" s="223" t="str">
        <f t="array" ref="P545:P546">{"TOTALSLOTS L09";(O546+P542)}</f>
        <v>TOTALSLOTS L09</v>
      </c>
      <c r="Q545" s="223" t="str">
        <f t="array" ref="Q545:Q546">{"TOTALSLOTS L10";(P546+Q542)}</f>
        <v>TOTALSLOTS L10</v>
      </c>
      <c r="R545" s="223" t="str">
        <f t="array" ref="R545:R546">{"TOTALSLOTS L11";(Q546+R542)}</f>
        <v>TOTALSLOTS L11</v>
      </c>
      <c r="S545" s="223" t="str">
        <f t="array" ref="S545:S546">{"TOTALSLOTS L12";(R546+S542)}</f>
        <v>TOTALSLOTS L12</v>
      </c>
      <c r="T545" s="223" t="str">
        <f t="array" ref="T545:T546">{"TOTALSLOTS L13";(S546+T542)}</f>
        <v>TOTALSLOTS L13</v>
      </c>
      <c r="U545" s="223" t="str">
        <f t="array" ref="U545:U546">{"TOTALSLOTS L14";(T546+U542)}</f>
        <v>TOTALSLOTS L14</v>
      </c>
      <c r="V545" s="223" t="str">
        <f t="array" ref="V545:V546">{"TOTALSLOTS L15";(U546+V542)}</f>
        <v>TOTALSLOTS L15</v>
      </c>
      <c r="W545" s="223" t="str">
        <f t="array" ref="W545:W546">{"TOTALSLOTS L16";(V546+W542)}</f>
        <v>TOTALSLOTS L16</v>
      </c>
      <c r="X545" s="223" t="str">
        <f t="array" ref="X545:X546">{"TOTALSLOTS L17";(W546+X542)}</f>
        <v>TOTALSLOTS L17</v>
      </c>
      <c r="Y545" s="223" t="str">
        <f t="array" ref="Y545:Y546">{"TOTALSLOTS L18";(X546+Y542)}</f>
        <v>TOTALSLOTS L18</v>
      </c>
      <c r="Z545" s="223" t="str">
        <f t="array" ref="Z545:Z546">{"TOTALSLOTS L19";(Y546+Z542)}</f>
        <v>TOTALSLOTS L19</v>
      </c>
      <c r="AA545" s="223" t="str">
        <f t="array" ref="AA545:AA546">{"TOTALSLOTS L20";(Z546+AA542)}</f>
        <v>TOTALSLOTS L20</v>
      </c>
      <c r="AB545" s="76"/>
      <c r="AC545" s="76"/>
    </row>
    <row r="546">
      <c r="A546" s="48" t="s">
        <v>138</v>
      </c>
      <c r="B546" s="48"/>
      <c r="C546" s="48" t="s">
        <v>415</v>
      </c>
      <c r="D546" s="48" t="s">
        <v>603</v>
      </c>
      <c r="E546" s="48" t="s">
        <v>603</v>
      </c>
      <c r="F546" s="278" t="s">
        <v>603</v>
      </c>
      <c r="G546" s="280"/>
      <c r="H546" s="278"/>
      <c r="I546" s="278">
        <v>0.0</v>
      </c>
      <c r="J546" s="278">
        <v>0.0</v>
      </c>
      <c r="K546" s="278">
        <v>0.0</v>
      </c>
      <c r="L546" s="278">
        <v>0.0</v>
      </c>
      <c r="M546" s="278">
        <v>0.0</v>
      </c>
      <c r="N546" s="278">
        <v>0.0</v>
      </c>
      <c r="O546" s="278">
        <v>0.0</v>
      </c>
      <c r="P546" s="278">
        <v>0.0</v>
      </c>
      <c r="Q546" s="278">
        <v>0.0</v>
      </c>
      <c r="R546" s="278">
        <v>0.0</v>
      </c>
      <c r="S546" s="278">
        <v>0.0</v>
      </c>
      <c r="T546" s="278">
        <v>0.0</v>
      </c>
      <c r="U546" s="278">
        <v>0.0</v>
      </c>
      <c r="V546" s="278">
        <v>0.0</v>
      </c>
      <c r="W546" s="278">
        <v>0.0</v>
      </c>
      <c r="X546" s="278">
        <v>0.0</v>
      </c>
      <c r="Y546" s="278">
        <v>0.0</v>
      </c>
      <c r="Z546" s="278">
        <v>0.0</v>
      </c>
      <c r="AA546" s="278">
        <v>0.0</v>
      </c>
      <c r="AB546" s="5"/>
      <c r="AC546" s="47"/>
    </row>
    <row r="547" hidden="1">
      <c r="A547" s="222" t="str">
        <f t="array" ref="A547:A548">{"FormulaRow45";(INDEX(CLASSLIST,A458,1))}</f>
        <v>FormulaRow45</v>
      </c>
      <c r="B547" s="77" t="s">
        <v>236</v>
      </c>
      <c r="C547" s="222" t="str">
        <f t="array" ref="C547:C548">{"CLASSTYPE";((INDEX(ALLCLASSDATA,MATCH("ClassType",CLASSFEATUREHEADERS,0),MATCH($A548,CLASSNAMEHEADERS,0))))}</f>
        <v>CLASSTYPE</v>
      </c>
      <c r="D547" s="222" t="str">
        <f t="array" ref="D547:D548">{"SPELL/ALCHEMY";((IF(INDEX(ALLCLASSDATA,MATCH("CasterType",CLASSFEATUREHEADERS,0),MATCH(($A548),CLASSNAMEHEADERS,0))="","",(IF(INDEX(ALLCLASSDATA,MATCH("CasterType",CLASSFEATUREHEADERS,0),MATCH(($A548),CLASSNAMEHEADERS,0))="Alchemy","Alchemy","Spells")))))}</f>
        <v>SPELL/ALCHEMY</v>
      </c>
      <c r="E547" s="222" t="str">
        <f t="array" ref="E547:E548">{"SPELLLIST";(IF(D548="Spells",((INDEX(ALLCLASSDATA,MATCH("CasterType",CLASSFEATUREHEADERS,0),MATCH(($A548),CLASSNAMEHEADERS,0))) &amp; ":" &amp; (INDEX(ALLCLASSDATA,MATCH("SpellList",CLASSFEATUREHEADERS,0),MATCH(($A548),CLASSNAMEHEADERS,0)))),""))}</f>
        <v>SPELLLIST</v>
      </c>
      <c r="F547" s="223" t="str">
        <f t="array" ref="F547:F548">{"TOTALLEARNED";(IF(D548="","","TotalLearned:"))}</f>
        <v>TOTALLEARNED</v>
      </c>
      <c r="G547" s="223" t="str">
        <f t="array" ref="G547:G548">{"TOTALCANTRIPSLEARNED";(G544)}</f>
        <v>TOTALCANTRIPSLEARNED</v>
      </c>
      <c r="H547" s="223" t="str">
        <f t="array" ref="H547:H548">{"TOTALLEARNED L01";(H544)}</f>
        <v>TOTALLEARNED L01</v>
      </c>
      <c r="I547" s="223" t="str">
        <f t="array" ref="I547:I548">{"TOTALLEARNED L02";(H548+I544)}</f>
        <v>TOTALLEARNED L02</v>
      </c>
      <c r="J547" s="223" t="str">
        <f t="array" ref="J547:J548">{"TOTALLEARNED L03";(I548+J544)}</f>
        <v>TOTALLEARNED L03</v>
      </c>
      <c r="K547" s="223" t="str">
        <f t="array" ref="K547:K548">{"TOTALLEARNED L04";(J548+K544)}</f>
        <v>TOTALLEARNED L04</v>
      </c>
      <c r="L547" s="223" t="str">
        <f t="array" ref="L547:L548">{"TOTALLEARNED L05";(K548+L544)}</f>
        <v>TOTALLEARNED L05</v>
      </c>
      <c r="M547" s="223" t="str">
        <f t="array" ref="M547:M548">{"TOTALLEARNED L06";(L548+M544)}</f>
        <v>TOTALLEARNED L06</v>
      </c>
      <c r="N547" s="223" t="str">
        <f t="array" ref="N547:N548">{"TOTALLEARNED L07";(M548+N544)}</f>
        <v>TOTALLEARNED L07</v>
      </c>
      <c r="O547" s="223" t="str">
        <f t="array" ref="O547:O548">{"TOTALLEARNED L08";(N548+O544)}</f>
        <v>TOTALLEARNED L08</v>
      </c>
      <c r="P547" s="223" t="str">
        <f t="array" ref="P547:P548">{"TOTALLEARNED L09";(O548+P544)}</f>
        <v>TOTALLEARNED L09</v>
      </c>
      <c r="Q547" s="223" t="str">
        <f t="array" ref="Q547:Q548">{"TOTALLEARNED L10";(P548+Q544)}</f>
        <v>TOTALLEARNED L10</v>
      </c>
      <c r="R547" s="223" t="str">
        <f t="array" ref="R547:R548">{"TOTALLEARNED L11";(Q548+R544)}</f>
        <v>TOTALLEARNED L11</v>
      </c>
      <c r="S547" s="223" t="str">
        <f t="array" ref="S547:S548">{"TOTALLEARNED L12";(R548+S544)}</f>
        <v>TOTALLEARNED L12</v>
      </c>
      <c r="T547" s="223" t="str">
        <f t="array" ref="T547:T548">{"TOTALLEARNED L13";(S548+T544)}</f>
        <v>TOTALLEARNED L13</v>
      </c>
      <c r="U547" s="223" t="str">
        <f t="array" ref="U547:U548">{"TOTALLEARNED L14";(T548+U544)}</f>
        <v>TOTALLEARNED L14</v>
      </c>
      <c r="V547" s="223" t="str">
        <f t="array" ref="V547:V548">{"TOTALLEARNED L15";(U548+V544)}</f>
        <v>TOTALLEARNED L15</v>
      </c>
      <c r="W547" s="223" t="str">
        <f t="array" ref="W547:W548">{"TOTALLEARNED L16";(V548+W544)}</f>
        <v>TOTALLEARNED L16</v>
      </c>
      <c r="X547" s="223" t="str">
        <f t="array" ref="X547:X548">{"TOTALLEARNED L17";(W548+X544)}</f>
        <v>TOTALLEARNED L17</v>
      </c>
      <c r="Y547" s="223" t="str">
        <f t="array" ref="Y547:Y548">{"TOTALLEARNED L18";(X548+Y544)}</f>
        <v>TOTALLEARNED L18</v>
      </c>
      <c r="Z547" s="223" t="str">
        <f t="array" ref="Z547:Z548">{"TOTALLEARNED L19";(Y548+Z544)}</f>
        <v>TOTALLEARNED L19</v>
      </c>
      <c r="AA547" s="223" t="str">
        <f t="array" ref="AA547:AA548">{"TOTALLEARNED L20";(Z548+AA544)}</f>
        <v>TOTALLEARNED L20</v>
      </c>
      <c r="AB547" s="76"/>
      <c r="AC547" s="76"/>
    </row>
    <row r="548">
      <c r="A548" s="97" t="s">
        <v>138</v>
      </c>
      <c r="B548" s="97"/>
      <c r="C548" s="97" t="s">
        <v>415</v>
      </c>
      <c r="D548" s="97" t="s">
        <v>603</v>
      </c>
      <c r="E548" s="97" t="s">
        <v>603</v>
      </c>
      <c r="F548" s="281" t="s">
        <v>603</v>
      </c>
      <c r="G548" s="282"/>
      <c r="H548" s="278"/>
      <c r="I548" s="278">
        <v>0.0</v>
      </c>
      <c r="J548" s="278">
        <v>0.0</v>
      </c>
      <c r="K548" s="278">
        <v>0.0</v>
      </c>
      <c r="L548" s="278">
        <v>0.0</v>
      </c>
      <c r="M548" s="278">
        <v>0.0</v>
      </c>
      <c r="N548" s="278">
        <v>0.0</v>
      </c>
      <c r="O548" s="278">
        <v>0.0</v>
      </c>
      <c r="P548" s="278">
        <v>0.0</v>
      </c>
      <c r="Q548" s="278">
        <v>0.0</v>
      </c>
      <c r="R548" s="278">
        <v>0.0</v>
      </c>
      <c r="S548" s="278">
        <v>0.0</v>
      </c>
      <c r="T548" s="278">
        <v>0.0</v>
      </c>
      <c r="U548" s="278">
        <v>0.0</v>
      </c>
      <c r="V548" s="278">
        <v>0.0</v>
      </c>
      <c r="W548" s="278">
        <v>0.0</v>
      </c>
      <c r="X548" s="278">
        <v>0.0</v>
      </c>
      <c r="Y548" s="278">
        <v>0.0</v>
      </c>
      <c r="Z548" s="278">
        <v>0.0</v>
      </c>
      <c r="AA548" s="278">
        <v>0.0</v>
      </c>
      <c r="AB548" s="5"/>
      <c r="AC548" s="47"/>
    </row>
    <row r="549">
      <c r="A549" s="55">
        <f>VLOOKUP($C549, CLASSNUMBERFINDER, 2, false)</f>
        <v>7</v>
      </c>
      <c r="B549" s="58"/>
      <c r="C549" s="70" t="s">
        <v>144</v>
      </c>
      <c r="D549" s="71"/>
      <c r="E549" s="71"/>
      <c r="F549" s="71"/>
      <c r="G549" s="72"/>
      <c r="H549" s="71"/>
      <c r="I549" s="71"/>
      <c r="J549" s="71"/>
      <c r="K549" s="71"/>
      <c r="L549" s="71"/>
      <c r="M549" s="71"/>
      <c r="N549" s="71"/>
      <c r="O549" s="71"/>
      <c r="P549" s="71"/>
      <c r="Q549" s="71"/>
      <c r="R549" s="71"/>
      <c r="S549" s="71"/>
      <c r="T549" s="71"/>
      <c r="U549" s="71"/>
      <c r="V549" s="71"/>
      <c r="W549" s="71"/>
      <c r="X549" s="71"/>
      <c r="Y549" s="71"/>
      <c r="Z549" s="71"/>
      <c r="AA549" s="71"/>
      <c r="AB549" s="71"/>
      <c r="AC549" s="73"/>
    </row>
    <row r="550" hidden="1">
      <c r="A550" s="76" t="str">
        <f t="array" ref="A550:A551">{"FormulaRow01";(INDEX(CLASSLIST,A549,1))}</f>
        <v>FormulaRow01</v>
      </c>
      <c r="B550" s="77" t="s">
        <v>236</v>
      </c>
      <c r="C550" s="76" t="str">
        <f t="array" ref="C550:C551">{"CLASSTYPE";(INDEX(ALLCLASSDATA,MATCH("ClassType",CLASSFEATUREHEADERS,0),MATCH($A551,CLASSNAMEHEADERS,0)))}</f>
        <v>CLASSTYPE</v>
      </c>
      <c r="D550" s="81" t="str">
        <f t="array" ref="D550:D551">{"TOTAL";("Total: " &amp; H551+J551+L551+N551+P551+R551+T551+V551+X551+Z551)}</f>
        <v>TOTAL</v>
      </c>
      <c r="E550" s="81" t="str">
        <f t="array" ref="E550:E551">{"BALANCE";(IF((H551+J551+L551+N551+P551+R551+T551+V551+X551+Z551)=2100,"(balanced)",(IF((H551+J551+L551+N551+P551+R551+T551+V551+X551+Z551)&gt;2100,"OVERBUDGET: ","UNDERBUDGET: ")) &amp; (H551+J551+L551+N551+P551+R551+T551+V551+X551+Z551-2100)))}</f>
        <v>BALANCE</v>
      </c>
      <c r="F550" s="81"/>
      <c r="G550" s="81"/>
      <c r="H550" s="81" t="str">
        <f t="array" ref="H550:H551">{"SUM LVL0/1/2";((SUMIF(F552:I631,"&lt;&gt;#REF!")+(SUMIF(J552:AA559,"&lt;&gt;#REF!"))))}</f>
        <v>SUM LVL0/1/2</v>
      </c>
      <c r="I550" s="81"/>
      <c r="J550" s="81" t="str">
        <f t="array" ref="J550:J551">{"SUM LVL3/4";(SUMIF(J560:K631,"&lt;&gt;#REF!"))}</f>
        <v>SUM LVL3/4</v>
      </c>
      <c r="K550" s="81"/>
      <c r="L550" s="81" t="str">
        <f t="array" ref="L550:L551">{"SUM LVL5/6";(SUMIF(L560:M631,"&lt;&gt;#REF!"))}</f>
        <v>SUM LVL5/6</v>
      </c>
      <c r="M550" s="81"/>
      <c r="N550" s="81" t="str">
        <f t="array" ref="N550:N551">{"SUM LVL7/8";(SUMIF(N560:O631,"&lt;&gt;#REF!"))}</f>
        <v>SUM LVL7/8</v>
      </c>
      <c r="O550" s="81"/>
      <c r="P550" s="81" t="str">
        <f t="array" ref="P550:P551">{"SUM LVL9/10";(SUMIF(P560:Q631,"&lt;&gt;#REF!"))}</f>
        <v>SUM LVL9/10</v>
      </c>
      <c r="Q550" s="81"/>
      <c r="R550" s="81" t="str">
        <f t="array" ref="R550:R551">{"SUM LVL11/12";(SUMIF(R560:S631,"&lt;&gt;#REF!"))}</f>
        <v>SUM LVL11/12</v>
      </c>
      <c r="S550" s="81"/>
      <c r="T550" s="81" t="str">
        <f t="array" ref="T550:T551">{"SUM LVL13/14";(SUMIF(T560:U631,"&lt;&gt;#REF!"))}</f>
        <v>SUM LVL13/14</v>
      </c>
      <c r="U550" s="81"/>
      <c r="V550" s="81" t="str">
        <f t="array" ref="V550:V551">{"SUM LVL15/16";(SUMIF(V560:W631,"&lt;&gt;#REF!"))}</f>
        <v>SUM LVL15/16</v>
      </c>
      <c r="W550" s="81"/>
      <c r="X550" s="81" t="str">
        <f t="array" ref="X550:X551">{"SUM LVL17/18";(SUMIF(X560:Y631,"&lt;&gt;#REF!"))}</f>
        <v>SUM LVL17/18</v>
      </c>
      <c r="Y550" s="81"/>
      <c r="Z550" s="81" t="str">
        <f t="array" ref="Z550:Z551">{"SUM LVL19/20";(SUMIF(Z560:AA631,"&lt;&gt;#REF!"))}</f>
        <v>SUM LVL19/20</v>
      </c>
      <c r="AA550" s="81"/>
      <c r="AB550" s="76"/>
      <c r="AC550" s="76" t="str">
        <f t="array" ref="AC550:AC551">{"SUM ROWTOTALS";(SUMIF(AC553:AC639,"&lt;&gt;#REF!"))}</f>
        <v>SUM ROWTOTALS</v>
      </c>
    </row>
    <row r="551">
      <c r="A551" s="48" t="s">
        <v>144</v>
      </c>
      <c r="B551" s="48"/>
      <c r="C551" s="48" t="s">
        <v>409</v>
      </c>
      <c r="D551" s="91" t="s">
        <v>416</v>
      </c>
      <c r="E551" s="92" t="s">
        <v>419</v>
      </c>
      <c r="F551" s="91"/>
      <c r="G551" s="93"/>
      <c r="H551" s="92">
        <v>450.0</v>
      </c>
      <c r="I551" s="92"/>
      <c r="J551" s="92">
        <v>40.0</v>
      </c>
      <c r="K551" s="92"/>
      <c r="L551" s="92">
        <v>60.0</v>
      </c>
      <c r="M551" s="92"/>
      <c r="N551" s="92">
        <v>190.0</v>
      </c>
      <c r="O551" s="92"/>
      <c r="P551" s="92">
        <v>70.0</v>
      </c>
      <c r="Q551" s="92"/>
      <c r="R551" s="92">
        <v>220.0</v>
      </c>
      <c r="S551" s="92"/>
      <c r="T551" s="92">
        <v>360.0</v>
      </c>
      <c r="U551" s="92"/>
      <c r="V551" s="92">
        <v>270.0</v>
      </c>
      <c r="W551" s="92"/>
      <c r="X551" s="92">
        <v>200.0</v>
      </c>
      <c r="Y551" s="92"/>
      <c r="Z551" s="92">
        <v>240.0</v>
      </c>
      <c r="AA551" s="92"/>
      <c r="AB551" s="5"/>
      <c r="AC551" s="47">
        <v>2100.0</v>
      </c>
    </row>
    <row r="552" hidden="1">
      <c r="A552" s="76" t="str">
        <f t="array" ref="A552:A553">{"FormulaRow02";(INDEX(CLASSLIST,A549,1))}</f>
        <v>FormulaRow02</v>
      </c>
      <c r="B552" s="77" t="s">
        <v>236</v>
      </c>
      <c r="C552" s="76" t="str">
        <f t="array" ref="C552:C553">{"CLASSTYPE";((INDEX(ALLCLASSDATA,MATCH("ClassType",CLASSFEATUREHEADERS,0),MATCH($A553,CLASSNAMEHEADERS,0))))}</f>
        <v>CLASSTYPE</v>
      </c>
      <c r="D552" s="81" t="str">
        <f t="array" ref="D552:D553">{"FEATURES";"Features"}</f>
        <v>FEATURES</v>
      </c>
      <c r="E552" s="81" t="str">
        <f t="array" ref="E552:E553">{"INITIALFEATURES";"Initial Features"}</f>
        <v>INITIALFEATURES</v>
      </c>
      <c r="F552" s="81" t="str">
        <f t="array" ref="F552:F553">{"KEY";"Key"}</f>
        <v>KEY</v>
      </c>
      <c r="G552" s="81" t="str">
        <f t="array" ref="G552:G553">{"HP";"HP"}</f>
        <v>HP</v>
      </c>
      <c r="H552" s="81" t="str">
        <f t="array" ref="H552:H553">{"CLASSFEATL01";"ClassFeatL01"}</f>
        <v>CLASSFEATL01</v>
      </c>
      <c r="I552" s="81" t="str">
        <f t="array" ref="I552:I553">{"SHIELDBLOCKL01";"ShieldBlockL01"}</f>
        <v>SHIELDBLOCKL01</v>
      </c>
      <c r="J552" s="81" t="str">
        <f t="array" ref="J552:J553">{"INITIALSKILLS";"InitialSkills"}</f>
        <v>INITIALSKILLS</v>
      </c>
      <c r="K552" s="81" t="str">
        <f t="array" ref="K552:K553">{"SUBCLASSSKILLS";"SubclassSkills"}</f>
        <v>SUBCLASSSKILLS</v>
      </c>
      <c r="L552" s="81" t="str">
        <f t="array" ref="L552:L553">{"GRANTEDSKILLS";"GrantedSkills"}</f>
        <v>GRANTEDSKILLS</v>
      </c>
      <c r="M552" s="81"/>
      <c r="N552" s="81"/>
      <c r="O552" s="81"/>
      <c r="P552" s="81" t="str">
        <f t="array" ref="P552:P553">{"FOCUSSPELLS";"FocusSpells:"}</f>
        <v>FOCUSSPELLS</v>
      </c>
      <c r="Q552" s="81" t="str">
        <f t="array" ref="Q552:Q553">{"FOCUSSPELL1-L00";((INDEX(ALLCLASSDATA,MATCH("FocusSpell1-L00",CLASSFEATUREHEADERS,0),MATCH(($A553),CLASSNAMEHEADERS,0))))}</f>
        <v>FOCUSSPELL1-L00</v>
      </c>
      <c r="R552" s="81" t="str">
        <f t="array" ref="R552:R553">{"FOCUSSPELL2-L00";((INDEX(ALLCLASSDATA,MATCH("FocusSpell2-L00",CLASSFEATUREHEADERS,0),MATCH(($A553),CLASSNAMEHEADERS,0))))}</f>
        <v>FOCUSSPELL2-L00</v>
      </c>
      <c r="S552" s="81" t="str">
        <f t="array" ref="S552:S553">{"FOCUSSPELL3-L00";((INDEX(ALLCLASSDATA,MATCH("FocusSpell3-L00",CLASSFEATUREHEADERS,0),MATCH(($A553),CLASSNAMEHEADERS,0))))}</f>
        <v>FOCUSSPELL3-L00</v>
      </c>
      <c r="T552" s="81" t="str">
        <f t="array" ref="T552:T553">{"FOCUSSPELL4-L00";((INDEX(ALLCLASSDATA,MATCH("FocusSpell4-L00",CLASSFEATUREHEADERS,0),MATCH(($A553),CLASSNAMEHEADERS,0))))}</f>
        <v>FOCUSSPELL4-L00</v>
      </c>
      <c r="U552" s="81" t="str">
        <f t="array" ref="U552:U553">{"FOCUSSPELL5-L00";((INDEX(ALLCLASSDATA,MATCH("FocusSpell5-L00",CLASSFEATUREHEADERS,0),MATCH(($A553),CLASSNAMEHEADERS,0))))}</f>
        <v>FOCUSSPELL5-L00</v>
      </c>
      <c r="V552" s="81"/>
      <c r="W552" s="81"/>
      <c r="X552" s="81"/>
      <c r="Y552" s="81"/>
      <c r="Z552" s="81"/>
      <c r="AA552" s="81"/>
      <c r="AB552" s="76"/>
      <c r="AC552" s="76"/>
    </row>
    <row r="553">
      <c r="A553" s="48" t="s">
        <v>144</v>
      </c>
      <c r="B553" s="48"/>
      <c r="C553" s="48" t="s">
        <v>409</v>
      </c>
      <c r="D553" s="48" t="s">
        <v>467</v>
      </c>
      <c r="E553" s="48" t="s">
        <v>468</v>
      </c>
      <c r="F553" s="48" t="s">
        <v>469</v>
      </c>
      <c r="G553" s="114" t="s">
        <v>15</v>
      </c>
      <c r="H553" s="8" t="s">
        <v>451</v>
      </c>
      <c r="I553" s="8" t="s">
        <v>463</v>
      </c>
      <c r="J553" s="8" t="s">
        <v>473</v>
      </c>
      <c r="K553" s="8" t="s">
        <v>474</v>
      </c>
      <c r="L553" s="8" t="s">
        <v>475</v>
      </c>
      <c r="M553" s="8"/>
      <c r="N553" s="8"/>
      <c r="O553" s="8"/>
      <c r="P553" s="8" t="s">
        <v>476</v>
      </c>
      <c r="Q553" s="116"/>
      <c r="R553" s="116"/>
      <c r="S553" s="116"/>
      <c r="T553" s="116"/>
      <c r="U553" s="116"/>
      <c r="V553" s="8"/>
      <c r="W553" s="8"/>
      <c r="X553" s="8"/>
      <c r="Y553" s="8"/>
      <c r="Z553" s="5"/>
      <c r="AA553" s="5"/>
      <c r="AB553" s="5"/>
      <c r="AC553" s="47"/>
    </row>
    <row r="554" hidden="1">
      <c r="A554" s="76" t="str">
        <f t="array" ref="A554:A555">{"FormulaRow03";(INDEX(CLASSLIST,A549,1))}</f>
        <v>FormulaRow03</v>
      </c>
      <c r="B554" s="77" t="s">
        <v>236</v>
      </c>
      <c r="C554" s="76" t="str">
        <f t="array" ref="C554:C555">{"CLASSTYPE";((INDEX(ALLCLASSDATA,MATCH("ClassType",CLASSFEATUREHEADERS,0),MATCH($A555,CLASSNAMEHEADERS,0))))}</f>
        <v>CLASSTYPE</v>
      </c>
      <c r="D554" s="76" t="str">
        <f t="array" ref="D554:D555">{"FEATUREPTS";"FeaturesPts"}</f>
        <v>FEATUREPTS</v>
      </c>
      <c r="E554" s="76" t="str">
        <f t="array" ref="E554:E555">{"INITIALFEATURES";"Initial Features"}</f>
        <v>INITIALFEATURES</v>
      </c>
      <c r="F554" s="76" t="str">
        <f t="array" ref="F554:F555">{"KEYABILITY";((INDEX(ALLCLASSDATA,MATCH("KEYABILITY",CLASSFEATUREHEADERS,0),MATCH($A555,CLASSNAMEHEADERS,0))))}</f>
        <v>KEYABILITY</v>
      </c>
      <c r="G554" s="76" t="str">
        <f t="array" ref="G554:G555">{"HP";((INDEX(ALLCLASSDATA,MATCH("HP",CLASSFEATUREHEADERS,0),MATCH(($A555 &amp; "Points"),CLASSNAMEHEADERS,0))))}</f>
        <v>HP</v>
      </c>
      <c r="H554" s="76" t="str">
        <f t="array" ref="H554:H555">{"CLASSFEATL01";((INDEX(ALLCLASSDATA,MATCH("ClassFeatL01",CLASSFEATUREHEADERS,0),MATCH(($A555 &amp; "Points"),CLASSNAMEHEADERS,0))))}</f>
        <v>CLASSFEATL01</v>
      </c>
      <c r="I554" s="76" t="str">
        <f t="array" ref="I554:I555">{"SHIELDBLOCKL01";((INDEX(ALLCLASSDATA,MATCH("ShieldBlockL01",CLASSFEATUREHEADERS,0),MATCH(($A555 &amp; "Points"),CLASSNAMEHEADERS,0))))}</f>
        <v>SHIELDBLOCKL01</v>
      </c>
      <c r="J554" s="76" t="str">
        <f t="array" ref="J554:J555">{"INITIALSKILLINCREASES";((INDEX(ALLCLASSDATA,MATCH("InitialSkillIncreases",CLASSFEATUREHEADERS,0),MATCH(($A555 &amp; "Points"),CLASSNAMEHEADERS,0))))}</f>
        <v>INITIALSKILLINCREASES</v>
      </c>
      <c r="K554" s="76" t="str">
        <f t="array" ref="K554:K555">{"SUBCLASSSKILLINCREASES";((INDEX(ALLCLASSDATA,MATCH("SubclassSkillIncreases",CLASSFEATUREHEADERS,0),MATCH(($A555 &amp; "Points"),CLASSNAMEHEADERS,0))))}</f>
        <v>SUBCLASSSKILLINCREASES</v>
      </c>
      <c r="L554" s="76" t="str">
        <f t="array" ref="L554:L555">{"GRANTEDSKILLS";(((INDEX(ALLCLASSDATA,MATCH("SkillsGrantedTotal",CLASSFEATUREHEADERS,0),MATCH(($A555 &amp; "Points"),CLASSNAMEHEADERS,0)))-(INDEX(ALLCLASSDATA,MATCH("InitialSkillIncreases",CLASSFEATUREHEADERS,0),MATCH(($A555 &amp; "Points"),CLASSNAMEHEADERS,0)))-(INDEX(ALLCLASSDATA,MATCH("SubclassSkillIncreases",CLASSFEATUREHEADERS,0),MATCH(($A555 &amp; "Points"),CLASSNAMEHEADERS,0)))))}</f>
        <v>GRANTEDSKILLS</v>
      </c>
      <c r="M554" s="76"/>
      <c r="N554" s="76"/>
      <c r="O554" s="76"/>
      <c r="P554" s="76"/>
      <c r="Q554" s="76" t="str">
        <f t="array" ref="Q554:Q555">{"FOCUSSPELL1-L00";((INDEX(ALLCLASSDATA,MATCH("FocusSpell1-L00",CLASSFEATUREHEADERS,0),MATCH(($A555 &amp; "Points"),CLASSNAMEHEADERS,0))))}</f>
        <v>FOCUSSPELL1-L00</v>
      </c>
      <c r="R554" s="76" t="str">
        <f t="array" ref="R554:R555">{"FOCUSSPELL2-L00";((INDEX(ALLCLASSDATA,MATCH("FocusSpell2-L00",CLASSFEATUREHEADERS,0),MATCH(($A555 &amp; "Points"),CLASSNAMEHEADERS,0))))}</f>
        <v>FOCUSSPELL2-L00</v>
      </c>
      <c r="S554" s="76" t="str">
        <f t="array" ref="S554:S555">{"FOCUSSPELL3-L00";((INDEX(ALLCLASSDATA,MATCH("FocusSpell3-L00",CLASSFEATUREHEADERS,0),MATCH(($A555 &amp; "Points"),CLASSNAMEHEADERS,0))))}</f>
        <v>FOCUSSPELL3-L00</v>
      </c>
      <c r="T554" s="76" t="str">
        <f t="array" ref="T554:T555">{"FOCUSSPELL4-L00";((INDEX(ALLCLASSDATA,MATCH("FocusSpell4-L00",CLASSFEATUREHEADERS,0),MATCH(($A555 &amp; "Points"),CLASSNAMEHEADERS,0))))}</f>
        <v>FOCUSSPELL4-L00</v>
      </c>
      <c r="U554" s="76" t="str">
        <f t="array" ref="U554:U555">{"FOCUSSPELL5-L00";((INDEX(ALLCLASSDATA,MATCH("FocusSpell5-L00",CLASSFEATUREHEADERS,0),MATCH(($A555 &amp; "Points"),CLASSNAMEHEADERS,0))))}</f>
        <v>FOCUSSPELL5-L00</v>
      </c>
      <c r="V554" s="76"/>
      <c r="W554" s="76"/>
      <c r="X554" s="76"/>
      <c r="Y554" s="76"/>
      <c r="Z554" s="76"/>
      <c r="AA554" s="76"/>
      <c r="AB554" s="76"/>
      <c r="AC554" s="76" t="str">
        <f t="array" ref="AC554:AC555">{"FEATUREPTS TOTAL";(sum(G555:AA555))}</f>
        <v>FEATUREPTS TOTAL</v>
      </c>
    </row>
    <row r="555">
      <c r="A555" s="48" t="s">
        <v>144</v>
      </c>
      <c r="B555" s="48"/>
      <c r="C555" s="48" t="s">
        <v>409</v>
      </c>
      <c r="D555" s="97" t="s">
        <v>559</v>
      </c>
      <c r="E555" s="97" t="s">
        <v>468</v>
      </c>
      <c r="F555" s="97" t="s">
        <v>262</v>
      </c>
      <c r="G555" s="132">
        <v>80.0</v>
      </c>
      <c r="H555" s="98">
        <v>10.0</v>
      </c>
      <c r="I555" s="98" t="s">
        <v>603</v>
      </c>
      <c r="J555" s="98">
        <v>20.0</v>
      </c>
      <c r="K555" s="98">
        <v>0.0</v>
      </c>
      <c r="L555" s="98">
        <v>5.0</v>
      </c>
      <c r="M555" s="98"/>
      <c r="N555" s="98"/>
      <c r="O555" s="98"/>
      <c r="P555" s="98"/>
      <c r="Q555" s="98"/>
      <c r="R555" s="98"/>
      <c r="S555" s="98"/>
      <c r="T555" s="98"/>
      <c r="U555" s="98"/>
      <c r="V555" s="98"/>
      <c r="W555" s="98"/>
      <c r="X555" s="98"/>
      <c r="Y555" s="98"/>
      <c r="Z555" s="98"/>
      <c r="AA555" s="98"/>
      <c r="AB555" s="5"/>
      <c r="AC555" s="47">
        <v>115.0</v>
      </c>
    </row>
    <row r="556" hidden="1">
      <c r="A556" s="76" t="str">
        <f t="array" ref="A556:A557">{"FormulaRow04";(INDEX(CLASSLIST,A549,1))}</f>
        <v>FormulaRow04</v>
      </c>
      <c r="B556" s="77" t="s">
        <v>236</v>
      </c>
      <c r="C556" s="76" t="str">
        <f t="array" ref="C556:C557">{"CLASSTYPE";((INDEX(ALLCLASSDATA,MATCH("ClassType",CLASSFEATUREHEADERS,0),MATCH($A557,CLASSNAMEHEADERS,0))))}</f>
        <v>CLASSTYPE</v>
      </c>
      <c r="D556" s="81" t="str">
        <f t="array" ref="D556:D557">{"INITIALFEATURES";"InitialFeatures"}</f>
        <v>INITIALFEATURES</v>
      </c>
      <c r="E556" s="81" t="str">
        <f t="array" ref="E556:E557">{"CLASS/SUBCLASSFEATURES";"Class/Subclass Features"}</f>
        <v>CLASS/SUBCLASSFEATURES</v>
      </c>
      <c r="F556" s="81"/>
      <c r="G556" s="136"/>
      <c r="H556" s="81" t="str">
        <f t="array" ref="H556:H557">{"CLASSINITIALABILITY1-L00";((INDEX(ALLCLASSDATA,MATCH("ClassInitialAbility1-L00",CLASSFEATUREHEADERS,0),MATCH(($A557),CLASSNAMEHEADERS,0))))}</f>
        <v>CLASSINITIALABILITY1-L00</v>
      </c>
      <c r="I556" s="81" t="str">
        <f t="array" ref="I556:I557">{"CLASSINITIALABILITY2-L00";((INDEX(ALLCLASSDATA,MATCH("ClassInitialAbility2-L00",CLASSFEATUREHEADERS,0),MATCH(($A557),CLASSNAMEHEADERS,0))))}</f>
        <v>CLASSINITIALABILITY2-L00</v>
      </c>
      <c r="J556" s="81" t="str">
        <f t="array" ref="J556:J557">{"CLASSINITIALABILITY3-L00";((INDEX(ALLCLASSDATA,MATCH("ClassInitialAbility3-L00",CLASSFEATUREHEADERS,0),MATCH(($A557),CLASSNAMEHEADERS,0))))}</f>
        <v>CLASSINITIALABILITY3-L00</v>
      </c>
      <c r="K556" s="81" t="str">
        <f t="array" ref="K556:K557">{"CLASSINITIALABILITY4-L00";((INDEX(ALLCLASSDATA,MATCH("ClassInitialAbility4-L00",CLASSFEATUREHEADERS,0),MATCH(($A557),CLASSNAMEHEADERS,0))))}</f>
        <v>CLASSINITIALABILITY4-L00</v>
      </c>
      <c r="L556" s="81" t="str">
        <f t="array" ref="L556:L557">{"CLASSINITIALABILITY5-L00";((INDEX(ALLCLASSDATA,MATCH("ClassInitialAbility5-L00",CLASSFEATUREHEADERS,0),MATCH(($A557),CLASSNAMEHEADERS,0))))}</f>
        <v>CLASSINITIALABILITY5-L00</v>
      </c>
      <c r="M556" s="81" t="str">
        <f t="array" ref="M556:M557">{"CLASSINITIALABILITY6-L00";((INDEX(ALLCLASSDATA,MATCH("ClassInitialAbility6-L00",CLASSFEATUREHEADERS,0),MATCH(($A557),CLASSNAMEHEADERS,0))))}</f>
        <v>CLASSINITIALABILITY6-L00</v>
      </c>
      <c r="N556" s="81" t="str">
        <f t="array" ref="N556:N557">{"CLASSINITIALABILITY7-L00";((INDEX(ALLCLASSDATA,MATCH("ClassInitialAbility7-L00",CLASSFEATUREHEADERS,0),MATCH(($A557),CLASSNAMEHEADERS,0))))}</f>
        <v>CLASSINITIALABILITY7-L00</v>
      </c>
      <c r="O556" s="81" t="str">
        <f t="array" ref="O556:O557">{"CLASSINITIALABILITY8-L00";((INDEX(ALLCLASSDATA,MATCH("ClassInitialAbility8-L00",CLASSFEATUREHEADERS,0),MATCH(($A557),CLASSNAMEHEADERS,0))))}</f>
        <v>CLASSINITIALABILITY8-L00</v>
      </c>
      <c r="P556" s="81" t="str">
        <f t="array" ref="P556:P557">{"CLASSINITIALABILITY9-L00";((INDEX(ALLCLASSDATA,MATCH("ClassInitialAbility9-L00",CLASSFEATUREHEADERS,0),MATCH(($A557),CLASSNAMEHEADERS,0))))}</f>
        <v>CLASSINITIALABILITY9-L00</v>
      </c>
      <c r="Q556" s="81" t="str">
        <f t="array" ref="Q556:Q557">{"CLASSINITIALABILITY10-L00";((INDEX(ALLCLASSDATA,MATCH("ClassInitialAbility10-L00",CLASSFEATUREHEADERS,0),MATCH(($A557),CLASSNAMEHEADERS,0))))}</f>
        <v>CLASSINITIALABILITY10-L00</v>
      </c>
      <c r="R556" s="81" t="str">
        <f t="array" ref="R556:R557">{"SUBCLASSINITIAL1-L00";((INDEX(ALLCLASSDATA,MATCH("SubclassInitial1-L00",CLASSFEATUREHEADERS,0),MATCH(($A557),CLASSNAMEHEADERS,0))))}</f>
        <v>SUBCLASSINITIAL1-L00</v>
      </c>
      <c r="S556" s="81" t="str">
        <f t="array" ref="S556:S557">{"SUBCLASSINITIAL2-L00";((INDEX(ALLCLASSDATA,MATCH("SubclassInitial2-L00",CLASSFEATUREHEADERS,0),MATCH(($A557),CLASSNAMEHEADERS,0))))}</f>
        <v>SUBCLASSINITIAL2-L00</v>
      </c>
      <c r="T556" s="81" t="str">
        <f t="array" ref="T556:T557">{"SUBCLASSINITIAL3-L00";((INDEX(ALLCLASSDATA,MATCH("SubclassInitial3-L00",CLASSFEATUREHEADERS,0),MATCH(($A557),CLASSNAMEHEADERS,0))))}</f>
        <v>SUBCLASSINITIAL3-L00</v>
      </c>
      <c r="U556" s="81" t="str">
        <f t="array" ref="U556:U557">{"SUBCLASSINITIAL4-L00";((INDEX(ALLCLASSDATA,MATCH("SubclassInitial4-L00",CLASSFEATUREHEADERS,0),MATCH(($A557),CLASSNAMEHEADERS,0))))}</f>
        <v>SUBCLASSINITIAL4-L00</v>
      </c>
      <c r="V556" s="81" t="str">
        <f t="array" ref="V556:V557">{"SUBCLASSINITIAL5-L00";((INDEX(ALLCLASSDATA,MATCH("SubclassInitial5-L00",CLASSFEATUREHEADERS,0),MATCH(($A557),CLASSNAMEHEADERS,0))))}</f>
        <v>SUBCLASSINITIAL5-L00</v>
      </c>
      <c r="W556" s="81" t="str">
        <f t="array" ref="W556:W557">{"SUBCLASSINITIAL6-L00";((INDEX(ALLCLASSDATA,MATCH("SubclassInitial6-L00",CLASSFEATUREHEADERS,0),MATCH(($A557),CLASSNAMEHEADERS,0))))}</f>
        <v>SUBCLASSINITIAL6-L00</v>
      </c>
      <c r="X556" s="81" t="str">
        <f t="array" ref="X556:X557">{"SUBCLASSINITIAL7-L00";((INDEX(ALLCLASSDATA,MATCH("SubclassInitial7-L00",CLASSFEATUREHEADERS,0),MATCH(($A557),CLASSNAMEHEADERS,0))))}</f>
        <v>SUBCLASSINITIAL7-L00</v>
      </c>
      <c r="Y556" s="81" t="str">
        <f t="array" ref="Y556:Y557">{"SUBCLASSINITIAL8-L00";((INDEX(ALLCLASSDATA,MATCH("SubclassInitial8-L00",CLASSFEATUREHEADERS,0),MATCH(($A557),CLASSNAMEHEADERS,0))))}</f>
        <v>SUBCLASSINITIAL8-L00</v>
      </c>
      <c r="Z556" s="81" t="str">
        <f t="array" ref="Z556:Z557">{"SUBCLASSINITIAL9-L00";((INDEX(ALLCLASSDATA,MATCH("SubclassInitial9-L00",CLASSFEATUREHEADERS,0),MATCH(($A557),CLASSNAMEHEADERS,0))))}</f>
        <v>SUBCLASSINITIAL9-L00</v>
      </c>
      <c r="AA556" s="81" t="str">
        <f t="array" ref="AA556:AA557">{"SUBCLASSINITIAL10-L00";((INDEX(ALLCLASSDATA,MATCH("SubclassInitial10-L00",CLASSFEATUREHEADERS,0),MATCH(($A557),CLASSNAMEHEADERS,0))))}</f>
        <v>SUBCLASSINITIAL10-L00</v>
      </c>
      <c r="AB556" s="76"/>
      <c r="AC556" s="76"/>
    </row>
    <row r="557">
      <c r="A557" s="48" t="s">
        <v>144</v>
      </c>
      <c r="B557" s="48"/>
      <c r="C557" s="48" t="s">
        <v>409</v>
      </c>
      <c r="D557" s="48" t="s">
        <v>614</v>
      </c>
      <c r="E557" s="48" t="s">
        <v>616</v>
      </c>
      <c r="F557" s="48"/>
      <c r="G557" s="47"/>
      <c r="H557" s="5" t="s">
        <v>1620</v>
      </c>
      <c r="I557" s="5" t="s">
        <v>1631</v>
      </c>
      <c r="J557" s="5" t="s">
        <v>1643</v>
      </c>
      <c r="K557" s="5" t="s">
        <v>1081</v>
      </c>
      <c r="L557" s="5" t="s">
        <v>1655</v>
      </c>
      <c r="M557" s="5"/>
      <c r="N557" s="5"/>
      <c r="O557" s="5"/>
      <c r="P557" s="5"/>
      <c r="Q557" s="5"/>
      <c r="R557" s="5" t="s">
        <v>1812</v>
      </c>
      <c r="S557" s="5"/>
      <c r="T557" s="5"/>
      <c r="U557" s="5"/>
      <c r="V557" s="5"/>
      <c r="W557" s="5"/>
      <c r="X557" s="5"/>
      <c r="Y557" s="5"/>
      <c r="Z557" s="5"/>
      <c r="AA557" s="5"/>
      <c r="AB557" s="5"/>
      <c r="AC557" s="47"/>
    </row>
    <row r="558" hidden="1">
      <c r="A558" s="76" t="str">
        <f t="array" ref="A558:A559">{"FormulaRow05";(INDEX(CLASSLIST,A549,1))}</f>
        <v>FormulaRow05</v>
      </c>
      <c r="B558" s="77" t="s">
        <v>236</v>
      </c>
      <c r="C558" s="76" t="str">
        <f t="array" ref="C558:C559">{"CLASSTYPE";((INDEX(ALLCLASSDATA,MATCH("ClassType",CLASSFEATUREHEADERS,0),MATCH($A559,CLASSNAMEHEADERS,0))))}</f>
        <v>CLASSTYPE</v>
      </c>
      <c r="D558" s="76" t="str">
        <f t="array" ref="D558:D559">{"INITIALFEATURESPTS";"InitialFeaturesPts"}</f>
        <v>INITIALFEATURESPTS</v>
      </c>
      <c r="E558" s="76" t="str">
        <f t="array" ref="E558:E559">{"CLASS/SUBCLASSFEATURES";"Class/Subclass Features"}</f>
        <v>CLASS/SUBCLASSFEATURES</v>
      </c>
      <c r="F558" s="76"/>
      <c r="G558" s="76"/>
      <c r="H558" s="76" t="str">
        <f t="array" ref="H558:H559">{"CLASSINITIALABILITY1-L00PTS";((INDEX(ALLCLASSDATA,MATCH("ClassInitialAbility1-L00",CLASSFEATUREHEADERS,0),MATCH(($A559 &amp; "Points"),CLASSNAMEHEADERS,0))))}</f>
        <v>CLASSINITIALABILITY1-L00PTS</v>
      </c>
      <c r="I558" s="76" t="str">
        <f t="array" ref="I558:I559">{"CLASSINITIALABILITY2-L00PTS";((INDEX(ALLCLASSDATA,MATCH("ClassInitialAbility2-L00",CLASSFEATUREHEADERS,0),MATCH(($A559 &amp; "Points"),CLASSNAMEHEADERS,0))))}</f>
        <v>CLASSINITIALABILITY2-L00PTS</v>
      </c>
      <c r="J558" s="76" t="str">
        <f t="array" ref="J558:J559">{"CLASSINITIALABILITY3-L00PTS";((INDEX(ALLCLASSDATA,MATCH("ClassInitialAbility3-L00",CLASSFEATUREHEADERS,0),MATCH(($A559 &amp; "Points"),CLASSNAMEHEADERS,0))))}</f>
        <v>CLASSINITIALABILITY3-L00PTS</v>
      </c>
      <c r="K558" s="76" t="str">
        <f t="array" ref="K558:K559">{"CLASSINITIALABILITY4-L00PTS";((INDEX(ALLCLASSDATA,MATCH("ClassInitialAbility4-L00",CLASSFEATUREHEADERS,0),MATCH(($A559 &amp; "Points"),CLASSNAMEHEADERS,0))))}</f>
        <v>CLASSINITIALABILITY4-L00PTS</v>
      </c>
      <c r="L558" s="76" t="str">
        <f t="array" ref="L558:L559">{"CLASSINITIALABILITY5-L00PTS";((INDEX(ALLCLASSDATA,MATCH("ClassInitialAbility5-L00",CLASSFEATUREHEADERS,0),MATCH(($A559 &amp; "Points"),CLASSNAMEHEADERS,0))))}</f>
        <v>CLASSINITIALABILITY5-L00PTS</v>
      </c>
      <c r="M558" s="76" t="str">
        <f t="array" ref="M558:M559">{"CLASSINITIALABILITY6-L00PTS";((INDEX(ALLCLASSDATA,MATCH("ClassInitialAbility6-L00",CLASSFEATUREHEADERS,0),MATCH(($A559 &amp; "Points"),CLASSNAMEHEADERS,0))))}</f>
        <v>CLASSINITIALABILITY6-L00PTS</v>
      </c>
      <c r="N558" s="76" t="str">
        <f t="array" ref="N558:N559">{"CLASSINITIALABILITY7-L00PTS";((INDEX(ALLCLASSDATA,MATCH("ClassInitialAbility7-L00",CLASSFEATUREHEADERS,0),MATCH(($A559 &amp; "Points"),CLASSNAMEHEADERS,0))))}</f>
        <v>CLASSINITIALABILITY7-L00PTS</v>
      </c>
      <c r="O558" s="76" t="str">
        <f t="array" ref="O558:O559">{"CLASSINITIALABILITY8-L00PTS";((INDEX(ALLCLASSDATA,MATCH("ClassInitialAbility8-L00",CLASSFEATUREHEADERS,0),MATCH(($A559 &amp; "Points"),CLASSNAMEHEADERS,0))))}</f>
        <v>CLASSINITIALABILITY8-L00PTS</v>
      </c>
      <c r="P558" s="76" t="str">
        <f t="array" ref="P558:P559">{"CLASSINITIALABILITY9-L00PTS";((INDEX(ALLCLASSDATA,MATCH("ClassInitialAbility9-L00",CLASSFEATUREHEADERS,0),MATCH(($A559 &amp; "Points"),CLASSNAMEHEADERS,0))))}</f>
        <v>CLASSINITIALABILITY9-L00PTS</v>
      </c>
      <c r="Q558" s="76" t="str">
        <f t="array" ref="Q558:Q559">{"CLASSINITIALABILITY10-L00PTS";((INDEX(ALLCLASSDATA,MATCH("ClassInitialAbility10-L00",CLASSFEATUREHEADERS,0),MATCH(($A559 &amp; "Points"),CLASSNAMEHEADERS,0))))}</f>
        <v>CLASSINITIALABILITY10-L00PTS</v>
      </c>
      <c r="R558" s="76" t="str">
        <f t="array" ref="R558:R559">{"SUBCLASSINITIAL1-L00PTS";((INDEX(ALLCLASSDATA,MATCH("SubclassInitial1-L00",CLASSFEATUREHEADERS,0),MATCH(($A559 &amp; "Points"),CLASSNAMEHEADERS,0))))}</f>
        <v>SUBCLASSINITIAL1-L00PTS</v>
      </c>
      <c r="S558" s="76" t="str">
        <f t="array" ref="S558:S559">{"SUBCLASSINITIAL2-L00PTS";((INDEX(ALLCLASSDATA,MATCH("SubclassInitial2-L00",CLASSFEATUREHEADERS,0),MATCH(($A559 &amp; "Points"),CLASSNAMEHEADERS,0))))}</f>
        <v>SUBCLASSINITIAL2-L00PTS</v>
      </c>
      <c r="T558" s="76" t="str">
        <f t="array" ref="T558:T559">{"SUBCLASSINITIAL3-L00PTS";((INDEX(ALLCLASSDATA,MATCH("SubclassInitial3-L00",CLASSFEATUREHEADERS,0),MATCH(($A559 &amp; "Points"),CLASSNAMEHEADERS,0))))}</f>
        <v>SUBCLASSINITIAL3-L00PTS</v>
      </c>
      <c r="U558" s="76" t="str">
        <f t="array" ref="U558:U559">{"SUBCLASSINITIAL4-L00PTS";((INDEX(ALLCLASSDATA,MATCH("SubclassInitial4-L00",CLASSFEATUREHEADERS,0),MATCH(($A559 &amp; "Points"),CLASSNAMEHEADERS,0))))}</f>
        <v>SUBCLASSINITIAL4-L00PTS</v>
      </c>
      <c r="V558" s="76" t="str">
        <f t="array" ref="V558:V559">{"SUBCLASSINITIAL5-L00PTS";((INDEX(ALLCLASSDATA,MATCH("SubclassInitial5-L00",CLASSFEATUREHEADERS,0),MATCH(($A559 &amp; "Points"),CLASSNAMEHEADERS,0))))}</f>
        <v>SUBCLASSINITIAL5-L00PTS</v>
      </c>
      <c r="W558" s="76" t="str">
        <f t="array" ref="W558:W559">{"SUBCLASSINITIAL6-L00PTS";((INDEX(ALLCLASSDATA,MATCH("SubclassInitial6-L00",CLASSFEATUREHEADERS,0),MATCH(($A559 &amp; "Points"),CLASSNAMEHEADERS,0))))}</f>
        <v>SUBCLASSINITIAL6-L00PTS</v>
      </c>
      <c r="X558" s="76" t="str">
        <f t="array" ref="X558:X559">{"SUBCLASSINITIAL7-L00PTS";((INDEX(ALLCLASSDATA,MATCH("SubclassInitial7-L00",CLASSFEATUREHEADERS,0),MATCH(($A559 &amp; "Points"),CLASSNAMEHEADERS,0))))}</f>
        <v>SUBCLASSINITIAL7-L00PTS</v>
      </c>
      <c r="Y558" s="76" t="str">
        <f t="array" ref="Y558:Y559">{"SUBCLASSINITIAL8-L00PTS";((INDEX(ALLCLASSDATA,MATCH("SubclassInitial8-L00",CLASSFEATUREHEADERS,0),MATCH(($A559 &amp; "Points"),CLASSNAMEHEADERS,0))))}</f>
        <v>SUBCLASSINITIAL8-L00PTS</v>
      </c>
      <c r="Z558" s="76" t="str">
        <f t="array" ref="Z558:Z559">{"SUBCLASSINITIAL9-L00PTS";((INDEX(ALLCLASSDATA,MATCH("SubclassInitial9-L00",CLASSFEATUREHEADERS,0),MATCH(($A559 &amp; "Points"),CLASSNAMEHEADERS,0))))}</f>
        <v>SUBCLASSINITIAL9-L00PTS</v>
      </c>
      <c r="AA558" s="76" t="str">
        <f t="array" ref="AA558:AA559">{"SUBCLASSINITIAL10-L00PTS";((INDEX(ALLCLASSDATA,MATCH("SubclassInitial10-L00",CLASSFEATUREHEADERS,0),MATCH(($A559 &amp; "Points"),CLASSNAMEHEADERS,0))))}</f>
        <v>SUBCLASSINITIAL10-L00PTS</v>
      </c>
      <c r="AB558" s="76"/>
      <c r="AC558" s="76" t="str">
        <f t="array" ref="AC558:AC559">{"INITIALFEATUREPTS TOTAL";(sum(G559:AA559))}</f>
        <v>INITIALFEATUREPTS TOTAL</v>
      </c>
    </row>
    <row r="559">
      <c r="A559" s="48" t="s">
        <v>144</v>
      </c>
      <c r="B559" s="48"/>
      <c r="C559" s="48" t="s">
        <v>409</v>
      </c>
      <c r="D559" s="97" t="s">
        <v>651</v>
      </c>
      <c r="E559" s="97" t="s">
        <v>616</v>
      </c>
      <c r="F559" s="97"/>
      <c r="G559" s="132"/>
      <c r="H559" s="98">
        <v>10.0</v>
      </c>
      <c r="I559" s="98">
        <v>10.0</v>
      </c>
      <c r="J559" s="97">
        <v>10.0</v>
      </c>
      <c r="K559" s="98">
        <v>30.0</v>
      </c>
      <c r="L559" s="97"/>
      <c r="M559" s="98"/>
      <c r="N559" s="98"/>
      <c r="O559" s="98"/>
      <c r="P559" s="98"/>
      <c r="Q559" s="98"/>
      <c r="R559" s="98">
        <v>20.0</v>
      </c>
      <c r="S559" s="98"/>
      <c r="T559" s="98"/>
      <c r="U559" s="98"/>
      <c r="V559" s="98"/>
      <c r="W559" s="98"/>
      <c r="X559" s="98"/>
      <c r="Y559" s="98"/>
      <c r="Z559" s="98"/>
      <c r="AA559" s="98"/>
      <c r="AB559" s="5"/>
      <c r="AC559" s="47">
        <v>80.0</v>
      </c>
    </row>
    <row r="560" hidden="1">
      <c r="A560" s="76" t="str">
        <f t="array" ref="A560:A561">{"FormulaRow06";(INDEX(CLASSLIST,A549,1))}</f>
        <v>FormulaRow06</v>
      </c>
      <c r="B560" s="77" t="s">
        <v>236</v>
      </c>
      <c r="C560" s="76" t="str">
        <f t="array" ref="C560:C561">{"CLASSTYPE";((INDEX(ALLCLASSDATA,MATCH("ClassType",CLASSFEATUREHEADERS,0),MATCH($A561,CLASSNAMEHEADERS,0))))}</f>
        <v>CLASSTYPE</v>
      </c>
      <c r="D560" s="81" t="str">
        <f t="array" ref="D560:D561">{"SKILLS";"Skills"}</f>
        <v>SKILLS</v>
      </c>
      <c r="E560" s="81" t="str">
        <f t="array" ref="E560:E561">{"EXTRASKILLINCREASES";"Extra Skill Increases"}</f>
        <v>EXTRASKILLINCREASES</v>
      </c>
      <c r="F560" s="81"/>
      <c r="G560" s="81"/>
      <c r="H560" s="81"/>
      <c r="I560" s="81" t="str">
        <f t="array" ref="I560:I561">{"SKILLINCREASEEXTRA-L02";((INDEX(ALLCLASSDATA,MATCH("SkillIncreaseExtra-L02",CLASSFEATUREHEADERS,0),MATCH(($A561 &amp; "Points"),CLASSNAMEHEADERS,0))))}</f>
        <v>SKILLINCREASEEXTRA-L02</v>
      </c>
      <c r="J560" s="81" t="str">
        <f t="array" ref="J560:J561">{"SKILLINCREASEEXTRA-L03";((INDEX(ALLCLASSDATA,MATCH("SkillIncreaseExtra-L03",CLASSFEATUREHEADERS,0),MATCH(($A561 &amp; "Points"),CLASSNAMEHEADERS,0))))}</f>
        <v>SKILLINCREASEEXTRA-L03</v>
      </c>
      <c r="K560" s="81" t="str">
        <f t="array" ref="K560:K561">{"SKILLINCREASEEXTRA-L04";((INDEX(ALLCLASSDATA,MATCH("SkillIncreaseExtra-L04",CLASSFEATUREHEADERS,0),MATCH(($A561 &amp; "Points"),CLASSNAMEHEADERS,0))))}</f>
        <v>SKILLINCREASEEXTRA-L04</v>
      </c>
      <c r="L560" s="81" t="str">
        <f t="array" ref="L560:L561">{"SKILLINCREASEEXTRA-L05";((INDEX(ALLCLASSDATA,MATCH("SkillIncreaseExtra-L05",CLASSFEATUREHEADERS,0),MATCH(($A561 &amp; "Points"),CLASSNAMEHEADERS,0))))}</f>
        <v>SKILLINCREASEEXTRA-L05</v>
      </c>
      <c r="M560" s="81" t="str">
        <f t="array" ref="M560:M561">{"SKILLINCREASEEXTRA-L06";((INDEX(ALLCLASSDATA,MATCH("SkillIncreaseExtra-L06",CLASSFEATUREHEADERS,0),MATCH(($A561 &amp; "Points"),CLASSNAMEHEADERS,0))))}</f>
        <v>SKILLINCREASEEXTRA-L06</v>
      </c>
      <c r="N560" s="81" t="str">
        <f t="array" ref="N560:N561">{"SKILLINCREASEEXTRA-L07";((INDEX(ALLCLASSDATA,MATCH("SkillIncreaseExtra-L07",CLASSFEATUREHEADERS,0),MATCH(($A561 &amp; "Points"),CLASSNAMEHEADERS,0))))}</f>
        <v>SKILLINCREASEEXTRA-L07</v>
      </c>
      <c r="O560" s="81" t="str">
        <f t="array" ref="O560:O561">{"SKILLINCREASEEXTRA-L08";((INDEX(ALLCLASSDATA,MATCH("SkillIncreaseExtra-L08",CLASSFEATUREHEADERS,0),MATCH(($A561 &amp; "Points"),CLASSNAMEHEADERS,0))))}</f>
        <v>SKILLINCREASEEXTRA-L08</v>
      </c>
      <c r="P560" s="81" t="str">
        <f t="array" ref="P560:P561">{"SKILLINCREASEEXTRA-L09";((INDEX(ALLCLASSDATA,MATCH("SkillIncreaseExtra-L09",CLASSFEATUREHEADERS,0),MATCH(($A561 &amp; "Points"),CLASSNAMEHEADERS,0))))}</f>
        <v>SKILLINCREASEEXTRA-L09</v>
      </c>
      <c r="Q560" s="81" t="str">
        <f t="array" ref="Q560:Q561">{"SKILLINCREASEEXTRA-L10";((INDEX(ALLCLASSDATA,MATCH("SkillIncreaseExtra-L10",CLASSFEATUREHEADERS,0),MATCH(($A561 &amp; "Points"),CLASSNAMEHEADERS,0))))}</f>
        <v>SKILLINCREASEEXTRA-L10</v>
      </c>
      <c r="R560" s="81" t="str">
        <f t="array" ref="R560:R561">{"SKILLINCREASEEXTRA-L11";((INDEX(ALLCLASSDATA,MATCH("SkillIncreaseExtra-L11",CLASSFEATUREHEADERS,0),MATCH(($A561 &amp; "Points"),CLASSNAMEHEADERS,0))))}</f>
        <v>SKILLINCREASEEXTRA-L11</v>
      </c>
      <c r="S560" s="81" t="str">
        <f t="array" ref="S560:S561">{"SKILLINCREASEEXTRA-L12";((INDEX(ALLCLASSDATA,MATCH("SkillIncreaseExtra-L12",CLASSFEATUREHEADERS,0),MATCH(($A561 &amp; "Points"),CLASSNAMEHEADERS,0))))}</f>
        <v>SKILLINCREASEEXTRA-L12</v>
      </c>
      <c r="T560" s="81" t="str">
        <f t="array" ref="T560:T561">{"SKILLINCREASEEXTRA-L13";((INDEX(ALLCLASSDATA,MATCH("SkillIncreaseExtra-L13",CLASSFEATUREHEADERS,0),MATCH(($A561 &amp; "Points"),CLASSNAMEHEADERS,0))))}</f>
        <v>SKILLINCREASEEXTRA-L13</v>
      </c>
      <c r="U560" s="81" t="str">
        <f t="array" ref="U560:U561">{"SKILLINCREASEEXTRA-L14";((INDEX(ALLCLASSDATA,MATCH("SkillIncreaseExtra-L14",CLASSFEATUREHEADERS,0),MATCH(($A561 &amp; "Points"),CLASSNAMEHEADERS,0))))}</f>
        <v>SKILLINCREASEEXTRA-L14</v>
      </c>
      <c r="V560" s="81" t="str">
        <f t="array" ref="V560:V561">{"SKILLINCREASEEXTRA-L15";((INDEX(ALLCLASSDATA,MATCH("SkillIncreaseExtra-L15",CLASSFEATUREHEADERS,0),MATCH(($A561 &amp; "Points"),CLASSNAMEHEADERS,0))))}</f>
        <v>SKILLINCREASEEXTRA-L15</v>
      </c>
      <c r="W560" s="81" t="str">
        <f t="array" ref="W560:W561">{"SKILLINCREASEEXTRA-L16";((INDEX(ALLCLASSDATA,MATCH("SkillIncreaseExtra-L16",CLASSFEATUREHEADERS,0),MATCH(($A561 &amp; "Points"),CLASSNAMEHEADERS,0))))}</f>
        <v>SKILLINCREASEEXTRA-L16</v>
      </c>
      <c r="X560" s="81" t="str">
        <f t="array" ref="X560:X561">{"SKILLINCREASEEXTRA-L17";((INDEX(ALLCLASSDATA,MATCH("SkillIncreaseExtra-L17",CLASSFEATUREHEADERS,0),MATCH(($A561 &amp; "Points"),CLASSNAMEHEADERS,0))))}</f>
        <v>SKILLINCREASEEXTRA-L17</v>
      </c>
      <c r="Y560" s="81" t="str">
        <f t="array" ref="Y560:Y561">{"SKILLINCREASEEXTRA-L18";((INDEX(ALLCLASSDATA,MATCH("SkillIncreaseExtra-L18",CLASSFEATUREHEADERS,0),MATCH(($A561 &amp; "Points"),CLASSNAMEHEADERS,0))))}</f>
        <v>SKILLINCREASEEXTRA-L18</v>
      </c>
      <c r="Z560" s="81" t="str">
        <f t="array" ref="Z560:Z561">{"SKILLINCREASEEXTRA-L19";((INDEX(ALLCLASSDATA,MATCH("SkillIncreaseExtra-L19",CLASSFEATUREHEADERS,0),MATCH(($A561 &amp; "Points"),CLASSNAMEHEADERS,0))))}</f>
        <v>SKILLINCREASEEXTRA-L19</v>
      </c>
      <c r="AA560" s="81" t="str">
        <f t="array" ref="AA560:AA561">{"SKILLINCREASEEXTRA-L20";((INDEX(ALLCLASSDATA,MATCH("SkillIncreaseExtra-L20",CLASSFEATUREHEADERS,0),MATCH(($A561 &amp; "Points"),CLASSNAMEHEADERS,0))))}</f>
        <v>SKILLINCREASEEXTRA-L20</v>
      </c>
      <c r="AB560" s="76"/>
      <c r="AC560" s="76" t="str">
        <f t="array" ref="AC560:AC561">{"SKILLINCREASE TOTAL";(sum(G561:AA561))}</f>
        <v>SKILLINCREASE TOTAL</v>
      </c>
    </row>
    <row r="561">
      <c r="A561" s="48" t="s">
        <v>144</v>
      </c>
      <c r="B561" s="48"/>
      <c r="C561" s="48" t="s">
        <v>409</v>
      </c>
      <c r="D561" s="48" t="s">
        <v>659</v>
      </c>
      <c r="E561" s="48" t="s">
        <v>661</v>
      </c>
      <c r="F561" s="48"/>
      <c r="G561" s="47"/>
      <c r="H561" s="5"/>
      <c r="I561" s="5">
        <v>5.0</v>
      </c>
      <c r="J561" s="5" t="s">
        <v>603</v>
      </c>
      <c r="K561" s="5">
        <v>5.0</v>
      </c>
      <c r="L561" s="48" t="s">
        <v>603</v>
      </c>
      <c r="M561" s="5">
        <v>5.0</v>
      </c>
      <c r="N561" s="5" t="s">
        <v>603</v>
      </c>
      <c r="O561" s="5">
        <v>5.0</v>
      </c>
      <c r="P561" s="5" t="s">
        <v>603</v>
      </c>
      <c r="Q561" s="5">
        <v>5.0</v>
      </c>
      <c r="R561" s="5" t="s">
        <v>603</v>
      </c>
      <c r="S561" s="5">
        <v>5.0</v>
      </c>
      <c r="T561" s="5" t="s">
        <v>603</v>
      </c>
      <c r="U561" s="5">
        <v>5.0</v>
      </c>
      <c r="V561" s="5" t="s">
        <v>603</v>
      </c>
      <c r="W561" s="5">
        <v>5.0</v>
      </c>
      <c r="X561" s="5" t="s">
        <v>603</v>
      </c>
      <c r="Y561" s="5">
        <v>5.0</v>
      </c>
      <c r="Z561" s="5" t="s">
        <v>603</v>
      </c>
      <c r="AA561" s="5">
        <v>5.0</v>
      </c>
      <c r="AB561" s="5"/>
      <c r="AC561" s="47">
        <v>50.0</v>
      </c>
    </row>
    <row r="562" hidden="1">
      <c r="A562" s="76" t="str">
        <f t="array" ref="A562:A563">{"FormulaRow07";(INDEX(CLASSLIST,A549,1))}</f>
        <v>FormulaRow07</v>
      </c>
      <c r="B562" s="77" t="s">
        <v>236</v>
      </c>
      <c r="C562" s="76" t="str">
        <f t="array" ref="C562:C563">{"CLASSTYPE";((INDEX(ALLCLASSDATA,MATCH("ClassType",CLASSFEATUREHEADERS,0),MATCH($A563,CLASSNAMEHEADERS,0))))}</f>
        <v>CLASSTYPE</v>
      </c>
      <c r="D562" s="76" t="str">
        <f t="array" ref="D562:D563">{"SKILLS";"Skills"}</f>
        <v>SKILLS</v>
      </c>
      <c r="E562" s="76" t="str">
        <f t="array" ref="E562:E563">{"EXTRASKILLFEATS";"Extra Skill Feats"}</f>
        <v>EXTRASKILLFEATS</v>
      </c>
      <c r="F562" s="76"/>
      <c r="G562" s="76"/>
      <c r="H562" s="76" t="str">
        <f t="array" ref="H562:H563">{"SKILLFEATEXTRA-L01";((INDEX(ALLCLASSDATA,MATCH("SkillFeatExtra-L01",CLASSFEATUREHEADERS,0),MATCH(($A563 &amp; "Points"),CLASSNAMEHEADERS,0))))}</f>
        <v>SKILLFEATEXTRA-L01</v>
      </c>
      <c r="I562" s="76" t="str">
        <f t="array" ref="I562:I563">{"SKILLFEATEXTRA-L02";((INDEX(ALLCLASSDATA,MATCH("SkillFeatExtra-L02",CLASSFEATUREHEADERS,0),MATCH(($A563 &amp; "Points"),CLASSNAMEHEADERS,0))))}</f>
        <v>SKILLFEATEXTRA-L02</v>
      </c>
      <c r="J562" s="76" t="str">
        <f t="array" ref="J562:J563">{"SKILLFEATEXTRA-L03";((INDEX(ALLCLASSDATA,MATCH("SkillFeatExtra-L03",CLASSFEATUREHEADERS,0),MATCH(($A563 &amp; "Points"),CLASSNAMEHEADERS,0))))}</f>
        <v>SKILLFEATEXTRA-L03</v>
      </c>
      <c r="K562" s="76" t="str">
        <f t="array" ref="K562:K563">{"SKILLFEATEXTRA-L04";((INDEX(ALLCLASSDATA,MATCH("SkillFeatExtra-L04",CLASSFEATUREHEADERS,0),MATCH(($A563 &amp; "Points"),CLASSNAMEHEADERS,0))))}</f>
        <v>SKILLFEATEXTRA-L04</v>
      </c>
      <c r="L562" s="76" t="str">
        <f t="array" ref="L562:L563">{"SKILLFEATEXTRA-L05";((INDEX(ALLCLASSDATA,MATCH("SkillFeatExtra-L05",CLASSFEATUREHEADERS,0),MATCH(($A563 &amp; "Points"),CLASSNAMEHEADERS,0))))}</f>
        <v>SKILLFEATEXTRA-L05</v>
      </c>
      <c r="M562" s="76" t="str">
        <f t="array" ref="M562:M563">{"SKILLFEATEXTRA-L06";((INDEX(ALLCLASSDATA,MATCH("SkillFeatExtra-L06",CLASSFEATUREHEADERS,0),MATCH(($A563 &amp; "Points"),CLASSNAMEHEADERS,0))))}</f>
        <v>SKILLFEATEXTRA-L06</v>
      </c>
      <c r="N562" s="76" t="str">
        <f t="array" ref="N562:N563">{"SKILLFEATEXTRA-L07";((INDEX(ALLCLASSDATA,MATCH("SkillFeatExtra-L07",CLASSFEATUREHEADERS,0),MATCH(($A563 &amp; "Points"),CLASSNAMEHEADERS,0))))}</f>
        <v>SKILLFEATEXTRA-L07</v>
      </c>
      <c r="O562" s="76" t="str">
        <f t="array" ref="O562:O563">{"SKILLFEATEXTRA-L08";((INDEX(ALLCLASSDATA,MATCH("SkillFeatExtra-L08",CLASSFEATUREHEADERS,0),MATCH(($A563 &amp; "Points"),CLASSNAMEHEADERS,0))))}</f>
        <v>SKILLFEATEXTRA-L08</v>
      </c>
      <c r="P562" s="76" t="str">
        <f t="array" ref="P562:P563">{"SKILLFEATEXTRA-L09";((INDEX(ALLCLASSDATA,MATCH("SkillFeatExtra-L09",CLASSFEATUREHEADERS,0),MATCH(($A563 &amp; "Points"),CLASSNAMEHEADERS,0))))}</f>
        <v>SKILLFEATEXTRA-L09</v>
      </c>
      <c r="Q562" s="76" t="str">
        <f t="array" ref="Q562:Q563">{"SKILLFEATEXTRA-L10";((INDEX(ALLCLASSDATA,MATCH("SkillFeatExtra-L10",CLASSFEATUREHEADERS,0),MATCH(($A563 &amp; "Points"),CLASSNAMEHEADERS,0))))}</f>
        <v>SKILLFEATEXTRA-L10</v>
      </c>
      <c r="R562" s="76" t="str">
        <f t="array" ref="R562:R563">{"SKILLFEATEXTRA-L11";((INDEX(ALLCLASSDATA,MATCH("SkillFeatExtra-L11",CLASSFEATUREHEADERS,0),MATCH(($A563 &amp; "Points"),CLASSNAMEHEADERS,0))))}</f>
        <v>SKILLFEATEXTRA-L11</v>
      </c>
      <c r="S562" s="76" t="str">
        <f t="array" ref="S562:S563">{"SKILLFEATEXTRA-L12";((INDEX(ALLCLASSDATA,MATCH("SkillFeatExtra-L12",CLASSFEATUREHEADERS,0),MATCH(($A563 &amp; "Points"),CLASSNAMEHEADERS,0))))}</f>
        <v>SKILLFEATEXTRA-L12</v>
      </c>
      <c r="T562" s="76" t="str">
        <f t="array" ref="T562:T563">{"SKILLFEATEXTRA-L13";((INDEX(ALLCLASSDATA,MATCH("SkillFeatExtra-L13",CLASSFEATUREHEADERS,0),MATCH(($A563 &amp; "Points"),CLASSNAMEHEADERS,0))))}</f>
        <v>SKILLFEATEXTRA-L13</v>
      </c>
      <c r="U562" s="76" t="str">
        <f t="array" ref="U562:U563">{"SKILLFEATEXTRA-L14";((INDEX(ALLCLASSDATA,MATCH("SkillFeatExtra-L14",CLASSFEATUREHEADERS,0),MATCH(($A563 &amp; "Points"),CLASSNAMEHEADERS,0))))}</f>
        <v>SKILLFEATEXTRA-L14</v>
      </c>
      <c r="V562" s="76" t="str">
        <f t="array" ref="V562:V563">{"SKILLFEATEXTRA-L15";((INDEX(ALLCLASSDATA,MATCH("SkillFeatExtra-L15",CLASSFEATUREHEADERS,0),MATCH(($A563 &amp; "Points"),CLASSNAMEHEADERS,0))))}</f>
        <v>SKILLFEATEXTRA-L15</v>
      </c>
      <c r="W562" s="76" t="str">
        <f t="array" ref="W562:W563">{"SKILLFEATEXTRA-L16";((INDEX(ALLCLASSDATA,MATCH("SkillFeatExtra-L16",CLASSFEATUREHEADERS,0),MATCH(($A563 &amp; "Points"),CLASSNAMEHEADERS,0))))}</f>
        <v>SKILLFEATEXTRA-L16</v>
      </c>
      <c r="X562" s="76" t="str">
        <f t="array" ref="X562:X563">{"SKILLFEATEXTRA-L17";((INDEX(ALLCLASSDATA,MATCH("SkillFeatExtra-L17",CLASSFEATUREHEADERS,0),MATCH(($A563 &amp; "Points"),CLASSNAMEHEADERS,0))))}</f>
        <v>SKILLFEATEXTRA-L17</v>
      </c>
      <c r="Y562" s="76" t="str">
        <f t="array" ref="Y562:Y563">{"SKILLFEATEXTRA-L18";((INDEX(ALLCLASSDATA,MATCH("SkillFeatExtra-L18",CLASSFEATUREHEADERS,0),MATCH(($A563 &amp; "Points"),CLASSNAMEHEADERS,0))))}</f>
        <v>SKILLFEATEXTRA-L18</v>
      </c>
      <c r="Z562" s="76" t="str">
        <f t="array" ref="Z562:Z563">{"SKILLFEATEXTRA-L19";((INDEX(ALLCLASSDATA,MATCH("SkillFeatExtra-L19",CLASSFEATUREHEADERS,0),MATCH(($A563 &amp; "Points"),CLASSNAMEHEADERS,0))))}</f>
        <v>SKILLFEATEXTRA-L19</v>
      </c>
      <c r="AA562" s="76" t="str">
        <f t="array" ref="AA562:AA563">{"SKILLFEATEXTRA-L20";((INDEX(ALLCLASSDATA,MATCH("SkillFeatExtra-L20",CLASSFEATUREHEADERS,0),MATCH(($A563 &amp; "Points"),CLASSNAMEHEADERS,0))))}</f>
        <v>SKILLFEATEXTRA-L20</v>
      </c>
      <c r="AB562" s="76"/>
      <c r="AC562" s="76" t="str">
        <f t="array" ref="AC562:AC563">{"SKILLFEAT TOTAL";(sum(G563:AA563))}</f>
        <v>SKILLFEAT TOTAL</v>
      </c>
    </row>
    <row r="563">
      <c r="A563" s="48" t="s">
        <v>144</v>
      </c>
      <c r="B563" s="48"/>
      <c r="C563" s="48" t="s">
        <v>409</v>
      </c>
      <c r="D563" s="97" t="s">
        <v>659</v>
      </c>
      <c r="E563" s="97" t="s">
        <v>722</v>
      </c>
      <c r="F563" s="97"/>
      <c r="G563" s="132"/>
      <c r="H563" s="98" t="s">
        <v>603</v>
      </c>
      <c r="I563" s="98" t="s">
        <v>603</v>
      </c>
      <c r="J563" s="97">
        <v>5.0</v>
      </c>
      <c r="K563" s="98" t="s">
        <v>603</v>
      </c>
      <c r="L563" s="97">
        <v>5.0</v>
      </c>
      <c r="M563" s="98" t="s">
        <v>603</v>
      </c>
      <c r="N563" s="98">
        <v>5.0</v>
      </c>
      <c r="O563" s="98" t="s">
        <v>603</v>
      </c>
      <c r="P563" s="98">
        <v>5.0</v>
      </c>
      <c r="Q563" s="98" t="s">
        <v>603</v>
      </c>
      <c r="R563" s="98">
        <v>5.0</v>
      </c>
      <c r="S563" s="98" t="s">
        <v>603</v>
      </c>
      <c r="T563" s="98">
        <v>5.0</v>
      </c>
      <c r="U563" s="98" t="s">
        <v>603</v>
      </c>
      <c r="V563" s="98">
        <v>5.0</v>
      </c>
      <c r="W563" s="98" t="s">
        <v>603</v>
      </c>
      <c r="X563" s="98">
        <v>5.0</v>
      </c>
      <c r="Y563" s="98" t="s">
        <v>603</v>
      </c>
      <c r="Z563" s="98">
        <v>5.0</v>
      </c>
      <c r="AA563" s="98" t="s">
        <v>603</v>
      </c>
      <c r="AB563" s="5"/>
      <c r="AC563" s="47">
        <v>45.0</v>
      </c>
    </row>
    <row r="564" hidden="1">
      <c r="A564" s="76" t="str">
        <f t="array" ref="A564:A565">{"FormulaRow08";(INDEX(CLASSLIST,A549,1))}</f>
        <v>FormulaRow08</v>
      </c>
      <c r="B564" s="77" t="s">
        <v>236</v>
      </c>
      <c r="C564" s="76" t="str">
        <f t="array" ref="C564:C565">{"CLASSTYPE";((INDEX(ALLCLASSDATA,MATCH("ClassType",CLASSFEATUREHEADERS,0),MATCH($A565,CLASSNAMEHEADERS,0))))}</f>
        <v>CLASSTYPE</v>
      </c>
      <c r="D564" s="81" t="str">
        <f t="array" ref="D564:D565">{"CLASSABILITY";"ClassAbility"}</f>
        <v>CLASSABILITY</v>
      </c>
      <c r="E564" s="81" t="str">
        <f t="array" ref="E564:E565">{"CLASSABILITY1";"ClassAbility1"}</f>
        <v>CLASSABILITY1</v>
      </c>
      <c r="F564" s="81"/>
      <c r="G564" s="81"/>
      <c r="H564" s="81"/>
      <c r="I564" s="81"/>
      <c r="J564" s="81" t="str">
        <f t="array" ref="J564:J565">{"CLASSABILITY1-L03";((INDEX(ALLCLASSDATA,MATCH("ClassAbility1-L03",CLASSFEATUREHEADERS,0),MATCH(($A565),CLASSNAMEHEADERS,0))))}</f>
        <v>CLASSABILITY1-L03</v>
      </c>
      <c r="K564" s="81"/>
      <c r="L564" s="81" t="str">
        <f t="array" ref="L564:L565">{"CLASSABILITY1-L05";((INDEX(ALLCLASSDATA,MATCH("ClassAbility1-L05",CLASSFEATUREHEADERS,0),MATCH(($A565),CLASSNAMEHEADERS,0))))}</f>
        <v>CLASSABILITY1-L05</v>
      </c>
      <c r="M564" s="81"/>
      <c r="N564" s="81" t="str">
        <f t="array" ref="N564:N565">{"CLASSABILITY1-L07";((INDEX(ALLCLASSDATA,MATCH("ClassAbility1-L07",CLASSFEATUREHEADERS,0),MATCH(($A565),CLASSNAMEHEADERS,0))))}</f>
        <v>CLASSABILITY1-L07</v>
      </c>
      <c r="O564" s="81"/>
      <c r="P564" s="81" t="str">
        <f t="array" ref="P564:P565">{"CLASSABILITY1-L09";((INDEX(ALLCLASSDATA,MATCH("ClassAbility1-L09",CLASSFEATUREHEADERS,0),MATCH(($A565),CLASSNAMEHEADERS,0))))}</f>
        <v>CLASSABILITY1-L09</v>
      </c>
      <c r="Q564" s="81"/>
      <c r="R564" s="81" t="str">
        <f t="array" ref="R564:R565">{"CLASSABILITY1-L11";((INDEX(ALLCLASSDATA,MATCH("ClassAbility1-L11",CLASSFEATUREHEADERS,0),MATCH(($A565),CLASSNAMEHEADERS,0))))}</f>
        <v>CLASSABILITY1-L11</v>
      </c>
      <c r="S564" s="81"/>
      <c r="T564" s="81" t="str">
        <f t="array" ref="T564:T565">{"CLASSABILITY1-L13";((INDEX(ALLCLASSDATA,MATCH("ClassAbility1-L13",CLASSFEATUREHEADERS,0),MATCH(($A565),CLASSNAMEHEADERS,0))))}</f>
        <v>CLASSABILITY1-L13</v>
      </c>
      <c r="U564" s="81"/>
      <c r="V564" s="81" t="str">
        <f t="array" ref="V564:V565">{"CLASSABILITY1-L15";((INDEX(ALLCLASSDATA,MATCH("ClassAbility1-L15",CLASSFEATUREHEADERS,0),MATCH(($A565),CLASSNAMEHEADERS,0))))}</f>
        <v>CLASSABILITY1-L15</v>
      </c>
      <c r="W564" s="81"/>
      <c r="X564" s="81" t="str">
        <f t="array" ref="X564:X565">{"CLASSABILITY1-L17";((INDEX(ALLCLASSDATA,MATCH("ClassAbility1-L17",CLASSFEATUREHEADERS,0),MATCH(($A565),CLASSNAMEHEADERS,0))))}</f>
        <v>CLASSABILITY1-L17</v>
      </c>
      <c r="Y564" s="81"/>
      <c r="Z564" s="81" t="str">
        <f t="array" ref="Z564:Z565">{"CLASSABILITY1-L19";((INDEX(ALLCLASSDATA,MATCH("ClassAbility1-L19",CLASSFEATUREHEADERS,0),MATCH(($A565),CLASSNAMEHEADERS,0))))}</f>
        <v>CLASSABILITY1-L19</v>
      </c>
      <c r="AA564" s="81"/>
      <c r="AB564" s="76"/>
      <c r="AC564" s="76"/>
    </row>
    <row r="565">
      <c r="A565" s="48" t="s">
        <v>144</v>
      </c>
      <c r="B565" s="48"/>
      <c r="C565" s="48" t="s">
        <v>409</v>
      </c>
      <c r="D565" s="48" t="s">
        <v>825</v>
      </c>
      <c r="E565" s="48" t="s">
        <v>826</v>
      </c>
      <c r="F565" s="5"/>
      <c r="G565" s="47"/>
      <c r="H565" s="5"/>
      <c r="I565" s="5"/>
      <c r="J565" s="5" t="s">
        <v>1677</v>
      </c>
      <c r="K565" s="5"/>
      <c r="L565" s="5" t="s">
        <v>359</v>
      </c>
      <c r="M565" s="5"/>
      <c r="N565" s="5" t="s">
        <v>369</v>
      </c>
      <c r="O565" s="5"/>
      <c r="P565" s="5" t="s">
        <v>1069</v>
      </c>
      <c r="Q565" s="5"/>
      <c r="R565" s="5" t="s">
        <v>1070</v>
      </c>
      <c r="S565" s="5"/>
      <c r="T565" s="5" t="s">
        <v>362</v>
      </c>
      <c r="U565" s="5"/>
      <c r="V565" s="5" t="s">
        <v>371</v>
      </c>
      <c r="W565" s="5"/>
      <c r="X565" s="5" t="s">
        <v>338</v>
      </c>
      <c r="Y565" s="5"/>
      <c r="Z565" s="5" t="s">
        <v>1071</v>
      </c>
      <c r="AA565" s="5"/>
      <c r="AB565" s="5"/>
      <c r="AC565" s="47"/>
    </row>
    <row r="566" hidden="1">
      <c r="A566" s="76" t="str">
        <f t="array" ref="A566:A567">{"FormulaRow09";(INDEX(CLASSLIST,A549,1))}</f>
        <v>FormulaRow09</v>
      </c>
      <c r="B566" s="77" t="s">
        <v>236</v>
      </c>
      <c r="C566" s="76" t="str">
        <f t="array" ref="C566:C567">{"CLASSTYPE";((INDEX(ALLCLASSDATA,MATCH("ClassType",CLASSFEATUREHEADERS,0),MATCH($A567,CLASSNAMEHEADERS,0))))}</f>
        <v>CLASSTYPE</v>
      </c>
      <c r="D566" s="76" t="str">
        <f t="array" ref="D566:D567">{"CLASSABILITYPTS";"ClassAbilityPts"}</f>
        <v>CLASSABILITYPTS</v>
      </c>
      <c r="E566" s="76" t="str">
        <f t="array" ref="E566:E567">{"CLASSABILITY1";"ClassAbility1"}</f>
        <v>CLASSABILITY1</v>
      </c>
      <c r="F566" s="76"/>
      <c r="G566" s="76"/>
      <c r="H566" s="76"/>
      <c r="I566" s="76"/>
      <c r="J566" s="76" t="str">
        <f t="array" ref="J566:J567">{"CLASSABILITY1-L03PTS";((INDEX(ALLCLASSDATA,MATCH("ClassAbility1-L03",CLASSFEATUREHEADERS,0),MATCH(($A567 &amp; "Points"),CLASSNAMEHEADERS,0))))}</f>
        <v>CLASSABILITY1-L03PTS</v>
      </c>
      <c r="K566" s="76"/>
      <c r="L566" s="76" t="str">
        <f t="array" ref="L566:L567">{"CLASSABILITY1-L05PTS";((INDEX(ALLCLASSDATA,MATCH("ClassAbility1-L05",CLASSFEATUREHEADERS,0),MATCH(($A567 &amp; "Points"),CLASSNAMEHEADERS,0))))}</f>
        <v>CLASSABILITY1-L05PTS</v>
      </c>
      <c r="M566" s="76"/>
      <c r="N566" s="76" t="str">
        <f t="array" ref="N566:N567">{"CLASSABILITY1-L07PTS";((INDEX(ALLCLASSDATA,MATCH("ClassAbility1-L07",CLASSFEATUREHEADERS,0),MATCH(($A567 &amp; "Points"),CLASSNAMEHEADERS,0))))}</f>
        <v>CLASSABILITY1-L07PTS</v>
      </c>
      <c r="O566" s="76"/>
      <c r="P566" s="76" t="str">
        <f t="array" ref="P566:P567">{"CLASSABILITY1-L09PTS";((INDEX(ALLCLASSDATA,MATCH("ClassAbility1-L09",CLASSFEATUREHEADERS,0),MATCH(($A567 &amp; "Points"),CLASSNAMEHEADERS,0))))}</f>
        <v>CLASSABILITY1-L09PTS</v>
      </c>
      <c r="Q566" s="76"/>
      <c r="R566" s="76" t="str">
        <f t="array" ref="R566:R567">{"CLASSABILITY1-L11PTS";((INDEX(ALLCLASSDATA,MATCH("ClassAbility1-L11",CLASSFEATUREHEADERS,0),MATCH(($A567 &amp; "Points"),CLASSNAMEHEADERS,0))))}</f>
        <v>CLASSABILITY1-L11PTS</v>
      </c>
      <c r="S566" s="76"/>
      <c r="T566" s="76" t="str">
        <f t="array" ref="T566:T567">{"CLASSABILITY1-L13PTS";((INDEX(ALLCLASSDATA,MATCH("ClassAbility1-L13",CLASSFEATUREHEADERS,0),MATCH(($A567 &amp; "Points"),CLASSNAMEHEADERS,0))))}</f>
        <v>CLASSABILITY1-L13PTS</v>
      </c>
      <c r="U566" s="76"/>
      <c r="V566" s="76" t="str">
        <f t="array" ref="V566:V567">{"CLASSABILITY1-L15PTS";((INDEX(ALLCLASSDATA,MATCH("ClassAbility1-L15",CLASSFEATUREHEADERS,0),MATCH(($A567 &amp; "Points"),CLASSNAMEHEADERS,0))))}</f>
        <v>CLASSABILITY1-L15PTS</v>
      </c>
      <c r="W566" s="76"/>
      <c r="X566" s="76" t="str">
        <f t="array" ref="X566:X567">{"CLASSABILITY1-L17PTS";((INDEX(ALLCLASSDATA,MATCH("ClassAbility1-L17",CLASSFEATUREHEADERS,0),MATCH(($A567 &amp; "Points"),CLASSNAMEHEADERS,0))))}</f>
        <v>CLASSABILITY1-L17PTS</v>
      </c>
      <c r="Y566" s="76"/>
      <c r="Z566" s="76" t="str">
        <f t="array" ref="Z566:Z567">{"CLASSABILITY1-L19PTS";((INDEX(ALLCLASSDATA,MATCH("ClassAbility1-L19",CLASSFEATUREHEADERS,0),MATCH(($A567 &amp; "Points"),CLASSNAMEHEADERS,0))))}</f>
        <v>CLASSABILITY1-L19PTS</v>
      </c>
      <c r="AA566" s="76"/>
      <c r="AB566" s="76"/>
      <c r="AC566" s="76" t="str">
        <f t="array" ref="AC566:AC567">{"CLASSABILITY1 TOTAL";(sum(G567:AA567))}</f>
        <v>CLASSABILITY1 TOTAL</v>
      </c>
    </row>
    <row r="567">
      <c r="A567" s="48" t="s">
        <v>144</v>
      </c>
      <c r="B567" s="48"/>
      <c r="C567" s="48" t="s">
        <v>409</v>
      </c>
      <c r="D567" s="48" t="s">
        <v>930</v>
      </c>
      <c r="E567" s="48" t="s">
        <v>826</v>
      </c>
      <c r="F567" s="5"/>
      <c r="G567" s="5"/>
      <c r="H567" s="5"/>
      <c r="I567" s="5"/>
      <c r="J567" s="48">
        <v>30.0</v>
      </c>
      <c r="K567" s="5"/>
      <c r="L567" s="5"/>
      <c r="M567" s="5"/>
      <c r="N567" s="5"/>
      <c r="O567" s="5"/>
      <c r="P567" s="5">
        <v>10.0</v>
      </c>
      <c r="Q567" s="5"/>
      <c r="R567" s="5">
        <v>50.0</v>
      </c>
      <c r="S567" s="5"/>
      <c r="T567" s="5"/>
      <c r="U567" s="5"/>
      <c r="V567" s="5"/>
      <c r="W567" s="5"/>
      <c r="X567" s="5"/>
      <c r="Y567" s="5"/>
      <c r="Z567" s="5">
        <v>10.0</v>
      </c>
      <c r="AA567" s="5"/>
      <c r="AB567" s="5"/>
      <c r="AC567" s="47">
        <v>100.0</v>
      </c>
    </row>
    <row r="568" hidden="1">
      <c r="A568" s="76" t="str">
        <f t="array" ref="A568:A569">{"FormulaRow10";(INDEX(CLASSLIST,A549,1))}</f>
        <v>FormulaRow10</v>
      </c>
      <c r="B568" s="77" t="s">
        <v>236</v>
      </c>
      <c r="C568" s="76" t="str">
        <f t="array" ref="C568:C569">{"CLASSTYPE";((INDEX(ALLCLASSDATA,MATCH("ClassType",CLASSFEATUREHEADERS,0),MATCH($A569,CLASSNAMEHEADERS,0))))}</f>
        <v>CLASSTYPE</v>
      </c>
      <c r="D568" s="76" t="str">
        <f t="array" ref="D568:D569">{"CLASSABILITY";"ClassAbility"}</f>
        <v>CLASSABILITY</v>
      </c>
      <c r="E568" s="76" t="str">
        <f t="array" ref="E568:E569">{"CLASSABILITY2";"ClassAbility2"}</f>
        <v>CLASSABILITY2</v>
      </c>
      <c r="F568" s="76"/>
      <c r="G568" s="76"/>
      <c r="H568" s="76"/>
      <c r="I568" s="76"/>
      <c r="J568" s="76" t="str">
        <f t="array" ref="J568:J569">{"CLASSABILITY2-L03";((INDEX(ALLCLASSDATA,MATCH("ClassAbility2-L03",CLASSFEATUREHEADERS,0),MATCH(($A569),CLASSNAMEHEADERS,0))))}</f>
        <v>CLASSABILITY2-L03</v>
      </c>
      <c r="K568" s="76"/>
      <c r="L568" s="76" t="str">
        <f t="array" ref="L568:L569">{"CLASSABILITY2-L05";((INDEX(ALLCLASSDATA,MATCH("ClassAbility2-L05",CLASSFEATUREHEADERS,0),MATCH(($A569),CLASSNAMEHEADERS,0))))}</f>
        <v>CLASSABILITY2-L05</v>
      </c>
      <c r="M568" s="76"/>
      <c r="N568" s="76" t="str">
        <f t="array" ref="N568:N569">{"CLASSABILITY2-L07";((INDEX(ALLCLASSDATA,MATCH("ClassAbility2-L07",CLASSFEATUREHEADERS,0),MATCH(($A569),CLASSNAMEHEADERS,0))))}</f>
        <v>CLASSABILITY2-L07</v>
      </c>
      <c r="O568" s="76"/>
      <c r="P568" s="76" t="str">
        <f t="array" ref="P568:P569">{"CLASSABILITY2-L09";((INDEX(ALLCLASSDATA,MATCH("ClassAbility2-L09",CLASSFEATUREHEADERS,0),MATCH(($A569),CLASSNAMEHEADERS,0))))}</f>
        <v>CLASSABILITY2-L09</v>
      </c>
      <c r="Q568" s="76"/>
      <c r="R568" s="76" t="str">
        <f t="array" ref="R568:R569">{"CLASSABILITY2-L11";((INDEX(ALLCLASSDATA,MATCH("ClassAbility2-L11",CLASSFEATUREHEADERS,0),MATCH(($A569),CLASSNAMEHEADERS,0))))}</f>
        <v>CLASSABILITY2-L11</v>
      </c>
      <c r="S568" s="76"/>
      <c r="T568" s="76" t="str">
        <f t="array" ref="T568:T569">{"CLASSABILITY2-L13";((INDEX(ALLCLASSDATA,MATCH("ClassAbility2-L13",CLASSFEATUREHEADERS,0),MATCH(($A569),CLASSNAMEHEADERS,0))))}</f>
        <v>CLASSABILITY2-L13</v>
      </c>
      <c r="U568" s="76"/>
      <c r="V568" s="76" t="str">
        <f t="array" ref="V568:V569">{"CLASSABILITY2-L15";((INDEX(ALLCLASSDATA,MATCH("ClassAbility2-L15",CLASSFEATUREHEADERS,0),MATCH(($A569),CLASSNAMEHEADERS,0))))}</f>
        <v>CLASSABILITY2-L15</v>
      </c>
      <c r="W568" s="76"/>
      <c r="X568" s="76" t="str">
        <f t="array" ref="X568:X569">{"CLASSABILITY2-L17";((INDEX(ALLCLASSDATA,MATCH("ClassAbility2-L17",CLASSFEATUREHEADERS,0),MATCH(($A569),CLASSNAMEHEADERS,0))))}</f>
        <v>CLASSABILITY2-L17</v>
      </c>
      <c r="Y568" s="76"/>
      <c r="Z568" s="76" t="str">
        <f t="array" ref="Z568:Z569">{"CLASSABILITY2-L19";((INDEX(ALLCLASSDATA,MATCH("ClassAbility2-L19",CLASSFEATUREHEADERS,0),MATCH(($A569),CLASSNAMEHEADERS,0))))}</f>
        <v>CLASSABILITY2-L19</v>
      </c>
      <c r="AA568" s="76"/>
      <c r="AB568" s="76"/>
      <c r="AC568" s="76"/>
    </row>
    <row r="569">
      <c r="A569" s="48" t="s">
        <v>144</v>
      </c>
      <c r="B569" s="48"/>
      <c r="C569" s="48" t="s">
        <v>409</v>
      </c>
      <c r="D569" s="48" t="s">
        <v>825</v>
      </c>
      <c r="E569" s="48" t="s">
        <v>1007</v>
      </c>
      <c r="F569" s="48"/>
      <c r="G569" s="47"/>
      <c r="H569" s="5"/>
      <c r="I569" s="5"/>
      <c r="J569" s="5" t="s">
        <v>1682</v>
      </c>
      <c r="K569" s="5"/>
      <c r="L569" s="5"/>
      <c r="M569" s="5"/>
      <c r="N569" s="5" t="s">
        <v>308</v>
      </c>
      <c r="O569" s="5"/>
      <c r="P569" s="5" t="s">
        <v>314</v>
      </c>
      <c r="Q569" s="5"/>
      <c r="R569" s="5" t="s">
        <v>335</v>
      </c>
      <c r="S569" s="5"/>
      <c r="T569" s="5" t="s">
        <v>1755</v>
      </c>
      <c r="U569" s="5"/>
      <c r="V569" s="5" t="s">
        <v>326</v>
      </c>
      <c r="W569" s="5"/>
      <c r="X569" s="5"/>
      <c r="Y569" s="5"/>
      <c r="Z569" s="5" t="s">
        <v>1793</v>
      </c>
      <c r="AA569" s="5"/>
      <c r="AB569" s="5"/>
      <c r="AC569" s="47"/>
    </row>
    <row r="570" hidden="1">
      <c r="A570" s="76" t="str">
        <f t="array" ref="A570:A571">{"FormulaRow11";(INDEX(CLASSLIST,A549,1))}</f>
        <v>FormulaRow11</v>
      </c>
      <c r="B570" s="77" t="s">
        <v>236</v>
      </c>
      <c r="C570" s="76" t="str">
        <f t="array" ref="C570:C571">{"CLASSTYPE";((INDEX(ALLCLASSDATA,MATCH("ClassType",CLASSFEATUREHEADERS,0),MATCH($A571,CLASSNAMEHEADERS,0))))}</f>
        <v>CLASSTYPE</v>
      </c>
      <c r="D570" s="76" t="str">
        <f t="array" ref="D570:D571">{"CLASSABILITYPTS";"ClassAbilityPts"}</f>
        <v>CLASSABILITYPTS</v>
      </c>
      <c r="E570" s="76" t="str">
        <f t="array" ref="E570:E571">{"CLASSABILITY2";"ClassAbility2"}</f>
        <v>CLASSABILITY2</v>
      </c>
      <c r="F570" s="76"/>
      <c r="G570" s="76"/>
      <c r="H570" s="76"/>
      <c r="I570" s="76"/>
      <c r="J570" s="76" t="str">
        <f t="array" ref="J570:J571">{"CLASSABILITY2-L03PTS";((INDEX(ALLCLASSDATA,MATCH("ClassAbility2-L03",CLASSFEATUREHEADERS,0),MATCH(($A571 &amp; "Points"),CLASSNAMEHEADERS,0))))}</f>
        <v>CLASSABILITY2-L03PTS</v>
      </c>
      <c r="K570" s="76"/>
      <c r="L570" s="76" t="str">
        <f t="array" ref="L570:L571">{"CLASSABILITY2-L05PTS";((INDEX(ALLCLASSDATA,MATCH("ClassAbility2-L05",CLASSFEATUREHEADERS,0),MATCH(($A571 &amp; "Points"),CLASSNAMEHEADERS,0))))}</f>
        <v>CLASSABILITY2-L05PTS</v>
      </c>
      <c r="M570" s="76"/>
      <c r="N570" s="76" t="str">
        <f t="array" ref="N570:N571">{"CLASSABILITY2-L07PTS";((INDEX(ALLCLASSDATA,MATCH("ClassAbility2-L07",CLASSFEATUREHEADERS,0),MATCH(($A571 &amp; "Points"),CLASSNAMEHEADERS,0))))}</f>
        <v>CLASSABILITY2-L07PTS</v>
      </c>
      <c r="O570" s="76"/>
      <c r="P570" s="76" t="str">
        <f t="array" ref="P570:P571">{"CLASSABILITY2-L09PTS";((INDEX(ALLCLASSDATA,MATCH("ClassAbility2-L09",CLASSFEATUREHEADERS,0),MATCH(($A571 &amp; "Points"),CLASSNAMEHEADERS,0))))}</f>
        <v>CLASSABILITY2-L09PTS</v>
      </c>
      <c r="Q570" s="76"/>
      <c r="R570" s="76" t="str">
        <f t="array" ref="R570:R571">{"CLASSABILITY2-L11PTS";((INDEX(ALLCLASSDATA,MATCH("ClassAbility2-L11",CLASSFEATUREHEADERS,0),MATCH(($A571 &amp; "Points"),CLASSNAMEHEADERS,0))))}</f>
        <v>CLASSABILITY2-L11PTS</v>
      </c>
      <c r="S570" s="76"/>
      <c r="T570" s="76" t="str">
        <f t="array" ref="T570:T571">{"CLASSABILITY2-L13PTS";((INDEX(ALLCLASSDATA,MATCH("ClassAbility2-L13",CLASSFEATUREHEADERS,0),MATCH(($A571 &amp; "Points"),CLASSNAMEHEADERS,0))))}</f>
        <v>CLASSABILITY2-L13PTS</v>
      </c>
      <c r="U570" s="76"/>
      <c r="V570" s="76" t="str">
        <f t="array" ref="V570:V571">{"CLASSABILITY2-L15PTS";((INDEX(ALLCLASSDATA,MATCH("ClassAbility2-L15",CLASSFEATUREHEADERS,0),MATCH(($A571 &amp; "Points"),CLASSNAMEHEADERS,0))))}</f>
        <v>CLASSABILITY2-L15PTS</v>
      </c>
      <c r="W570" s="76"/>
      <c r="X570" s="76" t="str">
        <f t="array" ref="X570:X571">{"CLASSABILITY2-L17PTS";((INDEX(ALLCLASSDATA,MATCH("ClassAbility2-L17",CLASSFEATUREHEADERS,0),MATCH(($A571 &amp; "Points"),CLASSNAMEHEADERS,0))))}</f>
        <v>CLASSABILITY2-L17PTS</v>
      </c>
      <c r="Y570" s="76"/>
      <c r="Z570" s="76" t="str">
        <f t="array" ref="Z570:Z571">{"CLASSABILITY2-L19PTS";((INDEX(ALLCLASSDATA,MATCH("ClassAbility2-L19",CLASSFEATUREHEADERS,0),MATCH(($A571 &amp; "Points"),CLASSNAMEHEADERS,0))))}</f>
        <v>CLASSABILITY2-L19PTS</v>
      </c>
      <c r="AA570" s="76"/>
      <c r="AB570" s="76"/>
      <c r="AC570" s="76" t="str">
        <f t="array" ref="AC570:AC571">{"CLASSABILITY2 TOTAL";(sum(G571:AA571))}</f>
        <v>CLASSABILITY2 TOTAL</v>
      </c>
    </row>
    <row r="571">
      <c r="A571" s="48" t="s">
        <v>144</v>
      </c>
      <c r="B571" s="48"/>
      <c r="C571" s="48" t="s">
        <v>409</v>
      </c>
      <c r="D571" s="48" t="s">
        <v>930</v>
      </c>
      <c r="E571" s="48" t="s">
        <v>1007</v>
      </c>
      <c r="F571" s="48"/>
      <c r="G571" s="47"/>
      <c r="H571" s="5"/>
      <c r="I571" s="5"/>
      <c r="J571" s="5"/>
      <c r="K571" s="5"/>
      <c r="L571" s="5"/>
      <c r="M571" s="5"/>
      <c r="N571" s="5"/>
      <c r="O571" s="5"/>
      <c r="P571" s="5"/>
      <c r="Q571" s="5"/>
      <c r="R571" s="5"/>
      <c r="S571" s="5"/>
      <c r="T571" s="5"/>
      <c r="U571" s="5"/>
      <c r="V571" s="5"/>
      <c r="W571" s="5"/>
      <c r="X571" s="5"/>
      <c r="Y571" s="5"/>
      <c r="Z571" s="5"/>
      <c r="AA571" s="5"/>
      <c r="AB571" s="5"/>
      <c r="AC571" s="47">
        <v>0.0</v>
      </c>
    </row>
    <row r="572" hidden="1">
      <c r="A572" s="76" t="str">
        <f t="array" ref="A572:A573">{"FormulaRow12";(INDEX(CLASSLIST,A549,1))}</f>
        <v>FormulaRow12</v>
      </c>
      <c r="B572" s="77" t="s">
        <v>236</v>
      </c>
      <c r="C572" s="76" t="str">
        <f t="array" ref="C572:C573">{"CLASSTYPE";((INDEX(ALLCLASSDATA,MATCH("ClassType",CLASSFEATUREHEADERS,0),MATCH($A573,CLASSNAMEHEADERS,0))))}</f>
        <v>CLASSTYPE</v>
      </c>
      <c r="D572" s="76" t="str">
        <f t="array" ref="D572:D573">{"CLASSABILITY";"ClassAbility"}</f>
        <v>CLASSABILITY</v>
      </c>
      <c r="E572" s="76" t="str">
        <f t="array" ref="E572:E573">{"CLASSABILITY3";"ClassAbility3"}</f>
        <v>CLASSABILITY3</v>
      </c>
      <c r="F572" s="76"/>
      <c r="G572" s="76"/>
      <c r="H572" s="76"/>
      <c r="I572" s="76"/>
      <c r="J572" s="76" t="str">
        <f t="array" ref="J572:J573">{"CLASSABILITY3-L03";((INDEX(ALLCLASSDATA,MATCH("ClassAbility3-L03",CLASSFEATUREHEADERS,0),MATCH(($A573),CLASSNAMEHEADERS,0))))}</f>
        <v>CLASSABILITY3-L03</v>
      </c>
      <c r="K572" s="76"/>
      <c r="L572" s="76" t="str">
        <f t="array" ref="L572:L573">{"CLASSABILITY3-L05";((INDEX(ALLCLASSDATA,MATCH("ClassAbility3-L05",CLASSFEATUREHEADERS,0),MATCH(($A573),CLASSNAMEHEADERS,0))))}</f>
        <v>CLASSABILITY3-L05</v>
      </c>
      <c r="M572" s="76"/>
      <c r="N572" s="76" t="str">
        <f t="array" ref="N572:N573">{"CLASSABILITY3-L07";((INDEX(ALLCLASSDATA,MATCH("ClassAbility3-L07",CLASSFEATUREHEADERS,0),MATCH(($A573),CLASSNAMEHEADERS,0))))}</f>
        <v>CLASSABILITY3-L07</v>
      </c>
      <c r="O572" s="76"/>
      <c r="P572" s="76" t="str">
        <f t="array" ref="P572:P573">{"CLASSABILITY3-L09";((INDEX(ALLCLASSDATA,MATCH("ClassAbility3-L09",CLASSFEATUREHEADERS,0),MATCH(($A573),CLASSNAMEHEADERS,0))))}</f>
        <v>CLASSABILITY3-L09</v>
      </c>
      <c r="Q572" s="76"/>
      <c r="R572" s="76" t="str">
        <f t="array" ref="R572:R573">{"CLASSABILITY3-L11";((INDEX(ALLCLASSDATA,MATCH("ClassAbility3-L11",CLASSFEATUREHEADERS,0),MATCH(($A573),CLASSNAMEHEADERS,0))))}</f>
        <v>CLASSABILITY3-L11</v>
      </c>
      <c r="S572" s="76"/>
      <c r="T572" s="76" t="str">
        <f t="array" ref="T572:T573">{"CLASSABILITY3-L13";((INDEX(ALLCLASSDATA,MATCH("ClassAbility3-L13",CLASSFEATUREHEADERS,0),MATCH(($A573),CLASSNAMEHEADERS,0))))}</f>
        <v>CLASSABILITY3-L13</v>
      </c>
      <c r="U572" s="76"/>
      <c r="V572" s="76" t="str">
        <f t="array" ref="V572:V573">{"CLASSABILITY3-L15";((INDEX(ALLCLASSDATA,MATCH("ClassAbility3-L15",CLASSFEATUREHEADERS,0),MATCH(($A573),CLASSNAMEHEADERS,0))))}</f>
        <v>CLASSABILITY3-L15</v>
      </c>
      <c r="W572" s="76"/>
      <c r="X572" s="76" t="str">
        <f t="array" ref="X572:X573">{"CLASSABILITY3-L17";((INDEX(ALLCLASSDATA,MATCH("ClassAbility3-L17",CLASSFEATUREHEADERS,0),MATCH(($A573),CLASSNAMEHEADERS,0))))}</f>
        <v>CLASSABILITY3-L17</v>
      </c>
      <c r="Y572" s="76"/>
      <c r="Z572" s="76" t="str">
        <f t="array" ref="Z572:Z573">{"CLASSABILITY3-L19";((INDEX(ALLCLASSDATA,MATCH("ClassAbility3-L19",CLASSFEATUREHEADERS,0),MATCH(($A573),CLASSNAMEHEADERS,0))))}</f>
        <v>CLASSABILITY3-L19</v>
      </c>
      <c r="AA572" s="76"/>
      <c r="AB572" s="76"/>
      <c r="AC572" s="76"/>
    </row>
    <row r="573">
      <c r="A573" s="48" t="s">
        <v>144</v>
      </c>
      <c r="B573" s="48"/>
      <c r="C573" s="48" t="s">
        <v>409</v>
      </c>
      <c r="D573" s="48" t="s">
        <v>825</v>
      </c>
      <c r="E573" s="48" t="s">
        <v>1144</v>
      </c>
      <c r="F573" s="48"/>
      <c r="G573" s="47"/>
      <c r="H573" s="5"/>
      <c r="I573" s="5"/>
      <c r="J573" s="5"/>
      <c r="K573" s="5"/>
      <c r="L573" s="5"/>
      <c r="M573" s="5"/>
      <c r="N573" s="5"/>
      <c r="O573" s="5"/>
      <c r="P573" s="5"/>
      <c r="Q573" s="5"/>
      <c r="R573" s="5"/>
      <c r="S573" s="5"/>
      <c r="T573" s="5" t="s">
        <v>311</v>
      </c>
      <c r="U573" s="5"/>
      <c r="V573" s="5"/>
      <c r="W573" s="5"/>
      <c r="X573" s="5"/>
      <c r="Y573" s="5"/>
      <c r="Z573" s="5"/>
      <c r="AA573" s="5"/>
      <c r="AB573" s="5"/>
      <c r="AC573" s="47"/>
    </row>
    <row r="574" hidden="1">
      <c r="A574" s="76" t="str">
        <f t="array" ref="A574:A575">{"FormulaRow13";(INDEX(CLASSLIST,A549,1))}</f>
        <v>FormulaRow13</v>
      </c>
      <c r="B574" s="77" t="s">
        <v>236</v>
      </c>
      <c r="C574" s="76" t="str">
        <f t="array" ref="C574:C575">{"CLASSTYPE";((INDEX(ALLCLASSDATA,MATCH("ClassType",CLASSFEATUREHEADERS,0),MATCH($A575,CLASSNAMEHEADERS,0))))}</f>
        <v>CLASSTYPE</v>
      </c>
      <c r="D574" s="76" t="str">
        <f t="array" ref="D574:D575">{"CLASSABILITYPTS";"ClassAbilityPts"}</f>
        <v>CLASSABILITYPTS</v>
      </c>
      <c r="E574" s="76" t="str">
        <f t="array" ref="E574:E575">{"CLASSABILITY3";"ClassAbility3"}</f>
        <v>CLASSABILITY3</v>
      </c>
      <c r="F574" s="76"/>
      <c r="G574" s="76"/>
      <c r="H574" s="76"/>
      <c r="I574" s="76"/>
      <c r="J574" s="76" t="str">
        <f t="array" ref="J574:J575">{"CLASSABILITY3-L03PTS";((INDEX(ALLCLASSDATA,MATCH("ClassAbility3-L03",CLASSFEATUREHEADERS,0),MATCH(($A575 &amp; "Points"),CLASSNAMEHEADERS,0))))}</f>
        <v>CLASSABILITY3-L03PTS</v>
      </c>
      <c r="K574" s="76"/>
      <c r="L574" s="76" t="str">
        <f t="array" ref="L574:L575">{"CLASSABILITY3-L05PTS";((INDEX(ALLCLASSDATA,MATCH("ClassAbility3-L05",CLASSFEATUREHEADERS,0),MATCH(($A575 &amp; "Points"),CLASSNAMEHEADERS,0))))}</f>
        <v>CLASSABILITY3-L05PTS</v>
      </c>
      <c r="M574" s="76"/>
      <c r="N574" s="76" t="str">
        <f t="array" ref="N574:N575">{"CLASSABILITY3-L07PTS";((INDEX(ALLCLASSDATA,MATCH("ClassAbility3-L07",CLASSFEATUREHEADERS,0),MATCH(($A575 &amp; "Points"),CLASSNAMEHEADERS,0))))}</f>
        <v>CLASSABILITY3-L07PTS</v>
      </c>
      <c r="O574" s="76"/>
      <c r="P574" s="76" t="str">
        <f t="array" ref="P574:P575">{"CLASSABILITY3-L09PTS";((INDEX(ALLCLASSDATA,MATCH("ClassAbility3-L09",CLASSFEATUREHEADERS,0),MATCH(($A575 &amp; "Points"),CLASSNAMEHEADERS,0))))}</f>
        <v>CLASSABILITY3-L09PTS</v>
      </c>
      <c r="Q574" s="76"/>
      <c r="R574" s="76" t="str">
        <f t="array" ref="R574:R575">{"CLASSABILITY3-L11PTS";((INDEX(ALLCLASSDATA,MATCH("ClassAbility3-L11",CLASSFEATUREHEADERS,0),MATCH(($A575 &amp; "Points"),CLASSNAMEHEADERS,0))))}</f>
        <v>CLASSABILITY3-L11PTS</v>
      </c>
      <c r="S574" s="76"/>
      <c r="T574" s="76" t="str">
        <f t="array" ref="T574:T575">{"CLASSABILITY3-L13PTS";((INDEX(ALLCLASSDATA,MATCH("ClassAbility3-L13",CLASSFEATUREHEADERS,0),MATCH(($A575 &amp; "Points"),CLASSNAMEHEADERS,0))))}</f>
        <v>CLASSABILITY3-L13PTS</v>
      </c>
      <c r="U574" s="76"/>
      <c r="V574" s="76" t="str">
        <f t="array" ref="V574:V575">{"CLASSABILITY3-L15PTS";((INDEX(ALLCLASSDATA,MATCH("ClassAbility3-L15",CLASSFEATUREHEADERS,0),MATCH(($A575 &amp; "Points"),CLASSNAMEHEADERS,0))))}</f>
        <v>CLASSABILITY3-L15PTS</v>
      </c>
      <c r="W574" s="76"/>
      <c r="X574" s="76" t="str">
        <f t="array" ref="X574:X575">{"CLASSABILITY3-L17PTS";((INDEX(ALLCLASSDATA,MATCH("ClassAbility3-L17",CLASSFEATUREHEADERS,0),MATCH(($A575 &amp; "Points"),CLASSNAMEHEADERS,0))))}</f>
        <v>CLASSABILITY3-L17PTS</v>
      </c>
      <c r="Y574" s="76"/>
      <c r="Z574" s="76" t="str">
        <f t="array" ref="Z574:Z575">{"CLASSABILITY3-L19PTS";((INDEX(ALLCLASSDATA,MATCH("ClassAbility3-L19",CLASSFEATUREHEADERS,0),MATCH(($A575 &amp; "Points"),CLASSNAMEHEADERS,0))))}</f>
        <v>CLASSABILITY3-L19PTS</v>
      </c>
      <c r="AA574" s="76"/>
      <c r="AB574" s="76"/>
      <c r="AC574" s="76" t="str">
        <f t="array" ref="AC574:AC575">{"CLASSABILITY3 TOTAL";(sum(G575:AA575))}</f>
        <v>CLASSABILITY3 TOTAL</v>
      </c>
    </row>
    <row r="575">
      <c r="A575" s="48" t="s">
        <v>144</v>
      </c>
      <c r="B575" s="48"/>
      <c r="C575" s="48" t="s">
        <v>409</v>
      </c>
      <c r="D575" s="48" t="s">
        <v>930</v>
      </c>
      <c r="E575" s="48" t="s">
        <v>1144</v>
      </c>
      <c r="F575" s="48"/>
      <c r="G575" s="47"/>
      <c r="H575" s="5"/>
      <c r="I575" s="5"/>
      <c r="J575" s="5"/>
      <c r="K575" s="5"/>
      <c r="L575" s="5"/>
      <c r="M575" s="5"/>
      <c r="N575" s="5"/>
      <c r="O575" s="5"/>
      <c r="P575" s="5"/>
      <c r="Q575" s="5"/>
      <c r="R575" s="5"/>
      <c r="S575" s="5"/>
      <c r="T575" s="5"/>
      <c r="U575" s="5"/>
      <c r="V575" s="5"/>
      <c r="W575" s="5"/>
      <c r="X575" s="5"/>
      <c r="Y575" s="5"/>
      <c r="Z575" s="5"/>
      <c r="AA575" s="5"/>
      <c r="AB575" s="5"/>
      <c r="AC575" s="47">
        <v>0.0</v>
      </c>
    </row>
    <row r="576" hidden="1">
      <c r="A576" s="76" t="str">
        <f t="array" ref="A576:A577">{"FormulaRow14";(INDEX(CLASSLIST,A549,1))}</f>
        <v>FormulaRow14</v>
      </c>
      <c r="B576" s="77" t="s">
        <v>236</v>
      </c>
      <c r="C576" s="76" t="str">
        <f t="array" ref="C576:C577">{"CLASSTYPE";((INDEX(ALLCLASSDATA,MATCH("ClassType",CLASSFEATUREHEADERS,0),MATCH($A577,CLASSNAMEHEADERS,0))))}</f>
        <v>CLASSTYPE</v>
      </c>
      <c r="D576" s="76" t="str">
        <f t="array" ref="D576:D577">{"CLASSABILITY";"ClassAbility"}</f>
        <v>CLASSABILITY</v>
      </c>
      <c r="E576" s="76" t="str">
        <f t="array" ref="E576:E577">{"CLASSABILITY4";"ClassAbility4"}</f>
        <v>CLASSABILITY4</v>
      </c>
      <c r="F576" s="76"/>
      <c r="G576" s="76"/>
      <c r="H576" s="76"/>
      <c r="I576" s="76"/>
      <c r="J576" s="76" t="str">
        <f t="array" ref="J576:J577">{"CLASSABILITY4-L03";((INDEX(ALLCLASSDATA,MATCH("ClassAbility4-L03",CLASSFEATUREHEADERS,0),MATCH(($A577),CLASSNAMEHEADERS,0))))}</f>
        <v>CLASSABILITY4-L03</v>
      </c>
      <c r="K576" s="76"/>
      <c r="L576" s="76" t="str">
        <f t="array" ref="L576:L577">{"CLASSABILITY4-L05";((INDEX(ALLCLASSDATA,MATCH("ClassAbility4-L05",CLASSFEATUREHEADERS,0),MATCH(($A577),CLASSNAMEHEADERS,0))))}</f>
        <v>CLASSABILITY4-L05</v>
      </c>
      <c r="M576" s="76"/>
      <c r="N576" s="76" t="str">
        <f t="array" ref="N576:N577">{"CLASSABILITY4-L07";((INDEX(ALLCLASSDATA,MATCH("ClassAbility4-L07",CLASSFEATUREHEADERS,0),MATCH(($A577),CLASSNAMEHEADERS,0))))}</f>
        <v>CLASSABILITY4-L07</v>
      </c>
      <c r="O576" s="76"/>
      <c r="P576" s="76" t="str">
        <f t="array" ref="P576:P577">{"CLASSABILITY4-L09";((INDEX(ALLCLASSDATA,MATCH("ClassAbility4-L09",CLASSFEATUREHEADERS,0),MATCH(($A577),CLASSNAMEHEADERS,0))))}</f>
        <v>CLASSABILITY4-L09</v>
      </c>
      <c r="Q576" s="76"/>
      <c r="R576" s="76" t="str">
        <f t="array" ref="R576:R577">{"CLASSABILITY4-L11";((INDEX(ALLCLASSDATA,MATCH("ClassAbility4-L11",CLASSFEATUREHEADERS,0),MATCH(($A577),CLASSNAMEHEADERS,0))))}</f>
        <v>CLASSABILITY4-L11</v>
      </c>
      <c r="S576" s="76"/>
      <c r="T576" s="76" t="str">
        <f t="array" ref="T576:T577">{"CLASSABILITY4-L13";((INDEX(ALLCLASSDATA,MATCH("ClassAbility4-L13",CLASSFEATUREHEADERS,0),MATCH(($A577),CLASSNAMEHEADERS,0))))}</f>
        <v>CLASSABILITY4-L13</v>
      </c>
      <c r="U576" s="76"/>
      <c r="V576" s="76" t="str">
        <f t="array" ref="V576:V577">{"CLASSABILITY4-L15";((INDEX(ALLCLASSDATA,MATCH("ClassAbility4-L15",CLASSFEATUREHEADERS,0),MATCH(($A577),CLASSNAMEHEADERS,0))))}</f>
        <v>CLASSABILITY4-L15</v>
      </c>
      <c r="W576" s="76"/>
      <c r="X576" s="76" t="str">
        <f t="array" ref="X576:X577">{"CLASSABILITY4-L17";((INDEX(ALLCLASSDATA,MATCH("ClassAbility4-L17",CLASSFEATUREHEADERS,0),MATCH(($A577),CLASSNAMEHEADERS,0))))}</f>
        <v>CLASSABILITY4-L17</v>
      </c>
      <c r="Y576" s="76"/>
      <c r="Z576" s="76" t="str">
        <f t="array" ref="Z576:Z577">{"CLASSABILITY4-L19";((INDEX(ALLCLASSDATA,MATCH("ClassAbility4-L19",CLASSFEATUREHEADERS,0),MATCH(($A577),CLASSNAMEHEADERS,0))))}</f>
        <v>CLASSABILITY4-L19</v>
      </c>
      <c r="AA576" s="76"/>
      <c r="AB576" s="76"/>
      <c r="AC576" s="76"/>
    </row>
    <row r="577">
      <c r="A577" s="48" t="s">
        <v>144</v>
      </c>
      <c r="B577" s="48"/>
      <c r="C577" s="48" t="s">
        <v>409</v>
      </c>
      <c r="D577" s="48" t="s">
        <v>825</v>
      </c>
      <c r="E577" s="48" t="s">
        <v>1273</v>
      </c>
      <c r="F577" s="48"/>
      <c r="G577" s="47"/>
      <c r="H577" s="5"/>
      <c r="I577" s="5"/>
      <c r="J577" s="5"/>
      <c r="K577" s="5"/>
      <c r="L577" s="5"/>
      <c r="M577" s="5"/>
      <c r="N577" s="5"/>
      <c r="O577" s="5"/>
      <c r="P577" s="5"/>
      <c r="Q577" s="5"/>
      <c r="R577" s="5"/>
      <c r="S577" s="5"/>
      <c r="T577" s="5"/>
      <c r="U577" s="5"/>
      <c r="V577" s="5"/>
      <c r="W577" s="5"/>
      <c r="X577" s="5"/>
      <c r="Y577" s="5"/>
      <c r="Z577" s="5"/>
      <c r="AA577" s="5"/>
      <c r="AB577" s="5"/>
      <c r="AC577" s="47"/>
    </row>
    <row r="578" hidden="1">
      <c r="A578" s="76" t="str">
        <f t="array" ref="A578:A579">{"FormulaRow15";(INDEX(CLASSLIST,A549,1))}</f>
        <v>FormulaRow15</v>
      </c>
      <c r="B578" s="77" t="s">
        <v>236</v>
      </c>
      <c r="C578" s="76" t="str">
        <f t="array" ref="C578:C579">{"CLASSTYPE";((INDEX(ALLCLASSDATA,MATCH("ClassType",CLASSFEATUREHEADERS,0),MATCH($A579,CLASSNAMEHEADERS,0))))}</f>
        <v>CLASSTYPE</v>
      </c>
      <c r="D578" s="76" t="str">
        <f t="array" ref="D578:D579">{"CLASSABILITYPTS";"ClassAbilityPts"}</f>
        <v>CLASSABILITYPTS</v>
      </c>
      <c r="E578" s="76" t="str">
        <f t="array" ref="E578:E579">{"CLASSABILITY4";"ClassAbility4"}</f>
        <v>CLASSABILITY4</v>
      </c>
      <c r="F578" s="76"/>
      <c r="G578" s="76"/>
      <c r="H578" s="76"/>
      <c r="I578" s="76"/>
      <c r="J578" s="76" t="str">
        <f t="array" ref="J578:J579">{"CLASSABILITY4-L03PTS";((INDEX(ALLCLASSDATA,MATCH("ClassAbility4-L03",CLASSFEATUREHEADERS,0),MATCH(($A579 &amp; "Points"),CLASSNAMEHEADERS,0))))}</f>
        <v>CLASSABILITY4-L03PTS</v>
      </c>
      <c r="K578" s="76"/>
      <c r="L578" s="76" t="str">
        <f t="array" ref="L578:L579">{"CLASSABILITY4-L05PTS";((INDEX(ALLCLASSDATA,MATCH("ClassAbility4-L05",CLASSFEATUREHEADERS,0),MATCH(($A579 &amp; "Points"),CLASSNAMEHEADERS,0))))}</f>
        <v>CLASSABILITY4-L05PTS</v>
      </c>
      <c r="M578" s="76"/>
      <c r="N578" s="76" t="str">
        <f t="array" ref="N578:N579">{"CLASSABILITY4-L07PTS";((INDEX(ALLCLASSDATA,MATCH("ClassAbility4-L07",CLASSFEATUREHEADERS,0),MATCH(($A579 &amp; "Points"),CLASSNAMEHEADERS,0))))}</f>
        <v>CLASSABILITY4-L07PTS</v>
      </c>
      <c r="O578" s="76"/>
      <c r="P578" s="76" t="str">
        <f t="array" ref="P578:P579">{"CLASSABILITY4-L09PTS";((INDEX(ALLCLASSDATA,MATCH("ClassAbility4-L09",CLASSFEATUREHEADERS,0),MATCH(($A579 &amp; "Points"),CLASSNAMEHEADERS,0))))}</f>
        <v>CLASSABILITY4-L09PTS</v>
      </c>
      <c r="Q578" s="76"/>
      <c r="R578" s="76" t="str">
        <f t="array" ref="R578:R579">{"CLASSABILITY4-L11PTS";((INDEX(ALLCLASSDATA,MATCH("ClassAbility4-L11",CLASSFEATUREHEADERS,0),MATCH(($A579 &amp; "Points"),CLASSNAMEHEADERS,0))))}</f>
        <v>CLASSABILITY4-L11PTS</v>
      </c>
      <c r="S578" s="76"/>
      <c r="T578" s="76" t="str">
        <f t="array" ref="T578:T579">{"CLASSABILITY4-L13PTS";((INDEX(ALLCLASSDATA,MATCH("ClassAbility4-L13",CLASSFEATUREHEADERS,0),MATCH(($A579 &amp; "Points"),CLASSNAMEHEADERS,0))))}</f>
        <v>CLASSABILITY4-L13PTS</v>
      </c>
      <c r="U578" s="76"/>
      <c r="V578" s="76" t="str">
        <f t="array" ref="V578:V579">{"CLASSABILITY4-L15PTS";((INDEX(ALLCLASSDATA,MATCH("ClassAbility4-L15",CLASSFEATUREHEADERS,0),MATCH(($A579 &amp; "Points"),CLASSNAMEHEADERS,0))))}</f>
        <v>CLASSABILITY4-L15PTS</v>
      </c>
      <c r="W578" s="76"/>
      <c r="X578" s="76" t="str">
        <f t="array" ref="X578:X579">{"CLASSABILITY4-L17PTS";((INDEX(ALLCLASSDATA,MATCH("ClassAbility4-L17",CLASSFEATUREHEADERS,0),MATCH(($A579 &amp; "Points"),CLASSNAMEHEADERS,0))))}</f>
        <v>CLASSABILITY4-L17PTS</v>
      </c>
      <c r="Y578" s="76"/>
      <c r="Z578" s="76" t="str">
        <f t="array" ref="Z578:Z579">{"CLASSABILITY4-L19PTS";((INDEX(ALLCLASSDATA,MATCH("ClassAbility4-L19",CLASSFEATUREHEADERS,0),MATCH(($A579 &amp; "Points"),CLASSNAMEHEADERS,0))))}</f>
        <v>CLASSABILITY4-L19PTS</v>
      </c>
      <c r="AA578" s="76"/>
      <c r="AB578" s="76"/>
      <c r="AC578" s="76" t="str">
        <f t="array" ref="AC578:AC579">{"CLASSABILITY4 TOTAL";(sum(G579:AA579))}</f>
        <v>CLASSABILITY4 TOTAL</v>
      </c>
    </row>
    <row r="579">
      <c r="A579" s="48" t="s">
        <v>144</v>
      </c>
      <c r="B579" s="48"/>
      <c r="C579" s="48" t="s">
        <v>409</v>
      </c>
      <c r="D579" s="48" t="s">
        <v>930</v>
      </c>
      <c r="E579" s="48" t="s">
        <v>1273</v>
      </c>
      <c r="F579" s="48"/>
      <c r="G579" s="47"/>
      <c r="H579" s="5"/>
      <c r="I579" s="5"/>
      <c r="J579" s="5"/>
      <c r="K579" s="5"/>
      <c r="L579" s="5"/>
      <c r="M579" s="5"/>
      <c r="N579" s="5"/>
      <c r="O579" s="5"/>
      <c r="P579" s="5"/>
      <c r="Q579" s="5"/>
      <c r="R579" s="5"/>
      <c r="S579" s="5"/>
      <c r="T579" s="5"/>
      <c r="U579" s="5"/>
      <c r="V579" s="5"/>
      <c r="W579" s="5"/>
      <c r="X579" s="5"/>
      <c r="Y579" s="5"/>
      <c r="Z579" s="5"/>
      <c r="AA579" s="5"/>
      <c r="AB579" s="5"/>
      <c r="AC579" s="47">
        <v>0.0</v>
      </c>
    </row>
    <row r="580" hidden="1">
      <c r="A580" s="76" t="str">
        <f t="array" ref="A580:A581">{"FormulaRow16";(INDEX(CLASSLIST,A549,1))}</f>
        <v>FormulaRow16</v>
      </c>
      <c r="B580" s="77" t="s">
        <v>236</v>
      </c>
      <c r="C580" s="76" t="str">
        <f t="array" ref="C580:C581">{"CLASSTYPE";((INDEX(ALLCLASSDATA,MATCH("ClassType",CLASSFEATUREHEADERS,0),MATCH($A581,CLASSNAMEHEADERS,0))))}</f>
        <v>CLASSTYPE</v>
      </c>
      <c r="D580" s="76" t="str">
        <f t="array" ref="D580:D581">{"CLASSABILITY";"ClassAbility"}</f>
        <v>CLASSABILITY</v>
      </c>
      <c r="E580" s="76" t="str">
        <f t="array" ref="E580:E581">{"SUBCLASSABILITY1";"SubclassAbility1"}</f>
        <v>SUBCLASSABILITY1</v>
      </c>
      <c r="F580" s="76"/>
      <c r="G580" s="76"/>
      <c r="H580" s="76"/>
      <c r="I580" s="76"/>
      <c r="J580" s="76" t="str">
        <f t="array" ref="J580:J581">{"SUBCLASSABILITY1-L03";((INDEX(ALLCLASSDATA,MATCH("SubclassAbility1-L03",CLASSFEATUREHEADERS,0),MATCH(($A581),CLASSNAMEHEADERS,0))))}</f>
        <v>SUBCLASSABILITY1-L03</v>
      </c>
      <c r="K580" s="76"/>
      <c r="L580" s="76" t="str">
        <f t="array" ref="L580:L581">{"SUBCLASSABILITY1-L05";((INDEX(ALLCLASSDATA,MATCH("SubclassAbility1-L05",CLASSFEATUREHEADERS,0),MATCH(($A581),CLASSNAMEHEADERS,0))))}</f>
        <v>SUBCLASSABILITY1-L05</v>
      </c>
      <c r="M580" s="76"/>
      <c r="N580" s="76" t="str">
        <f t="array" ref="N580:N581">{"SUBCLASSABILITY1-L07";((INDEX(ALLCLASSDATA,MATCH("SubclassAbility1-L07",CLASSFEATUREHEADERS,0),MATCH(($A581),CLASSNAMEHEADERS,0))))}</f>
        <v>SUBCLASSABILITY1-L07</v>
      </c>
      <c r="O580" s="76"/>
      <c r="P580" s="76" t="str">
        <f t="array" ref="P580:P581">{"SUBCLASSABILITY1-L09";((INDEX(ALLCLASSDATA,MATCH("SubclassAbility1-L09",CLASSFEATUREHEADERS,0),MATCH(($A581),CLASSNAMEHEADERS,0))))}</f>
        <v>SUBCLASSABILITY1-L09</v>
      </c>
      <c r="Q580" s="76"/>
      <c r="R580" s="76" t="str">
        <f t="array" ref="R580:R581">{"SUBCLASSABILITY1-L11";((INDEX(ALLCLASSDATA,MATCH("SubclassAbility1-L11",CLASSFEATUREHEADERS,0),MATCH(($A581),CLASSNAMEHEADERS,0))))}</f>
        <v>SUBCLASSABILITY1-L11</v>
      </c>
      <c r="S580" s="76"/>
      <c r="T580" s="76" t="str">
        <f t="array" ref="T580:T581">{"SUBCLASSABILITY1-L13";((INDEX(ALLCLASSDATA,MATCH("SubclassAbility1-L13",CLASSFEATUREHEADERS,0),MATCH(($A581),CLASSNAMEHEADERS,0))))}</f>
        <v>SUBCLASSABILITY1-L13</v>
      </c>
      <c r="U580" s="76"/>
      <c r="V580" s="76" t="str">
        <f t="array" ref="V580:V581">{"SUBCLASSABILITY1-L15";((INDEX(ALLCLASSDATA,MATCH("SubclassAbility1-L15",CLASSFEATUREHEADERS,0),MATCH(($A581),CLASSNAMEHEADERS,0))))}</f>
        <v>SUBCLASSABILITY1-L15</v>
      </c>
      <c r="W580" s="76"/>
      <c r="X580" s="76" t="str">
        <f t="array" ref="X580:X581">{"SUBCLASSABILITY1-L17";((INDEX(ALLCLASSDATA,MATCH("SubclassAbility1-L17",CLASSFEATUREHEADERS,0),MATCH(($A581),CLASSNAMEHEADERS,0))))}</f>
        <v>SUBCLASSABILITY1-L17</v>
      </c>
      <c r="Y580" s="76"/>
      <c r="Z580" s="76" t="str">
        <f t="array" ref="Z580:Z581">{"SUBCLASSABILITY1-L19";((INDEX(ALLCLASSDATA,MATCH("SubclassAbility1-L19",CLASSFEATUREHEADERS,0),MATCH(($A581),CLASSNAMEHEADERS,0))))}</f>
        <v>SUBCLASSABILITY1-L19</v>
      </c>
      <c r="AA580" s="76"/>
      <c r="AB580" s="76"/>
      <c r="AC580" s="76"/>
    </row>
    <row r="581">
      <c r="A581" s="48" t="s">
        <v>144</v>
      </c>
      <c r="B581" s="48"/>
      <c r="C581" s="48" t="s">
        <v>409</v>
      </c>
      <c r="D581" s="48" t="s">
        <v>825</v>
      </c>
      <c r="E581" s="28" t="s">
        <v>1355</v>
      </c>
      <c r="F581" s="5"/>
      <c r="G581" s="47"/>
      <c r="H581" s="5"/>
      <c r="I581" s="5"/>
      <c r="J581" s="5"/>
      <c r="K581" s="5"/>
      <c r="L581" s="5"/>
      <c r="M581" s="5"/>
      <c r="N581" s="5"/>
      <c r="O581" s="5"/>
      <c r="P581" s="5"/>
      <c r="Q581" s="5"/>
      <c r="R581" s="5"/>
      <c r="S581" s="5"/>
      <c r="T581" s="5"/>
      <c r="U581" s="5"/>
      <c r="V581" s="5"/>
      <c r="W581" s="5"/>
      <c r="X581" s="5"/>
      <c r="Y581" s="5"/>
      <c r="Z581" s="5"/>
      <c r="AA581" s="5"/>
      <c r="AB581" s="5"/>
      <c r="AC581" s="47"/>
    </row>
    <row r="582" hidden="1">
      <c r="A582" s="76" t="str">
        <f t="array" ref="A582:A583">{"FormulaRow17";(INDEX(CLASSLIST,A549,1))}</f>
        <v>FormulaRow17</v>
      </c>
      <c r="B582" s="77" t="s">
        <v>236</v>
      </c>
      <c r="C582" s="76" t="str">
        <f t="array" ref="C582:C583">{"CLASSTYPE";((INDEX(ALLCLASSDATA,MATCH("ClassType",CLASSFEATUREHEADERS,0),MATCH($A583,CLASSNAMEHEADERS,0))))}</f>
        <v>CLASSTYPE</v>
      </c>
      <c r="D582" s="76" t="str">
        <f t="array" ref="D582:D583">{"CLASSABILITYPTS";"ClassAbilityPts"}</f>
        <v>CLASSABILITYPTS</v>
      </c>
      <c r="E582" s="76" t="str">
        <f t="array" ref="E582:E583">{"SUBCLASSABILITY1";"SubclassAbility1"}</f>
        <v>SUBCLASSABILITY1</v>
      </c>
      <c r="F582" s="76"/>
      <c r="G582" s="76"/>
      <c r="H582" s="76"/>
      <c r="I582" s="76"/>
      <c r="J582" s="76" t="str">
        <f t="array" ref="J582:J583">{"SUBCLASSABILITY1-L03PTS";((INDEX(ALLCLASSDATA,MATCH("SubclassAbility1-L03",CLASSFEATUREHEADERS,0),MATCH(($A583 &amp; "Points"),CLASSNAMEHEADERS,0))))}</f>
        <v>SUBCLASSABILITY1-L03PTS</v>
      </c>
      <c r="K582" s="76"/>
      <c r="L582" s="76" t="str">
        <f t="array" ref="L582:L583">{"SUBCLASSABILITY1-L05PTS";((INDEX(ALLCLASSDATA,MATCH("SubclassAbility1-L05",CLASSFEATUREHEADERS,0),MATCH(($A583 &amp; "Points"),CLASSNAMEHEADERS,0))))}</f>
        <v>SUBCLASSABILITY1-L05PTS</v>
      </c>
      <c r="M582" s="76"/>
      <c r="N582" s="76" t="str">
        <f t="array" ref="N582:N583">{"SUBCLASSABILITY1-L07PTS";((INDEX(ALLCLASSDATA,MATCH("SubclassAbility1-L07",CLASSFEATUREHEADERS,0),MATCH(($A583 &amp; "Points"),CLASSNAMEHEADERS,0))))}</f>
        <v>SUBCLASSABILITY1-L07PTS</v>
      </c>
      <c r="O582" s="76"/>
      <c r="P582" s="76" t="str">
        <f t="array" ref="P582:P583">{"SUBCLASSABILITY1-L09PTS";((INDEX(ALLCLASSDATA,MATCH("SubclassAbility1-L09",CLASSFEATUREHEADERS,0),MATCH(($A583 &amp; "Points"),CLASSNAMEHEADERS,0))))}</f>
        <v>SUBCLASSABILITY1-L09PTS</v>
      </c>
      <c r="Q582" s="76"/>
      <c r="R582" s="76" t="str">
        <f t="array" ref="R582:R583">{"SUBCLASSABILITY1-L11PTS";((INDEX(ALLCLASSDATA,MATCH("SubclassAbility1-L11",CLASSFEATUREHEADERS,0),MATCH(($A583 &amp; "Points"),CLASSNAMEHEADERS,0))))}</f>
        <v>SUBCLASSABILITY1-L11PTS</v>
      </c>
      <c r="S582" s="76"/>
      <c r="T582" s="76" t="str">
        <f t="array" ref="T582:T583">{"SUBCLASSABILITY1-L13PTS";((INDEX(ALLCLASSDATA,MATCH("SubclassAbility1-L13",CLASSFEATUREHEADERS,0),MATCH(($A583 &amp; "Points"),CLASSNAMEHEADERS,0))))}</f>
        <v>SUBCLASSABILITY1-L13PTS</v>
      </c>
      <c r="U582" s="76"/>
      <c r="V582" s="76" t="str">
        <f t="array" ref="V582:V583">{"SUBCLASSABILITY1-L15PTS";((INDEX(ALLCLASSDATA,MATCH("SubclassAbility1-L15",CLASSFEATUREHEADERS,0),MATCH(($A583 &amp; "Points"),CLASSNAMEHEADERS,0))))}</f>
        <v>SUBCLASSABILITY1-L15PTS</v>
      </c>
      <c r="W582" s="76"/>
      <c r="X582" s="76" t="str">
        <f t="array" ref="X582:X583">{"SUBCLASSABILITY1-L17PTS";((INDEX(ALLCLASSDATA,MATCH("SubclassAbility1-L17",CLASSFEATUREHEADERS,0),MATCH(($A583 &amp; "Points"),CLASSNAMEHEADERS,0))))}</f>
        <v>SUBCLASSABILITY1-L17PTS</v>
      </c>
      <c r="Y582" s="76"/>
      <c r="Z582" s="76" t="str">
        <f t="array" ref="Z582:Z583">{"SUBCLASSABILITY1-L19PTS";((INDEX(ALLCLASSDATA,MATCH("SubclassAbility1-L19",CLASSFEATUREHEADERS,0),MATCH(($A583 &amp; "Points"),CLASSNAMEHEADERS,0))))}</f>
        <v>SUBCLASSABILITY1-L19PTS</v>
      </c>
      <c r="AA582" s="76"/>
      <c r="AB582" s="76"/>
      <c r="AC582" s="76" t="str">
        <f t="array" ref="AC582:AC583">{"SUBCLASSABILITY1 TOTAL";(sum(G583:AA583))}</f>
        <v>SUBCLASSABILITY1 TOTAL</v>
      </c>
    </row>
    <row r="583">
      <c r="A583" s="48" t="s">
        <v>144</v>
      </c>
      <c r="B583" s="48"/>
      <c r="C583" s="48" t="s">
        <v>409</v>
      </c>
      <c r="D583" s="48" t="s">
        <v>930</v>
      </c>
      <c r="E583" s="28" t="s">
        <v>1355</v>
      </c>
      <c r="F583" s="5"/>
      <c r="G583" s="47"/>
      <c r="H583" s="5"/>
      <c r="I583" s="5"/>
      <c r="J583" s="5"/>
      <c r="K583" s="5"/>
      <c r="L583" s="5"/>
      <c r="M583" s="5"/>
      <c r="N583" s="5"/>
      <c r="O583" s="5"/>
      <c r="P583" s="5"/>
      <c r="Q583" s="5"/>
      <c r="R583" s="5"/>
      <c r="S583" s="5"/>
      <c r="T583" s="5"/>
      <c r="U583" s="5"/>
      <c r="V583" s="5"/>
      <c r="W583" s="5"/>
      <c r="X583" s="5"/>
      <c r="Y583" s="5"/>
      <c r="Z583" s="5"/>
      <c r="AA583" s="5"/>
      <c r="AB583" s="5"/>
      <c r="AC583" s="47">
        <v>0.0</v>
      </c>
    </row>
    <row r="584" hidden="1">
      <c r="A584" s="76" t="str">
        <f t="array" ref="A584:A585">{"FormulaRow18";(INDEX(CLASSLIST,A549,1))}</f>
        <v>FormulaRow18</v>
      </c>
      <c r="B584" s="77" t="s">
        <v>236</v>
      </c>
      <c r="C584" s="76" t="str">
        <f t="array" ref="C584:C585">{"CLASSTYPE";((INDEX(ALLCLASSDATA,MATCH("ClassType",CLASSFEATUREHEADERS,0),MATCH($A585,CLASSNAMEHEADERS,0))))}</f>
        <v>CLASSTYPE</v>
      </c>
      <c r="D584" s="76" t="str">
        <f t="array" ref="D584:D585">{"CLASSABILITY";"ClassAbility"}</f>
        <v>CLASSABILITY</v>
      </c>
      <c r="E584" s="76" t="str">
        <f t="array" ref="E584:E585">{"SUBCLASSABILITY2";"SubclassAbility2"}</f>
        <v>SUBCLASSABILITY2</v>
      </c>
      <c r="F584" s="76"/>
      <c r="G584" s="76"/>
      <c r="H584" s="76"/>
      <c r="I584" s="76"/>
      <c r="J584" s="76" t="str">
        <f t="array" ref="J584:J585">{"SUBCLASSABILITY2-L03";((INDEX(ALLCLASSDATA,MATCH("SubclassAbility2-L03",CLASSFEATUREHEADERS,0),MATCH(($A585),CLASSNAMEHEADERS,0))))}</f>
        <v>SUBCLASSABILITY2-L03</v>
      </c>
      <c r="K584" s="76"/>
      <c r="L584" s="76" t="str">
        <f t="array" ref="L584:L585">{"SUBCLASSABILITY2-L05";((INDEX(ALLCLASSDATA,MATCH("SubclassAbility2-L05",CLASSFEATUREHEADERS,0),MATCH(($A585),CLASSNAMEHEADERS,0))))}</f>
        <v>SUBCLASSABILITY2-L05</v>
      </c>
      <c r="M584" s="76"/>
      <c r="N584" s="76" t="str">
        <f t="array" ref="N584:N585">{"SUBCLASSABILITY2-L07";((INDEX(ALLCLASSDATA,MATCH("SubclassAbility2-L07",CLASSFEATUREHEADERS,0),MATCH(($A585),CLASSNAMEHEADERS,0))))}</f>
        <v>SUBCLASSABILITY2-L07</v>
      </c>
      <c r="O584" s="76"/>
      <c r="P584" s="76" t="str">
        <f t="array" ref="P584:P585">{"SUBCLASSABILITY2-L09";((INDEX(ALLCLASSDATA,MATCH("SubclassAbility2-L09",CLASSFEATUREHEADERS,0),MATCH(($A585),CLASSNAMEHEADERS,0))))}</f>
        <v>SUBCLASSABILITY2-L09</v>
      </c>
      <c r="Q584" s="76"/>
      <c r="R584" s="76" t="str">
        <f t="array" ref="R584:R585">{"SUBCLASSABILITY2-L11";((INDEX(ALLCLASSDATA,MATCH("SubclassAbility2-L11",CLASSFEATUREHEADERS,0),MATCH(($A585),CLASSNAMEHEADERS,0))))}</f>
        <v>SUBCLASSABILITY2-L11</v>
      </c>
      <c r="S584" s="76"/>
      <c r="T584" s="76" t="str">
        <f t="array" ref="T584:T585">{"SUBCLASSABILITY2-L13";((INDEX(ALLCLASSDATA,MATCH("SubclassAbility2-L13",CLASSFEATUREHEADERS,0),MATCH(($A585),CLASSNAMEHEADERS,0))))}</f>
        <v>SUBCLASSABILITY2-L13</v>
      </c>
      <c r="U584" s="76"/>
      <c r="V584" s="76" t="str">
        <f t="array" ref="V584:V585">{"SUBCLASSABILITY2-L15";((INDEX(ALLCLASSDATA,MATCH("SubclassAbility2-L15",CLASSFEATUREHEADERS,0),MATCH(($A585),CLASSNAMEHEADERS,0))))}</f>
        <v>SUBCLASSABILITY2-L15</v>
      </c>
      <c r="W584" s="76"/>
      <c r="X584" s="76" t="str">
        <f t="array" ref="X584:X585">{"SUBCLASSABILITY2-L17";((INDEX(ALLCLASSDATA,MATCH("SubclassAbility2-L17",CLASSFEATUREHEADERS,0),MATCH(($A585),CLASSNAMEHEADERS,0))))}</f>
        <v>SUBCLASSABILITY2-L17</v>
      </c>
      <c r="Y584" s="76"/>
      <c r="Z584" s="76" t="str">
        <f t="array" ref="Z584:Z585">{"SUBCLASSABILITY2-L19";((INDEX(ALLCLASSDATA,MATCH("SubclassAbility2-L19",CLASSFEATUREHEADERS,0),MATCH(($A585),CLASSNAMEHEADERS,0))))}</f>
        <v>SUBCLASSABILITY2-L19</v>
      </c>
      <c r="AA584" s="76"/>
      <c r="AB584" s="76"/>
      <c r="AC584" s="76"/>
    </row>
    <row r="585">
      <c r="A585" s="48" t="s">
        <v>144</v>
      </c>
      <c r="B585" s="48"/>
      <c r="C585" s="48" t="s">
        <v>409</v>
      </c>
      <c r="D585" s="48" t="s">
        <v>825</v>
      </c>
      <c r="E585" s="28" t="s">
        <v>1370</v>
      </c>
      <c r="F585" s="5"/>
      <c r="G585" s="47"/>
      <c r="H585" s="5"/>
      <c r="I585" s="5"/>
      <c r="J585" s="5"/>
      <c r="K585" s="5"/>
      <c r="L585" s="5"/>
      <c r="M585" s="5"/>
      <c r="N585" s="5"/>
      <c r="O585" s="5"/>
      <c r="P585" s="5"/>
      <c r="Q585" s="5"/>
      <c r="R585" s="5"/>
      <c r="S585" s="5"/>
      <c r="T585" s="5"/>
      <c r="U585" s="5"/>
      <c r="V585" s="5"/>
      <c r="W585" s="5"/>
      <c r="X585" s="5"/>
      <c r="Y585" s="5"/>
      <c r="Z585" s="5"/>
      <c r="AA585" s="5"/>
      <c r="AB585" s="5"/>
      <c r="AC585" s="47"/>
    </row>
    <row r="586" hidden="1">
      <c r="A586" s="76" t="str">
        <f t="array" ref="A586:A587">{"FormulaRow19";(INDEX(CLASSLIST,A549,1))}</f>
        <v>FormulaRow19</v>
      </c>
      <c r="B586" s="77" t="s">
        <v>236</v>
      </c>
      <c r="C586" s="76" t="str">
        <f t="array" ref="C586:C587">{"CLASSTYPE";((INDEX(ALLCLASSDATA,MATCH("ClassType",CLASSFEATUREHEADERS,0),MATCH($A587,CLASSNAMEHEADERS,0))))}</f>
        <v>CLASSTYPE</v>
      </c>
      <c r="D586" s="76" t="str">
        <f t="array" ref="D586:D587">{"CLASSABILITYPTS";"ClassAbilityPts"}</f>
        <v>CLASSABILITYPTS</v>
      </c>
      <c r="E586" s="76" t="str">
        <f t="array" ref="E586:E587">{"SUBCLASSABILITY2";"SubclassAbility2"}</f>
        <v>SUBCLASSABILITY2</v>
      </c>
      <c r="F586" s="76"/>
      <c r="G586" s="76"/>
      <c r="H586" s="76"/>
      <c r="I586" s="76"/>
      <c r="J586" s="76" t="str">
        <f t="array" ref="J586:J587">{"SUBCLASSABILITY2-L03PTS";((INDEX(ALLCLASSDATA,MATCH("SubclassAbility2-L03",CLASSFEATUREHEADERS,0),MATCH(($A587 &amp; "Points"),CLASSNAMEHEADERS,0))))}</f>
        <v>SUBCLASSABILITY2-L03PTS</v>
      </c>
      <c r="K586" s="76"/>
      <c r="L586" s="76" t="str">
        <f t="array" ref="L586:L587">{"SUBCLASSABILITY2-L05PTS";((INDEX(ALLCLASSDATA,MATCH("SubclassAbility2-L05",CLASSFEATUREHEADERS,0),MATCH(($A587 &amp; "Points"),CLASSNAMEHEADERS,0))))}</f>
        <v>SUBCLASSABILITY2-L05PTS</v>
      </c>
      <c r="M586" s="76"/>
      <c r="N586" s="76" t="str">
        <f t="array" ref="N586:N587">{"SUBCLASSABILITY2-L07PTS";((INDEX(ALLCLASSDATA,MATCH("SubclassAbility2-L07",CLASSFEATUREHEADERS,0),MATCH(($A587 &amp; "Points"),CLASSNAMEHEADERS,0))))}</f>
        <v>SUBCLASSABILITY2-L07PTS</v>
      </c>
      <c r="O586" s="76"/>
      <c r="P586" s="76" t="str">
        <f t="array" ref="P586:P587">{"SUBCLASSABILITY2-L09PTS";((INDEX(ALLCLASSDATA,MATCH("SubclassAbility2-L09",CLASSFEATUREHEADERS,0),MATCH(($A587 &amp; "Points"),CLASSNAMEHEADERS,0))))}</f>
        <v>SUBCLASSABILITY2-L09PTS</v>
      </c>
      <c r="Q586" s="76"/>
      <c r="R586" s="76" t="str">
        <f t="array" ref="R586:R587">{"SUBCLASSABILITY2-L11PTS";((INDEX(ALLCLASSDATA,MATCH("SubclassAbility2-L11",CLASSFEATUREHEADERS,0),MATCH(($A587 &amp; "Points"),CLASSNAMEHEADERS,0))))}</f>
        <v>SUBCLASSABILITY2-L11PTS</v>
      </c>
      <c r="S586" s="76"/>
      <c r="T586" s="76" t="str">
        <f t="array" ref="T586:T587">{"SUBCLASSABILITY2-L13PTS";((INDEX(ALLCLASSDATA,MATCH("SubclassAbility2-L13",CLASSFEATUREHEADERS,0),MATCH(($A587 &amp; "Points"),CLASSNAMEHEADERS,0))))}</f>
        <v>SUBCLASSABILITY2-L13PTS</v>
      </c>
      <c r="U586" s="76"/>
      <c r="V586" s="76" t="str">
        <f t="array" ref="V586:V587">{"SUBCLASSABILITY2-L15PTS";((INDEX(ALLCLASSDATA,MATCH("SubclassAbility2-L15",CLASSFEATUREHEADERS,0),MATCH(($A587 &amp; "Points"),CLASSNAMEHEADERS,0))))}</f>
        <v>SUBCLASSABILITY2-L15PTS</v>
      </c>
      <c r="W586" s="76"/>
      <c r="X586" s="76" t="str">
        <f t="array" ref="X586:X587">{"SUBCLASSABILITY2-L17PTS";((INDEX(ALLCLASSDATA,MATCH("SubclassAbility2-L17",CLASSFEATUREHEADERS,0),MATCH(($A587 &amp; "Points"),CLASSNAMEHEADERS,0))))}</f>
        <v>SUBCLASSABILITY2-L17PTS</v>
      </c>
      <c r="Y586" s="76"/>
      <c r="Z586" s="76" t="str">
        <f t="array" ref="Z586:Z587">{"SUBCLASSABILITY2-L19PTS";((INDEX(ALLCLASSDATA,MATCH("SubclassAbility2-L19",CLASSFEATUREHEADERS,0),MATCH(($A587 &amp; "Points"),CLASSNAMEHEADERS,0))))}</f>
        <v>SUBCLASSABILITY2-L19PTS</v>
      </c>
      <c r="AA586" s="76"/>
      <c r="AB586" s="76"/>
      <c r="AC586" s="76" t="str">
        <f t="array" ref="AC586:AC587">{"SUBCLASSABILITY2 TOTAL";(sum(G587:AA587))}</f>
        <v>SUBCLASSABILITY2 TOTAL</v>
      </c>
    </row>
    <row r="587">
      <c r="A587" s="48" t="s">
        <v>144</v>
      </c>
      <c r="B587" s="48"/>
      <c r="C587" s="48" t="s">
        <v>409</v>
      </c>
      <c r="D587" s="97" t="s">
        <v>930</v>
      </c>
      <c r="E587" s="215" t="s">
        <v>1370</v>
      </c>
      <c r="F587" s="98"/>
      <c r="G587" s="132"/>
      <c r="H587" s="98"/>
      <c r="I587" s="98"/>
      <c r="J587" s="98"/>
      <c r="K587" s="98"/>
      <c r="L587" s="98"/>
      <c r="M587" s="98"/>
      <c r="N587" s="98"/>
      <c r="O587" s="98"/>
      <c r="P587" s="98"/>
      <c r="Q587" s="98"/>
      <c r="R587" s="98"/>
      <c r="S587" s="98"/>
      <c r="T587" s="98"/>
      <c r="U587" s="98"/>
      <c r="V587" s="98"/>
      <c r="W587" s="98"/>
      <c r="X587" s="98"/>
      <c r="Y587" s="98"/>
      <c r="Z587" s="98"/>
      <c r="AA587" s="98"/>
      <c r="AB587" s="5"/>
      <c r="AC587" s="47">
        <v>0.0</v>
      </c>
    </row>
    <row r="588" hidden="1">
      <c r="A588" s="76" t="str">
        <f t="array" ref="A588:A589">{"FormulaRow20";(INDEX(CLASSLIST,A549,1))}</f>
        <v>FormulaRow20</v>
      </c>
      <c r="B588" s="77" t="s">
        <v>236</v>
      </c>
      <c r="C588" s="76" t="str">
        <f t="array" ref="C588:C589">{"CLASSTYPE";((INDEX(ALLCLASSDATA,MATCH("ClassType",CLASSFEATUREHEADERS,0),MATCH($A589,CLASSNAMEHEADERS,0))))}</f>
        <v>CLASSTYPE</v>
      </c>
      <c r="D588" s="81" t="str">
        <f t="array" ref="D588:D589">{"DC";"DC"}</f>
        <v>DC</v>
      </c>
      <c r="E588" s="81" t="str">
        <f t="array" ref="E588:E589">{"CLASSDC";"ClassDC"}</f>
        <v>CLASSDC</v>
      </c>
      <c r="F588" s="81" t="str">
        <f t="array" ref="F588:F589">{"CLASSDCINITIAL";((IF(H589=10,"T",(IF(H589=50,"E","")))))}</f>
        <v>CLASSDCINITIAL</v>
      </c>
      <c r="G588" s="81" t="str">
        <f t="array" ref="G588:G589">{"CLASSDCINITIALPTS";((IF("00"=(INDEX(ALLCLASSDATA,MATCH("ClassDCLegendary",CLASSFEATUREHEADERS,0),MATCH($A589,CLASSNAMEHEADERS,0))),(INDEX(ALLCLASSDATA,MATCH("ClassDCLegendary",CLASSFEATUREHEADERS,0),MATCH(($A589 &amp; "Points"),CLASSNAMEHEADERS,0))),(IF("00"=(INDEX(ALLCLASSDATA,MATCH("ClassDCMaster",CLASSFEATUREHEADERS,0),MATCH($A589,CLASSNAMEHEADERS,0))),(INDEX(ALLCLASSDATA,MATCH("ClassDCMaster",CLASSFEATUREHEADERS,0),MATCH(($A589 &amp; "Points"),CLASSNAMEHEADERS,0))),(IF("00"=(INDEX(ALLCLASSDATA,MATCH("ClassDCExpert",CLASSFEATUREHEADERS,0),MATCH($A589,CLASSNAMEHEADERS,0))),(INDEX(ALLCLASSDATA,MATCH("ClassDCExpert",CLASSFEATUREHEADERS,0),MATCH(($A589 &amp; "Points"),CLASSNAMEHEADERS,0))),(IF("00"=(INDEX(ALLCLASSDATA,MATCH("ClassDCTrained",CLASSFEATUREHEADERS,0),MATCH($A589,CLASSNAMEHEADERS,0))),(INDEX(ALLCLASSDATA,MATCH("ClassDCTrained",CLASSFEATUREHEADERS,0),MATCH(($A589 &amp; "Points"),CLASSNAMEHEADERS,0))),"")))))))))}</f>
        <v>CLASSDCINITIALPTS</v>
      </c>
      <c r="H588" s="81" t="str">
        <f t="array" ref="H588:H589">{"CLASSDCL01";((IF("01"=(INDEX(ALLCLASSDATA,MATCH("ClassDCLegendary",CLASSFEATUREHEADERS,0),MATCH($A589,CLASSNAMEHEADERS,0))),(INDEX(ALLCLASSDATA,MATCH("ClassDCLegendary",CLASSFEATUREHEADERS,0),MATCH(($A589 &amp; "Points"),CLASSNAMEHEADERS,0))),(IF("01"=(INDEX(ALLCLASSDATA,MATCH("ClassDCMaster",CLASSFEATUREHEADERS,0),MATCH($A589,CLASSNAMEHEADERS,0))),(INDEX(ALLCLASSDATA,MATCH("ClassDCMaster",CLASSFEATUREHEADERS,0),MATCH(($A589 &amp; "Points"),CLASSNAMEHEADERS,0))),(IF("01"=(INDEX(ALLCLASSDATA,MATCH("ClassDCExpert",CLASSFEATUREHEADERS,0),MATCH($A589,CLASSNAMEHEADERS,0))),(INDEX(ALLCLASSDATA,MATCH("ClassDCExpert",CLASSFEATUREHEADERS,0),MATCH(($A589 &amp; "Points"),CLASSNAMEHEADERS,0))),(IF("01"=(INDEX(ALLCLASSDATA,MATCH("ClassDCTrained",CLASSFEATUREHEADERS,0),MATCH($A589,CLASSNAMEHEADERS,0))),(INDEX(ALLCLASSDATA,MATCH("ClassDCTrained",CLASSFEATUREHEADERS,0),MATCH(($A589 &amp; "Points"),CLASSNAMEHEADERS,0))),"")))))))))}</f>
        <v>CLASSDCL01</v>
      </c>
      <c r="I588" s="81"/>
      <c r="J588" s="81" t="str">
        <f t="array" ref="J588:J589">{"CLASSDCL03";((IF("03"=(INDEX(ALLCLASSDATA,MATCH("ClassDCLegendary",CLASSFEATUREHEADERS,0),MATCH($A589,CLASSNAMEHEADERS,0))),(INDEX(ALLCLASSDATA,MATCH("ClassDCLegendary",CLASSFEATUREHEADERS,0),MATCH(($A589 &amp; "Points"),CLASSNAMEHEADERS,0))),(IF("03"=(INDEX(ALLCLASSDATA,MATCH("ClassDCMaster",CLASSFEATUREHEADERS,0),MATCH($A589,CLASSNAMEHEADERS,0))),(INDEX(ALLCLASSDATA,MATCH("ClassDCMaster",CLASSFEATUREHEADERS,0),MATCH(($A589 &amp; "Points"),CLASSNAMEHEADERS,0))),(IF("03"=(INDEX(ALLCLASSDATA,MATCH("ClassDCExpert",CLASSFEATUREHEADERS,0),MATCH($A589,CLASSNAMEHEADERS,0))),(INDEX(ALLCLASSDATA,MATCH("ClassDCExpert",CLASSFEATUREHEADERS,0),MATCH(($A589 &amp; "Points"),CLASSNAMEHEADERS,0))),(IF("03"=(INDEX(ALLCLASSDATA,MATCH("ClassDCTrained",CLASSFEATUREHEADERS,0),MATCH($A589,CLASSNAMEHEADERS,0))),(INDEX(ALLCLASSDATA,MATCH("ClassDCTrained",CLASSFEATUREHEADERS,0),MATCH(($A589 &amp; "Points"),CLASSNAMEHEADERS,0))),"")))))))))}</f>
        <v>CLASSDCL03</v>
      </c>
      <c r="K588" s="81"/>
      <c r="L588" s="81" t="str">
        <f t="array" ref="L588:L589">{"CLASSDCL05";((IF("05"=(INDEX(ALLCLASSDATA,MATCH("ClassDCLegendary",CLASSFEATUREHEADERS,0),MATCH($A589,CLASSNAMEHEADERS,0))),(INDEX(ALLCLASSDATA,MATCH("ClassDCLegendary",CLASSFEATUREHEADERS,0),MATCH(($A589 &amp; "Points"),CLASSNAMEHEADERS,0))),(IF("05"=(INDEX(ALLCLASSDATA,MATCH("ClassDCMaster",CLASSFEATUREHEADERS,0),MATCH($A589,CLASSNAMEHEADERS,0))),(INDEX(ALLCLASSDATA,MATCH("ClassDCMaster",CLASSFEATUREHEADERS,0),MATCH(($A589 &amp; "Points"),CLASSNAMEHEADERS,0))),(IF("05"=(INDEX(ALLCLASSDATA,MATCH("ClassDCExpert",CLASSFEATUREHEADERS,0),MATCH($A589,CLASSNAMEHEADERS,0))),(INDEX(ALLCLASSDATA,MATCH("ClassDCExpert",CLASSFEATUREHEADERS,0),MATCH(($A589 &amp; "Points"),CLASSNAMEHEADERS,0))),(IF("05"=(INDEX(ALLCLASSDATA,MATCH("ClassDCTrained",CLASSFEATUREHEADERS,0),MATCH($A589,CLASSNAMEHEADERS,0))),(INDEX(ALLCLASSDATA,MATCH("ClassDCTrained",CLASSFEATUREHEADERS,0),MATCH(($A589 &amp; "Points"),CLASSNAMEHEADERS,0))),"")))))))))}</f>
        <v>CLASSDCL05</v>
      </c>
      <c r="M588" s="81"/>
      <c r="N588" s="81" t="str">
        <f t="array" ref="N588:N589">{"CLASSDCL07";((IF("07"=(INDEX(ALLCLASSDATA,MATCH("ClassDCLegendary",CLASSFEATUREHEADERS,0),MATCH($A589,CLASSNAMEHEADERS,0))),(INDEX(ALLCLASSDATA,MATCH("ClassDCLegendary",CLASSFEATUREHEADERS,0),MATCH(($A589 &amp; "Points"),CLASSNAMEHEADERS,0))),(IF("07"=(INDEX(ALLCLASSDATA,MATCH("ClassDCMaster",CLASSFEATUREHEADERS,0),MATCH($A589,CLASSNAMEHEADERS,0))),(INDEX(ALLCLASSDATA,MATCH("ClassDCMaster",CLASSFEATUREHEADERS,0),MATCH(($A589 &amp; "Points"),CLASSNAMEHEADERS,0))),(IF("07"=(INDEX(ALLCLASSDATA,MATCH("ClassDCExpert",CLASSFEATUREHEADERS,0),MATCH($A589,CLASSNAMEHEADERS,0))),(INDEX(ALLCLASSDATA,MATCH("ClassDCExpert",CLASSFEATUREHEADERS,0),MATCH(($A589 &amp; "Points"),CLASSNAMEHEADERS,0))),(IF("07"=(INDEX(ALLCLASSDATA,MATCH("ClassDCTrained",CLASSFEATUREHEADERS,0),MATCH($A589,CLASSNAMEHEADERS,0))),(INDEX(ALLCLASSDATA,MATCH("ClassDCTrained",CLASSFEATUREHEADERS,0),MATCH(($A589 &amp; "Points"),CLASSNAMEHEADERS,0))),"")))))))))}</f>
        <v>CLASSDCL07</v>
      </c>
      <c r="O588" s="81"/>
      <c r="P588" s="81" t="str">
        <f t="array" ref="P588:P589">{"CLASSDCL09";((IF("09"=(INDEX(ALLCLASSDATA,MATCH("ClassDCLegendary",CLASSFEATUREHEADERS,0),MATCH($A589,CLASSNAMEHEADERS,0))),(INDEX(ALLCLASSDATA,MATCH("ClassDCLegendary",CLASSFEATUREHEADERS,0),MATCH(($A589 &amp; "Points"),CLASSNAMEHEADERS,0))),(IF("09"=(INDEX(ALLCLASSDATA,MATCH("ClassDCMaster",CLASSFEATUREHEADERS,0),MATCH($A589,CLASSNAMEHEADERS,0))),(INDEX(ALLCLASSDATA,MATCH("ClassDCMaster",CLASSFEATUREHEADERS,0),MATCH(($A589 &amp; "Points"),CLASSNAMEHEADERS,0))),(IF("09"=(INDEX(ALLCLASSDATA,MATCH("ClassDCExpert",CLASSFEATUREHEADERS,0),MATCH($A589,CLASSNAMEHEADERS,0))),(INDEX(ALLCLASSDATA,MATCH("ClassDCExpert",CLASSFEATUREHEADERS,0),MATCH(($A589 &amp; "Points"),CLASSNAMEHEADERS,0))),(IF("09"=(INDEX(ALLCLASSDATA,MATCH("ClassDCTrained",CLASSFEATUREHEADERS,0),MATCH($A589,CLASSNAMEHEADERS,0))),(INDEX(ALLCLASSDATA,MATCH("ClassDCTrained",CLASSFEATUREHEADERS,0),MATCH(($A589 &amp; "Points"),CLASSNAMEHEADERS,0))),"")))))))))}</f>
        <v>CLASSDCL09</v>
      </c>
      <c r="Q588" s="81"/>
      <c r="R588" s="81" t="str">
        <f t="array" ref="R588:R589">{"CLASSDCL11";((IF("11"=(INDEX(ALLCLASSDATA,MATCH("ClassDCLegendary",CLASSFEATUREHEADERS,0),MATCH($A589,CLASSNAMEHEADERS,0))),(INDEX(ALLCLASSDATA,MATCH("ClassDCLegendary",CLASSFEATUREHEADERS,0),MATCH(($A589 &amp; "Points"),CLASSNAMEHEADERS,0))),(IF("11"=(INDEX(ALLCLASSDATA,MATCH("ClassDCMaster",CLASSFEATUREHEADERS,0),MATCH($A589,CLASSNAMEHEADERS,0))),(INDEX(ALLCLASSDATA,MATCH("ClassDCMaster",CLASSFEATUREHEADERS,0),MATCH(($A589 &amp; "Points"),CLASSNAMEHEADERS,0))),(IF("11"=(INDEX(ALLCLASSDATA,MATCH("ClassDCExpert",CLASSFEATUREHEADERS,0),MATCH($A589,CLASSNAMEHEADERS,0))),(INDEX(ALLCLASSDATA,MATCH("ClassDCExpert",CLASSFEATUREHEADERS,0),MATCH(($A589 &amp; "Points"),CLASSNAMEHEADERS,0))),(IF("11"=(INDEX(ALLCLASSDATA,MATCH("ClassDCTrained",CLASSFEATUREHEADERS,0),MATCH($A589,CLASSNAMEHEADERS,0))),(INDEX(ALLCLASSDATA,MATCH("ClassDCTrained",CLASSFEATUREHEADERS,0),MATCH(($A589 &amp; "Points"),CLASSNAMEHEADERS,0))),"")))))))))}</f>
        <v>CLASSDCL11</v>
      </c>
      <c r="S588" s="81"/>
      <c r="T588" s="81" t="str">
        <f t="array" ref="T588:T589">{"CLASSDCL13";((IF("13"=(INDEX(ALLCLASSDATA,MATCH("ClassDCLegendary",CLASSFEATUREHEADERS,0),MATCH($A589,CLASSNAMEHEADERS,0))),(INDEX(ALLCLASSDATA,MATCH("ClassDCLegendary",CLASSFEATUREHEADERS,0),MATCH(($A589 &amp; "Points"),CLASSNAMEHEADERS,0))),(IF("13"=(INDEX(ALLCLASSDATA,MATCH("ClassDCMaster",CLASSFEATUREHEADERS,0),MATCH($A589,CLASSNAMEHEADERS,0))),(INDEX(ALLCLASSDATA,MATCH("ClassDCMaster",CLASSFEATUREHEADERS,0),MATCH(($A589 &amp; "Points"),CLASSNAMEHEADERS,0))),(IF("13"=(INDEX(ALLCLASSDATA,MATCH("ClassDCExpert",CLASSFEATUREHEADERS,0),MATCH($A589,CLASSNAMEHEADERS,0))),(INDEX(ALLCLASSDATA,MATCH("ClassDCExpert",CLASSFEATUREHEADERS,0),MATCH(($A589 &amp; "Points"),CLASSNAMEHEADERS,0))),(IF("13"=(INDEX(ALLCLASSDATA,MATCH("ClassDCTrained",CLASSFEATUREHEADERS,0),MATCH($A589,CLASSNAMEHEADERS,0))),(INDEX(ALLCLASSDATA,MATCH("ClassDCTrained",CLASSFEATUREHEADERS,0),MATCH(($A589 &amp; "Points"),CLASSNAMEHEADERS,0))),"")))))))))}</f>
        <v>CLASSDCL13</v>
      </c>
      <c r="U588" s="81"/>
      <c r="V588" s="81" t="str">
        <f t="array" ref="V588:V589">{"CLASSDCL15";((IF("15"=(INDEX(ALLCLASSDATA,MATCH("ClassDCLegendary",CLASSFEATUREHEADERS,0),MATCH($A589,CLASSNAMEHEADERS,0))),(INDEX(ALLCLASSDATA,MATCH("ClassDCLegendary",CLASSFEATUREHEADERS,0),MATCH(($A589 &amp; "Points"),CLASSNAMEHEADERS,0))),(IF("15"=(INDEX(ALLCLASSDATA,MATCH("ClassDCMaster",CLASSFEATUREHEADERS,0),MATCH($A589,CLASSNAMEHEADERS,0))),(INDEX(ALLCLASSDATA,MATCH("ClassDCMaster",CLASSFEATUREHEADERS,0),MATCH(($A589 &amp; "Points"),CLASSNAMEHEADERS,0))),(IF("15"=(INDEX(ALLCLASSDATA,MATCH("ClassDCExpert",CLASSFEATUREHEADERS,0),MATCH($A589,CLASSNAMEHEADERS,0))),(INDEX(ALLCLASSDATA,MATCH("ClassDCExpert",CLASSFEATUREHEADERS,0),MATCH(($A589 &amp; "Points"),CLASSNAMEHEADERS,0))),(IF("15"=(INDEX(ALLCLASSDATA,MATCH("ClassDCTrained",CLASSFEATUREHEADERS,0),MATCH($A589,CLASSNAMEHEADERS,0))),(INDEX(ALLCLASSDATA,MATCH("ClassDCTrained",CLASSFEATUREHEADERS,0),MATCH(($A589 &amp; "Points"),CLASSNAMEHEADERS,0))),"")))))))))}</f>
        <v>CLASSDCL15</v>
      </c>
      <c r="W588" s="81"/>
      <c r="X588" s="81" t="str">
        <f t="array" ref="X588:X589">{"CLASSDCL17";((IF("17"=(INDEX(ALLCLASSDATA,MATCH("ClassDCLegendary",CLASSFEATUREHEADERS,0),MATCH($A589,CLASSNAMEHEADERS,0))),(INDEX(ALLCLASSDATA,MATCH("ClassDCLegendary",CLASSFEATUREHEADERS,0),MATCH(($A589 &amp; "Points"),CLASSNAMEHEADERS,0))),(IF("17"=(INDEX(ALLCLASSDATA,MATCH("ClassDCMaster",CLASSFEATUREHEADERS,0),MATCH($A589,CLASSNAMEHEADERS,0))),(INDEX(ALLCLASSDATA,MATCH("ClassDCMaster",CLASSFEATUREHEADERS,0),MATCH(($A589 &amp; "Points"),CLASSNAMEHEADERS,0))),(IF("17"=(INDEX(ALLCLASSDATA,MATCH("ClassDCExpert",CLASSFEATUREHEADERS,0),MATCH($A589,CLASSNAMEHEADERS,0))),(INDEX(ALLCLASSDATA,MATCH("ClassDCExpert",CLASSFEATUREHEADERS,0),MATCH(($A589 &amp; "Points"),CLASSNAMEHEADERS,0))),(IF("17"=(INDEX(ALLCLASSDATA,MATCH("ClassDCTrained",CLASSFEATUREHEADERS,0),MATCH($A589,CLASSNAMEHEADERS,0))),(INDEX(ALLCLASSDATA,MATCH("ClassDCTrained",CLASSFEATUREHEADERS,0),MATCH(($A589 &amp; "Points"),CLASSNAMEHEADERS,0))),"")))))))))}</f>
        <v>CLASSDCL17</v>
      </c>
      <c r="Y588" s="81"/>
      <c r="Z588" s="81" t="str">
        <f t="array" ref="Z588:Z589">{"CLASSDCL19";((IF("19"=(INDEX(ALLCLASSDATA,MATCH("ClassDCLegendary",CLASSFEATUREHEADERS,0),MATCH($A589,CLASSNAMEHEADERS,0))),(INDEX(ALLCLASSDATA,MATCH("ClassDCLegendary",CLASSFEATUREHEADERS,0),MATCH(($A589 &amp; "Points"),CLASSNAMEHEADERS,0))),(IF("19"=(INDEX(ALLCLASSDATA,MATCH("ClassDCMaster",CLASSFEATUREHEADERS,0),MATCH($A589,CLASSNAMEHEADERS,0))),(INDEX(ALLCLASSDATA,MATCH("ClassDCMaster",CLASSFEATUREHEADERS,0),MATCH(($A589 &amp; "Points"),CLASSNAMEHEADERS,0))),(IF("19"=(INDEX(ALLCLASSDATA,MATCH("ClassDCExpert",CLASSFEATUREHEADERS,0),MATCH($A589,CLASSNAMEHEADERS,0))),(INDEX(ALLCLASSDATA,MATCH("ClassDCExpert",CLASSFEATUREHEADERS,0),MATCH(($A589 &amp; "Points"),CLASSNAMEHEADERS,0))),(IF("19"=(INDEX(ALLCLASSDATA,MATCH("ClassDCTrained",CLASSFEATUREHEADERS,0),MATCH($A589,CLASSNAMEHEADERS,0))),(INDEX(ALLCLASSDATA,MATCH("ClassDCTrained",CLASSFEATUREHEADERS,0),MATCH(($A589 &amp; "Points"),CLASSNAMEHEADERS,0))),"")))))))))}</f>
        <v>CLASSDCL19</v>
      </c>
      <c r="AA588" s="81"/>
      <c r="AB588" s="76" t="str">
        <f t="array" ref="AB588:AB589">{"CLASSDC TOTAL";(IF(COUNTBLANK(G589:AA589)=17,"L",(IF(COUNTBLANK(G589:AA589)=18,"M",(IF(COUNTBLANK(G589:AA589)=19,"E",(IF(COUNTBLANK(G589:AA589)=20,"T",""))))))))}</f>
        <v>CLASSDC TOTAL</v>
      </c>
      <c r="AC588" s="76" t="str">
        <f t="array" ref="AC588:AC589">{"CLASSDC TOTAL";(sum(G589:AA589))}</f>
        <v>CLASSDC TOTAL</v>
      </c>
    </row>
    <row r="589">
      <c r="A589" s="48" t="s">
        <v>144</v>
      </c>
      <c r="B589" s="48"/>
      <c r="C589" s="48" t="s">
        <v>409</v>
      </c>
      <c r="D589" s="48" t="s">
        <v>1465</v>
      </c>
      <c r="E589" s="48" t="s">
        <v>1466</v>
      </c>
      <c r="F589" s="5" t="s">
        <v>435</v>
      </c>
      <c r="G589" s="47" t="s">
        <v>603</v>
      </c>
      <c r="H589" s="5">
        <v>10.0</v>
      </c>
      <c r="I589" s="5"/>
      <c r="J589" s="5" t="s">
        <v>603</v>
      </c>
      <c r="K589" s="5"/>
      <c r="L589" s="5" t="s">
        <v>603</v>
      </c>
      <c r="M589" s="5"/>
      <c r="N589" s="5" t="s">
        <v>603</v>
      </c>
      <c r="O589" s="5"/>
      <c r="P589" s="5" t="s">
        <v>603</v>
      </c>
      <c r="Q589" s="5"/>
      <c r="R589" s="5">
        <v>50.0</v>
      </c>
      <c r="S589" s="5"/>
      <c r="T589" s="5" t="s">
        <v>603</v>
      </c>
      <c r="U589" s="5"/>
      <c r="V589" s="5" t="s">
        <v>603</v>
      </c>
      <c r="W589" s="5"/>
      <c r="X589" s="5" t="s">
        <v>603</v>
      </c>
      <c r="Y589" s="5"/>
      <c r="Z589" s="5">
        <v>110.0</v>
      </c>
      <c r="AA589" s="5"/>
      <c r="AB589" s="5" t="s">
        <v>437</v>
      </c>
      <c r="AC589" s="47">
        <v>170.0</v>
      </c>
    </row>
    <row r="590" hidden="1">
      <c r="A590" s="222" t="str">
        <f t="array" ref="A590:A591">{"FormulaRow21";(INDEX(CLASSLIST,A549,1))}</f>
        <v>FormulaRow21</v>
      </c>
      <c r="B590" s="77" t="s">
        <v>236</v>
      </c>
      <c r="C590" s="222" t="str">
        <f t="array" ref="C590:C591">{"CLASSTYPE";((INDEX(ALLCLASSDATA,MATCH("ClassType",CLASSFEATUREHEADERS,0),MATCH($A591,CLASSNAMEHEADERS,0))))}</f>
        <v>CLASSTYPE</v>
      </c>
      <c r="D590" s="222" t="str">
        <f t="array" ref="D590:D591">{"DC";"DC"}</f>
        <v>DC</v>
      </c>
      <c r="E590" s="222" t="str">
        <f t="array" ref="E590:E591">{"SPELLDC";"SpellDC"}</f>
        <v>SPELLDC</v>
      </c>
      <c r="F590" s="223" t="str">
        <f t="array" ref="F590:F591">{"SPELLDCINITIAL";((IF(H591=10,"T",(IF(H591=50,"E","")))))}</f>
        <v>SPELLDCINITIAL</v>
      </c>
      <c r="G590" s="223" t="str">
        <f t="array" ref="G590:G591">{"SPELLDCINITIALPTS";((IF("00"=(INDEX(ALLCLASSDATA,MATCH("SpellDCLegendary",CLASSFEATUREHEADERS,0),MATCH($A591,CLASSNAMEHEADERS,0))),(INDEX(ALLCLASSDATA,MATCH("SpellDCLegendary",CLASSFEATUREHEADERS,0),MATCH(($A591 &amp; "Points"),CLASSNAMEHEADERS,0))),(IF("00"=(INDEX(ALLCLASSDATA,MATCH("SpellDCMaster",CLASSFEATUREHEADERS,0),MATCH($A591,CLASSNAMEHEADERS,0))),(INDEX(ALLCLASSDATA,MATCH("SpellDCMaster",CLASSFEATUREHEADERS,0),MATCH(($A591 &amp; "Points"),CLASSNAMEHEADERS,0))),(IF("00"=(INDEX(ALLCLASSDATA,MATCH("SpellDCExpert",CLASSFEATUREHEADERS,0),MATCH($A591,CLASSNAMEHEADERS,0))),(INDEX(ALLCLASSDATA,MATCH("SpellDCExpert",CLASSFEATUREHEADERS,0),MATCH(($A591 &amp; "Points"),CLASSNAMEHEADERS,0))),(IF("00"=(INDEX(ALLCLASSDATA,MATCH("SpellDCTrained",CLASSFEATUREHEADERS,0),MATCH($A591,CLASSNAMEHEADERS,0))),(INDEX(ALLCLASSDATA,MATCH("SpellDCTrained",CLASSFEATUREHEADERS,0),MATCH(($A591 &amp; "Points"),CLASSNAMEHEADERS,0))),"")))))))))}</f>
        <v>SPELLDCINITIALPTS</v>
      </c>
      <c r="H590" s="223" t="str">
        <f t="array" ref="H590:H591">{"SPELLDCL01";((IF("01"=(INDEX(ALLCLASSDATA,MATCH("SpellDCLegendary",CLASSFEATUREHEADERS,0),MATCH($A591,CLASSNAMEHEADERS,0))),(INDEX(ALLCLASSDATA,MATCH("SpellDCLegendary",CLASSFEATUREHEADERS,0),MATCH(($A591 &amp; "Points"),CLASSNAMEHEADERS,0))),(IF("01"=(INDEX(ALLCLASSDATA,MATCH("SpellDCMaster",CLASSFEATUREHEADERS,0),MATCH($A591,CLASSNAMEHEADERS,0))),(INDEX(ALLCLASSDATA,MATCH("SpellDCMaster",CLASSFEATUREHEADERS,0),MATCH(($A591 &amp; "Points"),CLASSNAMEHEADERS,0))),(IF("01"=(INDEX(ALLCLASSDATA,MATCH("SpellDCExpert",CLASSFEATUREHEADERS,0),MATCH($A591,CLASSNAMEHEADERS,0))),(INDEX(ALLCLASSDATA,MATCH("SpellDCExpert",CLASSFEATUREHEADERS,0),MATCH(($A591 &amp; "Points"),CLASSNAMEHEADERS,0))),(IF("01"=(INDEX(ALLCLASSDATA,MATCH("SpellDCTrained",CLASSFEATUREHEADERS,0),MATCH($A591,CLASSNAMEHEADERS,0))),(INDEX(ALLCLASSDATA,MATCH("SpellDCTrained",CLASSFEATUREHEADERS,0),MATCH(($A591 &amp; "Points"),CLASSNAMEHEADERS,0))),"")))))))))}</f>
        <v>SPELLDCL01</v>
      </c>
      <c r="I590" s="223"/>
      <c r="J590" s="223" t="str">
        <f t="array" ref="J590:J591">{"SPELLDCL03";((IF("03"=(INDEX(ALLCLASSDATA,MATCH("SpellDCLegendary",CLASSFEATUREHEADERS,0),MATCH($A591,CLASSNAMEHEADERS,0))),(INDEX(ALLCLASSDATA,MATCH("SpellDCLegendary",CLASSFEATUREHEADERS,0),MATCH(($A591 &amp; "Points"),CLASSNAMEHEADERS,0))),(IF("03"=(INDEX(ALLCLASSDATA,MATCH("SpellDCMaster",CLASSFEATUREHEADERS,0),MATCH($A591,CLASSNAMEHEADERS,0))),(INDEX(ALLCLASSDATA,MATCH("SpellDCMaster",CLASSFEATUREHEADERS,0),MATCH(($A591 &amp; "Points"),CLASSNAMEHEADERS,0))),(IF("03"=(INDEX(ALLCLASSDATA,MATCH("SpellDCExpert",CLASSFEATUREHEADERS,0),MATCH($A591,CLASSNAMEHEADERS,0))),(INDEX(ALLCLASSDATA,MATCH("SpellDCExpert",CLASSFEATUREHEADERS,0),MATCH(($A591 &amp; "Points"),CLASSNAMEHEADERS,0))),(IF("03"=(INDEX(ALLCLASSDATA,MATCH("SpellDCTrained",CLASSFEATUREHEADERS,0),MATCH($A591,CLASSNAMEHEADERS,0))),(INDEX(ALLCLASSDATA,MATCH("SpellDCTrained",CLASSFEATUREHEADERS,0),MATCH(($A591 &amp; "Points"),CLASSNAMEHEADERS,0))),"")))))))))}</f>
        <v>SPELLDCL03</v>
      </c>
      <c r="K590" s="223"/>
      <c r="L590" s="223" t="str">
        <f t="array" ref="L590:L591">{"SPELLDCL05";((IF("05"=(INDEX(ALLCLASSDATA,MATCH("SpellDCLegendary",CLASSFEATUREHEADERS,0),MATCH($A591,CLASSNAMEHEADERS,0))),(INDEX(ALLCLASSDATA,MATCH("SpellDCLegendary",CLASSFEATUREHEADERS,0),MATCH(($A591 &amp; "Points"),CLASSNAMEHEADERS,0))),(IF("05"=(INDEX(ALLCLASSDATA,MATCH("SpellDCMaster",CLASSFEATUREHEADERS,0),MATCH($A591,CLASSNAMEHEADERS,0))),(INDEX(ALLCLASSDATA,MATCH("SpellDCMaster",CLASSFEATUREHEADERS,0),MATCH(($A591 &amp; "Points"),CLASSNAMEHEADERS,0))),(IF("05"=(INDEX(ALLCLASSDATA,MATCH("SpellDCExpert",CLASSFEATUREHEADERS,0),MATCH($A591,CLASSNAMEHEADERS,0))),(INDEX(ALLCLASSDATA,MATCH("SpellDCExpert",CLASSFEATUREHEADERS,0),MATCH(($A591 &amp; "Points"),CLASSNAMEHEADERS,0))),(IF("05"=(INDEX(ALLCLASSDATA,MATCH("SpellDCTrained",CLASSFEATUREHEADERS,0),MATCH($A591,CLASSNAMEHEADERS,0))),(INDEX(ALLCLASSDATA,MATCH("SpellDCTrained",CLASSFEATUREHEADERS,0),MATCH(($A591 &amp; "Points"),CLASSNAMEHEADERS,0))),"")))))))))}</f>
        <v>SPELLDCL05</v>
      </c>
      <c r="M590" s="223"/>
      <c r="N590" s="223" t="str">
        <f t="array" ref="N590:N591">{"SPELLDCL07";((IF("07"=(INDEX(ALLCLASSDATA,MATCH("SpellDCLegendary",CLASSFEATUREHEADERS,0),MATCH($A591,CLASSNAMEHEADERS,0))),(INDEX(ALLCLASSDATA,MATCH("SpellDCLegendary",CLASSFEATUREHEADERS,0),MATCH(($A591 &amp; "Points"),CLASSNAMEHEADERS,0))),(IF("07"=(INDEX(ALLCLASSDATA,MATCH("SpellDCMaster",CLASSFEATUREHEADERS,0),MATCH($A591,CLASSNAMEHEADERS,0))),(INDEX(ALLCLASSDATA,MATCH("SpellDCMaster",CLASSFEATUREHEADERS,0),MATCH(($A591 &amp; "Points"),CLASSNAMEHEADERS,0))),(IF("07"=(INDEX(ALLCLASSDATA,MATCH("SpellDCExpert",CLASSFEATUREHEADERS,0),MATCH($A591,CLASSNAMEHEADERS,0))),(INDEX(ALLCLASSDATA,MATCH("SpellDCExpert",CLASSFEATUREHEADERS,0),MATCH(($A591 &amp; "Points"),CLASSNAMEHEADERS,0))),(IF("07"=(INDEX(ALLCLASSDATA,MATCH("SpellDCTrained",CLASSFEATUREHEADERS,0),MATCH($A591,CLASSNAMEHEADERS,0))),(INDEX(ALLCLASSDATA,MATCH("SpellDCTrained",CLASSFEATUREHEADERS,0),MATCH(($A591 &amp; "Points"),CLASSNAMEHEADERS,0))),"")))))))))}</f>
        <v>SPELLDCL07</v>
      </c>
      <c r="O590" s="223"/>
      <c r="P590" s="223" t="str">
        <f t="array" ref="P590:P591">{"SPELLDCL09";((IF("09"=(INDEX(ALLCLASSDATA,MATCH("SpellDCLegendary",CLASSFEATUREHEADERS,0),MATCH($A591,CLASSNAMEHEADERS,0))),(INDEX(ALLCLASSDATA,MATCH("SpellDCLegendary",CLASSFEATUREHEADERS,0),MATCH(($A591 &amp; "Points"),CLASSNAMEHEADERS,0))),(IF("09"=(INDEX(ALLCLASSDATA,MATCH("SpellDCMaster",CLASSFEATUREHEADERS,0),MATCH($A591,CLASSNAMEHEADERS,0))),(INDEX(ALLCLASSDATA,MATCH("SpellDCMaster",CLASSFEATUREHEADERS,0),MATCH(($A591 &amp; "Points"),CLASSNAMEHEADERS,0))),(IF("09"=(INDEX(ALLCLASSDATA,MATCH("SpellDCExpert",CLASSFEATUREHEADERS,0),MATCH($A591,CLASSNAMEHEADERS,0))),(INDEX(ALLCLASSDATA,MATCH("SpellDCExpert",CLASSFEATUREHEADERS,0),MATCH(($A591 &amp; "Points"),CLASSNAMEHEADERS,0))),(IF("09"=(INDEX(ALLCLASSDATA,MATCH("SpellDCTrained",CLASSFEATUREHEADERS,0),MATCH($A591,CLASSNAMEHEADERS,0))),(INDEX(ALLCLASSDATA,MATCH("SpellDCTrained",CLASSFEATUREHEADERS,0),MATCH(($A591 &amp; "Points"),CLASSNAMEHEADERS,0))),"")))))))))}</f>
        <v>SPELLDCL09</v>
      </c>
      <c r="Q590" s="223"/>
      <c r="R590" s="223" t="str">
        <f t="array" ref="R590:R591">{"SPELLDCL11";((IF("11"=(INDEX(ALLCLASSDATA,MATCH("SpellDCLegendary",CLASSFEATUREHEADERS,0),MATCH($A591,CLASSNAMEHEADERS,0))),(INDEX(ALLCLASSDATA,MATCH("SpellDCLegendary",CLASSFEATUREHEADERS,0),MATCH(($A591 &amp; "Points"),CLASSNAMEHEADERS,0))),(IF("11"=(INDEX(ALLCLASSDATA,MATCH("SpellDCMaster",CLASSFEATUREHEADERS,0),MATCH($A591,CLASSNAMEHEADERS,0))),(INDEX(ALLCLASSDATA,MATCH("SpellDCMaster",CLASSFEATUREHEADERS,0),MATCH(($A591 &amp; "Points"),CLASSNAMEHEADERS,0))),(IF("11"=(INDEX(ALLCLASSDATA,MATCH("SpellDCExpert",CLASSFEATUREHEADERS,0),MATCH($A591,CLASSNAMEHEADERS,0))),(INDEX(ALLCLASSDATA,MATCH("SpellDCExpert",CLASSFEATUREHEADERS,0),MATCH(($A591 &amp; "Points"),CLASSNAMEHEADERS,0))),(IF("11"=(INDEX(ALLCLASSDATA,MATCH("SpellDCTrained",CLASSFEATUREHEADERS,0),MATCH($A591,CLASSNAMEHEADERS,0))),(INDEX(ALLCLASSDATA,MATCH("SpellDCTrained",CLASSFEATUREHEADERS,0),MATCH(($A591 &amp; "Points"),CLASSNAMEHEADERS,0))),"")))))))))}</f>
        <v>SPELLDCL11</v>
      </c>
      <c r="S590" s="223"/>
      <c r="T590" s="223" t="str">
        <f t="array" ref="T590:T591">{"SPELLDCL13";((IF("13"=(INDEX(ALLCLASSDATA,MATCH("SpellDCLegendary",CLASSFEATUREHEADERS,0),MATCH($A591,CLASSNAMEHEADERS,0))),(INDEX(ALLCLASSDATA,MATCH("SpellDCLegendary",CLASSFEATUREHEADERS,0),MATCH(($A591 &amp; "Points"),CLASSNAMEHEADERS,0))),(IF("13"=(INDEX(ALLCLASSDATA,MATCH("SpellDCMaster",CLASSFEATUREHEADERS,0),MATCH($A591,CLASSNAMEHEADERS,0))),(INDEX(ALLCLASSDATA,MATCH("SpellDCMaster",CLASSFEATUREHEADERS,0),MATCH(($A591 &amp; "Points"),CLASSNAMEHEADERS,0))),(IF("13"=(INDEX(ALLCLASSDATA,MATCH("SpellDCExpert",CLASSFEATUREHEADERS,0),MATCH($A591,CLASSNAMEHEADERS,0))),(INDEX(ALLCLASSDATA,MATCH("SpellDCExpert",CLASSFEATUREHEADERS,0),MATCH(($A591 &amp; "Points"),CLASSNAMEHEADERS,0))),(IF("13"=(INDEX(ALLCLASSDATA,MATCH("SpellDCTrained",CLASSFEATUREHEADERS,0),MATCH($A591,CLASSNAMEHEADERS,0))),(INDEX(ALLCLASSDATA,MATCH("SpellDCTrained",CLASSFEATUREHEADERS,0),MATCH(($A591 &amp; "Points"),CLASSNAMEHEADERS,0))),"")))))))))}</f>
        <v>SPELLDCL13</v>
      </c>
      <c r="U590" s="223"/>
      <c r="V590" s="223" t="str">
        <f t="array" ref="V590:V591">{"SPELLDCL15";((IF("15"=(INDEX(ALLCLASSDATA,MATCH("SpellDCLegendary",CLASSFEATUREHEADERS,0),MATCH($A591,CLASSNAMEHEADERS,0))),(INDEX(ALLCLASSDATA,MATCH("SpellDCLegendary",CLASSFEATUREHEADERS,0),MATCH(($A591 &amp; "Points"),CLASSNAMEHEADERS,0))),(IF("15"=(INDEX(ALLCLASSDATA,MATCH("SpellDCMaster",CLASSFEATUREHEADERS,0),MATCH($A591,CLASSNAMEHEADERS,0))),(INDEX(ALLCLASSDATA,MATCH("SpellDCMaster",CLASSFEATUREHEADERS,0),MATCH(($A591 &amp; "Points"),CLASSNAMEHEADERS,0))),(IF("15"=(INDEX(ALLCLASSDATA,MATCH("SpellDCExpert",CLASSFEATUREHEADERS,0),MATCH($A591,CLASSNAMEHEADERS,0))),(INDEX(ALLCLASSDATA,MATCH("SpellDCExpert",CLASSFEATUREHEADERS,0),MATCH(($A591 &amp; "Points"),CLASSNAMEHEADERS,0))),(IF("15"=(INDEX(ALLCLASSDATA,MATCH("SpellDCTrained",CLASSFEATUREHEADERS,0),MATCH($A591,CLASSNAMEHEADERS,0))),(INDEX(ALLCLASSDATA,MATCH("SpellDCTrained",CLASSFEATUREHEADERS,0),MATCH(($A591 &amp; "Points"),CLASSNAMEHEADERS,0))),"")))))))))}</f>
        <v>SPELLDCL15</v>
      </c>
      <c r="W590" s="223"/>
      <c r="X590" s="223" t="str">
        <f t="array" ref="X590:X591">{"SPELLDCL17";((IF("17"=(INDEX(ALLCLASSDATA,MATCH("SpellDCLegendary",CLASSFEATUREHEADERS,0),MATCH($A591,CLASSNAMEHEADERS,0))),(INDEX(ALLCLASSDATA,MATCH("SpellDCLegendary",CLASSFEATUREHEADERS,0),MATCH(($A591 &amp; "Points"),CLASSNAMEHEADERS,0))),(IF("17"=(INDEX(ALLCLASSDATA,MATCH("SpellDCMaster",CLASSFEATUREHEADERS,0),MATCH($A591,CLASSNAMEHEADERS,0))),(INDEX(ALLCLASSDATA,MATCH("SpellDCMaster",CLASSFEATUREHEADERS,0),MATCH(($A591 &amp; "Points"),CLASSNAMEHEADERS,0))),(IF("17"=(INDEX(ALLCLASSDATA,MATCH("SpellDCExpert",CLASSFEATUREHEADERS,0),MATCH($A591,CLASSNAMEHEADERS,0))),(INDEX(ALLCLASSDATA,MATCH("SpellDCExpert",CLASSFEATUREHEADERS,0),MATCH(($A591 &amp; "Points"),CLASSNAMEHEADERS,0))),(IF("17"=(INDEX(ALLCLASSDATA,MATCH("SpellDCTrained",CLASSFEATUREHEADERS,0),MATCH($A591,CLASSNAMEHEADERS,0))),(INDEX(ALLCLASSDATA,MATCH("SpellDCTrained",CLASSFEATUREHEADERS,0),MATCH(($A591 &amp; "Points"),CLASSNAMEHEADERS,0))),"")))))))))}</f>
        <v>SPELLDCL17</v>
      </c>
      <c r="Y590" s="223"/>
      <c r="Z590" s="223" t="str">
        <f t="array" ref="Z590:Z591">{"SPELLDCL19";((IF("19"=(INDEX(ALLCLASSDATA,MATCH("SpellDCLegendary",CLASSFEATUREHEADERS,0),MATCH($A591,CLASSNAMEHEADERS,0))),(INDEX(ALLCLASSDATA,MATCH("SpellDCLegendary",CLASSFEATUREHEADERS,0),MATCH(($A591 &amp; "Points"),CLASSNAMEHEADERS,0))),(IF("19"=(INDEX(ALLCLASSDATA,MATCH("SpellDCMaster",CLASSFEATUREHEADERS,0),MATCH($A591,CLASSNAMEHEADERS,0))),(INDEX(ALLCLASSDATA,MATCH("SpellDCMaster",CLASSFEATUREHEADERS,0),MATCH(($A591 &amp; "Points"),CLASSNAMEHEADERS,0))),(IF("19"=(INDEX(ALLCLASSDATA,MATCH("SpellDCExpert",CLASSFEATUREHEADERS,0),MATCH($A591,CLASSNAMEHEADERS,0))),(INDEX(ALLCLASSDATA,MATCH("SpellDCExpert",CLASSFEATUREHEADERS,0),MATCH(($A591 &amp; "Points"),CLASSNAMEHEADERS,0))),(IF("19"=(INDEX(ALLCLASSDATA,MATCH("SpellDCTrained",CLASSFEATUREHEADERS,0),MATCH($A591,CLASSNAMEHEADERS,0))),(INDEX(ALLCLASSDATA,MATCH("SpellDCTrained",CLASSFEATUREHEADERS,0),MATCH(($A591 &amp; "Points"),CLASSNAMEHEADERS,0))),"")))))))))}</f>
        <v>SPELLDCL19</v>
      </c>
      <c r="AA590" s="223"/>
      <c r="AB590" s="76" t="str">
        <f t="array" ref="AB590:AB591">{"SPELLDC TOTAL";(IF(COUNTBLANK(G591:AA591)=17,"L",(IF(COUNTBLANK(G591:AA591)=18,"M",(IF(COUNTBLANK(G591:AA591)=19,"E",(IF(COUNTBLANK(G591:AA591)=20,"T",""))))))))}</f>
        <v>SPELLDC TOTAL</v>
      </c>
      <c r="AC590" s="76" t="str">
        <f t="array" ref="AC590:AC591">{"SPELLDC TOTAL";(sum(G591:AA591))}</f>
        <v>SPELLDC TOTAL</v>
      </c>
    </row>
    <row r="591">
      <c r="A591" s="48" t="s">
        <v>144</v>
      </c>
      <c r="B591" s="48"/>
      <c r="C591" s="48" t="s">
        <v>409</v>
      </c>
      <c r="D591" s="97" t="s">
        <v>1465</v>
      </c>
      <c r="E591" s="97" t="s">
        <v>1485</v>
      </c>
      <c r="F591" s="98" t="s">
        <v>603</v>
      </c>
      <c r="G591" s="132" t="s">
        <v>603</v>
      </c>
      <c r="H591" s="98" t="s">
        <v>603</v>
      </c>
      <c r="I591" s="98"/>
      <c r="J591" s="98" t="s">
        <v>603</v>
      </c>
      <c r="K591" s="98"/>
      <c r="L591" s="98" t="s">
        <v>603</v>
      </c>
      <c r="M591" s="98"/>
      <c r="N591" s="98" t="s">
        <v>603</v>
      </c>
      <c r="O591" s="98"/>
      <c r="P591" s="98" t="s">
        <v>603</v>
      </c>
      <c r="Q591" s="98"/>
      <c r="R591" s="98" t="s">
        <v>603</v>
      </c>
      <c r="S591" s="98"/>
      <c r="T591" s="98" t="s">
        <v>603</v>
      </c>
      <c r="U591" s="98"/>
      <c r="V591" s="98" t="s">
        <v>603</v>
      </c>
      <c r="W591" s="98"/>
      <c r="X591" s="98" t="s">
        <v>603</v>
      </c>
      <c r="Y591" s="98"/>
      <c r="Z591" s="98" t="s">
        <v>603</v>
      </c>
      <c r="AA591" s="98"/>
      <c r="AB591" s="5" t="s">
        <v>603</v>
      </c>
      <c r="AC591" s="47">
        <v>0.0</v>
      </c>
    </row>
    <row r="592" hidden="1">
      <c r="A592" s="222" t="str">
        <f t="array" ref="A592:A593">{"FormulaRow22";(INDEX(CLASSLIST,A549,1))}</f>
        <v>FormulaRow22</v>
      </c>
      <c r="B592" s="77" t="s">
        <v>236</v>
      </c>
      <c r="C592" s="222" t="str">
        <f t="array" ref="C592:C593">{"CLASSTYPE";((INDEX(ALLCLASSDATA,MATCH("ClassType",CLASSFEATUREHEADERS,0),MATCH($A593,CLASSNAMEHEADERS,0))))}</f>
        <v>CLASSTYPE</v>
      </c>
      <c r="D592" s="228" t="str">
        <f t="shared" ref="D592:E592" si="7">{"PERCEPTION";"Perception"}</f>
        <v>PERCEPTION</v>
      </c>
      <c r="E592" s="228" t="str">
        <f t="shared" si="7"/>
        <v>PERCEPTION</v>
      </c>
      <c r="F592" s="230" t="str">
        <f t="array" ref="F592:F593">{"PERCEPTIONINITIAL";((IF(H593=10,"T",(IF(H593=50,"E","")))))}</f>
        <v>PERCEPTIONINITIAL</v>
      </c>
      <c r="G592" s="230" t="str">
        <f t="array" ref="G592:G593">{"PERCEPTIONINITIALPTS";((IF("00"=(INDEX(ALLCLASSDATA,MATCH("PerceptionLegendary",CLASSFEATUREHEADERS,0),MATCH($A593,CLASSNAMEHEADERS,0))),(INDEX(ALLCLASSDATA,MATCH("PerceptionLegendary",CLASSFEATUREHEADERS,0),MATCH(($A593 &amp; "Points"),CLASSNAMEHEADERS,0))),(IF("00"=(INDEX(ALLCLASSDATA,MATCH("PerceptionMaster",CLASSFEATUREHEADERS,0),MATCH($A593,CLASSNAMEHEADERS,0))),(INDEX(ALLCLASSDATA,MATCH("PerceptionMaster",CLASSFEATUREHEADERS,0),MATCH(($A593 &amp; "Points"),CLASSNAMEHEADERS,0))),(IF("00"=(INDEX(ALLCLASSDATA,MATCH("PerceptionExpert",CLASSFEATUREHEADERS,0),MATCH($A593,CLASSNAMEHEADERS,0))),(INDEX(ALLCLASSDATA,MATCH("PerceptionExpert",CLASSFEATUREHEADERS,0),MATCH(($A593 &amp; "Points"),CLASSNAMEHEADERS,0))),(IF("00"=(INDEX(ALLCLASSDATA,MATCH("PerceptionTrained",CLASSFEATUREHEADERS,0),MATCH($A593,CLASSNAMEHEADERS,0))),(INDEX(ALLCLASSDATA,MATCH("PerceptionTrained",CLASSFEATUREHEADERS,0),MATCH(($A593 &amp; "Points"),CLASSNAMEHEADERS,0))),"")))))))))}</f>
        <v>PERCEPTIONINITIALPTS</v>
      </c>
      <c r="H592" s="230" t="str">
        <f t="array" ref="H592:H593">{"PERCEPTIONL01";((IF("01"=(INDEX(ALLCLASSDATA,MATCH("PerceptionLegendary",CLASSFEATUREHEADERS,0),MATCH($A593,CLASSNAMEHEADERS,0))),(INDEX(ALLCLASSDATA,MATCH("PerceptionLegendary",CLASSFEATUREHEADERS,0),MATCH(($A593 &amp; "Points"),CLASSNAMEHEADERS,0))),(IF("01"=(INDEX(ALLCLASSDATA,MATCH("PerceptionMaster",CLASSFEATUREHEADERS,0),MATCH($A593,CLASSNAMEHEADERS,0))),(INDEX(ALLCLASSDATA,MATCH("PerceptionMaster",CLASSFEATUREHEADERS,0),MATCH(($A593 &amp; "Points"),CLASSNAMEHEADERS,0))),(IF("01"=(INDEX(ALLCLASSDATA,MATCH("PerceptionExpert",CLASSFEATUREHEADERS,0),MATCH($A593,CLASSNAMEHEADERS,0))),(INDEX(ALLCLASSDATA,MATCH("PerceptionExpert",CLASSFEATUREHEADERS,0),MATCH(($A593 &amp; "Points"),CLASSNAMEHEADERS,0))),(IF("01"=(INDEX(ALLCLASSDATA,MATCH("PerceptionTrained",CLASSFEATUREHEADERS,0),MATCH($A593,CLASSNAMEHEADERS,0))),(INDEX(ALLCLASSDATA,MATCH("PerceptionTrained",CLASSFEATUREHEADERS,0),MATCH(($A593 &amp; "Points"),CLASSNAMEHEADERS,0))),"")))))))))}</f>
        <v>PERCEPTIONL01</v>
      </c>
      <c r="I592" s="230"/>
      <c r="J592" s="230" t="str">
        <f t="array" ref="J592:J593">{"PERCEPTIONL03";((IF("03"=(INDEX(ALLCLASSDATA,MATCH("PerceptionLegendary",CLASSFEATUREHEADERS,0),MATCH($A593,CLASSNAMEHEADERS,0))),(INDEX(ALLCLASSDATA,MATCH("PerceptionLegendary",CLASSFEATUREHEADERS,0),MATCH(($A593 &amp; "Points"),CLASSNAMEHEADERS,0))),(IF("03"=(INDEX(ALLCLASSDATA,MATCH("PerceptionMaster",CLASSFEATUREHEADERS,0),MATCH($A593,CLASSNAMEHEADERS,0))),(INDEX(ALLCLASSDATA,MATCH("PerceptionMaster",CLASSFEATUREHEADERS,0),MATCH(($A593 &amp; "Points"),CLASSNAMEHEADERS,0))),(IF("03"=(INDEX(ALLCLASSDATA,MATCH("PerceptionExpert",CLASSFEATUREHEADERS,0),MATCH($A593,CLASSNAMEHEADERS,0))),(INDEX(ALLCLASSDATA,MATCH("PerceptionExpert",CLASSFEATUREHEADERS,0),MATCH(($A593 &amp; "Points"),CLASSNAMEHEADERS,0))),(IF("03"=(INDEX(ALLCLASSDATA,MATCH("PerceptionTrained",CLASSFEATUREHEADERS,0),MATCH($A593,CLASSNAMEHEADERS,0))),(INDEX(ALLCLASSDATA,MATCH("PerceptionTrained",CLASSFEATUREHEADERS,0),MATCH(($A593 &amp; "Points"),CLASSNAMEHEADERS,0))),"")))))))))}</f>
        <v>PERCEPTIONL03</v>
      </c>
      <c r="K592" s="230"/>
      <c r="L592" s="230" t="str">
        <f t="array" ref="L592:L593">{"PERCEPTIONL05";((IF("05"=(INDEX(ALLCLASSDATA,MATCH("PerceptionLegendary",CLASSFEATUREHEADERS,0),MATCH($A593,CLASSNAMEHEADERS,0))),(INDEX(ALLCLASSDATA,MATCH("PerceptionLegendary",CLASSFEATUREHEADERS,0),MATCH(($A593 &amp; "Points"),CLASSNAMEHEADERS,0))),(IF("05"=(INDEX(ALLCLASSDATA,MATCH("PerceptionMaster",CLASSFEATUREHEADERS,0),MATCH($A593,CLASSNAMEHEADERS,0))),(INDEX(ALLCLASSDATA,MATCH("PerceptionMaster",CLASSFEATUREHEADERS,0),MATCH(($A593 &amp; "Points"),CLASSNAMEHEADERS,0))),(IF("05"=(INDEX(ALLCLASSDATA,MATCH("PerceptionExpert",CLASSFEATUREHEADERS,0),MATCH($A593,CLASSNAMEHEADERS,0))),(INDEX(ALLCLASSDATA,MATCH("PerceptionExpert",CLASSFEATUREHEADERS,0),MATCH(($A593 &amp; "Points"),CLASSNAMEHEADERS,0))),(IF("05"=(INDEX(ALLCLASSDATA,MATCH("PerceptionTrained",CLASSFEATUREHEADERS,0),MATCH($A593,CLASSNAMEHEADERS,0))),(INDEX(ALLCLASSDATA,MATCH("PerceptionTrained",CLASSFEATUREHEADERS,0),MATCH(($A593 &amp; "Points"),CLASSNAMEHEADERS,0))),"")))))))))}</f>
        <v>PERCEPTIONL05</v>
      </c>
      <c r="M592" s="230"/>
      <c r="N592" s="230" t="str">
        <f t="array" ref="N592:N593">{"PERCEPTIONL07";((IF("07"=(INDEX(ALLCLASSDATA,MATCH("PerceptionLegendary",CLASSFEATUREHEADERS,0),MATCH($A593,CLASSNAMEHEADERS,0))),(INDEX(ALLCLASSDATA,MATCH("PerceptionLegendary",CLASSFEATUREHEADERS,0),MATCH(($A593 &amp; "Points"),CLASSNAMEHEADERS,0))),(IF("07"=(INDEX(ALLCLASSDATA,MATCH("PerceptionMaster",CLASSFEATUREHEADERS,0),MATCH($A593,CLASSNAMEHEADERS,0))),(INDEX(ALLCLASSDATA,MATCH("PerceptionMaster",CLASSFEATUREHEADERS,0),MATCH(($A593 &amp; "Points"),CLASSNAMEHEADERS,0))),(IF("07"=(INDEX(ALLCLASSDATA,MATCH("PerceptionExpert",CLASSFEATUREHEADERS,0),MATCH($A593,CLASSNAMEHEADERS,0))),(INDEX(ALLCLASSDATA,MATCH("PerceptionExpert",CLASSFEATUREHEADERS,0),MATCH(($A593 &amp; "Points"),CLASSNAMEHEADERS,0))),(IF("07"=(INDEX(ALLCLASSDATA,MATCH("PerceptionTrained",CLASSFEATUREHEADERS,0),MATCH($A593,CLASSNAMEHEADERS,0))),(INDEX(ALLCLASSDATA,MATCH("PerceptionTrained",CLASSFEATUREHEADERS,0),MATCH(($A593 &amp; "Points"),CLASSNAMEHEADERS,0))),"")))))))))}</f>
        <v>PERCEPTIONL07</v>
      </c>
      <c r="O592" s="230"/>
      <c r="P592" s="230" t="str">
        <f t="array" ref="P592:P593">{"PERCEPTIONL09";((IF("09"=(INDEX(ALLCLASSDATA,MATCH("PerceptionLegendary",CLASSFEATUREHEADERS,0),MATCH($A593,CLASSNAMEHEADERS,0))),(INDEX(ALLCLASSDATA,MATCH("PerceptionLegendary",CLASSFEATUREHEADERS,0),MATCH(($A593 &amp; "Points"),CLASSNAMEHEADERS,0))),(IF("09"=(INDEX(ALLCLASSDATA,MATCH("PerceptionMaster",CLASSFEATUREHEADERS,0),MATCH($A593,CLASSNAMEHEADERS,0))),(INDEX(ALLCLASSDATA,MATCH("PerceptionMaster",CLASSFEATUREHEADERS,0),MATCH(($A593 &amp; "Points"),CLASSNAMEHEADERS,0))),(IF("09"=(INDEX(ALLCLASSDATA,MATCH("PerceptionExpert",CLASSFEATUREHEADERS,0),MATCH($A593,CLASSNAMEHEADERS,0))),(INDEX(ALLCLASSDATA,MATCH("PerceptionExpert",CLASSFEATUREHEADERS,0),MATCH(($A593 &amp; "Points"),CLASSNAMEHEADERS,0))),(IF("09"=(INDEX(ALLCLASSDATA,MATCH("PerceptionTrained",CLASSFEATUREHEADERS,0),MATCH($A593,CLASSNAMEHEADERS,0))),(INDEX(ALLCLASSDATA,MATCH("PerceptionTrained",CLASSFEATUREHEADERS,0),MATCH(($A593 &amp; "Points"),CLASSNAMEHEADERS,0))),"")))))))))}</f>
        <v>PERCEPTIONL09</v>
      </c>
      <c r="Q592" s="230"/>
      <c r="R592" s="230" t="str">
        <f t="array" ref="R592:R593">{"PERCEPTIONL11";((IF("11"=(INDEX(ALLCLASSDATA,MATCH("PerceptionLegendary",CLASSFEATUREHEADERS,0),MATCH($A593,CLASSNAMEHEADERS,0))),(INDEX(ALLCLASSDATA,MATCH("PerceptionLegendary",CLASSFEATUREHEADERS,0),MATCH(($A593 &amp; "Points"),CLASSNAMEHEADERS,0))),(IF("11"=(INDEX(ALLCLASSDATA,MATCH("PerceptionMaster",CLASSFEATUREHEADERS,0),MATCH($A593,CLASSNAMEHEADERS,0))),(INDEX(ALLCLASSDATA,MATCH("PerceptionMaster",CLASSFEATUREHEADERS,0),MATCH(($A593 &amp; "Points"),CLASSNAMEHEADERS,0))),(IF("11"=(INDEX(ALLCLASSDATA,MATCH("PerceptionExpert",CLASSFEATUREHEADERS,0),MATCH($A593,CLASSNAMEHEADERS,0))),(INDEX(ALLCLASSDATA,MATCH("PerceptionExpert",CLASSFEATUREHEADERS,0),MATCH(($A593 &amp; "Points"),CLASSNAMEHEADERS,0))),(IF("11"=(INDEX(ALLCLASSDATA,MATCH("PerceptionTrained",CLASSFEATUREHEADERS,0),MATCH($A593,CLASSNAMEHEADERS,0))),(INDEX(ALLCLASSDATA,MATCH("PerceptionTrained",CLASSFEATUREHEADERS,0),MATCH(($A593 &amp; "Points"),CLASSNAMEHEADERS,0))),"")))))))))}</f>
        <v>PERCEPTIONL11</v>
      </c>
      <c r="S592" s="230"/>
      <c r="T592" s="230" t="str">
        <f t="array" ref="T592:T593">{"PERCEPTIONL13";((IF("13"=(INDEX(ALLCLASSDATA,MATCH("PerceptionLegendary",CLASSFEATUREHEADERS,0),MATCH($A593,CLASSNAMEHEADERS,0))),(INDEX(ALLCLASSDATA,MATCH("PerceptionLegendary",CLASSFEATUREHEADERS,0),MATCH(($A593 &amp; "Points"),CLASSNAMEHEADERS,0))),(IF("13"=(INDEX(ALLCLASSDATA,MATCH("PerceptionMaster",CLASSFEATUREHEADERS,0),MATCH($A593,CLASSNAMEHEADERS,0))),(INDEX(ALLCLASSDATA,MATCH("PerceptionMaster",CLASSFEATUREHEADERS,0),MATCH(($A593 &amp; "Points"),CLASSNAMEHEADERS,0))),(IF("13"=(INDEX(ALLCLASSDATA,MATCH("PerceptionExpert",CLASSFEATUREHEADERS,0),MATCH($A593,CLASSNAMEHEADERS,0))),(INDEX(ALLCLASSDATA,MATCH("PerceptionExpert",CLASSFEATUREHEADERS,0),MATCH(($A593 &amp; "Points"),CLASSNAMEHEADERS,0))),(IF("13"=(INDEX(ALLCLASSDATA,MATCH("PerceptionTrained",CLASSFEATUREHEADERS,0),MATCH($A593,CLASSNAMEHEADERS,0))),(INDEX(ALLCLASSDATA,MATCH("PerceptionTrained",CLASSFEATUREHEADERS,0),MATCH(($A593 &amp; "Points"),CLASSNAMEHEADERS,0))),"")))))))))}</f>
        <v>PERCEPTIONL13</v>
      </c>
      <c r="U592" s="230"/>
      <c r="V592" s="230" t="str">
        <f t="array" ref="V592:V593">{"PERCEPTIONL15";((IF("15"=(INDEX(ALLCLASSDATA,MATCH("PerceptionLegendary",CLASSFEATUREHEADERS,0),MATCH($A593,CLASSNAMEHEADERS,0))),(INDEX(ALLCLASSDATA,MATCH("PerceptionLegendary",CLASSFEATUREHEADERS,0),MATCH(($A593 &amp; "Points"),CLASSNAMEHEADERS,0))),(IF("15"=(INDEX(ALLCLASSDATA,MATCH("PerceptionMaster",CLASSFEATUREHEADERS,0),MATCH($A593,CLASSNAMEHEADERS,0))),(INDEX(ALLCLASSDATA,MATCH("PerceptionMaster",CLASSFEATUREHEADERS,0),MATCH(($A593 &amp; "Points"),CLASSNAMEHEADERS,0))),(IF("15"=(INDEX(ALLCLASSDATA,MATCH("PerceptionExpert",CLASSFEATUREHEADERS,0),MATCH($A593,CLASSNAMEHEADERS,0))),(INDEX(ALLCLASSDATA,MATCH("PerceptionExpert",CLASSFEATUREHEADERS,0),MATCH(($A593 &amp; "Points"),CLASSNAMEHEADERS,0))),(IF("15"=(INDEX(ALLCLASSDATA,MATCH("PerceptionTrained",CLASSFEATUREHEADERS,0),MATCH($A593,CLASSNAMEHEADERS,0))),(INDEX(ALLCLASSDATA,MATCH("PerceptionTrained",CLASSFEATUREHEADERS,0),MATCH(($A593 &amp; "Points"),CLASSNAMEHEADERS,0))),"")))))))))}</f>
        <v>PERCEPTIONL15</v>
      </c>
      <c r="W592" s="230"/>
      <c r="X592" s="230" t="str">
        <f t="array" ref="X592:X593">{"PERCEPTIONL17";((IF("17"=(INDEX(ALLCLASSDATA,MATCH("PerceptionLegendary",CLASSFEATUREHEADERS,0),MATCH($A593,CLASSNAMEHEADERS,0))),(INDEX(ALLCLASSDATA,MATCH("PerceptionLegendary",CLASSFEATUREHEADERS,0),MATCH(($A593 &amp; "Points"),CLASSNAMEHEADERS,0))),(IF("17"=(INDEX(ALLCLASSDATA,MATCH("PerceptionMaster",CLASSFEATUREHEADERS,0),MATCH($A593,CLASSNAMEHEADERS,0))),(INDEX(ALLCLASSDATA,MATCH("PerceptionMaster",CLASSFEATUREHEADERS,0),MATCH(($A593 &amp; "Points"),CLASSNAMEHEADERS,0))),(IF("17"=(INDEX(ALLCLASSDATA,MATCH("PerceptionExpert",CLASSFEATUREHEADERS,0),MATCH($A593,CLASSNAMEHEADERS,0))),(INDEX(ALLCLASSDATA,MATCH("PerceptionExpert",CLASSFEATUREHEADERS,0),MATCH(($A593 &amp; "Points"),CLASSNAMEHEADERS,0))),(IF("17"=(INDEX(ALLCLASSDATA,MATCH("PerceptionTrained",CLASSFEATUREHEADERS,0),MATCH($A593,CLASSNAMEHEADERS,0))),(INDEX(ALLCLASSDATA,MATCH("PerceptionTrained",CLASSFEATUREHEADERS,0),MATCH(($A593 &amp; "Points"),CLASSNAMEHEADERS,0))),"")))))))))}</f>
        <v>PERCEPTIONL17</v>
      </c>
      <c r="Y592" s="230"/>
      <c r="Z592" s="230" t="str">
        <f t="array" ref="Z592:Z593">{"PERCEPTIONL19";((IF("19"=(INDEX(ALLCLASSDATA,MATCH("PerceptionLegendary",CLASSFEATUREHEADERS,0),MATCH($A593,CLASSNAMEHEADERS,0))),(INDEX(ALLCLASSDATA,MATCH("PerceptionLegendary",CLASSFEATUREHEADERS,0),MATCH(($A593 &amp; "Points"),CLASSNAMEHEADERS,0))),(IF("19"=(INDEX(ALLCLASSDATA,MATCH("PerceptionMaster",CLASSFEATUREHEADERS,0),MATCH($A593,CLASSNAMEHEADERS,0))),(INDEX(ALLCLASSDATA,MATCH("PerceptionMaster",CLASSFEATUREHEADERS,0),MATCH(($A593 &amp; "Points"),CLASSNAMEHEADERS,0))),(IF("19"=(INDEX(ALLCLASSDATA,MATCH("PerceptionExpert",CLASSFEATUREHEADERS,0),MATCH($A593,CLASSNAMEHEADERS,0))),(INDEX(ALLCLASSDATA,MATCH("PerceptionExpert",CLASSFEATUREHEADERS,0),MATCH(($A593 &amp; "Points"),CLASSNAMEHEADERS,0))),(IF("19"=(INDEX(ALLCLASSDATA,MATCH("PerceptionTrained",CLASSFEATUREHEADERS,0),MATCH($A593,CLASSNAMEHEADERS,0))),(INDEX(ALLCLASSDATA,MATCH("PerceptionTrained",CLASSFEATUREHEADERS,0),MATCH(($A593 &amp; "Points"),CLASSNAMEHEADERS,0))),"")))))))))}</f>
        <v>PERCEPTIONL19</v>
      </c>
      <c r="AA592" s="230"/>
      <c r="AB592" s="76" t="str">
        <f t="array" ref="AB592:AB593">{"PERCEPTION TOTAL";(IF(COUNTBLANK(G593:AA593)=17,"L",(IF(COUNTBLANK(G593:AA593)=18,"M",(IF(COUNTBLANK(G593:AA593)=19,"E",(IF(COUNTBLANK(G593:AA593)=20,"T",""))))))))}</f>
        <v>PERCEPTION TOTAL</v>
      </c>
      <c r="AC592" s="76" t="str">
        <f t="array" ref="AC592:AC593">{"PERCEPTION TOTAL";(sum(G593:AA593))}</f>
        <v>PERCEPTION TOTAL</v>
      </c>
    </row>
    <row r="593">
      <c r="A593" s="48" t="s">
        <v>144</v>
      </c>
      <c r="B593" s="48"/>
      <c r="C593" s="48" t="s">
        <v>409</v>
      </c>
      <c r="D593" s="97" t="s">
        <v>637</v>
      </c>
      <c r="E593" s="97" t="s">
        <v>637</v>
      </c>
      <c r="F593" s="98" t="s">
        <v>436</v>
      </c>
      <c r="G593" s="132">
        <v>10.0</v>
      </c>
      <c r="H593" s="98">
        <v>50.0</v>
      </c>
      <c r="I593" s="98"/>
      <c r="J593" s="98" t="s">
        <v>603</v>
      </c>
      <c r="K593" s="98"/>
      <c r="L593" s="98" t="s">
        <v>603</v>
      </c>
      <c r="M593" s="98"/>
      <c r="N593" s="98">
        <v>110.0</v>
      </c>
      <c r="O593" s="98"/>
      <c r="P593" s="98" t="s">
        <v>603</v>
      </c>
      <c r="Q593" s="98"/>
      <c r="R593" s="98" t="s">
        <v>603</v>
      </c>
      <c r="S593" s="98"/>
      <c r="T593" s="98">
        <v>190.0</v>
      </c>
      <c r="U593" s="98"/>
      <c r="V593" s="98" t="s">
        <v>603</v>
      </c>
      <c r="W593" s="98"/>
      <c r="X593" s="98" t="s">
        <v>603</v>
      </c>
      <c r="Y593" s="98"/>
      <c r="Z593" s="98" t="s">
        <v>603</v>
      </c>
      <c r="AA593" s="98"/>
      <c r="AB593" s="5" t="s">
        <v>466</v>
      </c>
      <c r="AC593" s="47">
        <v>360.0</v>
      </c>
    </row>
    <row r="594" hidden="1">
      <c r="A594" s="222" t="str">
        <f t="array" ref="A594:A595">{"FormulaRow23";(INDEX(CLASSLIST,A549,1))}</f>
        <v>FormulaRow23</v>
      </c>
      <c r="B594" s="77" t="s">
        <v>236</v>
      </c>
      <c r="C594" s="222" t="str">
        <f t="array" ref="C594:C595">{"CLASSTYPE";((INDEX(ALLCLASSDATA,MATCH("ClassType",CLASSFEATUREHEADERS,0),MATCH($A595,CLASSNAMEHEADERS,0))))}</f>
        <v>CLASSTYPE</v>
      </c>
      <c r="D594" s="228" t="str">
        <f t="array" ref="D594:D595">{"SAVES";"Saves"}</f>
        <v>SAVES</v>
      </c>
      <c r="E594" s="228" t="str">
        <f t="array" ref="E594:E595">{"FORTITUDESAVE";"FortitudeSave"}</f>
        <v>FORTITUDESAVE</v>
      </c>
      <c r="F594" s="230" t="str">
        <f t="array" ref="F594:F595">{"FORTITUDEINITIAL";((IF(H595=10,"T",(IF(H595=50,"E","")))))}</f>
        <v>FORTITUDEINITIAL</v>
      </c>
      <c r="G594" s="230" t="str">
        <f t="array" ref="G594:G595">{"FORTITUDEINITIALPTS";((IF("00"=(INDEX(ALLCLASSDATA,MATCH("FortitudeSaveLegendary",CLASSFEATUREHEADERS,0),MATCH($A595,CLASSNAMEHEADERS,0))),(INDEX(ALLCLASSDATA,MATCH("FortitudeSaveLegendary",CLASSFEATUREHEADERS,0),MATCH(($A595 &amp; "Points"),CLASSNAMEHEADERS,0))),(IF("00"=(INDEX(ALLCLASSDATA,MATCH("FortitudeSaveMaster",CLASSFEATUREHEADERS,0),MATCH($A595,CLASSNAMEHEADERS,0))),(INDEX(ALLCLASSDATA,MATCH("FortitudeSaveMaster",CLASSFEATUREHEADERS,0),MATCH(($A595 &amp; "Points"),CLASSNAMEHEADERS,0))),(IF("00"=(INDEX(ALLCLASSDATA,MATCH("FortitudeSaveExpert",CLASSFEATUREHEADERS,0),MATCH($A595,CLASSNAMEHEADERS,0))),(INDEX(ALLCLASSDATA,MATCH("FortitudeSaveExpert",CLASSFEATUREHEADERS,0),MATCH(($A595 &amp; "Points"),CLASSNAMEHEADERS,0))),(IF("00"=(INDEX(ALLCLASSDATA,MATCH("FortitudeSaveTrained",CLASSFEATUREHEADERS,0),MATCH($A595,CLASSNAMEHEADERS,0))),(INDEX(ALLCLASSDATA,MATCH("FortitudeSaveTrained",CLASSFEATUREHEADERS,0),MATCH(($A595 &amp; "Points"),CLASSNAMEHEADERS,0))),"")))))))))}</f>
        <v>FORTITUDEINITIALPTS</v>
      </c>
      <c r="H594" s="230" t="str">
        <f t="array" ref="H594:H595">{"FORTITUDEL01";((IF("01"=(INDEX(ALLCLASSDATA,MATCH("FortitudeSaveLegendary",CLASSFEATUREHEADERS,0),MATCH($A595,CLASSNAMEHEADERS,0))),(INDEX(ALLCLASSDATA,MATCH("FortitudeSaveLegendary",CLASSFEATUREHEADERS,0),MATCH(($A595 &amp; "Points"),CLASSNAMEHEADERS,0))),(IF("01"=(INDEX(ALLCLASSDATA,MATCH("FortitudeSaveMaster",CLASSFEATUREHEADERS,0),MATCH($A595,CLASSNAMEHEADERS,0))),(INDEX(ALLCLASSDATA,MATCH("FortitudeSaveMaster",CLASSFEATUREHEADERS,0),MATCH(($A595 &amp; "Points"),CLASSNAMEHEADERS,0))),(IF("01"=(INDEX(ALLCLASSDATA,MATCH("FortitudeSaveExpert",CLASSFEATUREHEADERS,0),MATCH($A595,CLASSNAMEHEADERS,0))),(INDEX(ALLCLASSDATA,MATCH("FortitudeSaveExpert",CLASSFEATUREHEADERS,0),MATCH(($A595 &amp; "Points"),CLASSNAMEHEADERS,0))),(IF("01"=(INDEX(ALLCLASSDATA,MATCH("FortitudeSaveTrained",CLASSFEATUREHEADERS,0),MATCH($A595,CLASSNAMEHEADERS,0))),(INDEX(ALLCLASSDATA,MATCH("FortitudeSaveTrained",CLASSFEATUREHEADERS,0),MATCH(($A595 &amp; "Points"),CLASSNAMEHEADERS,0))),"")))))))))}</f>
        <v>FORTITUDEL01</v>
      </c>
      <c r="I594" s="230"/>
      <c r="J594" s="230" t="str">
        <f t="array" ref="J594:J595">{"FORTITUDEL03";((IF("03"=(INDEX(ALLCLASSDATA,MATCH("FortitudeSaveLegendary",CLASSFEATUREHEADERS,0),MATCH($A595,CLASSNAMEHEADERS,0))),(INDEX(ALLCLASSDATA,MATCH("FortitudeSaveLegendary",CLASSFEATUREHEADERS,0),MATCH(($A595 &amp; "Points"),CLASSNAMEHEADERS,0))),(IF("03"=(INDEX(ALLCLASSDATA,MATCH("FortitudeSaveMaster",CLASSFEATUREHEADERS,0),MATCH($A595,CLASSNAMEHEADERS,0))),(INDEX(ALLCLASSDATA,MATCH("FortitudeSaveMaster",CLASSFEATUREHEADERS,0),MATCH(($A595 &amp; "Points"),CLASSNAMEHEADERS,0))),(IF("03"=(INDEX(ALLCLASSDATA,MATCH("FortitudeSaveExpert",CLASSFEATUREHEADERS,0),MATCH($A595,CLASSNAMEHEADERS,0))),(INDEX(ALLCLASSDATA,MATCH("FortitudeSaveExpert",CLASSFEATUREHEADERS,0),MATCH(($A595 &amp; "Points"),CLASSNAMEHEADERS,0))),(IF("03"=(INDEX(ALLCLASSDATA,MATCH("FortitudeSaveTrained",CLASSFEATUREHEADERS,0),MATCH($A595,CLASSNAMEHEADERS,0))),(INDEX(ALLCLASSDATA,MATCH("FortitudeSaveTrained",CLASSFEATUREHEADERS,0),MATCH(($A595 &amp; "Points"),CLASSNAMEHEADERS,0))),"")))))))))}</f>
        <v>FORTITUDEL03</v>
      </c>
      <c r="K594" s="230"/>
      <c r="L594" s="230" t="str">
        <f t="array" ref="L594:L595">{"FORTITUDEL05";((IF("05"=(INDEX(ALLCLASSDATA,MATCH("FortitudeSaveLegendary",CLASSFEATUREHEADERS,0),MATCH($A595,CLASSNAMEHEADERS,0))),(INDEX(ALLCLASSDATA,MATCH("FortitudeSaveLegendary",CLASSFEATUREHEADERS,0),MATCH(($A595 &amp; "Points"),CLASSNAMEHEADERS,0))),(IF("05"=(INDEX(ALLCLASSDATA,MATCH("FortitudeSaveMaster",CLASSFEATUREHEADERS,0),MATCH($A595,CLASSNAMEHEADERS,0))),(INDEX(ALLCLASSDATA,MATCH("FortitudeSaveMaster",CLASSFEATUREHEADERS,0),MATCH(($A595 &amp; "Points"),CLASSNAMEHEADERS,0))),(IF("05"=(INDEX(ALLCLASSDATA,MATCH("FortitudeSaveExpert",CLASSFEATUREHEADERS,0),MATCH($A595,CLASSNAMEHEADERS,0))),(INDEX(ALLCLASSDATA,MATCH("FortitudeSaveExpert",CLASSFEATUREHEADERS,0),MATCH(($A595 &amp; "Points"),CLASSNAMEHEADERS,0))),(IF("05"=(INDEX(ALLCLASSDATA,MATCH("FortitudeSaveTrained",CLASSFEATUREHEADERS,0),MATCH($A595,CLASSNAMEHEADERS,0))),(INDEX(ALLCLASSDATA,MATCH("FortitudeSaveTrained",CLASSFEATUREHEADERS,0),MATCH(($A595 &amp; "Points"),CLASSNAMEHEADERS,0))),"")))))))))}</f>
        <v>FORTITUDEL05</v>
      </c>
      <c r="M594" s="230"/>
      <c r="N594" s="230" t="str">
        <f t="array" ref="N594:N595">{"FORTITUDEL07";((IF("07"=(INDEX(ALLCLASSDATA,MATCH("FortitudeSaveLegendary",CLASSFEATUREHEADERS,0),MATCH($A595,CLASSNAMEHEADERS,0))),(INDEX(ALLCLASSDATA,MATCH("FortitudeSaveLegendary",CLASSFEATUREHEADERS,0),MATCH(($A595 &amp; "Points"),CLASSNAMEHEADERS,0))),(IF("07"=(INDEX(ALLCLASSDATA,MATCH("FortitudeSaveMaster",CLASSFEATUREHEADERS,0),MATCH($A595,CLASSNAMEHEADERS,0))),(INDEX(ALLCLASSDATA,MATCH("FortitudeSaveMaster",CLASSFEATUREHEADERS,0),MATCH(($A595 &amp; "Points"),CLASSNAMEHEADERS,0))),(IF("07"=(INDEX(ALLCLASSDATA,MATCH("FortitudeSaveExpert",CLASSFEATUREHEADERS,0),MATCH($A595,CLASSNAMEHEADERS,0))),(INDEX(ALLCLASSDATA,MATCH("FortitudeSaveExpert",CLASSFEATUREHEADERS,0),MATCH(($A595 &amp; "Points"),CLASSNAMEHEADERS,0))),(IF("07"=(INDEX(ALLCLASSDATA,MATCH("FortitudeSaveTrained",CLASSFEATUREHEADERS,0),MATCH($A595,CLASSNAMEHEADERS,0))),(INDEX(ALLCLASSDATA,MATCH("FortitudeSaveTrained",CLASSFEATUREHEADERS,0),MATCH(($A595 &amp; "Points"),CLASSNAMEHEADERS,0))),"")))))))))}</f>
        <v>FORTITUDEL07</v>
      </c>
      <c r="O594" s="230"/>
      <c r="P594" s="230" t="str">
        <f t="array" ref="P594:P595">{"FORTITUDEL09";((IF("09"=(INDEX(ALLCLASSDATA,MATCH("FortitudeSaveLegendary",CLASSFEATUREHEADERS,0),MATCH($A595,CLASSNAMEHEADERS,0))),(INDEX(ALLCLASSDATA,MATCH("FortitudeSaveLegendary",CLASSFEATUREHEADERS,0),MATCH(($A595 &amp; "Points"),CLASSNAMEHEADERS,0))),(IF("09"=(INDEX(ALLCLASSDATA,MATCH("FortitudeSaveMaster",CLASSFEATUREHEADERS,0),MATCH($A595,CLASSNAMEHEADERS,0))),(INDEX(ALLCLASSDATA,MATCH("FortitudeSaveMaster",CLASSFEATUREHEADERS,0),MATCH(($A595 &amp; "Points"),CLASSNAMEHEADERS,0))),(IF("09"=(INDEX(ALLCLASSDATA,MATCH("FortitudeSaveExpert",CLASSFEATUREHEADERS,0),MATCH($A595,CLASSNAMEHEADERS,0))),(INDEX(ALLCLASSDATA,MATCH("FortitudeSaveExpert",CLASSFEATUREHEADERS,0),MATCH(($A595 &amp; "Points"),CLASSNAMEHEADERS,0))),(IF("09"=(INDEX(ALLCLASSDATA,MATCH("FortitudeSaveTrained",CLASSFEATUREHEADERS,0),MATCH($A595,CLASSNAMEHEADERS,0))),(INDEX(ALLCLASSDATA,MATCH("FortitudeSaveTrained",CLASSFEATUREHEADERS,0),MATCH(($A595 &amp; "Points"),CLASSNAMEHEADERS,0))),"")))))))))}</f>
        <v>FORTITUDEL09</v>
      </c>
      <c r="Q594" s="230"/>
      <c r="R594" s="230" t="str">
        <f t="array" ref="R594:R595">{"FORTITUDEL11";((IF("11"=(INDEX(ALLCLASSDATA,MATCH("FortitudeSaveLegendary",CLASSFEATUREHEADERS,0),MATCH($A595,CLASSNAMEHEADERS,0))),(INDEX(ALLCLASSDATA,MATCH("FortitudeSaveLegendary",CLASSFEATUREHEADERS,0),MATCH(($A595 &amp; "Points"),CLASSNAMEHEADERS,0))),(IF("11"=(INDEX(ALLCLASSDATA,MATCH("FortitudeSaveMaster",CLASSFEATUREHEADERS,0),MATCH($A595,CLASSNAMEHEADERS,0))),(INDEX(ALLCLASSDATA,MATCH("FortitudeSaveMaster",CLASSFEATUREHEADERS,0),MATCH(($A595 &amp; "Points"),CLASSNAMEHEADERS,0))),(IF("11"=(INDEX(ALLCLASSDATA,MATCH("FortitudeSaveExpert",CLASSFEATUREHEADERS,0),MATCH($A595,CLASSNAMEHEADERS,0))),(INDEX(ALLCLASSDATA,MATCH("FortitudeSaveExpert",CLASSFEATUREHEADERS,0),MATCH(($A595 &amp; "Points"),CLASSNAMEHEADERS,0))),(IF("11"=(INDEX(ALLCLASSDATA,MATCH("FortitudeSaveTrained",CLASSFEATUREHEADERS,0),MATCH($A595,CLASSNAMEHEADERS,0))),(INDEX(ALLCLASSDATA,MATCH("FortitudeSaveTrained",CLASSFEATUREHEADERS,0),MATCH(($A595 &amp; "Points"),CLASSNAMEHEADERS,0))),"")))))))))}</f>
        <v>FORTITUDEL11</v>
      </c>
      <c r="S594" s="230"/>
      <c r="T594" s="230" t="str">
        <f t="array" ref="T594:T595">{"FORTITUDEL13";((IF("13"=(INDEX(ALLCLASSDATA,MATCH("FortitudeSaveLegendary",CLASSFEATUREHEADERS,0),MATCH($A595,CLASSNAMEHEADERS,0))),(INDEX(ALLCLASSDATA,MATCH("FortitudeSaveLegendary",CLASSFEATUREHEADERS,0),MATCH(($A595 &amp; "Points"),CLASSNAMEHEADERS,0))),(IF("13"=(INDEX(ALLCLASSDATA,MATCH("FortitudeSaveMaster",CLASSFEATUREHEADERS,0),MATCH($A595,CLASSNAMEHEADERS,0))),(INDEX(ALLCLASSDATA,MATCH("FortitudeSaveMaster",CLASSFEATUREHEADERS,0),MATCH(($A595 &amp; "Points"),CLASSNAMEHEADERS,0))),(IF("13"=(INDEX(ALLCLASSDATA,MATCH("FortitudeSaveExpert",CLASSFEATUREHEADERS,0),MATCH($A595,CLASSNAMEHEADERS,0))),(INDEX(ALLCLASSDATA,MATCH("FortitudeSaveExpert",CLASSFEATUREHEADERS,0),MATCH(($A595 &amp; "Points"),CLASSNAMEHEADERS,0))),(IF("13"=(INDEX(ALLCLASSDATA,MATCH("FortitudeSaveTrained",CLASSFEATUREHEADERS,0),MATCH($A595,CLASSNAMEHEADERS,0))),(INDEX(ALLCLASSDATA,MATCH("FortitudeSaveTrained",CLASSFEATUREHEADERS,0),MATCH(($A595 &amp; "Points"),CLASSNAMEHEADERS,0))),"")))))))))}</f>
        <v>FORTITUDEL13</v>
      </c>
      <c r="U594" s="230"/>
      <c r="V594" s="230" t="str">
        <f t="array" ref="V594:V595">{"FORTITUDEL15";((IF("15"=(INDEX(ALLCLASSDATA,MATCH("FortitudeSaveLegendary",CLASSFEATUREHEADERS,0),MATCH($A595,CLASSNAMEHEADERS,0))),(INDEX(ALLCLASSDATA,MATCH("FortitudeSaveLegendary",CLASSFEATUREHEADERS,0),MATCH(($A595 &amp; "Points"),CLASSNAMEHEADERS,0))),(IF("15"=(INDEX(ALLCLASSDATA,MATCH("FortitudeSaveMaster",CLASSFEATUREHEADERS,0),MATCH($A595,CLASSNAMEHEADERS,0))),(INDEX(ALLCLASSDATA,MATCH("FortitudeSaveMaster",CLASSFEATUREHEADERS,0),MATCH(($A595 &amp; "Points"),CLASSNAMEHEADERS,0))),(IF("15"=(INDEX(ALLCLASSDATA,MATCH("FortitudeSaveExpert",CLASSFEATUREHEADERS,0),MATCH($A595,CLASSNAMEHEADERS,0))),(INDEX(ALLCLASSDATA,MATCH("FortitudeSaveExpert",CLASSFEATUREHEADERS,0),MATCH(($A595 &amp; "Points"),CLASSNAMEHEADERS,0))),(IF("15"=(INDEX(ALLCLASSDATA,MATCH("FortitudeSaveTrained",CLASSFEATUREHEADERS,0),MATCH($A595,CLASSNAMEHEADERS,0))),(INDEX(ALLCLASSDATA,MATCH("FortitudeSaveTrained",CLASSFEATUREHEADERS,0),MATCH(($A595 &amp; "Points"),CLASSNAMEHEADERS,0))),"")))))))))}</f>
        <v>FORTITUDEL15</v>
      </c>
      <c r="W594" s="230"/>
      <c r="X594" s="230" t="str">
        <f t="array" ref="X594:X595">{"FORTITUDEL17";((IF("17"=(INDEX(ALLCLASSDATA,MATCH("FortitudeSaveLegendary",CLASSFEATUREHEADERS,0),MATCH($A595,CLASSNAMEHEADERS,0))),(INDEX(ALLCLASSDATA,MATCH("FortitudeSaveLegendary",CLASSFEATUREHEADERS,0),MATCH(($A595 &amp; "Points"),CLASSNAMEHEADERS,0))),(IF("17"=(INDEX(ALLCLASSDATA,MATCH("FortitudeSaveMaster",CLASSFEATUREHEADERS,0),MATCH($A595,CLASSNAMEHEADERS,0))),(INDEX(ALLCLASSDATA,MATCH("FortitudeSaveMaster",CLASSFEATUREHEADERS,0),MATCH(($A595 &amp; "Points"),CLASSNAMEHEADERS,0))),(IF("17"=(INDEX(ALLCLASSDATA,MATCH("FortitudeSaveExpert",CLASSFEATUREHEADERS,0),MATCH($A595,CLASSNAMEHEADERS,0))),(INDEX(ALLCLASSDATA,MATCH("FortitudeSaveExpert",CLASSFEATUREHEADERS,0),MATCH(($A595 &amp; "Points"),CLASSNAMEHEADERS,0))),(IF("17"=(INDEX(ALLCLASSDATA,MATCH("FortitudeSaveTrained",CLASSFEATUREHEADERS,0),MATCH($A595,CLASSNAMEHEADERS,0))),(INDEX(ALLCLASSDATA,MATCH("FortitudeSaveTrained",CLASSFEATUREHEADERS,0),MATCH(($A595 &amp; "Points"),CLASSNAMEHEADERS,0))),"")))))))))}</f>
        <v>FORTITUDEL17</v>
      </c>
      <c r="Y594" s="230"/>
      <c r="Z594" s="230" t="str">
        <f t="array" ref="Z594:Z595">{"FORTITUDEL19";((IF("19"=(INDEX(ALLCLASSDATA,MATCH("FortitudeSaveLegendary",CLASSFEATUREHEADERS,0),MATCH($A595,CLASSNAMEHEADERS,0))),(INDEX(ALLCLASSDATA,MATCH("FortitudeSaveLegendary",CLASSFEATUREHEADERS,0),MATCH(($A595 &amp; "Points"),CLASSNAMEHEADERS,0))),(IF("19"=(INDEX(ALLCLASSDATA,MATCH("FortitudeSaveMaster",CLASSFEATUREHEADERS,0),MATCH($A595,CLASSNAMEHEADERS,0))),(INDEX(ALLCLASSDATA,MATCH("FortitudeSaveMaster",CLASSFEATUREHEADERS,0),MATCH(($A595 &amp; "Points"),CLASSNAMEHEADERS,0))),(IF("19"=(INDEX(ALLCLASSDATA,MATCH("FortitudeSaveExpert",CLASSFEATUREHEADERS,0),MATCH($A595,CLASSNAMEHEADERS,0))),(INDEX(ALLCLASSDATA,MATCH("FortitudeSaveExpert",CLASSFEATUREHEADERS,0),MATCH(($A595 &amp; "Points"),CLASSNAMEHEADERS,0))),(IF("19"=(INDEX(ALLCLASSDATA,MATCH("FortitudeSaveTrained",CLASSFEATUREHEADERS,0),MATCH($A595,CLASSNAMEHEADERS,0))),(INDEX(ALLCLASSDATA,MATCH("FortitudeSaveTrained",CLASSFEATUREHEADERS,0),MATCH(($A595 &amp; "Points"),CLASSNAMEHEADERS,0))),"")))))))))}</f>
        <v>FORTITUDEL19</v>
      </c>
      <c r="AA594" s="230"/>
      <c r="AB594" s="76" t="str">
        <f t="array" ref="AB594:AB595">{"FORTITUDE TOTAL";(IF(COUNTBLANK(G595:AA595)=17,"L",(IF(COUNTBLANK(G595:AA595)=18,"M",(IF(COUNTBLANK(G595:AA595)=19,"E",(IF(COUNTBLANK(G595:AA595)=20,"T",""))))))))}</f>
        <v>FORTITUDE TOTAL</v>
      </c>
      <c r="AC594" s="76" t="str">
        <f t="array" ref="AC594:AC595">{"FORTITUDE TOTAL";(sum(G595:AA595))}</f>
        <v>FORTITUDE TOTAL</v>
      </c>
    </row>
    <row r="595">
      <c r="A595" s="48" t="s">
        <v>144</v>
      </c>
      <c r="B595" s="48"/>
      <c r="C595" s="48" t="s">
        <v>409</v>
      </c>
      <c r="D595" s="48" t="s">
        <v>1549</v>
      </c>
      <c r="E595" s="48" t="s">
        <v>1550</v>
      </c>
      <c r="F595" s="5" t="s">
        <v>435</v>
      </c>
      <c r="G595" s="47" t="s">
        <v>603</v>
      </c>
      <c r="H595" s="5">
        <v>10.0</v>
      </c>
      <c r="I595" s="5"/>
      <c r="J595" s="5" t="s">
        <v>603</v>
      </c>
      <c r="K595" s="5"/>
      <c r="L595" s="5" t="s">
        <v>603</v>
      </c>
      <c r="M595" s="5"/>
      <c r="N595" s="5" t="s">
        <v>603</v>
      </c>
      <c r="O595" s="5"/>
      <c r="P595" s="5">
        <v>50.0</v>
      </c>
      <c r="Q595" s="5"/>
      <c r="R595" s="5" t="s">
        <v>603</v>
      </c>
      <c r="S595" s="5"/>
      <c r="T595" s="5" t="s">
        <v>603</v>
      </c>
      <c r="U595" s="5"/>
      <c r="V595" s="5" t="s">
        <v>603</v>
      </c>
      <c r="W595" s="5"/>
      <c r="X595" s="5" t="s">
        <v>603</v>
      </c>
      <c r="Y595" s="5"/>
      <c r="Z595" s="5" t="s">
        <v>603</v>
      </c>
      <c r="AA595" s="5"/>
      <c r="AB595" s="5" t="s">
        <v>436</v>
      </c>
      <c r="AC595" s="47">
        <v>60.0</v>
      </c>
    </row>
    <row r="596" hidden="1">
      <c r="A596" s="222" t="str">
        <f t="array" ref="A596:A597">{"FormulaRow24";(INDEX(CLASSLIST,A549,1))}</f>
        <v>FormulaRow24</v>
      </c>
      <c r="B596" s="77" t="s">
        <v>236</v>
      </c>
      <c r="C596" s="222" t="str">
        <f t="array" ref="C596:C597">{"CLASSTYPE";((INDEX(ALLCLASSDATA,MATCH("ClassType",CLASSFEATUREHEADERS,0),MATCH($A597,CLASSNAMEHEADERS,0))))}</f>
        <v>CLASSTYPE</v>
      </c>
      <c r="D596" s="222" t="str">
        <f t="array" ref="D596:D597">{"SAVES";"Saves"}</f>
        <v>SAVES</v>
      </c>
      <c r="E596" s="222" t="str">
        <f t="array" ref="E596:E597">{"REFLEXSAVE";"ReflexSave"}</f>
        <v>REFLEXSAVE</v>
      </c>
      <c r="F596" s="223" t="str">
        <f t="array" ref="F596:F597">{"REFLEXINITIAL";((IF(H597=10,"T",(IF(H597=50,"E","")))))}</f>
        <v>REFLEXINITIAL</v>
      </c>
      <c r="G596" s="223" t="str">
        <f t="array" ref="G596:G597">{"REFLEXINITIALPTS";((IF("00"=(INDEX(ALLCLASSDATA,MATCH("ReflexSaveLegendary",CLASSFEATUREHEADERS,0),MATCH($A597,CLASSNAMEHEADERS,0))),(INDEX(ALLCLASSDATA,MATCH("ReflexSaveLegendary",CLASSFEATUREHEADERS,0),MATCH(($A597 &amp; "Points"),CLASSNAMEHEADERS,0))),(IF("00"=(INDEX(ALLCLASSDATA,MATCH("ReflexSaveMaster",CLASSFEATUREHEADERS,0),MATCH($A597,CLASSNAMEHEADERS,0))),(INDEX(ALLCLASSDATA,MATCH("ReflexSaveMaster",CLASSFEATUREHEADERS,0),MATCH(($A597 &amp; "Points"),CLASSNAMEHEADERS,0))),(IF("00"=(INDEX(ALLCLASSDATA,MATCH("ReflexSaveExpert",CLASSFEATUREHEADERS,0),MATCH($A597,CLASSNAMEHEADERS,0))),(INDEX(ALLCLASSDATA,MATCH("ReflexSaveExpert",CLASSFEATUREHEADERS,0),MATCH(($A597 &amp; "Points"),CLASSNAMEHEADERS,0))),(IF("00"=(INDEX(ALLCLASSDATA,MATCH("ReflexSaveTrained",CLASSFEATUREHEADERS,0),MATCH($A597,CLASSNAMEHEADERS,0))),(INDEX(ALLCLASSDATA,MATCH("ReflexSaveTrained",CLASSFEATUREHEADERS,0),MATCH(($A597 &amp; "Points"),CLASSNAMEHEADERS,0))),"")))))))))}</f>
        <v>REFLEXINITIALPTS</v>
      </c>
      <c r="H596" s="223" t="str">
        <f t="array" ref="H596:H597">{"REFLEXL01";((IF("01"=(INDEX(ALLCLASSDATA,MATCH("ReflexSaveLegendary",CLASSFEATUREHEADERS,0),MATCH($A597,CLASSNAMEHEADERS,0))),(INDEX(ALLCLASSDATA,MATCH("ReflexSaveLegendary",CLASSFEATUREHEADERS,0),MATCH(($A597 &amp; "Points"),CLASSNAMEHEADERS,0))),(IF("01"=(INDEX(ALLCLASSDATA,MATCH("ReflexSaveMaster",CLASSFEATUREHEADERS,0),MATCH($A597,CLASSNAMEHEADERS,0))),(INDEX(ALLCLASSDATA,MATCH("ReflexSaveMaster",CLASSFEATUREHEADERS,0),MATCH(($A597 &amp; "Points"),CLASSNAMEHEADERS,0))),(IF("01"=(INDEX(ALLCLASSDATA,MATCH("ReflexSaveExpert",CLASSFEATUREHEADERS,0),MATCH($A597,CLASSNAMEHEADERS,0))),(INDEX(ALLCLASSDATA,MATCH("ReflexSaveExpert",CLASSFEATUREHEADERS,0),MATCH(($A597 &amp; "Points"),CLASSNAMEHEADERS,0))),(IF("01"=(INDEX(ALLCLASSDATA,MATCH("ReflexSaveTrained",CLASSFEATUREHEADERS,0),MATCH($A597,CLASSNAMEHEADERS,0))),(INDEX(ALLCLASSDATA,MATCH("ReflexSaveTrained",CLASSFEATUREHEADERS,0),MATCH(($A597 &amp; "Points"),CLASSNAMEHEADERS,0))),"")))))))))}</f>
        <v>REFLEXL01</v>
      </c>
      <c r="I596" s="223"/>
      <c r="J596" s="223" t="str">
        <f t="array" ref="J596:J597">{"REFLEXL03";((IF("03"=(INDEX(ALLCLASSDATA,MATCH("ReflexSaveLegendary",CLASSFEATUREHEADERS,0),MATCH($A597,CLASSNAMEHEADERS,0))),(INDEX(ALLCLASSDATA,MATCH("ReflexSaveLegendary",CLASSFEATUREHEADERS,0),MATCH(($A597 &amp; "Points"),CLASSNAMEHEADERS,0))),(IF("03"=(INDEX(ALLCLASSDATA,MATCH("ReflexSaveMaster",CLASSFEATUREHEADERS,0),MATCH($A597,CLASSNAMEHEADERS,0))),(INDEX(ALLCLASSDATA,MATCH("ReflexSaveMaster",CLASSFEATUREHEADERS,0),MATCH(($A597 &amp; "Points"),CLASSNAMEHEADERS,0))),(IF("03"=(INDEX(ALLCLASSDATA,MATCH("ReflexSaveExpert",CLASSFEATUREHEADERS,0),MATCH($A597,CLASSNAMEHEADERS,0))),(INDEX(ALLCLASSDATA,MATCH("ReflexSaveExpert",CLASSFEATUREHEADERS,0),MATCH(($A597 &amp; "Points"),CLASSNAMEHEADERS,0))),(IF("03"=(INDEX(ALLCLASSDATA,MATCH("ReflexSaveTrained",CLASSFEATUREHEADERS,0),MATCH($A597,CLASSNAMEHEADERS,0))),(INDEX(ALLCLASSDATA,MATCH("ReflexSaveTrained",CLASSFEATUREHEADERS,0),MATCH(($A597 &amp; "Points"),CLASSNAMEHEADERS,0))),"")))))))))}</f>
        <v>REFLEXL03</v>
      </c>
      <c r="K596" s="223"/>
      <c r="L596" s="223" t="str">
        <f t="array" ref="L596:L597">{"REFLEXL05";((IF("05"=(INDEX(ALLCLASSDATA,MATCH("ReflexSaveLegendary",CLASSFEATUREHEADERS,0),MATCH($A597,CLASSNAMEHEADERS,0))),(INDEX(ALLCLASSDATA,MATCH("ReflexSaveLegendary",CLASSFEATUREHEADERS,0),MATCH(($A597 &amp; "Points"),CLASSNAMEHEADERS,0))),(IF("05"=(INDEX(ALLCLASSDATA,MATCH("ReflexSaveMaster",CLASSFEATUREHEADERS,0),MATCH($A597,CLASSNAMEHEADERS,0))),(INDEX(ALLCLASSDATA,MATCH("ReflexSaveMaster",CLASSFEATUREHEADERS,0),MATCH(($A597 &amp; "Points"),CLASSNAMEHEADERS,0))),(IF("05"=(INDEX(ALLCLASSDATA,MATCH("ReflexSaveExpert",CLASSFEATUREHEADERS,0),MATCH($A597,CLASSNAMEHEADERS,0))),(INDEX(ALLCLASSDATA,MATCH("ReflexSaveExpert",CLASSFEATUREHEADERS,0),MATCH(($A597 &amp; "Points"),CLASSNAMEHEADERS,0))),(IF("05"=(INDEX(ALLCLASSDATA,MATCH("ReflexSaveTrained",CLASSFEATUREHEADERS,0),MATCH($A597,CLASSNAMEHEADERS,0))),(INDEX(ALLCLASSDATA,MATCH("ReflexSaveTrained",CLASSFEATUREHEADERS,0),MATCH(($A597 &amp; "Points"),CLASSNAMEHEADERS,0))),"")))))))))}</f>
        <v>REFLEXL05</v>
      </c>
      <c r="M596" s="223"/>
      <c r="N596" s="223" t="str">
        <f t="array" ref="N596:N597">{"REFLEXL07";((IF("07"=(INDEX(ALLCLASSDATA,MATCH("ReflexSaveLegendary",CLASSFEATUREHEADERS,0),MATCH($A597,CLASSNAMEHEADERS,0))),(INDEX(ALLCLASSDATA,MATCH("ReflexSaveLegendary",CLASSFEATUREHEADERS,0),MATCH(($A597 &amp; "Points"),CLASSNAMEHEADERS,0))),(IF("07"=(INDEX(ALLCLASSDATA,MATCH("ReflexSaveMaster",CLASSFEATUREHEADERS,0),MATCH($A597,CLASSNAMEHEADERS,0))),(INDEX(ALLCLASSDATA,MATCH("ReflexSaveMaster",CLASSFEATUREHEADERS,0),MATCH(($A597 &amp; "Points"),CLASSNAMEHEADERS,0))),(IF("07"=(INDEX(ALLCLASSDATA,MATCH("ReflexSaveExpert",CLASSFEATUREHEADERS,0),MATCH($A597,CLASSNAMEHEADERS,0))),(INDEX(ALLCLASSDATA,MATCH("ReflexSaveExpert",CLASSFEATUREHEADERS,0),MATCH(($A597 &amp; "Points"),CLASSNAMEHEADERS,0))),(IF("07"=(INDEX(ALLCLASSDATA,MATCH("ReflexSaveTrained",CLASSFEATUREHEADERS,0),MATCH($A597,CLASSNAMEHEADERS,0))),(INDEX(ALLCLASSDATA,MATCH("ReflexSaveTrained",CLASSFEATUREHEADERS,0),MATCH(($A597 &amp; "Points"),CLASSNAMEHEADERS,0))),"")))))))))}</f>
        <v>REFLEXL07</v>
      </c>
      <c r="O596" s="223"/>
      <c r="P596" s="223" t="str">
        <f t="array" ref="P596:P597">{"REFLEXL09";((IF("09"=(INDEX(ALLCLASSDATA,MATCH("ReflexSaveLegendary",CLASSFEATUREHEADERS,0),MATCH($A597,CLASSNAMEHEADERS,0))),(INDEX(ALLCLASSDATA,MATCH("ReflexSaveLegendary",CLASSFEATUREHEADERS,0),MATCH(($A597 &amp; "Points"),CLASSNAMEHEADERS,0))),(IF("09"=(INDEX(ALLCLASSDATA,MATCH("ReflexSaveMaster",CLASSFEATUREHEADERS,0),MATCH($A597,CLASSNAMEHEADERS,0))),(INDEX(ALLCLASSDATA,MATCH("ReflexSaveMaster",CLASSFEATUREHEADERS,0),MATCH(($A597 &amp; "Points"),CLASSNAMEHEADERS,0))),(IF("09"=(INDEX(ALLCLASSDATA,MATCH("ReflexSaveExpert",CLASSFEATUREHEADERS,0),MATCH($A597,CLASSNAMEHEADERS,0))),(INDEX(ALLCLASSDATA,MATCH("ReflexSaveExpert",CLASSFEATUREHEADERS,0),MATCH(($A597 &amp; "Points"),CLASSNAMEHEADERS,0))),(IF("09"=(INDEX(ALLCLASSDATA,MATCH("ReflexSaveTrained",CLASSFEATUREHEADERS,0),MATCH($A597,CLASSNAMEHEADERS,0))),(INDEX(ALLCLASSDATA,MATCH("ReflexSaveTrained",CLASSFEATUREHEADERS,0),MATCH(($A597 &amp; "Points"),CLASSNAMEHEADERS,0))),"")))))))))}</f>
        <v>REFLEXL09</v>
      </c>
      <c r="Q596" s="223"/>
      <c r="R596" s="223" t="str">
        <f t="array" ref="R596:R597">{"REFLEXL11";((IF("11"=(INDEX(ALLCLASSDATA,MATCH("ReflexSaveLegendary",CLASSFEATUREHEADERS,0),MATCH($A597,CLASSNAMEHEADERS,0))),(INDEX(ALLCLASSDATA,MATCH("ReflexSaveLegendary",CLASSFEATUREHEADERS,0),MATCH(($A597 &amp; "Points"),CLASSNAMEHEADERS,0))),(IF("11"=(INDEX(ALLCLASSDATA,MATCH("ReflexSaveMaster",CLASSFEATUREHEADERS,0),MATCH($A597,CLASSNAMEHEADERS,0))),(INDEX(ALLCLASSDATA,MATCH("ReflexSaveMaster",CLASSFEATUREHEADERS,0),MATCH(($A597 &amp; "Points"),CLASSNAMEHEADERS,0))),(IF("11"=(INDEX(ALLCLASSDATA,MATCH("ReflexSaveExpert",CLASSFEATUREHEADERS,0),MATCH($A597,CLASSNAMEHEADERS,0))),(INDEX(ALLCLASSDATA,MATCH("ReflexSaveExpert",CLASSFEATUREHEADERS,0),MATCH(($A597 &amp; "Points"),CLASSNAMEHEADERS,0))),(IF("11"=(INDEX(ALLCLASSDATA,MATCH("ReflexSaveTrained",CLASSFEATUREHEADERS,0),MATCH($A597,CLASSNAMEHEADERS,0))),(INDEX(ALLCLASSDATA,MATCH("ReflexSaveTrained",CLASSFEATUREHEADERS,0),MATCH(($A597 &amp; "Points"),CLASSNAMEHEADERS,0))),"")))))))))}</f>
        <v>REFLEXL11</v>
      </c>
      <c r="S596" s="223"/>
      <c r="T596" s="223" t="str">
        <f t="array" ref="T596:T597">{"REFLEXL13";((IF("13"=(INDEX(ALLCLASSDATA,MATCH("ReflexSaveLegendary",CLASSFEATUREHEADERS,0),MATCH($A597,CLASSNAMEHEADERS,0))),(INDEX(ALLCLASSDATA,MATCH("ReflexSaveLegendary",CLASSFEATUREHEADERS,0),MATCH(($A597 &amp; "Points"),CLASSNAMEHEADERS,0))),(IF("13"=(INDEX(ALLCLASSDATA,MATCH("ReflexSaveMaster",CLASSFEATUREHEADERS,0),MATCH($A597,CLASSNAMEHEADERS,0))),(INDEX(ALLCLASSDATA,MATCH("ReflexSaveMaster",CLASSFEATUREHEADERS,0),MATCH(($A597 &amp; "Points"),CLASSNAMEHEADERS,0))),(IF("13"=(INDEX(ALLCLASSDATA,MATCH("ReflexSaveExpert",CLASSFEATUREHEADERS,0),MATCH($A597,CLASSNAMEHEADERS,0))),(INDEX(ALLCLASSDATA,MATCH("ReflexSaveExpert",CLASSFEATUREHEADERS,0),MATCH(($A597 &amp; "Points"),CLASSNAMEHEADERS,0))),(IF("13"=(INDEX(ALLCLASSDATA,MATCH("ReflexSaveTrained",CLASSFEATUREHEADERS,0),MATCH($A597,CLASSNAMEHEADERS,0))),(INDEX(ALLCLASSDATA,MATCH("ReflexSaveTrained",CLASSFEATUREHEADERS,0),MATCH(($A597 &amp; "Points"),CLASSNAMEHEADERS,0))),"")))))))))}</f>
        <v>REFLEXL13</v>
      </c>
      <c r="U596" s="223"/>
      <c r="V596" s="223" t="str">
        <f t="array" ref="V596:V597">{"REFLEXL15";((IF("15"=(INDEX(ALLCLASSDATA,MATCH("ReflexSaveLegendary",CLASSFEATUREHEADERS,0),MATCH($A597,CLASSNAMEHEADERS,0))),(INDEX(ALLCLASSDATA,MATCH("ReflexSaveLegendary",CLASSFEATUREHEADERS,0),MATCH(($A597 &amp; "Points"),CLASSNAMEHEADERS,0))),(IF("15"=(INDEX(ALLCLASSDATA,MATCH("ReflexSaveMaster",CLASSFEATUREHEADERS,0),MATCH($A597,CLASSNAMEHEADERS,0))),(INDEX(ALLCLASSDATA,MATCH("ReflexSaveMaster",CLASSFEATUREHEADERS,0),MATCH(($A597 &amp; "Points"),CLASSNAMEHEADERS,0))),(IF("15"=(INDEX(ALLCLASSDATA,MATCH("ReflexSaveExpert",CLASSFEATUREHEADERS,0),MATCH($A597,CLASSNAMEHEADERS,0))),(INDEX(ALLCLASSDATA,MATCH("ReflexSaveExpert",CLASSFEATUREHEADERS,0),MATCH(($A597 &amp; "Points"),CLASSNAMEHEADERS,0))),(IF("15"=(INDEX(ALLCLASSDATA,MATCH("ReflexSaveTrained",CLASSFEATUREHEADERS,0),MATCH($A597,CLASSNAMEHEADERS,0))),(INDEX(ALLCLASSDATA,MATCH("ReflexSaveTrained",CLASSFEATUREHEADERS,0),MATCH(($A597 &amp; "Points"),CLASSNAMEHEADERS,0))),"")))))))))}</f>
        <v>REFLEXL15</v>
      </c>
      <c r="W596" s="223"/>
      <c r="X596" s="223" t="str">
        <f t="array" ref="X596:X597">{"REFLEXL17";((IF("17"=(INDEX(ALLCLASSDATA,MATCH("ReflexSaveLegendary",CLASSFEATUREHEADERS,0),MATCH($A597,CLASSNAMEHEADERS,0))),(INDEX(ALLCLASSDATA,MATCH("ReflexSaveLegendary",CLASSFEATUREHEADERS,0),MATCH(($A597 &amp; "Points"),CLASSNAMEHEADERS,0))),(IF("17"=(INDEX(ALLCLASSDATA,MATCH("ReflexSaveMaster",CLASSFEATUREHEADERS,0),MATCH($A597,CLASSNAMEHEADERS,0))),(INDEX(ALLCLASSDATA,MATCH("ReflexSaveMaster",CLASSFEATUREHEADERS,0),MATCH(($A597 &amp; "Points"),CLASSNAMEHEADERS,0))),(IF("17"=(INDEX(ALLCLASSDATA,MATCH("ReflexSaveExpert",CLASSFEATUREHEADERS,0),MATCH($A597,CLASSNAMEHEADERS,0))),(INDEX(ALLCLASSDATA,MATCH("ReflexSaveExpert",CLASSFEATUREHEADERS,0),MATCH(($A597 &amp; "Points"),CLASSNAMEHEADERS,0))),(IF("17"=(INDEX(ALLCLASSDATA,MATCH("ReflexSaveTrained",CLASSFEATUREHEADERS,0),MATCH($A597,CLASSNAMEHEADERS,0))),(INDEX(ALLCLASSDATA,MATCH("ReflexSaveTrained",CLASSFEATUREHEADERS,0),MATCH(($A597 &amp; "Points"),CLASSNAMEHEADERS,0))),"")))))))))}</f>
        <v>REFLEXL17</v>
      </c>
      <c r="Y596" s="223"/>
      <c r="Z596" s="223" t="str">
        <f t="array" ref="Z596:Z597">{"REFLEXL19";((IF("19"=(INDEX(ALLCLASSDATA,MATCH("ReflexSaveLegendary",CLASSFEATUREHEADERS,0),MATCH($A597,CLASSNAMEHEADERS,0))),(INDEX(ALLCLASSDATA,MATCH("ReflexSaveLegendary",CLASSFEATUREHEADERS,0),MATCH(($A597 &amp; "Points"),CLASSNAMEHEADERS,0))),(IF("19"=(INDEX(ALLCLASSDATA,MATCH("ReflexSaveMaster",CLASSFEATUREHEADERS,0),MATCH($A597,CLASSNAMEHEADERS,0))),(INDEX(ALLCLASSDATA,MATCH("ReflexSaveMaster",CLASSFEATUREHEADERS,0),MATCH(($A597 &amp; "Points"),CLASSNAMEHEADERS,0))),(IF("19"=(INDEX(ALLCLASSDATA,MATCH("ReflexSaveExpert",CLASSFEATUREHEADERS,0),MATCH($A597,CLASSNAMEHEADERS,0))),(INDEX(ALLCLASSDATA,MATCH("ReflexSaveExpert",CLASSFEATUREHEADERS,0),MATCH(($A597 &amp; "Points"),CLASSNAMEHEADERS,0))),(IF("19"=(INDEX(ALLCLASSDATA,MATCH("ReflexSaveTrained",CLASSFEATUREHEADERS,0),MATCH($A597,CLASSNAMEHEADERS,0))),(INDEX(ALLCLASSDATA,MATCH("ReflexSaveTrained",CLASSFEATUREHEADERS,0),MATCH(($A597 &amp; "Points"),CLASSNAMEHEADERS,0))),"")))))))))}</f>
        <v>REFLEXL19</v>
      </c>
      <c r="AA596" s="223"/>
      <c r="AB596" s="76" t="str">
        <f t="array" ref="AB596:AB597">{"REFLEX TOTAL";(IF(COUNTBLANK(G597:AA597)=17,"L",(IF(COUNTBLANK(G597:AA597)=18,"M",(IF(COUNTBLANK(G597:AA597)=19,"E",(IF(COUNTBLANK(G597:AA597)=20,"T",""))))))))}</f>
        <v>REFLEX TOTAL</v>
      </c>
      <c r="AC596" s="76" t="str">
        <f t="array" ref="AC596:AC597">{"REFLEX TOTAL";(sum(G597:AA597))}</f>
        <v>REFLEX TOTAL</v>
      </c>
    </row>
    <row r="597">
      <c r="A597" s="48" t="s">
        <v>144</v>
      </c>
      <c r="B597" s="48"/>
      <c r="C597" s="48" t="s">
        <v>409</v>
      </c>
      <c r="D597" s="48" t="s">
        <v>1549</v>
      </c>
      <c r="E597" s="48" t="s">
        <v>1572</v>
      </c>
      <c r="F597" s="5" t="s">
        <v>436</v>
      </c>
      <c r="G597" s="47">
        <v>10.0</v>
      </c>
      <c r="H597" s="5">
        <v>50.0</v>
      </c>
      <c r="I597" s="5"/>
      <c r="J597" s="5" t="s">
        <v>603</v>
      </c>
      <c r="K597" s="5"/>
      <c r="L597" s="5" t="s">
        <v>603</v>
      </c>
      <c r="M597" s="5"/>
      <c r="N597" s="5" t="s">
        <v>603</v>
      </c>
      <c r="O597" s="5"/>
      <c r="P597" s="5" t="s">
        <v>603</v>
      </c>
      <c r="Q597" s="5"/>
      <c r="R597" s="5" t="s">
        <v>603</v>
      </c>
      <c r="S597" s="5"/>
      <c r="T597" s="5" t="s">
        <v>603</v>
      </c>
      <c r="U597" s="5"/>
      <c r="V597" s="5">
        <v>110.0</v>
      </c>
      <c r="W597" s="5"/>
      <c r="X597" s="5" t="s">
        <v>603</v>
      </c>
      <c r="Y597" s="5"/>
      <c r="Z597" s="5" t="s">
        <v>603</v>
      </c>
      <c r="AA597" s="5"/>
      <c r="AB597" s="5" t="s">
        <v>437</v>
      </c>
      <c r="AC597" s="47">
        <v>170.0</v>
      </c>
    </row>
    <row r="598" hidden="1">
      <c r="A598" s="222" t="str">
        <f t="array" ref="A598:A599">{"FormulaRow25";(INDEX(CLASSLIST,A549,1))}</f>
        <v>FormulaRow25</v>
      </c>
      <c r="B598" s="77" t="s">
        <v>236</v>
      </c>
      <c r="C598" s="222" t="str">
        <f t="array" ref="C598:C599">{"CLASSTYPE";((INDEX(ALLCLASSDATA,MATCH("ClassType",CLASSFEATUREHEADERS,0),MATCH($A599,CLASSNAMEHEADERS,0))))}</f>
        <v>CLASSTYPE</v>
      </c>
      <c r="D598" s="222" t="str">
        <f t="array" ref="D598:D599">{"SAVES";"Saves"}</f>
        <v>SAVES</v>
      </c>
      <c r="E598" s="222" t="str">
        <f t="array" ref="E598:E599">{"WILLSAVE";"WillSave"}</f>
        <v>WILLSAVE</v>
      </c>
      <c r="F598" s="223" t="str">
        <f t="array" ref="F598:F599">{"WILLINITIAL";((IF(H599=10,"T",(IF(H599=50,"E","")))))}</f>
        <v>WILLINITIAL</v>
      </c>
      <c r="G598" s="223" t="str">
        <f t="array" ref="G598:G599">{"WILLINITIALPTS";((IF("00"=(INDEX(ALLCLASSDATA,MATCH("WillSaveLegendary",CLASSFEATUREHEADERS,0),MATCH($A599,CLASSNAMEHEADERS,0))),(INDEX(ALLCLASSDATA,MATCH("WillSaveLegendary",CLASSFEATUREHEADERS,0),MATCH(($A599 &amp; "Points"),CLASSNAMEHEADERS,0))),(IF("00"=(INDEX(ALLCLASSDATA,MATCH("WillSaveMaster",CLASSFEATUREHEADERS,0),MATCH($A599,CLASSNAMEHEADERS,0))),(INDEX(ALLCLASSDATA,MATCH("WillSaveMaster",CLASSFEATUREHEADERS,0),MATCH(($A599 &amp; "Points"),CLASSNAMEHEADERS,0))),(IF("00"=(INDEX(ALLCLASSDATA,MATCH("WillSaveExpert",CLASSFEATUREHEADERS,0),MATCH($A599,CLASSNAMEHEADERS,0))),(INDEX(ALLCLASSDATA,MATCH("WillSaveExpert",CLASSFEATUREHEADERS,0),MATCH(($A599 &amp; "Points"),CLASSNAMEHEADERS,0))),(IF("00"=(INDEX(ALLCLASSDATA,MATCH("WillSaveTrained",CLASSFEATUREHEADERS,0),MATCH($A599,CLASSNAMEHEADERS,0))),(INDEX(ALLCLASSDATA,MATCH("WillSaveTrained",CLASSFEATUREHEADERS,0),MATCH(($A599 &amp; "Points"),CLASSNAMEHEADERS,0))),"")))))))))}</f>
        <v>WILLINITIALPTS</v>
      </c>
      <c r="H598" s="223" t="str">
        <f t="array" ref="H598:H599">{"WILLL01";((IF("01"=(INDEX(ALLCLASSDATA,MATCH("WillSaveLegendary",CLASSFEATUREHEADERS,0),MATCH($A599,CLASSNAMEHEADERS,0))),(INDEX(ALLCLASSDATA,MATCH("WillSaveLegendary",CLASSFEATUREHEADERS,0),MATCH(($A599 &amp; "Points"),CLASSNAMEHEADERS,0))),(IF("01"=(INDEX(ALLCLASSDATA,MATCH("WillSaveMaster",CLASSFEATUREHEADERS,0),MATCH($A599,CLASSNAMEHEADERS,0))),(INDEX(ALLCLASSDATA,MATCH("WillSaveMaster",CLASSFEATUREHEADERS,0),MATCH(($A599 &amp; "Points"),CLASSNAMEHEADERS,0))),(IF("01"=(INDEX(ALLCLASSDATA,MATCH("WillSaveExpert",CLASSFEATUREHEADERS,0),MATCH($A599,CLASSNAMEHEADERS,0))),(INDEX(ALLCLASSDATA,MATCH("WillSaveExpert",CLASSFEATUREHEADERS,0),MATCH(($A599 &amp; "Points"),CLASSNAMEHEADERS,0))),(IF("01"=(INDEX(ALLCLASSDATA,MATCH("WillSaveTrained",CLASSFEATUREHEADERS,0),MATCH($A599,CLASSNAMEHEADERS,0))),(INDEX(ALLCLASSDATA,MATCH("WillSaveTrained",CLASSFEATUREHEADERS,0),MATCH(($A599 &amp; "Points"),CLASSNAMEHEADERS,0))),"")))))))))}</f>
        <v>WILLL01</v>
      </c>
      <c r="I598" s="223"/>
      <c r="J598" s="223" t="str">
        <f t="array" ref="J598:J599">{"WILLL03";((IF("03"=(INDEX(ALLCLASSDATA,MATCH("WillSaveLegendary",CLASSFEATUREHEADERS,0),MATCH($A599,CLASSNAMEHEADERS,0))),(INDEX(ALLCLASSDATA,MATCH("WillSaveLegendary",CLASSFEATUREHEADERS,0),MATCH(($A599 &amp; "Points"),CLASSNAMEHEADERS,0))),(IF("03"=(INDEX(ALLCLASSDATA,MATCH("WillSaveMaster",CLASSFEATUREHEADERS,0),MATCH($A599,CLASSNAMEHEADERS,0))),(INDEX(ALLCLASSDATA,MATCH("WillSaveMaster",CLASSFEATUREHEADERS,0),MATCH(($A599 &amp; "Points"),CLASSNAMEHEADERS,0))),(IF("03"=(INDEX(ALLCLASSDATA,MATCH("WillSaveExpert",CLASSFEATUREHEADERS,0),MATCH($A599,CLASSNAMEHEADERS,0))),(INDEX(ALLCLASSDATA,MATCH("WillSaveExpert",CLASSFEATUREHEADERS,0),MATCH(($A599 &amp; "Points"),CLASSNAMEHEADERS,0))),(IF("03"=(INDEX(ALLCLASSDATA,MATCH("WillSaveTrained",CLASSFEATUREHEADERS,0),MATCH($A599,CLASSNAMEHEADERS,0))),(INDEX(ALLCLASSDATA,MATCH("WillSaveTrained",CLASSFEATUREHEADERS,0),MATCH(($A599 &amp; "Points"),CLASSNAMEHEADERS,0))),"")))))))))}</f>
        <v>WILLL03</v>
      </c>
      <c r="K598" s="223"/>
      <c r="L598" s="223" t="str">
        <f t="array" ref="L598:L599">{"WILLL05";((IF("05"=(INDEX(ALLCLASSDATA,MATCH("WillSaveLegendary",CLASSFEATUREHEADERS,0),MATCH($A599,CLASSNAMEHEADERS,0))),(INDEX(ALLCLASSDATA,MATCH("WillSaveLegendary",CLASSFEATUREHEADERS,0),MATCH(($A599 &amp; "Points"),CLASSNAMEHEADERS,0))),(IF("05"=(INDEX(ALLCLASSDATA,MATCH("WillSaveMaster",CLASSFEATUREHEADERS,0),MATCH($A599,CLASSNAMEHEADERS,0))),(INDEX(ALLCLASSDATA,MATCH("WillSaveMaster",CLASSFEATUREHEADERS,0),MATCH(($A599 &amp; "Points"),CLASSNAMEHEADERS,0))),(IF("05"=(INDEX(ALLCLASSDATA,MATCH("WillSaveExpert",CLASSFEATUREHEADERS,0),MATCH($A599,CLASSNAMEHEADERS,0))),(INDEX(ALLCLASSDATA,MATCH("WillSaveExpert",CLASSFEATUREHEADERS,0),MATCH(($A599 &amp; "Points"),CLASSNAMEHEADERS,0))),(IF("05"=(INDEX(ALLCLASSDATA,MATCH("WillSaveTrained",CLASSFEATUREHEADERS,0),MATCH($A599,CLASSNAMEHEADERS,0))),(INDEX(ALLCLASSDATA,MATCH("WillSaveTrained",CLASSFEATUREHEADERS,0),MATCH(($A599 &amp; "Points"),CLASSNAMEHEADERS,0))),"")))))))))}</f>
        <v>WILLL05</v>
      </c>
      <c r="M598" s="223"/>
      <c r="N598" s="223" t="str">
        <f t="array" ref="N598:N599">{"WILLL07";((IF("07"=(INDEX(ALLCLASSDATA,MATCH("WillSaveLegendary",CLASSFEATUREHEADERS,0),MATCH($A599,CLASSNAMEHEADERS,0))),(INDEX(ALLCLASSDATA,MATCH("WillSaveLegendary",CLASSFEATUREHEADERS,0),MATCH(($A599 &amp; "Points"),CLASSNAMEHEADERS,0))),(IF("07"=(INDEX(ALLCLASSDATA,MATCH("WillSaveMaster",CLASSFEATUREHEADERS,0),MATCH($A599,CLASSNAMEHEADERS,0))),(INDEX(ALLCLASSDATA,MATCH("WillSaveMaster",CLASSFEATUREHEADERS,0),MATCH(($A599 &amp; "Points"),CLASSNAMEHEADERS,0))),(IF("07"=(INDEX(ALLCLASSDATA,MATCH("WillSaveExpert",CLASSFEATUREHEADERS,0),MATCH($A599,CLASSNAMEHEADERS,0))),(INDEX(ALLCLASSDATA,MATCH("WillSaveExpert",CLASSFEATUREHEADERS,0),MATCH(($A599 &amp; "Points"),CLASSNAMEHEADERS,0))),(IF("07"=(INDEX(ALLCLASSDATA,MATCH("WillSaveTrained",CLASSFEATUREHEADERS,0),MATCH($A599,CLASSNAMEHEADERS,0))),(INDEX(ALLCLASSDATA,MATCH("WillSaveTrained",CLASSFEATUREHEADERS,0),MATCH(($A599 &amp; "Points"),CLASSNAMEHEADERS,0))),"")))))))))}</f>
        <v>WILLL07</v>
      </c>
      <c r="O598" s="223"/>
      <c r="P598" s="223" t="str">
        <f t="array" ref="P598:P599">{"WILLL09";((IF("09"=(INDEX(ALLCLASSDATA,MATCH("WillSaveLegendary",CLASSFEATUREHEADERS,0),MATCH($A599,CLASSNAMEHEADERS,0))),(INDEX(ALLCLASSDATA,MATCH("WillSaveLegendary",CLASSFEATUREHEADERS,0),MATCH(($A599 &amp; "Points"),CLASSNAMEHEADERS,0))),(IF("09"=(INDEX(ALLCLASSDATA,MATCH("WillSaveMaster",CLASSFEATUREHEADERS,0),MATCH($A599,CLASSNAMEHEADERS,0))),(INDEX(ALLCLASSDATA,MATCH("WillSaveMaster",CLASSFEATUREHEADERS,0),MATCH(($A599 &amp; "Points"),CLASSNAMEHEADERS,0))),(IF("09"=(INDEX(ALLCLASSDATA,MATCH("WillSaveExpert",CLASSFEATUREHEADERS,0),MATCH($A599,CLASSNAMEHEADERS,0))),(INDEX(ALLCLASSDATA,MATCH("WillSaveExpert",CLASSFEATUREHEADERS,0),MATCH(($A599 &amp; "Points"),CLASSNAMEHEADERS,0))),(IF("09"=(INDEX(ALLCLASSDATA,MATCH("WillSaveTrained",CLASSFEATUREHEADERS,0),MATCH($A599,CLASSNAMEHEADERS,0))),(INDEX(ALLCLASSDATA,MATCH("WillSaveTrained",CLASSFEATUREHEADERS,0),MATCH(($A599 &amp; "Points"),CLASSNAMEHEADERS,0))),"")))))))))}</f>
        <v>WILLL09</v>
      </c>
      <c r="Q598" s="223"/>
      <c r="R598" s="223" t="str">
        <f t="array" ref="R598:R599">{"WILLL11";((IF("11"=(INDEX(ALLCLASSDATA,MATCH("WillSaveLegendary",CLASSFEATUREHEADERS,0),MATCH($A599,CLASSNAMEHEADERS,0))),(INDEX(ALLCLASSDATA,MATCH("WillSaveLegendary",CLASSFEATUREHEADERS,0),MATCH(($A599 &amp; "Points"),CLASSNAMEHEADERS,0))),(IF("11"=(INDEX(ALLCLASSDATA,MATCH("WillSaveMaster",CLASSFEATUREHEADERS,0),MATCH($A599,CLASSNAMEHEADERS,0))),(INDEX(ALLCLASSDATA,MATCH("WillSaveMaster",CLASSFEATUREHEADERS,0),MATCH(($A599 &amp; "Points"),CLASSNAMEHEADERS,0))),(IF("11"=(INDEX(ALLCLASSDATA,MATCH("WillSaveExpert",CLASSFEATUREHEADERS,0),MATCH($A599,CLASSNAMEHEADERS,0))),(INDEX(ALLCLASSDATA,MATCH("WillSaveExpert",CLASSFEATUREHEADERS,0),MATCH(($A599 &amp; "Points"),CLASSNAMEHEADERS,0))),(IF("11"=(INDEX(ALLCLASSDATA,MATCH("WillSaveTrained",CLASSFEATUREHEADERS,0),MATCH($A599,CLASSNAMEHEADERS,0))),(INDEX(ALLCLASSDATA,MATCH("WillSaveTrained",CLASSFEATUREHEADERS,0),MATCH(($A599 &amp; "Points"),CLASSNAMEHEADERS,0))),"")))))))))}</f>
        <v>WILLL11</v>
      </c>
      <c r="S598" s="223"/>
      <c r="T598" s="223" t="str">
        <f t="array" ref="T598:T599">{"WILLL13";((IF("13"=(INDEX(ALLCLASSDATA,MATCH("WillSaveLegendary",CLASSFEATUREHEADERS,0),MATCH($A599,CLASSNAMEHEADERS,0))),(INDEX(ALLCLASSDATA,MATCH("WillSaveLegendary",CLASSFEATUREHEADERS,0),MATCH(($A599 &amp; "Points"),CLASSNAMEHEADERS,0))),(IF("13"=(INDEX(ALLCLASSDATA,MATCH("WillSaveMaster",CLASSFEATUREHEADERS,0),MATCH($A599,CLASSNAMEHEADERS,0))),(INDEX(ALLCLASSDATA,MATCH("WillSaveMaster",CLASSFEATUREHEADERS,0),MATCH(($A599 &amp; "Points"),CLASSNAMEHEADERS,0))),(IF("13"=(INDEX(ALLCLASSDATA,MATCH("WillSaveExpert",CLASSFEATUREHEADERS,0),MATCH($A599,CLASSNAMEHEADERS,0))),(INDEX(ALLCLASSDATA,MATCH("WillSaveExpert",CLASSFEATUREHEADERS,0),MATCH(($A599 &amp; "Points"),CLASSNAMEHEADERS,0))),(IF("13"=(INDEX(ALLCLASSDATA,MATCH("WillSaveTrained",CLASSFEATUREHEADERS,0),MATCH($A599,CLASSNAMEHEADERS,0))),(INDEX(ALLCLASSDATA,MATCH("WillSaveTrained",CLASSFEATUREHEADERS,0),MATCH(($A599 &amp; "Points"),CLASSNAMEHEADERS,0))),"")))))))))}</f>
        <v>WILLL13</v>
      </c>
      <c r="U598" s="223"/>
      <c r="V598" s="223" t="str">
        <f t="array" ref="V598:V599">{"WILLL15";((IF("15"=(INDEX(ALLCLASSDATA,MATCH("WillSaveLegendary",CLASSFEATUREHEADERS,0),MATCH($A599,CLASSNAMEHEADERS,0))),(INDEX(ALLCLASSDATA,MATCH("WillSaveLegendary",CLASSFEATUREHEADERS,0),MATCH(($A599 &amp; "Points"),CLASSNAMEHEADERS,0))),(IF("15"=(INDEX(ALLCLASSDATA,MATCH("WillSaveMaster",CLASSFEATUREHEADERS,0),MATCH($A599,CLASSNAMEHEADERS,0))),(INDEX(ALLCLASSDATA,MATCH("WillSaveMaster",CLASSFEATUREHEADERS,0),MATCH(($A599 &amp; "Points"),CLASSNAMEHEADERS,0))),(IF("15"=(INDEX(ALLCLASSDATA,MATCH("WillSaveExpert",CLASSFEATUREHEADERS,0),MATCH($A599,CLASSNAMEHEADERS,0))),(INDEX(ALLCLASSDATA,MATCH("WillSaveExpert",CLASSFEATUREHEADERS,0),MATCH(($A599 &amp; "Points"),CLASSNAMEHEADERS,0))),(IF("15"=(INDEX(ALLCLASSDATA,MATCH("WillSaveTrained",CLASSFEATUREHEADERS,0),MATCH($A599,CLASSNAMEHEADERS,0))),(INDEX(ALLCLASSDATA,MATCH("WillSaveTrained",CLASSFEATUREHEADERS,0),MATCH(($A599 &amp; "Points"),CLASSNAMEHEADERS,0))),"")))))))))}</f>
        <v>WILLL15</v>
      </c>
      <c r="W598" s="223"/>
      <c r="X598" s="223" t="str">
        <f t="array" ref="X598:X599">{"WILLL17";((IF("17"=(INDEX(ALLCLASSDATA,MATCH("WillSaveLegendary",CLASSFEATUREHEADERS,0),MATCH($A599,CLASSNAMEHEADERS,0))),(INDEX(ALLCLASSDATA,MATCH("WillSaveLegendary",CLASSFEATUREHEADERS,0),MATCH(($A599 &amp; "Points"),CLASSNAMEHEADERS,0))),(IF("17"=(INDEX(ALLCLASSDATA,MATCH("WillSaveMaster",CLASSFEATUREHEADERS,0),MATCH($A599,CLASSNAMEHEADERS,0))),(INDEX(ALLCLASSDATA,MATCH("WillSaveMaster",CLASSFEATUREHEADERS,0),MATCH(($A599 &amp; "Points"),CLASSNAMEHEADERS,0))),(IF("17"=(INDEX(ALLCLASSDATA,MATCH("WillSaveExpert",CLASSFEATUREHEADERS,0),MATCH($A599,CLASSNAMEHEADERS,0))),(INDEX(ALLCLASSDATA,MATCH("WillSaveExpert",CLASSFEATUREHEADERS,0),MATCH(($A599 &amp; "Points"),CLASSNAMEHEADERS,0))),(IF("17"=(INDEX(ALLCLASSDATA,MATCH("WillSaveTrained",CLASSFEATUREHEADERS,0),MATCH($A599,CLASSNAMEHEADERS,0))),(INDEX(ALLCLASSDATA,MATCH("WillSaveTrained",CLASSFEATUREHEADERS,0),MATCH(($A599 &amp; "Points"),CLASSNAMEHEADERS,0))),"")))))))))}</f>
        <v>WILLL17</v>
      </c>
      <c r="Y598" s="223"/>
      <c r="Z598" s="223" t="str">
        <f t="array" ref="Z598:Z599">{"WILLL19";((IF("19"=(INDEX(ALLCLASSDATA,MATCH("WillSaveLegendary",CLASSFEATUREHEADERS,0),MATCH($A599,CLASSNAMEHEADERS,0))),(INDEX(ALLCLASSDATA,MATCH("WillSaveLegendary",CLASSFEATUREHEADERS,0),MATCH(($A599 &amp; "Points"),CLASSNAMEHEADERS,0))),(IF("19"=(INDEX(ALLCLASSDATA,MATCH("WillSaveMaster",CLASSFEATUREHEADERS,0),MATCH($A599,CLASSNAMEHEADERS,0))),(INDEX(ALLCLASSDATA,MATCH("WillSaveMaster",CLASSFEATUREHEADERS,0),MATCH(($A599 &amp; "Points"),CLASSNAMEHEADERS,0))),(IF("19"=(INDEX(ALLCLASSDATA,MATCH("WillSaveExpert",CLASSFEATUREHEADERS,0),MATCH($A599,CLASSNAMEHEADERS,0))),(INDEX(ALLCLASSDATA,MATCH("WillSaveExpert",CLASSFEATUREHEADERS,0),MATCH(($A599 &amp; "Points"),CLASSNAMEHEADERS,0))),(IF("19"=(INDEX(ALLCLASSDATA,MATCH("WillSaveTrained",CLASSFEATUREHEADERS,0),MATCH($A599,CLASSNAMEHEADERS,0))),(INDEX(ALLCLASSDATA,MATCH("WillSaveTrained",CLASSFEATUREHEADERS,0),MATCH(($A599 &amp; "Points"),CLASSNAMEHEADERS,0))),"")))))))))}</f>
        <v>WILLL19</v>
      </c>
      <c r="AA598" s="223"/>
      <c r="AB598" s="76" t="str">
        <f t="array" ref="AB598:AB599">{"WILL TOTAL";(IF(COUNTBLANK(G599:AA599)=17,"L",(IF(COUNTBLANK(G599:AA599)=18,"M",(IF(COUNTBLANK(G599:AA599)=19,"E",(IF(COUNTBLANK(G599:AA599)=20,"T",""))))))))}</f>
        <v>WILL TOTAL</v>
      </c>
      <c r="AC598" s="76" t="str">
        <f t="array" ref="AC598:AC599">{"WILL TOTAL";(sum(G599:AA599))}</f>
        <v>WILL TOTAL</v>
      </c>
    </row>
    <row r="599">
      <c r="A599" s="48" t="s">
        <v>144</v>
      </c>
      <c r="B599" s="48"/>
      <c r="C599" s="48" t="s">
        <v>409</v>
      </c>
      <c r="D599" s="97" t="s">
        <v>1549</v>
      </c>
      <c r="E599" s="97" t="s">
        <v>1591</v>
      </c>
      <c r="F599" s="98" t="s">
        <v>436</v>
      </c>
      <c r="G599" s="132">
        <v>10.0</v>
      </c>
      <c r="H599" s="98">
        <v>50.0</v>
      </c>
      <c r="I599" s="98"/>
      <c r="J599" s="98" t="s">
        <v>603</v>
      </c>
      <c r="K599" s="98"/>
      <c r="L599" s="98" t="s">
        <v>603</v>
      </c>
      <c r="M599" s="97"/>
      <c r="N599" s="98" t="s">
        <v>603</v>
      </c>
      <c r="O599" s="98"/>
      <c r="P599" s="98" t="s">
        <v>603</v>
      </c>
      <c r="Q599" s="97"/>
      <c r="R599" s="98">
        <v>110.0</v>
      </c>
      <c r="S599" s="98"/>
      <c r="T599" s="98" t="s">
        <v>603</v>
      </c>
      <c r="U599" s="98"/>
      <c r="V599" s="98" t="s">
        <v>603</v>
      </c>
      <c r="W599" s="98"/>
      <c r="X599" s="98">
        <v>190.0</v>
      </c>
      <c r="Y599" s="98"/>
      <c r="Z599" s="98" t="s">
        <v>603</v>
      </c>
      <c r="AA599" s="98"/>
      <c r="AB599" s="5" t="s">
        <v>466</v>
      </c>
      <c r="AC599" s="47">
        <v>360.0</v>
      </c>
    </row>
    <row r="600" hidden="1">
      <c r="A600" s="222" t="str">
        <f t="array" ref="A600:A601">{"FormulaRow26";(INDEX(CLASSLIST,A549,1))}</f>
        <v>FormulaRow26</v>
      </c>
      <c r="B600" s="77" t="s">
        <v>236</v>
      </c>
      <c r="C600" s="222" t="str">
        <f t="array" ref="C600:C601">{"CLASSTYPE";((INDEX(ALLCLASSDATA,MATCH("ClassType",CLASSFEATUREHEADERS,0),MATCH($A601,CLASSNAMEHEADERS,0))))}</f>
        <v>CLASSTYPE</v>
      </c>
      <c r="D600" s="228" t="str">
        <f t="array" ref="D600:D601">{"ATTACK";"Attack"}</f>
        <v>ATTACK</v>
      </c>
      <c r="E600" s="228" t="str">
        <f t="array" ref="E600:E601">{"WEAPONSPECIAL";"WeaponCS/WS/GWS"}</f>
        <v>WEAPONSPECIAL</v>
      </c>
      <c r="F600" s="230"/>
      <c r="G600" s="230"/>
      <c r="H600" s="230" t="str">
        <f t="array" ref="H600:H601">{"WEAPONSPECIALL01";((IF("01"=INDEX(ALLCLASSDATA,MATCH("WeaponGreaterSpecialization",CLASSFEATUREHEADERS,0),MATCH($A601,CLASSNAMEHEADERS,0)),WeaponGWS,(IF("01"=INDEX(ALLCLASSDATA,MATCH("WeaponSpecialization",CLASSFEATUREHEADERS,0),MATCH($A601,CLASSNAMEHEADERS,0)),WeaponWS,(IF("01"=INDEX(ALLCLASSDATA,MATCH("WeaponCriticalSpecialization",CLASSFEATUREHEADERS,0),MATCH($A601,CLASSNAMEHEADERS,0)),WeaponCS,"")))))))}</f>
        <v>WEAPONSPECIALL01</v>
      </c>
      <c r="I600" s="230"/>
      <c r="J600" s="230" t="str">
        <f t="array" ref="J600:J601">{"WEAPONSPECIALL03";((IF("03"=INDEX(ALLCLASSDATA,MATCH("WeaponGreaterSpecialization",CLASSFEATUREHEADERS,0),MATCH($A601,CLASSNAMEHEADERS,0)),WeaponGWS,(IF("03"=INDEX(ALLCLASSDATA,MATCH("WeaponSpecialization",CLASSFEATUREHEADERS,0),MATCH($A601,CLASSNAMEHEADERS,0)),WeaponWS,(IF("03"=INDEX(ALLCLASSDATA,MATCH("WeaponCriticalSpecialization",CLASSFEATUREHEADERS,0),MATCH($A601,CLASSNAMEHEADERS,0)),WeaponCS,"")))))))}</f>
        <v>WEAPONSPECIALL03</v>
      </c>
      <c r="K600" s="230"/>
      <c r="L600" s="230" t="str">
        <f t="array" ref="L600:L601">{"WEAPONSPECIALL05";((IF("05"=INDEX(ALLCLASSDATA,MATCH("WeaponGreaterSpecialization",CLASSFEATUREHEADERS,0),MATCH($A601,CLASSNAMEHEADERS,0)),WeaponGWS,(IF("05"=INDEX(ALLCLASSDATA,MATCH("WeaponSpecialization",CLASSFEATUREHEADERS,0),MATCH($A601,CLASSNAMEHEADERS,0)),WeaponWS,(IF("05"=INDEX(ALLCLASSDATA,MATCH("WeaponCriticalSpecialization",CLASSFEATUREHEADERS,0),MATCH($A601,CLASSNAMEHEADERS,0)),WeaponCS,"")))))))}</f>
        <v>WEAPONSPECIALL05</v>
      </c>
      <c r="M600" s="230"/>
      <c r="N600" s="230" t="str">
        <f t="array" ref="N600:N601">{"WEAPONSPECIALL07";((IF("07"=INDEX(ALLCLASSDATA,MATCH("WeaponGreaterSpecialization",CLASSFEATUREHEADERS,0),MATCH($A601,CLASSNAMEHEADERS,0)),WeaponGWS,(IF("07"=INDEX(ALLCLASSDATA,MATCH("WeaponSpecialization",CLASSFEATUREHEADERS,0),MATCH($A601,CLASSNAMEHEADERS,0)),WeaponWS,(IF("07"=INDEX(ALLCLASSDATA,MATCH("WeaponCriticalSpecialization",CLASSFEATUREHEADERS,0),MATCH($A601,CLASSNAMEHEADERS,0)),WeaponCS,"")))))))}</f>
        <v>WEAPONSPECIALL07</v>
      </c>
      <c r="O600" s="230"/>
      <c r="P600" s="230" t="str">
        <f t="array" ref="P600:P601">{"WEAPONSPECIALL09";((IF("09"=INDEX(ALLCLASSDATA,MATCH("WeaponGreaterSpecialization",CLASSFEATUREHEADERS,0),MATCH($A601,CLASSNAMEHEADERS,0)),WeaponGWS,(IF("09"=INDEX(ALLCLASSDATA,MATCH("WeaponSpecialization",CLASSFEATUREHEADERS,0),MATCH($A601,CLASSNAMEHEADERS,0)),WeaponWS,(IF("09"=INDEX(ALLCLASSDATA,MATCH("WeaponCriticalSpecialization",CLASSFEATUREHEADERS,0),MATCH($A601,CLASSNAMEHEADERS,0)),WeaponCS,"")))))))}</f>
        <v>WEAPONSPECIALL09</v>
      </c>
      <c r="Q600" s="230"/>
      <c r="R600" s="230" t="str">
        <f t="array" ref="R600:R601">{"WEAPONSPECIALL11";((IF("11"=INDEX(ALLCLASSDATA,MATCH("WeaponGreaterSpecialization",CLASSFEATUREHEADERS,0),MATCH($A601,CLASSNAMEHEADERS,0)),WeaponGWS,(IF("11"=INDEX(ALLCLASSDATA,MATCH("WeaponSpecialization",CLASSFEATUREHEADERS,0),MATCH($A601,CLASSNAMEHEADERS,0)),WeaponWS,(IF("11"=INDEX(ALLCLASSDATA,MATCH("WeaponCriticalSpecialization",CLASSFEATUREHEADERS,0),MATCH($A601,CLASSNAMEHEADERS,0)),WeaponCS,"")))))))}</f>
        <v>WEAPONSPECIALL11</v>
      </c>
      <c r="S600" s="230"/>
      <c r="T600" s="230" t="str">
        <f t="array" ref="T600:T601">{"WEAPONSPECIALL13";((IF("13"=INDEX(ALLCLASSDATA,MATCH("WeaponGreaterSpecialization",CLASSFEATUREHEADERS,0),MATCH($A601,CLASSNAMEHEADERS,0)),WeaponGWS,(IF("13"=INDEX(ALLCLASSDATA,MATCH("WeaponSpecialization",CLASSFEATUREHEADERS,0),MATCH($A601,CLASSNAMEHEADERS,0)),WeaponWS,(IF("13"=INDEX(ALLCLASSDATA,MATCH("WeaponCriticalSpecialization",CLASSFEATUREHEADERS,0),MATCH($A601,CLASSNAMEHEADERS,0)),WeaponCS,"")))))))}</f>
        <v>WEAPONSPECIALL13</v>
      </c>
      <c r="U600" s="230"/>
      <c r="V600" s="230" t="str">
        <f t="array" ref="V600:V601">{"WEAPONSPECIALL15";((IF("15"=INDEX(ALLCLASSDATA,MATCH("WeaponGreaterSpecialization",CLASSFEATUREHEADERS,0),MATCH($A601,CLASSNAMEHEADERS,0)),WeaponGWS,(IF("15"=INDEX(ALLCLASSDATA,MATCH("WeaponSpecialization",CLASSFEATUREHEADERS,0),MATCH($A601,CLASSNAMEHEADERS,0)),WeaponWS,(IF("15"=INDEX(ALLCLASSDATA,MATCH("WeaponCriticalSpecialization",CLASSFEATUREHEADERS,0),MATCH($A601,CLASSNAMEHEADERS,0)),WeaponCS,"")))))))}</f>
        <v>WEAPONSPECIALL15</v>
      </c>
      <c r="W600" s="230"/>
      <c r="X600" s="230" t="str">
        <f t="array" ref="X600:X601">{"WEAPONSPECIALL17";((IF("17"=INDEX(ALLCLASSDATA,MATCH("WeaponGreaterSpecialization",CLASSFEATUREHEADERS,0),MATCH($A601,CLASSNAMEHEADERS,0)),WeaponGWS,(IF("17"=INDEX(ALLCLASSDATA,MATCH("WeaponSpecialization",CLASSFEATUREHEADERS,0),MATCH($A601,CLASSNAMEHEADERS,0)),WeaponWS,(IF("17"=INDEX(ALLCLASSDATA,MATCH("WeaponCriticalSpecialization",CLASSFEATUREHEADERS,0),MATCH($A601,CLASSNAMEHEADERS,0)),WeaponCS,"")))))))}</f>
        <v>WEAPONSPECIALL17</v>
      </c>
      <c r="Y600" s="230"/>
      <c r="Z600" s="230" t="str">
        <f t="array" ref="Z600:Z601">{"WEAPONSPECIALL19";((IF("19"=INDEX(ALLCLASSDATA,MATCH("WeaponGreaterSpecialization",CLASSFEATUREHEADERS,0),MATCH($A601,CLASSNAMEHEADERS,0)),WeaponGWS,(IF("19"=INDEX(ALLCLASSDATA,MATCH("WeaponSpecialization",CLASSFEATUREHEADERS,0),MATCH($A601,CLASSNAMEHEADERS,0)),WeaponWS,(IF("19"=INDEX(ALLCLASSDATA,MATCH("WeaponCriticalSpecialization",CLASSFEATUREHEADERS,0),MATCH($A601,CLASSNAMEHEADERS,0)),WeaponCS,"")))))))}</f>
        <v>WEAPONSPECIALL19</v>
      </c>
      <c r="AA600" s="230"/>
      <c r="AB600" s="76"/>
      <c r="AC600" s="76" t="str">
        <f t="array" ref="AC600:AC601">{"WEAPONSPECIAL TOTAL";(sum(G601:AA601))}</f>
        <v>WEAPONSPECIAL TOTAL</v>
      </c>
    </row>
    <row r="601">
      <c r="A601" s="48" t="s">
        <v>144</v>
      </c>
      <c r="B601" s="48"/>
      <c r="C601" s="48" t="s">
        <v>409</v>
      </c>
      <c r="D601" s="48" t="s">
        <v>1634</v>
      </c>
      <c r="E601" s="48" t="s">
        <v>1635</v>
      </c>
      <c r="F601" s="5"/>
      <c r="G601" s="47"/>
      <c r="H601" s="5" t="s">
        <v>603</v>
      </c>
      <c r="I601" s="5"/>
      <c r="J601" s="5" t="s">
        <v>603</v>
      </c>
      <c r="K601" s="5"/>
      <c r="L601" s="5" t="s">
        <v>603</v>
      </c>
      <c r="M601" s="5"/>
      <c r="N601" s="5">
        <v>70.0</v>
      </c>
      <c r="O601" s="5"/>
      <c r="P601" s="5" t="s">
        <v>603</v>
      </c>
      <c r="Q601" s="5"/>
      <c r="R601" s="5" t="s">
        <v>603</v>
      </c>
      <c r="S601" s="5"/>
      <c r="T601" s="5" t="s">
        <v>603</v>
      </c>
      <c r="U601" s="5"/>
      <c r="V601" s="5">
        <v>150.0</v>
      </c>
      <c r="W601" s="5"/>
      <c r="X601" s="5" t="s">
        <v>603</v>
      </c>
      <c r="Y601" s="5"/>
      <c r="Z601" s="5" t="s">
        <v>603</v>
      </c>
      <c r="AA601" s="5"/>
      <c r="AB601" s="5"/>
      <c r="AC601" s="47">
        <v>220.0</v>
      </c>
    </row>
    <row r="602" hidden="1">
      <c r="A602" s="222" t="str">
        <f t="array" ref="A602:A603">{"FormulaRow27";(INDEX(CLASSLIST,A549,1))}</f>
        <v>FormulaRow27</v>
      </c>
      <c r="B602" s="77" t="s">
        <v>236</v>
      </c>
      <c r="C602" s="222" t="str">
        <f t="array" ref="C602:C603">{"CLASSTYPE";((INDEX(ALLCLASSDATA,MATCH("ClassType",CLASSFEATUREHEADERS,0),MATCH($A603,CLASSNAMEHEADERS,0))))}</f>
        <v>CLASSTYPE</v>
      </c>
      <c r="D602" s="222" t="str">
        <f t="array" ref="D602:D603">{"ATTACK";"Attack"}</f>
        <v>ATTACK</v>
      </c>
      <c r="E602" s="222" t="str">
        <f t="array" ref="E602:E603">{"UNARMED";"Unarmed"}</f>
        <v>UNARMED</v>
      </c>
      <c r="F602" s="223" t="str">
        <f t="array" ref="F602:F603">{"UNARMEDINITIAL";((IF(H603=10,"T",(IF(H603=50,"E","")))))}</f>
        <v>UNARMEDINITIAL</v>
      </c>
      <c r="G602" s="223" t="str">
        <f t="array" ref="G602:G603">{"UNARMEDINITIALPTS";((IF("00"=(INDEX(ALLCLASSDATA,MATCH("UnarmedLegendary",CLASSFEATUREHEADERS,0),MATCH($A603,CLASSNAMEHEADERS,0))),(INDEX(ALLCLASSDATA,MATCH("UnarmedLegendary",CLASSFEATUREHEADERS,0),MATCH(($A603 &amp; "Points"),CLASSNAMEHEADERS,0))),(IF("00"=(INDEX(ALLCLASSDATA,MATCH("UnarmedMaster",CLASSFEATUREHEADERS,0),MATCH($A603,CLASSNAMEHEADERS,0))),(INDEX(ALLCLASSDATA,MATCH("UnarmedMaster",CLASSFEATUREHEADERS,0),MATCH(($A603 &amp; "Points"),CLASSNAMEHEADERS,0))),(IF("00"=(INDEX(ALLCLASSDATA,MATCH("UnarmedExpert",CLASSFEATUREHEADERS,0),MATCH($A603,CLASSNAMEHEADERS,0))),(INDEX(ALLCLASSDATA,MATCH("UnarmedExpert",CLASSFEATUREHEADERS,0),MATCH(($A603 &amp; "Points"),CLASSNAMEHEADERS,0))),(IF("00"=(INDEX(ALLCLASSDATA,MATCH("UnarmedTrained",CLASSFEATUREHEADERS,0),MATCH($A603,CLASSNAMEHEADERS,0))),(INDEX(ALLCLASSDATA,MATCH("UnarmedTrained",CLASSFEATUREHEADERS,0),MATCH(($A603 &amp; "Points"),CLASSNAMEHEADERS,0))),"")))))))))}</f>
        <v>UNARMEDINITIALPTS</v>
      </c>
      <c r="H602" s="223" t="str">
        <f t="array" ref="H602:H603">{"UNARMEDL01";((IF("01"=(INDEX(ALLCLASSDATA,MATCH("UnarmedLegendary",CLASSFEATUREHEADERS,0),MATCH($A603,CLASSNAMEHEADERS,0))),(INDEX(ALLCLASSDATA,MATCH("UnarmedLegendary",CLASSFEATUREHEADERS,0),MATCH(($A603 &amp; "Points"),CLASSNAMEHEADERS,0))),(IF("01"=(INDEX(ALLCLASSDATA,MATCH("UnarmedMaster",CLASSFEATUREHEADERS,0),MATCH($A603,CLASSNAMEHEADERS,0))),(INDEX(ALLCLASSDATA,MATCH("UnarmedMaster",CLASSFEATUREHEADERS,0),MATCH(($A603 &amp; "Points"),CLASSNAMEHEADERS,0))),(IF("01"=(INDEX(ALLCLASSDATA,MATCH("UnarmedExpert",CLASSFEATUREHEADERS,0),MATCH($A603,CLASSNAMEHEADERS,0))),(INDEX(ALLCLASSDATA,MATCH("UnarmedExpert",CLASSFEATUREHEADERS,0),MATCH(($A603 &amp; "Points"),CLASSNAMEHEADERS,0))),(IF("01"=(INDEX(ALLCLASSDATA,MATCH("UnarmedTrained",CLASSFEATUREHEADERS,0),MATCH($A603,CLASSNAMEHEADERS,0))),(INDEX(ALLCLASSDATA,MATCH("UnarmedTrained",CLASSFEATUREHEADERS,0),MATCH(($A603 &amp; "Points"),CLASSNAMEHEADERS,0))),"")))))))))}</f>
        <v>UNARMEDL01</v>
      </c>
      <c r="I602" s="223"/>
      <c r="J602" s="223" t="str">
        <f t="array" ref="J602:J603">{"UNARMEDL03";((IF("03"=(INDEX(ALLCLASSDATA,MATCH("UnarmedLegendary",CLASSFEATUREHEADERS,0),MATCH($A603,CLASSNAMEHEADERS,0))),(INDEX(ALLCLASSDATA,MATCH("UnarmedLegendary",CLASSFEATUREHEADERS,0),MATCH(($A603 &amp; "Points"),CLASSNAMEHEADERS,0))),(IF("03"=(INDEX(ALLCLASSDATA,MATCH("UnarmedMaster",CLASSFEATUREHEADERS,0),MATCH($A603,CLASSNAMEHEADERS,0))),(INDEX(ALLCLASSDATA,MATCH("UnarmedMaster",CLASSFEATUREHEADERS,0),MATCH(($A603 &amp; "Points"),CLASSNAMEHEADERS,0))),(IF("03"=(INDEX(ALLCLASSDATA,MATCH("UnarmedExpert",CLASSFEATUREHEADERS,0),MATCH($A603,CLASSNAMEHEADERS,0))),(INDEX(ALLCLASSDATA,MATCH("UnarmedExpert",CLASSFEATUREHEADERS,0),MATCH(($A603 &amp; "Points"),CLASSNAMEHEADERS,0))),(IF("03"=(INDEX(ALLCLASSDATA,MATCH("UnarmedTrained",CLASSFEATUREHEADERS,0),MATCH($A603,CLASSNAMEHEADERS,0))),(INDEX(ALLCLASSDATA,MATCH("UnarmedTrained",CLASSFEATUREHEADERS,0),MATCH(($A603 &amp; "Points"),CLASSNAMEHEADERS,0))),"")))))))))}</f>
        <v>UNARMEDL03</v>
      </c>
      <c r="K602" s="223"/>
      <c r="L602" s="223" t="str">
        <f t="array" ref="L602:L603">{"UNARMEDL05";((IF("05"=(INDEX(ALLCLASSDATA,MATCH("UnarmedLegendary",CLASSFEATUREHEADERS,0),MATCH($A603,CLASSNAMEHEADERS,0))),(INDEX(ALLCLASSDATA,MATCH("UnarmedLegendary",CLASSFEATUREHEADERS,0),MATCH(($A603 &amp; "Points"),CLASSNAMEHEADERS,0))),(IF("05"=(INDEX(ALLCLASSDATA,MATCH("UnarmedMaster",CLASSFEATUREHEADERS,0),MATCH($A603,CLASSNAMEHEADERS,0))),(INDEX(ALLCLASSDATA,MATCH("UnarmedMaster",CLASSFEATUREHEADERS,0),MATCH(($A603 &amp; "Points"),CLASSNAMEHEADERS,0))),(IF("05"=(INDEX(ALLCLASSDATA,MATCH("UnarmedExpert",CLASSFEATUREHEADERS,0),MATCH($A603,CLASSNAMEHEADERS,0))),(INDEX(ALLCLASSDATA,MATCH("UnarmedExpert",CLASSFEATUREHEADERS,0),MATCH(($A603 &amp; "Points"),CLASSNAMEHEADERS,0))),(IF("05"=(INDEX(ALLCLASSDATA,MATCH("UnarmedTrained",CLASSFEATUREHEADERS,0),MATCH($A603,CLASSNAMEHEADERS,0))),(INDEX(ALLCLASSDATA,MATCH("UnarmedTrained",CLASSFEATUREHEADERS,0),MATCH(($A603 &amp; "Points"),CLASSNAMEHEADERS,0))),"")))))))))}</f>
        <v>UNARMEDL05</v>
      </c>
      <c r="M602" s="223"/>
      <c r="N602" s="223" t="str">
        <f t="array" ref="N602:N603">{"UNARMEDL07";((IF("07"=(INDEX(ALLCLASSDATA,MATCH("UnarmedLegendary",CLASSFEATUREHEADERS,0),MATCH($A603,CLASSNAMEHEADERS,0))),(INDEX(ALLCLASSDATA,MATCH("UnarmedLegendary",CLASSFEATUREHEADERS,0),MATCH(($A603 &amp; "Points"),CLASSNAMEHEADERS,0))),(IF("07"=(INDEX(ALLCLASSDATA,MATCH("UnarmedMaster",CLASSFEATUREHEADERS,0),MATCH($A603,CLASSNAMEHEADERS,0))),(INDEX(ALLCLASSDATA,MATCH("UnarmedMaster",CLASSFEATUREHEADERS,0),MATCH(($A603 &amp; "Points"),CLASSNAMEHEADERS,0))),(IF("07"=(INDEX(ALLCLASSDATA,MATCH("UnarmedExpert",CLASSFEATUREHEADERS,0),MATCH($A603,CLASSNAMEHEADERS,0))),(INDEX(ALLCLASSDATA,MATCH("UnarmedExpert",CLASSFEATUREHEADERS,0),MATCH(($A603 &amp; "Points"),CLASSNAMEHEADERS,0))),(IF("07"=(INDEX(ALLCLASSDATA,MATCH("UnarmedTrained",CLASSFEATUREHEADERS,0),MATCH($A603,CLASSNAMEHEADERS,0))),(INDEX(ALLCLASSDATA,MATCH("UnarmedTrained",CLASSFEATUREHEADERS,0),MATCH(($A603 &amp; "Points"),CLASSNAMEHEADERS,0))),"")))))))))}</f>
        <v>UNARMEDL07</v>
      </c>
      <c r="O602" s="223"/>
      <c r="P602" s="223" t="str">
        <f t="array" ref="P602:P603">{"UNARMEDL09";((IF("09"=(INDEX(ALLCLASSDATA,MATCH("UnarmedLegendary",CLASSFEATUREHEADERS,0),MATCH($A603,CLASSNAMEHEADERS,0))),(INDEX(ALLCLASSDATA,MATCH("UnarmedLegendary",CLASSFEATUREHEADERS,0),MATCH(($A603 &amp; "Points"),CLASSNAMEHEADERS,0))),(IF("09"=(INDEX(ALLCLASSDATA,MATCH("UnarmedMaster",CLASSFEATUREHEADERS,0),MATCH($A603,CLASSNAMEHEADERS,0))),(INDEX(ALLCLASSDATA,MATCH("UnarmedMaster",CLASSFEATUREHEADERS,0),MATCH(($A603 &amp; "Points"),CLASSNAMEHEADERS,0))),(IF("09"=(INDEX(ALLCLASSDATA,MATCH("UnarmedExpert",CLASSFEATUREHEADERS,0),MATCH($A603,CLASSNAMEHEADERS,0))),(INDEX(ALLCLASSDATA,MATCH("UnarmedExpert",CLASSFEATUREHEADERS,0),MATCH(($A603 &amp; "Points"),CLASSNAMEHEADERS,0))),(IF("09"=(INDEX(ALLCLASSDATA,MATCH("UnarmedTrained",CLASSFEATUREHEADERS,0),MATCH($A603,CLASSNAMEHEADERS,0))),(INDEX(ALLCLASSDATA,MATCH("UnarmedTrained",CLASSFEATUREHEADERS,0),MATCH(($A603 &amp; "Points"),CLASSNAMEHEADERS,0))),"")))))))))}</f>
        <v>UNARMEDL09</v>
      </c>
      <c r="Q602" s="223"/>
      <c r="R602" s="223" t="str">
        <f t="array" ref="R602:R603">{"UNARMEDL11";((IF("11"=(INDEX(ALLCLASSDATA,MATCH("UnarmedLegendary",CLASSFEATUREHEADERS,0),MATCH($A603,CLASSNAMEHEADERS,0))),(INDEX(ALLCLASSDATA,MATCH("UnarmedLegendary",CLASSFEATUREHEADERS,0),MATCH(($A603 &amp; "Points"),CLASSNAMEHEADERS,0))),(IF("11"=(INDEX(ALLCLASSDATA,MATCH("UnarmedMaster",CLASSFEATUREHEADERS,0),MATCH($A603,CLASSNAMEHEADERS,0))),(INDEX(ALLCLASSDATA,MATCH("UnarmedMaster",CLASSFEATUREHEADERS,0),MATCH(($A603 &amp; "Points"),CLASSNAMEHEADERS,0))),(IF("11"=(INDEX(ALLCLASSDATA,MATCH("UnarmedExpert",CLASSFEATUREHEADERS,0),MATCH($A603,CLASSNAMEHEADERS,0))),(INDEX(ALLCLASSDATA,MATCH("UnarmedExpert",CLASSFEATUREHEADERS,0),MATCH(($A603 &amp; "Points"),CLASSNAMEHEADERS,0))),(IF("11"=(INDEX(ALLCLASSDATA,MATCH("UnarmedTrained",CLASSFEATUREHEADERS,0),MATCH($A603,CLASSNAMEHEADERS,0))),(INDEX(ALLCLASSDATA,MATCH("UnarmedTrained",CLASSFEATUREHEADERS,0),MATCH(($A603 &amp; "Points"),CLASSNAMEHEADERS,0))),"")))))))))}</f>
        <v>UNARMEDL11</v>
      </c>
      <c r="S602" s="223"/>
      <c r="T602" s="223" t="str">
        <f t="array" ref="T602:T603">{"UNARMEDL13";((IF("13"=(INDEX(ALLCLASSDATA,MATCH("UnarmedLegendary",CLASSFEATUREHEADERS,0),MATCH($A603,CLASSNAMEHEADERS,0))),(INDEX(ALLCLASSDATA,MATCH("UnarmedLegendary",CLASSFEATUREHEADERS,0),MATCH(($A603 &amp; "Points"),CLASSNAMEHEADERS,0))),(IF("13"=(INDEX(ALLCLASSDATA,MATCH("UnarmedMaster",CLASSFEATUREHEADERS,0),MATCH($A603,CLASSNAMEHEADERS,0))),(INDEX(ALLCLASSDATA,MATCH("UnarmedMaster",CLASSFEATUREHEADERS,0),MATCH(($A603 &amp; "Points"),CLASSNAMEHEADERS,0))),(IF("13"=(INDEX(ALLCLASSDATA,MATCH("UnarmedExpert",CLASSFEATUREHEADERS,0),MATCH($A603,CLASSNAMEHEADERS,0))),(INDEX(ALLCLASSDATA,MATCH("UnarmedExpert",CLASSFEATUREHEADERS,0),MATCH(($A603 &amp; "Points"),CLASSNAMEHEADERS,0))),(IF("13"=(INDEX(ALLCLASSDATA,MATCH("UnarmedTrained",CLASSFEATUREHEADERS,0),MATCH($A603,CLASSNAMEHEADERS,0))),(INDEX(ALLCLASSDATA,MATCH("UnarmedTrained",CLASSFEATUREHEADERS,0),MATCH(($A603 &amp; "Points"),CLASSNAMEHEADERS,0))),"")))))))))}</f>
        <v>UNARMEDL13</v>
      </c>
      <c r="U602" s="223"/>
      <c r="V602" s="223" t="str">
        <f t="array" ref="V602:V603">{"UNARMEDL15";((IF("15"=(INDEX(ALLCLASSDATA,MATCH("UnarmedLegendary",CLASSFEATUREHEADERS,0),MATCH($A603,CLASSNAMEHEADERS,0))),(INDEX(ALLCLASSDATA,MATCH("UnarmedLegendary",CLASSFEATUREHEADERS,0),MATCH(($A603 &amp; "Points"),CLASSNAMEHEADERS,0))),(IF("15"=(INDEX(ALLCLASSDATA,MATCH("UnarmedMaster",CLASSFEATUREHEADERS,0),MATCH($A603,CLASSNAMEHEADERS,0))),(INDEX(ALLCLASSDATA,MATCH("UnarmedMaster",CLASSFEATUREHEADERS,0),MATCH(($A603 &amp; "Points"),CLASSNAMEHEADERS,0))),(IF("15"=(INDEX(ALLCLASSDATA,MATCH("UnarmedExpert",CLASSFEATUREHEADERS,0),MATCH($A603,CLASSNAMEHEADERS,0))),(INDEX(ALLCLASSDATA,MATCH("UnarmedExpert",CLASSFEATUREHEADERS,0),MATCH(($A603 &amp; "Points"),CLASSNAMEHEADERS,0))),(IF("15"=(INDEX(ALLCLASSDATA,MATCH("UnarmedTrained",CLASSFEATUREHEADERS,0),MATCH($A603,CLASSNAMEHEADERS,0))),(INDEX(ALLCLASSDATA,MATCH("UnarmedTrained",CLASSFEATUREHEADERS,0),MATCH(($A603 &amp; "Points"),CLASSNAMEHEADERS,0))),"")))))))))}</f>
        <v>UNARMEDL15</v>
      </c>
      <c r="W602" s="223"/>
      <c r="X602" s="223" t="str">
        <f t="array" ref="X602:X603">{"UNARMEDL17";((IF("17"=(INDEX(ALLCLASSDATA,MATCH("UnarmedLegendary",CLASSFEATUREHEADERS,0),MATCH($A603,CLASSNAMEHEADERS,0))),(INDEX(ALLCLASSDATA,MATCH("UnarmedLegendary",CLASSFEATUREHEADERS,0),MATCH(($A603 &amp; "Points"),CLASSNAMEHEADERS,0))),(IF("17"=(INDEX(ALLCLASSDATA,MATCH("UnarmedMaster",CLASSFEATUREHEADERS,0),MATCH($A603,CLASSNAMEHEADERS,0))),(INDEX(ALLCLASSDATA,MATCH("UnarmedMaster",CLASSFEATUREHEADERS,0),MATCH(($A603 &amp; "Points"),CLASSNAMEHEADERS,0))),(IF("17"=(INDEX(ALLCLASSDATA,MATCH("UnarmedExpert",CLASSFEATUREHEADERS,0),MATCH($A603,CLASSNAMEHEADERS,0))),(INDEX(ALLCLASSDATA,MATCH("UnarmedExpert",CLASSFEATUREHEADERS,0),MATCH(($A603 &amp; "Points"),CLASSNAMEHEADERS,0))),(IF("17"=(INDEX(ALLCLASSDATA,MATCH("UnarmedTrained",CLASSFEATUREHEADERS,0),MATCH($A603,CLASSNAMEHEADERS,0))),(INDEX(ALLCLASSDATA,MATCH("UnarmedTrained",CLASSFEATUREHEADERS,0),MATCH(($A603 &amp; "Points"),CLASSNAMEHEADERS,0))),"")))))))))}</f>
        <v>UNARMEDL17</v>
      </c>
      <c r="Y602" s="223"/>
      <c r="Z602" s="223" t="str">
        <f t="array" ref="Z602:Z603">{"UNARMEDL19";((IF("19"=(INDEX(ALLCLASSDATA,MATCH("UnarmedLegendary",CLASSFEATUREHEADERS,0),MATCH($A603,CLASSNAMEHEADERS,0))),(INDEX(ALLCLASSDATA,MATCH("UnarmedLegendary",CLASSFEATUREHEADERS,0),MATCH(($A603 &amp; "Points"),CLASSNAMEHEADERS,0))),(IF("19"=(INDEX(ALLCLASSDATA,MATCH("UnarmedMaster",CLASSFEATUREHEADERS,0),MATCH($A603,CLASSNAMEHEADERS,0))),(INDEX(ALLCLASSDATA,MATCH("UnarmedMaster",CLASSFEATUREHEADERS,0),MATCH(($A603 &amp; "Points"),CLASSNAMEHEADERS,0))),(IF("19"=(INDEX(ALLCLASSDATA,MATCH("UnarmedExpert",CLASSFEATUREHEADERS,0),MATCH($A603,CLASSNAMEHEADERS,0))),(INDEX(ALLCLASSDATA,MATCH("UnarmedExpert",CLASSFEATUREHEADERS,0),MATCH(($A603 &amp; "Points"),CLASSNAMEHEADERS,0))),(IF("19"=(INDEX(ALLCLASSDATA,MATCH("UnarmedTrained",CLASSFEATUREHEADERS,0),MATCH($A603,CLASSNAMEHEADERS,0))),(INDEX(ALLCLASSDATA,MATCH("UnarmedTrained",CLASSFEATUREHEADERS,0),MATCH(($A603 &amp; "Points"),CLASSNAMEHEADERS,0))),"")))))))))}</f>
        <v>UNARMEDL19</v>
      </c>
      <c r="AA602" s="223"/>
      <c r="AB602" s="76" t="str">
        <f t="array" ref="AB602:AB603">{"UNARMED TOTAL";(IF(COUNTBLANK(G603:AA603)=17,"L",(IF(COUNTBLANK(G603:AA603)=18,"M",(IF(COUNTBLANK(G603:AA603)=19,"E",(IF(COUNTBLANK(G603:AA603)=20,"T",""))))))))}</f>
        <v>UNARMED TOTAL</v>
      </c>
      <c r="AC602" s="76" t="str">
        <f t="array" ref="AC602:AC603">{"UNARMED TOTAL";(sum(G603:AA603))}</f>
        <v>UNARMED TOTAL</v>
      </c>
    </row>
    <row r="603">
      <c r="A603" s="48" t="s">
        <v>144</v>
      </c>
      <c r="B603" s="48"/>
      <c r="C603" s="48" t="s">
        <v>409</v>
      </c>
      <c r="D603" s="48" t="s">
        <v>1634</v>
      </c>
      <c r="E603" s="48" t="s">
        <v>257</v>
      </c>
      <c r="F603" s="5" t="s">
        <v>435</v>
      </c>
      <c r="G603" s="47" t="s">
        <v>603</v>
      </c>
      <c r="H603" s="5">
        <v>10.0</v>
      </c>
      <c r="I603" s="5"/>
      <c r="J603" s="5" t="s">
        <v>603</v>
      </c>
      <c r="K603" s="5"/>
      <c r="L603" s="5" t="s">
        <v>436</v>
      </c>
      <c r="M603" s="5"/>
      <c r="N603" s="5" t="s">
        <v>603</v>
      </c>
      <c r="O603" s="5"/>
      <c r="P603" s="5" t="s">
        <v>603</v>
      </c>
      <c r="Q603" s="5"/>
      <c r="R603" s="5" t="s">
        <v>603</v>
      </c>
      <c r="S603" s="5"/>
      <c r="T603" s="5" t="s">
        <v>437</v>
      </c>
      <c r="U603" s="5"/>
      <c r="V603" s="5" t="s">
        <v>603</v>
      </c>
      <c r="W603" s="5"/>
      <c r="X603" s="5" t="s">
        <v>603</v>
      </c>
      <c r="Y603" s="5"/>
      <c r="Z603" s="5" t="s">
        <v>603</v>
      </c>
      <c r="AA603" s="5"/>
      <c r="AB603" s="5" t="s">
        <v>437</v>
      </c>
      <c r="AC603" s="47">
        <v>10.0</v>
      </c>
    </row>
    <row r="604" hidden="1">
      <c r="A604" s="222" t="str">
        <f t="array" ref="A604:A605">{"FormulaRow28";(INDEX(CLASSLIST,A549,1))}</f>
        <v>FormulaRow28</v>
      </c>
      <c r="B604" s="77" t="s">
        <v>236</v>
      </c>
      <c r="C604" s="222" t="str">
        <f t="array" ref="C604:C605">{"CLASSTYPE";((INDEX(ALLCLASSDATA,MATCH("ClassType",CLASSFEATUREHEADERS,0),MATCH($A605,CLASSNAMEHEADERS,0))))}</f>
        <v>CLASSTYPE</v>
      </c>
      <c r="D604" s="222" t="str">
        <f t="array" ref="D604:D605">{"ATTACK";"Attack"}</f>
        <v>ATTACK</v>
      </c>
      <c r="E604" s="222" t="str">
        <f t="array" ref="E604:E605">{"SIMPLELIMITED";"SimpleLimited"}</f>
        <v>SIMPLELIMITED</v>
      </c>
      <c r="F604" s="223" t="str">
        <f t="array" ref="F604:F605">{"SIMPLELIMITEDINITIAL";((IF(H605=10,"T",(IF(H605=50,"E","")))))}</f>
        <v>SIMPLELIMITEDINITIAL</v>
      </c>
      <c r="G604" s="223" t="str">
        <f t="array" ref="G604:G605">{"SIMPLELIMITEDINITIALPTS";((IF("00"=(INDEX(ALLCLASSDATA,MATCH("SimpleLimitedLegendary",CLASSFEATUREHEADERS,0),MATCH($A605,CLASSNAMEHEADERS,0))),(INDEX(ALLCLASSDATA,MATCH("SimpleLimitedLegendary",CLASSFEATUREHEADERS,0),MATCH(($A605 &amp; "Points"),CLASSNAMEHEADERS,0))),(IF("00"=(INDEX(ALLCLASSDATA,MATCH("SimpleLimitedMaster",CLASSFEATUREHEADERS,0),MATCH($A605,CLASSNAMEHEADERS,0))),(INDEX(ALLCLASSDATA,MATCH("SimpleLimitedMaster",CLASSFEATUREHEADERS,0),MATCH(($A605 &amp; "Points"),CLASSNAMEHEADERS,0))),(IF("00"=(INDEX(ALLCLASSDATA,MATCH("SimpleLimitedExpert",CLASSFEATUREHEADERS,0),MATCH($A605,CLASSNAMEHEADERS,0))),(INDEX(ALLCLASSDATA,MATCH("SimpleLimitedExpert",CLASSFEATUREHEADERS,0),MATCH(($A605 &amp; "Points"),CLASSNAMEHEADERS,0))),(IF("00"=(INDEX(ALLCLASSDATA,MATCH("SimpleLimitedTrained",CLASSFEATUREHEADERS,0),MATCH($A605,CLASSNAMEHEADERS,0))),(INDEX(ALLCLASSDATA,MATCH("SimpleLimitedTrained",CLASSFEATUREHEADERS,0),MATCH(($A605 &amp; "Points"),CLASSNAMEHEADERS,0))),"")))))))))}</f>
        <v>SIMPLELIMITEDINITIALPTS</v>
      </c>
      <c r="H604" s="223" t="str">
        <f t="array" ref="H604:H605">{"SIMPLELIMITEDL01";((IF("01"=(INDEX(ALLCLASSDATA,MATCH("SimpleLimitedLegendary",CLASSFEATUREHEADERS,0),MATCH($A605,CLASSNAMEHEADERS,0))),(INDEX(ALLCLASSDATA,MATCH("SimpleLimitedLegendary",CLASSFEATUREHEADERS,0),MATCH(($A605 &amp; "Points"),CLASSNAMEHEADERS,0))),(IF("01"=(INDEX(ALLCLASSDATA,MATCH("SimpleLimitedMaster",CLASSFEATUREHEADERS,0),MATCH($A605,CLASSNAMEHEADERS,0))),(INDEX(ALLCLASSDATA,MATCH("SimpleLimitedMaster",CLASSFEATUREHEADERS,0),MATCH(($A605 &amp; "Points"),CLASSNAMEHEADERS,0))),(IF("01"=(INDEX(ALLCLASSDATA,MATCH("SimpleLimitedExpert",CLASSFEATUREHEADERS,0),MATCH($A605,CLASSNAMEHEADERS,0))),(INDEX(ALLCLASSDATA,MATCH("SimpleLimitedExpert",CLASSFEATUREHEADERS,0),MATCH(($A605 &amp; "Points"),CLASSNAMEHEADERS,0))),(IF("01"=(INDEX(ALLCLASSDATA,MATCH("SimpleLimitedTrained",CLASSFEATUREHEADERS,0),MATCH($A605,CLASSNAMEHEADERS,0))),(INDEX(ALLCLASSDATA,MATCH("SimpleLimitedTrained",CLASSFEATUREHEADERS,0),MATCH(($A605 &amp; "Points"),CLASSNAMEHEADERS,0))),"")))))))))}</f>
        <v>SIMPLELIMITEDL01</v>
      </c>
      <c r="I604" s="223"/>
      <c r="J604" s="223" t="str">
        <f t="array" ref="J604:J605">{"SIMPLELIMITEDL03";((IF("03"=(INDEX(ALLCLASSDATA,MATCH("SimpleLimitedLegendary",CLASSFEATUREHEADERS,0),MATCH($A605,CLASSNAMEHEADERS,0))),(INDEX(ALLCLASSDATA,MATCH("SimpleLimitedLegendary",CLASSFEATUREHEADERS,0),MATCH(($A605 &amp; "Points"),CLASSNAMEHEADERS,0))),(IF("03"=(INDEX(ALLCLASSDATA,MATCH("SimpleLimitedMaster",CLASSFEATUREHEADERS,0),MATCH($A605,CLASSNAMEHEADERS,0))),(INDEX(ALLCLASSDATA,MATCH("SimpleLimitedMaster",CLASSFEATUREHEADERS,0),MATCH(($A605 &amp; "Points"),CLASSNAMEHEADERS,0))),(IF("03"=(INDEX(ALLCLASSDATA,MATCH("SimpleLimitedExpert",CLASSFEATUREHEADERS,0),MATCH($A605,CLASSNAMEHEADERS,0))),(INDEX(ALLCLASSDATA,MATCH("SimpleLimitedExpert",CLASSFEATUREHEADERS,0),MATCH(($A605 &amp; "Points"),CLASSNAMEHEADERS,0))),(IF("03"=(INDEX(ALLCLASSDATA,MATCH("SimpleLimitedTrained",CLASSFEATUREHEADERS,0),MATCH($A605,CLASSNAMEHEADERS,0))),(INDEX(ALLCLASSDATA,MATCH("SimpleLimitedTrained",CLASSFEATUREHEADERS,0),MATCH(($A605 &amp; "Points"),CLASSNAMEHEADERS,0))),"")))))))))}</f>
        <v>SIMPLELIMITEDL03</v>
      </c>
      <c r="K604" s="223"/>
      <c r="L604" s="223" t="str">
        <f t="array" ref="L604:L605">{"SIMPLELIMITEDL05";((IF("05"=(INDEX(ALLCLASSDATA,MATCH("SimpleLimitedLegendary",CLASSFEATUREHEADERS,0),MATCH($A605,CLASSNAMEHEADERS,0))),(INDEX(ALLCLASSDATA,MATCH("SimpleLimitedLegendary",CLASSFEATUREHEADERS,0),MATCH(($A605 &amp; "Points"),CLASSNAMEHEADERS,0))),(IF("05"=(INDEX(ALLCLASSDATA,MATCH("SimpleLimitedMaster",CLASSFEATUREHEADERS,0),MATCH($A605,CLASSNAMEHEADERS,0))),(INDEX(ALLCLASSDATA,MATCH("SimpleLimitedMaster",CLASSFEATUREHEADERS,0),MATCH(($A605 &amp; "Points"),CLASSNAMEHEADERS,0))),(IF("05"=(INDEX(ALLCLASSDATA,MATCH("SimpleLimitedExpert",CLASSFEATUREHEADERS,0),MATCH($A605,CLASSNAMEHEADERS,0))),(INDEX(ALLCLASSDATA,MATCH("SimpleLimitedExpert",CLASSFEATUREHEADERS,0),MATCH(($A605 &amp; "Points"),CLASSNAMEHEADERS,0))),(IF("05"=(INDEX(ALLCLASSDATA,MATCH("SimpleLimitedTrained",CLASSFEATUREHEADERS,0),MATCH($A605,CLASSNAMEHEADERS,0))),(INDEX(ALLCLASSDATA,MATCH("SimpleLimitedTrained",CLASSFEATUREHEADERS,0),MATCH(($A605 &amp; "Points"),CLASSNAMEHEADERS,0))),"")))))))))}</f>
        <v>SIMPLELIMITEDL05</v>
      </c>
      <c r="M604" s="223"/>
      <c r="N604" s="223" t="str">
        <f t="array" ref="N604:N605">{"SIMPLELIMITEDL07";((IF("07"=(INDEX(ALLCLASSDATA,MATCH("SimpleLimitedLegendary",CLASSFEATUREHEADERS,0),MATCH($A605,CLASSNAMEHEADERS,0))),(INDEX(ALLCLASSDATA,MATCH("SimpleLimitedLegendary",CLASSFEATUREHEADERS,0),MATCH(($A605 &amp; "Points"),CLASSNAMEHEADERS,0))),(IF("07"=(INDEX(ALLCLASSDATA,MATCH("SimpleLimitedMaster",CLASSFEATUREHEADERS,0),MATCH($A605,CLASSNAMEHEADERS,0))),(INDEX(ALLCLASSDATA,MATCH("SimpleLimitedMaster",CLASSFEATUREHEADERS,0),MATCH(($A605 &amp; "Points"),CLASSNAMEHEADERS,0))),(IF("07"=(INDEX(ALLCLASSDATA,MATCH("SimpleLimitedExpert",CLASSFEATUREHEADERS,0),MATCH($A605,CLASSNAMEHEADERS,0))),(INDEX(ALLCLASSDATA,MATCH("SimpleLimitedExpert",CLASSFEATUREHEADERS,0),MATCH(($A605 &amp; "Points"),CLASSNAMEHEADERS,0))),(IF("07"=(INDEX(ALLCLASSDATA,MATCH("SimpleLimitedTrained",CLASSFEATUREHEADERS,0),MATCH($A605,CLASSNAMEHEADERS,0))),(INDEX(ALLCLASSDATA,MATCH("SimpleLimitedTrained",CLASSFEATUREHEADERS,0),MATCH(($A605 &amp; "Points"),CLASSNAMEHEADERS,0))),"")))))))))}</f>
        <v>SIMPLELIMITEDL07</v>
      </c>
      <c r="O604" s="223"/>
      <c r="P604" s="223" t="str">
        <f t="array" ref="P604:P605">{"SIMPLELIMITEDL09";((IF("09"=(INDEX(ALLCLASSDATA,MATCH("SimpleLimitedLegendary",CLASSFEATUREHEADERS,0),MATCH($A605,CLASSNAMEHEADERS,0))),(INDEX(ALLCLASSDATA,MATCH("SimpleLimitedLegendary",CLASSFEATUREHEADERS,0),MATCH(($A605 &amp; "Points"),CLASSNAMEHEADERS,0))),(IF("09"=(INDEX(ALLCLASSDATA,MATCH("SimpleLimitedMaster",CLASSFEATUREHEADERS,0),MATCH($A605,CLASSNAMEHEADERS,0))),(INDEX(ALLCLASSDATA,MATCH("SimpleLimitedMaster",CLASSFEATUREHEADERS,0),MATCH(($A605 &amp; "Points"),CLASSNAMEHEADERS,0))),(IF("09"=(INDEX(ALLCLASSDATA,MATCH("SimpleLimitedExpert",CLASSFEATUREHEADERS,0),MATCH($A605,CLASSNAMEHEADERS,0))),(INDEX(ALLCLASSDATA,MATCH("SimpleLimitedExpert",CLASSFEATUREHEADERS,0),MATCH(($A605 &amp; "Points"),CLASSNAMEHEADERS,0))),(IF("09"=(INDEX(ALLCLASSDATA,MATCH("SimpleLimitedTrained",CLASSFEATUREHEADERS,0),MATCH($A605,CLASSNAMEHEADERS,0))),(INDEX(ALLCLASSDATA,MATCH("SimpleLimitedTrained",CLASSFEATUREHEADERS,0),MATCH(($A605 &amp; "Points"),CLASSNAMEHEADERS,0))),"")))))))))}</f>
        <v>SIMPLELIMITEDL09</v>
      </c>
      <c r="Q604" s="223"/>
      <c r="R604" s="223" t="str">
        <f t="array" ref="R604:R605">{"SIMPLELIMITEDL11";((IF("11"=(INDEX(ALLCLASSDATA,MATCH("SimpleLimitedLegendary",CLASSFEATUREHEADERS,0),MATCH($A605,CLASSNAMEHEADERS,0))),(INDEX(ALLCLASSDATA,MATCH("SimpleLimitedLegendary",CLASSFEATUREHEADERS,0),MATCH(($A605 &amp; "Points"),CLASSNAMEHEADERS,0))),(IF("11"=(INDEX(ALLCLASSDATA,MATCH("SimpleLimitedMaster",CLASSFEATUREHEADERS,0),MATCH($A605,CLASSNAMEHEADERS,0))),(INDEX(ALLCLASSDATA,MATCH("SimpleLimitedMaster",CLASSFEATUREHEADERS,0),MATCH(($A605 &amp; "Points"),CLASSNAMEHEADERS,0))),(IF("11"=(INDEX(ALLCLASSDATA,MATCH("SimpleLimitedExpert",CLASSFEATUREHEADERS,0),MATCH($A605,CLASSNAMEHEADERS,0))),(INDEX(ALLCLASSDATA,MATCH("SimpleLimitedExpert",CLASSFEATUREHEADERS,0),MATCH(($A605 &amp; "Points"),CLASSNAMEHEADERS,0))),(IF("11"=(INDEX(ALLCLASSDATA,MATCH("SimpleLimitedTrained",CLASSFEATUREHEADERS,0),MATCH($A605,CLASSNAMEHEADERS,0))),(INDEX(ALLCLASSDATA,MATCH("SimpleLimitedTrained",CLASSFEATUREHEADERS,0),MATCH(($A605 &amp; "Points"),CLASSNAMEHEADERS,0))),"")))))))))}</f>
        <v>SIMPLELIMITEDL11</v>
      </c>
      <c r="S604" s="223"/>
      <c r="T604" s="223" t="str">
        <f t="array" ref="T604:T605">{"SIMPLELIMITEDL13";((IF("13"=(INDEX(ALLCLASSDATA,MATCH("SimpleLimitedLegendary",CLASSFEATUREHEADERS,0),MATCH($A605,CLASSNAMEHEADERS,0))),(INDEX(ALLCLASSDATA,MATCH("SimpleLimitedLegendary",CLASSFEATUREHEADERS,0),MATCH(($A605 &amp; "Points"),CLASSNAMEHEADERS,0))),(IF("13"=(INDEX(ALLCLASSDATA,MATCH("SimpleLimitedMaster",CLASSFEATUREHEADERS,0),MATCH($A605,CLASSNAMEHEADERS,0))),(INDEX(ALLCLASSDATA,MATCH("SimpleLimitedMaster",CLASSFEATUREHEADERS,0),MATCH(($A605 &amp; "Points"),CLASSNAMEHEADERS,0))),(IF("13"=(INDEX(ALLCLASSDATA,MATCH("SimpleLimitedExpert",CLASSFEATUREHEADERS,0),MATCH($A605,CLASSNAMEHEADERS,0))),(INDEX(ALLCLASSDATA,MATCH("SimpleLimitedExpert",CLASSFEATUREHEADERS,0),MATCH(($A605 &amp; "Points"),CLASSNAMEHEADERS,0))),(IF("13"=(INDEX(ALLCLASSDATA,MATCH("SimpleLimitedTrained",CLASSFEATUREHEADERS,0),MATCH($A605,CLASSNAMEHEADERS,0))),(INDEX(ALLCLASSDATA,MATCH("SimpleLimitedTrained",CLASSFEATUREHEADERS,0),MATCH(($A605 &amp; "Points"),CLASSNAMEHEADERS,0))),"")))))))))}</f>
        <v>SIMPLELIMITEDL13</v>
      </c>
      <c r="U604" s="223"/>
      <c r="V604" s="223" t="str">
        <f t="array" ref="V604:V605">{"SIMPLELIMITEDL15";((IF("15"=(INDEX(ALLCLASSDATA,MATCH("SimpleLimitedLegendary",CLASSFEATUREHEADERS,0),MATCH($A605,CLASSNAMEHEADERS,0))),(INDEX(ALLCLASSDATA,MATCH("SimpleLimitedLegendary",CLASSFEATUREHEADERS,0),MATCH(($A605 &amp; "Points"),CLASSNAMEHEADERS,0))),(IF("15"=(INDEX(ALLCLASSDATA,MATCH("SimpleLimitedMaster",CLASSFEATUREHEADERS,0),MATCH($A605,CLASSNAMEHEADERS,0))),(INDEX(ALLCLASSDATA,MATCH("SimpleLimitedMaster",CLASSFEATUREHEADERS,0),MATCH(($A605 &amp; "Points"),CLASSNAMEHEADERS,0))),(IF("15"=(INDEX(ALLCLASSDATA,MATCH("SimpleLimitedExpert",CLASSFEATUREHEADERS,0),MATCH($A605,CLASSNAMEHEADERS,0))),(INDEX(ALLCLASSDATA,MATCH("SimpleLimitedExpert",CLASSFEATUREHEADERS,0),MATCH(($A605 &amp; "Points"),CLASSNAMEHEADERS,0))),(IF("15"=(INDEX(ALLCLASSDATA,MATCH("SimpleLimitedTrained",CLASSFEATUREHEADERS,0),MATCH($A605,CLASSNAMEHEADERS,0))),(INDEX(ALLCLASSDATA,MATCH("SimpleLimitedTrained",CLASSFEATUREHEADERS,0),MATCH(($A605 &amp; "Points"),CLASSNAMEHEADERS,0))),"")))))))))}</f>
        <v>SIMPLELIMITEDL15</v>
      </c>
      <c r="W604" s="223"/>
      <c r="X604" s="223" t="str">
        <f t="array" ref="X604:X605">{"SIMPLELIMITEDL17";((IF("17"=(INDEX(ALLCLASSDATA,MATCH("SimpleLimitedLegendary",CLASSFEATUREHEADERS,0),MATCH($A605,CLASSNAMEHEADERS,0))),(INDEX(ALLCLASSDATA,MATCH("SimpleLimitedLegendary",CLASSFEATUREHEADERS,0),MATCH(($A605 &amp; "Points"),CLASSNAMEHEADERS,0))),(IF("17"=(INDEX(ALLCLASSDATA,MATCH("SimpleLimitedMaster",CLASSFEATUREHEADERS,0),MATCH($A605,CLASSNAMEHEADERS,0))),(INDEX(ALLCLASSDATA,MATCH("SimpleLimitedMaster",CLASSFEATUREHEADERS,0),MATCH(($A605 &amp; "Points"),CLASSNAMEHEADERS,0))),(IF("17"=(INDEX(ALLCLASSDATA,MATCH("SimpleLimitedExpert",CLASSFEATUREHEADERS,0),MATCH($A605,CLASSNAMEHEADERS,0))),(INDEX(ALLCLASSDATA,MATCH("SimpleLimitedExpert",CLASSFEATUREHEADERS,0),MATCH(($A605 &amp; "Points"),CLASSNAMEHEADERS,0))),(IF("17"=(INDEX(ALLCLASSDATA,MATCH("SimpleLimitedTrained",CLASSFEATUREHEADERS,0),MATCH($A605,CLASSNAMEHEADERS,0))),(INDEX(ALLCLASSDATA,MATCH("SimpleLimitedTrained",CLASSFEATUREHEADERS,0),MATCH(($A605 &amp; "Points"),CLASSNAMEHEADERS,0))),"")))))))))}</f>
        <v>SIMPLELIMITEDL17</v>
      </c>
      <c r="Y604" s="223"/>
      <c r="Z604" s="223" t="str">
        <f t="array" ref="Z604:Z605">{"SIMPLELIMITEDL19";((IF("19"=(INDEX(ALLCLASSDATA,MATCH("SimpleLimitedLegendary",CLASSFEATUREHEADERS,0),MATCH($A605,CLASSNAMEHEADERS,0))),(INDEX(ALLCLASSDATA,MATCH("SimpleLimitedLegendary",CLASSFEATUREHEADERS,0),MATCH(($A605 &amp; "Points"),CLASSNAMEHEADERS,0))),(IF("19"=(INDEX(ALLCLASSDATA,MATCH("SimpleLimitedMaster",CLASSFEATUREHEADERS,0),MATCH($A605,CLASSNAMEHEADERS,0))),(INDEX(ALLCLASSDATA,MATCH("SimpleLimitedMaster",CLASSFEATUREHEADERS,0),MATCH(($A605 &amp; "Points"),CLASSNAMEHEADERS,0))),(IF("19"=(INDEX(ALLCLASSDATA,MATCH("SimpleLimitedExpert",CLASSFEATUREHEADERS,0),MATCH($A605,CLASSNAMEHEADERS,0))),(INDEX(ALLCLASSDATA,MATCH("SimpleLimitedExpert",CLASSFEATUREHEADERS,0),MATCH(($A605 &amp; "Points"),CLASSNAMEHEADERS,0))),(IF("19"=(INDEX(ALLCLASSDATA,MATCH("SimpleLimitedTrained",CLASSFEATUREHEADERS,0),MATCH($A605,CLASSNAMEHEADERS,0))),(INDEX(ALLCLASSDATA,MATCH("SimpleLimitedTrained",CLASSFEATUREHEADERS,0),MATCH(($A605 &amp; "Points"),CLASSNAMEHEADERS,0))),"")))))))))}</f>
        <v>SIMPLELIMITEDL19</v>
      </c>
      <c r="AA604" s="223"/>
      <c r="AB604" s="76" t="str">
        <f t="array" ref="AB604:AB605">{"SIMPLELIMITED TOTAL";(IF(COUNTBLANK(G605:AA605)=17,"L",(IF(COUNTBLANK(G605:AA605)=18,"M",(IF(COUNTBLANK(G605:AA605)=19,"E",(IF(COUNTBLANK(G605:AA605)=20,"T",""))))))))}</f>
        <v>SIMPLELIMITED TOTAL</v>
      </c>
      <c r="AC604" s="76" t="str">
        <f t="array" ref="AC604:AC605">{"SIMPLELIMITED TOTAL";(sum(G605:AA605))}</f>
        <v>SIMPLELIMITED TOTAL</v>
      </c>
    </row>
    <row r="605">
      <c r="A605" s="48" t="s">
        <v>144</v>
      </c>
      <c r="B605" s="48"/>
      <c r="C605" s="48" t="s">
        <v>409</v>
      </c>
      <c r="D605" s="48" t="s">
        <v>1634</v>
      </c>
      <c r="E605" s="48" t="s">
        <v>599</v>
      </c>
      <c r="F605" s="5" t="s">
        <v>603</v>
      </c>
      <c r="G605" s="47" t="s">
        <v>603</v>
      </c>
      <c r="H605" s="5" t="s">
        <v>603</v>
      </c>
      <c r="I605" s="5"/>
      <c r="J605" s="5" t="s">
        <v>603</v>
      </c>
      <c r="K605" s="5"/>
      <c r="L605" s="5" t="s">
        <v>603</v>
      </c>
      <c r="M605" s="5"/>
      <c r="N605" s="5" t="s">
        <v>603</v>
      </c>
      <c r="O605" s="5"/>
      <c r="P605" s="5" t="s">
        <v>603</v>
      </c>
      <c r="Q605" s="5"/>
      <c r="R605" s="5" t="s">
        <v>603</v>
      </c>
      <c r="S605" s="5"/>
      <c r="T605" s="5" t="s">
        <v>603</v>
      </c>
      <c r="U605" s="5"/>
      <c r="V605" s="5" t="s">
        <v>603</v>
      </c>
      <c r="W605" s="5"/>
      <c r="X605" s="5" t="s">
        <v>603</v>
      </c>
      <c r="Y605" s="5"/>
      <c r="Z605" s="5" t="s">
        <v>603</v>
      </c>
      <c r="AA605" s="5"/>
      <c r="AB605" s="5" t="s">
        <v>603</v>
      </c>
      <c r="AC605" s="47">
        <v>0.0</v>
      </c>
    </row>
    <row r="606" hidden="1">
      <c r="A606" s="222" t="str">
        <f t="array" ref="A606:A607">{"FormulaRow29";(INDEX(CLASSLIST,A549,1))}</f>
        <v>FormulaRow29</v>
      </c>
      <c r="B606" s="77" t="s">
        <v>236</v>
      </c>
      <c r="C606" s="222" t="str">
        <f t="array" ref="C606:C607">{"CLASSTYPE";((INDEX(ALLCLASSDATA,MATCH("ClassType",CLASSFEATUREHEADERS,0),MATCH($A607,CLASSNAMEHEADERS,0))))}</f>
        <v>CLASSTYPE</v>
      </c>
      <c r="D606" s="222" t="str">
        <f t="array" ref="D606:D607">{"ATTACK";"Attack"}</f>
        <v>ATTACK</v>
      </c>
      <c r="E606" s="222" t="str">
        <f t="array" ref="E606:E607">{"SIMPLE";"Simple"}</f>
        <v>SIMPLE</v>
      </c>
      <c r="F606" s="223" t="str">
        <f t="array" ref="F606:F607">{"SIMPLEINITIAL";((IF(H607=10,"T",(IF(H607=50,"E","")))))}</f>
        <v>SIMPLEINITIAL</v>
      </c>
      <c r="G606" s="223" t="str">
        <f t="array" ref="G606:G607">{"SIMPLEINITIALPTS";((IF("00"=(INDEX(ALLCLASSDATA,MATCH("SimpleLegendary",CLASSFEATUREHEADERS,0),MATCH($A607,CLASSNAMEHEADERS,0))),(INDEX(ALLCLASSDATA,MATCH("SimpleLegendary",CLASSFEATUREHEADERS,0),MATCH(($A607 &amp; "Points"),CLASSNAMEHEADERS,0))),(IF("00"=(INDEX(ALLCLASSDATA,MATCH("SimpleMaster",CLASSFEATUREHEADERS,0),MATCH($A607,CLASSNAMEHEADERS,0))),(INDEX(ALLCLASSDATA,MATCH("SimpleMaster",CLASSFEATUREHEADERS,0),MATCH(($A607 &amp; "Points"),CLASSNAMEHEADERS,0))),(IF("00"=(INDEX(ALLCLASSDATA,MATCH("SimpleExpert",CLASSFEATUREHEADERS,0),MATCH($A607,CLASSNAMEHEADERS,0))),(INDEX(ALLCLASSDATA,MATCH("SimpleExpert",CLASSFEATUREHEADERS,0),MATCH(($A607 &amp; "Points"),CLASSNAMEHEADERS,0))),(IF("00"=(INDEX(ALLCLASSDATA,MATCH("SimpleTrained",CLASSFEATUREHEADERS,0),MATCH($A607,CLASSNAMEHEADERS,0))),(INDEX(ALLCLASSDATA,MATCH("SimpleTrained",CLASSFEATUREHEADERS,0),MATCH(($A607 &amp; "Points"),CLASSNAMEHEADERS,0))),"")))))))))}</f>
        <v>SIMPLEINITIALPTS</v>
      </c>
      <c r="H606" s="223" t="str">
        <f t="array" ref="H606:H607">{"SIMPLEL01";((IF("01"=(INDEX(ALLCLASSDATA,MATCH("SimpleLegendary",CLASSFEATUREHEADERS,0),MATCH($A607,CLASSNAMEHEADERS,0))),(INDEX(ALLCLASSDATA,MATCH("SimpleLegendary",CLASSFEATUREHEADERS,0),MATCH(($A607 &amp; "Points"),CLASSNAMEHEADERS,0))),(IF("01"=(INDEX(ALLCLASSDATA,MATCH("SimpleMaster",CLASSFEATUREHEADERS,0),MATCH($A607,CLASSNAMEHEADERS,0))),(INDEX(ALLCLASSDATA,MATCH("SimpleMaster",CLASSFEATUREHEADERS,0),MATCH(($A607 &amp; "Points"),CLASSNAMEHEADERS,0))),(IF("01"=(INDEX(ALLCLASSDATA,MATCH("SimpleExpert",CLASSFEATUREHEADERS,0),MATCH($A607,CLASSNAMEHEADERS,0))),(INDEX(ALLCLASSDATA,MATCH("SimpleExpert",CLASSFEATUREHEADERS,0),MATCH(($A607 &amp; "Points"),CLASSNAMEHEADERS,0))),(IF("01"=(INDEX(ALLCLASSDATA,MATCH("SimpleTrained",CLASSFEATUREHEADERS,0),MATCH($A607,CLASSNAMEHEADERS,0))),(INDEX(ALLCLASSDATA,MATCH("SimpleTrained",CLASSFEATUREHEADERS,0),MATCH(($A607 &amp; "Points"),CLASSNAMEHEADERS,0))),"")))))))))}</f>
        <v>SIMPLEL01</v>
      </c>
      <c r="I606" s="223"/>
      <c r="J606" s="223" t="str">
        <f t="array" ref="J606:J607">{"SIMPLEL03";((IF("03"=(INDEX(ALLCLASSDATA,MATCH("SimpleLegendary",CLASSFEATUREHEADERS,0),MATCH($A607,CLASSNAMEHEADERS,0))),(INDEX(ALLCLASSDATA,MATCH("SimpleLegendary",CLASSFEATUREHEADERS,0),MATCH(($A607 &amp; "Points"),CLASSNAMEHEADERS,0))),(IF("03"=(INDEX(ALLCLASSDATA,MATCH("SimpleMaster",CLASSFEATUREHEADERS,0),MATCH($A607,CLASSNAMEHEADERS,0))),(INDEX(ALLCLASSDATA,MATCH("SimpleMaster",CLASSFEATUREHEADERS,0),MATCH(($A607 &amp; "Points"),CLASSNAMEHEADERS,0))),(IF("03"=(INDEX(ALLCLASSDATA,MATCH("SimpleExpert",CLASSFEATUREHEADERS,0),MATCH($A607,CLASSNAMEHEADERS,0))),(INDEX(ALLCLASSDATA,MATCH("SimpleExpert",CLASSFEATUREHEADERS,0),MATCH(($A607 &amp; "Points"),CLASSNAMEHEADERS,0))),(IF("03"=(INDEX(ALLCLASSDATA,MATCH("SimpleTrained",CLASSFEATUREHEADERS,0),MATCH($A607,CLASSNAMEHEADERS,0))),(INDEX(ALLCLASSDATA,MATCH("SimpleTrained",CLASSFEATUREHEADERS,0),MATCH(($A607 &amp; "Points"),CLASSNAMEHEADERS,0))),"")))))))))}</f>
        <v>SIMPLEL03</v>
      </c>
      <c r="K606" s="223"/>
      <c r="L606" s="223" t="str">
        <f t="array" ref="L606:L607">{"SIMPLEL05";((IF("05"=(INDEX(ALLCLASSDATA,MATCH("SimpleLegendary",CLASSFEATUREHEADERS,0),MATCH($A607,CLASSNAMEHEADERS,0))),(INDEX(ALLCLASSDATA,MATCH("SimpleLegendary",CLASSFEATUREHEADERS,0),MATCH(($A607 &amp; "Points"),CLASSNAMEHEADERS,0))),(IF("05"=(INDEX(ALLCLASSDATA,MATCH("SimpleMaster",CLASSFEATUREHEADERS,0),MATCH($A607,CLASSNAMEHEADERS,0))),(INDEX(ALLCLASSDATA,MATCH("SimpleMaster",CLASSFEATUREHEADERS,0),MATCH(($A607 &amp; "Points"),CLASSNAMEHEADERS,0))),(IF("05"=(INDEX(ALLCLASSDATA,MATCH("SimpleExpert",CLASSFEATUREHEADERS,0),MATCH($A607,CLASSNAMEHEADERS,0))),(INDEX(ALLCLASSDATA,MATCH("SimpleExpert",CLASSFEATUREHEADERS,0),MATCH(($A607 &amp; "Points"),CLASSNAMEHEADERS,0))),(IF("05"=(INDEX(ALLCLASSDATA,MATCH("SimpleTrained",CLASSFEATUREHEADERS,0),MATCH($A607,CLASSNAMEHEADERS,0))),(INDEX(ALLCLASSDATA,MATCH("SimpleTrained",CLASSFEATUREHEADERS,0),MATCH(($A607 &amp; "Points"),CLASSNAMEHEADERS,0))),"")))))))))}</f>
        <v>SIMPLEL05</v>
      </c>
      <c r="M606" s="223"/>
      <c r="N606" s="223" t="str">
        <f t="array" ref="N606:N607">{"SIMPLEL07";((IF("07"=(INDEX(ALLCLASSDATA,MATCH("SimpleLegendary",CLASSFEATUREHEADERS,0),MATCH($A607,CLASSNAMEHEADERS,0))),(INDEX(ALLCLASSDATA,MATCH("SimpleLegendary",CLASSFEATUREHEADERS,0),MATCH(($A607 &amp; "Points"),CLASSNAMEHEADERS,0))),(IF("07"=(INDEX(ALLCLASSDATA,MATCH("SimpleMaster",CLASSFEATUREHEADERS,0),MATCH($A607,CLASSNAMEHEADERS,0))),(INDEX(ALLCLASSDATA,MATCH("SimpleMaster",CLASSFEATUREHEADERS,0),MATCH(($A607 &amp; "Points"),CLASSNAMEHEADERS,0))),(IF("07"=(INDEX(ALLCLASSDATA,MATCH("SimpleExpert",CLASSFEATUREHEADERS,0),MATCH($A607,CLASSNAMEHEADERS,0))),(INDEX(ALLCLASSDATA,MATCH("SimpleExpert",CLASSFEATUREHEADERS,0),MATCH(($A607 &amp; "Points"),CLASSNAMEHEADERS,0))),(IF("07"=(INDEX(ALLCLASSDATA,MATCH("SimpleTrained",CLASSFEATUREHEADERS,0),MATCH($A607,CLASSNAMEHEADERS,0))),(INDEX(ALLCLASSDATA,MATCH("SimpleTrained",CLASSFEATUREHEADERS,0),MATCH(($A607 &amp; "Points"),CLASSNAMEHEADERS,0))),"")))))))))}</f>
        <v>SIMPLEL07</v>
      </c>
      <c r="O606" s="223"/>
      <c r="P606" s="223" t="str">
        <f t="array" ref="P606:P607">{"SIMPLEL09";((IF("09"=(INDEX(ALLCLASSDATA,MATCH("SimpleLegendary",CLASSFEATUREHEADERS,0),MATCH($A607,CLASSNAMEHEADERS,0))),(INDEX(ALLCLASSDATA,MATCH("SimpleLegendary",CLASSFEATUREHEADERS,0),MATCH(($A607 &amp; "Points"),CLASSNAMEHEADERS,0))),(IF("09"=(INDEX(ALLCLASSDATA,MATCH("SimpleMaster",CLASSFEATUREHEADERS,0),MATCH($A607,CLASSNAMEHEADERS,0))),(INDEX(ALLCLASSDATA,MATCH("SimpleMaster",CLASSFEATUREHEADERS,0),MATCH(($A607 &amp; "Points"),CLASSNAMEHEADERS,0))),(IF("09"=(INDEX(ALLCLASSDATA,MATCH("SimpleExpert",CLASSFEATUREHEADERS,0),MATCH($A607,CLASSNAMEHEADERS,0))),(INDEX(ALLCLASSDATA,MATCH("SimpleExpert",CLASSFEATUREHEADERS,0),MATCH(($A607 &amp; "Points"),CLASSNAMEHEADERS,0))),(IF("09"=(INDEX(ALLCLASSDATA,MATCH("SimpleTrained",CLASSFEATUREHEADERS,0),MATCH($A607,CLASSNAMEHEADERS,0))),(INDEX(ALLCLASSDATA,MATCH("SimpleTrained",CLASSFEATUREHEADERS,0),MATCH(($A607 &amp; "Points"),CLASSNAMEHEADERS,0))),"")))))))))}</f>
        <v>SIMPLEL09</v>
      </c>
      <c r="Q606" s="223"/>
      <c r="R606" s="223" t="str">
        <f t="array" ref="R606:R607">{"SIMPLEL11";((IF("11"=(INDEX(ALLCLASSDATA,MATCH("SimpleLegendary",CLASSFEATUREHEADERS,0),MATCH($A607,CLASSNAMEHEADERS,0))),(INDEX(ALLCLASSDATA,MATCH("SimpleLegendary",CLASSFEATUREHEADERS,0),MATCH(($A607 &amp; "Points"),CLASSNAMEHEADERS,0))),(IF("11"=(INDEX(ALLCLASSDATA,MATCH("SimpleMaster",CLASSFEATUREHEADERS,0),MATCH($A607,CLASSNAMEHEADERS,0))),(INDEX(ALLCLASSDATA,MATCH("SimpleMaster",CLASSFEATUREHEADERS,0),MATCH(($A607 &amp; "Points"),CLASSNAMEHEADERS,0))),(IF("11"=(INDEX(ALLCLASSDATA,MATCH("SimpleExpert",CLASSFEATUREHEADERS,0),MATCH($A607,CLASSNAMEHEADERS,0))),(INDEX(ALLCLASSDATA,MATCH("SimpleExpert",CLASSFEATUREHEADERS,0),MATCH(($A607 &amp; "Points"),CLASSNAMEHEADERS,0))),(IF("11"=(INDEX(ALLCLASSDATA,MATCH("SimpleTrained",CLASSFEATUREHEADERS,0),MATCH($A607,CLASSNAMEHEADERS,0))),(INDEX(ALLCLASSDATA,MATCH("SimpleTrained",CLASSFEATUREHEADERS,0),MATCH(($A607 &amp; "Points"),CLASSNAMEHEADERS,0))),"")))))))))}</f>
        <v>SIMPLEL11</v>
      </c>
      <c r="S606" s="223"/>
      <c r="T606" s="223" t="str">
        <f t="array" ref="T606:T607">{"SIMPLEL13";((IF("13"=(INDEX(ALLCLASSDATA,MATCH("SimpleLegendary",CLASSFEATUREHEADERS,0),MATCH($A607,CLASSNAMEHEADERS,0))),(INDEX(ALLCLASSDATA,MATCH("SimpleLegendary",CLASSFEATUREHEADERS,0),MATCH(($A607 &amp; "Points"),CLASSNAMEHEADERS,0))),(IF("13"=(INDEX(ALLCLASSDATA,MATCH("SimpleMaster",CLASSFEATUREHEADERS,0),MATCH($A607,CLASSNAMEHEADERS,0))),(INDEX(ALLCLASSDATA,MATCH("SimpleMaster",CLASSFEATUREHEADERS,0),MATCH(($A607 &amp; "Points"),CLASSNAMEHEADERS,0))),(IF("13"=(INDEX(ALLCLASSDATA,MATCH("SimpleExpert",CLASSFEATUREHEADERS,0),MATCH($A607,CLASSNAMEHEADERS,0))),(INDEX(ALLCLASSDATA,MATCH("SimpleExpert",CLASSFEATUREHEADERS,0),MATCH(($A607 &amp; "Points"),CLASSNAMEHEADERS,0))),(IF("13"=(INDEX(ALLCLASSDATA,MATCH("SimpleTrained",CLASSFEATUREHEADERS,0),MATCH($A607,CLASSNAMEHEADERS,0))),(INDEX(ALLCLASSDATA,MATCH("SimpleTrained",CLASSFEATUREHEADERS,0),MATCH(($A607 &amp; "Points"),CLASSNAMEHEADERS,0))),"")))))))))}</f>
        <v>SIMPLEL13</v>
      </c>
      <c r="U606" s="223"/>
      <c r="V606" s="223" t="str">
        <f t="array" ref="V606:V607">{"SIMPLEL15";((IF("15"=(INDEX(ALLCLASSDATA,MATCH("SimpleLegendary",CLASSFEATUREHEADERS,0),MATCH($A607,CLASSNAMEHEADERS,0))),(INDEX(ALLCLASSDATA,MATCH("SimpleLegendary",CLASSFEATUREHEADERS,0),MATCH(($A607 &amp; "Points"),CLASSNAMEHEADERS,0))),(IF("15"=(INDEX(ALLCLASSDATA,MATCH("SimpleMaster",CLASSFEATUREHEADERS,0),MATCH($A607,CLASSNAMEHEADERS,0))),(INDEX(ALLCLASSDATA,MATCH("SimpleMaster",CLASSFEATUREHEADERS,0),MATCH(($A607 &amp; "Points"),CLASSNAMEHEADERS,0))),(IF("15"=(INDEX(ALLCLASSDATA,MATCH("SimpleExpert",CLASSFEATUREHEADERS,0),MATCH($A607,CLASSNAMEHEADERS,0))),(INDEX(ALLCLASSDATA,MATCH("SimpleExpert",CLASSFEATUREHEADERS,0),MATCH(($A607 &amp; "Points"),CLASSNAMEHEADERS,0))),(IF("15"=(INDEX(ALLCLASSDATA,MATCH("SimpleTrained",CLASSFEATUREHEADERS,0),MATCH($A607,CLASSNAMEHEADERS,0))),(INDEX(ALLCLASSDATA,MATCH("SimpleTrained",CLASSFEATUREHEADERS,0),MATCH(($A607 &amp; "Points"),CLASSNAMEHEADERS,0))),"")))))))))}</f>
        <v>SIMPLEL15</v>
      </c>
      <c r="W606" s="223"/>
      <c r="X606" s="223" t="str">
        <f t="array" ref="X606:X607">{"SIMPLEL17";((IF("17"=(INDEX(ALLCLASSDATA,MATCH("SimpleLegendary",CLASSFEATUREHEADERS,0),MATCH($A607,CLASSNAMEHEADERS,0))),(INDEX(ALLCLASSDATA,MATCH("SimpleLegendary",CLASSFEATUREHEADERS,0),MATCH(($A607 &amp; "Points"),CLASSNAMEHEADERS,0))),(IF("17"=(INDEX(ALLCLASSDATA,MATCH("SimpleMaster",CLASSFEATUREHEADERS,0),MATCH($A607,CLASSNAMEHEADERS,0))),(INDEX(ALLCLASSDATA,MATCH("SimpleMaster",CLASSFEATUREHEADERS,0),MATCH(($A607 &amp; "Points"),CLASSNAMEHEADERS,0))),(IF("17"=(INDEX(ALLCLASSDATA,MATCH("SimpleExpert",CLASSFEATUREHEADERS,0),MATCH($A607,CLASSNAMEHEADERS,0))),(INDEX(ALLCLASSDATA,MATCH("SimpleExpert",CLASSFEATUREHEADERS,0),MATCH(($A607 &amp; "Points"),CLASSNAMEHEADERS,0))),(IF("17"=(INDEX(ALLCLASSDATA,MATCH("SimpleTrained",CLASSFEATUREHEADERS,0),MATCH($A607,CLASSNAMEHEADERS,0))),(INDEX(ALLCLASSDATA,MATCH("SimpleTrained",CLASSFEATUREHEADERS,0),MATCH(($A607 &amp; "Points"),CLASSNAMEHEADERS,0))),"")))))))))}</f>
        <v>SIMPLEL17</v>
      </c>
      <c r="Y606" s="223"/>
      <c r="Z606" s="223" t="str">
        <f t="array" ref="Z606:Z607">{"SIMPLEL19";((IF("19"=(INDEX(ALLCLASSDATA,MATCH("SimpleLegendary",CLASSFEATUREHEADERS,0),MATCH($A607,CLASSNAMEHEADERS,0))),(INDEX(ALLCLASSDATA,MATCH("SimpleLegendary",CLASSFEATUREHEADERS,0),MATCH(($A607 &amp; "Points"),CLASSNAMEHEADERS,0))),(IF("19"=(INDEX(ALLCLASSDATA,MATCH("SimpleMaster",CLASSFEATUREHEADERS,0),MATCH($A607,CLASSNAMEHEADERS,0))),(INDEX(ALLCLASSDATA,MATCH("SimpleMaster",CLASSFEATUREHEADERS,0),MATCH(($A607 &amp; "Points"),CLASSNAMEHEADERS,0))),(IF("19"=(INDEX(ALLCLASSDATA,MATCH("SimpleExpert",CLASSFEATUREHEADERS,0),MATCH($A607,CLASSNAMEHEADERS,0))),(INDEX(ALLCLASSDATA,MATCH("SimpleExpert",CLASSFEATUREHEADERS,0),MATCH(($A607 &amp; "Points"),CLASSNAMEHEADERS,0))),(IF("19"=(INDEX(ALLCLASSDATA,MATCH("SimpleTrained",CLASSFEATUREHEADERS,0),MATCH($A607,CLASSNAMEHEADERS,0))),(INDEX(ALLCLASSDATA,MATCH("SimpleTrained",CLASSFEATUREHEADERS,0),MATCH(($A607 &amp; "Points"),CLASSNAMEHEADERS,0))),"")))))))))}</f>
        <v>SIMPLEL19</v>
      </c>
      <c r="AA606" s="223"/>
      <c r="AB606" s="76" t="str">
        <f t="array" ref="AB606:AB607">{"SIMPLE TOTAL";(IF(COUNTBLANK(G607:AA607)=17,"L",(IF(COUNTBLANK(G607:AA607)=18,"M",(IF(COUNTBLANK(G607:AA607)=19,"E",(IF(COUNTBLANK(G607:AA607)=20,"T",""))))))))}</f>
        <v>SIMPLE TOTAL</v>
      </c>
      <c r="AC606" s="76" t="str">
        <f t="array" ref="AC606:AC607">{"SIMPLE TOTAL";(sum(G607:AA607))}</f>
        <v>SIMPLE TOTAL</v>
      </c>
    </row>
    <row r="607">
      <c r="A607" s="48" t="s">
        <v>144</v>
      </c>
      <c r="B607" s="48"/>
      <c r="C607" s="48" t="s">
        <v>409</v>
      </c>
      <c r="D607" s="48" t="s">
        <v>1634</v>
      </c>
      <c r="E607" s="48" t="s">
        <v>68</v>
      </c>
      <c r="F607" s="5" t="s">
        <v>435</v>
      </c>
      <c r="G607" s="47" t="s">
        <v>603</v>
      </c>
      <c r="H607" s="5">
        <v>10.0</v>
      </c>
      <c r="I607" s="5"/>
      <c r="J607" s="5" t="s">
        <v>603</v>
      </c>
      <c r="K607" s="5"/>
      <c r="L607" s="5" t="s">
        <v>436</v>
      </c>
      <c r="M607" s="5"/>
      <c r="N607" s="5" t="s">
        <v>603</v>
      </c>
      <c r="O607" s="5"/>
      <c r="P607" s="5" t="s">
        <v>603</v>
      </c>
      <c r="Q607" s="5"/>
      <c r="R607" s="5" t="s">
        <v>603</v>
      </c>
      <c r="S607" s="5"/>
      <c r="T607" s="5" t="s">
        <v>437</v>
      </c>
      <c r="U607" s="5"/>
      <c r="V607" s="5" t="s">
        <v>603</v>
      </c>
      <c r="W607" s="5"/>
      <c r="X607" s="5" t="s">
        <v>603</v>
      </c>
      <c r="Y607" s="5"/>
      <c r="Z607" s="5" t="s">
        <v>603</v>
      </c>
      <c r="AA607" s="5"/>
      <c r="AB607" s="5" t="s">
        <v>437</v>
      </c>
      <c r="AC607" s="47">
        <v>10.0</v>
      </c>
    </row>
    <row r="608" hidden="1">
      <c r="A608" s="222" t="str">
        <f t="array" ref="A608:A609">{"FormulaRow30";(INDEX(CLASSLIST,A549,1))}</f>
        <v>FormulaRow30</v>
      </c>
      <c r="B608" s="77" t="s">
        <v>236</v>
      </c>
      <c r="C608" s="222" t="str">
        <f t="array" ref="C608:C609">{"CLASSTYPE";((INDEX(ALLCLASSDATA,MATCH("ClassType",CLASSFEATUREHEADERS,0),MATCH($A609,CLASSNAMEHEADERS,0))))}</f>
        <v>CLASSTYPE</v>
      </c>
      <c r="D608" s="222" t="str">
        <f t="array" ref="D608:D609">{"ATTACK";"Attack"}</f>
        <v>ATTACK</v>
      </c>
      <c r="E608" s="222" t="str">
        <f t="array" ref="E608:E609">{"MARTIALLIMITED";"MartialLimited"}</f>
        <v>MARTIALLIMITED</v>
      </c>
      <c r="F608" s="223" t="str">
        <f t="array" ref="F608:F609">{"MARTIALLIMITEDINITIAL";((IF(H609=10,"T",(IF(H609=50,"E","")))))}</f>
        <v>MARTIALLIMITEDINITIAL</v>
      </c>
      <c r="G608" s="223" t="str">
        <f t="array" ref="G608:G609">{"MARTIALLIMITEDINITIALPTS";((IF("00"=(INDEX(ALLCLASSDATA,MATCH("MartialLimitedLegendary",CLASSFEATUREHEADERS,0),MATCH($A609,CLASSNAMEHEADERS,0))),(INDEX(ALLCLASSDATA,MATCH("MartialLimitedLegendary",CLASSFEATUREHEADERS,0),MATCH(($A609 &amp; "Points"),CLASSNAMEHEADERS,0))),(IF("00"=(INDEX(ALLCLASSDATA,MATCH("MartialLimitedMaster",CLASSFEATUREHEADERS,0),MATCH($A609,CLASSNAMEHEADERS,0))),(INDEX(ALLCLASSDATA,MATCH("MartialLimitedMaster",CLASSFEATUREHEADERS,0),MATCH(($A609 &amp; "Points"),CLASSNAMEHEADERS,0))),(IF("00"=(INDEX(ALLCLASSDATA,MATCH("MartialLimitedExpert",CLASSFEATUREHEADERS,0),MATCH($A609,CLASSNAMEHEADERS,0))),(INDEX(ALLCLASSDATA,MATCH("MartialLimitedExpert",CLASSFEATUREHEADERS,0),MATCH(($A609 &amp; "Points"),CLASSNAMEHEADERS,0))),(IF("00"=(INDEX(ALLCLASSDATA,MATCH("MartialLimitedTrained",CLASSFEATUREHEADERS,0),MATCH($A609,CLASSNAMEHEADERS,0))),(INDEX(ALLCLASSDATA,MATCH("MartialLimitedTrained",CLASSFEATUREHEADERS,0),MATCH(($A609 &amp; "Points"),CLASSNAMEHEADERS,0))),"")))))))))}</f>
        <v>MARTIALLIMITEDINITIALPTS</v>
      </c>
      <c r="H608" s="223" t="str">
        <f t="array" ref="H608:H609">{"MARTIALLIMITEDL01";((IF("01"=(INDEX(ALLCLASSDATA,MATCH("MartialLimitedLegendary",CLASSFEATUREHEADERS,0),MATCH($A609,CLASSNAMEHEADERS,0))),(INDEX(ALLCLASSDATA,MATCH("MartialLimitedLegendary",CLASSFEATUREHEADERS,0),MATCH(($A609 &amp; "Points"),CLASSNAMEHEADERS,0))),(IF("01"=(INDEX(ALLCLASSDATA,MATCH("MartialLimitedMaster",CLASSFEATUREHEADERS,0),MATCH($A609,CLASSNAMEHEADERS,0))),(INDEX(ALLCLASSDATA,MATCH("MartialLimitedMaster",CLASSFEATUREHEADERS,0),MATCH(($A609 &amp; "Points"),CLASSNAMEHEADERS,0))),(IF("01"=(INDEX(ALLCLASSDATA,MATCH("MartialLimitedExpert",CLASSFEATUREHEADERS,0),MATCH($A609,CLASSNAMEHEADERS,0))),(INDEX(ALLCLASSDATA,MATCH("MartialLimitedExpert",CLASSFEATUREHEADERS,0),MATCH(($A609 &amp; "Points"),CLASSNAMEHEADERS,0))),(IF("01"=(INDEX(ALLCLASSDATA,MATCH("MartialLimitedTrained",CLASSFEATUREHEADERS,0),MATCH($A609,CLASSNAMEHEADERS,0))),(INDEX(ALLCLASSDATA,MATCH("MartialLimitedTrained",CLASSFEATUREHEADERS,0),MATCH(($A609 &amp; "Points"),CLASSNAMEHEADERS,0))),"")))))))))}</f>
        <v>MARTIALLIMITEDL01</v>
      </c>
      <c r="I608" s="223"/>
      <c r="J608" s="223" t="str">
        <f t="array" ref="J608:J609">{"MARTIALLIMITEDL03";((IF("03"=(INDEX(ALLCLASSDATA,MATCH("MartialLimitedLegendary",CLASSFEATUREHEADERS,0),MATCH($A609,CLASSNAMEHEADERS,0))),(INDEX(ALLCLASSDATA,MATCH("MartialLimitedLegendary",CLASSFEATUREHEADERS,0),MATCH(($A609 &amp; "Points"),CLASSNAMEHEADERS,0))),(IF("03"=(INDEX(ALLCLASSDATA,MATCH("MartialLimitedMaster",CLASSFEATUREHEADERS,0),MATCH($A609,CLASSNAMEHEADERS,0))),(INDEX(ALLCLASSDATA,MATCH("MartialLimitedMaster",CLASSFEATUREHEADERS,0),MATCH(($A609 &amp; "Points"),CLASSNAMEHEADERS,0))),(IF("03"=(INDEX(ALLCLASSDATA,MATCH("MartialLimitedExpert",CLASSFEATUREHEADERS,0),MATCH($A609,CLASSNAMEHEADERS,0))),(INDEX(ALLCLASSDATA,MATCH("MartialLimitedExpert",CLASSFEATUREHEADERS,0),MATCH(($A609 &amp; "Points"),CLASSNAMEHEADERS,0))),(IF("03"=(INDEX(ALLCLASSDATA,MATCH("MartialLimitedTrained",CLASSFEATUREHEADERS,0),MATCH($A609,CLASSNAMEHEADERS,0))),(INDEX(ALLCLASSDATA,MATCH("MartialLimitedTrained",CLASSFEATUREHEADERS,0),MATCH(($A609 &amp; "Points"),CLASSNAMEHEADERS,0))),"")))))))))}</f>
        <v>MARTIALLIMITEDL03</v>
      </c>
      <c r="K608" s="223"/>
      <c r="L608" s="223" t="str">
        <f t="array" ref="L608:L609">{"MARTIALLIMITEDL05";((IF("05"=(INDEX(ALLCLASSDATA,MATCH("MartialLimitedLegendary",CLASSFEATUREHEADERS,0),MATCH($A609,CLASSNAMEHEADERS,0))),(INDEX(ALLCLASSDATA,MATCH("MartialLimitedLegendary",CLASSFEATUREHEADERS,0),MATCH(($A609 &amp; "Points"),CLASSNAMEHEADERS,0))),(IF("05"=(INDEX(ALLCLASSDATA,MATCH("MartialLimitedMaster",CLASSFEATUREHEADERS,0),MATCH($A609,CLASSNAMEHEADERS,0))),(INDEX(ALLCLASSDATA,MATCH("MartialLimitedMaster",CLASSFEATUREHEADERS,0),MATCH(($A609 &amp; "Points"),CLASSNAMEHEADERS,0))),(IF("05"=(INDEX(ALLCLASSDATA,MATCH("MartialLimitedExpert",CLASSFEATUREHEADERS,0),MATCH($A609,CLASSNAMEHEADERS,0))),(INDEX(ALLCLASSDATA,MATCH("MartialLimitedExpert",CLASSFEATUREHEADERS,0),MATCH(($A609 &amp; "Points"),CLASSNAMEHEADERS,0))),(IF("05"=(INDEX(ALLCLASSDATA,MATCH("MartialLimitedTrained",CLASSFEATUREHEADERS,0),MATCH($A609,CLASSNAMEHEADERS,0))),(INDEX(ALLCLASSDATA,MATCH("MartialLimitedTrained",CLASSFEATUREHEADERS,0),MATCH(($A609 &amp; "Points"),CLASSNAMEHEADERS,0))),"")))))))))}</f>
        <v>MARTIALLIMITEDL05</v>
      </c>
      <c r="M608" s="223"/>
      <c r="N608" s="223" t="str">
        <f t="array" ref="N608:N609">{"MARTIALLIMITEDL07";((IF("07"=(INDEX(ALLCLASSDATA,MATCH("MartialLimitedLegendary",CLASSFEATUREHEADERS,0),MATCH($A609,CLASSNAMEHEADERS,0))),(INDEX(ALLCLASSDATA,MATCH("MartialLimitedLegendary",CLASSFEATUREHEADERS,0),MATCH(($A609 &amp; "Points"),CLASSNAMEHEADERS,0))),(IF("07"=(INDEX(ALLCLASSDATA,MATCH("MartialLimitedMaster",CLASSFEATUREHEADERS,0),MATCH($A609,CLASSNAMEHEADERS,0))),(INDEX(ALLCLASSDATA,MATCH("MartialLimitedMaster",CLASSFEATUREHEADERS,0),MATCH(($A609 &amp; "Points"),CLASSNAMEHEADERS,0))),(IF("07"=(INDEX(ALLCLASSDATA,MATCH("MartialLimitedExpert",CLASSFEATUREHEADERS,0),MATCH($A609,CLASSNAMEHEADERS,0))),(INDEX(ALLCLASSDATA,MATCH("MartialLimitedExpert",CLASSFEATUREHEADERS,0),MATCH(($A609 &amp; "Points"),CLASSNAMEHEADERS,0))),(IF("07"=(INDEX(ALLCLASSDATA,MATCH("MartialLimitedTrained",CLASSFEATUREHEADERS,0),MATCH($A609,CLASSNAMEHEADERS,0))),(INDEX(ALLCLASSDATA,MATCH("MartialLimitedTrained",CLASSFEATUREHEADERS,0),MATCH(($A609 &amp; "Points"),CLASSNAMEHEADERS,0))),"")))))))))}</f>
        <v>MARTIALLIMITEDL07</v>
      </c>
      <c r="O608" s="223"/>
      <c r="P608" s="223" t="str">
        <f t="array" ref="P608:P609">{"MARTIALLIMITEDL09";((IF("09"=(INDEX(ALLCLASSDATA,MATCH("MartialLimitedLegendary",CLASSFEATUREHEADERS,0),MATCH($A609,CLASSNAMEHEADERS,0))),(INDEX(ALLCLASSDATA,MATCH("MartialLimitedLegendary",CLASSFEATUREHEADERS,0),MATCH(($A609 &amp; "Points"),CLASSNAMEHEADERS,0))),(IF("09"=(INDEX(ALLCLASSDATA,MATCH("MartialLimitedMaster",CLASSFEATUREHEADERS,0),MATCH($A609,CLASSNAMEHEADERS,0))),(INDEX(ALLCLASSDATA,MATCH("MartialLimitedMaster",CLASSFEATUREHEADERS,0),MATCH(($A609 &amp; "Points"),CLASSNAMEHEADERS,0))),(IF("09"=(INDEX(ALLCLASSDATA,MATCH("MartialLimitedExpert",CLASSFEATUREHEADERS,0),MATCH($A609,CLASSNAMEHEADERS,0))),(INDEX(ALLCLASSDATA,MATCH("MartialLimitedExpert",CLASSFEATUREHEADERS,0),MATCH(($A609 &amp; "Points"),CLASSNAMEHEADERS,0))),(IF("09"=(INDEX(ALLCLASSDATA,MATCH("MartialLimitedTrained",CLASSFEATUREHEADERS,0),MATCH($A609,CLASSNAMEHEADERS,0))),(INDEX(ALLCLASSDATA,MATCH("MartialLimitedTrained",CLASSFEATUREHEADERS,0),MATCH(($A609 &amp; "Points"),CLASSNAMEHEADERS,0))),"")))))))))}</f>
        <v>MARTIALLIMITEDL09</v>
      </c>
      <c r="Q608" s="223"/>
      <c r="R608" s="223" t="str">
        <f t="array" ref="R608:R609">{"MARTIALLIMITEDL11";((IF("11"=(INDEX(ALLCLASSDATA,MATCH("MartialLimitedLegendary",CLASSFEATUREHEADERS,0),MATCH($A609,CLASSNAMEHEADERS,0))),(INDEX(ALLCLASSDATA,MATCH("MartialLimitedLegendary",CLASSFEATUREHEADERS,0),MATCH(($A609 &amp; "Points"),CLASSNAMEHEADERS,0))),(IF("11"=(INDEX(ALLCLASSDATA,MATCH("MartialLimitedMaster",CLASSFEATUREHEADERS,0),MATCH($A609,CLASSNAMEHEADERS,0))),(INDEX(ALLCLASSDATA,MATCH("MartialLimitedMaster",CLASSFEATUREHEADERS,0),MATCH(($A609 &amp; "Points"),CLASSNAMEHEADERS,0))),(IF("11"=(INDEX(ALLCLASSDATA,MATCH("MartialLimitedExpert",CLASSFEATUREHEADERS,0),MATCH($A609,CLASSNAMEHEADERS,0))),(INDEX(ALLCLASSDATA,MATCH("MartialLimitedExpert",CLASSFEATUREHEADERS,0),MATCH(($A609 &amp; "Points"),CLASSNAMEHEADERS,0))),(IF("11"=(INDEX(ALLCLASSDATA,MATCH("MartialLimitedTrained",CLASSFEATUREHEADERS,0),MATCH($A609,CLASSNAMEHEADERS,0))),(INDEX(ALLCLASSDATA,MATCH("MartialLimitedTrained",CLASSFEATUREHEADERS,0),MATCH(($A609 &amp; "Points"),CLASSNAMEHEADERS,0))),"")))))))))}</f>
        <v>MARTIALLIMITEDL11</v>
      </c>
      <c r="S608" s="223"/>
      <c r="T608" s="223" t="str">
        <f t="array" ref="T608:T609">{"MARTIALLIMITEDL13";((IF("13"=(INDEX(ALLCLASSDATA,MATCH("MartialLimitedLegendary",CLASSFEATUREHEADERS,0),MATCH($A609,CLASSNAMEHEADERS,0))),(INDEX(ALLCLASSDATA,MATCH("MartialLimitedLegendary",CLASSFEATUREHEADERS,0),MATCH(($A609 &amp; "Points"),CLASSNAMEHEADERS,0))),(IF("13"=(INDEX(ALLCLASSDATA,MATCH("MartialLimitedMaster",CLASSFEATUREHEADERS,0),MATCH($A609,CLASSNAMEHEADERS,0))),(INDEX(ALLCLASSDATA,MATCH("MartialLimitedMaster",CLASSFEATUREHEADERS,0),MATCH(($A609 &amp; "Points"),CLASSNAMEHEADERS,0))),(IF("13"=(INDEX(ALLCLASSDATA,MATCH("MartialLimitedExpert",CLASSFEATUREHEADERS,0),MATCH($A609,CLASSNAMEHEADERS,0))),(INDEX(ALLCLASSDATA,MATCH("MartialLimitedExpert",CLASSFEATUREHEADERS,0),MATCH(($A609 &amp; "Points"),CLASSNAMEHEADERS,0))),(IF("13"=(INDEX(ALLCLASSDATA,MATCH("MartialLimitedTrained",CLASSFEATUREHEADERS,0),MATCH($A609,CLASSNAMEHEADERS,0))),(INDEX(ALLCLASSDATA,MATCH("MartialLimitedTrained",CLASSFEATUREHEADERS,0),MATCH(($A609 &amp; "Points"),CLASSNAMEHEADERS,0))),"")))))))))}</f>
        <v>MARTIALLIMITEDL13</v>
      </c>
      <c r="U608" s="223"/>
      <c r="V608" s="223" t="str">
        <f t="array" ref="V608:V609">{"MARTIALLIMITEDL15";((IF("15"=(INDEX(ALLCLASSDATA,MATCH("MartialLimitedLegendary",CLASSFEATUREHEADERS,0),MATCH($A609,CLASSNAMEHEADERS,0))),(INDEX(ALLCLASSDATA,MATCH("MartialLimitedLegendary",CLASSFEATUREHEADERS,0),MATCH(($A609 &amp; "Points"),CLASSNAMEHEADERS,0))),(IF("15"=(INDEX(ALLCLASSDATA,MATCH("MartialLimitedMaster",CLASSFEATUREHEADERS,0),MATCH($A609,CLASSNAMEHEADERS,0))),(INDEX(ALLCLASSDATA,MATCH("MartialLimitedMaster",CLASSFEATUREHEADERS,0),MATCH(($A609 &amp; "Points"),CLASSNAMEHEADERS,0))),(IF("15"=(INDEX(ALLCLASSDATA,MATCH("MartialLimitedExpert",CLASSFEATUREHEADERS,0),MATCH($A609,CLASSNAMEHEADERS,0))),(INDEX(ALLCLASSDATA,MATCH("MartialLimitedExpert",CLASSFEATUREHEADERS,0),MATCH(($A609 &amp; "Points"),CLASSNAMEHEADERS,0))),(IF("15"=(INDEX(ALLCLASSDATA,MATCH("MartialLimitedTrained",CLASSFEATUREHEADERS,0),MATCH($A609,CLASSNAMEHEADERS,0))),(INDEX(ALLCLASSDATA,MATCH("MartialLimitedTrained",CLASSFEATUREHEADERS,0),MATCH(($A609 &amp; "Points"),CLASSNAMEHEADERS,0))),"")))))))))}</f>
        <v>MARTIALLIMITEDL15</v>
      </c>
      <c r="W608" s="223"/>
      <c r="X608" s="223" t="str">
        <f t="array" ref="X608:X609">{"MARTIALLIMITEDL17";((IF("17"=(INDEX(ALLCLASSDATA,MATCH("MartialLimitedLegendary",CLASSFEATUREHEADERS,0),MATCH($A609,CLASSNAMEHEADERS,0))),(INDEX(ALLCLASSDATA,MATCH("MartialLimitedLegendary",CLASSFEATUREHEADERS,0),MATCH(($A609 &amp; "Points"),CLASSNAMEHEADERS,0))),(IF("17"=(INDEX(ALLCLASSDATA,MATCH("MartialLimitedMaster",CLASSFEATUREHEADERS,0),MATCH($A609,CLASSNAMEHEADERS,0))),(INDEX(ALLCLASSDATA,MATCH("MartialLimitedMaster",CLASSFEATUREHEADERS,0),MATCH(($A609 &amp; "Points"),CLASSNAMEHEADERS,0))),(IF("17"=(INDEX(ALLCLASSDATA,MATCH("MartialLimitedExpert",CLASSFEATUREHEADERS,0),MATCH($A609,CLASSNAMEHEADERS,0))),(INDEX(ALLCLASSDATA,MATCH("MartialLimitedExpert",CLASSFEATUREHEADERS,0),MATCH(($A609 &amp; "Points"),CLASSNAMEHEADERS,0))),(IF("17"=(INDEX(ALLCLASSDATA,MATCH("MartialLimitedTrained",CLASSFEATUREHEADERS,0),MATCH($A609,CLASSNAMEHEADERS,0))),(INDEX(ALLCLASSDATA,MATCH("MartialLimitedTrained",CLASSFEATUREHEADERS,0),MATCH(($A609 &amp; "Points"),CLASSNAMEHEADERS,0))),"")))))))))}</f>
        <v>MARTIALLIMITEDL17</v>
      </c>
      <c r="Y608" s="223"/>
      <c r="Z608" s="223" t="str">
        <f t="array" ref="Z608:Z609">{"MARTIALLIMITEDL19";((IF("19"=(INDEX(ALLCLASSDATA,MATCH("MartialLimitedLegendary",CLASSFEATUREHEADERS,0),MATCH($A609,CLASSNAMEHEADERS,0))),(INDEX(ALLCLASSDATA,MATCH("MartialLimitedLegendary",CLASSFEATUREHEADERS,0),MATCH(($A609 &amp; "Points"),CLASSNAMEHEADERS,0))),(IF("19"=(INDEX(ALLCLASSDATA,MATCH("MartialLimitedMaster",CLASSFEATUREHEADERS,0),MATCH($A609,CLASSNAMEHEADERS,0))),(INDEX(ALLCLASSDATA,MATCH("MartialLimitedMaster",CLASSFEATUREHEADERS,0),MATCH(($A609 &amp; "Points"),CLASSNAMEHEADERS,0))),(IF("19"=(INDEX(ALLCLASSDATA,MATCH("MartialLimitedExpert",CLASSFEATUREHEADERS,0),MATCH($A609,CLASSNAMEHEADERS,0))),(INDEX(ALLCLASSDATA,MATCH("MartialLimitedExpert",CLASSFEATUREHEADERS,0),MATCH(($A609 &amp; "Points"),CLASSNAMEHEADERS,0))),(IF("19"=(INDEX(ALLCLASSDATA,MATCH("MartialLimitedTrained",CLASSFEATUREHEADERS,0),MATCH($A609,CLASSNAMEHEADERS,0))),(INDEX(ALLCLASSDATA,MATCH("MartialLimitedTrained",CLASSFEATUREHEADERS,0),MATCH(($A609 &amp; "Points"),CLASSNAMEHEADERS,0))),"")))))))))}</f>
        <v>MARTIALLIMITEDL19</v>
      </c>
      <c r="AA608" s="223"/>
      <c r="AB608" s="76" t="str">
        <f t="array" ref="AB608:AB609">{"MARTIALLIMITED TOTAL";(IF(COUNTBLANK(G609:AA609)=17,"L",(IF(COUNTBLANK(G609:AA609)=18,"M",(IF(COUNTBLANK(G609:AA609)=19,"E",(IF(COUNTBLANK(G609:AA609)=20,"T",""))))))))}</f>
        <v>MARTIALLIMITED TOTAL</v>
      </c>
      <c r="AC608" s="76" t="str">
        <f t="array" ref="AC608:AC609">{"MARTIALLIMITED TOTAL";(sum(G609:AA609))}</f>
        <v>MARTIALLIMITED TOTAL</v>
      </c>
    </row>
    <row r="609">
      <c r="A609" s="48" t="s">
        <v>144</v>
      </c>
      <c r="B609" s="48"/>
      <c r="C609" s="48" t="s">
        <v>409</v>
      </c>
      <c r="D609" s="48" t="s">
        <v>1634</v>
      </c>
      <c r="E609" s="48" t="s">
        <v>600</v>
      </c>
      <c r="F609" s="5" t="s">
        <v>603</v>
      </c>
      <c r="G609" s="47" t="s">
        <v>603</v>
      </c>
      <c r="H609" s="5" t="s">
        <v>603</v>
      </c>
      <c r="I609" s="5"/>
      <c r="J609" s="5" t="s">
        <v>603</v>
      </c>
      <c r="K609" s="5"/>
      <c r="L609" s="5" t="s">
        <v>603</v>
      </c>
      <c r="M609" s="5"/>
      <c r="N609" s="5" t="s">
        <v>603</v>
      </c>
      <c r="O609" s="5"/>
      <c r="P609" s="5" t="s">
        <v>603</v>
      </c>
      <c r="Q609" s="5"/>
      <c r="R609" s="5" t="s">
        <v>603</v>
      </c>
      <c r="S609" s="5"/>
      <c r="T609" s="5" t="s">
        <v>603</v>
      </c>
      <c r="U609" s="5"/>
      <c r="V609" s="5" t="s">
        <v>603</v>
      </c>
      <c r="W609" s="5"/>
      <c r="X609" s="5" t="s">
        <v>603</v>
      </c>
      <c r="Y609" s="5"/>
      <c r="Z609" s="5" t="s">
        <v>603</v>
      </c>
      <c r="AA609" s="5"/>
      <c r="AB609" s="5" t="s">
        <v>603</v>
      </c>
      <c r="AC609" s="47">
        <v>0.0</v>
      </c>
    </row>
    <row r="610" hidden="1">
      <c r="A610" s="222" t="str">
        <f t="array" ref="A610:A611">{"FormulaRow31";(INDEX(CLASSLIST,A549,1))}</f>
        <v>FormulaRow31</v>
      </c>
      <c r="B610" s="77" t="s">
        <v>236</v>
      </c>
      <c r="C610" s="222" t="str">
        <f t="array" ref="C610:C611">{"CLASSTYPE";((INDEX(ALLCLASSDATA,MATCH("ClassType",CLASSFEATUREHEADERS,0),MATCH($A611,CLASSNAMEHEADERS,0))))}</f>
        <v>CLASSTYPE</v>
      </c>
      <c r="D610" s="222" t="str">
        <f t="array" ref="D610:D611">{"ATTACK";"Attack"}</f>
        <v>ATTACK</v>
      </c>
      <c r="E610" s="222" t="str">
        <f t="array" ref="E610:E611">{"MARTIAL";"Martial"}</f>
        <v>MARTIAL</v>
      </c>
      <c r="F610" s="223" t="str">
        <f t="array" ref="F610:F611">{"MARTIALINITIAL";((IF(H611=10,"T",(IF(H611=50,"E","")))))}</f>
        <v>MARTIALINITIAL</v>
      </c>
      <c r="G610" s="223" t="str">
        <f t="array" ref="G610:G611">{"MARTIALINITIALPTS";((IF("00"=(INDEX(ALLCLASSDATA,MATCH("MartialLegendary",CLASSFEATUREHEADERS,0),MATCH($A611,CLASSNAMEHEADERS,0))),(INDEX(ALLCLASSDATA,MATCH("MartialLegendary",CLASSFEATUREHEADERS,0),MATCH(($A611 &amp; "Points"),CLASSNAMEHEADERS,0))),(IF("00"=(INDEX(ALLCLASSDATA,MATCH("MartialMaster",CLASSFEATUREHEADERS,0),MATCH($A611,CLASSNAMEHEADERS,0))),(INDEX(ALLCLASSDATA,MATCH("MartialMaster",CLASSFEATUREHEADERS,0),MATCH(($A611 &amp; "Points"),CLASSNAMEHEADERS,0))),(IF("00"=(INDEX(ALLCLASSDATA,MATCH("MartialExpert",CLASSFEATUREHEADERS,0),MATCH($A611,CLASSNAMEHEADERS,0))),(INDEX(ALLCLASSDATA,MATCH("MartialExpert",CLASSFEATUREHEADERS,0),MATCH(($A611 &amp; "Points"),CLASSNAMEHEADERS,0))),(IF("00"=(INDEX(ALLCLASSDATA,MATCH("MartialTrained",CLASSFEATUREHEADERS,0),MATCH($A611,CLASSNAMEHEADERS,0))),(INDEX(ALLCLASSDATA,MATCH("MartialTrained",CLASSFEATUREHEADERS,0),MATCH(($A611 &amp; "Points"),CLASSNAMEHEADERS,0))),"")))))))))}</f>
        <v>MARTIALINITIALPTS</v>
      </c>
      <c r="H610" s="223" t="str">
        <f t="array" ref="H610:H611">{"MARTIALL01";((IF("01"=(INDEX(ALLCLASSDATA,MATCH("MartialLegendary",CLASSFEATUREHEADERS,0),MATCH($A611,CLASSNAMEHEADERS,0))),(INDEX(ALLCLASSDATA,MATCH("MartialLegendary",CLASSFEATUREHEADERS,0),MATCH(($A611 &amp; "Points"),CLASSNAMEHEADERS,0))),(IF("01"=(INDEX(ALLCLASSDATA,MATCH("MartialMaster",CLASSFEATUREHEADERS,0),MATCH($A611,CLASSNAMEHEADERS,0))),(INDEX(ALLCLASSDATA,MATCH("MartialMaster",CLASSFEATUREHEADERS,0),MATCH(($A611 &amp; "Points"),CLASSNAMEHEADERS,0))),(IF("01"=(INDEX(ALLCLASSDATA,MATCH("MartialExpert",CLASSFEATUREHEADERS,0),MATCH($A611,CLASSNAMEHEADERS,0))),(INDEX(ALLCLASSDATA,MATCH("MartialExpert",CLASSFEATUREHEADERS,0),MATCH(($A611 &amp; "Points"),CLASSNAMEHEADERS,0))),(IF("01"=(INDEX(ALLCLASSDATA,MATCH("MartialTrained",CLASSFEATUREHEADERS,0),MATCH($A611,CLASSNAMEHEADERS,0))),(INDEX(ALLCLASSDATA,MATCH("MartialTrained",CLASSFEATUREHEADERS,0),MATCH(($A611 &amp; "Points"),CLASSNAMEHEADERS,0))),"")))))))))}</f>
        <v>MARTIALL01</v>
      </c>
      <c r="I610" s="223"/>
      <c r="J610" s="223" t="str">
        <f t="array" ref="J610:J611">{"MARTIALL03";((IF("03"=(INDEX(ALLCLASSDATA,MATCH("MartialLegendary",CLASSFEATUREHEADERS,0),MATCH($A611,CLASSNAMEHEADERS,0))),(INDEX(ALLCLASSDATA,MATCH("MartialLegendary",CLASSFEATUREHEADERS,0),MATCH(($A611 &amp; "Points"),CLASSNAMEHEADERS,0))),(IF("03"=(INDEX(ALLCLASSDATA,MATCH("MartialMaster",CLASSFEATUREHEADERS,0),MATCH($A611,CLASSNAMEHEADERS,0))),(INDEX(ALLCLASSDATA,MATCH("MartialMaster",CLASSFEATUREHEADERS,0),MATCH(($A611 &amp; "Points"),CLASSNAMEHEADERS,0))),(IF("03"=(INDEX(ALLCLASSDATA,MATCH("MartialExpert",CLASSFEATUREHEADERS,0),MATCH($A611,CLASSNAMEHEADERS,0))),(INDEX(ALLCLASSDATA,MATCH("MartialExpert",CLASSFEATUREHEADERS,0),MATCH(($A611 &amp; "Points"),CLASSNAMEHEADERS,0))),(IF("03"=(INDEX(ALLCLASSDATA,MATCH("MartialTrained",CLASSFEATUREHEADERS,0),MATCH($A611,CLASSNAMEHEADERS,0))),(INDEX(ALLCLASSDATA,MATCH("MartialTrained",CLASSFEATUREHEADERS,0),MATCH(($A611 &amp; "Points"),CLASSNAMEHEADERS,0))),"")))))))))}</f>
        <v>MARTIALL03</v>
      </c>
      <c r="K610" s="223"/>
      <c r="L610" s="223" t="str">
        <f t="array" ref="L610:L611">{"MARTIALL05";((IF("05"=(INDEX(ALLCLASSDATA,MATCH("MartialLegendary",CLASSFEATUREHEADERS,0),MATCH($A611,CLASSNAMEHEADERS,0))),(INDEX(ALLCLASSDATA,MATCH("MartialLegendary",CLASSFEATUREHEADERS,0),MATCH(($A611 &amp; "Points"),CLASSNAMEHEADERS,0))),(IF("05"=(INDEX(ALLCLASSDATA,MATCH("MartialMaster",CLASSFEATUREHEADERS,0),MATCH($A611,CLASSNAMEHEADERS,0))),(INDEX(ALLCLASSDATA,MATCH("MartialMaster",CLASSFEATUREHEADERS,0),MATCH(($A611 &amp; "Points"),CLASSNAMEHEADERS,0))),(IF("05"=(INDEX(ALLCLASSDATA,MATCH("MartialExpert",CLASSFEATUREHEADERS,0),MATCH($A611,CLASSNAMEHEADERS,0))),(INDEX(ALLCLASSDATA,MATCH("MartialExpert",CLASSFEATUREHEADERS,0),MATCH(($A611 &amp; "Points"),CLASSNAMEHEADERS,0))),(IF("05"=(INDEX(ALLCLASSDATA,MATCH("MartialTrained",CLASSFEATUREHEADERS,0),MATCH($A611,CLASSNAMEHEADERS,0))),(INDEX(ALLCLASSDATA,MATCH("MartialTrained",CLASSFEATUREHEADERS,0),MATCH(($A611 &amp; "Points"),CLASSNAMEHEADERS,0))),"")))))))))}</f>
        <v>MARTIALL05</v>
      </c>
      <c r="M610" s="223"/>
      <c r="N610" s="223" t="str">
        <f t="array" ref="N610:N611">{"MARTIALL07";((IF("07"=(INDEX(ALLCLASSDATA,MATCH("MartialLegendary",CLASSFEATUREHEADERS,0),MATCH($A611,CLASSNAMEHEADERS,0))),(INDEX(ALLCLASSDATA,MATCH("MartialLegendary",CLASSFEATUREHEADERS,0),MATCH(($A611 &amp; "Points"),CLASSNAMEHEADERS,0))),(IF("07"=(INDEX(ALLCLASSDATA,MATCH("MartialMaster",CLASSFEATUREHEADERS,0),MATCH($A611,CLASSNAMEHEADERS,0))),(INDEX(ALLCLASSDATA,MATCH("MartialMaster",CLASSFEATUREHEADERS,0),MATCH(($A611 &amp; "Points"),CLASSNAMEHEADERS,0))),(IF("07"=(INDEX(ALLCLASSDATA,MATCH("MartialExpert",CLASSFEATUREHEADERS,0),MATCH($A611,CLASSNAMEHEADERS,0))),(INDEX(ALLCLASSDATA,MATCH("MartialExpert",CLASSFEATUREHEADERS,0),MATCH(($A611 &amp; "Points"),CLASSNAMEHEADERS,0))),(IF("07"=(INDEX(ALLCLASSDATA,MATCH("MartialTrained",CLASSFEATUREHEADERS,0),MATCH($A611,CLASSNAMEHEADERS,0))),(INDEX(ALLCLASSDATA,MATCH("MartialTrained",CLASSFEATUREHEADERS,0),MATCH(($A611 &amp; "Points"),CLASSNAMEHEADERS,0))),"")))))))))}</f>
        <v>MARTIALL07</v>
      </c>
      <c r="O610" s="223"/>
      <c r="P610" s="223" t="str">
        <f t="array" ref="P610:P611">{"MARTIALL09";((IF("09"=(INDEX(ALLCLASSDATA,MATCH("MartialLegendary",CLASSFEATUREHEADERS,0),MATCH($A611,CLASSNAMEHEADERS,0))),(INDEX(ALLCLASSDATA,MATCH("MartialLegendary",CLASSFEATUREHEADERS,0),MATCH(($A611 &amp; "Points"),CLASSNAMEHEADERS,0))),(IF("09"=(INDEX(ALLCLASSDATA,MATCH("MartialMaster",CLASSFEATUREHEADERS,0),MATCH($A611,CLASSNAMEHEADERS,0))),(INDEX(ALLCLASSDATA,MATCH("MartialMaster",CLASSFEATUREHEADERS,0),MATCH(($A611 &amp; "Points"),CLASSNAMEHEADERS,0))),(IF("09"=(INDEX(ALLCLASSDATA,MATCH("MartialExpert",CLASSFEATUREHEADERS,0),MATCH($A611,CLASSNAMEHEADERS,0))),(INDEX(ALLCLASSDATA,MATCH("MartialExpert",CLASSFEATUREHEADERS,0),MATCH(($A611 &amp; "Points"),CLASSNAMEHEADERS,0))),(IF("09"=(INDEX(ALLCLASSDATA,MATCH("MartialTrained",CLASSFEATUREHEADERS,0),MATCH($A611,CLASSNAMEHEADERS,0))),(INDEX(ALLCLASSDATA,MATCH("MartialTrained",CLASSFEATUREHEADERS,0),MATCH(($A611 &amp; "Points"),CLASSNAMEHEADERS,0))),"")))))))))}</f>
        <v>MARTIALL09</v>
      </c>
      <c r="Q610" s="223"/>
      <c r="R610" s="223" t="str">
        <f t="array" ref="R610:R611">{"MARTIALL11";((IF("11"=(INDEX(ALLCLASSDATA,MATCH("MartialLegendary",CLASSFEATUREHEADERS,0),MATCH($A611,CLASSNAMEHEADERS,0))),(INDEX(ALLCLASSDATA,MATCH("MartialLegendary",CLASSFEATUREHEADERS,0),MATCH(($A611 &amp; "Points"),CLASSNAMEHEADERS,0))),(IF("11"=(INDEX(ALLCLASSDATA,MATCH("MartialMaster",CLASSFEATUREHEADERS,0),MATCH($A611,CLASSNAMEHEADERS,0))),(INDEX(ALLCLASSDATA,MATCH("MartialMaster",CLASSFEATUREHEADERS,0),MATCH(($A611 &amp; "Points"),CLASSNAMEHEADERS,0))),(IF("11"=(INDEX(ALLCLASSDATA,MATCH("MartialExpert",CLASSFEATUREHEADERS,0),MATCH($A611,CLASSNAMEHEADERS,0))),(INDEX(ALLCLASSDATA,MATCH("MartialExpert",CLASSFEATUREHEADERS,0),MATCH(($A611 &amp; "Points"),CLASSNAMEHEADERS,0))),(IF("11"=(INDEX(ALLCLASSDATA,MATCH("MartialTrained",CLASSFEATUREHEADERS,0),MATCH($A611,CLASSNAMEHEADERS,0))),(INDEX(ALLCLASSDATA,MATCH("MartialTrained",CLASSFEATUREHEADERS,0),MATCH(($A611 &amp; "Points"),CLASSNAMEHEADERS,0))),"")))))))))}</f>
        <v>MARTIALL11</v>
      </c>
      <c r="S610" s="223"/>
      <c r="T610" s="223" t="str">
        <f t="array" ref="T610:T611">{"MARTIALL13";((IF("13"=(INDEX(ALLCLASSDATA,MATCH("MartialLegendary",CLASSFEATUREHEADERS,0),MATCH($A611,CLASSNAMEHEADERS,0))),(INDEX(ALLCLASSDATA,MATCH("MartialLegendary",CLASSFEATUREHEADERS,0),MATCH(($A611 &amp; "Points"),CLASSNAMEHEADERS,0))),(IF("13"=(INDEX(ALLCLASSDATA,MATCH("MartialMaster",CLASSFEATUREHEADERS,0),MATCH($A611,CLASSNAMEHEADERS,0))),(INDEX(ALLCLASSDATA,MATCH("MartialMaster",CLASSFEATUREHEADERS,0),MATCH(($A611 &amp; "Points"),CLASSNAMEHEADERS,0))),(IF("13"=(INDEX(ALLCLASSDATA,MATCH("MartialExpert",CLASSFEATUREHEADERS,0),MATCH($A611,CLASSNAMEHEADERS,0))),(INDEX(ALLCLASSDATA,MATCH("MartialExpert",CLASSFEATUREHEADERS,0),MATCH(($A611 &amp; "Points"),CLASSNAMEHEADERS,0))),(IF("13"=(INDEX(ALLCLASSDATA,MATCH("MartialTrained",CLASSFEATUREHEADERS,0),MATCH($A611,CLASSNAMEHEADERS,0))),(INDEX(ALLCLASSDATA,MATCH("MartialTrained",CLASSFEATUREHEADERS,0),MATCH(($A611 &amp; "Points"),CLASSNAMEHEADERS,0))),"")))))))))}</f>
        <v>MARTIALL13</v>
      </c>
      <c r="U610" s="223"/>
      <c r="V610" s="223" t="str">
        <f t="array" ref="V610:V611">{"MARTIALL15";((IF("15"=(INDEX(ALLCLASSDATA,MATCH("MartialLegendary",CLASSFEATUREHEADERS,0),MATCH($A611,CLASSNAMEHEADERS,0))),(INDEX(ALLCLASSDATA,MATCH("MartialLegendary",CLASSFEATUREHEADERS,0),MATCH(($A611 &amp; "Points"),CLASSNAMEHEADERS,0))),(IF("15"=(INDEX(ALLCLASSDATA,MATCH("MartialMaster",CLASSFEATUREHEADERS,0),MATCH($A611,CLASSNAMEHEADERS,0))),(INDEX(ALLCLASSDATA,MATCH("MartialMaster",CLASSFEATUREHEADERS,0),MATCH(($A611 &amp; "Points"),CLASSNAMEHEADERS,0))),(IF("15"=(INDEX(ALLCLASSDATA,MATCH("MartialExpert",CLASSFEATUREHEADERS,0),MATCH($A611,CLASSNAMEHEADERS,0))),(INDEX(ALLCLASSDATA,MATCH("MartialExpert",CLASSFEATUREHEADERS,0),MATCH(($A611 &amp; "Points"),CLASSNAMEHEADERS,0))),(IF("15"=(INDEX(ALLCLASSDATA,MATCH("MartialTrained",CLASSFEATUREHEADERS,0),MATCH($A611,CLASSNAMEHEADERS,0))),(INDEX(ALLCLASSDATA,MATCH("MartialTrained",CLASSFEATUREHEADERS,0),MATCH(($A611 &amp; "Points"),CLASSNAMEHEADERS,0))),"")))))))))}</f>
        <v>MARTIALL15</v>
      </c>
      <c r="W610" s="223"/>
      <c r="X610" s="223" t="str">
        <f t="array" ref="X610:X611">{"MARTIALL17";((IF("17"=(INDEX(ALLCLASSDATA,MATCH("MartialLegendary",CLASSFEATUREHEADERS,0),MATCH($A611,CLASSNAMEHEADERS,0))),(INDEX(ALLCLASSDATA,MATCH("MartialLegendary",CLASSFEATUREHEADERS,0),MATCH(($A611 &amp; "Points"),CLASSNAMEHEADERS,0))),(IF("17"=(INDEX(ALLCLASSDATA,MATCH("MartialMaster",CLASSFEATUREHEADERS,0),MATCH($A611,CLASSNAMEHEADERS,0))),(INDEX(ALLCLASSDATA,MATCH("MartialMaster",CLASSFEATUREHEADERS,0),MATCH(($A611 &amp; "Points"),CLASSNAMEHEADERS,0))),(IF("17"=(INDEX(ALLCLASSDATA,MATCH("MartialExpert",CLASSFEATUREHEADERS,0),MATCH($A611,CLASSNAMEHEADERS,0))),(INDEX(ALLCLASSDATA,MATCH("MartialExpert",CLASSFEATUREHEADERS,0),MATCH(($A611 &amp; "Points"),CLASSNAMEHEADERS,0))),(IF("17"=(INDEX(ALLCLASSDATA,MATCH("MartialTrained",CLASSFEATUREHEADERS,0),MATCH($A611,CLASSNAMEHEADERS,0))),(INDEX(ALLCLASSDATA,MATCH("MartialTrained",CLASSFEATUREHEADERS,0),MATCH(($A611 &amp; "Points"),CLASSNAMEHEADERS,0))),"")))))))))}</f>
        <v>MARTIALL17</v>
      </c>
      <c r="Y610" s="223"/>
      <c r="Z610" s="223" t="str">
        <f t="array" ref="Z610:Z611">{"MARTIALL19";((IF("19"=(INDEX(ALLCLASSDATA,MATCH("MartialLegendary",CLASSFEATUREHEADERS,0),MATCH($A611,CLASSNAMEHEADERS,0))),(INDEX(ALLCLASSDATA,MATCH("MartialLegendary",CLASSFEATUREHEADERS,0),MATCH(($A611 &amp; "Points"),CLASSNAMEHEADERS,0))),(IF("19"=(INDEX(ALLCLASSDATA,MATCH("MartialMaster",CLASSFEATUREHEADERS,0),MATCH($A611,CLASSNAMEHEADERS,0))),(INDEX(ALLCLASSDATA,MATCH("MartialMaster",CLASSFEATUREHEADERS,0),MATCH(($A611 &amp; "Points"),CLASSNAMEHEADERS,0))),(IF("19"=(INDEX(ALLCLASSDATA,MATCH("MartialExpert",CLASSFEATUREHEADERS,0),MATCH($A611,CLASSNAMEHEADERS,0))),(INDEX(ALLCLASSDATA,MATCH("MartialExpert",CLASSFEATUREHEADERS,0),MATCH(($A611 &amp; "Points"),CLASSNAMEHEADERS,0))),(IF("19"=(INDEX(ALLCLASSDATA,MATCH("MartialTrained",CLASSFEATUREHEADERS,0),MATCH($A611,CLASSNAMEHEADERS,0))),(INDEX(ALLCLASSDATA,MATCH("MartialTrained",CLASSFEATUREHEADERS,0),MATCH(($A611 &amp; "Points"),CLASSNAMEHEADERS,0))),"")))))))))}</f>
        <v>MARTIALL19</v>
      </c>
      <c r="AA610" s="223"/>
      <c r="AB610" s="76" t="str">
        <f t="array" ref="AB610:AB611">{"MARTIAL TOTAL";(IF(COUNTBLANK(G611:AA611)=17,"L",(IF(COUNTBLANK(G611:AA611)=18,"M",(IF(COUNTBLANK(G611:AA611)=19,"E",(IF(COUNTBLANK(G611:AA611)=20,"T",""))))))))}</f>
        <v>MARTIAL TOTAL</v>
      </c>
      <c r="AC610" s="76" t="str">
        <f t="array" ref="AC610:AC611">{"MARTIAL TOTAL";(sum(G611:AA611))}</f>
        <v>MARTIAL TOTAL</v>
      </c>
    </row>
    <row r="611">
      <c r="A611" s="48" t="s">
        <v>144</v>
      </c>
      <c r="B611" s="48"/>
      <c r="C611" s="48" t="s">
        <v>409</v>
      </c>
      <c r="D611" s="48" t="s">
        <v>1634</v>
      </c>
      <c r="E611" s="48" t="s">
        <v>6</v>
      </c>
      <c r="F611" s="5" t="s">
        <v>435</v>
      </c>
      <c r="G611" s="47" t="s">
        <v>603</v>
      </c>
      <c r="H611" s="5">
        <v>10.0</v>
      </c>
      <c r="I611" s="5"/>
      <c r="J611" s="5" t="s">
        <v>603</v>
      </c>
      <c r="K611" s="5"/>
      <c r="L611" s="5">
        <v>50.0</v>
      </c>
      <c r="M611" s="5"/>
      <c r="N611" s="5" t="s">
        <v>603</v>
      </c>
      <c r="O611" s="5"/>
      <c r="P611" s="5" t="s">
        <v>603</v>
      </c>
      <c r="Q611" s="48"/>
      <c r="R611" s="5" t="s">
        <v>603</v>
      </c>
      <c r="S611" s="5"/>
      <c r="T611" s="5">
        <v>110.0</v>
      </c>
      <c r="U611" s="5"/>
      <c r="V611" s="5" t="s">
        <v>603</v>
      </c>
      <c r="W611" s="5"/>
      <c r="X611" s="5" t="s">
        <v>603</v>
      </c>
      <c r="Y611" s="5"/>
      <c r="Z611" s="5" t="s">
        <v>603</v>
      </c>
      <c r="AA611" s="5"/>
      <c r="AB611" s="5" t="s">
        <v>437</v>
      </c>
      <c r="AC611" s="47">
        <v>170.0</v>
      </c>
    </row>
    <row r="612" hidden="1">
      <c r="A612" s="222" t="str">
        <f t="array" ref="A612:A613">{"FormulaRow32";(INDEX(CLASSLIST,A549,1))}</f>
        <v>FormulaRow32</v>
      </c>
      <c r="B612" s="77" t="s">
        <v>236</v>
      </c>
      <c r="C612" s="222" t="str">
        <f t="array" ref="C612:C613">{"CLASSTYPE";((INDEX(ALLCLASSDATA,MATCH("ClassType",CLASSFEATUREHEADERS,0),MATCH($A613,CLASSNAMEHEADERS,0))))}</f>
        <v>CLASSTYPE</v>
      </c>
      <c r="D612" s="222" t="str">
        <f t="array" ref="D612:D613">{"ATTACK";"Attack"}</f>
        <v>ATTACK</v>
      </c>
      <c r="E612" s="222" t="str">
        <f t="array" ref="E612:E613">{"ADVANCEDGROUP";"AdvancedGroup"}</f>
        <v>ADVANCEDGROUP</v>
      </c>
      <c r="F612" s="223" t="str">
        <f t="array" ref="F612:F613">{"ADVANCEDGROUPINITIAL";((IF(H613=10,"T",(IF(H613=50,"E","")))))}</f>
        <v>ADVANCEDGROUPINITIAL</v>
      </c>
      <c r="G612" s="223" t="str">
        <f t="array" ref="G612:G613">{"ADVANCEDGROUPINITIALPTS";((IF("00"=(INDEX(ALLCLASSDATA,MATCH("AdvancedGroupLegendary",CLASSFEATUREHEADERS,0),MATCH($A613,CLASSNAMEHEADERS,0))),(INDEX(ALLCLASSDATA,MATCH("AdvancedGroupLegendary",CLASSFEATUREHEADERS,0),MATCH(($A613 &amp; "Points"),CLASSNAMEHEADERS,0))),(IF("00"=(INDEX(ALLCLASSDATA,MATCH("AdvancedGroupMaster",CLASSFEATUREHEADERS,0),MATCH($A613,CLASSNAMEHEADERS,0))),(INDEX(ALLCLASSDATA,MATCH("AdvancedGroupMaster",CLASSFEATUREHEADERS,0),MATCH(($A613 &amp; "Points"),CLASSNAMEHEADERS,0))),(IF("00"=(INDEX(ALLCLASSDATA,MATCH("AdvancedGroupExpert",CLASSFEATUREHEADERS,0),MATCH($A613,CLASSNAMEHEADERS,0))),(INDEX(ALLCLASSDATA,MATCH("AdvancedGroupExpert",CLASSFEATUREHEADERS,0),MATCH(($A613 &amp; "Points"),CLASSNAMEHEADERS,0))),(IF("00"=(INDEX(ALLCLASSDATA,MATCH("AdvancedGroupTrained",CLASSFEATUREHEADERS,0),MATCH($A613,CLASSNAMEHEADERS,0))),(INDEX(ALLCLASSDATA,MATCH("AdvancedGroupTrained",CLASSFEATUREHEADERS,0),MATCH(($A613 &amp; "Points"),CLASSNAMEHEADERS,0))),"")))))))))}</f>
        <v>ADVANCEDGROUPINITIALPTS</v>
      </c>
      <c r="H612" s="223" t="str">
        <f t="array" ref="H612:H613">{"ADVANCEDGROUPL01";((IF("01"=(INDEX(ALLCLASSDATA,MATCH("AdvancedGroupLegendary",CLASSFEATUREHEADERS,0),MATCH($A613,CLASSNAMEHEADERS,0))),(INDEX(ALLCLASSDATA,MATCH("AdvancedGroupLegendary",CLASSFEATUREHEADERS,0),MATCH(($A613 &amp; "Points"),CLASSNAMEHEADERS,0))),(IF("01"=(INDEX(ALLCLASSDATA,MATCH("AdvancedGroupMaster",CLASSFEATUREHEADERS,0),MATCH($A613,CLASSNAMEHEADERS,0))),(INDEX(ALLCLASSDATA,MATCH("AdvancedGroupMaster",CLASSFEATUREHEADERS,0),MATCH(($A613 &amp; "Points"),CLASSNAMEHEADERS,0))),(IF("01"=(INDEX(ALLCLASSDATA,MATCH("AdvancedGroupExpert",CLASSFEATUREHEADERS,0),MATCH($A613,CLASSNAMEHEADERS,0))),(INDEX(ALLCLASSDATA,MATCH("AdvancedGroupExpert",CLASSFEATUREHEADERS,0),MATCH(($A613 &amp; "Points"),CLASSNAMEHEADERS,0))),(IF("01"=(INDEX(ALLCLASSDATA,MATCH("AdvancedGroupTrained",CLASSFEATUREHEADERS,0),MATCH($A613,CLASSNAMEHEADERS,0))),(INDEX(ALLCLASSDATA,MATCH("AdvancedGroupTrained",CLASSFEATUREHEADERS,0),MATCH(($A613 &amp; "Points"),CLASSNAMEHEADERS,0))),"")))))))))}</f>
        <v>ADVANCEDGROUPL01</v>
      </c>
      <c r="I612" s="223"/>
      <c r="J612" s="223" t="str">
        <f t="array" ref="J612:J613">{"ADVANCEDGROUPL03";((IF("03"=(INDEX(ALLCLASSDATA,MATCH("AdvancedGroupLegendary",CLASSFEATUREHEADERS,0),MATCH($A613,CLASSNAMEHEADERS,0))),(INDEX(ALLCLASSDATA,MATCH("AdvancedGroupLegendary",CLASSFEATUREHEADERS,0),MATCH(($A613 &amp; "Points"),CLASSNAMEHEADERS,0))),(IF("03"=(INDEX(ALLCLASSDATA,MATCH("AdvancedGroupMaster",CLASSFEATUREHEADERS,0),MATCH($A613,CLASSNAMEHEADERS,0))),(INDEX(ALLCLASSDATA,MATCH("AdvancedGroupMaster",CLASSFEATUREHEADERS,0),MATCH(($A613 &amp; "Points"),CLASSNAMEHEADERS,0))),(IF("03"=(INDEX(ALLCLASSDATA,MATCH("AdvancedGroupExpert",CLASSFEATUREHEADERS,0),MATCH($A613,CLASSNAMEHEADERS,0))),(INDEX(ALLCLASSDATA,MATCH("AdvancedGroupExpert",CLASSFEATUREHEADERS,0),MATCH(($A613 &amp; "Points"),CLASSNAMEHEADERS,0))),(IF("03"=(INDEX(ALLCLASSDATA,MATCH("AdvancedGroupTrained",CLASSFEATUREHEADERS,0),MATCH($A613,CLASSNAMEHEADERS,0))),(INDEX(ALLCLASSDATA,MATCH("AdvancedGroupTrained",CLASSFEATUREHEADERS,0),MATCH(($A613 &amp; "Points"),CLASSNAMEHEADERS,0))),"")))))))))}</f>
        <v>ADVANCEDGROUPL03</v>
      </c>
      <c r="K612" s="223"/>
      <c r="L612" s="223" t="str">
        <f t="array" ref="L612:L613">{"ADVANCEDGROUPL05";((IF("05"=(INDEX(ALLCLASSDATA,MATCH("AdvancedGroupLegendary",CLASSFEATUREHEADERS,0),MATCH($A613,CLASSNAMEHEADERS,0))),(INDEX(ALLCLASSDATA,MATCH("AdvancedGroupLegendary",CLASSFEATUREHEADERS,0),MATCH(($A613 &amp; "Points"),CLASSNAMEHEADERS,0))),(IF("05"=(INDEX(ALLCLASSDATA,MATCH("AdvancedGroupMaster",CLASSFEATUREHEADERS,0),MATCH($A613,CLASSNAMEHEADERS,0))),(INDEX(ALLCLASSDATA,MATCH("AdvancedGroupMaster",CLASSFEATUREHEADERS,0),MATCH(($A613 &amp; "Points"),CLASSNAMEHEADERS,0))),(IF("05"=(INDEX(ALLCLASSDATA,MATCH("AdvancedGroupExpert",CLASSFEATUREHEADERS,0),MATCH($A613,CLASSNAMEHEADERS,0))),(INDEX(ALLCLASSDATA,MATCH("AdvancedGroupExpert",CLASSFEATUREHEADERS,0),MATCH(($A613 &amp; "Points"),CLASSNAMEHEADERS,0))),(IF("05"=(INDEX(ALLCLASSDATA,MATCH("AdvancedGroupTrained",CLASSFEATUREHEADERS,0),MATCH($A613,CLASSNAMEHEADERS,0))),(INDEX(ALLCLASSDATA,MATCH("AdvancedGroupTrained",CLASSFEATUREHEADERS,0),MATCH(($A613 &amp; "Points"),CLASSNAMEHEADERS,0))),"")))))))))}</f>
        <v>ADVANCEDGROUPL05</v>
      </c>
      <c r="M612" s="223"/>
      <c r="N612" s="223" t="str">
        <f t="array" ref="N612:N613">{"ADVANCEDGROUPL07";((IF("07"=(INDEX(ALLCLASSDATA,MATCH("AdvancedGroupLegendary",CLASSFEATUREHEADERS,0),MATCH($A613,CLASSNAMEHEADERS,0))),(INDEX(ALLCLASSDATA,MATCH("AdvancedGroupLegendary",CLASSFEATUREHEADERS,0),MATCH(($A613 &amp; "Points"),CLASSNAMEHEADERS,0))),(IF("07"=(INDEX(ALLCLASSDATA,MATCH("AdvancedGroupMaster",CLASSFEATUREHEADERS,0),MATCH($A613,CLASSNAMEHEADERS,0))),(INDEX(ALLCLASSDATA,MATCH("AdvancedGroupMaster",CLASSFEATUREHEADERS,0),MATCH(($A613 &amp; "Points"),CLASSNAMEHEADERS,0))),(IF("07"=(INDEX(ALLCLASSDATA,MATCH("AdvancedGroupExpert",CLASSFEATUREHEADERS,0),MATCH($A613,CLASSNAMEHEADERS,0))),(INDEX(ALLCLASSDATA,MATCH("AdvancedGroupExpert",CLASSFEATUREHEADERS,0),MATCH(($A613 &amp; "Points"),CLASSNAMEHEADERS,0))),(IF("07"=(INDEX(ALLCLASSDATA,MATCH("AdvancedGroupTrained",CLASSFEATUREHEADERS,0),MATCH($A613,CLASSNAMEHEADERS,0))),(INDEX(ALLCLASSDATA,MATCH("AdvancedGroupTrained",CLASSFEATUREHEADERS,0),MATCH(($A613 &amp; "Points"),CLASSNAMEHEADERS,0))),"")))))))))}</f>
        <v>ADVANCEDGROUPL07</v>
      </c>
      <c r="O612" s="223"/>
      <c r="P612" s="223" t="str">
        <f t="array" ref="P612:P613">{"ADVANCEDGROUPL09";((IF("09"=(INDEX(ALLCLASSDATA,MATCH("AdvancedGroupLegendary",CLASSFEATUREHEADERS,0),MATCH($A613,CLASSNAMEHEADERS,0))),(INDEX(ALLCLASSDATA,MATCH("AdvancedGroupLegendary",CLASSFEATUREHEADERS,0),MATCH(($A613 &amp; "Points"),CLASSNAMEHEADERS,0))),(IF("09"=(INDEX(ALLCLASSDATA,MATCH("AdvancedGroupMaster",CLASSFEATUREHEADERS,0),MATCH($A613,CLASSNAMEHEADERS,0))),(INDEX(ALLCLASSDATA,MATCH("AdvancedGroupMaster",CLASSFEATUREHEADERS,0),MATCH(($A613 &amp; "Points"),CLASSNAMEHEADERS,0))),(IF("09"=(INDEX(ALLCLASSDATA,MATCH("AdvancedGroupExpert",CLASSFEATUREHEADERS,0),MATCH($A613,CLASSNAMEHEADERS,0))),(INDEX(ALLCLASSDATA,MATCH("AdvancedGroupExpert",CLASSFEATUREHEADERS,0),MATCH(($A613 &amp; "Points"),CLASSNAMEHEADERS,0))),(IF("09"=(INDEX(ALLCLASSDATA,MATCH("AdvancedGroupTrained",CLASSFEATUREHEADERS,0),MATCH($A613,CLASSNAMEHEADERS,0))),(INDEX(ALLCLASSDATA,MATCH("AdvancedGroupTrained",CLASSFEATUREHEADERS,0),MATCH(($A613 &amp; "Points"),CLASSNAMEHEADERS,0))),"")))))))))}</f>
        <v>ADVANCEDGROUPL09</v>
      </c>
      <c r="Q612" s="223"/>
      <c r="R612" s="223" t="str">
        <f t="array" ref="R612:R613">{"ADVANCEDGROUPL11";((IF("11"=(INDEX(ALLCLASSDATA,MATCH("AdvancedGroupLegendary",CLASSFEATUREHEADERS,0),MATCH($A613,CLASSNAMEHEADERS,0))),(INDEX(ALLCLASSDATA,MATCH("AdvancedGroupLegendary",CLASSFEATUREHEADERS,0),MATCH(($A613 &amp; "Points"),CLASSNAMEHEADERS,0))),(IF("11"=(INDEX(ALLCLASSDATA,MATCH("AdvancedGroupMaster",CLASSFEATUREHEADERS,0),MATCH($A613,CLASSNAMEHEADERS,0))),(INDEX(ALLCLASSDATA,MATCH("AdvancedGroupMaster",CLASSFEATUREHEADERS,0),MATCH(($A613 &amp; "Points"),CLASSNAMEHEADERS,0))),(IF("11"=(INDEX(ALLCLASSDATA,MATCH("AdvancedGroupExpert",CLASSFEATUREHEADERS,0),MATCH($A613,CLASSNAMEHEADERS,0))),(INDEX(ALLCLASSDATA,MATCH("AdvancedGroupExpert",CLASSFEATUREHEADERS,0),MATCH(($A613 &amp; "Points"),CLASSNAMEHEADERS,0))),(IF("11"=(INDEX(ALLCLASSDATA,MATCH("AdvancedGroupTrained",CLASSFEATUREHEADERS,0),MATCH($A613,CLASSNAMEHEADERS,0))),(INDEX(ALLCLASSDATA,MATCH("AdvancedGroupTrained",CLASSFEATUREHEADERS,0),MATCH(($A613 &amp; "Points"),CLASSNAMEHEADERS,0))),"")))))))))}</f>
        <v>ADVANCEDGROUPL11</v>
      </c>
      <c r="S612" s="223"/>
      <c r="T612" s="223" t="str">
        <f t="array" ref="T612:T613">{"ADVANCEDGROUPL13";((IF("13"=(INDEX(ALLCLASSDATA,MATCH("AdvancedGroupLegendary",CLASSFEATUREHEADERS,0),MATCH($A613,CLASSNAMEHEADERS,0))),(INDEX(ALLCLASSDATA,MATCH("AdvancedGroupLegendary",CLASSFEATUREHEADERS,0),MATCH(($A613 &amp; "Points"),CLASSNAMEHEADERS,0))),(IF("13"=(INDEX(ALLCLASSDATA,MATCH("AdvancedGroupMaster",CLASSFEATUREHEADERS,0),MATCH($A613,CLASSNAMEHEADERS,0))),(INDEX(ALLCLASSDATA,MATCH("AdvancedGroupMaster",CLASSFEATUREHEADERS,0),MATCH(($A613 &amp; "Points"),CLASSNAMEHEADERS,0))),(IF("13"=(INDEX(ALLCLASSDATA,MATCH("AdvancedGroupExpert",CLASSFEATUREHEADERS,0),MATCH($A613,CLASSNAMEHEADERS,0))),(INDEX(ALLCLASSDATA,MATCH("AdvancedGroupExpert",CLASSFEATUREHEADERS,0),MATCH(($A613 &amp; "Points"),CLASSNAMEHEADERS,0))),(IF("13"=(INDEX(ALLCLASSDATA,MATCH("AdvancedGroupTrained",CLASSFEATUREHEADERS,0),MATCH($A613,CLASSNAMEHEADERS,0))),(INDEX(ALLCLASSDATA,MATCH("AdvancedGroupTrained",CLASSFEATUREHEADERS,0),MATCH(($A613 &amp; "Points"),CLASSNAMEHEADERS,0))),"")))))))))}</f>
        <v>ADVANCEDGROUPL13</v>
      </c>
      <c r="U612" s="223"/>
      <c r="V612" s="223" t="str">
        <f t="array" ref="V612:V613">{"ADVANCEDGROUPL15";((IF("15"=(INDEX(ALLCLASSDATA,MATCH("AdvancedGroupLegendary",CLASSFEATUREHEADERS,0),MATCH($A613,CLASSNAMEHEADERS,0))),(INDEX(ALLCLASSDATA,MATCH("AdvancedGroupLegendary",CLASSFEATUREHEADERS,0),MATCH(($A613 &amp; "Points"),CLASSNAMEHEADERS,0))),(IF("15"=(INDEX(ALLCLASSDATA,MATCH("AdvancedGroupMaster",CLASSFEATUREHEADERS,0),MATCH($A613,CLASSNAMEHEADERS,0))),(INDEX(ALLCLASSDATA,MATCH("AdvancedGroupMaster",CLASSFEATUREHEADERS,0),MATCH(($A613 &amp; "Points"),CLASSNAMEHEADERS,0))),(IF("15"=(INDEX(ALLCLASSDATA,MATCH("AdvancedGroupExpert",CLASSFEATUREHEADERS,0),MATCH($A613,CLASSNAMEHEADERS,0))),(INDEX(ALLCLASSDATA,MATCH("AdvancedGroupExpert",CLASSFEATUREHEADERS,0),MATCH(($A613 &amp; "Points"),CLASSNAMEHEADERS,0))),(IF("15"=(INDEX(ALLCLASSDATA,MATCH("AdvancedGroupTrained",CLASSFEATUREHEADERS,0),MATCH($A613,CLASSNAMEHEADERS,0))),(INDEX(ALLCLASSDATA,MATCH("AdvancedGroupTrained",CLASSFEATUREHEADERS,0),MATCH(($A613 &amp; "Points"),CLASSNAMEHEADERS,0))),"")))))))))}</f>
        <v>ADVANCEDGROUPL15</v>
      </c>
      <c r="W612" s="223"/>
      <c r="X612" s="223" t="str">
        <f t="array" ref="X612:X613">{"ADVANCEDGROUPL17";((IF("17"=(INDEX(ALLCLASSDATA,MATCH("AdvancedGroupLegendary",CLASSFEATUREHEADERS,0),MATCH($A613,CLASSNAMEHEADERS,0))),(INDEX(ALLCLASSDATA,MATCH("AdvancedGroupLegendary",CLASSFEATUREHEADERS,0),MATCH(($A613 &amp; "Points"),CLASSNAMEHEADERS,0))),(IF("17"=(INDEX(ALLCLASSDATA,MATCH("AdvancedGroupMaster",CLASSFEATUREHEADERS,0),MATCH($A613,CLASSNAMEHEADERS,0))),(INDEX(ALLCLASSDATA,MATCH("AdvancedGroupMaster",CLASSFEATUREHEADERS,0),MATCH(($A613 &amp; "Points"),CLASSNAMEHEADERS,0))),(IF("17"=(INDEX(ALLCLASSDATA,MATCH("AdvancedGroupExpert",CLASSFEATUREHEADERS,0),MATCH($A613,CLASSNAMEHEADERS,0))),(INDEX(ALLCLASSDATA,MATCH("AdvancedGroupExpert",CLASSFEATUREHEADERS,0),MATCH(($A613 &amp; "Points"),CLASSNAMEHEADERS,0))),(IF("17"=(INDEX(ALLCLASSDATA,MATCH("AdvancedGroupTrained",CLASSFEATUREHEADERS,0),MATCH($A613,CLASSNAMEHEADERS,0))),(INDEX(ALLCLASSDATA,MATCH("AdvancedGroupTrained",CLASSFEATUREHEADERS,0),MATCH(($A613 &amp; "Points"),CLASSNAMEHEADERS,0))),"")))))))))}</f>
        <v>ADVANCEDGROUPL17</v>
      </c>
      <c r="Y612" s="223"/>
      <c r="Z612" s="223" t="str">
        <f t="array" ref="Z612:Z613">{"ADVANCEDGROUPL19";((IF("19"=(INDEX(ALLCLASSDATA,MATCH("AdvancedGroupLegendary",CLASSFEATUREHEADERS,0),MATCH($A613,CLASSNAMEHEADERS,0))),(INDEX(ALLCLASSDATA,MATCH("AdvancedGroupLegendary",CLASSFEATUREHEADERS,0),MATCH(($A613 &amp; "Points"),CLASSNAMEHEADERS,0))),(IF("19"=(INDEX(ALLCLASSDATA,MATCH("AdvancedGroupMaster",CLASSFEATUREHEADERS,0),MATCH($A613,CLASSNAMEHEADERS,0))),(INDEX(ALLCLASSDATA,MATCH("AdvancedGroupMaster",CLASSFEATUREHEADERS,0),MATCH(($A613 &amp; "Points"),CLASSNAMEHEADERS,0))),(IF("19"=(INDEX(ALLCLASSDATA,MATCH("AdvancedGroupExpert",CLASSFEATUREHEADERS,0),MATCH($A613,CLASSNAMEHEADERS,0))),(INDEX(ALLCLASSDATA,MATCH("AdvancedGroupExpert",CLASSFEATUREHEADERS,0),MATCH(($A613 &amp; "Points"),CLASSNAMEHEADERS,0))),(IF("19"=(INDEX(ALLCLASSDATA,MATCH("AdvancedGroupTrained",CLASSFEATUREHEADERS,0),MATCH($A613,CLASSNAMEHEADERS,0))),(INDEX(ALLCLASSDATA,MATCH("AdvancedGroupTrained",CLASSFEATUREHEADERS,0),MATCH(($A613 &amp; "Points"),CLASSNAMEHEADERS,0))),"")))))))))}</f>
        <v>ADVANCEDGROUPL19</v>
      </c>
      <c r="AA612" s="223"/>
      <c r="AB612" s="76" t="str">
        <f t="array" ref="AB612:AB613">{"ADVANCEDGROUP TOTAL";(IF(COUNTBLANK(G613:AA613)=17,"L",(IF(COUNTBLANK(G613:AA613)=18,"M",(IF(COUNTBLANK(G613:AA613)=19,"E",(IF(COUNTBLANK(G613:AA613)=20,"T",""))))))))}</f>
        <v>ADVANCEDGROUP TOTAL</v>
      </c>
      <c r="AC612" s="76" t="str">
        <f t="array" ref="AC612:AC613">{"ADVANCEDGROUP TOTAL";(sum(G613:AA613))}</f>
        <v>ADVANCEDGROUP TOTAL</v>
      </c>
    </row>
    <row r="613">
      <c r="A613" s="48" t="s">
        <v>144</v>
      </c>
      <c r="B613" s="48"/>
      <c r="C613" s="48" t="s">
        <v>409</v>
      </c>
      <c r="D613" s="48" t="s">
        <v>1634</v>
      </c>
      <c r="E613" s="48" t="s">
        <v>601</v>
      </c>
      <c r="F613" s="5" t="s">
        <v>603</v>
      </c>
      <c r="G613" s="47" t="s">
        <v>603</v>
      </c>
      <c r="H613" s="5" t="s">
        <v>603</v>
      </c>
      <c r="I613" s="5"/>
      <c r="J613" s="5" t="s">
        <v>603</v>
      </c>
      <c r="K613" s="5"/>
      <c r="L613" s="5" t="s">
        <v>603</v>
      </c>
      <c r="M613" s="5"/>
      <c r="N613" s="5" t="s">
        <v>603</v>
      </c>
      <c r="O613" s="5"/>
      <c r="P613" s="5" t="s">
        <v>603</v>
      </c>
      <c r="Q613" s="5"/>
      <c r="R613" s="5" t="s">
        <v>603</v>
      </c>
      <c r="S613" s="5"/>
      <c r="T613" s="5" t="s">
        <v>603</v>
      </c>
      <c r="U613" s="5"/>
      <c r="V613" s="5" t="s">
        <v>603</v>
      </c>
      <c r="W613" s="5"/>
      <c r="X613" s="5" t="s">
        <v>603</v>
      </c>
      <c r="Y613" s="5"/>
      <c r="Z613" s="5" t="s">
        <v>603</v>
      </c>
      <c r="AA613" s="5"/>
      <c r="AB613" s="5" t="s">
        <v>603</v>
      </c>
      <c r="AC613" s="47">
        <v>0.0</v>
      </c>
    </row>
    <row r="614" hidden="1">
      <c r="A614" s="222" t="str">
        <f t="array" ref="A614:A615">{"FormulaRow33";(INDEX(CLASSLIST,A549,1))}</f>
        <v>FormulaRow33</v>
      </c>
      <c r="B614" s="77" t="s">
        <v>236</v>
      </c>
      <c r="C614" s="222" t="str">
        <f t="array" ref="C614:C615">{"CLASSTYPE";((INDEX(ALLCLASSDATA,MATCH("ClassType",CLASSFEATUREHEADERS,0),MATCH($A615,CLASSNAMEHEADERS,0))))}</f>
        <v>CLASSTYPE</v>
      </c>
      <c r="D614" s="222" t="str">
        <f t="array" ref="D614:D615">{"ATTACK";"Attack"}</f>
        <v>ATTACK</v>
      </c>
      <c r="E614" s="222" t="str">
        <f t="array" ref="E614:E615">{"ADVANCED";"Advanced"}</f>
        <v>ADVANCED</v>
      </c>
      <c r="F614" s="223" t="str">
        <f t="array" ref="F614:F615">{"ADVANCEDINITIAL";((IF(H615=10,"T",(IF(H615=50,"E","")))))}</f>
        <v>ADVANCEDINITIAL</v>
      </c>
      <c r="G614" s="223" t="str">
        <f t="array" ref="G614:G615">{"ADVANCEDINITIALPTS";((IF("00"=(INDEX(ALLCLASSDATA,MATCH("AdvancedLegendary",CLASSFEATUREHEADERS,0),MATCH($A615,CLASSNAMEHEADERS,0))),(INDEX(ALLCLASSDATA,MATCH("AdvancedLegendary",CLASSFEATUREHEADERS,0),MATCH(($A615 &amp; "Points"),CLASSNAMEHEADERS,0))),(IF("00"=(INDEX(ALLCLASSDATA,MATCH("AdvancedMaster",CLASSFEATUREHEADERS,0),MATCH($A615,CLASSNAMEHEADERS,0))),(INDEX(ALLCLASSDATA,MATCH("AdvancedMaster",CLASSFEATUREHEADERS,0),MATCH(($A615 &amp; "Points"),CLASSNAMEHEADERS,0))),(IF("00"=(INDEX(ALLCLASSDATA,MATCH("AdvancedExpert",CLASSFEATUREHEADERS,0),MATCH($A615,CLASSNAMEHEADERS,0))),(INDEX(ALLCLASSDATA,MATCH("AdvancedExpert",CLASSFEATUREHEADERS,0),MATCH(($A615 &amp; "Points"),CLASSNAMEHEADERS,0))),(IF("00"=(INDEX(ALLCLASSDATA,MATCH("AdvancedTrained",CLASSFEATUREHEADERS,0),MATCH($A615,CLASSNAMEHEADERS,0))),(INDEX(ALLCLASSDATA,MATCH("AdvancedTrained",CLASSFEATUREHEADERS,0),MATCH(($A615 &amp; "Points"),CLASSNAMEHEADERS,0))),"")))))))))}</f>
        <v>ADVANCEDINITIALPTS</v>
      </c>
      <c r="H614" s="223" t="str">
        <f t="array" ref="H614:H615">{"ADVANCEDL01";((IF("01"=(INDEX(ALLCLASSDATA,MATCH("AdvancedLegendary",CLASSFEATUREHEADERS,0),MATCH($A615,CLASSNAMEHEADERS,0))),(INDEX(ALLCLASSDATA,MATCH("AdvancedLegendary",CLASSFEATUREHEADERS,0),MATCH(($A615 &amp; "Points"),CLASSNAMEHEADERS,0))),(IF("01"=(INDEX(ALLCLASSDATA,MATCH("AdvancedMaster",CLASSFEATUREHEADERS,0),MATCH($A615,CLASSNAMEHEADERS,0))),(INDEX(ALLCLASSDATA,MATCH("AdvancedMaster",CLASSFEATUREHEADERS,0),MATCH(($A615 &amp; "Points"),CLASSNAMEHEADERS,0))),(IF("01"=(INDEX(ALLCLASSDATA,MATCH("AdvancedExpert",CLASSFEATUREHEADERS,0),MATCH($A615,CLASSNAMEHEADERS,0))),(INDEX(ALLCLASSDATA,MATCH("AdvancedExpert",CLASSFEATUREHEADERS,0),MATCH(($A615 &amp; "Points"),CLASSNAMEHEADERS,0))),(IF("01"=(INDEX(ALLCLASSDATA,MATCH("AdvancedTrained",CLASSFEATUREHEADERS,0),MATCH($A615,CLASSNAMEHEADERS,0))),(INDEX(ALLCLASSDATA,MATCH("AdvancedTrained",CLASSFEATUREHEADERS,0),MATCH(($A615 &amp; "Points"),CLASSNAMEHEADERS,0))),"")))))))))}</f>
        <v>ADVANCEDL01</v>
      </c>
      <c r="I614" s="223"/>
      <c r="J614" s="223" t="str">
        <f t="array" ref="J614:J615">{"ADVANCEDL03";((IF("03"=(INDEX(ALLCLASSDATA,MATCH("AdvancedLegendary",CLASSFEATUREHEADERS,0),MATCH($A615,CLASSNAMEHEADERS,0))),(INDEX(ALLCLASSDATA,MATCH("AdvancedLegendary",CLASSFEATUREHEADERS,0),MATCH(($A615 &amp; "Points"),CLASSNAMEHEADERS,0))),(IF("03"=(INDEX(ALLCLASSDATA,MATCH("AdvancedMaster",CLASSFEATUREHEADERS,0),MATCH($A615,CLASSNAMEHEADERS,0))),(INDEX(ALLCLASSDATA,MATCH("AdvancedMaster",CLASSFEATUREHEADERS,0),MATCH(($A615 &amp; "Points"),CLASSNAMEHEADERS,0))),(IF("03"=(INDEX(ALLCLASSDATA,MATCH("AdvancedExpert",CLASSFEATUREHEADERS,0),MATCH($A615,CLASSNAMEHEADERS,0))),(INDEX(ALLCLASSDATA,MATCH("AdvancedExpert",CLASSFEATUREHEADERS,0),MATCH(($A615 &amp; "Points"),CLASSNAMEHEADERS,0))),(IF("03"=(INDEX(ALLCLASSDATA,MATCH("AdvancedTrained",CLASSFEATUREHEADERS,0),MATCH($A615,CLASSNAMEHEADERS,0))),(INDEX(ALLCLASSDATA,MATCH("AdvancedTrained",CLASSFEATUREHEADERS,0),MATCH(($A615 &amp; "Points"),CLASSNAMEHEADERS,0))),"")))))))))}</f>
        <v>ADVANCEDL03</v>
      </c>
      <c r="K614" s="223"/>
      <c r="L614" s="223" t="str">
        <f t="array" ref="L614:L615">{"ADVANCEDL05";((IF("05"=(INDEX(ALLCLASSDATA,MATCH("AdvancedLegendary",CLASSFEATUREHEADERS,0),MATCH($A615,CLASSNAMEHEADERS,0))),(INDEX(ALLCLASSDATA,MATCH("AdvancedLegendary",CLASSFEATUREHEADERS,0),MATCH(($A615 &amp; "Points"),CLASSNAMEHEADERS,0))),(IF("05"=(INDEX(ALLCLASSDATA,MATCH("AdvancedMaster",CLASSFEATUREHEADERS,0),MATCH($A615,CLASSNAMEHEADERS,0))),(INDEX(ALLCLASSDATA,MATCH("AdvancedMaster",CLASSFEATUREHEADERS,0),MATCH(($A615 &amp; "Points"),CLASSNAMEHEADERS,0))),(IF("05"=(INDEX(ALLCLASSDATA,MATCH("AdvancedExpert",CLASSFEATUREHEADERS,0),MATCH($A615,CLASSNAMEHEADERS,0))),(INDEX(ALLCLASSDATA,MATCH("AdvancedExpert",CLASSFEATUREHEADERS,0),MATCH(($A615 &amp; "Points"),CLASSNAMEHEADERS,0))),(IF("05"=(INDEX(ALLCLASSDATA,MATCH("AdvancedTrained",CLASSFEATUREHEADERS,0),MATCH($A615,CLASSNAMEHEADERS,0))),(INDEX(ALLCLASSDATA,MATCH("AdvancedTrained",CLASSFEATUREHEADERS,0),MATCH(($A615 &amp; "Points"),CLASSNAMEHEADERS,0))),"")))))))))}</f>
        <v>ADVANCEDL05</v>
      </c>
      <c r="M614" s="223"/>
      <c r="N614" s="223" t="str">
        <f t="array" ref="N614:N615">{"ADVANCEDL07";((IF("07"=(INDEX(ALLCLASSDATA,MATCH("AdvancedLegendary",CLASSFEATUREHEADERS,0),MATCH($A615,CLASSNAMEHEADERS,0))),(INDEX(ALLCLASSDATA,MATCH("AdvancedLegendary",CLASSFEATUREHEADERS,0),MATCH(($A615 &amp; "Points"),CLASSNAMEHEADERS,0))),(IF("07"=(INDEX(ALLCLASSDATA,MATCH("AdvancedMaster",CLASSFEATUREHEADERS,0),MATCH($A615,CLASSNAMEHEADERS,0))),(INDEX(ALLCLASSDATA,MATCH("AdvancedMaster",CLASSFEATUREHEADERS,0),MATCH(($A615 &amp; "Points"),CLASSNAMEHEADERS,0))),(IF("07"=(INDEX(ALLCLASSDATA,MATCH("AdvancedExpert",CLASSFEATUREHEADERS,0),MATCH($A615,CLASSNAMEHEADERS,0))),(INDEX(ALLCLASSDATA,MATCH("AdvancedExpert",CLASSFEATUREHEADERS,0),MATCH(($A615 &amp; "Points"),CLASSNAMEHEADERS,0))),(IF("07"=(INDEX(ALLCLASSDATA,MATCH("AdvancedTrained",CLASSFEATUREHEADERS,0),MATCH($A615,CLASSNAMEHEADERS,0))),(INDEX(ALLCLASSDATA,MATCH("AdvancedTrained",CLASSFEATUREHEADERS,0),MATCH(($A615 &amp; "Points"),CLASSNAMEHEADERS,0))),"")))))))))}</f>
        <v>ADVANCEDL07</v>
      </c>
      <c r="O614" s="223"/>
      <c r="P614" s="223" t="str">
        <f t="array" ref="P614:P615">{"ADVANCEDL09";((IF("09"=(INDEX(ALLCLASSDATA,MATCH("AdvancedLegendary",CLASSFEATUREHEADERS,0),MATCH($A615,CLASSNAMEHEADERS,0))),(INDEX(ALLCLASSDATA,MATCH("AdvancedLegendary",CLASSFEATUREHEADERS,0),MATCH(($A615 &amp; "Points"),CLASSNAMEHEADERS,0))),(IF("09"=(INDEX(ALLCLASSDATA,MATCH("AdvancedMaster",CLASSFEATUREHEADERS,0),MATCH($A615,CLASSNAMEHEADERS,0))),(INDEX(ALLCLASSDATA,MATCH("AdvancedMaster",CLASSFEATUREHEADERS,0),MATCH(($A615 &amp; "Points"),CLASSNAMEHEADERS,0))),(IF("09"=(INDEX(ALLCLASSDATA,MATCH("AdvancedExpert",CLASSFEATUREHEADERS,0),MATCH($A615,CLASSNAMEHEADERS,0))),(INDEX(ALLCLASSDATA,MATCH("AdvancedExpert",CLASSFEATUREHEADERS,0),MATCH(($A615 &amp; "Points"),CLASSNAMEHEADERS,0))),(IF("09"=(INDEX(ALLCLASSDATA,MATCH("AdvancedTrained",CLASSFEATUREHEADERS,0),MATCH($A615,CLASSNAMEHEADERS,0))),(INDEX(ALLCLASSDATA,MATCH("AdvancedTrained",CLASSFEATUREHEADERS,0),MATCH(($A615 &amp; "Points"),CLASSNAMEHEADERS,0))),"")))))))))}</f>
        <v>ADVANCEDL09</v>
      </c>
      <c r="Q614" s="223"/>
      <c r="R614" s="223" t="str">
        <f t="array" ref="R614:R615">{"ADVANCEDL11";((IF("11"=(INDEX(ALLCLASSDATA,MATCH("AdvancedLegendary",CLASSFEATUREHEADERS,0),MATCH($A615,CLASSNAMEHEADERS,0))),(INDEX(ALLCLASSDATA,MATCH("AdvancedLegendary",CLASSFEATUREHEADERS,0),MATCH(($A615 &amp; "Points"),CLASSNAMEHEADERS,0))),(IF("11"=(INDEX(ALLCLASSDATA,MATCH("AdvancedMaster",CLASSFEATUREHEADERS,0),MATCH($A615,CLASSNAMEHEADERS,0))),(INDEX(ALLCLASSDATA,MATCH("AdvancedMaster",CLASSFEATUREHEADERS,0),MATCH(($A615 &amp; "Points"),CLASSNAMEHEADERS,0))),(IF("11"=(INDEX(ALLCLASSDATA,MATCH("AdvancedExpert",CLASSFEATUREHEADERS,0),MATCH($A615,CLASSNAMEHEADERS,0))),(INDEX(ALLCLASSDATA,MATCH("AdvancedExpert",CLASSFEATUREHEADERS,0),MATCH(($A615 &amp; "Points"),CLASSNAMEHEADERS,0))),(IF("11"=(INDEX(ALLCLASSDATA,MATCH("AdvancedTrained",CLASSFEATUREHEADERS,0),MATCH($A615,CLASSNAMEHEADERS,0))),(INDEX(ALLCLASSDATA,MATCH("AdvancedTrained",CLASSFEATUREHEADERS,0),MATCH(($A615 &amp; "Points"),CLASSNAMEHEADERS,0))),"")))))))))}</f>
        <v>ADVANCEDL11</v>
      </c>
      <c r="S614" s="223"/>
      <c r="T614" s="223" t="str">
        <f t="array" ref="T614:T615">{"ADVANCEDL13";((IF("13"=(INDEX(ALLCLASSDATA,MATCH("AdvancedLegendary",CLASSFEATUREHEADERS,0),MATCH($A615,CLASSNAMEHEADERS,0))),(INDEX(ALLCLASSDATA,MATCH("AdvancedLegendary",CLASSFEATUREHEADERS,0),MATCH(($A615 &amp; "Points"),CLASSNAMEHEADERS,0))),(IF("13"=(INDEX(ALLCLASSDATA,MATCH("AdvancedMaster",CLASSFEATUREHEADERS,0),MATCH($A615,CLASSNAMEHEADERS,0))),(INDEX(ALLCLASSDATA,MATCH("AdvancedMaster",CLASSFEATUREHEADERS,0),MATCH(($A615 &amp; "Points"),CLASSNAMEHEADERS,0))),(IF("13"=(INDEX(ALLCLASSDATA,MATCH("AdvancedExpert",CLASSFEATUREHEADERS,0),MATCH($A615,CLASSNAMEHEADERS,0))),(INDEX(ALLCLASSDATA,MATCH("AdvancedExpert",CLASSFEATUREHEADERS,0),MATCH(($A615 &amp; "Points"),CLASSNAMEHEADERS,0))),(IF("13"=(INDEX(ALLCLASSDATA,MATCH("AdvancedTrained",CLASSFEATUREHEADERS,0),MATCH($A615,CLASSNAMEHEADERS,0))),(INDEX(ALLCLASSDATA,MATCH("AdvancedTrained",CLASSFEATUREHEADERS,0),MATCH(($A615 &amp; "Points"),CLASSNAMEHEADERS,0))),"")))))))))}</f>
        <v>ADVANCEDL13</v>
      </c>
      <c r="U614" s="223"/>
      <c r="V614" s="223" t="str">
        <f t="array" ref="V614:V615">{"ADVANCEDL15";((IF("15"=(INDEX(ALLCLASSDATA,MATCH("AdvancedLegendary",CLASSFEATUREHEADERS,0),MATCH($A615,CLASSNAMEHEADERS,0))),(INDEX(ALLCLASSDATA,MATCH("AdvancedLegendary",CLASSFEATUREHEADERS,0),MATCH(($A615 &amp; "Points"),CLASSNAMEHEADERS,0))),(IF("15"=(INDEX(ALLCLASSDATA,MATCH("AdvancedMaster",CLASSFEATUREHEADERS,0),MATCH($A615,CLASSNAMEHEADERS,0))),(INDEX(ALLCLASSDATA,MATCH("AdvancedMaster",CLASSFEATUREHEADERS,0),MATCH(($A615 &amp; "Points"),CLASSNAMEHEADERS,0))),(IF("15"=(INDEX(ALLCLASSDATA,MATCH("AdvancedExpert",CLASSFEATUREHEADERS,0),MATCH($A615,CLASSNAMEHEADERS,0))),(INDEX(ALLCLASSDATA,MATCH("AdvancedExpert",CLASSFEATUREHEADERS,0),MATCH(($A615 &amp; "Points"),CLASSNAMEHEADERS,0))),(IF("15"=(INDEX(ALLCLASSDATA,MATCH("AdvancedTrained",CLASSFEATUREHEADERS,0),MATCH($A615,CLASSNAMEHEADERS,0))),(INDEX(ALLCLASSDATA,MATCH("AdvancedTrained",CLASSFEATUREHEADERS,0),MATCH(($A615 &amp; "Points"),CLASSNAMEHEADERS,0))),"")))))))))}</f>
        <v>ADVANCEDL15</v>
      </c>
      <c r="W614" s="223"/>
      <c r="X614" s="223" t="str">
        <f t="array" ref="X614:X615">{"ADVANCEDL17";((IF("17"=(INDEX(ALLCLASSDATA,MATCH("AdvancedLegendary",CLASSFEATUREHEADERS,0),MATCH($A615,CLASSNAMEHEADERS,0))),(INDEX(ALLCLASSDATA,MATCH("AdvancedLegendary",CLASSFEATUREHEADERS,0),MATCH(($A615 &amp; "Points"),CLASSNAMEHEADERS,0))),(IF("17"=(INDEX(ALLCLASSDATA,MATCH("AdvancedMaster",CLASSFEATUREHEADERS,0),MATCH($A615,CLASSNAMEHEADERS,0))),(INDEX(ALLCLASSDATA,MATCH("AdvancedMaster",CLASSFEATUREHEADERS,0),MATCH(($A615 &amp; "Points"),CLASSNAMEHEADERS,0))),(IF("17"=(INDEX(ALLCLASSDATA,MATCH("AdvancedExpert",CLASSFEATUREHEADERS,0),MATCH($A615,CLASSNAMEHEADERS,0))),(INDEX(ALLCLASSDATA,MATCH("AdvancedExpert",CLASSFEATUREHEADERS,0),MATCH(($A615 &amp; "Points"),CLASSNAMEHEADERS,0))),(IF("17"=(INDEX(ALLCLASSDATA,MATCH("AdvancedTrained",CLASSFEATUREHEADERS,0),MATCH($A615,CLASSNAMEHEADERS,0))),(INDEX(ALLCLASSDATA,MATCH("AdvancedTrained",CLASSFEATUREHEADERS,0),MATCH(($A615 &amp; "Points"),CLASSNAMEHEADERS,0))),"")))))))))}</f>
        <v>ADVANCEDL17</v>
      </c>
      <c r="Y614" s="223"/>
      <c r="Z614" s="223" t="str">
        <f t="array" ref="Z614:Z615">{"ADVANCEDL19";((IF("19"=(INDEX(ALLCLASSDATA,MATCH("AdvancedLegendary",CLASSFEATUREHEADERS,0),MATCH($A615,CLASSNAMEHEADERS,0))),(INDEX(ALLCLASSDATA,MATCH("AdvancedLegendary",CLASSFEATUREHEADERS,0),MATCH(($A615 &amp; "Points"),CLASSNAMEHEADERS,0))),(IF("19"=(INDEX(ALLCLASSDATA,MATCH("AdvancedMaster",CLASSFEATUREHEADERS,0),MATCH($A615,CLASSNAMEHEADERS,0))),(INDEX(ALLCLASSDATA,MATCH("AdvancedMaster",CLASSFEATUREHEADERS,0),MATCH(($A615 &amp; "Points"),CLASSNAMEHEADERS,0))),(IF("19"=(INDEX(ALLCLASSDATA,MATCH("AdvancedExpert",CLASSFEATUREHEADERS,0),MATCH($A615,CLASSNAMEHEADERS,0))),(INDEX(ALLCLASSDATA,MATCH("AdvancedExpert",CLASSFEATUREHEADERS,0),MATCH(($A615 &amp; "Points"),CLASSNAMEHEADERS,0))),(IF("19"=(INDEX(ALLCLASSDATA,MATCH("AdvancedTrained",CLASSFEATUREHEADERS,0),MATCH($A615,CLASSNAMEHEADERS,0))),(INDEX(ALLCLASSDATA,MATCH("AdvancedTrained",CLASSFEATUREHEADERS,0),MATCH(($A615 &amp; "Points"),CLASSNAMEHEADERS,0))),"")))))))))}</f>
        <v>ADVANCEDL19</v>
      </c>
      <c r="AA614" s="223"/>
      <c r="AB614" s="76" t="str">
        <f t="array" ref="AB614:AB615">{"ADVANCED TOTAL";(IF(COUNTBLANK(G615:AA615)=17,"L",(IF(COUNTBLANK(G615:AA615)=18,"M",(IF(COUNTBLANK(G615:AA615)=19,"E",(IF(COUNTBLANK(G615:AA615)=20,"T",""))))))))}</f>
        <v>ADVANCED TOTAL</v>
      </c>
      <c r="AC614" s="76" t="str">
        <f t="array" ref="AC614:AC615">{"ADVANCED TOTAL";(sum(G615:AA615))}</f>
        <v>ADVANCED TOTAL</v>
      </c>
    </row>
    <row r="615">
      <c r="A615" s="48" t="s">
        <v>144</v>
      </c>
      <c r="B615" s="48"/>
      <c r="C615" s="48" t="s">
        <v>409</v>
      </c>
      <c r="D615" s="97" t="s">
        <v>1634</v>
      </c>
      <c r="E615" s="97" t="s">
        <v>602</v>
      </c>
      <c r="F615" s="98" t="s">
        <v>603</v>
      </c>
      <c r="G615" s="132" t="s">
        <v>603</v>
      </c>
      <c r="H615" s="98" t="s">
        <v>603</v>
      </c>
      <c r="I615" s="98"/>
      <c r="J615" s="98" t="s">
        <v>603</v>
      </c>
      <c r="K615" s="98"/>
      <c r="L615" s="98" t="s">
        <v>603</v>
      </c>
      <c r="M615" s="98"/>
      <c r="N615" s="98" t="s">
        <v>603</v>
      </c>
      <c r="O615" s="98"/>
      <c r="P615" s="98" t="s">
        <v>603</v>
      </c>
      <c r="Q615" s="98"/>
      <c r="R615" s="98" t="s">
        <v>603</v>
      </c>
      <c r="S615" s="98"/>
      <c r="T615" s="98" t="s">
        <v>603</v>
      </c>
      <c r="U615" s="98"/>
      <c r="V615" s="98" t="s">
        <v>603</v>
      </c>
      <c r="W615" s="98"/>
      <c r="X615" s="98" t="s">
        <v>603</v>
      </c>
      <c r="Y615" s="98"/>
      <c r="Z615" s="98" t="s">
        <v>603</v>
      </c>
      <c r="AA615" s="98"/>
      <c r="AB615" s="5" t="s">
        <v>603</v>
      </c>
      <c r="AC615" s="47">
        <v>0.0</v>
      </c>
    </row>
    <row r="616" hidden="1">
      <c r="A616" s="222" t="str">
        <f t="array" ref="A616:A617">{"FormulaRow34";(INDEX(CLASSLIST,A549,1))}</f>
        <v>FormulaRow34</v>
      </c>
      <c r="B616" s="77" t="s">
        <v>236</v>
      </c>
      <c r="C616" s="222" t="str">
        <f t="array" ref="C616:C617">{"CLASSTYPE";((INDEX(ALLCLASSDATA,MATCH("ClassType",CLASSFEATUREHEADERS,0),MATCH($A617,CLASSNAMEHEADERS,0))))}</f>
        <v>CLASSTYPE</v>
      </c>
      <c r="D616" s="222" t="str">
        <f t="array" ref="D616:D617">{"DEFENSE";"Defense"}</f>
        <v>DEFENSE</v>
      </c>
      <c r="E616" s="222" t="str">
        <f t="array" ref="E616:E617">{"ARMORSPECIAL";"ArmorAS"}</f>
        <v>ARMORSPECIAL</v>
      </c>
      <c r="F616" s="223"/>
      <c r="G616" s="223"/>
      <c r="H616" s="223" t="str">
        <f t="array" ref="H616:H617">{"ARMORSPECIALL01";((IF("01"=INDEX(ALLCLASSDATA,MATCH("ArmorSpecialization",CLASSFEATUREHEADERS,0),MATCH($A617,CLASSNAMEHEADERS,0)),ArmorAS,"")))}</f>
        <v>ARMORSPECIALL01</v>
      </c>
      <c r="I616" s="223"/>
      <c r="J616" s="223" t="str">
        <f t="array" ref="J616:J617">{"ARMORSPECIALL03";((IF("03"=INDEX(ALLCLASSDATA,MATCH("ArmorSpecialization",CLASSFEATUREHEADERS,0),MATCH($A617,CLASSNAMEHEADERS,0)),ArmorAS,"")))}</f>
        <v>ARMORSPECIALL03</v>
      </c>
      <c r="K616" s="223"/>
      <c r="L616" s="223" t="str">
        <f t="array" ref="L616:L617">{"ARMORSPECIALL05";((IF("05"=INDEX(ALLCLASSDATA,MATCH("ArmorSpecialization",CLASSFEATUREHEADERS,0),MATCH($A617,CLASSNAMEHEADERS,0)),ArmorAS,"")))}</f>
        <v>ARMORSPECIALL05</v>
      </c>
      <c r="M616" s="223"/>
      <c r="N616" s="223" t="str">
        <f t="array" ref="N616:N617">{"ARMORSPECIALL07";((IF("07"=INDEX(ALLCLASSDATA,MATCH("ArmorSpecialization",CLASSFEATUREHEADERS,0),MATCH($A617,CLASSNAMEHEADERS,0)),ArmorAS,"")))}</f>
        <v>ARMORSPECIALL07</v>
      </c>
      <c r="O616" s="223"/>
      <c r="P616" s="223" t="str">
        <f t="array" ref="P616:P617">{"ARMORSPECIALL09";((IF("09"=INDEX(ALLCLASSDATA,MATCH("ArmorSpecialization",CLASSFEATUREHEADERS,0),MATCH($A617,CLASSNAMEHEADERS,0)),ArmorAS,"")))}</f>
        <v>ARMORSPECIALL09</v>
      </c>
      <c r="Q616" s="223"/>
      <c r="R616" s="223" t="str">
        <f t="array" ref="R616:R617">{"ARMORSPECIALL11";((IF("11"=INDEX(ALLCLASSDATA,MATCH("ArmorSpecialization",CLASSFEATUREHEADERS,0),MATCH($A617,CLASSNAMEHEADERS,0)),ArmorAS,"")))}</f>
        <v>ARMORSPECIALL11</v>
      </c>
      <c r="S616" s="223"/>
      <c r="T616" s="223" t="str">
        <f t="array" ref="T616:T617">{"ARMORSPECIALL13";((IF("13"=INDEX(ALLCLASSDATA,MATCH("ArmorSpecialization",CLASSFEATUREHEADERS,0),MATCH($A617,CLASSNAMEHEADERS,0)),ArmorAS,"")))}</f>
        <v>ARMORSPECIALL13</v>
      </c>
      <c r="U616" s="223"/>
      <c r="V616" s="223" t="str">
        <f t="array" ref="V616:V617">{"ARMORSPECIALL15";((IF("15"=INDEX(ALLCLASSDATA,MATCH("ArmorSpecialization",CLASSFEATUREHEADERS,0),MATCH($A617,CLASSNAMEHEADERS,0)),ArmorAS,"")))}</f>
        <v>ARMORSPECIALL15</v>
      </c>
      <c r="W616" s="223"/>
      <c r="X616" s="223" t="str">
        <f t="array" ref="X616:X617">{"ARMORSPECIALL17";((IF("17"=INDEX(ALLCLASSDATA,MATCH("ArmorSpecialization",CLASSFEATUREHEADERS,0),MATCH($A617,CLASSNAMEHEADERS,0)),ArmorAS,"")))}</f>
        <v>ARMORSPECIALL17</v>
      </c>
      <c r="Y616" s="223"/>
      <c r="Z616" s="223" t="str">
        <f t="array" ref="Z616:Z617">{"ARMORSPECIALL19";((IF("19"=INDEX(ALLCLASSDATA,MATCH("ArmorSpecialization",CLASSFEATUREHEADERS,0),MATCH($A617,CLASSNAMEHEADERS,0)),ArmorAS,"")))}</f>
        <v>ARMORSPECIALL19</v>
      </c>
      <c r="AA616" s="223"/>
      <c r="AB616" s="76"/>
      <c r="AC616" s="76" t="str">
        <f t="array" ref="AC616:AC617">{"ARMORSPECIAL TOTAL";(sum(G617:AA617))}</f>
        <v>ARMORSPECIAL TOTAL</v>
      </c>
    </row>
    <row r="617">
      <c r="A617" s="48" t="s">
        <v>144</v>
      </c>
      <c r="B617" s="48"/>
      <c r="C617" s="48" t="s">
        <v>409</v>
      </c>
      <c r="D617" s="48" t="s">
        <v>1900</v>
      </c>
      <c r="E617" s="48" t="s">
        <v>51</v>
      </c>
      <c r="F617" s="5"/>
      <c r="G617" s="47"/>
      <c r="H617" s="5" t="s">
        <v>603</v>
      </c>
      <c r="I617" s="5"/>
      <c r="J617" s="5" t="s">
        <v>603</v>
      </c>
      <c r="K617" s="5"/>
      <c r="L617" s="5" t="s">
        <v>603</v>
      </c>
      <c r="M617" s="5"/>
      <c r="N617" s="5" t="s">
        <v>603</v>
      </c>
      <c r="O617" s="5"/>
      <c r="P617" s="5" t="s">
        <v>603</v>
      </c>
      <c r="Q617" s="5"/>
      <c r="R617" s="5" t="s">
        <v>603</v>
      </c>
      <c r="S617" s="5"/>
      <c r="T617" s="5" t="s">
        <v>603</v>
      </c>
      <c r="U617" s="5"/>
      <c r="V617" s="5" t="s">
        <v>603</v>
      </c>
      <c r="W617" s="5"/>
      <c r="X617" s="5" t="s">
        <v>603</v>
      </c>
      <c r="Y617" s="5"/>
      <c r="Z617" s="5" t="s">
        <v>603</v>
      </c>
      <c r="AA617" s="5"/>
      <c r="AB617" s="5"/>
      <c r="AC617" s="47">
        <v>0.0</v>
      </c>
    </row>
    <row r="618" hidden="1">
      <c r="A618" s="222" t="str">
        <f t="array" ref="A618:A619">{"FormulaRow35";(INDEX(CLASSLIST,A549,1))}</f>
        <v>FormulaRow35</v>
      </c>
      <c r="B618" s="77" t="s">
        <v>236</v>
      </c>
      <c r="C618" s="222" t="str">
        <f t="array" ref="C618:C619">{"CLASSTYPE";((INDEX(ALLCLASSDATA,MATCH("ClassType",CLASSFEATUREHEADERS,0),MATCH($A619,CLASSNAMEHEADERS,0))))}</f>
        <v>CLASSTYPE</v>
      </c>
      <c r="D618" s="222" t="str">
        <f t="array" ref="D618:D619">{"DEFENSE";"Defense"}</f>
        <v>DEFENSE</v>
      </c>
      <c r="E618" s="222" t="str">
        <f t="array" ref="E618:E619">{"UNARMORED";"Unarmored"}</f>
        <v>UNARMORED</v>
      </c>
      <c r="F618" s="223" t="str">
        <f t="array" ref="F618:F619">{"UNARMOREDINITIAL";((IF(H619=10,"T",(IF(H619=50,"E","")))))}</f>
        <v>UNARMOREDINITIAL</v>
      </c>
      <c r="G618" s="223" t="str">
        <f t="array" ref="G618:G619">{"UNARMOREDINITIALPTS";((IF("00"=(INDEX(ALLCLASSDATA,MATCH("UnarmoredLegendary",CLASSFEATUREHEADERS,0),MATCH($A619,CLASSNAMEHEADERS,0))),(INDEX(ALLCLASSDATA,MATCH("UnarmoredLegendary",CLASSFEATUREHEADERS,0),MATCH(($A619 &amp; "Points"),CLASSNAMEHEADERS,0))),(IF("00"=(INDEX(ALLCLASSDATA,MATCH("UnarmoredMaster",CLASSFEATUREHEADERS,0),MATCH($A619,CLASSNAMEHEADERS,0))),(INDEX(ALLCLASSDATA,MATCH("UnarmoredMaster",CLASSFEATUREHEADERS,0),MATCH(($A619 &amp; "Points"),CLASSNAMEHEADERS,0))),(IF("00"=(INDEX(ALLCLASSDATA,MATCH("UnarmoredExpert",CLASSFEATUREHEADERS,0),MATCH($A619,CLASSNAMEHEADERS,0))),(INDEX(ALLCLASSDATA,MATCH("UnarmoredExpert",CLASSFEATUREHEADERS,0),MATCH(($A619 &amp; "Points"),CLASSNAMEHEADERS,0))),(IF("00"=(INDEX(ALLCLASSDATA,MATCH("UnarmoredTrained",CLASSFEATUREHEADERS,0),MATCH($A619,CLASSNAMEHEADERS,0))),(INDEX(ALLCLASSDATA,MATCH("UnarmoredTrained",CLASSFEATUREHEADERS,0),MATCH(($A619 &amp; "Points"),CLASSNAMEHEADERS,0))),"")))))))))}</f>
        <v>UNARMOREDINITIALPTS</v>
      </c>
      <c r="H618" s="223" t="str">
        <f t="array" ref="H618:H619">{"UNARMOREDL01";((IF("01"=(INDEX(ALLCLASSDATA,MATCH("UnarmoredLegendary",CLASSFEATUREHEADERS,0),MATCH($A619,CLASSNAMEHEADERS,0))),(INDEX(ALLCLASSDATA,MATCH("UnarmoredLegendary",CLASSFEATUREHEADERS,0),MATCH(($A619 &amp; "Points"),CLASSNAMEHEADERS,0))),(IF("01"=(INDEX(ALLCLASSDATA,MATCH("UnarmoredMaster",CLASSFEATUREHEADERS,0),MATCH($A619,CLASSNAMEHEADERS,0))),(INDEX(ALLCLASSDATA,MATCH("UnarmoredMaster",CLASSFEATUREHEADERS,0),MATCH(($A619 &amp; "Points"),CLASSNAMEHEADERS,0))),(IF("01"=(INDEX(ALLCLASSDATA,MATCH("UnarmoredExpert",CLASSFEATUREHEADERS,0),MATCH($A619,CLASSNAMEHEADERS,0))),(INDEX(ALLCLASSDATA,MATCH("UnarmoredExpert",CLASSFEATUREHEADERS,0),MATCH(($A619 &amp; "Points"),CLASSNAMEHEADERS,0))),(IF("01"=(INDEX(ALLCLASSDATA,MATCH("UnarmoredTrained",CLASSFEATUREHEADERS,0),MATCH($A619,CLASSNAMEHEADERS,0))),(INDEX(ALLCLASSDATA,MATCH("UnarmoredTrained",CLASSFEATUREHEADERS,0),MATCH(($A619 &amp; "Points"),CLASSNAMEHEADERS,0))),"")))))))))}</f>
        <v>UNARMOREDL01</v>
      </c>
      <c r="I618" s="223"/>
      <c r="J618" s="223" t="str">
        <f t="array" ref="J618:J619">{"UNARMOREDL03";((IF("03"=(INDEX(ALLCLASSDATA,MATCH("UnarmoredLegendary",CLASSFEATUREHEADERS,0),MATCH($A619,CLASSNAMEHEADERS,0))),(INDEX(ALLCLASSDATA,MATCH("UnarmoredLegendary",CLASSFEATUREHEADERS,0),MATCH(($A619 &amp; "Points"),CLASSNAMEHEADERS,0))),(IF("03"=(INDEX(ALLCLASSDATA,MATCH("UnarmoredMaster",CLASSFEATUREHEADERS,0),MATCH($A619,CLASSNAMEHEADERS,0))),(INDEX(ALLCLASSDATA,MATCH("UnarmoredMaster",CLASSFEATUREHEADERS,0),MATCH(($A619 &amp; "Points"),CLASSNAMEHEADERS,0))),(IF("03"=(INDEX(ALLCLASSDATA,MATCH("UnarmoredExpert",CLASSFEATUREHEADERS,0),MATCH($A619,CLASSNAMEHEADERS,0))),(INDEX(ALLCLASSDATA,MATCH("UnarmoredExpert",CLASSFEATUREHEADERS,0),MATCH(($A619 &amp; "Points"),CLASSNAMEHEADERS,0))),(IF("03"=(INDEX(ALLCLASSDATA,MATCH("UnarmoredTrained",CLASSFEATUREHEADERS,0),MATCH($A619,CLASSNAMEHEADERS,0))),(INDEX(ALLCLASSDATA,MATCH("UnarmoredTrained",CLASSFEATUREHEADERS,0),MATCH(($A619 &amp; "Points"),CLASSNAMEHEADERS,0))),"")))))))))}</f>
        <v>UNARMOREDL03</v>
      </c>
      <c r="K618" s="223"/>
      <c r="L618" s="223" t="str">
        <f t="array" ref="L618:L619">{"UNARMOREDL05";((IF("05"=(INDEX(ALLCLASSDATA,MATCH("UnarmoredLegendary",CLASSFEATUREHEADERS,0),MATCH($A619,CLASSNAMEHEADERS,0))),(INDEX(ALLCLASSDATA,MATCH("UnarmoredLegendary",CLASSFEATUREHEADERS,0),MATCH(($A619 &amp; "Points"),CLASSNAMEHEADERS,0))),(IF("05"=(INDEX(ALLCLASSDATA,MATCH("UnarmoredMaster",CLASSFEATUREHEADERS,0),MATCH($A619,CLASSNAMEHEADERS,0))),(INDEX(ALLCLASSDATA,MATCH("UnarmoredMaster",CLASSFEATUREHEADERS,0),MATCH(($A619 &amp; "Points"),CLASSNAMEHEADERS,0))),(IF("05"=(INDEX(ALLCLASSDATA,MATCH("UnarmoredExpert",CLASSFEATUREHEADERS,0),MATCH($A619,CLASSNAMEHEADERS,0))),(INDEX(ALLCLASSDATA,MATCH("UnarmoredExpert",CLASSFEATUREHEADERS,0),MATCH(($A619 &amp; "Points"),CLASSNAMEHEADERS,0))),(IF("05"=(INDEX(ALLCLASSDATA,MATCH("UnarmoredTrained",CLASSFEATUREHEADERS,0),MATCH($A619,CLASSNAMEHEADERS,0))),(INDEX(ALLCLASSDATA,MATCH("UnarmoredTrained",CLASSFEATUREHEADERS,0),MATCH(($A619 &amp; "Points"),CLASSNAMEHEADERS,0))),"")))))))))}</f>
        <v>UNARMOREDL05</v>
      </c>
      <c r="M618" s="223"/>
      <c r="N618" s="223" t="str">
        <f t="array" ref="N618:N619">{"UNARMOREDL07";((IF("07"=(INDEX(ALLCLASSDATA,MATCH("UnarmoredLegendary",CLASSFEATUREHEADERS,0),MATCH($A619,CLASSNAMEHEADERS,0))),(INDEX(ALLCLASSDATA,MATCH("UnarmoredLegendary",CLASSFEATUREHEADERS,0),MATCH(($A619 &amp; "Points"),CLASSNAMEHEADERS,0))),(IF("07"=(INDEX(ALLCLASSDATA,MATCH("UnarmoredMaster",CLASSFEATUREHEADERS,0),MATCH($A619,CLASSNAMEHEADERS,0))),(INDEX(ALLCLASSDATA,MATCH("UnarmoredMaster",CLASSFEATUREHEADERS,0),MATCH(($A619 &amp; "Points"),CLASSNAMEHEADERS,0))),(IF("07"=(INDEX(ALLCLASSDATA,MATCH("UnarmoredExpert",CLASSFEATUREHEADERS,0),MATCH($A619,CLASSNAMEHEADERS,0))),(INDEX(ALLCLASSDATA,MATCH("UnarmoredExpert",CLASSFEATUREHEADERS,0),MATCH(($A619 &amp; "Points"),CLASSNAMEHEADERS,0))),(IF("07"=(INDEX(ALLCLASSDATA,MATCH("UnarmoredTrained",CLASSFEATUREHEADERS,0),MATCH($A619,CLASSNAMEHEADERS,0))),(INDEX(ALLCLASSDATA,MATCH("UnarmoredTrained",CLASSFEATUREHEADERS,0),MATCH(($A619 &amp; "Points"),CLASSNAMEHEADERS,0))),"")))))))))}</f>
        <v>UNARMOREDL07</v>
      </c>
      <c r="O618" s="223"/>
      <c r="P618" s="223" t="str">
        <f t="array" ref="P618:P619">{"UNARMOREDL09";((IF("09"=(INDEX(ALLCLASSDATA,MATCH("UnarmoredLegendary",CLASSFEATUREHEADERS,0),MATCH($A619,CLASSNAMEHEADERS,0))),(INDEX(ALLCLASSDATA,MATCH("UnarmoredLegendary",CLASSFEATUREHEADERS,0),MATCH(($A619 &amp; "Points"),CLASSNAMEHEADERS,0))),(IF("09"=(INDEX(ALLCLASSDATA,MATCH("UnarmoredMaster",CLASSFEATUREHEADERS,0),MATCH($A619,CLASSNAMEHEADERS,0))),(INDEX(ALLCLASSDATA,MATCH("UnarmoredMaster",CLASSFEATUREHEADERS,0),MATCH(($A619 &amp; "Points"),CLASSNAMEHEADERS,0))),(IF("09"=(INDEX(ALLCLASSDATA,MATCH("UnarmoredExpert",CLASSFEATUREHEADERS,0),MATCH($A619,CLASSNAMEHEADERS,0))),(INDEX(ALLCLASSDATA,MATCH("UnarmoredExpert",CLASSFEATUREHEADERS,0),MATCH(($A619 &amp; "Points"),CLASSNAMEHEADERS,0))),(IF("09"=(INDEX(ALLCLASSDATA,MATCH("UnarmoredTrained",CLASSFEATUREHEADERS,0),MATCH($A619,CLASSNAMEHEADERS,0))),(INDEX(ALLCLASSDATA,MATCH("UnarmoredTrained",CLASSFEATUREHEADERS,0),MATCH(($A619 &amp; "Points"),CLASSNAMEHEADERS,0))),"")))))))))}</f>
        <v>UNARMOREDL09</v>
      </c>
      <c r="Q618" s="223"/>
      <c r="R618" s="223" t="str">
        <f t="array" ref="R618:R619">{"UNARMOREDL11";((IF("11"=(INDEX(ALLCLASSDATA,MATCH("UnarmoredLegendary",CLASSFEATUREHEADERS,0),MATCH($A619,CLASSNAMEHEADERS,0))),(INDEX(ALLCLASSDATA,MATCH("UnarmoredLegendary",CLASSFEATUREHEADERS,0),MATCH(($A619 &amp; "Points"),CLASSNAMEHEADERS,0))),(IF("11"=(INDEX(ALLCLASSDATA,MATCH("UnarmoredMaster",CLASSFEATUREHEADERS,0),MATCH($A619,CLASSNAMEHEADERS,0))),(INDEX(ALLCLASSDATA,MATCH("UnarmoredMaster",CLASSFEATUREHEADERS,0),MATCH(($A619 &amp; "Points"),CLASSNAMEHEADERS,0))),(IF("11"=(INDEX(ALLCLASSDATA,MATCH("UnarmoredExpert",CLASSFEATUREHEADERS,0),MATCH($A619,CLASSNAMEHEADERS,0))),(INDEX(ALLCLASSDATA,MATCH("UnarmoredExpert",CLASSFEATUREHEADERS,0),MATCH(($A619 &amp; "Points"),CLASSNAMEHEADERS,0))),(IF("11"=(INDEX(ALLCLASSDATA,MATCH("UnarmoredTrained",CLASSFEATUREHEADERS,0),MATCH($A619,CLASSNAMEHEADERS,0))),(INDEX(ALLCLASSDATA,MATCH("UnarmoredTrained",CLASSFEATUREHEADERS,0),MATCH(($A619 &amp; "Points"),CLASSNAMEHEADERS,0))),"")))))))))}</f>
        <v>UNARMOREDL11</v>
      </c>
      <c r="S618" s="223"/>
      <c r="T618" s="223" t="str">
        <f t="array" ref="T618:T619">{"UNARMOREDL13";((IF("13"=(INDEX(ALLCLASSDATA,MATCH("UnarmoredLegendary",CLASSFEATUREHEADERS,0),MATCH($A619,CLASSNAMEHEADERS,0))),(INDEX(ALLCLASSDATA,MATCH("UnarmoredLegendary",CLASSFEATUREHEADERS,0),MATCH(($A619 &amp; "Points"),CLASSNAMEHEADERS,0))),(IF("13"=(INDEX(ALLCLASSDATA,MATCH("UnarmoredMaster",CLASSFEATUREHEADERS,0),MATCH($A619,CLASSNAMEHEADERS,0))),(INDEX(ALLCLASSDATA,MATCH("UnarmoredMaster",CLASSFEATUREHEADERS,0),MATCH(($A619 &amp; "Points"),CLASSNAMEHEADERS,0))),(IF("13"=(INDEX(ALLCLASSDATA,MATCH("UnarmoredExpert",CLASSFEATUREHEADERS,0),MATCH($A619,CLASSNAMEHEADERS,0))),(INDEX(ALLCLASSDATA,MATCH("UnarmoredExpert",CLASSFEATUREHEADERS,0),MATCH(($A619 &amp; "Points"),CLASSNAMEHEADERS,0))),(IF("13"=(INDEX(ALLCLASSDATA,MATCH("UnarmoredTrained",CLASSFEATUREHEADERS,0),MATCH($A619,CLASSNAMEHEADERS,0))),(INDEX(ALLCLASSDATA,MATCH("UnarmoredTrained",CLASSFEATUREHEADERS,0),MATCH(($A619 &amp; "Points"),CLASSNAMEHEADERS,0))),"")))))))))}</f>
        <v>UNARMOREDL13</v>
      </c>
      <c r="U618" s="223"/>
      <c r="V618" s="223" t="str">
        <f t="array" ref="V618:V619">{"UNARMOREDL15";((IF("15"=(INDEX(ALLCLASSDATA,MATCH("UnarmoredLegendary",CLASSFEATUREHEADERS,0),MATCH($A619,CLASSNAMEHEADERS,0))),(INDEX(ALLCLASSDATA,MATCH("UnarmoredLegendary",CLASSFEATUREHEADERS,0),MATCH(($A619 &amp; "Points"),CLASSNAMEHEADERS,0))),(IF("15"=(INDEX(ALLCLASSDATA,MATCH("UnarmoredMaster",CLASSFEATUREHEADERS,0),MATCH($A619,CLASSNAMEHEADERS,0))),(INDEX(ALLCLASSDATA,MATCH("UnarmoredMaster",CLASSFEATUREHEADERS,0),MATCH(($A619 &amp; "Points"),CLASSNAMEHEADERS,0))),(IF("15"=(INDEX(ALLCLASSDATA,MATCH("UnarmoredExpert",CLASSFEATUREHEADERS,0),MATCH($A619,CLASSNAMEHEADERS,0))),(INDEX(ALLCLASSDATA,MATCH("UnarmoredExpert",CLASSFEATUREHEADERS,0),MATCH(($A619 &amp; "Points"),CLASSNAMEHEADERS,0))),(IF("15"=(INDEX(ALLCLASSDATA,MATCH("UnarmoredTrained",CLASSFEATUREHEADERS,0),MATCH($A619,CLASSNAMEHEADERS,0))),(INDEX(ALLCLASSDATA,MATCH("UnarmoredTrained",CLASSFEATUREHEADERS,0),MATCH(($A619 &amp; "Points"),CLASSNAMEHEADERS,0))),"")))))))))}</f>
        <v>UNARMOREDL15</v>
      </c>
      <c r="W618" s="223"/>
      <c r="X618" s="223" t="str">
        <f t="array" ref="X618:X619">{"UNARMOREDL17";((IF("17"=(INDEX(ALLCLASSDATA,MATCH("UnarmoredLegendary",CLASSFEATUREHEADERS,0),MATCH($A619,CLASSNAMEHEADERS,0))),(INDEX(ALLCLASSDATA,MATCH("UnarmoredLegendary",CLASSFEATUREHEADERS,0),MATCH(($A619 &amp; "Points"),CLASSNAMEHEADERS,0))),(IF("17"=(INDEX(ALLCLASSDATA,MATCH("UnarmoredMaster",CLASSFEATUREHEADERS,0),MATCH($A619,CLASSNAMEHEADERS,0))),(INDEX(ALLCLASSDATA,MATCH("UnarmoredMaster",CLASSFEATUREHEADERS,0),MATCH(($A619 &amp; "Points"),CLASSNAMEHEADERS,0))),(IF("17"=(INDEX(ALLCLASSDATA,MATCH("UnarmoredExpert",CLASSFEATUREHEADERS,0),MATCH($A619,CLASSNAMEHEADERS,0))),(INDEX(ALLCLASSDATA,MATCH("UnarmoredExpert",CLASSFEATUREHEADERS,0),MATCH(($A619 &amp; "Points"),CLASSNAMEHEADERS,0))),(IF("17"=(INDEX(ALLCLASSDATA,MATCH("UnarmoredTrained",CLASSFEATUREHEADERS,0),MATCH($A619,CLASSNAMEHEADERS,0))),(INDEX(ALLCLASSDATA,MATCH("UnarmoredTrained",CLASSFEATUREHEADERS,0),MATCH(($A619 &amp; "Points"),CLASSNAMEHEADERS,0))),"")))))))))}</f>
        <v>UNARMOREDL17</v>
      </c>
      <c r="Y618" s="223"/>
      <c r="Z618" s="223" t="str">
        <f t="array" ref="Z618:Z619">{"UNARMOREDL19";((IF("19"=(INDEX(ALLCLASSDATA,MATCH("UnarmoredLegendary",CLASSFEATUREHEADERS,0),MATCH($A619,CLASSNAMEHEADERS,0))),(INDEX(ALLCLASSDATA,MATCH("UnarmoredLegendary",CLASSFEATUREHEADERS,0),MATCH(($A619 &amp; "Points"),CLASSNAMEHEADERS,0))),(IF("19"=(INDEX(ALLCLASSDATA,MATCH("UnarmoredMaster",CLASSFEATUREHEADERS,0),MATCH($A619,CLASSNAMEHEADERS,0))),(INDEX(ALLCLASSDATA,MATCH("UnarmoredMaster",CLASSFEATUREHEADERS,0),MATCH(($A619 &amp; "Points"),CLASSNAMEHEADERS,0))),(IF("19"=(INDEX(ALLCLASSDATA,MATCH("UnarmoredExpert",CLASSFEATUREHEADERS,0),MATCH($A619,CLASSNAMEHEADERS,0))),(INDEX(ALLCLASSDATA,MATCH("UnarmoredExpert",CLASSFEATUREHEADERS,0),MATCH(($A619 &amp; "Points"),CLASSNAMEHEADERS,0))),(IF("19"=(INDEX(ALLCLASSDATA,MATCH("UnarmoredTrained",CLASSFEATUREHEADERS,0),MATCH($A619,CLASSNAMEHEADERS,0))),(INDEX(ALLCLASSDATA,MATCH("UnarmoredTrained",CLASSFEATUREHEADERS,0),MATCH(($A619 &amp; "Points"),CLASSNAMEHEADERS,0))),"")))))))))}</f>
        <v>UNARMOREDL19</v>
      </c>
      <c r="AA618" s="223"/>
      <c r="AB618" s="76" t="str">
        <f t="array" ref="AB618:AB619">{"UNARMORED TOTAL";(IF(COUNTBLANK(G619:AA619)=17,"L",(IF(COUNTBLANK(G619:AA619)=18,"M",(IF(COUNTBLANK(G619:AA619)=19,"E",(IF(COUNTBLANK(G619:AA619)=20,"T",""))))))))}</f>
        <v>UNARMORED TOTAL</v>
      </c>
      <c r="AC618" s="76" t="str">
        <f t="array" ref="AC618:AC619">{"UNARMORED TOTAL";(sum(G619:AA619))}</f>
        <v>UNARMORED TOTAL</v>
      </c>
    </row>
    <row r="619">
      <c r="A619" s="48" t="s">
        <v>144</v>
      </c>
      <c r="B619" s="48"/>
      <c r="C619" s="48" t="s">
        <v>409</v>
      </c>
      <c r="D619" s="48" t="s">
        <v>1900</v>
      </c>
      <c r="E619" s="48" t="s">
        <v>78</v>
      </c>
      <c r="F619" s="5" t="s">
        <v>435</v>
      </c>
      <c r="G619" s="47" t="s">
        <v>603</v>
      </c>
      <c r="H619" s="5">
        <v>10.0</v>
      </c>
      <c r="I619" s="5"/>
      <c r="J619" s="5" t="s">
        <v>603</v>
      </c>
      <c r="K619" s="5"/>
      <c r="L619" s="5" t="s">
        <v>603</v>
      </c>
      <c r="M619" s="5"/>
      <c r="N619" s="5" t="s">
        <v>603</v>
      </c>
      <c r="O619" s="5"/>
      <c r="P619" s="5" t="s">
        <v>603</v>
      </c>
      <c r="Q619" s="5"/>
      <c r="R619" s="5" t="s">
        <v>603</v>
      </c>
      <c r="S619" s="5"/>
      <c r="T619" s="5" t="s">
        <v>436</v>
      </c>
      <c r="U619" s="5"/>
      <c r="V619" s="5" t="s">
        <v>603</v>
      </c>
      <c r="W619" s="5"/>
      <c r="X619" s="5" t="s">
        <v>603</v>
      </c>
      <c r="Y619" s="5"/>
      <c r="Z619" s="5" t="s">
        <v>437</v>
      </c>
      <c r="AA619" s="5"/>
      <c r="AB619" s="5" t="s">
        <v>437</v>
      </c>
      <c r="AC619" s="47">
        <v>10.0</v>
      </c>
    </row>
    <row r="620" hidden="1">
      <c r="A620" s="222" t="str">
        <f t="array" ref="A620:A621">{"FormulaRow36";(INDEX(CLASSLIST,A549,1))}</f>
        <v>FormulaRow36</v>
      </c>
      <c r="B620" s="77" t="s">
        <v>236</v>
      </c>
      <c r="C620" s="222" t="str">
        <f t="array" ref="C620:C621">{"CLASSTYPE";((INDEX(ALLCLASSDATA,MATCH("ClassType",CLASSFEATUREHEADERS,0),MATCH($A621,CLASSNAMEHEADERS,0))))}</f>
        <v>CLASSTYPE</v>
      </c>
      <c r="D620" s="222" t="str">
        <f t="array" ref="D620:D621">{"DEFENSE";"Defense"}</f>
        <v>DEFENSE</v>
      </c>
      <c r="E620" s="222" t="str">
        <f t="array" ref="E620:E621">{"LIGHT";"Light"}</f>
        <v>LIGHT</v>
      </c>
      <c r="F620" s="223" t="str">
        <f t="array" ref="F620:F621">{"LIGHTINITIAL";((IF(H621=10,"T",(IF(H621=50,"E","")))))}</f>
        <v>LIGHTINITIAL</v>
      </c>
      <c r="G620" s="223" t="str">
        <f t="array" ref="G620:G621">{"LIGHTINITIALPTS";((IF("00"=(INDEX(ALLCLASSDATA,MATCH("LightLegendary",CLASSFEATUREHEADERS,0),MATCH($A621,CLASSNAMEHEADERS,0))),(INDEX(ALLCLASSDATA,MATCH("LightLegendary",CLASSFEATUREHEADERS,0),MATCH(($A621 &amp; "Points"),CLASSNAMEHEADERS,0))),(IF("00"=(INDEX(ALLCLASSDATA,MATCH("LightMaster",CLASSFEATUREHEADERS,0),MATCH($A621,CLASSNAMEHEADERS,0))),(INDEX(ALLCLASSDATA,MATCH("LightMaster",CLASSFEATUREHEADERS,0),MATCH(($A621 &amp; "Points"),CLASSNAMEHEADERS,0))),(IF("00"=(INDEX(ALLCLASSDATA,MATCH("LightExpert",CLASSFEATUREHEADERS,0),MATCH($A621,CLASSNAMEHEADERS,0))),(INDEX(ALLCLASSDATA,MATCH("LightExpert",CLASSFEATUREHEADERS,0),MATCH(($A621 &amp; "Points"),CLASSNAMEHEADERS,0))),(IF("00"=(INDEX(ALLCLASSDATA,MATCH("LightTrained",CLASSFEATUREHEADERS,0),MATCH($A621,CLASSNAMEHEADERS,0))),(INDEX(ALLCLASSDATA,MATCH("LightTrained",CLASSFEATUREHEADERS,0),MATCH(($A621 &amp; "Points"),CLASSNAMEHEADERS,0))),"")))))))))}</f>
        <v>LIGHTINITIALPTS</v>
      </c>
      <c r="H620" s="223" t="str">
        <f t="array" ref="H620:H621">{"LIGHTL01";((IF("01"=(INDEX(ALLCLASSDATA,MATCH("LightLegendary",CLASSFEATUREHEADERS,0),MATCH($A621,CLASSNAMEHEADERS,0))),(INDEX(ALLCLASSDATA,MATCH("LightLegendary",CLASSFEATUREHEADERS,0),MATCH(($A621 &amp; "Points"),CLASSNAMEHEADERS,0))),(IF("01"=(INDEX(ALLCLASSDATA,MATCH("LightMaster",CLASSFEATUREHEADERS,0),MATCH($A621,CLASSNAMEHEADERS,0))),(INDEX(ALLCLASSDATA,MATCH("LightMaster",CLASSFEATUREHEADERS,0),MATCH(($A621 &amp; "Points"),CLASSNAMEHEADERS,0))),(IF("01"=(INDEX(ALLCLASSDATA,MATCH("LightExpert",CLASSFEATUREHEADERS,0),MATCH($A621,CLASSNAMEHEADERS,0))),(INDEX(ALLCLASSDATA,MATCH("LightExpert",CLASSFEATUREHEADERS,0),MATCH(($A621 &amp; "Points"),CLASSNAMEHEADERS,0))),(IF("01"=(INDEX(ALLCLASSDATA,MATCH("LightTrained",CLASSFEATUREHEADERS,0),MATCH($A621,CLASSNAMEHEADERS,0))),(INDEX(ALLCLASSDATA,MATCH("LightTrained",CLASSFEATUREHEADERS,0),MATCH(($A621 &amp; "Points"),CLASSNAMEHEADERS,0))),"")))))))))}</f>
        <v>LIGHTL01</v>
      </c>
      <c r="I620" s="223"/>
      <c r="J620" s="223" t="str">
        <f t="array" ref="J620:J621">{"LIGHTL03";((IF("03"=(INDEX(ALLCLASSDATA,MATCH("LightLegendary",CLASSFEATUREHEADERS,0),MATCH($A621,CLASSNAMEHEADERS,0))),(INDEX(ALLCLASSDATA,MATCH("LightLegendary",CLASSFEATUREHEADERS,0),MATCH(($A621 &amp; "Points"),CLASSNAMEHEADERS,0))),(IF("03"=(INDEX(ALLCLASSDATA,MATCH("LightMaster",CLASSFEATUREHEADERS,0),MATCH($A621,CLASSNAMEHEADERS,0))),(INDEX(ALLCLASSDATA,MATCH("LightMaster",CLASSFEATUREHEADERS,0),MATCH(($A621 &amp; "Points"),CLASSNAMEHEADERS,0))),(IF("03"=(INDEX(ALLCLASSDATA,MATCH("LightExpert",CLASSFEATUREHEADERS,0),MATCH($A621,CLASSNAMEHEADERS,0))),(INDEX(ALLCLASSDATA,MATCH("LightExpert",CLASSFEATUREHEADERS,0),MATCH(($A621 &amp; "Points"),CLASSNAMEHEADERS,0))),(IF("03"=(INDEX(ALLCLASSDATA,MATCH("LightTrained",CLASSFEATUREHEADERS,0),MATCH($A621,CLASSNAMEHEADERS,0))),(INDEX(ALLCLASSDATA,MATCH("LightTrained",CLASSFEATUREHEADERS,0),MATCH(($A621 &amp; "Points"),CLASSNAMEHEADERS,0))),"")))))))))}</f>
        <v>LIGHTL03</v>
      </c>
      <c r="K620" s="223"/>
      <c r="L620" s="223" t="str">
        <f t="array" ref="L620:L621">{"LIGHTL05";((IF("05"=(INDEX(ALLCLASSDATA,MATCH("LightLegendary",CLASSFEATUREHEADERS,0),MATCH($A621,CLASSNAMEHEADERS,0))),(INDEX(ALLCLASSDATA,MATCH("LightLegendary",CLASSFEATUREHEADERS,0),MATCH(($A621 &amp; "Points"),CLASSNAMEHEADERS,0))),(IF("05"=(INDEX(ALLCLASSDATA,MATCH("LightMaster",CLASSFEATUREHEADERS,0),MATCH($A621,CLASSNAMEHEADERS,0))),(INDEX(ALLCLASSDATA,MATCH("LightMaster",CLASSFEATUREHEADERS,0),MATCH(($A621 &amp; "Points"),CLASSNAMEHEADERS,0))),(IF("05"=(INDEX(ALLCLASSDATA,MATCH("LightExpert",CLASSFEATUREHEADERS,0),MATCH($A621,CLASSNAMEHEADERS,0))),(INDEX(ALLCLASSDATA,MATCH("LightExpert",CLASSFEATUREHEADERS,0),MATCH(($A621 &amp; "Points"),CLASSNAMEHEADERS,0))),(IF("05"=(INDEX(ALLCLASSDATA,MATCH("LightTrained",CLASSFEATUREHEADERS,0),MATCH($A621,CLASSNAMEHEADERS,0))),(INDEX(ALLCLASSDATA,MATCH("LightTrained",CLASSFEATUREHEADERS,0),MATCH(($A621 &amp; "Points"),CLASSNAMEHEADERS,0))),"")))))))))}</f>
        <v>LIGHTL05</v>
      </c>
      <c r="M620" s="223"/>
      <c r="N620" s="223" t="str">
        <f t="array" ref="N620:N621">{"LIGHTL07";((IF("07"=(INDEX(ALLCLASSDATA,MATCH("LightLegendary",CLASSFEATUREHEADERS,0),MATCH($A621,CLASSNAMEHEADERS,0))),(INDEX(ALLCLASSDATA,MATCH("LightLegendary",CLASSFEATUREHEADERS,0),MATCH(($A621 &amp; "Points"),CLASSNAMEHEADERS,0))),(IF("07"=(INDEX(ALLCLASSDATA,MATCH("LightMaster",CLASSFEATUREHEADERS,0),MATCH($A621,CLASSNAMEHEADERS,0))),(INDEX(ALLCLASSDATA,MATCH("LightMaster",CLASSFEATUREHEADERS,0),MATCH(($A621 &amp; "Points"),CLASSNAMEHEADERS,0))),(IF("07"=(INDEX(ALLCLASSDATA,MATCH("LightExpert",CLASSFEATUREHEADERS,0),MATCH($A621,CLASSNAMEHEADERS,0))),(INDEX(ALLCLASSDATA,MATCH("LightExpert",CLASSFEATUREHEADERS,0),MATCH(($A621 &amp; "Points"),CLASSNAMEHEADERS,0))),(IF("07"=(INDEX(ALLCLASSDATA,MATCH("LightTrained",CLASSFEATUREHEADERS,0),MATCH($A621,CLASSNAMEHEADERS,0))),(INDEX(ALLCLASSDATA,MATCH("LightTrained",CLASSFEATUREHEADERS,0),MATCH(($A621 &amp; "Points"),CLASSNAMEHEADERS,0))),"")))))))))}</f>
        <v>LIGHTL07</v>
      </c>
      <c r="O620" s="223"/>
      <c r="P620" s="223" t="str">
        <f t="array" ref="P620:P621">{"LIGHTL09";((IF("09"=(INDEX(ALLCLASSDATA,MATCH("LightLegendary",CLASSFEATUREHEADERS,0),MATCH($A621,CLASSNAMEHEADERS,0))),(INDEX(ALLCLASSDATA,MATCH("LightLegendary",CLASSFEATUREHEADERS,0),MATCH(($A621 &amp; "Points"),CLASSNAMEHEADERS,0))),(IF("09"=(INDEX(ALLCLASSDATA,MATCH("LightMaster",CLASSFEATUREHEADERS,0),MATCH($A621,CLASSNAMEHEADERS,0))),(INDEX(ALLCLASSDATA,MATCH("LightMaster",CLASSFEATUREHEADERS,0),MATCH(($A621 &amp; "Points"),CLASSNAMEHEADERS,0))),(IF("09"=(INDEX(ALLCLASSDATA,MATCH("LightExpert",CLASSFEATUREHEADERS,0),MATCH($A621,CLASSNAMEHEADERS,0))),(INDEX(ALLCLASSDATA,MATCH("LightExpert",CLASSFEATUREHEADERS,0),MATCH(($A621 &amp; "Points"),CLASSNAMEHEADERS,0))),(IF("09"=(INDEX(ALLCLASSDATA,MATCH("LightTrained",CLASSFEATUREHEADERS,0),MATCH($A621,CLASSNAMEHEADERS,0))),(INDEX(ALLCLASSDATA,MATCH("LightTrained",CLASSFEATUREHEADERS,0),MATCH(($A621 &amp; "Points"),CLASSNAMEHEADERS,0))),"")))))))))}</f>
        <v>LIGHTL09</v>
      </c>
      <c r="Q620" s="223"/>
      <c r="R620" s="223" t="str">
        <f t="array" ref="R620:R621">{"LIGHTL11";((IF("11"=(INDEX(ALLCLASSDATA,MATCH("LightLegendary",CLASSFEATUREHEADERS,0),MATCH($A621,CLASSNAMEHEADERS,0))),(INDEX(ALLCLASSDATA,MATCH("LightLegendary",CLASSFEATUREHEADERS,0),MATCH(($A621 &amp; "Points"),CLASSNAMEHEADERS,0))),(IF("11"=(INDEX(ALLCLASSDATA,MATCH("LightMaster",CLASSFEATUREHEADERS,0),MATCH($A621,CLASSNAMEHEADERS,0))),(INDEX(ALLCLASSDATA,MATCH("LightMaster",CLASSFEATUREHEADERS,0),MATCH(($A621 &amp; "Points"),CLASSNAMEHEADERS,0))),(IF("11"=(INDEX(ALLCLASSDATA,MATCH("LightExpert",CLASSFEATUREHEADERS,0),MATCH($A621,CLASSNAMEHEADERS,0))),(INDEX(ALLCLASSDATA,MATCH("LightExpert",CLASSFEATUREHEADERS,0),MATCH(($A621 &amp; "Points"),CLASSNAMEHEADERS,0))),(IF("11"=(INDEX(ALLCLASSDATA,MATCH("LightTrained",CLASSFEATUREHEADERS,0),MATCH($A621,CLASSNAMEHEADERS,0))),(INDEX(ALLCLASSDATA,MATCH("LightTrained",CLASSFEATUREHEADERS,0),MATCH(($A621 &amp; "Points"),CLASSNAMEHEADERS,0))),"")))))))))}</f>
        <v>LIGHTL11</v>
      </c>
      <c r="S620" s="223"/>
      <c r="T620" s="223" t="str">
        <f t="array" ref="T620:T621">{"LIGHTL13";((IF("13"=(INDEX(ALLCLASSDATA,MATCH("LightLegendary",CLASSFEATUREHEADERS,0),MATCH($A621,CLASSNAMEHEADERS,0))),(INDEX(ALLCLASSDATA,MATCH("LightLegendary",CLASSFEATUREHEADERS,0),MATCH(($A621 &amp; "Points"),CLASSNAMEHEADERS,0))),(IF("13"=(INDEX(ALLCLASSDATA,MATCH("LightMaster",CLASSFEATUREHEADERS,0),MATCH($A621,CLASSNAMEHEADERS,0))),(INDEX(ALLCLASSDATA,MATCH("LightMaster",CLASSFEATUREHEADERS,0),MATCH(($A621 &amp; "Points"),CLASSNAMEHEADERS,0))),(IF("13"=(INDEX(ALLCLASSDATA,MATCH("LightExpert",CLASSFEATUREHEADERS,0),MATCH($A621,CLASSNAMEHEADERS,0))),(INDEX(ALLCLASSDATA,MATCH("LightExpert",CLASSFEATUREHEADERS,0),MATCH(($A621 &amp; "Points"),CLASSNAMEHEADERS,0))),(IF("13"=(INDEX(ALLCLASSDATA,MATCH("LightTrained",CLASSFEATUREHEADERS,0),MATCH($A621,CLASSNAMEHEADERS,0))),(INDEX(ALLCLASSDATA,MATCH("LightTrained",CLASSFEATUREHEADERS,0),MATCH(($A621 &amp; "Points"),CLASSNAMEHEADERS,0))),"")))))))))}</f>
        <v>LIGHTL13</v>
      </c>
      <c r="U620" s="223"/>
      <c r="V620" s="223" t="str">
        <f t="array" ref="V620:V621">{"LIGHTL15";((IF("15"=(INDEX(ALLCLASSDATA,MATCH("LightLegendary",CLASSFEATUREHEADERS,0),MATCH($A621,CLASSNAMEHEADERS,0))),(INDEX(ALLCLASSDATA,MATCH("LightLegendary",CLASSFEATUREHEADERS,0),MATCH(($A621 &amp; "Points"),CLASSNAMEHEADERS,0))),(IF("15"=(INDEX(ALLCLASSDATA,MATCH("LightMaster",CLASSFEATUREHEADERS,0),MATCH($A621,CLASSNAMEHEADERS,0))),(INDEX(ALLCLASSDATA,MATCH("LightMaster",CLASSFEATUREHEADERS,0),MATCH(($A621 &amp; "Points"),CLASSNAMEHEADERS,0))),(IF("15"=(INDEX(ALLCLASSDATA,MATCH("LightExpert",CLASSFEATUREHEADERS,0),MATCH($A621,CLASSNAMEHEADERS,0))),(INDEX(ALLCLASSDATA,MATCH("LightExpert",CLASSFEATUREHEADERS,0),MATCH(($A621 &amp; "Points"),CLASSNAMEHEADERS,0))),(IF("15"=(INDEX(ALLCLASSDATA,MATCH("LightTrained",CLASSFEATUREHEADERS,0),MATCH($A621,CLASSNAMEHEADERS,0))),(INDEX(ALLCLASSDATA,MATCH("LightTrained",CLASSFEATUREHEADERS,0),MATCH(($A621 &amp; "Points"),CLASSNAMEHEADERS,0))),"")))))))))}</f>
        <v>LIGHTL15</v>
      </c>
      <c r="W620" s="223"/>
      <c r="X620" s="223" t="str">
        <f t="array" ref="X620:X621">{"LIGHTL17";((IF("17"=(INDEX(ALLCLASSDATA,MATCH("LightLegendary",CLASSFEATUREHEADERS,0),MATCH($A621,CLASSNAMEHEADERS,0))),(INDEX(ALLCLASSDATA,MATCH("LightLegendary",CLASSFEATUREHEADERS,0),MATCH(($A621 &amp; "Points"),CLASSNAMEHEADERS,0))),(IF("17"=(INDEX(ALLCLASSDATA,MATCH("LightMaster",CLASSFEATUREHEADERS,0),MATCH($A621,CLASSNAMEHEADERS,0))),(INDEX(ALLCLASSDATA,MATCH("LightMaster",CLASSFEATUREHEADERS,0),MATCH(($A621 &amp; "Points"),CLASSNAMEHEADERS,0))),(IF("17"=(INDEX(ALLCLASSDATA,MATCH("LightExpert",CLASSFEATUREHEADERS,0),MATCH($A621,CLASSNAMEHEADERS,0))),(INDEX(ALLCLASSDATA,MATCH("LightExpert",CLASSFEATUREHEADERS,0),MATCH(($A621 &amp; "Points"),CLASSNAMEHEADERS,0))),(IF("17"=(INDEX(ALLCLASSDATA,MATCH("LightTrained",CLASSFEATUREHEADERS,0),MATCH($A621,CLASSNAMEHEADERS,0))),(INDEX(ALLCLASSDATA,MATCH("LightTrained",CLASSFEATUREHEADERS,0),MATCH(($A621 &amp; "Points"),CLASSNAMEHEADERS,0))),"")))))))))}</f>
        <v>LIGHTL17</v>
      </c>
      <c r="Y620" s="223"/>
      <c r="Z620" s="223" t="str">
        <f t="array" ref="Z620:Z621">{"LIGHTL19";((IF("19"=(INDEX(ALLCLASSDATA,MATCH("LightLegendary",CLASSFEATUREHEADERS,0),MATCH($A621,CLASSNAMEHEADERS,0))),(INDEX(ALLCLASSDATA,MATCH("LightLegendary",CLASSFEATUREHEADERS,0),MATCH(($A621 &amp; "Points"),CLASSNAMEHEADERS,0))),(IF("19"=(INDEX(ALLCLASSDATA,MATCH("LightMaster",CLASSFEATUREHEADERS,0),MATCH($A621,CLASSNAMEHEADERS,0))),(INDEX(ALLCLASSDATA,MATCH("LightMaster",CLASSFEATUREHEADERS,0),MATCH(($A621 &amp; "Points"),CLASSNAMEHEADERS,0))),(IF("19"=(INDEX(ALLCLASSDATA,MATCH("LightExpert",CLASSFEATUREHEADERS,0),MATCH($A621,CLASSNAMEHEADERS,0))),(INDEX(ALLCLASSDATA,MATCH("LightExpert",CLASSFEATUREHEADERS,0),MATCH(($A621 &amp; "Points"),CLASSNAMEHEADERS,0))),(IF("19"=(INDEX(ALLCLASSDATA,MATCH("LightTrained",CLASSFEATUREHEADERS,0),MATCH($A621,CLASSNAMEHEADERS,0))),(INDEX(ALLCLASSDATA,MATCH("LightTrained",CLASSFEATUREHEADERS,0),MATCH(($A621 &amp; "Points"),CLASSNAMEHEADERS,0))),"")))))))))}</f>
        <v>LIGHTL19</v>
      </c>
      <c r="AA620" s="223"/>
      <c r="AB620" s="76" t="str">
        <f t="array" ref="AB620:AB621">{"LIGHT TOTAL";(IF(COUNTBLANK(G621:AA621)=17,"L",(IF(COUNTBLANK(G621:AA621)=18,"M",(IF(COUNTBLANK(G621:AA621)=19,"E",(IF(COUNTBLANK(G621:AA621)=20,"T",""))))))))}</f>
        <v>LIGHT TOTAL</v>
      </c>
      <c r="AC620" s="76" t="str">
        <f t="array" ref="AC620:AC621">{"LIGHT TOTAL";(sum(G621:AA621))}</f>
        <v>LIGHT TOTAL</v>
      </c>
    </row>
    <row r="621">
      <c r="A621" s="48" t="s">
        <v>144</v>
      </c>
      <c r="B621" s="48"/>
      <c r="C621" s="48" t="s">
        <v>409</v>
      </c>
      <c r="D621" s="48" t="s">
        <v>1900</v>
      </c>
      <c r="E621" s="48" t="s">
        <v>77</v>
      </c>
      <c r="F621" s="5" t="s">
        <v>435</v>
      </c>
      <c r="G621" s="47" t="s">
        <v>603</v>
      </c>
      <c r="H621" s="5">
        <v>10.0</v>
      </c>
      <c r="I621" s="5"/>
      <c r="J621" s="5" t="s">
        <v>603</v>
      </c>
      <c r="K621" s="5"/>
      <c r="L621" s="5" t="s">
        <v>603</v>
      </c>
      <c r="M621" s="5"/>
      <c r="N621" s="5" t="s">
        <v>603</v>
      </c>
      <c r="O621" s="5"/>
      <c r="P621" s="5" t="s">
        <v>603</v>
      </c>
      <c r="Q621" s="5"/>
      <c r="R621" s="5" t="s">
        <v>603</v>
      </c>
      <c r="S621" s="5"/>
      <c r="T621" s="5">
        <v>50.0</v>
      </c>
      <c r="U621" s="5"/>
      <c r="V621" s="5" t="s">
        <v>603</v>
      </c>
      <c r="W621" s="5"/>
      <c r="X621" s="5" t="s">
        <v>603</v>
      </c>
      <c r="Y621" s="5"/>
      <c r="Z621" s="5">
        <v>110.0</v>
      </c>
      <c r="AA621" s="5"/>
      <c r="AB621" s="5" t="s">
        <v>437</v>
      </c>
      <c r="AC621" s="47">
        <v>170.0</v>
      </c>
    </row>
    <row r="622" hidden="1">
      <c r="A622" s="222" t="str">
        <f t="array" ref="A622:A623">{"FormulaRow37";(INDEX(CLASSLIST,A549,1))}</f>
        <v>FormulaRow37</v>
      </c>
      <c r="B622" s="77" t="s">
        <v>236</v>
      </c>
      <c r="C622" s="222" t="str">
        <f t="array" ref="C622:C623">{"CLASSTYPE";((INDEX(ALLCLASSDATA,MATCH("ClassType",CLASSFEATUREHEADERS,0),MATCH($A623,CLASSNAMEHEADERS,0))))}</f>
        <v>CLASSTYPE</v>
      </c>
      <c r="D622" s="222" t="str">
        <f t="array" ref="D622:D623">{"DEFENSE";"Defense"}</f>
        <v>DEFENSE</v>
      </c>
      <c r="E622" s="222" t="str">
        <f t="array" ref="E622:E623">{"MEDIUM";"Medium"}</f>
        <v>MEDIUM</v>
      </c>
      <c r="F622" s="223" t="str">
        <f t="array" ref="F622:F623">{"MEDIUMINITIAL";((IF(H623=10,"T",(IF(H623=50,"E","")))))}</f>
        <v>MEDIUMINITIAL</v>
      </c>
      <c r="G622" s="223" t="str">
        <f t="array" ref="G622:G623">{"MEDIUMINITIALPTS";((IF("00"=(INDEX(ALLCLASSDATA,MATCH("MediumLegendary",CLASSFEATUREHEADERS,0),MATCH($A623,CLASSNAMEHEADERS,0))),(INDEX(ALLCLASSDATA,MATCH("MediumLegendary",CLASSFEATUREHEADERS,0),MATCH(($A623 &amp; "Points"),CLASSNAMEHEADERS,0))),(IF("00"=(INDEX(ALLCLASSDATA,MATCH("MediumMaster",CLASSFEATUREHEADERS,0),MATCH($A623,CLASSNAMEHEADERS,0))),(INDEX(ALLCLASSDATA,MATCH("MediumMaster",CLASSFEATUREHEADERS,0),MATCH(($A623 &amp; "Points"),CLASSNAMEHEADERS,0))),(IF("00"=(INDEX(ALLCLASSDATA,MATCH("MediumExpert",CLASSFEATUREHEADERS,0),MATCH($A623,CLASSNAMEHEADERS,0))),(INDEX(ALLCLASSDATA,MATCH("MediumExpert",CLASSFEATUREHEADERS,0),MATCH(($A623 &amp; "Points"),CLASSNAMEHEADERS,0))),(IF("00"=(INDEX(ALLCLASSDATA,MATCH("MediumTrained",CLASSFEATUREHEADERS,0),MATCH($A623,CLASSNAMEHEADERS,0))),(INDEX(ALLCLASSDATA,MATCH("MediumTrained",CLASSFEATUREHEADERS,0),MATCH(($A623 &amp; "Points"),CLASSNAMEHEADERS,0))),"")))))))))}</f>
        <v>MEDIUMINITIALPTS</v>
      </c>
      <c r="H622" s="223" t="str">
        <f t="array" ref="H622:H623">{"MEDIUML01";((IF("01"=(INDEX(ALLCLASSDATA,MATCH("MediumLegendary",CLASSFEATUREHEADERS,0),MATCH($A623,CLASSNAMEHEADERS,0))),(INDEX(ALLCLASSDATA,MATCH("MediumLegendary",CLASSFEATUREHEADERS,0),MATCH(($A623 &amp; "Points"),CLASSNAMEHEADERS,0))),(IF("01"=(INDEX(ALLCLASSDATA,MATCH("MediumMaster",CLASSFEATUREHEADERS,0),MATCH($A623,CLASSNAMEHEADERS,0))),(INDEX(ALLCLASSDATA,MATCH("MediumMaster",CLASSFEATUREHEADERS,0),MATCH(($A623 &amp; "Points"),CLASSNAMEHEADERS,0))),(IF("01"=(INDEX(ALLCLASSDATA,MATCH("MediumExpert",CLASSFEATUREHEADERS,0),MATCH($A623,CLASSNAMEHEADERS,0))),(INDEX(ALLCLASSDATA,MATCH("MediumExpert",CLASSFEATUREHEADERS,0),MATCH(($A623 &amp; "Points"),CLASSNAMEHEADERS,0))),(IF("01"=(INDEX(ALLCLASSDATA,MATCH("MediumTrained",CLASSFEATUREHEADERS,0),MATCH($A623,CLASSNAMEHEADERS,0))),(INDEX(ALLCLASSDATA,MATCH("MediumTrained",CLASSFEATUREHEADERS,0),MATCH(($A623 &amp; "Points"),CLASSNAMEHEADERS,0))),"")))))))))}</f>
        <v>MEDIUML01</v>
      </c>
      <c r="I622" s="223"/>
      <c r="J622" s="223" t="str">
        <f t="array" ref="J622:J623">{"MEDIUML03";((IF("03"=(INDEX(ALLCLASSDATA,MATCH("MediumLegendary",CLASSFEATUREHEADERS,0),MATCH($A623,CLASSNAMEHEADERS,0))),(INDEX(ALLCLASSDATA,MATCH("MediumLegendary",CLASSFEATUREHEADERS,0),MATCH(($A623 &amp; "Points"),CLASSNAMEHEADERS,0))),(IF("03"=(INDEX(ALLCLASSDATA,MATCH("MediumMaster",CLASSFEATUREHEADERS,0),MATCH($A623,CLASSNAMEHEADERS,0))),(INDEX(ALLCLASSDATA,MATCH("MediumMaster",CLASSFEATUREHEADERS,0),MATCH(($A623 &amp; "Points"),CLASSNAMEHEADERS,0))),(IF("03"=(INDEX(ALLCLASSDATA,MATCH("MediumExpert",CLASSFEATUREHEADERS,0),MATCH($A623,CLASSNAMEHEADERS,0))),(INDEX(ALLCLASSDATA,MATCH("MediumExpert",CLASSFEATUREHEADERS,0),MATCH(($A623 &amp; "Points"),CLASSNAMEHEADERS,0))),(IF("03"=(INDEX(ALLCLASSDATA,MATCH("MediumTrained",CLASSFEATUREHEADERS,0),MATCH($A623,CLASSNAMEHEADERS,0))),(INDEX(ALLCLASSDATA,MATCH("MediumTrained",CLASSFEATUREHEADERS,0),MATCH(($A623 &amp; "Points"),CLASSNAMEHEADERS,0))),"")))))))))}</f>
        <v>MEDIUML03</v>
      </c>
      <c r="K622" s="223"/>
      <c r="L622" s="223" t="str">
        <f t="array" ref="L622:L623">{"MEDIUML05";((IF("05"=(INDEX(ALLCLASSDATA,MATCH("MediumLegendary",CLASSFEATUREHEADERS,0),MATCH($A623,CLASSNAMEHEADERS,0))),(INDEX(ALLCLASSDATA,MATCH("MediumLegendary",CLASSFEATUREHEADERS,0),MATCH(($A623 &amp; "Points"),CLASSNAMEHEADERS,0))),(IF("05"=(INDEX(ALLCLASSDATA,MATCH("MediumMaster",CLASSFEATUREHEADERS,0),MATCH($A623,CLASSNAMEHEADERS,0))),(INDEX(ALLCLASSDATA,MATCH("MediumMaster",CLASSFEATUREHEADERS,0),MATCH(($A623 &amp; "Points"),CLASSNAMEHEADERS,0))),(IF("05"=(INDEX(ALLCLASSDATA,MATCH("MediumExpert",CLASSFEATUREHEADERS,0),MATCH($A623,CLASSNAMEHEADERS,0))),(INDEX(ALLCLASSDATA,MATCH("MediumExpert",CLASSFEATUREHEADERS,0),MATCH(($A623 &amp; "Points"),CLASSNAMEHEADERS,0))),(IF("05"=(INDEX(ALLCLASSDATA,MATCH("MediumTrained",CLASSFEATUREHEADERS,0),MATCH($A623,CLASSNAMEHEADERS,0))),(INDEX(ALLCLASSDATA,MATCH("MediumTrained",CLASSFEATUREHEADERS,0),MATCH(($A623 &amp; "Points"),CLASSNAMEHEADERS,0))),"")))))))))}</f>
        <v>MEDIUML05</v>
      </c>
      <c r="M622" s="223"/>
      <c r="N622" s="223" t="str">
        <f t="array" ref="N622:N623">{"MEDIUML07";((IF("07"=(INDEX(ALLCLASSDATA,MATCH("MediumLegendary",CLASSFEATUREHEADERS,0),MATCH($A623,CLASSNAMEHEADERS,0))),(INDEX(ALLCLASSDATA,MATCH("MediumLegendary",CLASSFEATUREHEADERS,0),MATCH(($A623 &amp; "Points"),CLASSNAMEHEADERS,0))),(IF("07"=(INDEX(ALLCLASSDATA,MATCH("MediumMaster",CLASSFEATUREHEADERS,0),MATCH($A623,CLASSNAMEHEADERS,0))),(INDEX(ALLCLASSDATA,MATCH("MediumMaster",CLASSFEATUREHEADERS,0),MATCH(($A623 &amp; "Points"),CLASSNAMEHEADERS,0))),(IF("07"=(INDEX(ALLCLASSDATA,MATCH("MediumExpert",CLASSFEATUREHEADERS,0),MATCH($A623,CLASSNAMEHEADERS,0))),(INDEX(ALLCLASSDATA,MATCH("MediumExpert",CLASSFEATUREHEADERS,0),MATCH(($A623 &amp; "Points"),CLASSNAMEHEADERS,0))),(IF("07"=(INDEX(ALLCLASSDATA,MATCH("MediumTrained",CLASSFEATUREHEADERS,0),MATCH($A623,CLASSNAMEHEADERS,0))),(INDEX(ALLCLASSDATA,MATCH("MediumTrained",CLASSFEATUREHEADERS,0),MATCH(($A623 &amp; "Points"),CLASSNAMEHEADERS,0))),"")))))))))}</f>
        <v>MEDIUML07</v>
      </c>
      <c r="O622" s="223"/>
      <c r="P622" s="223" t="str">
        <f t="array" ref="P622:P623">{"MEDIUML09";((IF("09"=(INDEX(ALLCLASSDATA,MATCH("MediumLegendary",CLASSFEATUREHEADERS,0),MATCH($A623,CLASSNAMEHEADERS,0))),(INDEX(ALLCLASSDATA,MATCH("MediumLegendary",CLASSFEATUREHEADERS,0),MATCH(($A623 &amp; "Points"),CLASSNAMEHEADERS,0))),(IF("09"=(INDEX(ALLCLASSDATA,MATCH("MediumMaster",CLASSFEATUREHEADERS,0),MATCH($A623,CLASSNAMEHEADERS,0))),(INDEX(ALLCLASSDATA,MATCH("MediumMaster",CLASSFEATUREHEADERS,0),MATCH(($A623 &amp; "Points"),CLASSNAMEHEADERS,0))),(IF("09"=(INDEX(ALLCLASSDATA,MATCH("MediumExpert",CLASSFEATUREHEADERS,0),MATCH($A623,CLASSNAMEHEADERS,0))),(INDEX(ALLCLASSDATA,MATCH("MediumExpert",CLASSFEATUREHEADERS,0),MATCH(($A623 &amp; "Points"),CLASSNAMEHEADERS,0))),(IF("09"=(INDEX(ALLCLASSDATA,MATCH("MediumTrained",CLASSFEATUREHEADERS,0),MATCH($A623,CLASSNAMEHEADERS,0))),(INDEX(ALLCLASSDATA,MATCH("MediumTrained",CLASSFEATUREHEADERS,0),MATCH(($A623 &amp; "Points"),CLASSNAMEHEADERS,0))),"")))))))))}</f>
        <v>MEDIUML09</v>
      </c>
      <c r="Q622" s="223"/>
      <c r="R622" s="223" t="str">
        <f t="array" ref="R622:R623">{"MEDIUML11";((IF("11"=(INDEX(ALLCLASSDATA,MATCH("MediumLegendary",CLASSFEATUREHEADERS,0),MATCH($A623,CLASSNAMEHEADERS,0))),(INDEX(ALLCLASSDATA,MATCH("MediumLegendary",CLASSFEATUREHEADERS,0),MATCH(($A623 &amp; "Points"),CLASSNAMEHEADERS,0))),(IF("11"=(INDEX(ALLCLASSDATA,MATCH("MediumMaster",CLASSFEATUREHEADERS,0),MATCH($A623,CLASSNAMEHEADERS,0))),(INDEX(ALLCLASSDATA,MATCH("MediumMaster",CLASSFEATUREHEADERS,0),MATCH(($A623 &amp; "Points"),CLASSNAMEHEADERS,0))),(IF("11"=(INDEX(ALLCLASSDATA,MATCH("MediumExpert",CLASSFEATUREHEADERS,0),MATCH($A623,CLASSNAMEHEADERS,0))),(INDEX(ALLCLASSDATA,MATCH("MediumExpert",CLASSFEATUREHEADERS,0),MATCH(($A623 &amp; "Points"),CLASSNAMEHEADERS,0))),(IF("11"=(INDEX(ALLCLASSDATA,MATCH("MediumTrained",CLASSFEATUREHEADERS,0),MATCH($A623,CLASSNAMEHEADERS,0))),(INDEX(ALLCLASSDATA,MATCH("MediumTrained",CLASSFEATUREHEADERS,0),MATCH(($A623 &amp; "Points"),CLASSNAMEHEADERS,0))),"")))))))))}</f>
        <v>MEDIUML11</v>
      </c>
      <c r="S622" s="223"/>
      <c r="T622" s="223" t="str">
        <f t="array" ref="T622:T623">{"MEDIUML13";((IF("13"=(INDEX(ALLCLASSDATA,MATCH("MediumLegendary",CLASSFEATUREHEADERS,0),MATCH($A623,CLASSNAMEHEADERS,0))),(INDEX(ALLCLASSDATA,MATCH("MediumLegendary",CLASSFEATUREHEADERS,0),MATCH(($A623 &amp; "Points"),CLASSNAMEHEADERS,0))),(IF("13"=(INDEX(ALLCLASSDATA,MATCH("MediumMaster",CLASSFEATUREHEADERS,0),MATCH($A623,CLASSNAMEHEADERS,0))),(INDEX(ALLCLASSDATA,MATCH("MediumMaster",CLASSFEATUREHEADERS,0),MATCH(($A623 &amp; "Points"),CLASSNAMEHEADERS,0))),(IF("13"=(INDEX(ALLCLASSDATA,MATCH("MediumExpert",CLASSFEATUREHEADERS,0),MATCH($A623,CLASSNAMEHEADERS,0))),(INDEX(ALLCLASSDATA,MATCH("MediumExpert",CLASSFEATUREHEADERS,0),MATCH(($A623 &amp; "Points"),CLASSNAMEHEADERS,0))),(IF("13"=(INDEX(ALLCLASSDATA,MATCH("MediumTrained",CLASSFEATUREHEADERS,0),MATCH($A623,CLASSNAMEHEADERS,0))),(INDEX(ALLCLASSDATA,MATCH("MediumTrained",CLASSFEATUREHEADERS,0),MATCH(($A623 &amp; "Points"),CLASSNAMEHEADERS,0))),"")))))))))}</f>
        <v>MEDIUML13</v>
      </c>
      <c r="U622" s="223"/>
      <c r="V622" s="223" t="str">
        <f t="array" ref="V622:V623">{"MEDIUML15";((IF("15"=(INDEX(ALLCLASSDATA,MATCH("MediumLegendary",CLASSFEATUREHEADERS,0),MATCH($A623,CLASSNAMEHEADERS,0))),(INDEX(ALLCLASSDATA,MATCH("MediumLegendary",CLASSFEATUREHEADERS,0),MATCH(($A623 &amp; "Points"),CLASSNAMEHEADERS,0))),(IF("15"=(INDEX(ALLCLASSDATA,MATCH("MediumMaster",CLASSFEATUREHEADERS,0),MATCH($A623,CLASSNAMEHEADERS,0))),(INDEX(ALLCLASSDATA,MATCH("MediumMaster",CLASSFEATUREHEADERS,0),MATCH(($A623 &amp; "Points"),CLASSNAMEHEADERS,0))),(IF("15"=(INDEX(ALLCLASSDATA,MATCH("MediumExpert",CLASSFEATUREHEADERS,0),MATCH($A623,CLASSNAMEHEADERS,0))),(INDEX(ALLCLASSDATA,MATCH("MediumExpert",CLASSFEATUREHEADERS,0),MATCH(($A623 &amp; "Points"),CLASSNAMEHEADERS,0))),(IF("15"=(INDEX(ALLCLASSDATA,MATCH("MediumTrained",CLASSFEATUREHEADERS,0),MATCH($A623,CLASSNAMEHEADERS,0))),(INDEX(ALLCLASSDATA,MATCH("MediumTrained",CLASSFEATUREHEADERS,0),MATCH(($A623 &amp; "Points"),CLASSNAMEHEADERS,0))),"")))))))))}</f>
        <v>MEDIUML15</v>
      </c>
      <c r="W622" s="223"/>
      <c r="X622" s="223" t="str">
        <f t="array" ref="X622:X623">{"MEDIUML17";((IF("17"=(INDEX(ALLCLASSDATA,MATCH("MediumLegendary",CLASSFEATUREHEADERS,0),MATCH($A623,CLASSNAMEHEADERS,0))),(INDEX(ALLCLASSDATA,MATCH("MediumLegendary",CLASSFEATUREHEADERS,0),MATCH(($A623 &amp; "Points"),CLASSNAMEHEADERS,0))),(IF("17"=(INDEX(ALLCLASSDATA,MATCH("MediumMaster",CLASSFEATUREHEADERS,0),MATCH($A623,CLASSNAMEHEADERS,0))),(INDEX(ALLCLASSDATA,MATCH("MediumMaster",CLASSFEATUREHEADERS,0),MATCH(($A623 &amp; "Points"),CLASSNAMEHEADERS,0))),(IF("17"=(INDEX(ALLCLASSDATA,MATCH("MediumExpert",CLASSFEATUREHEADERS,0),MATCH($A623,CLASSNAMEHEADERS,0))),(INDEX(ALLCLASSDATA,MATCH("MediumExpert",CLASSFEATUREHEADERS,0),MATCH(($A623 &amp; "Points"),CLASSNAMEHEADERS,0))),(IF("17"=(INDEX(ALLCLASSDATA,MATCH("MediumTrained",CLASSFEATUREHEADERS,0),MATCH($A623,CLASSNAMEHEADERS,0))),(INDEX(ALLCLASSDATA,MATCH("MediumTrained",CLASSFEATUREHEADERS,0),MATCH(($A623 &amp; "Points"),CLASSNAMEHEADERS,0))),"")))))))))}</f>
        <v>MEDIUML17</v>
      </c>
      <c r="Y622" s="223"/>
      <c r="Z622" s="223" t="str">
        <f t="array" ref="Z622:Z623">{"MEDIUML19";((IF("19"=(INDEX(ALLCLASSDATA,MATCH("MediumLegendary",CLASSFEATUREHEADERS,0),MATCH($A623,CLASSNAMEHEADERS,0))),(INDEX(ALLCLASSDATA,MATCH("MediumLegendary",CLASSFEATUREHEADERS,0),MATCH(($A623 &amp; "Points"),CLASSNAMEHEADERS,0))),(IF("19"=(INDEX(ALLCLASSDATA,MATCH("MediumMaster",CLASSFEATUREHEADERS,0),MATCH($A623,CLASSNAMEHEADERS,0))),(INDEX(ALLCLASSDATA,MATCH("MediumMaster",CLASSFEATUREHEADERS,0),MATCH(($A623 &amp; "Points"),CLASSNAMEHEADERS,0))),(IF("19"=(INDEX(ALLCLASSDATA,MATCH("MediumExpert",CLASSFEATUREHEADERS,0),MATCH($A623,CLASSNAMEHEADERS,0))),(INDEX(ALLCLASSDATA,MATCH("MediumExpert",CLASSFEATUREHEADERS,0),MATCH(($A623 &amp; "Points"),CLASSNAMEHEADERS,0))),(IF("19"=(INDEX(ALLCLASSDATA,MATCH("MediumTrained",CLASSFEATUREHEADERS,0),MATCH($A623,CLASSNAMEHEADERS,0))),(INDEX(ALLCLASSDATA,MATCH("MediumTrained",CLASSFEATUREHEADERS,0),MATCH(($A623 &amp; "Points"),CLASSNAMEHEADERS,0))),"")))))))))}</f>
        <v>MEDIUML19</v>
      </c>
      <c r="AA622" s="223"/>
      <c r="AB622" s="76" t="str">
        <f t="array" ref="AB622:AB623">{"MEDIUM TOTAL";(IF(COUNTBLANK(G623:AA623)=17,"L",(IF(COUNTBLANK(G623:AA623)=18,"M",(IF(COUNTBLANK(G623:AA623)=19,"E",(IF(COUNTBLANK(G623:AA623)=20,"T",""))))))))}</f>
        <v>MEDIUM TOTAL</v>
      </c>
      <c r="AC622" s="76" t="str">
        <f t="array" ref="AC622:AC623">{"MEDIUM TOTAL";(sum(G623:AA623))}</f>
        <v>MEDIUM TOTAL</v>
      </c>
    </row>
    <row r="623">
      <c r="A623" s="48" t="s">
        <v>144</v>
      </c>
      <c r="B623" s="48"/>
      <c r="C623" s="48" t="s">
        <v>409</v>
      </c>
      <c r="D623" s="48" t="s">
        <v>1900</v>
      </c>
      <c r="E623" s="48" t="s">
        <v>76</v>
      </c>
      <c r="F623" s="5" t="s">
        <v>603</v>
      </c>
      <c r="G623" s="47" t="s">
        <v>603</v>
      </c>
      <c r="H623" s="5" t="s">
        <v>603</v>
      </c>
      <c r="I623" s="5"/>
      <c r="J623" s="5" t="s">
        <v>603</v>
      </c>
      <c r="K623" s="5"/>
      <c r="L623" s="5" t="s">
        <v>603</v>
      </c>
      <c r="M623" s="5"/>
      <c r="N623" s="5" t="s">
        <v>603</v>
      </c>
      <c r="O623" s="5"/>
      <c r="P623" s="5" t="s">
        <v>603</v>
      </c>
      <c r="Q623" s="5"/>
      <c r="R623" s="5" t="s">
        <v>603</v>
      </c>
      <c r="S623" s="5"/>
      <c r="T623" s="5" t="s">
        <v>603</v>
      </c>
      <c r="U623" s="5"/>
      <c r="V623" s="5" t="s">
        <v>603</v>
      </c>
      <c r="W623" s="5"/>
      <c r="X623" s="5" t="s">
        <v>603</v>
      </c>
      <c r="Y623" s="5"/>
      <c r="Z623" s="5" t="s">
        <v>603</v>
      </c>
      <c r="AA623" s="5"/>
      <c r="AB623" s="5" t="s">
        <v>603</v>
      </c>
      <c r="AC623" s="47">
        <v>0.0</v>
      </c>
    </row>
    <row r="624" hidden="1">
      <c r="A624" s="222" t="str">
        <f t="array" ref="A624:A625">{"FormulaRow38";(INDEX(CLASSLIST,A549,1))}</f>
        <v>FormulaRow38</v>
      </c>
      <c r="B624" s="77" t="s">
        <v>236</v>
      </c>
      <c r="C624" s="222" t="str">
        <f t="array" ref="C624:C625">{"CLASSTYPE";((INDEX(ALLCLASSDATA,MATCH("ClassType",CLASSFEATUREHEADERS,0),MATCH($A625,CLASSNAMEHEADERS,0))))}</f>
        <v>CLASSTYPE</v>
      </c>
      <c r="D624" s="222" t="str">
        <f t="array" ref="D624:D625">{"DEFENSE";"Defense"}</f>
        <v>DEFENSE</v>
      </c>
      <c r="E624" s="222" t="str">
        <f t="array" ref="E624:E625">{"HEAVY";"Heavy"}</f>
        <v>HEAVY</v>
      </c>
      <c r="F624" s="223" t="str">
        <f t="array" ref="F624:F625">{"HEAVYINITIAL";((IF(H625=10,"T",(IF(H625=50,"E","")))))}</f>
        <v>HEAVYINITIAL</v>
      </c>
      <c r="G624" s="223" t="str">
        <f t="array" ref="G624:G625">{"HEAVYINITIALPTS";((IF("00"=(INDEX(ALLCLASSDATA,MATCH("HeavyLegendary",CLASSFEATUREHEADERS,0),MATCH($A625,CLASSNAMEHEADERS,0))),(INDEX(ALLCLASSDATA,MATCH("HeavyLegendary",CLASSFEATUREHEADERS,0),MATCH(($A625 &amp; "Points"),CLASSNAMEHEADERS,0))),(IF("00"=(INDEX(ALLCLASSDATA,MATCH("HeavyMaster",CLASSFEATUREHEADERS,0),MATCH($A625,CLASSNAMEHEADERS,0))),(INDEX(ALLCLASSDATA,MATCH("HeavyMaster",CLASSFEATUREHEADERS,0),MATCH(($A625 &amp; "Points"),CLASSNAMEHEADERS,0))),(IF("00"=(INDEX(ALLCLASSDATA,MATCH("HeavyExpert",CLASSFEATUREHEADERS,0),MATCH($A625,CLASSNAMEHEADERS,0))),(INDEX(ALLCLASSDATA,MATCH("HeavyExpert",CLASSFEATUREHEADERS,0),MATCH(($A625 &amp; "Points"),CLASSNAMEHEADERS,0))),(IF("00"=(INDEX(ALLCLASSDATA,MATCH("HeavyTrained",CLASSFEATUREHEADERS,0),MATCH($A625,CLASSNAMEHEADERS,0))),(INDEX(ALLCLASSDATA,MATCH("HeavyTrained",CLASSFEATUREHEADERS,0),MATCH(($A625 &amp; "Points"),CLASSNAMEHEADERS,0))),"")))))))))}</f>
        <v>HEAVYINITIALPTS</v>
      </c>
      <c r="H624" s="223" t="str">
        <f t="array" ref="H624:H625">{"HEAVYL01";((IF("01"=(INDEX(ALLCLASSDATA,MATCH("HeavyLegendary",CLASSFEATUREHEADERS,0),MATCH($A625,CLASSNAMEHEADERS,0))),(INDEX(ALLCLASSDATA,MATCH("HeavyLegendary",CLASSFEATUREHEADERS,0),MATCH(($A625 &amp; "Points"),CLASSNAMEHEADERS,0))),(IF("01"=(INDEX(ALLCLASSDATA,MATCH("HeavyMaster",CLASSFEATUREHEADERS,0),MATCH($A625,CLASSNAMEHEADERS,0))),(INDEX(ALLCLASSDATA,MATCH("HeavyMaster",CLASSFEATUREHEADERS,0),MATCH(($A625 &amp; "Points"),CLASSNAMEHEADERS,0))),(IF("01"=(INDEX(ALLCLASSDATA,MATCH("HeavyExpert",CLASSFEATUREHEADERS,0),MATCH($A625,CLASSNAMEHEADERS,0))),(INDEX(ALLCLASSDATA,MATCH("HeavyExpert",CLASSFEATUREHEADERS,0),MATCH(($A625 &amp; "Points"),CLASSNAMEHEADERS,0))),(IF("01"=(INDEX(ALLCLASSDATA,MATCH("HeavyTrained",CLASSFEATUREHEADERS,0),MATCH($A625,CLASSNAMEHEADERS,0))),(INDEX(ALLCLASSDATA,MATCH("HeavyTrained",CLASSFEATUREHEADERS,0),MATCH(($A625 &amp; "Points"),CLASSNAMEHEADERS,0))),"")))))))))}</f>
        <v>HEAVYL01</v>
      </c>
      <c r="I624" s="223"/>
      <c r="J624" s="223" t="str">
        <f t="array" ref="J624:J625">{"HEAVYL03";((IF("03"=(INDEX(ALLCLASSDATA,MATCH("HeavyLegendary",CLASSFEATUREHEADERS,0),MATCH($A625,CLASSNAMEHEADERS,0))),(INDEX(ALLCLASSDATA,MATCH("HeavyLegendary",CLASSFEATUREHEADERS,0),MATCH(($A625 &amp; "Points"),CLASSNAMEHEADERS,0))),(IF("03"=(INDEX(ALLCLASSDATA,MATCH("HeavyMaster",CLASSFEATUREHEADERS,0),MATCH($A625,CLASSNAMEHEADERS,0))),(INDEX(ALLCLASSDATA,MATCH("HeavyMaster",CLASSFEATUREHEADERS,0),MATCH(($A625 &amp; "Points"),CLASSNAMEHEADERS,0))),(IF("03"=(INDEX(ALLCLASSDATA,MATCH("HeavyExpert",CLASSFEATUREHEADERS,0),MATCH($A625,CLASSNAMEHEADERS,0))),(INDEX(ALLCLASSDATA,MATCH("HeavyExpert",CLASSFEATUREHEADERS,0),MATCH(($A625 &amp; "Points"),CLASSNAMEHEADERS,0))),(IF("03"=(INDEX(ALLCLASSDATA,MATCH("HeavyTrained",CLASSFEATUREHEADERS,0),MATCH($A625,CLASSNAMEHEADERS,0))),(INDEX(ALLCLASSDATA,MATCH("HeavyTrained",CLASSFEATUREHEADERS,0),MATCH(($A625 &amp; "Points"),CLASSNAMEHEADERS,0))),"")))))))))}</f>
        <v>HEAVYL03</v>
      </c>
      <c r="K624" s="223"/>
      <c r="L624" s="223" t="str">
        <f t="array" ref="L624:L625">{"HEAVYL05";((IF("05"=(INDEX(ALLCLASSDATA,MATCH("HeavyLegendary",CLASSFEATUREHEADERS,0),MATCH($A625,CLASSNAMEHEADERS,0))),(INDEX(ALLCLASSDATA,MATCH("HeavyLegendary",CLASSFEATUREHEADERS,0),MATCH(($A625 &amp; "Points"),CLASSNAMEHEADERS,0))),(IF("05"=(INDEX(ALLCLASSDATA,MATCH("HeavyMaster",CLASSFEATUREHEADERS,0),MATCH($A625,CLASSNAMEHEADERS,0))),(INDEX(ALLCLASSDATA,MATCH("HeavyMaster",CLASSFEATUREHEADERS,0),MATCH(($A625 &amp; "Points"),CLASSNAMEHEADERS,0))),(IF("05"=(INDEX(ALLCLASSDATA,MATCH("HeavyExpert",CLASSFEATUREHEADERS,0),MATCH($A625,CLASSNAMEHEADERS,0))),(INDEX(ALLCLASSDATA,MATCH("HeavyExpert",CLASSFEATUREHEADERS,0),MATCH(($A625 &amp; "Points"),CLASSNAMEHEADERS,0))),(IF("05"=(INDEX(ALLCLASSDATA,MATCH("HeavyTrained",CLASSFEATUREHEADERS,0),MATCH($A625,CLASSNAMEHEADERS,0))),(INDEX(ALLCLASSDATA,MATCH("HeavyTrained",CLASSFEATUREHEADERS,0),MATCH(($A625 &amp; "Points"),CLASSNAMEHEADERS,0))),"")))))))))}</f>
        <v>HEAVYL05</v>
      </c>
      <c r="M624" s="223"/>
      <c r="N624" s="223" t="str">
        <f t="array" ref="N624:N625">{"HEAVYL07";((IF("07"=(INDEX(ALLCLASSDATA,MATCH("HeavyLegendary",CLASSFEATUREHEADERS,0),MATCH($A625,CLASSNAMEHEADERS,0))),(INDEX(ALLCLASSDATA,MATCH("HeavyLegendary",CLASSFEATUREHEADERS,0),MATCH(($A625 &amp; "Points"),CLASSNAMEHEADERS,0))),(IF("07"=(INDEX(ALLCLASSDATA,MATCH("HeavyMaster",CLASSFEATUREHEADERS,0),MATCH($A625,CLASSNAMEHEADERS,0))),(INDEX(ALLCLASSDATA,MATCH("HeavyMaster",CLASSFEATUREHEADERS,0),MATCH(($A625 &amp; "Points"),CLASSNAMEHEADERS,0))),(IF("07"=(INDEX(ALLCLASSDATA,MATCH("HeavyExpert",CLASSFEATUREHEADERS,0),MATCH($A625,CLASSNAMEHEADERS,0))),(INDEX(ALLCLASSDATA,MATCH("HeavyExpert",CLASSFEATUREHEADERS,0),MATCH(($A625 &amp; "Points"),CLASSNAMEHEADERS,0))),(IF("07"=(INDEX(ALLCLASSDATA,MATCH("HeavyTrained",CLASSFEATUREHEADERS,0),MATCH($A625,CLASSNAMEHEADERS,0))),(INDEX(ALLCLASSDATA,MATCH("HeavyTrained",CLASSFEATUREHEADERS,0),MATCH(($A625 &amp; "Points"),CLASSNAMEHEADERS,0))),"")))))))))}</f>
        <v>HEAVYL07</v>
      </c>
      <c r="O624" s="223"/>
      <c r="P624" s="223" t="str">
        <f t="array" ref="P624:P625">{"HEAVYL09";((IF("09"=(INDEX(ALLCLASSDATA,MATCH("HeavyLegendary",CLASSFEATUREHEADERS,0),MATCH($A625,CLASSNAMEHEADERS,0))),(INDEX(ALLCLASSDATA,MATCH("HeavyLegendary",CLASSFEATUREHEADERS,0),MATCH(($A625 &amp; "Points"),CLASSNAMEHEADERS,0))),(IF("09"=(INDEX(ALLCLASSDATA,MATCH("HeavyMaster",CLASSFEATUREHEADERS,0),MATCH($A625,CLASSNAMEHEADERS,0))),(INDEX(ALLCLASSDATA,MATCH("HeavyMaster",CLASSFEATUREHEADERS,0),MATCH(($A625 &amp; "Points"),CLASSNAMEHEADERS,0))),(IF("09"=(INDEX(ALLCLASSDATA,MATCH("HeavyExpert",CLASSFEATUREHEADERS,0),MATCH($A625,CLASSNAMEHEADERS,0))),(INDEX(ALLCLASSDATA,MATCH("HeavyExpert",CLASSFEATUREHEADERS,0),MATCH(($A625 &amp; "Points"),CLASSNAMEHEADERS,0))),(IF("09"=(INDEX(ALLCLASSDATA,MATCH("HeavyTrained",CLASSFEATUREHEADERS,0),MATCH($A625,CLASSNAMEHEADERS,0))),(INDEX(ALLCLASSDATA,MATCH("HeavyTrained",CLASSFEATUREHEADERS,0),MATCH(($A625 &amp; "Points"),CLASSNAMEHEADERS,0))),"")))))))))}</f>
        <v>HEAVYL09</v>
      </c>
      <c r="Q624" s="223"/>
      <c r="R624" s="223" t="str">
        <f t="array" ref="R624:R625">{"HEAVYL11";((IF("11"=(INDEX(ALLCLASSDATA,MATCH("HeavyLegendary",CLASSFEATUREHEADERS,0),MATCH($A625,CLASSNAMEHEADERS,0))),(INDEX(ALLCLASSDATA,MATCH("HeavyLegendary",CLASSFEATUREHEADERS,0),MATCH(($A625 &amp; "Points"),CLASSNAMEHEADERS,0))),(IF("11"=(INDEX(ALLCLASSDATA,MATCH("HeavyMaster",CLASSFEATUREHEADERS,0),MATCH($A625,CLASSNAMEHEADERS,0))),(INDEX(ALLCLASSDATA,MATCH("HeavyMaster",CLASSFEATUREHEADERS,0),MATCH(($A625 &amp; "Points"),CLASSNAMEHEADERS,0))),(IF("11"=(INDEX(ALLCLASSDATA,MATCH("HeavyExpert",CLASSFEATUREHEADERS,0),MATCH($A625,CLASSNAMEHEADERS,0))),(INDEX(ALLCLASSDATA,MATCH("HeavyExpert",CLASSFEATUREHEADERS,0),MATCH(($A625 &amp; "Points"),CLASSNAMEHEADERS,0))),(IF("11"=(INDEX(ALLCLASSDATA,MATCH("HeavyTrained",CLASSFEATUREHEADERS,0),MATCH($A625,CLASSNAMEHEADERS,0))),(INDEX(ALLCLASSDATA,MATCH("HeavyTrained",CLASSFEATUREHEADERS,0),MATCH(($A625 &amp; "Points"),CLASSNAMEHEADERS,0))),"")))))))))}</f>
        <v>HEAVYL11</v>
      </c>
      <c r="S624" s="223"/>
      <c r="T624" s="223" t="str">
        <f t="array" ref="T624:T625">{"HEAVYL13";((IF("13"=(INDEX(ALLCLASSDATA,MATCH("HeavyLegendary",CLASSFEATUREHEADERS,0),MATCH($A625,CLASSNAMEHEADERS,0))),(INDEX(ALLCLASSDATA,MATCH("HeavyLegendary",CLASSFEATUREHEADERS,0),MATCH(($A625 &amp; "Points"),CLASSNAMEHEADERS,0))),(IF("13"=(INDEX(ALLCLASSDATA,MATCH("HeavyMaster",CLASSFEATUREHEADERS,0),MATCH($A625,CLASSNAMEHEADERS,0))),(INDEX(ALLCLASSDATA,MATCH("HeavyMaster",CLASSFEATUREHEADERS,0),MATCH(($A625 &amp; "Points"),CLASSNAMEHEADERS,0))),(IF("13"=(INDEX(ALLCLASSDATA,MATCH("HeavyExpert",CLASSFEATUREHEADERS,0),MATCH($A625,CLASSNAMEHEADERS,0))),(INDEX(ALLCLASSDATA,MATCH("HeavyExpert",CLASSFEATUREHEADERS,0),MATCH(($A625 &amp; "Points"),CLASSNAMEHEADERS,0))),(IF("13"=(INDEX(ALLCLASSDATA,MATCH("HeavyTrained",CLASSFEATUREHEADERS,0),MATCH($A625,CLASSNAMEHEADERS,0))),(INDEX(ALLCLASSDATA,MATCH("HeavyTrained",CLASSFEATUREHEADERS,0),MATCH(($A625 &amp; "Points"),CLASSNAMEHEADERS,0))),"")))))))))}</f>
        <v>HEAVYL13</v>
      </c>
      <c r="U624" s="223"/>
      <c r="V624" s="223" t="str">
        <f t="array" ref="V624:V625">{"HEAVYL15";((IF("15"=(INDEX(ALLCLASSDATA,MATCH("HeavyLegendary",CLASSFEATUREHEADERS,0),MATCH($A625,CLASSNAMEHEADERS,0))),(INDEX(ALLCLASSDATA,MATCH("HeavyLegendary",CLASSFEATUREHEADERS,0),MATCH(($A625 &amp; "Points"),CLASSNAMEHEADERS,0))),(IF("15"=(INDEX(ALLCLASSDATA,MATCH("HeavyMaster",CLASSFEATUREHEADERS,0),MATCH($A625,CLASSNAMEHEADERS,0))),(INDEX(ALLCLASSDATA,MATCH("HeavyMaster",CLASSFEATUREHEADERS,0),MATCH(($A625 &amp; "Points"),CLASSNAMEHEADERS,0))),(IF("15"=(INDEX(ALLCLASSDATA,MATCH("HeavyExpert",CLASSFEATUREHEADERS,0),MATCH($A625,CLASSNAMEHEADERS,0))),(INDEX(ALLCLASSDATA,MATCH("HeavyExpert",CLASSFEATUREHEADERS,0),MATCH(($A625 &amp; "Points"),CLASSNAMEHEADERS,0))),(IF("15"=(INDEX(ALLCLASSDATA,MATCH("HeavyTrained",CLASSFEATUREHEADERS,0),MATCH($A625,CLASSNAMEHEADERS,0))),(INDEX(ALLCLASSDATA,MATCH("HeavyTrained",CLASSFEATUREHEADERS,0),MATCH(($A625 &amp; "Points"),CLASSNAMEHEADERS,0))),"")))))))))}</f>
        <v>HEAVYL15</v>
      </c>
      <c r="W624" s="223"/>
      <c r="X624" s="223" t="str">
        <f t="array" ref="X624:X625">{"HEAVYL17";((IF("17"=(INDEX(ALLCLASSDATA,MATCH("HeavyLegendary",CLASSFEATUREHEADERS,0),MATCH($A625,CLASSNAMEHEADERS,0))),(INDEX(ALLCLASSDATA,MATCH("HeavyLegendary",CLASSFEATUREHEADERS,0),MATCH(($A625 &amp; "Points"),CLASSNAMEHEADERS,0))),(IF("17"=(INDEX(ALLCLASSDATA,MATCH("HeavyMaster",CLASSFEATUREHEADERS,0),MATCH($A625,CLASSNAMEHEADERS,0))),(INDEX(ALLCLASSDATA,MATCH("HeavyMaster",CLASSFEATUREHEADERS,0),MATCH(($A625 &amp; "Points"),CLASSNAMEHEADERS,0))),(IF("17"=(INDEX(ALLCLASSDATA,MATCH("HeavyExpert",CLASSFEATUREHEADERS,0),MATCH($A625,CLASSNAMEHEADERS,0))),(INDEX(ALLCLASSDATA,MATCH("HeavyExpert",CLASSFEATUREHEADERS,0),MATCH(($A625 &amp; "Points"),CLASSNAMEHEADERS,0))),(IF("17"=(INDEX(ALLCLASSDATA,MATCH("HeavyTrained",CLASSFEATUREHEADERS,0),MATCH($A625,CLASSNAMEHEADERS,0))),(INDEX(ALLCLASSDATA,MATCH("HeavyTrained",CLASSFEATUREHEADERS,0),MATCH(($A625 &amp; "Points"),CLASSNAMEHEADERS,0))),"")))))))))}</f>
        <v>HEAVYL17</v>
      </c>
      <c r="Y624" s="223"/>
      <c r="Z624" s="223" t="str">
        <f t="array" ref="Z624:Z625">{"HEAVYL19";((IF("19"=(INDEX(ALLCLASSDATA,MATCH("HeavyLegendary",CLASSFEATUREHEADERS,0),MATCH($A625,CLASSNAMEHEADERS,0))),(INDEX(ALLCLASSDATA,MATCH("HeavyLegendary",CLASSFEATUREHEADERS,0),MATCH(($A625 &amp; "Points"),CLASSNAMEHEADERS,0))),(IF("19"=(INDEX(ALLCLASSDATA,MATCH("HeavyMaster",CLASSFEATUREHEADERS,0),MATCH($A625,CLASSNAMEHEADERS,0))),(INDEX(ALLCLASSDATA,MATCH("HeavyMaster",CLASSFEATUREHEADERS,0),MATCH(($A625 &amp; "Points"),CLASSNAMEHEADERS,0))),(IF("19"=(INDEX(ALLCLASSDATA,MATCH("HeavyExpert",CLASSFEATUREHEADERS,0),MATCH($A625,CLASSNAMEHEADERS,0))),(INDEX(ALLCLASSDATA,MATCH("HeavyExpert",CLASSFEATUREHEADERS,0),MATCH(($A625 &amp; "Points"),CLASSNAMEHEADERS,0))),(IF("19"=(INDEX(ALLCLASSDATA,MATCH("HeavyTrained",CLASSFEATUREHEADERS,0),MATCH($A625,CLASSNAMEHEADERS,0))),(INDEX(ALLCLASSDATA,MATCH("HeavyTrained",CLASSFEATUREHEADERS,0),MATCH(($A625 &amp; "Points"),CLASSNAMEHEADERS,0))),"")))))))))}</f>
        <v>HEAVYL19</v>
      </c>
      <c r="AA624" s="223"/>
      <c r="AB624" s="76" t="str">
        <f t="array" ref="AB624:AB625">{"HEAVY TOTAL";(IF(COUNTBLANK(G625:AA625)=17,"L",(IF(COUNTBLANK(G625:AA625)=18,"M",(IF(COUNTBLANK(G625:AA625)=19,"E",(IF(COUNTBLANK(G625:AA625)=20,"T",""))))))))}</f>
        <v>HEAVY TOTAL</v>
      </c>
      <c r="AC624" s="76" t="str">
        <f t="array" ref="AC624:AC625">{"HEAVY TOTAL";(sum(G625:AA625))}</f>
        <v>HEAVY TOTAL</v>
      </c>
    </row>
    <row r="625">
      <c r="A625" s="48" t="s">
        <v>144</v>
      </c>
      <c r="B625" s="48"/>
      <c r="C625" s="48" t="s">
        <v>409</v>
      </c>
      <c r="D625" s="97" t="s">
        <v>1900</v>
      </c>
      <c r="E625" s="97" t="s">
        <v>533</v>
      </c>
      <c r="F625" s="98" t="s">
        <v>603</v>
      </c>
      <c r="G625" s="132" t="s">
        <v>603</v>
      </c>
      <c r="H625" s="98" t="s">
        <v>603</v>
      </c>
      <c r="I625" s="98"/>
      <c r="J625" s="98" t="s">
        <v>603</v>
      </c>
      <c r="K625" s="98"/>
      <c r="L625" s="98" t="s">
        <v>603</v>
      </c>
      <c r="M625" s="98"/>
      <c r="N625" s="98" t="s">
        <v>603</v>
      </c>
      <c r="O625" s="98"/>
      <c r="P625" s="98" t="s">
        <v>603</v>
      </c>
      <c r="Q625" s="98"/>
      <c r="R625" s="98" t="s">
        <v>603</v>
      </c>
      <c r="S625" s="98"/>
      <c r="T625" s="98" t="s">
        <v>603</v>
      </c>
      <c r="U625" s="98"/>
      <c r="V625" s="98" t="s">
        <v>603</v>
      </c>
      <c r="W625" s="98"/>
      <c r="X625" s="98" t="s">
        <v>603</v>
      </c>
      <c r="Y625" s="98"/>
      <c r="Z625" s="98" t="s">
        <v>603</v>
      </c>
      <c r="AA625" s="98"/>
      <c r="AB625" s="5" t="s">
        <v>603</v>
      </c>
      <c r="AC625" s="47">
        <v>0.0</v>
      </c>
    </row>
    <row r="626" hidden="1">
      <c r="A626" s="222" t="str">
        <f t="array" ref="A626:A627">{"FormulaRow39";(INDEX(CLASSLIST,A549,1))}</f>
        <v>FormulaRow39</v>
      </c>
      <c r="B626" s="77" t="s">
        <v>236</v>
      </c>
      <c r="C626" s="222" t="str">
        <f t="array" ref="C626:C627">{"CLASSTYPE";((INDEX(ALLCLASSDATA,MATCH("ClassType",CLASSFEATUREHEADERS,0),MATCH($A627,CLASSNAMEHEADERS,0))))}</f>
        <v>CLASSTYPE</v>
      </c>
      <c r="D626" s="222" t="str">
        <f t="array" ref="D626:D627">{"SPELL/ALCHEMY";((IF(INDEX(ALLCLASSDATA,MATCH("CasterType",CLASSFEATUREHEADERS,0),MATCH(($A627),CLASSNAMEHEADERS,0))="","",(IF(INDEX(ALLCLASSDATA,MATCH("CasterType",CLASSFEATUREHEADERS,0),MATCH(($A627),CLASSNAMEHEADERS,0))="Alchemy","Alchemy","Spells")))))}</f>
        <v>SPELL/ALCHEMY</v>
      </c>
      <c r="E626" s="222" t="str">
        <f t="array" ref="E626:E627">{"SPELLLIST";(IF(D627="Spells",((INDEX(ALLCLASSDATA,MATCH("CasterType",CLASSFEATUREHEADERS,0),MATCH(($A627),CLASSNAMEHEADERS,0))) &amp; ":" &amp; (INDEX(ALLCLASSDATA,MATCH("SpellList",CLASSFEATUREHEADERS,0),MATCH(($A627),CLASSNAMEHEADERS,0)))),""))}</f>
        <v>SPELLLIST</v>
      </c>
      <c r="F626" s="223" t="str">
        <f t="array" ref="F626:F627">{"SPL";(IF(D627="Spells","SPL:",""))}</f>
        <v>SPL</v>
      </c>
      <c r="G626" s="223" t="str">
        <f t="array" ref="G626:G627">{"CANTRIP/ALC";(IF(D627="Spells","C",(IF(D627="Alchemy","ALC:",""))))}</f>
        <v>CANTRIP/ALC</v>
      </c>
      <c r="H626" s="223" t="str">
        <f t="array" ref="H626:H627">{"SPELL/ALC L01";(IF(D627="Alchemy","L01",(IF(D627="Spells","S01",""))))}</f>
        <v>SPELL/ALC L01</v>
      </c>
      <c r="I626" s="223" t="str">
        <f t="array" ref="I626:I627">{"SPELL/ALC L02";(IF(D627="Alchemy","L02",(IF(D627="Spells","S01",""))))}</f>
        <v>SPELL/ALC L02</v>
      </c>
      <c r="J626" s="223" t="str">
        <f t="array" ref="J626:J627">{"SPELL/ALC L03";(IF(D627="Alchemy","L03",(IF(D627="Spells","S02",""))))}</f>
        <v>SPELL/ALC L03</v>
      </c>
      <c r="K626" s="223" t="str">
        <f t="array" ref="K626:K627">{"SPELL/ALC L04";(IF(D627="Alchemy","L04",(IF(D627="Spells","S02",""))))}</f>
        <v>SPELL/ALC L04</v>
      </c>
      <c r="L626" s="223" t="str">
        <f t="array" ref="L626:L627">{"SPELL/ALC L05";(IF(D627="Alchemy","L05",(IF(D627="Spells","S03",""))))}</f>
        <v>SPELL/ALC L05</v>
      </c>
      <c r="M626" s="223" t="str">
        <f t="array" ref="M626:M627">{"SPELL/ALC L06";(IF(D627="Alchemy","L06",(IF(D627="Spells","S03",""))))}</f>
        <v>SPELL/ALC L06</v>
      </c>
      <c r="N626" s="223" t="str">
        <f t="array" ref="N626:N627">{"SPELL/ALC L07";(IF(D627="Alchemy","L07",(IF(D627="Spells","S04",""))))}</f>
        <v>SPELL/ALC L07</v>
      </c>
      <c r="O626" s="223" t="str">
        <f t="array" ref="O626:O627">{"SPELL/ALC L08";(IF(D627="Alchemy","L08",(IF(D627="Spells","S04",""))))}</f>
        <v>SPELL/ALC L08</v>
      </c>
      <c r="P626" s="223" t="str">
        <f t="array" ref="P626:P627">{"SPELL/ALC L09";(IF(D627="Alchemy","L09",(IF(D627="Spells","S05",""))))}</f>
        <v>SPELL/ALC L09</v>
      </c>
      <c r="Q626" s="223" t="str">
        <f t="array" ref="Q626:Q627">{"SPELL/ALC L10";(IF(D627="Alchemy","L10",(IF(D627="Spells","S05",""))))}</f>
        <v>SPELL/ALC L10</v>
      </c>
      <c r="R626" s="223" t="str">
        <f t="array" ref="R626:R627">{"SPELL/ALC L11";(IF(D627="Alchemy","L11",(IF(D627="Spells","S06",""))))}</f>
        <v>SPELL/ALC L11</v>
      </c>
      <c r="S626" s="223" t="str">
        <f t="array" ref="S626:S627">{"SPELL/ALC L12";(IF(D627="Alchemy","L12",(IF(D627="Spells","S06",""))))}</f>
        <v>SPELL/ALC L12</v>
      </c>
      <c r="T626" s="223" t="str">
        <f t="array" ref="T626:T627">{"SPELL/ALC L13";(IF(D627="Alchemy","L13",(IF(D627="Spells","S07",""))))}</f>
        <v>SPELL/ALC L13</v>
      </c>
      <c r="U626" s="223" t="str">
        <f t="array" ref="U626:U627">{"SPELL/ALC L14";(IF(D627="Alchemy","L14",(IF(D627="Spells","S07",""))))}</f>
        <v>SPELL/ALC L14</v>
      </c>
      <c r="V626" s="223" t="str">
        <f t="array" ref="V626:V627">{"SPELL/ALC L15";(IF(D627="Alchemy","L15",(IF(D627="Spells","S08",""))))}</f>
        <v>SPELL/ALC L15</v>
      </c>
      <c r="W626" s="223" t="str">
        <f t="array" ref="W626:W627">{"SPELL/ALC L16";(IF(D627="Alchemy","L16",(IF(D627="Spells","S08",""))))}</f>
        <v>SPELL/ALC L16</v>
      </c>
      <c r="X626" s="223" t="str">
        <f t="array" ref="X626:X627">{"SPELL/ALC L17";(IF(D627="Alchemy","L17",(IF(D627="Spells","S09",""))))}</f>
        <v>SPELL/ALC L17</v>
      </c>
      <c r="Y626" s="223" t="str">
        <f t="array" ref="Y626:Y627">{"SPELL/ALC L18";(IF(D627="Alchemy","L18",(IF(D627="Spells","S09",""))))}</f>
        <v>SPELL/ALC L18</v>
      </c>
      <c r="Z626" s="223" t="str">
        <f t="array" ref="Z626:Z627">{"SPELL/ALC L19";(IF(D627="Alchemy","L19",(IF(D627="Spells","S10",""))))}</f>
        <v>SPELL/ALC L19</v>
      </c>
      <c r="AA626" s="223" t="str">
        <f t="array" ref="AA626:AA627">{"SPELL/ALC L20";(IF(D627="Alchemy","L20",(IF(D627="Spells","S10",""))))}</f>
        <v>SPELL/ALC L20</v>
      </c>
      <c r="AB626" s="76"/>
      <c r="AC626" s="76"/>
    </row>
    <row r="627">
      <c r="A627" s="48" t="s">
        <v>144</v>
      </c>
      <c r="B627" s="48"/>
      <c r="C627" s="48" t="s">
        <v>409</v>
      </c>
      <c r="D627" s="48" t="s">
        <v>603</v>
      </c>
      <c r="E627" s="48" t="s">
        <v>603</v>
      </c>
      <c r="F627" s="278" t="s">
        <v>603</v>
      </c>
      <c r="G627" s="114" t="s">
        <v>603</v>
      </c>
      <c r="H627" s="279" t="s">
        <v>603</v>
      </c>
      <c r="I627" s="28" t="s">
        <v>603</v>
      </c>
      <c r="J627" s="28" t="s">
        <v>603</v>
      </c>
      <c r="K627" s="28" t="s">
        <v>603</v>
      </c>
      <c r="L627" s="28" t="s">
        <v>603</v>
      </c>
      <c r="M627" s="28" t="s">
        <v>603</v>
      </c>
      <c r="N627" s="28" t="s">
        <v>603</v>
      </c>
      <c r="O627" s="28" t="s">
        <v>603</v>
      </c>
      <c r="P627" s="28" t="s">
        <v>603</v>
      </c>
      <c r="Q627" s="28" t="s">
        <v>603</v>
      </c>
      <c r="R627" s="28" t="s">
        <v>603</v>
      </c>
      <c r="S627" s="28" t="s">
        <v>603</v>
      </c>
      <c r="T627" s="28" t="s">
        <v>603</v>
      </c>
      <c r="U627" s="28" t="s">
        <v>603</v>
      </c>
      <c r="V627" s="28" t="s">
        <v>603</v>
      </c>
      <c r="W627" s="28" t="s">
        <v>603</v>
      </c>
      <c r="X627" s="28" t="s">
        <v>603</v>
      </c>
      <c r="Y627" s="28" t="s">
        <v>603</v>
      </c>
      <c r="Z627" s="28" t="s">
        <v>603</v>
      </c>
      <c r="AA627" s="28" t="s">
        <v>603</v>
      </c>
      <c r="AB627" s="5"/>
      <c r="AC627" s="47"/>
    </row>
    <row r="628" hidden="1">
      <c r="A628" s="222" t="str">
        <f t="array" ref="A628:A629">{"FormulaRow40";(INDEX(CLASSLIST,A549,1))}</f>
        <v>FormulaRow40</v>
      </c>
      <c r="B628" s="77" t="s">
        <v>236</v>
      </c>
      <c r="C628" s="222" t="str">
        <f t="array" ref="C628:C629">{"CLASSTYPE";((INDEX(ALLCLASSDATA,MATCH("ClassType",CLASSFEATUREHEADERS,0),MATCH($A629,CLASSNAMEHEADERS,0))))}</f>
        <v>CLASSTYPE</v>
      </c>
      <c r="D628" s="222" t="str">
        <f t="array" ref="D628:D629">{"SPELL/ALCHEMY";((IF(INDEX(ALLCLASSDATA,MATCH("CasterType",CLASSFEATUREHEADERS,0),MATCH(($A629),CLASSNAMEHEADERS,0))="","",(IF(INDEX(ALLCLASSDATA,MATCH("CasterType",CLASSFEATUREHEADERS,0),MATCH(($A629),CLASSNAMEHEADERS,0))="Alchemy","","Spells")))))}</f>
        <v>SPELL/ALCHEMY</v>
      </c>
      <c r="E628" s="222" t="str">
        <f t="array" ref="E628:E629">{"SPELLLIST";(IF(D629="Spells",((INDEX(ALLCLASSDATA,MATCH("CasterType",CLASSFEATUREHEADERS,0),MATCH(($A629),CLASSNAMEHEADERS,0))) &amp; ":" &amp; (INDEX(ALLCLASSDATA,MATCH("SpellList",CLASSFEATUREHEADERS,0),MATCH(($A629),CLASSNAMEHEADERS,0)))),""))}</f>
        <v>SPELLLIST</v>
      </c>
      <c r="F628" s="222" t="str">
        <f t="array" ref="F628:F629">{"SLOTCOST";(IF(D629="Spells","SlotCost:",""))}</f>
        <v>SLOTCOST</v>
      </c>
      <c r="G628" s="222" t="str">
        <f t="array" ref="G628:G629">{"SLOTCOST CANTRIP";(INDEX(ALLCLASSDATA,MATCH("CantripSlots-L00",CLASSFEATUREHEADERS,0),MATCH(($A629 &amp; "Points"),CLASSNAMEHEADERS,0)))}</f>
        <v>SLOTCOST CANTRIP</v>
      </c>
      <c r="H628" s="222" t="str">
        <f t="array" ref="H628:H629">{"SLOTCOST L01";(INDEX(ALLCLASSDATA,MATCH("SPL01-L01",CLASSFEATUREHEADERS,0),MATCH(($A629 &amp; "Points"),CLASSNAMEHEADERS,0)))}</f>
        <v>SLOTCOST L01</v>
      </c>
      <c r="I628" s="222" t="str">
        <f t="array" ref="I628:I629">{"SLOTCOST L02";(INDEX(ALLCLASSDATA,MATCH("SPL01-L02",CLASSFEATUREHEADERS,0),MATCH(($A629 &amp; "Points"),CLASSNAMEHEADERS,0)))}</f>
        <v>SLOTCOST L02</v>
      </c>
      <c r="J628" s="222" t="str">
        <f t="array" ref="J628:J629">{"SLOTCOST L03";(INDEX(ALLCLASSDATA,MATCH("SPL02-L03",CLASSFEATUREHEADERS,0),MATCH(($A629 &amp; "Points"),CLASSNAMEHEADERS,0)))}</f>
        <v>SLOTCOST L03</v>
      </c>
      <c r="K628" s="222" t="str">
        <f t="array" ref="K628:K629">{"SLOTCOST L04";(INDEX(ALLCLASSDATA,MATCH("SPL02-L04",CLASSFEATUREHEADERS,0),MATCH(($A629 &amp; "Points"),CLASSNAMEHEADERS,0)))}</f>
        <v>SLOTCOST L04</v>
      </c>
      <c r="L628" s="222" t="str">
        <f t="array" ref="L628:L629">{"SLOTCOST L05";(INDEX(ALLCLASSDATA,MATCH("SPL03-L05",CLASSFEATUREHEADERS,0),MATCH(($A629 &amp; "Points"),CLASSNAMEHEADERS,0)))}</f>
        <v>SLOTCOST L05</v>
      </c>
      <c r="M628" s="222" t="str">
        <f t="array" ref="M628:M629">{"SLOTCOST L06";(INDEX(ALLCLASSDATA,MATCH("SPL03-L06",CLASSFEATUREHEADERS,0),MATCH(($A629 &amp; "Points"),CLASSNAMEHEADERS,0)))}</f>
        <v>SLOTCOST L06</v>
      </c>
      <c r="N628" s="222" t="str">
        <f t="array" ref="N628:N629">{"SLOTCOST L07";(INDEX(ALLCLASSDATA,MATCH("SPL04-L07",CLASSFEATUREHEADERS,0),MATCH(($A629 &amp; "Points"),CLASSNAMEHEADERS,0)))}</f>
        <v>SLOTCOST L07</v>
      </c>
      <c r="O628" s="222" t="str">
        <f t="array" ref="O628:O629">{"SLOTCOST L08";(INDEX(ALLCLASSDATA,MATCH("SPL04-L08",CLASSFEATUREHEADERS,0),MATCH(($A629 &amp; "Points"),CLASSNAMEHEADERS,0)))}</f>
        <v>SLOTCOST L08</v>
      </c>
      <c r="P628" s="222" t="str">
        <f t="array" ref="P628:P629">{"SLOTCOST L09";(INDEX(ALLCLASSDATA,MATCH("SPL05-L09",CLASSFEATUREHEADERS,0),MATCH(($A629 &amp; "Points"),CLASSNAMEHEADERS,0)))}</f>
        <v>SLOTCOST L09</v>
      </c>
      <c r="Q628" s="222" t="str">
        <f t="array" ref="Q628:Q629">{"SLOTCOST L10";(INDEX(ALLCLASSDATA,MATCH("SPL05-L10",CLASSFEATUREHEADERS,0),MATCH(($A629 &amp; "Points"),CLASSNAMEHEADERS,0)))}</f>
        <v>SLOTCOST L10</v>
      </c>
      <c r="R628" s="222" t="str">
        <f t="array" ref="R628:R629">{"SLOTCOST L11";(INDEX(ALLCLASSDATA,MATCH("SPL06-L11",CLASSFEATUREHEADERS,0),MATCH(($A629 &amp; "Points"),CLASSNAMEHEADERS,0)))}</f>
        <v>SLOTCOST L11</v>
      </c>
      <c r="S628" s="222" t="str">
        <f t="array" ref="S628:S629">{"SLOTCOST L12";(INDEX(ALLCLASSDATA,MATCH("SPL06-L12",CLASSFEATUREHEADERS,0),MATCH(($A629 &amp; "Points"),CLASSNAMEHEADERS,0)))}</f>
        <v>SLOTCOST L12</v>
      </c>
      <c r="T628" s="222" t="str">
        <f t="array" ref="T628:T629">{"SLOTCOST L13";(INDEX(ALLCLASSDATA,MATCH("SPL07-L13",CLASSFEATUREHEADERS,0),MATCH(($A629 &amp; "Points"),CLASSNAMEHEADERS,0)))}</f>
        <v>SLOTCOST L13</v>
      </c>
      <c r="U628" s="222" t="str">
        <f t="array" ref="U628:U629">{"SLOTCOST L14";(INDEX(ALLCLASSDATA,MATCH("SPL07-L14",CLASSFEATUREHEADERS,0),MATCH(($A629 &amp; "Points"),CLASSNAMEHEADERS,0)))}</f>
        <v>SLOTCOST L14</v>
      </c>
      <c r="V628" s="222" t="str">
        <f t="array" ref="V628:V629">{"SLOTCOST L15";(INDEX(ALLCLASSDATA,MATCH("SPL08-L15",CLASSFEATUREHEADERS,0),MATCH(($A629 &amp; "Points"),CLASSNAMEHEADERS,0)))}</f>
        <v>SLOTCOST L15</v>
      </c>
      <c r="W628" s="222" t="str">
        <f t="array" ref="W628:W629">{"SLOTCOST L16";(INDEX(ALLCLASSDATA,MATCH("SPL08-L16",CLASSFEATUREHEADERS,0),MATCH(($A629 &amp; "Points"),CLASSNAMEHEADERS,0)))}</f>
        <v>SLOTCOST L16</v>
      </c>
      <c r="X628" s="222" t="str">
        <f t="array" ref="X628:X629">{"SLOTCOST L17";(INDEX(ALLCLASSDATA,MATCH("SPL09-L17",CLASSFEATUREHEADERS,0),MATCH(($A629 &amp; "Points"),CLASSNAMEHEADERS,0)))}</f>
        <v>SLOTCOST L17</v>
      </c>
      <c r="Y628" s="222" t="str">
        <f t="array" ref="Y628:Y629">{"SLOTCOST L18";(INDEX(ALLCLASSDATA,MATCH("SPL09-L18",CLASSFEATUREHEADERS,0),MATCH(($A629 &amp; "Points"),CLASSNAMEHEADERS,0)))}</f>
        <v>SLOTCOST L18</v>
      </c>
      <c r="Z628" s="222" t="str">
        <f t="array" ref="Z628:Z629">{"SLOTCOST L19";(INDEX(ALLCLASSDATA,MATCH("SPL10-L19",CLASSFEATUREHEADERS,0),MATCH(($A629 &amp; "Points"),CLASSNAMEHEADERS,0)))}</f>
        <v>SLOTCOST L19</v>
      </c>
      <c r="AA628" s="222" t="str">
        <f t="array" ref="AA628:AA629">{"SLOTCOST L20";(INDEX(ALLCLASSDATA,MATCH("SPL10-L20",CLASSFEATUREHEADERS,0),MATCH(($A629 &amp; "Points"),CLASSNAMEHEADERS,0)))}</f>
        <v>SLOTCOST L20</v>
      </c>
      <c r="AB628" s="76"/>
      <c r="AC628" s="76" t="str">
        <f t="array" ref="AC628:AC629">{"SLOT TOTAL";(sum(G629:AA629))}</f>
        <v>SLOT TOTAL</v>
      </c>
    </row>
    <row r="629">
      <c r="A629" s="48" t="s">
        <v>144</v>
      </c>
      <c r="B629" s="48"/>
      <c r="C629" s="48" t="s">
        <v>409</v>
      </c>
      <c r="D629" s="48" t="s">
        <v>603</v>
      </c>
      <c r="E629" s="48" t="s">
        <v>603</v>
      </c>
      <c r="F629" s="278" t="s">
        <v>603</v>
      </c>
      <c r="G629" s="47" t="s">
        <v>603</v>
      </c>
      <c r="H629" s="5" t="s">
        <v>603</v>
      </c>
      <c r="I629" s="5" t="s">
        <v>603</v>
      </c>
      <c r="J629" s="5" t="s">
        <v>603</v>
      </c>
      <c r="K629" s="5" t="s">
        <v>603</v>
      </c>
      <c r="L629" s="5" t="s">
        <v>603</v>
      </c>
      <c r="M629" s="48" t="s">
        <v>603</v>
      </c>
      <c r="N629" s="5" t="s">
        <v>603</v>
      </c>
      <c r="O629" s="5" t="s">
        <v>603</v>
      </c>
      <c r="P629" s="5" t="s">
        <v>603</v>
      </c>
      <c r="Q629" s="5" t="s">
        <v>603</v>
      </c>
      <c r="R629" s="5" t="s">
        <v>603</v>
      </c>
      <c r="S629" s="5" t="s">
        <v>603</v>
      </c>
      <c r="T629" s="5" t="s">
        <v>603</v>
      </c>
      <c r="U629" s="5" t="s">
        <v>603</v>
      </c>
      <c r="V629" s="5" t="s">
        <v>603</v>
      </c>
      <c r="W629" s="5" t="s">
        <v>603</v>
      </c>
      <c r="X629" s="5" t="s">
        <v>603</v>
      </c>
      <c r="Y629" s="5" t="s">
        <v>603</v>
      </c>
      <c r="Z629" s="5" t="s">
        <v>603</v>
      </c>
      <c r="AA629" s="5" t="s">
        <v>603</v>
      </c>
      <c r="AB629" s="5"/>
      <c r="AC629" s="47">
        <v>0.0</v>
      </c>
    </row>
    <row r="630" hidden="1">
      <c r="A630" s="222" t="str">
        <f t="array" ref="A630:A631">{"FormulaRow41";(INDEX(CLASSLIST,A549,1))}</f>
        <v>FormulaRow41</v>
      </c>
      <c r="B630" s="77" t="s">
        <v>236</v>
      </c>
      <c r="C630" s="222" t="str">
        <f t="array" ref="C630:C631">{"CLASSTYPE";((INDEX(ALLCLASSDATA,MATCH("ClassType",CLASSFEATUREHEADERS,0),MATCH($A631,CLASSNAMEHEADERS,0))))}</f>
        <v>CLASSTYPE</v>
      </c>
      <c r="D630" s="222" t="str">
        <f t="array" ref="D630:D631">{"SPELL/ALCHEMY";((IF(INDEX(ALLCLASSDATA,MATCH("CasterType",CLASSFEATUREHEADERS,0),MATCH(($A631),CLASSNAMEHEADERS,0))="","",(IF(INDEX(ALLCLASSDATA,MATCH("CasterType",CLASSFEATUREHEADERS,0),MATCH(($A631),CLASSNAMEHEADERS,0))="Alchemy","Alchemy","Spells")))))}</f>
        <v>SPELL/ALCHEMY</v>
      </c>
      <c r="E630" s="222" t="str">
        <f t="array" ref="E630:E631">{"SPELLLIST";(IF(D631="Spells",((INDEX(ALLCLASSDATA,MATCH("CasterType",CLASSFEATUREHEADERS,0),MATCH(($A631),CLASSNAMEHEADERS,0))) &amp; ":" &amp; (INDEX(ALLCLASSDATA,MATCH("SpellList",CLASSFEATUREHEADERS,0),MATCH(($A631),CLASSNAMEHEADERS,0)))),""))}</f>
        <v>SPELLLIST</v>
      </c>
      <c r="F630" s="223" t="str">
        <f t="array" ref="F630:F631">{"LEARNEDCOST";(IF(D631="","","LearnCost:"))}</f>
        <v>LEARNEDCOST</v>
      </c>
      <c r="G630" s="223" t="str">
        <f t="array" ref="G630:G631">{"LEARNED CANTRIPS";(INDEX(ALLCLASSDATA,MATCH("CantripsLearned-L00",CLASSFEATUREHEADERS,0),MATCH(($A631 &amp; "Points"),CLASSNAMEHEADERS,0)))}</f>
        <v>LEARNED CANTRIPS</v>
      </c>
      <c r="H630" s="223" t="str">
        <f t="array" ref="H630:H631">{"LEARNED L01";(INDEX(ALLCLASSDATA,MATCH("Learned-L01",CLASSFEATUREHEADERS,0),MATCH(($A631 &amp; "Points"),CLASSNAMEHEADERS,0)))}</f>
        <v>LEARNED L01</v>
      </c>
      <c r="I630" s="223" t="str">
        <f t="array" ref="I630:I631">{"LEARNED L02";(INDEX(ALLCLASSDATA,MATCH("Learned-L02",CLASSFEATUREHEADERS,0),MATCH(($A631 &amp; "Points"),CLASSNAMEHEADERS,0)))}</f>
        <v>LEARNED L02</v>
      </c>
      <c r="J630" s="223" t="str">
        <f t="array" ref="J630:J631">{"LEARNED L03";(INDEX(ALLCLASSDATA,MATCH("Learned-L03",CLASSFEATUREHEADERS,0),MATCH(($A631 &amp; "Points"),CLASSNAMEHEADERS,0)))}</f>
        <v>LEARNED L03</v>
      </c>
      <c r="K630" s="223" t="str">
        <f t="array" ref="K630:K631">{"LEARNED L04";(INDEX(ALLCLASSDATA,MATCH("Learned-L04",CLASSFEATUREHEADERS,0),MATCH(($A631 &amp; "Points"),CLASSNAMEHEADERS,0)))}</f>
        <v>LEARNED L04</v>
      </c>
      <c r="L630" s="223" t="str">
        <f t="array" ref="L630:L631">{"LEARNED L05";(INDEX(ALLCLASSDATA,MATCH("Learned-L05",CLASSFEATUREHEADERS,0),MATCH(($A631 &amp; "Points"),CLASSNAMEHEADERS,0)))}</f>
        <v>LEARNED L05</v>
      </c>
      <c r="M630" s="223" t="str">
        <f t="array" ref="M630:M631">{"LEARNED L06";(INDEX(ALLCLASSDATA,MATCH("Learned-L06",CLASSFEATUREHEADERS,0),MATCH(($A631 &amp; "Points"),CLASSNAMEHEADERS,0)))}</f>
        <v>LEARNED L06</v>
      </c>
      <c r="N630" s="223" t="str">
        <f t="array" ref="N630:N631">{"LEARNED L07";(INDEX(ALLCLASSDATA,MATCH("Learned-L07",CLASSFEATUREHEADERS,0),MATCH(($A631 &amp; "Points"),CLASSNAMEHEADERS,0)))}</f>
        <v>LEARNED L07</v>
      </c>
      <c r="O630" s="223" t="str">
        <f t="array" ref="O630:O631">{"LEARNED L08";(INDEX(ALLCLASSDATA,MATCH("Learned-L08",CLASSFEATUREHEADERS,0),MATCH(($A631 &amp; "Points"),CLASSNAMEHEADERS,0)))}</f>
        <v>LEARNED L08</v>
      </c>
      <c r="P630" s="223" t="str">
        <f t="array" ref="P630:P631">{"LEARNED L09";(INDEX(ALLCLASSDATA,MATCH("Learned-L09",CLASSFEATUREHEADERS,0),MATCH(($A631 &amp; "Points"),CLASSNAMEHEADERS,0)))}</f>
        <v>LEARNED L09</v>
      </c>
      <c r="Q630" s="223" t="str">
        <f t="array" ref="Q630:Q631">{"LEARNED L10";(INDEX(ALLCLASSDATA,MATCH("Learned-L10",CLASSFEATUREHEADERS,0),MATCH(($A631 &amp; "Points"),CLASSNAMEHEADERS,0)))}</f>
        <v>LEARNED L10</v>
      </c>
      <c r="R630" s="223" t="str">
        <f t="array" ref="R630:R631">{"LEARNED L11";(INDEX(ALLCLASSDATA,MATCH("Learned-L11",CLASSFEATUREHEADERS,0),MATCH(($A631 &amp; "Points"),CLASSNAMEHEADERS,0)))}</f>
        <v>LEARNED L11</v>
      </c>
      <c r="S630" s="223" t="str">
        <f t="array" ref="S630:S631">{"LEARNED L12";(INDEX(ALLCLASSDATA,MATCH("Learned-L12",CLASSFEATUREHEADERS,0),MATCH(($A631 &amp; "Points"),CLASSNAMEHEADERS,0)))}</f>
        <v>LEARNED L12</v>
      </c>
      <c r="T630" s="223" t="str">
        <f t="array" ref="T630:T631">{"LEARNED L13";(INDEX(ALLCLASSDATA,MATCH("Learned-L13",CLASSFEATUREHEADERS,0),MATCH(($A631 &amp; "Points"),CLASSNAMEHEADERS,0)))}</f>
        <v>LEARNED L13</v>
      </c>
      <c r="U630" s="223" t="str">
        <f t="array" ref="U630:U631">{"LEARNED L14";(INDEX(ALLCLASSDATA,MATCH("Learned-L14",CLASSFEATUREHEADERS,0),MATCH(($A631 &amp; "Points"),CLASSNAMEHEADERS,0)))}</f>
        <v>LEARNED L14</v>
      </c>
      <c r="V630" s="223" t="str">
        <f t="array" ref="V630:V631">{"LEARNED L15";(INDEX(ALLCLASSDATA,MATCH("Learned-L15",CLASSFEATUREHEADERS,0),MATCH(($A631 &amp; "Points"),CLASSNAMEHEADERS,0)))}</f>
        <v>LEARNED L15</v>
      </c>
      <c r="W630" s="223" t="str">
        <f t="array" ref="W630:W631">{"LEARNED L16";(INDEX(ALLCLASSDATA,MATCH("Learned-L16",CLASSFEATUREHEADERS,0),MATCH(($A631 &amp; "Points"),CLASSNAMEHEADERS,0)))}</f>
        <v>LEARNED L16</v>
      </c>
      <c r="X630" s="223" t="str">
        <f t="array" ref="X630:X631">{"LEARNED L17";(INDEX(ALLCLASSDATA,MATCH("Learned-L17",CLASSFEATUREHEADERS,0),MATCH(($A631 &amp; "Points"),CLASSNAMEHEADERS,0)))}</f>
        <v>LEARNED L17</v>
      </c>
      <c r="Y630" s="223" t="str">
        <f t="array" ref="Y630:Y631">{"LEARNED L18";(INDEX(ALLCLASSDATA,MATCH("Learned-L18",CLASSFEATUREHEADERS,0),MATCH(($A631 &amp; "Points"),CLASSNAMEHEADERS,0)))}</f>
        <v>LEARNED L18</v>
      </c>
      <c r="Z630" s="223" t="str">
        <f t="array" ref="Z630:Z631">{"LEARNED L19";(INDEX(ALLCLASSDATA,MATCH("Learned-L19",CLASSFEATUREHEADERS,0),MATCH(($A631 &amp; "Points"),CLASSNAMEHEADERS,0)))}</f>
        <v>LEARNED L19</v>
      </c>
      <c r="AA630" s="223" t="str">
        <f t="array" ref="AA630:AA631">{"LEARNED L20";(INDEX(ALLCLASSDATA,MATCH("Learned-L20",CLASSFEATUREHEADERS,0),MATCH(($A631 &amp; "Points"),CLASSNAMEHEADERS,0)))}</f>
        <v>LEARNED L20</v>
      </c>
      <c r="AB630" s="76"/>
      <c r="AC630" s="76" t="str">
        <f t="array" ref="AC630:AC631">{"LEARNED TOTAL";(sum(G631:AA631))}</f>
        <v>LEARNED TOTAL</v>
      </c>
    </row>
    <row r="631">
      <c r="A631" s="48" t="s">
        <v>144</v>
      </c>
      <c r="B631" s="48"/>
      <c r="C631" s="48" t="s">
        <v>409</v>
      </c>
      <c r="D631" s="48" t="s">
        <v>603</v>
      </c>
      <c r="E631" s="48" t="s">
        <v>603</v>
      </c>
      <c r="F631" s="278" t="s">
        <v>603</v>
      </c>
      <c r="G631" s="47" t="s">
        <v>603</v>
      </c>
      <c r="H631" s="5" t="s">
        <v>603</v>
      </c>
      <c r="I631" s="5" t="s">
        <v>603</v>
      </c>
      <c r="J631" s="5" t="s">
        <v>603</v>
      </c>
      <c r="K631" s="5" t="s">
        <v>603</v>
      </c>
      <c r="L631" s="5" t="s">
        <v>603</v>
      </c>
      <c r="M631" s="5" t="s">
        <v>603</v>
      </c>
      <c r="N631" s="48" t="s">
        <v>603</v>
      </c>
      <c r="O631" s="5" t="s">
        <v>603</v>
      </c>
      <c r="P631" s="5" t="s">
        <v>603</v>
      </c>
      <c r="Q631" s="5" t="s">
        <v>603</v>
      </c>
      <c r="R631" s="5" t="s">
        <v>603</v>
      </c>
      <c r="S631" s="5" t="s">
        <v>603</v>
      </c>
      <c r="T631" s="5" t="s">
        <v>603</v>
      </c>
      <c r="U631" s="5" t="s">
        <v>603</v>
      </c>
      <c r="V631" s="5" t="s">
        <v>603</v>
      </c>
      <c r="W631" s="5" t="s">
        <v>603</v>
      </c>
      <c r="X631" s="5" t="s">
        <v>603</v>
      </c>
      <c r="Y631" s="5" t="s">
        <v>603</v>
      </c>
      <c r="Z631" s="5" t="s">
        <v>603</v>
      </c>
      <c r="AA631" s="5" t="s">
        <v>603</v>
      </c>
      <c r="AB631" s="5"/>
      <c r="AC631" s="47">
        <v>0.0</v>
      </c>
    </row>
    <row r="632" hidden="1">
      <c r="A632" s="222" t="str">
        <f t="array" ref="A632:A633">{"FormulaRow42";(INDEX(CLASSLIST,A549,1))}</f>
        <v>FormulaRow42</v>
      </c>
      <c r="B632" s="77" t="s">
        <v>236</v>
      </c>
      <c r="C632" s="222" t="str">
        <f t="array" ref="C632:C633">{"CLASSTYPE";((INDEX(ALLCLASSDATA,MATCH("ClassType",CLASSFEATUREHEADERS,0),MATCH($A633,CLASSNAMEHEADERS,0))))}</f>
        <v>CLASSTYPE</v>
      </c>
      <c r="D632" s="222" t="str">
        <f t="array" ref="D632:D633">{"SPELL/ALCHEMY";((IF(INDEX(ALLCLASSDATA,MATCH("CasterType",CLASSFEATUREHEADERS,0),MATCH(($A633),CLASSNAMEHEADERS,0))="","",(IF(INDEX(ALLCLASSDATA,MATCH("CasterType",CLASSFEATUREHEADERS,0),MATCH(($A633),CLASSNAMEHEADERS,0))="Alchemy","","Spells")))))}</f>
        <v>SPELL/ALCHEMY</v>
      </c>
      <c r="E632" s="222" t="str">
        <f t="array" ref="E632:E633">{"SPELLLIST";(IF(D633="Spells",((INDEX(ALLCLASSDATA,MATCH("CasterType",CLASSFEATUREHEADERS,0),MATCH(($A633),CLASSNAMEHEADERS,0))) &amp; ":" &amp; (INDEX(ALLCLASSDATA,MATCH("SpellList",CLASSFEATUREHEADERS,0),MATCH(($A633),CLASSNAMEHEADERS,0)))),""))}</f>
        <v>SPELLLIST</v>
      </c>
      <c r="F632" s="223" t="str">
        <f t="array" ref="F632:F633">{"SLOT/LVL";(IF(D627="Spells","Slot/LVL:",""))}</f>
        <v>SLOT/LVL</v>
      </c>
      <c r="G632" s="223" t="str">
        <f t="array" ref="G632:G633">{"CANTRIPSLOTS";(INDEX(ALLCLASSDATA,MATCH("CantripSlots-L00",CLASSFEATUREHEADERS,0),MATCH($A633,CLASSNAMEHEADERS,0)))}</f>
        <v>CANTRIPSLOTS</v>
      </c>
      <c r="H632" s="223" t="str">
        <f t="array" ref="H632:H633">{"SPL01-L01";(INDEX(ALLCLASSDATA,MATCH("SPL01-L01",CLASSFEATUREHEADERS,0),MATCH($A633,CLASSNAMEHEADERS,0)))}</f>
        <v>SPL01-L01</v>
      </c>
      <c r="I632" s="223" t="str">
        <f t="array" ref="I632:I633">{"SPL01-L02";(INDEX(ALLCLASSDATA,MATCH("SPL01-L02",CLASSFEATUREHEADERS,0),MATCH($A633,CLASSNAMEHEADERS,0)))}</f>
        <v>SPL01-L02</v>
      </c>
      <c r="J632" s="223" t="str">
        <f t="array" ref="J632:J633">{"SPL02-L03";(INDEX(ALLCLASSDATA,MATCH("SPL02-L03",CLASSFEATUREHEADERS,0),MATCH($A633,CLASSNAMEHEADERS,0)))}</f>
        <v>SPL02-L03</v>
      </c>
      <c r="K632" s="223" t="str">
        <f t="array" ref="K632:K633">{"SPL02-L04";(INDEX(ALLCLASSDATA,MATCH("SPL02-L04",CLASSFEATUREHEADERS,0),MATCH($A633,CLASSNAMEHEADERS,0)))}</f>
        <v>SPL02-L04</v>
      </c>
      <c r="L632" s="223" t="str">
        <f t="array" ref="L632:L633">{"SPL03-L05";(INDEX(ALLCLASSDATA,MATCH("SPL03-L05",CLASSFEATUREHEADERS,0),MATCH($A633,CLASSNAMEHEADERS,0)))}</f>
        <v>SPL03-L05</v>
      </c>
      <c r="M632" s="223" t="str">
        <f t="array" ref="M632:M633">{"SPL03-L06";(INDEX(ALLCLASSDATA,MATCH("SPL03-L06",CLASSFEATUREHEADERS,0),MATCH($A633,CLASSNAMEHEADERS,0)))}</f>
        <v>SPL03-L06</v>
      </c>
      <c r="N632" s="223" t="str">
        <f t="array" ref="N632:N633">{"SPL04-L07";(INDEX(ALLCLASSDATA,MATCH("SPL04-L07",CLASSFEATUREHEADERS,0),MATCH($A633,CLASSNAMEHEADERS,0)))}</f>
        <v>SPL04-L07</v>
      </c>
      <c r="O632" s="223" t="str">
        <f t="array" ref="O632:O633">{"SPL04-L08";(INDEX(ALLCLASSDATA,MATCH("SPL04-L08",CLASSFEATUREHEADERS,0),MATCH($A633,CLASSNAMEHEADERS,0)))}</f>
        <v>SPL04-L08</v>
      </c>
      <c r="P632" s="223" t="str">
        <f t="array" ref="P632:P633">{"SPL05-L09";(INDEX(ALLCLASSDATA,MATCH("SPL05-L09",CLASSFEATUREHEADERS,0),MATCH($A633,CLASSNAMEHEADERS,0)))}</f>
        <v>SPL05-L09</v>
      </c>
      <c r="Q632" s="223" t="str">
        <f t="array" ref="Q632:Q633">{"SPL05-L10";(INDEX(ALLCLASSDATA,MATCH("SPL05-L10",CLASSFEATUREHEADERS,0),MATCH($A633,CLASSNAMEHEADERS,0)))}</f>
        <v>SPL05-L10</v>
      </c>
      <c r="R632" s="223" t="str">
        <f t="array" ref="R632:R633">{"SPL06-L11";(INDEX(ALLCLASSDATA,MATCH("SPL06-L11",CLASSFEATUREHEADERS,0),MATCH($A633,CLASSNAMEHEADERS,0)))}</f>
        <v>SPL06-L11</v>
      </c>
      <c r="S632" s="223" t="str">
        <f t="array" ref="S632:S633">{"SPL06-L12";(INDEX(ALLCLASSDATA,MATCH("SPL06-L12",CLASSFEATUREHEADERS,0),MATCH($A633,CLASSNAMEHEADERS,0)))}</f>
        <v>SPL06-L12</v>
      </c>
      <c r="T632" s="223" t="str">
        <f t="array" ref="T632:T633">{"SPL07-L13";(INDEX(ALLCLASSDATA,MATCH("SPL07-L13",CLASSFEATUREHEADERS,0),MATCH($A633,CLASSNAMEHEADERS,0)))}</f>
        <v>SPL07-L13</v>
      </c>
      <c r="U632" s="223" t="str">
        <f t="array" ref="U632:U633">{"SPL07-L14";(INDEX(ALLCLASSDATA,MATCH("SPL07-L14",CLASSFEATUREHEADERS,0),MATCH($A633,CLASSNAMEHEADERS,0)))}</f>
        <v>SPL07-L14</v>
      </c>
      <c r="V632" s="223" t="str">
        <f t="array" ref="V632:V633">{"SPL08-L15";(INDEX(ALLCLASSDATA,MATCH("SPL08-L15",CLASSFEATUREHEADERS,0),MATCH($A633,CLASSNAMEHEADERS,0)))}</f>
        <v>SPL08-L15</v>
      </c>
      <c r="W632" s="223" t="str">
        <f t="array" ref="W632:W633">{"SPL08-L16";(INDEX(ALLCLASSDATA,MATCH("SPL08-L16",CLASSFEATUREHEADERS,0),MATCH($A633,CLASSNAMEHEADERS,0)))}</f>
        <v>SPL08-L16</v>
      </c>
      <c r="X632" s="223" t="str">
        <f t="array" ref="X632:X633">{"SPL09-L17";(INDEX(ALLCLASSDATA,MATCH("SPL09-L17",CLASSFEATUREHEADERS,0),MATCH($A633,CLASSNAMEHEADERS,0)))}</f>
        <v>SPL09-L17</v>
      </c>
      <c r="Y632" s="223" t="str">
        <f t="array" ref="Y632:Y633">{"SPL09-L18";(INDEX(ALLCLASSDATA,MATCH("SPL09-L18",CLASSFEATUREHEADERS,0),MATCH($A633,CLASSNAMEHEADERS,0)))}</f>
        <v>SPL09-L18</v>
      </c>
      <c r="Z632" s="223" t="str">
        <f t="array" ref="Z632:Z633">{"SPL10-L19";(INDEX(ALLCLASSDATA,MATCH("SPL10-L19",CLASSFEATUREHEADERS,0),MATCH($A633,CLASSNAMEHEADERS,0)))}</f>
        <v>SPL10-L19</v>
      </c>
      <c r="AA632" s="223" t="str">
        <f t="array" ref="AA632:AA633">{"SPL10-L20";(INDEX(ALLCLASSDATA,MATCH("SPL10-L20",CLASSFEATUREHEADERS,0),MATCH($A633,CLASSNAMEHEADERS,0)))}</f>
        <v>SPL10-L20</v>
      </c>
      <c r="AB632" s="76"/>
      <c r="AC632" s="76"/>
    </row>
    <row r="633">
      <c r="A633" s="48" t="s">
        <v>144</v>
      </c>
      <c r="B633" s="48"/>
      <c r="C633" s="48" t="s">
        <v>409</v>
      </c>
      <c r="D633" s="48" t="s">
        <v>603</v>
      </c>
      <c r="E633" s="48" t="s">
        <v>603</v>
      </c>
      <c r="F633" s="278" t="s">
        <v>603</v>
      </c>
      <c r="G633" s="280"/>
      <c r="H633" s="50"/>
      <c r="I633" s="50"/>
      <c r="J633" s="50"/>
      <c r="K633" s="50"/>
      <c r="L633" s="50"/>
      <c r="M633" s="50"/>
      <c r="N633" s="50"/>
      <c r="O633" s="50"/>
      <c r="P633" s="50"/>
      <c r="Q633" s="50"/>
      <c r="R633" s="50"/>
      <c r="S633" s="50"/>
      <c r="T633" s="50"/>
      <c r="U633" s="50"/>
      <c r="V633" s="50"/>
      <c r="W633" s="50"/>
      <c r="X633" s="50"/>
      <c r="Y633" s="50"/>
      <c r="Z633" s="50"/>
      <c r="AA633" s="50"/>
      <c r="AB633" s="278"/>
      <c r="AC633" s="47"/>
    </row>
    <row r="634" hidden="1">
      <c r="A634" s="222" t="str">
        <f t="array" ref="A634:A635">{"FormulaRow43";(INDEX(CLASSLIST,A549,1))}</f>
        <v>FormulaRow43</v>
      </c>
      <c r="B634" s="77" t="s">
        <v>236</v>
      </c>
      <c r="C634" s="222" t="str">
        <f t="array" ref="C634:C635">{"CLASSTYPE";((INDEX(ALLCLASSDATA,MATCH("ClassType",CLASSFEATUREHEADERS,0),MATCH($A635,CLASSNAMEHEADERS,0))))}</f>
        <v>CLASSTYPE</v>
      </c>
      <c r="D634" s="222" t="str">
        <f t="array" ref="D634:D635">{"SPELL/ALCHEMY";((IF(INDEX(ALLCLASSDATA,MATCH("CasterType",CLASSFEATUREHEADERS,0),MATCH(($A635),CLASSNAMEHEADERS,0))="","",(IF(INDEX(ALLCLASSDATA,MATCH("CasterType",CLASSFEATUREHEADERS,0),MATCH(($A635),CLASSNAMEHEADERS,0))="Alchemy","Alchemy","Spells")))))}</f>
        <v>SPELL/ALCHEMY</v>
      </c>
      <c r="E634" s="222" t="str">
        <f t="array" ref="E634:E635">{"SPELLLIST";(IF(D635="Spells",((INDEX(ALLCLASSDATA,MATCH("CasterType",CLASSFEATUREHEADERS,0),MATCH(($A635),CLASSNAMEHEADERS,0))) &amp; ":" &amp; (INDEX(ALLCLASSDATA,MATCH("SpellList",CLASSFEATUREHEADERS,0),MATCH(($A635),CLASSNAMEHEADERS,0)))),""))}</f>
        <v>SPELLLIST</v>
      </c>
      <c r="F634" s="223" t="str">
        <f t="array" ref="F634:F635">{"LEARNED/LVL";(IF(D635="","","Learn/LVL:"))}</f>
        <v>LEARNED/LVL</v>
      </c>
      <c r="G634" s="223" t="str">
        <f t="array" ref="G634:G635">{"LEARNEDCANTRIPS";(INDEX(ALLCLASSDATA,MATCH("CantripsLearned-L00",CLASSFEATUREHEADERS,0),MATCH($A635,CLASSNAMEHEADERS,0)))}</f>
        <v>LEARNEDCANTRIPS</v>
      </c>
      <c r="H634" s="223" t="str">
        <f t="array" ref="H634:H635">{"LEARNED L01";(INDEX(ALLCLASSDATA,MATCH("Learned-L01",CLASSFEATUREHEADERS,0),MATCH($A635,CLASSNAMEHEADERS,0)))}</f>
        <v>LEARNED L01</v>
      </c>
      <c r="I634" s="223" t="str">
        <f t="array" ref="I634:I635">{"LEARNED L02";(INDEX(ALLCLASSDATA,MATCH("Learned-L02",CLASSFEATUREHEADERS,0),MATCH($A635,CLASSNAMEHEADERS,0)))}</f>
        <v>LEARNED L02</v>
      </c>
      <c r="J634" s="223" t="str">
        <f t="array" ref="J634:J635">{"LEARNED L03";(INDEX(ALLCLASSDATA,MATCH("Learned-L03",CLASSFEATUREHEADERS,0),MATCH($A635,CLASSNAMEHEADERS,0)))}</f>
        <v>LEARNED L03</v>
      </c>
      <c r="K634" s="223" t="str">
        <f t="array" ref="K634:K635">{"LEARNED L04";(INDEX(ALLCLASSDATA,MATCH("Learned-L04",CLASSFEATUREHEADERS,0),MATCH($A635,CLASSNAMEHEADERS,0)))}</f>
        <v>LEARNED L04</v>
      </c>
      <c r="L634" s="223" t="str">
        <f t="array" ref="L634:L635">{"LEARNED L05";(INDEX(ALLCLASSDATA,MATCH("Learned-L05",CLASSFEATUREHEADERS,0),MATCH($A635,CLASSNAMEHEADERS,0)))}</f>
        <v>LEARNED L05</v>
      </c>
      <c r="M634" s="223" t="str">
        <f t="array" ref="M634:M635">{"LEARNED L06";(INDEX(ALLCLASSDATA,MATCH("Learned-L06",CLASSFEATUREHEADERS,0),MATCH($A635,CLASSNAMEHEADERS,0)))}</f>
        <v>LEARNED L06</v>
      </c>
      <c r="N634" s="223" t="str">
        <f t="array" ref="N634:N635">{"LEARNED L07";(INDEX(ALLCLASSDATA,MATCH("Learned-L07",CLASSFEATUREHEADERS,0),MATCH($A635,CLASSNAMEHEADERS,0)))}</f>
        <v>LEARNED L07</v>
      </c>
      <c r="O634" s="223" t="str">
        <f t="array" ref="O634:O635">{"LEARNED L08";(INDEX(ALLCLASSDATA,MATCH("Learned-L08",CLASSFEATUREHEADERS,0),MATCH($A635,CLASSNAMEHEADERS,0)))}</f>
        <v>LEARNED L08</v>
      </c>
      <c r="P634" s="223" t="str">
        <f t="array" ref="P634:P635">{"LEARNED L09";(INDEX(ALLCLASSDATA,MATCH("Learned-L09",CLASSFEATUREHEADERS,0),MATCH($A635,CLASSNAMEHEADERS,0)))}</f>
        <v>LEARNED L09</v>
      </c>
      <c r="Q634" s="223" t="str">
        <f t="array" ref="Q634:Q635">{"LEARNED L10";(INDEX(ALLCLASSDATA,MATCH("Learned-L10",CLASSFEATUREHEADERS,0),MATCH($A635,CLASSNAMEHEADERS,0)))}</f>
        <v>LEARNED L10</v>
      </c>
      <c r="R634" s="223" t="str">
        <f t="array" ref="R634:R635">{"LEARNED L11";(INDEX(ALLCLASSDATA,MATCH("Learned-L11",CLASSFEATUREHEADERS,0),MATCH($A635,CLASSNAMEHEADERS,0)))}</f>
        <v>LEARNED L11</v>
      </c>
      <c r="S634" s="223" t="str">
        <f t="array" ref="S634:S635">{"LEARNED L12";(INDEX(ALLCLASSDATA,MATCH("Learned-L12",CLASSFEATUREHEADERS,0),MATCH($A635,CLASSNAMEHEADERS,0)))}</f>
        <v>LEARNED L12</v>
      </c>
      <c r="T634" s="223" t="str">
        <f t="array" ref="T634:T635">{"LEARNED L13";(INDEX(ALLCLASSDATA,MATCH("Learned-L13",CLASSFEATUREHEADERS,0),MATCH($A635,CLASSNAMEHEADERS,0)))}</f>
        <v>LEARNED L13</v>
      </c>
      <c r="U634" s="223" t="str">
        <f t="array" ref="U634:U635">{"LEARNED L14";(INDEX(ALLCLASSDATA,MATCH("Learned-L14",CLASSFEATUREHEADERS,0),MATCH($A635,CLASSNAMEHEADERS,0)))}</f>
        <v>LEARNED L14</v>
      </c>
      <c r="V634" s="223" t="str">
        <f t="array" ref="V634:V635">{"LEARNED L15";(INDEX(ALLCLASSDATA,MATCH("Learned-L15",CLASSFEATUREHEADERS,0),MATCH($A635,CLASSNAMEHEADERS,0)))}</f>
        <v>LEARNED L15</v>
      </c>
      <c r="W634" s="223" t="str">
        <f t="array" ref="W634:W635">{"LEARNED L16";(INDEX(ALLCLASSDATA,MATCH("Learned-L16",CLASSFEATUREHEADERS,0),MATCH($A635,CLASSNAMEHEADERS,0)))}</f>
        <v>LEARNED L16</v>
      </c>
      <c r="X634" s="223" t="str">
        <f t="array" ref="X634:X635">{"LEARNED L17";(INDEX(ALLCLASSDATA,MATCH("Learned-L17",CLASSFEATUREHEADERS,0),MATCH($A635,CLASSNAMEHEADERS,0)))}</f>
        <v>LEARNED L17</v>
      </c>
      <c r="Y634" s="223" t="str">
        <f t="array" ref="Y634:Y635">{"LEARNED L18";(INDEX(ALLCLASSDATA,MATCH("Learned-L18",CLASSFEATUREHEADERS,0),MATCH($A635,CLASSNAMEHEADERS,0)))}</f>
        <v>LEARNED L18</v>
      </c>
      <c r="Z634" s="223" t="str">
        <f t="array" ref="Z634:Z635">{"LEARNED L19";(INDEX(ALLCLASSDATA,MATCH("Learned-L19",CLASSFEATUREHEADERS,0),MATCH($A635,CLASSNAMEHEADERS,0)))}</f>
        <v>LEARNED L19</v>
      </c>
      <c r="AA634" s="223" t="str">
        <f t="array" ref="AA634:AA635">{"LEARNED L20";(INDEX(ALLCLASSDATA,MATCH("Learned-L20",CLASSFEATUREHEADERS,0),MATCH($A635,CLASSNAMEHEADERS,0)))}</f>
        <v>LEARNED L20</v>
      </c>
      <c r="AB634" s="76"/>
      <c r="AC634" s="76"/>
    </row>
    <row r="635">
      <c r="A635" s="48" t="s">
        <v>144</v>
      </c>
      <c r="B635" s="48"/>
      <c r="C635" s="48" t="s">
        <v>409</v>
      </c>
      <c r="D635" s="48" t="s">
        <v>603</v>
      </c>
      <c r="E635" s="48" t="s">
        <v>603</v>
      </c>
      <c r="F635" s="278" t="s">
        <v>603</v>
      </c>
      <c r="G635" s="280"/>
      <c r="H635" s="278"/>
      <c r="I635" s="278"/>
      <c r="J635" s="278"/>
      <c r="K635" s="278"/>
      <c r="L635" s="278"/>
      <c r="M635" s="278"/>
      <c r="N635" s="278"/>
      <c r="O635" s="50"/>
      <c r="P635" s="278"/>
      <c r="Q635" s="278"/>
      <c r="R635" s="278"/>
      <c r="S635" s="278"/>
      <c r="T635" s="278"/>
      <c r="U635" s="278"/>
      <c r="V635" s="278"/>
      <c r="W635" s="278"/>
      <c r="X635" s="278"/>
      <c r="Y635" s="278"/>
      <c r="Z635" s="278"/>
      <c r="AA635" s="278"/>
      <c r="AB635" s="278"/>
      <c r="AC635" s="47"/>
    </row>
    <row r="636" hidden="1">
      <c r="A636" s="222" t="str">
        <f t="array" ref="A636:A637">{"FormulaRow44";(INDEX(CLASSLIST,A549,1))}</f>
        <v>FormulaRow44</v>
      </c>
      <c r="B636" s="77" t="s">
        <v>236</v>
      </c>
      <c r="C636" s="222" t="str">
        <f t="array" ref="C636:C637">{"CLASSTYPE";((INDEX(ALLCLASSDATA,MATCH("ClassType",CLASSFEATUREHEADERS,0),MATCH($A637,CLASSNAMEHEADERS,0))))}</f>
        <v>CLASSTYPE</v>
      </c>
      <c r="D636" s="222" t="str">
        <f t="array" ref="D636:D637">{"SPELL/ALCHEMY";((IF(INDEX(ALLCLASSDATA,MATCH("CasterType",CLASSFEATUREHEADERS,0),MATCH(($A637),CLASSNAMEHEADERS,0))="","",(IF(INDEX(ALLCLASSDATA,MATCH("CasterType",CLASSFEATUREHEADERS,0),MATCH(($A637),CLASSNAMEHEADERS,0))="Alchemy","","Spells")))))}</f>
        <v>SPELL/ALCHEMY</v>
      </c>
      <c r="E636" s="222" t="str">
        <f t="array" ref="E636:E637">{"SPELLLIST";(IF(D637="Spells",((INDEX(ALLCLASSDATA,MATCH("CasterType",CLASSFEATUREHEADERS,0),MATCH(($A637),CLASSNAMEHEADERS,0))) &amp; ":" &amp; (INDEX(ALLCLASSDATA,MATCH("SpellList",CLASSFEATUREHEADERS,0),MATCH(($A637),CLASSNAMEHEADERS,0)))),""))}</f>
        <v>SPELLLIST</v>
      </c>
      <c r="F636" s="223" t="str">
        <f t="array" ref="F636:F637">{"TOTALSLOTS";(IF(D637="","","TotalSlots:"))}</f>
        <v>TOTALSLOTS</v>
      </c>
      <c r="G636" s="223" t="str">
        <f t="array" ref="G636:G637">{"TOTALCANTRIPSLOTS";(G633)}</f>
        <v>TOTALCANTRIPSLOTS</v>
      </c>
      <c r="H636" s="223" t="str">
        <f t="array" ref="H636:H637">{"TOTALSLOTS L01";(H633)}</f>
        <v>TOTALSLOTS L01</v>
      </c>
      <c r="I636" s="223" t="str">
        <f t="array" ref="I636:I637">{"TOTALSLOTS L02";(H637+I633)}</f>
        <v>TOTALSLOTS L02</v>
      </c>
      <c r="J636" s="223" t="str">
        <f t="array" ref="J636:J637">{"TOTALSLOTS L03";(I637+J633)}</f>
        <v>TOTALSLOTS L03</v>
      </c>
      <c r="K636" s="223" t="str">
        <f t="array" ref="K636:K637">{"TOTALSLOTS L04";(J637+K633)}</f>
        <v>TOTALSLOTS L04</v>
      </c>
      <c r="L636" s="223" t="str">
        <f t="array" ref="L636:L637">{"TOTALSLOTS L05";(K637+L633)}</f>
        <v>TOTALSLOTS L05</v>
      </c>
      <c r="M636" s="223" t="str">
        <f t="array" ref="M636:M637">{"TOTALSLOTS L06";(L637+M633)}</f>
        <v>TOTALSLOTS L06</v>
      </c>
      <c r="N636" s="223" t="str">
        <f t="array" ref="N636:N637">{"TOTALSLOTS L07";(M637+N633)}</f>
        <v>TOTALSLOTS L07</v>
      </c>
      <c r="O636" s="223" t="str">
        <f t="array" ref="O636:O637">{"TOTALSLOTS L08";(N637+O633)}</f>
        <v>TOTALSLOTS L08</v>
      </c>
      <c r="P636" s="223" t="str">
        <f t="array" ref="P636:P637">{"TOTALSLOTS L09";(O637+P633)}</f>
        <v>TOTALSLOTS L09</v>
      </c>
      <c r="Q636" s="223" t="str">
        <f t="array" ref="Q636:Q637">{"TOTALSLOTS L10";(P637+Q633)}</f>
        <v>TOTALSLOTS L10</v>
      </c>
      <c r="R636" s="223" t="str">
        <f t="array" ref="R636:R637">{"TOTALSLOTS L11";(Q637+R633)}</f>
        <v>TOTALSLOTS L11</v>
      </c>
      <c r="S636" s="223" t="str">
        <f t="array" ref="S636:S637">{"TOTALSLOTS L12";(R637+S633)}</f>
        <v>TOTALSLOTS L12</v>
      </c>
      <c r="T636" s="223" t="str">
        <f t="array" ref="T636:T637">{"TOTALSLOTS L13";(S637+T633)}</f>
        <v>TOTALSLOTS L13</v>
      </c>
      <c r="U636" s="223" t="str">
        <f t="array" ref="U636:U637">{"TOTALSLOTS L14";(T637+U633)}</f>
        <v>TOTALSLOTS L14</v>
      </c>
      <c r="V636" s="223" t="str">
        <f t="array" ref="V636:V637">{"TOTALSLOTS L15";(U637+V633)}</f>
        <v>TOTALSLOTS L15</v>
      </c>
      <c r="W636" s="223" t="str">
        <f t="array" ref="W636:W637">{"TOTALSLOTS L16";(V637+W633)}</f>
        <v>TOTALSLOTS L16</v>
      </c>
      <c r="X636" s="223" t="str">
        <f t="array" ref="X636:X637">{"TOTALSLOTS L17";(W637+X633)}</f>
        <v>TOTALSLOTS L17</v>
      </c>
      <c r="Y636" s="223" t="str">
        <f t="array" ref="Y636:Y637">{"TOTALSLOTS L18";(X637+Y633)}</f>
        <v>TOTALSLOTS L18</v>
      </c>
      <c r="Z636" s="223" t="str">
        <f t="array" ref="Z636:Z637">{"TOTALSLOTS L19";(Y637+Z633)}</f>
        <v>TOTALSLOTS L19</v>
      </c>
      <c r="AA636" s="223" t="str">
        <f t="array" ref="AA636:AA637">{"TOTALSLOTS L20";(Z637+AA633)}</f>
        <v>TOTALSLOTS L20</v>
      </c>
      <c r="AB636" s="76"/>
      <c r="AC636" s="76"/>
    </row>
    <row r="637">
      <c r="A637" s="48" t="s">
        <v>144</v>
      </c>
      <c r="B637" s="48"/>
      <c r="C637" s="48" t="s">
        <v>409</v>
      </c>
      <c r="D637" s="48" t="s">
        <v>603</v>
      </c>
      <c r="E637" s="48" t="s">
        <v>603</v>
      </c>
      <c r="F637" s="278" t="s">
        <v>603</v>
      </c>
      <c r="G637" s="280"/>
      <c r="H637" s="278"/>
      <c r="I637" s="278">
        <v>0.0</v>
      </c>
      <c r="J637" s="278">
        <v>0.0</v>
      </c>
      <c r="K637" s="278">
        <v>0.0</v>
      </c>
      <c r="L637" s="278">
        <v>0.0</v>
      </c>
      <c r="M637" s="278">
        <v>0.0</v>
      </c>
      <c r="N637" s="278">
        <v>0.0</v>
      </c>
      <c r="O637" s="278">
        <v>0.0</v>
      </c>
      <c r="P637" s="278">
        <v>0.0</v>
      </c>
      <c r="Q637" s="278">
        <v>0.0</v>
      </c>
      <c r="R637" s="278">
        <v>0.0</v>
      </c>
      <c r="S637" s="278">
        <v>0.0</v>
      </c>
      <c r="T637" s="278">
        <v>0.0</v>
      </c>
      <c r="U637" s="278">
        <v>0.0</v>
      </c>
      <c r="V637" s="278">
        <v>0.0</v>
      </c>
      <c r="W637" s="278">
        <v>0.0</v>
      </c>
      <c r="X637" s="278">
        <v>0.0</v>
      </c>
      <c r="Y637" s="278">
        <v>0.0</v>
      </c>
      <c r="Z637" s="278">
        <v>0.0</v>
      </c>
      <c r="AA637" s="278">
        <v>0.0</v>
      </c>
      <c r="AB637" s="5"/>
      <c r="AC637" s="47"/>
    </row>
    <row r="638" hidden="1">
      <c r="A638" s="222" t="str">
        <f t="array" ref="A638:A639">{"FormulaRow45";(INDEX(CLASSLIST,A549,1))}</f>
        <v>FormulaRow45</v>
      </c>
      <c r="B638" s="77" t="s">
        <v>236</v>
      </c>
      <c r="C638" s="222" t="str">
        <f t="array" ref="C638:C639">{"CLASSTYPE";((INDEX(ALLCLASSDATA,MATCH("ClassType",CLASSFEATUREHEADERS,0),MATCH($A639,CLASSNAMEHEADERS,0))))}</f>
        <v>CLASSTYPE</v>
      </c>
      <c r="D638" s="222" t="str">
        <f t="array" ref="D638:D639">{"SPELL/ALCHEMY";((IF(INDEX(ALLCLASSDATA,MATCH("CasterType",CLASSFEATUREHEADERS,0),MATCH(($A639),CLASSNAMEHEADERS,0))="","",(IF(INDEX(ALLCLASSDATA,MATCH("CasterType",CLASSFEATUREHEADERS,0),MATCH(($A639),CLASSNAMEHEADERS,0))="Alchemy","Alchemy","Spells")))))}</f>
        <v>SPELL/ALCHEMY</v>
      </c>
      <c r="E638" s="222" t="str">
        <f t="array" ref="E638:E639">{"SPELLLIST";(IF(D639="Spells",((INDEX(ALLCLASSDATA,MATCH("CasterType",CLASSFEATUREHEADERS,0),MATCH(($A639),CLASSNAMEHEADERS,0))) &amp; ":" &amp; (INDEX(ALLCLASSDATA,MATCH("SpellList",CLASSFEATUREHEADERS,0),MATCH(($A639),CLASSNAMEHEADERS,0)))),""))}</f>
        <v>SPELLLIST</v>
      </c>
      <c r="F638" s="223" t="str">
        <f t="array" ref="F638:F639">{"TOTALLEARNED";(IF(D639="","","TotalLearned:"))}</f>
        <v>TOTALLEARNED</v>
      </c>
      <c r="G638" s="223" t="str">
        <f t="array" ref="G638:G639">{"TOTALCANTRIPSLEARNED";(G635)}</f>
        <v>TOTALCANTRIPSLEARNED</v>
      </c>
      <c r="H638" s="223" t="str">
        <f t="array" ref="H638:H639">{"TOTALLEARNED L01";(H635)}</f>
        <v>TOTALLEARNED L01</v>
      </c>
      <c r="I638" s="223" t="str">
        <f t="array" ref="I638:I639">{"TOTALLEARNED L02";(H639+I635)}</f>
        <v>TOTALLEARNED L02</v>
      </c>
      <c r="J638" s="223" t="str">
        <f t="array" ref="J638:J639">{"TOTALLEARNED L03";(I639+J635)}</f>
        <v>TOTALLEARNED L03</v>
      </c>
      <c r="K638" s="223" t="str">
        <f t="array" ref="K638:K639">{"TOTALLEARNED L04";(J639+K635)}</f>
        <v>TOTALLEARNED L04</v>
      </c>
      <c r="L638" s="223" t="str">
        <f t="array" ref="L638:L639">{"TOTALLEARNED L05";(K639+L635)}</f>
        <v>TOTALLEARNED L05</v>
      </c>
      <c r="M638" s="223" t="str">
        <f t="array" ref="M638:M639">{"TOTALLEARNED L06";(L639+M635)}</f>
        <v>TOTALLEARNED L06</v>
      </c>
      <c r="N638" s="223" t="str">
        <f t="array" ref="N638:N639">{"TOTALLEARNED L07";(M639+N635)}</f>
        <v>TOTALLEARNED L07</v>
      </c>
      <c r="O638" s="223" t="str">
        <f t="array" ref="O638:O639">{"TOTALLEARNED L08";(N639+O635)}</f>
        <v>TOTALLEARNED L08</v>
      </c>
      <c r="P638" s="223" t="str">
        <f t="array" ref="P638:P639">{"TOTALLEARNED L09";(O639+P635)}</f>
        <v>TOTALLEARNED L09</v>
      </c>
      <c r="Q638" s="223" t="str">
        <f t="array" ref="Q638:Q639">{"TOTALLEARNED L10";(P639+Q635)}</f>
        <v>TOTALLEARNED L10</v>
      </c>
      <c r="R638" s="223" t="str">
        <f t="array" ref="R638:R639">{"TOTALLEARNED L11";(Q639+R635)}</f>
        <v>TOTALLEARNED L11</v>
      </c>
      <c r="S638" s="223" t="str">
        <f t="array" ref="S638:S639">{"TOTALLEARNED L12";(R639+S635)}</f>
        <v>TOTALLEARNED L12</v>
      </c>
      <c r="T638" s="223" t="str">
        <f t="array" ref="T638:T639">{"TOTALLEARNED L13";(S639+T635)}</f>
        <v>TOTALLEARNED L13</v>
      </c>
      <c r="U638" s="223" t="str">
        <f t="array" ref="U638:U639">{"TOTALLEARNED L14";(T639+U635)}</f>
        <v>TOTALLEARNED L14</v>
      </c>
      <c r="V638" s="223" t="str">
        <f t="array" ref="V638:V639">{"TOTALLEARNED L15";(U639+V635)}</f>
        <v>TOTALLEARNED L15</v>
      </c>
      <c r="W638" s="223" t="str">
        <f t="array" ref="W638:W639">{"TOTALLEARNED L16";(V639+W635)}</f>
        <v>TOTALLEARNED L16</v>
      </c>
      <c r="X638" s="223" t="str">
        <f t="array" ref="X638:X639">{"TOTALLEARNED L17";(W639+X635)}</f>
        <v>TOTALLEARNED L17</v>
      </c>
      <c r="Y638" s="223" t="str">
        <f t="array" ref="Y638:Y639">{"TOTALLEARNED L18";(X639+Y635)}</f>
        <v>TOTALLEARNED L18</v>
      </c>
      <c r="Z638" s="223" t="str">
        <f t="array" ref="Z638:Z639">{"TOTALLEARNED L19";(Y639+Z635)}</f>
        <v>TOTALLEARNED L19</v>
      </c>
      <c r="AA638" s="223" t="str">
        <f t="array" ref="AA638:AA639">{"TOTALLEARNED L20";(Z639+AA635)}</f>
        <v>TOTALLEARNED L20</v>
      </c>
      <c r="AB638" s="76"/>
      <c r="AC638" s="76"/>
    </row>
    <row r="639">
      <c r="A639" s="97" t="s">
        <v>144</v>
      </c>
      <c r="B639" s="97"/>
      <c r="C639" s="97" t="s">
        <v>409</v>
      </c>
      <c r="D639" s="97" t="s">
        <v>603</v>
      </c>
      <c r="E639" s="97" t="s">
        <v>603</v>
      </c>
      <c r="F639" s="281" t="s">
        <v>603</v>
      </c>
      <c r="G639" s="282"/>
      <c r="H639" s="278"/>
      <c r="I639" s="278">
        <v>0.0</v>
      </c>
      <c r="J639" s="278">
        <v>0.0</v>
      </c>
      <c r="K639" s="278">
        <v>0.0</v>
      </c>
      <c r="L639" s="278">
        <v>0.0</v>
      </c>
      <c r="M639" s="278">
        <v>0.0</v>
      </c>
      <c r="N639" s="278">
        <v>0.0</v>
      </c>
      <c r="O639" s="278">
        <v>0.0</v>
      </c>
      <c r="P639" s="278">
        <v>0.0</v>
      </c>
      <c r="Q639" s="278">
        <v>0.0</v>
      </c>
      <c r="R639" s="278">
        <v>0.0</v>
      </c>
      <c r="S639" s="278">
        <v>0.0</v>
      </c>
      <c r="T639" s="278">
        <v>0.0</v>
      </c>
      <c r="U639" s="278">
        <v>0.0</v>
      </c>
      <c r="V639" s="278">
        <v>0.0</v>
      </c>
      <c r="W639" s="278">
        <v>0.0</v>
      </c>
      <c r="X639" s="278">
        <v>0.0</v>
      </c>
      <c r="Y639" s="278">
        <v>0.0</v>
      </c>
      <c r="Z639" s="278">
        <v>0.0</v>
      </c>
      <c r="AA639" s="278">
        <v>0.0</v>
      </c>
      <c r="AB639" s="5"/>
      <c r="AC639" s="47"/>
    </row>
    <row r="640">
      <c r="A640" s="55">
        <f>VLOOKUP($C640, CLASSNUMBERFINDER, 2, false)</f>
        <v>8</v>
      </c>
      <c r="B640" s="58"/>
      <c r="C640" s="70" t="s">
        <v>170</v>
      </c>
      <c r="D640" s="71"/>
      <c r="E640" s="71"/>
      <c r="F640" s="71"/>
      <c r="G640" s="72"/>
      <c r="H640" s="71"/>
      <c r="I640" s="71"/>
      <c r="J640" s="71"/>
      <c r="K640" s="71"/>
      <c r="L640" s="71"/>
      <c r="M640" s="71"/>
      <c r="N640" s="71"/>
      <c r="O640" s="71"/>
      <c r="P640" s="71"/>
      <c r="Q640" s="71"/>
      <c r="R640" s="71"/>
      <c r="S640" s="71"/>
      <c r="T640" s="71"/>
      <c r="U640" s="71"/>
      <c r="V640" s="71"/>
      <c r="W640" s="71"/>
      <c r="X640" s="71"/>
      <c r="Y640" s="71"/>
      <c r="Z640" s="71"/>
      <c r="AA640" s="71"/>
      <c r="AB640" s="71"/>
      <c r="AC640" s="73"/>
    </row>
    <row r="641" hidden="1">
      <c r="A641" s="76" t="str">
        <f t="array" ref="A641:A642">{"FormulaRow01";(INDEX(CLASSLIST,A640,1))}</f>
        <v>FormulaRow01</v>
      </c>
      <c r="B641" s="77" t="s">
        <v>236</v>
      </c>
      <c r="C641" s="76" t="str">
        <f t="array" ref="C641:C642">{"CLASSTYPE";(INDEX(ALLCLASSDATA,MATCH("ClassType",CLASSFEATUREHEADERS,0),MATCH($A642,CLASSNAMEHEADERS,0)))}</f>
        <v>CLASSTYPE</v>
      </c>
      <c r="D641" s="81" t="str">
        <f t="array" ref="D641:D642">{"TOTAL";("Total: " &amp; H642+J642+L642+N642+P642+R642+T642+V642+X642+Z642)}</f>
        <v>TOTAL</v>
      </c>
      <c r="E641" s="81" t="str">
        <f t="array" ref="E641:E642">{"BALANCE";(IF((H642+J642+L642+N642+P642+R642+T642+V642+X642+Z642)=2100,"(balanced)",(IF((H642+J642+L642+N642+P642+R642+T642+V642+X642+Z642)&gt;2100,"OVERBUDGET: ","UNDERBUDGET: ")) &amp; (H642+J642+L642+N642+P642+R642+T642+V642+X642+Z642-2100)))}</f>
        <v>BALANCE</v>
      </c>
      <c r="F641" s="81"/>
      <c r="G641" s="81"/>
      <c r="H641" s="81" t="str">
        <f t="array" ref="H641:H642">{"SUM LVL0/1/2";((SUMIF(F643:I722,"&lt;&gt;#REF!")+(SUMIF(J643:AA650,"&lt;&gt;#REF!"))))}</f>
        <v>SUM LVL0/1/2</v>
      </c>
      <c r="I641" s="81"/>
      <c r="J641" s="81" t="str">
        <f t="array" ref="J641:J642">{"SUM LVL3/4";(SUMIF(J651:K722,"&lt;&gt;#REF!"))}</f>
        <v>SUM LVL3/4</v>
      </c>
      <c r="K641" s="81"/>
      <c r="L641" s="81" t="str">
        <f t="array" ref="L641:L642">{"SUM LVL5/6";(SUMIF(L651:M722,"&lt;&gt;#REF!"))}</f>
        <v>SUM LVL5/6</v>
      </c>
      <c r="M641" s="81"/>
      <c r="N641" s="81" t="str">
        <f t="array" ref="N641:N642">{"SUM LVL7/8";(SUMIF(N651:O722,"&lt;&gt;#REF!"))}</f>
        <v>SUM LVL7/8</v>
      </c>
      <c r="O641" s="81"/>
      <c r="P641" s="81" t="str">
        <f t="array" ref="P641:P642">{"SUM LVL9/10";(SUMIF(P651:Q722,"&lt;&gt;#REF!"))}</f>
        <v>SUM LVL9/10</v>
      </c>
      <c r="Q641" s="81"/>
      <c r="R641" s="81" t="str">
        <f t="array" ref="R641:R642">{"SUM LVL11/12";(SUMIF(R651:S722,"&lt;&gt;#REF!"))}</f>
        <v>SUM LVL11/12</v>
      </c>
      <c r="S641" s="81"/>
      <c r="T641" s="81" t="str">
        <f t="array" ref="T641:T642">{"SUM LVL13/14";(SUMIF(T651:U722,"&lt;&gt;#REF!"))}</f>
        <v>SUM LVL13/14</v>
      </c>
      <c r="U641" s="81"/>
      <c r="V641" s="81" t="str">
        <f t="array" ref="V641:V642">{"SUM LVL15/16";(SUMIF(V651:W722,"&lt;&gt;#REF!"))}</f>
        <v>SUM LVL15/16</v>
      </c>
      <c r="W641" s="81"/>
      <c r="X641" s="81" t="str">
        <f t="array" ref="X641:X642">{"SUM LVL17/18";(SUMIF(X651:Y722,"&lt;&gt;#REF!"))}</f>
        <v>SUM LVL17/18</v>
      </c>
      <c r="Y641" s="81"/>
      <c r="Z641" s="81" t="str">
        <f t="array" ref="Z641:Z642">{"SUM LVL19/20";(SUMIF(Z651:AA722,"&lt;&gt;#REF!"))}</f>
        <v>SUM LVL19/20</v>
      </c>
      <c r="AA641" s="81"/>
      <c r="AB641" s="76"/>
      <c r="AC641" s="76" t="str">
        <f t="array" ref="AC641:AC642">{"SUM ROWTOTALS";(SUMIF(AC644:AC730,"&lt;&gt;#REF!"))}</f>
        <v>SUM ROWTOTALS</v>
      </c>
    </row>
    <row r="642">
      <c r="A642" s="48" t="s">
        <v>170</v>
      </c>
      <c r="B642" s="48"/>
      <c r="C642" s="48" t="s">
        <v>415</v>
      </c>
      <c r="D642" s="91" t="s">
        <v>416</v>
      </c>
      <c r="E642" s="92" t="s">
        <v>419</v>
      </c>
      <c r="F642" s="91"/>
      <c r="G642" s="93"/>
      <c r="H642" s="92">
        <v>505.0</v>
      </c>
      <c r="I642" s="92"/>
      <c r="J642" s="92">
        <v>55.0</v>
      </c>
      <c r="K642" s="92"/>
      <c r="L642" s="92">
        <v>110.0</v>
      </c>
      <c r="M642" s="92"/>
      <c r="N642" s="92">
        <v>235.0</v>
      </c>
      <c r="O642" s="92"/>
      <c r="P642" s="92">
        <v>175.0</v>
      </c>
      <c r="Q642" s="92"/>
      <c r="R642" s="92">
        <v>100.0</v>
      </c>
      <c r="S642" s="92"/>
      <c r="T642" s="92">
        <v>300.0</v>
      </c>
      <c r="U642" s="92"/>
      <c r="V642" s="92">
        <v>315.0</v>
      </c>
      <c r="W642" s="92"/>
      <c r="X642" s="92">
        <v>185.0</v>
      </c>
      <c r="Y642" s="92"/>
      <c r="Z642" s="92">
        <v>120.0</v>
      </c>
      <c r="AA642" s="92"/>
      <c r="AB642" s="5"/>
      <c r="AC642" s="47">
        <v>2100.0</v>
      </c>
    </row>
    <row r="643" hidden="1">
      <c r="A643" s="76" t="str">
        <f t="array" ref="A643:A644">{"FormulaRow02";(INDEX(CLASSLIST,A640,1))}</f>
        <v>FormulaRow02</v>
      </c>
      <c r="B643" s="77" t="s">
        <v>236</v>
      </c>
      <c r="C643" s="76" t="str">
        <f t="array" ref="C643:C644">{"CLASSTYPE";((INDEX(ALLCLASSDATA,MATCH("ClassType",CLASSFEATUREHEADERS,0),MATCH($A644,CLASSNAMEHEADERS,0))))}</f>
        <v>CLASSTYPE</v>
      </c>
      <c r="D643" s="81" t="str">
        <f t="array" ref="D643:D644">{"FEATURES";"Features"}</f>
        <v>FEATURES</v>
      </c>
      <c r="E643" s="81" t="str">
        <f t="array" ref="E643:E644">{"INITIALFEATURES";"Initial Features"}</f>
        <v>INITIALFEATURES</v>
      </c>
      <c r="F643" s="81" t="str">
        <f t="array" ref="F643:F644">{"KEY";"Key"}</f>
        <v>KEY</v>
      </c>
      <c r="G643" s="81" t="str">
        <f t="array" ref="G643:G644">{"HP";"HP"}</f>
        <v>HP</v>
      </c>
      <c r="H643" s="81" t="str">
        <f t="array" ref="H643:H644">{"CLASSFEATL01";"ClassFeatL01"}</f>
        <v>CLASSFEATL01</v>
      </c>
      <c r="I643" s="81" t="str">
        <f t="array" ref="I643:I644">{"SHIELDBLOCKL01";"ShieldBlockL01"}</f>
        <v>SHIELDBLOCKL01</v>
      </c>
      <c r="J643" s="81" t="str">
        <f t="array" ref="J643:J644">{"INITIALSKILLS";"InitialSkills"}</f>
        <v>INITIALSKILLS</v>
      </c>
      <c r="K643" s="81" t="str">
        <f t="array" ref="K643:K644">{"SUBCLASSSKILLS";"SubclassSkills"}</f>
        <v>SUBCLASSSKILLS</v>
      </c>
      <c r="L643" s="81" t="str">
        <f t="array" ref="L643:L644">{"GRANTEDSKILLS";"GrantedSkills"}</f>
        <v>GRANTEDSKILLS</v>
      </c>
      <c r="M643" s="81"/>
      <c r="N643" s="81"/>
      <c r="O643" s="81"/>
      <c r="P643" s="81" t="str">
        <f t="array" ref="P643:P644">{"FOCUSSPELLS";"FocusSpells:"}</f>
        <v>FOCUSSPELLS</v>
      </c>
      <c r="Q643" s="81" t="str">
        <f t="array" ref="Q643:Q644">{"FOCUSSPELL1-L00";((INDEX(ALLCLASSDATA,MATCH("FocusSpell1-L00",CLASSFEATUREHEADERS,0),MATCH(($A644),CLASSNAMEHEADERS,0))))}</f>
        <v>FOCUSSPELL1-L00</v>
      </c>
      <c r="R643" s="81" t="str">
        <f t="array" ref="R643:R644">{"FOCUSSPELL2-L00";((INDEX(ALLCLASSDATA,MATCH("FocusSpell2-L00",CLASSFEATUREHEADERS,0),MATCH(($A644),CLASSNAMEHEADERS,0))))}</f>
        <v>FOCUSSPELL2-L00</v>
      </c>
      <c r="S643" s="81" t="str">
        <f t="array" ref="S643:S644">{"FOCUSSPELL3-L00";((INDEX(ALLCLASSDATA,MATCH("FocusSpell3-L00",CLASSFEATUREHEADERS,0),MATCH(($A644),CLASSNAMEHEADERS,0))))}</f>
        <v>FOCUSSPELL3-L00</v>
      </c>
      <c r="T643" s="81" t="str">
        <f t="array" ref="T643:T644">{"FOCUSSPELL4-L00";((INDEX(ALLCLASSDATA,MATCH("FocusSpell4-L00",CLASSFEATUREHEADERS,0),MATCH(($A644),CLASSNAMEHEADERS,0))))}</f>
        <v>FOCUSSPELL4-L00</v>
      </c>
      <c r="U643" s="81" t="str">
        <f t="array" ref="U643:U644">{"FOCUSSPELL5-L00";((INDEX(ALLCLASSDATA,MATCH("FocusSpell5-L00",CLASSFEATUREHEADERS,0),MATCH(($A644),CLASSNAMEHEADERS,0))))}</f>
        <v>FOCUSSPELL5-L00</v>
      </c>
      <c r="V643" s="81"/>
      <c r="W643" s="81"/>
      <c r="X643" s="81"/>
      <c r="Y643" s="81"/>
      <c r="Z643" s="81"/>
      <c r="AA643" s="81"/>
      <c r="AB643" s="76"/>
      <c r="AC643" s="76"/>
    </row>
    <row r="644">
      <c r="A644" s="48" t="s">
        <v>170</v>
      </c>
      <c r="B644" s="48"/>
      <c r="C644" s="48" t="s">
        <v>415</v>
      </c>
      <c r="D644" s="48" t="s">
        <v>467</v>
      </c>
      <c r="E644" s="48" t="s">
        <v>468</v>
      </c>
      <c r="F644" s="48" t="s">
        <v>469</v>
      </c>
      <c r="G644" s="114" t="s">
        <v>15</v>
      </c>
      <c r="H644" s="8" t="s">
        <v>451</v>
      </c>
      <c r="I644" s="8" t="s">
        <v>463</v>
      </c>
      <c r="J644" s="8" t="s">
        <v>473</v>
      </c>
      <c r="K644" s="8" t="s">
        <v>474</v>
      </c>
      <c r="L644" s="8" t="s">
        <v>475</v>
      </c>
      <c r="M644" s="8"/>
      <c r="N644" s="8"/>
      <c r="O644" s="8"/>
      <c r="P644" s="8" t="s">
        <v>476</v>
      </c>
      <c r="Q644" s="116"/>
      <c r="R644" s="116"/>
      <c r="S644" s="116"/>
      <c r="T644" s="116"/>
      <c r="U644" s="116"/>
      <c r="V644" s="8"/>
      <c r="W644" s="8"/>
      <c r="X644" s="8"/>
      <c r="Y644" s="8"/>
      <c r="Z644" s="5"/>
      <c r="AA644" s="5"/>
      <c r="AB644" s="5"/>
      <c r="AC644" s="47"/>
    </row>
    <row r="645" hidden="1">
      <c r="A645" s="76" t="str">
        <f t="array" ref="A645:A646">{"FormulaRow03";(INDEX(CLASSLIST,A640,1))}</f>
        <v>FormulaRow03</v>
      </c>
      <c r="B645" s="77" t="s">
        <v>236</v>
      </c>
      <c r="C645" s="76" t="str">
        <f t="array" ref="C645:C646">{"CLASSTYPE";((INDEX(ALLCLASSDATA,MATCH("ClassType",CLASSFEATUREHEADERS,0),MATCH($A646,CLASSNAMEHEADERS,0))))}</f>
        <v>CLASSTYPE</v>
      </c>
      <c r="D645" s="76" t="str">
        <f t="array" ref="D645:D646">{"FEATUREPTS";"FeaturesPts"}</f>
        <v>FEATUREPTS</v>
      </c>
      <c r="E645" s="76" t="str">
        <f t="array" ref="E645:E646">{"INITIALFEATURES";"Initial Features"}</f>
        <v>INITIALFEATURES</v>
      </c>
      <c r="F645" s="76" t="str">
        <f t="array" ref="F645:F646">{"KEYABILITY";((INDEX(ALLCLASSDATA,MATCH("KEYABILITY",CLASSFEATUREHEADERS,0),MATCH($A646,CLASSNAMEHEADERS,0))))}</f>
        <v>KEYABILITY</v>
      </c>
      <c r="G645" s="76" t="str">
        <f t="array" ref="G645:G646">{"HP";((INDEX(ALLCLASSDATA,MATCH("HP",CLASSFEATUREHEADERS,0),MATCH(($A646 &amp; "Points"),CLASSNAMEHEADERS,0))))}</f>
        <v>HP</v>
      </c>
      <c r="H645" s="76" t="str">
        <f t="array" ref="H645:H646">{"CLASSFEATL01";((INDEX(ALLCLASSDATA,MATCH("ClassFeatL01",CLASSFEATUREHEADERS,0),MATCH(($A646 &amp; "Points"),CLASSNAMEHEADERS,0))))}</f>
        <v>CLASSFEATL01</v>
      </c>
      <c r="I645" s="76" t="str">
        <f t="array" ref="I645:I646">{"SHIELDBLOCKL01";((INDEX(ALLCLASSDATA,MATCH("ShieldBlockL01",CLASSFEATUREHEADERS,0),MATCH(($A646 &amp; "Points"),CLASSNAMEHEADERS,0))))}</f>
        <v>SHIELDBLOCKL01</v>
      </c>
      <c r="J645" s="76" t="str">
        <f t="array" ref="J645:J646">{"INITIALSKILLINCREASES";((INDEX(ALLCLASSDATA,MATCH("InitialSkillIncreases",CLASSFEATUREHEADERS,0),MATCH(($A646 &amp; "Points"),CLASSNAMEHEADERS,0))))}</f>
        <v>INITIALSKILLINCREASES</v>
      </c>
      <c r="K645" s="76" t="str">
        <f t="array" ref="K645:K646">{"SUBCLASSSKILLINCREASES";((INDEX(ALLCLASSDATA,MATCH("SubclassSkillIncreases",CLASSFEATUREHEADERS,0),MATCH(($A646 &amp; "Points"),CLASSNAMEHEADERS,0))))}</f>
        <v>SUBCLASSSKILLINCREASES</v>
      </c>
      <c r="L645" s="76" t="str">
        <f t="array" ref="L645:L646">{"GRANTEDSKILLS";(((INDEX(ALLCLASSDATA,MATCH("SkillsGrantedTotal",CLASSFEATUREHEADERS,0),MATCH(($A646 &amp; "Points"),CLASSNAMEHEADERS,0)))-(INDEX(ALLCLASSDATA,MATCH("InitialSkillIncreases",CLASSFEATUREHEADERS,0),MATCH(($A646 &amp; "Points"),CLASSNAMEHEADERS,0)))-(INDEX(ALLCLASSDATA,MATCH("SubclassSkillIncreases",CLASSFEATUREHEADERS,0),MATCH(($A646 &amp; "Points"),CLASSNAMEHEADERS,0)))))}</f>
        <v>GRANTEDSKILLS</v>
      </c>
      <c r="M645" s="76"/>
      <c r="N645" s="76"/>
      <c r="O645" s="76"/>
      <c r="P645" s="76"/>
      <c r="Q645" s="76" t="str">
        <f t="array" ref="Q645:Q646">{"FOCUSSPELL1-L00";((INDEX(ALLCLASSDATA,MATCH("FocusSpell1-L00",CLASSFEATUREHEADERS,0),MATCH(($A646 &amp; "Points"),CLASSNAMEHEADERS,0))))}</f>
        <v>FOCUSSPELL1-L00</v>
      </c>
      <c r="R645" s="76" t="str">
        <f t="array" ref="R645:R646">{"FOCUSSPELL2-L00";((INDEX(ALLCLASSDATA,MATCH("FocusSpell2-L00",CLASSFEATUREHEADERS,0),MATCH(($A646 &amp; "Points"),CLASSNAMEHEADERS,0))))}</f>
        <v>FOCUSSPELL2-L00</v>
      </c>
      <c r="S645" s="76" t="str">
        <f t="array" ref="S645:S646">{"FOCUSSPELL3-L00";((INDEX(ALLCLASSDATA,MATCH("FocusSpell3-L00",CLASSFEATUREHEADERS,0),MATCH(($A646 &amp; "Points"),CLASSNAMEHEADERS,0))))}</f>
        <v>FOCUSSPELL3-L00</v>
      </c>
      <c r="T645" s="76" t="str">
        <f t="array" ref="T645:T646">{"FOCUSSPELL4-L00";((INDEX(ALLCLASSDATA,MATCH("FocusSpell4-L00",CLASSFEATUREHEADERS,0),MATCH(($A646 &amp; "Points"),CLASSNAMEHEADERS,0))))}</f>
        <v>FOCUSSPELL4-L00</v>
      </c>
      <c r="U645" s="76" t="str">
        <f t="array" ref="U645:U646">{"FOCUSSPELL5-L00";((INDEX(ALLCLASSDATA,MATCH("FocusSpell5-L00",CLASSFEATUREHEADERS,0),MATCH(($A646 &amp; "Points"),CLASSNAMEHEADERS,0))))}</f>
        <v>FOCUSSPELL5-L00</v>
      </c>
      <c r="V645" s="76"/>
      <c r="W645" s="76"/>
      <c r="X645" s="76"/>
      <c r="Y645" s="76"/>
      <c r="Z645" s="76"/>
      <c r="AA645" s="76"/>
      <c r="AB645" s="76"/>
      <c r="AC645" s="76" t="str">
        <f t="array" ref="AC645:AC646">{"FEATUREPTS TOTAL";(sum(G646:AA646))}</f>
        <v>FEATUREPTS TOTAL</v>
      </c>
    </row>
    <row r="646">
      <c r="A646" s="48" t="s">
        <v>170</v>
      </c>
      <c r="B646" s="48"/>
      <c r="C646" s="48" t="s">
        <v>415</v>
      </c>
      <c r="D646" s="97" t="s">
        <v>559</v>
      </c>
      <c r="E646" s="97" t="s">
        <v>468</v>
      </c>
      <c r="F646" s="97" t="s">
        <v>264</v>
      </c>
      <c r="G646" s="132">
        <v>80.0</v>
      </c>
      <c r="H646" s="98">
        <v>10.0</v>
      </c>
      <c r="I646" s="98" t="s">
        <v>603</v>
      </c>
      <c r="J646" s="98">
        <v>15.0</v>
      </c>
      <c r="K646" s="98"/>
      <c r="L646" s="98">
        <v>25.0</v>
      </c>
      <c r="M646" s="98"/>
      <c r="N646" s="98"/>
      <c r="O646" s="98"/>
      <c r="P646" s="98"/>
      <c r="Q646" s="98"/>
      <c r="R646" s="98"/>
      <c r="S646" s="98"/>
      <c r="T646" s="98"/>
      <c r="U646" s="98"/>
      <c r="V646" s="98"/>
      <c r="W646" s="98"/>
      <c r="X646" s="98"/>
      <c r="Y646" s="98"/>
      <c r="Z646" s="98"/>
      <c r="AA646" s="98"/>
      <c r="AB646" s="5"/>
      <c r="AC646" s="47">
        <v>130.0</v>
      </c>
    </row>
    <row r="647" hidden="1">
      <c r="A647" s="76" t="str">
        <f t="array" ref="A647:A648">{"FormulaRow04";(INDEX(CLASSLIST,A640,1))}</f>
        <v>FormulaRow04</v>
      </c>
      <c r="B647" s="77" t="s">
        <v>236</v>
      </c>
      <c r="C647" s="76" t="str">
        <f t="array" ref="C647:C648">{"CLASSTYPE";((INDEX(ALLCLASSDATA,MATCH("ClassType",CLASSFEATUREHEADERS,0),MATCH($A648,CLASSNAMEHEADERS,0))))}</f>
        <v>CLASSTYPE</v>
      </c>
      <c r="D647" s="81" t="str">
        <f t="array" ref="D647:D648">{"INITIALFEATURES";"InitialFeatures"}</f>
        <v>INITIALFEATURES</v>
      </c>
      <c r="E647" s="81" t="str">
        <f t="array" ref="E647:E648">{"CLASS/SUBCLASSFEATURES";"Class/Subclass Features"}</f>
        <v>CLASS/SUBCLASSFEATURES</v>
      </c>
      <c r="F647" s="81"/>
      <c r="G647" s="136"/>
      <c r="H647" s="81" t="str">
        <f t="array" ref="H647:H648">{"CLASSINITIALABILITY1-L00";((INDEX(ALLCLASSDATA,MATCH("ClassInitialAbility1-L00",CLASSFEATUREHEADERS,0),MATCH(($A648),CLASSNAMEHEADERS,0))))}</f>
        <v>CLASSINITIALABILITY1-L00</v>
      </c>
      <c r="I647" s="81" t="str">
        <f t="array" ref="I647:I648">{"CLASSINITIALABILITY2-L00";((INDEX(ALLCLASSDATA,MATCH("ClassInitialAbility2-L00",CLASSFEATUREHEADERS,0),MATCH(($A648),CLASSNAMEHEADERS,0))))}</f>
        <v>CLASSINITIALABILITY2-L00</v>
      </c>
      <c r="J647" s="81" t="str">
        <f t="array" ref="J647:J648">{"CLASSINITIALABILITY3-L00";((INDEX(ALLCLASSDATA,MATCH("ClassInitialAbility3-L00",CLASSFEATUREHEADERS,0),MATCH(($A648),CLASSNAMEHEADERS,0))))}</f>
        <v>CLASSINITIALABILITY3-L00</v>
      </c>
      <c r="K647" s="81" t="str">
        <f t="array" ref="K647:K648">{"CLASSINITIALABILITY4-L00";((INDEX(ALLCLASSDATA,MATCH("ClassInitialAbility4-L00",CLASSFEATUREHEADERS,0),MATCH(($A648),CLASSNAMEHEADERS,0))))}</f>
        <v>CLASSINITIALABILITY4-L00</v>
      </c>
      <c r="L647" s="81" t="str">
        <f t="array" ref="L647:L648">{"CLASSINITIALABILITY5-L00";((INDEX(ALLCLASSDATA,MATCH("ClassInitialAbility5-L00",CLASSFEATUREHEADERS,0),MATCH(($A648),CLASSNAMEHEADERS,0))))}</f>
        <v>CLASSINITIALABILITY5-L00</v>
      </c>
      <c r="M647" s="81" t="str">
        <f t="array" ref="M647:M648">{"CLASSINITIALABILITY6-L00";((INDEX(ALLCLASSDATA,MATCH("ClassInitialAbility6-L00",CLASSFEATUREHEADERS,0),MATCH(($A648),CLASSNAMEHEADERS,0))))}</f>
        <v>CLASSINITIALABILITY6-L00</v>
      </c>
      <c r="N647" s="81" t="str">
        <f t="array" ref="N647:N648">{"CLASSINITIALABILITY7-L00";((INDEX(ALLCLASSDATA,MATCH("ClassInitialAbility7-L00",CLASSFEATUREHEADERS,0),MATCH(($A648),CLASSNAMEHEADERS,0))))}</f>
        <v>CLASSINITIALABILITY7-L00</v>
      </c>
      <c r="O647" s="81" t="str">
        <f t="array" ref="O647:O648">{"CLASSINITIALABILITY8-L00";((INDEX(ALLCLASSDATA,MATCH("ClassInitialAbility8-L00",CLASSFEATUREHEADERS,0),MATCH(($A648),CLASSNAMEHEADERS,0))))}</f>
        <v>CLASSINITIALABILITY8-L00</v>
      </c>
      <c r="P647" s="81" t="str">
        <f t="array" ref="P647:P648">{"CLASSINITIALABILITY9-L00";((INDEX(ALLCLASSDATA,MATCH("ClassInitialAbility9-L00",CLASSFEATUREHEADERS,0),MATCH(($A648),CLASSNAMEHEADERS,0))))}</f>
        <v>CLASSINITIALABILITY9-L00</v>
      </c>
      <c r="Q647" s="81" t="str">
        <f t="array" ref="Q647:Q648">{"CLASSINITIALABILITY10-L00";((INDEX(ALLCLASSDATA,MATCH("ClassInitialAbility10-L00",CLASSFEATUREHEADERS,0),MATCH(($A648),CLASSNAMEHEADERS,0))))}</f>
        <v>CLASSINITIALABILITY10-L00</v>
      </c>
      <c r="R647" s="81" t="str">
        <f t="array" ref="R647:R648">{"SUBCLASSINITIAL1-L00";((INDEX(ALLCLASSDATA,MATCH("SubclassInitial1-L00",CLASSFEATUREHEADERS,0),MATCH(($A648),CLASSNAMEHEADERS,0))))}</f>
        <v>SUBCLASSINITIAL1-L00</v>
      </c>
      <c r="S647" s="81" t="str">
        <f t="array" ref="S647:S648">{"SUBCLASSINITIAL2-L00";((INDEX(ALLCLASSDATA,MATCH("SubclassInitial2-L00",CLASSFEATUREHEADERS,0),MATCH(($A648),CLASSNAMEHEADERS,0))))}</f>
        <v>SUBCLASSINITIAL2-L00</v>
      </c>
      <c r="T647" s="81" t="str">
        <f t="array" ref="T647:T648">{"SUBCLASSINITIAL3-L00";((INDEX(ALLCLASSDATA,MATCH("SubclassInitial3-L00",CLASSFEATUREHEADERS,0),MATCH(($A648),CLASSNAMEHEADERS,0))))}</f>
        <v>SUBCLASSINITIAL3-L00</v>
      </c>
      <c r="U647" s="81" t="str">
        <f t="array" ref="U647:U648">{"SUBCLASSINITIAL4-L00";((INDEX(ALLCLASSDATA,MATCH("SubclassInitial4-L00",CLASSFEATUREHEADERS,0),MATCH(($A648),CLASSNAMEHEADERS,0))))}</f>
        <v>SUBCLASSINITIAL4-L00</v>
      </c>
      <c r="V647" s="81" t="str">
        <f t="array" ref="V647:V648">{"SUBCLASSINITIAL5-L00";((INDEX(ALLCLASSDATA,MATCH("SubclassInitial5-L00",CLASSFEATUREHEADERS,0),MATCH(($A648),CLASSNAMEHEADERS,0))))}</f>
        <v>SUBCLASSINITIAL5-L00</v>
      </c>
      <c r="W647" s="81" t="str">
        <f t="array" ref="W647:W648">{"SUBCLASSINITIAL6-L00";((INDEX(ALLCLASSDATA,MATCH("SubclassInitial6-L00",CLASSFEATUREHEADERS,0),MATCH(($A648),CLASSNAMEHEADERS,0))))}</f>
        <v>SUBCLASSINITIAL6-L00</v>
      </c>
      <c r="X647" s="81" t="str">
        <f t="array" ref="X647:X648">{"SUBCLASSINITIAL7-L00";((INDEX(ALLCLASSDATA,MATCH("SubclassInitial7-L00",CLASSFEATUREHEADERS,0),MATCH(($A648),CLASSNAMEHEADERS,0))))}</f>
        <v>SUBCLASSINITIAL7-L00</v>
      </c>
      <c r="Y647" s="81" t="str">
        <f t="array" ref="Y647:Y648">{"SUBCLASSINITIAL8-L00";((INDEX(ALLCLASSDATA,MATCH("SubclassInitial8-L00",CLASSFEATUREHEADERS,0),MATCH(($A648),CLASSNAMEHEADERS,0))))}</f>
        <v>SUBCLASSINITIAL8-L00</v>
      </c>
      <c r="Z647" s="81" t="str">
        <f t="array" ref="Z647:Z648">{"SUBCLASSINITIAL9-L00";((INDEX(ALLCLASSDATA,MATCH("SubclassInitial9-L00",CLASSFEATUREHEADERS,0),MATCH(($A648),CLASSNAMEHEADERS,0))))}</f>
        <v>SUBCLASSINITIAL9-L00</v>
      </c>
      <c r="AA647" s="81" t="str">
        <f t="array" ref="AA647:AA648">{"SUBCLASSINITIAL10-L00";((INDEX(ALLCLASSDATA,MATCH("SubclassInitial10-L00",CLASSFEATUREHEADERS,0),MATCH(($A648),CLASSNAMEHEADERS,0))))}</f>
        <v>SUBCLASSINITIAL10-L00</v>
      </c>
      <c r="AB647" s="76"/>
      <c r="AC647" s="76"/>
    </row>
    <row r="648">
      <c r="A648" s="48" t="s">
        <v>170</v>
      </c>
      <c r="B648" s="48"/>
      <c r="C648" s="48" t="s">
        <v>415</v>
      </c>
      <c r="D648" s="48" t="s">
        <v>614</v>
      </c>
      <c r="E648" s="48" t="s">
        <v>616</v>
      </c>
      <c r="F648" s="48"/>
      <c r="G648" s="47"/>
      <c r="H648" s="5" t="s">
        <v>948</v>
      </c>
      <c r="I648" s="5" t="s">
        <v>1632</v>
      </c>
      <c r="J648" s="5" t="s">
        <v>1644</v>
      </c>
      <c r="K648" s="5" t="s">
        <v>1656</v>
      </c>
      <c r="L648" s="5"/>
      <c r="M648" s="5"/>
      <c r="N648" s="5"/>
      <c r="O648" s="5"/>
      <c r="P648" s="5"/>
      <c r="Q648" s="5"/>
      <c r="R648" s="5" t="s">
        <v>1813</v>
      </c>
      <c r="S648" s="5" t="s">
        <v>1830</v>
      </c>
      <c r="T648" s="5"/>
      <c r="U648" s="5"/>
      <c r="V648" s="5"/>
      <c r="W648" s="5"/>
      <c r="X648" s="5"/>
      <c r="Y648" s="5"/>
      <c r="Z648" s="5"/>
      <c r="AA648" s="5"/>
      <c r="AB648" s="5"/>
      <c r="AC648" s="47"/>
    </row>
    <row r="649" hidden="1">
      <c r="A649" s="76" t="str">
        <f t="array" ref="A649:A650">{"FormulaRow05";(INDEX(CLASSLIST,A640,1))}</f>
        <v>FormulaRow05</v>
      </c>
      <c r="B649" s="77" t="s">
        <v>236</v>
      </c>
      <c r="C649" s="76" t="str">
        <f t="array" ref="C649:C650">{"CLASSTYPE";((INDEX(ALLCLASSDATA,MATCH("ClassType",CLASSFEATUREHEADERS,0),MATCH($A650,CLASSNAMEHEADERS,0))))}</f>
        <v>CLASSTYPE</v>
      </c>
      <c r="D649" s="76" t="str">
        <f t="array" ref="D649:D650">{"INITIALFEATURESPTS";"InitialFeaturesPts"}</f>
        <v>INITIALFEATURESPTS</v>
      </c>
      <c r="E649" s="76" t="str">
        <f t="array" ref="E649:E650">{"CLASS/SUBCLASSFEATURES";"Class/Subclass Features"}</f>
        <v>CLASS/SUBCLASSFEATURES</v>
      </c>
      <c r="F649" s="76"/>
      <c r="G649" s="76"/>
      <c r="H649" s="76" t="str">
        <f t="array" ref="H649:H650">{"CLASSINITIALABILITY1-L00PTS";((INDEX(ALLCLASSDATA,MATCH("ClassInitialAbility1-L00",CLASSFEATUREHEADERS,0),MATCH(($A650 &amp; "Points"),CLASSNAMEHEADERS,0))))}</f>
        <v>CLASSINITIALABILITY1-L00PTS</v>
      </c>
      <c r="I649" s="76" t="str">
        <f t="array" ref="I649:I650">{"CLASSINITIALABILITY2-L00PTS";((INDEX(ALLCLASSDATA,MATCH("ClassInitialAbility2-L00",CLASSFEATUREHEADERS,0),MATCH(($A650 &amp; "Points"),CLASSNAMEHEADERS,0))))}</f>
        <v>CLASSINITIALABILITY2-L00PTS</v>
      </c>
      <c r="J649" s="76" t="str">
        <f t="array" ref="J649:J650">{"CLASSINITIALABILITY3-L00PTS";((INDEX(ALLCLASSDATA,MATCH("ClassInitialAbility3-L00",CLASSFEATUREHEADERS,0),MATCH(($A650 &amp; "Points"),CLASSNAMEHEADERS,0))))}</f>
        <v>CLASSINITIALABILITY3-L00PTS</v>
      </c>
      <c r="K649" s="76" t="str">
        <f t="array" ref="K649:K650">{"CLASSINITIALABILITY4-L00PTS";((INDEX(ALLCLASSDATA,MATCH("ClassInitialAbility4-L00",CLASSFEATUREHEADERS,0),MATCH(($A650 &amp; "Points"),CLASSNAMEHEADERS,0))))}</f>
        <v>CLASSINITIALABILITY4-L00PTS</v>
      </c>
      <c r="L649" s="76" t="str">
        <f t="array" ref="L649:L650">{"CLASSINITIALABILITY5-L00PTS";((INDEX(ALLCLASSDATA,MATCH("ClassInitialAbility5-L00",CLASSFEATUREHEADERS,0),MATCH(($A650 &amp; "Points"),CLASSNAMEHEADERS,0))))}</f>
        <v>CLASSINITIALABILITY5-L00PTS</v>
      </c>
      <c r="M649" s="76" t="str">
        <f t="array" ref="M649:M650">{"CLASSINITIALABILITY6-L00PTS";((INDEX(ALLCLASSDATA,MATCH("ClassInitialAbility6-L00",CLASSFEATUREHEADERS,0),MATCH(($A650 &amp; "Points"),CLASSNAMEHEADERS,0))))}</f>
        <v>CLASSINITIALABILITY6-L00PTS</v>
      </c>
      <c r="N649" s="76" t="str">
        <f t="array" ref="N649:N650">{"CLASSINITIALABILITY7-L00PTS";((INDEX(ALLCLASSDATA,MATCH("ClassInitialAbility7-L00",CLASSFEATUREHEADERS,0),MATCH(($A650 &amp; "Points"),CLASSNAMEHEADERS,0))))}</f>
        <v>CLASSINITIALABILITY7-L00PTS</v>
      </c>
      <c r="O649" s="76" t="str">
        <f t="array" ref="O649:O650">{"CLASSINITIALABILITY8-L00PTS";((INDEX(ALLCLASSDATA,MATCH("ClassInitialAbility8-L00",CLASSFEATUREHEADERS,0),MATCH(($A650 &amp; "Points"),CLASSNAMEHEADERS,0))))}</f>
        <v>CLASSINITIALABILITY8-L00PTS</v>
      </c>
      <c r="P649" s="76" t="str">
        <f t="array" ref="P649:P650">{"CLASSINITIALABILITY9-L00PTS";((INDEX(ALLCLASSDATA,MATCH("ClassInitialAbility9-L00",CLASSFEATUREHEADERS,0),MATCH(($A650 &amp; "Points"),CLASSNAMEHEADERS,0))))}</f>
        <v>CLASSINITIALABILITY9-L00PTS</v>
      </c>
      <c r="Q649" s="76" t="str">
        <f t="array" ref="Q649:Q650">{"CLASSINITIALABILITY10-L00PTS";((INDEX(ALLCLASSDATA,MATCH("ClassInitialAbility10-L00",CLASSFEATUREHEADERS,0),MATCH(($A650 &amp; "Points"),CLASSNAMEHEADERS,0))))}</f>
        <v>CLASSINITIALABILITY10-L00PTS</v>
      </c>
      <c r="R649" s="76" t="str">
        <f t="array" ref="R649:R650">{"SUBCLASSINITIAL1-L00PTS";((INDEX(ALLCLASSDATA,MATCH("SubclassInitial1-L00",CLASSFEATUREHEADERS,0),MATCH(($A650 &amp; "Points"),CLASSNAMEHEADERS,0))))}</f>
        <v>SUBCLASSINITIAL1-L00PTS</v>
      </c>
      <c r="S649" s="76" t="str">
        <f t="array" ref="S649:S650">{"SUBCLASSINITIAL2-L00PTS";((INDEX(ALLCLASSDATA,MATCH("SubclassInitial2-L00",CLASSFEATUREHEADERS,0),MATCH(($A650 &amp; "Points"),CLASSNAMEHEADERS,0))))}</f>
        <v>SUBCLASSINITIAL2-L00PTS</v>
      </c>
      <c r="T649" s="76" t="str">
        <f t="array" ref="T649:T650">{"SUBCLASSINITIAL3-L00PTS";((INDEX(ALLCLASSDATA,MATCH("SubclassInitial3-L00",CLASSFEATUREHEADERS,0),MATCH(($A650 &amp; "Points"),CLASSNAMEHEADERS,0))))}</f>
        <v>SUBCLASSINITIAL3-L00PTS</v>
      </c>
      <c r="U649" s="76" t="str">
        <f t="array" ref="U649:U650">{"SUBCLASSINITIAL4-L00PTS";((INDEX(ALLCLASSDATA,MATCH("SubclassInitial4-L00",CLASSFEATUREHEADERS,0),MATCH(($A650 &amp; "Points"),CLASSNAMEHEADERS,0))))}</f>
        <v>SUBCLASSINITIAL4-L00PTS</v>
      </c>
      <c r="V649" s="76" t="str">
        <f t="array" ref="V649:V650">{"SUBCLASSINITIAL5-L00PTS";((INDEX(ALLCLASSDATA,MATCH("SubclassInitial5-L00",CLASSFEATUREHEADERS,0),MATCH(($A650 &amp; "Points"),CLASSNAMEHEADERS,0))))}</f>
        <v>SUBCLASSINITIAL5-L00PTS</v>
      </c>
      <c r="W649" s="76" t="str">
        <f t="array" ref="W649:W650">{"SUBCLASSINITIAL6-L00PTS";((INDEX(ALLCLASSDATA,MATCH("SubclassInitial6-L00",CLASSFEATUREHEADERS,0),MATCH(($A650 &amp; "Points"),CLASSNAMEHEADERS,0))))}</f>
        <v>SUBCLASSINITIAL6-L00PTS</v>
      </c>
      <c r="X649" s="76" t="str">
        <f t="array" ref="X649:X650">{"SUBCLASSINITIAL7-L00PTS";((INDEX(ALLCLASSDATA,MATCH("SubclassInitial7-L00",CLASSFEATUREHEADERS,0),MATCH(($A650 &amp; "Points"),CLASSNAMEHEADERS,0))))}</f>
        <v>SUBCLASSINITIAL7-L00PTS</v>
      </c>
      <c r="Y649" s="76" t="str">
        <f t="array" ref="Y649:Y650">{"SUBCLASSINITIAL8-L00PTS";((INDEX(ALLCLASSDATA,MATCH("SubclassInitial8-L00",CLASSFEATUREHEADERS,0),MATCH(($A650 &amp; "Points"),CLASSNAMEHEADERS,0))))}</f>
        <v>SUBCLASSINITIAL8-L00PTS</v>
      </c>
      <c r="Z649" s="76" t="str">
        <f t="array" ref="Z649:Z650">{"SUBCLASSINITIAL9-L00PTS";((INDEX(ALLCLASSDATA,MATCH("SubclassInitial9-L00",CLASSFEATUREHEADERS,0),MATCH(($A650 &amp; "Points"),CLASSNAMEHEADERS,0))))}</f>
        <v>SUBCLASSINITIAL9-L00PTS</v>
      </c>
      <c r="AA649" s="76" t="str">
        <f t="array" ref="AA649:AA650">{"SUBCLASSINITIAL10-L00PTS";((INDEX(ALLCLASSDATA,MATCH("SubclassInitial10-L00",CLASSFEATUREHEADERS,0),MATCH(($A650 &amp; "Points"),CLASSNAMEHEADERS,0))))}</f>
        <v>SUBCLASSINITIAL10-L00PTS</v>
      </c>
      <c r="AB649" s="76"/>
      <c r="AC649" s="76" t="str">
        <f t="array" ref="AC649:AC650">{"INITIALFEATUREPTS TOTAL";(sum(G650:AA650))}</f>
        <v>INITIALFEATUREPTS TOTAL</v>
      </c>
    </row>
    <row r="650">
      <c r="A650" s="48" t="s">
        <v>170</v>
      </c>
      <c r="B650" s="48"/>
      <c r="C650" s="48" t="s">
        <v>415</v>
      </c>
      <c r="D650" s="97" t="s">
        <v>651</v>
      </c>
      <c r="E650" s="97" t="s">
        <v>616</v>
      </c>
      <c r="F650" s="97"/>
      <c r="G650" s="132"/>
      <c r="H650" s="98"/>
      <c r="I650" s="98"/>
      <c r="J650" s="97">
        <v>10.0</v>
      </c>
      <c r="K650" s="98">
        <v>50.0</v>
      </c>
      <c r="L650" s="97"/>
      <c r="M650" s="98"/>
      <c r="N650" s="98"/>
      <c r="O650" s="98"/>
      <c r="P650" s="98"/>
      <c r="Q650" s="98"/>
      <c r="R650" s="98"/>
      <c r="S650" s="98">
        <v>50.0</v>
      </c>
      <c r="T650" s="98"/>
      <c r="U650" s="98"/>
      <c r="V650" s="98"/>
      <c r="W650" s="98"/>
      <c r="X650" s="98"/>
      <c r="Y650" s="98"/>
      <c r="Z650" s="98"/>
      <c r="AA650" s="98"/>
      <c r="AB650" s="5"/>
      <c r="AC650" s="47">
        <v>110.0</v>
      </c>
    </row>
    <row r="651" hidden="1">
      <c r="A651" s="76" t="str">
        <f t="array" ref="A651:A652">{"FormulaRow06";(INDEX(CLASSLIST,A640,1))}</f>
        <v>FormulaRow06</v>
      </c>
      <c r="B651" s="77" t="s">
        <v>236</v>
      </c>
      <c r="C651" s="76" t="str">
        <f t="array" ref="C651:C652">{"CLASSTYPE";((INDEX(ALLCLASSDATA,MATCH("ClassType",CLASSFEATUREHEADERS,0),MATCH($A652,CLASSNAMEHEADERS,0))))}</f>
        <v>CLASSTYPE</v>
      </c>
      <c r="D651" s="81" t="str">
        <f t="array" ref="D651:D652">{"SKILLS";"Skills"}</f>
        <v>SKILLS</v>
      </c>
      <c r="E651" s="81" t="str">
        <f t="array" ref="E651:E652">{"EXTRASKILLINCREASES";"Extra Skill Increases"}</f>
        <v>EXTRASKILLINCREASES</v>
      </c>
      <c r="F651" s="81"/>
      <c r="G651" s="81"/>
      <c r="H651" s="81"/>
      <c r="I651" s="81" t="str">
        <f t="array" ref="I651:I652">{"SKILLINCREASEEXTRA-L02";((INDEX(ALLCLASSDATA,MATCH("SkillIncreaseExtra-L02",CLASSFEATUREHEADERS,0),MATCH(($A652 &amp; "Points"),CLASSNAMEHEADERS,0))))}</f>
        <v>SKILLINCREASEEXTRA-L02</v>
      </c>
      <c r="J651" s="81" t="str">
        <f t="array" ref="J651:J652">{"SKILLINCREASEEXTRA-L03";((INDEX(ALLCLASSDATA,MATCH("SkillIncreaseExtra-L03",CLASSFEATUREHEADERS,0),MATCH(($A652 &amp; "Points"),CLASSNAMEHEADERS,0))))}</f>
        <v>SKILLINCREASEEXTRA-L03</v>
      </c>
      <c r="K651" s="81" t="str">
        <f t="array" ref="K651:K652">{"SKILLINCREASEEXTRA-L04";((INDEX(ALLCLASSDATA,MATCH("SkillIncreaseExtra-L04",CLASSFEATUREHEADERS,0),MATCH(($A652 &amp; "Points"),CLASSNAMEHEADERS,0))))}</f>
        <v>SKILLINCREASEEXTRA-L04</v>
      </c>
      <c r="L651" s="81" t="str">
        <f t="array" ref="L651:L652">{"SKILLINCREASEEXTRA-L05";((INDEX(ALLCLASSDATA,MATCH("SkillIncreaseExtra-L05",CLASSFEATUREHEADERS,0),MATCH(($A652 &amp; "Points"),CLASSNAMEHEADERS,0))))}</f>
        <v>SKILLINCREASEEXTRA-L05</v>
      </c>
      <c r="M651" s="81" t="str">
        <f t="array" ref="M651:M652">{"SKILLINCREASEEXTRA-L06";((INDEX(ALLCLASSDATA,MATCH("SkillIncreaseExtra-L06",CLASSFEATUREHEADERS,0),MATCH(($A652 &amp; "Points"),CLASSNAMEHEADERS,0))))}</f>
        <v>SKILLINCREASEEXTRA-L06</v>
      </c>
      <c r="N651" s="81" t="str">
        <f t="array" ref="N651:N652">{"SKILLINCREASEEXTRA-L07";((INDEX(ALLCLASSDATA,MATCH("SkillIncreaseExtra-L07",CLASSFEATUREHEADERS,0),MATCH(($A652 &amp; "Points"),CLASSNAMEHEADERS,0))))}</f>
        <v>SKILLINCREASEEXTRA-L07</v>
      </c>
      <c r="O651" s="81" t="str">
        <f t="array" ref="O651:O652">{"SKILLINCREASEEXTRA-L08";((INDEX(ALLCLASSDATA,MATCH("SkillIncreaseExtra-L08",CLASSFEATUREHEADERS,0),MATCH(($A652 &amp; "Points"),CLASSNAMEHEADERS,0))))}</f>
        <v>SKILLINCREASEEXTRA-L08</v>
      </c>
      <c r="P651" s="81" t="str">
        <f t="array" ref="P651:P652">{"SKILLINCREASEEXTRA-L09";((INDEX(ALLCLASSDATA,MATCH("SkillIncreaseExtra-L09",CLASSFEATUREHEADERS,0),MATCH(($A652 &amp; "Points"),CLASSNAMEHEADERS,0))))}</f>
        <v>SKILLINCREASEEXTRA-L09</v>
      </c>
      <c r="Q651" s="81" t="str">
        <f t="array" ref="Q651:Q652">{"SKILLINCREASEEXTRA-L10";((INDEX(ALLCLASSDATA,MATCH("SkillIncreaseExtra-L10",CLASSFEATUREHEADERS,0),MATCH(($A652 &amp; "Points"),CLASSNAMEHEADERS,0))))}</f>
        <v>SKILLINCREASEEXTRA-L10</v>
      </c>
      <c r="R651" s="81" t="str">
        <f t="array" ref="R651:R652">{"SKILLINCREASEEXTRA-L11";((INDEX(ALLCLASSDATA,MATCH("SkillIncreaseExtra-L11",CLASSFEATUREHEADERS,0),MATCH(($A652 &amp; "Points"),CLASSNAMEHEADERS,0))))}</f>
        <v>SKILLINCREASEEXTRA-L11</v>
      </c>
      <c r="S651" s="81" t="str">
        <f t="array" ref="S651:S652">{"SKILLINCREASEEXTRA-L12";((INDEX(ALLCLASSDATA,MATCH("SkillIncreaseExtra-L12",CLASSFEATUREHEADERS,0),MATCH(($A652 &amp; "Points"),CLASSNAMEHEADERS,0))))}</f>
        <v>SKILLINCREASEEXTRA-L12</v>
      </c>
      <c r="T651" s="81" t="str">
        <f t="array" ref="T651:T652">{"SKILLINCREASEEXTRA-L13";((INDEX(ALLCLASSDATA,MATCH("SkillIncreaseExtra-L13",CLASSFEATUREHEADERS,0),MATCH(($A652 &amp; "Points"),CLASSNAMEHEADERS,0))))}</f>
        <v>SKILLINCREASEEXTRA-L13</v>
      </c>
      <c r="U651" s="81" t="str">
        <f t="array" ref="U651:U652">{"SKILLINCREASEEXTRA-L14";((INDEX(ALLCLASSDATA,MATCH("SkillIncreaseExtra-L14",CLASSFEATUREHEADERS,0),MATCH(($A652 &amp; "Points"),CLASSNAMEHEADERS,0))))}</f>
        <v>SKILLINCREASEEXTRA-L14</v>
      </c>
      <c r="V651" s="81" t="str">
        <f t="array" ref="V651:V652">{"SKILLINCREASEEXTRA-L15";((INDEX(ALLCLASSDATA,MATCH("SkillIncreaseExtra-L15",CLASSFEATUREHEADERS,0),MATCH(($A652 &amp; "Points"),CLASSNAMEHEADERS,0))))}</f>
        <v>SKILLINCREASEEXTRA-L15</v>
      </c>
      <c r="W651" s="81" t="str">
        <f t="array" ref="W651:W652">{"SKILLINCREASEEXTRA-L16";((INDEX(ALLCLASSDATA,MATCH("SkillIncreaseExtra-L16",CLASSFEATUREHEADERS,0),MATCH(($A652 &amp; "Points"),CLASSNAMEHEADERS,0))))}</f>
        <v>SKILLINCREASEEXTRA-L16</v>
      </c>
      <c r="X651" s="81" t="str">
        <f t="array" ref="X651:X652">{"SKILLINCREASEEXTRA-L17";((INDEX(ALLCLASSDATA,MATCH("SkillIncreaseExtra-L17",CLASSFEATUREHEADERS,0),MATCH(($A652 &amp; "Points"),CLASSNAMEHEADERS,0))))}</f>
        <v>SKILLINCREASEEXTRA-L17</v>
      </c>
      <c r="Y651" s="81" t="str">
        <f t="array" ref="Y651:Y652">{"SKILLINCREASEEXTRA-L18";((INDEX(ALLCLASSDATA,MATCH("SkillIncreaseExtra-L18",CLASSFEATUREHEADERS,0),MATCH(($A652 &amp; "Points"),CLASSNAMEHEADERS,0))))}</f>
        <v>SKILLINCREASEEXTRA-L18</v>
      </c>
      <c r="Z651" s="81" t="str">
        <f t="array" ref="Z651:Z652">{"SKILLINCREASEEXTRA-L19";((INDEX(ALLCLASSDATA,MATCH("SkillIncreaseExtra-L19",CLASSFEATUREHEADERS,0),MATCH(($A652 &amp; "Points"),CLASSNAMEHEADERS,0))))}</f>
        <v>SKILLINCREASEEXTRA-L19</v>
      </c>
      <c r="AA651" s="81" t="str">
        <f t="array" ref="AA651:AA652">{"SKILLINCREASEEXTRA-L20";((INDEX(ALLCLASSDATA,MATCH("SkillIncreaseExtra-L20",CLASSFEATUREHEADERS,0),MATCH(($A652 &amp; "Points"),CLASSNAMEHEADERS,0))))}</f>
        <v>SKILLINCREASEEXTRA-L20</v>
      </c>
      <c r="AB651" s="76"/>
      <c r="AC651" s="76" t="str">
        <f t="array" ref="AC651:AC652">{"SKILLINCREASE TOTAL";(sum(G652:AA652))}</f>
        <v>SKILLINCREASE TOTAL</v>
      </c>
    </row>
    <row r="652">
      <c r="A652" s="48" t="s">
        <v>170</v>
      </c>
      <c r="B652" s="48"/>
      <c r="C652" s="48" t="s">
        <v>415</v>
      </c>
      <c r="D652" s="48" t="s">
        <v>659</v>
      </c>
      <c r="E652" s="48" t="s">
        <v>661</v>
      </c>
      <c r="F652" s="48"/>
      <c r="G652" s="47"/>
      <c r="H652" s="5"/>
      <c r="I652" s="5" t="s">
        <v>603</v>
      </c>
      <c r="J652" s="5">
        <v>5.0</v>
      </c>
      <c r="K652" s="5" t="s">
        <v>603</v>
      </c>
      <c r="L652" s="48" t="s">
        <v>603</v>
      </c>
      <c r="M652" s="5" t="s">
        <v>603</v>
      </c>
      <c r="N652" s="5">
        <v>5.0</v>
      </c>
      <c r="O652" s="5" t="s">
        <v>603</v>
      </c>
      <c r="P652" s="5">
        <v>5.0</v>
      </c>
      <c r="Q652" s="5" t="s">
        <v>603</v>
      </c>
      <c r="R652" s="5" t="s">
        <v>603</v>
      </c>
      <c r="S652" s="5" t="s">
        <v>603</v>
      </c>
      <c r="T652" s="5" t="s">
        <v>603</v>
      </c>
      <c r="U652" s="5" t="s">
        <v>603</v>
      </c>
      <c r="V652" s="5">
        <v>5.0</v>
      </c>
      <c r="W652" s="5" t="s">
        <v>603</v>
      </c>
      <c r="X652" s="5">
        <v>5.0</v>
      </c>
      <c r="Y652" s="5" t="s">
        <v>603</v>
      </c>
      <c r="Z652" s="5" t="s">
        <v>603</v>
      </c>
      <c r="AA652" s="5" t="s">
        <v>603</v>
      </c>
      <c r="AB652" s="5"/>
      <c r="AC652" s="47">
        <v>25.0</v>
      </c>
    </row>
    <row r="653" hidden="1">
      <c r="A653" s="76" t="str">
        <f t="array" ref="A653:A654">{"FormulaRow07";(INDEX(CLASSLIST,A640,1))}</f>
        <v>FormulaRow07</v>
      </c>
      <c r="B653" s="77" t="s">
        <v>236</v>
      </c>
      <c r="C653" s="76" t="str">
        <f t="array" ref="C653:C654">{"CLASSTYPE";((INDEX(ALLCLASSDATA,MATCH("ClassType",CLASSFEATUREHEADERS,0),MATCH($A654,CLASSNAMEHEADERS,0))))}</f>
        <v>CLASSTYPE</v>
      </c>
      <c r="D653" s="76" t="str">
        <f t="array" ref="D653:D654">{"SKILLS";"Skills"}</f>
        <v>SKILLS</v>
      </c>
      <c r="E653" s="76" t="str">
        <f t="array" ref="E653:E654">{"EXTRASKILLFEATS";"Extra Skill Feats"}</f>
        <v>EXTRASKILLFEATS</v>
      </c>
      <c r="F653" s="76"/>
      <c r="G653" s="76"/>
      <c r="H653" s="76" t="str">
        <f t="array" ref="H653:H654">{"SKILLFEATEXTRA-L01";((INDEX(ALLCLASSDATA,MATCH("SkillFeatExtra-L01",CLASSFEATUREHEADERS,0),MATCH(($A654 &amp; "Points"),CLASSNAMEHEADERS,0))))}</f>
        <v>SKILLFEATEXTRA-L01</v>
      </c>
      <c r="I653" s="76" t="str">
        <f t="array" ref="I653:I654">{"SKILLFEATEXTRA-L02";((INDEX(ALLCLASSDATA,MATCH("SkillFeatExtra-L02",CLASSFEATUREHEADERS,0),MATCH(($A654 &amp; "Points"),CLASSNAMEHEADERS,0))))}</f>
        <v>SKILLFEATEXTRA-L02</v>
      </c>
      <c r="J653" s="76" t="str">
        <f t="array" ref="J653:J654">{"SKILLFEATEXTRA-L03";((INDEX(ALLCLASSDATA,MATCH("SkillFeatExtra-L03",CLASSFEATUREHEADERS,0),MATCH(($A654 &amp; "Points"),CLASSNAMEHEADERS,0))))}</f>
        <v>SKILLFEATEXTRA-L03</v>
      </c>
      <c r="K653" s="76" t="str">
        <f t="array" ref="K653:K654">{"SKILLFEATEXTRA-L04";((INDEX(ALLCLASSDATA,MATCH("SkillFeatExtra-L04",CLASSFEATUREHEADERS,0),MATCH(($A654 &amp; "Points"),CLASSNAMEHEADERS,0))))}</f>
        <v>SKILLFEATEXTRA-L04</v>
      </c>
      <c r="L653" s="76" t="str">
        <f t="array" ref="L653:L654">{"SKILLFEATEXTRA-L05";((INDEX(ALLCLASSDATA,MATCH("SkillFeatExtra-L05",CLASSFEATUREHEADERS,0),MATCH(($A654 &amp; "Points"),CLASSNAMEHEADERS,0))))}</f>
        <v>SKILLFEATEXTRA-L05</v>
      </c>
      <c r="M653" s="76" t="str">
        <f t="array" ref="M653:M654">{"SKILLFEATEXTRA-L06";((INDEX(ALLCLASSDATA,MATCH("SkillFeatExtra-L06",CLASSFEATUREHEADERS,0),MATCH(($A654 &amp; "Points"),CLASSNAMEHEADERS,0))))}</f>
        <v>SKILLFEATEXTRA-L06</v>
      </c>
      <c r="N653" s="76" t="str">
        <f t="array" ref="N653:N654">{"SKILLFEATEXTRA-L07";((INDEX(ALLCLASSDATA,MATCH("SkillFeatExtra-L07",CLASSFEATUREHEADERS,0),MATCH(($A654 &amp; "Points"),CLASSNAMEHEADERS,0))))}</f>
        <v>SKILLFEATEXTRA-L07</v>
      </c>
      <c r="O653" s="76" t="str">
        <f t="array" ref="O653:O654">{"SKILLFEATEXTRA-L08";((INDEX(ALLCLASSDATA,MATCH("SkillFeatExtra-L08",CLASSFEATUREHEADERS,0),MATCH(($A654 &amp; "Points"),CLASSNAMEHEADERS,0))))}</f>
        <v>SKILLFEATEXTRA-L08</v>
      </c>
      <c r="P653" s="76" t="str">
        <f t="array" ref="P653:P654">{"SKILLFEATEXTRA-L09";((INDEX(ALLCLASSDATA,MATCH("SkillFeatExtra-L09",CLASSFEATUREHEADERS,0),MATCH(($A654 &amp; "Points"),CLASSNAMEHEADERS,0))))}</f>
        <v>SKILLFEATEXTRA-L09</v>
      </c>
      <c r="Q653" s="76" t="str">
        <f t="array" ref="Q653:Q654">{"SKILLFEATEXTRA-L10";((INDEX(ALLCLASSDATA,MATCH("SkillFeatExtra-L10",CLASSFEATUREHEADERS,0),MATCH(($A654 &amp; "Points"),CLASSNAMEHEADERS,0))))}</f>
        <v>SKILLFEATEXTRA-L10</v>
      </c>
      <c r="R653" s="76" t="str">
        <f t="array" ref="R653:R654">{"SKILLFEATEXTRA-L11";((INDEX(ALLCLASSDATA,MATCH("SkillFeatExtra-L11",CLASSFEATUREHEADERS,0),MATCH(($A654 &amp; "Points"),CLASSNAMEHEADERS,0))))}</f>
        <v>SKILLFEATEXTRA-L11</v>
      </c>
      <c r="S653" s="76" t="str">
        <f t="array" ref="S653:S654">{"SKILLFEATEXTRA-L12";((INDEX(ALLCLASSDATA,MATCH("SkillFeatExtra-L12",CLASSFEATUREHEADERS,0),MATCH(($A654 &amp; "Points"),CLASSNAMEHEADERS,0))))}</f>
        <v>SKILLFEATEXTRA-L12</v>
      </c>
      <c r="T653" s="76" t="str">
        <f t="array" ref="T653:T654">{"SKILLFEATEXTRA-L13";((INDEX(ALLCLASSDATA,MATCH("SkillFeatExtra-L13",CLASSFEATUREHEADERS,0),MATCH(($A654 &amp; "Points"),CLASSNAMEHEADERS,0))))}</f>
        <v>SKILLFEATEXTRA-L13</v>
      </c>
      <c r="U653" s="76" t="str">
        <f t="array" ref="U653:U654">{"SKILLFEATEXTRA-L14";((INDEX(ALLCLASSDATA,MATCH("SkillFeatExtra-L14",CLASSFEATUREHEADERS,0),MATCH(($A654 &amp; "Points"),CLASSNAMEHEADERS,0))))}</f>
        <v>SKILLFEATEXTRA-L14</v>
      </c>
      <c r="V653" s="76" t="str">
        <f t="array" ref="V653:V654">{"SKILLFEATEXTRA-L15";((INDEX(ALLCLASSDATA,MATCH("SkillFeatExtra-L15",CLASSFEATUREHEADERS,0),MATCH(($A654 &amp; "Points"),CLASSNAMEHEADERS,0))))}</f>
        <v>SKILLFEATEXTRA-L15</v>
      </c>
      <c r="W653" s="76" t="str">
        <f t="array" ref="W653:W654">{"SKILLFEATEXTRA-L16";((INDEX(ALLCLASSDATA,MATCH("SkillFeatExtra-L16",CLASSFEATUREHEADERS,0),MATCH(($A654 &amp; "Points"),CLASSNAMEHEADERS,0))))}</f>
        <v>SKILLFEATEXTRA-L16</v>
      </c>
      <c r="X653" s="76" t="str">
        <f t="array" ref="X653:X654">{"SKILLFEATEXTRA-L17";((INDEX(ALLCLASSDATA,MATCH("SkillFeatExtra-L17",CLASSFEATUREHEADERS,0),MATCH(($A654 &amp; "Points"),CLASSNAMEHEADERS,0))))}</f>
        <v>SKILLFEATEXTRA-L17</v>
      </c>
      <c r="Y653" s="76" t="str">
        <f t="array" ref="Y653:Y654">{"SKILLFEATEXTRA-L18";((INDEX(ALLCLASSDATA,MATCH("SkillFeatExtra-L18",CLASSFEATUREHEADERS,0),MATCH(($A654 &amp; "Points"),CLASSNAMEHEADERS,0))))}</f>
        <v>SKILLFEATEXTRA-L18</v>
      </c>
      <c r="Z653" s="76" t="str">
        <f t="array" ref="Z653:Z654">{"SKILLFEATEXTRA-L19";((INDEX(ALLCLASSDATA,MATCH("SkillFeatExtra-L19",CLASSFEATUREHEADERS,0),MATCH(($A654 &amp; "Points"),CLASSNAMEHEADERS,0))))}</f>
        <v>SKILLFEATEXTRA-L19</v>
      </c>
      <c r="AA653" s="76" t="str">
        <f t="array" ref="AA653:AA654">{"SKILLFEATEXTRA-L20";((INDEX(ALLCLASSDATA,MATCH("SkillFeatExtra-L20",CLASSFEATUREHEADERS,0),MATCH(($A654 &amp; "Points"),CLASSNAMEHEADERS,0))))}</f>
        <v>SKILLFEATEXTRA-L20</v>
      </c>
      <c r="AB653" s="76"/>
      <c r="AC653" s="76" t="str">
        <f t="array" ref="AC653:AC654">{"SKILLFEAT TOTAL";(sum(G654:AA654))}</f>
        <v>SKILLFEAT TOTAL</v>
      </c>
    </row>
    <row r="654">
      <c r="A654" s="48" t="s">
        <v>170</v>
      </c>
      <c r="B654" s="48"/>
      <c r="C654" s="48" t="s">
        <v>415</v>
      </c>
      <c r="D654" s="97" t="s">
        <v>659</v>
      </c>
      <c r="E654" s="97" t="s">
        <v>722</v>
      </c>
      <c r="F654" s="97"/>
      <c r="G654" s="132"/>
      <c r="H654" s="98">
        <v>5.0</v>
      </c>
      <c r="I654" s="98" t="s">
        <v>603</v>
      </c>
      <c r="J654" s="97" t="s">
        <v>603</v>
      </c>
      <c r="K654" s="98" t="s">
        <v>603</v>
      </c>
      <c r="L654" s="97" t="s">
        <v>603</v>
      </c>
      <c r="M654" s="98" t="s">
        <v>603</v>
      </c>
      <c r="N654" s="98" t="s">
        <v>603</v>
      </c>
      <c r="O654" s="98" t="s">
        <v>603</v>
      </c>
      <c r="P654" s="98" t="s">
        <v>603</v>
      </c>
      <c r="Q654" s="98" t="s">
        <v>603</v>
      </c>
      <c r="R654" s="98" t="s">
        <v>603</v>
      </c>
      <c r="S654" s="98" t="s">
        <v>603</v>
      </c>
      <c r="T654" s="98" t="s">
        <v>603</v>
      </c>
      <c r="U654" s="98" t="s">
        <v>603</v>
      </c>
      <c r="V654" s="98" t="s">
        <v>603</v>
      </c>
      <c r="W654" s="98" t="s">
        <v>603</v>
      </c>
      <c r="X654" s="98" t="s">
        <v>603</v>
      </c>
      <c r="Y654" s="98" t="s">
        <v>603</v>
      </c>
      <c r="Z654" s="98" t="s">
        <v>603</v>
      </c>
      <c r="AA654" s="98" t="s">
        <v>603</v>
      </c>
      <c r="AB654" s="5"/>
      <c r="AC654" s="47">
        <v>5.0</v>
      </c>
    </row>
    <row r="655" hidden="1">
      <c r="A655" s="76" t="str">
        <f t="array" ref="A655:A656">{"FormulaRow08";(INDEX(CLASSLIST,A640,1))}</f>
        <v>FormulaRow08</v>
      </c>
      <c r="B655" s="77" t="s">
        <v>236</v>
      </c>
      <c r="C655" s="76" t="str">
        <f t="array" ref="C655:C656">{"CLASSTYPE";((INDEX(ALLCLASSDATA,MATCH("ClassType",CLASSFEATUREHEADERS,0),MATCH($A656,CLASSNAMEHEADERS,0))))}</f>
        <v>CLASSTYPE</v>
      </c>
      <c r="D655" s="81" t="str">
        <f t="array" ref="D655:D656">{"CLASSABILITY";"ClassAbility"}</f>
        <v>CLASSABILITY</v>
      </c>
      <c r="E655" s="81" t="str">
        <f t="array" ref="E655:E656">{"CLASSABILITY1";"ClassAbility1"}</f>
        <v>CLASSABILITY1</v>
      </c>
      <c r="F655" s="81"/>
      <c r="G655" s="81"/>
      <c r="H655" s="81"/>
      <c r="I655" s="81"/>
      <c r="J655" s="81" t="str">
        <f t="array" ref="J655:J656">{"CLASSABILITY1-L03";((INDEX(ALLCLASSDATA,MATCH("ClassAbility1-L03",CLASSFEATUREHEADERS,0),MATCH(($A656),CLASSNAMEHEADERS,0))))}</f>
        <v>CLASSABILITY1-L03</v>
      </c>
      <c r="K655" s="81"/>
      <c r="L655" s="81" t="str">
        <f t="array" ref="L655:L656">{"CLASSABILITY1-L05";((INDEX(ALLCLASSDATA,MATCH("ClassAbility1-L05",CLASSFEATUREHEADERS,0),MATCH(($A656),CLASSNAMEHEADERS,0))))}</f>
        <v>CLASSABILITY1-L05</v>
      </c>
      <c r="M655" s="81"/>
      <c r="N655" s="81" t="str">
        <f t="array" ref="N655:N656">{"CLASSABILITY1-L07";((INDEX(ALLCLASSDATA,MATCH("ClassAbility1-L07",CLASSFEATUREHEADERS,0),MATCH(($A656),CLASSNAMEHEADERS,0))))}</f>
        <v>CLASSABILITY1-L07</v>
      </c>
      <c r="O655" s="81"/>
      <c r="P655" s="81" t="str">
        <f t="array" ref="P655:P656">{"CLASSABILITY1-L09";((INDEX(ALLCLASSDATA,MATCH("ClassAbility1-L09",CLASSFEATUREHEADERS,0),MATCH(($A656),CLASSNAMEHEADERS,0))))}</f>
        <v>CLASSABILITY1-L09</v>
      </c>
      <c r="Q655" s="81"/>
      <c r="R655" s="81" t="str">
        <f t="array" ref="R655:R656">{"CLASSABILITY1-L11";((INDEX(ALLCLASSDATA,MATCH("ClassAbility1-L11",CLASSFEATUREHEADERS,0),MATCH(($A656),CLASSNAMEHEADERS,0))))}</f>
        <v>CLASSABILITY1-L11</v>
      </c>
      <c r="S655" s="81"/>
      <c r="T655" s="81" t="str">
        <f t="array" ref="T655:T656">{"CLASSABILITY1-L13";((INDEX(ALLCLASSDATA,MATCH("ClassAbility1-L13",CLASSFEATUREHEADERS,0),MATCH(($A656),CLASSNAMEHEADERS,0))))}</f>
        <v>CLASSABILITY1-L13</v>
      </c>
      <c r="U655" s="81"/>
      <c r="V655" s="81" t="str">
        <f t="array" ref="V655:V656">{"CLASSABILITY1-L15";((INDEX(ALLCLASSDATA,MATCH("ClassAbility1-L15",CLASSFEATUREHEADERS,0),MATCH(($A656),CLASSNAMEHEADERS,0))))}</f>
        <v>CLASSABILITY1-L15</v>
      </c>
      <c r="W655" s="81"/>
      <c r="X655" s="81" t="str">
        <f t="array" ref="X655:X656">{"CLASSABILITY1-L17";((INDEX(ALLCLASSDATA,MATCH("ClassAbility1-L17",CLASSFEATUREHEADERS,0),MATCH(($A656),CLASSNAMEHEADERS,0))))}</f>
        <v>CLASSABILITY1-L17</v>
      </c>
      <c r="Y655" s="81"/>
      <c r="Z655" s="81" t="str">
        <f t="array" ref="Z655:Z656">{"CLASSABILITY1-L19";((INDEX(ALLCLASSDATA,MATCH("ClassAbility1-L19",CLASSFEATUREHEADERS,0),MATCH(($A656),CLASSNAMEHEADERS,0))))}</f>
        <v>CLASSABILITY1-L19</v>
      </c>
      <c r="AA655" s="81"/>
      <c r="AB655" s="76"/>
      <c r="AC655" s="76"/>
    </row>
    <row r="656">
      <c r="A656" s="48" t="s">
        <v>170</v>
      </c>
      <c r="B656" s="48"/>
      <c r="C656" s="48" t="s">
        <v>415</v>
      </c>
      <c r="D656" s="48" t="s">
        <v>825</v>
      </c>
      <c r="E656" s="48" t="s">
        <v>826</v>
      </c>
      <c r="F656" s="5"/>
      <c r="G656" s="47"/>
      <c r="H656" s="5"/>
      <c r="I656" s="5"/>
      <c r="J656" s="5" t="s">
        <v>323</v>
      </c>
      <c r="K656" s="5"/>
      <c r="L656" s="5" t="s">
        <v>359</v>
      </c>
      <c r="M656" s="5"/>
      <c r="N656" s="5" t="s">
        <v>335</v>
      </c>
      <c r="O656" s="5"/>
      <c r="P656" s="5" t="s">
        <v>308</v>
      </c>
      <c r="Q656" s="5"/>
      <c r="R656" s="5" t="s">
        <v>1731</v>
      </c>
      <c r="S656" s="5"/>
      <c r="T656" s="5" t="s">
        <v>338</v>
      </c>
      <c r="U656" s="5"/>
      <c r="V656" s="5" t="s">
        <v>371</v>
      </c>
      <c r="W656" s="5"/>
      <c r="X656" s="5" t="s">
        <v>1773</v>
      </c>
      <c r="Y656" s="5"/>
      <c r="Z656" s="5" t="s">
        <v>1790</v>
      </c>
      <c r="AA656" s="5"/>
      <c r="AB656" s="5"/>
      <c r="AC656" s="47"/>
    </row>
    <row r="657" hidden="1">
      <c r="A657" s="76" t="str">
        <f t="array" ref="A657:A658">{"FormulaRow09";(INDEX(CLASSLIST,A640,1))}</f>
        <v>FormulaRow09</v>
      </c>
      <c r="B657" s="77" t="s">
        <v>236</v>
      </c>
      <c r="C657" s="76" t="str">
        <f t="array" ref="C657:C658">{"CLASSTYPE";((INDEX(ALLCLASSDATA,MATCH("ClassType",CLASSFEATUREHEADERS,0),MATCH($A658,CLASSNAMEHEADERS,0))))}</f>
        <v>CLASSTYPE</v>
      </c>
      <c r="D657" s="76" t="str">
        <f t="array" ref="D657:D658">{"CLASSABILITYPTS";"ClassAbilityPts"}</f>
        <v>CLASSABILITYPTS</v>
      </c>
      <c r="E657" s="76" t="str">
        <f t="array" ref="E657:E658">{"CLASSABILITY1";"ClassAbility1"}</f>
        <v>CLASSABILITY1</v>
      </c>
      <c r="F657" s="76"/>
      <c r="G657" s="76"/>
      <c r="H657" s="76"/>
      <c r="I657" s="76"/>
      <c r="J657" s="76" t="str">
        <f t="array" ref="J657:J658">{"CLASSABILITY1-L03PTS";((INDEX(ALLCLASSDATA,MATCH("ClassAbility1-L03",CLASSFEATUREHEADERS,0),MATCH(($A658 &amp; "Points"),CLASSNAMEHEADERS,0))))}</f>
        <v>CLASSABILITY1-L03PTS</v>
      </c>
      <c r="K657" s="76"/>
      <c r="L657" s="76" t="str">
        <f t="array" ref="L657:L658">{"CLASSABILITY1-L05PTS";((INDEX(ALLCLASSDATA,MATCH("ClassAbility1-L05",CLASSFEATUREHEADERS,0),MATCH(($A658 &amp; "Points"),CLASSNAMEHEADERS,0))))}</f>
        <v>CLASSABILITY1-L05PTS</v>
      </c>
      <c r="M657" s="76"/>
      <c r="N657" s="76" t="str">
        <f t="array" ref="N657:N658">{"CLASSABILITY1-L07PTS";((INDEX(ALLCLASSDATA,MATCH("ClassAbility1-L07",CLASSFEATUREHEADERS,0),MATCH(($A658 &amp; "Points"),CLASSNAMEHEADERS,0))))}</f>
        <v>CLASSABILITY1-L07PTS</v>
      </c>
      <c r="O657" s="76"/>
      <c r="P657" s="76" t="str">
        <f t="array" ref="P657:P658">{"CLASSABILITY1-L09PTS";((INDEX(ALLCLASSDATA,MATCH("ClassAbility1-L09",CLASSFEATUREHEADERS,0),MATCH(($A658 &amp; "Points"),CLASSNAMEHEADERS,0))))}</f>
        <v>CLASSABILITY1-L09PTS</v>
      </c>
      <c r="Q657" s="76"/>
      <c r="R657" s="76" t="str">
        <f t="array" ref="R657:R658">{"CLASSABILITY1-L11PTS";((INDEX(ALLCLASSDATA,MATCH("ClassAbility1-L11",CLASSFEATUREHEADERS,0),MATCH(($A658 &amp; "Points"),CLASSNAMEHEADERS,0))))}</f>
        <v>CLASSABILITY1-L11PTS</v>
      </c>
      <c r="S657" s="76"/>
      <c r="T657" s="76" t="str">
        <f t="array" ref="T657:T658">{"CLASSABILITY1-L13PTS";((INDEX(ALLCLASSDATA,MATCH("ClassAbility1-L13",CLASSFEATUREHEADERS,0),MATCH(($A658 &amp; "Points"),CLASSNAMEHEADERS,0))))}</f>
        <v>CLASSABILITY1-L13PTS</v>
      </c>
      <c r="U657" s="76"/>
      <c r="V657" s="76" t="str">
        <f t="array" ref="V657:V658">{"CLASSABILITY1-L15PTS";((INDEX(ALLCLASSDATA,MATCH("ClassAbility1-L15",CLASSFEATUREHEADERS,0),MATCH(($A658 &amp; "Points"),CLASSNAMEHEADERS,0))))}</f>
        <v>CLASSABILITY1-L15PTS</v>
      </c>
      <c r="W657" s="76"/>
      <c r="X657" s="76" t="str">
        <f t="array" ref="X657:X658">{"CLASSABILITY1-L17PTS";((INDEX(ALLCLASSDATA,MATCH("ClassAbility1-L17",CLASSFEATUREHEADERS,0),MATCH(($A658 &amp; "Points"),CLASSNAMEHEADERS,0))))}</f>
        <v>CLASSABILITY1-L17PTS</v>
      </c>
      <c r="Y657" s="76"/>
      <c r="Z657" s="76" t="str">
        <f t="array" ref="Z657:Z658">{"CLASSABILITY1-L19PTS";((INDEX(ALLCLASSDATA,MATCH("ClassAbility1-L19",CLASSFEATUREHEADERS,0),MATCH(($A658 &amp; "Points"),CLASSNAMEHEADERS,0))))}</f>
        <v>CLASSABILITY1-L19PTS</v>
      </c>
      <c r="AA657" s="76"/>
      <c r="AB657" s="76"/>
      <c r="AC657" s="76" t="str">
        <f t="array" ref="AC657:AC658">{"CLASSABILITY1 TOTAL";(sum(G658:AA658))}</f>
        <v>CLASSABILITY1 TOTAL</v>
      </c>
    </row>
    <row r="658">
      <c r="A658" s="48" t="s">
        <v>170</v>
      </c>
      <c r="B658" s="48"/>
      <c r="C658" s="48" t="s">
        <v>415</v>
      </c>
      <c r="D658" s="48" t="s">
        <v>930</v>
      </c>
      <c r="E658" s="48" t="s">
        <v>826</v>
      </c>
      <c r="F658" s="5"/>
      <c r="G658" s="5"/>
      <c r="H658" s="5"/>
      <c r="I658" s="5"/>
      <c r="J658" s="48"/>
      <c r="K658" s="5"/>
      <c r="L658" s="5"/>
      <c r="M658" s="5"/>
      <c r="N658" s="5"/>
      <c r="O658" s="5"/>
      <c r="P658" s="5"/>
      <c r="Q658" s="5"/>
      <c r="R658" s="5"/>
      <c r="S658" s="5"/>
      <c r="T658" s="5"/>
      <c r="U658" s="5"/>
      <c r="V658" s="5"/>
      <c r="W658" s="5"/>
      <c r="X658" s="5"/>
      <c r="Y658" s="5"/>
      <c r="Z658" s="5">
        <v>10.0</v>
      </c>
      <c r="AA658" s="5"/>
      <c r="AB658" s="5"/>
      <c r="AC658" s="47">
        <v>10.0</v>
      </c>
    </row>
    <row r="659" hidden="1">
      <c r="A659" s="76" t="str">
        <f t="array" ref="A659:A660">{"FormulaRow10";(INDEX(CLASSLIST,A640,1))}</f>
        <v>FormulaRow10</v>
      </c>
      <c r="B659" s="77" t="s">
        <v>236</v>
      </c>
      <c r="C659" s="76" t="str">
        <f t="array" ref="C659:C660">{"CLASSTYPE";((INDEX(ALLCLASSDATA,MATCH("ClassType",CLASSFEATUREHEADERS,0),MATCH($A660,CLASSNAMEHEADERS,0))))}</f>
        <v>CLASSTYPE</v>
      </c>
      <c r="D659" s="76" t="str">
        <f t="array" ref="D659:D660">{"CLASSABILITY";"ClassAbility"}</f>
        <v>CLASSABILITY</v>
      </c>
      <c r="E659" s="76" t="str">
        <f t="array" ref="E659:E660">{"CLASSABILITY2";"ClassAbility2"}</f>
        <v>CLASSABILITY2</v>
      </c>
      <c r="F659" s="76"/>
      <c r="G659" s="76"/>
      <c r="H659" s="76"/>
      <c r="I659" s="76"/>
      <c r="J659" s="76" t="str">
        <f t="array" ref="J659:J660">{"CLASSABILITY2-L03";((INDEX(ALLCLASSDATA,MATCH("ClassAbility2-L03",CLASSFEATUREHEADERS,0),MATCH(($A660),CLASSNAMEHEADERS,0))))}</f>
        <v>CLASSABILITY2-L03</v>
      </c>
      <c r="K659" s="76"/>
      <c r="L659" s="76" t="str">
        <f t="array" ref="L659:L660">{"CLASSABILITY2-L05";((INDEX(ALLCLASSDATA,MATCH("ClassAbility2-L05",CLASSFEATUREHEADERS,0),MATCH(($A660),CLASSNAMEHEADERS,0))))}</f>
        <v>CLASSABILITY2-L05</v>
      </c>
      <c r="M659" s="76"/>
      <c r="N659" s="76" t="str">
        <f t="array" ref="N659:N660">{"CLASSABILITY2-L07";((INDEX(ALLCLASSDATA,MATCH("ClassAbility2-L07",CLASSFEATUREHEADERS,0),MATCH(($A660),CLASSNAMEHEADERS,0))))}</f>
        <v>CLASSABILITY2-L07</v>
      </c>
      <c r="O659" s="76"/>
      <c r="P659" s="76" t="str">
        <f t="array" ref="P659:P660">{"CLASSABILITY2-L09";((INDEX(ALLCLASSDATA,MATCH("ClassAbility2-L09",CLASSFEATUREHEADERS,0),MATCH(($A660),CLASSNAMEHEADERS,0))))}</f>
        <v>CLASSABILITY2-L09</v>
      </c>
      <c r="Q659" s="76"/>
      <c r="R659" s="76" t="str">
        <f t="array" ref="R659:R660">{"CLASSABILITY2-L11";((INDEX(ALLCLASSDATA,MATCH("ClassAbility2-L11",CLASSFEATUREHEADERS,0),MATCH(($A660),CLASSNAMEHEADERS,0))))}</f>
        <v>CLASSABILITY2-L11</v>
      </c>
      <c r="S659" s="76"/>
      <c r="T659" s="76" t="str">
        <f t="array" ref="T659:T660">{"CLASSABILITY2-L13";((INDEX(ALLCLASSDATA,MATCH("ClassAbility2-L13",CLASSFEATUREHEADERS,0),MATCH(($A660),CLASSNAMEHEADERS,0))))}</f>
        <v>CLASSABILITY2-L13</v>
      </c>
      <c r="U659" s="76"/>
      <c r="V659" s="76" t="str">
        <f t="array" ref="V659:V660">{"CLASSABILITY2-L15";((INDEX(ALLCLASSDATA,MATCH("ClassAbility2-L15",CLASSFEATUREHEADERS,0),MATCH(($A660),CLASSNAMEHEADERS,0))))}</f>
        <v>CLASSABILITY2-L15</v>
      </c>
      <c r="W659" s="76"/>
      <c r="X659" s="76" t="str">
        <f t="array" ref="X659:X660">{"CLASSABILITY2-L17";((INDEX(ALLCLASSDATA,MATCH("ClassAbility2-L17",CLASSFEATUREHEADERS,0),MATCH(($A660),CLASSNAMEHEADERS,0))))}</f>
        <v>CLASSABILITY2-L17</v>
      </c>
      <c r="Y659" s="76"/>
      <c r="Z659" s="76" t="str">
        <f t="array" ref="Z659:Z660">{"CLASSABILITY2-L19";((INDEX(ALLCLASSDATA,MATCH("ClassAbility2-L19",CLASSFEATUREHEADERS,0),MATCH(($A660),CLASSNAMEHEADERS,0))))}</f>
        <v>CLASSABILITY2-L19</v>
      </c>
      <c r="AA659" s="76"/>
      <c r="AB659" s="76"/>
      <c r="AC659" s="76"/>
    </row>
    <row r="660">
      <c r="A660" s="48" t="s">
        <v>170</v>
      </c>
      <c r="B660" s="48"/>
      <c r="C660" s="48" t="s">
        <v>415</v>
      </c>
      <c r="D660" s="48" t="s">
        <v>825</v>
      </c>
      <c r="E660" s="48" t="s">
        <v>1007</v>
      </c>
      <c r="F660" s="48"/>
      <c r="G660" s="47"/>
      <c r="H660" s="5"/>
      <c r="I660" s="5"/>
      <c r="J660" s="5"/>
      <c r="K660" s="5"/>
      <c r="L660" s="5"/>
      <c r="M660" s="5"/>
      <c r="N660" s="5" t="s">
        <v>369</v>
      </c>
      <c r="O660" s="5"/>
      <c r="P660" s="5" t="s">
        <v>1725</v>
      </c>
      <c r="Q660" s="5"/>
      <c r="R660" s="5"/>
      <c r="S660" s="5"/>
      <c r="T660" s="5" t="s">
        <v>362</v>
      </c>
      <c r="U660" s="5"/>
      <c r="V660" s="5" t="s">
        <v>317</v>
      </c>
      <c r="W660" s="5"/>
      <c r="X660" s="5"/>
      <c r="Y660" s="5"/>
      <c r="Z660" s="5" t="s">
        <v>1782</v>
      </c>
      <c r="AA660" s="5"/>
      <c r="AB660" s="5"/>
      <c r="AC660" s="47"/>
    </row>
    <row r="661" hidden="1">
      <c r="A661" s="76" t="str">
        <f t="array" ref="A661:A662">{"FormulaRow11";(INDEX(CLASSLIST,A640,1))}</f>
        <v>FormulaRow11</v>
      </c>
      <c r="B661" s="77" t="s">
        <v>236</v>
      </c>
      <c r="C661" s="76" t="str">
        <f t="array" ref="C661:C662">{"CLASSTYPE";((INDEX(ALLCLASSDATA,MATCH("ClassType",CLASSFEATUREHEADERS,0),MATCH($A662,CLASSNAMEHEADERS,0))))}</f>
        <v>CLASSTYPE</v>
      </c>
      <c r="D661" s="76" t="str">
        <f t="array" ref="D661:D662">{"CLASSABILITYPTS";"ClassAbilityPts"}</f>
        <v>CLASSABILITYPTS</v>
      </c>
      <c r="E661" s="76" t="str">
        <f t="array" ref="E661:E662">{"CLASSABILITY2";"ClassAbility2"}</f>
        <v>CLASSABILITY2</v>
      </c>
      <c r="F661" s="76"/>
      <c r="G661" s="76"/>
      <c r="H661" s="76"/>
      <c r="I661" s="76"/>
      <c r="J661" s="76" t="str">
        <f t="array" ref="J661:J662">{"CLASSABILITY2-L03PTS";((INDEX(ALLCLASSDATA,MATCH("ClassAbility2-L03",CLASSFEATUREHEADERS,0),MATCH(($A662 &amp; "Points"),CLASSNAMEHEADERS,0))))}</f>
        <v>CLASSABILITY2-L03PTS</v>
      </c>
      <c r="K661" s="76"/>
      <c r="L661" s="76" t="str">
        <f t="array" ref="L661:L662">{"CLASSABILITY2-L05PTS";((INDEX(ALLCLASSDATA,MATCH("ClassAbility2-L05",CLASSFEATUREHEADERS,0),MATCH(($A662 &amp; "Points"),CLASSNAMEHEADERS,0))))}</f>
        <v>CLASSABILITY2-L05PTS</v>
      </c>
      <c r="M661" s="76"/>
      <c r="N661" s="76" t="str">
        <f t="array" ref="N661:N662">{"CLASSABILITY2-L07PTS";((INDEX(ALLCLASSDATA,MATCH("ClassAbility2-L07",CLASSFEATUREHEADERS,0),MATCH(($A662 &amp; "Points"),CLASSNAMEHEADERS,0))))}</f>
        <v>CLASSABILITY2-L07PTS</v>
      </c>
      <c r="O661" s="76"/>
      <c r="P661" s="76" t="str">
        <f t="array" ref="P661:P662">{"CLASSABILITY2-L09PTS";((INDEX(ALLCLASSDATA,MATCH("ClassAbility2-L09",CLASSFEATUREHEADERS,0),MATCH(($A662 &amp; "Points"),CLASSNAMEHEADERS,0))))}</f>
        <v>CLASSABILITY2-L09PTS</v>
      </c>
      <c r="Q661" s="76"/>
      <c r="R661" s="76" t="str">
        <f t="array" ref="R661:R662">{"CLASSABILITY2-L11PTS";((INDEX(ALLCLASSDATA,MATCH("ClassAbility2-L11",CLASSFEATUREHEADERS,0),MATCH(($A662 &amp; "Points"),CLASSNAMEHEADERS,0))))}</f>
        <v>CLASSABILITY2-L11PTS</v>
      </c>
      <c r="S661" s="76"/>
      <c r="T661" s="76" t="str">
        <f t="array" ref="T661:T662">{"CLASSABILITY2-L13PTS";((INDEX(ALLCLASSDATA,MATCH("ClassAbility2-L13",CLASSFEATUREHEADERS,0),MATCH(($A662 &amp; "Points"),CLASSNAMEHEADERS,0))))}</f>
        <v>CLASSABILITY2-L13PTS</v>
      </c>
      <c r="U661" s="76"/>
      <c r="V661" s="76" t="str">
        <f t="array" ref="V661:V662">{"CLASSABILITY2-L15PTS";((INDEX(ALLCLASSDATA,MATCH("ClassAbility2-L15",CLASSFEATUREHEADERS,0),MATCH(($A662 &amp; "Points"),CLASSNAMEHEADERS,0))))}</f>
        <v>CLASSABILITY2-L15PTS</v>
      </c>
      <c r="W661" s="76"/>
      <c r="X661" s="76" t="str">
        <f t="array" ref="X661:X662">{"CLASSABILITY2-L17PTS";((INDEX(ALLCLASSDATA,MATCH("ClassAbility2-L17",CLASSFEATUREHEADERS,0),MATCH(($A662 &amp; "Points"),CLASSNAMEHEADERS,0))))}</f>
        <v>CLASSABILITY2-L17PTS</v>
      </c>
      <c r="Y661" s="76"/>
      <c r="Z661" s="76" t="str">
        <f t="array" ref="Z661:Z662">{"CLASSABILITY2-L19PTS";((INDEX(ALLCLASSDATA,MATCH("ClassAbility2-L19",CLASSFEATUREHEADERS,0),MATCH(($A662 &amp; "Points"),CLASSNAMEHEADERS,0))))}</f>
        <v>CLASSABILITY2-L19PTS</v>
      </c>
      <c r="AA661" s="76"/>
      <c r="AB661" s="76"/>
      <c r="AC661" s="76" t="str">
        <f t="array" ref="AC661:AC662">{"CLASSABILITY2 TOTAL";(sum(G662:AA662))}</f>
        <v>CLASSABILITY2 TOTAL</v>
      </c>
    </row>
    <row r="662">
      <c r="A662" s="48" t="s">
        <v>170</v>
      </c>
      <c r="B662" s="48"/>
      <c r="C662" s="48" t="s">
        <v>415</v>
      </c>
      <c r="D662" s="48" t="s">
        <v>930</v>
      </c>
      <c r="E662" s="48" t="s">
        <v>1007</v>
      </c>
      <c r="F662" s="48"/>
      <c r="G662" s="47"/>
      <c r="H662" s="5"/>
      <c r="I662" s="5"/>
      <c r="J662" s="5"/>
      <c r="K662" s="5"/>
      <c r="L662" s="5"/>
      <c r="M662" s="5"/>
      <c r="N662" s="5"/>
      <c r="O662" s="5"/>
      <c r="P662" s="5"/>
      <c r="Q662" s="5"/>
      <c r="R662" s="5"/>
      <c r="S662" s="5"/>
      <c r="T662" s="5"/>
      <c r="U662" s="5"/>
      <c r="V662" s="5"/>
      <c r="W662" s="5"/>
      <c r="X662" s="5"/>
      <c r="Y662" s="5"/>
      <c r="Z662" s="5"/>
      <c r="AA662" s="5"/>
      <c r="AB662" s="5"/>
      <c r="AC662" s="47">
        <v>0.0</v>
      </c>
    </row>
    <row r="663" hidden="1">
      <c r="A663" s="76" t="str">
        <f t="array" ref="A663:A664">{"FormulaRow12";(INDEX(CLASSLIST,A640,1))}</f>
        <v>FormulaRow12</v>
      </c>
      <c r="B663" s="77" t="s">
        <v>236</v>
      </c>
      <c r="C663" s="76" t="str">
        <f t="array" ref="C663:C664">{"CLASSTYPE";((INDEX(ALLCLASSDATA,MATCH("ClassType",CLASSFEATUREHEADERS,0),MATCH($A664,CLASSNAMEHEADERS,0))))}</f>
        <v>CLASSTYPE</v>
      </c>
      <c r="D663" s="76" t="str">
        <f t="array" ref="D663:D664">{"CLASSABILITY";"ClassAbility"}</f>
        <v>CLASSABILITY</v>
      </c>
      <c r="E663" s="76" t="str">
        <f t="array" ref="E663:E664">{"CLASSABILITY3";"ClassAbility3"}</f>
        <v>CLASSABILITY3</v>
      </c>
      <c r="F663" s="76"/>
      <c r="G663" s="76"/>
      <c r="H663" s="76"/>
      <c r="I663" s="76"/>
      <c r="J663" s="76" t="str">
        <f t="array" ref="J663:J664">{"CLASSABILITY3-L03";((INDEX(ALLCLASSDATA,MATCH("ClassAbility3-L03",CLASSFEATUREHEADERS,0),MATCH(($A664),CLASSNAMEHEADERS,0))))}</f>
        <v>CLASSABILITY3-L03</v>
      </c>
      <c r="K663" s="76"/>
      <c r="L663" s="76" t="str">
        <f t="array" ref="L663:L664">{"CLASSABILITY3-L05";((INDEX(ALLCLASSDATA,MATCH("ClassAbility3-L05",CLASSFEATUREHEADERS,0),MATCH(($A664),CLASSNAMEHEADERS,0))))}</f>
        <v>CLASSABILITY3-L05</v>
      </c>
      <c r="M663" s="76"/>
      <c r="N663" s="76" t="str">
        <f t="array" ref="N663:N664">{"CLASSABILITY3-L07";((INDEX(ALLCLASSDATA,MATCH("ClassAbility3-L07",CLASSFEATUREHEADERS,0),MATCH(($A664),CLASSNAMEHEADERS,0))))}</f>
        <v>CLASSABILITY3-L07</v>
      </c>
      <c r="O663" s="76"/>
      <c r="P663" s="76" t="str">
        <f t="array" ref="P663:P664">{"CLASSABILITY3-L09";((INDEX(ALLCLASSDATA,MATCH("ClassAbility3-L09",CLASSFEATUREHEADERS,0),MATCH(($A664),CLASSNAMEHEADERS,0))))}</f>
        <v>CLASSABILITY3-L09</v>
      </c>
      <c r="Q663" s="76"/>
      <c r="R663" s="76" t="str">
        <f t="array" ref="R663:R664">{"CLASSABILITY3-L11";((INDEX(ALLCLASSDATA,MATCH("ClassAbility3-L11",CLASSFEATUREHEADERS,0),MATCH(($A664),CLASSNAMEHEADERS,0))))}</f>
        <v>CLASSABILITY3-L11</v>
      </c>
      <c r="S663" s="76"/>
      <c r="T663" s="76" t="str">
        <f t="array" ref="T663:T664">{"CLASSABILITY3-L13";((INDEX(ALLCLASSDATA,MATCH("ClassAbility3-L13",CLASSFEATUREHEADERS,0),MATCH(($A664),CLASSNAMEHEADERS,0))))}</f>
        <v>CLASSABILITY3-L13</v>
      </c>
      <c r="U663" s="76"/>
      <c r="V663" s="76" t="str">
        <f t="array" ref="V663:V664">{"CLASSABILITY3-L15";((INDEX(ALLCLASSDATA,MATCH("ClassAbility3-L15",CLASSFEATUREHEADERS,0),MATCH(($A664),CLASSNAMEHEADERS,0))))}</f>
        <v>CLASSABILITY3-L15</v>
      </c>
      <c r="W663" s="76"/>
      <c r="X663" s="76" t="str">
        <f t="array" ref="X663:X664">{"CLASSABILITY3-L17";((INDEX(ALLCLASSDATA,MATCH("ClassAbility3-L17",CLASSFEATUREHEADERS,0),MATCH(($A664),CLASSNAMEHEADERS,0))))}</f>
        <v>CLASSABILITY3-L17</v>
      </c>
      <c r="Y663" s="76"/>
      <c r="Z663" s="76" t="str">
        <f t="array" ref="Z663:Z664">{"CLASSABILITY3-L19";((INDEX(ALLCLASSDATA,MATCH("ClassAbility3-L19",CLASSFEATUREHEADERS,0),MATCH(($A664),CLASSNAMEHEADERS,0))))}</f>
        <v>CLASSABILITY3-L19</v>
      </c>
      <c r="AA663" s="76"/>
      <c r="AB663" s="76"/>
      <c r="AC663" s="76"/>
    </row>
    <row r="664">
      <c r="A664" s="48" t="s">
        <v>170</v>
      </c>
      <c r="B664" s="48"/>
      <c r="C664" s="48" t="s">
        <v>415</v>
      </c>
      <c r="D664" s="48" t="s">
        <v>825</v>
      </c>
      <c r="E664" s="48" t="s">
        <v>1144</v>
      </c>
      <c r="F664" s="48"/>
      <c r="G664" s="47"/>
      <c r="H664" s="5"/>
      <c r="I664" s="5"/>
      <c r="J664" s="5"/>
      <c r="K664" s="5"/>
      <c r="L664" s="5"/>
      <c r="M664" s="5"/>
      <c r="N664" s="5"/>
      <c r="O664" s="5"/>
      <c r="P664" s="5"/>
      <c r="Q664" s="5"/>
      <c r="R664" s="5"/>
      <c r="S664" s="5"/>
      <c r="T664" s="5"/>
      <c r="U664" s="5"/>
      <c r="V664" s="5"/>
      <c r="W664" s="5"/>
      <c r="X664" s="5"/>
      <c r="Y664" s="5"/>
      <c r="Z664" s="5"/>
      <c r="AA664" s="5"/>
      <c r="AB664" s="5"/>
      <c r="AC664" s="47"/>
    </row>
    <row r="665" hidden="1">
      <c r="A665" s="76" t="str">
        <f t="array" ref="A665:A666">{"FormulaRow13";(INDEX(CLASSLIST,A640,1))}</f>
        <v>FormulaRow13</v>
      </c>
      <c r="B665" s="77" t="s">
        <v>236</v>
      </c>
      <c r="C665" s="76" t="str">
        <f t="array" ref="C665:C666">{"CLASSTYPE";((INDEX(ALLCLASSDATA,MATCH("ClassType",CLASSFEATUREHEADERS,0),MATCH($A666,CLASSNAMEHEADERS,0))))}</f>
        <v>CLASSTYPE</v>
      </c>
      <c r="D665" s="76" t="str">
        <f t="array" ref="D665:D666">{"CLASSABILITYPTS";"ClassAbilityPts"}</f>
        <v>CLASSABILITYPTS</v>
      </c>
      <c r="E665" s="76" t="str">
        <f t="array" ref="E665:E666">{"CLASSABILITY3";"ClassAbility3"}</f>
        <v>CLASSABILITY3</v>
      </c>
      <c r="F665" s="76"/>
      <c r="G665" s="76"/>
      <c r="H665" s="76"/>
      <c r="I665" s="76"/>
      <c r="J665" s="76" t="str">
        <f t="array" ref="J665:J666">{"CLASSABILITY3-L03PTS";((INDEX(ALLCLASSDATA,MATCH("ClassAbility3-L03",CLASSFEATUREHEADERS,0),MATCH(($A666 &amp; "Points"),CLASSNAMEHEADERS,0))))}</f>
        <v>CLASSABILITY3-L03PTS</v>
      </c>
      <c r="K665" s="76"/>
      <c r="L665" s="76" t="str">
        <f t="array" ref="L665:L666">{"CLASSABILITY3-L05PTS";((INDEX(ALLCLASSDATA,MATCH("ClassAbility3-L05",CLASSFEATUREHEADERS,0),MATCH(($A666 &amp; "Points"),CLASSNAMEHEADERS,0))))}</f>
        <v>CLASSABILITY3-L05PTS</v>
      </c>
      <c r="M665" s="76"/>
      <c r="N665" s="76" t="str">
        <f t="array" ref="N665:N666">{"CLASSABILITY3-L07PTS";((INDEX(ALLCLASSDATA,MATCH("ClassAbility3-L07",CLASSFEATUREHEADERS,0),MATCH(($A666 &amp; "Points"),CLASSNAMEHEADERS,0))))}</f>
        <v>CLASSABILITY3-L07PTS</v>
      </c>
      <c r="O665" s="76"/>
      <c r="P665" s="76" t="str">
        <f t="array" ref="P665:P666">{"CLASSABILITY3-L09PTS";((INDEX(ALLCLASSDATA,MATCH("ClassAbility3-L09",CLASSFEATUREHEADERS,0),MATCH(($A666 &amp; "Points"),CLASSNAMEHEADERS,0))))}</f>
        <v>CLASSABILITY3-L09PTS</v>
      </c>
      <c r="Q665" s="76"/>
      <c r="R665" s="76" t="str">
        <f t="array" ref="R665:R666">{"CLASSABILITY3-L11PTS";((INDEX(ALLCLASSDATA,MATCH("ClassAbility3-L11",CLASSFEATUREHEADERS,0),MATCH(($A666 &amp; "Points"),CLASSNAMEHEADERS,0))))}</f>
        <v>CLASSABILITY3-L11PTS</v>
      </c>
      <c r="S665" s="76"/>
      <c r="T665" s="76" t="str">
        <f t="array" ref="T665:T666">{"CLASSABILITY3-L13PTS";((INDEX(ALLCLASSDATA,MATCH("ClassAbility3-L13",CLASSFEATUREHEADERS,0),MATCH(($A666 &amp; "Points"),CLASSNAMEHEADERS,0))))}</f>
        <v>CLASSABILITY3-L13PTS</v>
      </c>
      <c r="U665" s="76"/>
      <c r="V665" s="76" t="str">
        <f t="array" ref="V665:V666">{"CLASSABILITY3-L15PTS";((INDEX(ALLCLASSDATA,MATCH("ClassAbility3-L15",CLASSFEATUREHEADERS,0),MATCH(($A666 &amp; "Points"),CLASSNAMEHEADERS,0))))}</f>
        <v>CLASSABILITY3-L15PTS</v>
      </c>
      <c r="W665" s="76"/>
      <c r="X665" s="76" t="str">
        <f t="array" ref="X665:X666">{"CLASSABILITY3-L17PTS";((INDEX(ALLCLASSDATA,MATCH("ClassAbility3-L17",CLASSFEATUREHEADERS,0),MATCH(($A666 &amp; "Points"),CLASSNAMEHEADERS,0))))}</f>
        <v>CLASSABILITY3-L17PTS</v>
      </c>
      <c r="Y665" s="76"/>
      <c r="Z665" s="76" t="str">
        <f t="array" ref="Z665:Z666">{"CLASSABILITY3-L19PTS";((INDEX(ALLCLASSDATA,MATCH("ClassAbility3-L19",CLASSFEATUREHEADERS,0),MATCH(($A666 &amp; "Points"),CLASSNAMEHEADERS,0))))}</f>
        <v>CLASSABILITY3-L19PTS</v>
      </c>
      <c r="AA665" s="76"/>
      <c r="AB665" s="76"/>
      <c r="AC665" s="76" t="str">
        <f t="array" ref="AC665:AC666">{"CLASSABILITY3 TOTAL";(sum(G666:AA666))}</f>
        <v>CLASSABILITY3 TOTAL</v>
      </c>
    </row>
    <row r="666">
      <c r="A666" s="48" t="s">
        <v>170</v>
      </c>
      <c r="B666" s="48"/>
      <c r="C666" s="48" t="s">
        <v>415</v>
      </c>
      <c r="D666" s="48" t="s">
        <v>930</v>
      </c>
      <c r="E666" s="48" t="s">
        <v>1144</v>
      </c>
      <c r="F666" s="48"/>
      <c r="G666" s="47"/>
      <c r="H666" s="5"/>
      <c r="I666" s="5"/>
      <c r="J666" s="5"/>
      <c r="K666" s="5"/>
      <c r="L666" s="5"/>
      <c r="M666" s="5"/>
      <c r="N666" s="5"/>
      <c r="O666" s="5"/>
      <c r="P666" s="5"/>
      <c r="Q666" s="5"/>
      <c r="R666" s="5"/>
      <c r="S666" s="5"/>
      <c r="T666" s="5"/>
      <c r="U666" s="5"/>
      <c r="V666" s="5"/>
      <c r="W666" s="5"/>
      <c r="X666" s="5"/>
      <c r="Y666" s="5"/>
      <c r="Z666" s="5"/>
      <c r="AA666" s="5"/>
      <c r="AB666" s="5"/>
      <c r="AC666" s="47">
        <v>0.0</v>
      </c>
    </row>
    <row r="667" hidden="1">
      <c r="A667" s="76" t="str">
        <f t="array" ref="A667:A668">{"FormulaRow14";(INDEX(CLASSLIST,A640,1))}</f>
        <v>FormulaRow14</v>
      </c>
      <c r="B667" s="77" t="s">
        <v>236</v>
      </c>
      <c r="C667" s="76" t="str">
        <f t="array" ref="C667:C668">{"CLASSTYPE";((INDEX(ALLCLASSDATA,MATCH("ClassType",CLASSFEATUREHEADERS,0),MATCH($A668,CLASSNAMEHEADERS,0))))}</f>
        <v>CLASSTYPE</v>
      </c>
      <c r="D667" s="76" t="str">
        <f t="array" ref="D667:D668">{"CLASSABILITY";"ClassAbility"}</f>
        <v>CLASSABILITY</v>
      </c>
      <c r="E667" s="76" t="str">
        <f t="array" ref="E667:E668">{"CLASSABILITY4";"ClassAbility4"}</f>
        <v>CLASSABILITY4</v>
      </c>
      <c r="F667" s="76"/>
      <c r="G667" s="76"/>
      <c r="H667" s="76"/>
      <c r="I667" s="76"/>
      <c r="J667" s="76" t="str">
        <f t="array" ref="J667:J668">{"CLASSABILITY4-L03";((INDEX(ALLCLASSDATA,MATCH("ClassAbility4-L03",CLASSFEATUREHEADERS,0),MATCH(($A668),CLASSNAMEHEADERS,0))))}</f>
        <v>CLASSABILITY4-L03</v>
      </c>
      <c r="K667" s="76"/>
      <c r="L667" s="76" t="str">
        <f t="array" ref="L667:L668">{"CLASSABILITY4-L05";((INDEX(ALLCLASSDATA,MATCH("ClassAbility4-L05",CLASSFEATUREHEADERS,0),MATCH(($A668),CLASSNAMEHEADERS,0))))}</f>
        <v>CLASSABILITY4-L05</v>
      </c>
      <c r="M667" s="76"/>
      <c r="N667" s="76" t="str">
        <f t="array" ref="N667:N668">{"CLASSABILITY4-L07";((INDEX(ALLCLASSDATA,MATCH("ClassAbility4-L07",CLASSFEATUREHEADERS,0),MATCH(($A668),CLASSNAMEHEADERS,0))))}</f>
        <v>CLASSABILITY4-L07</v>
      </c>
      <c r="O667" s="76"/>
      <c r="P667" s="76" t="str">
        <f t="array" ref="P667:P668">{"CLASSABILITY4-L09";((INDEX(ALLCLASSDATA,MATCH("ClassAbility4-L09",CLASSFEATUREHEADERS,0),MATCH(($A668),CLASSNAMEHEADERS,0))))}</f>
        <v>CLASSABILITY4-L09</v>
      </c>
      <c r="Q667" s="76"/>
      <c r="R667" s="76" t="str">
        <f t="array" ref="R667:R668">{"CLASSABILITY4-L11";((INDEX(ALLCLASSDATA,MATCH("ClassAbility4-L11",CLASSFEATUREHEADERS,0),MATCH(($A668),CLASSNAMEHEADERS,0))))}</f>
        <v>CLASSABILITY4-L11</v>
      </c>
      <c r="S667" s="76"/>
      <c r="T667" s="76" t="str">
        <f t="array" ref="T667:T668">{"CLASSABILITY4-L13";((INDEX(ALLCLASSDATA,MATCH("ClassAbility4-L13",CLASSFEATUREHEADERS,0),MATCH(($A668),CLASSNAMEHEADERS,0))))}</f>
        <v>CLASSABILITY4-L13</v>
      </c>
      <c r="U667" s="76"/>
      <c r="V667" s="76" t="str">
        <f t="array" ref="V667:V668">{"CLASSABILITY4-L15";((INDEX(ALLCLASSDATA,MATCH("ClassAbility4-L15",CLASSFEATUREHEADERS,0),MATCH(($A668),CLASSNAMEHEADERS,0))))}</f>
        <v>CLASSABILITY4-L15</v>
      </c>
      <c r="W667" s="76"/>
      <c r="X667" s="76" t="str">
        <f t="array" ref="X667:X668">{"CLASSABILITY4-L17";((INDEX(ALLCLASSDATA,MATCH("ClassAbility4-L17",CLASSFEATUREHEADERS,0),MATCH(($A668),CLASSNAMEHEADERS,0))))}</f>
        <v>CLASSABILITY4-L17</v>
      </c>
      <c r="Y667" s="76"/>
      <c r="Z667" s="76" t="str">
        <f t="array" ref="Z667:Z668">{"CLASSABILITY4-L19";((INDEX(ALLCLASSDATA,MATCH("ClassAbility4-L19",CLASSFEATUREHEADERS,0),MATCH(($A668),CLASSNAMEHEADERS,0))))}</f>
        <v>CLASSABILITY4-L19</v>
      </c>
      <c r="AA667" s="76"/>
      <c r="AB667" s="76"/>
      <c r="AC667" s="76"/>
    </row>
    <row r="668">
      <c r="A668" s="48" t="s">
        <v>170</v>
      </c>
      <c r="B668" s="48"/>
      <c r="C668" s="48" t="s">
        <v>415</v>
      </c>
      <c r="D668" s="48" t="s">
        <v>825</v>
      </c>
      <c r="E668" s="48" t="s">
        <v>1273</v>
      </c>
      <c r="F668" s="48"/>
      <c r="G668" s="47"/>
      <c r="H668" s="5"/>
      <c r="I668" s="5"/>
      <c r="J668" s="5"/>
      <c r="K668" s="5"/>
      <c r="L668" s="5"/>
      <c r="M668" s="5"/>
      <c r="N668" s="5"/>
      <c r="O668" s="5"/>
      <c r="P668" s="5"/>
      <c r="Q668" s="5"/>
      <c r="R668" s="5"/>
      <c r="S668" s="5"/>
      <c r="T668" s="5"/>
      <c r="U668" s="5"/>
      <c r="V668" s="5"/>
      <c r="W668" s="5"/>
      <c r="X668" s="5"/>
      <c r="Y668" s="5"/>
      <c r="Z668" s="5"/>
      <c r="AA668" s="5"/>
      <c r="AB668" s="5"/>
      <c r="AC668" s="47"/>
    </row>
    <row r="669" hidden="1">
      <c r="A669" s="76" t="str">
        <f t="array" ref="A669:A670">{"FormulaRow15";(INDEX(CLASSLIST,A640,1))}</f>
        <v>FormulaRow15</v>
      </c>
      <c r="B669" s="77" t="s">
        <v>236</v>
      </c>
      <c r="C669" s="76" t="str">
        <f t="array" ref="C669:C670">{"CLASSTYPE";((INDEX(ALLCLASSDATA,MATCH("ClassType",CLASSFEATUREHEADERS,0),MATCH($A670,CLASSNAMEHEADERS,0))))}</f>
        <v>CLASSTYPE</v>
      </c>
      <c r="D669" s="76" t="str">
        <f t="array" ref="D669:D670">{"CLASSABILITYPTS";"ClassAbilityPts"}</f>
        <v>CLASSABILITYPTS</v>
      </c>
      <c r="E669" s="76" t="str">
        <f t="array" ref="E669:E670">{"CLASSABILITY4";"ClassAbility4"}</f>
        <v>CLASSABILITY4</v>
      </c>
      <c r="F669" s="76"/>
      <c r="G669" s="76"/>
      <c r="H669" s="76"/>
      <c r="I669" s="76"/>
      <c r="J669" s="76" t="str">
        <f t="array" ref="J669:J670">{"CLASSABILITY4-L03PTS";((INDEX(ALLCLASSDATA,MATCH("ClassAbility4-L03",CLASSFEATUREHEADERS,0),MATCH(($A670 &amp; "Points"),CLASSNAMEHEADERS,0))))}</f>
        <v>CLASSABILITY4-L03PTS</v>
      </c>
      <c r="K669" s="76"/>
      <c r="L669" s="76" t="str">
        <f t="array" ref="L669:L670">{"CLASSABILITY4-L05PTS";((INDEX(ALLCLASSDATA,MATCH("ClassAbility4-L05",CLASSFEATUREHEADERS,0),MATCH(($A670 &amp; "Points"),CLASSNAMEHEADERS,0))))}</f>
        <v>CLASSABILITY4-L05PTS</v>
      </c>
      <c r="M669" s="76"/>
      <c r="N669" s="76" t="str">
        <f t="array" ref="N669:N670">{"CLASSABILITY4-L07PTS";((INDEX(ALLCLASSDATA,MATCH("ClassAbility4-L07",CLASSFEATUREHEADERS,0),MATCH(($A670 &amp; "Points"),CLASSNAMEHEADERS,0))))}</f>
        <v>CLASSABILITY4-L07PTS</v>
      </c>
      <c r="O669" s="76"/>
      <c r="P669" s="76" t="str">
        <f t="array" ref="P669:P670">{"CLASSABILITY4-L09PTS";((INDEX(ALLCLASSDATA,MATCH("ClassAbility4-L09",CLASSFEATUREHEADERS,0),MATCH(($A670 &amp; "Points"),CLASSNAMEHEADERS,0))))}</f>
        <v>CLASSABILITY4-L09PTS</v>
      </c>
      <c r="Q669" s="76"/>
      <c r="R669" s="76" t="str">
        <f t="array" ref="R669:R670">{"CLASSABILITY4-L11PTS";((INDEX(ALLCLASSDATA,MATCH("ClassAbility4-L11",CLASSFEATUREHEADERS,0),MATCH(($A670 &amp; "Points"),CLASSNAMEHEADERS,0))))}</f>
        <v>CLASSABILITY4-L11PTS</v>
      </c>
      <c r="S669" s="76"/>
      <c r="T669" s="76" t="str">
        <f t="array" ref="T669:T670">{"CLASSABILITY4-L13PTS";((INDEX(ALLCLASSDATA,MATCH("ClassAbility4-L13",CLASSFEATUREHEADERS,0),MATCH(($A670 &amp; "Points"),CLASSNAMEHEADERS,0))))}</f>
        <v>CLASSABILITY4-L13PTS</v>
      </c>
      <c r="U669" s="76"/>
      <c r="V669" s="76" t="str">
        <f t="array" ref="V669:V670">{"CLASSABILITY4-L15PTS";((INDEX(ALLCLASSDATA,MATCH("ClassAbility4-L15",CLASSFEATUREHEADERS,0),MATCH(($A670 &amp; "Points"),CLASSNAMEHEADERS,0))))}</f>
        <v>CLASSABILITY4-L15PTS</v>
      </c>
      <c r="W669" s="76"/>
      <c r="X669" s="76" t="str">
        <f t="array" ref="X669:X670">{"CLASSABILITY4-L17PTS";((INDEX(ALLCLASSDATA,MATCH("ClassAbility4-L17",CLASSFEATUREHEADERS,0),MATCH(($A670 &amp; "Points"),CLASSNAMEHEADERS,0))))}</f>
        <v>CLASSABILITY4-L17PTS</v>
      </c>
      <c r="Y669" s="76"/>
      <c r="Z669" s="76" t="str">
        <f t="array" ref="Z669:Z670">{"CLASSABILITY4-L19PTS";((INDEX(ALLCLASSDATA,MATCH("ClassAbility4-L19",CLASSFEATUREHEADERS,0),MATCH(($A670 &amp; "Points"),CLASSNAMEHEADERS,0))))}</f>
        <v>CLASSABILITY4-L19PTS</v>
      </c>
      <c r="AA669" s="76"/>
      <c r="AB669" s="76"/>
      <c r="AC669" s="76" t="str">
        <f t="array" ref="AC669:AC670">{"CLASSABILITY4 TOTAL";(sum(G670:AA670))}</f>
        <v>CLASSABILITY4 TOTAL</v>
      </c>
    </row>
    <row r="670">
      <c r="A670" s="48" t="s">
        <v>170</v>
      </c>
      <c r="B670" s="48"/>
      <c r="C670" s="48" t="s">
        <v>415</v>
      </c>
      <c r="D670" s="48" t="s">
        <v>930</v>
      </c>
      <c r="E670" s="48" t="s">
        <v>1273</v>
      </c>
      <c r="F670" s="48"/>
      <c r="G670" s="47"/>
      <c r="H670" s="5"/>
      <c r="I670" s="5"/>
      <c r="J670" s="5"/>
      <c r="K670" s="5"/>
      <c r="L670" s="5"/>
      <c r="M670" s="5"/>
      <c r="N670" s="5"/>
      <c r="O670" s="5"/>
      <c r="P670" s="5"/>
      <c r="Q670" s="5"/>
      <c r="R670" s="5"/>
      <c r="S670" s="5"/>
      <c r="T670" s="5"/>
      <c r="U670" s="5"/>
      <c r="V670" s="5"/>
      <c r="W670" s="5"/>
      <c r="X670" s="5"/>
      <c r="Y670" s="5"/>
      <c r="Z670" s="5"/>
      <c r="AA670" s="5"/>
      <c r="AB670" s="5"/>
      <c r="AC670" s="47">
        <v>0.0</v>
      </c>
    </row>
    <row r="671" hidden="1">
      <c r="A671" s="76" t="str">
        <f t="array" ref="A671:A672">{"FormulaRow16";(INDEX(CLASSLIST,A640,1))}</f>
        <v>FormulaRow16</v>
      </c>
      <c r="B671" s="77" t="s">
        <v>236</v>
      </c>
      <c r="C671" s="76" t="str">
        <f t="array" ref="C671:C672">{"CLASSTYPE";((INDEX(ALLCLASSDATA,MATCH("ClassType",CLASSFEATUREHEADERS,0),MATCH($A672,CLASSNAMEHEADERS,0))))}</f>
        <v>CLASSTYPE</v>
      </c>
      <c r="D671" s="76" t="str">
        <f t="array" ref="D671:D672">{"CLASSABILITY";"ClassAbility"}</f>
        <v>CLASSABILITY</v>
      </c>
      <c r="E671" s="76" t="str">
        <f t="array" ref="E671:E672">{"SUBCLASSABILITY1";"SubclassAbility1"}</f>
        <v>SUBCLASSABILITY1</v>
      </c>
      <c r="F671" s="76"/>
      <c r="G671" s="76"/>
      <c r="H671" s="76"/>
      <c r="I671" s="76"/>
      <c r="J671" s="76" t="str">
        <f t="array" ref="J671:J672">{"SUBCLASSABILITY1-L03";((INDEX(ALLCLASSDATA,MATCH("SubclassAbility1-L03",CLASSFEATUREHEADERS,0),MATCH(($A672),CLASSNAMEHEADERS,0))))}</f>
        <v>SUBCLASSABILITY1-L03</v>
      </c>
      <c r="K671" s="76"/>
      <c r="L671" s="76" t="str">
        <f t="array" ref="L671:L672">{"SUBCLASSABILITY1-L05";((INDEX(ALLCLASSDATA,MATCH("SubclassAbility1-L05",CLASSFEATUREHEADERS,0),MATCH(($A672),CLASSNAMEHEADERS,0))))}</f>
        <v>SUBCLASSABILITY1-L05</v>
      </c>
      <c r="M671" s="76"/>
      <c r="N671" s="76" t="str">
        <f t="array" ref="N671:N672">{"SUBCLASSABILITY1-L07";((INDEX(ALLCLASSDATA,MATCH("SubclassAbility1-L07",CLASSFEATUREHEADERS,0),MATCH(($A672),CLASSNAMEHEADERS,0))))}</f>
        <v>SUBCLASSABILITY1-L07</v>
      </c>
      <c r="O671" s="76"/>
      <c r="P671" s="76" t="str">
        <f t="array" ref="P671:P672">{"SUBCLASSABILITY1-L09";((INDEX(ALLCLASSDATA,MATCH("SubclassAbility1-L09",CLASSFEATUREHEADERS,0),MATCH(($A672),CLASSNAMEHEADERS,0))))}</f>
        <v>SUBCLASSABILITY1-L09</v>
      </c>
      <c r="Q671" s="76"/>
      <c r="R671" s="76" t="str">
        <f t="array" ref="R671:R672">{"SUBCLASSABILITY1-L11";((INDEX(ALLCLASSDATA,MATCH("SubclassAbility1-L11",CLASSFEATUREHEADERS,0),MATCH(($A672),CLASSNAMEHEADERS,0))))}</f>
        <v>SUBCLASSABILITY1-L11</v>
      </c>
      <c r="S671" s="76"/>
      <c r="T671" s="76" t="str">
        <f t="array" ref="T671:T672">{"SUBCLASSABILITY1-L13";((INDEX(ALLCLASSDATA,MATCH("SubclassAbility1-L13",CLASSFEATUREHEADERS,0),MATCH(($A672),CLASSNAMEHEADERS,0))))}</f>
        <v>SUBCLASSABILITY1-L13</v>
      </c>
      <c r="U671" s="76"/>
      <c r="V671" s="76" t="str">
        <f t="array" ref="V671:V672">{"SUBCLASSABILITY1-L15";((INDEX(ALLCLASSDATA,MATCH("SubclassAbility1-L15",CLASSFEATUREHEADERS,0),MATCH(($A672),CLASSNAMEHEADERS,0))))}</f>
        <v>SUBCLASSABILITY1-L15</v>
      </c>
      <c r="W671" s="76"/>
      <c r="X671" s="76" t="str">
        <f t="array" ref="X671:X672">{"SUBCLASSABILITY1-L17";((INDEX(ALLCLASSDATA,MATCH("SubclassAbility1-L17",CLASSFEATUREHEADERS,0),MATCH(($A672),CLASSNAMEHEADERS,0))))}</f>
        <v>SUBCLASSABILITY1-L17</v>
      </c>
      <c r="Y671" s="76"/>
      <c r="Z671" s="76" t="str">
        <f t="array" ref="Z671:Z672">{"SUBCLASSABILITY1-L19";((INDEX(ALLCLASSDATA,MATCH("SubclassAbility1-L19",CLASSFEATUREHEADERS,0),MATCH(($A672),CLASSNAMEHEADERS,0))))}</f>
        <v>SUBCLASSABILITY1-L19</v>
      </c>
      <c r="AA671" s="76"/>
      <c r="AB671" s="76"/>
      <c r="AC671" s="76"/>
    </row>
    <row r="672">
      <c r="A672" s="48" t="s">
        <v>170</v>
      </c>
      <c r="B672" s="48"/>
      <c r="C672" s="48" t="s">
        <v>415</v>
      </c>
      <c r="D672" s="48" t="s">
        <v>825</v>
      </c>
      <c r="E672" s="28" t="s">
        <v>1355</v>
      </c>
      <c r="F672" s="5"/>
      <c r="G672" s="47"/>
      <c r="H672" s="5"/>
      <c r="I672" s="5"/>
      <c r="J672" s="5"/>
      <c r="K672" s="5"/>
      <c r="L672" s="5" t="s">
        <v>1854</v>
      </c>
      <c r="M672" s="5"/>
      <c r="N672" s="5" t="s">
        <v>1862</v>
      </c>
      <c r="O672" s="5"/>
      <c r="P672" s="5" t="s">
        <v>1868</v>
      </c>
      <c r="Q672" s="5"/>
      <c r="R672" s="5" t="s">
        <v>1873</v>
      </c>
      <c r="S672" s="5"/>
      <c r="T672" s="5"/>
      <c r="U672" s="5"/>
      <c r="V672" s="5" t="s">
        <v>1881</v>
      </c>
      <c r="W672" s="5"/>
      <c r="X672" s="5" t="s">
        <v>1887</v>
      </c>
      <c r="Y672" s="5"/>
      <c r="Z672" s="5"/>
      <c r="AA672" s="5"/>
      <c r="AB672" s="5"/>
      <c r="AC672" s="47"/>
    </row>
    <row r="673" hidden="1">
      <c r="A673" s="76" t="str">
        <f t="array" ref="A673:A674">{"FormulaRow17";(INDEX(CLASSLIST,A640,1))}</f>
        <v>FormulaRow17</v>
      </c>
      <c r="B673" s="77" t="s">
        <v>236</v>
      </c>
      <c r="C673" s="76" t="str">
        <f t="array" ref="C673:C674">{"CLASSTYPE";((INDEX(ALLCLASSDATA,MATCH("ClassType",CLASSFEATUREHEADERS,0),MATCH($A674,CLASSNAMEHEADERS,0))))}</f>
        <v>CLASSTYPE</v>
      </c>
      <c r="D673" s="76" t="str">
        <f t="array" ref="D673:D674">{"CLASSABILITYPTS";"ClassAbilityPts"}</f>
        <v>CLASSABILITYPTS</v>
      </c>
      <c r="E673" s="76" t="str">
        <f t="array" ref="E673:E674">{"SUBCLASSABILITY1";"SubclassAbility1"}</f>
        <v>SUBCLASSABILITY1</v>
      </c>
      <c r="F673" s="76"/>
      <c r="G673" s="76"/>
      <c r="H673" s="76"/>
      <c r="I673" s="76"/>
      <c r="J673" s="76" t="str">
        <f t="array" ref="J673:J674">{"SUBCLASSABILITY1-L03PTS";((INDEX(ALLCLASSDATA,MATCH("SubclassAbility1-L03",CLASSFEATUREHEADERS,0),MATCH(($A674 &amp; "Points"),CLASSNAMEHEADERS,0))))}</f>
        <v>SUBCLASSABILITY1-L03PTS</v>
      </c>
      <c r="K673" s="76"/>
      <c r="L673" s="76" t="str">
        <f t="array" ref="L673:L674">{"SUBCLASSABILITY1-L05PTS";((INDEX(ALLCLASSDATA,MATCH("SubclassAbility1-L05",CLASSFEATUREHEADERS,0),MATCH(($A674 &amp; "Points"),CLASSNAMEHEADERS,0))))}</f>
        <v>SUBCLASSABILITY1-L05PTS</v>
      </c>
      <c r="M673" s="76"/>
      <c r="N673" s="76" t="str">
        <f t="array" ref="N673:N674">{"SUBCLASSABILITY1-L07PTS";((INDEX(ALLCLASSDATA,MATCH("SubclassAbility1-L07",CLASSFEATUREHEADERS,0),MATCH(($A674 &amp; "Points"),CLASSNAMEHEADERS,0))))}</f>
        <v>SUBCLASSABILITY1-L07PTS</v>
      </c>
      <c r="O673" s="76"/>
      <c r="P673" s="76" t="str">
        <f t="array" ref="P673:P674">{"SUBCLASSABILITY1-L09PTS";((INDEX(ALLCLASSDATA,MATCH("SubclassAbility1-L09",CLASSFEATUREHEADERS,0),MATCH(($A674 &amp; "Points"),CLASSNAMEHEADERS,0))))}</f>
        <v>SUBCLASSABILITY1-L09PTS</v>
      </c>
      <c r="Q673" s="76"/>
      <c r="R673" s="76" t="str">
        <f t="array" ref="R673:R674">{"SUBCLASSABILITY1-L11PTS";((INDEX(ALLCLASSDATA,MATCH("SubclassAbility1-L11",CLASSFEATUREHEADERS,0),MATCH(($A674 &amp; "Points"),CLASSNAMEHEADERS,0))))}</f>
        <v>SUBCLASSABILITY1-L11PTS</v>
      </c>
      <c r="S673" s="76"/>
      <c r="T673" s="76" t="str">
        <f t="array" ref="T673:T674">{"SUBCLASSABILITY1-L13PTS";((INDEX(ALLCLASSDATA,MATCH("SubclassAbility1-L13",CLASSFEATUREHEADERS,0),MATCH(($A674 &amp; "Points"),CLASSNAMEHEADERS,0))))}</f>
        <v>SUBCLASSABILITY1-L13PTS</v>
      </c>
      <c r="U673" s="76"/>
      <c r="V673" s="76" t="str">
        <f t="array" ref="V673:V674">{"SUBCLASSABILITY1-L15PTS";((INDEX(ALLCLASSDATA,MATCH("SubclassAbility1-L15",CLASSFEATUREHEADERS,0),MATCH(($A674 &amp; "Points"),CLASSNAMEHEADERS,0))))}</f>
        <v>SUBCLASSABILITY1-L15PTS</v>
      </c>
      <c r="W673" s="76"/>
      <c r="X673" s="76" t="str">
        <f t="array" ref="X673:X674">{"SUBCLASSABILITY1-L17PTS";((INDEX(ALLCLASSDATA,MATCH("SubclassAbility1-L17",CLASSFEATUREHEADERS,0),MATCH(($A674 &amp; "Points"),CLASSNAMEHEADERS,0))))}</f>
        <v>SUBCLASSABILITY1-L17PTS</v>
      </c>
      <c r="Y673" s="76"/>
      <c r="Z673" s="76" t="str">
        <f t="array" ref="Z673:Z674">{"SUBCLASSABILITY1-L19PTS";((INDEX(ALLCLASSDATA,MATCH("SubclassAbility1-L19",CLASSFEATUREHEADERS,0),MATCH(($A674 &amp; "Points"),CLASSNAMEHEADERS,0))))}</f>
        <v>SUBCLASSABILITY1-L19PTS</v>
      </c>
      <c r="AA673" s="76"/>
      <c r="AB673" s="76"/>
      <c r="AC673" s="76" t="str">
        <f t="array" ref="AC673:AC674">{"SUBCLASSABILITY1 TOTAL";(sum(G674:AA674))}</f>
        <v>SUBCLASSABILITY1 TOTAL</v>
      </c>
    </row>
    <row r="674">
      <c r="A674" s="48" t="s">
        <v>170</v>
      </c>
      <c r="B674" s="48"/>
      <c r="C674" s="48" t="s">
        <v>415</v>
      </c>
      <c r="D674" s="48" t="s">
        <v>930</v>
      </c>
      <c r="E674" s="28" t="s">
        <v>1355</v>
      </c>
      <c r="F674" s="5"/>
      <c r="G674" s="47"/>
      <c r="H674" s="5"/>
      <c r="I674" s="5"/>
      <c r="J674" s="5"/>
      <c r="K674" s="5"/>
      <c r="L674" s="5">
        <v>50.0</v>
      </c>
      <c r="M674" s="5"/>
      <c r="N674" s="5">
        <v>50.0</v>
      </c>
      <c r="O674" s="5"/>
      <c r="P674" s="5">
        <v>10.0</v>
      </c>
      <c r="Q674" s="5"/>
      <c r="R674" s="5">
        <v>50.0</v>
      </c>
      <c r="S674" s="5"/>
      <c r="T674" s="5"/>
      <c r="U674" s="5"/>
      <c r="V674" s="5">
        <v>50.0</v>
      </c>
      <c r="W674" s="5"/>
      <c r="X674" s="5">
        <v>70.0</v>
      </c>
      <c r="Y674" s="5"/>
      <c r="Z674" s="5"/>
      <c r="AA674" s="5"/>
      <c r="AB674" s="5"/>
      <c r="AC674" s="47">
        <v>280.0</v>
      </c>
    </row>
    <row r="675" hidden="1">
      <c r="A675" s="76" t="str">
        <f t="array" ref="A675:A676">{"FormulaRow18";(INDEX(CLASSLIST,A640,1))}</f>
        <v>FormulaRow18</v>
      </c>
      <c r="B675" s="77" t="s">
        <v>236</v>
      </c>
      <c r="C675" s="76" t="str">
        <f t="array" ref="C675:C676">{"CLASSTYPE";((INDEX(ALLCLASSDATA,MATCH("ClassType",CLASSFEATUREHEADERS,0),MATCH($A676,CLASSNAMEHEADERS,0))))}</f>
        <v>CLASSTYPE</v>
      </c>
      <c r="D675" s="76" t="str">
        <f t="array" ref="D675:D676">{"CLASSABILITY";"ClassAbility"}</f>
        <v>CLASSABILITY</v>
      </c>
      <c r="E675" s="76" t="str">
        <f t="array" ref="E675:E676">{"SUBCLASSABILITY2";"SubclassAbility2"}</f>
        <v>SUBCLASSABILITY2</v>
      </c>
      <c r="F675" s="76"/>
      <c r="G675" s="76"/>
      <c r="H675" s="76"/>
      <c r="I675" s="76"/>
      <c r="J675" s="76" t="str">
        <f t="array" ref="J675:J676">{"SUBCLASSABILITY2-L03";((INDEX(ALLCLASSDATA,MATCH("SubclassAbility2-L03",CLASSFEATUREHEADERS,0),MATCH(($A676),CLASSNAMEHEADERS,0))))}</f>
        <v>SUBCLASSABILITY2-L03</v>
      </c>
      <c r="K675" s="76"/>
      <c r="L675" s="76" t="str">
        <f t="array" ref="L675:L676">{"SUBCLASSABILITY2-L05";((INDEX(ALLCLASSDATA,MATCH("SubclassAbility2-L05",CLASSFEATUREHEADERS,0),MATCH(($A676),CLASSNAMEHEADERS,0))))}</f>
        <v>SUBCLASSABILITY2-L05</v>
      </c>
      <c r="M675" s="76"/>
      <c r="N675" s="76" t="str">
        <f t="array" ref="N675:N676">{"SUBCLASSABILITY2-L07";((INDEX(ALLCLASSDATA,MATCH("SubclassAbility2-L07",CLASSFEATUREHEADERS,0),MATCH(($A676),CLASSNAMEHEADERS,0))))}</f>
        <v>SUBCLASSABILITY2-L07</v>
      </c>
      <c r="O675" s="76"/>
      <c r="P675" s="76" t="str">
        <f t="array" ref="P675:P676">{"SUBCLASSABILITY2-L09";((INDEX(ALLCLASSDATA,MATCH("SubclassAbility2-L09",CLASSFEATUREHEADERS,0),MATCH(($A676),CLASSNAMEHEADERS,0))))}</f>
        <v>SUBCLASSABILITY2-L09</v>
      </c>
      <c r="Q675" s="76"/>
      <c r="R675" s="76" t="str">
        <f t="array" ref="R675:R676">{"SUBCLASSABILITY2-L11";((INDEX(ALLCLASSDATA,MATCH("SubclassAbility2-L11",CLASSFEATUREHEADERS,0),MATCH(($A676),CLASSNAMEHEADERS,0))))}</f>
        <v>SUBCLASSABILITY2-L11</v>
      </c>
      <c r="S675" s="76"/>
      <c r="T675" s="76" t="str">
        <f t="array" ref="T675:T676">{"SUBCLASSABILITY2-L13";((INDEX(ALLCLASSDATA,MATCH("SubclassAbility2-L13",CLASSFEATUREHEADERS,0),MATCH(($A676),CLASSNAMEHEADERS,0))))}</f>
        <v>SUBCLASSABILITY2-L13</v>
      </c>
      <c r="U675" s="76"/>
      <c r="V675" s="76" t="str">
        <f t="array" ref="V675:V676">{"SUBCLASSABILITY2-L15";((INDEX(ALLCLASSDATA,MATCH("SubclassAbility2-L15",CLASSFEATUREHEADERS,0),MATCH(($A676),CLASSNAMEHEADERS,0))))}</f>
        <v>SUBCLASSABILITY2-L15</v>
      </c>
      <c r="W675" s="76"/>
      <c r="X675" s="76" t="str">
        <f t="array" ref="X675:X676">{"SUBCLASSABILITY2-L17";((INDEX(ALLCLASSDATA,MATCH("SubclassAbility2-L17",CLASSFEATUREHEADERS,0),MATCH(($A676),CLASSNAMEHEADERS,0))))}</f>
        <v>SUBCLASSABILITY2-L17</v>
      </c>
      <c r="Y675" s="76"/>
      <c r="Z675" s="76" t="str">
        <f t="array" ref="Z675:Z676">{"SUBCLASSABILITY2-L19";((INDEX(ALLCLASSDATA,MATCH("SubclassAbility2-L19",CLASSFEATUREHEADERS,0),MATCH(($A676),CLASSNAMEHEADERS,0))))}</f>
        <v>SUBCLASSABILITY2-L19</v>
      </c>
      <c r="AA675" s="76"/>
      <c r="AB675" s="76"/>
      <c r="AC675" s="76"/>
    </row>
    <row r="676">
      <c r="A676" s="48" t="s">
        <v>170</v>
      </c>
      <c r="B676" s="48"/>
      <c r="C676" s="48" t="s">
        <v>415</v>
      </c>
      <c r="D676" s="48" t="s">
        <v>825</v>
      </c>
      <c r="E676" s="28" t="s">
        <v>1370</v>
      </c>
      <c r="F676" s="5"/>
      <c r="G676" s="47"/>
      <c r="H676" s="5"/>
      <c r="I676" s="5"/>
      <c r="J676" s="5"/>
      <c r="K676" s="5"/>
      <c r="L676" s="5" t="s">
        <v>1859</v>
      </c>
      <c r="M676" s="5"/>
      <c r="N676" s="5"/>
      <c r="O676" s="5"/>
      <c r="P676" s="5"/>
      <c r="Q676" s="5"/>
      <c r="R676" s="5"/>
      <c r="S676" s="5"/>
      <c r="T676" s="5"/>
      <c r="U676" s="5"/>
      <c r="V676" s="5"/>
      <c r="W676" s="5"/>
      <c r="X676" s="5"/>
      <c r="Y676" s="5"/>
      <c r="Z676" s="5"/>
      <c r="AA676" s="5"/>
      <c r="AB676" s="5"/>
      <c r="AC676" s="47"/>
    </row>
    <row r="677" hidden="1">
      <c r="A677" s="76" t="str">
        <f t="array" ref="A677:A678">{"FormulaRow19";(INDEX(CLASSLIST,A640,1))}</f>
        <v>FormulaRow19</v>
      </c>
      <c r="B677" s="77" t="s">
        <v>236</v>
      </c>
      <c r="C677" s="76" t="str">
        <f t="array" ref="C677:C678">{"CLASSTYPE";((INDEX(ALLCLASSDATA,MATCH("ClassType",CLASSFEATUREHEADERS,0),MATCH($A678,CLASSNAMEHEADERS,0))))}</f>
        <v>CLASSTYPE</v>
      </c>
      <c r="D677" s="76" t="str">
        <f t="array" ref="D677:D678">{"CLASSABILITYPTS";"ClassAbilityPts"}</f>
        <v>CLASSABILITYPTS</v>
      </c>
      <c r="E677" s="76" t="str">
        <f t="array" ref="E677:E678">{"SUBCLASSABILITY2";"SubclassAbility2"}</f>
        <v>SUBCLASSABILITY2</v>
      </c>
      <c r="F677" s="76"/>
      <c r="G677" s="76"/>
      <c r="H677" s="76"/>
      <c r="I677" s="76"/>
      <c r="J677" s="76" t="str">
        <f t="array" ref="J677:J678">{"SUBCLASSABILITY2-L03PTS";((INDEX(ALLCLASSDATA,MATCH("SubclassAbility2-L03",CLASSFEATUREHEADERS,0),MATCH(($A678 &amp; "Points"),CLASSNAMEHEADERS,0))))}</f>
        <v>SUBCLASSABILITY2-L03PTS</v>
      </c>
      <c r="K677" s="76"/>
      <c r="L677" s="76" t="str">
        <f t="array" ref="L677:L678">{"SUBCLASSABILITY2-L05PTS";((INDEX(ALLCLASSDATA,MATCH("SubclassAbility2-L05",CLASSFEATUREHEADERS,0),MATCH(($A678 &amp; "Points"),CLASSNAMEHEADERS,0))))}</f>
        <v>SUBCLASSABILITY2-L05PTS</v>
      </c>
      <c r="M677" s="76"/>
      <c r="N677" s="76" t="str">
        <f t="array" ref="N677:N678">{"SUBCLASSABILITY2-L07PTS";((INDEX(ALLCLASSDATA,MATCH("SubclassAbility2-L07",CLASSFEATUREHEADERS,0),MATCH(($A678 &amp; "Points"),CLASSNAMEHEADERS,0))))}</f>
        <v>SUBCLASSABILITY2-L07PTS</v>
      </c>
      <c r="O677" s="76"/>
      <c r="P677" s="76" t="str">
        <f t="array" ref="P677:P678">{"SUBCLASSABILITY2-L09PTS";((INDEX(ALLCLASSDATA,MATCH("SubclassAbility2-L09",CLASSFEATUREHEADERS,0),MATCH(($A678 &amp; "Points"),CLASSNAMEHEADERS,0))))}</f>
        <v>SUBCLASSABILITY2-L09PTS</v>
      </c>
      <c r="Q677" s="76"/>
      <c r="R677" s="76" t="str">
        <f t="array" ref="R677:R678">{"SUBCLASSABILITY2-L11PTS";((INDEX(ALLCLASSDATA,MATCH("SubclassAbility2-L11",CLASSFEATUREHEADERS,0),MATCH(($A678 &amp; "Points"),CLASSNAMEHEADERS,0))))}</f>
        <v>SUBCLASSABILITY2-L11PTS</v>
      </c>
      <c r="S677" s="76"/>
      <c r="T677" s="76" t="str">
        <f t="array" ref="T677:T678">{"SUBCLASSABILITY2-L13PTS";((INDEX(ALLCLASSDATA,MATCH("SubclassAbility2-L13",CLASSFEATUREHEADERS,0),MATCH(($A678 &amp; "Points"),CLASSNAMEHEADERS,0))))}</f>
        <v>SUBCLASSABILITY2-L13PTS</v>
      </c>
      <c r="U677" s="76"/>
      <c r="V677" s="76" t="str">
        <f t="array" ref="V677:V678">{"SUBCLASSABILITY2-L15PTS";((INDEX(ALLCLASSDATA,MATCH("SubclassAbility2-L15",CLASSFEATUREHEADERS,0),MATCH(($A678 &amp; "Points"),CLASSNAMEHEADERS,0))))}</f>
        <v>SUBCLASSABILITY2-L15PTS</v>
      </c>
      <c r="W677" s="76"/>
      <c r="X677" s="76" t="str">
        <f t="array" ref="X677:X678">{"SUBCLASSABILITY2-L17PTS";((INDEX(ALLCLASSDATA,MATCH("SubclassAbility2-L17",CLASSFEATUREHEADERS,0),MATCH(($A678 &amp; "Points"),CLASSNAMEHEADERS,0))))}</f>
        <v>SUBCLASSABILITY2-L17PTS</v>
      </c>
      <c r="Y677" s="76"/>
      <c r="Z677" s="76" t="str">
        <f t="array" ref="Z677:Z678">{"SUBCLASSABILITY2-L19PTS";((INDEX(ALLCLASSDATA,MATCH("SubclassAbility2-L19",CLASSFEATUREHEADERS,0),MATCH(($A678 &amp; "Points"),CLASSNAMEHEADERS,0))))}</f>
        <v>SUBCLASSABILITY2-L19PTS</v>
      </c>
      <c r="AA677" s="76"/>
      <c r="AB677" s="76"/>
      <c r="AC677" s="76" t="str">
        <f t="array" ref="AC677:AC678">{"SUBCLASSABILITY2 TOTAL";(sum(G678:AA678))}</f>
        <v>SUBCLASSABILITY2 TOTAL</v>
      </c>
    </row>
    <row r="678">
      <c r="A678" s="48" t="s">
        <v>170</v>
      </c>
      <c r="B678" s="48"/>
      <c r="C678" s="48" t="s">
        <v>415</v>
      </c>
      <c r="D678" s="97" t="s">
        <v>930</v>
      </c>
      <c r="E678" s="215" t="s">
        <v>1370</v>
      </c>
      <c r="F678" s="98"/>
      <c r="G678" s="132"/>
      <c r="H678" s="98"/>
      <c r="I678" s="98"/>
      <c r="J678" s="98"/>
      <c r="K678" s="98"/>
      <c r="L678" s="98">
        <v>10.0</v>
      </c>
      <c r="M678" s="98"/>
      <c r="N678" s="98"/>
      <c r="O678" s="98"/>
      <c r="P678" s="98"/>
      <c r="Q678" s="98"/>
      <c r="R678" s="98"/>
      <c r="S678" s="98"/>
      <c r="T678" s="98"/>
      <c r="U678" s="98"/>
      <c r="V678" s="98"/>
      <c r="W678" s="98"/>
      <c r="X678" s="98"/>
      <c r="Y678" s="98"/>
      <c r="Z678" s="98"/>
      <c r="AA678" s="98"/>
      <c r="AB678" s="5"/>
      <c r="AC678" s="47">
        <v>10.0</v>
      </c>
    </row>
    <row r="679" hidden="1">
      <c r="A679" s="76" t="str">
        <f t="array" ref="A679:A680">{"FormulaRow20";(INDEX(CLASSLIST,A640,1))}</f>
        <v>FormulaRow20</v>
      </c>
      <c r="B679" s="77" t="s">
        <v>236</v>
      </c>
      <c r="C679" s="76" t="str">
        <f t="array" ref="C679:C680">{"CLASSTYPE";((INDEX(ALLCLASSDATA,MATCH("ClassType",CLASSFEATUREHEADERS,0),MATCH($A680,CLASSNAMEHEADERS,0))))}</f>
        <v>CLASSTYPE</v>
      </c>
      <c r="D679" s="81" t="str">
        <f t="array" ref="D679:D680">{"DC";"DC"}</f>
        <v>DC</v>
      </c>
      <c r="E679" s="81" t="str">
        <f t="array" ref="E679:E680">{"CLASSDC";"ClassDC"}</f>
        <v>CLASSDC</v>
      </c>
      <c r="F679" s="81" t="str">
        <f t="array" ref="F679:F680">{"CLASSDCINITIAL";((IF(H680=10,"T",(IF(H680=50,"E","")))))}</f>
        <v>CLASSDCINITIAL</v>
      </c>
      <c r="G679" s="81" t="str">
        <f t="array" ref="G679:G680">{"CLASSDCINITIALPTS";((IF("00"=(INDEX(ALLCLASSDATA,MATCH("ClassDCLegendary",CLASSFEATUREHEADERS,0),MATCH($A680,CLASSNAMEHEADERS,0))),(INDEX(ALLCLASSDATA,MATCH("ClassDCLegendary",CLASSFEATUREHEADERS,0),MATCH(($A680 &amp; "Points"),CLASSNAMEHEADERS,0))),(IF("00"=(INDEX(ALLCLASSDATA,MATCH("ClassDCMaster",CLASSFEATUREHEADERS,0),MATCH($A680,CLASSNAMEHEADERS,0))),(INDEX(ALLCLASSDATA,MATCH("ClassDCMaster",CLASSFEATUREHEADERS,0),MATCH(($A680 &amp; "Points"),CLASSNAMEHEADERS,0))),(IF("00"=(INDEX(ALLCLASSDATA,MATCH("ClassDCExpert",CLASSFEATUREHEADERS,0),MATCH($A680,CLASSNAMEHEADERS,0))),(INDEX(ALLCLASSDATA,MATCH("ClassDCExpert",CLASSFEATUREHEADERS,0),MATCH(($A680 &amp; "Points"),CLASSNAMEHEADERS,0))),(IF("00"=(INDEX(ALLCLASSDATA,MATCH("ClassDCTrained",CLASSFEATUREHEADERS,0),MATCH($A680,CLASSNAMEHEADERS,0))),(INDEX(ALLCLASSDATA,MATCH("ClassDCTrained",CLASSFEATUREHEADERS,0),MATCH(($A680 &amp; "Points"),CLASSNAMEHEADERS,0))),"")))))))))}</f>
        <v>CLASSDCINITIALPTS</v>
      </c>
      <c r="H679" s="81" t="str">
        <f t="array" ref="H679:H680">{"CLASSDCL01";((IF("01"=(INDEX(ALLCLASSDATA,MATCH("ClassDCLegendary",CLASSFEATUREHEADERS,0),MATCH($A680,CLASSNAMEHEADERS,0))),(INDEX(ALLCLASSDATA,MATCH("ClassDCLegendary",CLASSFEATUREHEADERS,0),MATCH(($A680 &amp; "Points"),CLASSNAMEHEADERS,0))),(IF("01"=(INDEX(ALLCLASSDATA,MATCH("ClassDCMaster",CLASSFEATUREHEADERS,0),MATCH($A680,CLASSNAMEHEADERS,0))),(INDEX(ALLCLASSDATA,MATCH("ClassDCMaster",CLASSFEATUREHEADERS,0),MATCH(($A680 &amp; "Points"),CLASSNAMEHEADERS,0))),(IF("01"=(INDEX(ALLCLASSDATA,MATCH("ClassDCExpert",CLASSFEATUREHEADERS,0),MATCH($A680,CLASSNAMEHEADERS,0))),(INDEX(ALLCLASSDATA,MATCH("ClassDCExpert",CLASSFEATUREHEADERS,0),MATCH(($A680 &amp; "Points"),CLASSNAMEHEADERS,0))),(IF("01"=(INDEX(ALLCLASSDATA,MATCH("ClassDCTrained",CLASSFEATUREHEADERS,0),MATCH($A680,CLASSNAMEHEADERS,0))),(INDEX(ALLCLASSDATA,MATCH("ClassDCTrained",CLASSFEATUREHEADERS,0),MATCH(($A680 &amp; "Points"),CLASSNAMEHEADERS,0))),"")))))))))}</f>
        <v>CLASSDCL01</v>
      </c>
      <c r="I679" s="81"/>
      <c r="J679" s="81" t="str">
        <f t="array" ref="J679:J680">{"CLASSDCL03";((IF("03"=(INDEX(ALLCLASSDATA,MATCH("ClassDCLegendary",CLASSFEATUREHEADERS,0),MATCH($A680,CLASSNAMEHEADERS,0))),(INDEX(ALLCLASSDATA,MATCH("ClassDCLegendary",CLASSFEATUREHEADERS,0),MATCH(($A680 &amp; "Points"),CLASSNAMEHEADERS,0))),(IF("03"=(INDEX(ALLCLASSDATA,MATCH("ClassDCMaster",CLASSFEATUREHEADERS,0),MATCH($A680,CLASSNAMEHEADERS,0))),(INDEX(ALLCLASSDATA,MATCH("ClassDCMaster",CLASSFEATUREHEADERS,0),MATCH(($A680 &amp; "Points"),CLASSNAMEHEADERS,0))),(IF("03"=(INDEX(ALLCLASSDATA,MATCH("ClassDCExpert",CLASSFEATUREHEADERS,0),MATCH($A680,CLASSNAMEHEADERS,0))),(INDEX(ALLCLASSDATA,MATCH("ClassDCExpert",CLASSFEATUREHEADERS,0),MATCH(($A680 &amp; "Points"),CLASSNAMEHEADERS,0))),(IF("03"=(INDEX(ALLCLASSDATA,MATCH("ClassDCTrained",CLASSFEATUREHEADERS,0),MATCH($A680,CLASSNAMEHEADERS,0))),(INDEX(ALLCLASSDATA,MATCH("ClassDCTrained",CLASSFEATUREHEADERS,0),MATCH(($A680 &amp; "Points"),CLASSNAMEHEADERS,0))),"")))))))))}</f>
        <v>CLASSDCL03</v>
      </c>
      <c r="K679" s="81"/>
      <c r="L679" s="81" t="str">
        <f t="array" ref="L679:L680">{"CLASSDCL05";((IF("05"=(INDEX(ALLCLASSDATA,MATCH("ClassDCLegendary",CLASSFEATUREHEADERS,0),MATCH($A680,CLASSNAMEHEADERS,0))),(INDEX(ALLCLASSDATA,MATCH("ClassDCLegendary",CLASSFEATUREHEADERS,0),MATCH(($A680 &amp; "Points"),CLASSNAMEHEADERS,0))),(IF("05"=(INDEX(ALLCLASSDATA,MATCH("ClassDCMaster",CLASSFEATUREHEADERS,0),MATCH($A680,CLASSNAMEHEADERS,0))),(INDEX(ALLCLASSDATA,MATCH("ClassDCMaster",CLASSFEATUREHEADERS,0),MATCH(($A680 &amp; "Points"),CLASSNAMEHEADERS,0))),(IF("05"=(INDEX(ALLCLASSDATA,MATCH("ClassDCExpert",CLASSFEATUREHEADERS,0),MATCH($A680,CLASSNAMEHEADERS,0))),(INDEX(ALLCLASSDATA,MATCH("ClassDCExpert",CLASSFEATUREHEADERS,0),MATCH(($A680 &amp; "Points"),CLASSNAMEHEADERS,0))),(IF("05"=(INDEX(ALLCLASSDATA,MATCH("ClassDCTrained",CLASSFEATUREHEADERS,0),MATCH($A680,CLASSNAMEHEADERS,0))),(INDEX(ALLCLASSDATA,MATCH("ClassDCTrained",CLASSFEATUREHEADERS,0),MATCH(($A680 &amp; "Points"),CLASSNAMEHEADERS,0))),"")))))))))}</f>
        <v>CLASSDCL05</v>
      </c>
      <c r="M679" s="81"/>
      <c r="N679" s="81" t="str">
        <f t="array" ref="N679:N680">{"CLASSDCL07";((IF("07"=(INDEX(ALLCLASSDATA,MATCH("ClassDCLegendary",CLASSFEATUREHEADERS,0),MATCH($A680,CLASSNAMEHEADERS,0))),(INDEX(ALLCLASSDATA,MATCH("ClassDCLegendary",CLASSFEATUREHEADERS,0),MATCH(($A680 &amp; "Points"),CLASSNAMEHEADERS,0))),(IF("07"=(INDEX(ALLCLASSDATA,MATCH("ClassDCMaster",CLASSFEATUREHEADERS,0),MATCH($A680,CLASSNAMEHEADERS,0))),(INDEX(ALLCLASSDATA,MATCH("ClassDCMaster",CLASSFEATUREHEADERS,0),MATCH(($A680 &amp; "Points"),CLASSNAMEHEADERS,0))),(IF("07"=(INDEX(ALLCLASSDATA,MATCH("ClassDCExpert",CLASSFEATUREHEADERS,0),MATCH($A680,CLASSNAMEHEADERS,0))),(INDEX(ALLCLASSDATA,MATCH("ClassDCExpert",CLASSFEATUREHEADERS,0),MATCH(($A680 &amp; "Points"),CLASSNAMEHEADERS,0))),(IF("07"=(INDEX(ALLCLASSDATA,MATCH("ClassDCTrained",CLASSFEATUREHEADERS,0),MATCH($A680,CLASSNAMEHEADERS,0))),(INDEX(ALLCLASSDATA,MATCH("ClassDCTrained",CLASSFEATUREHEADERS,0),MATCH(($A680 &amp; "Points"),CLASSNAMEHEADERS,0))),"")))))))))}</f>
        <v>CLASSDCL07</v>
      </c>
      <c r="O679" s="81"/>
      <c r="P679" s="81" t="str">
        <f t="array" ref="P679:P680">{"CLASSDCL09";((IF("09"=(INDEX(ALLCLASSDATA,MATCH("ClassDCLegendary",CLASSFEATUREHEADERS,0),MATCH($A680,CLASSNAMEHEADERS,0))),(INDEX(ALLCLASSDATA,MATCH("ClassDCLegendary",CLASSFEATUREHEADERS,0),MATCH(($A680 &amp; "Points"),CLASSNAMEHEADERS,0))),(IF("09"=(INDEX(ALLCLASSDATA,MATCH("ClassDCMaster",CLASSFEATUREHEADERS,0),MATCH($A680,CLASSNAMEHEADERS,0))),(INDEX(ALLCLASSDATA,MATCH("ClassDCMaster",CLASSFEATUREHEADERS,0),MATCH(($A680 &amp; "Points"),CLASSNAMEHEADERS,0))),(IF("09"=(INDEX(ALLCLASSDATA,MATCH("ClassDCExpert",CLASSFEATUREHEADERS,0),MATCH($A680,CLASSNAMEHEADERS,0))),(INDEX(ALLCLASSDATA,MATCH("ClassDCExpert",CLASSFEATUREHEADERS,0),MATCH(($A680 &amp; "Points"),CLASSNAMEHEADERS,0))),(IF("09"=(INDEX(ALLCLASSDATA,MATCH("ClassDCTrained",CLASSFEATUREHEADERS,0),MATCH($A680,CLASSNAMEHEADERS,0))),(INDEX(ALLCLASSDATA,MATCH("ClassDCTrained",CLASSFEATUREHEADERS,0),MATCH(($A680 &amp; "Points"),CLASSNAMEHEADERS,0))),"")))))))))}</f>
        <v>CLASSDCL09</v>
      </c>
      <c r="Q679" s="81"/>
      <c r="R679" s="81" t="str">
        <f t="array" ref="R679:R680">{"CLASSDCL11";((IF("11"=(INDEX(ALLCLASSDATA,MATCH("ClassDCLegendary",CLASSFEATUREHEADERS,0),MATCH($A680,CLASSNAMEHEADERS,0))),(INDEX(ALLCLASSDATA,MATCH("ClassDCLegendary",CLASSFEATUREHEADERS,0),MATCH(($A680 &amp; "Points"),CLASSNAMEHEADERS,0))),(IF("11"=(INDEX(ALLCLASSDATA,MATCH("ClassDCMaster",CLASSFEATUREHEADERS,0),MATCH($A680,CLASSNAMEHEADERS,0))),(INDEX(ALLCLASSDATA,MATCH("ClassDCMaster",CLASSFEATUREHEADERS,0),MATCH(($A680 &amp; "Points"),CLASSNAMEHEADERS,0))),(IF("11"=(INDEX(ALLCLASSDATA,MATCH("ClassDCExpert",CLASSFEATUREHEADERS,0),MATCH($A680,CLASSNAMEHEADERS,0))),(INDEX(ALLCLASSDATA,MATCH("ClassDCExpert",CLASSFEATUREHEADERS,0),MATCH(($A680 &amp; "Points"),CLASSNAMEHEADERS,0))),(IF("11"=(INDEX(ALLCLASSDATA,MATCH("ClassDCTrained",CLASSFEATUREHEADERS,0),MATCH($A680,CLASSNAMEHEADERS,0))),(INDEX(ALLCLASSDATA,MATCH("ClassDCTrained",CLASSFEATUREHEADERS,0),MATCH(($A680 &amp; "Points"),CLASSNAMEHEADERS,0))),"")))))))))}</f>
        <v>CLASSDCL11</v>
      </c>
      <c r="S679" s="81"/>
      <c r="T679" s="81" t="str">
        <f t="array" ref="T679:T680">{"CLASSDCL13";((IF("13"=(INDEX(ALLCLASSDATA,MATCH("ClassDCLegendary",CLASSFEATUREHEADERS,0),MATCH($A680,CLASSNAMEHEADERS,0))),(INDEX(ALLCLASSDATA,MATCH("ClassDCLegendary",CLASSFEATUREHEADERS,0),MATCH(($A680 &amp; "Points"),CLASSNAMEHEADERS,0))),(IF("13"=(INDEX(ALLCLASSDATA,MATCH("ClassDCMaster",CLASSFEATUREHEADERS,0),MATCH($A680,CLASSNAMEHEADERS,0))),(INDEX(ALLCLASSDATA,MATCH("ClassDCMaster",CLASSFEATUREHEADERS,0),MATCH(($A680 &amp; "Points"),CLASSNAMEHEADERS,0))),(IF("13"=(INDEX(ALLCLASSDATA,MATCH("ClassDCExpert",CLASSFEATUREHEADERS,0),MATCH($A680,CLASSNAMEHEADERS,0))),(INDEX(ALLCLASSDATA,MATCH("ClassDCExpert",CLASSFEATUREHEADERS,0),MATCH(($A680 &amp; "Points"),CLASSNAMEHEADERS,0))),(IF("13"=(INDEX(ALLCLASSDATA,MATCH("ClassDCTrained",CLASSFEATUREHEADERS,0),MATCH($A680,CLASSNAMEHEADERS,0))),(INDEX(ALLCLASSDATA,MATCH("ClassDCTrained",CLASSFEATUREHEADERS,0),MATCH(($A680 &amp; "Points"),CLASSNAMEHEADERS,0))),"")))))))))}</f>
        <v>CLASSDCL13</v>
      </c>
      <c r="U679" s="81"/>
      <c r="V679" s="81" t="str">
        <f t="array" ref="V679:V680">{"CLASSDCL15";((IF("15"=(INDEX(ALLCLASSDATA,MATCH("ClassDCLegendary",CLASSFEATUREHEADERS,0),MATCH($A680,CLASSNAMEHEADERS,0))),(INDEX(ALLCLASSDATA,MATCH("ClassDCLegendary",CLASSFEATUREHEADERS,0),MATCH(($A680 &amp; "Points"),CLASSNAMEHEADERS,0))),(IF("15"=(INDEX(ALLCLASSDATA,MATCH("ClassDCMaster",CLASSFEATUREHEADERS,0),MATCH($A680,CLASSNAMEHEADERS,0))),(INDEX(ALLCLASSDATA,MATCH("ClassDCMaster",CLASSFEATUREHEADERS,0),MATCH(($A680 &amp; "Points"),CLASSNAMEHEADERS,0))),(IF("15"=(INDEX(ALLCLASSDATA,MATCH("ClassDCExpert",CLASSFEATUREHEADERS,0),MATCH($A680,CLASSNAMEHEADERS,0))),(INDEX(ALLCLASSDATA,MATCH("ClassDCExpert",CLASSFEATUREHEADERS,0),MATCH(($A680 &amp; "Points"),CLASSNAMEHEADERS,0))),(IF("15"=(INDEX(ALLCLASSDATA,MATCH("ClassDCTrained",CLASSFEATUREHEADERS,0),MATCH($A680,CLASSNAMEHEADERS,0))),(INDEX(ALLCLASSDATA,MATCH("ClassDCTrained",CLASSFEATUREHEADERS,0),MATCH(($A680 &amp; "Points"),CLASSNAMEHEADERS,0))),"")))))))))}</f>
        <v>CLASSDCL15</v>
      </c>
      <c r="W679" s="81"/>
      <c r="X679" s="81" t="str">
        <f t="array" ref="X679:X680">{"CLASSDCL17";((IF("17"=(INDEX(ALLCLASSDATA,MATCH("ClassDCLegendary",CLASSFEATUREHEADERS,0),MATCH($A680,CLASSNAMEHEADERS,0))),(INDEX(ALLCLASSDATA,MATCH("ClassDCLegendary",CLASSFEATUREHEADERS,0),MATCH(($A680 &amp; "Points"),CLASSNAMEHEADERS,0))),(IF("17"=(INDEX(ALLCLASSDATA,MATCH("ClassDCMaster",CLASSFEATUREHEADERS,0),MATCH($A680,CLASSNAMEHEADERS,0))),(INDEX(ALLCLASSDATA,MATCH("ClassDCMaster",CLASSFEATUREHEADERS,0),MATCH(($A680 &amp; "Points"),CLASSNAMEHEADERS,0))),(IF("17"=(INDEX(ALLCLASSDATA,MATCH("ClassDCExpert",CLASSFEATUREHEADERS,0),MATCH($A680,CLASSNAMEHEADERS,0))),(INDEX(ALLCLASSDATA,MATCH("ClassDCExpert",CLASSFEATUREHEADERS,0),MATCH(($A680 &amp; "Points"),CLASSNAMEHEADERS,0))),(IF("17"=(INDEX(ALLCLASSDATA,MATCH("ClassDCTrained",CLASSFEATUREHEADERS,0),MATCH($A680,CLASSNAMEHEADERS,0))),(INDEX(ALLCLASSDATA,MATCH("ClassDCTrained",CLASSFEATUREHEADERS,0),MATCH(($A680 &amp; "Points"),CLASSNAMEHEADERS,0))),"")))))))))}</f>
        <v>CLASSDCL17</v>
      </c>
      <c r="Y679" s="81"/>
      <c r="Z679" s="81" t="str">
        <f t="array" ref="Z679:Z680">{"CLASSDCL19";((IF("19"=(INDEX(ALLCLASSDATA,MATCH("ClassDCLegendary",CLASSFEATUREHEADERS,0),MATCH($A680,CLASSNAMEHEADERS,0))),(INDEX(ALLCLASSDATA,MATCH("ClassDCLegendary",CLASSFEATUREHEADERS,0),MATCH(($A680 &amp; "Points"),CLASSNAMEHEADERS,0))),(IF("19"=(INDEX(ALLCLASSDATA,MATCH("ClassDCMaster",CLASSFEATUREHEADERS,0),MATCH($A680,CLASSNAMEHEADERS,0))),(INDEX(ALLCLASSDATA,MATCH("ClassDCMaster",CLASSFEATUREHEADERS,0),MATCH(($A680 &amp; "Points"),CLASSNAMEHEADERS,0))),(IF("19"=(INDEX(ALLCLASSDATA,MATCH("ClassDCExpert",CLASSFEATUREHEADERS,0),MATCH($A680,CLASSNAMEHEADERS,0))),(INDEX(ALLCLASSDATA,MATCH("ClassDCExpert",CLASSFEATUREHEADERS,0),MATCH(($A680 &amp; "Points"),CLASSNAMEHEADERS,0))),(IF("19"=(INDEX(ALLCLASSDATA,MATCH("ClassDCTrained",CLASSFEATUREHEADERS,0),MATCH($A680,CLASSNAMEHEADERS,0))),(INDEX(ALLCLASSDATA,MATCH("ClassDCTrained",CLASSFEATUREHEADERS,0),MATCH(($A680 &amp; "Points"),CLASSNAMEHEADERS,0))),"")))))))))}</f>
        <v>CLASSDCL19</v>
      </c>
      <c r="AA679" s="81"/>
      <c r="AB679" s="76" t="str">
        <f t="array" ref="AB679:AB680">{"CLASSDC TOTAL";(IF(COUNTBLANK(G680:AA680)=17,"L",(IF(COUNTBLANK(G680:AA680)=18,"M",(IF(COUNTBLANK(G680:AA680)=19,"E",(IF(COUNTBLANK(G680:AA680)=20,"T",""))))))))}</f>
        <v>CLASSDC TOTAL</v>
      </c>
      <c r="AC679" s="76" t="str">
        <f t="array" ref="AC679:AC680">{"CLASSDC TOTAL";(sum(G680:AA680))}</f>
        <v>CLASSDC TOTAL</v>
      </c>
    </row>
    <row r="680">
      <c r="A680" s="48" t="s">
        <v>170</v>
      </c>
      <c r="B680" s="48"/>
      <c r="C680" s="48" t="s">
        <v>415</v>
      </c>
      <c r="D680" s="48" t="s">
        <v>1465</v>
      </c>
      <c r="E680" s="48" t="s">
        <v>1466</v>
      </c>
      <c r="F680" s="5" t="s">
        <v>435</v>
      </c>
      <c r="G680" s="47" t="s">
        <v>603</v>
      </c>
      <c r="H680" s="5">
        <v>10.0</v>
      </c>
      <c r="I680" s="5"/>
      <c r="J680" s="5" t="s">
        <v>603</v>
      </c>
      <c r="K680" s="5"/>
      <c r="L680" s="5" t="s">
        <v>603</v>
      </c>
      <c r="M680" s="5"/>
      <c r="N680" s="5" t="s">
        <v>603</v>
      </c>
      <c r="O680" s="5"/>
      <c r="P680" s="5">
        <v>50.0</v>
      </c>
      <c r="Q680" s="5"/>
      <c r="R680" s="5" t="s">
        <v>603</v>
      </c>
      <c r="S680" s="5"/>
      <c r="T680" s="5" t="s">
        <v>603</v>
      </c>
      <c r="U680" s="5"/>
      <c r="V680" s="5" t="s">
        <v>603</v>
      </c>
      <c r="W680" s="5"/>
      <c r="X680" s="5">
        <v>110.0</v>
      </c>
      <c r="Y680" s="5"/>
      <c r="Z680" s="5" t="s">
        <v>603</v>
      </c>
      <c r="AA680" s="5"/>
      <c r="AB680" s="5" t="s">
        <v>437</v>
      </c>
      <c r="AC680" s="47">
        <v>170.0</v>
      </c>
    </row>
    <row r="681" hidden="1">
      <c r="A681" s="222" t="str">
        <f t="array" ref="A681:A682">{"FormulaRow21";(INDEX(CLASSLIST,A640,1))}</f>
        <v>FormulaRow21</v>
      </c>
      <c r="B681" s="77" t="s">
        <v>236</v>
      </c>
      <c r="C681" s="222" t="str">
        <f t="array" ref="C681:C682">{"CLASSTYPE";((INDEX(ALLCLASSDATA,MATCH("ClassType",CLASSFEATUREHEADERS,0),MATCH($A682,CLASSNAMEHEADERS,0))))}</f>
        <v>CLASSTYPE</v>
      </c>
      <c r="D681" s="222" t="str">
        <f t="array" ref="D681:D682">{"DC";"DC"}</f>
        <v>DC</v>
      </c>
      <c r="E681" s="222" t="str">
        <f t="array" ref="E681:E682">{"SPELLDC";"SpellDC"}</f>
        <v>SPELLDC</v>
      </c>
      <c r="F681" s="223" t="str">
        <f t="array" ref="F681:F682">{"SPELLDCINITIAL";((IF(H682=10,"T",(IF(H682=50,"E","")))))}</f>
        <v>SPELLDCINITIAL</v>
      </c>
      <c r="G681" s="223" t="str">
        <f t="array" ref="G681:G682">{"SPELLDCINITIALPTS";((IF("00"=(INDEX(ALLCLASSDATA,MATCH("SpellDCLegendary",CLASSFEATUREHEADERS,0),MATCH($A682,CLASSNAMEHEADERS,0))),(INDEX(ALLCLASSDATA,MATCH("SpellDCLegendary",CLASSFEATUREHEADERS,0),MATCH(($A682 &amp; "Points"),CLASSNAMEHEADERS,0))),(IF("00"=(INDEX(ALLCLASSDATA,MATCH("SpellDCMaster",CLASSFEATUREHEADERS,0),MATCH($A682,CLASSNAMEHEADERS,0))),(INDEX(ALLCLASSDATA,MATCH("SpellDCMaster",CLASSFEATUREHEADERS,0),MATCH(($A682 &amp; "Points"),CLASSNAMEHEADERS,0))),(IF("00"=(INDEX(ALLCLASSDATA,MATCH("SpellDCExpert",CLASSFEATUREHEADERS,0),MATCH($A682,CLASSNAMEHEADERS,0))),(INDEX(ALLCLASSDATA,MATCH("SpellDCExpert",CLASSFEATUREHEADERS,0),MATCH(($A682 &amp; "Points"),CLASSNAMEHEADERS,0))),(IF("00"=(INDEX(ALLCLASSDATA,MATCH("SpellDCTrained",CLASSFEATUREHEADERS,0),MATCH($A682,CLASSNAMEHEADERS,0))),(INDEX(ALLCLASSDATA,MATCH("SpellDCTrained",CLASSFEATUREHEADERS,0),MATCH(($A682 &amp; "Points"),CLASSNAMEHEADERS,0))),"")))))))))}</f>
        <v>SPELLDCINITIALPTS</v>
      </c>
      <c r="H681" s="223" t="str">
        <f t="array" ref="H681:H682">{"SPELLDCL01";((IF("01"=(INDEX(ALLCLASSDATA,MATCH("SpellDCLegendary",CLASSFEATUREHEADERS,0),MATCH($A682,CLASSNAMEHEADERS,0))),(INDEX(ALLCLASSDATA,MATCH("SpellDCLegendary",CLASSFEATUREHEADERS,0),MATCH(($A682 &amp; "Points"),CLASSNAMEHEADERS,0))),(IF("01"=(INDEX(ALLCLASSDATA,MATCH("SpellDCMaster",CLASSFEATUREHEADERS,0),MATCH($A682,CLASSNAMEHEADERS,0))),(INDEX(ALLCLASSDATA,MATCH("SpellDCMaster",CLASSFEATUREHEADERS,0),MATCH(($A682 &amp; "Points"),CLASSNAMEHEADERS,0))),(IF("01"=(INDEX(ALLCLASSDATA,MATCH("SpellDCExpert",CLASSFEATUREHEADERS,0),MATCH($A682,CLASSNAMEHEADERS,0))),(INDEX(ALLCLASSDATA,MATCH("SpellDCExpert",CLASSFEATUREHEADERS,0),MATCH(($A682 &amp; "Points"),CLASSNAMEHEADERS,0))),(IF("01"=(INDEX(ALLCLASSDATA,MATCH("SpellDCTrained",CLASSFEATUREHEADERS,0),MATCH($A682,CLASSNAMEHEADERS,0))),(INDEX(ALLCLASSDATA,MATCH("SpellDCTrained",CLASSFEATUREHEADERS,0),MATCH(($A682 &amp; "Points"),CLASSNAMEHEADERS,0))),"")))))))))}</f>
        <v>SPELLDCL01</v>
      </c>
      <c r="I681" s="223"/>
      <c r="J681" s="223" t="str">
        <f t="array" ref="J681:J682">{"SPELLDCL03";((IF("03"=(INDEX(ALLCLASSDATA,MATCH("SpellDCLegendary",CLASSFEATUREHEADERS,0),MATCH($A682,CLASSNAMEHEADERS,0))),(INDEX(ALLCLASSDATA,MATCH("SpellDCLegendary",CLASSFEATUREHEADERS,0),MATCH(($A682 &amp; "Points"),CLASSNAMEHEADERS,0))),(IF("03"=(INDEX(ALLCLASSDATA,MATCH("SpellDCMaster",CLASSFEATUREHEADERS,0),MATCH($A682,CLASSNAMEHEADERS,0))),(INDEX(ALLCLASSDATA,MATCH("SpellDCMaster",CLASSFEATUREHEADERS,0),MATCH(($A682 &amp; "Points"),CLASSNAMEHEADERS,0))),(IF("03"=(INDEX(ALLCLASSDATA,MATCH("SpellDCExpert",CLASSFEATUREHEADERS,0),MATCH($A682,CLASSNAMEHEADERS,0))),(INDEX(ALLCLASSDATA,MATCH("SpellDCExpert",CLASSFEATUREHEADERS,0),MATCH(($A682 &amp; "Points"),CLASSNAMEHEADERS,0))),(IF("03"=(INDEX(ALLCLASSDATA,MATCH("SpellDCTrained",CLASSFEATUREHEADERS,0),MATCH($A682,CLASSNAMEHEADERS,0))),(INDEX(ALLCLASSDATA,MATCH("SpellDCTrained",CLASSFEATUREHEADERS,0),MATCH(($A682 &amp; "Points"),CLASSNAMEHEADERS,0))),"")))))))))}</f>
        <v>SPELLDCL03</v>
      </c>
      <c r="K681" s="223"/>
      <c r="L681" s="223" t="str">
        <f t="array" ref="L681:L682">{"SPELLDCL05";((IF("05"=(INDEX(ALLCLASSDATA,MATCH("SpellDCLegendary",CLASSFEATUREHEADERS,0),MATCH($A682,CLASSNAMEHEADERS,0))),(INDEX(ALLCLASSDATA,MATCH("SpellDCLegendary",CLASSFEATUREHEADERS,0),MATCH(($A682 &amp; "Points"),CLASSNAMEHEADERS,0))),(IF("05"=(INDEX(ALLCLASSDATA,MATCH("SpellDCMaster",CLASSFEATUREHEADERS,0),MATCH($A682,CLASSNAMEHEADERS,0))),(INDEX(ALLCLASSDATA,MATCH("SpellDCMaster",CLASSFEATUREHEADERS,0),MATCH(($A682 &amp; "Points"),CLASSNAMEHEADERS,0))),(IF("05"=(INDEX(ALLCLASSDATA,MATCH("SpellDCExpert",CLASSFEATUREHEADERS,0),MATCH($A682,CLASSNAMEHEADERS,0))),(INDEX(ALLCLASSDATA,MATCH("SpellDCExpert",CLASSFEATUREHEADERS,0),MATCH(($A682 &amp; "Points"),CLASSNAMEHEADERS,0))),(IF("05"=(INDEX(ALLCLASSDATA,MATCH("SpellDCTrained",CLASSFEATUREHEADERS,0),MATCH($A682,CLASSNAMEHEADERS,0))),(INDEX(ALLCLASSDATA,MATCH("SpellDCTrained",CLASSFEATUREHEADERS,0),MATCH(($A682 &amp; "Points"),CLASSNAMEHEADERS,0))),"")))))))))}</f>
        <v>SPELLDCL05</v>
      </c>
      <c r="M681" s="223"/>
      <c r="N681" s="223" t="str">
        <f t="array" ref="N681:N682">{"SPELLDCL07";((IF("07"=(INDEX(ALLCLASSDATA,MATCH("SpellDCLegendary",CLASSFEATUREHEADERS,0),MATCH($A682,CLASSNAMEHEADERS,0))),(INDEX(ALLCLASSDATA,MATCH("SpellDCLegendary",CLASSFEATUREHEADERS,0),MATCH(($A682 &amp; "Points"),CLASSNAMEHEADERS,0))),(IF("07"=(INDEX(ALLCLASSDATA,MATCH("SpellDCMaster",CLASSFEATUREHEADERS,0),MATCH($A682,CLASSNAMEHEADERS,0))),(INDEX(ALLCLASSDATA,MATCH("SpellDCMaster",CLASSFEATUREHEADERS,0),MATCH(($A682 &amp; "Points"),CLASSNAMEHEADERS,0))),(IF("07"=(INDEX(ALLCLASSDATA,MATCH("SpellDCExpert",CLASSFEATUREHEADERS,0),MATCH($A682,CLASSNAMEHEADERS,0))),(INDEX(ALLCLASSDATA,MATCH("SpellDCExpert",CLASSFEATUREHEADERS,0),MATCH(($A682 &amp; "Points"),CLASSNAMEHEADERS,0))),(IF("07"=(INDEX(ALLCLASSDATA,MATCH("SpellDCTrained",CLASSFEATUREHEADERS,0),MATCH($A682,CLASSNAMEHEADERS,0))),(INDEX(ALLCLASSDATA,MATCH("SpellDCTrained",CLASSFEATUREHEADERS,0),MATCH(($A682 &amp; "Points"),CLASSNAMEHEADERS,0))),"")))))))))}</f>
        <v>SPELLDCL07</v>
      </c>
      <c r="O681" s="223"/>
      <c r="P681" s="223" t="str">
        <f t="array" ref="P681:P682">{"SPELLDCL09";((IF("09"=(INDEX(ALLCLASSDATA,MATCH("SpellDCLegendary",CLASSFEATUREHEADERS,0),MATCH($A682,CLASSNAMEHEADERS,0))),(INDEX(ALLCLASSDATA,MATCH("SpellDCLegendary",CLASSFEATUREHEADERS,0),MATCH(($A682 &amp; "Points"),CLASSNAMEHEADERS,0))),(IF("09"=(INDEX(ALLCLASSDATA,MATCH("SpellDCMaster",CLASSFEATUREHEADERS,0),MATCH($A682,CLASSNAMEHEADERS,0))),(INDEX(ALLCLASSDATA,MATCH("SpellDCMaster",CLASSFEATUREHEADERS,0),MATCH(($A682 &amp; "Points"),CLASSNAMEHEADERS,0))),(IF("09"=(INDEX(ALLCLASSDATA,MATCH("SpellDCExpert",CLASSFEATUREHEADERS,0),MATCH($A682,CLASSNAMEHEADERS,0))),(INDEX(ALLCLASSDATA,MATCH("SpellDCExpert",CLASSFEATUREHEADERS,0),MATCH(($A682 &amp; "Points"),CLASSNAMEHEADERS,0))),(IF("09"=(INDEX(ALLCLASSDATA,MATCH("SpellDCTrained",CLASSFEATUREHEADERS,0),MATCH($A682,CLASSNAMEHEADERS,0))),(INDEX(ALLCLASSDATA,MATCH("SpellDCTrained",CLASSFEATUREHEADERS,0),MATCH(($A682 &amp; "Points"),CLASSNAMEHEADERS,0))),"")))))))))}</f>
        <v>SPELLDCL09</v>
      </c>
      <c r="Q681" s="223"/>
      <c r="R681" s="223" t="str">
        <f t="array" ref="R681:R682">{"SPELLDCL11";((IF("11"=(INDEX(ALLCLASSDATA,MATCH("SpellDCLegendary",CLASSFEATUREHEADERS,0),MATCH($A682,CLASSNAMEHEADERS,0))),(INDEX(ALLCLASSDATA,MATCH("SpellDCLegendary",CLASSFEATUREHEADERS,0),MATCH(($A682 &amp; "Points"),CLASSNAMEHEADERS,0))),(IF("11"=(INDEX(ALLCLASSDATA,MATCH("SpellDCMaster",CLASSFEATUREHEADERS,0),MATCH($A682,CLASSNAMEHEADERS,0))),(INDEX(ALLCLASSDATA,MATCH("SpellDCMaster",CLASSFEATUREHEADERS,0),MATCH(($A682 &amp; "Points"),CLASSNAMEHEADERS,0))),(IF("11"=(INDEX(ALLCLASSDATA,MATCH("SpellDCExpert",CLASSFEATUREHEADERS,0),MATCH($A682,CLASSNAMEHEADERS,0))),(INDEX(ALLCLASSDATA,MATCH("SpellDCExpert",CLASSFEATUREHEADERS,0),MATCH(($A682 &amp; "Points"),CLASSNAMEHEADERS,0))),(IF("11"=(INDEX(ALLCLASSDATA,MATCH("SpellDCTrained",CLASSFEATUREHEADERS,0),MATCH($A682,CLASSNAMEHEADERS,0))),(INDEX(ALLCLASSDATA,MATCH("SpellDCTrained",CLASSFEATUREHEADERS,0),MATCH(($A682 &amp; "Points"),CLASSNAMEHEADERS,0))),"")))))))))}</f>
        <v>SPELLDCL11</v>
      </c>
      <c r="S681" s="223"/>
      <c r="T681" s="223" t="str">
        <f t="array" ref="T681:T682">{"SPELLDCL13";((IF("13"=(INDEX(ALLCLASSDATA,MATCH("SpellDCLegendary",CLASSFEATUREHEADERS,0),MATCH($A682,CLASSNAMEHEADERS,0))),(INDEX(ALLCLASSDATA,MATCH("SpellDCLegendary",CLASSFEATUREHEADERS,0),MATCH(($A682 &amp; "Points"),CLASSNAMEHEADERS,0))),(IF("13"=(INDEX(ALLCLASSDATA,MATCH("SpellDCMaster",CLASSFEATUREHEADERS,0),MATCH($A682,CLASSNAMEHEADERS,0))),(INDEX(ALLCLASSDATA,MATCH("SpellDCMaster",CLASSFEATUREHEADERS,0),MATCH(($A682 &amp; "Points"),CLASSNAMEHEADERS,0))),(IF("13"=(INDEX(ALLCLASSDATA,MATCH("SpellDCExpert",CLASSFEATUREHEADERS,0),MATCH($A682,CLASSNAMEHEADERS,0))),(INDEX(ALLCLASSDATA,MATCH("SpellDCExpert",CLASSFEATUREHEADERS,0),MATCH(($A682 &amp; "Points"),CLASSNAMEHEADERS,0))),(IF("13"=(INDEX(ALLCLASSDATA,MATCH("SpellDCTrained",CLASSFEATUREHEADERS,0),MATCH($A682,CLASSNAMEHEADERS,0))),(INDEX(ALLCLASSDATA,MATCH("SpellDCTrained",CLASSFEATUREHEADERS,0),MATCH(($A682 &amp; "Points"),CLASSNAMEHEADERS,0))),"")))))))))}</f>
        <v>SPELLDCL13</v>
      </c>
      <c r="U681" s="223"/>
      <c r="V681" s="223" t="str">
        <f t="array" ref="V681:V682">{"SPELLDCL15";((IF("15"=(INDEX(ALLCLASSDATA,MATCH("SpellDCLegendary",CLASSFEATUREHEADERS,0),MATCH($A682,CLASSNAMEHEADERS,0))),(INDEX(ALLCLASSDATA,MATCH("SpellDCLegendary",CLASSFEATUREHEADERS,0),MATCH(($A682 &amp; "Points"),CLASSNAMEHEADERS,0))),(IF("15"=(INDEX(ALLCLASSDATA,MATCH("SpellDCMaster",CLASSFEATUREHEADERS,0),MATCH($A682,CLASSNAMEHEADERS,0))),(INDEX(ALLCLASSDATA,MATCH("SpellDCMaster",CLASSFEATUREHEADERS,0),MATCH(($A682 &amp; "Points"),CLASSNAMEHEADERS,0))),(IF("15"=(INDEX(ALLCLASSDATA,MATCH("SpellDCExpert",CLASSFEATUREHEADERS,0),MATCH($A682,CLASSNAMEHEADERS,0))),(INDEX(ALLCLASSDATA,MATCH("SpellDCExpert",CLASSFEATUREHEADERS,0),MATCH(($A682 &amp; "Points"),CLASSNAMEHEADERS,0))),(IF("15"=(INDEX(ALLCLASSDATA,MATCH("SpellDCTrained",CLASSFEATUREHEADERS,0),MATCH($A682,CLASSNAMEHEADERS,0))),(INDEX(ALLCLASSDATA,MATCH("SpellDCTrained",CLASSFEATUREHEADERS,0),MATCH(($A682 &amp; "Points"),CLASSNAMEHEADERS,0))),"")))))))))}</f>
        <v>SPELLDCL15</v>
      </c>
      <c r="W681" s="223"/>
      <c r="X681" s="223" t="str">
        <f t="array" ref="X681:X682">{"SPELLDCL17";((IF("17"=(INDEX(ALLCLASSDATA,MATCH("SpellDCLegendary",CLASSFEATUREHEADERS,0),MATCH($A682,CLASSNAMEHEADERS,0))),(INDEX(ALLCLASSDATA,MATCH("SpellDCLegendary",CLASSFEATUREHEADERS,0),MATCH(($A682 &amp; "Points"),CLASSNAMEHEADERS,0))),(IF("17"=(INDEX(ALLCLASSDATA,MATCH("SpellDCMaster",CLASSFEATUREHEADERS,0),MATCH($A682,CLASSNAMEHEADERS,0))),(INDEX(ALLCLASSDATA,MATCH("SpellDCMaster",CLASSFEATUREHEADERS,0),MATCH(($A682 &amp; "Points"),CLASSNAMEHEADERS,0))),(IF("17"=(INDEX(ALLCLASSDATA,MATCH("SpellDCExpert",CLASSFEATUREHEADERS,0),MATCH($A682,CLASSNAMEHEADERS,0))),(INDEX(ALLCLASSDATA,MATCH("SpellDCExpert",CLASSFEATUREHEADERS,0),MATCH(($A682 &amp; "Points"),CLASSNAMEHEADERS,0))),(IF("17"=(INDEX(ALLCLASSDATA,MATCH("SpellDCTrained",CLASSFEATUREHEADERS,0),MATCH($A682,CLASSNAMEHEADERS,0))),(INDEX(ALLCLASSDATA,MATCH("SpellDCTrained",CLASSFEATUREHEADERS,0),MATCH(($A682 &amp; "Points"),CLASSNAMEHEADERS,0))),"")))))))))}</f>
        <v>SPELLDCL17</v>
      </c>
      <c r="Y681" s="223"/>
      <c r="Z681" s="223" t="str">
        <f t="array" ref="Z681:Z682">{"SPELLDCL19";((IF("19"=(INDEX(ALLCLASSDATA,MATCH("SpellDCLegendary",CLASSFEATUREHEADERS,0),MATCH($A682,CLASSNAMEHEADERS,0))),(INDEX(ALLCLASSDATA,MATCH("SpellDCLegendary",CLASSFEATUREHEADERS,0),MATCH(($A682 &amp; "Points"),CLASSNAMEHEADERS,0))),(IF("19"=(INDEX(ALLCLASSDATA,MATCH("SpellDCMaster",CLASSFEATUREHEADERS,0),MATCH($A682,CLASSNAMEHEADERS,0))),(INDEX(ALLCLASSDATA,MATCH("SpellDCMaster",CLASSFEATUREHEADERS,0),MATCH(($A682 &amp; "Points"),CLASSNAMEHEADERS,0))),(IF("19"=(INDEX(ALLCLASSDATA,MATCH("SpellDCExpert",CLASSFEATUREHEADERS,0),MATCH($A682,CLASSNAMEHEADERS,0))),(INDEX(ALLCLASSDATA,MATCH("SpellDCExpert",CLASSFEATUREHEADERS,0),MATCH(($A682 &amp; "Points"),CLASSNAMEHEADERS,0))),(IF("19"=(INDEX(ALLCLASSDATA,MATCH("SpellDCTrained",CLASSFEATUREHEADERS,0),MATCH($A682,CLASSNAMEHEADERS,0))),(INDEX(ALLCLASSDATA,MATCH("SpellDCTrained",CLASSFEATUREHEADERS,0),MATCH(($A682 &amp; "Points"),CLASSNAMEHEADERS,0))),"")))))))))}</f>
        <v>SPELLDCL19</v>
      </c>
      <c r="AA681" s="223"/>
      <c r="AB681" s="76" t="str">
        <f t="array" ref="AB681:AB682">{"SPELLDC TOTAL";(IF(COUNTBLANK(G682:AA682)=17,"L",(IF(COUNTBLANK(G682:AA682)=18,"M",(IF(COUNTBLANK(G682:AA682)=19,"E",(IF(COUNTBLANK(G682:AA682)=20,"T",""))))))))}</f>
        <v>SPELLDC TOTAL</v>
      </c>
      <c r="AC681" s="76" t="str">
        <f t="array" ref="AC681:AC682">{"SPELLDC TOTAL";(sum(G682:AA682))}</f>
        <v>SPELLDC TOTAL</v>
      </c>
    </row>
    <row r="682">
      <c r="A682" s="48" t="s">
        <v>170</v>
      </c>
      <c r="B682" s="48"/>
      <c r="C682" s="48" t="s">
        <v>415</v>
      </c>
      <c r="D682" s="97" t="s">
        <v>1465</v>
      </c>
      <c r="E682" s="97" t="s">
        <v>1485</v>
      </c>
      <c r="F682" s="98" t="s">
        <v>603</v>
      </c>
      <c r="G682" s="132" t="s">
        <v>603</v>
      </c>
      <c r="H682" s="98" t="s">
        <v>603</v>
      </c>
      <c r="I682" s="98"/>
      <c r="J682" s="98" t="s">
        <v>603</v>
      </c>
      <c r="K682" s="98"/>
      <c r="L682" s="98" t="s">
        <v>603</v>
      </c>
      <c r="M682" s="98"/>
      <c r="N682" s="98" t="s">
        <v>603</v>
      </c>
      <c r="O682" s="98"/>
      <c r="P682" s="98" t="s">
        <v>603</v>
      </c>
      <c r="Q682" s="98"/>
      <c r="R682" s="98" t="s">
        <v>603</v>
      </c>
      <c r="S682" s="98"/>
      <c r="T682" s="98" t="s">
        <v>603</v>
      </c>
      <c r="U682" s="98"/>
      <c r="V682" s="98" t="s">
        <v>603</v>
      </c>
      <c r="W682" s="98"/>
      <c r="X682" s="98" t="s">
        <v>603</v>
      </c>
      <c r="Y682" s="98"/>
      <c r="Z682" s="98" t="s">
        <v>603</v>
      </c>
      <c r="AA682" s="98"/>
      <c r="AB682" s="5" t="s">
        <v>603</v>
      </c>
      <c r="AC682" s="47">
        <v>0.0</v>
      </c>
    </row>
    <row r="683" hidden="1">
      <c r="A683" s="222" t="str">
        <f t="array" ref="A683:A684">{"FormulaRow22";(INDEX(CLASSLIST,A640,1))}</f>
        <v>FormulaRow22</v>
      </c>
      <c r="B683" s="77" t="s">
        <v>236</v>
      </c>
      <c r="C683" s="222" t="str">
        <f t="array" ref="C683:C684">{"CLASSTYPE";((INDEX(ALLCLASSDATA,MATCH("ClassType",CLASSFEATUREHEADERS,0),MATCH($A684,CLASSNAMEHEADERS,0))))}</f>
        <v>CLASSTYPE</v>
      </c>
      <c r="D683" s="228" t="str">
        <f t="shared" ref="D683:E683" si="8">{"PERCEPTION";"Perception"}</f>
        <v>PERCEPTION</v>
      </c>
      <c r="E683" s="228" t="str">
        <f t="shared" si="8"/>
        <v>PERCEPTION</v>
      </c>
      <c r="F683" s="230" t="str">
        <f t="array" ref="F683:F684">{"PERCEPTIONINITIAL";((IF(H684=10,"T",(IF(H684=50,"E","")))))}</f>
        <v>PERCEPTIONINITIAL</v>
      </c>
      <c r="G683" s="230" t="str">
        <f t="array" ref="G683:G684">{"PERCEPTIONINITIALPTS";((IF("00"=(INDEX(ALLCLASSDATA,MATCH("PerceptionLegendary",CLASSFEATUREHEADERS,0),MATCH($A684,CLASSNAMEHEADERS,0))),(INDEX(ALLCLASSDATA,MATCH("PerceptionLegendary",CLASSFEATUREHEADERS,0),MATCH(($A684 &amp; "Points"),CLASSNAMEHEADERS,0))),(IF("00"=(INDEX(ALLCLASSDATA,MATCH("PerceptionMaster",CLASSFEATUREHEADERS,0),MATCH($A684,CLASSNAMEHEADERS,0))),(INDEX(ALLCLASSDATA,MATCH("PerceptionMaster",CLASSFEATUREHEADERS,0),MATCH(($A684 &amp; "Points"),CLASSNAMEHEADERS,0))),(IF("00"=(INDEX(ALLCLASSDATA,MATCH("PerceptionExpert",CLASSFEATUREHEADERS,0),MATCH($A684,CLASSNAMEHEADERS,0))),(INDEX(ALLCLASSDATA,MATCH("PerceptionExpert",CLASSFEATUREHEADERS,0),MATCH(($A684 &amp; "Points"),CLASSNAMEHEADERS,0))),(IF("00"=(INDEX(ALLCLASSDATA,MATCH("PerceptionTrained",CLASSFEATUREHEADERS,0),MATCH($A684,CLASSNAMEHEADERS,0))),(INDEX(ALLCLASSDATA,MATCH("PerceptionTrained",CLASSFEATUREHEADERS,0),MATCH(($A684 &amp; "Points"),CLASSNAMEHEADERS,0))),"")))))))))}</f>
        <v>PERCEPTIONINITIALPTS</v>
      </c>
      <c r="H683" s="230" t="str">
        <f t="array" ref="H683:H684">{"PERCEPTIONL01";((IF("01"=(INDEX(ALLCLASSDATA,MATCH("PerceptionLegendary",CLASSFEATUREHEADERS,0),MATCH($A684,CLASSNAMEHEADERS,0))),(INDEX(ALLCLASSDATA,MATCH("PerceptionLegendary",CLASSFEATUREHEADERS,0),MATCH(($A684 &amp; "Points"),CLASSNAMEHEADERS,0))),(IF("01"=(INDEX(ALLCLASSDATA,MATCH("PerceptionMaster",CLASSFEATUREHEADERS,0),MATCH($A684,CLASSNAMEHEADERS,0))),(INDEX(ALLCLASSDATA,MATCH("PerceptionMaster",CLASSFEATUREHEADERS,0),MATCH(($A684 &amp; "Points"),CLASSNAMEHEADERS,0))),(IF("01"=(INDEX(ALLCLASSDATA,MATCH("PerceptionExpert",CLASSFEATUREHEADERS,0),MATCH($A684,CLASSNAMEHEADERS,0))),(INDEX(ALLCLASSDATA,MATCH("PerceptionExpert",CLASSFEATUREHEADERS,0),MATCH(($A684 &amp; "Points"),CLASSNAMEHEADERS,0))),(IF("01"=(INDEX(ALLCLASSDATA,MATCH("PerceptionTrained",CLASSFEATUREHEADERS,0),MATCH($A684,CLASSNAMEHEADERS,0))),(INDEX(ALLCLASSDATA,MATCH("PerceptionTrained",CLASSFEATUREHEADERS,0),MATCH(($A684 &amp; "Points"),CLASSNAMEHEADERS,0))),"")))))))))}</f>
        <v>PERCEPTIONL01</v>
      </c>
      <c r="I683" s="230"/>
      <c r="J683" s="230" t="str">
        <f t="array" ref="J683:J684">{"PERCEPTIONL03";((IF("03"=(INDEX(ALLCLASSDATA,MATCH("PerceptionLegendary",CLASSFEATUREHEADERS,0),MATCH($A684,CLASSNAMEHEADERS,0))),(INDEX(ALLCLASSDATA,MATCH("PerceptionLegendary",CLASSFEATUREHEADERS,0),MATCH(($A684 &amp; "Points"),CLASSNAMEHEADERS,0))),(IF("03"=(INDEX(ALLCLASSDATA,MATCH("PerceptionMaster",CLASSFEATUREHEADERS,0),MATCH($A684,CLASSNAMEHEADERS,0))),(INDEX(ALLCLASSDATA,MATCH("PerceptionMaster",CLASSFEATUREHEADERS,0),MATCH(($A684 &amp; "Points"),CLASSNAMEHEADERS,0))),(IF("03"=(INDEX(ALLCLASSDATA,MATCH("PerceptionExpert",CLASSFEATUREHEADERS,0),MATCH($A684,CLASSNAMEHEADERS,0))),(INDEX(ALLCLASSDATA,MATCH("PerceptionExpert",CLASSFEATUREHEADERS,0),MATCH(($A684 &amp; "Points"),CLASSNAMEHEADERS,0))),(IF("03"=(INDEX(ALLCLASSDATA,MATCH("PerceptionTrained",CLASSFEATUREHEADERS,0),MATCH($A684,CLASSNAMEHEADERS,0))),(INDEX(ALLCLASSDATA,MATCH("PerceptionTrained",CLASSFEATUREHEADERS,0),MATCH(($A684 &amp; "Points"),CLASSNAMEHEADERS,0))),"")))))))))}</f>
        <v>PERCEPTIONL03</v>
      </c>
      <c r="K683" s="230"/>
      <c r="L683" s="230" t="str">
        <f t="array" ref="L683:L684">{"PERCEPTIONL05";((IF("05"=(INDEX(ALLCLASSDATA,MATCH("PerceptionLegendary",CLASSFEATUREHEADERS,0),MATCH($A684,CLASSNAMEHEADERS,0))),(INDEX(ALLCLASSDATA,MATCH("PerceptionLegendary",CLASSFEATUREHEADERS,0),MATCH(($A684 &amp; "Points"),CLASSNAMEHEADERS,0))),(IF("05"=(INDEX(ALLCLASSDATA,MATCH("PerceptionMaster",CLASSFEATUREHEADERS,0),MATCH($A684,CLASSNAMEHEADERS,0))),(INDEX(ALLCLASSDATA,MATCH("PerceptionMaster",CLASSFEATUREHEADERS,0),MATCH(($A684 &amp; "Points"),CLASSNAMEHEADERS,0))),(IF("05"=(INDEX(ALLCLASSDATA,MATCH("PerceptionExpert",CLASSFEATUREHEADERS,0),MATCH($A684,CLASSNAMEHEADERS,0))),(INDEX(ALLCLASSDATA,MATCH("PerceptionExpert",CLASSFEATUREHEADERS,0),MATCH(($A684 &amp; "Points"),CLASSNAMEHEADERS,0))),(IF("05"=(INDEX(ALLCLASSDATA,MATCH("PerceptionTrained",CLASSFEATUREHEADERS,0),MATCH($A684,CLASSNAMEHEADERS,0))),(INDEX(ALLCLASSDATA,MATCH("PerceptionTrained",CLASSFEATUREHEADERS,0),MATCH(($A684 &amp; "Points"),CLASSNAMEHEADERS,0))),"")))))))))}</f>
        <v>PERCEPTIONL05</v>
      </c>
      <c r="M683" s="230"/>
      <c r="N683" s="230" t="str">
        <f t="array" ref="N683:N684">{"PERCEPTIONL07";((IF("07"=(INDEX(ALLCLASSDATA,MATCH("PerceptionLegendary",CLASSFEATUREHEADERS,0),MATCH($A684,CLASSNAMEHEADERS,0))),(INDEX(ALLCLASSDATA,MATCH("PerceptionLegendary",CLASSFEATUREHEADERS,0),MATCH(($A684 &amp; "Points"),CLASSNAMEHEADERS,0))),(IF("07"=(INDEX(ALLCLASSDATA,MATCH("PerceptionMaster",CLASSFEATUREHEADERS,0),MATCH($A684,CLASSNAMEHEADERS,0))),(INDEX(ALLCLASSDATA,MATCH("PerceptionMaster",CLASSFEATUREHEADERS,0),MATCH(($A684 &amp; "Points"),CLASSNAMEHEADERS,0))),(IF("07"=(INDEX(ALLCLASSDATA,MATCH("PerceptionExpert",CLASSFEATUREHEADERS,0),MATCH($A684,CLASSNAMEHEADERS,0))),(INDEX(ALLCLASSDATA,MATCH("PerceptionExpert",CLASSFEATUREHEADERS,0),MATCH(($A684 &amp; "Points"),CLASSNAMEHEADERS,0))),(IF("07"=(INDEX(ALLCLASSDATA,MATCH("PerceptionTrained",CLASSFEATUREHEADERS,0),MATCH($A684,CLASSNAMEHEADERS,0))),(INDEX(ALLCLASSDATA,MATCH("PerceptionTrained",CLASSFEATUREHEADERS,0),MATCH(($A684 &amp; "Points"),CLASSNAMEHEADERS,0))),"")))))))))}</f>
        <v>PERCEPTIONL07</v>
      </c>
      <c r="O683" s="230"/>
      <c r="P683" s="230" t="str">
        <f t="array" ref="P683:P684">{"PERCEPTIONL09";((IF("09"=(INDEX(ALLCLASSDATA,MATCH("PerceptionLegendary",CLASSFEATUREHEADERS,0),MATCH($A684,CLASSNAMEHEADERS,0))),(INDEX(ALLCLASSDATA,MATCH("PerceptionLegendary",CLASSFEATUREHEADERS,0),MATCH(($A684 &amp; "Points"),CLASSNAMEHEADERS,0))),(IF("09"=(INDEX(ALLCLASSDATA,MATCH("PerceptionMaster",CLASSFEATUREHEADERS,0),MATCH($A684,CLASSNAMEHEADERS,0))),(INDEX(ALLCLASSDATA,MATCH("PerceptionMaster",CLASSFEATUREHEADERS,0),MATCH(($A684 &amp; "Points"),CLASSNAMEHEADERS,0))),(IF("09"=(INDEX(ALLCLASSDATA,MATCH("PerceptionExpert",CLASSFEATUREHEADERS,0),MATCH($A684,CLASSNAMEHEADERS,0))),(INDEX(ALLCLASSDATA,MATCH("PerceptionExpert",CLASSFEATUREHEADERS,0),MATCH(($A684 &amp; "Points"),CLASSNAMEHEADERS,0))),(IF("09"=(INDEX(ALLCLASSDATA,MATCH("PerceptionTrained",CLASSFEATUREHEADERS,0),MATCH($A684,CLASSNAMEHEADERS,0))),(INDEX(ALLCLASSDATA,MATCH("PerceptionTrained",CLASSFEATUREHEADERS,0),MATCH(($A684 &amp; "Points"),CLASSNAMEHEADERS,0))),"")))))))))}</f>
        <v>PERCEPTIONL09</v>
      </c>
      <c r="Q683" s="230"/>
      <c r="R683" s="230" t="str">
        <f t="array" ref="R683:R684">{"PERCEPTIONL11";((IF("11"=(INDEX(ALLCLASSDATA,MATCH("PerceptionLegendary",CLASSFEATUREHEADERS,0),MATCH($A684,CLASSNAMEHEADERS,0))),(INDEX(ALLCLASSDATA,MATCH("PerceptionLegendary",CLASSFEATUREHEADERS,0),MATCH(($A684 &amp; "Points"),CLASSNAMEHEADERS,0))),(IF("11"=(INDEX(ALLCLASSDATA,MATCH("PerceptionMaster",CLASSFEATUREHEADERS,0),MATCH($A684,CLASSNAMEHEADERS,0))),(INDEX(ALLCLASSDATA,MATCH("PerceptionMaster",CLASSFEATUREHEADERS,0),MATCH(($A684 &amp; "Points"),CLASSNAMEHEADERS,0))),(IF("11"=(INDEX(ALLCLASSDATA,MATCH("PerceptionExpert",CLASSFEATUREHEADERS,0),MATCH($A684,CLASSNAMEHEADERS,0))),(INDEX(ALLCLASSDATA,MATCH("PerceptionExpert",CLASSFEATUREHEADERS,0),MATCH(($A684 &amp; "Points"),CLASSNAMEHEADERS,0))),(IF("11"=(INDEX(ALLCLASSDATA,MATCH("PerceptionTrained",CLASSFEATUREHEADERS,0),MATCH($A684,CLASSNAMEHEADERS,0))),(INDEX(ALLCLASSDATA,MATCH("PerceptionTrained",CLASSFEATUREHEADERS,0),MATCH(($A684 &amp; "Points"),CLASSNAMEHEADERS,0))),"")))))))))}</f>
        <v>PERCEPTIONL11</v>
      </c>
      <c r="S683" s="230"/>
      <c r="T683" s="230" t="str">
        <f t="array" ref="T683:T684">{"PERCEPTIONL13";((IF("13"=(INDEX(ALLCLASSDATA,MATCH("PerceptionLegendary",CLASSFEATUREHEADERS,0),MATCH($A684,CLASSNAMEHEADERS,0))),(INDEX(ALLCLASSDATA,MATCH("PerceptionLegendary",CLASSFEATUREHEADERS,0),MATCH(($A684 &amp; "Points"),CLASSNAMEHEADERS,0))),(IF("13"=(INDEX(ALLCLASSDATA,MATCH("PerceptionMaster",CLASSFEATUREHEADERS,0),MATCH($A684,CLASSNAMEHEADERS,0))),(INDEX(ALLCLASSDATA,MATCH("PerceptionMaster",CLASSFEATUREHEADERS,0),MATCH(($A684 &amp; "Points"),CLASSNAMEHEADERS,0))),(IF("13"=(INDEX(ALLCLASSDATA,MATCH("PerceptionExpert",CLASSFEATUREHEADERS,0),MATCH($A684,CLASSNAMEHEADERS,0))),(INDEX(ALLCLASSDATA,MATCH("PerceptionExpert",CLASSFEATUREHEADERS,0),MATCH(($A684 &amp; "Points"),CLASSNAMEHEADERS,0))),(IF("13"=(INDEX(ALLCLASSDATA,MATCH("PerceptionTrained",CLASSFEATUREHEADERS,0),MATCH($A684,CLASSNAMEHEADERS,0))),(INDEX(ALLCLASSDATA,MATCH("PerceptionTrained",CLASSFEATUREHEADERS,0),MATCH(($A684 &amp; "Points"),CLASSNAMEHEADERS,0))),"")))))))))}</f>
        <v>PERCEPTIONL13</v>
      </c>
      <c r="U683" s="230"/>
      <c r="V683" s="230" t="str">
        <f t="array" ref="V683:V684">{"PERCEPTIONL15";((IF("15"=(INDEX(ALLCLASSDATA,MATCH("PerceptionLegendary",CLASSFEATUREHEADERS,0),MATCH($A684,CLASSNAMEHEADERS,0))),(INDEX(ALLCLASSDATA,MATCH("PerceptionLegendary",CLASSFEATUREHEADERS,0),MATCH(($A684 &amp; "Points"),CLASSNAMEHEADERS,0))),(IF("15"=(INDEX(ALLCLASSDATA,MATCH("PerceptionMaster",CLASSFEATUREHEADERS,0),MATCH($A684,CLASSNAMEHEADERS,0))),(INDEX(ALLCLASSDATA,MATCH("PerceptionMaster",CLASSFEATUREHEADERS,0),MATCH(($A684 &amp; "Points"),CLASSNAMEHEADERS,0))),(IF("15"=(INDEX(ALLCLASSDATA,MATCH("PerceptionExpert",CLASSFEATUREHEADERS,0),MATCH($A684,CLASSNAMEHEADERS,0))),(INDEX(ALLCLASSDATA,MATCH("PerceptionExpert",CLASSFEATUREHEADERS,0),MATCH(($A684 &amp; "Points"),CLASSNAMEHEADERS,0))),(IF("15"=(INDEX(ALLCLASSDATA,MATCH("PerceptionTrained",CLASSFEATUREHEADERS,0),MATCH($A684,CLASSNAMEHEADERS,0))),(INDEX(ALLCLASSDATA,MATCH("PerceptionTrained",CLASSFEATUREHEADERS,0),MATCH(($A684 &amp; "Points"),CLASSNAMEHEADERS,0))),"")))))))))}</f>
        <v>PERCEPTIONL15</v>
      </c>
      <c r="W683" s="230"/>
      <c r="X683" s="230" t="str">
        <f t="array" ref="X683:X684">{"PERCEPTIONL17";((IF("17"=(INDEX(ALLCLASSDATA,MATCH("PerceptionLegendary",CLASSFEATUREHEADERS,0),MATCH($A684,CLASSNAMEHEADERS,0))),(INDEX(ALLCLASSDATA,MATCH("PerceptionLegendary",CLASSFEATUREHEADERS,0),MATCH(($A684 &amp; "Points"),CLASSNAMEHEADERS,0))),(IF("17"=(INDEX(ALLCLASSDATA,MATCH("PerceptionMaster",CLASSFEATUREHEADERS,0),MATCH($A684,CLASSNAMEHEADERS,0))),(INDEX(ALLCLASSDATA,MATCH("PerceptionMaster",CLASSFEATUREHEADERS,0),MATCH(($A684 &amp; "Points"),CLASSNAMEHEADERS,0))),(IF("17"=(INDEX(ALLCLASSDATA,MATCH("PerceptionExpert",CLASSFEATUREHEADERS,0),MATCH($A684,CLASSNAMEHEADERS,0))),(INDEX(ALLCLASSDATA,MATCH("PerceptionExpert",CLASSFEATUREHEADERS,0),MATCH(($A684 &amp; "Points"),CLASSNAMEHEADERS,0))),(IF("17"=(INDEX(ALLCLASSDATA,MATCH("PerceptionTrained",CLASSFEATUREHEADERS,0),MATCH($A684,CLASSNAMEHEADERS,0))),(INDEX(ALLCLASSDATA,MATCH("PerceptionTrained",CLASSFEATUREHEADERS,0),MATCH(($A684 &amp; "Points"),CLASSNAMEHEADERS,0))),"")))))))))}</f>
        <v>PERCEPTIONL17</v>
      </c>
      <c r="Y683" s="230"/>
      <c r="Z683" s="230" t="str">
        <f t="array" ref="Z683:Z684">{"PERCEPTIONL19";((IF("19"=(INDEX(ALLCLASSDATA,MATCH("PerceptionLegendary",CLASSFEATUREHEADERS,0),MATCH($A684,CLASSNAMEHEADERS,0))),(INDEX(ALLCLASSDATA,MATCH("PerceptionLegendary",CLASSFEATUREHEADERS,0),MATCH(($A684 &amp; "Points"),CLASSNAMEHEADERS,0))),(IF("19"=(INDEX(ALLCLASSDATA,MATCH("PerceptionMaster",CLASSFEATUREHEADERS,0),MATCH($A684,CLASSNAMEHEADERS,0))),(INDEX(ALLCLASSDATA,MATCH("PerceptionMaster",CLASSFEATUREHEADERS,0),MATCH(($A684 &amp; "Points"),CLASSNAMEHEADERS,0))),(IF("19"=(INDEX(ALLCLASSDATA,MATCH("PerceptionExpert",CLASSFEATUREHEADERS,0),MATCH($A684,CLASSNAMEHEADERS,0))),(INDEX(ALLCLASSDATA,MATCH("PerceptionExpert",CLASSFEATUREHEADERS,0),MATCH(($A684 &amp; "Points"),CLASSNAMEHEADERS,0))),(IF("19"=(INDEX(ALLCLASSDATA,MATCH("PerceptionTrained",CLASSFEATUREHEADERS,0),MATCH($A684,CLASSNAMEHEADERS,0))),(INDEX(ALLCLASSDATA,MATCH("PerceptionTrained",CLASSFEATUREHEADERS,0),MATCH(($A684 &amp; "Points"),CLASSNAMEHEADERS,0))),"")))))))))}</f>
        <v>PERCEPTIONL19</v>
      </c>
      <c r="AA683" s="230"/>
      <c r="AB683" s="76" t="str">
        <f t="array" ref="AB683:AB684">{"PERCEPTION TOTAL";(IF(COUNTBLANK(G684:AA684)=17,"L",(IF(COUNTBLANK(G684:AA684)=18,"M",(IF(COUNTBLANK(G684:AA684)=19,"E",(IF(COUNTBLANK(G684:AA684)=20,"T",""))))))))}</f>
        <v>PERCEPTION TOTAL</v>
      </c>
      <c r="AC683" s="76" t="str">
        <f t="array" ref="AC683:AC684">{"PERCEPTION TOTAL";(sum(G684:AA684))}</f>
        <v>PERCEPTION TOTAL</v>
      </c>
    </row>
    <row r="684">
      <c r="A684" s="48" t="s">
        <v>170</v>
      </c>
      <c r="B684" s="48"/>
      <c r="C684" s="48" t="s">
        <v>415</v>
      </c>
      <c r="D684" s="97" t="s">
        <v>637</v>
      </c>
      <c r="E684" s="97" t="s">
        <v>637</v>
      </c>
      <c r="F684" s="98" t="s">
        <v>436</v>
      </c>
      <c r="G684" s="132">
        <v>10.0</v>
      </c>
      <c r="H684" s="98">
        <v>50.0</v>
      </c>
      <c r="I684" s="98"/>
      <c r="J684" s="98" t="s">
        <v>603</v>
      </c>
      <c r="K684" s="98"/>
      <c r="L684" s="98" t="s">
        <v>603</v>
      </c>
      <c r="M684" s="98"/>
      <c r="N684" s="98" t="s">
        <v>603</v>
      </c>
      <c r="O684" s="98"/>
      <c r="P684" s="98">
        <v>110.0</v>
      </c>
      <c r="Q684" s="98"/>
      <c r="R684" s="98" t="s">
        <v>603</v>
      </c>
      <c r="S684" s="98"/>
      <c r="T684" s="98" t="s">
        <v>603</v>
      </c>
      <c r="U684" s="98"/>
      <c r="V684" s="98" t="s">
        <v>603</v>
      </c>
      <c r="W684" s="98"/>
      <c r="X684" s="98" t="s">
        <v>603</v>
      </c>
      <c r="Y684" s="98"/>
      <c r="Z684" s="98" t="s">
        <v>603</v>
      </c>
      <c r="AA684" s="98"/>
      <c r="AB684" s="5" t="s">
        <v>437</v>
      </c>
      <c r="AC684" s="47">
        <v>170.0</v>
      </c>
    </row>
    <row r="685" hidden="1">
      <c r="A685" s="222" t="str">
        <f t="array" ref="A685:A686">{"FormulaRow23";(INDEX(CLASSLIST,A640,1))}</f>
        <v>FormulaRow23</v>
      </c>
      <c r="B685" s="77" t="s">
        <v>236</v>
      </c>
      <c r="C685" s="222" t="str">
        <f t="array" ref="C685:C686">{"CLASSTYPE";((INDEX(ALLCLASSDATA,MATCH("ClassType",CLASSFEATUREHEADERS,0),MATCH($A686,CLASSNAMEHEADERS,0))))}</f>
        <v>CLASSTYPE</v>
      </c>
      <c r="D685" s="228" t="str">
        <f t="array" ref="D685:D686">{"SAVES";"Saves"}</f>
        <v>SAVES</v>
      </c>
      <c r="E685" s="228" t="str">
        <f t="array" ref="E685:E686">{"FORTITUDESAVE";"FortitudeSave"}</f>
        <v>FORTITUDESAVE</v>
      </c>
      <c r="F685" s="230" t="str">
        <f t="array" ref="F685:F686">{"FORTITUDEINITIAL";((IF(H686=10,"T",(IF(H686=50,"E","")))))}</f>
        <v>FORTITUDEINITIAL</v>
      </c>
      <c r="G685" s="230" t="str">
        <f t="array" ref="G685:G686">{"FORTITUDEINITIALPTS";((IF("00"=(INDEX(ALLCLASSDATA,MATCH("FortitudeSaveLegendary",CLASSFEATUREHEADERS,0),MATCH($A686,CLASSNAMEHEADERS,0))),(INDEX(ALLCLASSDATA,MATCH("FortitudeSaveLegendary",CLASSFEATUREHEADERS,0),MATCH(($A686 &amp; "Points"),CLASSNAMEHEADERS,0))),(IF("00"=(INDEX(ALLCLASSDATA,MATCH("FortitudeSaveMaster",CLASSFEATUREHEADERS,0),MATCH($A686,CLASSNAMEHEADERS,0))),(INDEX(ALLCLASSDATA,MATCH("FortitudeSaveMaster",CLASSFEATUREHEADERS,0),MATCH(($A686 &amp; "Points"),CLASSNAMEHEADERS,0))),(IF("00"=(INDEX(ALLCLASSDATA,MATCH("FortitudeSaveExpert",CLASSFEATUREHEADERS,0),MATCH($A686,CLASSNAMEHEADERS,0))),(INDEX(ALLCLASSDATA,MATCH("FortitudeSaveExpert",CLASSFEATUREHEADERS,0),MATCH(($A686 &amp; "Points"),CLASSNAMEHEADERS,0))),(IF("00"=(INDEX(ALLCLASSDATA,MATCH("FortitudeSaveTrained",CLASSFEATUREHEADERS,0),MATCH($A686,CLASSNAMEHEADERS,0))),(INDEX(ALLCLASSDATA,MATCH("FortitudeSaveTrained",CLASSFEATUREHEADERS,0),MATCH(($A686 &amp; "Points"),CLASSNAMEHEADERS,0))),"")))))))))}</f>
        <v>FORTITUDEINITIALPTS</v>
      </c>
      <c r="H685" s="230" t="str">
        <f t="array" ref="H685:H686">{"FORTITUDEL01";((IF("01"=(INDEX(ALLCLASSDATA,MATCH("FortitudeSaveLegendary",CLASSFEATUREHEADERS,0),MATCH($A686,CLASSNAMEHEADERS,0))),(INDEX(ALLCLASSDATA,MATCH("FortitudeSaveLegendary",CLASSFEATUREHEADERS,0),MATCH(($A686 &amp; "Points"),CLASSNAMEHEADERS,0))),(IF("01"=(INDEX(ALLCLASSDATA,MATCH("FortitudeSaveMaster",CLASSFEATUREHEADERS,0),MATCH($A686,CLASSNAMEHEADERS,0))),(INDEX(ALLCLASSDATA,MATCH("FortitudeSaveMaster",CLASSFEATUREHEADERS,0),MATCH(($A686 &amp; "Points"),CLASSNAMEHEADERS,0))),(IF("01"=(INDEX(ALLCLASSDATA,MATCH("FortitudeSaveExpert",CLASSFEATUREHEADERS,0),MATCH($A686,CLASSNAMEHEADERS,0))),(INDEX(ALLCLASSDATA,MATCH("FortitudeSaveExpert",CLASSFEATUREHEADERS,0),MATCH(($A686 &amp; "Points"),CLASSNAMEHEADERS,0))),(IF("01"=(INDEX(ALLCLASSDATA,MATCH("FortitudeSaveTrained",CLASSFEATUREHEADERS,0),MATCH($A686,CLASSNAMEHEADERS,0))),(INDEX(ALLCLASSDATA,MATCH("FortitudeSaveTrained",CLASSFEATUREHEADERS,0),MATCH(($A686 &amp; "Points"),CLASSNAMEHEADERS,0))),"")))))))))}</f>
        <v>FORTITUDEL01</v>
      </c>
      <c r="I685" s="230"/>
      <c r="J685" s="230" t="str">
        <f t="array" ref="J685:J686">{"FORTITUDEL03";((IF("03"=(INDEX(ALLCLASSDATA,MATCH("FortitudeSaveLegendary",CLASSFEATUREHEADERS,0),MATCH($A686,CLASSNAMEHEADERS,0))),(INDEX(ALLCLASSDATA,MATCH("FortitudeSaveLegendary",CLASSFEATUREHEADERS,0),MATCH(($A686 &amp; "Points"),CLASSNAMEHEADERS,0))),(IF("03"=(INDEX(ALLCLASSDATA,MATCH("FortitudeSaveMaster",CLASSFEATUREHEADERS,0),MATCH($A686,CLASSNAMEHEADERS,0))),(INDEX(ALLCLASSDATA,MATCH("FortitudeSaveMaster",CLASSFEATUREHEADERS,0),MATCH(($A686 &amp; "Points"),CLASSNAMEHEADERS,0))),(IF("03"=(INDEX(ALLCLASSDATA,MATCH("FortitudeSaveExpert",CLASSFEATUREHEADERS,0),MATCH($A686,CLASSNAMEHEADERS,0))),(INDEX(ALLCLASSDATA,MATCH("FortitudeSaveExpert",CLASSFEATUREHEADERS,0),MATCH(($A686 &amp; "Points"),CLASSNAMEHEADERS,0))),(IF("03"=(INDEX(ALLCLASSDATA,MATCH("FortitudeSaveTrained",CLASSFEATUREHEADERS,0),MATCH($A686,CLASSNAMEHEADERS,0))),(INDEX(ALLCLASSDATA,MATCH("FortitudeSaveTrained",CLASSFEATUREHEADERS,0),MATCH(($A686 &amp; "Points"),CLASSNAMEHEADERS,0))),"")))))))))}</f>
        <v>FORTITUDEL03</v>
      </c>
      <c r="K685" s="230"/>
      <c r="L685" s="230" t="str">
        <f t="array" ref="L685:L686">{"FORTITUDEL05";((IF("05"=(INDEX(ALLCLASSDATA,MATCH("FortitudeSaveLegendary",CLASSFEATUREHEADERS,0),MATCH($A686,CLASSNAMEHEADERS,0))),(INDEX(ALLCLASSDATA,MATCH("FortitudeSaveLegendary",CLASSFEATUREHEADERS,0),MATCH(($A686 &amp; "Points"),CLASSNAMEHEADERS,0))),(IF("05"=(INDEX(ALLCLASSDATA,MATCH("FortitudeSaveMaster",CLASSFEATUREHEADERS,0),MATCH($A686,CLASSNAMEHEADERS,0))),(INDEX(ALLCLASSDATA,MATCH("FortitudeSaveMaster",CLASSFEATUREHEADERS,0),MATCH(($A686 &amp; "Points"),CLASSNAMEHEADERS,0))),(IF("05"=(INDEX(ALLCLASSDATA,MATCH("FortitudeSaveExpert",CLASSFEATUREHEADERS,0),MATCH($A686,CLASSNAMEHEADERS,0))),(INDEX(ALLCLASSDATA,MATCH("FortitudeSaveExpert",CLASSFEATUREHEADERS,0),MATCH(($A686 &amp; "Points"),CLASSNAMEHEADERS,0))),(IF("05"=(INDEX(ALLCLASSDATA,MATCH("FortitudeSaveTrained",CLASSFEATUREHEADERS,0),MATCH($A686,CLASSNAMEHEADERS,0))),(INDEX(ALLCLASSDATA,MATCH("FortitudeSaveTrained",CLASSFEATUREHEADERS,0),MATCH(($A686 &amp; "Points"),CLASSNAMEHEADERS,0))),"")))))))))}</f>
        <v>FORTITUDEL05</v>
      </c>
      <c r="M685" s="230"/>
      <c r="N685" s="230" t="str">
        <f t="array" ref="N685:N686">{"FORTITUDEL07";((IF("07"=(INDEX(ALLCLASSDATA,MATCH("FortitudeSaveLegendary",CLASSFEATUREHEADERS,0),MATCH($A686,CLASSNAMEHEADERS,0))),(INDEX(ALLCLASSDATA,MATCH("FortitudeSaveLegendary",CLASSFEATUREHEADERS,0),MATCH(($A686 &amp; "Points"),CLASSNAMEHEADERS,0))),(IF("07"=(INDEX(ALLCLASSDATA,MATCH("FortitudeSaveMaster",CLASSFEATUREHEADERS,0),MATCH($A686,CLASSNAMEHEADERS,0))),(INDEX(ALLCLASSDATA,MATCH("FortitudeSaveMaster",CLASSFEATUREHEADERS,0),MATCH(($A686 &amp; "Points"),CLASSNAMEHEADERS,0))),(IF("07"=(INDEX(ALLCLASSDATA,MATCH("FortitudeSaveExpert",CLASSFEATUREHEADERS,0),MATCH($A686,CLASSNAMEHEADERS,0))),(INDEX(ALLCLASSDATA,MATCH("FortitudeSaveExpert",CLASSFEATUREHEADERS,0),MATCH(($A686 &amp; "Points"),CLASSNAMEHEADERS,0))),(IF("07"=(INDEX(ALLCLASSDATA,MATCH("FortitudeSaveTrained",CLASSFEATUREHEADERS,0),MATCH($A686,CLASSNAMEHEADERS,0))),(INDEX(ALLCLASSDATA,MATCH("FortitudeSaveTrained",CLASSFEATUREHEADERS,0),MATCH(($A686 &amp; "Points"),CLASSNAMEHEADERS,0))),"")))))))))}</f>
        <v>FORTITUDEL07</v>
      </c>
      <c r="O685" s="230"/>
      <c r="P685" s="230" t="str">
        <f t="array" ref="P685:P686">{"FORTITUDEL09";((IF("09"=(INDEX(ALLCLASSDATA,MATCH("FortitudeSaveLegendary",CLASSFEATUREHEADERS,0),MATCH($A686,CLASSNAMEHEADERS,0))),(INDEX(ALLCLASSDATA,MATCH("FortitudeSaveLegendary",CLASSFEATUREHEADERS,0),MATCH(($A686 &amp; "Points"),CLASSNAMEHEADERS,0))),(IF("09"=(INDEX(ALLCLASSDATA,MATCH("FortitudeSaveMaster",CLASSFEATUREHEADERS,0),MATCH($A686,CLASSNAMEHEADERS,0))),(INDEX(ALLCLASSDATA,MATCH("FortitudeSaveMaster",CLASSFEATUREHEADERS,0),MATCH(($A686 &amp; "Points"),CLASSNAMEHEADERS,0))),(IF("09"=(INDEX(ALLCLASSDATA,MATCH("FortitudeSaveExpert",CLASSFEATUREHEADERS,0),MATCH($A686,CLASSNAMEHEADERS,0))),(INDEX(ALLCLASSDATA,MATCH("FortitudeSaveExpert",CLASSFEATUREHEADERS,0),MATCH(($A686 &amp; "Points"),CLASSNAMEHEADERS,0))),(IF("09"=(INDEX(ALLCLASSDATA,MATCH("FortitudeSaveTrained",CLASSFEATUREHEADERS,0),MATCH($A686,CLASSNAMEHEADERS,0))),(INDEX(ALLCLASSDATA,MATCH("FortitudeSaveTrained",CLASSFEATUREHEADERS,0),MATCH(($A686 &amp; "Points"),CLASSNAMEHEADERS,0))),"")))))))))}</f>
        <v>FORTITUDEL09</v>
      </c>
      <c r="Q685" s="230"/>
      <c r="R685" s="230" t="str">
        <f t="array" ref="R685:R686">{"FORTITUDEL11";((IF("11"=(INDEX(ALLCLASSDATA,MATCH("FortitudeSaveLegendary",CLASSFEATUREHEADERS,0),MATCH($A686,CLASSNAMEHEADERS,0))),(INDEX(ALLCLASSDATA,MATCH("FortitudeSaveLegendary",CLASSFEATUREHEADERS,0),MATCH(($A686 &amp; "Points"),CLASSNAMEHEADERS,0))),(IF("11"=(INDEX(ALLCLASSDATA,MATCH("FortitudeSaveMaster",CLASSFEATUREHEADERS,0),MATCH($A686,CLASSNAMEHEADERS,0))),(INDEX(ALLCLASSDATA,MATCH("FortitudeSaveMaster",CLASSFEATUREHEADERS,0),MATCH(($A686 &amp; "Points"),CLASSNAMEHEADERS,0))),(IF("11"=(INDEX(ALLCLASSDATA,MATCH("FortitudeSaveExpert",CLASSFEATUREHEADERS,0),MATCH($A686,CLASSNAMEHEADERS,0))),(INDEX(ALLCLASSDATA,MATCH("FortitudeSaveExpert",CLASSFEATUREHEADERS,0),MATCH(($A686 &amp; "Points"),CLASSNAMEHEADERS,0))),(IF("11"=(INDEX(ALLCLASSDATA,MATCH("FortitudeSaveTrained",CLASSFEATUREHEADERS,0),MATCH($A686,CLASSNAMEHEADERS,0))),(INDEX(ALLCLASSDATA,MATCH("FortitudeSaveTrained",CLASSFEATUREHEADERS,0),MATCH(($A686 &amp; "Points"),CLASSNAMEHEADERS,0))),"")))))))))}</f>
        <v>FORTITUDEL11</v>
      </c>
      <c r="S685" s="230"/>
      <c r="T685" s="230" t="str">
        <f t="array" ref="T685:T686">{"FORTITUDEL13";((IF("13"=(INDEX(ALLCLASSDATA,MATCH("FortitudeSaveLegendary",CLASSFEATUREHEADERS,0),MATCH($A686,CLASSNAMEHEADERS,0))),(INDEX(ALLCLASSDATA,MATCH("FortitudeSaveLegendary",CLASSFEATUREHEADERS,0),MATCH(($A686 &amp; "Points"),CLASSNAMEHEADERS,0))),(IF("13"=(INDEX(ALLCLASSDATA,MATCH("FortitudeSaveMaster",CLASSFEATUREHEADERS,0),MATCH($A686,CLASSNAMEHEADERS,0))),(INDEX(ALLCLASSDATA,MATCH("FortitudeSaveMaster",CLASSFEATUREHEADERS,0),MATCH(($A686 &amp; "Points"),CLASSNAMEHEADERS,0))),(IF("13"=(INDEX(ALLCLASSDATA,MATCH("FortitudeSaveExpert",CLASSFEATUREHEADERS,0),MATCH($A686,CLASSNAMEHEADERS,0))),(INDEX(ALLCLASSDATA,MATCH("FortitudeSaveExpert",CLASSFEATUREHEADERS,0),MATCH(($A686 &amp; "Points"),CLASSNAMEHEADERS,0))),(IF("13"=(INDEX(ALLCLASSDATA,MATCH("FortitudeSaveTrained",CLASSFEATUREHEADERS,0),MATCH($A686,CLASSNAMEHEADERS,0))),(INDEX(ALLCLASSDATA,MATCH("FortitudeSaveTrained",CLASSFEATUREHEADERS,0),MATCH(($A686 &amp; "Points"),CLASSNAMEHEADERS,0))),"")))))))))}</f>
        <v>FORTITUDEL13</v>
      </c>
      <c r="U685" s="230"/>
      <c r="V685" s="230" t="str">
        <f t="array" ref="V685:V686">{"FORTITUDEL15";((IF("15"=(INDEX(ALLCLASSDATA,MATCH("FortitudeSaveLegendary",CLASSFEATUREHEADERS,0),MATCH($A686,CLASSNAMEHEADERS,0))),(INDEX(ALLCLASSDATA,MATCH("FortitudeSaveLegendary",CLASSFEATUREHEADERS,0),MATCH(($A686 &amp; "Points"),CLASSNAMEHEADERS,0))),(IF("15"=(INDEX(ALLCLASSDATA,MATCH("FortitudeSaveMaster",CLASSFEATUREHEADERS,0),MATCH($A686,CLASSNAMEHEADERS,0))),(INDEX(ALLCLASSDATA,MATCH("FortitudeSaveMaster",CLASSFEATUREHEADERS,0),MATCH(($A686 &amp; "Points"),CLASSNAMEHEADERS,0))),(IF("15"=(INDEX(ALLCLASSDATA,MATCH("FortitudeSaveExpert",CLASSFEATUREHEADERS,0),MATCH($A686,CLASSNAMEHEADERS,0))),(INDEX(ALLCLASSDATA,MATCH("FortitudeSaveExpert",CLASSFEATUREHEADERS,0),MATCH(($A686 &amp; "Points"),CLASSNAMEHEADERS,0))),(IF("15"=(INDEX(ALLCLASSDATA,MATCH("FortitudeSaveTrained",CLASSFEATUREHEADERS,0),MATCH($A686,CLASSNAMEHEADERS,0))),(INDEX(ALLCLASSDATA,MATCH("FortitudeSaveTrained",CLASSFEATUREHEADERS,0),MATCH(($A686 &amp; "Points"),CLASSNAMEHEADERS,0))),"")))))))))}</f>
        <v>FORTITUDEL15</v>
      </c>
      <c r="W685" s="230"/>
      <c r="X685" s="230" t="str">
        <f t="array" ref="X685:X686">{"FORTITUDEL17";((IF("17"=(INDEX(ALLCLASSDATA,MATCH("FortitudeSaveLegendary",CLASSFEATUREHEADERS,0),MATCH($A686,CLASSNAMEHEADERS,0))),(INDEX(ALLCLASSDATA,MATCH("FortitudeSaveLegendary",CLASSFEATUREHEADERS,0),MATCH(($A686 &amp; "Points"),CLASSNAMEHEADERS,0))),(IF("17"=(INDEX(ALLCLASSDATA,MATCH("FortitudeSaveMaster",CLASSFEATUREHEADERS,0),MATCH($A686,CLASSNAMEHEADERS,0))),(INDEX(ALLCLASSDATA,MATCH("FortitudeSaveMaster",CLASSFEATUREHEADERS,0),MATCH(($A686 &amp; "Points"),CLASSNAMEHEADERS,0))),(IF("17"=(INDEX(ALLCLASSDATA,MATCH("FortitudeSaveExpert",CLASSFEATUREHEADERS,0),MATCH($A686,CLASSNAMEHEADERS,0))),(INDEX(ALLCLASSDATA,MATCH("FortitudeSaveExpert",CLASSFEATUREHEADERS,0),MATCH(($A686 &amp; "Points"),CLASSNAMEHEADERS,0))),(IF("17"=(INDEX(ALLCLASSDATA,MATCH("FortitudeSaveTrained",CLASSFEATUREHEADERS,0),MATCH($A686,CLASSNAMEHEADERS,0))),(INDEX(ALLCLASSDATA,MATCH("FortitudeSaveTrained",CLASSFEATUREHEADERS,0),MATCH(($A686 &amp; "Points"),CLASSNAMEHEADERS,0))),"")))))))))}</f>
        <v>FORTITUDEL17</v>
      </c>
      <c r="Y685" s="230"/>
      <c r="Z685" s="230" t="str">
        <f t="array" ref="Z685:Z686">{"FORTITUDEL19";((IF("19"=(INDEX(ALLCLASSDATA,MATCH("FortitudeSaveLegendary",CLASSFEATUREHEADERS,0),MATCH($A686,CLASSNAMEHEADERS,0))),(INDEX(ALLCLASSDATA,MATCH("FortitudeSaveLegendary",CLASSFEATUREHEADERS,0),MATCH(($A686 &amp; "Points"),CLASSNAMEHEADERS,0))),(IF("19"=(INDEX(ALLCLASSDATA,MATCH("FortitudeSaveMaster",CLASSFEATUREHEADERS,0),MATCH($A686,CLASSNAMEHEADERS,0))),(INDEX(ALLCLASSDATA,MATCH("FortitudeSaveMaster",CLASSFEATUREHEADERS,0),MATCH(($A686 &amp; "Points"),CLASSNAMEHEADERS,0))),(IF("19"=(INDEX(ALLCLASSDATA,MATCH("FortitudeSaveExpert",CLASSFEATUREHEADERS,0),MATCH($A686,CLASSNAMEHEADERS,0))),(INDEX(ALLCLASSDATA,MATCH("FortitudeSaveExpert",CLASSFEATUREHEADERS,0),MATCH(($A686 &amp; "Points"),CLASSNAMEHEADERS,0))),(IF("19"=(INDEX(ALLCLASSDATA,MATCH("FortitudeSaveTrained",CLASSFEATUREHEADERS,0),MATCH($A686,CLASSNAMEHEADERS,0))),(INDEX(ALLCLASSDATA,MATCH("FortitudeSaveTrained",CLASSFEATUREHEADERS,0),MATCH(($A686 &amp; "Points"),CLASSNAMEHEADERS,0))),"")))))))))}</f>
        <v>FORTITUDEL19</v>
      </c>
      <c r="AA685" s="230"/>
      <c r="AB685" s="76" t="str">
        <f t="array" ref="AB685:AB686">{"FORTITUDE TOTAL";(IF(COUNTBLANK(G686:AA686)=17,"L",(IF(COUNTBLANK(G686:AA686)=18,"M",(IF(COUNTBLANK(G686:AA686)=19,"E",(IF(COUNTBLANK(G686:AA686)=20,"T",""))))))))}</f>
        <v>FORTITUDE TOTAL</v>
      </c>
      <c r="AC685" s="76" t="str">
        <f t="array" ref="AC685:AC686">{"FORTITUDE TOTAL";(sum(G686:AA686))}</f>
        <v>FORTITUDE TOTAL</v>
      </c>
    </row>
    <row r="686">
      <c r="A686" s="48" t="s">
        <v>170</v>
      </c>
      <c r="B686" s="48"/>
      <c r="C686" s="48" t="s">
        <v>415</v>
      </c>
      <c r="D686" s="48" t="s">
        <v>1549</v>
      </c>
      <c r="E686" s="48" t="s">
        <v>1550</v>
      </c>
      <c r="F686" s="5" t="s">
        <v>436</v>
      </c>
      <c r="G686" s="47">
        <v>10.0</v>
      </c>
      <c r="H686" s="5">
        <v>50.0</v>
      </c>
      <c r="I686" s="5"/>
      <c r="J686" s="5" t="s">
        <v>603</v>
      </c>
      <c r="K686" s="5"/>
      <c r="L686" s="5" t="s">
        <v>603</v>
      </c>
      <c r="M686" s="5"/>
      <c r="N686" s="5" t="s">
        <v>603</v>
      </c>
      <c r="O686" s="5"/>
      <c r="P686" s="5" t="s">
        <v>603</v>
      </c>
      <c r="Q686" s="5"/>
      <c r="R686" s="5" t="s">
        <v>603</v>
      </c>
      <c r="S686" s="5"/>
      <c r="T686" s="5" t="s">
        <v>603</v>
      </c>
      <c r="U686" s="5"/>
      <c r="V686" s="5">
        <v>110.0</v>
      </c>
      <c r="W686" s="5"/>
      <c r="X686" s="5" t="s">
        <v>603</v>
      </c>
      <c r="Y686" s="5"/>
      <c r="Z686" s="5" t="s">
        <v>603</v>
      </c>
      <c r="AA686" s="5"/>
      <c r="AB686" s="5" t="s">
        <v>437</v>
      </c>
      <c r="AC686" s="47">
        <v>170.0</v>
      </c>
    </row>
    <row r="687" hidden="1">
      <c r="A687" s="222" t="str">
        <f t="array" ref="A687:A688">{"FormulaRow24";(INDEX(CLASSLIST,A640,1))}</f>
        <v>FormulaRow24</v>
      </c>
      <c r="B687" s="77" t="s">
        <v>236</v>
      </c>
      <c r="C687" s="222" t="str">
        <f t="array" ref="C687:C688">{"CLASSTYPE";((INDEX(ALLCLASSDATA,MATCH("ClassType",CLASSFEATUREHEADERS,0),MATCH($A688,CLASSNAMEHEADERS,0))))}</f>
        <v>CLASSTYPE</v>
      </c>
      <c r="D687" s="222" t="str">
        <f t="array" ref="D687:D688">{"SAVES";"Saves"}</f>
        <v>SAVES</v>
      </c>
      <c r="E687" s="222" t="str">
        <f t="array" ref="E687:E688">{"REFLEXSAVE";"ReflexSave"}</f>
        <v>REFLEXSAVE</v>
      </c>
      <c r="F687" s="223" t="str">
        <f t="array" ref="F687:F688">{"REFLEXINITIAL";((IF(H688=10,"T",(IF(H688=50,"E","")))))}</f>
        <v>REFLEXINITIAL</v>
      </c>
      <c r="G687" s="223" t="str">
        <f t="array" ref="G687:G688">{"REFLEXINITIALPTS";((IF("00"=(INDEX(ALLCLASSDATA,MATCH("ReflexSaveLegendary",CLASSFEATUREHEADERS,0),MATCH($A688,CLASSNAMEHEADERS,0))),(INDEX(ALLCLASSDATA,MATCH("ReflexSaveLegendary",CLASSFEATUREHEADERS,0),MATCH(($A688 &amp; "Points"),CLASSNAMEHEADERS,0))),(IF("00"=(INDEX(ALLCLASSDATA,MATCH("ReflexSaveMaster",CLASSFEATUREHEADERS,0),MATCH($A688,CLASSNAMEHEADERS,0))),(INDEX(ALLCLASSDATA,MATCH("ReflexSaveMaster",CLASSFEATUREHEADERS,0),MATCH(($A688 &amp; "Points"),CLASSNAMEHEADERS,0))),(IF("00"=(INDEX(ALLCLASSDATA,MATCH("ReflexSaveExpert",CLASSFEATUREHEADERS,0),MATCH($A688,CLASSNAMEHEADERS,0))),(INDEX(ALLCLASSDATA,MATCH("ReflexSaveExpert",CLASSFEATUREHEADERS,0),MATCH(($A688 &amp; "Points"),CLASSNAMEHEADERS,0))),(IF("00"=(INDEX(ALLCLASSDATA,MATCH("ReflexSaveTrained",CLASSFEATUREHEADERS,0),MATCH($A688,CLASSNAMEHEADERS,0))),(INDEX(ALLCLASSDATA,MATCH("ReflexSaveTrained",CLASSFEATUREHEADERS,0),MATCH(($A688 &amp; "Points"),CLASSNAMEHEADERS,0))),"")))))))))}</f>
        <v>REFLEXINITIALPTS</v>
      </c>
      <c r="H687" s="223" t="str">
        <f t="array" ref="H687:H688">{"REFLEXL01";((IF("01"=(INDEX(ALLCLASSDATA,MATCH("ReflexSaveLegendary",CLASSFEATUREHEADERS,0),MATCH($A688,CLASSNAMEHEADERS,0))),(INDEX(ALLCLASSDATA,MATCH("ReflexSaveLegendary",CLASSFEATUREHEADERS,0),MATCH(($A688 &amp; "Points"),CLASSNAMEHEADERS,0))),(IF("01"=(INDEX(ALLCLASSDATA,MATCH("ReflexSaveMaster",CLASSFEATUREHEADERS,0),MATCH($A688,CLASSNAMEHEADERS,0))),(INDEX(ALLCLASSDATA,MATCH("ReflexSaveMaster",CLASSFEATUREHEADERS,0),MATCH(($A688 &amp; "Points"),CLASSNAMEHEADERS,0))),(IF("01"=(INDEX(ALLCLASSDATA,MATCH("ReflexSaveExpert",CLASSFEATUREHEADERS,0),MATCH($A688,CLASSNAMEHEADERS,0))),(INDEX(ALLCLASSDATA,MATCH("ReflexSaveExpert",CLASSFEATUREHEADERS,0),MATCH(($A688 &amp; "Points"),CLASSNAMEHEADERS,0))),(IF("01"=(INDEX(ALLCLASSDATA,MATCH("ReflexSaveTrained",CLASSFEATUREHEADERS,0),MATCH($A688,CLASSNAMEHEADERS,0))),(INDEX(ALLCLASSDATA,MATCH("ReflexSaveTrained",CLASSFEATUREHEADERS,0),MATCH(($A688 &amp; "Points"),CLASSNAMEHEADERS,0))),"")))))))))}</f>
        <v>REFLEXL01</v>
      </c>
      <c r="I687" s="223"/>
      <c r="J687" s="223" t="str">
        <f t="array" ref="J687:J688">{"REFLEXL03";((IF("03"=(INDEX(ALLCLASSDATA,MATCH("ReflexSaveLegendary",CLASSFEATUREHEADERS,0),MATCH($A688,CLASSNAMEHEADERS,0))),(INDEX(ALLCLASSDATA,MATCH("ReflexSaveLegendary",CLASSFEATUREHEADERS,0),MATCH(($A688 &amp; "Points"),CLASSNAMEHEADERS,0))),(IF("03"=(INDEX(ALLCLASSDATA,MATCH("ReflexSaveMaster",CLASSFEATUREHEADERS,0),MATCH($A688,CLASSNAMEHEADERS,0))),(INDEX(ALLCLASSDATA,MATCH("ReflexSaveMaster",CLASSFEATUREHEADERS,0),MATCH(($A688 &amp; "Points"),CLASSNAMEHEADERS,0))),(IF("03"=(INDEX(ALLCLASSDATA,MATCH("ReflexSaveExpert",CLASSFEATUREHEADERS,0),MATCH($A688,CLASSNAMEHEADERS,0))),(INDEX(ALLCLASSDATA,MATCH("ReflexSaveExpert",CLASSFEATUREHEADERS,0),MATCH(($A688 &amp; "Points"),CLASSNAMEHEADERS,0))),(IF("03"=(INDEX(ALLCLASSDATA,MATCH("ReflexSaveTrained",CLASSFEATUREHEADERS,0),MATCH($A688,CLASSNAMEHEADERS,0))),(INDEX(ALLCLASSDATA,MATCH("ReflexSaveTrained",CLASSFEATUREHEADERS,0),MATCH(($A688 &amp; "Points"),CLASSNAMEHEADERS,0))),"")))))))))}</f>
        <v>REFLEXL03</v>
      </c>
      <c r="K687" s="223"/>
      <c r="L687" s="223" t="str">
        <f t="array" ref="L687:L688">{"REFLEXL05";((IF("05"=(INDEX(ALLCLASSDATA,MATCH("ReflexSaveLegendary",CLASSFEATUREHEADERS,0),MATCH($A688,CLASSNAMEHEADERS,0))),(INDEX(ALLCLASSDATA,MATCH("ReflexSaveLegendary",CLASSFEATUREHEADERS,0),MATCH(($A688 &amp; "Points"),CLASSNAMEHEADERS,0))),(IF("05"=(INDEX(ALLCLASSDATA,MATCH("ReflexSaveMaster",CLASSFEATUREHEADERS,0),MATCH($A688,CLASSNAMEHEADERS,0))),(INDEX(ALLCLASSDATA,MATCH("ReflexSaveMaster",CLASSFEATUREHEADERS,0),MATCH(($A688 &amp; "Points"),CLASSNAMEHEADERS,0))),(IF("05"=(INDEX(ALLCLASSDATA,MATCH("ReflexSaveExpert",CLASSFEATUREHEADERS,0),MATCH($A688,CLASSNAMEHEADERS,0))),(INDEX(ALLCLASSDATA,MATCH("ReflexSaveExpert",CLASSFEATUREHEADERS,0),MATCH(($A688 &amp; "Points"),CLASSNAMEHEADERS,0))),(IF("05"=(INDEX(ALLCLASSDATA,MATCH("ReflexSaveTrained",CLASSFEATUREHEADERS,0),MATCH($A688,CLASSNAMEHEADERS,0))),(INDEX(ALLCLASSDATA,MATCH("ReflexSaveTrained",CLASSFEATUREHEADERS,0),MATCH(($A688 &amp; "Points"),CLASSNAMEHEADERS,0))),"")))))))))}</f>
        <v>REFLEXL05</v>
      </c>
      <c r="M687" s="223"/>
      <c r="N687" s="223" t="str">
        <f t="array" ref="N687:N688">{"REFLEXL07";((IF("07"=(INDEX(ALLCLASSDATA,MATCH("ReflexSaveLegendary",CLASSFEATUREHEADERS,0),MATCH($A688,CLASSNAMEHEADERS,0))),(INDEX(ALLCLASSDATA,MATCH("ReflexSaveLegendary",CLASSFEATUREHEADERS,0),MATCH(($A688 &amp; "Points"),CLASSNAMEHEADERS,0))),(IF("07"=(INDEX(ALLCLASSDATA,MATCH("ReflexSaveMaster",CLASSFEATUREHEADERS,0),MATCH($A688,CLASSNAMEHEADERS,0))),(INDEX(ALLCLASSDATA,MATCH("ReflexSaveMaster",CLASSFEATUREHEADERS,0),MATCH(($A688 &amp; "Points"),CLASSNAMEHEADERS,0))),(IF("07"=(INDEX(ALLCLASSDATA,MATCH("ReflexSaveExpert",CLASSFEATUREHEADERS,0),MATCH($A688,CLASSNAMEHEADERS,0))),(INDEX(ALLCLASSDATA,MATCH("ReflexSaveExpert",CLASSFEATUREHEADERS,0),MATCH(($A688 &amp; "Points"),CLASSNAMEHEADERS,0))),(IF("07"=(INDEX(ALLCLASSDATA,MATCH("ReflexSaveTrained",CLASSFEATUREHEADERS,0),MATCH($A688,CLASSNAMEHEADERS,0))),(INDEX(ALLCLASSDATA,MATCH("ReflexSaveTrained",CLASSFEATUREHEADERS,0),MATCH(($A688 &amp; "Points"),CLASSNAMEHEADERS,0))),"")))))))))}</f>
        <v>REFLEXL07</v>
      </c>
      <c r="O687" s="223"/>
      <c r="P687" s="223" t="str">
        <f t="array" ref="P687:P688">{"REFLEXL09";((IF("09"=(INDEX(ALLCLASSDATA,MATCH("ReflexSaveLegendary",CLASSFEATUREHEADERS,0),MATCH($A688,CLASSNAMEHEADERS,0))),(INDEX(ALLCLASSDATA,MATCH("ReflexSaveLegendary",CLASSFEATUREHEADERS,0),MATCH(($A688 &amp; "Points"),CLASSNAMEHEADERS,0))),(IF("09"=(INDEX(ALLCLASSDATA,MATCH("ReflexSaveMaster",CLASSFEATUREHEADERS,0),MATCH($A688,CLASSNAMEHEADERS,0))),(INDEX(ALLCLASSDATA,MATCH("ReflexSaveMaster",CLASSFEATUREHEADERS,0),MATCH(($A688 &amp; "Points"),CLASSNAMEHEADERS,0))),(IF("09"=(INDEX(ALLCLASSDATA,MATCH("ReflexSaveExpert",CLASSFEATUREHEADERS,0),MATCH($A688,CLASSNAMEHEADERS,0))),(INDEX(ALLCLASSDATA,MATCH("ReflexSaveExpert",CLASSFEATUREHEADERS,0),MATCH(($A688 &amp; "Points"),CLASSNAMEHEADERS,0))),(IF("09"=(INDEX(ALLCLASSDATA,MATCH("ReflexSaveTrained",CLASSFEATUREHEADERS,0),MATCH($A688,CLASSNAMEHEADERS,0))),(INDEX(ALLCLASSDATA,MATCH("ReflexSaveTrained",CLASSFEATUREHEADERS,0),MATCH(($A688 &amp; "Points"),CLASSNAMEHEADERS,0))),"")))))))))}</f>
        <v>REFLEXL09</v>
      </c>
      <c r="Q687" s="223"/>
      <c r="R687" s="223" t="str">
        <f t="array" ref="R687:R688">{"REFLEXL11";((IF("11"=(INDEX(ALLCLASSDATA,MATCH("ReflexSaveLegendary",CLASSFEATUREHEADERS,0),MATCH($A688,CLASSNAMEHEADERS,0))),(INDEX(ALLCLASSDATA,MATCH("ReflexSaveLegendary",CLASSFEATUREHEADERS,0),MATCH(($A688 &amp; "Points"),CLASSNAMEHEADERS,0))),(IF("11"=(INDEX(ALLCLASSDATA,MATCH("ReflexSaveMaster",CLASSFEATUREHEADERS,0),MATCH($A688,CLASSNAMEHEADERS,0))),(INDEX(ALLCLASSDATA,MATCH("ReflexSaveMaster",CLASSFEATUREHEADERS,0),MATCH(($A688 &amp; "Points"),CLASSNAMEHEADERS,0))),(IF("11"=(INDEX(ALLCLASSDATA,MATCH("ReflexSaveExpert",CLASSFEATUREHEADERS,0),MATCH($A688,CLASSNAMEHEADERS,0))),(INDEX(ALLCLASSDATA,MATCH("ReflexSaveExpert",CLASSFEATUREHEADERS,0),MATCH(($A688 &amp; "Points"),CLASSNAMEHEADERS,0))),(IF("11"=(INDEX(ALLCLASSDATA,MATCH("ReflexSaveTrained",CLASSFEATUREHEADERS,0),MATCH($A688,CLASSNAMEHEADERS,0))),(INDEX(ALLCLASSDATA,MATCH("ReflexSaveTrained",CLASSFEATUREHEADERS,0),MATCH(($A688 &amp; "Points"),CLASSNAMEHEADERS,0))),"")))))))))}</f>
        <v>REFLEXL11</v>
      </c>
      <c r="S687" s="223"/>
      <c r="T687" s="223" t="str">
        <f t="array" ref="T687:T688">{"REFLEXL13";((IF("13"=(INDEX(ALLCLASSDATA,MATCH("ReflexSaveLegendary",CLASSFEATUREHEADERS,0),MATCH($A688,CLASSNAMEHEADERS,0))),(INDEX(ALLCLASSDATA,MATCH("ReflexSaveLegendary",CLASSFEATUREHEADERS,0),MATCH(($A688 &amp; "Points"),CLASSNAMEHEADERS,0))),(IF("13"=(INDEX(ALLCLASSDATA,MATCH("ReflexSaveMaster",CLASSFEATUREHEADERS,0),MATCH($A688,CLASSNAMEHEADERS,0))),(INDEX(ALLCLASSDATA,MATCH("ReflexSaveMaster",CLASSFEATUREHEADERS,0),MATCH(($A688 &amp; "Points"),CLASSNAMEHEADERS,0))),(IF("13"=(INDEX(ALLCLASSDATA,MATCH("ReflexSaveExpert",CLASSFEATUREHEADERS,0),MATCH($A688,CLASSNAMEHEADERS,0))),(INDEX(ALLCLASSDATA,MATCH("ReflexSaveExpert",CLASSFEATUREHEADERS,0),MATCH(($A688 &amp; "Points"),CLASSNAMEHEADERS,0))),(IF("13"=(INDEX(ALLCLASSDATA,MATCH("ReflexSaveTrained",CLASSFEATUREHEADERS,0),MATCH($A688,CLASSNAMEHEADERS,0))),(INDEX(ALLCLASSDATA,MATCH("ReflexSaveTrained",CLASSFEATUREHEADERS,0),MATCH(($A688 &amp; "Points"),CLASSNAMEHEADERS,0))),"")))))))))}</f>
        <v>REFLEXL13</v>
      </c>
      <c r="U687" s="223"/>
      <c r="V687" s="223" t="str">
        <f t="array" ref="V687:V688">{"REFLEXL15";((IF("15"=(INDEX(ALLCLASSDATA,MATCH("ReflexSaveLegendary",CLASSFEATUREHEADERS,0),MATCH($A688,CLASSNAMEHEADERS,0))),(INDEX(ALLCLASSDATA,MATCH("ReflexSaveLegendary",CLASSFEATUREHEADERS,0),MATCH(($A688 &amp; "Points"),CLASSNAMEHEADERS,0))),(IF("15"=(INDEX(ALLCLASSDATA,MATCH("ReflexSaveMaster",CLASSFEATUREHEADERS,0),MATCH($A688,CLASSNAMEHEADERS,0))),(INDEX(ALLCLASSDATA,MATCH("ReflexSaveMaster",CLASSFEATUREHEADERS,0),MATCH(($A688 &amp; "Points"),CLASSNAMEHEADERS,0))),(IF("15"=(INDEX(ALLCLASSDATA,MATCH("ReflexSaveExpert",CLASSFEATUREHEADERS,0),MATCH($A688,CLASSNAMEHEADERS,0))),(INDEX(ALLCLASSDATA,MATCH("ReflexSaveExpert",CLASSFEATUREHEADERS,0),MATCH(($A688 &amp; "Points"),CLASSNAMEHEADERS,0))),(IF("15"=(INDEX(ALLCLASSDATA,MATCH("ReflexSaveTrained",CLASSFEATUREHEADERS,0),MATCH($A688,CLASSNAMEHEADERS,0))),(INDEX(ALLCLASSDATA,MATCH("ReflexSaveTrained",CLASSFEATUREHEADERS,0),MATCH(($A688 &amp; "Points"),CLASSNAMEHEADERS,0))),"")))))))))}</f>
        <v>REFLEXL15</v>
      </c>
      <c r="W687" s="223"/>
      <c r="X687" s="223" t="str">
        <f t="array" ref="X687:X688">{"REFLEXL17";((IF("17"=(INDEX(ALLCLASSDATA,MATCH("ReflexSaveLegendary",CLASSFEATUREHEADERS,0),MATCH($A688,CLASSNAMEHEADERS,0))),(INDEX(ALLCLASSDATA,MATCH("ReflexSaveLegendary",CLASSFEATUREHEADERS,0),MATCH(($A688 &amp; "Points"),CLASSNAMEHEADERS,0))),(IF("17"=(INDEX(ALLCLASSDATA,MATCH("ReflexSaveMaster",CLASSFEATUREHEADERS,0),MATCH($A688,CLASSNAMEHEADERS,0))),(INDEX(ALLCLASSDATA,MATCH("ReflexSaveMaster",CLASSFEATUREHEADERS,0),MATCH(($A688 &amp; "Points"),CLASSNAMEHEADERS,0))),(IF("17"=(INDEX(ALLCLASSDATA,MATCH("ReflexSaveExpert",CLASSFEATUREHEADERS,0),MATCH($A688,CLASSNAMEHEADERS,0))),(INDEX(ALLCLASSDATA,MATCH("ReflexSaveExpert",CLASSFEATUREHEADERS,0),MATCH(($A688 &amp; "Points"),CLASSNAMEHEADERS,0))),(IF("17"=(INDEX(ALLCLASSDATA,MATCH("ReflexSaveTrained",CLASSFEATUREHEADERS,0),MATCH($A688,CLASSNAMEHEADERS,0))),(INDEX(ALLCLASSDATA,MATCH("ReflexSaveTrained",CLASSFEATUREHEADERS,0),MATCH(($A688 &amp; "Points"),CLASSNAMEHEADERS,0))),"")))))))))}</f>
        <v>REFLEXL17</v>
      </c>
      <c r="Y687" s="223"/>
      <c r="Z687" s="223" t="str">
        <f t="array" ref="Z687:Z688">{"REFLEXL19";((IF("19"=(INDEX(ALLCLASSDATA,MATCH("ReflexSaveLegendary",CLASSFEATUREHEADERS,0),MATCH($A688,CLASSNAMEHEADERS,0))),(INDEX(ALLCLASSDATA,MATCH("ReflexSaveLegendary",CLASSFEATUREHEADERS,0),MATCH(($A688 &amp; "Points"),CLASSNAMEHEADERS,0))),(IF("19"=(INDEX(ALLCLASSDATA,MATCH("ReflexSaveMaster",CLASSFEATUREHEADERS,0),MATCH($A688,CLASSNAMEHEADERS,0))),(INDEX(ALLCLASSDATA,MATCH("ReflexSaveMaster",CLASSFEATUREHEADERS,0),MATCH(($A688 &amp; "Points"),CLASSNAMEHEADERS,0))),(IF("19"=(INDEX(ALLCLASSDATA,MATCH("ReflexSaveExpert",CLASSFEATUREHEADERS,0),MATCH($A688,CLASSNAMEHEADERS,0))),(INDEX(ALLCLASSDATA,MATCH("ReflexSaveExpert",CLASSFEATUREHEADERS,0),MATCH(($A688 &amp; "Points"),CLASSNAMEHEADERS,0))),(IF("19"=(INDEX(ALLCLASSDATA,MATCH("ReflexSaveTrained",CLASSFEATUREHEADERS,0),MATCH($A688,CLASSNAMEHEADERS,0))),(INDEX(ALLCLASSDATA,MATCH("ReflexSaveTrained",CLASSFEATUREHEADERS,0),MATCH(($A688 &amp; "Points"),CLASSNAMEHEADERS,0))),"")))))))))}</f>
        <v>REFLEXL19</v>
      </c>
      <c r="AA687" s="223"/>
      <c r="AB687" s="76" t="str">
        <f t="array" ref="AB687:AB688">{"REFLEX TOTAL";(IF(COUNTBLANK(G688:AA688)=17,"L",(IF(COUNTBLANK(G688:AA688)=18,"M",(IF(COUNTBLANK(G688:AA688)=19,"E",(IF(COUNTBLANK(G688:AA688)=20,"T",""))))))))}</f>
        <v>REFLEX TOTAL</v>
      </c>
      <c r="AC687" s="76" t="str">
        <f t="array" ref="AC687:AC688">{"REFLEX TOTAL";(sum(G688:AA688))}</f>
        <v>REFLEX TOTAL</v>
      </c>
    </row>
    <row r="688">
      <c r="A688" s="48" t="s">
        <v>170</v>
      </c>
      <c r="B688" s="48"/>
      <c r="C688" s="48" t="s">
        <v>415</v>
      </c>
      <c r="D688" s="48" t="s">
        <v>1549</v>
      </c>
      <c r="E688" s="48" t="s">
        <v>1572</v>
      </c>
      <c r="F688" s="5" t="s">
        <v>435</v>
      </c>
      <c r="G688" s="47" t="s">
        <v>603</v>
      </c>
      <c r="H688" s="5">
        <v>10.0</v>
      </c>
      <c r="I688" s="5"/>
      <c r="J688" s="5">
        <v>50.0</v>
      </c>
      <c r="K688" s="5"/>
      <c r="L688" s="5" t="s">
        <v>603</v>
      </c>
      <c r="M688" s="5"/>
      <c r="N688" s="5" t="s">
        <v>603</v>
      </c>
      <c r="O688" s="5"/>
      <c r="P688" s="5" t="s">
        <v>603</v>
      </c>
      <c r="Q688" s="5"/>
      <c r="R688" s="5" t="s">
        <v>603</v>
      </c>
      <c r="S688" s="5"/>
      <c r="T688" s="5" t="s">
        <v>603</v>
      </c>
      <c r="U688" s="5"/>
      <c r="V688" s="5" t="s">
        <v>603</v>
      </c>
      <c r="W688" s="5"/>
      <c r="X688" s="5" t="s">
        <v>603</v>
      </c>
      <c r="Y688" s="5"/>
      <c r="Z688" s="5" t="s">
        <v>603</v>
      </c>
      <c r="AA688" s="5"/>
      <c r="AB688" s="5" t="s">
        <v>436</v>
      </c>
      <c r="AC688" s="47">
        <v>60.0</v>
      </c>
    </row>
    <row r="689" hidden="1">
      <c r="A689" s="222" t="str">
        <f t="array" ref="A689:A690">{"FormulaRow25";(INDEX(CLASSLIST,A640,1))}</f>
        <v>FormulaRow25</v>
      </c>
      <c r="B689" s="77" t="s">
        <v>236</v>
      </c>
      <c r="C689" s="222" t="str">
        <f t="array" ref="C689:C690">{"CLASSTYPE";((INDEX(ALLCLASSDATA,MATCH("ClassType",CLASSFEATUREHEADERS,0),MATCH($A690,CLASSNAMEHEADERS,0))))}</f>
        <v>CLASSTYPE</v>
      </c>
      <c r="D689" s="222" t="str">
        <f t="array" ref="D689:D690">{"SAVES";"Saves"}</f>
        <v>SAVES</v>
      </c>
      <c r="E689" s="222" t="str">
        <f t="array" ref="E689:E690">{"WILLSAVE";"WillSave"}</f>
        <v>WILLSAVE</v>
      </c>
      <c r="F689" s="223" t="str">
        <f t="array" ref="F689:F690">{"WILLINITIAL";((IF(H690=10,"T",(IF(H690=50,"E","")))))}</f>
        <v>WILLINITIAL</v>
      </c>
      <c r="G689" s="223" t="str">
        <f t="array" ref="G689:G690">{"WILLINITIALPTS";((IF("00"=(INDEX(ALLCLASSDATA,MATCH("WillSaveLegendary",CLASSFEATUREHEADERS,0),MATCH($A690,CLASSNAMEHEADERS,0))),(INDEX(ALLCLASSDATA,MATCH("WillSaveLegendary",CLASSFEATUREHEADERS,0),MATCH(($A690 &amp; "Points"),CLASSNAMEHEADERS,0))),(IF("00"=(INDEX(ALLCLASSDATA,MATCH("WillSaveMaster",CLASSFEATUREHEADERS,0),MATCH($A690,CLASSNAMEHEADERS,0))),(INDEX(ALLCLASSDATA,MATCH("WillSaveMaster",CLASSFEATUREHEADERS,0),MATCH(($A690 &amp; "Points"),CLASSNAMEHEADERS,0))),(IF("00"=(INDEX(ALLCLASSDATA,MATCH("WillSaveExpert",CLASSFEATUREHEADERS,0),MATCH($A690,CLASSNAMEHEADERS,0))),(INDEX(ALLCLASSDATA,MATCH("WillSaveExpert",CLASSFEATUREHEADERS,0),MATCH(($A690 &amp; "Points"),CLASSNAMEHEADERS,0))),(IF("00"=(INDEX(ALLCLASSDATA,MATCH("WillSaveTrained",CLASSFEATUREHEADERS,0),MATCH($A690,CLASSNAMEHEADERS,0))),(INDEX(ALLCLASSDATA,MATCH("WillSaveTrained",CLASSFEATUREHEADERS,0),MATCH(($A690 &amp; "Points"),CLASSNAMEHEADERS,0))),"")))))))))}</f>
        <v>WILLINITIALPTS</v>
      </c>
      <c r="H689" s="223" t="str">
        <f t="array" ref="H689:H690">{"WILLL01";((IF("01"=(INDEX(ALLCLASSDATA,MATCH("WillSaveLegendary",CLASSFEATUREHEADERS,0),MATCH($A690,CLASSNAMEHEADERS,0))),(INDEX(ALLCLASSDATA,MATCH("WillSaveLegendary",CLASSFEATUREHEADERS,0),MATCH(($A690 &amp; "Points"),CLASSNAMEHEADERS,0))),(IF("01"=(INDEX(ALLCLASSDATA,MATCH("WillSaveMaster",CLASSFEATUREHEADERS,0),MATCH($A690,CLASSNAMEHEADERS,0))),(INDEX(ALLCLASSDATA,MATCH("WillSaveMaster",CLASSFEATUREHEADERS,0),MATCH(($A690 &amp; "Points"),CLASSNAMEHEADERS,0))),(IF("01"=(INDEX(ALLCLASSDATA,MATCH("WillSaveExpert",CLASSFEATUREHEADERS,0),MATCH($A690,CLASSNAMEHEADERS,0))),(INDEX(ALLCLASSDATA,MATCH("WillSaveExpert",CLASSFEATUREHEADERS,0),MATCH(($A690 &amp; "Points"),CLASSNAMEHEADERS,0))),(IF("01"=(INDEX(ALLCLASSDATA,MATCH("WillSaveTrained",CLASSFEATUREHEADERS,0),MATCH($A690,CLASSNAMEHEADERS,0))),(INDEX(ALLCLASSDATA,MATCH("WillSaveTrained",CLASSFEATUREHEADERS,0),MATCH(($A690 &amp; "Points"),CLASSNAMEHEADERS,0))),"")))))))))}</f>
        <v>WILLL01</v>
      </c>
      <c r="I689" s="223"/>
      <c r="J689" s="223" t="str">
        <f t="array" ref="J689:J690">{"WILLL03";((IF("03"=(INDEX(ALLCLASSDATA,MATCH("WillSaveLegendary",CLASSFEATUREHEADERS,0),MATCH($A690,CLASSNAMEHEADERS,0))),(INDEX(ALLCLASSDATA,MATCH("WillSaveLegendary",CLASSFEATUREHEADERS,0),MATCH(($A690 &amp; "Points"),CLASSNAMEHEADERS,0))),(IF("03"=(INDEX(ALLCLASSDATA,MATCH("WillSaveMaster",CLASSFEATUREHEADERS,0),MATCH($A690,CLASSNAMEHEADERS,0))),(INDEX(ALLCLASSDATA,MATCH("WillSaveMaster",CLASSFEATUREHEADERS,0),MATCH(($A690 &amp; "Points"),CLASSNAMEHEADERS,0))),(IF("03"=(INDEX(ALLCLASSDATA,MATCH("WillSaveExpert",CLASSFEATUREHEADERS,0),MATCH($A690,CLASSNAMEHEADERS,0))),(INDEX(ALLCLASSDATA,MATCH("WillSaveExpert",CLASSFEATUREHEADERS,0),MATCH(($A690 &amp; "Points"),CLASSNAMEHEADERS,0))),(IF("03"=(INDEX(ALLCLASSDATA,MATCH("WillSaveTrained",CLASSFEATUREHEADERS,0),MATCH($A690,CLASSNAMEHEADERS,0))),(INDEX(ALLCLASSDATA,MATCH("WillSaveTrained",CLASSFEATUREHEADERS,0),MATCH(($A690 &amp; "Points"),CLASSNAMEHEADERS,0))),"")))))))))}</f>
        <v>WILLL03</v>
      </c>
      <c r="K689" s="223"/>
      <c r="L689" s="223" t="str">
        <f t="array" ref="L689:L690">{"WILLL05";((IF("05"=(INDEX(ALLCLASSDATA,MATCH("WillSaveLegendary",CLASSFEATUREHEADERS,0),MATCH($A690,CLASSNAMEHEADERS,0))),(INDEX(ALLCLASSDATA,MATCH("WillSaveLegendary",CLASSFEATUREHEADERS,0),MATCH(($A690 &amp; "Points"),CLASSNAMEHEADERS,0))),(IF("05"=(INDEX(ALLCLASSDATA,MATCH("WillSaveMaster",CLASSFEATUREHEADERS,0),MATCH($A690,CLASSNAMEHEADERS,0))),(INDEX(ALLCLASSDATA,MATCH("WillSaveMaster",CLASSFEATUREHEADERS,0),MATCH(($A690 &amp; "Points"),CLASSNAMEHEADERS,0))),(IF("05"=(INDEX(ALLCLASSDATA,MATCH("WillSaveExpert",CLASSFEATUREHEADERS,0),MATCH($A690,CLASSNAMEHEADERS,0))),(INDEX(ALLCLASSDATA,MATCH("WillSaveExpert",CLASSFEATUREHEADERS,0),MATCH(($A690 &amp; "Points"),CLASSNAMEHEADERS,0))),(IF("05"=(INDEX(ALLCLASSDATA,MATCH("WillSaveTrained",CLASSFEATUREHEADERS,0),MATCH($A690,CLASSNAMEHEADERS,0))),(INDEX(ALLCLASSDATA,MATCH("WillSaveTrained",CLASSFEATUREHEADERS,0),MATCH(($A690 &amp; "Points"),CLASSNAMEHEADERS,0))),"")))))))))}</f>
        <v>WILLL05</v>
      </c>
      <c r="M689" s="223"/>
      <c r="N689" s="223" t="str">
        <f t="array" ref="N689:N690">{"WILLL07";((IF("07"=(INDEX(ALLCLASSDATA,MATCH("WillSaveLegendary",CLASSFEATUREHEADERS,0),MATCH($A690,CLASSNAMEHEADERS,0))),(INDEX(ALLCLASSDATA,MATCH("WillSaveLegendary",CLASSFEATUREHEADERS,0),MATCH(($A690 &amp; "Points"),CLASSNAMEHEADERS,0))),(IF("07"=(INDEX(ALLCLASSDATA,MATCH("WillSaveMaster",CLASSFEATUREHEADERS,0),MATCH($A690,CLASSNAMEHEADERS,0))),(INDEX(ALLCLASSDATA,MATCH("WillSaveMaster",CLASSFEATUREHEADERS,0),MATCH(($A690 &amp; "Points"),CLASSNAMEHEADERS,0))),(IF("07"=(INDEX(ALLCLASSDATA,MATCH("WillSaveExpert",CLASSFEATUREHEADERS,0),MATCH($A690,CLASSNAMEHEADERS,0))),(INDEX(ALLCLASSDATA,MATCH("WillSaveExpert",CLASSFEATUREHEADERS,0),MATCH(($A690 &amp; "Points"),CLASSNAMEHEADERS,0))),(IF("07"=(INDEX(ALLCLASSDATA,MATCH("WillSaveTrained",CLASSFEATUREHEADERS,0),MATCH($A690,CLASSNAMEHEADERS,0))),(INDEX(ALLCLASSDATA,MATCH("WillSaveTrained",CLASSFEATUREHEADERS,0),MATCH(($A690 &amp; "Points"),CLASSNAMEHEADERS,0))),"")))))))))}</f>
        <v>WILLL07</v>
      </c>
      <c r="O689" s="223"/>
      <c r="P689" s="223" t="str">
        <f t="array" ref="P689:P690">{"WILLL09";((IF("09"=(INDEX(ALLCLASSDATA,MATCH("WillSaveLegendary",CLASSFEATUREHEADERS,0),MATCH($A690,CLASSNAMEHEADERS,0))),(INDEX(ALLCLASSDATA,MATCH("WillSaveLegendary",CLASSFEATUREHEADERS,0),MATCH(($A690 &amp; "Points"),CLASSNAMEHEADERS,0))),(IF("09"=(INDEX(ALLCLASSDATA,MATCH("WillSaveMaster",CLASSFEATUREHEADERS,0),MATCH($A690,CLASSNAMEHEADERS,0))),(INDEX(ALLCLASSDATA,MATCH("WillSaveMaster",CLASSFEATUREHEADERS,0),MATCH(($A690 &amp; "Points"),CLASSNAMEHEADERS,0))),(IF("09"=(INDEX(ALLCLASSDATA,MATCH("WillSaveExpert",CLASSFEATUREHEADERS,0),MATCH($A690,CLASSNAMEHEADERS,0))),(INDEX(ALLCLASSDATA,MATCH("WillSaveExpert",CLASSFEATUREHEADERS,0),MATCH(($A690 &amp; "Points"),CLASSNAMEHEADERS,0))),(IF("09"=(INDEX(ALLCLASSDATA,MATCH("WillSaveTrained",CLASSFEATUREHEADERS,0),MATCH($A690,CLASSNAMEHEADERS,0))),(INDEX(ALLCLASSDATA,MATCH("WillSaveTrained",CLASSFEATUREHEADERS,0),MATCH(($A690 &amp; "Points"),CLASSNAMEHEADERS,0))),"")))))))))}</f>
        <v>WILLL09</v>
      </c>
      <c r="Q689" s="223"/>
      <c r="R689" s="223" t="str">
        <f t="array" ref="R689:R690">{"WILLL11";((IF("11"=(INDEX(ALLCLASSDATA,MATCH("WillSaveLegendary",CLASSFEATUREHEADERS,0),MATCH($A690,CLASSNAMEHEADERS,0))),(INDEX(ALLCLASSDATA,MATCH("WillSaveLegendary",CLASSFEATUREHEADERS,0),MATCH(($A690 &amp; "Points"),CLASSNAMEHEADERS,0))),(IF("11"=(INDEX(ALLCLASSDATA,MATCH("WillSaveMaster",CLASSFEATUREHEADERS,0),MATCH($A690,CLASSNAMEHEADERS,0))),(INDEX(ALLCLASSDATA,MATCH("WillSaveMaster",CLASSFEATUREHEADERS,0),MATCH(($A690 &amp; "Points"),CLASSNAMEHEADERS,0))),(IF("11"=(INDEX(ALLCLASSDATA,MATCH("WillSaveExpert",CLASSFEATUREHEADERS,0),MATCH($A690,CLASSNAMEHEADERS,0))),(INDEX(ALLCLASSDATA,MATCH("WillSaveExpert",CLASSFEATUREHEADERS,0),MATCH(($A690 &amp; "Points"),CLASSNAMEHEADERS,0))),(IF("11"=(INDEX(ALLCLASSDATA,MATCH("WillSaveTrained",CLASSFEATUREHEADERS,0),MATCH($A690,CLASSNAMEHEADERS,0))),(INDEX(ALLCLASSDATA,MATCH("WillSaveTrained",CLASSFEATUREHEADERS,0),MATCH(($A690 &amp; "Points"),CLASSNAMEHEADERS,0))),"")))))))))}</f>
        <v>WILLL11</v>
      </c>
      <c r="S689" s="223"/>
      <c r="T689" s="223" t="str">
        <f t="array" ref="T689:T690">{"WILLL13";((IF("13"=(INDEX(ALLCLASSDATA,MATCH("WillSaveLegendary",CLASSFEATUREHEADERS,0),MATCH($A690,CLASSNAMEHEADERS,0))),(INDEX(ALLCLASSDATA,MATCH("WillSaveLegendary",CLASSFEATUREHEADERS,0),MATCH(($A690 &amp; "Points"),CLASSNAMEHEADERS,0))),(IF("13"=(INDEX(ALLCLASSDATA,MATCH("WillSaveMaster",CLASSFEATUREHEADERS,0),MATCH($A690,CLASSNAMEHEADERS,0))),(INDEX(ALLCLASSDATA,MATCH("WillSaveMaster",CLASSFEATUREHEADERS,0),MATCH(($A690 &amp; "Points"),CLASSNAMEHEADERS,0))),(IF("13"=(INDEX(ALLCLASSDATA,MATCH("WillSaveExpert",CLASSFEATUREHEADERS,0),MATCH($A690,CLASSNAMEHEADERS,0))),(INDEX(ALLCLASSDATA,MATCH("WillSaveExpert",CLASSFEATUREHEADERS,0),MATCH(($A690 &amp; "Points"),CLASSNAMEHEADERS,0))),(IF("13"=(INDEX(ALLCLASSDATA,MATCH("WillSaveTrained",CLASSFEATUREHEADERS,0),MATCH($A690,CLASSNAMEHEADERS,0))),(INDEX(ALLCLASSDATA,MATCH("WillSaveTrained",CLASSFEATUREHEADERS,0),MATCH(($A690 &amp; "Points"),CLASSNAMEHEADERS,0))),"")))))))))}</f>
        <v>WILLL13</v>
      </c>
      <c r="U689" s="223"/>
      <c r="V689" s="223" t="str">
        <f t="array" ref="V689:V690">{"WILLL15";((IF("15"=(INDEX(ALLCLASSDATA,MATCH("WillSaveLegendary",CLASSFEATUREHEADERS,0),MATCH($A690,CLASSNAMEHEADERS,0))),(INDEX(ALLCLASSDATA,MATCH("WillSaveLegendary",CLASSFEATUREHEADERS,0),MATCH(($A690 &amp; "Points"),CLASSNAMEHEADERS,0))),(IF("15"=(INDEX(ALLCLASSDATA,MATCH("WillSaveMaster",CLASSFEATUREHEADERS,0),MATCH($A690,CLASSNAMEHEADERS,0))),(INDEX(ALLCLASSDATA,MATCH("WillSaveMaster",CLASSFEATUREHEADERS,0),MATCH(($A690 &amp; "Points"),CLASSNAMEHEADERS,0))),(IF("15"=(INDEX(ALLCLASSDATA,MATCH("WillSaveExpert",CLASSFEATUREHEADERS,0),MATCH($A690,CLASSNAMEHEADERS,0))),(INDEX(ALLCLASSDATA,MATCH("WillSaveExpert",CLASSFEATUREHEADERS,0),MATCH(($A690 &amp; "Points"),CLASSNAMEHEADERS,0))),(IF("15"=(INDEX(ALLCLASSDATA,MATCH("WillSaveTrained",CLASSFEATUREHEADERS,0),MATCH($A690,CLASSNAMEHEADERS,0))),(INDEX(ALLCLASSDATA,MATCH("WillSaveTrained",CLASSFEATUREHEADERS,0),MATCH(($A690 &amp; "Points"),CLASSNAMEHEADERS,0))),"")))))))))}</f>
        <v>WILLL15</v>
      </c>
      <c r="W689" s="223"/>
      <c r="X689" s="223" t="str">
        <f t="array" ref="X689:X690">{"WILLL17";((IF("17"=(INDEX(ALLCLASSDATA,MATCH("WillSaveLegendary",CLASSFEATUREHEADERS,0),MATCH($A690,CLASSNAMEHEADERS,0))),(INDEX(ALLCLASSDATA,MATCH("WillSaveLegendary",CLASSFEATUREHEADERS,0),MATCH(($A690 &amp; "Points"),CLASSNAMEHEADERS,0))),(IF("17"=(INDEX(ALLCLASSDATA,MATCH("WillSaveMaster",CLASSFEATUREHEADERS,0),MATCH($A690,CLASSNAMEHEADERS,0))),(INDEX(ALLCLASSDATA,MATCH("WillSaveMaster",CLASSFEATUREHEADERS,0),MATCH(($A690 &amp; "Points"),CLASSNAMEHEADERS,0))),(IF("17"=(INDEX(ALLCLASSDATA,MATCH("WillSaveExpert",CLASSFEATUREHEADERS,0),MATCH($A690,CLASSNAMEHEADERS,0))),(INDEX(ALLCLASSDATA,MATCH("WillSaveExpert",CLASSFEATUREHEADERS,0),MATCH(($A690 &amp; "Points"),CLASSNAMEHEADERS,0))),(IF("17"=(INDEX(ALLCLASSDATA,MATCH("WillSaveTrained",CLASSFEATUREHEADERS,0),MATCH($A690,CLASSNAMEHEADERS,0))),(INDEX(ALLCLASSDATA,MATCH("WillSaveTrained",CLASSFEATUREHEADERS,0),MATCH(($A690 &amp; "Points"),CLASSNAMEHEADERS,0))),"")))))))))}</f>
        <v>WILLL17</v>
      </c>
      <c r="Y689" s="223"/>
      <c r="Z689" s="223" t="str">
        <f t="array" ref="Z689:Z690">{"WILLL19";((IF("19"=(INDEX(ALLCLASSDATA,MATCH("WillSaveLegendary",CLASSFEATUREHEADERS,0),MATCH($A690,CLASSNAMEHEADERS,0))),(INDEX(ALLCLASSDATA,MATCH("WillSaveLegendary",CLASSFEATUREHEADERS,0),MATCH(($A690 &amp; "Points"),CLASSNAMEHEADERS,0))),(IF("19"=(INDEX(ALLCLASSDATA,MATCH("WillSaveMaster",CLASSFEATUREHEADERS,0),MATCH($A690,CLASSNAMEHEADERS,0))),(INDEX(ALLCLASSDATA,MATCH("WillSaveMaster",CLASSFEATUREHEADERS,0),MATCH(($A690 &amp; "Points"),CLASSNAMEHEADERS,0))),(IF("19"=(INDEX(ALLCLASSDATA,MATCH("WillSaveExpert",CLASSFEATUREHEADERS,0),MATCH($A690,CLASSNAMEHEADERS,0))),(INDEX(ALLCLASSDATA,MATCH("WillSaveExpert",CLASSFEATUREHEADERS,0),MATCH(($A690 &amp; "Points"),CLASSNAMEHEADERS,0))),(IF("19"=(INDEX(ALLCLASSDATA,MATCH("WillSaveTrained",CLASSFEATUREHEADERS,0),MATCH($A690,CLASSNAMEHEADERS,0))),(INDEX(ALLCLASSDATA,MATCH("WillSaveTrained",CLASSFEATUREHEADERS,0),MATCH(($A690 &amp; "Points"),CLASSNAMEHEADERS,0))),"")))))))))}</f>
        <v>WILLL19</v>
      </c>
      <c r="AA689" s="223"/>
      <c r="AB689" s="76" t="str">
        <f t="array" ref="AB689:AB690">{"WILL TOTAL";(IF(COUNTBLANK(G690:AA690)=17,"L",(IF(COUNTBLANK(G690:AA690)=18,"M",(IF(COUNTBLANK(G690:AA690)=19,"E",(IF(COUNTBLANK(G690:AA690)=20,"T",""))))))))}</f>
        <v>WILL TOTAL</v>
      </c>
      <c r="AC689" s="76" t="str">
        <f t="array" ref="AC689:AC690">{"WILL TOTAL";(sum(G690:AA690))}</f>
        <v>WILL TOTAL</v>
      </c>
    </row>
    <row r="690">
      <c r="A690" s="48" t="s">
        <v>170</v>
      </c>
      <c r="B690" s="48"/>
      <c r="C690" s="48" t="s">
        <v>415</v>
      </c>
      <c r="D690" s="97" t="s">
        <v>1549</v>
      </c>
      <c r="E690" s="97" t="s">
        <v>1591</v>
      </c>
      <c r="F690" s="98" t="s">
        <v>436</v>
      </c>
      <c r="G690" s="132">
        <v>10.0</v>
      </c>
      <c r="H690" s="98">
        <v>50.0</v>
      </c>
      <c r="I690" s="98"/>
      <c r="J690" s="98" t="s">
        <v>603</v>
      </c>
      <c r="K690" s="98"/>
      <c r="L690" s="98" t="s">
        <v>603</v>
      </c>
      <c r="M690" s="97"/>
      <c r="N690" s="98">
        <v>110.0</v>
      </c>
      <c r="O690" s="98"/>
      <c r="P690" s="98" t="s">
        <v>603</v>
      </c>
      <c r="Q690" s="97"/>
      <c r="R690" s="98" t="s">
        <v>603</v>
      </c>
      <c r="S690" s="98"/>
      <c r="T690" s="98">
        <v>190.0</v>
      </c>
      <c r="U690" s="98"/>
      <c r="V690" s="98" t="s">
        <v>603</v>
      </c>
      <c r="W690" s="98"/>
      <c r="X690" s="98" t="s">
        <v>603</v>
      </c>
      <c r="Y690" s="98"/>
      <c r="Z690" s="98" t="s">
        <v>603</v>
      </c>
      <c r="AA690" s="98"/>
      <c r="AB690" s="5" t="s">
        <v>466</v>
      </c>
      <c r="AC690" s="47">
        <v>360.0</v>
      </c>
    </row>
    <row r="691" hidden="1">
      <c r="A691" s="222" t="str">
        <f t="array" ref="A691:A692">{"FormulaRow26";(INDEX(CLASSLIST,A640,1))}</f>
        <v>FormulaRow26</v>
      </c>
      <c r="B691" s="77" t="s">
        <v>236</v>
      </c>
      <c r="C691" s="222" t="str">
        <f t="array" ref="C691:C692">{"CLASSTYPE";((INDEX(ALLCLASSDATA,MATCH("ClassType",CLASSFEATUREHEADERS,0),MATCH($A692,CLASSNAMEHEADERS,0))))}</f>
        <v>CLASSTYPE</v>
      </c>
      <c r="D691" s="228" t="str">
        <f t="array" ref="D691:D692">{"ATTACK";"Attack"}</f>
        <v>ATTACK</v>
      </c>
      <c r="E691" s="228" t="str">
        <f t="array" ref="E691:E692">{"WEAPONSPECIAL";"WeaponCS/WS/GWS"}</f>
        <v>WEAPONSPECIAL</v>
      </c>
      <c r="F691" s="230"/>
      <c r="G691" s="230"/>
      <c r="H691" s="230" t="str">
        <f t="array" ref="H691:H692">{"WEAPONSPECIALL01";((IF("01"=INDEX(ALLCLASSDATA,MATCH("WeaponGreaterSpecialization",CLASSFEATUREHEADERS,0),MATCH($A692,CLASSNAMEHEADERS,0)),WeaponGWS,(IF("01"=INDEX(ALLCLASSDATA,MATCH("WeaponSpecialization",CLASSFEATUREHEADERS,0),MATCH($A692,CLASSNAMEHEADERS,0)),WeaponWS,(IF("01"=INDEX(ALLCLASSDATA,MATCH("WeaponCriticalSpecialization",CLASSFEATUREHEADERS,0),MATCH($A692,CLASSNAMEHEADERS,0)),WeaponCS,"")))))))}</f>
        <v>WEAPONSPECIALL01</v>
      </c>
      <c r="I691" s="230"/>
      <c r="J691" s="230" t="str">
        <f t="array" ref="J691:J692">{"WEAPONSPECIALL03";((IF("03"=INDEX(ALLCLASSDATA,MATCH("WeaponGreaterSpecialization",CLASSFEATUREHEADERS,0),MATCH($A692,CLASSNAMEHEADERS,0)),WeaponGWS,(IF("03"=INDEX(ALLCLASSDATA,MATCH("WeaponSpecialization",CLASSFEATUREHEADERS,0),MATCH($A692,CLASSNAMEHEADERS,0)),WeaponWS,(IF("03"=INDEX(ALLCLASSDATA,MATCH("WeaponCriticalSpecialization",CLASSFEATUREHEADERS,0),MATCH($A692,CLASSNAMEHEADERS,0)),WeaponCS,"")))))))}</f>
        <v>WEAPONSPECIALL03</v>
      </c>
      <c r="K691" s="230"/>
      <c r="L691" s="230" t="str">
        <f t="array" ref="L691:L692">{"WEAPONSPECIALL05";((IF("05"=INDEX(ALLCLASSDATA,MATCH("WeaponGreaterSpecialization",CLASSFEATUREHEADERS,0),MATCH($A692,CLASSNAMEHEADERS,0)),WeaponGWS,(IF("05"=INDEX(ALLCLASSDATA,MATCH("WeaponSpecialization",CLASSFEATUREHEADERS,0),MATCH($A692,CLASSNAMEHEADERS,0)),WeaponWS,(IF("05"=INDEX(ALLCLASSDATA,MATCH("WeaponCriticalSpecialization",CLASSFEATUREHEADERS,0),MATCH($A692,CLASSNAMEHEADERS,0)),WeaponCS,"")))))))}</f>
        <v>WEAPONSPECIALL05</v>
      </c>
      <c r="M691" s="230"/>
      <c r="N691" s="230" t="str">
        <f t="array" ref="N691:N692">{"WEAPONSPECIALL07";((IF("07"=INDEX(ALLCLASSDATA,MATCH("WeaponGreaterSpecialization",CLASSFEATUREHEADERS,0),MATCH($A692,CLASSNAMEHEADERS,0)),WeaponGWS,(IF("07"=INDEX(ALLCLASSDATA,MATCH("WeaponSpecialization",CLASSFEATUREHEADERS,0),MATCH($A692,CLASSNAMEHEADERS,0)),WeaponWS,(IF("07"=INDEX(ALLCLASSDATA,MATCH("WeaponCriticalSpecialization",CLASSFEATUREHEADERS,0),MATCH($A692,CLASSNAMEHEADERS,0)),WeaponCS,"")))))))}</f>
        <v>WEAPONSPECIALL07</v>
      </c>
      <c r="O691" s="230"/>
      <c r="P691" s="230" t="str">
        <f t="array" ref="P691:P692">{"WEAPONSPECIALL09";((IF("09"=INDEX(ALLCLASSDATA,MATCH("WeaponGreaterSpecialization",CLASSFEATUREHEADERS,0),MATCH($A692,CLASSNAMEHEADERS,0)),WeaponGWS,(IF("09"=INDEX(ALLCLASSDATA,MATCH("WeaponSpecialization",CLASSFEATUREHEADERS,0),MATCH($A692,CLASSNAMEHEADERS,0)),WeaponWS,(IF("09"=INDEX(ALLCLASSDATA,MATCH("WeaponCriticalSpecialization",CLASSFEATUREHEADERS,0),MATCH($A692,CLASSNAMEHEADERS,0)),WeaponCS,"")))))))}</f>
        <v>WEAPONSPECIALL09</v>
      </c>
      <c r="Q691" s="230"/>
      <c r="R691" s="230" t="str">
        <f t="array" ref="R691:R692">{"WEAPONSPECIALL11";((IF("11"=INDEX(ALLCLASSDATA,MATCH("WeaponGreaterSpecialization",CLASSFEATUREHEADERS,0),MATCH($A692,CLASSNAMEHEADERS,0)),WeaponGWS,(IF("11"=INDEX(ALLCLASSDATA,MATCH("WeaponSpecialization",CLASSFEATUREHEADERS,0),MATCH($A692,CLASSNAMEHEADERS,0)),WeaponWS,(IF("11"=INDEX(ALLCLASSDATA,MATCH("WeaponCriticalSpecialization",CLASSFEATUREHEADERS,0),MATCH($A692,CLASSNAMEHEADERS,0)),WeaponCS,"")))))))}</f>
        <v>WEAPONSPECIALL11</v>
      </c>
      <c r="S691" s="230"/>
      <c r="T691" s="230" t="str">
        <f t="array" ref="T691:T692">{"WEAPONSPECIALL13";((IF("13"=INDEX(ALLCLASSDATA,MATCH("WeaponGreaterSpecialization",CLASSFEATUREHEADERS,0),MATCH($A692,CLASSNAMEHEADERS,0)),WeaponGWS,(IF("13"=INDEX(ALLCLASSDATA,MATCH("WeaponSpecialization",CLASSFEATUREHEADERS,0),MATCH($A692,CLASSNAMEHEADERS,0)),WeaponWS,(IF("13"=INDEX(ALLCLASSDATA,MATCH("WeaponCriticalSpecialization",CLASSFEATUREHEADERS,0),MATCH($A692,CLASSNAMEHEADERS,0)),WeaponCS,"")))))))}</f>
        <v>WEAPONSPECIALL13</v>
      </c>
      <c r="U691" s="230"/>
      <c r="V691" s="230" t="str">
        <f t="array" ref="V691:V692">{"WEAPONSPECIALL15";((IF("15"=INDEX(ALLCLASSDATA,MATCH("WeaponGreaterSpecialization",CLASSFEATUREHEADERS,0),MATCH($A692,CLASSNAMEHEADERS,0)),WeaponGWS,(IF("15"=INDEX(ALLCLASSDATA,MATCH("WeaponSpecialization",CLASSFEATUREHEADERS,0),MATCH($A692,CLASSNAMEHEADERS,0)),WeaponWS,(IF("15"=INDEX(ALLCLASSDATA,MATCH("WeaponCriticalSpecialization",CLASSFEATUREHEADERS,0),MATCH($A692,CLASSNAMEHEADERS,0)),WeaponCS,"")))))))}</f>
        <v>WEAPONSPECIALL15</v>
      </c>
      <c r="W691" s="230"/>
      <c r="X691" s="230" t="str">
        <f t="array" ref="X691:X692">{"WEAPONSPECIALL17";((IF("17"=INDEX(ALLCLASSDATA,MATCH("WeaponGreaterSpecialization",CLASSFEATUREHEADERS,0),MATCH($A692,CLASSNAMEHEADERS,0)),WeaponGWS,(IF("17"=INDEX(ALLCLASSDATA,MATCH("WeaponSpecialization",CLASSFEATUREHEADERS,0),MATCH($A692,CLASSNAMEHEADERS,0)),WeaponWS,(IF("17"=INDEX(ALLCLASSDATA,MATCH("WeaponCriticalSpecialization",CLASSFEATUREHEADERS,0),MATCH($A692,CLASSNAMEHEADERS,0)),WeaponCS,"")))))))}</f>
        <v>WEAPONSPECIALL17</v>
      </c>
      <c r="Y691" s="230"/>
      <c r="Z691" s="230" t="str">
        <f t="array" ref="Z691:Z692">{"WEAPONSPECIALL19";((IF("19"=INDEX(ALLCLASSDATA,MATCH("WeaponGreaterSpecialization",CLASSFEATUREHEADERS,0),MATCH($A692,CLASSNAMEHEADERS,0)),WeaponGWS,(IF("19"=INDEX(ALLCLASSDATA,MATCH("WeaponSpecialization",CLASSFEATUREHEADERS,0),MATCH($A692,CLASSNAMEHEADERS,0)),WeaponWS,(IF("19"=INDEX(ALLCLASSDATA,MATCH("WeaponCriticalSpecialization",CLASSFEATUREHEADERS,0),MATCH($A692,CLASSNAMEHEADERS,0)),WeaponCS,"")))))))}</f>
        <v>WEAPONSPECIALL19</v>
      </c>
      <c r="AA691" s="230"/>
      <c r="AB691" s="76"/>
      <c r="AC691" s="76" t="str">
        <f t="array" ref="AC691:AC692">{"WEAPONSPECIAL TOTAL";(sum(G692:AA692))}</f>
        <v>WEAPONSPECIAL TOTAL</v>
      </c>
    </row>
    <row r="692">
      <c r="A692" s="48" t="s">
        <v>170</v>
      </c>
      <c r="B692" s="48"/>
      <c r="C692" s="48" t="s">
        <v>415</v>
      </c>
      <c r="D692" s="48" t="s">
        <v>1634</v>
      </c>
      <c r="E692" s="48" t="s">
        <v>1635</v>
      </c>
      <c r="F692" s="5"/>
      <c r="G692" s="47"/>
      <c r="H692" s="5" t="s">
        <v>603</v>
      </c>
      <c r="I692" s="5"/>
      <c r="J692" s="5" t="s">
        <v>603</v>
      </c>
      <c r="K692" s="5"/>
      <c r="L692" s="5" t="s">
        <v>603</v>
      </c>
      <c r="M692" s="5"/>
      <c r="N692" s="5">
        <v>70.0</v>
      </c>
      <c r="O692" s="5"/>
      <c r="P692" s="5" t="s">
        <v>603</v>
      </c>
      <c r="Q692" s="5"/>
      <c r="R692" s="5" t="s">
        <v>603</v>
      </c>
      <c r="S692" s="5"/>
      <c r="T692" s="5" t="s">
        <v>603</v>
      </c>
      <c r="U692" s="5"/>
      <c r="V692" s="5">
        <v>150.0</v>
      </c>
      <c r="W692" s="5"/>
      <c r="X692" s="5" t="s">
        <v>603</v>
      </c>
      <c r="Y692" s="5"/>
      <c r="Z692" s="5" t="s">
        <v>603</v>
      </c>
      <c r="AA692" s="5"/>
      <c r="AB692" s="5"/>
      <c r="AC692" s="47">
        <v>220.0</v>
      </c>
    </row>
    <row r="693" hidden="1">
      <c r="A693" s="222" t="str">
        <f t="array" ref="A693:A694">{"FormulaRow27";(INDEX(CLASSLIST,A640,1))}</f>
        <v>FormulaRow27</v>
      </c>
      <c r="B693" s="77" t="s">
        <v>236</v>
      </c>
      <c r="C693" s="222" t="str">
        <f t="array" ref="C693:C694">{"CLASSTYPE";((INDEX(ALLCLASSDATA,MATCH("ClassType",CLASSFEATUREHEADERS,0),MATCH($A694,CLASSNAMEHEADERS,0))))}</f>
        <v>CLASSTYPE</v>
      </c>
      <c r="D693" s="222" t="str">
        <f t="array" ref="D693:D694">{"ATTACK";"Attack"}</f>
        <v>ATTACK</v>
      </c>
      <c r="E693" s="222" t="str">
        <f t="array" ref="E693:E694">{"UNARMED";"Unarmed"}</f>
        <v>UNARMED</v>
      </c>
      <c r="F693" s="223" t="str">
        <f t="array" ref="F693:F694">{"UNARMEDINITIAL";((IF(H694=10,"T",(IF(H694=50,"E","")))))}</f>
        <v>UNARMEDINITIAL</v>
      </c>
      <c r="G693" s="223" t="str">
        <f t="array" ref="G693:G694">{"UNARMEDINITIALPTS";((IF("00"=(INDEX(ALLCLASSDATA,MATCH("UnarmedLegendary",CLASSFEATUREHEADERS,0),MATCH($A694,CLASSNAMEHEADERS,0))),(INDEX(ALLCLASSDATA,MATCH("UnarmedLegendary",CLASSFEATUREHEADERS,0),MATCH(($A694 &amp; "Points"),CLASSNAMEHEADERS,0))),(IF("00"=(INDEX(ALLCLASSDATA,MATCH("UnarmedMaster",CLASSFEATUREHEADERS,0),MATCH($A694,CLASSNAMEHEADERS,0))),(INDEX(ALLCLASSDATA,MATCH("UnarmedMaster",CLASSFEATUREHEADERS,0),MATCH(($A694 &amp; "Points"),CLASSNAMEHEADERS,0))),(IF("00"=(INDEX(ALLCLASSDATA,MATCH("UnarmedExpert",CLASSFEATUREHEADERS,0),MATCH($A694,CLASSNAMEHEADERS,0))),(INDEX(ALLCLASSDATA,MATCH("UnarmedExpert",CLASSFEATUREHEADERS,0),MATCH(($A694 &amp; "Points"),CLASSNAMEHEADERS,0))),(IF("00"=(INDEX(ALLCLASSDATA,MATCH("UnarmedTrained",CLASSFEATUREHEADERS,0),MATCH($A694,CLASSNAMEHEADERS,0))),(INDEX(ALLCLASSDATA,MATCH("UnarmedTrained",CLASSFEATUREHEADERS,0),MATCH(($A694 &amp; "Points"),CLASSNAMEHEADERS,0))),"")))))))))}</f>
        <v>UNARMEDINITIALPTS</v>
      </c>
      <c r="H693" s="223" t="str">
        <f t="array" ref="H693:H694">{"UNARMEDL01";((IF("01"=(INDEX(ALLCLASSDATA,MATCH("UnarmedLegendary",CLASSFEATUREHEADERS,0),MATCH($A694,CLASSNAMEHEADERS,0))),(INDEX(ALLCLASSDATA,MATCH("UnarmedLegendary",CLASSFEATUREHEADERS,0),MATCH(($A694 &amp; "Points"),CLASSNAMEHEADERS,0))),(IF("01"=(INDEX(ALLCLASSDATA,MATCH("UnarmedMaster",CLASSFEATUREHEADERS,0),MATCH($A694,CLASSNAMEHEADERS,0))),(INDEX(ALLCLASSDATA,MATCH("UnarmedMaster",CLASSFEATUREHEADERS,0),MATCH(($A694 &amp; "Points"),CLASSNAMEHEADERS,0))),(IF("01"=(INDEX(ALLCLASSDATA,MATCH("UnarmedExpert",CLASSFEATUREHEADERS,0),MATCH($A694,CLASSNAMEHEADERS,0))),(INDEX(ALLCLASSDATA,MATCH("UnarmedExpert",CLASSFEATUREHEADERS,0),MATCH(($A694 &amp; "Points"),CLASSNAMEHEADERS,0))),(IF("01"=(INDEX(ALLCLASSDATA,MATCH("UnarmedTrained",CLASSFEATUREHEADERS,0),MATCH($A694,CLASSNAMEHEADERS,0))),(INDEX(ALLCLASSDATA,MATCH("UnarmedTrained",CLASSFEATUREHEADERS,0),MATCH(($A694 &amp; "Points"),CLASSNAMEHEADERS,0))),"")))))))))}</f>
        <v>UNARMEDL01</v>
      </c>
      <c r="I693" s="223"/>
      <c r="J693" s="223" t="str">
        <f t="array" ref="J693:J694">{"UNARMEDL03";((IF("03"=(INDEX(ALLCLASSDATA,MATCH("UnarmedLegendary",CLASSFEATUREHEADERS,0),MATCH($A694,CLASSNAMEHEADERS,0))),(INDEX(ALLCLASSDATA,MATCH("UnarmedLegendary",CLASSFEATUREHEADERS,0),MATCH(($A694 &amp; "Points"),CLASSNAMEHEADERS,0))),(IF("03"=(INDEX(ALLCLASSDATA,MATCH("UnarmedMaster",CLASSFEATUREHEADERS,0),MATCH($A694,CLASSNAMEHEADERS,0))),(INDEX(ALLCLASSDATA,MATCH("UnarmedMaster",CLASSFEATUREHEADERS,0),MATCH(($A694 &amp; "Points"),CLASSNAMEHEADERS,0))),(IF("03"=(INDEX(ALLCLASSDATA,MATCH("UnarmedExpert",CLASSFEATUREHEADERS,0),MATCH($A694,CLASSNAMEHEADERS,0))),(INDEX(ALLCLASSDATA,MATCH("UnarmedExpert",CLASSFEATUREHEADERS,0),MATCH(($A694 &amp; "Points"),CLASSNAMEHEADERS,0))),(IF("03"=(INDEX(ALLCLASSDATA,MATCH("UnarmedTrained",CLASSFEATUREHEADERS,0),MATCH($A694,CLASSNAMEHEADERS,0))),(INDEX(ALLCLASSDATA,MATCH("UnarmedTrained",CLASSFEATUREHEADERS,0),MATCH(($A694 &amp; "Points"),CLASSNAMEHEADERS,0))),"")))))))))}</f>
        <v>UNARMEDL03</v>
      </c>
      <c r="K693" s="223"/>
      <c r="L693" s="223" t="str">
        <f t="array" ref="L693:L694">{"UNARMEDL05";((IF("05"=(INDEX(ALLCLASSDATA,MATCH("UnarmedLegendary",CLASSFEATUREHEADERS,0),MATCH($A694,CLASSNAMEHEADERS,0))),(INDEX(ALLCLASSDATA,MATCH("UnarmedLegendary",CLASSFEATUREHEADERS,0),MATCH(($A694 &amp; "Points"),CLASSNAMEHEADERS,0))),(IF("05"=(INDEX(ALLCLASSDATA,MATCH("UnarmedMaster",CLASSFEATUREHEADERS,0),MATCH($A694,CLASSNAMEHEADERS,0))),(INDEX(ALLCLASSDATA,MATCH("UnarmedMaster",CLASSFEATUREHEADERS,0),MATCH(($A694 &amp; "Points"),CLASSNAMEHEADERS,0))),(IF("05"=(INDEX(ALLCLASSDATA,MATCH("UnarmedExpert",CLASSFEATUREHEADERS,0),MATCH($A694,CLASSNAMEHEADERS,0))),(INDEX(ALLCLASSDATA,MATCH("UnarmedExpert",CLASSFEATUREHEADERS,0),MATCH(($A694 &amp; "Points"),CLASSNAMEHEADERS,0))),(IF("05"=(INDEX(ALLCLASSDATA,MATCH("UnarmedTrained",CLASSFEATUREHEADERS,0),MATCH($A694,CLASSNAMEHEADERS,0))),(INDEX(ALLCLASSDATA,MATCH("UnarmedTrained",CLASSFEATUREHEADERS,0),MATCH(($A694 &amp; "Points"),CLASSNAMEHEADERS,0))),"")))))))))}</f>
        <v>UNARMEDL05</v>
      </c>
      <c r="M693" s="223"/>
      <c r="N693" s="223" t="str">
        <f t="array" ref="N693:N694">{"UNARMEDL07";((IF("07"=(INDEX(ALLCLASSDATA,MATCH("UnarmedLegendary",CLASSFEATUREHEADERS,0),MATCH($A694,CLASSNAMEHEADERS,0))),(INDEX(ALLCLASSDATA,MATCH("UnarmedLegendary",CLASSFEATUREHEADERS,0),MATCH(($A694 &amp; "Points"),CLASSNAMEHEADERS,0))),(IF("07"=(INDEX(ALLCLASSDATA,MATCH("UnarmedMaster",CLASSFEATUREHEADERS,0),MATCH($A694,CLASSNAMEHEADERS,0))),(INDEX(ALLCLASSDATA,MATCH("UnarmedMaster",CLASSFEATUREHEADERS,0),MATCH(($A694 &amp; "Points"),CLASSNAMEHEADERS,0))),(IF("07"=(INDEX(ALLCLASSDATA,MATCH("UnarmedExpert",CLASSFEATUREHEADERS,0),MATCH($A694,CLASSNAMEHEADERS,0))),(INDEX(ALLCLASSDATA,MATCH("UnarmedExpert",CLASSFEATUREHEADERS,0),MATCH(($A694 &amp; "Points"),CLASSNAMEHEADERS,0))),(IF("07"=(INDEX(ALLCLASSDATA,MATCH("UnarmedTrained",CLASSFEATUREHEADERS,0),MATCH($A694,CLASSNAMEHEADERS,0))),(INDEX(ALLCLASSDATA,MATCH("UnarmedTrained",CLASSFEATUREHEADERS,0),MATCH(($A694 &amp; "Points"),CLASSNAMEHEADERS,0))),"")))))))))}</f>
        <v>UNARMEDL07</v>
      </c>
      <c r="O693" s="223"/>
      <c r="P693" s="223" t="str">
        <f t="array" ref="P693:P694">{"UNARMEDL09";((IF("09"=(INDEX(ALLCLASSDATA,MATCH("UnarmedLegendary",CLASSFEATUREHEADERS,0),MATCH($A694,CLASSNAMEHEADERS,0))),(INDEX(ALLCLASSDATA,MATCH("UnarmedLegendary",CLASSFEATUREHEADERS,0),MATCH(($A694 &amp; "Points"),CLASSNAMEHEADERS,0))),(IF("09"=(INDEX(ALLCLASSDATA,MATCH("UnarmedMaster",CLASSFEATUREHEADERS,0),MATCH($A694,CLASSNAMEHEADERS,0))),(INDEX(ALLCLASSDATA,MATCH("UnarmedMaster",CLASSFEATUREHEADERS,0),MATCH(($A694 &amp; "Points"),CLASSNAMEHEADERS,0))),(IF("09"=(INDEX(ALLCLASSDATA,MATCH("UnarmedExpert",CLASSFEATUREHEADERS,0),MATCH($A694,CLASSNAMEHEADERS,0))),(INDEX(ALLCLASSDATA,MATCH("UnarmedExpert",CLASSFEATUREHEADERS,0),MATCH(($A694 &amp; "Points"),CLASSNAMEHEADERS,0))),(IF("09"=(INDEX(ALLCLASSDATA,MATCH("UnarmedTrained",CLASSFEATUREHEADERS,0),MATCH($A694,CLASSNAMEHEADERS,0))),(INDEX(ALLCLASSDATA,MATCH("UnarmedTrained",CLASSFEATUREHEADERS,0),MATCH(($A694 &amp; "Points"),CLASSNAMEHEADERS,0))),"")))))))))}</f>
        <v>UNARMEDL09</v>
      </c>
      <c r="Q693" s="223"/>
      <c r="R693" s="223" t="str">
        <f t="array" ref="R693:R694">{"UNARMEDL11";((IF("11"=(INDEX(ALLCLASSDATA,MATCH("UnarmedLegendary",CLASSFEATUREHEADERS,0),MATCH($A694,CLASSNAMEHEADERS,0))),(INDEX(ALLCLASSDATA,MATCH("UnarmedLegendary",CLASSFEATUREHEADERS,0),MATCH(($A694 &amp; "Points"),CLASSNAMEHEADERS,0))),(IF("11"=(INDEX(ALLCLASSDATA,MATCH("UnarmedMaster",CLASSFEATUREHEADERS,0),MATCH($A694,CLASSNAMEHEADERS,0))),(INDEX(ALLCLASSDATA,MATCH("UnarmedMaster",CLASSFEATUREHEADERS,0),MATCH(($A694 &amp; "Points"),CLASSNAMEHEADERS,0))),(IF("11"=(INDEX(ALLCLASSDATA,MATCH("UnarmedExpert",CLASSFEATUREHEADERS,0),MATCH($A694,CLASSNAMEHEADERS,0))),(INDEX(ALLCLASSDATA,MATCH("UnarmedExpert",CLASSFEATUREHEADERS,0),MATCH(($A694 &amp; "Points"),CLASSNAMEHEADERS,0))),(IF("11"=(INDEX(ALLCLASSDATA,MATCH("UnarmedTrained",CLASSFEATUREHEADERS,0),MATCH($A694,CLASSNAMEHEADERS,0))),(INDEX(ALLCLASSDATA,MATCH("UnarmedTrained",CLASSFEATUREHEADERS,0),MATCH(($A694 &amp; "Points"),CLASSNAMEHEADERS,0))),"")))))))))}</f>
        <v>UNARMEDL11</v>
      </c>
      <c r="S693" s="223"/>
      <c r="T693" s="223" t="str">
        <f t="array" ref="T693:T694">{"UNARMEDL13";((IF("13"=(INDEX(ALLCLASSDATA,MATCH("UnarmedLegendary",CLASSFEATUREHEADERS,0),MATCH($A694,CLASSNAMEHEADERS,0))),(INDEX(ALLCLASSDATA,MATCH("UnarmedLegendary",CLASSFEATUREHEADERS,0),MATCH(($A694 &amp; "Points"),CLASSNAMEHEADERS,0))),(IF("13"=(INDEX(ALLCLASSDATA,MATCH("UnarmedMaster",CLASSFEATUREHEADERS,0),MATCH($A694,CLASSNAMEHEADERS,0))),(INDEX(ALLCLASSDATA,MATCH("UnarmedMaster",CLASSFEATUREHEADERS,0),MATCH(($A694 &amp; "Points"),CLASSNAMEHEADERS,0))),(IF("13"=(INDEX(ALLCLASSDATA,MATCH("UnarmedExpert",CLASSFEATUREHEADERS,0),MATCH($A694,CLASSNAMEHEADERS,0))),(INDEX(ALLCLASSDATA,MATCH("UnarmedExpert",CLASSFEATUREHEADERS,0),MATCH(($A694 &amp; "Points"),CLASSNAMEHEADERS,0))),(IF("13"=(INDEX(ALLCLASSDATA,MATCH("UnarmedTrained",CLASSFEATUREHEADERS,0),MATCH($A694,CLASSNAMEHEADERS,0))),(INDEX(ALLCLASSDATA,MATCH("UnarmedTrained",CLASSFEATUREHEADERS,0),MATCH(($A694 &amp; "Points"),CLASSNAMEHEADERS,0))),"")))))))))}</f>
        <v>UNARMEDL13</v>
      </c>
      <c r="U693" s="223"/>
      <c r="V693" s="223" t="str">
        <f t="array" ref="V693:V694">{"UNARMEDL15";((IF("15"=(INDEX(ALLCLASSDATA,MATCH("UnarmedLegendary",CLASSFEATUREHEADERS,0),MATCH($A694,CLASSNAMEHEADERS,0))),(INDEX(ALLCLASSDATA,MATCH("UnarmedLegendary",CLASSFEATUREHEADERS,0),MATCH(($A694 &amp; "Points"),CLASSNAMEHEADERS,0))),(IF("15"=(INDEX(ALLCLASSDATA,MATCH("UnarmedMaster",CLASSFEATUREHEADERS,0),MATCH($A694,CLASSNAMEHEADERS,0))),(INDEX(ALLCLASSDATA,MATCH("UnarmedMaster",CLASSFEATUREHEADERS,0),MATCH(($A694 &amp; "Points"),CLASSNAMEHEADERS,0))),(IF("15"=(INDEX(ALLCLASSDATA,MATCH("UnarmedExpert",CLASSFEATUREHEADERS,0),MATCH($A694,CLASSNAMEHEADERS,0))),(INDEX(ALLCLASSDATA,MATCH("UnarmedExpert",CLASSFEATUREHEADERS,0),MATCH(($A694 &amp; "Points"),CLASSNAMEHEADERS,0))),(IF("15"=(INDEX(ALLCLASSDATA,MATCH("UnarmedTrained",CLASSFEATUREHEADERS,0),MATCH($A694,CLASSNAMEHEADERS,0))),(INDEX(ALLCLASSDATA,MATCH("UnarmedTrained",CLASSFEATUREHEADERS,0),MATCH(($A694 &amp; "Points"),CLASSNAMEHEADERS,0))),"")))))))))}</f>
        <v>UNARMEDL15</v>
      </c>
      <c r="W693" s="223"/>
      <c r="X693" s="223" t="str">
        <f t="array" ref="X693:X694">{"UNARMEDL17";((IF("17"=(INDEX(ALLCLASSDATA,MATCH("UnarmedLegendary",CLASSFEATUREHEADERS,0),MATCH($A694,CLASSNAMEHEADERS,0))),(INDEX(ALLCLASSDATA,MATCH("UnarmedLegendary",CLASSFEATUREHEADERS,0),MATCH(($A694 &amp; "Points"),CLASSNAMEHEADERS,0))),(IF("17"=(INDEX(ALLCLASSDATA,MATCH("UnarmedMaster",CLASSFEATUREHEADERS,0),MATCH($A694,CLASSNAMEHEADERS,0))),(INDEX(ALLCLASSDATA,MATCH("UnarmedMaster",CLASSFEATUREHEADERS,0),MATCH(($A694 &amp; "Points"),CLASSNAMEHEADERS,0))),(IF("17"=(INDEX(ALLCLASSDATA,MATCH("UnarmedExpert",CLASSFEATUREHEADERS,0),MATCH($A694,CLASSNAMEHEADERS,0))),(INDEX(ALLCLASSDATA,MATCH("UnarmedExpert",CLASSFEATUREHEADERS,0),MATCH(($A694 &amp; "Points"),CLASSNAMEHEADERS,0))),(IF("17"=(INDEX(ALLCLASSDATA,MATCH("UnarmedTrained",CLASSFEATUREHEADERS,0),MATCH($A694,CLASSNAMEHEADERS,0))),(INDEX(ALLCLASSDATA,MATCH("UnarmedTrained",CLASSFEATUREHEADERS,0),MATCH(($A694 &amp; "Points"),CLASSNAMEHEADERS,0))),"")))))))))}</f>
        <v>UNARMEDL17</v>
      </c>
      <c r="Y693" s="223"/>
      <c r="Z693" s="223" t="str">
        <f t="array" ref="Z693:Z694">{"UNARMEDL19";((IF("19"=(INDEX(ALLCLASSDATA,MATCH("UnarmedLegendary",CLASSFEATUREHEADERS,0),MATCH($A694,CLASSNAMEHEADERS,0))),(INDEX(ALLCLASSDATA,MATCH("UnarmedLegendary",CLASSFEATUREHEADERS,0),MATCH(($A694 &amp; "Points"),CLASSNAMEHEADERS,0))),(IF("19"=(INDEX(ALLCLASSDATA,MATCH("UnarmedMaster",CLASSFEATUREHEADERS,0),MATCH($A694,CLASSNAMEHEADERS,0))),(INDEX(ALLCLASSDATA,MATCH("UnarmedMaster",CLASSFEATUREHEADERS,0),MATCH(($A694 &amp; "Points"),CLASSNAMEHEADERS,0))),(IF("19"=(INDEX(ALLCLASSDATA,MATCH("UnarmedExpert",CLASSFEATUREHEADERS,0),MATCH($A694,CLASSNAMEHEADERS,0))),(INDEX(ALLCLASSDATA,MATCH("UnarmedExpert",CLASSFEATUREHEADERS,0),MATCH(($A694 &amp; "Points"),CLASSNAMEHEADERS,0))),(IF("19"=(INDEX(ALLCLASSDATA,MATCH("UnarmedTrained",CLASSFEATUREHEADERS,0),MATCH($A694,CLASSNAMEHEADERS,0))),(INDEX(ALLCLASSDATA,MATCH("UnarmedTrained",CLASSFEATUREHEADERS,0),MATCH(($A694 &amp; "Points"),CLASSNAMEHEADERS,0))),"")))))))))}</f>
        <v>UNARMEDL19</v>
      </c>
      <c r="AA693" s="223"/>
      <c r="AB693" s="76" t="str">
        <f t="array" ref="AB693:AB694">{"UNARMED TOTAL";(IF(COUNTBLANK(G694:AA694)=17,"L",(IF(COUNTBLANK(G694:AA694)=18,"M",(IF(COUNTBLANK(G694:AA694)=19,"E",(IF(COUNTBLANK(G694:AA694)=20,"T",""))))))))}</f>
        <v>UNARMED TOTAL</v>
      </c>
      <c r="AC693" s="76" t="str">
        <f t="array" ref="AC693:AC694">{"UNARMED TOTAL";(sum(G694:AA694))}</f>
        <v>UNARMED TOTAL</v>
      </c>
    </row>
    <row r="694">
      <c r="A694" s="48" t="s">
        <v>170</v>
      </c>
      <c r="B694" s="48"/>
      <c r="C694" s="48" t="s">
        <v>415</v>
      </c>
      <c r="D694" s="48" t="s">
        <v>1634</v>
      </c>
      <c r="E694" s="48" t="s">
        <v>257</v>
      </c>
      <c r="F694" s="5" t="s">
        <v>435</v>
      </c>
      <c r="G694" s="47" t="s">
        <v>603</v>
      </c>
      <c r="H694" s="5">
        <v>10.0</v>
      </c>
      <c r="I694" s="5"/>
      <c r="J694" s="5" t="s">
        <v>603</v>
      </c>
      <c r="K694" s="5"/>
      <c r="L694" s="5" t="s">
        <v>436</v>
      </c>
      <c r="M694" s="5"/>
      <c r="N694" s="5" t="s">
        <v>603</v>
      </c>
      <c r="O694" s="5"/>
      <c r="P694" s="5" t="s">
        <v>603</v>
      </c>
      <c r="Q694" s="5"/>
      <c r="R694" s="5" t="s">
        <v>603</v>
      </c>
      <c r="S694" s="5"/>
      <c r="T694" s="5" t="s">
        <v>437</v>
      </c>
      <c r="U694" s="5"/>
      <c r="V694" s="5" t="s">
        <v>603</v>
      </c>
      <c r="W694" s="5"/>
      <c r="X694" s="5" t="s">
        <v>603</v>
      </c>
      <c r="Y694" s="5"/>
      <c r="Z694" s="5" t="s">
        <v>603</v>
      </c>
      <c r="AA694" s="5"/>
      <c r="AB694" s="5" t="s">
        <v>437</v>
      </c>
      <c r="AC694" s="47">
        <v>10.0</v>
      </c>
    </row>
    <row r="695" hidden="1">
      <c r="A695" s="222" t="str">
        <f t="array" ref="A695:A696">{"FormulaRow28";(INDEX(CLASSLIST,A640,1))}</f>
        <v>FormulaRow28</v>
      </c>
      <c r="B695" s="77" t="s">
        <v>236</v>
      </c>
      <c r="C695" s="222" t="str">
        <f t="array" ref="C695:C696">{"CLASSTYPE";((INDEX(ALLCLASSDATA,MATCH("ClassType",CLASSFEATUREHEADERS,0),MATCH($A696,CLASSNAMEHEADERS,0))))}</f>
        <v>CLASSTYPE</v>
      </c>
      <c r="D695" s="222" t="str">
        <f t="array" ref="D695:D696">{"ATTACK";"Attack"}</f>
        <v>ATTACK</v>
      </c>
      <c r="E695" s="222" t="str">
        <f t="array" ref="E695:E696">{"SIMPLELIMITED";"SimpleLimited"}</f>
        <v>SIMPLELIMITED</v>
      </c>
      <c r="F695" s="223" t="str">
        <f t="array" ref="F695:F696">{"SIMPLELIMITEDINITIAL";((IF(H696=10,"T",(IF(H696=50,"E","")))))}</f>
        <v>SIMPLELIMITEDINITIAL</v>
      </c>
      <c r="G695" s="223" t="str">
        <f t="array" ref="G695:G696">{"SIMPLELIMITEDINITIALPTS";((IF("00"=(INDEX(ALLCLASSDATA,MATCH("SimpleLimitedLegendary",CLASSFEATUREHEADERS,0),MATCH($A696,CLASSNAMEHEADERS,0))),(INDEX(ALLCLASSDATA,MATCH("SimpleLimitedLegendary",CLASSFEATUREHEADERS,0),MATCH(($A696 &amp; "Points"),CLASSNAMEHEADERS,0))),(IF("00"=(INDEX(ALLCLASSDATA,MATCH("SimpleLimitedMaster",CLASSFEATUREHEADERS,0),MATCH($A696,CLASSNAMEHEADERS,0))),(INDEX(ALLCLASSDATA,MATCH("SimpleLimitedMaster",CLASSFEATUREHEADERS,0),MATCH(($A696 &amp; "Points"),CLASSNAMEHEADERS,0))),(IF("00"=(INDEX(ALLCLASSDATA,MATCH("SimpleLimitedExpert",CLASSFEATUREHEADERS,0),MATCH($A696,CLASSNAMEHEADERS,0))),(INDEX(ALLCLASSDATA,MATCH("SimpleLimitedExpert",CLASSFEATUREHEADERS,0),MATCH(($A696 &amp; "Points"),CLASSNAMEHEADERS,0))),(IF("00"=(INDEX(ALLCLASSDATA,MATCH("SimpleLimitedTrained",CLASSFEATUREHEADERS,0),MATCH($A696,CLASSNAMEHEADERS,0))),(INDEX(ALLCLASSDATA,MATCH("SimpleLimitedTrained",CLASSFEATUREHEADERS,0),MATCH(($A696 &amp; "Points"),CLASSNAMEHEADERS,0))),"")))))))))}</f>
        <v>SIMPLELIMITEDINITIALPTS</v>
      </c>
      <c r="H695" s="223" t="str">
        <f t="array" ref="H695:H696">{"SIMPLELIMITEDL01";((IF("01"=(INDEX(ALLCLASSDATA,MATCH("SimpleLimitedLegendary",CLASSFEATUREHEADERS,0),MATCH($A696,CLASSNAMEHEADERS,0))),(INDEX(ALLCLASSDATA,MATCH("SimpleLimitedLegendary",CLASSFEATUREHEADERS,0),MATCH(($A696 &amp; "Points"),CLASSNAMEHEADERS,0))),(IF("01"=(INDEX(ALLCLASSDATA,MATCH("SimpleLimitedMaster",CLASSFEATUREHEADERS,0),MATCH($A696,CLASSNAMEHEADERS,0))),(INDEX(ALLCLASSDATA,MATCH("SimpleLimitedMaster",CLASSFEATUREHEADERS,0),MATCH(($A696 &amp; "Points"),CLASSNAMEHEADERS,0))),(IF("01"=(INDEX(ALLCLASSDATA,MATCH("SimpleLimitedExpert",CLASSFEATUREHEADERS,0),MATCH($A696,CLASSNAMEHEADERS,0))),(INDEX(ALLCLASSDATA,MATCH("SimpleLimitedExpert",CLASSFEATUREHEADERS,0),MATCH(($A696 &amp; "Points"),CLASSNAMEHEADERS,0))),(IF("01"=(INDEX(ALLCLASSDATA,MATCH("SimpleLimitedTrained",CLASSFEATUREHEADERS,0),MATCH($A696,CLASSNAMEHEADERS,0))),(INDEX(ALLCLASSDATA,MATCH("SimpleLimitedTrained",CLASSFEATUREHEADERS,0),MATCH(($A696 &amp; "Points"),CLASSNAMEHEADERS,0))),"")))))))))}</f>
        <v>SIMPLELIMITEDL01</v>
      </c>
      <c r="I695" s="223"/>
      <c r="J695" s="223" t="str">
        <f t="array" ref="J695:J696">{"SIMPLELIMITEDL03";((IF("03"=(INDEX(ALLCLASSDATA,MATCH("SimpleLimitedLegendary",CLASSFEATUREHEADERS,0),MATCH($A696,CLASSNAMEHEADERS,0))),(INDEX(ALLCLASSDATA,MATCH("SimpleLimitedLegendary",CLASSFEATUREHEADERS,0),MATCH(($A696 &amp; "Points"),CLASSNAMEHEADERS,0))),(IF("03"=(INDEX(ALLCLASSDATA,MATCH("SimpleLimitedMaster",CLASSFEATUREHEADERS,0),MATCH($A696,CLASSNAMEHEADERS,0))),(INDEX(ALLCLASSDATA,MATCH("SimpleLimitedMaster",CLASSFEATUREHEADERS,0),MATCH(($A696 &amp; "Points"),CLASSNAMEHEADERS,0))),(IF("03"=(INDEX(ALLCLASSDATA,MATCH("SimpleLimitedExpert",CLASSFEATUREHEADERS,0),MATCH($A696,CLASSNAMEHEADERS,0))),(INDEX(ALLCLASSDATA,MATCH("SimpleLimitedExpert",CLASSFEATUREHEADERS,0),MATCH(($A696 &amp; "Points"),CLASSNAMEHEADERS,0))),(IF("03"=(INDEX(ALLCLASSDATA,MATCH("SimpleLimitedTrained",CLASSFEATUREHEADERS,0),MATCH($A696,CLASSNAMEHEADERS,0))),(INDEX(ALLCLASSDATA,MATCH("SimpleLimitedTrained",CLASSFEATUREHEADERS,0),MATCH(($A696 &amp; "Points"),CLASSNAMEHEADERS,0))),"")))))))))}</f>
        <v>SIMPLELIMITEDL03</v>
      </c>
      <c r="K695" s="223"/>
      <c r="L695" s="223" t="str">
        <f t="array" ref="L695:L696">{"SIMPLELIMITEDL05";((IF("05"=(INDEX(ALLCLASSDATA,MATCH("SimpleLimitedLegendary",CLASSFEATUREHEADERS,0),MATCH($A696,CLASSNAMEHEADERS,0))),(INDEX(ALLCLASSDATA,MATCH("SimpleLimitedLegendary",CLASSFEATUREHEADERS,0),MATCH(($A696 &amp; "Points"),CLASSNAMEHEADERS,0))),(IF("05"=(INDEX(ALLCLASSDATA,MATCH("SimpleLimitedMaster",CLASSFEATUREHEADERS,0),MATCH($A696,CLASSNAMEHEADERS,0))),(INDEX(ALLCLASSDATA,MATCH("SimpleLimitedMaster",CLASSFEATUREHEADERS,0),MATCH(($A696 &amp; "Points"),CLASSNAMEHEADERS,0))),(IF("05"=(INDEX(ALLCLASSDATA,MATCH("SimpleLimitedExpert",CLASSFEATUREHEADERS,0),MATCH($A696,CLASSNAMEHEADERS,0))),(INDEX(ALLCLASSDATA,MATCH("SimpleLimitedExpert",CLASSFEATUREHEADERS,0),MATCH(($A696 &amp; "Points"),CLASSNAMEHEADERS,0))),(IF("05"=(INDEX(ALLCLASSDATA,MATCH("SimpleLimitedTrained",CLASSFEATUREHEADERS,0),MATCH($A696,CLASSNAMEHEADERS,0))),(INDEX(ALLCLASSDATA,MATCH("SimpleLimitedTrained",CLASSFEATUREHEADERS,0),MATCH(($A696 &amp; "Points"),CLASSNAMEHEADERS,0))),"")))))))))}</f>
        <v>SIMPLELIMITEDL05</v>
      </c>
      <c r="M695" s="223"/>
      <c r="N695" s="223" t="str">
        <f t="array" ref="N695:N696">{"SIMPLELIMITEDL07";((IF("07"=(INDEX(ALLCLASSDATA,MATCH("SimpleLimitedLegendary",CLASSFEATUREHEADERS,0),MATCH($A696,CLASSNAMEHEADERS,0))),(INDEX(ALLCLASSDATA,MATCH("SimpleLimitedLegendary",CLASSFEATUREHEADERS,0),MATCH(($A696 &amp; "Points"),CLASSNAMEHEADERS,0))),(IF("07"=(INDEX(ALLCLASSDATA,MATCH("SimpleLimitedMaster",CLASSFEATUREHEADERS,0),MATCH($A696,CLASSNAMEHEADERS,0))),(INDEX(ALLCLASSDATA,MATCH("SimpleLimitedMaster",CLASSFEATUREHEADERS,0),MATCH(($A696 &amp; "Points"),CLASSNAMEHEADERS,0))),(IF("07"=(INDEX(ALLCLASSDATA,MATCH("SimpleLimitedExpert",CLASSFEATUREHEADERS,0),MATCH($A696,CLASSNAMEHEADERS,0))),(INDEX(ALLCLASSDATA,MATCH("SimpleLimitedExpert",CLASSFEATUREHEADERS,0),MATCH(($A696 &amp; "Points"),CLASSNAMEHEADERS,0))),(IF("07"=(INDEX(ALLCLASSDATA,MATCH("SimpleLimitedTrained",CLASSFEATUREHEADERS,0),MATCH($A696,CLASSNAMEHEADERS,0))),(INDEX(ALLCLASSDATA,MATCH("SimpleLimitedTrained",CLASSFEATUREHEADERS,0),MATCH(($A696 &amp; "Points"),CLASSNAMEHEADERS,0))),"")))))))))}</f>
        <v>SIMPLELIMITEDL07</v>
      </c>
      <c r="O695" s="223"/>
      <c r="P695" s="223" t="str">
        <f t="array" ref="P695:P696">{"SIMPLELIMITEDL09";((IF("09"=(INDEX(ALLCLASSDATA,MATCH("SimpleLimitedLegendary",CLASSFEATUREHEADERS,0),MATCH($A696,CLASSNAMEHEADERS,0))),(INDEX(ALLCLASSDATA,MATCH("SimpleLimitedLegendary",CLASSFEATUREHEADERS,0),MATCH(($A696 &amp; "Points"),CLASSNAMEHEADERS,0))),(IF("09"=(INDEX(ALLCLASSDATA,MATCH("SimpleLimitedMaster",CLASSFEATUREHEADERS,0),MATCH($A696,CLASSNAMEHEADERS,0))),(INDEX(ALLCLASSDATA,MATCH("SimpleLimitedMaster",CLASSFEATUREHEADERS,0),MATCH(($A696 &amp; "Points"),CLASSNAMEHEADERS,0))),(IF("09"=(INDEX(ALLCLASSDATA,MATCH("SimpleLimitedExpert",CLASSFEATUREHEADERS,0),MATCH($A696,CLASSNAMEHEADERS,0))),(INDEX(ALLCLASSDATA,MATCH("SimpleLimitedExpert",CLASSFEATUREHEADERS,0),MATCH(($A696 &amp; "Points"),CLASSNAMEHEADERS,0))),(IF("09"=(INDEX(ALLCLASSDATA,MATCH("SimpleLimitedTrained",CLASSFEATUREHEADERS,0),MATCH($A696,CLASSNAMEHEADERS,0))),(INDEX(ALLCLASSDATA,MATCH("SimpleLimitedTrained",CLASSFEATUREHEADERS,0),MATCH(($A696 &amp; "Points"),CLASSNAMEHEADERS,0))),"")))))))))}</f>
        <v>SIMPLELIMITEDL09</v>
      </c>
      <c r="Q695" s="223"/>
      <c r="R695" s="223" t="str">
        <f t="array" ref="R695:R696">{"SIMPLELIMITEDL11";((IF("11"=(INDEX(ALLCLASSDATA,MATCH("SimpleLimitedLegendary",CLASSFEATUREHEADERS,0),MATCH($A696,CLASSNAMEHEADERS,0))),(INDEX(ALLCLASSDATA,MATCH("SimpleLimitedLegendary",CLASSFEATUREHEADERS,0),MATCH(($A696 &amp; "Points"),CLASSNAMEHEADERS,0))),(IF("11"=(INDEX(ALLCLASSDATA,MATCH("SimpleLimitedMaster",CLASSFEATUREHEADERS,0),MATCH($A696,CLASSNAMEHEADERS,0))),(INDEX(ALLCLASSDATA,MATCH("SimpleLimitedMaster",CLASSFEATUREHEADERS,0),MATCH(($A696 &amp; "Points"),CLASSNAMEHEADERS,0))),(IF("11"=(INDEX(ALLCLASSDATA,MATCH("SimpleLimitedExpert",CLASSFEATUREHEADERS,0),MATCH($A696,CLASSNAMEHEADERS,0))),(INDEX(ALLCLASSDATA,MATCH("SimpleLimitedExpert",CLASSFEATUREHEADERS,0),MATCH(($A696 &amp; "Points"),CLASSNAMEHEADERS,0))),(IF("11"=(INDEX(ALLCLASSDATA,MATCH("SimpleLimitedTrained",CLASSFEATUREHEADERS,0),MATCH($A696,CLASSNAMEHEADERS,0))),(INDEX(ALLCLASSDATA,MATCH("SimpleLimitedTrained",CLASSFEATUREHEADERS,0),MATCH(($A696 &amp; "Points"),CLASSNAMEHEADERS,0))),"")))))))))}</f>
        <v>SIMPLELIMITEDL11</v>
      </c>
      <c r="S695" s="223"/>
      <c r="T695" s="223" t="str">
        <f t="array" ref="T695:T696">{"SIMPLELIMITEDL13";((IF("13"=(INDEX(ALLCLASSDATA,MATCH("SimpleLimitedLegendary",CLASSFEATUREHEADERS,0),MATCH($A696,CLASSNAMEHEADERS,0))),(INDEX(ALLCLASSDATA,MATCH("SimpleLimitedLegendary",CLASSFEATUREHEADERS,0),MATCH(($A696 &amp; "Points"),CLASSNAMEHEADERS,0))),(IF("13"=(INDEX(ALLCLASSDATA,MATCH("SimpleLimitedMaster",CLASSFEATUREHEADERS,0),MATCH($A696,CLASSNAMEHEADERS,0))),(INDEX(ALLCLASSDATA,MATCH("SimpleLimitedMaster",CLASSFEATUREHEADERS,0),MATCH(($A696 &amp; "Points"),CLASSNAMEHEADERS,0))),(IF("13"=(INDEX(ALLCLASSDATA,MATCH("SimpleLimitedExpert",CLASSFEATUREHEADERS,0),MATCH($A696,CLASSNAMEHEADERS,0))),(INDEX(ALLCLASSDATA,MATCH("SimpleLimitedExpert",CLASSFEATUREHEADERS,0),MATCH(($A696 &amp; "Points"),CLASSNAMEHEADERS,0))),(IF("13"=(INDEX(ALLCLASSDATA,MATCH("SimpleLimitedTrained",CLASSFEATUREHEADERS,0),MATCH($A696,CLASSNAMEHEADERS,0))),(INDEX(ALLCLASSDATA,MATCH("SimpleLimitedTrained",CLASSFEATUREHEADERS,0),MATCH(($A696 &amp; "Points"),CLASSNAMEHEADERS,0))),"")))))))))}</f>
        <v>SIMPLELIMITEDL13</v>
      </c>
      <c r="U695" s="223"/>
      <c r="V695" s="223" t="str">
        <f t="array" ref="V695:V696">{"SIMPLELIMITEDL15";((IF("15"=(INDEX(ALLCLASSDATA,MATCH("SimpleLimitedLegendary",CLASSFEATUREHEADERS,0),MATCH($A696,CLASSNAMEHEADERS,0))),(INDEX(ALLCLASSDATA,MATCH("SimpleLimitedLegendary",CLASSFEATUREHEADERS,0),MATCH(($A696 &amp; "Points"),CLASSNAMEHEADERS,0))),(IF("15"=(INDEX(ALLCLASSDATA,MATCH("SimpleLimitedMaster",CLASSFEATUREHEADERS,0),MATCH($A696,CLASSNAMEHEADERS,0))),(INDEX(ALLCLASSDATA,MATCH("SimpleLimitedMaster",CLASSFEATUREHEADERS,0),MATCH(($A696 &amp; "Points"),CLASSNAMEHEADERS,0))),(IF("15"=(INDEX(ALLCLASSDATA,MATCH("SimpleLimitedExpert",CLASSFEATUREHEADERS,0),MATCH($A696,CLASSNAMEHEADERS,0))),(INDEX(ALLCLASSDATA,MATCH("SimpleLimitedExpert",CLASSFEATUREHEADERS,0),MATCH(($A696 &amp; "Points"),CLASSNAMEHEADERS,0))),(IF("15"=(INDEX(ALLCLASSDATA,MATCH("SimpleLimitedTrained",CLASSFEATUREHEADERS,0),MATCH($A696,CLASSNAMEHEADERS,0))),(INDEX(ALLCLASSDATA,MATCH("SimpleLimitedTrained",CLASSFEATUREHEADERS,0),MATCH(($A696 &amp; "Points"),CLASSNAMEHEADERS,0))),"")))))))))}</f>
        <v>SIMPLELIMITEDL15</v>
      </c>
      <c r="W695" s="223"/>
      <c r="X695" s="223" t="str">
        <f t="array" ref="X695:X696">{"SIMPLELIMITEDL17";((IF("17"=(INDEX(ALLCLASSDATA,MATCH("SimpleLimitedLegendary",CLASSFEATUREHEADERS,0),MATCH($A696,CLASSNAMEHEADERS,0))),(INDEX(ALLCLASSDATA,MATCH("SimpleLimitedLegendary",CLASSFEATUREHEADERS,0),MATCH(($A696 &amp; "Points"),CLASSNAMEHEADERS,0))),(IF("17"=(INDEX(ALLCLASSDATA,MATCH("SimpleLimitedMaster",CLASSFEATUREHEADERS,0),MATCH($A696,CLASSNAMEHEADERS,0))),(INDEX(ALLCLASSDATA,MATCH("SimpleLimitedMaster",CLASSFEATUREHEADERS,0),MATCH(($A696 &amp; "Points"),CLASSNAMEHEADERS,0))),(IF("17"=(INDEX(ALLCLASSDATA,MATCH("SimpleLimitedExpert",CLASSFEATUREHEADERS,0),MATCH($A696,CLASSNAMEHEADERS,0))),(INDEX(ALLCLASSDATA,MATCH("SimpleLimitedExpert",CLASSFEATUREHEADERS,0),MATCH(($A696 &amp; "Points"),CLASSNAMEHEADERS,0))),(IF("17"=(INDEX(ALLCLASSDATA,MATCH("SimpleLimitedTrained",CLASSFEATUREHEADERS,0),MATCH($A696,CLASSNAMEHEADERS,0))),(INDEX(ALLCLASSDATA,MATCH("SimpleLimitedTrained",CLASSFEATUREHEADERS,0),MATCH(($A696 &amp; "Points"),CLASSNAMEHEADERS,0))),"")))))))))}</f>
        <v>SIMPLELIMITEDL17</v>
      </c>
      <c r="Y695" s="223"/>
      <c r="Z695" s="223" t="str">
        <f t="array" ref="Z695:Z696">{"SIMPLELIMITEDL19";((IF("19"=(INDEX(ALLCLASSDATA,MATCH("SimpleLimitedLegendary",CLASSFEATUREHEADERS,0),MATCH($A696,CLASSNAMEHEADERS,0))),(INDEX(ALLCLASSDATA,MATCH("SimpleLimitedLegendary",CLASSFEATUREHEADERS,0),MATCH(($A696 &amp; "Points"),CLASSNAMEHEADERS,0))),(IF("19"=(INDEX(ALLCLASSDATA,MATCH("SimpleLimitedMaster",CLASSFEATUREHEADERS,0),MATCH($A696,CLASSNAMEHEADERS,0))),(INDEX(ALLCLASSDATA,MATCH("SimpleLimitedMaster",CLASSFEATUREHEADERS,0),MATCH(($A696 &amp; "Points"),CLASSNAMEHEADERS,0))),(IF("19"=(INDEX(ALLCLASSDATA,MATCH("SimpleLimitedExpert",CLASSFEATUREHEADERS,0),MATCH($A696,CLASSNAMEHEADERS,0))),(INDEX(ALLCLASSDATA,MATCH("SimpleLimitedExpert",CLASSFEATUREHEADERS,0),MATCH(($A696 &amp; "Points"),CLASSNAMEHEADERS,0))),(IF("19"=(INDEX(ALLCLASSDATA,MATCH("SimpleLimitedTrained",CLASSFEATUREHEADERS,0),MATCH($A696,CLASSNAMEHEADERS,0))),(INDEX(ALLCLASSDATA,MATCH("SimpleLimitedTrained",CLASSFEATUREHEADERS,0),MATCH(($A696 &amp; "Points"),CLASSNAMEHEADERS,0))),"")))))))))}</f>
        <v>SIMPLELIMITEDL19</v>
      </c>
      <c r="AA695" s="223"/>
      <c r="AB695" s="76" t="str">
        <f t="array" ref="AB695:AB696">{"SIMPLELIMITED TOTAL";(IF(COUNTBLANK(G696:AA696)=17,"L",(IF(COUNTBLANK(G696:AA696)=18,"M",(IF(COUNTBLANK(G696:AA696)=19,"E",(IF(COUNTBLANK(G696:AA696)=20,"T",""))))))))}</f>
        <v>SIMPLELIMITED TOTAL</v>
      </c>
      <c r="AC695" s="76" t="str">
        <f t="array" ref="AC695:AC696">{"SIMPLELIMITED TOTAL";(sum(G696:AA696))}</f>
        <v>SIMPLELIMITED TOTAL</v>
      </c>
    </row>
    <row r="696">
      <c r="A696" s="48" t="s">
        <v>170</v>
      </c>
      <c r="B696" s="48"/>
      <c r="C696" s="48" t="s">
        <v>415</v>
      </c>
      <c r="D696" s="48" t="s">
        <v>1634</v>
      </c>
      <c r="E696" s="48" t="s">
        <v>599</v>
      </c>
      <c r="F696" s="5" t="s">
        <v>603</v>
      </c>
      <c r="G696" s="47" t="s">
        <v>603</v>
      </c>
      <c r="H696" s="5" t="s">
        <v>603</v>
      </c>
      <c r="I696" s="5"/>
      <c r="J696" s="5" t="s">
        <v>603</v>
      </c>
      <c r="K696" s="5"/>
      <c r="L696" s="5" t="s">
        <v>603</v>
      </c>
      <c r="M696" s="5"/>
      <c r="N696" s="5" t="s">
        <v>603</v>
      </c>
      <c r="O696" s="5"/>
      <c r="P696" s="5" t="s">
        <v>603</v>
      </c>
      <c r="Q696" s="5"/>
      <c r="R696" s="5" t="s">
        <v>603</v>
      </c>
      <c r="S696" s="5"/>
      <c r="T696" s="5" t="s">
        <v>603</v>
      </c>
      <c r="U696" s="5"/>
      <c r="V696" s="5" t="s">
        <v>603</v>
      </c>
      <c r="W696" s="5"/>
      <c r="X696" s="5" t="s">
        <v>603</v>
      </c>
      <c r="Y696" s="5"/>
      <c r="Z696" s="5" t="s">
        <v>603</v>
      </c>
      <c r="AA696" s="5"/>
      <c r="AB696" s="5" t="s">
        <v>603</v>
      </c>
      <c r="AC696" s="47">
        <v>0.0</v>
      </c>
    </row>
    <row r="697" hidden="1">
      <c r="A697" s="222" t="str">
        <f t="array" ref="A697:A698">{"FormulaRow29";(INDEX(CLASSLIST,A640,1))}</f>
        <v>FormulaRow29</v>
      </c>
      <c r="B697" s="77" t="s">
        <v>236</v>
      </c>
      <c r="C697" s="222" t="str">
        <f t="array" ref="C697:C698">{"CLASSTYPE";((INDEX(ALLCLASSDATA,MATCH("ClassType",CLASSFEATUREHEADERS,0),MATCH($A698,CLASSNAMEHEADERS,0))))}</f>
        <v>CLASSTYPE</v>
      </c>
      <c r="D697" s="222" t="str">
        <f t="array" ref="D697:D698">{"ATTACK";"Attack"}</f>
        <v>ATTACK</v>
      </c>
      <c r="E697" s="222" t="str">
        <f t="array" ref="E697:E698">{"SIMPLE";"Simple"}</f>
        <v>SIMPLE</v>
      </c>
      <c r="F697" s="223" t="str">
        <f t="array" ref="F697:F698">{"SIMPLEINITIAL";((IF(H698=10,"T",(IF(H698=50,"E","")))))}</f>
        <v>SIMPLEINITIAL</v>
      </c>
      <c r="G697" s="223" t="str">
        <f t="array" ref="G697:G698">{"SIMPLEINITIALPTS";((IF("00"=(INDEX(ALLCLASSDATA,MATCH("SimpleLegendary",CLASSFEATUREHEADERS,0),MATCH($A698,CLASSNAMEHEADERS,0))),(INDEX(ALLCLASSDATA,MATCH("SimpleLegendary",CLASSFEATUREHEADERS,0),MATCH(($A698 &amp; "Points"),CLASSNAMEHEADERS,0))),(IF("00"=(INDEX(ALLCLASSDATA,MATCH("SimpleMaster",CLASSFEATUREHEADERS,0),MATCH($A698,CLASSNAMEHEADERS,0))),(INDEX(ALLCLASSDATA,MATCH("SimpleMaster",CLASSFEATUREHEADERS,0),MATCH(($A698 &amp; "Points"),CLASSNAMEHEADERS,0))),(IF("00"=(INDEX(ALLCLASSDATA,MATCH("SimpleExpert",CLASSFEATUREHEADERS,0),MATCH($A698,CLASSNAMEHEADERS,0))),(INDEX(ALLCLASSDATA,MATCH("SimpleExpert",CLASSFEATUREHEADERS,0),MATCH(($A698 &amp; "Points"),CLASSNAMEHEADERS,0))),(IF("00"=(INDEX(ALLCLASSDATA,MATCH("SimpleTrained",CLASSFEATUREHEADERS,0),MATCH($A698,CLASSNAMEHEADERS,0))),(INDEX(ALLCLASSDATA,MATCH("SimpleTrained",CLASSFEATUREHEADERS,0),MATCH(($A698 &amp; "Points"),CLASSNAMEHEADERS,0))),"")))))))))}</f>
        <v>SIMPLEINITIALPTS</v>
      </c>
      <c r="H697" s="223" t="str">
        <f t="array" ref="H697:H698">{"SIMPLEL01";((IF("01"=(INDEX(ALLCLASSDATA,MATCH("SimpleLegendary",CLASSFEATUREHEADERS,0),MATCH($A698,CLASSNAMEHEADERS,0))),(INDEX(ALLCLASSDATA,MATCH("SimpleLegendary",CLASSFEATUREHEADERS,0),MATCH(($A698 &amp; "Points"),CLASSNAMEHEADERS,0))),(IF("01"=(INDEX(ALLCLASSDATA,MATCH("SimpleMaster",CLASSFEATUREHEADERS,0),MATCH($A698,CLASSNAMEHEADERS,0))),(INDEX(ALLCLASSDATA,MATCH("SimpleMaster",CLASSFEATUREHEADERS,0),MATCH(($A698 &amp; "Points"),CLASSNAMEHEADERS,0))),(IF("01"=(INDEX(ALLCLASSDATA,MATCH("SimpleExpert",CLASSFEATUREHEADERS,0),MATCH($A698,CLASSNAMEHEADERS,0))),(INDEX(ALLCLASSDATA,MATCH("SimpleExpert",CLASSFEATUREHEADERS,0),MATCH(($A698 &amp; "Points"),CLASSNAMEHEADERS,0))),(IF("01"=(INDEX(ALLCLASSDATA,MATCH("SimpleTrained",CLASSFEATUREHEADERS,0),MATCH($A698,CLASSNAMEHEADERS,0))),(INDEX(ALLCLASSDATA,MATCH("SimpleTrained",CLASSFEATUREHEADERS,0),MATCH(($A698 &amp; "Points"),CLASSNAMEHEADERS,0))),"")))))))))}</f>
        <v>SIMPLEL01</v>
      </c>
      <c r="I697" s="223"/>
      <c r="J697" s="223" t="str">
        <f t="array" ref="J697:J698">{"SIMPLEL03";((IF("03"=(INDEX(ALLCLASSDATA,MATCH("SimpleLegendary",CLASSFEATUREHEADERS,0),MATCH($A698,CLASSNAMEHEADERS,0))),(INDEX(ALLCLASSDATA,MATCH("SimpleLegendary",CLASSFEATUREHEADERS,0),MATCH(($A698 &amp; "Points"),CLASSNAMEHEADERS,0))),(IF("03"=(INDEX(ALLCLASSDATA,MATCH("SimpleMaster",CLASSFEATUREHEADERS,0),MATCH($A698,CLASSNAMEHEADERS,0))),(INDEX(ALLCLASSDATA,MATCH("SimpleMaster",CLASSFEATUREHEADERS,0),MATCH(($A698 &amp; "Points"),CLASSNAMEHEADERS,0))),(IF("03"=(INDEX(ALLCLASSDATA,MATCH("SimpleExpert",CLASSFEATUREHEADERS,0),MATCH($A698,CLASSNAMEHEADERS,0))),(INDEX(ALLCLASSDATA,MATCH("SimpleExpert",CLASSFEATUREHEADERS,0),MATCH(($A698 &amp; "Points"),CLASSNAMEHEADERS,0))),(IF("03"=(INDEX(ALLCLASSDATA,MATCH("SimpleTrained",CLASSFEATUREHEADERS,0),MATCH($A698,CLASSNAMEHEADERS,0))),(INDEX(ALLCLASSDATA,MATCH("SimpleTrained",CLASSFEATUREHEADERS,0),MATCH(($A698 &amp; "Points"),CLASSNAMEHEADERS,0))),"")))))))))}</f>
        <v>SIMPLEL03</v>
      </c>
      <c r="K697" s="223"/>
      <c r="L697" s="223" t="str">
        <f t="array" ref="L697:L698">{"SIMPLEL05";((IF("05"=(INDEX(ALLCLASSDATA,MATCH("SimpleLegendary",CLASSFEATUREHEADERS,0),MATCH($A698,CLASSNAMEHEADERS,0))),(INDEX(ALLCLASSDATA,MATCH("SimpleLegendary",CLASSFEATUREHEADERS,0),MATCH(($A698 &amp; "Points"),CLASSNAMEHEADERS,0))),(IF("05"=(INDEX(ALLCLASSDATA,MATCH("SimpleMaster",CLASSFEATUREHEADERS,0),MATCH($A698,CLASSNAMEHEADERS,0))),(INDEX(ALLCLASSDATA,MATCH("SimpleMaster",CLASSFEATUREHEADERS,0),MATCH(($A698 &amp; "Points"),CLASSNAMEHEADERS,0))),(IF("05"=(INDEX(ALLCLASSDATA,MATCH("SimpleExpert",CLASSFEATUREHEADERS,0),MATCH($A698,CLASSNAMEHEADERS,0))),(INDEX(ALLCLASSDATA,MATCH("SimpleExpert",CLASSFEATUREHEADERS,0),MATCH(($A698 &amp; "Points"),CLASSNAMEHEADERS,0))),(IF("05"=(INDEX(ALLCLASSDATA,MATCH("SimpleTrained",CLASSFEATUREHEADERS,0),MATCH($A698,CLASSNAMEHEADERS,0))),(INDEX(ALLCLASSDATA,MATCH("SimpleTrained",CLASSFEATUREHEADERS,0),MATCH(($A698 &amp; "Points"),CLASSNAMEHEADERS,0))),"")))))))))}</f>
        <v>SIMPLEL05</v>
      </c>
      <c r="M697" s="223"/>
      <c r="N697" s="223" t="str">
        <f t="array" ref="N697:N698">{"SIMPLEL07";((IF("07"=(INDEX(ALLCLASSDATA,MATCH("SimpleLegendary",CLASSFEATUREHEADERS,0),MATCH($A698,CLASSNAMEHEADERS,0))),(INDEX(ALLCLASSDATA,MATCH("SimpleLegendary",CLASSFEATUREHEADERS,0),MATCH(($A698 &amp; "Points"),CLASSNAMEHEADERS,0))),(IF("07"=(INDEX(ALLCLASSDATA,MATCH("SimpleMaster",CLASSFEATUREHEADERS,0),MATCH($A698,CLASSNAMEHEADERS,0))),(INDEX(ALLCLASSDATA,MATCH("SimpleMaster",CLASSFEATUREHEADERS,0),MATCH(($A698 &amp; "Points"),CLASSNAMEHEADERS,0))),(IF("07"=(INDEX(ALLCLASSDATA,MATCH("SimpleExpert",CLASSFEATUREHEADERS,0),MATCH($A698,CLASSNAMEHEADERS,0))),(INDEX(ALLCLASSDATA,MATCH("SimpleExpert",CLASSFEATUREHEADERS,0),MATCH(($A698 &amp; "Points"),CLASSNAMEHEADERS,0))),(IF("07"=(INDEX(ALLCLASSDATA,MATCH("SimpleTrained",CLASSFEATUREHEADERS,0),MATCH($A698,CLASSNAMEHEADERS,0))),(INDEX(ALLCLASSDATA,MATCH("SimpleTrained",CLASSFEATUREHEADERS,0),MATCH(($A698 &amp; "Points"),CLASSNAMEHEADERS,0))),"")))))))))}</f>
        <v>SIMPLEL07</v>
      </c>
      <c r="O697" s="223"/>
      <c r="P697" s="223" t="str">
        <f t="array" ref="P697:P698">{"SIMPLEL09";((IF("09"=(INDEX(ALLCLASSDATA,MATCH("SimpleLegendary",CLASSFEATUREHEADERS,0),MATCH($A698,CLASSNAMEHEADERS,0))),(INDEX(ALLCLASSDATA,MATCH("SimpleLegendary",CLASSFEATUREHEADERS,0),MATCH(($A698 &amp; "Points"),CLASSNAMEHEADERS,0))),(IF("09"=(INDEX(ALLCLASSDATA,MATCH("SimpleMaster",CLASSFEATUREHEADERS,0),MATCH($A698,CLASSNAMEHEADERS,0))),(INDEX(ALLCLASSDATA,MATCH("SimpleMaster",CLASSFEATUREHEADERS,0),MATCH(($A698 &amp; "Points"),CLASSNAMEHEADERS,0))),(IF("09"=(INDEX(ALLCLASSDATA,MATCH("SimpleExpert",CLASSFEATUREHEADERS,0),MATCH($A698,CLASSNAMEHEADERS,0))),(INDEX(ALLCLASSDATA,MATCH("SimpleExpert",CLASSFEATUREHEADERS,0),MATCH(($A698 &amp; "Points"),CLASSNAMEHEADERS,0))),(IF("09"=(INDEX(ALLCLASSDATA,MATCH("SimpleTrained",CLASSFEATUREHEADERS,0),MATCH($A698,CLASSNAMEHEADERS,0))),(INDEX(ALLCLASSDATA,MATCH("SimpleTrained",CLASSFEATUREHEADERS,0),MATCH(($A698 &amp; "Points"),CLASSNAMEHEADERS,0))),"")))))))))}</f>
        <v>SIMPLEL09</v>
      </c>
      <c r="Q697" s="223"/>
      <c r="R697" s="223" t="str">
        <f t="array" ref="R697:R698">{"SIMPLEL11";((IF("11"=(INDEX(ALLCLASSDATA,MATCH("SimpleLegendary",CLASSFEATUREHEADERS,0),MATCH($A698,CLASSNAMEHEADERS,0))),(INDEX(ALLCLASSDATA,MATCH("SimpleLegendary",CLASSFEATUREHEADERS,0),MATCH(($A698 &amp; "Points"),CLASSNAMEHEADERS,0))),(IF("11"=(INDEX(ALLCLASSDATA,MATCH("SimpleMaster",CLASSFEATUREHEADERS,0),MATCH($A698,CLASSNAMEHEADERS,0))),(INDEX(ALLCLASSDATA,MATCH("SimpleMaster",CLASSFEATUREHEADERS,0),MATCH(($A698 &amp; "Points"),CLASSNAMEHEADERS,0))),(IF("11"=(INDEX(ALLCLASSDATA,MATCH("SimpleExpert",CLASSFEATUREHEADERS,0),MATCH($A698,CLASSNAMEHEADERS,0))),(INDEX(ALLCLASSDATA,MATCH("SimpleExpert",CLASSFEATUREHEADERS,0),MATCH(($A698 &amp; "Points"),CLASSNAMEHEADERS,0))),(IF("11"=(INDEX(ALLCLASSDATA,MATCH("SimpleTrained",CLASSFEATUREHEADERS,0),MATCH($A698,CLASSNAMEHEADERS,0))),(INDEX(ALLCLASSDATA,MATCH("SimpleTrained",CLASSFEATUREHEADERS,0),MATCH(($A698 &amp; "Points"),CLASSNAMEHEADERS,0))),"")))))))))}</f>
        <v>SIMPLEL11</v>
      </c>
      <c r="S697" s="223"/>
      <c r="T697" s="223" t="str">
        <f t="array" ref="T697:T698">{"SIMPLEL13";((IF("13"=(INDEX(ALLCLASSDATA,MATCH("SimpleLegendary",CLASSFEATUREHEADERS,0),MATCH($A698,CLASSNAMEHEADERS,0))),(INDEX(ALLCLASSDATA,MATCH("SimpleLegendary",CLASSFEATUREHEADERS,0),MATCH(($A698 &amp; "Points"),CLASSNAMEHEADERS,0))),(IF("13"=(INDEX(ALLCLASSDATA,MATCH("SimpleMaster",CLASSFEATUREHEADERS,0),MATCH($A698,CLASSNAMEHEADERS,0))),(INDEX(ALLCLASSDATA,MATCH("SimpleMaster",CLASSFEATUREHEADERS,0),MATCH(($A698 &amp; "Points"),CLASSNAMEHEADERS,0))),(IF("13"=(INDEX(ALLCLASSDATA,MATCH("SimpleExpert",CLASSFEATUREHEADERS,0),MATCH($A698,CLASSNAMEHEADERS,0))),(INDEX(ALLCLASSDATA,MATCH("SimpleExpert",CLASSFEATUREHEADERS,0),MATCH(($A698 &amp; "Points"),CLASSNAMEHEADERS,0))),(IF("13"=(INDEX(ALLCLASSDATA,MATCH("SimpleTrained",CLASSFEATUREHEADERS,0),MATCH($A698,CLASSNAMEHEADERS,0))),(INDEX(ALLCLASSDATA,MATCH("SimpleTrained",CLASSFEATUREHEADERS,0),MATCH(($A698 &amp; "Points"),CLASSNAMEHEADERS,0))),"")))))))))}</f>
        <v>SIMPLEL13</v>
      </c>
      <c r="U697" s="223"/>
      <c r="V697" s="223" t="str">
        <f t="array" ref="V697:V698">{"SIMPLEL15";((IF("15"=(INDEX(ALLCLASSDATA,MATCH("SimpleLegendary",CLASSFEATUREHEADERS,0),MATCH($A698,CLASSNAMEHEADERS,0))),(INDEX(ALLCLASSDATA,MATCH("SimpleLegendary",CLASSFEATUREHEADERS,0),MATCH(($A698 &amp; "Points"),CLASSNAMEHEADERS,0))),(IF("15"=(INDEX(ALLCLASSDATA,MATCH("SimpleMaster",CLASSFEATUREHEADERS,0),MATCH($A698,CLASSNAMEHEADERS,0))),(INDEX(ALLCLASSDATA,MATCH("SimpleMaster",CLASSFEATUREHEADERS,0),MATCH(($A698 &amp; "Points"),CLASSNAMEHEADERS,0))),(IF("15"=(INDEX(ALLCLASSDATA,MATCH("SimpleExpert",CLASSFEATUREHEADERS,0),MATCH($A698,CLASSNAMEHEADERS,0))),(INDEX(ALLCLASSDATA,MATCH("SimpleExpert",CLASSFEATUREHEADERS,0),MATCH(($A698 &amp; "Points"),CLASSNAMEHEADERS,0))),(IF("15"=(INDEX(ALLCLASSDATA,MATCH("SimpleTrained",CLASSFEATUREHEADERS,0),MATCH($A698,CLASSNAMEHEADERS,0))),(INDEX(ALLCLASSDATA,MATCH("SimpleTrained",CLASSFEATUREHEADERS,0),MATCH(($A698 &amp; "Points"),CLASSNAMEHEADERS,0))),"")))))))))}</f>
        <v>SIMPLEL15</v>
      </c>
      <c r="W697" s="223"/>
      <c r="X697" s="223" t="str">
        <f t="array" ref="X697:X698">{"SIMPLEL17";((IF("17"=(INDEX(ALLCLASSDATA,MATCH("SimpleLegendary",CLASSFEATUREHEADERS,0),MATCH($A698,CLASSNAMEHEADERS,0))),(INDEX(ALLCLASSDATA,MATCH("SimpleLegendary",CLASSFEATUREHEADERS,0),MATCH(($A698 &amp; "Points"),CLASSNAMEHEADERS,0))),(IF("17"=(INDEX(ALLCLASSDATA,MATCH("SimpleMaster",CLASSFEATUREHEADERS,0),MATCH($A698,CLASSNAMEHEADERS,0))),(INDEX(ALLCLASSDATA,MATCH("SimpleMaster",CLASSFEATUREHEADERS,0),MATCH(($A698 &amp; "Points"),CLASSNAMEHEADERS,0))),(IF("17"=(INDEX(ALLCLASSDATA,MATCH("SimpleExpert",CLASSFEATUREHEADERS,0),MATCH($A698,CLASSNAMEHEADERS,0))),(INDEX(ALLCLASSDATA,MATCH("SimpleExpert",CLASSFEATUREHEADERS,0),MATCH(($A698 &amp; "Points"),CLASSNAMEHEADERS,0))),(IF("17"=(INDEX(ALLCLASSDATA,MATCH("SimpleTrained",CLASSFEATUREHEADERS,0),MATCH($A698,CLASSNAMEHEADERS,0))),(INDEX(ALLCLASSDATA,MATCH("SimpleTrained",CLASSFEATUREHEADERS,0),MATCH(($A698 &amp; "Points"),CLASSNAMEHEADERS,0))),"")))))))))}</f>
        <v>SIMPLEL17</v>
      </c>
      <c r="Y697" s="223"/>
      <c r="Z697" s="223" t="str">
        <f t="array" ref="Z697:Z698">{"SIMPLEL19";((IF("19"=(INDEX(ALLCLASSDATA,MATCH("SimpleLegendary",CLASSFEATUREHEADERS,0),MATCH($A698,CLASSNAMEHEADERS,0))),(INDEX(ALLCLASSDATA,MATCH("SimpleLegendary",CLASSFEATUREHEADERS,0),MATCH(($A698 &amp; "Points"),CLASSNAMEHEADERS,0))),(IF("19"=(INDEX(ALLCLASSDATA,MATCH("SimpleMaster",CLASSFEATUREHEADERS,0),MATCH($A698,CLASSNAMEHEADERS,0))),(INDEX(ALLCLASSDATA,MATCH("SimpleMaster",CLASSFEATUREHEADERS,0),MATCH(($A698 &amp; "Points"),CLASSNAMEHEADERS,0))),(IF("19"=(INDEX(ALLCLASSDATA,MATCH("SimpleExpert",CLASSFEATUREHEADERS,0),MATCH($A698,CLASSNAMEHEADERS,0))),(INDEX(ALLCLASSDATA,MATCH("SimpleExpert",CLASSFEATUREHEADERS,0),MATCH(($A698 &amp; "Points"),CLASSNAMEHEADERS,0))),(IF("19"=(INDEX(ALLCLASSDATA,MATCH("SimpleTrained",CLASSFEATUREHEADERS,0),MATCH($A698,CLASSNAMEHEADERS,0))),(INDEX(ALLCLASSDATA,MATCH("SimpleTrained",CLASSFEATUREHEADERS,0),MATCH(($A698 &amp; "Points"),CLASSNAMEHEADERS,0))),"")))))))))}</f>
        <v>SIMPLEL19</v>
      </c>
      <c r="AA697" s="223"/>
      <c r="AB697" s="76" t="str">
        <f t="array" ref="AB697:AB698">{"SIMPLE TOTAL";(IF(COUNTBLANK(G698:AA698)=17,"L",(IF(COUNTBLANK(G698:AA698)=18,"M",(IF(COUNTBLANK(G698:AA698)=19,"E",(IF(COUNTBLANK(G698:AA698)=20,"T",""))))))))}</f>
        <v>SIMPLE TOTAL</v>
      </c>
      <c r="AC697" s="76" t="str">
        <f t="array" ref="AC697:AC698">{"SIMPLE TOTAL";(sum(G698:AA698))}</f>
        <v>SIMPLE TOTAL</v>
      </c>
    </row>
    <row r="698">
      <c r="A698" s="48" t="s">
        <v>170</v>
      </c>
      <c r="B698" s="48"/>
      <c r="C698" s="48" t="s">
        <v>415</v>
      </c>
      <c r="D698" s="48" t="s">
        <v>1634</v>
      </c>
      <c r="E698" s="48" t="s">
        <v>68</v>
      </c>
      <c r="F698" s="5" t="s">
        <v>435</v>
      </c>
      <c r="G698" s="47" t="s">
        <v>603</v>
      </c>
      <c r="H698" s="5">
        <v>10.0</v>
      </c>
      <c r="I698" s="5"/>
      <c r="J698" s="5" t="s">
        <v>603</v>
      </c>
      <c r="K698" s="5"/>
      <c r="L698" s="5" t="s">
        <v>436</v>
      </c>
      <c r="M698" s="5"/>
      <c r="N698" s="5" t="s">
        <v>603</v>
      </c>
      <c r="O698" s="5"/>
      <c r="P698" s="5" t="s">
        <v>603</v>
      </c>
      <c r="Q698" s="5"/>
      <c r="R698" s="5" t="s">
        <v>603</v>
      </c>
      <c r="S698" s="5"/>
      <c r="T698" s="5" t="s">
        <v>437</v>
      </c>
      <c r="U698" s="5"/>
      <c r="V698" s="5" t="s">
        <v>603</v>
      </c>
      <c r="W698" s="5"/>
      <c r="X698" s="5" t="s">
        <v>603</v>
      </c>
      <c r="Y698" s="5"/>
      <c r="Z698" s="5" t="s">
        <v>603</v>
      </c>
      <c r="AA698" s="5"/>
      <c r="AB698" s="5" t="s">
        <v>437</v>
      </c>
      <c r="AC698" s="47">
        <v>10.0</v>
      </c>
    </row>
    <row r="699" hidden="1">
      <c r="A699" s="222" t="str">
        <f t="array" ref="A699:A700">{"FormulaRow30";(INDEX(CLASSLIST,A640,1))}</f>
        <v>FormulaRow30</v>
      </c>
      <c r="B699" s="77" t="s">
        <v>236</v>
      </c>
      <c r="C699" s="222" t="str">
        <f t="array" ref="C699:C700">{"CLASSTYPE";((INDEX(ALLCLASSDATA,MATCH("ClassType",CLASSFEATUREHEADERS,0),MATCH($A700,CLASSNAMEHEADERS,0))))}</f>
        <v>CLASSTYPE</v>
      </c>
      <c r="D699" s="222" t="str">
        <f t="array" ref="D699:D700">{"ATTACK";"Attack"}</f>
        <v>ATTACK</v>
      </c>
      <c r="E699" s="222" t="str">
        <f t="array" ref="E699:E700">{"MARTIALLIMITED";"MartialLimited"}</f>
        <v>MARTIALLIMITED</v>
      </c>
      <c r="F699" s="223" t="str">
        <f t="array" ref="F699:F700">{"MARTIALLIMITEDINITIAL";((IF(H700=10,"T",(IF(H700=50,"E","")))))}</f>
        <v>MARTIALLIMITEDINITIAL</v>
      </c>
      <c r="G699" s="223" t="str">
        <f t="array" ref="G699:G700">{"MARTIALLIMITEDINITIALPTS";((IF("00"=(INDEX(ALLCLASSDATA,MATCH("MartialLimitedLegendary",CLASSFEATUREHEADERS,0),MATCH($A700,CLASSNAMEHEADERS,0))),(INDEX(ALLCLASSDATA,MATCH("MartialLimitedLegendary",CLASSFEATUREHEADERS,0),MATCH(($A700 &amp; "Points"),CLASSNAMEHEADERS,0))),(IF("00"=(INDEX(ALLCLASSDATA,MATCH("MartialLimitedMaster",CLASSFEATUREHEADERS,0),MATCH($A700,CLASSNAMEHEADERS,0))),(INDEX(ALLCLASSDATA,MATCH("MartialLimitedMaster",CLASSFEATUREHEADERS,0),MATCH(($A700 &amp; "Points"),CLASSNAMEHEADERS,0))),(IF("00"=(INDEX(ALLCLASSDATA,MATCH("MartialLimitedExpert",CLASSFEATUREHEADERS,0),MATCH($A700,CLASSNAMEHEADERS,0))),(INDEX(ALLCLASSDATA,MATCH("MartialLimitedExpert",CLASSFEATUREHEADERS,0),MATCH(($A700 &amp; "Points"),CLASSNAMEHEADERS,0))),(IF("00"=(INDEX(ALLCLASSDATA,MATCH("MartialLimitedTrained",CLASSFEATUREHEADERS,0),MATCH($A700,CLASSNAMEHEADERS,0))),(INDEX(ALLCLASSDATA,MATCH("MartialLimitedTrained",CLASSFEATUREHEADERS,0),MATCH(($A700 &amp; "Points"),CLASSNAMEHEADERS,0))),"")))))))))}</f>
        <v>MARTIALLIMITEDINITIALPTS</v>
      </c>
      <c r="H699" s="223" t="str">
        <f t="array" ref="H699:H700">{"MARTIALLIMITEDL01";((IF("01"=(INDEX(ALLCLASSDATA,MATCH("MartialLimitedLegendary",CLASSFEATUREHEADERS,0),MATCH($A700,CLASSNAMEHEADERS,0))),(INDEX(ALLCLASSDATA,MATCH("MartialLimitedLegendary",CLASSFEATUREHEADERS,0),MATCH(($A700 &amp; "Points"),CLASSNAMEHEADERS,0))),(IF("01"=(INDEX(ALLCLASSDATA,MATCH("MartialLimitedMaster",CLASSFEATUREHEADERS,0),MATCH($A700,CLASSNAMEHEADERS,0))),(INDEX(ALLCLASSDATA,MATCH("MartialLimitedMaster",CLASSFEATUREHEADERS,0),MATCH(($A700 &amp; "Points"),CLASSNAMEHEADERS,0))),(IF("01"=(INDEX(ALLCLASSDATA,MATCH("MartialLimitedExpert",CLASSFEATUREHEADERS,0),MATCH($A700,CLASSNAMEHEADERS,0))),(INDEX(ALLCLASSDATA,MATCH("MartialLimitedExpert",CLASSFEATUREHEADERS,0),MATCH(($A700 &amp; "Points"),CLASSNAMEHEADERS,0))),(IF("01"=(INDEX(ALLCLASSDATA,MATCH("MartialLimitedTrained",CLASSFEATUREHEADERS,0),MATCH($A700,CLASSNAMEHEADERS,0))),(INDEX(ALLCLASSDATA,MATCH("MartialLimitedTrained",CLASSFEATUREHEADERS,0),MATCH(($A700 &amp; "Points"),CLASSNAMEHEADERS,0))),"")))))))))}</f>
        <v>MARTIALLIMITEDL01</v>
      </c>
      <c r="I699" s="223"/>
      <c r="J699" s="223" t="str">
        <f t="array" ref="J699:J700">{"MARTIALLIMITEDL03";((IF("03"=(INDEX(ALLCLASSDATA,MATCH("MartialLimitedLegendary",CLASSFEATUREHEADERS,0),MATCH($A700,CLASSNAMEHEADERS,0))),(INDEX(ALLCLASSDATA,MATCH("MartialLimitedLegendary",CLASSFEATUREHEADERS,0),MATCH(($A700 &amp; "Points"),CLASSNAMEHEADERS,0))),(IF("03"=(INDEX(ALLCLASSDATA,MATCH("MartialLimitedMaster",CLASSFEATUREHEADERS,0),MATCH($A700,CLASSNAMEHEADERS,0))),(INDEX(ALLCLASSDATA,MATCH("MartialLimitedMaster",CLASSFEATUREHEADERS,0),MATCH(($A700 &amp; "Points"),CLASSNAMEHEADERS,0))),(IF("03"=(INDEX(ALLCLASSDATA,MATCH("MartialLimitedExpert",CLASSFEATUREHEADERS,0),MATCH($A700,CLASSNAMEHEADERS,0))),(INDEX(ALLCLASSDATA,MATCH("MartialLimitedExpert",CLASSFEATUREHEADERS,0),MATCH(($A700 &amp; "Points"),CLASSNAMEHEADERS,0))),(IF("03"=(INDEX(ALLCLASSDATA,MATCH("MartialLimitedTrained",CLASSFEATUREHEADERS,0),MATCH($A700,CLASSNAMEHEADERS,0))),(INDEX(ALLCLASSDATA,MATCH("MartialLimitedTrained",CLASSFEATUREHEADERS,0),MATCH(($A700 &amp; "Points"),CLASSNAMEHEADERS,0))),"")))))))))}</f>
        <v>MARTIALLIMITEDL03</v>
      </c>
      <c r="K699" s="223"/>
      <c r="L699" s="223" t="str">
        <f t="array" ref="L699:L700">{"MARTIALLIMITEDL05";((IF("05"=(INDEX(ALLCLASSDATA,MATCH("MartialLimitedLegendary",CLASSFEATUREHEADERS,0),MATCH($A700,CLASSNAMEHEADERS,0))),(INDEX(ALLCLASSDATA,MATCH("MartialLimitedLegendary",CLASSFEATUREHEADERS,0),MATCH(($A700 &amp; "Points"),CLASSNAMEHEADERS,0))),(IF("05"=(INDEX(ALLCLASSDATA,MATCH("MartialLimitedMaster",CLASSFEATUREHEADERS,0),MATCH($A700,CLASSNAMEHEADERS,0))),(INDEX(ALLCLASSDATA,MATCH("MartialLimitedMaster",CLASSFEATUREHEADERS,0),MATCH(($A700 &amp; "Points"),CLASSNAMEHEADERS,0))),(IF("05"=(INDEX(ALLCLASSDATA,MATCH("MartialLimitedExpert",CLASSFEATUREHEADERS,0),MATCH($A700,CLASSNAMEHEADERS,0))),(INDEX(ALLCLASSDATA,MATCH("MartialLimitedExpert",CLASSFEATUREHEADERS,0),MATCH(($A700 &amp; "Points"),CLASSNAMEHEADERS,0))),(IF("05"=(INDEX(ALLCLASSDATA,MATCH("MartialLimitedTrained",CLASSFEATUREHEADERS,0),MATCH($A700,CLASSNAMEHEADERS,0))),(INDEX(ALLCLASSDATA,MATCH("MartialLimitedTrained",CLASSFEATUREHEADERS,0),MATCH(($A700 &amp; "Points"),CLASSNAMEHEADERS,0))),"")))))))))}</f>
        <v>MARTIALLIMITEDL05</v>
      </c>
      <c r="M699" s="223"/>
      <c r="N699" s="223" t="str">
        <f t="array" ref="N699:N700">{"MARTIALLIMITEDL07";((IF("07"=(INDEX(ALLCLASSDATA,MATCH("MartialLimitedLegendary",CLASSFEATUREHEADERS,0),MATCH($A700,CLASSNAMEHEADERS,0))),(INDEX(ALLCLASSDATA,MATCH("MartialLimitedLegendary",CLASSFEATUREHEADERS,0),MATCH(($A700 &amp; "Points"),CLASSNAMEHEADERS,0))),(IF("07"=(INDEX(ALLCLASSDATA,MATCH("MartialLimitedMaster",CLASSFEATUREHEADERS,0),MATCH($A700,CLASSNAMEHEADERS,0))),(INDEX(ALLCLASSDATA,MATCH("MartialLimitedMaster",CLASSFEATUREHEADERS,0),MATCH(($A700 &amp; "Points"),CLASSNAMEHEADERS,0))),(IF("07"=(INDEX(ALLCLASSDATA,MATCH("MartialLimitedExpert",CLASSFEATUREHEADERS,0),MATCH($A700,CLASSNAMEHEADERS,0))),(INDEX(ALLCLASSDATA,MATCH("MartialLimitedExpert",CLASSFEATUREHEADERS,0),MATCH(($A700 &amp; "Points"),CLASSNAMEHEADERS,0))),(IF("07"=(INDEX(ALLCLASSDATA,MATCH("MartialLimitedTrained",CLASSFEATUREHEADERS,0),MATCH($A700,CLASSNAMEHEADERS,0))),(INDEX(ALLCLASSDATA,MATCH("MartialLimitedTrained",CLASSFEATUREHEADERS,0),MATCH(($A700 &amp; "Points"),CLASSNAMEHEADERS,0))),"")))))))))}</f>
        <v>MARTIALLIMITEDL07</v>
      </c>
      <c r="O699" s="223"/>
      <c r="P699" s="223" t="str">
        <f t="array" ref="P699:P700">{"MARTIALLIMITEDL09";((IF("09"=(INDEX(ALLCLASSDATA,MATCH("MartialLimitedLegendary",CLASSFEATUREHEADERS,0),MATCH($A700,CLASSNAMEHEADERS,0))),(INDEX(ALLCLASSDATA,MATCH("MartialLimitedLegendary",CLASSFEATUREHEADERS,0),MATCH(($A700 &amp; "Points"),CLASSNAMEHEADERS,0))),(IF("09"=(INDEX(ALLCLASSDATA,MATCH("MartialLimitedMaster",CLASSFEATUREHEADERS,0),MATCH($A700,CLASSNAMEHEADERS,0))),(INDEX(ALLCLASSDATA,MATCH("MartialLimitedMaster",CLASSFEATUREHEADERS,0),MATCH(($A700 &amp; "Points"),CLASSNAMEHEADERS,0))),(IF("09"=(INDEX(ALLCLASSDATA,MATCH("MartialLimitedExpert",CLASSFEATUREHEADERS,0),MATCH($A700,CLASSNAMEHEADERS,0))),(INDEX(ALLCLASSDATA,MATCH("MartialLimitedExpert",CLASSFEATUREHEADERS,0),MATCH(($A700 &amp; "Points"),CLASSNAMEHEADERS,0))),(IF("09"=(INDEX(ALLCLASSDATA,MATCH("MartialLimitedTrained",CLASSFEATUREHEADERS,0),MATCH($A700,CLASSNAMEHEADERS,0))),(INDEX(ALLCLASSDATA,MATCH("MartialLimitedTrained",CLASSFEATUREHEADERS,0),MATCH(($A700 &amp; "Points"),CLASSNAMEHEADERS,0))),"")))))))))}</f>
        <v>MARTIALLIMITEDL09</v>
      </c>
      <c r="Q699" s="223"/>
      <c r="R699" s="223" t="str">
        <f t="array" ref="R699:R700">{"MARTIALLIMITEDL11";((IF("11"=(INDEX(ALLCLASSDATA,MATCH("MartialLimitedLegendary",CLASSFEATUREHEADERS,0),MATCH($A700,CLASSNAMEHEADERS,0))),(INDEX(ALLCLASSDATA,MATCH("MartialLimitedLegendary",CLASSFEATUREHEADERS,0),MATCH(($A700 &amp; "Points"),CLASSNAMEHEADERS,0))),(IF("11"=(INDEX(ALLCLASSDATA,MATCH("MartialLimitedMaster",CLASSFEATUREHEADERS,0),MATCH($A700,CLASSNAMEHEADERS,0))),(INDEX(ALLCLASSDATA,MATCH("MartialLimitedMaster",CLASSFEATUREHEADERS,0),MATCH(($A700 &amp; "Points"),CLASSNAMEHEADERS,0))),(IF("11"=(INDEX(ALLCLASSDATA,MATCH("MartialLimitedExpert",CLASSFEATUREHEADERS,0),MATCH($A700,CLASSNAMEHEADERS,0))),(INDEX(ALLCLASSDATA,MATCH("MartialLimitedExpert",CLASSFEATUREHEADERS,0),MATCH(($A700 &amp; "Points"),CLASSNAMEHEADERS,0))),(IF("11"=(INDEX(ALLCLASSDATA,MATCH("MartialLimitedTrained",CLASSFEATUREHEADERS,0),MATCH($A700,CLASSNAMEHEADERS,0))),(INDEX(ALLCLASSDATA,MATCH("MartialLimitedTrained",CLASSFEATUREHEADERS,0),MATCH(($A700 &amp; "Points"),CLASSNAMEHEADERS,0))),"")))))))))}</f>
        <v>MARTIALLIMITEDL11</v>
      </c>
      <c r="S699" s="223"/>
      <c r="T699" s="223" t="str">
        <f t="array" ref="T699:T700">{"MARTIALLIMITEDL13";((IF("13"=(INDEX(ALLCLASSDATA,MATCH("MartialLimitedLegendary",CLASSFEATUREHEADERS,0),MATCH($A700,CLASSNAMEHEADERS,0))),(INDEX(ALLCLASSDATA,MATCH("MartialLimitedLegendary",CLASSFEATUREHEADERS,0),MATCH(($A700 &amp; "Points"),CLASSNAMEHEADERS,0))),(IF("13"=(INDEX(ALLCLASSDATA,MATCH("MartialLimitedMaster",CLASSFEATUREHEADERS,0),MATCH($A700,CLASSNAMEHEADERS,0))),(INDEX(ALLCLASSDATA,MATCH("MartialLimitedMaster",CLASSFEATUREHEADERS,0),MATCH(($A700 &amp; "Points"),CLASSNAMEHEADERS,0))),(IF("13"=(INDEX(ALLCLASSDATA,MATCH("MartialLimitedExpert",CLASSFEATUREHEADERS,0),MATCH($A700,CLASSNAMEHEADERS,0))),(INDEX(ALLCLASSDATA,MATCH("MartialLimitedExpert",CLASSFEATUREHEADERS,0),MATCH(($A700 &amp; "Points"),CLASSNAMEHEADERS,0))),(IF("13"=(INDEX(ALLCLASSDATA,MATCH("MartialLimitedTrained",CLASSFEATUREHEADERS,0),MATCH($A700,CLASSNAMEHEADERS,0))),(INDEX(ALLCLASSDATA,MATCH("MartialLimitedTrained",CLASSFEATUREHEADERS,0),MATCH(($A700 &amp; "Points"),CLASSNAMEHEADERS,0))),"")))))))))}</f>
        <v>MARTIALLIMITEDL13</v>
      </c>
      <c r="U699" s="223"/>
      <c r="V699" s="223" t="str">
        <f t="array" ref="V699:V700">{"MARTIALLIMITEDL15";((IF("15"=(INDEX(ALLCLASSDATA,MATCH("MartialLimitedLegendary",CLASSFEATUREHEADERS,0),MATCH($A700,CLASSNAMEHEADERS,0))),(INDEX(ALLCLASSDATA,MATCH("MartialLimitedLegendary",CLASSFEATUREHEADERS,0),MATCH(($A700 &amp; "Points"),CLASSNAMEHEADERS,0))),(IF("15"=(INDEX(ALLCLASSDATA,MATCH("MartialLimitedMaster",CLASSFEATUREHEADERS,0),MATCH($A700,CLASSNAMEHEADERS,0))),(INDEX(ALLCLASSDATA,MATCH("MartialLimitedMaster",CLASSFEATUREHEADERS,0),MATCH(($A700 &amp; "Points"),CLASSNAMEHEADERS,0))),(IF("15"=(INDEX(ALLCLASSDATA,MATCH("MartialLimitedExpert",CLASSFEATUREHEADERS,0),MATCH($A700,CLASSNAMEHEADERS,0))),(INDEX(ALLCLASSDATA,MATCH("MartialLimitedExpert",CLASSFEATUREHEADERS,0),MATCH(($A700 &amp; "Points"),CLASSNAMEHEADERS,0))),(IF("15"=(INDEX(ALLCLASSDATA,MATCH("MartialLimitedTrained",CLASSFEATUREHEADERS,0),MATCH($A700,CLASSNAMEHEADERS,0))),(INDEX(ALLCLASSDATA,MATCH("MartialLimitedTrained",CLASSFEATUREHEADERS,0),MATCH(($A700 &amp; "Points"),CLASSNAMEHEADERS,0))),"")))))))))}</f>
        <v>MARTIALLIMITEDL15</v>
      </c>
      <c r="W699" s="223"/>
      <c r="X699" s="223" t="str">
        <f t="array" ref="X699:X700">{"MARTIALLIMITEDL17";((IF("17"=(INDEX(ALLCLASSDATA,MATCH("MartialLimitedLegendary",CLASSFEATUREHEADERS,0),MATCH($A700,CLASSNAMEHEADERS,0))),(INDEX(ALLCLASSDATA,MATCH("MartialLimitedLegendary",CLASSFEATUREHEADERS,0),MATCH(($A700 &amp; "Points"),CLASSNAMEHEADERS,0))),(IF("17"=(INDEX(ALLCLASSDATA,MATCH("MartialLimitedMaster",CLASSFEATUREHEADERS,0),MATCH($A700,CLASSNAMEHEADERS,0))),(INDEX(ALLCLASSDATA,MATCH("MartialLimitedMaster",CLASSFEATUREHEADERS,0),MATCH(($A700 &amp; "Points"),CLASSNAMEHEADERS,0))),(IF("17"=(INDEX(ALLCLASSDATA,MATCH("MartialLimitedExpert",CLASSFEATUREHEADERS,0),MATCH($A700,CLASSNAMEHEADERS,0))),(INDEX(ALLCLASSDATA,MATCH("MartialLimitedExpert",CLASSFEATUREHEADERS,0),MATCH(($A700 &amp; "Points"),CLASSNAMEHEADERS,0))),(IF("17"=(INDEX(ALLCLASSDATA,MATCH("MartialLimitedTrained",CLASSFEATUREHEADERS,0),MATCH($A700,CLASSNAMEHEADERS,0))),(INDEX(ALLCLASSDATA,MATCH("MartialLimitedTrained",CLASSFEATUREHEADERS,0),MATCH(($A700 &amp; "Points"),CLASSNAMEHEADERS,0))),"")))))))))}</f>
        <v>MARTIALLIMITEDL17</v>
      </c>
      <c r="Y699" s="223"/>
      <c r="Z699" s="223" t="str">
        <f t="array" ref="Z699:Z700">{"MARTIALLIMITEDL19";((IF("19"=(INDEX(ALLCLASSDATA,MATCH("MartialLimitedLegendary",CLASSFEATUREHEADERS,0),MATCH($A700,CLASSNAMEHEADERS,0))),(INDEX(ALLCLASSDATA,MATCH("MartialLimitedLegendary",CLASSFEATUREHEADERS,0),MATCH(($A700 &amp; "Points"),CLASSNAMEHEADERS,0))),(IF("19"=(INDEX(ALLCLASSDATA,MATCH("MartialLimitedMaster",CLASSFEATUREHEADERS,0),MATCH($A700,CLASSNAMEHEADERS,0))),(INDEX(ALLCLASSDATA,MATCH("MartialLimitedMaster",CLASSFEATUREHEADERS,0),MATCH(($A700 &amp; "Points"),CLASSNAMEHEADERS,0))),(IF("19"=(INDEX(ALLCLASSDATA,MATCH("MartialLimitedExpert",CLASSFEATUREHEADERS,0),MATCH($A700,CLASSNAMEHEADERS,0))),(INDEX(ALLCLASSDATA,MATCH("MartialLimitedExpert",CLASSFEATUREHEADERS,0),MATCH(($A700 &amp; "Points"),CLASSNAMEHEADERS,0))),(IF("19"=(INDEX(ALLCLASSDATA,MATCH("MartialLimitedTrained",CLASSFEATUREHEADERS,0),MATCH($A700,CLASSNAMEHEADERS,0))),(INDEX(ALLCLASSDATA,MATCH("MartialLimitedTrained",CLASSFEATUREHEADERS,0),MATCH(($A700 &amp; "Points"),CLASSNAMEHEADERS,0))),"")))))))))}</f>
        <v>MARTIALLIMITEDL19</v>
      </c>
      <c r="AA699" s="223"/>
      <c r="AB699" s="76" t="str">
        <f t="array" ref="AB699:AB700">{"MARTIALLIMITED TOTAL";(IF(COUNTBLANK(G700:AA700)=17,"L",(IF(COUNTBLANK(G700:AA700)=18,"M",(IF(COUNTBLANK(G700:AA700)=19,"E",(IF(COUNTBLANK(G700:AA700)=20,"T",""))))))))}</f>
        <v>MARTIALLIMITED TOTAL</v>
      </c>
      <c r="AC699" s="76" t="str">
        <f t="array" ref="AC699:AC700">{"MARTIALLIMITED TOTAL";(sum(G700:AA700))}</f>
        <v>MARTIALLIMITED TOTAL</v>
      </c>
    </row>
    <row r="700">
      <c r="A700" s="48" t="s">
        <v>170</v>
      </c>
      <c r="B700" s="48"/>
      <c r="C700" s="48" t="s">
        <v>415</v>
      </c>
      <c r="D700" s="48" t="s">
        <v>1634</v>
      </c>
      <c r="E700" s="48" t="s">
        <v>600</v>
      </c>
      <c r="F700" s="5" t="s">
        <v>603</v>
      </c>
      <c r="G700" s="47" t="s">
        <v>603</v>
      </c>
      <c r="H700" s="5" t="s">
        <v>603</v>
      </c>
      <c r="I700" s="5"/>
      <c r="J700" s="5" t="s">
        <v>603</v>
      </c>
      <c r="K700" s="5"/>
      <c r="L700" s="5" t="s">
        <v>603</v>
      </c>
      <c r="M700" s="5"/>
      <c r="N700" s="5" t="s">
        <v>603</v>
      </c>
      <c r="O700" s="5"/>
      <c r="P700" s="5" t="s">
        <v>603</v>
      </c>
      <c r="Q700" s="5"/>
      <c r="R700" s="5" t="s">
        <v>603</v>
      </c>
      <c r="S700" s="5"/>
      <c r="T700" s="5" t="s">
        <v>603</v>
      </c>
      <c r="U700" s="5"/>
      <c r="V700" s="5" t="s">
        <v>603</v>
      </c>
      <c r="W700" s="5"/>
      <c r="X700" s="5" t="s">
        <v>603</v>
      </c>
      <c r="Y700" s="5"/>
      <c r="Z700" s="5" t="s">
        <v>603</v>
      </c>
      <c r="AA700" s="5"/>
      <c r="AB700" s="5" t="s">
        <v>603</v>
      </c>
      <c r="AC700" s="47">
        <v>0.0</v>
      </c>
    </row>
    <row r="701" hidden="1">
      <c r="A701" s="222" t="str">
        <f t="array" ref="A701:A702">{"FormulaRow31";(INDEX(CLASSLIST,A640,1))}</f>
        <v>FormulaRow31</v>
      </c>
      <c r="B701" s="77" t="s">
        <v>236</v>
      </c>
      <c r="C701" s="222" t="str">
        <f t="array" ref="C701:C702">{"CLASSTYPE";((INDEX(ALLCLASSDATA,MATCH("ClassType",CLASSFEATUREHEADERS,0),MATCH($A702,CLASSNAMEHEADERS,0))))}</f>
        <v>CLASSTYPE</v>
      </c>
      <c r="D701" s="222" t="str">
        <f t="array" ref="D701:D702">{"ATTACK";"Attack"}</f>
        <v>ATTACK</v>
      </c>
      <c r="E701" s="222" t="str">
        <f t="array" ref="E701:E702">{"MARTIAL";"Martial"}</f>
        <v>MARTIAL</v>
      </c>
      <c r="F701" s="223" t="str">
        <f t="array" ref="F701:F702">{"MARTIALINITIAL";((IF(H702=10,"T",(IF(H702=50,"E","")))))}</f>
        <v>MARTIALINITIAL</v>
      </c>
      <c r="G701" s="223" t="str">
        <f t="array" ref="G701:G702">{"MARTIALINITIALPTS";((IF("00"=(INDEX(ALLCLASSDATA,MATCH("MartialLegendary",CLASSFEATUREHEADERS,0),MATCH($A702,CLASSNAMEHEADERS,0))),(INDEX(ALLCLASSDATA,MATCH("MartialLegendary",CLASSFEATUREHEADERS,0),MATCH(($A702 &amp; "Points"),CLASSNAMEHEADERS,0))),(IF("00"=(INDEX(ALLCLASSDATA,MATCH("MartialMaster",CLASSFEATUREHEADERS,0),MATCH($A702,CLASSNAMEHEADERS,0))),(INDEX(ALLCLASSDATA,MATCH("MartialMaster",CLASSFEATUREHEADERS,0),MATCH(($A702 &amp; "Points"),CLASSNAMEHEADERS,0))),(IF("00"=(INDEX(ALLCLASSDATA,MATCH("MartialExpert",CLASSFEATUREHEADERS,0),MATCH($A702,CLASSNAMEHEADERS,0))),(INDEX(ALLCLASSDATA,MATCH("MartialExpert",CLASSFEATUREHEADERS,0),MATCH(($A702 &amp; "Points"),CLASSNAMEHEADERS,0))),(IF("00"=(INDEX(ALLCLASSDATA,MATCH("MartialTrained",CLASSFEATUREHEADERS,0),MATCH($A702,CLASSNAMEHEADERS,0))),(INDEX(ALLCLASSDATA,MATCH("MartialTrained",CLASSFEATUREHEADERS,0),MATCH(($A702 &amp; "Points"),CLASSNAMEHEADERS,0))),"")))))))))}</f>
        <v>MARTIALINITIALPTS</v>
      </c>
      <c r="H701" s="223" t="str">
        <f t="array" ref="H701:H702">{"MARTIALL01";((IF("01"=(INDEX(ALLCLASSDATA,MATCH("MartialLegendary",CLASSFEATUREHEADERS,0),MATCH($A702,CLASSNAMEHEADERS,0))),(INDEX(ALLCLASSDATA,MATCH("MartialLegendary",CLASSFEATUREHEADERS,0),MATCH(($A702 &amp; "Points"),CLASSNAMEHEADERS,0))),(IF("01"=(INDEX(ALLCLASSDATA,MATCH("MartialMaster",CLASSFEATUREHEADERS,0),MATCH($A702,CLASSNAMEHEADERS,0))),(INDEX(ALLCLASSDATA,MATCH("MartialMaster",CLASSFEATUREHEADERS,0),MATCH(($A702 &amp; "Points"),CLASSNAMEHEADERS,0))),(IF("01"=(INDEX(ALLCLASSDATA,MATCH("MartialExpert",CLASSFEATUREHEADERS,0),MATCH($A702,CLASSNAMEHEADERS,0))),(INDEX(ALLCLASSDATA,MATCH("MartialExpert",CLASSFEATUREHEADERS,0),MATCH(($A702 &amp; "Points"),CLASSNAMEHEADERS,0))),(IF("01"=(INDEX(ALLCLASSDATA,MATCH("MartialTrained",CLASSFEATUREHEADERS,0),MATCH($A702,CLASSNAMEHEADERS,0))),(INDEX(ALLCLASSDATA,MATCH("MartialTrained",CLASSFEATUREHEADERS,0),MATCH(($A702 &amp; "Points"),CLASSNAMEHEADERS,0))),"")))))))))}</f>
        <v>MARTIALL01</v>
      </c>
      <c r="I701" s="223"/>
      <c r="J701" s="223" t="str">
        <f t="array" ref="J701:J702">{"MARTIALL03";((IF("03"=(INDEX(ALLCLASSDATA,MATCH("MartialLegendary",CLASSFEATUREHEADERS,0),MATCH($A702,CLASSNAMEHEADERS,0))),(INDEX(ALLCLASSDATA,MATCH("MartialLegendary",CLASSFEATUREHEADERS,0),MATCH(($A702 &amp; "Points"),CLASSNAMEHEADERS,0))),(IF("03"=(INDEX(ALLCLASSDATA,MATCH("MartialMaster",CLASSFEATUREHEADERS,0),MATCH($A702,CLASSNAMEHEADERS,0))),(INDEX(ALLCLASSDATA,MATCH("MartialMaster",CLASSFEATUREHEADERS,0),MATCH(($A702 &amp; "Points"),CLASSNAMEHEADERS,0))),(IF("03"=(INDEX(ALLCLASSDATA,MATCH("MartialExpert",CLASSFEATUREHEADERS,0),MATCH($A702,CLASSNAMEHEADERS,0))),(INDEX(ALLCLASSDATA,MATCH("MartialExpert",CLASSFEATUREHEADERS,0),MATCH(($A702 &amp; "Points"),CLASSNAMEHEADERS,0))),(IF("03"=(INDEX(ALLCLASSDATA,MATCH("MartialTrained",CLASSFEATUREHEADERS,0),MATCH($A702,CLASSNAMEHEADERS,0))),(INDEX(ALLCLASSDATA,MATCH("MartialTrained",CLASSFEATUREHEADERS,0),MATCH(($A702 &amp; "Points"),CLASSNAMEHEADERS,0))),"")))))))))}</f>
        <v>MARTIALL03</v>
      </c>
      <c r="K701" s="223"/>
      <c r="L701" s="223" t="str">
        <f t="array" ref="L701:L702">{"MARTIALL05";((IF("05"=(INDEX(ALLCLASSDATA,MATCH("MartialLegendary",CLASSFEATUREHEADERS,0),MATCH($A702,CLASSNAMEHEADERS,0))),(INDEX(ALLCLASSDATA,MATCH("MartialLegendary",CLASSFEATUREHEADERS,0),MATCH(($A702 &amp; "Points"),CLASSNAMEHEADERS,0))),(IF("05"=(INDEX(ALLCLASSDATA,MATCH("MartialMaster",CLASSFEATUREHEADERS,0),MATCH($A702,CLASSNAMEHEADERS,0))),(INDEX(ALLCLASSDATA,MATCH("MartialMaster",CLASSFEATUREHEADERS,0),MATCH(($A702 &amp; "Points"),CLASSNAMEHEADERS,0))),(IF("05"=(INDEX(ALLCLASSDATA,MATCH("MartialExpert",CLASSFEATUREHEADERS,0),MATCH($A702,CLASSNAMEHEADERS,0))),(INDEX(ALLCLASSDATA,MATCH("MartialExpert",CLASSFEATUREHEADERS,0),MATCH(($A702 &amp; "Points"),CLASSNAMEHEADERS,0))),(IF("05"=(INDEX(ALLCLASSDATA,MATCH("MartialTrained",CLASSFEATUREHEADERS,0),MATCH($A702,CLASSNAMEHEADERS,0))),(INDEX(ALLCLASSDATA,MATCH("MartialTrained",CLASSFEATUREHEADERS,0),MATCH(($A702 &amp; "Points"),CLASSNAMEHEADERS,0))),"")))))))))}</f>
        <v>MARTIALL05</v>
      </c>
      <c r="M701" s="223"/>
      <c r="N701" s="223" t="str">
        <f t="array" ref="N701:N702">{"MARTIALL07";((IF("07"=(INDEX(ALLCLASSDATA,MATCH("MartialLegendary",CLASSFEATUREHEADERS,0),MATCH($A702,CLASSNAMEHEADERS,0))),(INDEX(ALLCLASSDATA,MATCH("MartialLegendary",CLASSFEATUREHEADERS,0),MATCH(($A702 &amp; "Points"),CLASSNAMEHEADERS,0))),(IF("07"=(INDEX(ALLCLASSDATA,MATCH("MartialMaster",CLASSFEATUREHEADERS,0),MATCH($A702,CLASSNAMEHEADERS,0))),(INDEX(ALLCLASSDATA,MATCH("MartialMaster",CLASSFEATUREHEADERS,0),MATCH(($A702 &amp; "Points"),CLASSNAMEHEADERS,0))),(IF("07"=(INDEX(ALLCLASSDATA,MATCH("MartialExpert",CLASSFEATUREHEADERS,0),MATCH($A702,CLASSNAMEHEADERS,0))),(INDEX(ALLCLASSDATA,MATCH("MartialExpert",CLASSFEATUREHEADERS,0),MATCH(($A702 &amp; "Points"),CLASSNAMEHEADERS,0))),(IF("07"=(INDEX(ALLCLASSDATA,MATCH("MartialTrained",CLASSFEATUREHEADERS,0),MATCH($A702,CLASSNAMEHEADERS,0))),(INDEX(ALLCLASSDATA,MATCH("MartialTrained",CLASSFEATUREHEADERS,0),MATCH(($A702 &amp; "Points"),CLASSNAMEHEADERS,0))),"")))))))))}</f>
        <v>MARTIALL07</v>
      </c>
      <c r="O701" s="223"/>
      <c r="P701" s="223" t="str">
        <f t="array" ref="P701:P702">{"MARTIALL09";((IF("09"=(INDEX(ALLCLASSDATA,MATCH("MartialLegendary",CLASSFEATUREHEADERS,0),MATCH($A702,CLASSNAMEHEADERS,0))),(INDEX(ALLCLASSDATA,MATCH("MartialLegendary",CLASSFEATUREHEADERS,0),MATCH(($A702 &amp; "Points"),CLASSNAMEHEADERS,0))),(IF("09"=(INDEX(ALLCLASSDATA,MATCH("MartialMaster",CLASSFEATUREHEADERS,0),MATCH($A702,CLASSNAMEHEADERS,0))),(INDEX(ALLCLASSDATA,MATCH("MartialMaster",CLASSFEATUREHEADERS,0),MATCH(($A702 &amp; "Points"),CLASSNAMEHEADERS,0))),(IF("09"=(INDEX(ALLCLASSDATA,MATCH("MartialExpert",CLASSFEATUREHEADERS,0),MATCH($A702,CLASSNAMEHEADERS,0))),(INDEX(ALLCLASSDATA,MATCH("MartialExpert",CLASSFEATUREHEADERS,0),MATCH(($A702 &amp; "Points"),CLASSNAMEHEADERS,0))),(IF("09"=(INDEX(ALLCLASSDATA,MATCH("MartialTrained",CLASSFEATUREHEADERS,0),MATCH($A702,CLASSNAMEHEADERS,0))),(INDEX(ALLCLASSDATA,MATCH("MartialTrained",CLASSFEATUREHEADERS,0),MATCH(($A702 &amp; "Points"),CLASSNAMEHEADERS,0))),"")))))))))}</f>
        <v>MARTIALL09</v>
      </c>
      <c r="Q701" s="223"/>
      <c r="R701" s="223" t="str">
        <f t="array" ref="R701:R702">{"MARTIALL11";((IF("11"=(INDEX(ALLCLASSDATA,MATCH("MartialLegendary",CLASSFEATUREHEADERS,0),MATCH($A702,CLASSNAMEHEADERS,0))),(INDEX(ALLCLASSDATA,MATCH("MartialLegendary",CLASSFEATUREHEADERS,0),MATCH(($A702 &amp; "Points"),CLASSNAMEHEADERS,0))),(IF("11"=(INDEX(ALLCLASSDATA,MATCH("MartialMaster",CLASSFEATUREHEADERS,0),MATCH($A702,CLASSNAMEHEADERS,0))),(INDEX(ALLCLASSDATA,MATCH("MartialMaster",CLASSFEATUREHEADERS,0),MATCH(($A702 &amp; "Points"),CLASSNAMEHEADERS,0))),(IF("11"=(INDEX(ALLCLASSDATA,MATCH("MartialExpert",CLASSFEATUREHEADERS,0),MATCH($A702,CLASSNAMEHEADERS,0))),(INDEX(ALLCLASSDATA,MATCH("MartialExpert",CLASSFEATUREHEADERS,0),MATCH(($A702 &amp; "Points"),CLASSNAMEHEADERS,0))),(IF("11"=(INDEX(ALLCLASSDATA,MATCH("MartialTrained",CLASSFEATUREHEADERS,0),MATCH($A702,CLASSNAMEHEADERS,0))),(INDEX(ALLCLASSDATA,MATCH("MartialTrained",CLASSFEATUREHEADERS,0),MATCH(($A702 &amp; "Points"),CLASSNAMEHEADERS,0))),"")))))))))}</f>
        <v>MARTIALL11</v>
      </c>
      <c r="S701" s="223"/>
      <c r="T701" s="223" t="str">
        <f t="array" ref="T701:T702">{"MARTIALL13";((IF("13"=(INDEX(ALLCLASSDATA,MATCH("MartialLegendary",CLASSFEATUREHEADERS,0),MATCH($A702,CLASSNAMEHEADERS,0))),(INDEX(ALLCLASSDATA,MATCH("MartialLegendary",CLASSFEATUREHEADERS,0),MATCH(($A702 &amp; "Points"),CLASSNAMEHEADERS,0))),(IF("13"=(INDEX(ALLCLASSDATA,MATCH("MartialMaster",CLASSFEATUREHEADERS,0),MATCH($A702,CLASSNAMEHEADERS,0))),(INDEX(ALLCLASSDATA,MATCH("MartialMaster",CLASSFEATUREHEADERS,0),MATCH(($A702 &amp; "Points"),CLASSNAMEHEADERS,0))),(IF("13"=(INDEX(ALLCLASSDATA,MATCH("MartialExpert",CLASSFEATUREHEADERS,0),MATCH($A702,CLASSNAMEHEADERS,0))),(INDEX(ALLCLASSDATA,MATCH("MartialExpert",CLASSFEATUREHEADERS,0),MATCH(($A702 &amp; "Points"),CLASSNAMEHEADERS,0))),(IF("13"=(INDEX(ALLCLASSDATA,MATCH("MartialTrained",CLASSFEATUREHEADERS,0),MATCH($A702,CLASSNAMEHEADERS,0))),(INDEX(ALLCLASSDATA,MATCH("MartialTrained",CLASSFEATUREHEADERS,0),MATCH(($A702 &amp; "Points"),CLASSNAMEHEADERS,0))),"")))))))))}</f>
        <v>MARTIALL13</v>
      </c>
      <c r="U701" s="223"/>
      <c r="V701" s="223" t="str">
        <f t="array" ref="V701:V702">{"MARTIALL15";((IF("15"=(INDEX(ALLCLASSDATA,MATCH("MartialLegendary",CLASSFEATUREHEADERS,0),MATCH($A702,CLASSNAMEHEADERS,0))),(INDEX(ALLCLASSDATA,MATCH("MartialLegendary",CLASSFEATUREHEADERS,0),MATCH(($A702 &amp; "Points"),CLASSNAMEHEADERS,0))),(IF("15"=(INDEX(ALLCLASSDATA,MATCH("MartialMaster",CLASSFEATUREHEADERS,0),MATCH($A702,CLASSNAMEHEADERS,0))),(INDEX(ALLCLASSDATA,MATCH("MartialMaster",CLASSFEATUREHEADERS,0),MATCH(($A702 &amp; "Points"),CLASSNAMEHEADERS,0))),(IF("15"=(INDEX(ALLCLASSDATA,MATCH("MartialExpert",CLASSFEATUREHEADERS,0),MATCH($A702,CLASSNAMEHEADERS,0))),(INDEX(ALLCLASSDATA,MATCH("MartialExpert",CLASSFEATUREHEADERS,0),MATCH(($A702 &amp; "Points"),CLASSNAMEHEADERS,0))),(IF("15"=(INDEX(ALLCLASSDATA,MATCH("MartialTrained",CLASSFEATUREHEADERS,0),MATCH($A702,CLASSNAMEHEADERS,0))),(INDEX(ALLCLASSDATA,MATCH("MartialTrained",CLASSFEATUREHEADERS,0),MATCH(($A702 &amp; "Points"),CLASSNAMEHEADERS,0))),"")))))))))}</f>
        <v>MARTIALL15</v>
      </c>
      <c r="W701" s="223"/>
      <c r="X701" s="223" t="str">
        <f t="array" ref="X701:X702">{"MARTIALL17";((IF("17"=(INDEX(ALLCLASSDATA,MATCH("MartialLegendary",CLASSFEATUREHEADERS,0),MATCH($A702,CLASSNAMEHEADERS,0))),(INDEX(ALLCLASSDATA,MATCH("MartialLegendary",CLASSFEATUREHEADERS,0),MATCH(($A702 &amp; "Points"),CLASSNAMEHEADERS,0))),(IF("17"=(INDEX(ALLCLASSDATA,MATCH("MartialMaster",CLASSFEATUREHEADERS,0),MATCH($A702,CLASSNAMEHEADERS,0))),(INDEX(ALLCLASSDATA,MATCH("MartialMaster",CLASSFEATUREHEADERS,0),MATCH(($A702 &amp; "Points"),CLASSNAMEHEADERS,0))),(IF("17"=(INDEX(ALLCLASSDATA,MATCH("MartialExpert",CLASSFEATUREHEADERS,0),MATCH($A702,CLASSNAMEHEADERS,0))),(INDEX(ALLCLASSDATA,MATCH("MartialExpert",CLASSFEATUREHEADERS,0),MATCH(($A702 &amp; "Points"),CLASSNAMEHEADERS,0))),(IF("17"=(INDEX(ALLCLASSDATA,MATCH("MartialTrained",CLASSFEATUREHEADERS,0),MATCH($A702,CLASSNAMEHEADERS,0))),(INDEX(ALLCLASSDATA,MATCH("MartialTrained",CLASSFEATUREHEADERS,0),MATCH(($A702 &amp; "Points"),CLASSNAMEHEADERS,0))),"")))))))))}</f>
        <v>MARTIALL17</v>
      </c>
      <c r="Y701" s="223"/>
      <c r="Z701" s="223" t="str">
        <f t="array" ref="Z701:Z702">{"MARTIALL19";((IF("19"=(INDEX(ALLCLASSDATA,MATCH("MartialLegendary",CLASSFEATUREHEADERS,0),MATCH($A702,CLASSNAMEHEADERS,0))),(INDEX(ALLCLASSDATA,MATCH("MartialLegendary",CLASSFEATUREHEADERS,0),MATCH(($A702 &amp; "Points"),CLASSNAMEHEADERS,0))),(IF("19"=(INDEX(ALLCLASSDATA,MATCH("MartialMaster",CLASSFEATUREHEADERS,0),MATCH($A702,CLASSNAMEHEADERS,0))),(INDEX(ALLCLASSDATA,MATCH("MartialMaster",CLASSFEATUREHEADERS,0),MATCH(($A702 &amp; "Points"),CLASSNAMEHEADERS,0))),(IF("19"=(INDEX(ALLCLASSDATA,MATCH("MartialExpert",CLASSFEATUREHEADERS,0),MATCH($A702,CLASSNAMEHEADERS,0))),(INDEX(ALLCLASSDATA,MATCH("MartialExpert",CLASSFEATUREHEADERS,0),MATCH(($A702 &amp; "Points"),CLASSNAMEHEADERS,0))),(IF("19"=(INDEX(ALLCLASSDATA,MATCH("MartialTrained",CLASSFEATUREHEADERS,0),MATCH($A702,CLASSNAMEHEADERS,0))),(INDEX(ALLCLASSDATA,MATCH("MartialTrained",CLASSFEATUREHEADERS,0),MATCH(($A702 &amp; "Points"),CLASSNAMEHEADERS,0))),"")))))))))}</f>
        <v>MARTIALL19</v>
      </c>
      <c r="AA701" s="223"/>
      <c r="AB701" s="76" t="str">
        <f t="array" ref="AB701:AB702">{"MARTIAL TOTAL";(IF(COUNTBLANK(G702:AA702)=17,"L",(IF(COUNTBLANK(G702:AA702)=18,"M",(IF(COUNTBLANK(G702:AA702)=19,"E",(IF(COUNTBLANK(G702:AA702)=20,"T",""))))))))}</f>
        <v>MARTIAL TOTAL</v>
      </c>
      <c r="AC701" s="76" t="str">
        <f t="array" ref="AC701:AC702">{"MARTIAL TOTAL";(sum(G702:AA702))}</f>
        <v>MARTIAL TOTAL</v>
      </c>
    </row>
    <row r="702">
      <c r="A702" s="48" t="s">
        <v>170</v>
      </c>
      <c r="B702" s="48"/>
      <c r="C702" s="48" t="s">
        <v>415</v>
      </c>
      <c r="D702" s="48" t="s">
        <v>1634</v>
      </c>
      <c r="E702" s="48" t="s">
        <v>6</v>
      </c>
      <c r="F702" s="5" t="s">
        <v>435</v>
      </c>
      <c r="G702" s="47" t="s">
        <v>603</v>
      </c>
      <c r="H702" s="5">
        <v>10.0</v>
      </c>
      <c r="I702" s="5"/>
      <c r="J702" s="5" t="s">
        <v>603</v>
      </c>
      <c r="K702" s="5"/>
      <c r="L702" s="5">
        <v>50.0</v>
      </c>
      <c r="M702" s="5"/>
      <c r="N702" s="5" t="s">
        <v>603</v>
      </c>
      <c r="O702" s="5"/>
      <c r="P702" s="5" t="s">
        <v>603</v>
      </c>
      <c r="Q702" s="48"/>
      <c r="R702" s="5" t="s">
        <v>603</v>
      </c>
      <c r="S702" s="5"/>
      <c r="T702" s="5">
        <v>110.0</v>
      </c>
      <c r="U702" s="5"/>
      <c r="V702" s="5" t="s">
        <v>603</v>
      </c>
      <c r="W702" s="5"/>
      <c r="X702" s="5" t="s">
        <v>603</v>
      </c>
      <c r="Y702" s="5"/>
      <c r="Z702" s="5" t="s">
        <v>603</v>
      </c>
      <c r="AA702" s="5"/>
      <c r="AB702" s="5" t="s">
        <v>437</v>
      </c>
      <c r="AC702" s="47">
        <v>170.0</v>
      </c>
    </row>
    <row r="703" hidden="1">
      <c r="A703" s="222" t="str">
        <f t="array" ref="A703:A704">{"FormulaRow32";(INDEX(CLASSLIST,A640,1))}</f>
        <v>FormulaRow32</v>
      </c>
      <c r="B703" s="77" t="s">
        <v>236</v>
      </c>
      <c r="C703" s="222" t="str">
        <f t="array" ref="C703:C704">{"CLASSTYPE";((INDEX(ALLCLASSDATA,MATCH("ClassType",CLASSFEATUREHEADERS,0),MATCH($A704,CLASSNAMEHEADERS,0))))}</f>
        <v>CLASSTYPE</v>
      </c>
      <c r="D703" s="222" t="str">
        <f t="array" ref="D703:D704">{"ATTACK";"Attack"}</f>
        <v>ATTACK</v>
      </c>
      <c r="E703" s="222" t="str">
        <f t="array" ref="E703:E704">{"ADVANCEDGROUP";"AdvancedGroup"}</f>
        <v>ADVANCEDGROUP</v>
      </c>
      <c r="F703" s="223" t="str">
        <f t="array" ref="F703:F704">{"ADVANCEDGROUPINITIAL";((IF(H704=10,"T",(IF(H704=50,"E","")))))}</f>
        <v>ADVANCEDGROUPINITIAL</v>
      </c>
      <c r="G703" s="223" t="str">
        <f t="array" ref="G703:G704">{"ADVANCEDGROUPINITIALPTS";((IF("00"=(INDEX(ALLCLASSDATA,MATCH("AdvancedGroupLegendary",CLASSFEATUREHEADERS,0),MATCH($A704,CLASSNAMEHEADERS,0))),(INDEX(ALLCLASSDATA,MATCH("AdvancedGroupLegendary",CLASSFEATUREHEADERS,0),MATCH(($A704 &amp; "Points"),CLASSNAMEHEADERS,0))),(IF("00"=(INDEX(ALLCLASSDATA,MATCH("AdvancedGroupMaster",CLASSFEATUREHEADERS,0),MATCH($A704,CLASSNAMEHEADERS,0))),(INDEX(ALLCLASSDATA,MATCH("AdvancedGroupMaster",CLASSFEATUREHEADERS,0),MATCH(($A704 &amp; "Points"),CLASSNAMEHEADERS,0))),(IF("00"=(INDEX(ALLCLASSDATA,MATCH("AdvancedGroupExpert",CLASSFEATUREHEADERS,0),MATCH($A704,CLASSNAMEHEADERS,0))),(INDEX(ALLCLASSDATA,MATCH("AdvancedGroupExpert",CLASSFEATUREHEADERS,0),MATCH(($A704 &amp; "Points"),CLASSNAMEHEADERS,0))),(IF("00"=(INDEX(ALLCLASSDATA,MATCH("AdvancedGroupTrained",CLASSFEATUREHEADERS,0),MATCH($A704,CLASSNAMEHEADERS,0))),(INDEX(ALLCLASSDATA,MATCH("AdvancedGroupTrained",CLASSFEATUREHEADERS,0),MATCH(($A704 &amp; "Points"),CLASSNAMEHEADERS,0))),"")))))))))}</f>
        <v>ADVANCEDGROUPINITIALPTS</v>
      </c>
      <c r="H703" s="223" t="str">
        <f t="array" ref="H703:H704">{"ADVANCEDGROUPL01";((IF("01"=(INDEX(ALLCLASSDATA,MATCH("AdvancedGroupLegendary",CLASSFEATUREHEADERS,0),MATCH($A704,CLASSNAMEHEADERS,0))),(INDEX(ALLCLASSDATA,MATCH("AdvancedGroupLegendary",CLASSFEATUREHEADERS,0),MATCH(($A704 &amp; "Points"),CLASSNAMEHEADERS,0))),(IF("01"=(INDEX(ALLCLASSDATA,MATCH("AdvancedGroupMaster",CLASSFEATUREHEADERS,0),MATCH($A704,CLASSNAMEHEADERS,0))),(INDEX(ALLCLASSDATA,MATCH("AdvancedGroupMaster",CLASSFEATUREHEADERS,0),MATCH(($A704 &amp; "Points"),CLASSNAMEHEADERS,0))),(IF("01"=(INDEX(ALLCLASSDATA,MATCH("AdvancedGroupExpert",CLASSFEATUREHEADERS,0),MATCH($A704,CLASSNAMEHEADERS,0))),(INDEX(ALLCLASSDATA,MATCH("AdvancedGroupExpert",CLASSFEATUREHEADERS,0),MATCH(($A704 &amp; "Points"),CLASSNAMEHEADERS,0))),(IF("01"=(INDEX(ALLCLASSDATA,MATCH("AdvancedGroupTrained",CLASSFEATUREHEADERS,0),MATCH($A704,CLASSNAMEHEADERS,0))),(INDEX(ALLCLASSDATA,MATCH("AdvancedGroupTrained",CLASSFEATUREHEADERS,0),MATCH(($A704 &amp; "Points"),CLASSNAMEHEADERS,0))),"")))))))))}</f>
        <v>ADVANCEDGROUPL01</v>
      </c>
      <c r="I703" s="223"/>
      <c r="J703" s="223" t="str">
        <f t="array" ref="J703:J704">{"ADVANCEDGROUPL03";((IF("03"=(INDEX(ALLCLASSDATA,MATCH("AdvancedGroupLegendary",CLASSFEATUREHEADERS,0),MATCH($A704,CLASSNAMEHEADERS,0))),(INDEX(ALLCLASSDATA,MATCH("AdvancedGroupLegendary",CLASSFEATUREHEADERS,0),MATCH(($A704 &amp; "Points"),CLASSNAMEHEADERS,0))),(IF("03"=(INDEX(ALLCLASSDATA,MATCH("AdvancedGroupMaster",CLASSFEATUREHEADERS,0),MATCH($A704,CLASSNAMEHEADERS,0))),(INDEX(ALLCLASSDATA,MATCH("AdvancedGroupMaster",CLASSFEATUREHEADERS,0),MATCH(($A704 &amp; "Points"),CLASSNAMEHEADERS,0))),(IF("03"=(INDEX(ALLCLASSDATA,MATCH("AdvancedGroupExpert",CLASSFEATUREHEADERS,0),MATCH($A704,CLASSNAMEHEADERS,0))),(INDEX(ALLCLASSDATA,MATCH("AdvancedGroupExpert",CLASSFEATUREHEADERS,0),MATCH(($A704 &amp; "Points"),CLASSNAMEHEADERS,0))),(IF("03"=(INDEX(ALLCLASSDATA,MATCH("AdvancedGroupTrained",CLASSFEATUREHEADERS,0),MATCH($A704,CLASSNAMEHEADERS,0))),(INDEX(ALLCLASSDATA,MATCH("AdvancedGroupTrained",CLASSFEATUREHEADERS,0),MATCH(($A704 &amp; "Points"),CLASSNAMEHEADERS,0))),"")))))))))}</f>
        <v>ADVANCEDGROUPL03</v>
      </c>
      <c r="K703" s="223"/>
      <c r="L703" s="223" t="str">
        <f t="array" ref="L703:L704">{"ADVANCEDGROUPL05";((IF("05"=(INDEX(ALLCLASSDATA,MATCH("AdvancedGroupLegendary",CLASSFEATUREHEADERS,0),MATCH($A704,CLASSNAMEHEADERS,0))),(INDEX(ALLCLASSDATA,MATCH("AdvancedGroupLegendary",CLASSFEATUREHEADERS,0),MATCH(($A704 &amp; "Points"),CLASSNAMEHEADERS,0))),(IF("05"=(INDEX(ALLCLASSDATA,MATCH("AdvancedGroupMaster",CLASSFEATUREHEADERS,0),MATCH($A704,CLASSNAMEHEADERS,0))),(INDEX(ALLCLASSDATA,MATCH("AdvancedGroupMaster",CLASSFEATUREHEADERS,0),MATCH(($A704 &amp; "Points"),CLASSNAMEHEADERS,0))),(IF("05"=(INDEX(ALLCLASSDATA,MATCH("AdvancedGroupExpert",CLASSFEATUREHEADERS,0),MATCH($A704,CLASSNAMEHEADERS,0))),(INDEX(ALLCLASSDATA,MATCH("AdvancedGroupExpert",CLASSFEATUREHEADERS,0),MATCH(($A704 &amp; "Points"),CLASSNAMEHEADERS,0))),(IF("05"=(INDEX(ALLCLASSDATA,MATCH("AdvancedGroupTrained",CLASSFEATUREHEADERS,0),MATCH($A704,CLASSNAMEHEADERS,0))),(INDEX(ALLCLASSDATA,MATCH("AdvancedGroupTrained",CLASSFEATUREHEADERS,0),MATCH(($A704 &amp; "Points"),CLASSNAMEHEADERS,0))),"")))))))))}</f>
        <v>ADVANCEDGROUPL05</v>
      </c>
      <c r="M703" s="223"/>
      <c r="N703" s="223" t="str">
        <f t="array" ref="N703:N704">{"ADVANCEDGROUPL07";((IF("07"=(INDEX(ALLCLASSDATA,MATCH("AdvancedGroupLegendary",CLASSFEATUREHEADERS,0),MATCH($A704,CLASSNAMEHEADERS,0))),(INDEX(ALLCLASSDATA,MATCH("AdvancedGroupLegendary",CLASSFEATUREHEADERS,0),MATCH(($A704 &amp; "Points"),CLASSNAMEHEADERS,0))),(IF("07"=(INDEX(ALLCLASSDATA,MATCH("AdvancedGroupMaster",CLASSFEATUREHEADERS,0),MATCH($A704,CLASSNAMEHEADERS,0))),(INDEX(ALLCLASSDATA,MATCH("AdvancedGroupMaster",CLASSFEATUREHEADERS,0),MATCH(($A704 &amp; "Points"),CLASSNAMEHEADERS,0))),(IF("07"=(INDEX(ALLCLASSDATA,MATCH("AdvancedGroupExpert",CLASSFEATUREHEADERS,0),MATCH($A704,CLASSNAMEHEADERS,0))),(INDEX(ALLCLASSDATA,MATCH("AdvancedGroupExpert",CLASSFEATUREHEADERS,0),MATCH(($A704 &amp; "Points"),CLASSNAMEHEADERS,0))),(IF("07"=(INDEX(ALLCLASSDATA,MATCH("AdvancedGroupTrained",CLASSFEATUREHEADERS,0),MATCH($A704,CLASSNAMEHEADERS,0))),(INDEX(ALLCLASSDATA,MATCH("AdvancedGroupTrained",CLASSFEATUREHEADERS,0),MATCH(($A704 &amp; "Points"),CLASSNAMEHEADERS,0))),"")))))))))}</f>
        <v>ADVANCEDGROUPL07</v>
      </c>
      <c r="O703" s="223"/>
      <c r="P703" s="223" t="str">
        <f t="array" ref="P703:P704">{"ADVANCEDGROUPL09";((IF("09"=(INDEX(ALLCLASSDATA,MATCH("AdvancedGroupLegendary",CLASSFEATUREHEADERS,0),MATCH($A704,CLASSNAMEHEADERS,0))),(INDEX(ALLCLASSDATA,MATCH("AdvancedGroupLegendary",CLASSFEATUREHEADERS,0),MATCH(($A704 &amp; "Points"),CLASSNAMEHEADERS,0))),(IF("09"=(INDEX(ALLCLASSDATA,MATCH("AdvancedGroupMaster",CLASSFEATUREHEADERS,0),MATCH($A704,CLASSNAMEHEADERS,0))),(INDEX(ALLCLASSDATA,MATCH("AdvancedGroupMaster",CLASSFEATUREHEADERS,0),MATCH(($A704 &amp; "Points"),CLASSNAMEHEADERS,0))),(IF("09"=(INDEX(ALLCLASSDATA,MATCH("AdvancedGroupExpert",CLASSFEATUREHEADERS,0),MATCH($A704,CLASSNAMEHEADERS,0))),(INDEX(ALLCLASSDATA,MATCH("AdvancedGroupExpert",CLASSFEATUREHEADERS,0),MATCH(($A704 &amp; "Points"),CLASSNAMEHEADERS,0))),(IF("09"=(INDEX(ALLCLASSDATA,MATCH("AdvancedGroupTrained",CLASSFEATUREHEADERS,0),MATCH($A704,CLASSNAMEHEADERS,0))),(INDEX(ALLCLASSDATA,MATCH("AdvancedGroupTrained",CLASSFEATUREHEADERS,0),MATCH(($A704 &amp; "Points"),CLASSNAMEHEADERS,0))),"")))))))))}</f>
        <v>ADVANCEDGROUPL09</v>
      </c>
      <c r="Q703" s="223"/>
      <c r="R703" s="223" t="str">
        <f t="array" ref="R703:R704">{"ADVANCEDGROUPL11";((IF("11"=(INDEX(ALLCLASSDATA,MATCH("AdvancedGroupLegendary",CLASSFEATUREHEADERS,0),MATCH($A704,CLASSNAMEHEADERS,0))),(INDEX(ALLCLASSDATA,MATCH("AdvancedGroupLegendary",CLASSFEATUREHEADERS,0),MATCH(($A704 &amp; "Points"),CLASSNAMEHEADERS,0))),(IF("11"=(INDEX(ALLCLASSDATA,MATCH("AdvancedGroupMaster",CLASSFEATUREHEADERS,0),MATCH($A704,CLASSNAMEHEADERS,0))),(INDEX(ALLCLASSDATA,MATCH("AdvancedGroupMaster",CLASSFEATUREHEADERS,0),MATCH(($A704 &amp; "Points"),CLASSNAMEHEADERS,0))),(IF("11"=(INDEX(ALLCLASSDATA,MATCH("AdvancedGroupExpert",CLASSFEATUREHEADERS,0),MATCH($A704,CLASSNAMEHEADERS,0))),(INDEX(ALLCLASSDATA,MATCH("AdvancedGroupExpert",CLASSFEATUREHEADERS,0),MATCH(($A704 &amp; "Points"),CLASSNAMEHEADERS,0))),(IF("11"=(INDEX(ALLCLASSDATA,MATCH("AdvancedGroupTrained",CLASSFEATUREHEADERS,0),MATCH($A704,CLASSNAMEHEADERS,0))),(INDEX(ALLCLASSDATA,MATCH("AdvancedGroupTrained",CLASSFEATUREHEADERS,0),MATCH(($A704 &amp; "Points"),CLASSNAMEHEADERS,0))),"")))))))))}</f>
        <v>ADVANCEDGROUPL11</v>
      </c>
      <c r="S703" s="223"/>
      <c r="T703" s="223" t="str">
        <f t="array" ref="T703:T704">{"ADVANCEDGROUPL13";((IF("13"=(INDEX(ALLCLASSDATA,MATCH("AdvancedGroupLegendary",CLASSFEATUREHEADERS,0),MATCH($A704,CLASSNAMEHEADERS,0))),(INDEX(ALLCLASSDATA,MATCH("AdvancedGroupLegendary",CLASSFEATUREHEADERS,0),MATCH(($A704 &amp; "Points"),CLASSNAMEHEADERS,0))),(IF("13"=(INDEX(ALLCLASSDATA,MATCH("AdvancedGroupMaster",CLASSFEATUREHEADERS,0),MATCH($A704,CLASSNAMEHEADERS,0))),(INDEX(ALLCLASSDATA,MATCH("AdvancedGroupMaster",CLASSFEATUREHEADERS,0),MATCH(($A704 &amp; "Points"),CLASSNAMEHEADERS,0))),(IF("13"=(INDEX(ALLCLASSDATA,MATCH("AdvancedGroupExpert",CLASSFEATUREHEADERS,0),MATCH($A704,CLASSNAMEHEADERS,0))),(INDEX(ALLCLASSDATA,MATCH("AdvancedGroupExpert",CLASSFEATUREHEADERS,0),MATCH(($A704 &amp; "Points"),CLASSNAMEHEADERS,0))),(IF("13"=(INDEX(ALLCLASSDATA,MATCH("AdvancedGroupTrained",CLASSFEATUREHEADERS,0),MATCH($A704,CLASSNAMEHEADERS,0))),(INDEX(ALLCLASSDATA,MATCH("AdvancedGroupTrained",CLASSFEATUREHEADERS,0),MATCH(($A704 &amp; "Points"),CLASSNAMEHEADERS,0))),"")))))))))}</f>
        <v>ADVANCEDGROUPL13</v>
      </c>
      <c r="U703" s="223"/>
      <c r="V703" s="223" t="str">
        <f t="array" ref="V703:V704">{"ADVANCEDGROUPL15";((IF("15"=(INDEX(ALLCLASSDATA,MATCH("AdvancedGroupLegendary",CLASSFEATUREHEADERS,0),MATCH($A704,CLASSNAMEHEADERS,0))),(INDEX(ALLCLASSDATA,MATCH("AdvancedGroupLegendary",CLASSFEATUREHEADERS,0),MATCH(($A704 &amp; "Points"),CLASSNAMEHEADERS,0))),(IF("15"=(INDEX(ALLCLASSDATA,MATCH("AdvancedGroupMaster",CLASSFEATUREHEADERS,0),MATCH($A704,CLASSNAMEHEADERS,0))),(INDEX(ALLCLASSDATA,MATCH("AdvancedGroupMaster",CLASSFEATUREHEADERS,0),MATCH(($A704 &amp; "Points"),CLASSNAMEHEADERS,0))),(IF("15"=(INDEX(ALLCLASSDATA,MATCH("AdvancedGroupExpert",CLASSFEATUREHEADERS,0),MATCH($A704,CLASSNAMEHEADERS,0))),(INDEX(ALLCLASSDATA,MATCH("AdvancedGroupExpert",CLASSFEATUREHEADERS,0),MATCH(($A704 &amp; "Points"),CLASSNAMEHEADERS,0))),(IF("15"=(INDEX(ALLCLASSDATA,MATCH("AdvancedGroupTrained",CLASSFEATUREHEADERS,0),MATCH($A704,CLASSNAMEHEADERS,0))),(INDEX(ALLCLASSDATA,MATCH("AdvancedGroupTrained",CLASSFEATUREHEADERS,0),MATCH(($A704 &amp; "Points"),CLASSNAMEHEADERS,0))),"")))))))))}</f>
        <v>ADVANCEDGROUPL15</v>
      </c>
      <c r="W703" s="223"/>
      <c r="X703" s="223" t="str">
        <f t="array" ref="X703:X704">{"ADVANCEDGROUPL17";((IF("17"=(INDEX(ALLCLASSDATA,MATCH("AdvancedGroupLegendary",CLASSFEATUREHEADERS,0),MATCH($A704,CLASSNAMEHEADERS,0))),(INDEX(ALLCLASSDATA,MATCH("AdvancedGroupLegendary",CLASSFEATUREHEADERS,0),MATCH(($A704 &amp; "Points"),CLASSNAMEHEADERS,0))),(IF("17"=(INDEX(ALLCLASSDATA,MATCH("AdvancedGroupMaster",CLASSFEATUREHEADERS,0),MATCH($A704,CLASSNAMEHEADERS,0))),(INDEX(ALLCLASSDATA,MATCH("AdvancedGroupMaster",CLASSFEATUREHEADERS,0),MATCH(($A704 &amp; "Points"),CLASSNAMEHEADERS,0))),(IF("17"=(INDEX(ALLCLASSDATA,MATCH("AdvancedGroupExpert",CLASSFEATUREHEADERS,0),MATCH($A704,CLASSNAMEHEADERS,0))),(INDEX(ALLCLASSDATA,MATCH("AdvancedGroupExpert",CLASSFEATUREHEADERS,0),MATCH(($A704 &amp; "Points"),CLASSNAMEHEADERS,0))),(IF("17"=(INDEX(ALLCLASSDATA,MATCH("AdvancedGroupTrained",CLASSFEATUREHEADERS,0),MATCH($A704,CLASSNAMEHEADERS,0))),(INDEX(ALLCLASSDATA,MATCH("AdvancedGroupTrained",CLASSFEATUREHEADERS,0),MATCH(($A704 &amp; "Points"),CLASSNAMEHEADERS,0))),"")))))))))}</f>
        <v>ADVANCEDGROUPL17</v>
      </c>
      <c r="Y703" s="223"/>
      <c r="Z703" s="223" t="str">
        <f t="array" ref="Z703:Z704">{"ADVANCEDGROUPL19";((IF("19"=(INDEX(ALLCLASSDATA,MATCH("AdvancedGroupLegendary",CLASSFEATUREHEADERS,0),MATCH($A704,CLASSNAMEHEADERS,0))),(INDEX(ALLCLASSDATA,MATCH("AdvancedGroupLegendary",CLASSFEATUREHEADERS,0),MATCH(($A704 &amp; "Points"),CLASSNAMEHEADERS,0))),(IF("19"=(INDEX(ALLCLASSDATA,MATCH("AdvancedGroupMaster",CLASSFEATUREHEADERS,0),MATCH($A704,CLASSNAMEHEADERS,0))),(INDEX(ALLCLASSDATA,MATCH("AdvancedGroupMaster",CLASSFEATUREHEADERS,0),MATCH(($A704 &amp; "Points"),CLASSNAMEHEADERS,0))),(IF("19"=(INDEX(ALLCLASSDATA,MATCH("AdvancedGroupExpert",CLASSFEATUREHEADERS,0),MATCH($A704,CLASSNAMEHEADERS,0))),(INDEX(ALLCLASSDATA,MATCH("AdvancedGroupExpert",CLASSFEATUREHEADERS,0),MATCH(($A704 &amp; "Points"),CLASSNAMEHEADERS,0))),(IF("19"=(INDEX(ALLCLASSDATA,MATCH("AdvancedGroupTrained",CLASSFEATUREHEADERS,0),MATCH($A704,CLASSNAMEHEADERS,0))),(INDEX(ALLCLASSDATA,MATCH("AdvancedGroupTrained",CLASSFEATUREHEADERS,0),MATCH(($A704 &amp; "Points"),CLASSNAMEHEADERS,0))),"")))))))))}</f>
        <v>ADVANCEDGROUPL19</v>
      </c>
      <c r="AA703" s="223"/>
      <c r="AB703" s="76" t="str">
        <f t="array" ref="AB703:AB704">{"ADVANCEDGROUP TOTAL";(IF(COUNTBLANK(G704:AA704)=17,"L",(IF(COUNTBLANK(G704:AA704)=18,"M",(IF(COUNTBLANK(G704:AA704)=19,"E",(IF(COUNTBLANK(G704:AA704)=20,"T",""))))))))}</f>
        <v>ADVANCEDGROUP TOTAL</v>
      </c>
      <c r="AC703" s="76" t="str">
        <f t="array" ref="AC703:AC704">{"ADVANCEDGROUP TOTAL";(sum(G704:AA704))}</f>
        <v>ADVANCEDGROUP TOTAL</v>
      </c>
    </row>
    <row r="704">
      <c r="A704" s="48" t="s">
        <v>170</v>
      </c>
      <c r="B704" s="48"/>
      <c r="C704" s="48" t="s">
        <v>415</v>
      </c>
      <c r="D704" s="48" t="s">
        <v>1634</v>
      </c>
      <c r="E704" s="48" t="s">
        <v>601</v>
      </c>
      <c r="F704" s="5" t="s">
        <v>603</v>
      </c>
      <c r="G704" s="47" t="s">
        <v>603</v>
      </c>
      <c r="H704" s="5" t="s">
        <v>603</v>
      </c>
      <c r="I704" s="5"/>
      <c r="J704" s="5" t="s">
        <v>603</v>
      </c>
      <c r="K704" s="5"/>
      <c r="L704" s="5" t="s">
        <v>603</v>
      </c>
      <c r="M704" s="5"/>
      <c r="N704" s="5" t="s">
        <v>603</v>
      </c>
      <c r="O704" s="5"/>
      <c r="P704" s="5" t="s">
        <v>603</v>
      </c>
      <c r="Q704" s="5"/>
      <c r="R704" s="5" t="s">
        <v>603</v>
      </c>
      <c r="S704" s="5"/>
      <c r="T704" s="5" t="s">
        <v>603</v>
      </c>
      <c r="U704" s="5"/>
      <c r="V704" s="5" t="s">
        <v>603</v>
      </c>
      <c r="W704" s="5"/>
      <c r="X704" s="5" t="s">
        <v>603</v>
      </c>
      <c r="Y704" s="5"/>
      <c r="Z704" s="5" t="s">
        <v>603</v>
      </c>
      <c r="AA704" s="5"/>
      <c r="AB704" s="5" t="s">
        <v>603</v>
      </c>
      <c r="AC704" s="47">
        <v>0.0</v>
      </c>
    </row>
    <row r="705" hidden="1">
      <c r="A705" s="222" t="str">
        <f t="array" ref="A705:A706">{"FormulaRow33";(INDEX(CLASSLIST,A640,1))}</f>
        <v>FormulaRow33</v>
      </c>
      <c r="B705" s="77" t="s">
        <v>236</v>
      </c>
      <c r="C705" s="222" t="str">
        <f t="array" ref="C705:C706">{"CLASSTYPE";((INDEX(ALLCLASSDATA,MATCH("ClassType",CLASSFEATUREHEADERS,0),MATCH($A706,CLASSNAMEHEADERS,0))))}</f>
        <v>CLASSTYPE</v>
      </c>
      <c r="D705" s="222" t="str">
        <f t="array" ref="D705:D706">{"ATTACK";"Attack"}</f>
        <v>ATTACK</v>
      </c>
      <c r="E705" s="222" t="str">
        <f t="array" ref="E705:E706">{"ADVANCED";"Advanced"}</f>
        <v>ADVANCED</v>
      </c>
      <c r="F705" s="223" t="str">
        <f t="array" ref="F705:F706">{"ADVANCEDINITIAL";((IF(H706=10,"T",(IF(H706=50,"E","")))))}</f>
        <v>ADVANCEDINITIAL</v>
      </c>
      <c r="G705" s="223" t="str">
        <f t="array" ref="G705:G706">{"ADVANCEDINITIALPTS";((IF("00"=(INDEX(ALLCLASSDATA,MATCH("AdvancedLegendary",CLASSFEATUREHEADERS,0),MATCH($A706,CLASSNAMEHEADERS,0))),(INDEX(ALLCLASSDATA,MATCH("AdvancedLegendary",CLASSFEATUREHEADERS,0),MATCH(($A706 &amp; "Points"),CLASSNAMEHEADERS,0))),(IF("00"=(INDEX(ALLCLASSDATA,MATCH("AdvancedMaster",CLASSFEATUREHEADERS,0),MATCH($A706,CLASSNAMEHEADERS,0))),(INDEX(ALLCLASSDATA,MATCH("AdvancedMaster",CLASSFEATUREHEADERS,0),MATCH(($A706 &amp; "Points"),CLASSNAMEHEADERS,0))),(IF("00"=(INDEX(ALLCLASSDATA,MATCH("AdvancedExpert",CLASSFEATUREHEADERS,0),MATCH($A706,CLASSNAMEHEADERS,0))),(INDEX(ALLCLASSDATA,MATCH("AdvancedExpert",CLASSFEATUREHEADERS,0),MATCH(($A706 &amp; "Points"),CLASSNAMEHEADERS,0))),(IF("00"=(INDEX(ALLCLASSDATA,MATCH("AdvancedTrained",CLASSFEATUREHEADERS,0),MATCH($A706,CLASSNAMEHEADERS,0))),(INDEX(ALLCLASSDATA,MATCH("AdvancedTrained",CLASSFEATUREHEADERS,0),MATCH(($A706 &amp; "Points"),CLASSNAMEHEADERS,0))),"")))))))))}</f>
        <v>ADVANCEDINITIALPTS</v>
      </c>
      <c r="H705" s="223" t="str">
        <f t="array" ref="H705:H706">{"ADVANCEDL01";((IF("01"=(INDEX(ALLCLASSDATA,MATCH("AdvancedLegendary",CLASSFEATUREHEADERS,0),MATCH($A706,CLASSNAMEHEADERS,0))),(INDEX(ALLCLASSDATA,MATCH("AdvancedLegendary",CLASSFEATUREHEADERS,0),MATCH(($A706 &amp; "Points"),CLASSNAMEHEADERS,0))),(IF("01"=(INDEX(ALLCLASSDATA,MATCH("AdvancedMaster",CLASSFEATUREHEADERS,0),MATCH($A706,CLASSNAMEHEADERS,0))),(INDEX(ALLCLASSDATA,MATCH("AdvancedMaster",CLASSFEATUREHEADERS,0),MATCH(($A706 &amp; "Points"),CLASSNAMEHEADERS,0))),(IF("01"=(INDEX(ALLCLASSDATA,MATCH("AdvancedExpert",CLASSFEATUREHEADERS,0),MATCH($A706,CLASSNAMEHEADERS,0))),(INDEX(ALLCLASSDATA,MATCH("AdvancedExpert",CLASSFEATUREHEADERS,0),MATCH(($A706 &amp; "Points"),CLASSNAMEHEADERS,0))),(IF("01"=(INDEX(ALLCLASSDATA,MATCH("AdvancedTrained",CLASSFEATUREHEADERS,0),MATCH($A706,CLASSNAMEHEADERS,0))),(INDEX(ALLCLASSDATA,MATCH("AdvancedTrained",CLASSFEATUREHEADERS,0),MATCH(($A706 &amp; "Points"),CLASSNAMEHEADERS,0))),"")))))))))}</f>
        <v>ADVANCEDL01</v>
      </c>
      <c r="I705" s="223"/>
      <c r="J705" s="223" t="str">
        <f t="array" ref="J705:J706">{"ADVANCEDL03";((IF("03"=(INDEX(ALLCLASSDATA,MATCH("AdvancedLegendary",CLASSFEATUREHEADERS,0),MATCH($A706,CLASSNAMEHEADERS,0))),(INDEX(ALLCLASSDATA,MATCH("AdvancedLegendary",CLASSFEATUREHEADERS,0),MATCH(($A706 &amp; "Points"),CLASSNAMEHEADERS,0))),(IF("03"=(INDEX(ALLCLASSDATA,MATCH("AdvancedMaster",CLASSFEATUREHEADERS,0),MATCH($A706,CLASSNAMEHEADERS,0))),(INDEX(ALLCLASSDATA,MATCH("AdvancedMaster",CLASSFEATUREHEADERS,0),MATCH(($A706 &amp; "Points"),CLASSNAMEHEADERS,0))),(IF("03"=(INDEX(ALLCLASSDATA,MATCH("AdvancedExpert",CLASSFEATUREHEADERS,0),MATCH($A706,CLASSNAMEHEADERS,0))),(INDEX(ALLCLASSDATA,MATCH("AdvancedExpert",CLASSFEATUREHEADERS,0),MATCH(($A706 &amp; "Points"),CLASSNAMEHEADERS,0))),(IF("03"=(INDEX(ALLCLASSDATA,MATCH("AdvancedTrained",CLASSFEATUREHEADERS,0),MATCH($A706,CLASSNAMEHEADERS,0))),(INDEX(ALLCLASSDATA,MATCH("AdvancedTrained",CLASSFEATUREHEADERS,0),MATCH(($A706 &amp; "Points"),CLASSNAMEHEADERS,0))),"")))))))))}</f>
        <v>ADVANCEDL03</v>
      </c>
      <c r="K705" s="223"/>
      <c r="L705" s="223" t="str">
        <f t="array" ref="L705:L706">{"ADVANCEDL05";((IF("05"=(INDEX(ALLCLASSDATA,MATCH("AdvancedLegendary",CLASSFEATUREHEADERS,0),MATCH($A706,CLASSNAMEHEADERS,0))),(INDEX(ALLCLASSDATA,MATCH("AdvancedLegendary",CLASSFEATUREHEADERS,0),MATCH(($A706 &amp; "Points"),CLASSNAMEHEADERS,0))),(IF("05"=(INDEX(ALLCLASSDATA,MATCH("AdvancedMaster",CLASSFEATUREHEADERS,0),MATCH($A706,CLASSNAMEHEADERS,0))),(INDEX(ALLCLASSDATA,MATCH("AdvancedMaster",CLASSFEATUREHEADERS,0),MATCH(($A706 &amp; "Points"),CLASSNAMEHEADERS,0))),(IF("05"=(INDEX(ALLCLASSDATA,MATCH("AdvancedExpert",CLASSFEATUREHEADERS,0),MATCH($A706,CLASSNAMEHEADERS,0))),(INDEX(ALLCLASSDATA,MATCH("AdvancedExpert",CLASSFEATUREHEADERS,0),MATCH(($A706 &amp; "Points"),CLASSNAMEHEADERS,0))),(IF("05"=(INDEX(ALLCLASSDATA,MATCH("AdvancedTrained",CLASSFEATUREHEADERS,0),MATCH($A706,CLASSNAMEHEADERS,0))),(INDEX(ALLCLASSDATA,MATCH("AdvancedTrained",CLASSFEATUREHEADERS,0),MATCH(($A706 &amp; "Points"),CLASSNAMEHEADERS,0))),"")))))))))}</f>
        <v>ADVANCEDL05</v>
      </c>
      <c r="M705" s="223"/>
      <c r="N705" s="223" t="str">
        <f t="array" ref="N705:N706">{"ADVANCEDL07";((IF("07"=(INDEX(ALLCLASSDATA,MATCH("AdvancedLegendary",CLASSFEATUREHEADERS,0),MATCH($A706,CLASSNAMEHEADERS,0))),(INDEX(ALLCLASSDATA,MATCH("AdvancedLegendary",CLASSFEATUREHEADERS,0),MATCH(($A706 &amp; "Points"),CLASSNAMEHEADERS,0))),(IF("07"=(INDEX(ALLCLASSDATA,MATCH("AdvancedMaster",CLASSFEATUREHEADERS,0),MATCH($A706,CLASSNAMEHEADERS,0))),(INDEX(ALLCLASSDATA,MATCH("AdvancedMaster",CLASSFEATUREHEADERS,0),MATCH(($A706 &amp; "Points"),CLASSNAMEHEADERS,0))),(IF("07"=(INDEX(ALLCLASSDATA,MATCH("AdvancedExpert",CLASSFEATUREHEADERS,0),MATCH($A706,CLASSNAMEHEADERS,0))),(INDEX(ALLCLASSDATA,MATCH("AdvancedExpert",CLASSFEATUREHEADERS,0),MATCH(($A706 &amp; "Points"),CLASSNAMEHEADERS,0))),(IF("07"=(INDEX(ALLCLASSDATA,MATCH("AdvancedTrained",CLASSFEATUREHEADERS,0),MATCH($A706,CLASSNAMEHEADERS,0))),(INDEX(ALLCLASSDATA,MATCH("AdvancedTrained",CLASSFEATUREHEADERS,0),MATCH(($A706 &amp; "Points"),CLASSNAMEHEADERS,0))),"")))))))))}</f>
        <v>ADVANCEDL07</v>
      </c>
      <c r="O705" s="223"/>
      <c r="P705" s="223" t="str">
        <f t="array" ref="P705:P706">{"ADVANCEDL09";((IF("09"=(INDEX(ALLCLASSDATA,MATCH("AdvancedLegendary",CLASSFEATUREHEADERS,0),MATCH($A706,CLASSNAMEHEADERS,0))),(INDEX(ALLCLASSDATA,MATCH("AdvancedLegendary",CLASSFEATUREHEADERS,0),MATCH(($A706 &amp; "Points"),CLASSNAMEHEADERS,0))),(IF("09"=(INDEX(ALLCLASSDATA,MATCH("AdvancedMaster",CLASSFEATUREHEADERS,0),MATCH($A706,CLASSNAMEHEADERS,0))),(INDEX(ALLCLASSDATA,MATCH("AdvancedMaster",CLASSFEATUREHEADERS,0),MATCH(($A706 &amp; "Points"),CLASSNAMEHEADERS,0))),(IF("09"=(INDEX(ALLCLASSDATA,MATCH("AdvancedExpert",CLASSFEATUREHEADERS,0),MATCH($A706,CLASSNAMEHEADERS,0))),(INDEX(ALLCLASSDATA,MATCH("AdvancedExpert",CLASSFEATUREHEADERS,0),MATCH(($A706 &amp; "Points"),CLASSNAMEHEADERS,0))),(IF("09"=(INDEX(ALLCLASSDATA,MATCH("AdvancedTrained",CLASSFEATUREHEADERS,0),MATCH($A706,CLASSNAMEHEADERS,0))),(INDEX(ALLCLASSDATA,MATCH("AdvancedTrained",CLASSFEATUREHEADERS,0),MATCH(($A706 &amp; "Points"),CLASSNAMEHEADERS,0))),"")))))))))}</f>
        <v>ADVANCEDL09</v>
      </c>
      <c r="Q705" s="223"/>
      <c r="R705" s="223" t="str">
        <f t="array" ref="R705:R706">{"ADVANCEDL11";((IF("11"=(INDEX(ALLCLASSDATA,MATCH("AdvancedLegendary",CLASSFEATUREHEADERS,0),MATCH($A706,CLASSNAMEHEADERS,0))),(INDEX(ALLCLASSDATA,MATCH("AdvancedLegendary",CLASSFEATUREHEADERS,0),MATCH(($A706 &amp; "Points"),CLASSNAMEHEADERS,0))),(IF("11"=(INDEX(ALLCLASSDATA,MATCH("AdvancedMaster",CLASSFEATUREHEADERS,0),MATCH($A706,CLASSNAMEHEADERS,0))),(INDEX(ALLCLASSDATA,MATCH("AdvancedMaster",CLASSFEATUREHEADERS,0),MATCH(($A706 &amp; "Points"),CLASSNAMEHEADERS,0))),(IF("11"=(INDEX(ALLCLASSDATA,MATCH("AdvancedExpert",CLASSFEATUREHEADERS,0),MATCH($A706,CLASSNAMEHEADERS,0))),(INDEX(ALLCLASSDATA,MATCH("AdvancedExpert",CLASSFEATUREHEADERS,0),MATCH(($A706 &amp; "Points"),CLASSNAMEHEADERS,0))),(IF("11"=(INDEX(ALLCLASSDATA,MATCH("AdvancedTrained",CLASSFEATUREHEADERS,0),MATCH($A706,CLASSNAMEHEADERS,0))),(INDEX(ALLCLASSDATA,MATCH("AdvancedTrained",CLASSFEATUREHEADERS,0),MATCH(($A706 &amp; "Points"),CLASSNAMEHEADERS,0))),"")))))))))}</f>
        <v>ADVANCEDL11</v>
      </c>
      <c r="S705" s="223"/>
      <c r="T705" s="223" t="str">
        <f t="array" ref="T705:T706">{"ADVANCEDL13";((IF("13"=(INDEX(ALLCLASSDATA,MATCH("AdvancedLegendary",CLASSFEATUREHEADERS,0),MATCH($A706,CLASSNAMEHEADERS,0))),(INDEX(ALLCLASSDATA,MATCH("AdvancedLegendary",CLASSFEATUREHEADERS,0),MATCH(($A706 &amp; "Points"),CLASSNAMEHEADERS,0))),(IF("13"=(INDEX(ALLCLASSDATA,MATCH("AdvancedMaster",CLASSFEATUREHEADERS,0),MATCH($A706,CLASSNAMEHEADERS,0))),(INDEX(ALLCLASSDATA,MATCH("AdvancedMaster",CLASSFEATUREHEADERS,0),MATCH(($A706 &amp; "Points"),CLASSNAMEHEADERS,0))),(IF("13"=(INDEX(ALLCLASSDATA,MATCH("AdvancedExpert",CLASSFEATUREHEADERS,0),MATCH($A706,CLASSNAMEHEADERS,0))),(INDEX(ALLCLASSDATA,MATCH("AdvancedExpert",CLASSFEATUREHEADERS,0),MATCH(($A706 &amp; "Points"),CLASSNAMEHEADERS,0))),(IF("13"=(INDEX(ALLCLASSDATA,MATCH("AdvancedTrained",CLASSFEATUREHEADERS,0),MATCH($A706,CLASSNAMEHEADERS,0))),(INDEX(ALLCLASSDATA,MATCH("AdvancedTrained",CLASSFEATUREHEADERS,0),MATCH(($A706 &amp; "Points"),CLASSNAMEHEADERS,0))),"")))))))))}</f>
        <v>ADVANCEDL13</v>
      </c>
      <c r="U705" s="223"/>
      <c r="V705" s="223" t="str">
        <f t="array" ref="V705:V706">{"ADVANCEDL15";((IF("15"=(INDEX(ALLCLASSDATA,MATCH("AdvancedLegendary",CLASSFEATUREHEADERS,0),MATCH($A706,CLASSNAMEHEADERS,0))),(INDEX(ALLCLASSDATA,MATCH("AdvancedLegendary",CLASSFEATUREHEADERS,0),MATCH(($A706 &amp; "Points"),CLASSNAMEHEADERS,0))),(IF("15"=(INDEX(ALLCLASSDATA,MATCH("AdvancedMaster",CLASSFEATUREHEADERS,0),MATCH($A706,CLASSNAMEHEADERS,0))),(INDEX(ALLCLASSDATA,MATCH("AdvancedMaster",CLASSFEATUREHEADERS,0),MATCH(($A706 &amp; "Points"),CLASSNAMEHEADERS,0))),(IF("15"=(INDEX(ALLCLASSDATA,MATCH("AdvancedExpert",CLASSFEATUREHEADERS,0),MATCH($A706,CLASSNAMEHEADERS,0))),(INDEX(ALLCLASSDATA,MATCH("AdvancedExpert",CLASSFEATUREHEADERS,0),MATCH(($A706 &amp; "Points"),CLASSNAMEHEADERS,0))),(IF("15"=(INDEX(ALLCLASSDATA,MATCH("AdvancedTrained",CLASSFEATUREHEADERS,0),MATCH($A706,CLASSNAMEHEADERS,0))),(INDEX(ALLCLASSDATA,MATCH("AdvancedTrained",CLASSFEATUREHEADERS,0),MATCH(($A706 &amp; "Points"),CLASSNAMEHEADERS,0))),"")))))))))}</f>
        <v>ADVANCEDL15</v>
      </c>
      <c r="W705" s="223"/>
      <c r="X705" s="223" t="str">
        <f t="array" ref="X705:X706">{"ADVANCEDL17";((IF("17"=(INDEX(ALLCLASSDATA,MATCH("AdvancedLegendary",CLASSFEATUREHEADERS,0),MATCH($A706,CLASSNAMEHEADERS,0))),(INDEX(ALLCLASSDATA,MATCH("AdvancedLegendary",CLASSFEATUREHEADERS,0),MATCH(($A706 &amp; "Points"),CLASSNAMEHEADERS,0))),(IF("17"=(INDEX(ALLCLASSDATA,MATCH("AdvancedMaster",CLASSFEATUREHEADERS,0),MATCH($A706,CLASSNAMEHEADERS,0))),(INDEX(ALLCLASSDATA,MATCH("AdvancedMaster",CLASSFEATUREHEADERS,0),MATCH(($A706 &amp; "Points"),CLASSNAMEHEADERS,0))),(IF("17"=(INDEX(ALLCLASSDATA,MATCH("AdvancedExpert",CLASSFEATUREHEADERS,0),MATCH($A706,CLASSNAMEHEADERS,0))),(INDEX(ALLCLASSDATA,MATCH("AdvancedExpert",CLASSFEATUREHEADERS,0),MATCH(($A706 &amp; "Points"),CLASSNAMEHEADERS,0))),(IF("17"=(INDEX(ALLCLASSDATA,MATCH("AdvancedTrained",CLASSFEATUREHEADERS,0),MATCH($A706,CLASSNAMEHEADERS,0))),(INDEX(ALLCLASSDATA,MATCH("AdvancedTrained",CLASSFEATUREHEADERS,0),MATCH(($A706 &amp; "Points"),CLASSNAMEHEADERS,0))),"")))))))))}</f>
        <v>ADVANCEDL17</v>
      </c>
      <c r="Y705" s="223"/>
      <c r="Z705" s="223" t="str">
        <f t="array" ref="Z705:Z706">{"ADVANCEDL19";((IF("19"=(INDEX(ALLCLASSDATA,MATCH("AdvancedLegendary",CLASSFEATUREHEADERS,0),MATCH($A706,CLASSNAMEHEADERS,0))),(INDEX(ALLCLASSDATA,MATCH("AdvancedLegendary",CLASSFEATUREHEADERS,0),MATCH(($A706 &amp; "Points"),CLASSNAMEHEADERS,0))),(IF("19"=(INDEX(ALLCLASSDATA,MATCH("AdvancedMaster",CLASSFEATUREHEADERS,0),MATCH($A706,CLASSNAMEHEADERS,0))),(INDEX(ALLCLASSDATA,MATCH("AdvancedMaster",CLASSFEATUREHEADERS,0),MATCH(($A706 &amp; "Points"),CLASSNAMEHEADERS,0))),(IF("19"=(INDEX(ALLCLASSDATA,MATCH("AdvancedExpert",CLASSFEATUREHEADERS,0),MATCH($A706,CLASSNAMEHEADERS,0))),(INDEX(ALLCLASSDATA,MATCH("AdvancedExpert",CLASSFEATUREHEADERS,0),MATCH(($A706 &amp; "Points"),CLASSNAMEHEADERS,0))),(IF("19"=(INDEX(ALLCLASSDATA,MATCH("AdvancedTrained",CLASSFEATUREHEADERS,0),MATCH($A706,CLASSNAMEHEADERS,0))),(INDEX(ALLCLASSDATA,MATCH("AdvancedTrained",CLASSFEATUREHEADERS,0),MATCH(($A706 &amp; "Points"),CLASSNAMEHEADERS,0))),"")))))))))}</f>
        <v>ADVANCEDL19</v>
      </c>
      <c r="AA705" s="223"/>
      <c r="AB705" s="76" t="str">
        <f t="array" ref="AB705:AB706">{"ADVANCED TOTAL";(IF(COUNTBLANK(G706:AA706)=17,"L",(IF(COUNTBLANK(G706:AA706)=18,"M",(IF(COUNTBLANK(G706:AA706)=19,"E",(IF(COUNTBLANK(G706:AA706)=20,"T",""))))))))}</f>
        <v>ADVANCED TOTAL</v>
      </c>
      <c r="AC705" s="76" t="str">
        <f t="array" ref="AC705:AC706">{"ADVANCED TOTAL";(sum(G706:AA706))}</f>
        <v>ADVANCED TOTAL</v>
      </c>
    </row>
    <row r="706">
      <c r="A706" s="48" t="s">
        <v>170</v>
      </c>
      <c r="B706" s="48"/>
      <c r="C706" s="48" t="s">
        <v>415</v>
      </c>
      <c r="D706" s="97" t="s">
        <v>1634</v>
      </c>
      <c r="E706" s="97" t="s">
        <v>602</v>
      </c>
      <c r="F706" s="98" t="s">
        <v>603</v>
      </c>
      <c r="G706" s="132" t="s">
        <v>603</v>
      </c>
      <c r="H706" s="98" t="s">
        <v>603</v>
      </c>
      <c r="I706" s="98"/>
      <c r="J706" s="98" t="s">
        <v>603</v>
      </c>
      <c r="K706" s="98"/>
      <c r="L706" s="98" t="s">
        <v>603</v>
      </c>
      <c r="M706" s="98"/>
      <c r="N706" s="98" t="s">
        <v>603</v>
      </c>
      <c r="O706" s="98"/>
      <c r="P706" s="98" t="s">
        <v>603</v>
      </c>
      <c r="Q706" s="98"/>
      <c r="R706" s="98" t="s">
        <v>603</v>
      </c>
      <c r="S706" s="98"/>
      <c r="T706" s="98" t="s">
        <v>603</v>
      </c>
      <c r="U706" s="98"/>
      <c r="V706" s="98" t="s">
        <v>603</v>
      </c>
      <c r="W706" s="98"/>
      <c r="X706" s="98" t="s">
        <v>603</v>
      </c>
      <c r="Y706" s="98"/>
      <c r="Z706" s="98" t="s">
        <v>603</v>
      </c>
      <c r="AA706" s="98"/>
      <c r="AB706" s="5" t="s">
        <v>603</v>
      </c>
      <c r="AC706" s="47">
        <v>0.0</v>
      </c>
    </row>
    <row r="707" hidden="1">
      <c r="A707" s="222" t="str">
        <f t="array" ref="A707:A708">{"FormulaRow34";(INDEX(CLASSLIST,A640,1))}</f>
        <v>FormulaRow34</v>
      </c>
      <c r="B707" s="77" t="s">
        <v>236</v>
      </c>
      <c r="C707" s="222" t="str">
        <f t="array" ref="C707:C708">{"CLASSTYPE";((INDEX(ALLCLASSDATA,MATCH("ClassType",CLASSFEATUREHEADERS,0),MATCH($A708,CLASSNAMEHEADERS,0))))}</f>
        <v>CLASSTYPE</v>
      </c>
      <c r="D707" s="222" t="str">
        <f t="array" ref="D707:D708">{"DEFENSE";"Defense"}</f>
        <v>DEFENSE</v>
      </c>
      <c r="E707" s="222" t="str">
        <f t="array" ref="E707:E708">{"ARMORSPECIAL";"ArmorAS"}</f>
        <v>ARMORSPECIAL</v>
      </c>
      <c r="F707" s="223"/>
      <c r="G707" s="223"/>
      <c r="H707" s="223" t="str">
        <f t="array" ref="H707:H708">{"ARMORSPECIALL01";((IF("01"=INDEX(ALLCLASSDATA,MATCH("ArmorSpecialization",CLASSFEATUREHEADERS,0),MATCH($A708,CLASSNAMEHEADERS,0)),ArmorAS,"")))}</f>
        <v>ARMORSPECIALL01</v>
      </c>
      <c r="I707" s="223"/>
      <c r="J707" s="223" t="str">
        <f t="array" ref="J707:J708">{"ARMORSPECIALL03";((IF("03"=INDEX(ALLCLASSDATA,MATCH("ArmorSpecialization",CLASSFEATUREHEADERS,0),MATCH($A708,CLASSNAMEHEADERS,0)),ArmorAS,"")))}</f>
        <v>ARMORSPECIALL03</v>
      </c>
      <c r="K707" s="223"/>
      <c r="L707" s="223" t="str">
        <f t="array" ref="L707:L708">{"ARMORSPECIALL05";((IF("05"=INDEX(ALLCLASSDATA,MATCH("ArmorSpecialization",CLASSFEATUREHEADERS,0),MATCH($A708,CLASSNAMEHEADERS,0)),ArmorAS,"")))}</f>
        <v>ARMORSPECIALL05</v>
      </c>
      <c r="M707" s="223"/>
      <c r="N707" s="223" t="str">
        <f t="array" ref="N707:N708">{"ARMORSPECIALL07";((IF("07"=INDEX(ALLCLASSDATA,MATCH("ArmorSpecialization",CLASSFEATUREHEADERS,0),MATCH($A708,CLASSNAMEHEADERS,0)),ArmorAS,"")))}</f>
        <v>ARMORSPECIALL07</v>
      </c>
      <c r="O707" s="223"/>
      <c r="P707" s="223" t="str">
        <f t="array" ref="P707:P708">{"ARMORSPECIALL09";((IF("09"=INDEX(ALLCLASSDATA,MATCH("ArmorSpecialization",CLASSFEATUREHEADERS,0),MATCH($A708,CLASSNAMEHEADERS,0)),ArmorAS,"")))}</f>
        <v>ARMORSPECIALL09</v>
      </c>
      <c r="Q707" s="223"/>
      <c r="R707" s="223" t="str">
        <f t="array" ref="R707:R708">{"ARMORSPECIALL11";((IF("11"=INDEX(ALLCLASSDATA,MATCH("ArmorSpecialization",CLASSFEATUREHEADERS,0),MATCH($A708,CLASSNAMEHEADERS,0)),ArmorAS,"")))}</f>
        <v>ARMORSPECIALL11</v>
      </c>
      <c r="S707" s="223"/>
      <c r="T707" s="223" t="str">
        <f t="array" ref="T707:T708">{"ARMORSPECIALL13";((IF("13"=INDEX(ALLCLASSDATA,MATCH("ArmorSpecialization",CLASSFEATUREHEADERS,0),MATCH($A708,CLASSNAMEHEADERS,0)),ArmorAS,"")))}</f>
        <v>ARMORSPECIALL13</v>
      </c>
      <c r="U707" s="223"/>
      <c r="V707" s="223" t="str">
        <f t="array" ref="V707:V708">{"ARMORSPECIALL15";((IF("15"=INDEX(ALLCLASSDATA,MATCH("ArmorSpecialization",CLASSFEATUREHEADERS,0),MATCH($A708,CLASSNAMEHEADERS,0)),ArmorAS,"")))}</f>
        <v>ARMORSPECIALL15</v>
      </c>
      <c r="W707" s="223"/>
      <c r="X707" s="223" t="str">
        <f t="array" ref="X707:X708">{"ARMORSPECIALL17";((IF("17"=INDEX(ALLCLASSDATA,MATCH("ArmorSpecialization",CLASSFEATUREHEADERS,0),MATCH($A708,CLASSNAMEHEADERS,0)),ArmorAS,"")))}</f>
        <v>ARMORSPECIALL17</v>
      </c>
      <c r="Y707" s="223"/>
      <c r="Z707" s="223" t="str">
        <f t="array" ref="Z707:Z708">{"ARMORSPECIALL19";((IF("19"=INDEX(ALLCLASSDATA,MATCH("ArmorSpecialization",CLASSFEATUREHEADERS,0),MATCH($A708,CLASSNAMEHEADERS,0)),ArmorAS,"")))}</f>
        <v>ARMORSPECIALL19</v>
      </c>
      <c r="AA707" s="223"/>
      <c r="AB707" s="76"/>
      <c r="AC707" s="76" t="str">
        <f t="array" ref="AC707:AC708">{"ARMORSPECIAL TOTAL";(sum(G708:AA708))}</f>
        <v>ARMORSPECIAL TOTAL</v>
      </c>
    </row>
    <row r="708">
      <c r="A708" s="48" t="s">
        <v>170</v>
      </c>
      <c r="B708" s="48"/>
      <c r="C708" s="48" t="s">
        <v>415</v>
      </c>
      <c r="D708" s="48" t="s">
        <v>1900</v>
      </c>
      <c r="E708" s="48" t="s">
        <v>51</v>
      </c>
      <c r="F708" s="5"/>
      <c r="G708" s="47"/>
      <c r="H708" s="5" t="s">
        <v>603</v>
      </c>
      <c r="I708" s="5"/>
      <c r="J708" s="5" t="s">
        <v>603</v>
      </c>
      <c r="K708" s="5"/>
      <c r="L708" s="5" t="s">
        <v>603</v>
      </c>
      <c r="M708" s="5"/>
      <c r="N708" s="5" t="s">
        <v>603</v>
      </c>
      <c r="O708" s="5"/>
      <c r="P708" s="5" t="s">
        <v>603</v>
      </c>
      <c r="Q708" s="5"/>
      <c r="R708" s="5" t="s">
        <v>603</v>
      </c>
      <c r="S708" s="5"/>
      <c r="T708" s="5" t="s">
        <v>603</v>
      </c>
      <c r="U708" s="5"/>
      <c r="V708" s="5" t="s">
        <v>603</v>
      </c>
      <c r="W708" s="5"/>
      <c r="X708" s="5" t="s">
        <v>603</v>
      </c>
      <c r="Y708" s="5"/>
      <c r="Z708" s="5" t="s">
        <v>603</v>
      </c>
      <c r="AA708" s="5"/>
      <c r="AB708" s="5"/>
      <c r="AC708" s="47">
        <v>0.0</v>
      </c>
    </row>
    <row r="709" hidden="1">
      <c r="A709" s="222" t="str">
        <f t="array" ref="A709:A710">{"FormulaRow35";(INDEX(CLASSLIST,A640,1))}</f>
        <v>FormulaRow35</v>
      </c>
      <c r="B709" s="77" t="s">
        <v>236</v>
      </c>
      <c r="C709" s="222" t="str">
        <f t="array" ref="C709:C710">{"CLASSTYPE";((INDEX(ALLCLASSDATA,MATCH("ClassType",CLASSFEATUREHEADERS,0),MATCH($A710,CLASSNAMEHEADERS,0))))}</f>
        <v>CLASSTYPE</v>
      </c>
      <c r="D709" s="222" t="str">
        <f t="array" ref="D709:D710">{"DEFENSE";"Defense"}</f>
        <v>DEFENSE</v>
      </c>
      <c r="E709" s="222" t="str">
        <f t="array" ref="E709:E710">{"UNARMORED";"Unarmored"}</f>
        <v>UNARMORED</v>
      </c>
      <c r="F709" s="223" t="str">
        <f t="array" ref="F709:F710">{"UNARMOREDINITIAL";((IF(H710=10,"T",(IF(H710=50,"E","")))))}</f>
        <v>UNARMOREDINITIAL</v>
      </c>
      <c r="G709" s="223" t="str">
        <f t="array" ref="G709:G710">{"UNARMOREDINITIALPTS";((IF("00"=(INDEX(ALLCLASSDATA,MATCH("UnarmoredLegendary",CLASSFEATUREHEADERS,0),MATCH($A710,CLASSNAMEHEADERS,0))),(INDEX(ALLCLASSDATA,MATCH("UnarmoredLegendary",CLASSFEATUREHEADERS,0),MATCH(($A710 &amp; "Points"),CLASSNAMEHEADERS,0))),(IF("00"=(INDEX(ALLCLASSDATA,MATCH("UnarmoredMaster",CLASSFEATUREHEADERS,0),MATCH($A710,CLASSNAMEHEADERS,0))),(INDEX(ALLCLASSDATA,MATCH("UnarmoredMaster",CLASSFEATUREHEADERS,0),MATCH(($A710 &amp; "Points"),CLASSNAMEHEADERS,0))),(IF("00"=(INDEX(ALLCLASSDATA,MATCH("UnarmoredExpert",CLASSFEATUREHEADERS,0),MATCH($A710,CLASSNAMEHEADERS,0))),(INDEX(ALLCLASSDATA,MATCH("UnarmoredExpert",CLASSFEATUREHEADERS,0),MATCH(($A710 &amp; "Points"),CLASSNAMEHEADERS,0))),(IF("00"=(INDEX(ALLCLASSDATA,MATCH("UnarmoredTrained",CLASSFEATUREHEADERS,0),MATCH($A710,CLASSNAMEHEADERS,0))),(INDEX(ALLCLASSDATA,MATCH("UnarmoredTrained",CLASSFEATUREHEADERS,0),MATCH(($A710 &amp; "Points"),CLASSNAMEHEADERS,0))),"")))))))))}</f>
        <v>UNARMOREDINITIALPTS</v>
      </c>
      <c r="H709" s="223" t="str">
        <f t="array" ref="H709:H710">{"UNARMOREDL01";((IF("01"=(INDEX(ALLCLASSDATA,MATCH("UnarmoredLegendary",CLASSFEATUREHEADERS,0),MATCH($A710,CLASSNAMEHEADERS,0))),(INDEX(ALLCLASSDATA,MATCH("UnarmoredLegendary",CLASSFEATUREHEADERS,0),MATCH(($A710 &amp; "Points"),CLASSNAMEHEADERS,0))),(IF("01"=(INDEX(ALLCLASSDATA,MATCH("UnarmoredMaster",CLASSFEATUREHEADERS,0),MATCH($A710,CLASSNAMEHEADERS,0))),(INDEX(ALLCLASSDATA,MATCH("UnarmoredMaster",CLASSFEATUREHEADERS,0),MATCH(($A710 &amp; "Points"),CLASSNAMEHEADERS,0))),(IF("01"=(INDEX(ALLCLASSDATA,MATCH("UnarmoredExpert",CLASSFEATUREHEADERS,0),MATCH($A710,CLASSNAMEHEADERS,0))),(INDEX(ALLCLASSDATA,MATCH("UnarmoredExpert",CLASSFEATUREHEADERS,0),MATCH(($A710 &amp; "Points"),CLASSNAMEHEADERS,0))),(IF("01"=(INDEX(ALLCLASSDATA,MATCH("UnarmoredTrained",CLASSFEATUREHEADERS,0),MATCH($A710,CLASSNAMEHEADERS,0))),(INDEX(ALLCLASSDATA,MATCH("UnarmoredTrained",CLASSFEATUREHEADERS,0),MATCH(($A710 &amp; "Points"),CLASSNAMEHEADERS,0))),"")))))))))}</f>
        <v>UNARMOREDL01</v>
      </c>
      <c r="I709" s="223"/>
      <c r="J709" s="223" t="str">
        <f t="array" ref="J709:J710">{"UNARMOREDL03";((IF("03"=(INDEX(ALLCLASSDATA,MATCH("UnarmoredLegendary",CLASSFEATUREHEADERS,0),MATCH($A710,CLASSNAMEHEADERS,0))),(INDEX(ALLCLASSDATA,MATCH("UnarmoredLegendary",CLASSFEATUREHEADERS,0),MATCH(($A710 &amp; "Points"),CLASSNAMEHEADERS,0))),(IF("03"=(INDEX(ALLCLASSDATA,MATCH("UnarmoredMaster",CLASSFEATUREHEADERS,0),MATCH($A710,CLASSNAMEHEADERS,0))),(INDEX(ALLCLASSDATA,MATCH("UnarmoredMaster",CLASSFEATUREHEADERS,0),MATCH(($A710 &amp; "Points"),CLASSNAMEHEADERS,0))),(IF("03"=(INDEX(ALLCLASSDATA,MATCH("UnarmoredExpert",CLASSFEATUREHEADERS,0),MATCH($A710,CLASSNAMEHEADERS,0))),(INDEX(ALLCLASSDATA,MATCH("UnarmoredExpert",CLASSFEATUREHEADERS,0),MATCH(($A710 &amp; "Points"),CLASSNAMEHEADERS,0))),(IF("03"=(INDEX(ALLCLASSDATA,MATCH("UnarmoredTrained",CLASSFEATUREHEADERS,0),MATCH($A710,CLASSNAMEHEADERS,0))),(INDEX(ALLCLASSDATA,MATCH("UnarmoredTrained",CLASSFEATUREHEADERS,0),MATCH(($A710 &amp; "Points"),CLASSNAMEHEADERS,0))),"")))))))))}</f>
        <v>UNARMOREDL03</v>
      </c>
      <c r="K709" s="223"/>
      <c r="L709" s="223" t="str">
        <f t="array" ref="L709:L710">{"UNARMOREDL05";((IF("05"=(INDEX(ALLCLASSDATA,MATCH("UnarmoredLegendary",CLASSFEATUREHEADERS,0),MATCH($A710,CLASSNAMEHEADERS,0))),(INDEX(ALLCLASSDATA,MATCH("UnarmoredLegendary",CLASSFEATUREHEADERS,0),MATCH(($A710 &amp; "Points"),CLASSNAMEHEADERS,0))),(IF("05"=(INDEX(ALLCLASSDATA,MATCH("UnarmoredMaster",CLASSFEATUREHEADERS,0),MATCH($A710,CLASSNAMEHEADERS,0))),(INDEX(ALLCLASSDATA,MATCH("UnarmoredMaster",CLASSFEATUREHEADERS,0),MATCH(($A710 &amp; "Points"),CLASSNAMEHEADERS,0))),(IF("05"=(INDEX(ALLCLASSDATA,MATCH("UnarmoredExpert",CLASSFEATUREHEADERS,0),MATCH($A710,CLASSNAMEHEADERS,0))),(INDEX(ALLCLASSDATA,MATCH("UnarmoredExpert",CLASSFEATUREHEADERS,0),MATCH(($A710 &amp; "Points"),CLASSNAMEHEADERS,0))),(IF("05"=(INDEX(ALLCLASSDATA,MATCH("UnarmoredTrained",CLASSFEATUREHEADERS,0),MATCH($A710,CLASSNAMEHEADERS,0))),(INDEX(ALLCLASSDATA,MATCH("UnarmoredTrained",CLASSFEATUREHEADERS,0),MATCH(($A710 &amp; "Points"),CLASSNAMEHEADERS,0))),"")))))))))}</f>
        <v>UNARMOREDL05</v>
      </c>
      <c r="M709" s="223"/>
      <c r="N709" s="223" t="str">
        <f t="array" ref="N709:N710">{"UNARMOREDL07";((IF("07"=(INDEX(ALLCLASSDATA,MATCH("UnarmoredLegendary",CLASSFEATUREHEADERS,0),MATCH($A710,CLASSNAMEHEADERS,0))),(INDEX(ALLCLASSDATA,MATCH("UnarmoredLegendary",CLASSFEATUREHEADERS,0),MATCH(($A710 &amp; "Points"),CLASSNAMEHEADERS,0))),(IF("07"=(INDEX(ALLCLASSDATA,MATCH("UnarmoredMaster",CLASSFEATUREHEADERS,0),MATCH($A710,CLASSNAMEHEADERS,0))),(INDEX(ALLCLASSDATA,MATCH("UnarmoredMaster",CLASSFEATUREHEADERS,0),MATCH(($A710 &amp; "Points"),CLASSNAMEHEADERS,0))),(IF("07"=(INDEX(ALLCLASSDATA,MATCH("UnarmoredExpert",CLASSFEATUREHEADERS,0),MATCH($A710,CLASSNAMEHEADERS,0))),(INDEX(ALLCLASSDATA,MATCH("UnarmoredExpert",CLASSFEATUREHEADERS,0),MATCH(($A710 &amp; "Points"),CLASSNAMEHEADERS,0))),(IF("07"=(INDEX(ALLCLASSDATA,MATCH("UnarmoredTrained",CLASSFEATUREHEADERS,0),MATCH($A710,CLASSNAMEHEADERS,0))),(INDEX(ALLCLASSDATA,MATCH("UnarmoredTrained",CLASSFEATUREHEADERS,0),MATCH(($A710 &amp; "Points"),CLASSNAMEHEADERS,0))),"")))))))))}</f>
        <v>UNARMOREDL07</v>
      </c>
      <c r="O709" s="223"/>
      <c r="P709" s="223" t="str">
        <f t="array" ref="P709:P710">{"UNARMOREDL09";((IF("09"=(INDEX(ALLCLASSDATA,MATCH("UnarmoredLegendary",CLASSFEATUREHEADERS,0),MATCH($A710,CLASSNAMEHEADERS,0))),(INDEX(ALLCLASSDATA,MATCH("UnarmoredLegendary",CLASSFEATUREHEADERS,0),MATCH(($A710 &amp; "Points"),CLASSNAMEHEADERS,0))),(IF("09"=(INDEX(ALLCLASSDATA,MATCH("UnarmoredMaster",CLASSFEATUREHEADERS,0),MATCH($A710,CLASSNAMEHEADERS,0))),(INDEX(ALLCLASSDATA,MATCH("UnarmoredMaster",CLASSFEATUREHEADERS,0),MATCH(($A710 &amp; "Points"),CLASSNAMEHEADERS,0))),(IF("09"=(INDEX(ALLCLASSDATA,MATCH("UnarmoredExpert",CLASSFEATUREHEADERS,0),MATCH($A710,CLASSNAMEHEADERS,0))),(INDEX(ALLCLASSDATA,MATCH("UnarmoredExpert",CLASSFEATUREHEADERS,0),MATCH(($A710 &amp; "Points"),CLASSNAMEHEADERS,0))),(IF("09"=(INDEX(ALLCLASSDATA,MATCH("UnarmoredTrained",CLASSFEATUREHEADERS,0),MATCH($A710,CLASSNAMEHEADERS,0))),(INDEX(ALLCLASSDATA,MATCH("UnarmoredTrained",CLASSFEATUREHEADERS,0),MATCH(($A710 &amp; "Points"),CLASSNAMEHEADERS,0))),"")))))))))}</f>
        <v>UNARMOREDL09</v>
      </c>
      <c r="Q709" s="223"/>
      <c r="R709" s="223" t="str">
        <f t="array" ref="R709:R710">{"UNARMOREDL11";((IF("11"=(INDEX(ALLCLASSDATA,MATCH("UnarmoredLegendary",CLASSFEATUREHEADERS,0),MATCH($A710,CLASSNAMEHEADERS,0))),(INDEX(ALLCLASSDATA,MATCH("UnarmoredLegendary",CLASSFEATUREHEADERS,0),MATCH(($A710 &amp; "Points"),CLASSNAMEHEADERS,0))),(IF("11"=(INDEX(ALLCLASSDATA,MATCH("UnarmoredMaster",CLASSFEATUREHEADERS,0),MATCH($A710,CLASSNAMEHEADERS,0))),(INDEX(ALLCLASSDATA,MATCH("UnarmoredMaster",CLASSFEATUREHEADERS,0),MATCH(($A710 &amp; "Points"),CLASSNAMEHEADERS,0))),(IF("11"=(INDEX(ALLCLASSDATA,MATCH("UnarmoredExpert",CLASSFEATUREHEADERS,0),MATCH($A710,CLASSNAMEHEADERS,0))),(INDEX(ALLCLASSDATA,MATCH("UnarmoredExpert",CLASSFEATUREHEADERS,0),MATCH(($A710 &amp; "Points"),CLASSNAMEHEADERS,0))),(IF("11"=(INDEX(ALLCLASSDATA,MATCH("UnarmoredTrained",CLASSFEATUREHEADERS,0),MATCH($A710,CLASSNAMEHEADERS,0))),(INDEX(ALLCLASSDATA,MATCH("UnarmoredTrained",CLASSFEATUREHEADERS,0),MATCH(($A710 &amp; "Points"),CLASSNAMEHEADERS,0))),"")))))))))}</f>
        <v>UNARMOREDL11</v>
      </c>
      <c r="S709" s="223"/>
      <c r="T709" s="223" t="str">
        <f t="array" ref="T709:T710">{"UNARMOREDL13";((IF("13"=(INDEX(ALLCLASSDATA,MATCH("UnarmoredLegendary",CLASSFEATUREHEADERS,0),MATCH($A710,CLASSNAMEHEADERS,0))),(INDEX(ALLCLASSDATA,MATCH("UnarmoredLegendary",CLASSFEATUREHEADERS,0),MATCH(($A710 &amp; "Points"),CLASSNAMEHEADERS,0))),(IF("13"=(INDEX(ALLCLASSDATA,MATCH("UnarmoredMaster",CLASSFEATUREHEADERS,0),MATCH($A710,CLASSNAMEHEADERS,0))),(INDEX(ALLCLASSDATA,MATCH("UnarmoredMaster",CLASSFEATUREHEADERS,0),MATCH(($A710 &amp; "Points"),CLASSNAMEHEADERS,0))),(IF("13"=(INDEX(ALLCLASSDATA,MATCH("UnarmoredExpert",CLASSFEATUREHEADERS,0),MATCH($A710,CLASSNAMEHEADERS,0))),(INDEX(ALLCLASSDATA,MATCH("UnarmoredExpert",CLASSFEATUREHEADERS,0),MATCH(($A710 &amp; "Points"),CLASSNAMEHEADERS,0))),(IF("13"=(INDEX(ALLCLASSDATA,MATCH("UnarmoredTrained",CLASSFEATUREHEADERS,0),MATCH($A710,CLASSNAMEHEADERS,0))),(INDEX(ALLCLASSDATA,MATCH("UnarmoredTrained",CLASSFEATUREHEADERS,0),MATCH(($A710 &amp; "Points"),CLASSNAMEHEADERS,0))),"")))))))))}</f>
        <v>UNARMOREDL13</v>
      </c>
      <c r="U709" s="223"/>
      <c r="V709" s="223" t="str">
        <f t="array" ref="V709:V710">{"UNARMOREDL15";((IF("15"=(INDEX(ALLCLASSDATA,MATCH("UnarmoredLegendary",CLASSFEATUREHEADERS,0),MATCH($A710,CLASSNAMEHEADERS,0))),(INDEX(ALLCLASSDATA,MATCH("UnarmoredLegendary",CLASSFEATUREHEADERS,0),MATCH(($A710 &amp; "Points"),CLASSNAMEHEADERS,0))),(IF("15"=(INDEX(ALLCLASSDATA,MATCH("UnarmoredMaster",CLASSFEATUREHEADERS,0),MATCH($A710,CLASSNAMEHEADERS,0))),(INDEX(ALLCLASSDATA,MATCH("UnarmoredMaster",CLASSFEATUREHEADERS,0),MATCH(($A710 &amp; "Points"),CLASSNAMEHEADERS,0))),(IF("15"=(INDEX(ALLCLASSDATA,MATCH("UnarmoredExpert",CLASSFEATUREHEADERS,0),MATCH($A710,CLASSNAMEHEADERS,0))),(INDEX(ALLCLASSDATA,MATCH("UnarmoredExpert",CLASSFEATUREHEADERS,0),MATCH(($A710 &amp; "Points"),CLASSNAMEHEADERS,0))),(IF("15"=(INDEX(ALLCLASSDATA,MATCH("UnarmoredTrained",CLASSFEATUREHEADERS,0),MATCH($A710,CLASSNAMEHEADERS,0))),(INDEX(ALLCLASSDATA,MATCH("UnarmoredTrained",CLASSFEATUREHEADERS,0),MATCH(($A710 &amp; "Points"),CLASSNAMEHEADERS,0))),"")))))))))}</f>
        <v>UNARMOREDL15</v>
      </c>
      <c r="W709" s="223"/>
      <c r="X709" s="223" t="str">
        <f t="array" ref="X709:X710">{"UNARMOREDL17";((IF("17"=(INDEX(ALLCLASSDATA,MATCH("UnarmoredLegendary",CLASSFEATUREHEADERS,0),MATCH($A710,CLASSNAMEHEADERS,0))),(INDEX(ALLCLASSDATA,MATCH("UnarmoredLegendary",CLASSFEATUREHEADERS,0),MATCH(($A710 &amp; "Points"),CLASSNAMEHEADERS,0))),(IF("17"=(INDEX(ALLCLASSDATA,MATCH("UnarmoredMaster",CLASSFEATUREHEADERS,0),MATCH($A710,CLASSNAMEHEADERS,0))),(INDEX(ALLCLASSDATA,MATCH("UnarmoredMaster",CLASSFEATUREHEADERS,0),MATCH(($A710 &amp; "Points"),CLASSNAMEHEADERS,0))),(IF("17"=(INDEX(ALLCLASSDATA,MATCH("UnarmoredExpert",CLASSFEATUREHEADERS,0),MATCH($A710,CLASSNAMEHEADERS,0))),(INDEX(ALLCLASSDATA,MATCH("UnarmoredExpert",CLASSFEATUREHEADERS,0),MATCH(($A710 &amp; "Points"),CLASSNAMEHEADERS,0))),(IF("17"=(INDEX(ALLCLASSDATA,MATCH("UnarmoredTrained",CLASSFEATUREHEADERS,0),MATCH($A710,CLASSNAMEHEADERS,0))),(INDEX(ALLCLASSDATA,MATCH("UnarmoredTrained",CLASSFEATUREHEADERS,0),MATCH(($A710 &amp; "Points"),CLASSNAMEHEADERS,0))),"")))))))))}</f>
        <v>UNARMOREDL17</v>
      </c>
      <c r="Y709" s="223"/>
      <c r="Z709" s="223" t="str">
        <f t="array" ref="Z709:Z710">{"UNARMOREDL19";((IF("19"=(INDEX(ALLCLASSDATA,MATCH("UnarmoredLegendary",CLASSFEATUREHEADERS,0),MATCH($A710,CLASSNAMEHEADERS,0))),(INDEX(ALLCLASSDATA,MATCH("UnarmoredLegendary",CLASSFEATUREHEADERS,0),MATCH(($A710 &amp; "Points"),CLASSNAMEHEADERS,0))),(IF("19"=(INDEX(ALLCLASSDATA,MATCH("UnarmoredMaster",CLASSFEATUREHEADERS,0),MATCH($A710,CLASSNAMEHEADERS,0))),(INDEX(ALLCLASSDATA,MATCH("UnarmoredMaster",CLASSFEATUREHEADERS,0),MATCH(($A710 &amp; "Points"),CLASSNAMEHEADERS,0))),(IF("19"=(INDEX(ALLCLASSDATA,MATCH("UnarmoredExpert",CLASSFEATUREHEADERS,0),MATCH($A710,CLASSNAMEHEADERS,0))),(INDEX(ALLCLASSDATA,MATCH("UnarmoredExpert",CLASSFEATUREHEADERS,0),MATCH(($A710 &amp; "Points"),CLASSNAMEHEADERS,0))),(IF("19"=(INDEX(ALLCLASSDATA,MATCH("UnarmoredTrained",CLASSFEATUREHEADERS,0),MATCH($A710,CLASSNAMEHEADERS,0))),(INDEX(ALLCLASSDATA,MATCH("UnarmoredTrained",CLASSFEATUREHEADERS,0),MATCH(($A710 &amp; "Points"),CLASSNAMEHEADERS,0))),"")))))))))}</f>
        <v>UNARMOREDL19</v>
      </c>
      <c r="AA709" s="223"/>
      <c r="AB709" s="76" t="str">
        <f t="array" ref="AB709:AB710">{"UNARMORED TOTAL";(IF(COUNTBLANK(G710:AA710)=17,"L",(IF(COUNTBLANK(G710:AA710)=18,"M",(IF(COUNTBLANK(G710:AA710)=19,"E",(IF(COUNTBLANK(G710:AA710)=20,"T",""))))))))}</f>
        <v>UNARMORED TOTAL</v>
      </c>
      <c r="AC709" s="76" t="str">
        <f t="array" ref="AC709:AC710">{"UNARMORED TOTAL";(sum(G710:AA710))}</f>
        <v>UNARMORED TOTAL</v>
      </c>
    </row>
    <row r="710">
      <c r="A710" s="48" t="s">
        <v>170</v>
      </c>
      <c r="B710" s="48"/>
      <c r="C710" s="48" t="s">
        <v>415</v>
      </c>
      <c r="D710" s="48" t="s">
        <v>1900</v>
      </c>
      <c r="E710" s="48" t="s">
        <v>78</v>
      </c>
      <c r="F710" s="5" t="s">
        <v>435</v>
      </c>
      <c r="G710" s="47" t="s">
        <v>603</v>
      </c>
      <c r="H710" s="5">
        <v>10.0</v>
      </c>
      <c r="I710" s="5"/>
      <c r="J710" s="5" t="s">
        <v>603</v>
      </c>
      <c r="K710" s="5"/>
      <c r="L710" s="5" t="s">
        <v>603</v>
      </c>
      <c r="M710" s="5"/>
      <c r="N710" s="5" t="s">
        <v>603</v>
      </c>
      <c r="O710" s="5"/>
      <c r="P710" s="5" t="s">
        <v>603</v>
      </c>
      <c r="Q710" s="5"/>
      <c r="R710" s="5" t="s">
        <v>436</v>
      </c>
      <c r="S710" s="5"/>
      <c r="T710" s="5" t="s">
        <v>603</v>
      </c>
      <c r="U710" s="5"/>
      <c r="V710" s="5" t="s">
        <v>603</v>
      </c>
      <c r="W710" s="5"/>
      <c r="X710" s="5" t="s">
        <v>603</v>
      </c>
      <c r="Y710" s="5"/>
      <c r="Z710" s="5" t="s">
        <v>437</v>
      </c>
      <c r="AA710" s="5"/>
      <c r="AB710" s="5" t="s">
        <v>437</v>
      </c>
      <c r="AC710" s="47">
        <v>10.0</v>
      </c>
    </row>
    <row r="711" hidden="1">
      <c r="A711" s="222" t="str">
        <f t="array" ref="A711:A712">{"FormulaRow36";(INDEX(CLASSLIST,A640,1))}</f>
        <v>FormulaRow36</v>
      </c>
      <c r="B711" s="77" t="s">
        <v>236</v>
      </c>
      <c r="C711" s="222" t="str">
        <f t="array" ref="C711:C712">{"CLASSTYPE";((INDEX(ALLCLASSDATA,MATCH("ClassType",CLASSFEATUREHEADERS,0),MATCH($A712,CLASSNAMEHEADERS,0))))}</f>
        <v>CLASSTYPE</v>
      </c>
      <c r="D711" s="222" t="str">
        <f t="array" ref="D711:D712">{"DEFENSE";"Defense"}</f>
        <v>DEFENSE</v>
      </c>
      <c r="E711" s="222" t="str">
        <f t="array" ref="E711:E712">{"LIGHT";"Light"}</f>
        <v>LIGHT</v>
      </c>
      <c r="F711" s="223" t="str">
        <f t="array" ref="F711:F712">{"LIGHTINITIAL";((IF(H712=10,"T",(IF(H712=50,"E","")))))}</f>
        <v>LIGHTINITIAL</v>
      </c>
      <c r="G711" s="223" t="str">
        <f t="array" ref="G711:G712">{"LIGHTINITIALPTS";((IF("00"=(INDEX(ALLCLASSDATA,MATCH("LightLegendary",CLASSFEATUREHEADERS,0),MATCH($A712,CLASSNAMEHEADERS,0))),(INDEX(ALLCLASSDATA,MATCH("LightLegendary",CLASSFEATUREHEADERS,0),MATCH(($A712 &amp; "Points"),CLASSNAMEHEADERS,0))),(IF("00"=(INDEX(ALLCLASSDATA,MATCH("LightMaster",CLASSFEATUREHEADERS,0),MATCH($A712,CLASSNAMEHEADERS,0))),(INDEX(ALLCLASSDATA,MATCH("LightMaster",CLASSFEATUREHEADERS,0),MATCH(($A712 &amp; "Points"),CLASSNAMEHEADERS,0))),(IF("00"=(INDEX(ALLCLASSDATA,MATCH("LightExpert",CLASSFEATUREHEADERS,0),MATCH($A712,CLASSNAMEHEADERS,0))),(INDEX(ALLCLASSDATA,MATCH("LightExpert",CLASSFEATUREHEADERS,0),MATCH(($A712 &amp; "Points"),CLASSNAMEHEADERS,0))),(IF("00"=(INDEX(ALLCLASSDATA,MATCH("LightTrained",CLASSFEATUREHEADERS,0),MATCH($A712,CLASSNAMEHEADERS,0))),(INDEX(ALLCLASSDATA,MATCH("LightTrained",CLASSFEATUREHEADERS,0),MATCH(($A712 &amp; "Points"),CLASSNAMEHEADERS,0))),"")))))))))}</f>
        <v>LIGHTINITIALPTS</v>
      </c>
      <c r="H711" s="223" t="str">
        <f t="array" ref="H711:H712">{"LIGHTL01";((IF("01"=(INDEX(ALLCLASSDATA,MATCH("LightLegendary",CLASSFEATUREHEADERS,0),MATCH($A712,CLASSNAMEHEADERS,0))),(INDEX(ALLCLASSDATA,MATCH("LightLegendary",CLASSFEATUREHEADERS,0),MATCH(($A712 &amp; "Points"),CLASSNAMEHEADERS,0))),(IF("01"=(INDEX(ALLCLASSDATA,MATCH("LightMaster",CLASSFEATUREHEADERS,0),MATCH($A712,CLASSNAMEHEADERS,0))),(INDEX(ALLCLASSDATA,MATCH("LightMaster",CLASSFEATUREHEADERS,0),MATCH(($A712 &amp; "Points"),CLASSNAMEHEADERS,0))),(IF("01"=(INDEX(ALLCLASSDATA,MATCH("LightExpert",CLASSFEATUREHEADERS,0),MATCH($A712,CLASSNAMEHEADERS,0))),(INDEX(ALLCLASSDATA,MATCH("LightExpert",CLASSFEATUREHEADERS,0),MATCH(($A712 &amp; "Points"),CLASSNAMEHEADERS,0))),(IF("01"=(INDEX(ALLCLASSDATA,MATCH("LightTrained",CLASSFEATUREHEADERS,0),MATCH($A712,CLASSNAMEHEADERS,0))),(INDEX(ALLCLASSDATA,MATCH("LightTrained",CLASSFEATUREHEADERS,0),MATCH(($A712 &amp; "Points"),CLASSNAMEHEADERS,0))),"")))))))))}</f>
        <v>LIGHTL01</v>
      </c>
      <c r="I711" s="223"/>
      <c r="J711" s="223" t="str">
        <f t="array" ref="J711:J712">{"LIGHTL03";((IF("03"=(INDEX(ALLCLASSDATA,MATCH("LightLegendary",CLASSFEATUREHEADERS,0),MATCH($A712,CLASSNAMEHEADERS,0))),(INDEX(ALLCLASSDATA,MATCH("LightLegendary",CLASSFEATUREHEADERS,0),MATCH(($A712 &amp; "Points"),CLASSNAMEHEADERS,0))),(IF("03"=(INDEX(ALLCLASSDATA,MATCH("LightMaster",CLASSFEATUREHEADERS,0),MATCH($A712,CLASSNAMEHEADERS,0))),(INDEX(ALLCLASSDATA,MATCH("LightMaster",CLASSFEATUREHEADERS,0),MATCH(($A712 &amp; "Points"),CLASSNAMEHEADERS,0))),(IF("03"=(INDEX(ALLCLASSDATA,MATCH("LightExpert",CLASSFEATUREHEADERS,0),MATCH($A712,CLASSNAMEHEADERS,0))),(INDEX(ALLCLASSDATA,MATCH("LightExpert",CLASSFEATUREHEADERS,0),MATCH(($A712 &amp; "Points"),CLASSNAMEHEADERS,0))),(IF("03"=(INDEX(ALLCLASSDATA,MATCH("LightTrained",CLASSFEATUREHEADERS,0),MATCH($A712,CLASSNAMEHEADERS,0))),(INDEX(ALLCLASSDATA,MATCH("LightTrained",CLASSFEATUREHEADERS,0),MATCH(($A712 &amp; "Points"),CLASSNAMEHEADERS,0))),"")))))))))}</f>
        <v>LIGHTL03</v>
      </c>
      <c r="K711" s="223"/>
      <c r="L711" s="223" t="str">
        <f t="array" ref="L711:L712">{"LIGHTL05";((IF("05"=(INDEX(ALLCLASSDATA,MATCH("LightLegendary",CLASSFEATUREHEADERS,0),MATCH($A712,CLASSNAMEHEADERS,0))),(INDEX(ALLCLASSDATA,MATCH("LightLegendary",CLASSFEATUREHEADERS,0),MATCH(($A712 &amp; "Points"),CLASSNAMEHEADERS,0))),(IF("05"=(INDEX(ALLCLASSDATA,MATCH("LightMaster",CLASSFEATUREHEADERS,0),MATCH($A712,CLASSNAMEHEADERS,0))),(INDEX(ALLCLASSDATA,MATCH("LightMaster",CLASSFEATUREHEADERS,0),MATCH(($A712 &amp; "Points"),CLASSNAMEHEADERS,0))),(IF("05"=(INDEX(ALLCLASSDATA,MATCH("LightExpert",CLASSFEATUREHEADERS,0),MATCH($A712,CLASSNAMEHEADERS,0))),(INDEX(ALLCLASSDATA,MATCH("LightExpert",CLASSFEATUREHEADERS,0),MATCH(($A712 &amp; "Points"),CLASSNAMEHEADERS,0))),(IF("05"=(INDEX(ALLCLASSDATA,MATCH("LightTrained",CLASSFEATUREHEADERS,0),MATCH($A712,CLASSNAMEHEADERS,0))),(INDEX(ALLCLASSDATA,MATCH("LightTrained",CLASSFEATUREHEADERS,0),MATCH(($A712 &amp; "Points"),CLASSNAMEHEADERS,0))),"")))))))))}</f>
        <v>LIGHTL05</v>
      </c>
      <c r="M711" s="223"/>
      <c r="N711" s="223" t="str">
        <f t="array" ref="N711:N712">{"LIGHTL07";((IF("07"=(INDEX(ALLCLASSDATA,MATCH("LightLegendary",CLASSFEATUREHEADERS,0),MATCH($A712,CLASSNAMEHEADERS,0))),(INDEX(ALLCLASSDATA,MATCH("LightLegendary",CLASSFEATUREHEADERS,0),MATCH(($A712 &amp; "Points"),CLASSNAMEHEADERS,0))),(IF("07"=(INDEX(ALLCLASSDATA,MATCH("LightMaster",CLASSFEATUREHEADERS,0),MATCH($A712,CLASSNAMEHEADERS,0))),(INDEX(ALLCLASSDATA,MATCH("LightMaster",CLASSFEATUREHEADERS,0),MATCH(($A712 &amp; "Points"),CLASSNAMEHEADERS,0))),(IF("07"=(INDEX(ALLCLASSDATA,MATCH("LightExpert",CLASSFEATUREHEADERS,0),MATCH($A712,CLASSNAMEHEADERS,0))),(INDEX(ALLCLASSDATA,MATCH("LightExpert",CLASSFEATUREHEADERS,0),MATCH(($A712 &amp; "Points"),CLASSNAMEHEADERS,0))),(IF("07"=(INDEX(ALLCLASSDATA,MATCH("LightTrained",CLASSFEATUREHEADERS,0),MATCH($A712,CLASSNAMEHEADERS,0))),(INDEX(ALLCLASSDATA,MATCH("LightTrained",CLASSFEATUREHEADERS,0),MATCH(($A712 &amp; "Points"),CLASSNAMEHEADERS,0))),"")))))))))}</f>
        <v>LIGHTL07</v>
      </c>
      <c r="O711" s="223"/>
      <c r="P711" s="223" t="str">
        <f t="array" ref="P711:P712">{"LIGHTL09";((IF("09"=(INDEX(ALLCLASSDATA,MATCH("LightLegendary",CLASSFEATUREHEADERS,0),MATCH($A712,CLASSNAMEHEADERS,0))),(INDEX(ALLCLASSDATA,MATCH("LightLegendary",CLASSFEATUREHEADERS,0),MATCH(($A712 &amp; "Points"),CLASSNAMEHEADERS,0))),(IF("09"=(INDEX(ALLCLASSDATA,MATCH("LightMaster",CLASSFEATUREHEADERS,0),MATCH($A712,CLASSNAMEHEADERS,0))),(INDEX(ALLCLASSDATA,MATCH("LightMaster",CLASSFEATUREHEADERS,0),MATCH(($A712 &amp; "Points"),CLASSNAMEHEADERS,0))),(IF("09"=(INDEX(ALLCLASSDATA,MATCH("LightExpert",CLASSFEATUREHEADERS,0),MATCH($A712,CLASSNAMEHEADERS,0))),(INDEX(ALLCLASSDATA,MATCH("LightExpert",CLASSFEATUREHEADERS,0),MATCH(($A712 &amp; "Points"),CLASSNAMEHEADERS,0))),(IF("09"=(INDEX(ALLCLASSDATA,MATCH("LightTrained",CLASSFEATUREHEADERS,0),MATCH($A712,CLASSNAMEHEADERS,0))),(INDEX(ALLCLASSDATA,MATCH("LightTrained",CLASSFEATUREHEADERS,0),MATCH(($A712 &amp; "Points"),CLASSNAMEHEADERS,0))),"")))))))))}</f>
        <v>LIGHTL09</v>
      </c>
      <c r="Q711" s="223"/>
      <c r="R711" s="223" t="str">
        <f t="array" ref="R711:R712">{"LIGHTL11";((IF("11"=(INDEX(ALLCLASSDATA,MATCH("LightLegendary",CLASSFEATUREHEADERS,0),MATCH($A712,CLASSNAMEHEADERS,0))),(INDEX(ALLCLASSDATA,MATCH("LightLegendary",CLASSFEATUREHEADERS,0),MATCH(($A712 &amp; "Points"),CLASSNAMEHEADERS,0))),(IF("11"=(INDEX(ALLCLASSDATA,MATCH("LightMaster",CLASSFEATUREHEADERS,0),MATCH($A712,CLASSNAMEHEADERS,0))),(INDEX(ALLCLASSDATA,MATCH("LightMaster",CLASSFEATUREHEADERS,0),MATCH(($A712 &amp; "Points"),CLASSNAMEHEADERS,0))),(IF("11"=(INDEX(ALLCLASSDATA,MATCH("LightExpert",CLASSFEATUREHEADERS,0),MATCH($A712,CLASSNAMEHEADERS,0))),(INDEX(ALLCLASSDATA,MATCH("LightExpert",CLASSFEATUREHEADERS,0),MATCH(($A712 &amp; "Points"),CLASSNAMEHEADERS,0))),(IF("11"=(INDEX(ALLCLASSDATA,MATCH("LightTrained",CLASSFEATUREHEADERS,0),MATCH($A712,CLASSNAMEHEADERS,0))),(INDEX(ALLCLASSDATA,MATCH("LightTrained",CLASSFEATUREHEADERS,0),MATCH(($A712 &amp; "Points"),CLASSNAMEHEADERS,0))),"")))))))))}</f>
        <v>LIGHTL11</v>
      </c>
      <c r="S711" s="223"/>
      <c r="T711" s="223" t="str">
        <f t="array" ref="T711:T712">{"LIGHTL13";((IF("13"=(INDEX(ALLCLASSDATA,MATCH("LightLegendary",CLASSFEATUREHEADERS,0),MATCH($A712,CLASSNAMEHEADERS,0))),(INDEX(ALLCLASSDATA,MATCH("LightLegendary",CLASSFEATUREHEADERS,0),MATCH(($A712 &amp; "Points"),CLASSNAMEHEADERS,0))),(IF("13"=(INDEX(ALLCLASSDATA,MATCH("LightMaster",CLASSFEATUREHEADERS,0),MATCH($A712,CLASSNAMEHEADERS,0))),(INDEX(ALLCLASSDATA,MATCH("LightMaster",CLASSFEATUREHEADERS,0),MATCH(($A712 &amp; "Points"),CLASSNAMEHEADERS,0))),(IF("13"=(INDEX(ALLCLASSDATA,MATCH("LightExpert",CLASSFEATUREHEADERS,0),MATCH($A712,CLASSNAMEHEADERS,0))),(INDEX(ALLCLASSDATA,MATCH("LightExpert",CLASSFEATUREHEADERS,0),MATCH(($A712 &amp; "Points"),CLASSNAMEHEADERS,0))),(IF("13"=(INDEX(ALLCLASSDATA,MATCH("LightTrained",CLASSFEATUREHEADERS,0),MATCH($A712,CLASSNAMEHEADERS,0))),(INDEX(ALLCLASSDATA,MATCH("LightTrained",CLASSFEATUREHEADERS,0),MATCH(($A712 &amp; "Points"),CLASSNAMEHEADERS,0))),"")))))))))}</f>
        <v>LIGHTL13</v>
      </c>
      <c r="U711" s="223"/>
      <c r="V711" s="223" t="str">
        <f t="array" ref="V711:V712">{"LIGHTL15";((IF("15"=(INDEX(ALLCLASSDATA,MATCH("LightLegendary",CLASSFEATUREHEADERS,0),MATCH($A712,CLASSNAMEHEADERS,0))),(INDEX(ALLCLASSDATA,MATCH("LightLegendary",CLASSFEATUREHEADERS,0),MATCH(($A712 &amp; "Points"),CLASSNAMEHEADERS,0))),(IF("15"=(INDEX(ALLCLASSDATA,MATCH("LightMaster",CLASSFEATUREHEADERS,0),MATCH($A712,CLASSNAMEHEADERS,0))),(INDEX(ALLCLASSDATA,MATCH("LightMaster",CLASSFEATUREHEADERS,0),MATCH(($A712 &amp; "Points"),CLASSNAMEHEADERS,0))),(IF("15"=(INDEX(ALLCLASSDATA,MATCH("LightExpert",CLASSFEATUREHEADERS,0),MATCH($A712,CLASSNAMEHEADERS,0))),(INDEX(ALLCLASSDATA,MATCH("LightExpert",CLASSFEATUREHEADERS,0),MATCH(($A712 &amp; "Points"),CLASSNAMEHEADERS,0))),(IF("15"=(INDEX(ALLCLASSDATA,MATCH("LightTrained",CLASSFEATUREHEADERS,0),MATCH($A712,CLASSNAMEHEADERS,0))),(INDEX(ALLCLASSDATA,MATCH("LightTrained",CLASSFEATUREHEADERS,0),MATCH(($A712 &amp; "Points"),CLASSNAMEHEADERS,0))),"")))))))))}</f>
        <v>LIGHTL15</v>
      </c>
      <c r="W711" s="223"/>
      <c r="X711" s="223" t="str">
        <f t="array" ref="X711:X712">{"LIGHTL17";((IF("17"=(INDEX(ALLCLASSDATA,MATCH("LightLegendary",CLASSFEATUREHEADERS,0),MATCH($A712,CLASSNAMEHEADERS,0))),(INDEX(ALLCLASSDATA,MATCH("LightLegendary",CLASSFEATUREHEADERS,0),MATCH(($A712 &amp; "Points"),CLASSNAMEHEADERS,0))),(IF("17"=(INDEX(ALLCLASSDATA,MATCH("LightMaster",CLASSFEATUREHEADERS,0),MATCH($A712,CLASSNAMEHEADERS,0))),(INDEX(ALLCLASSDATA,MATCH("LightMaster",CLASSFEATUREHEADERS,0),MATCH(($A712 &amp; "Points"),CLASSNAMEHEADERS,0))),(IF("17"=(INDEX(ALLCLASSDATA,MATCH("LightExpert",CLASSFEATUREHEADERS,0),MATCH($A712,CLASSNAMEHEADERS,0))),(INDEX(ALLCLASSDATA,MATCH("LightExpert",CLASSFEATUREHEADERS,0),MATCH(($A712 &amp; "Points"),CLASSNAMEHEADERS,0))),(IF("17"=(INDEX(ALLCLASSDATA,MATCH("LightTrained",CLASSFEATUREHEADERS,0),MATCH($A712,CLASSNAMEHEADERS,0))),(INDEX(ALLCLASSDATA,MATCH("LightTrained",CLASSFEATUREHEADERS,0),MATCH(($A712 &amp; "Points"),CLASSNAMEHEADERS,0))),"")))))))))}</f>
        <v>LIGHTL17</v>
      </c>
      <c r="Y711" s="223"/>
      <c r="Z711" s="223" t="str">
        <f t="array" ref="Z711:Z712">{"LIGHTL19";((IF("19"=(INDEX(ALLCLASSDATA,MATCH("LightLegendary",CLASSFEATUREHEADERS,0),MATCH($A712,CLASSNAMEHEADERS,0))),(INDEX(ALLCLASSDATA,MATCH("LightLegendary",CLASSFEATUREHEADERS,0),MATCH(($A712 &amp; "Points"),CLASSNAMEHEADERS,0))),(IF("19"=(INDEX(ALLCLASSDATA,MATCH("LightMaster",CLASSFEATUREHEADERS,0),MATCH($A712,CLASSNAMEHEADERS,0))),(INDEX(ALLCLASSDATA,MATCH("LightMaster",CLASSFEATUREHEADERS,0),MATCH(($A712 &amp; "Points"),CLASSNAMEHEADERS,0))),(IF("19"=(INDEX(ALLCLASSDATA,MATCH("LightExpert",CLASSFEATUREHEADERS,0),MATCH($A712,CLASSNAMEHEADERS,0))),(INDEX(ALLCLASSDATA,MATCH("LightExpert",CLASSFEATUREHEADERS,0),MATCH(($A712 &amp; "Points"),CLASSNAMEHEADERS,0))),(IF("19"=(INDEX(ALLCLASSDATA,MATCH("LightTrained",CLASSFEATUREHEADERS,0),MATCH($A712,CLASSNAMEHEADERS,0))),(INDEX(ALLCLASSDATA,MATCH("LightTrained",CLASSFEATUREHEADERS,0),MATCH(($A712 &amp; "Points"),CLASSNAMEHEADERS,0))),"")))))))))}</f>
        <v>LIGHTL19</v>
      </c>
      <c r="AA711" s="223"/>
      <c r="AB711" s="76" t="str">
        <f t="array" ref="AB711:AB712">{"LIGHT TOTAL";(IF(COUNTBLANK(G712:AA712)=17,"L",(IF(COUNTBLANK(G712:AA712)=18,"M",(IF(COUNTBLANK(G712:AA712)=19,"E",(IF(COUNTBLANK(G712:AA712)=20,"T",""))))))))}</f>
        <v>LIGHT TOTAL</v>
      </c>
      <c r="AC711" s="76" t="str">
        <f t="array" ref="AC711:AC712">{"LIGHT TOTAL";(sum(G712:AA712))}</f>
        <v>LIGHT TOTAL</v>
      </c>
    </row>
    <row r="712">
      <c r="A712" s="48" t="s">
        <v>170</v>
      </c>
      <c r="B712" s="48"/>
      <c r="C712" s="48" t="s">
        <v>415</v>
      </c>
      <c r="D712" s="48" t="s">
        <v>1900</v>
      </c>
      <c r="E712" s="48" t="s">
        <v>77</v>
      </c>
      <c r="F712" s="5" t="s">
        <v>435</v>
      </c>
      <c r="G712" s="47" t="s">
        <v>603</v>
      </c>
      <c r="H712" s="5">
        <v>10.0</v>
      </c>
      <c r="I712" s="5"/>
      <c r="J712" s="5" t="s">
        <v>603</v>
      </c>
      <c r="K712" s="5"/>
      <c r="L712" s="5" t="s">
        <v>603</v>
      </c>
      <c r="M712" s="5"/>
      <c r="N712" s="5" t="s">
        <v>603</v>
      </c>
      <c r="O712" s="5"/>
      <c r="P712" s="5" t="s">
        <v>603</v>
      </c>
      <c r="Q712" s="5"/>
      <c r="R712" s="5" t="s">
        <v>436</v>
      </c>
      <c r="S712" s="5"/>
      <c r="T712" s="5" t="s">
        <v>603</v>
      </c>
      <c r="U712" s="5"/>
      <c r="V712" s="5" t="s">
        <v>603</v>
      </c>
      <c r="W712" s="5"/>
      <c r="X712" s="5" t="s">
        <v>603</v>
      </c>
      <c r="Y712" s="5"/>
      <c r="Z712" s="5" t="s">
        <v>437</v>
      </c>
      <c r="AA712" s="5"/>
      <c r="AB712" s="5" t="s">
        <v>437</v>
      </c>
      <c r="AC712" s="47">
        <v>10.0</v>
      </c>
    </row>
    <row r="713" hidden="1">
      <c r="A713" s="222" t="str">
        <f t="array" ref="A713:A714">{"FormulaRow37";(INDEX(CLASSLIST,A640,1))}</f>
        <v>FormulaRow37</v>
      </c>
      <c r="B713" s="77" t="s">
        <v>236</v>
      </c>
      <c r="C713" s="222" t="str">
        <f t="array" ref="C713:C714">{"CLASSTYPE";((INDEX(ALLCLASSDATA,MATCH("ClassType",CLASSFEATUREHEADERS,0),MATCH($A714,CLASSNAMEHEADERS,0))))}</f>
        <v>CLASSTYPE</v>
      </c>
      <c r="D713" s="222" t="str">
        <f t="array" ref="D713:D714">{"DEFENSE";"Defense"}</f>
        <v>DEFENSE</v>
      </c>
      <c r="E713" s="222" t="str">
        <f t="array" ref="E713:E714">{"MEDIUM";"Medium"}</f>
        <v>MEDIUM</v>
      </c>
      <c r="F713" s="223" t="str">
        <f t="array" ref="F713:F714">{"MEDIUMINITIAL";((IF(H714=10,"T",(IF(H714=50,"E","")))))}</f>
        <v>MEDIUMINITIAL</v>
      </c>
      <c r="G713" s="223" t="str">
        <f t="array" ref="G713:G714">{"MEDIUMINITIALPTS";((IF("00"=(INDEX(ALLCLASSDATA,MATCH("MediumLegendary",CLASSFEATUREHEADERS,0),MATCH($A714,CLASSNAMEHEADERS,0))),(INDEX(ALLCLASSDATA,MATCH("MediumLegendary",CLASSFEATUREHEADERS,0),MATCH(($A714 &amp; "Points"),CLASSNAMEHEADERS,0))),(IF("00"=(INDEX(ALLCLASSDATA,MATCH("MediumMaster",CLASSFEATUREHEADERS,0),MATCH($A714,CLASSNAMEHEADERS,0))),(INDEX(ALLCLASSDATA,MATCH("MediumMaster",CLASSFEATUREHEADERS,0),MATCH(($A714 &amp; "Points"),CLASSNAMEHEADERS,0))),(IF("00"=(INDEX(ALLCLASSDATA,MATCH("MediumExpert",CLASSFEATUREHEADERS,0),MATCH($A714,CLASSNAMEHEADERS,0))),(INDEX(ALLCLASSDATA,MATCH("MediumExpert",CLASSFEATUREHEADERS,0),MATCH(($A714 &amp; "Points"),CLASSNAMEHEADERS,0))),(IF("00"=(INDEX(ALLCLASSDATA,MATCH("MediumTrained",CLASSFEATUREHEADERS,0),MATCH($A714,CLASSNAMEHEADERS,0))),(INDEX(ALLCLASSDATA,MATCH("MediumTrained",CLASSFEATUREHEADERS,0),MATCH(($A714 &amp; "Points"),CLASSNAMEHEADERS,0))),"")))))))))}</f>
        <v>MEDIUMINITIALPTS</v>
      </c>
      <c r="H713" s="223" t="str">
        <f t="array" ref="H713:H714">{"MEDIUML01";((IF("01"=(INDEX(ALLCLASSDATA,MATCH("MediumLegendary",CLASSFEATUREHEADERS,0),MATCH($A714,CLASSNAMEHEADERS,0))),(INDEX(ALLCLASSDATA,MATCH("MediumLegendary",CLASSFEATUREHEADERS,0),MATCH(($A714 &amp; "Points"),CLASSNAMEHEADERS,0))),(IF("01"=(INDEX(ALLCLASSDATA,MATCH("MediumMaster",CLASSFEATUREHEADERS,0),MATCH($A714,CLASSNAMEHEADERS,0))),(INDEX(ALLCLASSDATA,MATCH("MediumMaster",CLASSFEATUREHEADERS,0),MATCH(($A714 &amp; "Points"),CLASSNAMEHEADERS,0))),(IF("01"=(INDEX(ALLCLASSDATA,MATCH("MediumExpert",CLASSFEATUREHEADERS,0),MATCH($A714,CLASSNAMEHEADERS,0))),(INDEX(ALLCLASSDATA,MATCH("MediumExpert",CLASSFEATUREHEADERS,0),MATCH(($A714 &amp; "Points"),CLASSNAMEHEADERS,0))),(IF("01"=(INDEX(ALLCLASSDATA,MATCH("MediumTrained",CLASSFEATUREHEADERS,0),MATCH($A714,CLASSNAMEHEADERS,0))),(INDEX(ALLCLASSDATA,MATCH("MediumTrained",CLASSFEATUREHEADERS,0),MATCH(($A714 &amp; "Points"),CLASSNAMEHEADERS,0))),"")))))))))}</f>
        <v>MEDIUML01</v>
      </c>
      <c r="I713" s="223"/>
      <c r="J713" s="223" t="str">
        <f t="array" ref="J713:J714">{"MEDIUML03";((IF("03"=(INDEX(ALLCLASSDATA,MATCH("MediumLegendary",CLASSFEATUREHEADERS,0),MATCH($A714,CLASSNAMEHEADERS,0))),(INDEX(ALLCLASSDATA,MATCH("MediumLegendary",CLASSFEATUREHEADERS,0),MATCH(($A714 &amp; "Points"),CLASSNAMEHEADERS,0))),(IF("03"=(INDEX(ALLCLASSDATA,MATCH("MediumMaster",CLASSFEATUREHEADERS,0),MATCH($A714,CLASSNAMEHEADERS,0))),(INDEX(ALLCLASSDATA,MATCH("MediumMaster",CLASSFEATUREHEADERS,0),MATCH(($A714 &amp; "Points"),CLASSNAMEHEADERS,0))),(IF("03"=(INDEX(ALLCLASSDATA,MATCH("MediumExpert",CLASSFEATUREHEADERS,0),MATCH($A714,CLASSNAMEHEADERS,0))),(INDEX(ALLCLASSDATA,MATCH("MediumExpert",CLASSFEATUREHEADERS,0),MATCH(($A714 &amp; "Points"),CLASSNAMEHEADERS,0))),(IF("03"=(INDEX(ALLCLASSDATA,MATCH("MediumTrained",CLASSFEATUREHEADERS,0),MATCH($A714,CLASSNAMEHEADERS,0))),(INDEX(ALLCLASSDATA,MATCH("MediumTrained",CLASSFEATUREHEADERS,0),MATCH(($A714 &amp; "Points"),CLASSNAMEHEADERS,0))),"")))))))))}</f>
        <v>MEDIUML03</v>
      </c>
      <c r="K713" s="223"/>
      <c r="L713" s="223" t="str">
        <f t="array" ref="L713:L714">{"MEDIUML05";((IF("05"=(INDEX(ALLCLASSDATA,MATCH("MediumLegendary",CLASSFEATUREHEADERS,0),MATCH($A714,CLASSNAMEHEADERS,0))),(INDEX(ALLCLASSDATA,MATCH("MediumLegendary",CLASSFEATUREHEADERS,0),MATCH(($A714 &amp; "Points"),CLASSNAMEHEADERS,0))),(IF("05"=(INDEX(ALLCLASSDATA,MATCH("MediumMaster",CLASSFEATUREHEADERS,0),MATCH($A714,CLASSNAMEHEADERS,0))),(INDEX(ALLCLASSDATA,MATCH("MediumMaster",CLASSFEATUREHEADERS,0),MATCH(($A714 &amp; "Points"),CLASSNAMEHEADERS,0))),(IF("05"=(INDEX(ALLCLASSDATA,MATCH("MediumExpert",CLASSFEATUREHEADERS,0),MATCH($A714,CLASSNAMEHEADERS,0))),(INDEX(ALLCLASSDATA,MATCH("MediumExpert",CLASSFEATUREHEADERS,0),MATCH(($A714 &amp; "Points"),CLASSNAMEHEADERS,0))),(IF("05"=(INDEX(ALLCLASSDATA,MATCH("MediumTrained",CLASSFEATUREHEADERS,0),MATCH($A714,CLASSNAMEHEADERS,0))),(INDEX(ALLCLASSDATA,MATCH("MediumTrained",CLASSFEATUREHEADERS,0),MATCH(($A714 &amp; "Points"),CLASSNAMEHEADERS,0))),"")))))))))}</f>
        <v>MEDIUML05</v>
      </c>
      <c r="M713" s="223"/>
      <c r="N713" s="223" t="str">
        <f t="array" ref="N713:N714">{"MEDIUML07";((IF("07"=(INDEX(ALLCLASSDATA,MATCH("MediumLegendary",CLASSFEATUREHEADERS,0),MATCH($A714,CLASSNAMEHEADERS,0))),(INDEX(ALLCLASSDATA,MATCH("MediumLegendary",CLASSFEATUREHEADERS,0),MATCH(($A714 &amp; "Points"),CLASSNAMEHEADERS,0))),(IF("07"=(INDEX(ALLCLASSDATA,MATCH("MediumMaster",CLASSFEATUREHEADERS,0),MATCH($A714,CLASSNAMEHEADERS,0))),(INDEX(ALLCLASSDATA,MATCH("MediumMaster",CLASSFEATUREHEADERS,0),MATCH(($A714 &amp; "Points"),CLASSNAMEHEADERS,0))),(IF("07"=(INDEX(ALLCLASSDATA,MATCH("MediumExpert",CLASSFEATUREHEADERS,0),MATCH($A714,CLASSNAMEHEADERS,0))),(INDEX(ALLCLASSDATA,MATCH("MediumExpert",CLASSFEATUREHEADERS,0),MATCH(($A714 &amp; "Points"),CLASSNAMEHEADERS,0))),(IF("07"=(INDEX(ALLCLASSDATA,MATCH("MediumTrained",CLASSFEATUREHEADERS,0),MATCH($A714,CLASSNAMEHEADERS,0))),(INDEX(ALLCLASSDATA,MATCH("MediumTrained",CLASSFEATUREHEADERS,0),MATCH(($A714 &amp; "Points"),CLASSNAMEHEADERS,0))),"")))))))))}</f>
        <v>MEDIUML07</v>
      </c>
      <c r="O713" s="223"/>
      <c r="P713" s="223" t="str">
        <f t="array" ref="P713:P714">{"MEDIUML09";((IF("09"=(INDEX(ALLCLASSDATA,MATCH("MediumLegendary",CLASSFEATUREHEADERS,0),MATCH($A714,CLASSNAMEHEADERS,0))),(INDEX(ALLCLASSDATA,MATCH("MediumLegendary",CLASSFEATUREHEADERS,0),MATCH(($A714 &amp; "Points"),CLASSNAMEHEADERS,0))),(IF("09"=(INDEX(ALLCLASSDATA,MATCH("MediumMaster",CLASSFEATUREHEADERS,0),MATCH($A714,CLASSNAMEHEADERS,0))),(INDEX(ALLCLASSDATA,MATCH("MediumMaster",CLASSFEATUREHEADERS,0),MATCH(($A714 &amp; "Points"),CLASSNAMEHEADERS,0))),(IF("09"=(INDEX(ALLCLASSDATA,MATCH("MediumExpert",CLASSFEATUREHEADERS,0),MATCH($A714,CLASSNAMEHEADERS,0))),(INDEX(ALLCLASSDATA,MATCH("MediumExpert",CLASSFEATUREHEADERS,0),MATCH(($A714 &amp; "Points"),CLASSNAMEHEADERS,0))),(IF("09"=(INDEX(ALLCLASSDATA,MATCH("MediumTrained",CLASSFEATUREHEADERS,0),MATCH($A714,CLASSNAMEHEADERS,0))),(INDEX(ALLCLASSDATA,MATCH("MediumTrained",CLASSFEATUREHEADERS,0),MATCH(($A714 &amp; "Points"),CLASSNAMEHEADERS,0))),"")))))))))}</f>
        <v>MEDIUML09</v>
      </c>
      <c r="Q713" s="223"/>
      <c r="R713" s="223" t="str">
        <f t="array" ref="R713:R714">{"MEDIUML11";((IF("11"=(INDEX(ALLCLASSDATA,MATCH("MediumLegendary",CLASSFEATUREHEADERS,0),MATCH($A714,CLASSNAMEHEADERS,0))),(INDEX(ALLCLASSDATA,MATCH("MediumLegendary",CLASSFEATUREHEADERS,0),MATCH(($A714 &amp; "Points"),CLASSNAMEHEADERS,0))),(IF("11"=(INDEX(ALLCLASSDATA,MATCH("MediumMaster",CLASSFEATUREHEADERS,0),MATCH($A714,CLASSNAMEHEADERS,0))),(INDEX(ALLCLASSDATA,MATCH("MediumMaster",CLASSFEATUREHEADERS,0),MATCH(($A714 &amp; "Points"),CLASSNAMEHEADERS,0))),(IF("11"=(INDEX(ALLCLASSDATA,MATCH("MediumExpert",CLASSFEATUREHEADERS,0),MATCH($A714,CLASSNAMEHEADERS,0))),(INDEX(ALLCLASSDATA,MATCH("MediumExpert",CLASSFEATUREHEADERS,0),MATCH(($A714 &amp; "Points"),CLASSNAMEHEADERS,0))),(IF("11"=(INDEX(ALLCLASSDATA,MATCH("MediumTrained",CLASSFEATUREHEADERS,0),MATCH($A714,CLASSNAMEHEADERS,0))),(INDEX(ALLCLASSDATA,MATCH("MediumTrained",CLASSFEATUREHEADERS,0),MATCH(($A714 &amp; "Points"),CLASSNAMEHEADERS,0))),"")))))))))}</f>
        <v>MEDIUML11</v>
      </c>
      <c r="S713" s="223"/>
      <c r="T713" s="223" t="str">
        <f t="array" ref="T713:T714">{"MEDIUML13";((IF("13"=(INDEX(ALLCLASSDATA,MATCH("MediumLegendary",CLASSFEATUREHEADERS,0),MATCH($A714,CLASSNAMEHEADERS,0))),(INDEX(ALLCLASSDATA,MATCH("MediumLegendary",CLASSFEATUREHEADERS,0),MATCH(($A714 &amp; "Points"),CLASSNAMEHEADERS,0))),(IF("13"=(INDEX(ALLCLASSDATA,MATCH("MediumMaster",CLASSFEATUREHEADERS,0),MATCH($A714,CLASSNAMEHEADERS,0))),(INDEX(ALLCLASSDATA,MATCH("MediumMaster",CLASSFEATUREHEADERS,0),MATCH(($A714 &amp; "Points"),CLASSNAMEHEADERS,0))),(IF("13"=(INDEX(ALLCLASSDATA,MATCH("MediumExpert",CLASSFEATUREHEADERS,0),MATCH($A714,CLASSNAMEHEADERS,0))),(INDEX(ALLCLASSDATA,MATCH("MediumExpert",CLASSFEATUREHEADERS,0),MATCH(($A714 &amp; "Points"),CLASSNAMEHEADERS,0))),(IF("13"=(INDEX(ALLCLASSDATA,MATCH("MediumTrained",CLASSFEATUREHEADERS,0),MATCH($A714,CLASSNAMEHEADERS,0))),(INDEX(ALLCLASSDATA,MATCH("MediumTrained",CLASSFEATUREHEADERS,0),MATCH(($A714 &amp; "Points"),CLASSNAMEHEADERS,0))),"")))))))))}</f>
        <v>MEDIUML13</v>
      </c>
      <c r="U713" s="223"/>
      <c r="V713" s="223" t="str">
        <f t="array" ref="V713:V714">{"MEDIUML15";((IF("15"=(INDEX(ALLCLASSDATA,MATCH("MediumLegendary",CLASSFEATUREHEADERS,0),MATCH($A714,CLASSNAMEHEADERS,0))),(INDEX(ALLCLASSDATA,MATCH("MediumLegendary",CLASSFEATUREHEADERS,0),MATCH(($A714 &amp; "Points"),CLASSNAMEHEADERS,0))),(IF("15"=(INDEX(ALLCLASSDATA,MATCH("MediumMaster",CLASSFEATUREHEADERS,0),MATCH($A714,CLASSNAMEHEADERS,0))),(INDEX(ALLCLASSDATA,MATCH("MediumMaster",CLASSFEATUREHEADERS,0),MATCH(($A714 &amp; "Points"),CLASSNAMEHEADERS,0))),(IF("15"=(INDEX(ALLCLASSDATA,MATCH("MediumExpert",CLASSFEATUREHEADERS,0),MATCH($A714,CLASSNAMEHEADERS,0))),(INDEX(ALLCLASSDATA,MATCH("MediumExpert",CLASSFEATUREHEADERS,0),MATCH(($A714 &amp; "Points"),CLASSNAMEHEADERS,0))),(IF("15"=(INDEX(ALLCLASSDATA,MATCH("MediumTrained",CLASSFEATUREHEADERS,0),MATCH($A714,CLASSNAMEHEADERS,0))),(INDEX(ALLCLASSDATA,MATCH("MediumTrained",CLASSFEATUREHEADERS,0),MATCH(($A714 &amp; "Points"),CLASSNAMEHEADERS,0))),"")))))))))}</f>
        <v>MEDIUML15</v>
      </c>
      <c r="W713" s="223"/>
      <c r="X713" s="223" t="str">
        <f t="array" ref="X713:X714">{"MEDIUML17";((IF("17"=(INDEX(ALLCLASSDATA,MATCH("MediumLegendary",CLASSFEATUREHEADERS,0),MATCH($A714,CLASSNAMEHEADERS,0))),(INDEX(ALLCLASSDATA,MATCH("MediumLegendary",CLASSFEATUREHEADERS,0),MATCH(($A714 &amp; "Points"),CLASSNAMEHEADERS,0))),(IF("17"=(INDEX(ALLCLASSDATA,MATCH("MediumMaster",CLASSFEATUREHEADERS,0),MATCH($A714,CLASSNAMEHEADERS,0))),(INDEX(ALLCLASSDATA,MATCH("MediumMaster",CLASSFEATUREHEADERS,0),MATCH(($A714 &amp; "Points"),CLASSNAMEHEADERS,0))),(IF("17"=(INDEX(ALLCLASSDATA,MATCH("MediumExpert",CLASSFEATUREHEADERS,0),MATCH($A714,CLASSNAMEHEADERS,0))),(INDEX(ALLCLASSDATA,MATCH("MediumExpert",CLASSFEATUREHEADERS,0),MATCH(($A714 &amp; "Points"),CLASSNAMEHEADERS,0))),(IF("17"=(INDEX(ALLCLASSDATA,MATCH("MediumTrained",CLASSFEATUREHEADERS,0),MATCH($A714,CLASSNAMEHEADERS,0))),(INDEX(ALLCLASSDATA,MATCH("MediumTrained",CLASSFEATUREHEADERS,0),MATCH(($A714 &amp; "Points"),CLASSNAMEHEADERS,0))),"")))))))))}</f>
        <v>MEDIUML17</v>
      </c>
      <c r="Y713" s="223"/>
      <c r="Z713" s="223" t="str">
        <f t="array" ref="Z713:Z714">{"MEDIUML19";((IF("19"=(INDEX(ALLCLASSDATA,MATCH("MediumLegendary",CLASSFEATUREHEADERS,0),MATCH($A714,CLASSNAMEHEADERS,0))),(INDEX(ALLCLASSDATA,MATCH("MediumLegendary",CLASSFEATUREHEADERS,0),MATCH(($A714 &amp; "Points"),CLASSNAMEHEADERS,0))),(IF("19"=(INDEX(ALLCLASSDATA,MATCH("MediumMaster",CLASSFEATUREHEADERS,0),MATCH($A714,CLASSNAMEHEADERS,0))),(INDEX(ALLCLASSDATA,MATCH("MediumMaster",CLASSFEATUREHEADERS,0),MATCH(($A714 &amp; "Points"),CLASSNAMEHEADERS,0))),(IF("19"=(INDEX(ALLCLASSDATA,MATCH("MediumExpert",CLASSFEATUREHEADERS,0),MATCH($A714,CLASSNAMEHEADERS,0))),(INDEX(ALLCLASSDATA,MATCH("MediumExpert",CLASSFEATUREHEADERS,0),MATCH(($A714 &amp; "Points"),CLASSNAMEHEADERS,0))),(IF("19"=(INDEX(ALLCLASSDATA,MATCH("MediumTrained",CLASSFEATUREHEADERS,0),MATCH($A714,CLASSNAMEHEADERS,0))),(INDEX(ALLCLASSDATA,MATCH("MediumTrained",CLASSFEATUREHEADERS,0),MATCH(($A714 &amp; "Points"),CLASSNAMEHEADERS,0))),"")))))))))}</f>
        <v>MEDIUML19</v>
      </c>
      <c r="AA713" s="223"/>
      <c r="AB713" s="76" t="str">
        <f t="array" ref="AB713:AB714">{"MEDIUM TOTAL";(IF(COUNTBLANK(G714:AA714)=17,"L",(IF(COUNTBLANK(G714:AA714)=18,"M",(IF(COUNTBLANK(G714:AA714)=19,"E",(IF(COUNTBLANK(G714:AA714)=20,"T",""))))))))}</f>
        <v>MEDIUM TOTAL</v>
      </c>
      <c r="AC713" s="76" t="str">
        <f t="array" ref="AC713:AC714">{"MEDIUM TOTAL";(sum(G714:AA714))}</f>
        <v>MEDIUM TOTAL</v>
      </c>
    </row>
    <row r="714">
      <c r="A714" s="48" t="s">
        <v>170</v>
      </c>
      <c r="B714" s="48"/>
      <c r="C714" s="48" t="s">
        <v>415</v>
      </c>
      <c r="D714" s="48" t="s">
        <v>1900</v>
      </c>
      <c r="E714" s="48" t="s">
        <v>76</v>
      </c>
      <c r="F714" s="5" t="s">
        <v>435</v>
      </c>
      <c r="G714" s="47" t="s">
        <v>603</v>
      </c>
      <c r="H714" s="5">
        <v>10.0</v>
      </c>
      <c r="I714" s="5"/>
      <c r="J714" s="5" t="s">
        <v>603</v>
      </c>
      <c r="K714" s="5"/>
      <c r="L714" s="5" t="s">
        <v>603</v>
      </c>
      <c r="M714" s="5"/>
      <c r="N714" s="5" t="s">
        <v>603</v>
      </c>
      <c r="O714" s="5"/>
      <c r="P714" s="5" t="s">
        <v>603</v>
      </c>
      <c r="Q714" s="5"/>
      <c r="R714" s="5">
        <v>50.0</v>
      </c>
      <c r="S714" s="5"/>
      <c r="T714" s="5" t="s">
        <v>603</v>
      </c>
      <c r="U714" s="5"/>
      <c r="V714" s="5" t="s">
        <v>603</v>
      </c>
      <c r="W714" s="5"/>
      <c r="X714" s="5" t="s">
        <v>603</v>
      </c>
      <c r="Y714" s="5"/>
      <c r="Z714" s="5">
        <v>110.0</v>
      </c>
      <c r="AA714" s="5"/>
      <c r="AB714" s="5" t="s">
        <v>437</v>
      </c>
      <c r="AC714" s="47">
        <v>170.0</v>
      </c>
    </row>
    <row r="715" hidden="1">
      <c r="A715" s="222" t="str">
        <f t="array" ref="A715:A716">{"FormulaRow38";(INDEX(CLASSLIST,A640,1))}</f>
        <v>FormulaRow38</v>
      </c>
      <c r="B715" s="77" t="s">
        <v>236</v>
      </c>
      <c r="C715" s="222" t="str">
        <f t="array" ref="C715:C716">{"CLASSTYPE";((INDEX(ALLCLASSDATA,MATCH("ClassType",CLASSFEATUREHEADERS,0),MATCH($A716,CLASSNAMEHEADERS,0))))}</f>
        <v>CLASSTYPE</v>
      </c>
      <c r="D715" s="222" t="str">
        <f t="array" ref="D715:D716">{"DEFENSE";"Defense"}</f>
        <v>DEFENSE</v>
      </c>
      <c r="E715" s="222" t="str">
        <f t="array" ref="E715:E716">{"HEAVY";"Heavy"}</f>
        <v>HEAVY</v>
      </c>
      <c r="F715" s="223" t="str">
        <f t="array" ref="F715:F716">{"HEAVYINITIAL";((IF(H716=10,"T",(IF(H716=50,"E","")))))}</f>
        <v>HEAVYINITIAL</v>
      </c>
      <c r="G715" s="223" t="str">
        <f t="array" ref="G715:G716">{"HEAVYINITIALPTS";((IF("00"=(INDEX(ALLCLASSDATA,MATCH("HeavyLegendary",CLASSFEATUREHEADERS,0),MATCH($A716,CLASSNAMEHEADERS,0))),(INDEX(ALLCLASSDATA,MATCH("HeavyLegendary",CLASSFEATUREHEADERS,0),MATCH(($A716 &amp; "Points"),CLASSNAMEHEADERS,0))),(IF("00"=(INDEX(ALLCLASSDATA,MATCH("HeavyMaster",CLASSFEATUREHEADERS,0),MATCH($A716,CLASSNAMEHEADERS,0))),(INDEX(ALLCLASSDATA,MATCH("HeavyMaster",CLASSFEATUREHEADERS,0),MATCH(($A716 &amp; "Points"),CLASSNAMEHEADERS,0))),(IF("00"=(INDEX(ALLCLASSDATA,MATCH("HeavyExpert",CLASSFEATUREHEADERS,0),MATCH($A716,CLASSNAMEHEADERS,0))),(INDEX(ALLCLASSDATA,MATCH("HeavyExpert",CLASSFEATUREHEADERS,0),MATCH(($A716 &amp; "Points"),CLASSNAMEHEADERS,0))),(IF("00"=(INDEX(ALLCLASSDATA,MATCH("HeavyTrained",CLASSFEATUREHEADERS,0),MATCH($A716,CLASSNAMEHEADERS,0))),(INDEX(ALLCLASSDATA,MATCH("HeavyTrained",CLASSFEATUREHEADERS,0),MATCH(($A716 &amp; "Points"),CLASSNAMEHEADERS,0))),"")))))))))}</f>
        <v>HEAVYINITIALPTS</v>
      </c>
      <c r="H715" s="223" t="str">
        <f t="array" ref="H715:H716">{"HEAVYL01";((IF("01"=(INDEX(ALLCLASSDATA,MATCH("HeavyLegendary",CLASSFEATUREHEADERS,0),MATCH($A716,CLASSNAMEHEADERS,0))),(INDEX(ALLCLASSDATA,MATCH("HeavyLegendary",CLASSFEATUREHEADERS,0),MATCH(($A716 &amp; "Points"),CLASSNAMEHEADERS,0))),(IF("01"=(INDEX(ALLCLASSDATA,MATCH("HeavyMaster",CLASSFEATUREHEADERS,0),MATCH($A716,CLASSNAMEHEADERS,0))),(INDEX(ALLCLASSDATA,MATCH("HeavyMaster",CLASSFEATUREHEADERS,0),MATCH(($A716 &amp; "Points"),CLASSNAMEHEADERS,0))),(IF("01"=(INDEX(ALLCLASSDATA,MATCH("HeavyExpert",CLASSFEATUREHEADERS,0),MATCH($A716,CLASSNAMEHEADERS,0))),(INDEX(ALLCLASSDATA,MATCH("HeavyExpert",CLASSFEATUREHEADERS,0),MATCH(($A716 &amp; "Points"),CLASSNAMEHEADERS,0))),(IF("01"=(INDEX(ALLCLASSDATA,MATCH("HeavyTrained",CLASSFEATUREHEADERS,0),MATCH($A716,CLASSNAMEHEADERS,0))),(INDEX(ALLCLASSDATA,MATCH("HeavyTrained",CLASSFEATUREHEADERS,0),MATCH(($A716 &amp; "Points"),CLASSNAMEHEADERS,0))),"")))))))))}</f>
        <v>HEAVYL01</v>
      </c>
      <c r="I715" s="223"/>
      <c r="J715" s="223" t="str">
        <f t="array" ref="J715:J716">{"HEAVYL03";((IF("03"=(INDEX(ALLCLASSDATA,MATCH("HeavyLegendary",CLASSFEATUREHEADERS,0),MATCH($A716,CLASSNAMEHEADERS,0))),(INDEX(ALLCLASSDATA,MATCH("HeavyLegendary",CLASSFEATUREHEADERS,0),MATCH(($A716 &amp; "Points"),CLASSNAMEHEADERS,0))),(IF("03"=(INDEX(ALLCLASSDATA,MATCH("HeavyMaster",CLASSFEATUREHEADERS,0),MATCH($A716,CLASSNAMEHEADERS,0))),(INDEX(ALLCLASSDATA,MATCH("HeavyMaster",CLASSFEATUREHEADERS,0),MATCH(($A716 &amp; "Points"),CLASSNAMEHEADERS,0))),(IF("03"=(INDEX(ALLCLASSDATA,MATCH("HeavyExpert",CLASSFEATUREHEADERS,0),MATCH($A716,CLASSNAMEHEADERS,0))),(INDEX(ALLCLASSDATA,MATCH("HeavyExpert",CLASSFEATUREHEADERS,0),MATCH(($A716 &amp; "Points"),CLASSNAMEHEADERS,0))),(IF("03"=(INDEX(ALLCLASSDATA,MATCH("HeavyTrained",CLASSFEATUREHEADERS,0),MATCH($A716,CLASSNAMEHEADERS,0))),(INDEX(ALLCLASSDATA,MATCH("HeavyTrained",CLASSFEATUREHEADERS,0),MATCH(($A716 &amp; "Points"),CLASSNAMEHEADERS,0))),"")))))))))}</f>
        <v>HEAVYL03</v>
      </c>
      <c r="K715" s="223"/>
      <c r="L715" s="223" t="str">
        <f t="array" ref="L715:L716">{"HEAVYL05";((IF("05"=(INDEX(ALLCLASSDATA,MATCH("HeavyLegendary",CLASSFEATUREHEADERS,0),MATCH($A716,CLASSNAMEHEADERS,0))),(INDEX(ALLCLASSDATA,MATCH("HeavyLegendary",CLASSFEATUREHEADERS,0),MATCH(($A716 &amp; "Points"),CLASSNAMEHEADERS,0))),(IF("05"=(INDEX(ALLCLASSDATA,MATCH("HeavyMaster",CLASSFEATUREHEADERS,0),MATCH($A716,CLASSNAMEHEADERS,0))),(INDEX(ALLCLASSDATA,MATCH("HeavyMaster",CLASSFEATUREHEADERS,0),MATCH(($A716 &amp; "Points"),CLASSNAMEHEADERS,0))),(IF("05"=(INDEX(ALLCLASSDATA,MATCH("HeavyExpert",CLASSFEATUREHEADERS,0),MATCH($A716,CLASSNAMEHEADERS,0))),(INDEX(ALLCLASSDATA,MATCH("HeavyExpert",CLASSFEATUREHEADERS,0),MATCH(($A716 &amp; "Points"),CLASSNAMEHEADERS,0))),(IF("05"=(INDEX(ALLCLASSDATA,MATCH("HeavyTrained",CLASSFEATUREHEADERS,0),MATCH($A716,CLASSNAMEHEADERS,0))),(INDEX(ALLCLASSDATA,MATCH("HeavyTrained",CLASSFEATUREHEADERS,0),MATCH(($A716 &amp; "Points"),CLASSNAMEHEADERS,0))),"")))))))))}</f>
        <v>HEAVYL05</v>
      </c>
      <c r="M715" s="223"/>
      <c r="N715" s="223" t="str">
        <f t="array" ref="N715:N716">{"HEAVYL07";((IF("07"=(INDEX(ALLCLASSDATA,MATCH("HeavyLegendary",CLASSFEATUREHEADERS,0),MATCH($A716,CLASSNAMEHEADERS,0))),(INDEX(ALLCLASSDATA,MATCH("HeavyLegendary",CLASSFEATUREHEADERS,0),MATCH(($A716 &amp; "Points"),CLASSNAMEHEADERS,0))),(IF("07"=(INDEX(ALLCLASSDATA,MATCH("HeavyMaster",CLASSFEATUREHEADERS,0),MATCH($A716,CLASSNAMEHEADERS,0))),(INDEX(ALLCLASSDATA,MATCH("HeavyMaster",CLASSFEATUREHEADERS,0),MATCH(($A716 &amp; "Points"),CLASSNAMEHEADERS,0))),(IF("07"=(INDEX(ALLCLASSDATA,MATCH("HeavyExpert",CLASSFEATUREHEADERS,0),MATCH($A716,CLASSNAMEHEADERS,0))),(INDEX(ALLCLASSDATA,MATCH("HeavyExpert",CLASSFEATUREHEADERS,0),MATCH(($A716 &amp; "Points"),CLASSNAMEHEADERS,0))),(IF("07"=(INDEX(ALLCLASSDATA,MATCH("HeavyTrained",CLASSFEATUREHEADERS,0),MATCH($A716,CLASSNAMEHEADERS,0))),(INDEX(ALLCLASSDATA,MATCH("HeavyTrained",CLASSFEATUREHEADERS,0),MATCH(($A716 &amp; "Points"),CLASSNAMEHEADERS,0))),"")))))))))}</f>
        <v>HEAVYL07</v>
      </c>
      <c r="O715" s="223"/>
      <c r="P715" s="223" t="str">
        <f t="array" ref="P715:P716">{"HEAVYL09";((IF("09"=(INDEX(ALLCLASSDATA,MATCH("HeavyLegendary",CLASSFEATUREHEADERS,0),MATCH($A716,CLASSNAMEHEADERS,0))),(INDEX(ALLCLASSDATA,MATCH("HeavyLegendary",CLASSFEATUREHEADERS,0),MATCH(($A716 &amp; "Points"),CLASSNAMEHEADERS,0))),(IF("09"=(INDEX(ALLCLASSDATA,MATCH("HeavyMaster",CLASSFEATUREHEADERS,0),MATCH($A716,CLASSNAMEHEADERS,0))),(INDEX(ALLCLASSDATA,MATCH("HeavyMaster",CLASSFEATUREHEADERS,0),MATCH(($A716 &amp; "Points"),CLASSNAMEHEADERS,0))),(IF("09"=(INDEX(ALLCLASSDATA,MATCH("HeavyExpert",CLASSFEATUREHEADERS,0),MATCH($A716,CLASSNAMEHEADERS,0))),(INDEX(ALLCLASSDATA,MATCH("HeavyExpert",CLASSFEATUREHEADERS,0),MATCH(($A716 &amp; "Points"),CLASSNAMEHEADERS,0))),(IF("09"=(INDEX(ALLCLASSDATA,MATCH("HeavyTrained",CLASSFEATUREHEADERS,0),MATCH($A716,CLASSNAMEHEADERS,0))),(INDEX(ALLCLASSDATA,MATCH("HeavyTrained",CLASSFEATUREHEADERS,0),MATCH(($A716 &amp; "Points"),CLASSNAMEHEADERS,0))),"")))))))))}</f>
        <v>HEAVYL09</v>
      </c>
      <c r="Q715" s="223"/>
      <c r="R715" s="223" t="str">
        <f t="array" ref="R715:R716">{"HEAVYL11";((IF("11"=(INDEX(ALLCLASSDATA,MATCH("HeavyLegendary",CLASSFEATUREHEADERS,0),MATCH($A716,CLASSNAMEHEADERS,0))),(INDEX(ALLCLASSDATA,MATCH("HeavyLegendary",CLASSFEATUREHEADERS,0),MATCH(($A716 &amp; "Points"),CLASSNAMEHEADERS,0))),(IF("11"=(INDEX(ALLCLASSDATA,MATCH("HeavyMaster",CLASSFEATUREHEADERS,0),MATCH($A716,CLASSNAMEHEADERS,0))),(INDEX(ALLCLASSDATA,MATCH("HeavyMaster",CLASSFEATUREHEADERS,0),MATCH(($A716 &amp; "Points"),CLASSNAMEHEADERS,0))),(IF("11"=(INDEX(ALLCLASSDATA,MATCH("HeavyExpert",CLASSFEATUREHEADERS,0),MATCH($A716,CLASSNAMEHEADERS,0))),(INDEX(ALLCLASSDATA,MATCH("HeavyExpert",CLASSFEATUREHEADERS,0),MATCH(($A716 &amp; "Points"),CLASSNAMEHEADERS,0))),(IF("11"=(INDEX(ALLCLASSDATA,MATCH("HeavyTrained",CLASSFEATUREHEADERS,0),MATCH($A716,CLASSNAMEHEADERS,0))),(INDEX(ALLCLASSDATA,MATCH("HeavyTrained",CLASSFEATUREHEADERS,0),MATCH(($A716 &amp; "Points"),CLASSNAMEHEADERS,0))),"")))))))))}</f>
        <v>HEAVYL11</v>
      </c>
      <c r="S715" s="223"/>
      <c r="T715" s="223" t="str">
        <f t="array" ref="T715:T716">{"HEAVYL13";((IF("13"=(INDEX(ALLCLASSDATA,MATCH("HeavyLegendary",CLASSFEATUREHEADERS,0),MATCH($A716,CLASSNAMEHEADERS,0))),(INDEX(ALLCLASSDATA,MATCH("HeavyLegendary",CLASSFEATUREHEADERS,0),MATCH(($A716 &amp; "Points"),CLASSNAMEHEADERS,0))),(IF("13"=(INDEX(ALLCLASSDATA,MATCH("HeavyMaster",CLASSFEATUREHEADERS,0),MATCH($A716,CLASSNAMEHEADERS,0))),(INDEX(ALLCLASSDATA,MATCH("HeavyMaster",CLASSFEATUREHEADERS,0),MATCH(($A716 &amp; "Points"),CLASSNAMEHEADERS,0))),(IF("13"=(INDEX(ALLCLASSDATA,MATCH("HeavyExpert",CLASSFEATUREHEADERS,0),MATCH($A716,CLASSNAMEHEADERS,0))),(INDEX(ALLCLASSDATA,MATCH("HeavyExpert",CLASSFEATUREHEADERS,0),MATCH(($A716 &amp; "Points"),CLASSNAMEHEADERS,0))),(IF("13"=(INDEX(ALLCLASSDATA,MATCH("HeavyTrained",CLASSFEATUREHEADERS,0),MATCH($A716,CLASSNAMEHEADERS,0))),(INDEX(ALLCLASSDATA,MATCH("HeavyTrained",CLASSFEATUREHEADERS,0),MATCH(($A716 &amp; "Points"),CLASSNAMEHEADERS,0))),"")))))))))}</f>
        <v>HEAVYL13</v>
      </c>
      <c r="U715" s="223"/>
      <c r="V715" s="223" t="str">
        <f t="array" ref="V715:V716">{"HEAVYL15";((IF("15"=(INDEX(ALLCLASSDATA,MATCH("HeavyLegendary",CLASSFEATUREHEADERS,0),MATCH($A716,CLASSNAMEHEADERS,0))),(INDEX(ALLCLASSDATA,MATCH("HeavyLegendary",CLASSFEATUREHEADERS,0),MATCH(($A716 &amp; "Points"),CLASSNAMEHEADERS,0))),(IF("15"=(INDEX(ALLCLASSDATA,MATCH("HeavyMaster",CLASSFEATUREHEADERS,0),MATCH($A716,CLASSNAMEHEADERS,0))),(INDEX(ALLCLASSDATA,MATCH("HeavyMaster",CLASSFEATUREHEADERS,0),MATCH(($A716 &amp; "Points"),CLASSNAMEHEADERS,0))),(IF("15"=(INDEX(ALLCLASSDATA,MATCH("HeavyExpert",CLASSFEATUREHEADERS,0),MATCH($A716,CLASSNAMEHEADERS,0))),(INDEX(ALLCLASSDATA,MATCH("HeavyExpert",CLASSFEATUREHEADERS,0),MATCH(($A716 &amp; "Points"),CLASSNAMEHEADERS,0))),(IF("15"=(INDEX(ALLCLASSDATA,MATCH("HeavyTrained",CLASSFEATUREHEADERS,0),MATCH($A716,CLASSNAMEHEADERS,0))),(INDEX(ALLCLASSDATA,MATCH("HeavyTrained",CLASSFEATUREHEADERS,0),MATCH(($A716 &amp; "Points"),CLASSNAMEHEADERS,0))),"")))))))))}</f>
        <v>HEAVYL15</v>
      </c>
      <c r="W715" s="223"/>
      <c r="X715" s="223" t="str">
        <f t="array" ref="X715:X716">{"HEAVYL17";((IF("17"=(INDEX(ALLCLASSDATA,MATCH("HeavyLegendary",CLASSFEATUREHEADERS,0),MATCH($A716,CLASSNAMEHEADERS,0))),(INDEX(ALLCLASSDATA,MATCH("HeavyLegendary",CLASSFEATUREHEADERS,0),MATCH(($A716 &amp; "Points"),CLASSNAMEHEADERS,0))),(IF("17"=(INDEX(ALLCLASSDATA,MATCH("HeavyMaster",CLASSFEATUREHEADERS,0),MATCH($A716,CLASSNAMEHEADERS,0))),(INDEX(ALLCLASSDATA,MATCH("HeavyMaster",CLASSFEATUREHEADERS,0),MATCH(($A716 &amp; "Points"),CLASSNAMEHEADERS,0))),(IF("17"=(INDEX(ALLCLASSDATA,MATCH("HeavyExpert",CLASSFEATUREHEADERS,0),MATCH($A716,CLASSNAMEHEADERS,0))),(INDEX(ALLCLASSDATA,MATCH("HeavyExpert",CLASSFEATUREHEADERS,0),MATCH(($A716 &amp; "Points"),CLASSNAMEHEADERS,0))),(IF("17"=(INDEX(ALLCLASSDATA,MATCH("HeavyTrained",CLASSFEATUREHEADERS,0),MATCH($A716,CLASSNAMEHEADERS,0))),(INDEX(ALLCLASSDATA,MATCH("HeavyTrained",CLASSFEATUREHEADERS,0),MATCH(($A716 &amp; "Points"),CLASSNAMEHEADERS,0))),"")))))))))}</f>
        <v>HEAVYL17</v>
      </c>
      <c r="Y715" s="223"/>
      <c r="Z715" s="223" t="str">
        <f t="array" ref="Z715:Z716">{"HEAVYL19";((IF("19"=(INDEX(ALLCLASSDATA,MATCH("HeavyLegendary",CLASSFEATUREHEADERS,0),MATCH($A716,CLASSNAMEHEADERS,0))),(INDEX(ALLCLASSDATA,MATCH("HeavyLegendary",CLASSFEATUREHEADERS,0),MATCH(($A716 &amp; "Points"),CLASSNAMEHEADERS,0))),(IF("19"=(INDEX(ALLCLASSDATA,MATCH("HeavyMaster",CLASSFEATUREHEADERS,0),MATCH($A716,CLASSNAMEHEADERS,0))),(INDEX(ALLCLASSDATA,MATCH("HeavyMaster",CLASSFEATUREHEADERS,0),MATCH(($A716 &amp; "Points"),CLASSNAMEHEADERS,0))),(IF("19"=(INDEX(ALLCLASSDATA,MATCH("HeavyExpert",CLASSFEATUREHEADERS,0),MATCH($A716,CLASSNAMEHEADERS,0))),(INDEX(ALLCLASSDATA,MATCH("HeavyExpert",CLASSFEATUREHEADERS,0),MATCH(($A716 &amp; "Points"),CLASSNAMEHEADERS,0))),(IF("19"=(INDEX(ALLCLASSDATA,MATCH("HeavyTrained",CLASSFEATUREHEADERS,0),MATCH($A716,CLASSNAMEHEADERS,0))),(INDEX(ALLCLASSDATA,MATCH("HeavyTrained",CLASSFEATUREHEADERS,0),MATCH(($A716 &amp; "Points"),CLASSNAMEHEADERS,0))),"")))))))))}</f>
        <v>HEAVYL19</v>
      </c>
      <c r="AA715" s="223"/>
      <c r="AB715" s="76" t="str">
        <f t="array" ref="AB715:AB716">{"HEAVY TOTAL";(IF(COUNTBLANK(G716:AA716)=17,"L",(IF(COUNTBLANK(G716:AA716)=18,"M",(IF(COUNTBLANK(G716:AA716)=19,"E",(IF(COUNTBLANK(G716:AA716)=20,"T",""))))))))}</f>
        <v>HEAVY TOTAL</v>
      </c>
      <c r="AC715" s="76" t="str">
        <f t="array" ref="AC715:AC716">{"HEAVY TOTAL";(sum(G716:AA716))}</f>
        <v>HEAVY TOTAL</v>
      </c>
    </row>
    <row r="716">
      <c r="A716" s="48" t="s">
        <v>170</v>
      </c>
      <c r="B716" s="48"/>
      <c r="C716" s="48" t="s">
        <v>415</v>
      </c>
      <c r="D716" s="97" t="s">
        <v>1900</v>
      </c>
      <c r="E716" s="97" t="s">
        <v>533</v>
      </c>
      <c r="F716" s="98" t="s">
        <v>603</v>
      </c>
      <c r="G716" s="132" t="s">
        <v>603</v>
      </c>
      <c r="H716" s="98" t="s">
        <v>603</v>
      </c>
      <c r="I716" s="98"/>
      <c r="J716" s="98" t="s">
        <v>603</v>
      </c>
      <c r="K716" s="98"/>
      <c r="L716" s="98" t="s">
        <v>603</v>
      </c>
      <c r="M716" s="98"/>
      <c r="N716" s="98" t="s">
        <v>603</v>
      </c>
      <c r="O716" s="98"/>
      <c r="P716" s="98" t="s">
        <v>603</v>
      </c>
      <c r="Q716" s="98"/>
      <c r="R716" s="98" t="s">
        <v>603</v>
      </c>
      <c r="S716" s="98"/>
      <c r="T716" s="98" t="s">
        <v>603</v>
      </c>
      <c r="U716" s="98"/>
      <c r="V716" s="98" t="s">
        <v>603</v>
      </c>
      <c r="W716" s="98"/>
      <c r="X716" s="98" t="s">
        <v>603</v>
      </c>
      <c r="Y716" s="98"/>
      <c r="Z716" s="98" t="s">
        <v>603</v>
      </c>
      <c r="AA716" s="98"/>
      <c r="AB716" s="5" t="s">
        <v>603</v>
      </c>
      <c r="AC716" s="47">
        <v>0.0</v>
      </c>
    </row>
    <row r="717" hidden="1">
      <c r="A717" s="222" t="str">
        <f t="array" ref="A717:A718">{"FormulaRow39";(INDEX(CLASSLIST,A640,1))}</f>
        <v>FormulaRow39</v>
      </c>
      <c r="B717" s="77" t="s">
        <v>236</v>
      </c>
      <c r="C717" s="222" t="str">
        <f t="array" ref="C717:C718">{"CLASSTYPE";((INDEX(ALLCLASSDATA,MATCH("ClassType",CLASSFEATUREHEADERS,0),MATCH($A718,CLASSNAMEHEADERS,0))))}</f>
        <v>CLASSTYPE</v>
      </c>
      <c r="D717" s="222" t="str">
        <f t="array" ref="D717:D718">{"SPELL/ALCHEMY";((IF(INDEX(ALLCLASSDATA,MATCH("CasterType",CLASSFEATUREHEADERS,0),MATCH(($A718),CLASSNAMEHEADERS,0))="","",(IF(INDEX(ALLCLASSDATA,MATCH("CasterType",CLASSFEATUREHEADERS,0),MATCH(($A718),CLASSNAMEHEADERS,0))="Alchemy","Alchemy","Spells")))))}</f>
        <v>SPELL/ALCHEMY</v>
      </c>
      <c r="E717" s="222" t="str">
        <f t="array" ref="E717:E718">{"SPELLLIST";(IF(D718="Spells",((INDEX(ALLCLASSDATA,MATCH("CasterType",CLASSFEATUREHEADERS,0),MATCH(($A718),CLASSNAMEHEADERS,0))) &amp; ":" &amp; (INDEX(ALLCLASSDATA,MATCH("SpellList",CLASSFEATUREHEADERS,0),MATCH(($A718),CLASSNAMEHEADERS,0)))),""))}</f>
        <v>SPELLLIST</v>
      </c>
      <c r="F717" s="223" t="str">
        <f t="array" ref="F717:F718">{"SPL";(IF(D718="Spells","SPL:",""))}</f>
        <v>SPL</v>
      </c>
      <c r="G717" s="223" t="str">
        <f t="array" ref="G717:G718">{"CANTRIP/ALC";(IF(D718="Spells","C",(IF(D718="Alchemy","ALC:",""))))}</f>
        <v>CANTRIP/ALC</v>
      </c>
      <c r="H717" s="223" t="str">
        <f t="array" ref="H717:H718">{"SPELL/ALC L01";(IF(D718="Alchemy","L01",(IF(D718="Spells","S01",""))))}</f>
        <v>SPELL/ALC L01</v>
      </c>
      <c r="I717" s="223" t="str">
        <f t="array" ref="I717:I718">{"SPELL/ALC L02";(IF(D718="Alchemy","L02",(IF(D718="Spells","S01",""))))}</f>
        <v>SPELL/ALC L02</v>
      </c>
      <c r="J717" s="223" t="str">
        <f t="array" ref="J717:J718">{"SPELL/ALC L03";(IF(D718="Alchemy","L03",(IF(D718="Spells","S02",""))))}</f>
        <v>SPELL/ALC L03</v>
      </c>
      <c r="K717" s="223" t="str">
        <f t="array" ref="K717:K718">{"SPELL/ALC L04";(IF(D718="Alchemy","L04",(IF(D718="Spells","S02",""))))}</f>
        <v>SPELL/ALC L04</v>
      </c>
      <c r="L717" s="223" t="str">
        <f t="array" ref="L717:L718">{"SPELL/ALC L05";(IF(D718="Alchemy","L05",(IF(D718="Spells","S03",""))))}</f>
        <v>SPELL/ALC L05</v>
      </c>
      <c r="M717" s="223" t="str">
        <f t="array" ref="M717:M718">{"SPELL/ALC L06";(IF(D718="Alchemy","L06",(IF(D718="Spells","S03",""))))}</f>
        <v>SPELL/ALC L06</v>
      </c>
      <c r="N717" s="223" t="str">
        <f t="array" ref="N717:N718">{"SPELL/ALC L07";(IF(D718="Alchemy","L07",(IF(D718="Spells","S04",""))))}</f>
        <v>SPELL/ALC L07</v>
      </c>
      <c r="O717" s="223" t="str">
        <f t="array" ref="O717:O718">{"SPELL/ALC L08";(IF(D718="Alchemy","L08",(IF(D718="Spells","S04",""))))}</f>
        <v>SPELL/ALC L08</v>
      </c>
      <c r="P717" s="223" t="str">
        <f t="array" ref="P717:P718">{"SPELL/ALC L09";(IF(D718="Alchemy","L09",(IF(D718="Spells","S05",""))))}</f>
        <v>SPELL/ALC L09</v>
      </c>
      <c r="Q717" s="223" t="str">
        <f t="array" ref="Q717:Q718">{"SPELL/ALC L10";(IF(D718="Alchemy","L10",(IF(D718="Spells","S05",""))))}</f>
        <v>SPELL/ALC L10</v>
      </c>
      <c r="R717" s="223" t="str">
        <f t="array" ref="R717:R718">{"SPELL/ALC L11";(IF(D718="Alchemy","L11",(IF(D718="Spells","S06",""))))}</f>
        <v>SPELL/ALC L11</v>
      </c>
      <c r="S717" s="223" t="str">
        <f t="array" ref="S717:S718">{"SPELL/ALC L12";(IF(D718="Alchemy","L12",(IF(D718="Spells","S06",""))))}</f>
        <v>SPELL/ALC L12</v>
      </c>
      <c r="T717" s="223" t="str">
        <f t="array" ref="T717:T718">{"SPELL/ALC L13";(IF(D718="Alchemy","L13",(IF(D718="Spells","S07",""))))}</f>
        <v>SPELL/ALC L13</v>
      </c>
      <c r="U717" s="223" t="str">
        <f t="array" ref="U717:U718">{"SPELL/ALC L14";(IF(D718="Alchemy","L14",(IF(D718="Spells","S07",""))))}</f>
        <v>SPELL/ALC L14</v>
      </c>
      <c r="V717" s="223" t="str">
        <f t="array" ref="V717:V718">{"SPELL/ALC L15";(IF(D718="Alchemy","L15",(IF(D718="Spells","S08",""))))}</f>
        <v>SPELL/ALC L15</v>
      </c>
      <c r="W717" s="223" t="str">
        <f t="array" ref="W717:W718">{"SPELL/ALC L16";(IF(D718="Alchemy","L16",(IF(D718="Spells","S08",""))))}</f>
        <v>SPELL/ALC L16</v>
      </c>
      <c r="X717" s="223" t="str">
        <f t="array" ref="X717:X718">{"SPELL/ALC L17";(IF(D718="Alchemy","L17",(IF(D718="Spells","S09",""))))}</f>
        <v>SPELL/ALC L17</v>
      </c>
      <c r="Y717" s="223" t="str">
        <f t="array" ref="Y717:Y718">{"SPELL/ALC L18";(IF(D718="Alchemy","L18",(IF(D718="Spells","S09",""))))}</f>
        <v>SPELL/ALC L18</v>
      </c>
      <c r="Z717" s="223" t="str">
        <f t="array" ref="Z717:Z718">{"SPELL/ALC L19";(IF(D718="Alchemy","L19",(IF(D718="Spells","S10",""))))}</f>
        <v>SPELL/ALC L19</v>
      </c>
      <c r="AA717" s="223" t="str">
        <f t="array" ref="AA717:AA718">{"SPELL/ALC L20";(IF(D718="Alchemy","L20",(IF(D718="Spells","S10",""))))}</f>
        <v>SPELL/ALC L20</v>
      </c>
      <c r="AB717" s="76"/>
      <c r="AC717" s="76"/>
    </row>
    <row r="718">
      <c r="A718" s="48" t="s">
        <v>170</v>
      </c>
      <c r="B718" s="48"/>
      <c r="C718" s="48" t="s">
        <v>415</v>
      </c>
      <c r="D718" s="48" t="s">
        <v>603</v>
      </c>
      <c r="E718" s="48" t="s">
        <v>603</v>
      </c>
      <c r="F718" s="278" t="s">
        <v>603</v>
      </c>
      <c r="G718" s="114" t="s">
        <v>603</v>
      </c>
      <c r="H718" s="279" t="s">
        <v>603</v>
      </c>
      <c r="I718" s="28" t="s">
        <v>603</v>
      </c>
      <c r="J718" s="28" t="s">
        <v>603</v>
      </c>
      <c r="K718" s="28" t="s">
        <v>603</v>
      </c>
      <c r="L718" s="28" t="s">
        <v>603</v>
      </c>
      <c r="M718" s="28" t="s">
        <v>603</v>
      </c>
      <c r="N718" s="28" t="s">
        <v>603</v>
      </c>
      <c r="O718" s="28" t="s">
        <v>603</v>
      </c>
      <c r="P718" s="28" t="s">
        <v>603</v>
      </c>
      <c r="Q718" s="28" t="s">
        <v>603</v>
      </c>
      <c r="R718" s="28" t="s">
        <v>603</v>
      </c>
      <c r="S718" s="28" t="s">
        <v>603</v>
      </c>
      <c r="T718" s="28" t="s">
        <v>603</v>
      </c>
      <c r="U718" s="28" t="s">
        <v>603</v>
      </c>
      <c r="V718" s="28" t="s">
        <v>603</v>
      </c>
      <c r="W718" s="28" t="s">
        <v>603</v>
      </c>
      <c r="X718" s="28" t="s">
        <v>603</v>
      </c>
      <c r="Y718" s="28" t="s">
        <v>603</v>
      </c>
      <c r="Z718" s="28" t="s">
        <v>603</v>
      </c>
      <c r="AA718" s="28" t="s">
        <v>603</v>
      </c>
      <c r="AB718" s="5"/>
      <c r="AC718" s="47"/>
    </row>
    <row r="719" hidden="1">
      <c r="A719" s="222" t="str">
        <f t="array" ref="A719:A720">{"FormulaRow40";(INDEX(CLASSLIST,A640,1))}</f>
        <v>FormulaRow40</v>
      </c>
      <c r="B719" s="77" t="s">
        <v>236</v>
      </c>
      <c r="C719" s="222" t="str">
        <f t="array" ref="C719:C720">{"CLASSTYPE";((INDEX(ALLCLASSDATA,MATCH("ClassType",CLASSFEATUREHEADERS,0),MATCH($A720,CLASSNAMEHEADERS,0))))}</f>
        <v>CLASSTYPE</v>
      </c>
      <c r="D719" s="222" t="str">
        <f t="array" ref="D719:D720">{"SPELL/ALCHEMY";((IF(INDEX(ALLCLASSDATA,MATCH("CasterType",CLASSFEATUREHEADERS,0),MATCH(($A720),CLASSNAMEHEADERS,0))="","",(IF(INDEX(ALLCLASSDATA,MATCH("CasterType",CLASSFEATUREHEADERS,0),MATCH(($A720),CLASSNAMEHEADERS,0))="Alchemy","","Spells")))))}</f>
        <v>SPELL/ALCHEMY</v>
      </c>
      <c r="E719" s="222" t="str">
        <f t="array" ref="E719:E720">{"SPELLLIST";(IF(D720="Spells",((INDEX(ALLCLASSDATA,MATCH("CasterType",CLASSFEATUREHEADERS,0),MATCH(($A720),CLASSNAMEHEADERS,0))) &amp; ":" &amp; (INDEX(ALLCLASSDATA,MATCH("SpellList",CLASSFEATUREHEADERS,0),MATCH(($A720),CLASSNAMEHEADERS,0)))),""))}</f>
        <v>SPELLLIST</v>
      </c>
      <c r="F719" s="222" t="str">
        <f t="array" ref="F719:F720">{"SLOTCOST";(IF(D720="Spells","SlotCost:",""))}</f>
        <v>SLOTCOST</v>
      </c>
      <c r="G719" s="222" t="str">
        <f t="array" ref="G719:G720">{"SLOTCOST CANTRIP";(INDEX(ALLCLASSDATA,MATCH("CantripSlots-L00",CLASSFEATUREHEADERS,0),MATCH(($A720 &amp; "Points"),CLASSNAMEHEADERS,0)))}</f>
        <v>SLOTCOST CANTRIP</v>
      </c>
      <c r="H719" s="222" t="str">
        <f t="array" ref="H719:H720">{"SLOTCOST L01";(INDEX(ALLCLASSDATA,MATCH("SPL01-L01",CLASSFEATUREHEADERS,0),MATCH(($A720 &amp; "Points"),CLASSNAMEHEADERS,0)))}</f>
        <v>SLOTCOST L01</v>
      </c>
      <c r="I719" s="222" t="str">
        <f t="array" ref="I719:I720">{"SLOTCOST L02";(INDEX(ALLCLASSDATA,MATCH("SPL01-L02",CLASSFEATUREHEADERS,0),MATCH(($A720 &amp; "Points"),CLASSNAMEHEADERS,0)))}</f>
        <v>SLOTCOST L02</v>
      </c>
      <c r="J719" s="222" t="str">
        <f t="array" ref="J719:J720">{"SLOTCOST L03";(INDEX(ALLCLASSDATA,MATCH("SPL02-L03",CLASSFEATUREHEADERS,0),MATCH(($A720 &amp; "Points"),CLASSNAMEHEADERS,0)))}</f>
        <v>SLOTCOST L03</v>
      </c>
      <c r="K719" s="222" t="str">
        <f t="array" ref="K719:K720">{"SLOTCOST L04";(INDEX(ALLCLASSDATA,MATCH("SPL02-L04",CLASSFEATUREHEADERS,0),MATCH(($A720 &amp; "Points"),CLASSNAMEHEADERS,0)))}</f>
        <v>SLOTCOST L04</v>
      </c>
      <c r="L719" s="222" t="str">
        <f t="array" ref="L719:L720">{"SLOTCOST L05";(INDEX(ALLCLASSDATA,MATCH("SPL03-L05",CLASSFEATUREHEADERS,0),MATCH(($A720 &amp; "Points"),CLASSNAMEHEADERS,0)))}</f>
        <v>SLOTCOST L05</v>
      </c>
      <c r="M719" s="222" t="str">
        <f t="array" ref="M719:M720">{"SLOTCOST L06";(INDEX(ALLCLASSDATA,MATCH("SPL03-L06",CLASSFEATUREHEADERS,0),MATCH(($A720 &amp; "Points"),CLASSNAMEHEADERS,0)))}</f>
        <v>SLOTCOST L06</v>
      </c>
      <c r="N719" s="222" t="str">
        <f t="array" ref="N719:N720">{"SLOTCOST L07";(INDEX(ALLCLASSDATA,MATCH("SPL04-L07",CLASSFEATUREHEADERS,0),MATCH(($A720 &amp; "Points"),CLASSNAMEHEADERS,0)))}</f>
        <v>SLOTCOST L07</v>
      </c>
      <c r="O719" s="222" t="str">
        <f t="array" ref="O719:O720">{"SLOTCOST L08";(INDEX(ALLCLASSDATA,MATCH("SPL04-L08",CLASSFEATUREHEADERS,0),MATCH(($A720 &amp; "Points"),CLASSNAMEHEADERS,0)))}</f>
        <v>SLOTCOST L08</v>
      </c>
      <c r="P719" s="222" t="str">
        <f t="array" ref="P719:P720">{"SLOTCOST L09";(INDEX(ALLCLASSDATA,MATCH("SPL05-L09",CLASSFEATUREHEADERS,0),MATCH(($A720 &amp; "Points"),CLASSNAMEHEADERS,0)))}</f>
        <v>SLOTCOST L09</v>
      </c>
      <c r="Q719" s="222" t="str">
        <f t="array" ref="Q719:Q720">{"SLOTCOST L10";(INDEX(ALLCLASSDATA,MATCH("SPL05-L10",CLASSFEATUREHEADERS,0),MATCH(($A720 &amp; "Points"),CLASSNAMEHEADERS,0)))}</f>
        <v>SLOTCOST L10</v>
      </c>
      <c r="R719" s="222" t="str">
        <f t="array" ref="R719:R720">{"SLOTCOST L11";(INDEX(ALLCLASSDATA,MATCH("SPL06-L11",CLASSFEATUREHEADERS,0),MATCH(($A720 &amp; "Points"),CLASSNAMEHEADERS,0)))}</f>
        <v>SLOTCOST L11</v>
      </c>
      <c r="S719" s="222" t="str">
        <f t="array" ref="S719:S720">{"SLOTCOST L12";(INDEX(ALLCLASSDATA,MATCH("SPL06-L12",CLASSFEATUREHEADERS,0),MATCH(($A720 &amp; "Points"),CLASSNAMEHEADERS,0)))}</f>
        <v>SLOTCOST L12</v>
      </c>
      <c r="T719" s="222" t="str">
        <f t="array" ref="T719:T720">{"SLOTCOST L13";(INDEX(ALLCLASSDATA,MATCH("SPL07-L13",CLASSFEATUREHEADERS,0),MATCH(($A720 &amp; "Points"),CLASSNAMEHEADERS,0)))}</f>
        <v>SLOTCOST L13</v>
      </c>
      <c r="U719" s="222" t="str">
        <f t="array" ref="U719:U720">{"SLOTCOST L14";(INDEX(ALLCLASSDATA,MATCH("SPL07-L14",CLASSFEATUREHEADERS,0),MATCH(($A720 &amp; "Points"),CLASSNAMEHEADERS,0)))}</f>
        <v>SLOTCOST L14</v>
      </c>
      <c r="V719" s="222" t="str">
        <f t="array" ref="V719:V720">{"SLOTCOST L15";(INDEX(ALLCLASSDATA,MATCH("SPL08-L15",CLASSFEATUREHEADERS,0),MATCH(($A720 &amp; "Points"),CLASSNAMEHEADERS,0)))}</f>
        <v>SLOTCOST L15</v>
      </c>
      <c r="W719" s="222" t="str">
        <f t="array" ref="W719:W720">{"SLOTCOST L16";(INDEX(ALLCLASSDATA,MATCH("SPL08-L16",CLASSFEATUREHEADERS,0),MATCH(($A720 &amp; "Points"),CLASSNAMEHEADERS,0)))}</f>
        <v>SLOTCOST L16</v>
      </c>
      <c r="X719" s="222" t="str">
        <f t="array" ref="X719:X720">{"SLOTCOST L17";(INDEX(ALLCLASSDATA,MATCH("SPL09-L17",CLASSFEATUREHEADERS,0),MATCH(($A720 &amp; "Points"),CLASSNAMEHEADERS,0)))}</f>
        <v>SLOTCOST L17</v>
      </c>
      <c r="Y719" s="222" t="str">
        <f t="array" ref="Y719:Y720">{"SLOTCOST L18";(INDEX(ALLCLASSDATA,MATCH("SPL09-L18",CLASSFEATUREHEADERS,0),MATCH(($A720 &amp; "Points"),CLASSNAMEHEADERS,0)))}</f>
        <v>SLOTCOST L18</v>
      </c>
      <c r="Z719" s="222" t="str">
        <f t="array" ref="Z719:Z720">{"SLOTCOST L19";(INDEX(ALLCLASSDATA,MATCH("SPL10-L19",CLASSFEATUREHEADERS,0),MATCH(($A720 &amp; "Points"),CLASSNAMEHEADERS,0)))}</f>
        <v>SLOTCOST L19</v>
      </c>
      <c r="AA719" s="222" t="str">
        <f t="array" ref="AA719:AA720">{"SLOTCOST L20";(INDEX(ALLCLASSDATA,MATCH("SPL10-L20",CLASSFEATUREHEADERS,0),MATCH(($A720 &amp; "Points"),CLASSNAMEHEADERS,0)))}</f>
        <v>SLOTCOST L20</v>
      </c>
      <c r="AB719" s="76"/>
      <c r="AC719" s="76" t="str">
        <f t="array" ref="AC719:AC720">{"SLOT TOTAL";(sum(G720:AA720))}</f>
        <v>SLOT TOTAL</v>
      </c>
    </row>
    <row r="720">
      <c r="A720" s="48" t="s">
        <v>170</v>
      </c>
      <c r="B720" s="48"/>
      <c r="C720" s="48" t="s">
        <v>415</v>
      </c>
      <c r="D720" s="48" t="s">
        <v>603</v>
      </c>
      <c r="E720" s="48" t="s">
        <v>603</v>
      </c>
      <c r="F720" s="278" t="s">
        <v>603</v>
      </c>
      <c r="G720" s="47" t="s">
        <v>603</v>
      </c>
      <c r="H720" s="5" t="s">
        <v>603</v>
      </c>
      <c r="I720" s="5" t="s">
        <v>603</v>
      </c>
      <c r="J720" s="5" t="s">
        <v>603</v>
      </c>
      <c r="K720" s="5" t="s">
        <v>603</v>
      </c>
      <c r="L720" s="5" t="s">
        <v>603</v>
      </c>
      <c r="M720" s="48" t="s">
        <v>603</v>
      </c>
      <c r="N720" s="5" t="s">
        <v>603</v>
      </c>
      <c r="O720" s="5" t="s">
        <v>603</v>
      </c>
      <c r="P720" s="5" t="s">
        <v>603</v>
      </c>
      <c r="Q720" s="5" t="s">
        <v>603</v>
      </c>
      <c r="R720" s="5" t="s">
        <v>603</v>
      </c>
      <c r="S720" s="5" t="s">
        <v>603</v>
      </c>
      <c r="T720" s="5" t="s">
        <v>603</v>
      </c>
      <c r="U720" s="5" t="s">
        <v>603</v>
      </c>
      <c r="V720" s="5" t="s">
        <v>603</v>
      </c>
      <c r="W720" s="5" t="s">
        <v>603</v>
      </c>
      <c r="X720" s="5" t="s">
        <v>603</v>
      </c>
      <c r="Y720" s="5" t="s">
        <v>603</v>
      </c>
      <c r="Z720" s="5" t="s">
        <v>603</v>
      </c>
      <c r="AA720" s="5" t="s">
        <v>603</v>
      </c>
      <c r="AB720" s="5"/>
      <c r="AC720" s="47">
        <v>0.0</v>
      </c>
    </row>
    <row r="721" hidden="1">
      <c r="A721" s="222" t="str">
        <f t="array" ref="A721:A722">{"FormulaRow41";(INDEX(CLASSLIST,A640,1))}</f>
        <v>FormulaRow41</v>
      </c>
      <c r="B721" s="77" t="s">
        <v>236</v>
      </c>
      <c r="C721" s="222" t="str">
        <f t="array" ref="C721:C722">{"CLASSTYPE";((INDEX(ALLCLASSDATA,MATCH("ClassType",CLASSFEATUREHEADERS,0),MATCH($A722,CLASSNAMEHEADERS,0))))}</f>
        <v>CLASSTYPE</v>
      </c>
      <c r="D721" s="222" t="str">
        <f t="array" ref="D721:D722">{"SPELL/ALCHEMY";((IF(INDEX(ALLCLASSDATA,MATCH("CasterType",CLASSFEATUREHEADERS,0),MATCH(($A722),CLASSNAMEHEADERS,0))="","",(IF(INDEX(ALLCLASSDATA,MATCH("CasterType",CLASSFEATUREHEADERS,0),MATCH(($A722),CLASSNAMEHEADERS,0))="Alchemy","Alchemy","Spells")))))}</f>
        <v>SPELL/ALCHEMY</v>
      </c>
      <c r="E721" s="222" t="str">
        <f t="array" ref="E721:E722">{"SPELLLIST";(IF(D722="Spells",((INDEX(ALLCLASSDATA,MATCH("CasterType",CLASSFEATUREHEADERS,0),MATCH(($A722),CLASSNAMEHEADERS,0))) &amp; ":" &amp; (INDEX(ALLCLASSDATA,MATCH("SpellList",CLASSFEATUREHEADERS,0),MATCH(($A722),CLASSNAMEHEADERS,0)))),""))}</f>
        <v>SPELLLIST</v>
      </c>
      <c r="F721" s="223" t="str">
        <f t="array" ref="F721:F722">{"LEARNEDCOST";(IF(D722="","","LearnCost:"))}</f>
        <v>LEARNEDCOST</v>
      </c>
      <c r="G721" s="223" t="str">
        <f t="array" ref="G721:G722">{"LEARNED CANTRIPS";(INDEX(ALLCLASSDATA,MATCH("CantripsLearned-L00",CLASSFEATUREHEADERS,0),MATCH(($A722 &amp; "Points"),CLASSNAMEHEADERS,0)))}</f>
        <v>LEARNED CANTRIPS</v>
      </c>
      <c r="H721" s="223" t="str">
        <f t="array" ref="H721:H722">{"LEARNED L01";(INDEX(ALLCLASSDATA,MATCH("Learned-L01",CLASSFEATUREHEADERS,0),MATCH(($A722 &amp; "Points"),CLASSNAMEHEADERS,0)))}</f>
        <v>LEARNED L01</v>
      </c>
      <c r="I721" s="223" t="str">
        <f t="array" ref="I721:I722">{"LEARNED L02";(INDEX(ALLCLASSDATA,MATCH("Learned-L02",CLASSFEATUREHEADERS,0),MATCH(($A722 &amp; "Points"),CLASSNAMEHEADERS,0)))}</f>
        <v>LEARNED L02</v>
      </c>
      <c r="J721" s="223" t="str">
        <f t="array" ref="J721:J722">{"LEARNED L03";(INDEX(ALLCLASSDATA,MATCH("Learned-L03",CLASSFEATUREHEADERS,0),MATCH(($A722 &amp; "Points"),CLASSNAMEHEADERS,0)))}</f>
        <v>LEARNED L03</v>
      </c>
      <c r="K721" s="223" t="str">
        <f t="array" ref="K721:K722">{"LEARNED L04";(INDEX(ALLCLASSDATA,MATCH("Learned-L04",CLASSFEATUREHEADERS,0),MATCH(($A722 &amp; "Points"),CLASSNAMEHEADERS,0)))}</f>
        <v>LEARNED L04</v>
      </c>
      <c r="L721" s="223" t="str">
        <f t="array" ref="L721:L722">{"LEARNED L05";(INDEX(ALLCLASSDATA,MATCH("Learned-L05",CLASSFEATUREHEADERS,0),MATCH(($A722 &amp; "Points"),CLASSNAMEHEADERS,0)))}</f>
        <v>LEARNED L05</v>
      </c>
      <c r="M721" s="223" t="str">
        <f t="array" ref="M721:M722">{"LEARNED L06";(INDEX(ALLCLASSDATA,MATCH("Learned-L06",CLASSFEATUREHEADERS,0),MATCH(($A722 &amp; "Points"),CLASSNAMEHEADERS,0)))}</f>
        <v>LEARNED L06</v>
      </c>
      <c r="N721" s="223" t="str">
        <f t="array" ref="N721:N722">{"LEARNED L07";(INDEX(ALLCLASSDATA,MATCH("Learned-L07",CLASSFEATUREHEADERS,0),MATCH(($A722 &amp; "Points"),CLASSNAMEHEADERS,0)))}</f>
        <v>LEARNED L07</v>
      </c>
      <c r="O721" s="223" t="str">
        <f t="array" ref="O721:O722">{"LEARNED L08";(INDEX(ALLCLASSDATA,MATCH("Learned-L08",CLASSFEATUREHEADERS,0),MATCH(($A722 &amp; "Points"),CLASSNAMEHEADERS,0)))}</f>
        <v>LEARNED L08</v>
      </c>
      <c r="P721" s="223" t="str">
        <f t="array" ref="P721:P722">{"LEARNED L09";(INDEX(ALLCLASSDATA,MATCH("Learned-L09",CLASSFEATUREHEADERS,0),MATCH(($A722 &amp; "Points"),CLASSNAMEHEADERS,0)))}</f>
        <v>LEARNED L09</v>
      </c>
      <c r="Q721" s="223" t="str">
        <f t="array" ref="Q721:Q722">{"LEARNED L10";(INDEX(ALLCLASSDATA,MATCH("Learned-L10",CLASSFEATUREHEADERS,0),MATCH(($A722 &amp; "Points"),CLASSNAMEHEADERS,0)))}</f>
        <v>LEARNED L10</v>
      </c>
      <c r="R721" s="223" t="str">
        <f t="array" ref="R721:R722">{"LEARNED L11";(INDEX(ALLCLASSDATA,MATCH("Learned-L11",CLASSFEATUREHEADERS,0),MATCH(($A722 &amp; "Points"),CLASSNAMEHEADERS,0)))}</f>
        <v>LEARNED L11</v>
      </c>
      <c r="S721" s="223" t="str">
        <f t="array" ref="S721:S722">{"LEARNED L12";(INDEX(ALLCLASSDATA,MATCH("Learned-L12",CLASSFEATUREHEADERS,0),MATCH(($A722 &amp; "Points"),CLASSNAMEHEADERS,0)))}</f>
        <v>LEARNED L12</v>
      </c>
      <c r="T721" s="223" t="str">
        <f t="array" ref="T721:T722">{"LEARNED L13";(INDEX(ALLCLASSDATA,MATCH("Learned-L13",CLASSFEATUREHEADERS,0),MATCH(($A722 &amp; "Points"),CLASSNAMEHEADERS,0)))}</f>
        <v>LEARNED L13</v>
      </c>
      <c r="U721" s="223" t="str">
        <f t="array" ref="U721:U722">{"LEARNED L14";(INDEX(ALLCLASSDATA,MATCH("Learned-L14",CLASSFEATUREHEADERS,0),MATCH(($A722 &amp; "Points"),CLASSNAMEHEADERS,0)))}</f>
        <v>LEARNED L14</v>
      </c>
      <c r="V721" s="223" t="str">
        <f t="array" ref="V721:V722">{"LEARNED L15";(INDEX(ALLCLASSDATA,MATCH("Learned-L15",CLASSFEATUREHEADERS,0),MATCH(($A722 &amp; "Points"),CLASSNAMEHEADERS,0)))}</f>
        <v>LEARNED L15</v>
      </c>
      <c r="W721" s="223" t="str">
        <f t="array" ref="W721:W722">{"LEARNED L16";(INDEX(ALLCLASSDATA,MATCH("Learned-L16",CLASSFEATUREHEADERS,0),MATCH(($A722 &amp; "Points"),CLASSNAMEHEADERS,0)))}</f>
        <v>LEARNED L16</v>
      </c>
      <c r="X721" s="223" t="str">
        <f t="array" ref="X721:X722">{"LEARNED L17";(INDEX(ALLCLASSDATA,MATCH("Learned-L17",CLASSFEATUREHEADERS,0),MATCH(($A722 &amp; "Points"),CLASSNAMEHEADERS,0)))}</f>
        <v>LEARNED L17</v>
      </c>
      <c r="Y721" s="223" t="str">
        <f t="array" ref="Y721:Y722">{"LEARNED L18";(INDEX(ALLCLASSDATA,MATCH("Learned-L18",CLASSFEATUREHEADERS,0),MATCH(($A722 &amp; "Points"),CLASSNAMEHEADERS,0)))}</f>
        <v>LEARNED L18</v>
      </c>
      <c r="Z721" s="223" t="str">
        <f t="array" ref="Z721:Z722">{"LEARNED L19";(INDEX(ALLCLASSDATA,MATCH("Learned-L19",CLASSFEATUREHEADERS,0),MATCH(($A722 &amp; "Points"),CLASSNAMEHEADERS,0)))}</f>
        <v>LEARNED L19</v>
      </c>
      <c r="AA721" s="223" t="str">
        <f t="array" ref="AA721:AA722">{"LEARNED L20";(INDEX(ALLCLASSDATA,MATCH("Learned-L20",CLASSFEATUREHEADERS,0),MATCH(($A722 &amp; "Points"),CLASSNAMEHEADERS,0)))}</f>
        <v>LEARNED L20</v>
      </c>
      <c r="AB721" s="76"/>
      <c r="AC721" s="76" t="str">
        <f t="array" ref="AC721:AC722">{"LEARNED TOTAL";(sum(G722:AA722))}</f>
        <v>LEARNED TOTAL</v>
      </c>
    </row>
    <row r="722">
      <c r="A722" s="48" t="s">
        <v>170</v>
      </c>
      <c r="B722" s="48"/>
      <c r="C722" s="48" t="s">
        <v>415</v>
      </c>
      <c r="D722" s="48" t="s">
        <v>603</v>
      </c>
      <c r="E722" s="48" t="s">
        <v>603</v>
      </c>
      <c r="F722" s="278" t="s">
        <v>603</v>
      </c>
      <c r="G722" s="47" t="s">
        <v>603</v>
      </c>
      <c r="H722" s="5" t="s">
        <v>603</v>
      </c>
      <c r="I722" s="5" t="s">
        <v>603</v>
      </c>
      <c r="J722" s="5" t="s">
        <v>603</v>
      </c>
      <c r="K722" s="5" t="s">
        <v>603</v>
      </c>
      <c r="L722" s="5" t="s">
        <v>603</v>
      </c>
      <c r="M722" s="5" t="s">
        <v>603</v>
      </c>
      <c r="N722" s="48" t="s">
        <v>603</v>
      </c>
      <c r="O722" s="5" t="s">
        <v>603</v>
      </c>
      <c r="P722" s="5" t="s">
        <v>603</v>
      </c>
      <c r="Q722" s="5" t="s">
        <v>603</v>
      </c>
      <c r="R722" s="5" t="s">
        <v>603</v>
      </c>
      <c r="S722" s="5" t="s">
        <v>603</v>
      </c>
      <c r="T722" s="5" t="s">
        <v>603</v>
      </c>
      <c r="U722" s="5" t="s">
        <v>603</v>
      </c>
      <c r="V722" s="5" t="s">
        <v>603</v>
      </c>
      <c r="W722" s="5" t="s">
        <v>603</v>
      </c>
      <c r="X722" s="5" t="s">
        <v>603</v>
      </c>
      <c r="Y722" s="5" t="s">
        <v>603</v>
      </c>
      <c r="Z722" s="5" t="s">
        <v>603</v>
      </c>
      <c r="AA722" s="5" t="s">
        <v>603</v>
      </c>
      <c r="AB722" s="5"/>
      <c r="AC722" s="47">
        <v>0.0</v>
      </c>
    </row>
    <row r="723" hidden="1">
      <c r="A723" s="222" t="str">
        <f t="array" ref="A723:A724">{"FormulaRow42";(INDEX(CLASSLIST,A640,1))}</f>
        <v>FormulaRow42</v>
      </c>
      <c r="B723" s="77" t="s">
        <v>236</v>
      </c>
      <c r="C723" s="222" t="str">
        <f t="array" ref="C723:C724">{"CLASSTYPE";((INDEX(ALLCLASSDATA,MATCH("ClassType",CLASSFEATUREHEADERS,0),MATCH($A724,CLASSNAMEHEADERS,0))))}</f>
        <v>CLASSTYPE</v>
      </c>
      <c r="D723" s="222" t="str">
        <f t="array" ref="D723:D724">{"SPELL/ALCHEMY";((IF(INDEX(ALLCLASSDATA,MATCH("CasterType",CLASSFEATUREHEADERS,0),MATCH(($A724),CLASSNAMEHEADERS,0))="","",(IF(INDEX(ALLCLASSDATA,MATCH("CasterType",CLASSFEATUREHEADERS,0),MATCH(($A724),CLASSNAMEHEADERS,0))="Alchemy","","Spells")))))}</f>
        <v>SPELL/ALCHEMY</v>
      </c>
      <c r="E723" s="222" t="str">
        <f t="array" ref="E723:E724">{"SPELLLIST";(IF(D724="Spells",((INDEX(ALLCLASSDATA,MATCH("CasterType",CLASSFEATUREHEADERS,0),MATCH(($A724),CLASSNAMEHEADERS,0))) &amp; ":" &amp; (INDEX(ALLCLASSDATA,MATCH("SpellList",CLASSFEATUREHEADERS,0),MATCH(($A724),CLASSNAMEHEADERS,0)))),""))}</f>
        <v>SPELLLIST</v>
      </c>
      <c r="F723" s="223" t="str">
        <f t="array" ref="F723:F724">{"SLOT/LVL";(IF(D718="Spells","Slot/LVL:",""))}</f>
        <v>SLOT/LVL</v>
      </c>
      <c r="G723" s="223" t="str">
        <f t="array" ref="G723:G724">{"CANTRIPSLOTS";(INDEX(ALLCLASSDATA,MATCH("CantripSlots-L00",CLASSFEATUREHEADERS,0),MATCH($A724,CLASSNAMEHEADERS,0)))}</f>
        <v>CANTRIPSLOTS</v>
      </c>
      <c r="H723" s="223" t="str">
        <f t="array" ref="H723:H724">{"SPL01-L01";(INDEX(ALLCLASSDATA,MATCH("SPL01-L01",CLASSFEATUREHEADERS,0),MATCH($A724,CLASSNAMEHEADERS,0)))}</f>
        <v>SPL01-L01</v>
      </c>
      <c r="I723" s="223" t="str">
        <f t="array" ref="I723:I724">{"SPL01-L02";(INDEX(ALLCLASSDATA,MATCH("SPL01-L02",CLASSFEATUREHEADERS,0),MATCH($A724,CLASSNAMEHEADERS,0)))}</f>
        <v>SPL01-L02</v>
      </c>
      <c r="J723" s="223" t="str">
        <f t="array" ref="J723:J724">{"SPL02-L03";(INDEX(ALLCLASSDATA,MATCH("SPL02-L03",CLASSFEATUREHEADERS,0),MATCH($A724,CLASSNAMEHEADERS,0)))}</f>
        <v>SPL02-L03</v>
      </c>
      <c r="K723" s="223" t="str">
        <f t="array" ref="K723:K724">{"SPL02-L04";(INDEX(ALLCLASSDATA,MATCH("SPL02-L04",CLASSFEATUREHEADERS,0),MATCH($A724,CLASSNAMEHEADERS,0)))}</f>
        <v>SPL02-L04</v>
      </c>
      <c r="L723" s="223" t="str">
        <f t="array" ref="L723:L724">{"SPL03-L05";(INDEX(ALLCLASSDATA,MATCH("SPL03-L05",CLASSFEATUREHEADERS,0),MATCH($A724,CLASSNAMEHEADERS,0)))}</f>
        <v>SPL03-L05</v>
      </c>
      <c r="M723" s="223" t="str">
        <f t="array" ref="M723:M724">{"SPL03-L06";(INDEX(ALLCLASSDATA,MATCH("SPL03-L06",CLASSFEATUREHEADERS,0),MATCH($A724,CLASSNAMEHEADERS,0)))}</f>
        <v>SPL03-L06</v>
      </c>
      <c r="N723" s="223" t="str">
        <f t="array" ref="N723:N724">{"SPL04-L07";(INDEX(ALLCLASSDATA,MATCH("SPL04-L07",CLASSFEATUREHEADERS,0),MATCH($A724,CLASSNAMEHEADERS,0)))}</f>
        <v>SPL04-L07</v>
      </c>
      <c r="O723" s="223" t="str">
        <f t="array" ref="O723:O724">{"SPL04-L08";(INDEX(ALLCLASSDATA,MATCH("SPL04-L08",CLASSFEATUREHEADERS,0),MATCH($A724,CLASSNAMEHEADERS,0)))}</f>
        <v>SPL04-L08</v>
      </c>
      <c r="P723" s="223" t="str">
        <f t="array" ref="P723:P724">{"SPL05-L09";(INDEX(ALLCLASSDATA,MATCH("SPL05-L09",CLASSFEATUREHEADERS,0),MATCH($A724,CLASSNAMEHEADERS,0)))}</f>
        <v>SPL05-L09</v>
      </c>
      <c r="Q723" s="223" t="str">
        <f t="array" ref="Q723:Q724">{"SPL05-L10";(INDEX(ALLCLASSDATA,MATCH("SPL05-L10",CLASSFEATUREHEADERS,0),MATCH($A724,CLASSNAMEHEADERS,0)))}</f>
        <v>SPL05-L10</v>
      </c>
      <c r="R723" s="223" t="str">
        <f t="array" ref="R723:R724">{"SPL06-L11";(INDEX(ALLCLASSDATA,MATCH("SPL06-L11",CLASSFEATUREHEADERS,0),MATCH($A724,CLASSNAMEHEADERS,0)))}</f>
        <v>SPL06-L11</v>
      </c>
      <c r="S723" s="223" t="str">
        <f t="array" ref="S723:S724">{"SPL06-L12";(INDEX(ALLCLASSDATA,MATCH("SPL06-L12",CLASSFEATUREHEADERS,0),MATCH($A724,CLASSNAMEHEADERS,0)))}</f>
        <v>SPL06-L12</v>
      </c>
      <c r="T723" s="223" t="str">
        <f t="array" ref="T723:T724">{"SPL07-L13";(INDEX(ALLCLASSDATA,MATCH("SPL07-L13",CLASSFEATUREHEADERS,0),MATCH($A724,CLASSNAMEHEADERS,0)))}</f>
        <v>SPL07-L13</v>
      </c>
      <c r="U723" s="223" t="str">
        <f t="array" ref="U723:U724">{"SPL07-L14";(INDEX(ALLCLASSDATA,MATCH("SPL07-L14",CLASSFEATUREHEADERS,0),MATCH($A724,CLASSNAMEHEADERS,0)))}</f>
        <v>SPL07-L14</v>
      </c>
      <c r="V723" s="223" t="str">
        <f t="array" ref="V723:V724">{"SPL08-L15";(INDEX(ALLCLASSDATA,MATCH("SPL08-L15",CLASSFEATUREHEADERS,0),MATCH($A724,CLASSNAMEHEADERS,0)))}</f>
        <v>SPL08-L15</v>
      </c>
      <c r="W723" s="223" t="str">
        <f t="array" ref="W723:W724">{"SPL08-L16";(INDEX(ALLCLASSDATA,MATCH("SPL08-L16",CLASSFEATUREHEADERS,0),MATCH($A724,CLASSNAMEHEADERS,0)))}</f>
        <v>SPL08-L16</v>
      </c>
      <c r="X723" s="223" t="str">
        <f t="array" ref="X723:X724">{"SPL09-L17";(INDEX(ALLCLASSDATA,MATCH("SPL09-L17",CLASSFEATUREHEADERS,0),MATCH($A724,CLASSNAMEHEADERS,0)))}</f>
        <v>SPL09-L17</v>
      </c>
      <c r="Y723" s="223" t="str">
        <f t="array" ref="Y723:Y724">{"SPL09-L18";(INDEX(ALLCLASSDATA,MATCH("SPL09-L18",CLASSFEATUREHEADERS,0),MATCH($A724,CLASSNAMEHEADERS,0)))}</f>
        <v>SPL09-L18</v>
      </c>
      <c r="Z723" s="223" t="str">
        <f t="array" ref="Z723:Z724">{"SPL10-L19";(INDEX(ALLCLASSDATA,MATCH("SPL10-L19",CLASSFEATUREHEADERS,0),MATCH($A724,CLASSNAMEHEADERS,0)))}</f>
        <v>SPL10-L19</v>
      </c>
      <c r="AA723" s="223" t="str">
        <f t="array" ref="AA723:AA724">{"SPL10-L20";(INDEX(ALLCLASSDATA,MATCH("SPL10-L20",CLASSFEATUREHEADERS,0),MATCH($A724,CLASSNAMEHEADERS,0)))}</f>
        <v>SPL10-L20</v>
      </c>
      <c r="AB723" s="76"/>
      <c r="AC723" s="76"/>
    </row>
    <row r="724">
      <c r="A724" s="48" t="s">
        <v>170</v>
      </c>
      <c r="B724" s="48"/>
      <c r="C724" s="48" t="s">
        <v>415</v>
      </c>
      <c r="D724" s="48" t="s">
        <v>603</v>
      </c>
      <c r="E724" s="48" t="s">
        <v>603</v>
      </c>
      <c r="F724" s="278" t="s">
        <v>603</v>
      </c>
      <c r="G724" s="280"/>
      <c r="H724" s="50"/>
      <c r="I724" s="50"/>
      <c r="J724" s="50"/>
      <c r="K724" s="50"/>
      <c r="L724" s="50"/>
      <c r="M724" s="50"/>
      <c r="N724" s="50"/>
      <c r="O724" s="50"/>
      <c r="P724" s="50"/>
      <c r="Q724" s="50"/>
      <c r="R724" s="50"/>
      <c r="S724" s="50"/>
      <c r="T724" s="50"/>
      <c r="U724" s="50"/>
      <c r="V724" s="50"/>
      <c r="W724" s="50"/>
      <c r="X724" s="50"/>
      <c r="Y724" s="50"/>
      <c r="Z724" s="50"/>
      <c r="AA724" s="50"/>
      <c r="AB724" s="278"/>
      <c r="AC724" s="47"/>
    </row>
    <row r="725" hidden="1">
      <c r="A725" s="222" t="str">
        <f t="array" ref="A725:A726">{"FormulaRow43";(INDEX(CLASSLIST,A640,1))}</f>
        <v>FormulaRow43</v>
      </c>
      <c r="B725" s="77" t="s">
        <v>236</v>
      </c>
      <c r="C725" s="222" t="str">
        <f t="array" ref="C725:C726">{"CLASSTYPE";((INDEX(ALLCLASSDATA,MATCH("ClassType",CLASSFEATUREHEADERS,0),MATCH($A726,CLASSNAMEHEADERS,0))))}</f>
        <v>CLASSTYPE</v>
      </c>
      <c r="D725" s="222" t="str">
        <f t="array" ref="D725:D726">{"SPELL/ALCHEMY";((IF(INDEX(ALLCLASSDATA,MATCH("CasterType",CLASSFEATUREHEADERS,0),MATCH(($A726),CLASSNAMEHEADERS,0))="","",(IF(INDEX(ALLCLASSDATA,MATCH("CasterType",CLASSFEATUREHEADERS,0),MATCH(($A726),CLASSNAMEHEADERS,0))="Alchemy","Alchemy","Spells")))))}</f>
        <v>SPELL/ALCHEMY</v>
      </c>
      <c r="E725" s="222" t="str">
        <f t="array" ref="E725:E726">{"SPELLLIST";(IF(D726="Spells",((INDEX(ALLCLASSDATA,MATCH("CasterType",CLASSFEATUREHEADERS,0),MATCH(($A726),CLASSNAMEHEADERS,0))) &amp; ":" &amp; (INDEX(ALLCLASSDATA,MATCH("SpellList",CLASSFEATUREHEADERS,0),MATCH(($A726),CLASSNAMEHEADERS,0)))),""))}</f>
        <v>SPELLLIST</v>
      </c>
      <c r="F725" s="223" t="str">
        <f t="array" ref="F725:F726">{"LEARNED/LVL";(IF(D726="","","Learn/LVL:"))}</f>
        <v>LEARNED/LVL</v>
      </c>
      <c r="G725" s="223" t="str">
        <f t="array" ref="G725:G726">{"LEARNEDCANTRIPS";(INDEX(ALLCLASSDATA,MATCH("CantripsLearned-L00",CLASSFEATUREHEADERS,0),MATCH($A726,CLASSNAMEHEADERS,0)))}</f>
        <v>LEARNEDCANTRIPS</v>
      </c>
      <c r="H725" s="223" t="str">
        <f t="array" ref="H725:H726">{"LEARNED L01";(INDEX(ALLCLASSDATA,MATCH("Learned-L01",CLASSFEATUREHEADERS,0),MATCH($A726,CLASSNAMEHEADERS,0)))}</f>
        <v>LEARNED L01</v>
      </c>
      <c r="I725" s="223" t="str">
        <f t="array" ref="I725:I726">{"LEARNED L02";(INDEX(ALLCLASSDATA,MATCH("Learned-L02",CLASSFEATUREHEADERS,0),MATCH($A726,CLASSNAMEHEADERS,0)))}</f>
        <v>LEARNED L02</v>
      </c>
      <c r="J725" s="223" t="str">
        <f t="array" ref="J725:J726">{"LEARNED L03";(INDEX(ALLCLASSDATA,MATCH("Learned-L03",CLASSFEATUREHEADERS,0),MATCH($A726,CLASSNAMEHEADERS,0)))}</f>
        <v>LEARNED L03</v>
      </c>
      <c r="K725" s="223" t="str">
        <f t="array" ref="K725:K726">{"LEARNED L04";(INDEX(ALLCLASSDATA,MATCH("Learned-L04",CLASSFEATUREHEADERS,0),MATCH($A726,CLASSNAMEHEADERS,0)))}</f>
        <v>LEARNED L04</v>
      </c>
      <c r="L725" s="223" t="str">
        <f t="array" ref="L725:L726">{"LEARNED L05";(INDEX(ALLCLASSDATA,MATCH("Learned-L05",CLASSFEATUREHEADERS,0),MATCH($A726,CLASSNAMEHEADERS,0)))}</f>
        <v>LEARNED L05</v>
      </c>
      <c r="M725" s="223" t="str">
        <f t="array" ref="M725:M726">{"LEARNED L06";(INDEX(ALLCLASSDATA,MATCH("Learned-L06",CLASSFEATUREHEADERS,0),MATCH($A726,CLASSNAMEHEADERS,0)))}</f>
        <v>LEARNED L06</v>
      </c>
      <c r="N725" s="223" t="str">
        <f t="array" ref="N725:N726">{"LEARNED L07";(INDEX(ALLCLASSDATA,MATCH("Learned-L07",CLASSFEATUREHEADERS,0),MATCH($A726,CLASSNAMEHEADERS,0)))}</f>
        <v>LEARNED L07</v>
      </c>
      <c r="O725" s="223" t="str">
        <f t="array" ref="O725:O726">{"LEARNED L08";(INDEX(ALLCLASSDATA,MATCH("Learned-L08",CLASSFEATUREHEADERS,0),MATCH($A726,CLASSNAMEHEADERS,0)))}</f>
        <v>LEARNED L08</v>
      </c>
      <c r="P725" s="223" t="str">
        <f t="array" ref="P725:P726">{"LEARNED L09";(INDEX(ALLCLASSDATA,MATCH("Learned-L09",CLASSFEATUREHEADERS,0),MATCH($A726,CLASSNAMEHEADERS,0)))}</f>
        <v>LEARNED L09</v>
      </c>
      <c r="Q725" s="223" t="str">
        <f t="array" ref="Q725:Q726">{"LEARNED L10";(INDEX(ALLCLASSDATA,MATCH("Learned-L10",CLASSFEATUREHEADERS,0),MATCH($A726,CLASSNAMEHEADERS,0)))}</f>
        <v>LEARNED L10</v>
      </c>
      <c r="R725" s="223" t="str">
        <f t="array" ref="R725:R726">{"LEARNED L11";(INDEX(ALLCLASSDATA,MATCH("Learned-L11",CLASSFEATUREHEADERS,0),MATCH($A726,CLASSNAMEHEADERS,0)))}</f>
        <v>LEARNED L11</v>
      </c>
      <c r="S725" s="223" t="str">
        <f t="array" ref="S725:S726">{"LEARNED L12";(INDEX(ALLCLASSDATA,MATCH("Learned-L12",CLASSFEATUREHEADERS,0),MATCH($A726,CLASSNAMEHEADERS,0)))}</f>
        <v>LEARNED L12</v>
      </c>
      <c r="T725" s="223" t="str">
        <f t="array" ref="T725:T726">{"LEARNED L13";(INDEX(ALLCLASSDATA,MATCH("Learned-L13",CLASSFEATUREHEADERS,0),MATCH($A726,CLASSNAMEHEADERS,0)))}</f>
        <v>LEARNED L13</v>
      </c>
      <c r="U725" s="223" t="str">
        <f t="array" ref="U725:U726">{"LEARNED L14";(INDEX(ALLCLASSDATA,MATCH("Learned-L14",CLASSFEATUREHEADERS,0),MATCH($A726,CLASSNAMEHEADERS,0)))}</f>
        <v>LEARNED L14</v>
      </c>
      <c r="V725" s="223" t="str">
        <f t="array" ref="V725:V726">{"LEARNED L15";(INDEX(ALLCLASSDATA,MATCH("Learned-L15",CLASSFEATUREHEADERS,0),MATCH($A726,CLASSNAMEHEADERS,0)))}</f>
        <v>LEARNED L15</v>
      </c>
      <c r="W725" s="223" t="str">
        <f t="array" ref="W725:W726">{"LEARNED L16";(INDEX(ALLCLASSDATA,MATCH("Learned-L16",CLASSFEATUREHEADERS,0),MATCH($A726,CLASSNAMEHEADERS,0)))}</f>
        <v>LEARNED L16</v>
      </c>
      <c r="X725" s="223" t="str">
        <f t="array" ref="X725:X726">{"LEARNED L17";(INDEX(ALLCLASSDATA,MATCH("Learned-L17",CLASSFEATUREHEADERS,0),MATCH($A726,CLASSNAMEHEADERS,0)))}</f>
        <v>LEARNED L17</v>
      </c>
      <c r="Y725" s="223" t="str">
        <f t="array" ref="Y725:Y726">{"LEARNED L18";(INDEX(ALLCLASSDATA,MATCH("Learned-L18",CLASSFEATUREHEADERS,0),MATCH($A726,CLASSNAMEHEADERS,0)))}</f>
        <v>LEARNED L18</v>
      </c>
      <c r="Z725" s="223" t="str">
        <f t="array" ref="Z725:Z726">{"LEARNED L19";(INDEX(ALLCLASSDATA,MATCH("Learned-L19",CLASSFEATUREHEADERS,0),MATCH($A726,CLASSNAMEHEADERS,0)))}</f>
        <v>LEARNED L19</v>
      </c>
      <c r="AA725" s="223" t="str">
        <f t="array" ref="AA725:AA726">{"LEARNED L20";(INDEX(ALLCLASSDATA,MATCH("Learned-L20",CLASSFEATUREHEADERS,0),MATCH($A726,CLASSNAMEHEADERS,0)))}</f>
        <v>LEARNED L20</v>
      </c>
      <c r="AB725" s="76"/>
      <c r="AC725" s="76"/>
    </row>
    <row r="726">
      <c r="A726" s="48" t="s">
        <v>170</v>
      </c>
      <c r="B726" s="48"/>
      <c r="C726" s="48" t="s">
        <v>415</v>
      </c>
      <c r="D726" s="48" t="s">
        <v>603</v>
      </c>
      <c r="E726" s="48" t="s">
        <v>603</v>
      </c>
      <c r="F726" s="278" t="s">
        <v>603</v>
      </c>
      <c r="G726" s="280"/>
      <c r="H726" s="278"/>
      <c r="I726" s="278"/>
      <c r="J726" s="278"/>
      <c r="K726" s="278"/>
      <c r="L726" s="278"/>
      <c r="M726" s="278"/>
      <c r="N726" s="278"/>
      <c r="O726" s="50"/>
      <c r="P726" s="278"/>
      <c r="Q726" s="278"/>
      <c r="R726" s="278"/>
      <c r="S726" s="278"/>
      <c r="T726" s="278"/>
      <c r="U726" s="278"/>
      <c r="V726" s="278"/>
      <c r="W726" s="278"/>
      <c r="X726" s="278"/>
      <c r="Y726" s="278"/>
      <c r="Z726" s="278"/>
      <c r="AA726" s="278"/>
      <c r="AB726" s="278"/>
      <c r="AC726" s="47"/>
    </row>
    <row r="727" hidden="1">
      <c r="A727" s="222" t="str">
        <f t="array" ref="A727:A728">{"FormulaRow44";(INDEX(CLASSLIST,A640,1))}</f>
        <v>FormulaRow44</v>
      </c>
      <c r="B727" s="77" t="s">
        <v>236</v>
      </c>
      <c r="C727" s="222" t="str">
        <f t="array" ref="C727:C728">{"CLASSTYPE";((INDEX(ALLCLASSDATA,MATCH("ClassType",CLASSFEATUREHEADERS,0),MATCH($A728,CLASSNAMEHEADERS,0))))}</f>
        <v>CLASSTYPE</v>
      </c>
      <c r="D727" s="222" t="str">
        <f t="array" ref="D727:D728">{"SPELL/ALCHEMY";((IF(INDEX(ALLCLASSDATA,MATCH("CasterType",CLASSFEATUREHEADERS,0),MATCH(($A728),CLASSNAMEHEADERS,0))="","",(IF(INDEX(ALLCLASSDATA,MATCH("CasterType",CLASSFEATUREHEADERS,0),MATCH(($A728),CLASSNAMEHEADERS,0))="Alchemy","","Spells")))))}</f>
        <v>SPELL/ALCHEMY</v>
      </c>
      <c r="E727" s="222" t="str">
        <f t="array" ref="E727:E728">{"SPELLLIST";(IF(D728="Spells",((INDEX(ALLCLASSDATA,MATCH("CasterType",CLASSFEATUREHEADERS,0),MATCH(($A728),CLASSNAMEHEADERS,0))) &amp; ":" &amp; (INDEX(ALLCLASSDATA,MATCH("SpellList",CLASSFEATUREHEADERS,0),MATCH(($A728),CLASSNAMEHEADERS,0)))),""))}</f>
        <v>SPELLLIST</v>
      </c>
      <c r="F727" s="223" t="str">
        <f t="array" ref="F727:F728">{"TOTALSLOTS";(IF(D728="","","TotalSlots:"))}</f>
        <v>TOTALSLOTS</v>
      </c>
      <c r="G727" s="223" t="str">
        <f t="array" ref="G727:G728">{"TOTALCANTRIPSLOTS";(G724)}</f>
        <v>TOTALCANTRIPSLOTS</v>
      </c>
      <c r="H727" s="223" t="str">
        <f t="array" ref="H727:H728">{"TOTALSLOTS L01";(H724)}</f>
        <v>TOTALSLOTS L01</v>
      </c>
      <c r="I727" s="223" t="str">
        <f t="array" ref="I727:I728">{"TOTALSLOTS L02";(H728+I724)}</f>
        <v>TOTALSLOTS L02</v>
      </c>
      <c r="J727" s="223" t="str">
        <f t="array" ref="J727:J728">{"TOTALSLOTS L03";(I728+J724)}</f>
        <v>TOTALSLOTS L03</v>
      </c>
      <c r="K727" s="223" t="str">
        <f t="array" ref="K727:K728">{"TOTALSLOTS L04";(J728+K724)}</f>
        <v>TOTALSLOTS L04</v>
      </c>
      <c r="L727" s="223" t="str">
        <f t="array" ref="L727:L728">{"TOTALSLOTS L05";(K728+L724)}</f>
        <v>TOTALSLOTS L05</v>
      </c>
      <c r="M727" s="223" t="str">
        <f t="array" ref="M727:M728">{"TOTALSLOTS L06";(L728+M724)}</f>
        <v>TOTALSLOTS L06</v>
      </c>
      <c r="N727" s="223" t="str">
        <f t="array" ref="N727:N728">{"TOTALSLOTS L07";(M728+N724)}</f>
        <v>TOTALSLOTS L07</v>
      </c>
      <c r="O727" s="223" t="str">
        <f t="array" ref="O727:O728">{"TOTALSLOTS L08";(N728+O724)}</f>
        <v>TOTALSLOTS L08</v>
      </c>
      <c r="P727" s="223" t="str">
        <f t="array" ref="P727:P728">{"TOTALSLOTS L09";(O728+P724)}</f>
        <v>TOTALSLOTS L09</v>
      </c>
      <c r="Q727" s="223" t="str">
        <f t="array" ref="Q727:Q728">{"TOTALSLOTS L10";(P728+Q724)}</f>
        <v>TOTALSLOTS L10</v>
      </c>
      <c r="R727" s="223" t="str">
        <f t="array" ref="R727:R728">{"TOTALSLOTS L11";(Q728+R724)}</f>
        <v>TOTALSLOTS L11</v>
      </c>
      <c r="S727" s="223" t="str">
        <f t="array" ref="S727:S728">{"TOTALSLOTS L12";(R728+S724)}</f>
        <v>TOTALSLOTS L12</v>
      </c>
      <c r="T727" s="223" t="str">
        <f t="array" ref="T727:T728">{"TOTALSLOTS L13";(S728+T724)}</f>
        <v>TOTALSLOTS L13</v>
      </c>
      <c r="U727" s="223" t="str">
        <f t="array" ref="U727:U728">{"TOTALSLOTS L14";(T728+U724)}</f>
        <v>TOTALSLOTS L14</v>
      </c>
      <c r="V727" s="223" t="str">
        <f t="array" ref="V727:V728">{"TOTALSLOTS L15";(U728+V724)}</f>
        <v>TOTALSLOTS L15</v>
      </c>
      <c r="W727" s="223" t="str">
        <f t="array" ref="W727:W728">{"TOTALSLOTS L16";(V728+W724)}</f>
        <v>TOTALSLOTS L16</v>
      </c>
      <c r="X727" s="223" t="str">
        <f t="array" ref="X727:X728">{"TOTALSLOTS L17";(W728+X724)}</f>
        <v>TOTALSLOTS L17</v>
      </c>
      <c r="Y727" s="223" t="str">
        <f t="array" ref="Y727:Y728">{"TOTALSLOTS L18";(X728+Y724)}</f>
        <v>TOTALSLOTS L18</v>
      </c>
      <c r="Z727" s="223" t="str">
        <f t="array" ref="Z727:Z728">{"TOTALSLOTS L19";(Y728+Z724)}</f>
        <v>TOTALSLOTS L19</v>
      </c>
      <c r="AA727" s="223" t="str">
        <f t="array" ref="AA727:AA728">{"TOTALSLOTS L20";(Z728+AA724)}</f>
        <v>TOTALSLOTS L20</v>
      </c>
      <c r="AB727" s="76"/>
      <c r="AC727" s="76"/>
    </row>
    <row r="728">
      <c r="A728" s="48" t="s">
        <v>170</v>
      </c>
      <c r="B728" s="48"/>
      <c r="C728" s="48" t="s">
        <v>415</v>
      </c>
      <c r="D728" s="48" t="s">
        <v>603</v>
      </c>
      <c r="E728" s="48" t="s">
        <v>603</v>
      </c>
      <c r="F728" s="278" t="s">
        <v>603</v>
      </c>
      <c r="G728" s="280"/>
      <c r="H728" s="278"/>
      <c r="I728" s="278">
        <v>0.0</v>
      </c>
      <c r="J728" s="278">
        <v>0.0</v>
      </c>
      <c r="K728" s="278">
        <v>0.0</v>
      </c>
      <c r="L728" s="278">
        <v>0.0</v>
      </c>
      <c r="M728" s="278">
        <v>0.0</v>
      </c>
      <c r="N728" s="278">
        <v>0.0</v>
      </c>
      <c r="O728" s="278">
        <v>0.0</v>
      </c>
      <c r="P728" s="278">
        <v>0.0</v>
      </c>
      <c r="Q728" s="278">
        <v>0.0</v>
      </c>
      <c r="R728" s="278">
        <v>0.0</v>
      </c>
      <c r="S728" s="278">
        <v>0.0</v>
      </c>
      <c r="T728" s="278">
        <v>0.0</v>
      </c>
      <c r="U728" s="278">
        <v>0.0</v>
      </c>
      <c r="V728" s="278">
        <v>0.0</v>
      </c>
      <c r="W728" s="278">
        <v>0.0</v>
      </c>
      <c r="X728" s="278">
        <v>0.0</v>
      </c>
      <c r="Y728" s="278">
        <v>0.0</v>
      </c>
      <c r="Z728" s="278">
        <v>0.0</v>
      </c>
      <c r="AA728" s="278">
        <v>0.0</v>
      </c>
      <c r="AB728" s="5"/>
      <c r="AC728" s="47"/>
    </row>
    <row r="729" hidden="1">
      <c r="A729" s="222" t="str">
        <f t="array" ref="A729:A730">{"FormulaRow45";(INDEX(CLASSLIST,A640,1))}</f>
        <v>FormulaRow45</v>
      </c>
      <c r="B729" s="77" t="s">
        <v>236</v>
      </c>
      <c r="C729" s="222" t="str">
        <f t="array" ref="C729:C730">{"CLASSTYPE";((INDEX(ALLCLASSDATA,MATCH("ClassType",CLASSFEATUREHEADERS,0),MATCH($A730,CLASSNAMEHEADERS,0))))}</f>
        <v>CLASSTYPE</v>
      </c>
      <c r="D729" s="222" t="str">
        <f t="array" ref="D729:D730">{"SPELL/ALCHEMY";((IF(INDEX(ALLCLASSDATA,MATCH("CasterType",CLASSFEATUREHEADERS,0),MATCH(($A730),CLASSNAMEHEADERS,0))="","",(IF(INDEX(ALLCLASSDATA,MATCH("CasterType",CLASSFEATUREHEADERS,0),MATCH(($A730),CLASSNAMEHEADERS,0))="Alchemy","Alchemy","Spells")))))}</f>
        <v>SPELL/ALCHEMY</v>
      </c>
      <c r="E729" s="222" t="str">
        <f t="array" ref="E729:E730">{"SPELLLIST";(IF(D730="Spells",((INDEX(ALLCLASSDATA,MATCH("CasterType",CLASSFEATUREHEADERS,0),MATCH(($A730),CLASSNAMEHEADERS,0))) &amp; ":" &amp; (INDEX(ALLCLASSDATA,MATCH("SpellList",CLASSFEATUREHEADERS,0),MATCH(($A730),CLASSNAMEHEADERS,0)))),""))}</f>
        <v>SPELLLIST</v>
      </c>
      <c r="F729" s="223" t="str">
        <f t="array" ref="F729:F730">{"TOTALLEARNED";(IF(D730="","","TotalLearned:"))}</f>
        <v>TOTALLEARNED</v>
      </c>
      <c r="G729" s="223" t="str">
        <f t="array" ref="G729:G730">{"TOTALCANTRIPSLEARNED";(G726)}</f>
        <v>TOTALCANTRIPSLEARNED</v>
      </c>
      <c r="H729" s="223" t="str">
        <f t="array" ref="H729:H730">{"TOTALLEARNED L01";(H726)}</f>
        <v>TOTALLEARNED L01</v>
      </c>
      <c r="I729" s="223" t="str">
        <f t="array" ref="I729:I730">{"TOTALLEARNED L02";(H730+I726)}</f>
        <v>TOTALLEARNED L02</v>
      </c>
      <c r="J729" s="223" t="str">
        <f t="array" ref="J729:J730">{"TOTALLEARNED L03";(I730+J726)}</f>
        <v>TOTALLEARNED L03</v>
      </c>
      <c r="K729" s="223" t="str">
        <f t="array" ref="K729:K730">{"TOTALLEARNED L04";(J730+K726)}</f>
        <v>TOTALLEARNED L04</v>
      </c>
      <c r="L729" s="223" t="str">
        <f t="array" ref="L729:L730">{"TOTALLEARNED L05";(K730+L726)}</f>
        <v>TOTALLEARNED L05</v>
      </c>
      <c r="M729" s="223" t="str">
        <f t="array" ref="M729:M730">{"TOTALLEARNED L06";(L730+M726)}</f>
        <v>TOTALLEARNED L06</v>
      </c>
      <c r="N729" s="223" t="str">
        <f t="array" ref="N729:N730">{"TOTALLEARNED L07";(M730+N726)}</f>
        <v>TOTALLEARNED L07</v>
      </c>
      <c r="O729" s="223" t="str">
        <f t="array" ref="O729:O730">{"TOTALLEARNED L08";(N730+O726)}</f>
        <v>TOTALLEARNED L08</v>
      </c>
      <c r="P729" s="223" t="str">
        <f t="array" ref="P729:P730">{"TOTALLEARNED L09";(O730+P726)}</f>
        <v>TOTALLEARNED L09</v>
      </c>
      <c r="Q729" s="223" t="str">
        <f t="array" ref="Q729:Q730">{"TOTALLEARNED L10";(P730+Q726)}</f>
        <v>TOTALLEARNED L10</v>
      </c>
      <c r="R729" s="223" t="str">
        <f t="array" ref="R729:R730">{"TOTALLEARNED L11";(Q730+R726)}</f>
        <v>TOTALLEARNED L11</v>
      </c>
      <c r="S729" s="223" t="str">
        <f t="array" ref="S729:S730">{"TOTALLEARNED L12";(R730+S726)}</f>
        <v>TOTALLEARNED L12</v>
      </c>
      <c r="T729" s="223" t="str">
        <f t="array" ref="T729:T730">{"TOTALLEARNED L13";(S730+T726)}</f>
        <v>TOTALLEARNED L13</v>
      </c>
      <c r="U729" s="223" t="str">
        <f t="array" ref="U729:U730">{"TOTALLEARNED L14";(T730+U726)}</f>
        <v>TOTALLEARNED L14</v>
      </c>
      <c r="V729" s="223" t="str">
        <f t="array" ref="V729:V730">{"TOTALLEARNED L15";(U730+V726)}</f>
        <v>TOTALLEARNED L15</v>
      </c>
      <c r="W729" s="223" t="str">
        <f t="array" ref="W729:W730">{"TOTALLEARNED L16";(V730+W726)}</f>
        <v>TOTALLEARNED L16</v>
      </c>
      <c r="X729" s="223" t="str">
        <f t="array" ref="X729:X730">{"TOTALLEARNED L17";(W730+X726)}</f>
        <v>TOTALLEARNED L17</v>
      </c>
      <c r="Y729" s="223" t="str">
        <f t="array" ref="Y729:Y730">{"TOTALLEARNED L18";(X730+Y726)}</f>
        <v>TOTALLEARNED L18</v>
      </c>
      <c r="Z729" s="223" t="str">
        <f t="array" ref="Z729:Z730">{"TOTALLEARNED L19";(Y730+Z726)}</f>
        <v>TOTALLEARNED L19</v>
      </c>
      <c r="AA729" s="223" t="str">
        <f t="array" ref="AA729:AA730">{"TOTALLEARNED L20";(Z730+AA726)}</f>
        <v>TOTALLEARNED L20</v>
      </c>
      <c r="AB729" s="76"/>
      <c r="AC729" s="76"/>
    </row>
    <row r="730">
      <c r="A730" s="97" t="s">
        <v>170</v>
      </c>
      <c r="B730" s="97"/>
      <c r="C730" s="97" t="s">
        <v>415</v>
      </c>
      <c r="D730" s="97" t="s">
        <v>603</v>
      </c>
      <c r="E730" s="97" t="s">
        <v>603</v>
      </c>
      <c r="F730" s="281" t="s">
        <v>603</v>
      </c>
      <c r="G730" s="282"/>
      <c r="H730" s="278"/>
      <c r="I730" s="278">
        <v>0.0</v>
      </c>
      <c r="J730" s="278">
        <v>0.0</v>
      </c>
      <c r="K730" s="278">
        <v>0.0</v>
      </c>
      <c r="L730" s="278">
        <v>0.0</v>
      </c>
      <c r="M730" s="278">
        <v>0.0</v>
      </c>
      <c r="N730" s="278">
        <v>0.0</v>
      </c>
      <c r="O730" s="278">
        <v>0.0</v>
      </c>
      <c r="P730" s="278">
        <v>0.0</v>
      </c>
      <c r="Q730" s="278">
        <v>0.0</v>
      </c>
      <c r="R730" s="278">
        <v>0.0</v>
      </c>
      <c r="S730" s="278">
        <v>0.0</v>
      </c>
      <c r="T730" s="278">
        <v>0.0</v>
      </c>
      <c r="U730" s="278">
        <v>0.0</v>
      </c>
      <c r="V730" s="278">
        <v>0.0</v>
      </c>
      <c r="W730" s="278">
        <v>0.0</v>
      </c>
      <c r="X730" s="278">
        <v>0.0</v>
      </c>
      <c r="Y730" s="278">
        <v>0.0</v>
      </c>
      <c r="Z730" s="278">
        <v>0.0</v>
      </c>
      <c r="AA730" s="278">
        <v>0.0</v>
      </c>
      <c r="AB730" s="5"/>
      <c r="AC730" s="47"/>
    </row>
    <row r="731">
      <c r="A731" s="55">
        <f>VLOOKUP($C731, CLASSNUMBERFINDER, 2, false)</f>
        <v>9</v>
      </c>
      <c r="B731" s="58"/>
      <c r="C731" s="70" t="s">
        <v>176</v>
      </c>
      <c r="D731" s="71"/>
      <c r="E731" s="71"/>
      <c r="F731" s="71"/>
      <c r="G731" s="72"/>
      <c r="H731" s="71"/>
      <c r="I731" s="71"/>
      <c r="J731" s="71"/>
      <c r="K731" s="71"/>
      <c r="L731" s="71"/>
      <c r="M731" s="71"/>
      <c r="N731" s="71"/>
      <c r="O731" s="71"/>
      <c r="P731" s="71"/>
      <c r="Q731" s="71"/>
      <c r="R731" s="71"/>
      <c r="S731" s="71"/>
      <c r="T731" s="71"/>
      <c r="U731" s="71"/>
      <c r="V731" s="71"/>
      <c r="W731" s="71"/>
      <c r="X731" s="71"/>
      <c r="Y731" s="71"/>
      <c r="Z731" s="71"/>
      <c r="AA731" s="71"/>
      <c r="AB731" s="71"/>
      <c r="AC731" s="73"/>
    </row>
    <row r="732" hidden="1">
      <c r="A732" s="76" t="str">
        <f t="array" ref="A732:A733">{"FormulaRow01";(INDEX(CLASSLIST,A731,1))}</f>
        <v>FormulaRow01</v>
      </c>
      <c r="B732" s="77" t="s">
        <v>236</v>
      </c>
      <c r="C732" s="76" t="str">
        <f t="array" ref="C732:C733">{"CLASSTYPE";(INDEX(ALLCLASSDATA,MATCH("ClassType",CLASSFEATUREHEADERS,0),MATCH($A733,CLASSNAMEHEADERS,0)))}</f>
        <v>CLASSTYPE</v>
      </c>
      <c r="D732" s="81" t="str">
        <f t="array" ref="D732:D733">{"TOTAL";("Total: " &amp; H733+J733+L733+N733+P733+R733+T733+V733+X733+Z733)}</f>
        <v>TOTAL</v>
      </c>
      <c r="E732" s="81" t="str">
        <f t="array" ref="E732:E733">{"BALANCE";(IF((H733+J733+L733+N733+P733+R733+T733+V733+X733+Z733)=2100,"(balanced)",(IF((H733+J733+L733+N733+P733+R733+T733+V733+X733+Z733)&gt;2100,"OVERBUDGET: ","UNDERBUDGET: ")) &amp; (H733+J733+L733+N733+P733+R733+T733+V733+X733+Z733-2100)))}</f>
        <v>BALANCE</v>
      </c>
      <c r="F732" s="81"/>
      <c r="G732" s="81"/>
      <c r="H732" s="81" t="str">
        <f t="array" ref="H732:H733">{"SUM LVL0/1/2";((SUMIF(F734:I813,"&lt;&gt;#REF!")+(SUMIF(J734:AA741,"&lt;&gt;#REF!"))))}</f>
        <v>SUM LVL0/1/2</v>
      </c>
      <c r="I732" s="81"/>
      <c r="J732" s="81" t="str">
        <f t="array" ref="J732:J733">{"SUM LVL3/4";(SUMIF(J742:K813,"&lt;&gt;#REF!"))}</f>
        <v>SUM LVL3/4</v>
      </c>
      <c r="K732" s="81"/>
      <c r="L732" s="81" t="str">
        <f t="array" ref="L732:L733">{"SUM LVL5/6";(SUMIF(L742:M813,"&lt;&gt;#REF!"))}</f>
        <v>SUM LVL5/6</v>
      </c>
      <c r="M732" s="81"/>
      <c r="N732" s="81" t="str">
        <f t="array" ref="N732:N733">{"SUM LVL7/8";(SUMIF(N742:O813,"&lt;&gt;#REF!"))}</f>
        <v>SUM LVL7/8</v>
      </c>
      <c r="O732" s="81"/>
      <c r="P732" s="81" t="str">
        <f t="array" ref="P732:P733">{"SUM LVL9/10";(SUMIF(P742:Q813,"&lt;&gt;#REF!"))}</f>
        <v>SUM LVL9/10</v>
      </c>
      <c r="Q732" s="81"/>
      <c r="R732" s="81" t="str">
        <f t="array" ref="R732:R733">{"SUM LVL11/12";(SUMIF(R742:S813,"&lt;&gt;#REF!"))}</f>
        <v>SUM LVL11/12</v>
      </c>
      <c r="S732" s="81"/>
      <c r="T732" s="81" t="str">
        <f t="array" ref="T732:T733">{"SUM LVL13/14";(SUMIF(T742:U813,"&lt;&gt;#REF!"))}</f>
        <v>SUM LVL13/14</v>
      </c>
      <c r="U732" s="81"/>
      <c r="V732" s="81" t="str">
        <f t="array" ref="V732:V733">{"SUM LVL15/16";(SUMIF(V742:W813,"&lt;&gt;#REF!"))}</f>
        <v>SUM LVL15/16</v>
      </c>
      <c r="W732" s="81"/>
      <c r="X732" s="81" t="str">
        <f t="array" ref="X732:X733">{"SUM LVL17/18";(SUMIF(X742:Y813,"&lt;&gt;#REF!"))}</f>
        <v>SUM LVL17/18</v>
      </c>
      <c r="Y732" s="81"/>
      <c r="Z732" s="81" t="str">
        <f t="array" ref="Z732:Z733">{"SUM LVL19/20";(SUMIF(Z742:AA813,"&lt;&gt;#REF!"))}</f>
        <v>SUM LVL19/20</v>
      </c>
      <c r="AA732" s="81"/>
      <c r="AB732" s="76"/>
      <c r="AC732" s="76" t="str">
        <f t="array" ref="AC732:AC733">{"SUM ROWTOTALS";(SUMIF(AC735:AC821,"&lt;&gt;#REF!"))}</f>
        <v>SUM ROWTOTALS</v>
      </c>
    </row>
    <row r="733">
      <c r="A733" s="48" t="s">
        <v>176</v>
      </c>
      <c r="B733" s="48"/>
      <c r="C733" s="48" t="s">
        <v>415</v>
      </c>
      <c r="D733" s="91" t="s">
        <v>416</v>
      </c>
      <c r="E733" s="92" t="s">
        <v>419</v>
      </c>
      <c r="F733" s="91"/>
      <c r="G733" s="93"/>
      <c r="H733" s="92">
        <v>445.0</v>
      </c>
      <c r="I733" s="92"/>
      <c r="J733" s="92">
        <v>155.0</v>
      </c>
      <c r="K733" s="92"/>
      <c r="L733" s="92">
        <v>100.0</v>
      </c>
      <c r="M733" s="92"/>
      <c r="N733" s="92">
        <v>185.0</v>
      </c>
      <c r="O733" s="92"/>
      <c r="P733" s="92">
        <v>80.0</v>
      </c>
      <c r="Q733" s="92"/>
      <c r="R733" s="92">
        <v>120.0</v>
      </c>
      <c r="S733" s="92"/>
      <c r="T733" s="92">
        <v>350.0</v>
      </c>
      <c r="U733" s="92"/>
      <c r="V733" s="92">
        <v>325.0</v>
      </c>
      <c r="W733" s="92"/>
      <c r="X733" s="92">
        <v>110.0</v>
      </c>
      <c r="Y733" s="92"/>
      <c r="Z733" s="92">
        <v>230.0</v>
      </c>
      <c r="AA733" s="92"/>
      <c r="AB733" s="5"/>
      <c r="AC733" s="47">
        <v>2100.0</v>
      </c>
    </row>
    <row r="734" hidden="1">
      <c r="A734" s="76" t="str">
        <f t="array" ref="A734:A735">{"FormulaRow02";(INDEX(CLASSLIST,A731,1))}</f>
        <v>FormulaRow02</v>
      </c>
      <c r="B734" s="77" t="s">
        <v>236</v>
      </c>
      <c r="C734" s="76" t="str">
        <f t="array" ref="C734:C735">{"CLASSTYPE";((INDEX(ALLCLASSDATA,MATCH("ClassType",CLASSFEATUREHEADERS,0),MATCH($A735,CLASSNAMEHEADERS,0))))}</f>
        <v>CLASSTYPE</v>
      </c>
      <c r="D734" s="81" t="str">
        <f t="array" ref="D734:D735">{"FEATURES";"Features"}</f>
        <v>FEATURES</v>
      </c>
      <c r="E734" s="81" t="str">
        <f t="array" ref="E734:E735">{"INITIALFEATURES";"Initial Features"}</f>
        <v>INITIALFEATURES</v>
      </c>
      <c r="F734" s="81" t="str">
        <f t="array" ref="F734:F735">{"KEY";"Key"}</f>
        <v>KEY</v>
      </c>
      <c r="G734" s="81" t="str">
        <f t="array" ref="G734:G735">{"HP";"HP"}</f>
        <v>HP</v>
      </c>
      <c r="H734" s="81" t="str">
        <f t="array" ref="H734:H735">{"CLASSFEATL01";"ClassFeatL01"}</f>
        <v>CLASSFEATL01</v>
      </c>
      <c r="I734" s="81" t="str">
        <f t="array" ref="I734:I735">{"SHIELDBLOCKL01";"ShieldBlockL01"}</f>
        <v>SHIELDBLOCKL01</v>
      </c>
      <c r="J734" s="81" t="str">
        <f t="array" ref="J734:J735">{"INITIALSKILLS";"InitialSkills"}</f>
        <v>INITIALSKILLS</v>
      </c>
      <c r="K734" s="81" t="str">
        <f t="array" ref="K734:K735">{"SUBCLASSSKILLS";"SubclassSkills"}</f>
        <v>SUBCLASSSKILLS</v>
      </c>
      <c r="L734" s="81" t="str">
        <f t="array" ref="L734:L735">{"GRANTEDSKILLS";"GrantedSkills"}</f>
        <v>GRANTEDSKILLS</v>
      </c>
      <c r="M734" s="81"/>
      <c r="N734" s="81"/>
      <c r="O734" s="81"/>
      <c r="P734" s="81" t="str">
        <f t="array" ref="P734:P735">{"FOCUSSPELLS";"FocusSpells:"}</f>
        <v>FOCUSSPELLS</v>
      </c>
      <c r="Q734" s="81" t="str">
        <f t="array" ref="Q734:Q735">{"FOCUSSPELL1-L00";((INDEX(ALLCLASSDATA,MATCH("FocusSpell1-L00",CLASSFEATUREHEADERS,0),MATCH(($A735),CLASSNAMEHEADERS,0))))}</f>
        <v>FOCUSSPELL1-L00</v>
      </c>
      <c r="R734" s="81" t="str">
        <f t="array" ref="R734:R735">{"FOCUSSPELL2-L00";((INDEX(ALLCLASSDATA,MATCH("FocusSpell2-L00",CLASSFEATUREHEADERS,0),MATCH(($A735),CLASSNAMEHEADERS,0))))}</f>
        <v>FOCUSSPELL2-L00</v>
      </c>
      <c r="S734" s="81" t="str">
        <f t="array" ref="S734:S735">{"FOCUSSPELL3-L00";((INDEX(ALLCLASSDATA,MATCH("FocusSpell3-L00",CLASSFEATUREHEADERS,0),MATCH(($A735),CLASSNAMEHEADERS,0))))}</f>
        <v>FOCUSSPELL3-L00</v>
      </c>
      <c r="T734" s="81" t="str">
        <f t="array" ref="T734:T735">{"FOCUSSPELL4-L00";((INDEX(ALLCLASSDATA,MATCH("FocusSpell4-L00",CLASSFEATUREHEADERS,0),MATCH(($A735),CLASSNAMEHEADERS,0))))}</f>
        <v>FOCUSSPELL4-L00</v>
      </c>
      <c r="U734" s="81" t="str">
        <f t="array" ref="U734:U735">{"FOCUSSPELL5-L00";((INDEX(ALLCLASSDATA,MATCH("FocusSpell5-L00",CLASSFEATUREHEADERS,0),MATCH(($A735),CLASSNAMEHEADERS,0))))}</f>
        <v>FOCUSSPELL5-L00</v>
      </c>
      <c r="V734" s="81"/>
      <c r="W734" s="81"/>
      <c r="X734" s="81"/>
      <c r="Y734" s="81"/>
      <c r="Z734" s="81"/>
      <c r="AA734" s="81"/>
      <c r="AB734" s="76"/>
      <c r="AC734" s="76"/>
    </row>
    <row r="735">
      <c r="A735" s="48" t="s">
        <v>176</v>
      </c>
      <c r="B735" s="48"/>
      <c r="C735" s="48" t="s">
        <v>415</v>
      </c>
      <c r="D735" s="48" t="s">
        <v>467</v>
      </c>
      <c r="E735" s="48" t="s">
        <v>468</v>
      </c>
      <c r="F735" s="48" t="s">
        <v>469</v>
      </c>
      <c r="G735" s="114" t="s">
        <v>15</v>
      </c>
      <c r="H735" s="8" t="s">
        <v>451</v>
      </c>
      <c r="I735" s="8" t="s">
        <v>463</v>
      </c>
      <c r="J735" s="8" t="s">
        <v>473</v>
      </c>
      <c r="K735" s="8" t="s">
        <v>474</v>
      </c>
      <c r="L735" s="8" t="s">
        <v>475</v>
      </c>
      <c r="M735" s="8"/>
      <c r="N735" s="8"/>
      <c r="O735" s="8"/>
      <c r="P735" s="8" t="s">
        <v>476</v>
      </c>
      <c r="Q735" s="116"/>
      <c r="R735" s="116"/>
      <c r="S735" s="116"/>
      <c r="T735" s="116"/>
      <c r="U735" s="116"/>
      <c r="V735" s="8"/>
      <c r="W735" s="8"/>
      <c r="X735" s="8"/>
      <c r="Y735" s="8"/>
      <c r="Z735" s="5"/>
      <c r="AA735" s="5"/>
      <c r="AB735" s="5"/>
      <c r="AC735" s="47"/>
    </row>
    <row r="736" hidden="1">
      <c r="A736" s="76" t="str">
        <f t="array" ref="A736:A737">{"FormulaRow03";(INDEX(CLASSLIST,A731,1))}</f>
        <v>FormulaRow03</v>
      </c>
      <c r="B736" s="77" t="s">
        <v>236</v>
      </c>
      <c r="C736" s="76" t="str">
        <f t="array" ref="C736:C737">{"CLASSTYPE";((INDEX(ALLCLASSDATA,MATCH("ClassType",CLASSFEATUREHEADERS,0),MATCH($A737,CLASSNAMEHEADERS,0))))}</f>
        <v>CLASSTYPE</v>
      </c>
      <c r="D736" s="76" t="str">
        <f t="array" ref="D736:D737">{"FEATUREPTS";"FeaturesPts"}</f>
        <v>FEATUREPTS</v>
      </c>
      <c r="E736" s="76" t="str">
        <f t="array" ref="E736:E737">{"INITIALFEATURES";"Initial Features"}</f>
        <v>INITIALFEATURES</v>
      </c>
      <c r="F736" s="76" t="str">
        <f t="array" ref="F736:F737">{"KEYABILITY";((INDEX(ALLCLASSDATA,MATCH("KEYABILITY",CLASSFEATUREHEADERS,0),MATCH($A737,CLASSNAMEHEADERS,0))))}</f>
        <v>KEYABILITY</v>
      </c>
      <c r="G736" s="76" t="str">
        <f t="array" ref="G736:G737">{"HP";((INDEX(ALLCLASSDATA,MATCH("HP",CLASSFEATUREHEADERS,0),MATCH(($A737 &amp; "Points"),CLASSNAMEHEADERS,0))))}</f>
        <v>HP</v>
      </c>
      <c r="H736" s="76" t="str">
        <f t="array" ref="H736:H737">{"CLASSFEATL01";((INDEX(ALLCLASSDATA,MATCH("ClassFeatL01",CLASSFEATUREHEADERS,0),MATCH(($A737 &amp; "Points"),CLASSNAMEHEADERS,0))))}</f>
        <v>CLASSFEATL01</v>
      </c>
      <c r="I736" s="76" t="str">
        <f t="array" ref="I736:I737">{"SHIELDBLOCKL01";((INDEX(ALLCLASSDATA,MATCH("ShieldBlockL01",CLASSFEATUREHEADERS,0),MATCH(($A737 &amp; "Points"),CLASSNAMEHEADERS,0))))}</f>
        <v>SHIELDBLOCKL01</v>
      </c>
      <c r="J736" s="76" t="str">
        <f t="array" ref="J736:J737">{"INITIALSKILLINCREASES";((INDEX(ALLCLASSDATA,MATCH("InitialSkillIncreases",CLASSFEATUREHEADERS,0),MATCH(($A737 &amp; "Points"),CLASSNAMEHEADERS,0))))}</f>
        <v>INITIALSKILLINCREASES</v>
      </c>
      <c r="K736" s="76" t="str">
        <f t="array" ref="K736:K737">{"SUBCLASSSKILLINCREASES";((INDEX(ALLCLASSDATA,MATCH("SubclassSkillIncreases",CLASSFEATUREHEADERS,0),MATCH(($A737 &amp; "Points"),CLASSNAMEHEADERS,0))))}</f>
        <v>SUBCLASSSKILLINCREASES</v>
      </c>
      <c r="L736" s="76" t="str">
        <f t="array" ref="L736:L737">{"GRANTEDSKILLS";(((INDEX(ALLCLASSDATA,MATCH("SkillsGrantedTotal",CLASSFEATUREHEADERS,0),MATCH(($A737 &amp; "Points"),CLASSNAMEHEADERS,0)))-(INDEX(ALLCLASSDATA,MATCH("InitialSkillIncreases",CLASSFEATUREHEADERS,0),MATCH(($A737 &amp; "Points"),CLASSNAMEHEADERS,0)))-(INDEX(ALLCLASSDATA,MATCH("SubclassSkillIncreases",CLASSFEATUREHEADERS,0),MATCH(($A737 &amp; "Points"),CLASSNAMEHEADERS,0)))))}</f>
        <v>GRANTEDSKILLS</v>
      </c>
      <c r="M736" s="76"/>
      <c r="N736" s="76"/>
      <c r="O736" s="76"/>
      <c r="P736" s="76"/>
      <c r="Q736" s="76" t="str">
        <f t="array" ref="Q736:Q737">{"FOCUSSPELL1-L00";((INDEX(ALLCLASSDATA,MATCH("FocusSpell1-L00",CLASSFEATUREHEADERS,0),MATCH(($A737 &amp; "Points"),CLASSNAMEHEADERS,0))))}</f>
        <v>FOCUSSPELL1-L00</v>
      </c>
      <c r="R736" s="76" t="str">
        <f t="array" ref="R736:R737">{"FOCUSSPELL2-L00";((INDEX(ALLCLASSDATA,MATCH("FocusSpell2-L00",CLASSFEATUREHEADERS,0),MATCH(($A737 &amp; "Points"),CLASSNAMEHEADERS,0))))}</f>
        <v>FOCUSSPELL2-L00</v>
      </c>
      <c r="S736" s="76" t="str">
        <f t="array" ref="S736:S737">{"FOCUSSPELL3-L00";((INDEX(ALLCLASSDATA,MATCH("FocusSpell3-L00",CLASSFEATUREHEADERS,0),MATCH(($A737 &amp; "Points"),CLASSNAMEHEADERS,0))))}</f>
        <v>FOCUSSPELL3-L00</v>
      </c>
      <c r="T736" s="76" t="str">
        <f t="array" ref="T736:T737">{"FOCUSSPELL4-L00";((INDEX(ALLCLASSDATA,MATCH("FocusSpell4-L00",CLASSFEATUREHEADERS,0),MATCH(($A737 &amp; "Points"),CLASSNAMEHEADERS,0))))}</f>
        <v>FOCUSSPELL4-L00</v>
      </c>
      <c r="U736" s="76" t="str">
        <f t="array" ref="U736:U737">{"FOCUSSPELL5-L00";((INDEX(ALLCLASSDATA,MATCH("FocusSpell5-L00",CLASSFEATUREHEADERS,0),MATCH(($A737 &amp; "Points"),CLASSNAMEHEADERS,0))))}</f>
        <v>FOCUSSPELL5-L00</v>
      </c>
      <c r="V736" s="76"/>
      <c r="W736" s="76"/>
      <c r="X736" s="76"/>
      <c r="Y736" s="76"/>
      <c r="Z736" s="76"/>
      <c r="AA736" s="76"/>
      <c r="AB736" s="76"/>
      <c r="AC736" s="76" t="str">
        <f t="array" ref="AC736:AC737">{"FEATUREPTS TOTAL";(sum(G737:AA737))}</f>
        <v>FEATUREPTS TOTAL</v>
      </c>
    </row>
    <row r="737">
      <c r="A737" s="48" t="s">
        <v>176</v>
      </c>
      <c r="B737" s="48"/>
      <c r="C737" s="48" t="s">
        <v>415</v>
      </c>
      <c r="D737" s="97" t="s">
        <v>559</v>
      </c>
      <c r="E737" s="97" t="s">
        <v>468</v>
      </c>
      <c r="F737" s="97" t="s">
        <v>260</v>
      </c>
      <c r="G737" s="132">
        <v>100.0</v>
      </c>
      <c r="H737" s="98">
        <v>10.0</v>
      </c>
      <c r="I737" s="98" t="s">
        <v>603</v>
      </c>
      <c r="J737" s="98">
        <v>20.0</v>
      </c>
      <c r="K737" s="98">
        <v>0.0</v>
      </c>
      <c r="L737" s="98">
        <v>5.0</v>
      </c>
      <c r="M737" s="98"/>
      <c r="N737" s="98"/>
      <c r="O737" s="98"/>
      <c r="P737" s="98"/>
      <c r="Q737" s="98"/>
      <c r="R737" s="98"/>
      <c r="S737" s="98"/>
      <c r="T737" s="98"/>
      <c r="U737" s="98"/>
      <c r="V737" s="98"/>
      <c r="W737" s="98"/>
      <c r="X737" s="98"/>
      <c r="Y737" s="98"/>
      <c r="Z737" s="98"/>
      <c r="AA737" s="98"/>
      <c r="AB737" s="5"/>
      <c r="AC737" s="47">
        <v>135.0</v>
      </c>
    </row>
    <row r="738" hidden="1">
      <c r="A738" s="76" t="str">
        <f t="array" ref="A738:A739">{"FormulaRow04";(INDEX(CLASSLIST,A731,1))}</f>
        <v>FormulaRow04</v>
      </c>
      <c r="B738" s="77" t="s">
        <v>236</v>
      </c>
      <c r="C738" s="76" t="str">
        <f t="array" ref="C738:C739">{"CLASSTYPE";((INDEX(ALLCLASSDATA,MATCH("ClassType",CLASSFEATUREHEADERS,0),MATCH($A739,CLASSNAMEHEADERS,0))))}</f>
        <v>CLASSTYPE</v>
      </c>
      <c r="D738" s="81" t="str">
        <f t="array" ref="D738:D739">{"INITIALFEATURES";"InitialFeatures"}</f>
        <v>INITIALFEATURES</v>
      </c>
      <c r="E738" s="81" t="str">
        <f t="array" ref="E738:E739">{"CLASS/SUBCLASSFEATURES";"Class/Subclass Features"}</f>
        <v>CLASS/SUBCLASSFEATURES</v>
      </c>
      <c r="F738" s="81"/>
      <c r="G738" s="136"/>
      <c r="H738" s="81" t="str">
        <f t="array" ref="H738:H739">{"CLASSINITIALABILITY1-L00";((INDEX(ALLCLASSDATA,MATCH("ClassInitialAbility1-L00",CLASSFEATUREHEADERS,0),MATCH(($A739),CLASSNAMEHEADERS,0))))}</f>
        <v>CLASSINITIALABILITY1-L00</v>
      </c>
      <c r="I738" s="81" t="str">
        <f t="array" ref="I738:I739">{"CLASSINITIALABILITY2-L00";((INDEX(ALLCLASSDATA,MATCH("ClassInitialAbility2-L00",CLASSFEATUREHEADERS,0),MATCH(($A739),CLASSNAMEHEADERS,0))))}</f>
        <v>CLASSINITIALABILITY2-L00</v>
      </c>
      <c r="J738" s="81" t="str">
        <f t="array" ref="J738:J739">{"CLASSINITIALABILITY3-L00";((INDEX(ALLCLASSDATA,MATCH("ClassInitialAbility3-L00",CLASSFEATUREHEADERS,0),MATCH(($A739),CLASSNAMEHEADERS,0))))}</f>
        <v>CLASSINITIALABILITY3-L00</v>
      </c>
      <c r="K738" s="81" t="str">
        <f t="array" ref="K738:K739">{"CLASSINITIALABILITY4-L00";((INDEX(ALLCLASSDATA,MATCH("ClassInitialAbility4-L00",CLASSFEATUREHEADERS,0),MATCH(($A739),CLASSNAMEHEADERS,0))))}</f>
        <v>CLASSINITIALABILITY4-L00</v>
      </c>
      <c r="L738" s="81" t="str">
        <f t="array" ref="L738:L739">{"CLASSINITIALABILITY5-L00";((INDEX(ALLCLASSDATA,MATCH("ClassInitialAbility5-L00",CLASSFEATUREHEADERS,0),MATCH(($A739),CLASSNAMEHEADERS,0))))}</f>
        <v>CLASSINITIALABILITY5-L00</v>
      </c>
      <c r="M738" s="81" t="str">
        <f t="array" ref="M738:M739">{"CLASSINITIALABILITY6-L00";((INDEX(ALLCLASSDATA,MATCH("ClassInitialAbility6-L00",CLASSFEATUREHEADERS,0),MATCH(($A739),CLASSNAMEHEADERS,0))))}</f>
        <v>CLASSINITIALABILITY6-L00</v>
      </c>
      <c r="N738" s="81" t="str">
        <f t="array" ref="N738:N739">{"CLASSINITIALABILITY7-L00";((INDEX(ALLCLASSDATA,MATCH("ClassInitialAbility7-L00",CLASSFEATUREHEADERS,0),MATCH(($A739),CLASSNAMEHEADERS,0))))}</f>
        <v>CLASSINITIALABILITY7-L00</v>
      </c>
      <c r="O738" s="81" t="str">
        <f t="array" ref="O738:O739">{"CLASSINITIALABILITY8-L00";((INDEX(ALLCLASSDATA,MATCH("ClassInitialAbility8-L00",CLASSFEATUREHEADERS,0),MATCH(($A739),CLASSNAMEHEADERS,0))))}</f>
        <v>CLASSINITIALABILITY8-L00</v>
      </c>
      <c r="P738" s="81" t="str">
        <f t="array" ref="P738:P739">{"CLASSINITIALABILITY9-L00";((INDEX(ALLCLASSDATA,MATCH("ClassInitialAbility9-L00",CLASSFEATUREHEADERS,0),MATCH(($A739),CLASSNAMEHEADERS,0))))}</f>
        <v>CLASSINITIALABILITY9-L00</v>
      </c>
      <c r="Q738" s="81" t="str">
        <f t="array" ref="Q738:Q739">{"CLASSINITIALABILITY10-L00";((INDEX(ALLCLASSDATA,MATCH("ClassInitialAbility10-L00",CLASSFEATUREHEADERS,0),MATCH(($A739),CLASSNAMEHEADERS,0))))}</f>
        <v>CLASSINITIALABILITY10-L00</v>
      </c>
      <c r="R738" s="81" t="str">
        <f t="array" ref="R738:R739">{"SUBCLASSINITIAL1-L00";((INDEX(ALLCLASSDATA,MATCH("SubclassInitial1-L00",CLASSFEATUREHEADERS,0),MATCH(($A739),CLASSNAMEHEADERS,0))))}</f>
        <v>SUBCLASSINITIAL1-L00</v>
      </c>
      <c r="S738" s="81" t="str">
        <f t="array" ref="S738:S739">{"SUBCLASSINITIAL2-L00";((INDEX(ALLCLASSDATA,MATCH("SubclassInitial2-L00",CLASSFEATUREHEADERS,0),MATCH(($A739),CLASSNAMEHEADERS,0))))}</f>
        <v>SUBCLASSINITIAL2-L00</v>
      </c>
      <c r="T738" s="81" t="str">
        <f t="array" ref="T738:T739">{"SUBCLASSINITIAL3-L00";((INDEX(ALLCLASSDATA,MATCH("SubclassInitial3-L00",CLASSFEATUREHEADERS,0),MATCH(($A739),CLASSNAMEHEADERS,0))))}</f>
        <v>SUBCLASSINITIAL3-L00</v>
      </c>
      <c r="U738" s="81" t="str">
        <f t="array" ref="U738:U739">{"SUBCLASSINITIAL4-L00";((INDEX(ALLCLASSDATA,MATCH("SubclassInitial4-L00",CLASSFEATUREHEADERS,0),MATCH(($A739),CLASSNAMEHEADERS,0))))}</f>
        <v>SUBCLASSINITIAL4-L00</v>
      </c>
      <c r="V738" s="81" t="str">
        <f t="array" ref="V738:V739">{"SUBCLASSINITIAL5-L00";((INDEX(ALLCLASSDATA,MATCH("SubclassInitial5-L00",CLASSFEATUREHEADERS,0),MATCH(($A739),CLASSNAMEHEADERS,0))))}</f>
        <v>SUBCLASSINITIAL5-L00</v>
      </c>
      <c r="W738" s="81" t="str">
        <f t="array" ref="W738:W739">{"SUBCLASSINITIAL6-L00";((INDEX(ALLCLASSDATA,MATCH("SubclassInitial6-L00",CLASSFEATUREHEADERS,0),MATCH(($A739),CLASSNAMEHEADERS,0))))}</f>
        <v>SUBCLASSINITIAL6-L00</v>
      </c>
      <c r="X738" s="81" t="str">
        <f t="array" ref="X738:X739">{"SUBCLASSINITIAL7-L00";((INDEX(ALLCLASSDATA,MATCH("SubclassInitial7-L00",CLASSFEATUREHEADERS,0),MATCH(($A739),CLASSNAMEHEADERS,0))))}</f>
        <v>SUBCLASSINITIAL7-L00</v>
      </c>
      <c r="Y738" s="81" t="str">
        <f t="array" ref="Y738:Y739">{"SUBCLASSINITIAL8-L00";((INDEX(ALLCLASSDATA,MATCH("SubclassInitial8-L00",CLASSFEATUREHEADERS,0),MATCH(($A739),CLASSNAMEHEADERS,0))))}</f>
        <v>SUBCLASSINITIAL8-L00</v>
      </c>
      <c r="Z738" s="81" t="str">
        <f t="array" ref="Z738:Z739">{"SUBCLASSINITIAL9-L00";((INDEX(ALLCLASSDATA,MATCH("SubclassInitial9-L00",CLASSFEATUREHEADERS,0),MATCH(($A739),CLASSNAMEHEADERS,0))))}</f>
        <v>SUBCLASSINITIAL9-L00</v>
      </c>
      <c r="AA738" s="81" t="str">
        <f t="array" ref="AA738:AA739">{"SUBCLASSINITIAL10-L00";((INDEX(ALLCLASSDATA,MATCH("SubclassInitial10-L00",CLASSFEATUREHEADERS,0),MATCH(($A739),CLASSNAMEHEADERS,0))))}</f>
        <v>SUBCLASSINITIAL10-L00</v>
      </c>
      <c r="AB738" s="76"/>
      <c r="AC738" s="76"/>
    </row>
    <row r="739">
      <c r="A739" s="48" t="s">
        <v>176</v>
      </c>
      <c r="B739" s="48"/>
      <c r="C739" s="48" t="s">
        <v>415</v>
      </c>
      <c r="D739" s="48" t="s">
        <v>614</v>
      </c>
      <c r="E739" s="48" t="s">
        <v>616</v>
      </c>
      <c r="F739" s="48"/>
      <c r="G739" s="47"/>
      <c r="H739" s="5" t="s">
        <v>1029</v>
      </c>
      <c r="I739" s="5" t="s">
        <v>1633</v>
      </c>
      <c r="J739" s="5" t="s">
        <v>1013</v>
      </c>
      <c r="K739" s="5"/>
      <c r="L739" s="5"/>
      <c r="M739" s="5"/>
      <c r="N739" s="5"/>
      <c r="O739" s="5"/>
      <c r="P739" s="5"/>
      <c r="Q739" s="5"/>
      <c r="R739" s="5" t="s">
        <v>1814</v>
      </c>
      <c r="S739" s="5"/>
      <c r="T739" s="5"/>
      <c r="U739" s="5"/>
      <c r="V739" s="5"/>
      <c r="W739" s="5"/>
      <c r="X739" s="5"/>
      <c r="Y739" s="5"/>
      <c r="Z739" s="5"/>
      <c r="AA739" s="5"/>
      <c r="AB739" s="5"/>
      <c r="AC739" s="47"/>
    </row>
    <row r="740" hidden="1">
      <c r="A740" s="76" t="str">
        <f t="array" ref="A740:A741">{"FormulaRow05";(INDEX(CLASSLIST,A731,1))}</f>
        <v>FormulaRow05</v>
      </c>
      <c r="B740" s="77" t="s">
        <v>236</v>
      </c>
      <c r="C740" s="76" t="str">
        <f t="array" ref="C740:C741">{"CLASSTYPE";((INDEX(ALLCLASSDATA,MATCH("ClassType",CLASSFEATUREHEADERS,0),MATCH($A741,CLASSNAMEHEADERS,0))))}</f>
        <v>CLASSTYPE</v>
      </c>
      <c r="D740" s="76" t="str">
        <f t="array" ref="D740:D741">{"INITIALFEATURESPTS";"InitialFeaturesPts"}</f>
        <v>INITIALFEATURESPTS</v>
      </c>
      <c r="E740" s="76" t="str">
        <f t="array" ref="E740:E741">{"CLASS/SUBCLASSFEATURES";"Class/Subclass Features"}</f>
        <v>CLASS/SUBCLASSFEATURES</v>
      </c>
      <c r="F740" s="76"/>
      <c r="G740" s="76"/>
      <c r="H740" s="76" t="str">
        <f t="array" ref="H740:H741">{"CLASSINITIALABILITY1-L00PTS";((INDEX(ALLCLASSDATA,MATCH("ClassInitialAbility1-L00",CLASSFEATUREHEADERS,0),MATCH(($A741 &amp; "Points"),CLASSNAMEHEADERS,0))))}</f>
        <v>CLASSINITIALABILITY1-L00PTS</v>
      </c>
      <c r="I740" s="76" t="str">
        <f t="array" ref="I740:I741">{"CLASSINITIALABILITY2-L00PTS";((INDEX(ALLCLASSDATA,MATCH("ClassInitialAbility2-L00",CLASSFEATUREHEADERS,0),MATCH(($A741 &amp; "Points"),CLASSNAMEHEADERS,0))))}</f>
        <v>CLASSINITIALABILITY2-L00PTS</v>
      </c>
      <c r="J740" s="76" t="str">
        <f t="array" ref="J740:J741">{"CLASSINITIALABILITY3-L00PTS";((INDEX(ALLCLASSDATA,MATCH("ClassInitialAbility3-L00",CLASSFEATUREHEADERS,0),MATCH(($A741 &amp; "Points"),CLASSNAMEHEADERS,0))))}</f>
        <v>CLASSINITIALABILITY3-L00PTS</v>
      </c>
      <c r="K740" s="76" t="str">
        <f t="array" ref="K740:K741">{"CLASSINITIALABILITY4-L00PTS";((INDEX(ALLCLASSDATA,MATCH("ClassInitialAbility4-L00",CLASSFEATUREHEADERS,0),MATCH(($A741 &amp; "Points"),CLASSNAMEHEADERS,0))))}</f>
        <v>CLASSINITIALABILITY4-L00PTS</v>
      </c>
      <c r="L740" s="76" t="str">
        <f t="array" ref="L740:L741">{"CLASSINITIALABILITY5-L00PTS";((INDEX(ALLCLASSDATA,MATCH("ClassInitialAbility5-L00",CLASSFEATUREHEADERS,0),MATCH(($A741 &amp; "Points"),CLASSNAMEHEADERS,0))))}</f>
        <v>CLASSINITIALABILITY5-L00PTS</v>
      </c>
      <c r="M740" s="76" t="str">
        <f t="array" ref="M740:M741">{"CLASSINITIALABILITY6-L00PTS";((INDEX(ALLCLASSDATA,MATCH("ClassInitialAbility6-L00",CLASSFEATUREHEADERS,0),MATCH(($A741 &amp; "Points"),CLASSNAMEHEADERS,0))))}</f>
        <v>CLASSINITIALABILITY6-L00PTS</v>
      </c>
      <c r="N740" s="76" t="str">
        <f t="array" ref="N740:N741">{"CLASSINITIALABILITY7-L00PTS";((INDEX(ALLCLASSDATA,MATCH("ClassInitialAbility7-L00",CLASSFEATUREHEADERS,0),MATCH(($A741 &amp; "Points"),CLASSNAMEHEADERS,0))))}</f>
        <v>CLASSINITIALABILITY7-L00PTS</v>
      </c>
      <c r="O740" s="76" t="str">
        <f t="array" ref="O740:O741">{"CLASSINITIALABILITY8-L00PTS";((INDEX(ALLCLASSDATA,MATCH("ClassInitialAbility8-L00",CLASSFEATUREHEADERS,0),MATCH(($A741 &amp; "Points"),CLASSNAMEHEADERS,0))))}</f>
        <v>CLASSINITIALABILITY8-L00PTS</v>
      </c>
      <c r="P740" s="76" t="str">
        <f t="array" ref="P740:P741">{"CLASSINITIALABILITY9-L00PTS";((INDEX(ALLCLASSDATA,MATCH("ClassInitialAbility9-L00",CLASSFEATUREHEADERS,0),MATCH(($A741 &amp; "Points"),CLASSNAMEHEADERS,0))))}</f>
        <v>CLASSINITIALABILITY9-L00PTS</v>
      </c>
      <c r="Q740" s="76" t="str">
        <f t="array" ref="Q740:Q741">{"CLASSINITIALABILITY10-L00PTS";((INDEX(ALLCLASSDATA,MATCH("ClassInitialAbility10-L00",CLASSFEATUREHEADERS,0),MATCH(($A741 &amp; "Points"),CLASSNAMEHEADERS,0))))}</f>
        <v>CLASSINITIALABILITY10-L00PTS</v>
      </c>
      <c r="R740" s="76" t="str">
        <f t="array" ref="R740:R741">{"SUBCLASSINITIAL1-L00PTS";((INDEX(ALLCLASSDATA,MATCH("SubclassInitial1-L00",CLASSFEATUREHEADERS,0),MATCH(($A741 &amp; "Points"),CLASSNAMEHEADERS,0))))}</f>
        <v>SUBCLASSINITIAL1-L00PTS</v>
      </c>
      <c r="S740" s="76" t="str">
        <f t="array" ref="S740:S741">{"SUBCLASSINITIAL2-L00PTS";((INDEX(ALLCLASSDATA,MATCH("SubclassInitial2-L00",CLASSFEATUREHEADERS,0),MATCH(($A741 &amp; "Points"),CLASSNAMEHEADERS,0))))}</f>
        <v>SUBCLASSINITIAL2-L00PTS</v>
      </c>
      <c r="T740" s="76" t="str">
        <f t="array" ref="T740:T741">{"SUBCLASSINITIAL3-L00PTS";((INDEX(ALLCLASSDATA,MATCH("SubclassInitial3-L00",CLASSFEATUREHEADERS,0),MATCH(($A741 &amp; "Points"),CLASSNAMEHEADERS,0))))}</f>
        <v>SUBCLASSINITIAL3-L00PTS</v>
      </c>
      <c r="U740" s="76" t="str">
        <f t="array" ref="U740:U741">{"SUBCLASSINITIAL4-L00PTS";((INDEX(ALLCLASSDATA,MATCH("SubclassInitial4-L00",CLASSFEATUREHEADERS,0),MATCH(($A741 &amp; "Points"),CLASSNAMEHEADERS,0))))}</f>
        <v>SUBCLASSINITIAL4-L00PTS</v>
      </c>
      <c r="V740" s="76" t="str">
        <f t="array" ref="V740:V741">{"SUBCLASSINITIAL5-L00PTS";((INDEX(ALLCLASSDATA,MATCH("SubclassInitial5-L00",CLASSFEATUREHEADERS,0),MATCH(($A741 &amp; "Points"),CLASSNAMEHEADERS,0))))}</f>
        <v>SUBCLASSINITIAL5-L00PTS</v>
      </c>
      <c r="W740" s="76" t="str">
        <f t="array" ref="W740:W741">{"SUBCLASSINITIAL6-L00PTS";((INDEX(ALLCLASSDATA,MATCH("SubclassInitial6-L00",CLASSFEATUREHEADERS,0),MATCH(($A741 &amp; "Points"),CLASSNAMEHEADERS,0))))}</f>
        <v>SUBCLASSINITIAL6-L00PTS</v>
      </c>
      <c r="X740" s="76" t="str">
        <f t="array" ref="X740:X741">{"SUBCLASSINITIAL7-L00PTS";((INDEX(ALLCLASSDATA,MATCH("SubclassInitial7-L00",CLASSFEATUREHEADERS,0),MATCH(($A741 &amp; "Points"),CLASSNAMEHEADERS,0))))}</f>
        <v>SUBCLASSINITIAL7-L00PTS</v>
      </c>
      <c r="Y740" s="76" t="str">
        <f t="array" ref="Y740:Y741">{"SUBCLASSINITIAL8-L00PTS";((INDEX(ALLCLASSDATA,MATCH("SubclassInitial8-L00",CLASSFEATUREHEADERS,0),MATCH(($A741 &amp; "Points"),CLASSNAMEHEADERS,0))))}</f>
        <v>SUBCLASSINITIAL8-L00PTS</v>
      </c>
      <c r="Z740" s="76" t="str">
        <f t="array" ref="Z740:Z741">{"SUBCLASSINITIAL9-L00PTS";((INDEX(ALLCLASSDATA,MATCH("SubclassInitial9-L00",CLASSFEATUREHEADERS,0),MATCH(($A741 &amp; "Points"),CLASSNAMEHEADERS,0))))}</f>
        <v>SUBCLASSINITIAL9-L00PTS</v>
      </c>
      <c r="AA740" s="76" t="str">
        <f t="array" ref="AA740:AA741">{"SUBCLASSINITIAL10-L00PTS";((INDEX(ALLCLASSDATA,MATCH("SubclassInitial10-L00",CLASSFEATUREHEADERS,0),MATCH(($A741 &amp; "Points"),CLASSNAMEHEADERS,0))))}</f>
        <v>SUBCLASSINITIAL10-L00PTS</v>
      </c>
      <c r="AB740" s="76"/>
      <c r="AC740" s="76" t="str">
        <f t="array" ref="AC740:AC741">{"INITIALFEATUREPTS TOTAL";(sum(G741:AA741))}</f>
        <v>INITIALFEATUREPTS TOTAL</v>
      </c>
    </row>
    <row r="741">
      <c r="A741" s="48" t="s">
        <v>176</v>
      </c>
      <c r="B741" s="48"/>
      <c r="C741" s="48" t="s">
        <v>415</v>
      </c>
      <c r="D741" s="97" t="s">
        <v>651</v>
      </c>
      <c r="E741" s="97" t="s">
        <v>616</v>
      </c>
      <c r="F741" s="97"/>
      <c r="G741" s="132"/>
      <c r="H741" s="98">
        <v>10.0</v>
      </c>
      <c r="I741" s="98">
        <v>10.0</v>
      </c>
      <c r="J741" s="97">
        <v>30.0</v>
      </c>
      <c r="K741" s="98"/>
      <c r="L741" s="97"/>
      <c r="M741" s="98"/>
      <c r="N741" s="98"/>
      <c r="O741" s="98"/>
      <c r="P741" s="98"/>
      <c r="Q741" s="98"/>
      <c r="R741" s="98">
        <v>10.0</v>
      </c>
      <c r="S741" s="98"/>
      <c r="T741" s="98"/>
      <c r="U741" s="98"/>
      <c r="V741" s="98"/>
      <c r="W741" s="98"/>
      <c r="X741" s="98"/>
      <c r="Y741" s="98"/>
      <c r="Z741" s="98"/>
      <c r="AA741" s="98"/>
      <c r="AB741" s="5"/>
      <c r="AC741" s="47">
        <v>60.0</v>
      </c>
    </row>
    <row r="742" hidden="1">
      <c r="A742" s="76" t="str">
        <f t="array" ref="A742:A743">{"FormulaRow06";(INDEX(CLASSLIST,A731,1))}</f>
        <v>FormulaRow06</v>
      </c>
      <c r="B742" s="77" t="s">
        <v>236</v>
      </c>
      <c r="C742" s="76" t="str">
        <f t="array" ref="C742:C743">{"CLASSTYPE";((INDEX(ALLCLASSDATA,MATCH("ClassType",CLASSFEATUREHEADERS,0),MATCH($A743,CLASSNAMEHEADERS,0))))}</f>
        <v>CLASSTYPE</v>
      </c>
      <c r="D742" s="81" t="str">
        <f t="array" ref="D742:D743">{"SKILLS";"Skills"}</f>
        <v>SKILLS</v>
      </c>
      <c r="E742" s="81" t="str">
        <f t="array" ref="E742:E743">{"EXTRASKILLINCREASES";"Extra Skill Increases"}</f>
        <v>EXTRASKILLINCREASES</v>
      </c>
      <c r="F742" s="81"/>
      <c r="G742" s="81"/>
      <c r="H742" s="81"/>
      <c r="I742" s="81" t="str">
        <f t="array" ref="I742:I743">{"SKILLINCREASEEXTRA-L02";((INDEX(ALLCLASSDATA,MATCH("SkillIncreaseExtra-L02",CLASSFEATUREHEADERS,0),MATCH(($A743 &amp; "Points"),CLASSNAMEHEADERS,0))))}</f>
        <v>SKILLINCREASEEXTRA-L02</v>
      </c>
      <c r="J742" s="81" t="str">
        <f t="array" ref="J742:J743">{"SKILLINCREASEEXTRA-L03";((INDEX(ALLCLASSDATA,MATCH("SkillIncreaseExtra-L03",CLASSFEATUREHEADERS,0),MATCH(($A743 &amp; "Points"),CLASSNAMEHEADERS,0))))}</f>
        <v>SKILLINCREASEEXTRA-L03</v>
      </c>
      <c r="K742" s="81" t="str">
        <f t="array" ref="K742:K743">{"SKILLINCREASEEXTRA-L04";((INDEX(ALLCLASSDATA,MATCH("SkillIncreaseExtra-L04",CLASSFEATUREHEADERS,0),MATCH(($A743 &amp; "Points"),CLASSNAMEHEADERS,0))))}</f>
        <v>SKILLINCREASEEXTRA-L04</v>
      </c>
      <c r="L742" s="81" t="str">
        <f t="array" ref="L742:L743">{"SKILLINCREASEEXTRA-L05";((INDEX(ALLCLASSDATA,MATCH("SkillIncreaseExtra-L05",CLASSFEATUREHEADERS,0),MATCH(($A743 &amp; "Points"),CLASSNAMEHEADERS,0))))}</f>
        <v>SKILLINCREASEEXTRA-L05</v>
      </c>
      <c r="M742" s="81" t="str">
        <f t="array" ref="M742:M743">{"SKILLINCREASEEXTRA-L06";((INDEX(ALLCLASSDATA,MATCH("SkillIncreaseExtra-L06",CLASSFEATUREHEADERS,0),MATCH(($A743 &amp; "Points"),CLASSNAMEHEADERS,0))))}</f>
        <v>SKILLINCREASEEXTRA-L06</v>
      </c>
      <c r="N742" s="81" t="str">
        <f t="array" ref="N742:N743">{"SKILLINCREASEEXTRA-L07";((INDEX(ALLCLASSDATA,MATCH("SkillIncreaseExtra-L07",CLASSFEATUREHEADERS,0),MATCH(($A743 &amp; "Points"),CLASSNAMEHEADERS,0))))}</f>
        <v>SKILLINCREASEEXTRA-L07</v>
      </c>
      <c r="O742" s="81" t="str">
        <f t="array" ref="O742:O743">{"SKILLINCREASEEXTRA-L08";((INDEX(ALLCLASSDATA,MATCH("SkillIncreaseExtra-L08",CLASSFEATUREHEADERS,0),MATCH(($A743 &amp; "Points"),CLASSNAMEHEADERS,0))))}</f>
        <v>SKILLINCREASEEXTRA-L08</v>
      </c>
      <c r="P742" s="81" t="str">
        <f t="array" ref="P742:P743">{"SKILLINCREASEEXTRA-L09";((INDEX(ALLCLASSDATA,MATCH("SkillIncreaseExtra-L09",CLASSFEATUREHEADERS,0),MATCH(($A743 &amp; "Points"),CLASSNAMEHEADERS,0))))}</f>
        <v>SKILLINCREASEEXTRA-L09</v>
      </c>
      <c r="Q742" s="81" t="str">
        <f t="array" ref="Q742:Q743">{"SKILLINCREASEEXTRA-L10";((INDEX(ALLCLASSDATA,MATCH("SkillIncreaseExtra-L10",CLASSFEATUREHEADERS,0),MATCH(($A743 &amp; "Points"),CLASSNAMEHEADERS,0))))}</f>
        <v>SKILLINCREASEEXTRA-L10</v>
      </c>
      <c r="R742" s="81" t="str">
        <f t="array" ref="R742:R743">{"SKILLINCREASEEXTRA-L11";((INDEX(ALLCLASSDATA,MATCH("SkillIncreaseExtra-L11",CLASSFEATUREHEADERS,0),MATCH(($A743 &amp; "Points"),CLASSNAMEHEADERS,0))))}</f>
        <v>SKILLINCREASEEXTRA-L11</v>
      </c>
      <c r="S742" s="81" t="str">
        <f t="array" ref="S742:S743">{"SKILLINCREASEEXTRA-L12";((INDEX(ALLCLASSDATA,MATCH("SkillIncreaseExtra-L12",CLASSFEATUREHEADERS,0),MATCH(($A743 &amp; "Points"),CLASSNAMEHEADERS,0))))}</f>
        <v>SKILLINCREASEEXTRA-L12</v>
      </c>
      <c r="T742" s="81" t="str">
        <f t="array" ref="T742:T743">{"SKILLINCREASEEXTRA-L13";((INDEX(ALLCLASSDATA,MATCH("SkillIncreaseExtra-L13",CLASSFEATUREHEADERS,0),MATCH(($A743 &amp; "Points"),CLASSNAMEHEADERS,0))))}</f>
        <v>SKILLINCREASEEXTRA-L13</v>
      </c>
      <c r="U742" s="81" t="str">
        <f t="array" ref="U742:U743">{"SKILLINCREASEEXTRA-L14";((INDEX(ALLCLASSDATA,MATCH("SkillIncreaseExtra-L14",CLASSFEATUREHEADERS,0),MATCH(($A743 &amp; "Points"),CLASSNAMEHEADERS,0))))}</f>
        <v>SKILLINCREASEEXTRA-L14</v>
      </c>
      <c r="V742" s="81" t="str">
        <f t="array" ref="V742:V743">{"SKILLINCREASEEXTRA-L15";((INDEX(ALLCLASSDATA,MATCH("SkillIncreaseExtra-L15",CLASSFEATUREHEADERS,0),MATCH(($A743 &amp; "Points"),CLASSNAMEHEADERS,0))))}</f>
        <v>SKILLINCREASEEXTRA-L15</v>
      </c>
      <c r="W742" s="81" t="str">
        <f t="array" ref="W742:W743">{"SKILLINCREASEEXTRA-L16";((INDEX(ALLCLASSDATA,MATCH("SkillIncreaseExtra-L16",CLASSFEATUREHEADERS,0),MATCH(($A743 &amp; "Points"),CLASSNAMEHEADERS,0))))}</f>
        <v>SKILLINCREASEEXTRA-L16</v>
      </c>
      <c r="X742" s="81" t="str">
        <f t="array" ref="X742:X743">{"SKILLINCREASEEXTRA-L17";((INDEX(ALLCLASSDATA,MATCH("SkillIncreaseExtra-L17",CLASSFEATUREHEADERS,0),MATCH(($A743 &amp; "Points"),CLASSNAMEHEADERS,0))))}</f>
        <v>SKILLINCREASEEXTRA-L17</v>
      </c>
      <c r="Y742" s="81" t="str">
        <f t="array" ref="Y742:Y743">{"SKILLINCREASEEXTRA-L18";((INDEX(ALLCLASSDATA,MATCH("SkillIncreaseExtra-L18",CLASSFEATUREHEADERS,0),MATCH(($A743 &amp; "Points"),CLASSNAMEHEADERS,0))))}</f>
        <v>SKILLINCREASEEXTRA-L18</v>
      </c>
      <c r="Z742" s="81" t="str">
        <f t="array" ref="Z742:Z743">{"SKILLINCREASEEXTRA-L19";((INDEX(ALLCLASSDATA,MATCH("SkillIncreaseExtra-L19",CLASSFEATUREHEADERS,0),MATCH(($A743 &amp; "Points"),CLASSNAMEHEADERS,0))))}</f>
        <v>SKILLINCREASEEXTRA-L19</v>
      </c>
      <c r="AA742" s="81" t="str">
        <f t="array" ref="AA742:AA743">{"SKILLINCREASEEXTRA-L20";((INDEX(ALLCLASSDATA,MATCH("SkillIncreaseExtra-L20",CLASSFEATUREHEADERS,0),MATCH(($A743 &amp; "Points"),CLASSNAMEHEADERS,0))))}</f>
        <v>SKILLINCREASEEXTRA-L20</v>
      </c>
      <c r="AB742" s="76"/>
      <c r="AC742" s="76" t="str">
        <f t="array" ref="AC742:AC743">{"SKILLINCREASE TOTAL";(sum(G743:AA743))}</f>
        <v>SKILLINCREASE TOTAL</v>
      </c>
    </row>
    <row r="743">
      <c r="A743" s="48" t="s">
        <v>176</v>
      </c>
      <c r="B743" s="48"/>
      <c r="C743" s="48" t="s">
        <v>415</v>
      </c>
      <c r="D743" s="48" t="s">
        <v>659</v>
      </c>
      <c r="E743" s="48" t="s">
        <v>661</v>
      </c>
      <c r="F743" s="48"/>
      <c r="G743" s="47"/>
      <c r="H743" s="5"/>
      <c r="I743" s="5" t="s">
        <v>603</v>
      </c>
      <c r="J743" s="5" t="s">
        <v>603</v>
      </c>
      <c r="K743" s="5" t="s">
        <v>603</v>
      </c>
      <c r="L743" s="48" t="s">
        <v>603</v>
      </c>
      <c r="M743" s="5" t="s">
        <v>603</v>
      </c>
      <c r="N743" s="5" t="s">
        <v>603</v>
      </c>
      <c r="O743" s="5" t="s">
        <v>603</v>
      </c>
      <c r="P743" s="5" t="s">
        <v>603</v>
      </c>
      <c r="Q743" s="5" t="s">
        <v>603</v>
      </c>
      <c r="R743" s="5" t="s">
        <v>603</v>
      </c>
      <c r="S743" s="5" t="s">
        <v>603</v>
      </c>
      <c r="T743" s="5" t="s">
        <v>603</v>
      </c>
      <c r="U743" s="5" t="s">
        <v>603</v>
      </c>
      <c r="V743" s="5" t="s">
        <v>603</v>
      </c>
      <c r="W743" s="5" t="s">
        <v>603</v>
      </c>
      <c r="X743" s="5" t="s">
        <v>603</v>
      </c>
      <c r="Y743" s="5" t="s">
        <v>603</v>
      </c>
      <c r="Z743" s="5" t="s">
        <v>603</v>
      </c>
      <c r="AA743" s="5" t="s">
        <v>603</v>
      </c>
      <c r="AB743" s="5"/>
      <c r="AC743" s="47">
        <v>0.0</v>
      </c>
    </row>
    <row r="744" hidden="1">
      <c r="A744" s="76" t="str">
        <f t="array" ref="A744:A745">{"FormulaRow07";(INDEX(CLASSLIST,A731,1))}</f>
        <v>FormulaRow07</v>
      </c>
      <c r="B744" s="77" t="s">
        <v>236</v>
      </c>
      <c r="C744" s="76" t="str">
        <f t="array" ref="C744:C745">{"CLASSTYPE";((INDEX(ALLCLASSDATA,MATCH("ClassType",CLASSFEATUREHEADERS,0),MATCH($A745,CLASSNAMEHEADERS,0))))}</f>
        <v>CLASSTYPE</v>
      </c>
      <c r="D744" s="76" t="str">
        <f t="array" ref="D744:D745">{"SKILLS";"Skills"}</f>
        <v>SKILLS</v>
      </c>
      <c r="E744" s="76" t="str">
        <f t="array" ref="E744:E745">{"EXTRASKILLFEATS";"Extra Skill Feats"}</f>
        <v>EXTRASKILLFEATS</v>
      </c>
      <c r="F744" s="76"/>
      <c r="G744" s="76"/>
      <c r="H744" s="76" t="str">
        <f t="array" ref="H744:H745">{"SKILLFEATEXTRA-L01";((INDEX(ALLCLASSDATA,MATCH("SkillFeatExtra-L01",CLASSFEATUREHEADERS,0),MATCH(($A745 &amp; "Points"),CLASSNAMEHEADERS,0))))}</f>
        <v>SKILLFEATEXTRA-L01</v>
      </c>
      <c r="I744" s="76" t="str">
        <f t="array" ref="I744:I745">{"SKILLFEATEXTRA-L02";((INDEX(ALLCLASSDATA,MATCH("SkillFeatExtra-L02",CLASSFEATUREHEADERS,0),MATCH(($A745 &amp; "Points"),CLASSNAMEHEADERS,0))))}</f>
        <v>SKILLFEATEXTRA-L02</v>
      </c>
      <c r="J744" s="76" t="str">
        <f t="array" ref="J744:J745">{"SKILLFEATEXTRA-L03";((INDEX(ALLCLASSDATA,MATCH("SkillFeatExtra-L03",CLASSFEATUREHEADERS,0),MATCH(($A745 &amp; "Points"),CLASSNAMEHEADERS,0))))}</f>
        <v>SKILLFEATEXTRA-L03</v>
      </c>
      <c r="K744" s="76" t="str">
        <f t="array" ref="K744:K745">{"SKILLFEATEXTRA-L04";((INDEX(ALLCLASSDATA,MATCH("SkillFeatExtra-L04",CLASSFEATUREHEADERS,0),MATCH(($A745 &amp; "Points"),CLASSNAMEHEADERS,0))))}</f>
        <v>SKILLFEATEXTRA-L04</v>
      </c>
      <c r="L744" s="76" t="str">
        <f t="array" ref="L744:L745">{"SKILLFEATEXTRA-L05";((INDEX(ALLCLASSDATA,MATCH("SkillFeatExtra-L05",CLASSFEATUREHEADERS,0),MATCH(($A745 &amp; "Points"),CLASSNAMEHEADERS,0))))}</f>
        <v>SKILLFEATEXTRA-L05</v>
      </c>
      <c r="M744" s="76" t="str">
        <f t="array" ref="M744:M745">{"SKILLFEATEXTRA-L06";((INDEX(ALLCLASSDATA,MATCH("SkillFeatExtra-L06",CLASSFEATUREHEADERS,0),MATCH(($A745 &amp; "Points"),CLASSNAMEHEADERS,0))))}</f>
        <v>SKILLFEATEXTRA-L06</v>
      </c>
      <c r="N744" s="76" t="str">
        <f t="array" ref="N744:N745">{"SKILLFEATEXTRA-L07";((INDEX(ALLCLASSDATA,MATCH("SkillFeatExtra-L07",CLASSFEATUREHEADERS,0),MATCH(($A745 &amp; "Points"),CLASSNAMEHEADERS,0))))}</f>
        <v>SKILLFEATEXTRA-L07</v>
      </c>
      <c r="O744" s="76" t="str">
        <f t="array" ref="O744:O745">{"SKILLFEATEXTRA-L08";((INDEX(ALLCLASSDATA,MATCH("SkillFeatExtra-L08",CLASSFEATUREHEADERS,0),MATCH(($A745 &amp; "Points"),CLASSNAMEHEADERS,0))))}</f>
        <v>SKILLFEATEXTRA-L08</v>
      </c>
      <c r="P744" s="76" t="str">
        <f t="array" ref="P744:P745">{"SKILLFEATEXTRA-L09";((INDEX(ALLCLASSDATA,MATCH("SkillFeatExtra-L09",CLASSFEATUREHEADERS,0),MATCH(($A745 &amp; "Points"),CLASSNAMEHEADERS,0))))}</f>
        <v>SKILLFEATEXTRA-L09</v>
      </c>
      <c r="Q744" s="76" t="str">
        <f t="array" ref="Q744:Q745">{"SKILLFEATEXTRA-L10";((INDEX(ALLCLASSDATA,MATCH("SkillFeatExtra-L10",CLASSFEATUREHEADERS,0),MATCH(($A745 &amp; "Points"),CLASSNAMEHEADERS,0))))}</f>
        <v>SKILLFEATEXTRA-L10</v>
      </c>
      <c r="R744" s="76" t="str">
        <f t="array" ref="R744:R745">{"SKILLFEATEXTRA-L11";((INDEX(ALLCLASSDATA,MATCH("SkillFeatExtra-L11",CLASSFEATUREHEADERS,0),MATCH(($A745 &amp; "Points"),CLASSNAMEHEADERS,0))))}</f>
        <v>SKILLFEATEXTRA-L11</v>
      </c>
      <c r="S744" s="76" t="str">
        <f t="array" ref="S744:S745">{"SKILLFEATEXTRA-L12";((INDEX(ALLCLASSDATA,MATCH("SkillFeatExtra-L12",CLASSFEATUREHEADERS,0),MATCH(($A745 &amp; "Points"),CLASSNAMEHEADERS,0))))}</f>
        <v>SKILLFEATEXTRA-L12</v>
      </c>
      <c r="T744" s="76" t="str">
        <f t="array" ref="T744:T745">{"SKILLFEATEXTRA-L13";((INDEX(ALLCLASSDATA,MATCH("SkillFeatExtra-L13",CLASSFEATUREHEADERS,0),MATCH(($A745 &amp; "Points"),CLASSNAMEHEADERS,0))))}</f>
        <v>SKILLFEATEXTRA-L13</v>
      </c>
      <c r="U744" s="76" t="str">
        <f t="array" ref="U744:U745">{"SKILLFEATEXTRA-L14";((INDEX(ALLCLASSDATA,MATCH("SkillFeatExtra-L14",CLASSFEATUREHEADERS,0),MATCH(($A745 &amp; "Points"),CLASSNAMEHEADERS,0))))}</f>
        <v>SKILLFEATEXTRA-L14</v>
      </c>
      <c r="V744" s="76" t="str">
        <f t="array" ref="V744:V745">{"SKILLFEATEXTRA-L15";((INDEX(ALLCLASSDATA,MATCH("SkillFeatExtra-L15",CLASSFEATUREHEADERS,0),MATCH(($A745 &amp; "Points"),CLASSNAMEHEADERS,0))))}</f>
        <v>SKILLFEATEXTRA-L15</v>
      </c>
      <c r="W744" s="76" t="str">
        <f t="array" ref="W744:W745">{"SKILLFEATEXTRA-L16";((INDEX(ALLCLASSDATA,MATCH("SkillFeatExtra-L16",CLASSFEATUREHEADERS,0),MATCH(($A745 &amp; "Points"),CLASSNAMEHEADERS,0))))}</f>
        <v>SKILLFEATEXTRA-L16</v>
      </c>
      <c r="X744" s="76" t="str">
        <f t="array" ref="X744:X745">{"SKILLFEATEXTRA-L17";((INDEX(ALLCLASSDATA,MATCH("SkillFeatExtra-L17",CLASSFEATUREHEADERS,0),MATCH(($A745 &amp; "Points"),CLASSNAMEHEADERS,0))))}</f>
        <v>SKILLFEATEXTRA-L17</v>
      </c>
      <c r="Y744" s="76" t="str">
        <f t="array" ref="Y744:Y745">{"SKILLFEATEXTRA-L18";((INDEX(ALLCLASSDATA,MATCH("SkillFeatExtra-L18",CLASSFEATUREHEADERS,0),MATCH(($A745 &amp; "Points"),CLASSNAMEHEADERS,0))))}</f>
        <v>SKILLFEATEXTRA-L18</v>
      </c>
      <c r="Z744" s="76" t="str">
        <f t="array" ref="Z744:Z745">{"SKILLFEATEXTRA-L19";((INDEX(ALLCLASSDATA,MATCH("SkillFeatExtra-L19",CLASSFEATUREHEADERS,0),MATCH(($A745 &amp; "Points"),CLASSNAMEHEADERS,0))))}</f>
        <v>SKILLFEATEXTRA-L19</v>
      </c>
      <c r="AA744" s="76" t="str">
        <f t="array" ref="AA744:AA745">{"SKILLFEATEXTRA-L20";((INDEX(ALLCLASSDATA,MATCH("SkillFeatExtra-L20",CLASSFEATUREHEADERS,0),MATCH(($A745 &amp; "Points"),CLASSNAMEHEADERS,0))))}</f>
        <v>SKILLFEATEXTRA-L20</v>
      </c>
      <c r="AB744" s="76"/>
      <c r="AC744" s="76" t="str">
        <f t="array" ref="AC744:AC745">{"SKILLFEAT TOTAL";(sum(G745:AA745))}</f>
        <v>SKILLFEAT TOTAL</v>
      </c>
    </row>
    <row r="745">
      <c r="A745" s="48" t="s">
        <v>176</v>
      </c>
      <c r="B745" s="48"/>
      <c r="C745" s="48" t="s">
        <v>415</v>
      </c>
      <c r="D745" s="97" t="s">
        <v>659</v>
      </c>
      <c r="E745" s="97" t="s">
        <v>722</v>
      </c>
      <c r="F745" s="97"/>
      <c r="G745" s="132"/>
      <c r="H745" s="98" t="s">
        <v>603</v>
      </c>
      <c r="I745" s="98" t="s">
        <v>603</v>
      </c>
      <c r="J745" s="97">
        <v>5.0</v>
      </c>
      <c r="K745" s="98" t="s">
        <v>603</v>
      </c>
      <c r="L745" s="97" t="s">
        <v>603</v>
      </c>
      <c r="M745" s="98" t="s">
        <v>603</v>
      </c>
      <c r="N745" s="98">
        <v>5.0</v>
      </c>
      <c r="O745" s="98" t="s">
        <v>603</v>
      </c>
      <c r="P745" s="98" t="s">
        <v>603</v>
      </c>
      <c r="Q745" s="98" t="s">
        <v>603</v>
      </c>
      <c r="R745" s="98" t="s">
        <v>603</v>
      </c>
      <c r="S745" s="98" t="s">
        <v>603</v>
      </c>
      <c r="T745" s="98" t="s">
        <v>603</v>
      </c>
      <c r="U745" s="98" t="s">
        <v>603</v>
      </c>
      <c r="V745" s="98">
        <v>5.0</v>
      </c>
      <c r="W745" s="98" t="s">
        <v>603</v>
      </c>
      <c r="X745" s="98" t="s">
        <v>603</v>
      </c>
      <c r="Y745" s="98" t="s">
        <v>603</v>
      </c>
      <c r="Z745" s="98" t="s">
        <v>603</v>
      </c>
      <c r="AA745" s="98" t="s">
        <v>603</v>
      </c>
      <c r="AB745" s="5"/>
      <c r="AC745" s="47">
        <v>15.0</v>
      </c>
    </row>
    <row r="746" hidden="1">
      <c r="A746" s="76" t="str">
        <f t="array" ref="A746:A747">{"FormulaRow08";(INDEX(CLASSLIST,A731,1))}</f>
        <v>FormulaRow08</v>
      </c>
      <c r="B746" s="77" t="s">
        <v>236</v>
      </c>
      <c r="C746" s="76" t="str">
        <f t="array" ref="C746:C747">{"CLASSTYPE";((INDEX(ALLCLASSDATA,MATCH("ClassType",CLASSFEATUREHEADERS,0),MATCH($A747,CLASSNAMEHEADERS,0))))}</f>
        <v>CLASSTYPE</v>
      </c>
      <c r="D746" s="81" t="str">
        <f t="array" ref="D746:D747">{"CLASSABILITY";"ClassAbility"}</f>
        <v>CLASSABILITY</v>
      </c>
      <c r="E746" s="81" t="str">
        <f t="array" ref="E746:E747">{"CLASSABILITY1";"ClassAbility1"}</f>
        <v>CLASSABILITY1</v>
      </c>
      <c r="F746" s="81"/>
      <c r="G746" s="81"/>
      <c r="H746" s="81"/>
      <c r="I746" s="81"/>
      <c r="J746" s="81" t="str">
        <f t="array" ref="J746:J747">{"CLASSABILITY1-L03";((INDEX(ALLCLASSDATA,MATCH("ClassAbility1-L03",CLASSFEATUREHEADERS,0),MATCH(($A747),CLASSNAMEHEADERS,0))))}</f>
        <v>CLASSABILITY1-L03</v>
      </c>
      <c r="K746" s="81"/>
      <c r="L746" s="81" t="str">
        <f t="array" ref="L746:L747">{"CLASSABILITY1-L05";((INDEX(ALLCLASSDATA,MATCH("ClassAbility1-L05",CLASSFEATUREHEADERS,0),MATCH(($A747),CLASSNAMEHEADERS,0))))}</f>
        <v>CLASSABILITY1-L05</v>
      </c>
      <c r="M746" s="81"/>
      <c r="N746" s="81" t="str">
        <f t="array" ref="N746:N747">{"CLASSABILITY1-L07";((INDEX(ALLCLASSDATA,MATCH("ClassAbility1-L07",CLASSFEATUREHEADERS,0),MATCH(($A747),CLASSNAMEHEADERS,0))))}</f>
        <v>CLASSABILITY1-L07</v>
      </c>
      <c r="O746" s="81"/>
      <c r="P746" s="81" t="str">
        <f t="array" ref="P746:P747">{"CLASSABILITY1-L09";((INDEX(ALLCLASSDATA,MATCH("ClassAbility1-L09",CLASSFEATUREHEADERS,0),MATCH(($A747),CLASSNAMEHEADERS,0))))}</f>
        <v>CLASSABILITY1-L09</v>
      </c>
      <c r="Q746" s="81"/>
      <c r="R746" s="81" t="str">
        <f t="array" ref="R746:R747">{"CLASSABILITY1-L11";((INDEX(ALLCLASSDATA,MATCH("ClassAbility1-L11",CLASSFEATUREHEADERS,0),MATCH(($A747),CLASSNAMEHEADERS,0))))}</f>
        <v>CLASSABILITY1-L11</v>
      </c>
      <c r="S746" s="81"/>
      <c r="T746" s="81" t="str">
        <f t="array" ref="T746:T747">{"CLASSABILITY1-L13";((INDEX(ALLCLASSDATA,MATCH("ClassAbility1-L13",CLASSFEATUREHEADERS,0),MATCH(($A747),CLASSNAMEHEADERS,0))))}</f>
        <v>CLASSABILITY1-L13</v>
      </c>
      <c r="U746" s="81"/>
      <c r="V746" s="81" t="str">
        <f t="array" ref="V746:V747">{"CLASSABILITY1-L15";((INDEX(ALLCLASSDATA,MATCH("ClassAbility1-L15",CLASSFEATUREHEADERS,0),MATCH(($A747),CLASSNAMEHEADERS,0))))}</f>
        <v>CLASSABILITY1-L15</v>
      </c>
      <c r="W746" s="81"/>
      <c r="X746" s="81" t="str">
        <f t="array" ref="X746:X747">{"CLASSABILITY1-L17";((INDEX(ALLCLASSDATA,MATCH("ClassAbility1-L17",CLASSFEATUREHEADERS,0),MATCH(($A747),CLASSNAMEHEADERS,0))))}</f>
        <v>CLASSABILITY1-L17</v>
      </c>
      <c r="Y746" s="81"/>
      <c r="Z746" s="81" t="str">
        <f t="array" ref="Z746:Z747">{"CLASSABILITY1-L19";((INDEX(ALLCLASSDATA,MATCH("ClassAbility1-L19",CLASSFEATUREHEADERS,0),MATCH(($A747),CLASSNAMEHEADERS,0))))}</f>
        <v>CLASSABILITY1-L19</v>
      </c>
      <c r="AA746" s="81"/>
      <c r="AB746" s="76"/>
      <c r="AC746" s="76"/>
    </row>
    <row r="747">
      <c r="A747" s="48" t="s">
        <v>176</v>
      </c>
      <c r="B747" s="48"/>
      <c r="C747" s="48" t="s">
        <v>415</v>
      </c>
      <c r="D747" s="48" t="s">
        <v>825</v>
      </c>
      <c r="E747" s="48" t="s">
        <v>826</v>
      </c>
      <c r="F747" s="5"/>
      <c r="G747" s="47"/>
      <c r="H747" s="5"/>
      <c r="I747" s="5"/>
      <c r="J747" s="5" t="s">
        <v>314</v>
      </c>
      <c r="K747" s="5"/>
      <c r="L747" s="5" t="s">
        <v>359</v>
      </c>
      <c r="M747" s="5"/>
      <c r="N747" s="5" t="s">
        <v>369</v>
      </c>
      <c r="O747" s="5"/>
      <c r="P747" s="5" t="s">
        <v>1719</v>
      </c>
      <c r="Q747" s="5"/>
      <c r="R747" s="5" t="s">
        <v>1733</v>
      </c>
      <c r="S747" s="5"/>
      <c r="T747" s="5" t="s">
        <v>362</v>
      </c>
      <c r="U747" s="5"/>
      <c r="V747" s="5" t="s">
        <v>371</v>
      </c>
      <c r="W747" s="5"/>
      <c r="X747" s="5" t="s">
        <v>335</v>
      </c>
      <c r="Y747" s="5"/>
      <c r="Z747" s="5" t="s">
        <v>1791</v>
      </c>
      <c r="AA747" s="5"/>
      <c r="AB747" s="5"/>
      <c r="AC747" s="47"/>
    </row>
    <row r="748" hidden="1">
      <c r="A748" s="76" t="str">
        <f t="array" ref="A748:A749">{"FormulaRow09";(INDEX(CLASSLIST,A731,1))}</f>
        <v>FormulaRow09</v>
      </c>
      <c r="B748" s="77" t="s">
        <v>236</v>
      </c>
      <c r="C748" s="76" t="str">
        <f t="array" ref="C748:C749">{"CLASSTYPE";((INDEX(ALLCLASSDATA,MATCH("ClassType",CLASSFEATUREHEADERS,0),MATCH($A749,CLASSNAMEHEADERS,0))))}</f>
        <v>CLASSTYPE</v>
      </c>
      <c r="D748" s="76" t="str">
        <f t="array" ref="D748:D749">{"CLASSABILITYPTS";"ClassAbilityPts"}</f>
        <v>CLASSABILITYPTS</v>
      </c>
      <c r="E748" s="76" t="str">
        <f t="array" ref="E748:E749">{"CLASSABILITY1";"ClassAbility1"}</f>
        <v>CLASSABILITY1</v>
      </c>
      <c r="F748" s="76"/>
      <c r="G748" s="76"/>
      <c r="H748" s="76"/>
      <c r="I748" s="76"/>
      <c r="J748" s="76" t="str">
        <f t="array" ref="J748:J749">{"CLASSABILITY1-L03PTS";((INDEX(ALLCLASSDATA,MATCH("ClassAbility1-L03",CLASSFEATUREHEADERS,0),MATCH(($A749 &amp; "Points"),CLASSNAMEHEADERS,0))))}</f>
        <v>CLASSABILITY1-L03PTS</v>
      </c>
      <c r="K748" s="76"/>
      <c r="L748" s="76" t="str">
        <f t="array" ref="L748:L749">{"CLASSABILITY1-L05PTS";((INDEX(ALLCLASSDATA,MATCH("ClassAbility1-L05",CLASSFEATUREHEADERS,0),MATCH(($A749 &amp; "Points"),CLASSNAMEHEADERS,0))))}</f>
        <v>CLASSABILITY1-L05PTS</v>
      </c>
      <c r="M748" s="76"/>
      <c r="N748" s="76" t="str">
        <f t="array" ref="N748:N749">{"CLASSABILITY1-L07PTS";((INDEX(ALLCLASSDATA,MATCH("ClassAbility1-L07",CLASSFEATUREHEADERS,0),MATCH(($A749 &amp; "Points"),CLASSNAMEHEADERS,0))))}</f>
        <v>CLASSABILITY1-L07PTS</v>
      </c>
      <c r="O748" s="76"/>
      <c r="P748" s="76" t="str">
        <f t="array" ref="P748:P749">{"CLASSABILITY1-L09PTS";((INDEX(ALLCLASSDATA,MATCH("ClassAbility1-L09",CLASSFEATUREHEADERS,0),MATCH(($A749 &amp; "Points"),CLASSNAMEHEADERS,0))))}</f>
        <v>CLASSABILITY1-L09PTS</v>
      </c>
      <c r="Q748" s="76"/>
      <c r="R748" s="76" t="str">
        <f t="array" ref="R748:R749">{"CLASSABILITY1-L11PTS";((INDEX(ALLCLASSDATA,MATCH("ClassAbility1-L11",CLASSFEATUREHEADERS,0),MATCH(($A749 &amp; "Points"),CLASSNAMEHEADERS,0))))}</f>
        <v>CLASSABILITY1-L11PTS</v>
      </c>
      <c r="S748" s="76"/>
      <c r="T748" s="76" t="str">
        <f t="array" ref="T748:T749">{"CLASSABILITY1-L13PTS";((INDEX(ALLCLASSDATA,MATCH("ClassAbility1-L13",CLASSFEATUREHEADERS,0),MATCH(($A749 &amp; "Points"),CLASSNAMEHEADERS,0))))}</f>
        <v>CLASSABILITY1-L13PTS</v>
      </c>
      <c r="U748" s="76"/>
      <c r="V748" s="76" t="str">
        <f t="array" ref="V748:V749">{"CLASSABILITY1-L15PTS";((INDEX(ALLCLASSDATA,MATCH("ClassAbility1-L15",CLASSFEATUREHEADERS,0),MATCH(($A749 &amp; "Points"),CLASSNAMEHEADERS,0))))}</f>
        <v>CLASSABILITY1-L15PTS</v>
      </c>
      <c r="W748" s="76"/>
      <c r="X748" s="76" t="str">
        <f t="array" ref="X748:X749">{"CLASSABILITY1-L17PTS";((INDEX(ALLCLASSDATA,MATCH("ClassAbility1-L17",CLASSFEATUREHEADERS,0),MATCH(($A749 &amp; "Points"),CLASSNAMEHEADERS,0))))}</f>
        <v>CLASSABILITY1-L17PTS</v>
      </c>
      <c r="Y748" s="76"/>
      <c r="Z748" s="76" t="str">
        <f t="array" ref="Z748:Z749">{"CLASSABILITY1-L19PTS";((INDEX(ALLCLASSDATA,MATCH("ClassAbility1-L19",CLASSFEATUREHEADERS,0),MATCH(($A749 &amp; "Points"),CLASSNAMEHEADERS,0))))}</f>
        <v>CLASSABILITY1-L19PTS</v>
      </c>
      <c r="AA748" s="76"/>
      <c r="AB748" s="76"/>
      <c r="AC748" s="76" t="str">
        <f t="array" ref="AC748:AC749">{"CLASSABILITY1 TOTAL";(sum(G749:AA749))}</f>
        <v>CLASSABILITY1 TOTAL</v>
      </c>
    </row>
    <row r="749">
      <c r="A749" s="48" t="s">
        <v>176</v>
      </c>
      <c r="B749" s="48"/>
      <c r="C749" s="48" t="s">
        <v>415</v>
      </c>
      <c r="D749" s="48" t="s">
        <v>930</v>
      </c>
      <c r="E749" s="48" t="s">
        <v>826</v>
      </c>
      <c r="F749" s="5"/>
      <c r="G749" s="5"/>
      <c r="H749" s="5"/>
      <c r="I749" s="5"/>
      <c r="J749" s="48"/>
      <c r="K749" s="5"/>
      <c r="L749" s="5"/>
      <c r="M749" s="5"/>
      <c r="N749" s="5"/>
      <c r="O749" s="5"/>
      <c r="P749" s="5"/>
      <c r="Q749" s="5"/>
      <c r="R749" s="5">
        <v>10.0</v>
      </c>
      <c r="S749" s="5"/>
      <c r="T749" s="5"/>
      <c r="U749" s="5"/>
      <c r="V749" s="5"/>
      <c r="W749" s="5"/>
      <c r="X749" s="5"/>
      <c r="Y749" s="5"/>
      <c r="Z749" s="5">
        <v>10.0</v>
      </c>
      <c r="AA749" s="5"/>
      <c r="AB749" s="5"/>
      <c r="AC749" s="47">
        <v>20.0</v>
      </c>
    </row>
    <row r="750" hidden="1">
      <c r="A750" s="76" t="str">
        <f t="array" ref="A750:A751">{"FormulaRow10";(INDEX(CLASSLIST,A731,1))}</f>
        <v>FormulaRow10</v>
      </c>
      <c r="B750" s="77" t="s">
        <v>236</v>
      </c>
      <c r="C750" s="76" t="str">
        <f t="array" ref="C750:C751">{"CLASSTYPE";((INDEX(ALLCLASSDATA,MATCH("ClassType",CLASSFEATUREHEADERS,0),MATCH($A751,CLASSNAMEHEADERS,0))))}</f>
        <v>CLASSTYPE</v>
      </c>
      <c r="D750" s="76" t="str">
        <f t="array" ref="D750:D751">{"CLASSABILITY";"ClassAbility"}</f>
        <v>CLASSABILITY</v>
      </c>
      <c r="E750" s="76" t="str">
        <f t="array" ref="E750:E751">{"CLASSABILITY2";"ClassAbility2"}</f>
        <v>CLASSABILITY2</v>
      </c>
      <c r="F750" s="76"/>
      <c r="G750" s="76"/>
      <c r="H750" s="76"/>
      <c r="I750" s="76"/>
      <c r="J750" s="76" t="str">
        <f t="array" ref="J750:J751">{"CLASSABILITY2-L03";((INDEX(ALLCLASSDATA,MATCH("ClassAbility2-L03",CLASSFEATUREHEADERS,0),MATCH(($A751),CLASSNAMEHEADERS,0))))}</f>
        <v>CLASSABILITY2-L03</v>
      </c>
      <c r="K750" s="76"/>
      <c r="L750" s="76" t="str">
        <f t="array" ref="L750:L751">{"CLASSABILITY2-L05";((INDEX(ALLCLASSDATA,MATCH("ClassAbility2-L05",CLASSFEATUREHEADERS,0),MATCH(($A751),CLASSNAMEHEADERS,0))))}</f>
        <v>CLASSABILITY2-L05</v>
      </c>
      <c r="M750" s="76"/>
      <c r="N750" s="76" t="str">
        <f t="array" ref="N750:N751">{"CLASSABILITY2-L07";((INDEX(ALLCLASSDATA,MATCH("ClassAbility2-L07",CLASSFEATUREHEADERS,0),MATCH(($A751),CLASSNAMEHEADERS,0))))}</f>
        <v>CLASSABILITY2-L07</v>
      </c>
      <c r="O750" s="76"/>
      <c r="P750" s="76" t="str">
        <f t="array" ref="P750:P751">{"CLASSABILITY2-L09";((INDEX(ALLCLASSDATA,MATCH("ClassAbility2-L09",CLASSFEATUREHEADERS,0),MATCH(($A751),CLASSNAMEHEADERS,0))))}</f>
        <v>CLASSABILITY2-L09</v>
      </c>
      <c r="Q750" s="76"/>
      <c r="R750" s="76" t="str">
        <f t="array" ref="R750:R751">{"CLASSABILITY2-L11";((INDEX(ALLCLASSDATA,MATCH("ClassAbility2-L11",CLASSFEATUREHEADERS,0),MATCH(($A751),CLASSNAMEHEADERS,0))))}</f>
        <v>CLASSABILITY2-L11</v>
      </c>
      <c r="S750" s="76"/>
      <c r="T750" s="76" t="str">
        <f t="array" ref="T750:T751">{"CLASSABILITY2-L13";((INDEX(ALLCLASSDATA,MATCH("ClassAbility2-L13",CLASSFEATUREHEADERS,0),MATCH(($A751),CLASSNAMEHEADERS,0))))}</f>
        <v>CLASSABILITY2-L13</v>
      </c>
      <c r="U750" s="76"/>
      <c r="V750" s="76" t="str">
        <f t="array" ref="V750:V751">{"CLASSABILITY2-L15";((INDEX(ALLCLASSDATA,MATCH("ClassAbility2-L15",CLASSFEATUREHEADERS,0),MATCH(($A751),CLASSNAMEHEADERS,0))))}</f>
        <v>CLASSABILITY2-L15</v>
      </c>
      <c r="W750" s="76"/>
      <c r="X750" s="76" t="str">
        <f t="array" ref="X750:X751">{"CLASSABILITY2-L17";((INDEX(ALLCLASSDATA,MATCH("ClassAbility2-L17",CLASSFEATUREHEADERS,0),MATCH(($A751),CLASSNAMEHEADERS,0))))}</f>
        <v>CLASSABILITY2-L17</v>
      </c>
      <c r="Y750" s="76"/>
      <c r="Z750" s="76" t="str">
        <f t="array" ref="Z750:Z751">{"CLASSABILITY2-L19";((INDEX(ALLCLASSDATA,MATCH("ClassAbility2-L19",CLASSFEATUREHEADERS,0),MATCH(($A751),CLASSNAMEHEADERS,0))))}</f>
        <v>CLASSABILITY2-L19</v>
      </c>
      <c r="AA750" s="76"/>
      <c r="AB750" s="76"/>
      <c r="AC750" s="76"/>
    </row>
    <row r="751">
      <c r="A751" s="48" t="s">
        <v>176</v>
      </c>
      <c r="B751" s="48"/>
      <c r="C751" s="48" t="s">
        <v>415</v>
      </c>
      <c r="D751" s="48" t="s">
        <v>825</v>
      </c>
      <c r="E751" s="48" t="s">
        <v>1007</v>
      </c>
      <c r="F751" s="48"/>
      <c r="G751" s="47"/>
      <c r="H751" s="5"/>
      <c r="I751" s="5"/>
      <c r="J751" s="5" t="s">
        <v>1683</v>
      </c>
      <c r="K751" s="5"/>
      <c r="L751" s="5"/>
      <c r="M751" s="5"/>
      <c r="N751" s="5" t="s">
        <v>326</v>
      </c>
      <c r="O751" s="5"/>
      <c r="P751" s="5"/>
      <c r="Q751" s="5"/>
      <c r="R751" s="5" t="s">
        <v>308</v>
      </c>
      <c r="S751" s="5"/>
      <c r="T751" s="5" t="s">
        <v>1755</v>
      </c>
      <c r="U751" s="5"/>
      <c r="V751" s="5" t="s">
        <v>1765</v>
      </c>
      <c r="W751" s="5"/>
      <c r="X751" s="5"/>
      <c r="Y751" s="5"/>
      <c r="Z751" s="5" t="s">
        <v>1793</v>
      </c>
      <c r="AA751" s="5"/>
      <c r="AB751" s="5"/>
      <c r="AC751" s="47"/>
    </row>
    <row r="752" hidden="1">
      <c r="A752" s="76" t="str">
        <f t="array" ref="A752:A753">{"FormulaRow11";(INDEX(CLASSLIST,A731,1))}</f>
        <v>FormulaRow11</v>
      </c>
      <c r="B752" s="77" t="s">
        <v>236</v>
      </c>
      <c r="C752" s="76" t="str">
        <f t="array" ref="C752:C753">{"CLASSTYPE";((INDEX(ALLCLASSDATA,MATCH("ClassType",CLASSFEATUREHEADERS,0),MATCH($A753,CLASSNAMEHEADERS,0))))}</f>
        <v>CLASSTYPE</v>
      </c>
      <c r="D752" s="76" t="str">
        <f t="array" ref="D752:D753">{"CLASSABILITYPTS";"ClassAbilityPts"}</f>
        <v>CLASSABILITYPTS</v>
      </c>
      <c r="E752" s="76" t="str">
        <f t="array" ref="E752:E753">{"CLASSABILITY2";"ClassAbility2"}</f>
        <v>CLASSABILITY2</v>
      </c>
      <c r="F752" s="76"/>
      <c r="G752" s="76"/>
      <c r="H752" s="76"/>
      <c r="I752" s="76"/>
      <c r="J752" s="76" t="str">
        <f t="array" ref="J752:J753">{"CLASSABILITY2-L03PTS";((INDEX(ALLCLASSDATA,MATCH("ClassAbility2-L03",CLASSFEATUREHEADERS,0),MATCH(($A753 &amp; "Points"),CLASSNAMEHEADERS,0))))}</f>
        <v>CLASSABILITY2-L03PTS</v>
      </c>
      <c r="K752" s="76"/>
      <c r="L752" s="76" t="str">
        <f t="array" ref="L752:L753">{"CLASSABILITY2-L05PTS";((INDEX(ALLCLASSDATA,MATCH("ClassAbility2-L05",CLASSFEATUREHEADERS,0),MATCH(($A753 &amp; "Points"),CLASSNAMEHEADERS,0))))}</f>
        <v>CLASSABILITY2-L05PTS</v>
      </c>
      <c r="M752" s="76"/>
      <c r="N752" s="76" t="str">
        <f t="array" ref="N752:N753">{"CLASSABILITY2-L07PTS";((INDEX(ALLCLASSDATA,MATCH("ClassAbility2-L07",CLASSFEATUREHEADERS,0),MATCH(($A753 &amp; "Points"),CLASSNAMEHEADERS,0))))}</f>
        <v>CLASSABILITY2-L07PTS</v>
      </c>
      <c r="O752" s="76"/>
      <c r="P752" s="76" t="str">
        <f t="array" ref="P752:P753">{"CLASSABILITY2-L09PTS";((INDEX(ALLCLASSDATA,MATCH("ClassAbility2-L09",CLASSFEATUREHEADERS,0),MATCH(($A753 &amp; "Points"),CLASSNAMEHEADERS,0))))}</f>
        <v>CLASSABILITY2-L09PTS</v>
      </c>
      <c r="Q752" s="76"/>
      <c r="R752" s="76" t="str">
        <f t="array" ref="R752:R753">{"CLASSABILITY2-L11PTS";((INDEX(ALLCLASSDATA,MATCH("ClassAbility2-L11",CLASSFEATUREHEADERS,0),MATCH(($A753 &amp; "Points"),CLASSNAMEHEADERS,0))))}</f>
        <v>CLASSABILITY2-L11PTS</v>
      </c>
      <c r="S752" s="76"/>
      <c r="T752" s="76" t="str">
        <f t="array" ref="T752:T753">{"CLASSABILITY2-L13PTS";((INDEX(ALLCLASSDATA,MATCH("ClassAbility2-L13",CLASSFEATUREHEADERS,0),MATCH(($A753 &amp; "Points"),CLASSNAMEHEADERS,0))))}</f>
        <v>CLASSABILITY2-L13PTS</v>
      </c>
      <c r="U752" s="76"/>
      <c r="V752" s="76" t="str">
        <f t="array" ref="V752:V753">{"CLASSABILITY2-L15PTS";((INDEX(ALLCLASSDATA,MATCH("ClassAbility2-L15",CLASSFEATUREHEADERS,0),MATCH(($A753 &amp; "Points"),CLASSNAMEHEADERS,0))))}</f>
        <v>CLASSABILITY2-L15PTS</v>
      </c>
      <c r="W752" s="76"/>
      <c r="X752" s="76" t="str">
        <f t="array" ref="X752:X753">{"CLASSABILITY2-L17PTS";((INDEX(ALLCLASSDATA,MATCH("ClassAbility2-L17",CLASSFEATUREHEADERS,0),MATCH(($A753 &amp; "Points"),CLASSNAMEHEADERS,0))))}</f>
        <v>CLASSABILITY2-L17PTS</v>
      </c>
      <c r="Y752" s="76"/>
      <c r="Z752" s="76" t="str">
        <f t="array" ref="Z752:Z753">{"CLASSABILITY2-L19PTS";((INDEX(ALLCLASSDATA,MATCH("ClassAbility2-L19",CLASSFEATUREHEADERS,0),MATCH(($A753 &amp; "Points"),CLASSNAMEHEADERS,0))))}</f>
        <v>CLASSABILITY2-L19PTS</v>
      </c>
      <c r="AA752" s="76"/>
      <c r="AB752" s="76"/>
      <c r="AC752" s="76" t="str">
        <f t="array" ref="AC752:AC753">{"CLASSABILITY2 TOTAL";(sum(G753:AA753))}</f>
        <v>CLASSABILITY2 TOTAL</v>
      </c>
    </row>
    <row r="753">
      <c r="A753" s="48" t="s">
        <v>176</v>
      </c>
      <c r="B753" s="48"/>
      <c r="C753" s="48" t="s">
        <v>415</v>
      </c>
      <c r="D753" s="48" t="s">
        <v>930</v>
      </c>
      <c r="E753" s="48" t="s">
        <v>1007</v>
      </c>
      <c r="F753" s="48"/>
      <c r="G753" s="47"/>
      <c r="H753" s="5"/>
      <c r="I753" s="5"/>
      <c r="J753" s="5">
        <v>50.0</v>
      </c>
      <c r="K753" s="5"/>
      <c r="L753" s="5"/>
      <c r="M753" s="5"/>
      <c r="N753" s="5"/>
      <c r="O753" s="5"/>
      <c r="P753" s="5"/>
      <c r="Q753" s="5"/>
      <c r="R753" s="5"/>
      <c r="S753" s="5"/>
      <c r="T753" s="5"/>
      <c r="U753" s="5"/>
      <c r="V753" s="5">
        <v>170.0</v>
      </c>
      <c r="W753" s="5"/>
      <c r="X753" s="5"/>
      <c r="Y753" s="5"/>
      <c r="Z753" s="5"/>
      <c r="AA753" s="5"/>
      <c r="AB753" s="5"/>
      <c r="AC753" s="47">
        <v>220.0</v>
      </c>
    </row>
    <row r="754" hidden="1">
      <c r="A754" s="76" t="str">
        <f t="array" ref="A754:A755">{"FormulaRow12";(INDEX(CLASSLIST,A731,1))}</f>
        <v>FormulaRow12</v>
      </c>
      <c r="B754" s="77" t="s">
        <v>236</v>
      </c>
      <c r="C754" s="76" t="str">
        <f t="array" ref="C754:C755">{"CLASSTYPE";((INDEX(ALLCLASSDATA,MATCH("ClassType",CLASSFEATUREHEADERS,0),MATCH($A755,CLASSNAMEHEADERS,0))))}</f>
        <v>CLASSTYPE</v>
      </c>
      <c r="D754" s="76" t="str">
        <f t="array" ref="D754:D755">{"CLASSABILITY";"ClassAbility"}</f>
        <v>CLASSABILITY</v>
      </c>
      <c r="E754" s="76" t="str">
        <f t="array" ref="E754:E755">{"CLASSABILITY3";"ClassAbility3"}</f>
        <v>CLASSABILITY3</v>
      </c>
      <c r="F754" s="76"/>
      <c r="G754" s="76"/>
      <c r="H754" s="76"/>
      <c r="I754" s="76"/>
      <c r="J754" s="76" t="str">
        <f t="array" ref="J754:J755">{"CLASSABILITY3-L03";((INDEX(ALLCLASSDATA,MATCH("ClassAbility3-L03",CLASSFEATUREHEADERS,0),MATCH(($A755),CLASSNAMEHEADERS,0))))}</f>
        <v>CLASSABILITY3-L03</v>
      </c>
      <c r="K754" s="76"/>
      <c r="L754" s="76" t="str">
        <f t="array" ref="L754:L755">{"CLASSABILITY3-L05";((INDEX(ALLCLASSDATA,MATCH("ClassAbility3-L05",CLASSFEATUREHEADERS,0),MATCH(($A755),CLASSNAMEHEADERS,0))))}</f>
        <v>CLASSABILITY3-L05</v>
      </c>
      <c r="M754" s="76"/>
      <c r="N754" s="76" t="str">
        <f t="array" ref="N754:N755">{"CLASSABILITY3-L07";((INDEX(ALLCLASSDATA,MATCH("ClassAbility3-L07",CLASSFEATUREHEADERS,0),MATCH(($A755),CLASSNAMEHEADERS,0))))}</f>
        <v>CLASSABILITY3-L07</v>
      </c>
      <c r="O754" s="76"/>
      <c r="P754" s="76" t="str">
        <f t="array" ref="P754:P755">{"CLASSABILITY3-L09";((INDEX(ALLCLASSDATA,MATCH("ClassAbility3-L09",CLASSFEATUREHEADERS,0),MATCH(($A755),CLASSNAMEHEADERS,0))))}</f>
        <v>CLASSABILITY3-L09</v>
      </c>
      <c r="Q754" s="76"/>
      <c r="R754" s="76" t="str">
        <f t="array" ref="R754:R755">{"CLASSABILITY3-L11";((INDEX(ALLCLASSDATA,MATCH("ClassAbility3-L11",CLASSFEATUREHEADERS,0),MATCH(($A755),CLASSNAMEHEADERS,0))))}</f>
        <v>CLASSABILITY3-L11</v>
      </c>
      <c r="S754" s="76"/>
      <c r="T754" s="76" t="str">
        <f t="array" ref="T754:T755">{"CLASSABILITY3-L13";((INDEX(ALLCLASSDATA,MATCH("ClassAbility3-L13",CLASSFEATUREHEADERS,0),MATCH(($A755),CLASSNAMEHEADERS,0))))}</f>
        <v>CLASSABILITY3-L13</v>
      </c>
      <c r="U754" s="76"/>
      <c r="V754" s="76" t="str">
        <f t="array" ref="V754:V755">{"CLASSABILITY3-L15";((INDEX(ALLCLASSDATA,MATCH("ClassAbility3-L15",CLASSFEATUREHEADERS,0),MATCH(($A755),CLASSNAMEHEADERS,0))))}</f>
        <v>CLASSABILITY3-L15</v>
      </c>
      <c r="W754" s="76"/>
      <c r="X754" s="76" t="str">
        <f t="array" ref="X754:X755">{"CLASSABILITY3-L17";((INDEX(ALLCLASSDATA,MATCH("ClassAbility3-L17",CLASSFEATUREHEADERS,0),MATCH(($A755),CLASSNAMEHEADERS,0))))}</f>
        <v>CLASSABILITY3-L17</v>
      </c>
      <c r="Y754" s="76"/>
      <c r="Z754" s="76" t="str">
        <f t="array" ref="Z754:Z755">{"CLASSABILITY3-L19";((INDEX(ALLCLASSDATA,MATCH("ClassAbility3-L19",CLASSFEATUREHEADERS,0),MATCH(($A755),CLASSNAMEHEADERS,0))))}</f>
        <v>CLASSABILITY3-L19</v>
      </c>
      <c r="AA754" s="76"/>
      <c r="AB754" s="76"/>
      <c r="AC754" s="76"/>
    </row>
    <row r="755">
      <c r="A755" s="48" t="s">
        <v>176</v>
      </c>
      <c r="B755" s="48"/>
      <c r="C755" s="48" t="s">
        <v>415</v>
      </c>
      <c r="D755" s="48" t="s">
        <v>825</v>
      </c>
      <c r="E755" s="48" t="s">
        <v>1144</v>
      </c>
      <c r="F755" s="48"/>
      <c r="G755" s="47"/>
      <c r="H755" s="5"/>
      <c r="I755" s="5"/>
      <c r="J755" s="5" t="s">
        <v>1687</v>
      </c>
      <c r="K755" s="5"/>
      <c r="L755" s="5"/>
      <c r="M755" s="5"/>
      <c r="N755" s="5"/>
      <c r="O755" s="5"/>
      <c r="P755" s="5"/>
      <c r="Q755" s="5"/>
      <c r="R755" s="5"/>
      <c r="S755" s="5"/>
      <c r="T755" s="5" t="s">
        <v>329</v>
      </c>
      <c r="U755" s="5"/>
      <c r="V755" s="5"/>
      <c r="W755" s="5"/>
      <c r="X755" s="5"/>
      <c r="Y755" s="5"/>
      <c r="Z755" s="5"/>
      <c r="AA755" s="5"/>
      <c r="AB755" s="5"/>
      <c r="AC755" s="47"/>
    </row>
    <row r="756" hidden="1">
      <c r="A756" s="76" t="str">
        <f t="array" ref="A756:A757">{"FormulaRow13";(INDEX(CLASSLIST,A731,1))}</f>
        <v>FormulaRow13</v>
      </c>
      <c r="B756" s="77" t="s">
        <v>236</v>
      </c>
      <c r="C756" s="76" t="str">
        <f t="array" ref="C756:C757">{"CLASSTYPE";((INDEX(ALLCLASSDATA,MATCH("ClassType",CLASSFEATUREHEADERS,0),MATCH($A757,CLASSNAMEHEADERS,0))))}</f>
        <v>CLASSTYPE</v>
      </c>
      <c r="D756" s="76" t="str">
        <f t="array" ref="D756:D757">{"CLASSABILITYPTS";"ClassAbilityPts"}</f>
        <v>CLASSABILITYPTS</v>
      </c>
      <c r="E756" s="76" t="str">
        <f t="array" ref="E756:E757">{"CLASSABILITY3";"ClassAbility3"}</f>
        <v>CLASSABILITY3</v>
      </c>
      <c r="F756" s="76"/>
      <c r="G756" s="76"/>
      <c r="H756" s="76"/>
      <c r="I756" s="76"/>
      <c r="J756" s="76" t="str">
        <f t="array" ref="J756:J757">{"CLASSABILITY3-L03PTS";((INDEX(ALLCLASSDATA,MATCH("ClassAbility3-L03",CLASSFEATUREHEADERS,0),MATCH(($A757 &amp; "Points"),CLASSNAMEHEADERS,0))))}</f>
        <v>CLASSABILITY3-L03PTS</v>
      </c>
      <c r="K756" s="76"/>
      <c r="L756" s="76" t="str">
        <f t="array" ref="L756:L757">{"CLASSABILITY3-L05PTS";((INDEX(ALLCLASSDATA,MATCH("ClassAbility3-L05",CLASSFEATUREHEADERS,0),MATCH(($A757 &amp; "Points"),CLASSNAMEHEADERS,0))))}</f>
        <v>CLASSABILITY3-L05PTS</v>
      </c>
      <c r="M756" s="76"/>
      <c r="N756" s="76" t="str">
        <f t="array" ref="N756:N757">{"CLASSABILITY3-L07PTS";((INDEX(ALLCLASSDATA,MATCH("ClassAbility3-L07",CLASSFEATUREHEADERS,0),MATCH(($A757 &amp; "Points"),CLASSNAMEHEADERS,0))))}</f>
        <v>CLASSABILITY3-L07PTS</v>
      </c>
      <c r="O756" s="76"/>
      <c r="P756" s="76" t="str">
        <f t="array" ref="P756:P757">{"CLASSABILITY3-L09PTS";((INDEX(ALLCLASSDATA,MATCH("ClassAbility3-L09",CLASSFEATUREHEADERS,0),MATCH(($A757 &amp; "Points"),CLASSNAMEHEADERS,0))))}</f>
        <v>CLASSABILITY3-L09PTS</v>
      </c>
      <c r="Q756" s="76"/>
      <c r="R756" s="76" t="str">
        <f t="array" ref="R756:R757">{"CLASSABILITY3-L11PTS";((INDEX(ALLCLASSDATA,MATCH("ClassAbility3-L11",CLASSFEATUREHEADERS,0),MATCH(($A757 &amp; "Points"),CLASSNAMEHEADERS,0))))}</f>
        <v>CLASSABILITY3-L11PTS</v>
      </c>
      <c r="S756" s="76"/>
      <c r="T756" s="76" t="str">
        <f t="array" ref="T756:T757">{"CLASSABILITY3-L13PTS";((INDEX(ALLCLASSDATA,MATCH("ClassAbility3-L13",CLASSFEATUREHEADERS,0),MATCH(($A757 &amp; "Points"),CLASSNAMEHEADERS,0))))}</f>
        <v>CLASSABILITY3-L13PTS</v>
      </c>
      <c r="U756" s="76"/>
      <c r="V756" s="76" t="str">
        <f t="array" ref="V756:V757">{"CLASSABILITY3-L15PTS";((INDEX(ALLCLASSDATA,MATCH("ClassAbility3-L15",CLASSFEATUREHEADERS,0),MATCH(($A757 &amp; "Points"),CLASSNAMEHEADERS,0))))}</f>
        <v>CLASSABILITY3-L15PTS</v>
      </c>
      <c r="W756" s="76"/>
      <c r="X756" s="76" t="str">
        <f t="array" ref="X756:X757">{"CLASSABILITY3-L17PTS";((INDEX(ALLCLASSDATA,MATCH("ClassAbility3-L17",CLASSFEATUREHEADERS,0),MATCH(($A757 &amp; "Points"),CLASSNAMEHEADERS,0))))}</f>
        <v>CLASSABILITY3-L17PTS</v>
      </c>
      <c r="Y756" s="76"/>
      <c r="Z756" s="76" t="str">
        <f t="array" ref="Z756:Z757">{"CLASSABILITY3-L19PTS";((INDEX(ALLCLASSDATA,MATCH("ClassAbility3-L19",CLASSFEATUREHEADERS,0),MATCH(($A757 &amp; "Points"),CLASSNAMEHEADERS,0))))}</f>
        <v>CLASSABILITY3-L19PTS</v>
      </c>
      <c r="AA756" s="76"/>
      <c r="AB756" s="76"/>
      <c r="AC756" s="76" t="str">
        <f t="array" ref="AC756:AC757">{"CLASSABILITY3 TOTAL";(sum(G757:AA757))}</f>
        <v>CLASSABILITY3 TOTAL</v>
      </c>
    </row>
    <row r="757">
      <c r="A757" s="48" t="s">
        <v>176</v>
      </c>
      <c r="B757" s="48"/>
      <c r="C757" s="48" t="s">
        <v>415</v>
      </c>
      <c r="D757" s="48" t="s">
        <v>930</v>
      </c>
      <c r="E757" s="48" t="s">
        <v>1144</v>
      </c>
      <c r="F757" s="48"/>
      <c r="G757" s="47"/>
      <c r="H757" s="5"/>
      <c r="I757" s="5"/>
      <c r="J757" s="5"/>
      <c r="K757" s="5"/>
      <c r="L757" s="5"/>
      <c r="M757" s="5"/>
      <c r="N757" s="5"/>
      <c r="O757" s="5"/>
      <c r="P757" s="5"/>
      <c r="Q757" s="5"/>
      <c r="R757" s="5"/>
      <c r="S757" s="5"/>
      <c r="T757" s="5"/>
      <c r="U757" s="5"/>
      <c r="V757" s="5"/>
      <c r="W757" s="5"/>
      <c r="X757" s="5"/>
      <c r="Y757" s="5"/>
      <c r="Z757" s="5"/>
      <c r="AA757" s="5"/>
      <c r="AB757" s="5"/>
      <c r="AC757" s="47">
        <v>0.0</v>
      </c>
    </row>
    <row r="758" hidden="1">
      <c r="A758" s="76" t="str">
        <f t="array" ref="A758:A759">{"FormulaRow14";(INDEX(CLASSLIST,A731,1))}</f>
        <v>FormulaRow14</v>
      </c>
      <c r="B758" s="77" t="s">
        <v>236</v>
      </c>
      <c r="C758" s="76" t="str">
        <f t="array" ref="C758:C759">{"CLASSTYPE";((INDEX(ALLCLASSDATA,MATCH("ClassType",CLASSFEATUREHEADERS,0),MATCH($A759,CLASSNAMEHEADERS,0))))}</f>
        <v>CLASSTYPE</v>
      </c>
      <c r="D758" s="76" t="str">
        <f t="array" ref="D758:D759">{"CLASSABILITY";"ClassAbility"}</f>
        <v>CLASSABILITY</v>
      </c>
      <c r="E758" s="76" t="str">
        <f t="array" ref="E758:E759">{"CLASSABILITY4";"ClassAbility4"}</f>
        <v>CLASSABILITY4</v>
      </c>
      <c r="F758" s="76"/>
      <c r="G758" s="76"/>
      <c r="H758" s="76"/>
      <c r="I758" s="76"/>
      <c r="J758" s="76" t="str">
        <f t="array" ref="J758:J759">{"CLASSABILITY4-L03";((INDEX(ALLCLASSDATA,MATCH("ClassAbility4-L03",CLASSFEATUREHEADERS,0),MATCH(($A759),CLASSNAMEHEADERS,0))))}</f>
        <v>CLASSABILITY4-L03</v>
      </c>
      <c r="K758" s="76"/>
      <c r="L758" s="76" t="str">
        <f t="array" ref="L758:L759">{"CLASSABILITY4-L05";((INDEX(ALLCLASSDATA,MATCH("ClassAbility4-L05",CLASSFEATUREHEADERS,0),MATCH(($A759),CLASSNAMEHEADERS,0))))}</f>
        <v>CLASSABILITY4-L05</v>
      </c>
      <c r="M758" s="76"/>
      <c r="N758" s="76" t="str">
        <f t="array" ref="N758:N759">{"CLASSABILITY4-L07";((INDEX(ALLCLASSDATA,MATCH("ClassAbility4-L07",CLASSFEATUREHEADERS,0),MATCH(($A759),CLASSNAMEHEADERS,0))))}</f>
        <v>CLASSABILITY4-L07</v>
      </c>
      <c r="O758" s="76"/>
      <c r="P758" s="76" t="str">
        <f t="array" ref="P758:P759">{"CLASSABILITY4-L09";((INDEX(ALLCLASSDATA,MATCH("ClassAbility4-L09",CLASSFEATUREHEADERS,0),MATCH(($A759),CLASSNAMEHEADERS,0))))}</f>
        <v>CLASSABILITY4-L09</v>
      </c>
      <c r="Q758" s="76"/>
      <c r="R758" s="76" t="str">
        <f t="array" ref="R758:R759">{"CLASSABILITY4-L11";((INDEX(ALLCLASSDATA,MATCH("ClassAbility4-L11",CLASSFEATUREHEADERS,0),MATCH(($A759),CLASSNAMEHEADERS,0))))}</f>
        <v>CLASSABILITY4-L11</v>
      </c>
      <c r="S758" s="76"/>
      <c r="T758" s="76" t="str">
        <f t="array" ref="T758:T759">{"CLASSABILITY4-L13";((INDEX(ALLCLASSDATA,MATCH("ClassAbility4-L13",CLASSFEATUREHEADERS,0),MATCH(($A759),CLASSNAMEHEADERS,0))))}</f>
        <v>CLASSABILITY4-L13</v>
      </c>
      <c r="U758" s="76"/>
      <c r="V758" s="76" t="str">
        <f t="array" ref="V758:V759">{"CLASSABILITY4-L15";((INDEX(ALLCLASSDATA,MATCH("ClassAbility4-L15",CLASSFEATUREHEADERS,0),MATCH(($A759),CLASSNAMEHEADERS,0))))}</f>
        <v>CLASSABILITY4-L15</v>
      </c>
      <c r="W758" s="76"/>
      <c r="X758" s="76" t="str">
        <f t="array" ref="X758:X759">{"CLASSABILITY4-L17";((INDEX(ALLCLASSDATA,MATCH("ClassAbility4-L17",CLASSFEATUREHEADERS,0),MATCH(($A759),CLASSNAMEHEADERS,0))))}</f>
        <v>CLASSABILITY4-L17</v>
      </c>
      <c r="Y758" s="76"/>
      <c r="Z758" s="76" t="str">
        <f t="array" ref="Z758:Z759">{"CLASSABILITY4-L19";((INDEX(ALLCLASSDATA,MATCH("ClassAbility4-L19",CLASSFEATUREHEADERS,0),MATCH(($A759),CLASSNAMEHEADERS,0))))}</f>
        <v>CLASSABILITY4-L19</v>
      </c>
      <c r="AA758" s="76"/>
      <c r="AB758" s="76"/>
      <c r="AC758" s="76"/>
    </row>
    <row r="759">
      <c r="A759" s="48" t="s">
        <v>176</v>
      </c>
      <c r="B759" s="48"/>
      <c r="C759" s="48" t="s">
        <v>415</v>
      </c>
      <c r="D759" s="48" t="s">
        <v>825</v>
      </c>
      <c r="E759" s="48" t="s">
        <v>1273</v>
      </c>
      <c r="F759" s="48"/>
      <c r="G759" s="47"/>
      <c r="H759" s="5"/>
      <c r="I759" s="5"/>
      <c r="J759" s="5" t="s">
        <v>1689</v>
      </c>
      <c r="K759" s="5"/>
      <c r="L759" s="5"/>
      <c r="M759" s="5"/>
      <c r="N759" s="5"/>
      <c r="O759" s="5"/>
      <c r="P759" s="5"/>
      <c r="Q759" s="5"/>
      <c r="R759" s="5"/>
      <c r="S759" s="5"/>
      <c r="T759" s="5"/>
      <c r="U759" s="5"/>
      <c r="V759" s="5"/>
      <c r="W759" s="5"/>
      <c r="X759" s="5"/>
      <c r="Y759" s="5"/>
      <c r="Z759" s="5"/>
      <c r="AA759" s="5"/>
      <c r="AB759" s="5"/>
      <c r="AC759" s="47"/>
    </row>
    <row r="760" hidden="1">
      <c r="A760" s="76" t="str">
        <f t="array" ref="A760:A761">{"FormulaRow15";(INDEX(CLASSLIST,A731,1))}</f>
        <v>FormulaRow15</v>
      </c>
      <c r="B760" s="77" t="s">
        <v>236</v>
      </c>
      <c r="C760" s="76" t="str">
        <f t="array" ref="C760:C761">{"CLASSTYPE";((INDEX(ALLCLASSDATA,MATCH("ClassType",CLASSFEATUREHEADERS,0),MATCH($A761,CLASSNAMEHEADERS,0))))}</f>
        <v>CLASSTYPE</v>
      </c>
      <c r="D760" s="76" t="str">
        <f t="array" ref="D760:D761">{"CLASSABILITYPTS";"ClassAbilityPts"}</f>
        <v>CLASSABILITYPTS</v>
      </c>
      <c r="E760" s="76" t="str">
        <f t="array" ref="E760:E761">{"CLASSABILITY4";"ClassAbility4"}</f>
        <v>CLASSABILITY4</v>
      </c>
      <c r="F760" s="76"/>
      <c r="G760" s="76"/>
      <c r="H760" s="76"/>
      <c r="I760" s="76"/>
      <c r="J760" s="76" t="str">
        <f t="array" ref="J760:J761">{"CLASSABILITY4-L03PTS";((INDEX(ALLCLASSDATA,MATCH("ClassAbility4-L03",CLASSFEATUREHEADERS,0),MATCH(($A761 &amp; "Points"),CLASSNAMEHEADERS,0))))}</f>
        <v>CLASSABILITY4-L03PTS</v>
      </c>
      <c r="K760" s="76"/>
      <c r="L760" s="76" t="str">
        <f t="array" ref="L760:L761">{"CLASSABILITY4-L05PTS";((INDEX(ALLCLASSDATA,MATCH("ClassAbility4-L05",CLASSFEATUREHEADERS,0),MATCH(($A761 &amp; "Points"),CLASSNAMEHEADERS,0))))}</f>
        <v>CLASSABILITY4-L05PTS</v>
      </c>
      <c r="M760" s="76"/>
      <c r="N760" s="76" t="str">
        <f t="array" ref="N760:N761">{"CLASSABILITY4-L07PTS";((INDEX(ALLCLASSDATA,MATCH("ClassAbility4-L07",CLASSFEATUREHEADERS,0),MATCH(($A761 &amp; "Points"),CLASSNAMEHEADERS,0))))}</f>
        <v>CLASSABILITY4-L07PTS</v>
      </c>
      <c r="O760" s="76"/>
      <c r="P760" s="76" t="str">
        <f t="array" ref="P760:P761">{"CLASSABILITY4-L09PTS";((INDEX(ALLCLASSDATA,MATCH("ClassAbility4-L09",CLASSFEATUREHEADERS,0),MATCH(($A761 &amp; "Points"),CLASSNAMEHEADERS,0))))}</f>
        <v>CLASSABILITY4-L09PTS</v>
      </c>
      <c r="Q760" s="76"/>
      <c r="R760" s="76" t="str">
        <f t="array" ref="R760:R761">{"CLASSABILITY4-L11PTS";((INDEX(ALLCLASSDATA,MATCH("ClassAbility4-L11",CLASSFEATUREHEADERS,0),MATCH(($A761 &amp; "Points"),CLASSNAMEHEADERS,0))))}</f>
        <v>CLASSABILITY4-L11PTS</v>
      </c>
      <c r="S760" s="76"/>
      <c r="T760" s="76" t="str">
        <f t="array" ref="T760:T761">{"CLASSABILITY4-L13PTS";((INDEX(ALLCLASSDATA,MATCH("ClassAbility4-L13",CLASSFEATUREHEADERS,0),MATCH(($A761 &amp; "Points"),CLASSNAMEHEADERS,0))))}</f>
        <v>CLASSABILITY4-L13PTS</v>
      </c>
      <c r="U760" s="76"/>
      <c r="V760" s="76" t="str">
        <f t="array" ref="V760:V761">{"CLASSABILITY4-L15PTS";((INDEX(ALLCLASSDATA,MATCH("ClassAbility4-L15",CLASSFEATUREHEADERS,0),MATCH(($A761 &amp; "Points"),CLASSNAMEHEADERS,0))))}</f>
        <v>CLASSABILITY4-L15PTS</v>
      </c>
      <c r="W760" s="76"/>
      <c r="X760" s="76" t="str">
        <f t="array" ref="X760:X761">{"CLASSABILITY4-L17PTS";((INDEX(ALLCLASSDATA,MATCH("ClassAbility4-L17",CLASSFEATUREHEADERS,0),MATCH(($A761 &amp; "Points"),CLASSNAMEHEADERS,0))))}</f>
        <v>CLASSABILITY4-L17PTS</v>
      </c>
      <c r="Y760" s="76"/>
      <c r="Z760" s="76" t="str">
        <f t="array" ref="Z760:Z761">{"CLASSABILITY4-L19PTS";((INDEX(ALLCLASSDATA,MATCH("ClassAbility4-L19",CLASSFEATUREHEADERS,0),MATCH(($A761 &amp; "Points"),CLASSNAMEHEADERS,0))))}</f>
        <v>CLASSABILITY4-L19PTS</v>
      </c>
      <c r="AA760" s="76"/>
      <c r="AB760" s="76"/>
      <c r="AC760" s="76" t="str">
        <f t="array" ref="AC760:AC761">{"CLASSABILITY4 TOTAL";(sum(G761:AA761))}</f>
        <v>CLASSABILITY4 TOTAL</v>
      </c>
    </row>
    <row r="761">
      <c r="A761" s="48" t="s">
        <v>176</v>
      </c>
      <c r="B761" s="48"/>
      <c r="C761" s="48" t="s">
        <v>415</v>
      </c>
      <c r="D761" s="48" t="s">
        <v>930</v>
      </c>
      <c r="E761" s="48" t="s">
        <v>1273</v>
      </c>
      <c r="F761" s="48"/>
      <c r="G761" s="47"/>
      <c r="H761" s="5"/>
      <c r="I761" s="5"/>
      <c r="J761" s="5">
        <v>50.0</v>
      </c>
      <c r="K761" s="5"/>
      <c r="L761" s="5"/>
      <c r="M761" s="5"/>
      <c r="N761" s="5"/>
      <c r="O761" s="5"/>
      <c r="P761" s="5"/>
      <c r="Q761" s="5"/>
      <c r="R761" s="5"/>
      <c r="S761" s="5"/>
      <c r="T761" s="5"/>
      <c r="U761" s="5"/>
      <c r="V761" s="5"/>
      <c r="W761" s="5"/>
      <c r="X761" s="5"/>
      <c r="Y761" s="5"/>
      <c r="Z761" s="5"/>
      <c r="AA761" s="5"/>
      <c r="AB761" s="5"/>
      <c r="AC761" s="47">
        <v>50.0</v>
      </c>
    </row>
    <row r="762" hidden="1">
      <c r="A762" s="76" t="str">
        <f t="array" ref="A762:A763">{"FormulaRow16";(INDEX(CLASSLIST,A731,1))}</f>
        <v>FormulaRow16</v>
      </c>
      <c r="B762" s="77" t="s">
        <v>236</v>
      </c>
      <c r="C762" s="76" t="str">
        <f t="array" ref="C762:C763">{"CLASSTYPE";((INDEX(ALLCLASSDATA,MATCH("ClassType",CLASSFEATUREHEADERS,0),MATCH($A763,CLASSNAMEHEADERS,0))))}</f>
        <v>CLASSTYPE</v>
      </c>
      <c r="D762" s="76" t="str">
        <f t="array" ref="D762:D763">{"CLASSABILITY";"ClassAbility"}</f>
        <v>CLASSABILITY</v>
      </c>
      <c r="E762" s="76" t="str">
        <f t="array" ref="E762:E763">{"SUBCLASSABILITY1";"SubclassAbility1"}</f>
        <v>SUBCLASSABILITY1</v>
      </c>
      <c r="F762" s="76"/>
      <c r="G762" s="76"/>
      <c r="H762" s="76"/>
      <c r="I762" s="76"/>
      <c r="J762" s="76" t="str">
        <f t="array" ref="J762:J763">{"SUBCLASSABILITY1-L03";((INDEX(ALLCLASSDATA,MATCH("SubclassAbility1-L03",CLASSFEATUREHEADERS,0),MATCH(($A763),CLASSNAMEHEADERS,0))))}</f>
        <v>SUBCLASSABILITY1-L03</v>
      </c>
      <c r="K762" s="76"/>
      <c r="L762" s="76" t="str">
        <f t="array" ref="L762:L763">{"SUBCLASSABILITY1-L05";((INDEX(ALLCLASSDATA,MATCH("SubclassAbility1-L05",CLASSFEATUREHEADERS,0),MATCH(($A763),CLASSNAMEHEADERS,0))))}</f>
        <v>SUBCLASSABILITY1-L05</v>
      </c>
      <c r="M762" s="76"/>
      <c r="N762" s="76" t="str">
        <f t="array" ref="N762:N763">{"SUBCLASSABILITY1-L07";((INDEX(ALLCLASSDATA,MATCH("SubclassAbility1-L07",CLASSFEATUREHEADERS,0),MATCH(($A763),CLASSNAMEHEADERS,0))))}</f>
        <v>SUBCLASSABILITY1-L07</v>
      </c>
      <c r="O762" s="76"/>
      <c r="P762" s="76" t="str">
        <f t="array" ref="P762:P763">{"SUBCLASSABILITY1-L09";((INDEX(ALLCLASSDATA,MATCH("SubclassAbility1-L09",CLASSFEATUREHEADERS,0),MATCH(($A763),CLASSNAMEHEADERS,0))))}</f>
        <v>SUBCLASSABILITY1-L09</v>
      </c>
      <c r="Q762" s="76"/>
      <c r="R762" s="76" t="str">
        <f t="array" ref="R762:R763">{"SUBCLASSABILITY1-L11";((INDEX(ALLCLASSDATA,MATCH("SubclassAbility1-L11",CLASSFEATUREHEADERS,0),MATCH(($A763),CLASSNAMEHEADERS,0))))}</f>
        <v>SUBCLASSABILITY1-L11</v>
      </c>
      <c r="S762" s="76"/>
      <c r="T762" s="76" t="str">
        <f t="array" ref="T762:T763">{"SUBCLASSABILITY1-L13";((INDEX(ALLCLASSDATA,MATCH("SubclassAbility1-L13",CLASSFEATUREHEADERS,0),MATCH(($A763),CLASSNAMEHEADERS,0))))}</f>
        <v>SUBCLASSABILITY1-L13</v>
      </c>
      <c r="U762" s="76"/>
      <c r="V762" s="76" t="str">
        <f t="array" ref="V762:V763">{"SUBCLASSABILITY1-L15";((INDEX(ALLCLASSDATA,MATCH("SubclassAbility1-L15",CLASSFEATUREHEADERS,0),MATCH(($A763),CLASSNAMEHEADERS,0))))}</f>
        <v>SUBCLASSABILITY1-L15</v>
      </c>
      <c r="W762" s="76"/>
      <c r="X762" s="76" t="str">
        <f t="array" ref="X762:X763">{"SUBCLASSABILITY1-L17";((INDEX(ALLCLASSDATA,MATCH("SubclassAbility1-L17",CLASSFEATUREHEADERS,0),MATCH(($A763),CLASSNAMEHEADERS,0))))}</f>
        <v>SUBCLASSABILITY1-L17</v>
      </c>
      <c r="Y762" s="76"/>
      <c r="Z762" s="76" t="str">
        <f t="array" ref="Z762:Z763">{"SUBCLASSABILITY1-L19";((INDEX(ALLCLASSDATA,MATCH("SubclassAbility1-L19",CLASSFEATUREHEADERS,0),MATCH(($A763),CLASSNAMEHEADERS,0))))}</f>
        <v>SUBCLASSABILITY1-L19</v>
      </c>
      <c r="AA762" s="76"/>
      <c r="AB762" s="76"/>
      <c r="AC762" s="76"/>
    </row>
    <row r="763">
      <c r="A763" s="48" t="s">
        <v>176</v>
      </c>
      <c r="B763" s="48"/>
      <c r="C763" s="48" t="s">
        <v>415</v>
      </c>
      <c r="D763" s="48" t="s">
        <v>825</v>
      </c>
      <c r="E763" s="28" t="s">
        <v>1355</v>
      </c>
      <c r="F763" s="5"/>
      <c r="G763" s="47"/>
      <c r="H763" s="5"/>
      <c r="I763" s="5"/>
      <c r="J763" s="5"/>
      <c r="K763" s="5"/>
      <c r="L763" s="5"/>
      <c r="M763" s="5"/>
      <c r="N763" s="5"/>
      <c r="O763" s="5"/>
      <c r="P763" s="5" t="s">
        <v>1869</v>
      </c>
      <c r="Q763" s="5"/>
      <c r="R763" s="5"/>
      <c r="S763" s="5"/>
      <c r="T763" s="5"/>
      <c r="U763" s="5"/>
      <c r="V763" s="5"/>
      <c r="W763" s="5"/>
      <c r="X763" s="5"/>
      <c r="Y763" s="5"/>
      <c r="Z763" s="5"/>
      <c r="AA763" s="5"/>
      <c r="AB763" s="5"/>
      <c r="AC763" s="47"/>
    </row>
    <row r="764" hidden="1">
      <c r="A764" s="76" t="str">
        <f t="array" ref="A764:A765">{"FormulaRow17";(INDEX(CLASSLIST,A731,1))}</f>
        <v>FormulaRow17</v>
      </c>
      <c r="B764" s="77" t="s">
        <v>236</v>
      </c>
      <c r="C764" s="76" t="str">
        <f t="array" ref="C764:C765">{"CLASSTYPE";((INDEX(ALLCLASSDATA,MATCH("ClassType",CLASSFEATUREHEADERS,0),MATCH($A765,CLASSNAMEHEADERS,0))))}</f>
        <v>CLASSTYPE</v>
      </c>
      <c r="D764" s="76" t="str">
        <f t="array" ref="D764:D765">{"CLASSABILITYPTS";"ClassAbilityPts"}</f>
        <v>CLASSABILITYPTS</v>
      </c>
      <c r="E764" s="76" t="str">
        <f t="array" ref="E764:E765">{"SUBCLASSABILITY1";"SubclassAbility1"}</f>
        <v>SUBCLASSABILITY1</v>
      </c>
      <c r="F764" s="76"/>
      <c r="G764" s="76"/>
      <c r="H764" s="76"/>
      <c r="I764" s="76"/>
      <c r="J764" s="76" t="str">
        <f t="array" ref="J764:J765">{"SUBCLASSABILITY1-L03PTS";((INDEX(ALLCLASSDATA,MATCH("SubclassAbility1-L03",CLASSFEATUREHEADERS,0),MATCH(($A765 &amp; "Points"),CLASSNAMEHEADERS,0))))}</f>
        <v>SUBCLASSABILITY1-L03PTS</v>
      </c>
      <c r="K764" s="76"/>
      <c r="L764" s="76" t="str">
        <f t="array" ref="L764:L765">{"SUBCLASSABILITY1-L05PTS";((INDEX(ALLCLASSDATA,MATCH("SubclassAbility1-L05",CLASSFEATUREHEADERS,0),MATCH(($A765 &amp; "Points"),CLASSNAMEHEADERS,0))))}</f>
        <v>SUBCLASSABILITY1-L05PTS</v>
      </c>
      <c r="M764" s="76"/>
      <c r="N764" s="76" t="str">
        <f t="array" ref="N764:N765">{"SUBCLASSABILITY1-L07PTS";((INDEX(ALLCLASSDATA,MATCH("SubclassAbility1-L07",CLASSFEATUREHEADERS,0),MATCH(($A765 &amp; "Points"),CLASSNAMEHEADERS,0))))}</f>
        <v>SUBCLASSABILITY1-L07PTS</v>
      </c>
      <c r="O764" s="76"/>
      <c r="P764" s="76" t="str">
        <f t="array" ref="P764:P765">{"SUBCLASSABILITY1-L09PTS";((INDEX(ALLCLASSDATA,MATCH("SubclassAbility1-L09",CLASSFEATUREHEADERS,0),MATCH(($A765 &amp; "Points"),CLASSNAMEHEADERS,0))))}</f>
        <v>SUBCLASSABILITY1-L09PTS</v>
      </c>
      <c r="Q764" s="76"/>
      <c r="R764" s="76" t="str">
        <f t="array" ref="R764:R765">{"SUBCLASSABILITY1-L11PTS";((INDEX(ALLCLASSDATA,MATCH("SubclassAbility1-L11",CLASSFEATUREHEADERS,0),MATCH(($A765 &amp; "Points"),CLASSNAMEHEADERS,0))))}</f>
        <v>SUBCLASSABILITY1-L11PTS</v>
      </c>
      <c r="S764" s="76"/>
      <c r="T764" s="76" t="str">
        <f t="array" ref="T764:T765">{"SUBCLASSABILITY1-L13PTS";((INDEX(ALLCLASSDATA,MATCH("SubclassAbility1-L13",CLASSFEATUREHEADERS,0),MATCH(($A765 &amp; "Points"),CLASSNAMEHEADERS,0))))}</f>
        <v>SUBCLASSABILITY1-L13PTS</v>
      </c>
      <c r="U764" s="76"/>
      <c r="V764" s="76" t="str">
        <f t="array" ref="V764:V765">{"SUBCLASSABILITY1-L15PTS";((INDEX(ALLCLASSDATA,MATCH("SubclassAbility1-L15",CLASSFEATUREHEADERS,0),MATCH(($A765 &amp; "Points"),CLASSNAMEHEADERS,0))))}</f>
        <v>SUBCLASSABILITY1-L15PTS</v>
      </c>
      <c r="W764" s="76"/>
      <c r="X764" s="76" t="str">
        <f t="array" ref="X764:X765">{"SUBCLASSABILITY1-L17PTS";((INDEX(ALLCLASSDATA,MATCH("SubclassAbility1-L17",CLASSFEATUREHEADERS,0),MATCH(($A765 &amp; "Points"),CLASSNAMEHEADERS,0))))}</f>
        <v>SUBCLASSABILITY1-L17PTS</v>
      </c>
      <c r="Y764" s="76"/>
      <c r="Z764" s="76" t="str">
        <f t="array" ref="Z764:Z765">{"SUBCLASSABILITY1-L19PTS";((INDEX(ALLCLASSDATA,MATCH("SubclassAbility1-L19",CLASSFEATUREHEADERS,0),MATCH(($A765 &amp; "Points"),CLASSNAMEHEADERS,0))))}</f>
        <v>SUBCLASSABILITY1-L19PTS</v>
      </c>
      <c r="AA764" s="76"/>
      <c r="AB764" s="76"/>
      <c r="AC764" s="76" t="str">
        <f t="array" ref="AC764:AC765">{"SUBCLASSABILITY1 TOTAL";(sum(G765:AA765))}</f>
        <v>SUBCLASSABILITY1 TOTAL</v>
      </c>
    </row>
    <row r="765">
      <c r="A765" s="48" t="s">
        <v>176</v>
      </c>
      <c r="B765" s="48"/>
      <c r="C765" s="48" t="s">
        <v>415</v>
      </c>
      <c r="D765" s="48" t="s">
        <v>930</v>
      </c>
      <c r="E765" s="28" t="s">
        <v>1355</v>
      </c>
      <c r="F765" s="5"/>
      <c r="G765" s="47"/>
      <c r="H765" s="5"/>
      <c r="I765" s="5"/>
      <c r="J765" s="5"/>
      <c r="K765" s="5"/>
      <c r="L765" s="5"/>
      <c r="M765" s="5"/>
      <c r="N765" s="5"/>
      <c r="O765" s="5"/>
      <c r="P765" s="5">
        <v>30.0</v>
      </c>
      <c r="Q765" s="5"/>
      <c r="R765" s="5"/>
      <c r="S765" s="5"/>
      <c r="T765" s="5"/>
      <c r="U765" s="5"/>
      <c r="V765" s="5"/>
      <c r="W765" s="5"/>
      <c r="X765" s="5"/>
      <c r="Y765" s="5"/>
      <c r="Z765" s="5"/>
      <c r="AA765" s="5"/>
      <c r="AB765" s="5"/>
      <c r="AC765" s="47">
        <v>30.0</v>
      </c>
    </row>
    <row r="766" hidden="1">
      <c r="A766" s="76" t="str">
        <f t="array" ref="A766:A767">{"FormulaRow18";(INDEX(CLASSLIST,A731,1))}</f>
        <v>FormulaRow18</v>
      </c>
      <c r="B766" s="77" t="s">
        <v>236</v>
      </c>
      <c r="C766" s="76" t="str">
        <f t="array" ref="C766:C767">{"CLASSTYPE";((INDEX(ALLCLASSDATA,MATCH("ClassType",CLASSFEATUREHEADERS,0),MATCH($A767,CLASSNAMEHEADERS,0))))}</f>
        <v>CLASSTYPE</v>
      </c>
      <c r="D766" s="76" t="str">
        <f t="array" ref="D766:D767">{"CLASSABILITY";"ClassAbility"}</f>
        <v>CLASSABILITY</v>
      </c>
      <c r="E766" s="76" t="str">
        <f t="array" ref="E766:E767">{"SUBCLASSABILITY2";"SubclassAbility2"}</f>
        <v>SUBCLASSABILITY2</v>
      </c>
      <c r="F766" s="76"/>
      <c r="G766" s="76"/>
      <c r="H766" s="76"/>
      <c r="I766" s="76"/>
      <c r="J766" s="76" t="str">
        <f t="array" ref="J766:J767">{"SUBCLASSABILITY2-L03";((INDEX(ALLCLASSDATA,MATCH("SubclassAbility2-L03",CLASSFEATUREHEADERS,0),MATCH(($A767),CLASSNAMEHEADERS,0))))}</f>
        <v>SUBCLASSABILITY2-L03</v>
      </c>
      <c r="K766" s="76"/>
      <c r="L766" s="76" t="str">
        <f t="array" ref="L766:L767">{"SUBCLASSABILITY2-L05";((INDEX(ALLCLASSDATA,MATCH("SubclassAbility2-L05",CLASSFEATUREHEADERS,0),MATCH(($A767),CLASSNAMEHEADERS,0))))}</f>
        <v>SUBCLASSABILITY2-L05</v>
      </c>
      <c r="M766" s="76"/>
      <c r="N766" s="76" t="str">
        <f t="array" ref="N766:N767">{"SUBCLASSABILITY2-L07";((INDEX(ALLCLASSDATA,MATCH("SubclassAbility2-L07",CLASSFEATUREHEADERS,0),MATCH(($A767),CLASSNAMEHEADERS,0))))}</f>
        <v>SUBCLASSABILITY2-L07</v>
      </c>
      <c r="O766" s="76"/>
      <c r="P766" s="76" t="str">
        <f t="array" ref="P766:P767">{"SUBCLASSABILITY2-L09";((INDEX(ALLCLASSDATA,MATCH("SubclassAbility2-L09",CLASSFEATUREHEADERS,0),MATCH(($A767),CLASSNAMEHEADERS,0))))}</f>
        <v>SUBCLASSABILITY2-L09</v>
      </c>
      <c r="Q766" s="76"/>
      <c r="R766" s="76" t="str">
        <f t="array" ref="R766:R767">{"SUBCLASSABILITY2-L11";((INDEX(ALLCLASSDATA,MATCH("SubclassAbility2-L11",CLASSFEATUREHEADERS,0),MATCH(($A767),CLASSNAMEHEADERS,0))))}</f>
        <v>SUBCLASSABILITY2-L11</v>
      </c>
      <c r="S766" s="76"/>
      <c r="T766" s="76" t="str">
        <f t="array" ref="T766:T767">{"SUBCLASSABILITY2-L13";((INDEX(ALLCLASSDATA,MATCH("SubclassAbility2-L13",CLASSFEATUREHEADERS,0),MATCH(($A767),CLASSNAMEHEADERS,0))))}</f>
        <v>SUBCLASSABILITY2-L13</v>
      </c>
      <c r="U766" s="76"/>
      <c r="V766" s="76" t="str">
        <f t="array" ref="V766:V767">{"SUBCLASSABILITY2-L15";((INDEX(ALLCLASSDATA,MATCH("SubclassAbility2-L15",CLASSFEATUREHEADERS,0),MATCH(($A767),CLASSNAMEHEADERS,0))))}</f>
        <v>SUBCLASSABILITY2-L15</v>
      </c>
      <c r="W766" s="76"/>
      <c r="X766" s="76" t="str">
        <f t="array" ref="X766:X767">{"SUBCLASSABILITY2-L17";((INDEX(ALLCLASSDATA,MATCH("SubclassAbility2-L17",CLASSFEATUREHEADERS,0),MATCH(($A767),CLASSNAMEHEADERS,0))))}</f>
        <v>SUBCLASSABILITY2-L17</v>
      </c>
      <c r="Y766" s="76"/>
      <c r="Z766" s="76" t="str">
        <f t="array" ref="Z766:Z767">{"SUBCLASSABILITY2-L19";((INDEX(ALLCLASSDATA,MATCH("SubclassAbility2-L19",CLASSFEATUREHEADERS,0),MATCH(($A767),CLASSNAMEHEADERS,0))))}</f>
        <v>SUBCLASSABILITY2-L19</v>
      </c>
      <c r="AA766" s="76"/>
      <c r="AB766" s="76"/>
      <c r="AC766" s="76"/>
    </row>
    <row r="767">
      <c r="A767" s="48" t="s">
        <v>176</v>
      </c>
      <c r="B767" s="48"/>
      <c r="C767" s="48" t="s">
        <v>415</v>
      </c>
      <c r="D767" s="48" t="s">
        <v>825</v>
      </c>
      <c r="E767" s="28" t="s">
        <v>1370</v>
      </c>
      <c r="F767" s="5"/>
      <c r="G767" s="47"/>
      <c r="H767" s="5"/>
      <c r="I767" s="5"/>
      <c r="J767" s="5"/>
      <c r="K767" s="5"/>
      <c r="L767" s="5"/>
      <c r="M767" s="5"/>
      <c r="N767" s="5"/>
      <c r="O767" s="5"/>
      <c r="P767" s="5"/>
      <c r="Q767" s="5"/>
      <c r="R767" s="5"/>
      <c r="S767" s="5"/>
      <c r="T767" s="5"/>
      <c r="U767" s="5"/>
      <c r="V767" s="5"/>
      <c r="W767" s="5"/>
      <c r="X767" s="5"/>
      <c r="Y767" s="5"/>
      <c r="Z767" s="5"/>
      <c r="AA767" s="5"/>
      <c r="AB767" s="5"/>
      <c r="AC767" s="47"/>
    </row>
    <row r="768" hidden="1">
      <c r="A768" s="76" t="str">
        <f t="array" ref="A768:A769">{"FormulaRow19";(INDEX(CLASSLIST,A731,1))}</f>
        <v>FormulaRow19</v>
      </c>
      <c r="B768" s="77" t="s">
        <v>236</v>
      </c>
      <c r="C768" s="76" t="str">
        <f t="array" ref="C768:C769">{"CLASSTYPE";((INDEX(ALLCLASSDATA,MATCH("ClassType",CLASSFEATUREHEADERS,0),MATCH($A769,CLASSNAMEHEADERS,0))))}</f>
        <v>CLASSTYPE</v>
      </c>
      <c r="D768" s="76" t="str">
        <f t="array" ref="D768:D769">{"CLASSABILITYPTS";"ClassAbilityPts"}</f>
        <v>CLASSABILITYPTS</v>
      </c>
      <c r="E768" s="76" t="str">
        <f t="array" ref="E768:E769">{"SUBCLASSABILITY2";"SubclassAbility2"}</f>
        <v>SUBCLASSABILITY2</v>
      </c>
      <c r="F768" s="76"/>
      <c r="G768" s="76"/>
      <c r="H768" s="76"/>
      <c r="I768" s="76"/>
      <c r="J768" s="76" t="str">
        <f t="array" ref="J768:J769">{"SUBCLASSABILITY2-L03PTS";((INDEX(ALLCLASSDATA,MATCH("SubclassAbility2-L03",CLASSFEATUREHEADERS,0),MATCH(($A769 &amp; "Points"),CLASSNAMEHEADERS,0))))}</f>
        <v>SUBCLASSABILITY2-L03PTS</v>
      </c>
      <c r="K768" s="76"/>
      <c r="L768" s="76" t="str">
        <f t="array" ref="L768:L769">{"SUBCLASSABILITY2-L05PTS";((INDEX(ALLCLASSDATA,MATCH("SubclassAbility2-L05",CLASSFEATUREHEADERS,0),MATCH(($A769 &amp; "Points"),CLASSNAMEHEADERS,0))))}</f>
        <v>SUBCLASSABILITY2-L05PTS</v>
      </c>
      <c r="M768" s="76"/>
      <c r="N768" s="76" t="str">
        <f t="array" ref="N768:N769">{"SUBCLASSABILITY2-L07PTS";((INDEX(ALLCLASSDATA,MATCH("SubclassAbility2-L07",CLASSFEATUREHEADERS,0),MATCH(($A769 &amp; "Points"),CLASSNAMEHEADERS,0))))}</f>
        <v>SUBCLASSABILITY2-L07PTS</v>
      </c>
      <c r="O768" s="76"/>
      <c r="P768" s="76" t="str">
        <f t="array" ref="P768:P769">{"SUBCLASSABILITY2-L09PTS";((INDEX(ALLCLASSDATA,MATCH("SubclassAbility2-L09",CLASSFEATUREHEADERS,0),MATCH(($A769 &amp; "Points"),CLASSNAMEHEADERS,0))))}</f>
        <v>SUBCLASSABILITY2-L09PTS</v>
      </c>
      <c r="Q768" s="76"/>
      <c r="R768" s="76" t="str">
        <f t="array" ref="R768:R769">{"SUBCLASSABILITY2-L11PTS";((INDEX(ALLCLASSDATA,MATCH("SubclassAbility2-L11",CLASSFEATUREHEADERS,0),MATCH(($A769 &amp; "Points"),CLASSNAMEHEADERS,0))))}</f>
        <v>SUBCLASSABILITY2-L11PTS</v>
      </c>
      <c r="S768" s="76"/>
      <c r="T768" s="76" t="str">
        <f t="array" ref="T768:T769">{"SUBCLASSABILITY2-L13PTS";((INDEX(ALLCLASSDATA,MATCH("SubclassAbility2-L13",CLASSFEATUREHEADERS,0),MATCH(($A769 &amp; "Points"),CLASSNAMEHEADERS,0))))}</f>
        <v>SUBCLASSABILITY2-L13PTS</v>
      </c>
      <c r="U768" s="76"/>
      <c r="V768" s="76" t="str">
        <f t="array" ref="V768:V769">{"SUBCLASSABILITY2-L15PTS";((INDEX(ALLCLASSDATA,MATCH("SubclassAbility2-L15",CLASSFEATUREHEADERS,0),MATCH(($A769 &amp; "Points"),CLASSNAMEHEADERS,0))))}</f>
        <v>SUBCLASSABILITY2-L15PTS</v>
      </c>
      <c r="W768" s="76"/>
      <c r="X768" s="76" t="str">
        <f t="array" ref="X768:X769">{"SUBCLASSABILITY2-L17PTS";((INDEX(ALLCLASSDATA,MATCH("SubclassAbility2-L17",CLASSFEATUREHEADERS,0),MATCH(($A769 &amp; "Points"),CLASSNAMEHEADERS,0))))}</f>
        <v>SUBCLASSABILITY2-L17PTS</v>
      </c>
      <c r="Y768" s="76"/>
      <c r="Z768" s="76" t="str">
        <f t="array" ref="Z768:Z769">{"SUBCLASSABILITY2-L19PTS";((INDEX(ALLCLASSDATA,MATCH("SubclassAbility2-L19",CLASSFEATUREHEADERS,0),MATCH(($A769 &amp; "Points"),CLASSNAMEHEADERS,0))))}</f>
        <v>SUBCLASSABILITY2-L19PTS</v>
      </c>
      <c r="AA768" s="76"/>
      <c r="AB768" s="76"/>
      <c r="AC768" s="76" t="str">
        <f t="array" ref="AC768:AC769">{"SUBCLASSABILITY2 TOTAL";(sum(G769:AA769))}</f>
        <v>SUBCLASSABILITY2 TOTAL</v>
      </c>
    </row>
    <row r="769">
      <c r="A769" s="48" t="s">
        <v>176</v>
      </c>
      <c r="B769" s="48"/>
      <c r="C769" s="48" t="s">
        <v>415</v>
      </c>
      <c r="D769" s="97" t="s">
        <v>930</v>
      </c>
      <c r="E769" s="215" t="s">
        <v>1370</v>
      </c>
      <c r="F769" s="98"/>
      <c r="G769" s="132"/>
      <c r="H769" s="98"/>
      <c r="I769" s="98"/>
      <c r="J769" s="98"/>
      <c r="K769" s="98"/>
      <c r="L769" s="98"/>
      <c r="M769" s="98"/>
      <c r="N769" s="98"/>
      <c r="O769" s="98"/>
      <c r="P769" s="98"/>
      <c r="Q769" s="98"/>
      <c r="R769" s="98"/>
      <c r="S769" s="98"/>
      <c r="T769" s="98"/>
      <c r="U769" s="98"/>
      <c r="V769" s="98"/>
      <c r="W769" s="98"/>
      <c r="X769" s="98"/>
      <c r="Y769" s="98"/>
      <c r="Z769" s="98"/>
      <c r="AA769" s="98"/>
      <c r="AB769" s="5"/>
      <c r="AC769" s="47">
        <v>0.0</v>
      </c>
    </row>
    <row r="770" hidden="1">
      <c r="A770" s="76" t="str">
        <f t="array" ref="A770:A771">{"FormulaRow20";(INDEX(CLASSLIST,A731,1))}</f>
        <v>FormulaRow20</v>
      </c>
      <c r="B770" s="77" t="s">
        <v>236</v>
      </c>
      <c r="C770" s="76" t="str">
        <f t="array" ref="C770:C771">{"CLASSTYPE";((INDEX(ALLCLASSDATA,MATCH("ClassType",CLASSFEATUREHEADERS,0),MATCH($A771,CLASSNAMEHEADERS,0))))}</f>
        <v>CLASSTYPE</v>
      </c>
      <c r="D770" s="81" t="str">
        <f t="array" ref="D770:D771">{"DC";"DC"}</f>
        <v>DC</v>
      </c>
      <c r="E770" s="81" t="str">
        <f t="array" ref="E770:E771">{"CLASSDC";"ClassDC"}</f>
        <v>CLASSDC</v>
      </c>
      <c r="F770" s="81" t="str">
        <f t="array" ref="F770:F771">{"CLASSDCINITIAL";((IF(H771=10,"T",(IF(H771=50,"E","")))))}</f>
        <v>CLASSDCINITIAL</v>
      </c>
      <c r="G770" s="81" t="str">
        <f t="array" ref="G770:G771">{"CLASSDCINITIALPTS";((IF("00"=(INDEX(ALLCLASSDATA,MATCH("ClassDCLegendary",CLASSFEATUREHEADERS,0),MATCH($A771,CLASSNAMEHEADERS,0))),(INDEX(ALLCLASSDATA,MATCH("ClassDCLegendary",CLASSFEATUREHEADERS,0),MATCH(($A771 &amp; "Points"),CLASSNAMEHEADERS,0))),(IF("00"=(INDEX(ALLCLASSDATA,MATCH("ClassDCMaster",CLASSFEATUREHEADERS,0),MATCH($A771,CLASSNAMEHEADERS,0))),(INDEX(ALLCLASSDATA,MATCH("ClassDCMaster",CLASSFEATUREHEADERS,0),MATCH(($A771 &amp; "Points"),CLASSNAMEHEADERS,0))),(IF("00"=(INDEX(ALLCLASSDATA,MATCH("ClassDCExpert",CLASSFEATUREHEADERS,0),MATCH($A771,CLASSNAMEHEADERS,0))),(INDEX(ALLCLASSDATA,MATCH("ClassDCExpert",CLASSFEATUREHEADERS,0),MATCH(($A771 &amp; "Points"),CLASSNAMEHEADERS,0))),(IF("00"=(INDEX(ALLCLASSDATA,MATCH("ClassDCTrained",CLASSFEATUREHEADERS,0),MATCH($A771,CLASSNAMEHEADERS,0))),(INDEX(ALLCLASSDATA,MATCH("ClassDCTrained",CLASSFEATUREHEADERS,0),MATCH(($A771 &amp; "Points"),CLASSNAMEHEADERS,0))),"")))))))))}</f>
        <v>CLASSDCINITIALPTS</v>
      </c>
      <c r="H770" s="81" t="str">
        <f t="array" ref="H770:H771">{"CLASSDCL01";((IF("01"=(INDEX(ALLCLASSDATA,MATCH("ClassDCLegendary",CLASSFEATUREHEADERS,0),MATCH($A771,CLASSNAMEHEADERS,0))),(INDEX(ALLCLASSDATA,MATCH("ClassDCLegendary",CLASSFEATUREHEADERS,0),MATCH(($A771 &amp; "Points"),CLASSNAMEHEADERS,0))),(IF("01"=(INDEX(ALLCLASSDATA,MATCH("ClassDCMaster",CLASSFEATUREHEADERS,0),MATCH($A771,CLASSNAMEHEADERS,0))),(INDEX(ALLCLASSDATA,MATCH("ClassDCMaster",CLASSFEATUREHEADERS,0),MATCH(($A771 &amp; "Points"),CLASSNAMEHEADERS,0))),(IF("01"=(INDEX(ALLCLASSDATA,MATCH("ClassDCExpert",CLASSFEATUREHEADERS,0),MATCH($A771,CLASSNAMEHEADERS,0))),(INDEX(ALLCLASSDATA,MATCH("ClassDCExpert",CLASSFEATUREHEADERS,0),MATCH(($A771 &amp; "Points"),CLASSNAMEHEADERS,0))),(IF("01"=(INDEX(ALLCLASSDATA,MATCH("ClassDCTrained",CLASSFEATUREHEADERS,0),MATCH($A771,CLASSNAMEHEADERS,0))),(INDEX(ALLCLASSDATA,MATCH("ClassDCTrained",CLASSFEATUREHEADERS,0),MATCH(($A771 &amp; "Points"),CLASSNAMEHEADERS,0))),"")))))))))}</f>
        <v>CLASSDCL01</v>
      </c>
      <c r="I770" s="81"/>
      <c r="J770" s="81" t="str">
        <f t="array" ref="J770:J771">{"CLASSDCL03";((IF("03"=(INDEX(ALLCLASSDATA,MATCH("ClassDCLegendary",CLASSFEATUREHEADERS,0),MATCH($A771,CLASSNAMEHEADERS,0))),(INDEX(ALLCLASSDATA,MATCH("ClassDCLegendary",CLASSFEATUREHEADERS,0),MATCH(($A771 &amp; "Points"),CLASSNAMEHEADERS,0))),(IF("03"=(INDEX(ALLCLASSDATA,MATCH("ClassDCMaster",CLASSFEATUREHEADERS,0),MATCH($A771,CLASSNAMEHEADERS,0))),(INDEX(ALLCLASSDATA,MATCH("ClassDCMaster",CLASSFEATUREHEADERS,0),MATCH(($A771 &amp; "Points"),CLASSNAMEHEADERS,0))),(IF("03"=(INDEX(ALLCLASSDATA,MATCH("ClassDCExpert",CLASSFEATUREHEADERS,0),MATCH($A771,CLASSNAMEHEADERS,0))),(INDEX(ALLCLASSDATA,MATCH("ClassDCExpert",CLASSFEATUREHEADERS,0),MATCH(($A771 &amp; "Points"),CLASSNAMEHEADERS,0))),(IF("03"=(INDEX(ALLCLASSDATA,MATCH("ClassDCTrained",CLASSFEATUREHEADERS,0),MATCH($A771,CLASSNAMEHEADERS,0))),(INDEX(ALLCLASSDATA,MATCH("ClassDCTrained",CLASSFEATUREHEADERS,0),MATCH(($A771 &amp; "Points"),CLASSNAMEHEADERS,0))),"")))))))))}</f>
        <v>CLASSDCL03</v>
      </c>
      <c r="K770" s="81"/>
      <c r="L770" s="81" t="str">
        <f t="array" ref="L770:L771">{"CLASSDCL05";((IF("05"=(INDEX(ALLCLASSDATA,MATCH("ClassDCLegendary",CLASSFEATUREHEADERS,0),MATCH($A771,CLASSNAMEHEADERS,0))),(INDEX(ALLCLASSDATA,MATCH("ClassDCLegendary",CLASSFEATUREHEADERS,0),MATCH(($A771 &amp; "Points"),CLASSNAMEHEADERS,0))),(IF("05"=(INDEX(ALLCLASSDATA,MATCH("ClassDCMaster",CLASSFEATUREHEADERS,0),MATCH($A771,CLASSNAMEHEADERS,0))),(INDEX(ALLCLASSDATA,MATCH("ClassDCMaster",CLASSFEATUREHEADERS,0),MATCH(($A771 &amp; "Points"),CLASSNAMEHEADERS,0))),(IF("05"=(INDEX(ALLCLASSDATA,MATCH("ClassDCExpert",CLASSFEATUREHEADERS,0),MATCH($A771,CLASSNAMEHEADERS,0))),(INDEX(ALLCLASSDATA,MATCH("ClassDCExpert",CLASSFEATUREHEADERS,0),MATCH(($A771 &amp; "Points"),CLASSNAMEHEADERS,0))),(IF("05"=(INDEX(ALLCLASSDATA,MATCH("ClassDCTrained",CLASSFEATUREHEADERS,0),MATCH($A771,CLASSNAMEHEADERS,0))),(INDEX(ALLCLASSDATA,MATCH("ClassDCTrained",CLASSFEATUREHEADERS,0),MATCH(($A771 &amp; "Points"),CLASSNAMEHEADERS,0))),"")))))))))}</f>
        <v>CLASSDCL05</v>
      </c>
      <c r="M770" s="81"/>
      <c r="N770" s="81" t="str">
        <f t="array" ref="N770:N771">{"CLASSDCL07";((IF("07"=(INDEX(ALLCLASSDATA,MATCH("ClassDCLegendary",CLASSFEATUREHEADERS,0),MATCH($A771,CLASSNAMEHEADERS,0))),(INDEX(ALLCLASSDATA,MATCH("ClassDCLegendary",CLASSFEATUREHEADERS,0),MATCH(($A771 &amp; "Points"),CLASSNAMEHEADERS,0))),(IF("07"=(INDEX(ALLCLASSDATA,MATCH("ClassDCMaster",CLASSFEATUREHEADERS,0),MATCH($A771,CLASSNAMEHEADERS,0))),(INDEX(ALLCLASSDATA,MATCH("ClassDCMaster",CLASSFEATUREHEADERS,0),MATCH(($A771 &amp; "Points"),CLASSNAMEHEADERS,0))),(IF("07"=(INDEX(ALLCLASSDATA,MATCH("ClassDCExpert",CLASSFEATUREHEADERS,0),MATCH($A771,CLASSNAMEHEADERS,0))),(INDEX(ALLCLASSDATA,MATCH("ClassDCExpert",CLASSFEATUREHEADERS,0),MATCH(($A771 &amp; "Points"),CLASSNAMEHEADERS,0))),(IF("07"=(INDEX(ALLCLASSDATA,MATCH("ClassDCTrained",CLASSFEATUREHEADERS,0),MATCH($A771,CLASSNAMEHEADERS,0))),(INDEX(ALLCLASSDATA,MATCH("ClassDCTrained",CLASSFEATUREHEADERS,0),MATCH(($A771 &amp; "Points"),CLASSNAMEHEADERS,0))),"")))))))))}</f>
        <v>CLASSDCL07</v>
      </c>
      <c r="O770" s="81"/>
      <c r="P770" s="81" t="str">
        <f t="array" ref="P770:P771">{"CLASSDCL09";((IF("09"=(INDEX(ALLCLASSDATA,MATCH("ClassDCLegendary",CLASSFEATUREHEADERS,0),MATCH($A771,CLASSNAMEHEADERS,0))),(INDEX(ALLCLASSDATA,MATCH("ClassDCLegendary",CLASSFEATUREHEADERS,0),MATCH(($A771 &amp; "Points"),CLASSNAMEHEADERS,0))),(IF("09"=(INDEX(ALLCLASSDATA,MATCH("ClassDCMaster",CLASSFEATUREHEADERS,0),MATCH($A771,CLASSNAMEHEADERS,0))),(INDEX(ALLCLASSDATA,MATCH("ClassDCMaster",CLASSFEATUREHEADERS,0),MATCH(($A771 &amp; "Points"),CLASSNAMEHEADERS,0))),(IF("09"=(INDEX(ALLCLASSDATA,MATCH("ClassDCExpert",CLASSFEATUREHEADERS,0),MATCH($A771,CLASSNAMEHEADERS,0))),(INDEX(ALLCLASSDATA,MATCH("ClassDCExpert",CLASSFEATUREHEADERS,0),MATCH(($A771 &amp; "Points"),CLASSNAMEHEADERS,0))),(IF("09"=(INDEX(ALLCLASSDATA,MATCH("ClassDCTrained",CLASSFEATUREHEADERS,0),MATCH($A771,CLASSNAMEHEADERS,0))),(INDEX(ALLCLASSDATA,MATCH("ClassDCTrained",CLASSFEATUREHEADERS,0),MATCH(($A771 &amp; "Points"),CLASSNAMEHEADERS,0))),"")))))))))}</f>
        <v>CLASSDCL09</v>
      </c>
      <c r="Q770" s="81"/>
      <c r="R770" s="81" t="str">
        <f t="array" ref="R770:R771">{"CLASSDCL11";((IF("11"=(INDEX(ALLCLASSDATA,MATCH("ClassDCLegendary",CLASSFEATUREHEADERS,0),MATCH($A771,CLASSNAMEHEADERS,0))),(INDEX(ALLCLASSDATA,MATCH("ClassDCLegendary",CLASSFEATUREHEADERS,0),MATCH(($A771 &amp; "Points"),CLASSNAMEHEADERS,0))),(IF("11"=(INDEX(ALLCLASSDATA,MATCH("ClassDCMaster",CLASSFEATUREHEADERS,0),MATCH($A771,CLASSNAMEHEADERS,0))),(INDEX(ALLCLASSDATA,MATCH("ClassDCMaster",CLASSFEATUREHEADERS,0),MATCH(($A771 &amp; "Points"),CLASSNAMEHEADERS,0))),(IF("11"=(INDEX(ALLCLASSDATA,MATCH("ClassDCExpert",CLASSFEATUREHEADERS,0),MATCH($A771,CLASSNAMEHEADERS,0))),(INDEX(ALLCLASSDATA,MATCH("ClassDCExpert",CLASSFEATUREHEADERS,0),MATCH(($A771 &amp; "Points"),CLASSNAMEHEADERS,0))),(IF("11"=(INDEX(ALLCLASSDATA,MATCH("ClassDCTrained",CLASSFEATUREHEADERS,0),MATCH($A771,CLASSNAMEHEADERS,0))),(INDEX(ALLCLASSDATA,MATCH("ClassDCTrained",CLASSFEATUREHEADERS,0),MATCH(($A771 &amp; "Points"),CLASSNAMEHEADERS,0))),"")))))))))}</f>
        <v>CLASSDCL11</v>
      </c>
      <c r="S770" s="81"/>
      <c r="T770" s="81" t="str">
        <f t="array" ref="T770:T771">{"CLASSDCL13";((IF("13"=(INDEX(ALLCLASSDATA,MATCH("ClassDCLegendary",CLASSFEATUREHEADERS,0),MATCH($A771,CLASSNAMEHEADERS,0))),(INDEX(ALLCLASSDATA,MATCH("ClassDCLegendary",CLASSFEATUREHEADERS,0),MATCH(($A771 &amp; "Points"),CLASSNAMEHEADERS,0))),(IF("13"=(INDEX(ALLCLASSDATA,MATCH("ClassDCMaster",CLASSFEATUREHEADERS,0),MATCH($A771,CLASSNAMEHEADERS,0))),(INDEX(ALLCLASSDATA,MATCH("ClassDCMaster",CLASSFEATUREHEADERS,0),MATCH(($A771 &amp; "Points"),CLASSNAMEHEADERS,0))),(IF("13"=(INDEX(ALLCLASSDATA,MATCH("ClassDCExpert",CLASSFEATUREHEADERS,0),MATCH($A771,CLASSNAMEHEADERS,0))),(INDEX(ALLCLASSDATA,MATCH("ClassDCExpert",CLASSFEATUREHEADERS,0),MATCH(($A771 &amp; "Points"),CLASSNAMEHEADERS,0))),(IF("13"=(INDEX(ALLCLASSDATA,MATCH("ClassDCTrained",CLASSFEATUREHEADERS,0),MATCH($A771,CLASSNAMEHEADERS,0))),(INDEX(ALLCLASSDATA,MATCH("ClassDCTrained",CLASSFEATUREHEADERS,0),MATCH(($A771 &amp; "Points"),CLASSNAMEHEADERS,0))),"")))))))))}</f>
        <v>CLASSDCL13</v>
      </c>
      <c r="U770" s="81"/>
      <c r="V770" s="81" t="str">
        <f t="array" ref="V770:V771">{"CLASSDCL15";((IF("15"=(INDEX(ALLCLASSDATA,MATCH("ClassDCLegendary",CLASSFEATUREHEADERS,0),MATCH($A771,CLASSNAMEHEADERS,0))),(INDEX(ALLCLASSDATA,MATCH("ClassDCLegendary",CLASSFEATUREHEADERS,0),MATCH(($A771 &amp; "Points"),CLASSNAMEHEADERS,0))),(IF("15"=(INDEX(ALLCLASSDATA,MATCH("ClassDCMaster",CLASSFEATUREHEADERS,0),MATCH($A771,CLASSNAMEHEADERS,0))),(INDEX(ALLCLASSDATA,MATCH("ClassDCMaster",CLASSFEATUREHEADERS,0),MATCH(($A771 &amp; "Points"),CLASSNAMEHEADERS,0))),(IF("15"=(INDEX(ALLCLASSDATA,MATCH("ClassDCExpert",CLASSFEATUREHEADERS,0),MATCH($A771,CLASSNAMEHEADERS,0))),(INDEX(ALLCLASSDATA,MATCH("ClassDCExpert",CLASSFEATUREHEADERS,0),MATCH(($A771 &amp; "Points"),CLASSNAMEHEADERS,0))),(IF("15"=(INDEX(ALLCLASSDATA,MATCH("ClassDCTrained",CLASSFEATUREHEADERS,0),MATCH($A771,CLASSNAMEHEADERS,0))),(INDEX(ALLCLASSDATA,MATCH("ClassDCTrained",CLASSFEATUREHEADERS,0),MATCH(($A771 &amp; "Points"),CLASSNAMEHEADERS,0))),"")))))))))}</f>
        <v>CLASSDCL15</v>
      </c>
      <c r="W770" s="81"/>
      <c r="X770" s="81" t="str">
        <f t="array" ref="X770:X771">{"CLASSDCL17";((IF("17"=(INDEX(ALLCLASSDATA,MATCH("ClassDCLegendary",CLASSFEATUREHEADERS,0),MATCH($A771,CLASSNAMEHEADERS,0))),(INDEX(ALLCLASSDATA,MATCH("ClassDCLegendary",CLASSFEATUREHEADERS,0),MATCH(($A771 &amp; "Points"),CLASSNAMEHEADERS,0))),(IF("17"=(INDEX(ALLCLASSDATA,MATCH("ClassDCMaster",CLASSFEATUREHEADERS,0),MATCH($A771,CLASSNAMEHEADERS,0))),(INDEX(ALLCLASSDATA,MATCH("ClassDCMaster",CLASSFEATUREHEADERS,0),MATCH(($A771 &amp; "Points"),CLASSNAMEHEADERS,0))),(IF("17"=(INDEX(ALLCLASSDATA,MATCH("ClassDCExpert",CLASSFEATUREHEADERS,0),MATCH($A771,CLASSNAMEHEADERS,0))),(INDEX(ALLCLASSDATA,MATCH("ClassDCExpert",CLASSFEATUREHEADERS,0),MATCH(($A771 &amp; "Points"),CLASSNAMEHEADERS,0))),(IF("17"=(INDEX(ALLCLASSDATA,MATCH("ClassDCTrained",CLASSFEATUREHEADERS,0),MATCH($A771,CLASSNAMEHEADERS,0))),(INDEX(ALLCLASSDATA,MATCH("ClassDCTrained",CLASSFEATUREHEADERS,0),MATCH(($A771 &amp; "Points"),CLASSNAMEHEADERS,0))),"")))))))))}</f>
        <v>CLASSDCL17</v>
      </c>
      <c r="Y770" s="81"/>
      <c r="Z770" s="81" t="str">
        <f t="array" ref="Z770:Z771">{"CLASSDCL19";((IF("19"=(INDEX(ALLCLASSDATA,MATCH("ClassDCLegendary",CLASSFEATUREHEADERS,0),MATCH($A771,CLASSNAMEHEADERS,0))),(INDEX(ALLCLASSDATA,MATCH("ClassDCLegendary",CLASSFEATUREHEADERS,0),MATCH(($A771 &amp; "Points"),CLASSNAMEHEADERS,0))),(IF("19"=(INDEX(ALLCLASSDATA,MATCH("ClassDCMaster",CLASSFEATUREHEADERS,0),MATCH($A771,CLASSNAMEHEADERS,0))),(INDEX(ALLCLASSDATA,MATCH("ClassDCMaster",CLASSFEATUREHEADERS,0),MATCH(($A771 &amp; "Points"),CLASSNAMEHEADERS,0))),(IF("19"=(INDEX(ALLCLASSDATA,MATCH("ClassDCExpert",CLASSFEATUREHEADERS,0),MATCH($A771,CLASSNAMEHEADERS,0))),(INDEX(ALLCLASSDATA,MATCH("ClassDCExpert",CLASSFEATUREHEADERS,0),MATCH(($A771 &amp; "Points"),CLASSNAMEHEADERS,0))),(IF("19"=(INDEX(ALLCLASSDATA,MATCH("ClassDCTrained",CLASSFEATUREHEADERS,0),MATCH($A771,CLASSNAMEHEADERS,0))),(INDEX(ALLCLASSDATA,MATCH("ClassDCTrained",CLASSFEATUREHEADERS,0),MATCH(($A771 &amp; "Points"),CLASSNAMEHEADERS,0))),"")))))))))}</f>
        <v>CLASSDCL19</v>
      </c>
      <c r="AA770" s="81"/>
      <c r="AB770" s="76" t="str">
        <f t="array" ref="AB770:AB771">{"CLASSDC TOTAL";(IF(COUNTBLANK(G771:AA771)=17,"L",(IF(COUNTBLANK(G771:AA771)=18,"M",(IF(COUNTBLANK(G771:AA771)=19,"E",(IF(COUNTBLANK(G771:AA771)=20,"T",""))))))))}</f>
        <v>CLASSDC TOTAL</v>
      </c>
      <c r="AC770" s="76" t="str">
        <f t="array" ref="AC770:AC771">{"CLASSDC TOTAL";(sum(G771:AA771))}</f>
        <v>CLASSDC TOTAL</v>
      </c>
    </row>
    <row r="771">
      <c r="A771" s="48" t="s">
        <v>176</v>
      </c>
      <c r="B771" s="48"/>
      <c r="C771" s="48" t="s">
        <v>415</v>
      </c>
      <c r="D771" s="48" t="s">
        <v>1465</v>
      </c>
      <c r="E771" s="48" t="s">
        <v>1466</v>
      </c>
      <c r="F771" s="5" t="s">
        <v>435</v>
      </c>
      <c r="G771" s="47" t="s">
        <v>603</v>
      </c>
      <c r="H771" s="5">
        <v>10.0</v>
      </c>
      <c r="I771" s="5"/>
      <c r="J771" s="5" t="s">
        <v>603</v>
      </c>
      <c r="K771" s="5"/>
      <c r="L771" s="5" t="s">
        <v>603</v>
      </c>
      <c r="M771" s="5"/>
      <c r="N771" s="5" t="s">
        <v>603</v>
      </c>
      <c r="O771" s="5"/>
      <c r="P771" s="5">
        <v>50.0</v>
      </c>
      <c r="Q771" s="5"/>
      <c r="R771" s="5" t="s">
        <v>603</v>
      </c>
      <c r="S771" s="5"/>
      <c r="T771" s="5" t="s">
        <v>603</v>
      </c>
      <c r="U771" s="5"/>
      <c r="V771" s="5" t="s">
        <v>603</v>
      </c>
      <c r="W771" s="5"/>
      <c r="X771" s="5" t="s">
        <v>603</v>
      </c>
      <c r="Y771" s="5"/>
      <c r="Z771" s="5">
        <v>110.0</v>
      </c>
      <c r="AA771" s="5"/>
      <c r="AB771" s="5" t="s">
        <v>437</v>
      </c>
      <c r="AC771" s="47">
        <v>170.0</v>
      </c>
    </row>
    <row r="772" hidden="1">
      <c r="A772" s="222" t="str">
        <f t="array" ref="A772:A773">{"FormulaRow21";(INDEX(CLASSLIST,A731,1))}</f>
        <v>FormulaRow21</v>
      </c>
      <c r="B772" s="77" t="s">
        <v>236</v>
      </c>
      <c r="C772" s="222" t="str">
        <f t="array" ref="C772:C773">{"CLASSTYPE";((INDEX(ALLCLASSDATA,MATCH("ClassType",CLASSFEATUREHEADERS,0),MATCH($A773,CLASSNAMEHEADERS,0))))}</f>
        <v>CLASSTYPE</v>
      </c>
      <c r="D772" s="222" t="str">
        <f t="array" ref="D772:D773">{"DC";"DC"}</f>
        <v>DC</v>
      </c>
      <c r="E772" s="222" t="str">
        <f t="array" ref="E772:E773">{"SPELLDC";"SpellDC"}</f>
        <v>SPELLDC</v>
      </c>
      <c r="F772" s="223" t="str">
        <f t="array" ref="F772:F773">{"SPELLDCINITIAL";((IF(H773=10,"T",(IF(H773=50,"E","")))))}</f>
        <v>SPELLDCINITIAL</v>
      </c>
      <c r="G772" s="223" t="str">
        <f t="array" ref="G772:G773">{"SPELLDCINITIALPTS";((IF("00"=(INDEX(ALLCLASSDATA,MATCH("SpellDCLegendary",CLASSFEATUREHEADERS,0),MATCH($A773,CLASSNAMEHEADERS,0))),(INDEX(ALLCLASSDATA,MATCH("SpellDCLegendary",CLASSFEATUREHEADERS,0),MATCH(($A773 &amp; "Points"),CLASSNAMEHEADERS,0))),(IF("00"=(INDEX(ALLCLASSDATA,MATCH("SpellDCMaster",CLASSFEATUREHEADERS,0),MATCH($A773,CLASSNAMEHEADERS,0))),(INDEX(ALLCLASSDATA,MATCH("SpellDCMaster",CLASSFEATUREHEADERS,0),MATCH(($A773 &amp; "Points"),CLASSNAMEHEADERS,0))),(IF("00"=(INDEX(ALLCLASSDATA,MATCH("SpellDCExpert",CLASSFEATUREHEADERS,0),MATCH($A773,CLASSNAMEHEADERS,0))),(INDEX(ALLCLASSDATA,MATCH("SpellDCExpert",CLASSFEATUREHEADERS,0),MATCH(($A773 &amp; "Points"),CLASSNAMEHEADERS,0))),(IF("00"=(INDEX(ALLCLASSDATA,MATCH("SpellDCTrained",CLASSFEATUREHEADERS,0),MATCH($A773,CLASSNAMEHEADERS,0))),(INDEX(ALLCLASSDATA,MATCH("SpellDCTrained",CLASSFEATUREHEADERS,0),MATCH(($A773 &amp; "Points"),CLASSNAMEHEADERS,0))),"")))))))))}</f>
        <v>SPELLDCINITIALPTS</v>
      </c>
      <c r="H772" s="223" t="str">
        <f t="array" ref="H772:H773">{"SPELLDCL01";((IF("01"=(INDEX(ALLCLASSDATA,MATCH("SpellDCLegendary",CLASSFEATUREHEADERS,0),MATCH($A773,CLASSNAMEHEADERS,0))),(INDEX(ALLCLASSDATA,MATCH("SpellDCLegendary",CLASSFEATUREHEADERS,0),MATCH(($A773 &amp; "Points"),CLASSNAMEHEADERS,0))),(IF("01"=(INDEX(ALLCLASSDATA,MATCH("SpellDCMaster",CLASSFEATUREHEADERS,0),MATCH($A773,CLASSNAMEHEADERS,0))),(INDEX(ALLCLASSDATA,MATCH("SpellDCMaster",CLASSFEATUREHEADERS,0),MATCH(($A773 &amp; "Points"),CLASSNAMEHEADERS,0))),(IF("01"=(INDEX(ALLCLASSDATA,MATCH("SpellDCExpert",CLASSFEATUREHEADERS,0),MATCH($A773,CLASSNAMEHEADERS,0))),(INDEX(ALLCLASSDATA,MATCH("SpellDCExpert",CLASSFEATUREHEADERS,0),MATCH(($A773 &amp; "Points"),CLASSNAMEHEADERS,0))),(IF("01"=(INDEX(ALLCLASSDATA,MATCH("SpellDCTrained",CLASSFEATUREHEADERS,0),MATCH($A773,CLASSNAMEHEADERS,0))),(INDEX(ALLCLASSDATA,MATCH("SpellDCTrained",CLASSFEATUREHEADERS,0),MATCH(($A773 &amp; "Points"),CLASSNAMEHEADERS,0))),"")))))))))}</f>
        <v>SPELLDCL01</v>
      </c>
      <c r="I772" s="223"/>
      <c r="J772" s="223" t="str">
        <f t="array" ref="J772:J773">{"SPELLDCL03";((IF("03"=(INDEX(ALLCLASSDATA,MATCH("SpellDCLegendary",CLASSFEATUREHEADERS,0),MATCH($A773,CLASSNAMEHEADERS,0))),(INDEX(ALLCLASSDATA,MATCH("SpellDCLegendary",CLASSFEATUREHEADERS,0),MATCH(($A773 &amp; "Points"),CLASSNAMEHEADERS,0))),(IF("03"=(INDEX(ALLCLASSDATA,MATCH("SpellDCMaster",CLASSFEATUREHEADERS,0),MATCH($A773,CLASSNAMEHEADERS,0))),(INDEX(ALLCLASSDATA,MATCH("SpellDCMaster",CLASSFEATUREHEADERS,0),MATCH(($A773 &amp; "Points"),CLASSNAMEHEADERS,0))),(IF("03"=(INDEX(ALLCLASSDATA,MATCH("SpellDCExpert",CLASSFEATUREHEADERS,0),MATCH($A773,CLASSNAMEHEADERS,0))),(INDEX(ALLCLASSDATA,MATCH("SpellDCExpert",CLASSFEATUREHEADERS,0),MATCH(($A773 &amp; "Points"),CLASSNAMEHEADERS,0))),(IF("03"=(INDEX(ALLCLASSDATA,MATCH("SpellDCTrained",CLASSFEATUREHEADERS,0),MATCH($A773,CLASSNAMEHEADERS,0))),(INDEX(ALLCLASSDATA,MATCH("SpellDCTrained",CLASSFEATUREHEADERS,0),MATCH(($A773 &amp; "Points"),CLASSNAMEHEADERS,0))),"")))))))))}</f>
        <v>SPELLDCL03</v>
      </c>
      <c r="K772" s="223"/>
      <c r="L772" s="223" t="str">
        <f t="array" ref="L772:L773">{"SPELLDCL05";((IF("05"=(INDEX(ALLCLASSDATA,MATCH("SpellDCLegendary",CLASSFEATUREHEADERS,0),MATCH($A773,CLASSNAMEHEADERS,0))),(INDEX(ALLCLASSDATA,MATCH("SpellDCLegendary",CLASSFEATUREHEADERS,0),MATCH(($A773 &amp; "Points"),CLASSNAMEHEADERS,0))),(IF("05"=(INDEX(ALLCLASSDATA,MATCH("SpellDCMaster",CLASSFEATUREHEADERS,0),MATCH($A773,CLASSNAMEHEADERS,0))),(INDEX(ALLCLASSDATA,MATCH("SpellDCMaster",CLASSFEATUREHEADERS,0),MATCH(($A773 &amp; "Points"),CLASSNAMEHEADERS,0))),(IF("05"=(INDEX(ALLCLASSDATA,MATCH("SpellDCExpert",CLASSFEATUREHEADERS,0),MATCH($A773,CLASSNAMEHEADERS,0))),(INDEX(ALLCLASSDATA,MATCH("SpellDCExpert",CLASSFEATUREHEADERS,0),MATCH(($A773 &amp; "Points"),CLASSNAMEHEADERS,0))),(IF("05"=(INDEX(ALLCLASSDATA,MATCH("SpellDCTrained",CLASSFEATUREHEADERS,0),MATCH($A773,CLASSNAMEHEADERS,0))),(INDEX(ALLCLASSDATA,MATCH("SpellDCTrained",CLASSFEATUREHEADERS,0),MATCH(($A773 &amp; "Points"),CLASSNAMEHEADERS,0))),"")))))))))}</f>
        <v>SPELLDCL05</v>
      </c>
      <c r="M772" s="223"/>
      <c r="N772" s="223" t="str">
        <f t="array" ref="N772:N773">{"SPELLDCL07";((IF("07"=(INDEX(ALLCLASSDATA,MATCH("SpellDCLegendary",CLASSFEATUREHEADERS,0),MATCH($A773,CLASSNAMEHEADERS,0))),(INDEX(ALLCLASSDATA,MATCH("SpellDCLegendary",CLASSFEATUREHEADERS,0),MATCH(($A773 &amp; "Points"),CLASSNAMEHEADERS,0))),(IF("07"=(INDEX(ALLCLASSDATA,MATCH("SpellDCMaster",CLASSFEATUREHEADERS,0),MATCH($A773,CLASSNAMEHEADERS,0))),(INDEX(ALLCLASSDATA,MATCH("SpellDCMaster",CLASSFEATUREHEADERS,0),MATCH(($A773 &amp; "Points"),CLASSNAMEHEADERS,0))),(IF("07"=(INDEX(ALLCLASSDATA,MATCH("SpellDCExpert",CLASSFEATUREHEADERS,0),MATCH($A773,CLASSNAMEHEADERS,0))),(INDEX(ALLCLASSDATA,MATCH("SpellDCExpert",CLASSFEATUREHEADERS,0),MATCH(($A773 &amp; "Points"),CLASSNAMEHEADERS,0))),(IF("07"=(INDEX(ALLCLASSDATA,MATCH("SpellDCTrained",CLASSFEATUREHEADERS,0),MATCH($A773,CLASSNAMEHEADERS,0))),(INDEX(ALLCLASSDATA,MATCH("SpellDCTrained",CLASSFEATUREHEADERS,0),MATCH(($A773 &amp; "Points"),CLASSNAMEHEADERS,0))),"")))))))))}</f>
        <v>SPELLDCL07</v>
      </c>
      <c r="O772" s="223"/>
      <c r="P772" s="223" t="str">
        <f t="array" ref="P772:P773">{"SPELLDCL09";((IF("09"=(INDEX(ALLCLASSDATA,MATCH("SpellDCLegendary",CLASSFEATUREHEADERS,0),MATCH($A773,CLASSNAMEHEADERS,0))),(INDEX(ALLCLASSDATA,MATCH("SpellDCLegendary",CLASSFEATUREHEADERS,0),MATCH(($A773 &amp; "Points"),CLASSNAMEHEADERS,0))),(IF("09"=(INDEX(ALLCLASSDATA,MATCH("SpellDCMaster",CLASSFEATUREHEADERS,0),MATCH($A773,CLASSNAMEHEADERS,0))),(INDEX(ALLCLASSDATA,MATCH("SpellDCMaster",CLASSFEATUREHEADERS,0),MATCH(($A773 &amp; "Points"),CLASSNAMEHEADERS,0))),(IF("09"=(INDEX(ALLCLASSDATA,MATCH("SpellDCExpert",CLASSFEATUREHEADERS,0),MATCH($A773,CLASSNAMEHEADERS,0))),(INDEX(ALLCLASSDATA,MATCH("SpellDCExpert",CLASSFEATUREHEADERS,0),MATCH(($A773 &amp; "Points"),CLASSNAMEHEADERS,0))),(IF("09"=(INDEX(ALLCLASSDATA,MATCH("SpellDCTrained",CLASSFEATUREHEADERS,0),MATCH($A773,CLASSNAMEHEADERS,0))),(INDEX(ALLCLASSDATA,MATCH("SpellDCTrained",CLASSFEATUREHEADERS,0),MATCH(($A773 &amp; "Points"),CLASSNAMEHEADERS,0))),"")))))))))}</f>
        <v>SPELLDCL09</v>
      </c>
      <c r="Q772" s="223"/>
      <c r="R772" s="223" t="str">
        <f t="array" ref="R772:R773">{"SPELLDCL11";((IF("11"=(INDEX(ALLCLASSDATA,MATCH("SpellDCLegendary",CLASSFEATUREHEADERS,0),MATCH($A773,CLASSNAMEHEADERS,0))),(INDEX(ALLCLASSDATA,MATCH("SpellDCLegendary",CLASSFEATUREHEADERS,0),MATCH(($A773 &amp; "Points"),CLASSNAMEHEADERS,0))),(IF("11"=(INDEX(ALLCLASSDATA,MATCH("SpellDCMaster",CLASSFEATUREHEADERS,0),MATCH($A773,CLASSNAMEHEADERS,0))),(INDEX(ALLCLASSDATA,MATCH("SpellDCMaster",CLASSFEATUREHEADERS,0),MATCH(($A773 &amp; "Points"),CLASSNAMEHEADERS,0))),(IF("11"=(INDEX(ALLCLASSDATA,MATCH("SpellDCExpert",CLASSFEATUREHEADERS,0),MATCH($A773,CLASSNAMEHEADERS,0))),(INDEX(ALLCLASSDATA,MATCH("SpellDCExpert",CLASSFEATUREHEADERS,0),MATCH(($A773 &amp; "Points"),CLASSNAMEHEADERS,0))),(IF("11"=(INDEX(ALLCLASSDATA,MATCH("SpellDCTrained",CLASSFEATUREHEADERS,0),MATCH($A773,CLASSNAMEHEADERS,0))),(INDEX(ALLCLASSDATA,MATCH("SpellDCTrained",CLASSFEATUREHEADERS,0),MATCH(($A773 &amp; "Points"),CLASSNAMEHEADERS,0))),"")))))))))}</f>
        <v>SPELLDCL11</v>
      </c>
      <c r="S772" s="223"/>
      <c r="T772" s="223" t="str">
        <f t="array" ref="T772:T773">{"SPELLDCL13";((IF("13"=(INDEX(ALLCLASSDATA,MATCH("SpellDCLegendary",CLASSFEATUREHEADERS,0),MATCH($A773,CLASSNAMEHEADERS,0))),(INDEX(ALLCLASSDATA,MATCH("SpellDCLegendary",CLASSFEATUREHEADERS,0),MATCH(($A773 &amp; "Points"),CLASSNAMEHEADERS,0))),(IF("13"=(INDEX(ALLCLASSDATA,MATCH("SpellDCMaster",CLASSFEATUREHEADERS,0),MATCH($A773,CLASSNAMEHEADERS,0))),(INDEX(ALLCLASSDATA,MATCH("SpellDCMaster",CLASSFEATUREHEADERS,0),MATCH(($A773 &amp; "Points"),CLASSNAMEHEADERS,0))),(IF("13"=(INDEX(ALLCLASSDATA,MATCH("SpellDCExpert",CLASSFEATUREHEADERS,0),MATCH($A773,CLASSNAMEHEADERS,0))),(INDEX(ALLCLASSDATA,MATCH("SpellDCExpert",CLASSFEATUREHEADERS,0),MATCH(($A773 &amp; "Points"),CLASSNAMEHEADERS,0))),(IF("13"=(INDEX(ALLCLASSDATA,MATCH("SpellDCTrained",CLASSFEATUREHEADERS,0),MATCH($A773,CLASSNAMEHEADERS,0))),(INDEX(ALLCLASSDATA,MATCH("SpellDCTrained",CLASSFEATUREHEADERS,0),MATCH(($A773 &amp; "Points"),CLASSNAMEHEADERS,0))),"")))))))))}</f>
        <v>SPELLDCL13</v>
      </c>
      <c r="U772" s="223"/>
      <c r="V772" s="223" t="str">
        <f t="array" ref="V772:V773">{"SPELLDCL15";((IF("15"=(INDEX(ALLCLASSDATA,MATCH("SpellDCLegendary",CLASSFEATUREHEADERS,0),MATCH($A773,CLASSNAMEHEADERS,0))),(INDEX(ALLCLASSDATA,MATCH("SpellDCLegendary",CLASSFEATUREHEADERS,0),MATCH(($A773 &amp; "Points"),CLASSNAMEHEADERS,0))),(IF("15"=(INDEX(ALLCLASSDATA,MATCH("SpellDCMaster",CLASSFEATUREHEADERS,0),MATCH($A773,CLASSNAMEHEADERS,0))),(INDEX(ALLCLASSDATA,MATCH("SpellDCMaster",CLASSFEATUREHEADERS,0),MATCH(($A773 &amp; "Points"),CLASSNAMEHEADERS,0))),(IF("15"=(INDEX(ALLCLASSDATA,MATCH("SpellDCExpert",CLASSFEATUREHEADERS,0),MATCH($A773,CLASSNAMEHEADERS,0))),(INDEX(ALLCLASSDATA,MATCH("SpellDCExpert",CLASSFEATUREHEADERS,0),MATCH(($A773 &amp; "Points"),CLASSNAMEHEADERS,0))),(IF("15"=(INDEX(ALLCLASSDATA,MATCH("SpellDCTrained",CLASSFEATUREHEADERS,0),MATCH($A773,CLASSNAMEHEADERS,0))),(INDEX(ALLCLASSDATA,MATCH("SpellDCTrained",CLASSFEATUREHEADERS,0),MATCH(($A773 &amp; "Points"),CLASSNAMEHEADERS,0))),"")))))))))}</f>
        <v>SPELLDCL15</v>
      </c>
      <c r="W772" s="223"/>
      <c r="X772" s="223" t="str">
        <f t="array" ref="X772:X773">{"SPELLDCL17";((IF("17"=(INDEX(ALLCLASSDATA,MATCH("SpellDCLegendary",CLASSFEATUREHEADERS,0),MATCH($A773,CLASSNAMEHEADERS,0))),(INDEX(ALLCLASSDATA,MATCH("SpellDCLegendary",CLASSFEATUREHEADERS,0),MATCH(($A773 &amp; "Points"),CLASSNAMEHEADERS,0))),(IF("17"=(INDEX(ALLCLASSDATA,MATCH("SpellDCMaster",CLASSFEATUREHEADERS,0),MATCH($A773,CLASSNAMEHEADERS,0))),(INDEX(ALLCLASSDATA,MATCH("SpellDCMaster",CLASSFEATUREHEADERS,0),MATCH(($A773 &amp; "Points"),CLASSNAMEHEADERS,0))),(IF("17"=(INDEX(ALLCLASSDATA,MATCH("SpellDCExpert",CLASSFEATUREHEADERS,0),MATCH($A773,CLASSNAMEHEADERS,0))),(INDEX(ALLCLASSDATA,MATCH("SpellDCExpert",CLASSFEATUREHEADERS,0),MATCH(($A773 &amp; "Points"),CLASSNAMEHEADERS,0))),(IF("17"=(INDEX(ALLCLASSDATA,MATCH("SpellDCTrained",CLASSFEATUREHEADERS,0),MATCH($A773,CLASSNAMEHEADERS,0))),(INDEX(ALLCLASSDATA,MATCH("SpellDCTrained",CLASSFEATUREHEADERS,0),MATCH(($A773 &amp; "Points"),CLASSNAMEHEADERS,0))),"")))))))))}</f>
        <v>SPELLDCL17</v>
      </c>
      <c r="Y772" s="223"/>
      <c r="Z772" s="223" t="str">
        <f t="array" ref="Z772:Z773">{"SPELLDCL19";((IF("19"=(INDEX(ALLCLASSDATA,MATCH("SpellDCLegendary",CLASSFEATUREHEADERS,0),MATCH($A773,CLASSNAMEHEADERS,0))),(INDEX(ALLCLASSDATA,MATCH("SpellDCLegendary",CLASSFEATUREHEADERS,0),MATCH(($A773 &amp; "Points"),CLASSNAMEHEADERS,0))),(IF("19"=(INDEX(ALLCLASSDATA,MATCH("SpellDCMaster",CLASSFEATUREHEADERS,0),MATCH($A773,CLASSNAMEHEADERS,0))),(INDEX(ALLCLASSDATA,MATCH("SpellDCMaster",CLASSFEATUREHEADERS,0),MATCH(($A773 &amp; "Points"),CLASSNAMEHEADERS,0))),(IF("19"=(INDEX(ALLCLASSDATA,MATCH("SpellDCExpert",CLASSFEATUREHEADERS,0),MATCH($A773,CLASSNAMEHEADERS,0))),(INDEX(ALLCLASSDATA,MATCH("SpellDCExpert",CLASSFEATUREHEADERS,0),MATCH(($A773 &amp; "Points"),CLASSNAMEHEADERS,0))),(IF("19"=(INDEX(ALLCLASSDATA,MATCH("SpellDCTrained",CLASSFEATUREHEADERS,0),MATCH($A773,CLASSNAMEHEADERS,0))),(INDEX(ALLCLASSDATA,MATCH("SpellDCTrained",CLASSFEATUREHEADERS,0),MATCH(($A773 &amp; "Points"),CLASSNAMEHEADERS,0))),"")))))))))}</f>
        <v>SPELLDCL19</v>
      </c>
      <c r="AA772" s="223"/>
      <c r="AB772" s="76" t="str">
        <f t="array" ref="AB772:AB773">{"SPELLDC TOTAL";(IF(COUNTBLANK(G773:AA773)=17,"L",(IF(COUNTBLANK(G773:AA773)=18,"M",(IF(COUNTBLANK(G773:AA773)=19,"E",(IF(COUNTBLANK(G773:AA773)=20,"T",""))))))))}</f>
        <v>SPELLDC TOTAL</v>
      </c>
      <c r="AC772" s="76" t="str">
        <f t="array" ref="AC772:AC773">{"SPELLDC TOTAL";(sum(G773:AA773))}</f>
        <v>SPELLDC TOTAL</v>
      </c>
    </row>
    <row r="773">
      <c r="A773" s="48" t="s">
        <v>176</v>
      </c>
      <c r="B773" s="48"/>
      <c r="C773" s="48" t="s">
        <v>415</v>
      </c>
      <c r="D773" s="97" t="s">
        <v>1465</v>
      </c>
      <c r="E773" s="97" t="s">
        <v>1485</v>
      </c>
      <c r="F773" s="98" t="s">
        <v>603</v>
      </c>
      <c r="G773" s="132" t="s">
        <v>603</v>
      </c>
      <c r="H773" s="98" t="s">
        <v>603</v>
      </c>
      <c r="I773" s="98"/>
      <c r="J773" s="98" t="s">
        <v>603</v>
      </c>
      <c r="K773" s="98"/>
      <c r="L773" s="98" t="s">
        <v>603</v>
      </c>
      <c r="M773" s="98"/>
      <c r="N773" s="98" t="s">
        <v>603</v>
      </c>
      <c r="O773" s="98"/>
      <c r="P773" s="98" t="s">
        <v>603</v>
      </c>
      <c r="Q773" s="98"/>
      <c r="R773" s="98" t="s">
        <v>603</v>
      </c>
      <c r="S773" s="98"/>
      <c r="T773" s="98" t="s">
        <v>603</v>
      </c>
      <c r="U773" s="98"/>
      <c r="V773" s="98" t="s">
        <v>603</v>
      </c>
      <c r="W773" s="98"/>
      <c r="X773" s="98" t="s">
        <v>603</v>
      </c>
      <c r="Y773" s="98"/>
      <c r="Z773" s="98" t="s">
        <v>603</v>
      </c>
      <c r="AA773" s="98"/>
      <c r="AB773" s="5" t="s">
        <v>603</v>
      </c>
      <c r="AC773" s="47">
        <v>0.0</v>
      </c>
    </row>
    <row r="774" hidden="1">
      <c r="A774" s="222" t="str">
        <f t="array" ref="A774:A775">{"FormulaRow22";(INDEX(CLASSLIST,A731,1))}</f>
        <v>FormulaRow22</v>
      </c>
      <c r="B774" s="77" t="s">
        <v>236</v>
      </c>
      <c r="C774" s="222" t="str">
        <f t="array" ref="C774:C775">{"CLASSTYPE";((INDEX(ALLCLASSDATA,MATCH("ClassType",CLASSFEATUREHEADERS,0),MATCH($A775,CLASSNAMEHEADERS,0))))}</f>
        <v>CLASSTYPE</v>
      </c>
      <c r="D774" s="228" t="str">
        <f t="shared" ref="D774:E774" si="9">{"PERCEPTION";"Perception"}</f>
        <v>PERCEPTION</v>
      </c>
      <c r="E774" s="228" t="str">
        <f t="shared" si="9"/>
        <v>PERCEPTION</v>
      </c>
      <c r="F774" s="230" t="str">
        <f t="array" ref="F774:F775">{"PERCEPTIONINITIAL";((IF(H775=10,"T",(IF(H775=50,"E","")))))}</f>
        <v>PERCEPTIONINITIAL</v>
      </c>
      <c r="G774" s="230" t="str">
        <f t="array" ref="G774:G775">{"PERCEPTIONINITIALPTS";((IF("00"=(INDEX(ALLCLASSDATA,MATCH("PerceptionLegendary",CLASSFEATUREHEADERS,0),MATCH($A775,CLASSNAMEHEADERS,0))),(INDEX(ALLCLASSDATA,MATCH("PerceptionLegendary",CLASSFEATUREHEADERS,0),MATCH(($A775 &amp; "Points"),CLASSNAMEHEADERS,0))),(IF("00"=(INDEX(ALLCLASSDATA,MATCH("PerceptionMaster",CLASSFEATUREHEADERS,0),MATCH($A775,CLASSNAMEHEADERS,0))),(INDEX(ALLCLASSDATA,MATCH("PerceptionMaster",CLASSFEATUREHEADERS,0),MATCH(($A775 &amp; "Points"),CLASSNAMEHEADERS,0))),(IF("00"=(INDEX(ALLCLASSDATA,MATCH("PerceptionExpert",CLASSFEATUREHEADERS,0),MATCH($A775,CLASSNAMEHEADERS,0))),(INDEX(ALLCLASSDATA,MATCH("PerceptionExpert",CLASSFEATUREHEADERS,0),MATCH(($A775 &amp; "Points"),CLASSNAMEHEADERS,0))),(IF("00"=(INDEX(ALLCLASSDATA,MATCH("PerceptionTrained",CLASSFEATUREHEADERS,0),MATCH($A775,CLASSNAMEHEADERS,0))),(INDEX(ALLCLASSDATA,MATCH("PerceptionTrained",CLASSFEATUREHEADERS,0),MATCH(($A775 &amp; "Points"),CLASSNAMEHEADERS,0))),"")))))))))}</f>
        <v>PERCEPTIONINITIALPTS</v>
      </c>
      <c r="H774" s="230" t="str">
        <f t="array" ref="H774:H775">{"PERCEPTIONL01";((IF("01"=(INDEX(ALLCLASSDATA,MATCH("PerceptionLegendary",CLASSFEATUREHEADERS,0),MATCH($A775,CLASSNAMEHEADERS,0))),(INDEX(ALLCLASSDATA,MATCH("PerceptionLegendary",CLASSFEATUREHEADERS,0),MATCH(($A775 &amp; "Points"),CLASSNAMEHEADERS,0))),(IF("01"=(INDEX(ALLCLASSDATA,MATCH("PerceptionMaster",CLASSFEATUREHEADERS,0),MATCH($A775,CLASSNAMEHEADERS,0))),(INDEX(ALLCLASSDATA,MATCH("PerceptionMaster",CLASSFEATUREHEADERS,0),MATCH(($A775 &amp; "Points"),CLASSNAMEHEADERS,0))),(IF("01"=(INDEX(ALLCLASSDATA,MATCH("PerceptionExpert",CLASSFEATUREHEADERS,0),MATCH($A775,CLASSNAMEHEADERS,0))),(INDEX(ALLCLASSDATA,MATCH("PerceptionExpert",CLASSFEATUREHEADERS,0),MATCH(($A775 &amp; "Points"),CLASSNAMEHEADERS,0))),(IF("01"=(INDEX(ALLCLASSDATA,MATCH("PerceptionTrained",CLASSFEATUREHEADERS,0),MATCH($A775,CLASSNAMEHEADERS,0))),(INDEX(ALLCLASSDATA,MATCH("PerceptionTrained",CLASSFEATUREHEADERS,0),MATCH(($A775 &amp; "Points"),CLASSNAMEHEADERS,0))),"")))))))))}</f>
        <v>PERCEPTIONL01</v>
      </c>
      <c r="I774" s="230"/>
      <c r="J774" s="230" t="str">
        <f t="array" ref="J774:J775">{"PERCEPTIONL03";((IF("03"=(INDEX(ALLCLASSDATA,MATCH("PerceptionLegendary",CLASSFEATUREHEADERS,0),MATCH($A775,CLASSNAMEHEADERS,0))),(INDEX(ALLCLASSDATA,MATCH("PerceptionLegendary",CLASSFEATUREHEADERS,0),MATCH(($A775 &amp; "Points"),CLASSNAMEHEADERS,0))),(IF("03"=(INDEX(ALLCLASSDATA,MATCH("PerceptionMaster",CLASSFEATUREHEADERS,0),MATCH($A775,CLASSNAMEHEADERS,0))),(INDEX(ALLCLASSDATA,MATCH("PerceptionMaster",CLASSFEATUREHEADERS,0),MATCH(($A775 &amp; "Points"),CLASSNAMEHEADERS,0))),(IF("03"=(INDEX(ALLCLASSDATA,MATCH("PerceptionExpert",CLASSFEATUREHEADERS,0),MATCH($A775,CLASSNAMEHEADERS,0))),(INDEX(ALLCLASSDATA,MATCH("PerceptionExpert",CLASSFEATUREHEADERS,0),MATCH(($A775 &amp; "Points"),CLASSNAMEHEADERS,0))),(IF("03"=(INDEX(ALLCLASSDATA,MATCH("PerceptionTrained",CLASSFEATUREHEADERS,0),MATCH($A775,CLASSNAMEHEADERS,0))),(INDEX(ALLCLASSDATA,MATCH("PerceptionTrained",CLASSFEATUREHEADERS,0),MATCH(($A775 &amp; "Points"),CLASSNAMEHEADERS,0))),"")))))))))}</f>
        <v>PERCEPTIONL03</v>
      </c>
      <c r="K774" s="230"/>
      <c r="L774" s="230" t="str">
        <f t="array" ref="L774:L775">{"PERCEPTIONL05";((IF("05"=(INDEX(ALLCLASSDATA,MATCH("PerceptionLegendary",CLASSFEATUREHEADERS,0),MATCH($A775,CLASSNAMEHEADERS,0))),(INDEX(ALLCLASSDATA,MATCH("PerceptionLegendary",CLASSFEATUREHEADERS,0),MATCH(($A775 &amp; "Points"),CLASSNAMEHEADERS,0))),(IF("05"=(INDEX(ALLCLASSDATA,MATCH("PerceptionMaster",CLASSFEATUREHEADERS,0),MATCH($A775,CLASSNAMEHEADERS,0))),(INDEX(ALLCLASSDATA,MATCH("PerceptionMaster",CLASSFEATUREHEADERS,0),MATCH(($A775 &amp; "Points"),CLASSNAMEHEADERS,0))),(IF("05"=(INDEX(ALLCLASSDATA,MATCH("PerceptionExpert",CLASSFEATUREHEADERS,0),MATCH($A775,CLASSNAMEHEADERS,0))),(INDEX(ALLCLASSDATA,MATCH("PerceptionExpert",CLASSFEATUREHEADERS,0),MATCH(($A775 &amp; "Points"),CLASSNAMEHEADERS,0))),(IF("05"=(INDEX(ALLCLASSDATA,MATCH("PerceptionTrained",CLASSFEATUREHEADERS,0),MATCH($A775,CLASSNAMEHEADERS,0))),(INDEX(ALLCLASSDATA,MATCH("PerceptionTrained",CLASSFEATUREHEADERS,0),MATCH(($A775 &amp; "Points"),CLASSNAMEHEADERS,0))),"")))))))))}</f>
        <v>PERCEPTIONL05</v>
      </c>
      <c r="M774" s="230"/>
      <c r="N774" s="230" t="str">
        <f t="array" ref="N774:N775">{"PERCEPTIONL07";((IF("07"=(INDEX(ALLCLASSDATA,MATCH("PerceptionLegendary",CLASSFEATUREHEADERS,0),MATCH($A775,CLASSNAMEHEADERS,0))),(INDEX(ALLCLASSDATA,MATCH("PerceptionLegendary",CLASSFEATUREHEADERS,0),MATCH(($A775 &amp; "Points"),CLASSNAMEHEADERS,0))),(IF("07"=(INDEX(ALLCLASSDATA,MATCH("PerceptionMaster",CLASSFEATUREHEADERS,0),MATCH($A775,CLASSNAMEHEADERS,0))),(INDEX(ALLCLASSDATA,MATCH("PerceptionMaster",CLASSFEATUREHEADERS,0),MATCH(($A775 &amp; "Points"),CLASSNAMEHEADERS,0))),(IF("07"=(INDEX(ALLCLASSDATA,MATCH("PerceptionExpert",CLASSFEATUREHEADERS,0),MATCH($A775,CLASSNAMEHEADERS,0))),(INDEX(ALLCLASSDATA,MATCH("PerceptionExpert",CLASSFEATUREHEADERS,0),MATCH(($A775 &amp; "Points"),CLASSNAMEHEADERS,0))),(IF("07"=(INDEX(ALLCLASSDATA,MATCH("PerceptionTrained",CLASSFEATUREHEADERS,0),MATCH($A775,CLASSNAMEHEADERS,0))),(INDEX(ALLCLASSDATA,MATCH("PerceptionTrained",CLASSFEATUREHEADERS,0),MATCH(($A775 &amp; "Points"),CLASSNAMEHEADERS,0))),"")))))))))}</f>
        <v>PERCEPTIONL07</v>
      </c>
      <c r="O774" s="230"/>
      <c r="P774" s="230" t="str">
        <f t="array" ref="P774:P775">{"PERCEPTIONL09";((IF("09"=(INDEX(ALLCLASSDATA,MATCH("PerceptionLegendary",CLASSFEATUREHEADERS,0),MATCH($A775,CLASSNAMEHEADERS,0))),(INDEX(ALLCLASSDATA,MATCH("PerceptionLegendary",CLASSFEATUREHEADERS,0),MATCH(($A775 &amp; "Points"),CLASSNAMEHEADERS,0))),(IF("09"=(INDEX(ALLCLASSDATA,MATCH("PerceptionMaster",CLASSFEATUREHEADERS,0),MATCH($A775,CLASSNAMEHEADERS,0))),(INDEX(ALLCLASSDATA,MATCH("PerceptionMaster",CLASSFEATUREHEADERS,0),MATCH(($A775 &amp; "Points"),CLASSNAMEHEADERS,0))),(IF("09"=(INDEX(ALLCLASSDATA,MATCH("PerceptionExpert",CLASSFEATUREHEADERS,0),MATCH($A775,CLASSNAMEHEADERS,0))),(INDEX(ALLCLASSDATA,MATCH("PerceptionExpert",CLASSFEATUREHEADERS,0),MATCH(($A775 &amp; "Points"),CLASSNAMEHEADERS,0))),(IF("09"=(INDEX(ALLCLASSDATA,MATCH("PerceptionTrained",CLASSFEATUREHEADERS,0),MATCH($A775,CLASSNAMEHEADERS,0))),(INDEX(ALLCLASSDATA,MATCH("PerceptionTrained",CLASSFEATUREHEADERS,0),MATCH(($A775 &amp; "Points"),CLASSNAMEHEADERS,0))),"")))))))))}</f>
        <v>PERCEPTIONL09</v>
      </c>
      <c r="Q774" s="230"/>
      <c r="R774" s="230" t="str">
        <f t="array" ref="R774:R775">{"PERCEPTIONL11";((IF("11"=(INDEX(ALLCLASSDATA,MATCH("PerceptionLegendary",CLASSFEATUREHEADERS,0),MATCH($A775,CLASSNAMEHEADERS,0))),(INDEX(ALLCLASSDATA,MATCH("PerceptionLegendary",CLASSFEATUREHEADERS,0),MATCH(($A775 &amp; "Points"),CLASSNAMEHEADERS,0))),(IF("11"=(INDEX(ALLCLASSDATA,MATCH("PerceptionMaster",CLASSFEATUREHEADERS,0),MATCH($A775,CLASSNAMEHEADERS,0))),(INDEX(ALLCLASSDATA,MATCH("PerceptionMaster",CLASSFEATUREHEADERS,0),MATCH(($A775 &amp; "Points"),CLASSNAMEHEADERS,0))),(IF("11"=(INDEX(ALLCLASSDATA,MATCH("PerceptionExpert",CLASSFEATUREHEADERS,0),MATCH($A775,CLASSNAMEHEADERS,0))),(INDEX(ALLCLASSDATA,MATCH("PerceptionExpert",CLASSFEATUREHEADERS,0),MATCH(($A775 &amp; "Points"),CLASSNAMEHEADERS,0))),(IF("11"=(INDEX(ALLCLASSDATA,MATCH("PerceptionTrained",CLASSFEATUREHEADERS,0),MATCH($A775,CLASSNAMEHEADERS,0))),(INDEX(ALLCLASSDATA,MATCH("PerceptionTrained",CLASSFEATUREHEADERS,0),MATCH(($A775 &amp; "Points"),CLASSNAMEHEADERS,0))),"")))))))))}</f>
        <v>PERCEPTIONL11</v>
      </c>
      <c r="S774" s="230"/>
      <c r="T774" s="230" t="str">
        <f t="array" ref="T774:T775">{"PERCEPTIONL13";((IF("13"=(INDEX(ALLCLASSDATA,MATCH("PerceptionLegendary",CLASSFEATUREHEADERS,0),MATCH($A775,CLASSNAMEHEADERS,0))),(INDEX(ALLCLASSDATA,MATCH("PerceptionLegendary",CLASSFEATUREHEADERS,0),MATCH(($A775 &amp; "Points"),CLASSNAMEHEADERS,0))),(IF("13"=(INDEX(ALLCLASSDATA,MATCH("PerceptionMaster",CLASSFEATUREHEADERS,0),MATCH($A775,CLASSNAMEHEADERS,0))),(INDEX(ALLCLASSDATA,MATCH("PerceptionMaster",CLASSFEATUREHEADERS,0),MATCH(($A775 &amp; "Points"),CLASSNAMEHEADERS,0))),(IF("13"=(INDEX(ALLCLASSDATA,MATCH("PerceptionExpert",CLASSFEATUREHEADERS,0),MATCH($A775,CLASSNAMEHEADERS,0))),(INDEX(ALLCLASSDATA,MATCH("PerceptionExpert",CLASSFEATUREHEADERS,0),MATCH(($A775 &amp; "Points"),CLASSNAMEHEADERS,0))),(IF("13"=(INDEX(ALLCLASSDATA,MATCH("PerceptionTrained",CLASSFEATUREHEADERS,0),MATCH($A775,CLASSNAMEHEADERS,0))),(INDEX(ALLCLASSDATA,MATCH("PerceptionTrained",CLASSFEATUREHEADERS,0),MATCH(($A775 &amp; "Points"),CLASSNAMEHEADERS,0))),"")))))))))}</f>
        <v>PERCEPTIONL13</v>
      </c>
      <c r="U774" s="230"/>
      <c r="V774" s="230" t="str">
        <f t="array" ref="V774:V775">{"PERCEPTIONL15";((IF("15"=(INDEX(ALLCLASSDATA,MATCH("PerceptionLegendary",CLASSFEATUREHEADERS,0),MATCH($A775,CLASSNAMEHEADERS,0))),(INDEX(ALLCLASSDATA,MATCH("PerceptionLegendary",CLASSFEATUREHEADERS,0),MATCH(($A775 &amp; "Points"),CLASSNAMEHEADERS,0))),(IF("15"=(INDEX(ALLCLASSDATA,MATCH("PerceptionMaster",CLASSFEATUREHEADERS,0),MATCH($A775,CLASSNAMEHEADERS,0))),(INDEX(ALLCLASSDATA,MATCH("PerceptionMaster",CLASSFEATUREHEADERS,0),MATCH(($A775 &amp; "Points"),CLASSNAMEHEADERS,0))),(IF("15"=(INDEX(ALLCLASSDATA,MATCH("PerceptionExpert",CLASSFEATUREHEADERS,0),MATCH($A775,CLASSNAMEHEADERS,0))),(INDEX(ALLCLASSDATA,MATCH("PerceptionExpert",CLASSFEATUREHEADERS,0),MATCH(($A775 &amp; "Points"),CLASSNAMEHEADERS,0))),(IF("15"=(INDEX(ALLCLASSDATA,MATCH("PerceptionTrained",CLASSFEATUREHEADERS,0),MATCH($A775,CLASSNAMEHEADERS,0))),(INDEX(ALLCLASSDATA,MATCH("PerceptionTrained",CLASSFEATUREHEADERS,0),MATCH(($A775 &amp; "Points"),CLASSNAMEHEADERS,0))),"")))))))))}</f>
        <v>PERCEPTIONL15</v>
      </c>
      <c r="W774" s="230"/>
      <c r="X774" s="230" t="str">
        <f t="array" ref="X774:X775">{"PERCEPTIONL17";((IF("17"=(INDEX(ALLCLASSDATA,MATCH("PerceptionLegendary",CLASSFEATUREHEADERS,0),MATCH($A775,CLASSNAMEHEADERS,0))),(INDEX(ALLCLASSDATA,MATCH("PerceptionLegendary",CLASSFEATUREHEADERS,0),MATCH(($A775 &amp; "Points"),CLASSNAMEHEADERS,0))),(IF("17"=(INDEX(ALLCLASSDATA,MATCH("PerceptionMaster",CLASSFEATUREHEADERS,0),MATCH($A775,CLASSNAMEHEADERS,0))),(INDEX(ALLCLASSDATA,MATCH("PerceptionMaster",CLASSFEATUREHEADERS,0),MATCH(($A775 &amp; "Points"),CLASSNAMEHEADERS,0))),(IF("17"=(INDEX(ALLCLASSDATA,MATCH("PerceptionExpert",CLASSFEATUREHEADERS,0),MATCH($A775,CLASSNAMEHEADERS,0))),(INDEX(ALLCLASSDATA,MATCH("PerceptionExpert",CLASSFEATUREHEADERS,0),MATCH(($A775 &amp; "Points"),CLASSNAMEHEADERS,0))),(IF("17"=(INDEX(ALLCLASSDATA,MATCH("PerceptionTrained",CLASSFEATUREHEADERS,0),MATCH($A775,CLASSNAMEHEADERS,0))),(INDEX(ALLCLASSDATA,MATCH("PerceptionTrained",CLASSFEATUREHEADERS,0),MATCH(($A775 &amp; "Points"),CLASSNAMEHEADERS,0))),"")))))))))}</f>
        <v>PERCEPTIONL17</v>
      </c>
      <c r="Y774" s="230"/>
      <c r="Z774" s="230" t="str">
        <f t="array" ref="Z774:Z775">{"PERCEPTIONL19";((IF("19"=(INDEX(ALLCLASSDATA,MATCH("PerceptionLegendary",CLASSFEATUREHEADERS,0),MATCH($A775,CLASSNAMEHEADERS,0))),(INDEX(ALLCLASSDATA,MATCH("PerceptionLegendary",CLASSFEATUREHEADERS,0),MATCH(($A775 &amp; "Points"),CLASSNAMEHEADERS,0))),(IF("19"=(INDEX(ALLCLASSDATA,MATCH("PerceptionMaster",CLASSFEATUREHEADERS,0),MATCH($A775,CLASSNAMEHEADERS,0))),(INDEX(ALLCLASSDATA,MATCH("PerceptionMaster",CLASSFEATUREHEADERS,0),MATCH(($A775 &amp; "Points"),CLASSNAMEHEADERS,0))),(IF("19"=(INDEX(ALLCLASSDATA,MATCH("PerceptionExpert",CLASSFEATUREHEADERS,0),MATCH($A775,CLASSNAMEHEADERS,0))),(INDEX(ALLCLASSDATA,MATCH("PerceptionExpert",CLASSFEATUREHEADERS,0),MATCH(($A775 &amp; "Points"),CLASSNAMEHEADERS,0))),(IF("19"=(INDEX(ALLCLASSDATA,MATCH("PerceptionTrained",CLASSFEATUREHEADERS,0),MATCH($A775,CLASSNAMEHEADERS,0))),(INDEX(ALLCLASSDATA,MATCH("PerceptionTrained",CLASSFEATUREHEADERS,0),MATCH(($A775 &amp; "Points"),CLASSNAMEHEADERS,0))),"")))))))))}</f>
        <v>PERCEPTIONL19</v>
      </c>
      <c r="AA774" s="230"/>
      <c r="AB774" s="76" t="str">
        <f t="array" ref="AB774:AB775">{"PERCEPTION TOTAL";(IF(COUNTBLANK(G775:AA775)=17,"L",(IF(COUNTBLANK(G775:AA775)=18,"M",(IF(COUNTBLANK(G775:AA775)=19,"E",(IF(COUNTBLANK(G775:AA775)=20,"T",""))))))))}</f>
        <v>PERCEPTION TOTAL</v>
      </c>
      <c r="AC774" s="76" t="str">
        <f t="array" ref="AC774:AC775">{"PERCEPTION TOTAL";(sum(G775:AA775))}</f>
        <v>PERCEPTION TOTAL</v>
      </c>
    </row>
    <row r="775">
      <c r="A775" s="48" t="s">
        <v>176</v>
      </c>
      <c r="B775" s="48"/>
      <c r="C775" s="48" t="s">
        <v>415</v>
      </c>
      <c r="D775" s="97" t="s">
        <v>637</v>
      </c>
      <c r="E775" s="97" t="s">
        <v>637</v>
      </c>
      <c r="F775" s="98" t="s">
        <v>436</v>
      </c>
      <c r="G775" s="132">
        <v>10.0</v>
      </c>
      <c r="H775" s="98">
        <v>50.0</v>
      </c>
      <c r="I775" s="98"/>
      <c r="J775" s="98" t="s">
        <v>603</v>
      </c>
      <c r="K775" s="98"/>
      <c r="L775" s="98" t="s">
        <v>603</v>
      </c>
      <c r="M775" s="98"/>
      <c r="N775" s="98" t="s">
        <v>603</v>
      </c>
      <c r="O775" s="98"/>
      <c r="P775" s="98" t="s">
        <v>603</v>
      </c>
      <c r="Q775" s="98"/>
      <c r="R775" s="98">
        <v>110.0</v>
      </c>
      <c r="S775" s="98"/>
      <c r="T775" s="98" t="s">
        <v>603</v>
      </c>
      <c r="U775" s="98"/>
      <c r="V775" s="98" t="s">
        <v>603</v>
      </c>
      <c r="W775" s="98"/>
      <c r="X775" s="98" t="s">
        <v>603</v>
      </c>
      <c r="Y775" s="98"/>
      <c r="Z775" s="98" t="s">
        <v>603</v>
      </c>
      <c r="AA775" s="98"/>
      <c r="AB775" s="5" t="s">
        <v>437</v>
      </c>
      <c r="AC775" s="47">
        <v>170.0</v>
      </c>
    </row>
    <row r="776" hidden="1">
      <c r="A776" s="222" t="str">
        <f t="array" ref="A776:A777">{"FormulaRow23";(INDEX(CLASSLIST,A731,1))}</f>
        <v>FormulaRow23</v>
      </c>
      <c r="B776" s="77" t="s">
        <v>236</v>
      </c>
      <c r="C776" s="222" t="str">
        <f t="array" ref="C776:C777">{"CLASSTYPE";((INDEX(ALLCLASSDATA,MATCH("ClassType",CLASSFEATUREHEADERS,0),MATCH($A777,CLASSNAMEHEADERS,0))))}</f>
        <v>CLASSTYPE</v>
      </c>
      <c r="D776" s="228" t="str">
        <f t="array" ref="D776:D777">{"SAVES";"Saves"}</f>
        <v>SAVES</v>
      </c>
      <c r="E776" s="228" t="str">
        <f t="array" ref="E776:E777">{"FORTITUDESAVE";"FortitudeSave"}</f>
        <v>FORTITUDESAVE</v>
      </c>
      <c r="F776" s="230" t="str">
        <f t="array" ref="F776:F777">{"FORTITUDEINITIAL";((IF(H777=10,"T",(IF(H777=50,"E","")))))}</f>
        <v>FORTITUDEINITIAL</v>
      </c>
      <c r="G776" s="230" t="str">
        <f t="array" ref="G776:G777">{"FORTITUDEINITIALPTS";((IF("00"=(INDEX(ALLCLASSDATA,MATCH("FortitudeSaveLegendary",CLASSFEATUREHEADERS,0),MATCH($A777,CLASSNAMEHEADERS,0))),(INDEX(ALLCLASSDATA,MATCH("FortitudeSaveLegendary",CLASSFEATUREHEADERS,0),MATCH(($A777 &amp; "Points"),CLASSNAMEHEADERS,0))),(IF("00"=(INDEX(ALLCLASSDATA,MATCH("FortitudeSaveMaster",CLASSFEATUREHEADERS,0),MATCH($A777,CLASSNAMEHEADERS,0))),(INDEX(ALLCLASSDATA,MATCH("FortitudeSaveMaster",CLASSFEATUREHEADERS,0),MATCH(($A777 &amp; "Points"),CLASSNAMEHEADERS,0))),(IF("00"=(INDEX(ALLCLASSDATA,MATCH("FortitudeSaveExpert",CLASSFEATUREHEADERS,0),MATCH($A777,CLASSNAMEHEADERS,0))),(INDEX(ALLCLASSDATA,MATCH("FortitudeSaveExpert",CLASSFEATUREHEADERS,0),MATCH(($A777 &amp; "Points"),CLASSNAMEHEADERS,0))),(IF("00"=(INDEX(ALLCLASSDATA,MATCH("FortitudeSaveTrained",CLASSFEATUREHEADERS,0),MATCH($A777,CLASSNAMEHEADERS,0))),(INDEX(ALLCLASSDATA,MATCH("FortitudeSaveTrained",CLASSFEATUREHEADERS,0),MATCH(($A777 &amp; "Points"),CLASSNAMEHEADERS,0))),"")))))))))}</f>
        <v>FORTITUDEINITIALPTS</v>
      </c>
      <c r="H776" s="230" t="str">
        <f t="array" ref="H776:H777">{"FORTITUDEL01";((IF("01"=(INDEX(ALLCLASSDATA,MATCH("FortitudeSaveLegendary",CLASSFEATUREHEADERS,0),MATCH($A777,CLASSNAMEHEADERS,0))),(INDEX(ALLCLASSDATA,MATCH("FortitudeSaveLegendary",CLASSFEATUREHEADERS,0),MATCH(($A777 &amp; "Points"),CLASSNAMEHEADERS,0))),(IF("01"=(INDEX(ALLCLASSDATA,MATCH("FortitudeSaveMaster",CLASSFEATUREHEADERS,0),MATCH($A777,CLASSNAMEHEADERS,0))),(INDEX(ALLCLASSDATA,MATCH("FortitudeSaveMaster",CLASSFEATUREHEADERS,0),MATCH(($A777 &amp; "Points"),CLASSNAMEHEADERS,0))),(IF("01"=(INDEX(ALLCLASSDATA,MATCH("FortitudeSaveExpert",CLASSFEATUREHEADERS,0),MATCH($A777,CLASSNAMEHEADERS,0))),(INDEX(ALLCLASSDATA,MATCH("FortitudeSaveExpert",CLASSFEATUREHEADERS,0),MATCH(($A777 &amp; "Points"),CLASSNAMEHEADERS,0))),(IF("01"=(INDEX(ALLCLASSDATA,MATCH("FortitudeSaveTrained",CLASSFEATUREHEADERS,0),MATCH($A777,CLASSNAMEHEADERS,0))),(INDEX(ALLCLASSDATA,MATCH("FortitudeSaveTrained",CLASSFEATUREHEADERS,0),MATCH(($A777 &amp; "Points"),CLASSNAMEHEADERS,0))),"")))))))))}</f>
        <v>FORTITUDEL01</v>
      </c>
      <c r="I776" s="230"/>
      <c r="J776" s="230" t="str">
        <f t="array" ref="J776:J777">{"FORTITUDEL03";((IF("03"=(INDEX(ALLCLASSDATA,MATCH("FortitudeSaveLegendary",CLASSFEATUREHEADERS,0),MATCH($A777,CLASSNAMEHEADERS,0))),(INDEX(ALLCLASSDATA,MATCH("FortitudeSaveLegendary",CLASSFEATUREHEADERS,0),MATCH(($A777 &amp; "Points"),CLASSNAMEHEADERS,0))),(IF("03"=(INDEX(ALLCLASSDATA,MATCH("FortitudeSaveMaster",CLASSFEATUREHEADERS,0),MATCH($A777,CLASSNAMEHEADERS,0))),(INDEX(ALLCLASSDATA,MATCH("FortitudeSaveMaster",CLASSFEATUREHEADERS,0),MATCH(($A777 &amp; "Points"),CLASSNAMEHEADERS,0))),(IF("03"=(INDEX(ALLCLASSDATA,MATCH("FortitudeSaveExpert",CLASSFEATUREHEADERS,0),MATCH($A777,CLASSNAMEHEADERS,0))),(INDEX(ALLCLASSDATA,MATCH("FortitudeSaveExpert",CLASSFEATUREHEADERS,0),MATCH(($A777 &amp; "Points"),CLASSNAMEHEADERS,0))),(IF("03"=(INDEX(ALLCLASSDATA,MATCH("FortitudeSaveTrained",CLASSFEATUREHEADERS,0),MATCH($A777,CLASSNAMEHEADERS,0))),(INDEX(ALLCLASSDATA,MATCH("FortitudeSaveTrained",CLASSFEATUREHEADERS,0),MATCH(($A777 &amp; "Points"),CLASSNAMEHEADERS,0))),"")))))))))}</f>
        <v>FORTITUDEL03</v>
      </c>
      <c r="K776" s="230"/>
      <c r="L776" s="230" t="str">
        <f t="array" ref="L776:L777">{"FORTITUDEL05";((IF("05"=(INDEX(ALLCLASSDATA,MATCH("FortitudeSaveLegendary",CLASSFEATUREHEADERS,0),MATCH($A777,CLASSNAMEHEADERS,0))),(INDEX(ALLCLASSDATA,MATCH("FortitudeSaveLegendary",CLASSFEATUREHEADERS,0),MATCH(($A777 &amp; "Points"),CLASSNAMEHEADERS,0))),(IF("05"=(INDEX(ALLCLASSDATA,MATCH("FortitudeSaveMaster",CLASSFEATUREHEADERS,0),MATCH($A777,CLASSNAMEHEADERS,0))),(INDEX(ALLCLASSDATA,MATCH("FortitudeSaveMaster",CLASSFEATUREHEADERS,0),MATCH(($A777 &amp; "Points"),CLASSNAMEHEADERS,0))),(IF("05"=(INDEX(ALLCLASSDATA,MATCH("FortitudeSaveExpert",CLASSFEATUREHEADERS,0),MATCH($A777,CLASSNAMEHEADERS,0))),(INDEX(ALLCLASSDATA,MATCH("FortitudeSaveExpert",CLASSFEATUREHEADERS,0),MATCH(($A777 &amp; "Points"),CLASSNAMEHEADERS,0))),(IF("05"=(INDEX(ALLCLASSDATA,MATCH("FortitudeSaveTrained",CLASSFEATUREHEADERS,0),MATCH($A777,CLASSNAMEHEADERS,0))),(INDEX(ALLCLASSDATA,MATCH("FortitudeSaveTrained",CLASSFEATUREHEADERS,0),MATCH(($A777 &amp; "Points"),CLASSNAMEHEADERS,0))),"")))))))))}</f>
        <v>FORTITUDEL05</v>
      </c>
      <c r="M776" s="230"/>
      <c r="N776" s="230" t="str">
        <f t="array" ref="N776:N777">{"FORTITUDEL07";((IF("07"=(INDEX(ALLCLASSDATA,MATCH("FortitudeSaveLegendary",CLASSFEATUREHEADERS,0),MATCH($A777,CLASSNAMEHEADERS,0))),(INDEX(ALLCLASSDATA,MATCH("FortitudeSaveLegendary",CLASSFEATUREHEADERS,0),MATCH(($A777 &amp; "Points"),CLASSNAMEHEADERS,0))),(IF("07"=(INDEX(ALLCLASSDATA,MATCH("FortitudeSaveMaster",CLASSFEATUREHEADERS,0),MATCH($A777,CLASSNAMEHEADERS,0))),(INDEX(ALLCLASSDATA,MATCH("FortitudeSaveMaster",CLASSFEATUREHEADERS,0),MATCH(($A777 &amp; "Points"),CLASSNAMEHEADERS,0))),(IF("07"=(INDEX(ALLCLASSDATA,MATCH("FortitudeSaveExpert",CLASSFEATUREHEADERS,0),MATCH($A777,CLASSNAMEHEADERS,0))),(INDEX(ALLCLASSDATA,MATCH("FortitudeSaveExpert",CLASSFEATUREHEADERS,0),MATCH(($A777 &amp; "Points"),CLASSNAMEHEADERS,0))),(IF("07"=(INDEX(ALLCLASSDATA,MATCH("FortitudeSaveTrained",CLASSFEATUREHEADERS,0),MATCH($A777,CLASSNAMEHEADERS,0))),(INDEX(ALLCLASSDATA,MATCH("FortitudeSaveTrained",CLASSFEATUREHEADERS,0),MATCH(($A777 &amp; "Points"),CLASSNAMEHEADERS,0))),"")))))))))}</f>
        <v>FORTITUDEL07</v>
      </c>
      <c r="O776" s="230"/>
      <c r="P776" s="230" t="str">
        <f t="array" ref="P776:P777">{"FORTITUDEL09";((IF("09"=(INDEX(ALLCLASSDATA,MATCH("FortitudeSaveLegendary",CLASSFEATUREHEADERS,0),MATCH($A777,CLASSNAMEHEADERS,0))),(INDEX(ALLCLASSDATA,MATCH("FortitudeSaveLegendary",CLASSFEATUREHEADERS,0),MATCH(($A777 &amp; "Points"),CLASSNAMEHEADERS,0))),(IF("09"=(INDEX(ALLCLASSDATA,MATCH("FortitudeSaveMaster",CLASSFEATUREHEADERS,0),MATCH($A777,CLASSNAMEHEADERS,0))),(INDEX(ALLCLASSDATA,MATCH("FortitudeSaveMaster",CLASSFEATUREHEADERS,0),MATCH(($A777 &amp; "Points"),CLASSNAMEHEADERS,0))),(IF("09"=(INDEX(ALLCLASSDATA,MATCH("FortitudeSaveExpert",CLASSFEATUREHEADERS,0),MATCH($A777,CLASSNAMEHEADERS,0))),(INDEX(ALLCLASSDATA,MATCH("FortitudeSaveExpert",CLASSFEATUREHEADERS,0),MATCH(($A777 &amp; "Points"),CLASSNAMEHEADERS,0))),(IF("09"=(INDEX(ALLCLASSDATA,MATCH("FortitudeSaveTrained",CLASSFEATUREHEADERS,0),MATCH($A777,CLASSNAMEHEADERS,0))),(INDEX(ALLCLASSDATA,MATCH("FortitudeSaveTrained",CLASSFEATUREHEADERS,0),MATCH(($A777 &amp; "Points"),CLASSNAMEHEADERS,0))),"")))))))))}</f>
        <v>FORTITUDEL09</v>
      </c>
      <c r="Q776" s="230"/>
      <c r="R776" s="230" t="str">
        <f t="array" ref="R776:R777">{"FORTITUDEL11";((IF("11"=(INDEX(ALLCLASSDATA,MATCH("FortitudeSaveLegendary",CLASSFEATUREHEADERS,0),MATCH($A777,CLASSNAMEHEADERS,0))),(INDEX(ALLCLASSDATA,MATCH("FortitudeSaveLegendary",CLASSFEATUREHEADERS,0),MATCH(($A777 &amp; "Points"),CLASSNAMEHEADERS,0))),(IF("11"=(INDEX(ALLCLASSDATA,MATCH("FortitudeSaveMaster",CLASSFEATUREHEADERS,0),MATCH($A777,CLASSNAMEHEADERS,0))),(INDEX(ALLCLASSDATA,MATCH("FortitudeSaveMaster",CLASSFEATUREHEADERS,0),MATCH(($A777 &amp; "Points"),CLASSNAMEHEADERS,0))),(IF("11"=(INDEX(ALLCLASSDATA,MATCH("FortitudeSaveExpert",CLASSFEATUREHEADERS,0),MATCH($A777,CLASSNAMEHEADERS,0))),(INDEX(ALLCLASSDATA,MATCH("FortitudeSaveExpert",CLASSFEATUREHEADERS,0),MATCH(($A777 &amp; "Points"),CLASSNAMEHEADERS,0))),(IF("11"=(INDEX(ALLCLASSDATA,MATCH("FortitudeSaveTrained",CLASSFEATUREHEADERS,0),MATCH($A777,CLASSNAMEHEADERS,0))),(INDEX(ALLCLASSDATA,MATCH("FortitudeSaveTrained",CLASSFEATUREHEADERS,0),MATCH(($A777 &amp; "Points"),CLASSNAMEHEADERS,0))),"")))))))))}</f>
        <v>FORTITUDEL11</v>
      </c>
      <c r="S776" s="230"/>
      <c r="T776" s="230" t="str">
        <f t="array" ref="T776:T777">{"FORTITUDEL13";((IF("13"=(INDEX(ALLCLASSDATA,MATCH("FortitudeSaveLegendary",CLASSFEATUREHEADERS,0),MATCH($A777,CLASSNAMEHEADERS,0))),(INDEX(ALLCLASSDATA,MATCH("FortitudeSaveLegendary",CLASSFEATUREHEADERS,0),MATCH(($A777 &amp; "Points"),CLASSNAMEHEADERS,0))),(IF("13"=(INDEX(ALLCLASSDATA,MATCH("FortitudeSaveMaster",CLASSFEATUREHEADERS,0),MATCH($A777,CLASSNAMEHEADERS,0))),(INDEX(ALLCLASSDATA,MATCH("FortitudeSaveMaster",CLASSFEATUREHEADERS,0),MATCH(($A777 &amp; "Points"),CLASSNAMEHEADERS,0))),(IF("13"=(INDEX(ALLCLASSDATA,MATCH("FortitudeSaveExpert",CLASSFEATUREHEADERS,0),MATCH($A777,CLASSNAMEHEADERS,0))),(INDEX(ALLCLASSDATA,MATCH("FortitudeSaveExpert",CLASSFEATUREHEADERS,0),MATCH(($A777 &amp; "Points"),CLASSNAMEHEADERS,0))),(IF("13"=(INDEX(ALLCLASSDATA,MATCH("FortitudeSaveTrained",CLASSFEATUREHEADERS,0),MATCH($A777,CLASSNAMEHEADERS,0))),(INDEX(ALLCLASSDATA,MATCH("FortitudeSaveTrained",CLASSFEATUREHEADERS,0),MATCH(($A777 &amp; "Points"),CLASSNAMEHEADERS,0))),"")))))))))}</f>
        <v>FORTITUDEL13</v>
      </c>
      <c r="U776" s="230"/>
      <c r="V776" s="230" t="str">
        <f t="array" ref="V776:V777">{"FORTITUDEL15";((IF("15"=(INDEX(ALLCLASSDATA,MATCH("FortitudeSaveLegendary",CLASSFEATUREHEADERS,0),MATCH($A777,CLASSNAMEHEADERS,0))),(INDEX(ALLCLASSDATA,MATCH("FortitudeSaveLegendary",CLASSFEATUREHEADERS,0),MATCH(($A777 &amp; "Points"),CLASSNAMEHEADERS,0))),(IF("15"=(INDEX(ALLCLASSDATA,MATCH("FortitudeSaveMaster",CLASSFEATUREHEADERS,0),MATCH($A777,CLASSNAMEHEADERS,0))),(INDEX(ALLCLASSDATA,MATCH("FortitudeSaveMaster",CLASSFEATUREHEADERS,0),MATCH(($A777 &amp; "Points"),CLASSNAMEHEADERS,0))),(IF("15"=(INDEX(ALLCLASSDATA,MATCH("FortitudeSaveExpert",CLASSFEATUREHEADERS,0),MATCH($A777,CLASSNAMEHEADERS,0))),(INDEX(ALLCLASSDATA,MATCH("FortitudeSaveExpert",CLASSFEATUREHEADERS,0),MATCH(($A777 &amp; "Points"),CLASSNAMEHEADERS,0))),(IF("15"=(INDEX(ALLCLASSDATA,MATCH("FortitudeSaveTrained",CLASSFEATUREHEADERS,0),MATCH($A777,CLASSNAMEHEADERS,0))),(INDEX(ALLCLASSDATA,MATCH("FortitudeSaveTrained",CLASSFEATUREHEADERS,0),MATCH(($A777 &amp; "Points"),CLASSNAMEHEADERS,0))),"")))))))))}</f>
        <v>FORTITUDEL15</v>
      </c>
      <c r="W776" s="230"/>
      <c r="X776" s="230" t="str">
        <f t="array" ref="X776:X777">{"FORTITUDEL17";((IF("17"=(INDEX(ALLCLASSDATA,MATCH("FortitudeSaveLegendary",CLASSFEATUREHEADERS,0),MATCH($A777,CLASSNAMEHEADERS,0))),(INDEX(ALLCLASSDATA,MATCH("FortitudeSaveLegendary",CLASSFEATUREHEADERS,0),MATCH(($A777 &amp; "Points"),CLASSNAMEHEADERS,0))),(IF("17"=(INDEX(ALLCLASSDATA,MATCH("FortitudeSaveMaster",CLASSFEATUREHEADERS,0),MATCH($A777,CLASSNAMEHEADERS,0))),(INDEX(ALLCLASSDATA,MATCH("FortitudeSaveMaster",CLASSFEATUREHEADERS,0),MATCH(($A777 &amp; "Points"),CLASSNAMEHEADERS,0))),(IF("17"=(INDEX(ALLCLASSDATA,MATCH("FortitudeSaveExpert",CLASSFEATUREHEADERS,0),MATCH($A777,CLASSNAMEHEADERS,0))),(INDEX(ALLCLASSDATA,MATCH("FortitudeSaveExpert",CLASSFEATUREHEADERS,0),MATCH(($A777 &amp; "Points"),CLASSNAMEHEADERS,0))),(IF("17"=(INDEX(ALLCLASSDATA,MATCH("FortitudeSaveTrained",CLASSFEATUREHEADERS,0),MATCH($A777,CLASSNAMEHEADERS,0))),(INDEX(ALLCLASSDATA,MATCH("FortitudeSaveTrained",CLASSFEATUREHEADERS,0),MATCH(($A777 &amp; "Points"),CLASSNAMEHEADERS,0))),"")))))))))}</f>
        <v>FORTITUDEL17</v>
      </c>
      <c r="Y776" s="230"/>
      <c r="Z776" s="230" t="str">
        <f t="array" ref="Z776:Z777">{"FORTITUDEL19";((IF("19"=(INDEX(ALLCLASSDATA,MATCH("FortitudeSaveLegendary",CLASSFEATUREHEADERS,0),MATCH($A777,CLASSNAMEHEADERS,0))),(INDEX(ALLCLASSDATA,MATCH("FortitudeSaveLegendary",CLASSFEATUREHEADERS,0),MATCH(($A777 &amp; "Points"),CLASSNAMEHEADERS,0))),(IF("19"=(INDEX(ALLCLASSDATA,MATCH("FortitudeSaveMaster",CLASSFEATUREHEADERS,0),MATCH($A777,CLASSNAMEHEADERS,0))),(INDEX(ALLCLASSDATA,MATCH("FortitudeSaveMaster",CLASSFEATUREHEADERS,0),MATCH(($A777 &amp; "Points"),CLASSNAMEHEADERS,0))),(IF("19"=(INDEX(ALLCLASSDATA,MATCH("FortitudeSaveExpert",CLASSFEATUREHEADERS,0),MATCH($A777,CLASSNAMEHEADERS,0))),(INDEX(ALLCLASSDATA,MATCH("FortitudeSaveExpert",CLASSFEATUREHEADERS,0),MATCH(($A777 &amp; "Points"),CLASSNAMEHEADERS,0))),(IF("19"=(INDEX(ALLCLASSDATA,MATCH("FortitudeSaveTrained",CLASSFEATUREHEADERS,0),MATCH($A777,CLASSNAMEHEADERS,0))),(INDEX(ALLCLASSDATA,MATCH("FortitudeSaveTrained",CLASSFEATUREHEADERS,0),MATCH(($A777 &amp; "Points"),CLASSNAMEHEADERS,0))),"")))))))))}</f>
        <v>FORTITUDEL19</v>
      </c>
      <c r="AA776" s="230"/>
      <c r="AB776" s="76" t="str">
        <f t="array" ref="AB776:AB777">{"FORTITUDE TOTAL";(IF(COUNTBLANK(G777:AA777)=17,"L",(IF(COUNTBLANK(G777:AA777)=18,"M",(IF(COUNTBLANK(G777:AA777)=19,"E",(IF(COUNTBLANK(G777:AA777)=20,"T",""))))))))}</f>
        <v>FORTITUDE TOTAL</v>
      </c>
      <c r="AC776" s="76" t="str">
        <f t="array" ref="AC776:AC777">{"FORTITUDE TOTAL";(sum(G777:AA777))}</f>
        <v>FORTITUDE TOTAL</v>
      </c>
    </row>
    <row r="777">
      <c r="A777" s="48" t="s">
        <v>176</v>
      </c>
      <c r="B777" s="48"/>
      <c r="C777" s="48" t="s">
        <v>415</v>
      </c>
      <c r="D777" s="48" t="s">
        <v>1549</v>
      </c>
      <c r="E777" s="48" t="s">
        <v>1550</v>
      </c>
      <c r="F777" s="5" t="s">
        <v>435</v>
      </c>
      <c r="G777" s="47" t="s">
        <v>603</v>
      </c>
      <c r="H777" s="5">
        <v>10.0</v>
      </c>
      <c r="I777" s="5"/>
      <c r="J777" s="5">
        <v>50.0</v>
      </c>
      <c r="K777" s="5"/>
      <c r="L777" s="5" t="s">
        <v>603</v>
      </c>
      <c r="M777" s="5"/>
      <c r="N777" s="5" t="s">
        <v>603</v>
      </c>
      <c r="O777" s="5"/>
      <c r="P777" s="5" t="s">
        <v>603</v>
      </c>
      <c r="Q777" s="5"/>
      <c r="R777" s="5" t="s">
        <v>603</v>
      </c>
      <c r="S777" s="5"/>
      <c r="T777" s="5" t="s">
        <v>603</v>
      </c>
      <c r="U777" s="5"/>
      <c r="V777" s="5" t="s">
        <v>603</v>
      </c>
      <c r="W777" s="5"/>
      <c r="X777" s="5" t="s">
        <v>603</v>
      </c>
      <c r="Y777" s="5"/>
      <c r="Z777" s="5" t="s">
        <v>603</v>
      </c>
      <c r="AA777" s="5"/>
      <c r="AB777" s="5" t="s">
        <v>436</v>
      </c>
      <c r="AC777" s="47">
        <v>60.0</v>
      </c>
    </row>
    <row r="778" hidden="1">
      <c r="A778" s="222" t="str">
        <f t="array" ref="A778:A779">{"FormulaRow24";(INDEX(CLASSLIST,A731,1))}</f>
        <v>FormulaRow24</v>
      </c>
      <c r="B778" s="77" t="s">
        <v>236</v>
      </c>
      <c r="C778" s="222" t="str">
        <f t="array" ref="C778:C779">{"CLASSTYPE";((INDEX(ALLCLASSDATA,MATCH("ClassType",CLASSFEATUREHEADERS,0),MATCH($A779,CLASSNAMEHEADERS,0))))}</f>
        <v>CLASSTYPE</v>
      </c>
      <c r="D778" s="222" t="str">
        <f t="array" ref="D778:D779">{"SAVES";"Saves"}</f>
        <v>SAVES</v>
      </c>
      <c r="E778" s="222" t="str">
        <f t="array" ref="E778:E779">{"REFLEXSAVE";"ReflexSave"}</f>
        <v>REFLEXSAVE</v>
      </c>
      <c r="F778" s="223" t="str">
        <f t="array" ref="F778:F779">{"REFLEXINITIAL";((IF(H779=10,"T",(IF(H779=50,"E","")))))}</f>
        <v>REFLEXINITIAL</v>
      </c>
      <c r="G778" s="223" t="str">
        <f t="array" ref="G778:G779">{"REFLEXINITIALPTS";((IF("00"=(INDEX(ALLCLASSDATA,MATCH("ReflexSaveLegendary",CLASSFEATUREHEADERS,0),MATCH($A779,CLASSNAMEHEADERS,0))),(INDEX(ALLCLASSDATA,MATCH("ReflexSaveLegendary",CLASSFEATUREHEADERS,0),MATCH(($A779 &amp; "Points"),CLASSNAMEHEADERS,0))),(IF("00"=(INDEX(ALLCLASSDATA,MATCH("ReflexSaveMaster",CLASSFEATUREHEADERS,0),MATCH($A779,CLASSNAMEHEADERS,0))),(INDEX(ALLCLASSDATA,MATCH("ReflexSaveMaster",CLASSFEATUREHEADERS,0),MATCH(($A779 &amp; "Points"),CLASSNAMEHEADERS,0))),(IF("00"=(INDEX(ALLCLASSDATA,MATCH("ReflexSaveExpert",CLASSFEATUREHEADERS,0),MATCH($A779,CLASSNAMEHEADERS,0))),(INDEX(ALLCLASSDATA,MATCH("ReflexSaveExpert",CLASSFEATUREHEADERS,0),MATCH(($A779 &amp; "Points"),CLASSNAMEHEADERS,0))),(IF("00"=(INDEX(ALLCLASSDATA,MATCH("ReflexSaveTrained",CLASSFEATUREHEADERS,0),MATCH($A779,CLASSNAMEHEADERS,0))),(INDEX(ALLCLASSDATA,MATCH("ReflexSaveTrained",CLASSFEATUREHEADERS,0),MATCH(($A779 &amp; "Points"),CLASSNAMEHEADERS,0))),"")))))))))}</f>
        <v>REFLEXINITIALPTS</v>
      </c>
      <c r="H778" s="223" t="str">
        <f t="array" ref="H778:H779">{"REFLEXL01";((IF("01"=(INDEX(ALLCLASSDATA,MATCH("ReflexSaveLegendary",CLASSFEATUREHEADERS,0),MATCH($A779,CLASSNAMEHEADERS,0))),(INDEX(ALLCLASSDATA,MATCH("ReflexSaveLegendary",CLASSFEATUREHEADERS,0),MATCH(($A779 &amp; "Points"),CLASSNAMEHEADERS,0))),(IF("01"=(INDEX(ALLCLASSDATA,MATCH("ReflexSaveMaster",CLASSFEATUREHEADERS,0),MATCH($A779,CLASSNAMEHEADERS,0))),(INDEX(ALLCLASSDATA,MATCH("ReflexSaveMaster",CLASSFEATUREHEADERS,0),MATCH(($A779 &amp; "Points"),CLASSNAMEHEADERS,0))),(IF("01"=(INDEX(ALLCLASSDATA,MATCH("ReflexSaveExpert",CLASSFEATUREHEADERS,0),MATCH($A779,CLASSNAMEHEADERS,0))),(INDEX(ALLCLASSDATA,MATCH("ReflexSaveExpert",CLASSFEATUREHEADERS,0),MATCH(($A779 &amp; "Points"),CLASSNAMEHEADERS,0))),(IF("01"=(INDEX(ALLCLASSDATA,MATCH("ReflexSaveTrained",CLASSFEATUREHEADERS,0),MATCH($A779,CLASSNAMEHEADERS,0))),(INDEX(ALLCLASSDATA,MATCH("ReflexSaveTrained",CLASSFEATUREHEADERS,0),MATCH(($A779 &amp; "Points"),CLASSNAMEHEADERS,0))),"")))))))))}</f>
        <v>REFLEXL01</v>
      </c>
      <c r="I778" s="223"/>
      <c r="J778" s="223" t="str">
        <f t="array" ref="J778:J779">{"REFLEXL03";((IF("03"=(INDEX(ALLCLASSDATA,MATCH("ReflexSaveLegendary",CLASSFEATUREHEADERS,0),MATCH($A779,CLASSNAMEHEADERS,0))),(INDEX(ALLCLASSDATA,MATCH("ReflexSaveLegendary",CLASSFEATUREHEADERS,0),MATCH(($A779 &amp; "Points"),CLASSNAMEHEADERS,0))),(IF("03"=(INDEX(ALLCLASSDATA,MATCH("ReflexSaveMaster",CLASSFEATUREHEADERS,0),MATCH($A779,CLASSNAMEHEADERS,0))),(INDEX(ALLCLASSDATA,MATCH("ReflexSaveMaster",CLASSFEATUREHEADERS,0),MATCH(($A779 &amp; "Points"),CLASSNAMEHEADERS,0))),(IF("03"=(INDEX(ALLCLASSDATA,MATCH("ReflexSaveExpert",CLASSFEATUREHEADERS,0),MATCH($A779,CLASSNAMEHEADERS,0))),(INDEX(ALLCLASSDATA,MATCH("ReflexSaveExpert",CLASSFEATUREHEADERS,0),MATCH(($A779 &amp; "Points"),CLASSNAMEHEADERS,0))),(IF("03"=(INDEX(ALLCLASSDATA,MATCH("ReflexSaveTrained",CLASSFEATUREHEADERS,0),MATCH($A779,CLASSNAMEHEADERS,0))),(INDEX(ALLCLASSDATA,MATCH("ReflexSaveTrained",CLASSFEATUREHEADERS,0),MATCH(($A779 &amp; "Points"),CLASSNAMEHEADERS,0))),"")))))))))}</f>
        <v>REFLEXL03</v>
      </c>
      <c r="K778" s="223"/>
      <c r="L778" s="223" t="str">
        <f t="array" ref="L778:L779">{"REFLEXL05";((IF("05"=(INDEX(ALLCLASSDATA,MATCH("ReflexSaveLegendary",CLASSFEATUREHEADERS,0),MATCH($A779,CLASSNAMEHEADERS,0))),(INDEX(ALLCLASSDATA,MATCH("ReflexSaveLegendary",CLASSFEATUREHEADERS,0),MATCH(($A779 &amp; "Points"),CLASSNAMEHEADERS,0))),(IF("05"=(INDEX(ALLCLASSDATA,MATCH("ReflexSaveMaster",CLASSFEATUREHEADERS,0),MATCH($A779,CLASSNAMEHEADERS,0))),(INDEX(ALLCLASSDATA,MATCH("ReflexSaveMaster",CLASSFEATUREHEADERS,0),MATCH(($A779 &amp; "Points"),CLASSNAMEHEADERS,0))),(IF("05"=(INDEX(ALLCLASSDATA,MATCH("ReflexSaveExpert",CLASSFEATUREHEADERS,0),MATCH($A779,CLASSNAMEHEADERS,0))),(INDEX(ALLCLASSDATA,MATCH("ReflexSaveExpert",CLASSFEATUREHEADERS,0),MATCH(($A779 &amp; "Points"),CLASSNAMEHEADERS,0))),(IF("05"=(INDEX(ALLCLASSDATA,MATCH("ReflexSaveTrained",CLASSFEATUREHEADERS,0),MATCH($A779,CLASSNAMEHEADERS,0))),(INDEX(ALLCLASSDATA,MATCH("ReflexSaveTrained",CLASSFEATUREHEADERS,0),MATCH(($A779 &amp; "Points"),CLASSNAMEHEADERS,0))),"")))))))))}</f>
        <v>REFLEXL05</v>
      </c>
      <c r="M778" s="223"/>
      <c r="N778" s="223" t="str">
        <f t="array" ref="N778:N779">{"REFLEXL07";((IF("07"=(INDEX(ALLCLASSDATA,MATCH("ReflexSaveLegendary",CLASSFEATUREHEADERS,0),MATCH($A779,CLASSNAMEHEADERS,0))),(INDEX(ALLCLASSDATA,MATCH("ReflexSaveLegendary",CLASSFEATUREHEADERS,0),MATCH(($A779 &amp; "Points"),CLASSNAMEHEADERS,0))),(IF("07"=(INDEX(ALLCLASSDATA,MATCH("ReflexSaveMaster",CLASSFEATUREHEADERS,0),MATCH($A779,CLASSNAMEHEADERS,0))),(INDEX(ALLCLASSDATA,MATCH("ReflexSaveMaster",CLASSFEATUREHEADERS,0),MATCH(($A779 &amp; "Points"),CLASSNAMEHEADERS,0))),(IF("07"=(INDEX(ALLCLASSDATA,MATCH("ReflexSaveExpert",CLASSFEATUREHEADERS,0),MATCH($A779,CLASSNAMEHEADERS,0))),(INDEX(ALLCLASSDATA,MATCH("ReflexSaveExpert",CLASSFEATUREHEADERS,0),MATCH(($A779 &amp; "Points"),CLASSNAMEHEADERS,0))),(IF("07"=(INDEX(ALLCLASSDATA,MATCH("ReflexSaveTrained",CLASSFEATUREHEADERS,0),MATCH($A779,CLASSNAMEHEADERS,0))),(INDEX(ALLCLASSDATA,MATCH("ReflexSaveTrained",CLASSFEATUREHEADERS,0),MATCH(($A779 &amp; "Points"),CLASSNAMEHEADERS,0))),"")))))))))}</f>
        <v>REFLEXL07</v>
      </c>
      <c r="O778" s="223"/>
      <c r="P778" s="223" t="str">
        <f t="array" ref="P778:P779">{"REFLEXL09";((IF("09"=(INDEX(ALLCLASSDATA,MATCH("ReflexSaveLegendary",CLASSFEATUREHEADERS,0),MATCH($A779,CLASSNAMEHEADERS,0))),(INDEX(ALLCLASSDATA,MATCH("ReflexSaveLegendary",CLASSFEATUREHEADERS,0),MATCH(($A779 &amp; "Points"),CLASSNAMEHEADERS,0))),(IF("09"=(INDEX(ALLCLASSDATA,MATCH("ReflexSaveMaster",CLASSFEATUREHEADERS,0),MATCH($A779,CLASSNAMEHEADERS,0))),(INDEX(ALLCLASSDATA,MATCH("ReflexSaveMaster",CLASSFEATUREHEADERS,0),MATCH(($A779 &amp; "Points"),CLASSNAMEHEADERS,0))),(IF("09"=(INDEX(ALLCLASSDATA,MATCH("ReflexSaveExpert",CLASSFEATUREHEADERS,0),MATCH($A779,CLASSNAMEHEADERS,0))),(INDEX(ALLCLASSDATA,MATCH("ReflexSaveExpert",CLASSFEATUREHEADERS,0),MATCH(($A779 &amp; "Points"),CLASSNAMEHEADERS,0))),(IF("09"=(INDEX(ALLCLASSDATA,MATCH("ReflexSaveTrained",CLASSFEATUREHEADERS,0),MATCH($A779,CLASSNAMEHEADERS,0))),(INDEX(ALLCLASSDATA,MATCH("ReflexSaveTrained",CLASSFEATUREHEADERS,0),MATCH(($A779 &amp; "Points"),CLASSNAMEHEADERS,0))),"")))))))))}</f>
        <v>REFLEXL09</v>
      </c>
      <c r="Q778" s="223"/>
      <c r="R778" s="223" t="str">
        <f t="array" ref="R778:R779">{"REFLEXL11";((IF("11"=(INDEX(ALLCLASSDATA,MATCH("ReflexSaveLegendary",CLASSFEATUREHEADERS,0),MATCH($A779,CLASSNAMEHEADERS,0))),(INDEX(ALLCLASSDATA,MATCH("ReflexSaveLegendary",CLASSFEATUREHEADERS,0),MATCH(($A779 &amp; "Points"),CLASSNAMEHEADERS,0))),(IF("11"=(INDEX(ALLCLASSDATA,MATCH("ReflexSaveMaster",CLASSFEATUREHEADERS,0),MATCH($A779,CLASSNAMEHEADERS,0))),(INDEX(ALLCLASSDATA,MATCH("ReflexSaveMaster",CLASSFEATUREHEADERS,0),MATCH(($A779 &amp; "Points"),CLASSNAMEHEADERS,0))),(IF("11"=(INDEX(ALLCLASSDATA,MATCH("ReflexSaveExpert",CLASSFEATUREHEADERS,0),MATCH($A779,CLASSNAMEHEADERS,0))),(INDEX(ALLCLASSDATA,MATCH("ReflexSaveExpert",CLASSFEATUREHEADERS,0),MATCH(($A779 &amp; "Points"),CLASSNAMEHEADERS,0))),(IF("11"=(INDEX(ALLCLASSDATA,MATCH("ReflexSaveTrained",CLASSFEATUREHEADERS,0),MATCH($A779,CLASSNAMEHEADERS,0))),(INDEX(ALLCLASSDATA,MATCH("ReflexSaveTrained",CLASSFEATUREHEADERS,0),MATCH(($A779 &amp; "Points"),CLASSNAMEHEADERS,0))),"")))))))))}</f>
        <v>REFLEXL11</v>
      </c>
      <c r="S778" s="223"/>
      <c r="T778" s="223" t="str">
        <f t="array" ref="T778:T779">{"REFLEXL13";((IF("13"=(INDEX(ALLCLASSDATA,MATCH("ReflexSaveLegendary",CLASSFEATUREHEADERS,0),MATCH($A779,CLASSNAMEHEADERS,0))),(INDEX(ALLCLASSDATA,MATCH("ReflexSaveLegendary",CLASSFEATUREHEADERS,0),MATCH(($A779 &amp; "Points"),CLASSNAMEHEADERS,0))),(IF("13"=(INDEX(ALLCLASSDATA,MATCH("ReflexSaveMaster",CLASSFEATUREHEADERS,0),MATCH($A779,CLASSNAMEHEADERS,0))),(INDEX(ALLCLASSDATA,MATCH("ReflexSaveMaster",CLASSFEATUREHEADERS,0),MATCH(($A779 &amp; "Points"),CLASSNAMEHEADERS,0))),(IF("13"=(INDEX(ALLCLASSDATA,MATCH("ReflexSaveExpert",CLASSFEATUREHEADERS,0),MATCH($A779,CLASSNAMEHEADERS,0))),(INDEX(ALLCLASSDATA,MATCH("ReflexSaveExpert",CLASSFEATUREHEADERS,0),MATCH(($A779 &amp; "Points"),CLASSNAMEHEADERS,0))),(IF("13"=(INDEX(ALLCLASSDATA,MATCH("ReflexSaveTrained",CLASSFEATUREHEADERS,0),MATCH($A779,CLASSNAMEHEADERS,0))),(INDEX(ALLCLASSDATA,MATCH("ReflexSaveTrained",CLASSFEATUREHEADERS,0),MATCH(($A779 &amp; "Points"),CLASSNAMEHEADERS,0))),"")))))))))}</f>
        <v>REFLEXL13</v>
      </c>
      <c r="U778" s="223"/>
      <c r="V778" s="223" t="str">
        <f t="array" ref="V778:V779">{"REFLEXL15";((IF("15"=(INDEX(ALLCLASSDATA,MATCH("ReflexSaveLegendary",CLASSFEATUREHEADERS,0),MATCH($A779,CLASSNAMEHEADERS,0))),(INDEX(ALLCLASSDATA,MATCH("ReflexSaveLegendary",CLASSFEATUREHEADERS,0),MATCH(($A779 &amp; "Points"),CLASSNAMEHEADERS,0))),(IF("15"=(INDEX(ALLCLASSDATA,MATCH("ReflexSaveMaster",CLASSFEATUREHEADERS,0),MATCH($A779,CLASSNAMEHEADERS,0))),(INDEX(ALLCLASSDATA,MATCH("ReflexSaveMaster",CLASSFEATUREHEADERS,0),MATCH(($A779 &amp; "Points"),CLASSNAMEHEADERS,0))),(IF("15"=(INDEX(ALLCLASSDATA,MATCH("ReflexSaveExpert",CLASSFEATUREHEADERS,0),MATCH($A779,CLASSNAMEHEADERS,0))),(INDEX(ALLCLASSDATA,MATCH("ReflexSaveExpert",CLASSFEATUREHEADERS,0),MATCH(($A779 &amp; "Points"),CLASSNAMEHEADERS,0))),(IF("15"=(INDEX(ALLCLASSDATA,MATCH("ReflexSaveTrained",CLASSFEATUREHEADERS,0),MATCH($A779,CLASSNAMEHEADERS,0))),(INDEX(ALLCLASSDATA,MATCH("ReflexSaveTrained",CLASSFEATUREHEADERS,0),MATCH(($A779 &amp; "Points"),CLASSNAMEHEADERS,0))),"")))))))))}</f>
        <v>REFLEXL15</v>
      </c>
      <c r="W778" s="223"/>
      <c r="X778" s="223" t="str">
        <f t="array" ref="X778:X779">{"REFLEXL17";((IF("17"=(INDEX(ALLCLASSDATA,MATCH("ReflexSaveLegendary",CLASSFEATUREHEADERS,0),MATCH($A779,CLASSNAMEHEADERS,0))),(INDEX(ALLCLASSDATA,MATCH("ReflexSaveLegendary",CLASSFEATUREHEADERS,0),MATCH(($A779 &amp; "Points"),CLASSNAMEHEADERS,0))),(IF("17"=(INDEX(ALLCLASSDATA,MATCH("ReflexSaveMaster",CLASSFEATUREHEADERS,0),MATCH($A779,CLASSNAMEHEADERS,0))),(INDEX(ALLCLASSDATA,MATCH("ReflexSaveMaster",CLASSFEATUREHEADERS,0),MATCH(($A779 &amp; "Points"),CLASSNAMEHEADERS,0))),(IF("17"=(INDEX(ALLCLASSDATA,MATCH("ReflexSaveExpert",CLASSFEATUREHEADERS,0),MATCH($A779,CLASSNAMEHEADERS,0))),(INDEX(ALLCLASSDATA,MATCH("ReflexSaveExpert",CLASSFEATUREHEADERS,0),MATCH(($A779 &amp; "Points"),CLASSNAMEHEADERS,0))),(IF("17"=(INDEX(ALLCLASSDATA,MATCH("ReflexSaveTrained",CLASSFEATUREHEADERS,0),MATCH($A779,CLASSNAMEHEADERS,0))),(INDEX(ALLCLASSDATA,MATCH("ReflexSaveTrained",CLASSFEATUREHEADERS,0),MATCH(($A779 &amp; "Points"),CLASSNAMEHEADERS,0))),"")))))))))}</f>
        <v>REFLEXL17</v>
      </c>
      <c r="Y778" s="223"/>
      <c r="Z778" s="223" t="str">
        <f t="array" ref="Z778:Z779">{"REFLEXL19";((IF("19"=(INDEX(ALLCLASSDATA,MATCH("ReflexSaveLegendary",CLASSFEATUREHEADERS,0),MATCH($A779,CLASSNAMEHEADERS,0))),(INDEX(ALLCLASSDATA,MATCH("ReflexSaveLegendary",CLASSFEATUREHEADERS,0),MATCH(($A779 &amp; "Points"),CLASSNAMEHEADERS,0))),(IF("19"=(INDEX(ALLCLASSDATA,MATCH("ReflexSaveMaster",CLASSFEATUREHEADERS,0),MATCH($A779,CLASSNAMEHEADERS,0))),(INDEX(ALLCLASSDATA,MATCH("ReflexSaveMaster",CLASSFEATUREHEADERS,0),MATCH(($A779 &amp; "Points"),CLASSNAMEHEADERS,0))),(IF("19"=(INDEX(ALLCLASSDATA,MATCH("ReflexSaveExpert",CLASSFEATUREHEADERS,0),MATCH($A779,CLASSNAMEHEADERS,0))),(INDEX(ALLCLASSDATA,MATCH("ReflexSaveExpert",CLASSFEATUREHEADERS,0),MATCH(($A779 &amp; "Points"),CLASSNAMEHEADERS,0))),(IF("19"=(INDEX(ALLCLASSDATA,MATCH("ReflexSaveTrained",CLASSFEATUREHEADERS,0),MATCH($A779,CLASSNAMEHEADERS,0))),(INDEX(ALLCLASSDATA,MATCH("ReflexSaveTrained",CLASSFEATUREHEADERS,0),MATCH(($A779 &amp; "Points"),CLASSNAMEHEADERS,0))),"")))))))))}</f>
        <v>REFLEXL19</v>
      </c>
      <c r="AA778" s="223"/>
      <c r="AB778" s="76" t="str">
        <f t="array" ref="AB778:AB779">{"REFLEX TOTAL";(IF(COUNTBLANK(G779:AA779)=17,"L",(IF(COUNTBLANK(G779:AA779)=18,"M",(IF(COUNTBLANK(G779:AA779)=19,"E",(IF(COUNTBLANK(G779:AA779)=20,"T",""))))))))}</f>
        <v>REFLEX TOTAL</v>
      </c>
      <c r="AC778" s="76" t="str">
        <f t="array" ref="AC778:AC779">{"REFLEX TOTAL";(sum(G779:AA779))}</f>
        <v>REFLEX TOTAL</v>
      </c>
    </row>
    <row r="779">
      <c r="A779" s="48" t="s">
        <v>176</v>
      </c>
      <c r="B779" s="48"/>
      <c r="C779" s="48" t="s">
        <v>415</v>
      </c>
      <c r="D779" s="48" t="s">
        <v>1549</v>
      </c>
      <c r="E779" s="48" t="s">
        <v>1572</v>
      </c>
      <c r="F779" s="5" t="s">
        <v>436</v>
      </c>
      <c r="G779" s="47">
        <v>10.0</v>
      </c>
      <c r="H779" s="5">
        <v>50.0</v>
      </c>
      <c r="I779" s="5"/>
      <c r="J779" s="5" t="s">
        <v>603</v>
      </c>
      <c r="K779" s="5"/>
      <c r="L779" s="5" t="s">
        <v>603</v>
      </c>
      <c r="M779" s="5"/>
      <c r="N779" s="5">
        <v>110.0</v>
      </c>
      <c r="O779" s="5"/>
      <c r="P779" s="5" t="s">
        <v>603</v>
      </c>
      <c r="Q779" s="5"/>
      <c r="R779" s="5" t="s">
        <v>603</v>
      </c>
      <c r="S779" s="5"/>
      <c r="T779" s="5">
        <v>190.0</v>
      </c>
      <c r="U779" s="5"/>
      <c r="V779" s="5" t="s">
        <v>603</v>
      </c>
      <c r="W779" s="5"/>
      <c r="X779" s="5" t="s">
        <v>603</v>
      </c>
      <c r="Y779" s="5"/>
      <c r="Z779" s="5" t="s">
        <v>603</v>
      </c>
      <c r="AA779" s="5"/>
      <c r="AB779" s="5" t="s">
        <v>466</v>
      </c>
      <c r="AC779" s="47">
        <v>360.0</v>
      </c>
    </row>
    <row r="780" hidden="1">
      <c r="A780" s="222" t="str">
        <f t="array" ref="A780:A781">{"FormulaRow25";(INDEX(CLASSLIST,A731,1))}</f>
        <v>FormulaRow25</v>
      </c>
      <c r="B780" s="77" t="s">
        <v>236</v>
      </c>
      <c r="C780" s="222" t="str">
        <f t="array" ref="C780:C781">{"CLASSTYPE";((INDEX(ALLCLASSDATA,MATCH("ClassType",CLASSFEATUREHEADERS,0),MATCH($A781,CLASSNAMEHEADERS,0))))}</f>
        <v>CLASSTYPE</v>
      </c>
      <c r="D780" s="222" t="str">
        <f t="array" ref="D780:D781">{"SAVES";"Saves"}</f>
        <v>SAVES</v>
      </c>
      <c r="E780" s="222" t="str">
        <f t="array" ref="E780:E781">{"WILLSAVE";"WillSave"}</f>
        <v>WILLSAVE</v>
      </c>
      <c r="F780" s="223" t="str">
        <f t="array" ref="F780:F781">{"WILLINITIAL";((IF(H781=10,"T",(IF(H781=50,"E","")))))}</f>
        <v>WILLINITIAL</v>
      </c>
      <c r="G780" s="223" t="str">
        <f t="array" ref="G780:G781">{"WILLINITIALPTS";((IF("00"=(INDEX(ALLCLASSDATA,MATCH("WillSaveLegendary",CLASSFEATUREHEADERS,0),MATCH($A781,CLASSNAMEHEADERS,0))),(INDEX(ALLCLASSDATA,MATCH("WillSaveLegendary",CLASSFEATUREHEADERS,0),MATCH(($A781 &amp; "Points"),CLASSNAMEHEADERS,0))),(IF("00"=(INDEX(ALLCLASSDATA,MATCH("WillSaveMaster",CLASSFEATUREHEADERS,0),MATCH($A781,CLASSNAMEHEADERS,0))),(INDEX(ALLCLASSDATA,MATCH("WillSaveMaster",CLASSFEATUREHEADERS,0),MATCH(($A781 &amp; "Points"),CLASSNAMEHEADERS,0))),(IF("00"=(INDEX(ALLCLASSDATA,MATCH("WillSaveExpert",CLASSFEATUREHEADERS,0),MATCH($A781,CLASSNAMEHEADERS,0))),(INDEX(ALLCLASSDATA,MATCH("WillSaveExpert",CLASSFEATUREHEADERS,0),MATCH(($A781 &amp; "Points"),CLASSNAMEHEADERS,0))),(IF("00"=(INDEX(ALLCLASSDATA,MATCH("WillSaveTrained",CLASSFEATUREHEADERS,0),MATCH($A781,CLASSNAMEHEADERS,0))),(INDEX(ALLCLASSDATA,MATCH("WillSaveTrained",CLASSFEATUREHEADERS,0),MATCH(($A781 &amp; "Points"),CLASSNAMEHEADERS,0))),"")))))))))}</f>
        <v>WILLINITIALPTS</v>
      </c>
      <c r="H780" s="223" t="str">
        <f t="array" ref="H780:H781">{"WILLL01";((IF("01"=(INDEX(ALLCLASSDATA,MATCH("WillSaveLegendary",CLASSFEATUREHEADERS,0),MATCH($A781,CLASSNAMEHEADERS,0))),(INDEX(ALLCLASSDATA,MATCH("WillSaveLegendary",CLASSFEATUREHEADERS,0),MATCH(($A781 &amp; "Points"),CLASSNAMEHEADERS,0))),(IF("01"=(INDEX(ALLCLASSDATA,MATCH("WillSaveMaster",CLASSFEATUREHEADERS,0),MATCH($A781,CLASSNAMEHEADERS,0))),(INDEX(ALLCLASSDATA,MATCH("WillSaveMaster",CLASSFEATUREHEADERS,0),MATCH(($A781 &amp; "Points"),CLASSNAMEHEADERS,0))),(IF("01"=(INDEX(ALLCLASSDATA,MATCH("WillSaveExpert",CLASSFEATUREHEADERS,0),MATCH($A781,CLASSNAMEHEADERS,0))),(INDEX(ALLCLASSDATA,MATCH("WillSaveExpert",CLASSFEATUREHEADERS,0),MATCH(($A781 &amp; "Points"),CLASSNAMEHEADERS,0))),(IF("01"=(INDEX(ALLCLASSDATA,MATCH("WillSaveTrained",CLASSFEATUREHEADERS,0),MATCH($A781,CLASSNAMEHEADERS,0))),(INDEX(ALLCLASSDATA,MATCH("WillSaveTrained",CLASSFEATUREHEADERS,0),MATCH(($A781 &amp; "Points"),CLASSNAMEHEADERS,0))),"")))))))))}</f>
        <v>WILLL01</v>
      </c>
      <c r="I780" s="223"/>
      <c r="J780" s="223" t="str">
        <f t="array" ref="J780:J781">{"WILLL03";((IF("03"=(INDEX(ALLCLASSDATA,MATCH("WillSaveLegendary",CLASSFEATUREHEADERS,0),MATCH($A781,CLASSNAMEHEADERS,0))),(INDEX(ALLCLASSDATA,MATCH("WillSaveLegendary",CLASSFEATUREHEADERS,0),MATCH(($A781 &amp; "Points"),CLASSNAMEHEADERS,0))),(IF("03"=(INDEX(ALLCLASSDATA,MATCH("WillSaveMaster",CLASSFEATUREHEADERS,0),MATCH($A781,CLASSNAMEHEADERS,0))),(INDEX(ALLCLASSDATA,MATCH("WillSaveMaster",CLASSFEATUREHEADERS,0),MATCH(($A781 &amp; "Points"),CLASSNAMEHEADERS,0))),(IF("03"=(INDEX(ALLCLASSDATA,MATCH("WillSaveExpert",CLASSFEATUREHEADERS,0),MATCH($A781,CLASSNAMEHEADERS,0))),(INDEX(ALLCLASSDATA,MATCH("WillSaveExpert",CLASSFEATUREHEADERS,0),MATCH(($A781 &amp; "Points"),CLASSNAMEHEADERS,0))),(IF("03"=(INDEX(ALLCLASSDATA,MATCH("WillSaveTrained",CLASSFEATUREHEADERS,0),MATCH($A781,CLASSNAMEHEADERS,0))),(INDEX(ALLCLASSDATA,MATCH("WillSaveTrained",CLASSFEATUREHEADERS,0),MATCH(($A781 &amp; "Points"),CLASSNAMEHEADERS,0))),"")))))))))}</f>
        <v>WILLL03</v>
      </c>
      <c r="K780" s="223"/>
      <c r="L780" s="223" t="str">
        <f t="array" ref="L780:L781">{"WILLL05";((IF("05"=(INDEX(ALLCLASSDATA,MATCH("WillSaveLegendary",CLASSFEATUREHEADERS,0),MATCH($A781,CLASSNAMEHEADERS,0))),(INDEX(ALLCLASSDATA,MATCH("WillSaveLegendary",CLASSFEATUREHEADERS,0),MATCH(($A781 &amp; "Points"),CLASSNAMEHEADERS,0))),(IF("05"=(INDEX(ALLCLASSDATA,MATCH("WillSaveMaster",CLASSFEATUREHEADERS,0),MATCH($A781,CLASSNAMEHEADERS,0))),(INDEX(ALLCLASSDATA,MATCH("WillSaveMaster",CLASSFEATUREHEADERS,0),MATCH(($A781 &amp; "Points"),CLASSNAMEHEADERS,0))),(IF("05"=(INDEX(ALLCLASSDATA,MATCH("WillSaveExpert",CLASSFEATUREHEADERS,0),MATCH($A781,CLASSNAMEHEADERS,0))),(INDEX(ALLCLASSDATA,MATCH("WillSaveExpert",CLASSFEATUREHEADERS,0),MATCH(($A781 &amp; "Points"),CLASSNAMEHEADERS,0))),(IF("05"=(INDEX(ALLCLASSDATA,MATCH("WillSaveTrained",CLASSFEATUREHEADERS,0),MATCH($A781,CLASSNAMEHEADERS,0))),(INDEX(ALLCLASSDATA,MATCH("WillSaveTrained",CLASSFEATUREHEADERS,0),MATCH(($A781 &amp; "Points"),CLASSNAMEHEADERS,0))),"")))))))))}</f>
        <v>WILLL05</v>
      </c>
      <c r="M780" s="223"/>
      <c r="N780" s="223" t="str">
        <f t="array" ref="N780:N781">{"WILLL07";((IF("07"=(INDEX(ALLCLASSDATA,MATCH("WillSaveLegendary",CLASSFEATUREHEADERS,0),MATCH($A781,CLASSNAMEHEADERS,0))),(INDEX(ALLCLASSDATA,MATCH("WillSaveLegendary",CLASSFEATUREHEADERS,0),MATCH(($A781 &amp; "Points"),CLASSNAMEHEADERS,0))),(IF("07"=(INDEX(ALLCLASSDATA,MATCH("WillSaveMaster",CLASSFEATUREHEADERS,0),MATCH($A781,CLASSNAMEHEADERS,0))),(INDEX(ALLCLASSDATA,MATCH("WillSaveMaster",CLASSFEATUREHEADERS,0),MATCH(($A781 &amp; "Points"),CLASSNAMEHEADERS,0))),(IF("07"=(INDEX(ALLCLASSDATA,MATCH("WillSaveExpert",CLASSFEATUREHEADERS,0),MATCH($A781,CLASSNAMEHEADERS,0))),(INDEX(ALLCLASSDATA,MATCH("WillSaveExpert",CLASSFEATUREHEADERS,0),MATCH(($A781 &amp; "Points"),CLASSNAMEHEADERS,0))),(IF("07"=(INDEX(ALLCLASSDATA,MATCH("WillSaveTrained",CLASSFEATUREHEADERS,0),MATCH($A781,CLASSNAMEHEADERS,0))),(INDEX(ALLCLASSDATA,MATCH("WillSaveTrained",CLASSFEATUREHEADERS,0),MATCH(($A781 &amp; "Points"),CLASSNAMEHEADERS,0))),"")))))))))}</f>
        <v>WILLL07</v>
      </c>
      <c r="O780" s="223"/>
      <c r="P780" s="223" t="str">
        <f t="array" ref="P780:P781">{"WILLL09";((IF("09"=(INDEX(ALLCLASSDATA,MATCH("WillSaveLegendary",CLASSFEATUREHEADERS,0),MATCH($A781,CLASSNAMEHEADERS,0))),(INDEX(ALLCLASSDATA,MATCH("WillSaveLegendary",CLASSFEATUREHEADERS,0),MATCH(($A781 &amp; "Points"),CLASSNAMEHEADERS,0))),(IF("09"=(INDEX(ALLCLASSDATA,MATCH("WillSaveMaster",CLASSFEATUREHEADERS,0),MATCH($A781,CLASSNAMEHEADERS,0))),(INDEX(ALLCLASSDATA,MATCH("WillSaveMaster",CLASSFEATUREHEADERS,0),MATCH(($A781 &amp; "Points"),CLASSNAMEHEADERS,0))),(IF("09"=(INDEX(ALLCLASSDATA,MATCH("WillSaveExpert",CLASSFEATUREHEADERS,0),MATCH($A781,CLASSNAMEHEADERS,0))),(INDEX(ALLCLASSDATA,MATCH("WillSaveExpert",CLASSFEATUREHEADERS,0),MATCH(($A781 &amp; "Points"),CLASSNAMEHEADERS,0))),(IF("09"=(INDEX(ALLCLASSDATA,MATCH("WillSaveTrained",CLASSFEATUREHEADERS,0),MATCH($A781,CLASSNAMEHEADERS,0))),(INDEX(ALLCLASSDATA,MATCH("WillSaveTrained",CLASSFEATUREHEADERS,0),MATCH(($A781 &amp; "Points"),CLASSNAMEHEADERS,0))),"")))))))))}</f>
        <v>WILLL09</v>
      </c>
      <c r="Q780" s="223"/>
      <c r="R780" s="223" t="str">
        <f t="array" ref="R780:R781">{"WILLL11";((IF("11"=(INDEX(ALLCLASSDATA,MATCH("WillSaveLegendary",CLASSFEATUREHEADERS,0),MATCH($A781,CLASSNAMEHEADERS,0))),(INDEX(ALLCLASSDATA,MATCH("WillSaveLegendary",CLASSFEATUREHEADERS,0),MATCH(($A781 &amp; "Points"),CLASSNAMEHEADERS,0))),(IF("11"=(INDEX(ALLCLASSDATA,MATCH("WillSaveMaster",CLASSFEATUREHEADERS,0),MATCH($A781,CLASSNAMEHEADERS,0))),(INDEX(ALLCLASSDATA,MATCH("WillSaveMaster",CLASSFEATUREHEADERS,0),MATCH(($A781 &amp; "Points"),CLASSNAMEHEADERS,0))),(IF("11"=(INDEX(ALLCLASSDATA,MATCH("WillSaveExpert",CLASSFEATUREHEADERS,0),MATCH($A781,CLASSNAMEHEADERS,0))),(INDEX(ALLCLASSDATA,MATCH("WillSaveExpert",CLASSFEATUREHEADERS,0),MATCH(($A781 &amp; "Points"),CLASSNAMEHEADERS,0))),(IF("11"=(INDEX(ALLCLASSDATA,MATCH("WillSaveTrained",CLASSFEATUREHEADERS,0),MATCH($A781,CLASSNAMEHEADERS,0))),(INDEX(ALLCLASSDATA,MATCH("WillSaveTrained",CLASSFEATUREHEADERS,0),MATCH(($A781 &amp; "Points"),CLASSNAMEHEADERS,0))),"")))))))))}</f>
        <v>WILLL11</v>
      </c>
      <c r="S780" s="223"/>
      <c r="T780" s="223" t="str">
        <f t="array" ref="T780:T781">{"WILLL13";((IF("13"=(INDEX(ALLCLASSDATA,MATCH("WillSaveLegendary",CLASSFEATUREHEADERS,0),MATCH($A781,CLASSNAMEHEADERS,0))),(INDEX(ALLCLASSDATA,MATCH("WillSaveLegendary",CLASSFEATUREHEADERS,0),MATCH(($A781 &amp; "Points"),CLASSNAMEHEADERS,0))),(IF("13"=(INDEX(ALLCLASSDATA,MATCH("WillSaveMaster",CLASSFEATUREHEADERS,0),MATCH($A781,CLASSNAMEHEADERS,0))),(INDEX(ALLCLASSDATA,MATCH("WillSaveMaster",CLASSFEATUREHEADERS,0),MATCH(($A781 &amp; "Points"),CLASSNAMEHEADERS,0))),(IF("13"=(INDEX(ALLCLASSDATA,MATCH("WillSaveExpert",CLASSFEATUREHEADERS,0),MATCH($A781,CLASSNAMEHEADERS,0))),(INDEX(ALLCLASSDATA,MATCH("WillSaveExpert",CLASSFEATUREHEADERS,0),MATCH(($A781 &amp; "Points"),CLASSNAMEHEADERS,0))),(IF("13"=(INDEX(ALLCLASSDATA,MATCH("WillSaveTrained",CLASSFEATUREHEADERS,0),MATCH($A781,CLASSNAMEHEADERS,0))),(INDEX(ALLCLASSDATA,MATCH("WillSaveTrained",CLASSFEATUREHEADERS,0),MATCH(($A781 &amp; "Points"),CLASSNAMEHEADERS,0))),"")))))))))}</f>
        <v>WILLL13</v>
      </c>
      <c r="U780" s="223"/>
      <c r="V780" s="223" t="str">
        <f t="array" ref="V780:V781">{"WILLL15";((IF("15"=(INDEX(ALLCLASSDATA,MATCH("WillSaveLegendary",CLASSFEATUREHEADERS,0),MATCH($A781,CLASSNAMEHEADERS,0))),(INDEX(ALLCLASSDATA,MATCH("WillSaveLegendary",CLASSFEATUREHEADERS,0),MATCH(($A781 &amp; "Points"),CLASSNAMEHEADERS,0))),(IF("15"=(INDEX(ALLCLASSDATA,MATCH("WillSaveMaster",CLASSFEATUREHEADERS,0),MATCH($A781,CLASSNAMEHEADERS,0))),(INDEX(ALLCLASSDATA,MATCH("WillSaveMaster",CLASSFEATUREHEADERS,0),MATCH(($A781 &amp; "Points"),CLASSNAMEHEADERS,0))),(IF("15"=(INDEX(ALLCLASSDATA,MATCH("WillSaveExpert",CLASSFEATUREHEADERS,0),MATCH($A781,CLASSNAMEHEADERS,0))),(INDEX(ALLCLASSDATA,MATCH("WillSaveExpert",CLASSFEATUREHEADERS,0),MATCH(($A781 &amp; "Points"),CLASSNAMEHEADERS,0))),(IF("15"=(INDEX(ALLCLASSDATA,MATCH("WillSaveTrained",CLASSFEATUREHEADERS,0),MATCH($A781,CLASSNAMEHEADERS,0))),(INDEX(ALLCLASSDATA,MATCH("WillSaveTrained",CLASSFEATUREHEADERS,0),MATCH(($A781 &amp; "Points"),CLASSNAMEHEADERS,0))),"")))))))))}</f>
        <v>WILLL15</v>
      </c>
      <c r="W780" s="223"/>
      <c r="X780" s="223" t="str">
        <f t="array" ref="X780:X781">{"WILLL17";((IF("17"=(INDEX(ALLCLASSDATA,MATCH("WillSaveLegendary",CLASSFEATUREHEADERS,0),MATCH($A781,CLASSNAMEHEADERS,0))),(INDEX(ALLCLASSDATA,MATCH("WillSaveLegendary",CLASSFEATUREHEADERS,0),MATCH(($A781 &amp; "Points"),CLASSNAMEHEADERS,0))),(IF("17"=(INDEX(ALLCLASSDATA,MATCH("WillSaveMaster",CLASSFEATUREHEADERS,0),MATCH($A781,CLASSNAMEHEADERS,0))),(INDEX(ALLCLASSDATA,MATCH("WillSaveMaster",CLASSFEATUREHEADERS,0),MATCH(($A781 &amp; "Points"),CLASSNAMEHEADERS,0))),(IF("17"=(INDEX(ALLCLASSDATA,MATCH("WillSaveExpert",CLASSFEATUREHEADERS,0),MATCH($A781,CLASSNAMEHEADERS,0))),(INDEX(ALLCLASSDATA,MATCH("WillSaveExpert",CLASSFEATUREHEADERS,0),MATCH(($A781 &amp; "Points"),CLASSNAMEHEADERS,0))),(IF("17"=(INDEX(ALLCLASSDATA,MATCH("WillSaveTrained",CLASSFEATUREHEADERS,0),MATCH($A781,CLASSNAMEHEADERS,0))),(INDEX(ALLCLASSDATA,MATCH("WillSaveTrained",CLASSFEATUREHEADERS,0),MATCH(($A781 &amp; "Points"),CLASSNAMEHEADERS,0))),"")))))))))}</f>
        <v>WILLL17</v>
      </c>
      <c r="Y780" s="223"/>
      <c r="Z780" s="223" t="str">
        <f t="array" ref="Z780:Z781">{"WILLL19";((IF("19"=(INDEX(ALLCLASSDATA,MATCH("WillSaveLegendary",CLASSFEATUREHEADERS,0),MATCH($A781,CLASSNAMEHEADERS,0))),(INDEX(ALLCLASSDATA,MATCH("WillSaveLegendary",CLASSFEATUREHEADERS,0),MATCH(($A781 &amp; "Points"),CLASSNAMEHEADERS,0))),(IF("19"=(INDEX(ALLCLASSDATA,MATCH("WillSaveMaster",CLASSFEATUREHEADERS,0),MATCH($A781,CLASSNAMEHEADERS,0))),(INDEX(ALLCLASSDATA,MATCH("WillSaveMaster",CLASSFEATUREHEADERS,0),MATCH(($A781 &amp; "Points"),CLASSNAMEHEADERS,0))),(IF("19"=(INDEX(ALLCLASSDATA,MATCH("WillSaveExpert",CLASSFEATUREHEADERS,0),MATCH($A781,CLASSNAMEHEADERS,0))),(INDEX(ALLCLASSDATA,MATCH("WillSaveExpert",CLASSFEATUREHEADERS,0),MATCH(($A781 &amp; "Points"),CLASSNAMEHEADERS,0))),(IF("19"=(INDEX(ALLCLASSDATA,MATCH("WillSaveTrained",CLASSFEATUREHEADERS,0),MATCH($A781,CLASSNAMEHEADERS,0))),(INDEX(ALLCLASSDATA,MATCH("WillSaveTrained",CLASSFEATUREHEADERS,0),MATCH(($A781 &amp; "Points"),CLASSNAMEHEADERS,0))),"")))))))))}</f>
        <v>WILLL19</v>
      </c>
      <c r="AA780" s="223"/>
      <c r="AB780" s="76" t="str">
        <f t="array" ref="AB780:AB781">{"WILL TOTAL";(IF(COUNTBLANK(G781:AA781)=17,"L",(IF(COUNTBLANK(G781:AA781)=18,"M",(IF(COUNTBLANK(G781:AA781)=19,"E",(IF(COUNTBLANK(G781:AA781)=20,"T",""))))))))}</f>
        <v>WILL TOTAL</v>
      </c>
      <c r="AC780" s="76" t="str">
        <f t="array" ref="AC780:AC781">{"WILL TOTAL";(sum(G781:AA781))}</f>
        <v>WILL TOTAL</v>
      </c>
    </row>
    <row r="781">
      <c r="A781" s="48" t="s">
        <v>176</v>
      </c>
      <c r="B781" s="48"/>
      <c r="C781" s="48" t="s">
        <v>415</v>
      </c>
      <c r="D781" s="97" t="s">
        <v>1549</v>
      </c>
      <c r="E781" s="97" t="s">
        <v>1591</v>
      </c>
      <c r="F781" s="98" t="s">
        <v>436</v>
      </c>
      <c r="G781" s="132">
        <v>10.0</v>
      </c>
      <c r="H781" s="98">
        <v>50.0</v>
      </c>
      <c r="I781" s="98"/>
      <c r="J781" s="98" t="s">
        <v>603</v>
      </c>
      <c r="K781" s="98"/>
      <c r="L781" s="98" t="s">
        <v>603</v>
      </c>
      <c r="M781" s="97"/>
      <c r="N781" s="98" t="s">
        <v>603</v>
      </c>
      <c r="O781" s="98"/>
      <c r="P781" s="98" t="s">
        <v>603</v>
      </c>
      <c r="Q781" s="97"/>
      <c r="R781" s="98" t="s">
        <v>603</v>
      </c>
      <c r="S781" s="98"/>
      <c r="T781" s="98" t="s">
        <v>603</v>
      </c>
      <c r="U781" s="98"/>
      <c r="V781" s="98" t="s">
        <v>603</v>
      </c>
      <c r="W781" s="98"/>
      <c r="X781" s="98">
        <v>110.0</v>
      </c>
      <c r="Y781" s="98"/>
      <c r="Z781" s="98" t="s">
        <v>603</v>
      </c>
      <c r="AA781" s="98"/>
      <c r="AB781" s="5" t="s">
        <v>437</v>
      </c>
      <c r="AC781" s="47">
        <v>170.0</v>
      </c>
    </row>
    <row r="782" hidden="1">
      <c r="A782" s="222" t="str">
        <f t="array" ref="A782:A783">{"FormulaRow26";(INDEX(CLASSLIST,A731,1))}</f>
        <v>FormulaRow26</v>
      </c>
      <c r="B782" s="77" t="s">
        <v>236</v>
      </c>
      <c r="C782" s="222" t="str">
        <f t="array" ref="C782:C783">{"CLASSTYPE";((INDEX(ALLCLASSDATA,MATCH("ClassType",CLASSFEATUREHEADERS,0),MATCH($A783,CLASSNAMEHEADERS,0))))}</f>
        <v>CLASSTYPE</v>
      </c>
      <c r="D782" s="228" t="str">
        <f t="array" ref="D782:D783">{"ATTACK";"Attack"}</f>
        <v>ATTACK</v>
      </c>
      <c r="E782" s="228" t="str">
        <f t="array" ref="E782:E783">{"WEAPONSPECIAL";"WeaponCS/WS/GWS"}</f>
        <v>WEAPONSPECIAL</v>
      </c>
      <c r="F782" s="230"/>
      <c r="G782" s="230"/>
      <c r="H782" s="230" t="str">
        <f t="array" ref="H782:H783">{"WEAPONSPECIALL01";((IF("01"=INDEX(ALLCLASSDATA,MATCH("WeaponGreaterSpecialization",CLASSFEATUREHEADERS,0),MATCH($A783,CLASSNAMEHEADERS,0)),WeaponGWS,(IF("01"=INDEX(ALLCLASSDATA,MATCH("WeaponSpecialization",CLASSFEATUREHEADERS,0),MATCH($A783,CLASSNAMEHEADERS,0)),WeaponWS,(IF("01"=INDEX(ALLCLASSDATA,MATCH("WeaponCriticalSpecialization",CLASSFEATUREHEADERS,0),MATCH($A783,CLASSNAMEHEADERS,0)),WeaponCS,"")))))))}</f>
        <v>WEAPONSPECIALL01</v>
      </c>
      <c r="I782" s="230"/>
      <c r="J782" s="230" t="str">
        <f t="array" ref="J782:J783">{"WEAPONSPECIALL03";((IF("03"=INDEX(ALLCLASSDATA,MATCH("WeaponGreaterSpecialization",CLASSFEATUREHEADERS,0),MATCH($A783,CLASSNAMEHEADERS,0)),WeaponGWS,(IF("03"=INDEX(ALLCLASSDATA,MATCH("WeaponSpecialization",CLASSFEATUREHEADERS,0),MATCH($A783,CLASSNAMEHEADERS,0)),WeaponWS,(IF("03"=INDEX(ALLCLASSDATA,MATCH("WeaponCriticalSpecialization",CLASSFEATUREHEADERS,0),MATCH($A783,CLASSNAMEHEADERS,0)),WeaponCS,"")))))))}</f>
        <v>WEAPONSPECIALL03</v>
      </c>
      <c r="K782" s="230"/>
      <c r="L782" s="230" t="str">
        <f t="array" ref="L782:L783">{"WEAPONSPECIALL05";((IF("05"=INDEX(ALLCLASSDATA,MATCH("WeaponGreaterSpecialization",CLASSFEATUREHEADERS,0),MATCH($A783,CLASSNAMEHEADERS,0)),WeaponGWS,(IF("05"=INDEX(ALLCLASSDATA,MATCH("WeaponSpecialization",CLASSFEATUREHEADERS,0),MATCH($A783,CLASSNAMEHEADERS,0)),WeaponWS,(IF("05"=INDEX(ALLCLASSDATA,MATCH("WeaponCriticalSpecialization",CLASSFEATUREHEADERS,0),MATCH($A783,CLASSNAMEHEADERS,0)),WeaponCS,"")))))))}</f>
        <v>WEAPONSPECIALL05</v>
      </c>
      <c r="M782" s="230"/>
      <c r="N782" s="230" t="str">
        <f t="array" ref="N782:N783">{"WEAPONSPECIALL07";((IF("07"=INDEX(ALLCLASSDATA,MATCH("WeaponGreaterSpecialization",CLASSFEATUREHEADERS,0),MATCH($A783,CLASSNAMEHEADERS,0)),WeaponGWS,(IF("07"=INDEX(ALLCLASSDATA,MATCH("WeaponSpecialization",CLASSFEATUREHEADERS,0),MATCH($A783,CLASSNAMEHEADERS,0)),WeaponWS,(IF("07"=INDEX(ALLCLASSDATA,MATCH("WeaponCriticalSpecialization",CLASSFEATUREHEADERS,0),MATCH($A783,CLASSNAMEHEADERS,0)),WeaponCS,"")))))))}</f>
        <v>WEAPONSPECIALL07</v>
      </c>
      <c r="O782" s="230"/>
      <c r="P782" s="230" t="str">
        <f t="array" ref="P782:P783">{"WEAPONSPECIALL09";((IF("09"=INDEX(ALLCLASSDATA,MATCH("WeaponGreaterSpecialization",CLASSFEATUREHEADERS,0),MATCH($A783,CLASSNAMEHEADERS,0)),WeaponGWS,(IF("09"=INDEX(ALLCLASSDATA,MATCH("WeaponSpecialization",CLASSFEATUREHEADERS,0),MATCH($A783,CLASSNAMEHEADERS,0)),WeaponWS,(IF("09"=INDEX(ALLCLASSDATA,MATCH("WeaponCriticalSpecialization",CLASSFEATUREHEADERS,0),MATCH($A783,CLASSNAMEHEADERS,0)),WeaponCS,"")))))))}</f>
        <v>WEAPONSPECIALL09</v>
      </c>
      <c r="Q782" s="230"/>
      <c r="R782" s="230" t="str">
        <f t="array" ref="R782:R783">{"WEAPONSPECIALL11";((IF("11"=INDEX(ALLCLASSDATA,MATCH("WeaponGreaterSpecialization",CLASSFEATUREHEADERS,0),MATCH($A783,CLASSNAMEHEADERS,0)),WeaponGWS,(IF("11"=INDEX(ALLCLASSDATA,MATCH("WeaponSpecialization",CLASSFEATUREHEADERS,0),MATCH($A783,CLASSNAMEHEADERS,0)),WeaponWS,(IF("11"=INDEX(ALLCLASSDATA,MATCH("WeaponCriticalSpecialization",CLASSFEATUREHEADERS,0),MATCH($A783,CLASSNAMEHEADERS,0)),WeaponCS,"")))))))}</f>
        <v>WEAPONSPECIALL11</v>
      </c>
      <c r="S782" s="230"/>
      <c r="T782" s="230" t="str">
        <f t="array" ref="T782:T783">{"WEAPONSPECIALL13";((IF("13"=INDEX(ALLCLASSDATA,MATCH("WeaponGreaterSpecialization",CLASSFEATUREHEADERS,0),MATCH($A783,CLASSNAMEHEADERS,0)),WeaponGWS,(IF("13"=INDEX(ALLCLASSDATA,MATCH("WeaponSpecialization",CLASSFEATUREHEADERS,0),MATCH($A783,CLASSNAMEHEADERS,0)),WeaponWS,(IF("13"=INDEX(ALLCLASSDATA,MATCH("WeaponCriticalSpecialization",CLASSFEATUREHEADERS,0),MATCH($A783,CLASSNAMEHEADERS,0)),WeaponCS,"")))))))}</f>
        <v>WEAPONSPECIALL13</v>
      </c>
      <c r="U782" s="230"/>
      <c r="V782" s="230" t="str">
        <f t="array" ref="V782:V783">{"WEAPONSPECIALL15";((IF("15"=INDEX(ALLCLASSDATA,MATCH("WeaponGreaterSpecialization",CLASSFEATUREHEADERS,0),MATCH($A783,CLASSNAMEHEADERS,0)),WeaponGWS,(IF("15"=INDEX(ALLCLASSDATA,MATCH("WeaponSpecialization",CLASSFEATUREHEADERS,0),MATCH($A783,CLASSNAMEHEADERS,0)),WeaponWS,(IF("15"=INDEX(ALLCLASSDATA,MATCH("WeaponCriticalSpecialization",CLASSFEATUREHEADERS,0),MATCH($A783,CLASSNAMEHEADERS,0)),WeaponCS,"")))))))}</f>
        <v>WEAPONSPECIALL15</v>
      </c>
      <c r="W782" s="230"/>
      <c r="X782" s="230" t="str">
        <f t="array" ref="X782:X783">{"WEAPONSPECIALL17";((IF("17"=INDEX(ALLCLASSDATA,MATCH("WeaponGreaterSpecialization",CLASSFEATUREHEADERS,0),MATCH($A783,CLASSNAMEHEADERS,0)),WeaponGWS,(IF("17"=INDEX(ALLCLASSDATA,MATCH("WeaponSpecialization",CLASSFEATUREHEADERS,0),MATCH($A783,CLASSNAMEHEADERS,0)),WeaponWS,(IF("17"=INDEX(ALLCLASSDATA,MATCH("WeaponCriticalSpecialization",CLASSFEATUREHEADERS,0),MATCH($A783,CLASSNAMEHEADERS,0)),WeaponCS,"")))))))}</f>
        <v>WEAPONSPECIALL17</v>
      </c>
      <c r="Y782" s="230"/>
      <c r="Z782" s="230" t="str">
        <f t="array" ref="Z782:Z783">{"WEAPONSPECIALL19";((IF("19"=INDEX(ALLCLASSDATA,MATCH("WeaponGreaterSpecialization",CLASSFEATUREHEADERS,0),MATCH($A783,CLASSNAMEHEADERS,0)),WeaponGWS,(IF("19"=INDEX(ALLCLASSDATA,MATCH("WeaponSpecialization",CLASSFEATUREHEADERS,0),MATCH($A783,CLASSNAMEHEADERS,0)),WeaponWS,(IF("19"=INDEX(ALLCLASSDATA,MATCH("WeaponCriticalSpecialization",CLASSFEATUREHEADERS,0),MATCH($A783,CLASSNAMEHEADERS,0)),WeaponCS,"")))))))}</f>
        <v>WEAPONSPECIALL19</v>
      </c>
      <c r="AA782" s="230"/>
      <c r="AB782" s="76"/>
      <c r="AC782" s="76" t="str">
        <f t="array" ref="AC782:AC783">{"WEAPONSPECIAL TOTAL";(sum(G783:AA783))}</f>
        <v>WEAPONSPECIAL TOTAL</v>
      </c>
    </row>
    <row r="783">
      <c r="A783" s="48" t="s">
        <v>176</v>
      </c>
      <c r="B783" s="48"/>
      <c r="C783" s="48" t="s">
        <v>415</v>
      </c>
      <c r="D783" s="48" t="s">
        <v>1634</v>
      </c>
      <c r="E783" s="48" t="s">
        <v>1635</v>
      </c>
      <c r="F783" s="5"/>
      <c r="G783" s="47"/>
      <c r="H783" s="5" t="s">
        <v>603</v>
      </c>
      <c r="I783" s="5"/>
      <c r="J783" s="5" t="s">
        <v>603</v>
      </c>
      <c r="K783" s="5"/>
      <c r="L783" s="5">
        <v>50.0</v>
      </c>
      <c r="M783" s="5"/>
      <c r="N783" s="5">
        <v>70.0</v>
      </c>
      <c r="O783" s="5"/>
      <c r="P783" s="5" t="s">
        <v>603</v>
      </c>
      <c r="Q783" s="5"/>
      <c r="R783" s="5" t="s">
        <v>603</v>
      </c>
      <c r="S783" s="5"/>
      <c r="T783" s="5" t="s">
        <v>603</v>
      </c>
      <c r="U783" s="5"/>
      <c r="V783" s="5">
        <v>150.0</v>
      </c>
      <c r="W783" s="5"/>
      <c r="X783" s="5" t="s">
        <v>603</v>
      </c>
      <c r="Y783" s="5"/>
      <c r="Z783" s="5" t="s">
        <v>603</v>
      </c>
      <c r="AA783" s="5"/>
      <c r="AB783" s="5"/>
      <c r="AC783" s="47">
        <v>270.0</v>
      </c>
    </row>
    <row r="784" hidden="1">
      <c r="A784" s="222" t="str">
        <f t="array" ref="A784:A785">{"FormulaRow27";(INDEX(CLASSLIST,A731,1))}</f>
        <v>FormulaRow27</v>
      </c>
      <c r="B784" s="77" t="s">
        <v>236</v>
      </c>
      <c r="C784" s="222" t="str">
        <f t="array" ref="C784:C785">{"CLASSTYPE";((INDEX(ALLCLASSDATA,MATCH("ClassType",CLASSFEATUREHEADERS,0),MATCH($A785,CLASSNAMEHEADERS,0))))}</f>
        <v>CLASSTYPE</v>
      </c>
      <c r="D784" s="222" t="str">
        <f t="array" ref="D784:D785">{"ATTACK";"Attack"}</f>
        <v>ATTACK</v>
      </c>
      <c r="E784" s="222" t="str">
        <f t="array" ref="E784:E785">{"UNARMED";"Unarmed"}</f>
        <v>UNARMED</v>
      </c>
      <c r="F784" s="223" t="str">
        <f t="array" ref="F784:F785">{"UNARMEDINITIAL";((IF(H785=10,"T",(IF(H785=50,"E","")))))}</f>
        <v>UNARMEDINITIAL</v>
      </c>
      <c r="G784" s="223" t="str">
        <f t="array" ref="G784:G785">{"UNARMEDINITIALPTS";((IF("00"=(INDEX(ALLCLASSDATA,MATCH("UnarmedLegendary",CLASSFEATUREHEADERS,0),MATCH($A785,CLASSNAMEHEADERS,0))),(INDEX(ALLCLASSDATA,MATCH("UnarmedLegendary",CLASSFEATUREHEADERS,0),MATCH(($A785 &amp; "Points"),CLASSNAMEHEADERS,0))),(IF("00"=(INDEX(ALLCLASSDATA,MATCH("UnarmedMaster",CLASSFEATUREHEADERS,0),MATCH($A785,CLASSNAMEHEADERS,0))),(INDEX(ALLCLASSDATA,MATCH("UnarmedMaster",CLASSFEATUREHEADERS,0),MATCH(($A785 &amp; "Points"),CLASSNAMEHEADERS,0))),(IF("00"=(INDEX(ALLCLASSDATA,MATCH("UnarmedExpert",CLASSFEATUREHEADERS,0),MATCH($A785,CLASSNAMEHEADERS,0))),(INDEX(ALLCLASSDATA,MATCH("UnarmedExpert",CLASSFEATUREHEADERS,0),MATCH(($A785 &amp; "Points"),CLASSNAMEHEADERS,0))),(IF("00"=(INDEX(ALLCLASSDATA,MATCH("UnarmedTrained",CLASSFEATUREHEADERS,0),MATCH($A785,CLASSNAMEHEADERS,0))),(INDEX(ALLCLASSDATA,MATCH("UnarmedTrained",CLASSFEATUREHEADERS,0),MATCH(($A785 &amp; "Points"),CLASSNAMEHEADERS,0))),"")))))))))}</f>
        <v>UNARMEDINITIALPTS</v>
      </c>
      <c r="H784" s="223" t="str">
        <f t="array" ref="H784:H785">{"UNARMEDL01";((IF("01"=(INDEX(ALLCLASSDATA,MATCH("UnarmedLegendary",CLASSFEATUREHEADERS,0),MATCH($A785,CLASSNAMEHEADERS,0))),(INDEX(ALLCLASSDATA,MATCH("UnarmedLegendary",CLASSFEATUREHEADERS,0),MATCH(($A785 &amp; "Points"),CLASSNAMEHEADERS,0))),(IF("01"=(INDEX(ALLCLASSDATA,MATCH("UnarmedMaster",CLASSFEATUREHEADERS,0),MATCH($A785,CLASSNAMEHEADERS,0))),(INDEX(ALLCLASSDATA,MATCH("UnarmedMaster",CLASSFEATUREHEADERS,0),MATCH(($A785 &amp; "Points"),CLASSNAMEHEADERS,0))),(IF("01"=(INDEX(ALLCLASSDATA,MATCH("UnarmedExpert",CLASSFEATUREHEADERS,0),MATCH($A785,CLASSNAMEHEADERS,0))),(INDEX(ALLCLASSDATA,MATCH("UnarmedExpert",CLASSFEATUREHEADERS,0),MATCH(($A785 &amp; "Points"),CLASSNAMEHEADERS,0))),(IF("01"=(INDEX(ALLCLASSDATA,MATCH("UnarmedTrained",CLASSFEATUREHEADERS,0),MATCH($A785,CLASSNAMEHEADERS,0))),(INDEX(ALLCLASSDATA,MATCH("UnarmedTrained",CLASSFEATUREHEADERS,0),MATCH(($A785 &amp; "Points"),CLASSNAMEHEADERS,0))),"")))))))))}</f>
        <v>UNARMEDL01</v>
      </c>
      <c r="I784" s="223"/>
      <c r="J784" s="223" t="str">
        <f t="array" ref="J784:J785">{"UNARMEDL03";((IF("03"=(INDEX(ALLCLASSDATA,MATCH("UnarmedLegendary",CLASSFEATUREHEADERS,0),MATCH($A785,CLASSNAMEHEADERS,0))),(INDEX(ALLCLASSDATA,MATCH("UnarmedLegendary",CLASSFEATUREHEADERS,0),MATCH(($A785 &amp; "Points"),CLASSNAMEHEADERS,0))),(IF("03"=(INDEX(ALLCLASSDATA,MATCH("UnarmedMaster",CLASSFEATUREHEADERS,0),MATCH($A785,CLASSNAMEHEADERS,0))),(INDEX(ALLCLASSDATA,MATCH("UnarmedMaster",CLASSFEATUREHEADERS,0),MATCH(($A785 &amp; "Points"),CLASSNAMEHEADERS,0))),(IF("03"=(INDEX(ALLCLASSDATA,MATCH("UnarmedExpert",CLASSFEATUREHEADERS,0),MATCH($A785,CLASSNAMEHEADERS,0))),(INDEX(ALLCLASSDATA,MATCH("UnarmedExpert",CLASSFEATUREHEADERS,0),MATCH(($A785 &amp; "Points"),CLASSNAMEHEADERS,0))),(IF("03"=(INDEX(ALLCLASSDATA,MATCH("UnarmedTrained",CLASSFEATUREHEADERS,0),MATCH($A785,CLASSNAMEHEADERS,0))),(INDEX(ALLCLASSDATA,MATCH("UnarmedTrained",CLASSFEATUREHEADERS,0),MATCH(($A785 &amp; "Points"),CLASSNAMEHEADERS,0))),"")))))))))}</f>
        <v>UNARMEDL03</v>
      </c>
      <c r="K784" s="223"/>
      <c r="L784" s="223" t="str">
        <f t="array" ref="L784:L785">{"UNARMEDL05";((IF("05"=(INDEX(ALLCLASSDATA,MATCH("UnarmedLegendary",CLASSFEATUREHEADERS,0),MATCH($A785,CLASSNAMEHEADERS,0))),(INDEX(ALLCLASSDATA,MATCH("UnarmedLegendary",CLASSFEATUREHEADERS,0),MATCH(($A785 &amp; "Points"),CLASSNAMEHEADERS,0))),(IF("05"=(INDEX(ALLCLASSDATA,MATCH("UnarmedMaster",CLASSFEATUREHEADERS,0),MATCH($A785,CLASSNAMEHEADERS,0))),(INDEX(ALLCLASSDATA,MATCH("UnarmedMaster",CLASSFEATUREHEADERS,0),MATCH(($A785 &amp; "Points"),CLASSNAMEHEADERS,0))),(IF("05"=(INDEX(ALLCLASSDATA,MATCH("UnarmedExpert",CLASSFEATUREHEADERS,0),MATCH($A785,CLASSNAMEHEADERS,0))),(INDEX(ALLCLASSDATA,MATCH("UnarmedExpert",CLASSFEATUREHEADERS,0),MATCH(($A785 &amp; "Points"),CLASSNAMEHEADERS,0))),(IF("05"=(INDEX(ALLCLASSDATA,MATCH("UnarmedTrained",CLASSFEATUREHEADERS,0),MATCH($A785,CLASSNAMEHEADERS,0))),(INDEX(ALLCLASSDATA,MATCH("UnarmedTrained",CLASSFEATUREHEADERS,0),MATCH(($A785 &amp; "Points"),CLASSNAMEHEADERS,0))),"")))))))))}</f>
        <v>UNARMEDL05</v>
      </c>
      <c r="M784" s="223"/>
      <c r="N784" s="223" t="str">
        <f t="array" ref="N784:N785">{"UNARMEDL07";((IF("07"=(INDEX(ALLCLASSDATA,MATCH("UnarmedLegendary",CLASSFEATUREHEADERS,0),MATCH($A785,CLASSNAMEHEADERS,0))),(INDEX(ALLCLASSDATA,MATCH("UnarmedLegendary",CLASSFEATUREHEADERS,0),MATCH(($A785 &amp; "Points"),CLASSNAMEHEADERS,0))),(IF("07"=(INDEX(ALLCLASSDATA,MATCH("UnarmedMaster",CLASSFEATUREHEADERS,0),MATCH($A785,CLASSNAMEHEADERS,0))),(INDEX(ALLCLASSDATA,MATCH("UnarmedMaster",CLASSFEATUREHEADERS,0),MATCH(($A785 &amp; "Points"),CLASSNAMEHEADERS,0))),(IF("07"=(INDEX(ALLCLASSDATA,MATCH("UnarmedExpert",CLASSFEATUREHEADERS,0),MATCH($A785,CLASSNAMEHEADERS,0))),(INDEX(ALLCLASSDATA,MATCH("UnarmedExpert",CLASSFEATUREHEADERS,0),MATCH(($A785 &amp; "Points"),CLASSNAMEHEADERS,0))),(IF("07"=(INDEX(ALLCLASSDATA,MATCH("UnarmedTrained",CLASSFEATUREHEADERS,0),MATCH($A785,CLASSNAMEHEADERS,0))),(INDEX(ALLCLASSDATA,MATCH("UnarmedTrained",CLASSFEATUREHEADERS,0),MATCH(($A785 &amp; "Points"),CLASSNAMEHEADERS,0))),"")))))))))}</f>
        <v>UNARMEDL07</v>
      </c>
      <c r="O784" s="223"/>
      <c r="P784" s="223" t="str">
        <f t="array" ref="P784:P785">{"UNARMEDL09";((IF("09"=(INDEX(ALLCLASSDATA,MATCH("UnarmedLegendary",CLASSFEATUREHEADERS,0),MATCH($A785,CLASSNAMEHEADERS,0))),(INDEX(ALLCLASSDATA,MATCH("UnarmedLegendary",CLASSFEATUREHEADERS,0),MATCH(($A785 &amp; "Points"),CLASSNAMEHEADERS,0))),(IF("09"=(INDEX(ALLCLASSDATA,MATCH("UnarmedMaster",CLASSFEATUREHEADERS,0),MATCH($A785,CLASSNAMEHEADERS,0))),(INDEX(ALLCLASSDATA,MATCH("UnarmedMaster",CLASSFEATUREHEADERS,0),MATCH(($A785 &amp; "Points"),CLASSNAMEHEADERS,0))),(IF("09"=(INDEX(ALLCLASSDATA,MATCH("UnarmedExpert",CLASSFEATUREHEADERS,0),MATCH($A785,CLASSNAMEHEADERS,0))),(INDEX(ALLCLASSDATA,MATCH("UnarmedExpert",CLASSFEATUREHEADERS,0),MATCH(($A785 &amp; "Points"),CLASSNAMEHEADERS,0))),(IF("09"=(INDEX(ALLCLASSDATA,MATCH("UnarmedTrained",CLASSFEATUREHEADERS,0),MATCH($A785,CLASSNAMEHEADERS,0))),(INDEX(ALLCLASSDATA,MATCH("UnarmedTrained",CLASSFEATUREHEADERS,0),MATCH(($A785 &amp; "Points"),CLASSNAMEHEADERS,0))),"")))))))))}</f>
        <v>UNARMEDL09</v>
      </c>
      <c r="Q784" s="223"/>
      <c r="R784" s="223" t="str">
        <f t="array" ref="R784:R785">{"UNARMEDL11";((IF("11"=(INDEX(ALLCLASSDATA,MATCH("UnarmedLegendary",CLASSFEATUREHEADERS,0),MATCH($A785,CLASSNAMEHEADERS,0))),(INDEX(ALLCLASSDATA,MATCH("UnarmedLegendary",CLASSFEATUREHEADERS,0),MATCH(($A785 &amp; "Points"),CLASSNAMEHEADERS,0))),(IF("11"=(INDEX(ALLCLASSDATA,MATCH("UnarmedMaster",CLASSFEATUREHEADERS,0),MATCH($A785,CLASSNAMEHEADERS,0))),(INDEX(ALLCLASSDATA,MATCH("UnarmedMaster",CLASSFEATUREHEADERS,0),MATCH(($A785 &amp; "Points"),CLASSNAMEHEADERS,0))),(IF("11"=(INDEX(ALLCLASSDATA,MATCH("UnarmedExpert",CLASSFEATUREHEADERS,0),MATCH($A785,CLASSNAMEHEADERS,0))),(INDEX(ALLCLASSDATA,MATCH("UnarmedExpert",CLASSFEATUREHEADERS,0),MATCH(($A785 &amp; "Points"),CLASSNAMEHEADERS,0))),(IF("11"=(INDEX(ALLCLASSDATA,MATCH("UnarmedTrained",CLASSFEATUREHEADERS,0),MATCH($A785,CLASSNAMEHEADERS,0))),(INDEX(ALLCLASSDATA,MATCH("UnarmedTrained",CLASSFEATUREHEADERS,0),MATCH(($A785 &amp; "Points"),CLASSNAMEHEADERS,0))),"")))))))))}</f>
        <v>UNARMEDL11</v>
      </c>
      <c r="S784" s="223"/>
      <c r="T784" s="223" t="str">
        <f t="array" ref="T784:T785">{"UNARMEDL13";((IF("13"=(INDEX(ALLCLASSDATA,MATCH("UnarmedLegendary",CLASSFEATUREHEADERS,0),MATCH($A785,CLASSNAMEHEADERS,0))),(INDEX(ALLCLASSDATA,MATCH("UnarmedLegendary",CLASSFEATUREHEADERS,0),MATCH(($A785 &amp; "Points"),CLASSNAMEHEADERS,0))),(IF("13"=(INDEX(ALLCLASSDATA,MATCH("UnarmedMaster",CLASSFEATUREHEADERS,0),MATCH($A785,CLASSNAMEHEADERS,0))),(INDEX(ALLCLASSDATA,MATCH("UnarmedMaster",CLASSFEATUREHEADERS,0),MATCH(($A785 &amp; "Points"),CLASSNAMEHEADERS,0))),(IF("13"=(INDEX(ALLCLASSDATA,MATCH("UnarmedExpert",CLASSFEATUREHEADERS,0),MATCH($A785,CLASSNAMEHEADERS,0))),(INDEX(ALLCLASSDATA,MATCH("UnarmedExpert",CLASSFEATUREHEADERS,0),MATCH(($A785 &amp; "Points"),CLASSNAMEHEADERS,0))),(IF("13"=(INDEX(ALLCLASSDATA,MATCH("UnarmedTrained",CLASSFEATUREHEADERS,0),MATCH($A785,CLASSNAMEHEADERS,0))),(INDEX(ALLCLASSDATA,MATCH("UnarmedTrained",CLASSFEATUREHEADERS,0),MATCH(($A785 &amp; "Points"),CLASSNAMEHEADERS,0))),"")))))))))}</f>
        <v>UNARMEDL13</v>
      </c>
      <c r="U784" s="223"/>
      <c r="V784" s="223" t="str">
        <f t="array" ref="V784:V785">{"UNARMEDL15";((IF("15"=(INDEX(ALLCLASSDATA,MATCH("UnarmedLegendary",CLASSFEATUREHEADERS,0),MATCH($A785,CLASSNAMEHEADERS,0))),(INDEX(ALLCLASSDATA,MATCH("UnarmedLegendary",CLASSFEATUREHEADERS,0),MATCH(($A785 &amp; "Points"),CLASSNAMEHEADERS,0))),(IF("15"=(INDEX(ALLCLASSDATA,MATCH("UnarmedMaster",CLASSFEATUREHEADERS,0),MATCH($A785,CLASSNAMEHEADERS,0))),(INDEX(ALLCLASSDATA,MATCH("UnarmedMaster",CLASSFEATUREHEADERS,0),MATCH(($A785 &amp; "Points"),CLASSNAMEHEADERS,0))),(IF("15"=(INDEX(ALLCLASSDATA,MATCH("UnarmedExpert",CLASSFEATUREHEADERS,0),MATCH($A785,CLASSNAMEHEADERS,0))),(INDEX(ALLCLASSDATA,MATCH("UnarmedExpert",CLASSFEATUREHEADERS,0),MATCH(($A785 &amp; "Points"),CLASSNAMEHEADERS,0))),(IF("15"=(INDEX(ALLCLASSDATA,MATCH("UnarmedTrained",CLASSFEATUREHEADERS,0),MATCH($A785,CLASSNAMEHEADERS,0))),(INDEX(ALLCLASSDATA,MATCH("UnarmedTrained",CLASSFEATUREHEADERS,0),MATCH(($A785 &amp; "Points"),CLASSNAMEHEADERS,0))),"")))))))))}</f>
        <v>UNARMEDL15</v>
      </c>
      <c r="W784" s="223"/>
      <c r="X784" s="223" t="str">
        <f t="array" ref="X784:X785">{"UNARMEDL17";((IF("17"=(INDEX(ALLCLASSDATA,MATCH("UnarmedLegendary",CLASSFEATUREHEADERS,0),MATCH($A785,CLASSNAMEHEADERS,0))),(INDEX(ALLCLASSDATA,MATCH("UnarmedLegendary",CLASSFEATUREHEADERS,0),MATCH(($A785 &amp; "Points"),CLASSNAMEHEADERS,0))),(IF("17"=(INDEX(ALLCLASSDATA,MATCH("UnarmedMaster",CLASSFEATUREHEADERS,0),MATCH($A785,CLASSNAMEHEADERS,0))),(INDEX(ALLCLASSDATA,MATCH("UnarmedMaster",CLASSFEATUREHEADERS,0),MATCH(($A785 &amp; "Points"),CLASSNAMEHEADERS,0))),(IF("17"=(INDEX(ALLCLASSDATA,MATCH("UnarmedExpert",CLASSFEATUREHEADERS,0),MATCH($A785,CLASSNAMEHEADERS,0))),(INDEX(ALLCLASSDATA,MATCH("UnarmedExpert",CLASSFEATUREHEADERS,0),MATCH(($A785 &amp; "Points"),CLASSNAMEHEADERS,0))),(IF("17"=(INDEX(ALLCLASSDATA,MATCH("UnarmedTrained",CLASSFEATUREHEADERS,0),MATCH($A785,CLASSNAMEHEADERS,0))),(INDEX(ALLCLASSDATA,MATCH("UnarmedTrained",CLASSFEATUREHEADERS,0),MATCH(($A785 &amp; "Points"),CLASSNAMEHEADERS,0))),"")))))))))}</f>
        <v>UNARMEDL17</v>
      </c>
      <c r="Y784" s="223"/>
      <c r="Z784" s="223" t="str">
        <f t="array" ref="Z784:Z785">{"UNARMEDL19";((IF("19"=(INDEX(ALLCLASSDATA,MATCH("UnarmedLegendary",CLASSFEATUREHEADERS,0),MATCH($A785,CLASSNAMEHEADERS,0))),(INDEX(ALLCLASSDATA,MATCH("UnarmedLegendary",CLASSFEATUREHEADERS,0),MATCH(($A785 &amp; "Points"),CLASSNAMEHEADERS,0))),(IF("19"=(INDEX(ALLCLASSDATA,MATCH("UnarmedMaster",CLASSFEATUREHEADERS,0),MATCH($A785,CLASSNAMEHEADERS,0))),(INDEX(ALLCLASSDATA,MATCH("UnarmedMaster",CLASSFEATUREHEADERS,0),MATCH(($A785 &amp; "Points"),CLASSNAMEHEADERS,0))),(IF("19"=(INDEX(ALLCLASSDATA,MATCH("UnarmedExpert",CLASSFEATUREHEADERS,0),MATCH($A785,CLASSNAMEHEADERS,0))),(INDEX(ALLCLASSDATA,MATCH("UnarmedExpert",CLASSFEATUREHEADERS,0),MATCH(($A785 &amp; "Points"),CLASSNAMEHEADERS,0))),(IF("19"=(INDEX(ALLCLASSDATA,MATCH("UnarmedTrained",CLASSFEATUREHEADERS,0),MATCH($A785,CLASSNAMEHEADERS,0))),(INDEX(ALLCLASSDATA,MATCH("UnarmedTrained",CLASSFEATUREHEADERS,0),MATCH(($A785 &amp; "Points"),CLASSNAMEHEADERS,0))),"")))))))))}</f>
        <v>UNARMEDL19</v>
      </c>
      <c r="AA784" s="223"/>
      <c r="AB784" s="76" t="str">
        <f t="array" ref="AB784:AB785">{"UNARMED TOTAL";(IF(COUNTBLANK(G785:AA785)=17,"L",(IF(COUNTBLANK(G785:AA785)=18,"M",(IF(COUNTBLANK(G785:AA785)=19,"E",(IF(COUNTBLANK(G785:AA785)=20,"T",""))))))))}</f>
        <v>UNARMED TOTAL</v>
      </c>
      <c r="AC784" s="76" t="str">
        <f t="array" ref="AC784:AC785">{"UNARMED TOTAL";(sum(G785:AA785))}</f>
        <v>UNARMED TOTAL</v>
      </c>
    </row>
    <row r="785">
      <c r="A785" s="48" t="s">
        <v>176</v>
      </c>
      <c r="B785" s="48"/>
      <c r="C785" s="48" t="s">
        <v>415</v>
      </c>
      <c r="D785" s="48" t="s">
        <v>1634</v>
      </c>
      <c r="E785" s="48" t="s">
        <v>257</v>
      </c>
      <c r="F785" s="5" t="s">
        <v>435</v>
      </c>
      <c r="G785" s="47" t="s">
        <v>603</v>
      </c>
      <c r="H785" s="5">
        <v>10.0</v>
      </c>
      <c r="I785" s="5"/>
      <c r="J785" s="5" t="s">
        <v>603</v>
      </c>
      <c r="K785" s="5"/>
      <c r="L785" s="5" t="s">
        <v>436</v>
      </c>
      <c r="M785" s="5"/>
      <c r="N785" s="5" t="s">
        <v>603</v>
      </c>
      <c r="O785" s="5"/>
      <c r="P785" s="5" t="s">
        <v>603</v>
      </c>
      <c r="Q785" s="5"/>
      <c r="R785" s="5" t="s">
        <v>603</v>
      </c>
      <c r="S785" s="5"/>
      <c r="T785" s="5" t="s">
        <v>437</v>
      </c>
      <c r="U785" s="5"/>
      <c r="V785" s="5" t="s">
        <v>603</v>
      </c>
      <c r="W785" s="5"/>
      <c r="X785" s="5" t="s">
        <v>603</v>
      </c>
      <c r="Y785" s="5"/>
      <c r="Z785" s="5" t="s">
        <v>603</v>
      </c>
      <c r="AA785" s="5"/>
      <c r="AB785" s="5" t="s">
        <v>437</v>
      </c>
      <c r="AC785" s="47">
        <v>10.0</v>
      </c>
    </row>
    <row r="786" hidden="1">
      <c r="A786" s="222" t="str">
        <f t="array" ref="A786:A787">{"FormulaRow28";(INDEX(CLASSLIST,A731,1))}</f>
        <v>FormulaRow28</v>
      </c>
      <c r="B786" s="77" t="s">
        <v>236</v>
      </c>
      <c r="C786" s="222" t="str">
        <f t="array" ref="C786:C787">{"CLASSTYPE";((INDEX(ALLCLASSDATA,MATCH("ClassType",CLASSFEATUREHEADERS,0),MATCH($A787,CLASSNAMEHEADERS,0))))}</f>
        <v>CLASSTYPE</v>
      </c>
      <c r="D786" s="222" t="str">
        <f t="array" ref="D786:D787">{"ATTACK";"Attack"}</f>
        <v>ATTACK</v>
      </c>
      <c r="E786" s="222" t="str">
        <f t="array" ref="E786:E787">{"SIMPLELIMITED";"SimpleLimited"}</f>
        <v>SIMPLELIMITED</v>
      </c>
      <c r="F786" s="223" t="str">
        <f t="array" ref="F786:F787">{"SIMPLELIMITEDINITIAL";((IF(H787=10,"T",(IF(H787=50,"E","")))))}</f>
        <v>SIMPLELIMITEDINITIAL</v>
      </c>
      <c r="G786" s="223" t="str">
        <f t="array" ref="G786:G787">{"SIMPLELIMITEDINITIALPTS";((IF("00"=(INDEX(ALLCLASSDATA,MATCH("SimpleLimitedLegendary",CLASSFEATUREHEADERS,0),MATCH($A787,CLASSNAMEHEADERS,0))),(INDEX(ALLCLASSDATA,MATCH("SimpleLimitedLegendary",CLASSFEATUREHEADERS,0),MATCH(($A787 &amp; "Points"),CLASSNAMEHEADERS,0))),(IF("00"=(INDEX(ALLCLASSDATA,MATCH("SimpleLimitedMaster",CLASSFEATUREHEADERS,0),MATCH($A787,CLASSNAMEHEADERS,0))),(INDEX(ALLCLASSDATA,MATCH("SimpleLimitedMaster",CLASSFEATUREHEADERS,0),MATCH(($A787 &amp; "Points"),CLASSNAMEHEADERS,0))),(IF("00"=(INDEX(ALLCLASSDATA,MATCH("SimpleLimitedExpert",CLASSFEATUREHEADERS,0),MATCH($A787,CLASSNAMEHEADERS,0))),(INDEX(ALLCLASSDATA,MATCH("SimpleLimitedExpert",CLASSFEATUREHEADERS,0),MATCH(($A787 &amp; "Points"),CLASSNAMEHEADERS,0))),(IF("00"=(INDEX(ALLCLASSDATA,MATCH("SimpleLimitedTrained",CLASSFEATUREHEADERS,0),MATCH($A787,CLASSNAMEHEADERS,0))),(INDEX(ALLCLASSDATA,MATCH("SimpleLimitedTrained",CLASSFEATUREHEADERS,0),MATCH(($A787 &amp; "Points"),CLASSNAMEHEADERS,0))),"")))))))))}</f>
        <v>SIMPLELIMITEDINITIALPTS</v>
      </c>
      <c r="H786" s="223" t="str">
        <f t="array" ref="H786:H787">{"SIMPLELIMITEDL01";((IF("01"=(INDEX(ALLCLASSDATA,MATCH("SimpleLimitedLegendary",CLASSFEATUREHEADERS,0),MATCH($A787,CLASSNAMEHEADERS,0))),(INDEX(ALLCLASSDATA,MATCH("SimpleLimitedLegendary",CLASSFEATUREHEADERS,0),MATCH(($A787 &amp; "Points"),CLASSNAMEHEADERS,0))),(IF("01"=(INDEX(ALLCLASSDATA,MATCH("SimpleLimitedMaster",CLASSFEATUREHEADERS,0),MATCH($A787,CLASSNAMEHEADERS,0))),(INDEX(ALLCLASSDATA,MATCH("SimpleLimitedMaster",CLASSFEATUREHEADERS,0),MATCH(($A787 &amp; "Points"),CLASSNAMEHEADERS,0))),(IF("01"=(INDEX(ALLCLASSDATA,MATCH("SimpleLimitedExpert",CLASSFEATUREHEADERS,0),MATCH($A787,CLASSNAMEHEADERS,0))),(INDEX(ALLCLASSDATA,MATCH("SimpleLimitedExpert",CLASSFEATUREHEADERS,0),MATCH(($A787 &amp; "Points"),CLASSNAMEHEADERS,0))),(IF("01"=(INDEX(ALLCLASSDATA,MATCH("SimpleLimitedTrained",CLASSFEATUREHEADERS,0),MATCH($A787,CLASSNAMEHEADERS,0))),(INDEX(ALLCLASSDATA,MATCH("SimpleLimitedTrained",CLASSFEATUREHEADERS,0),MATCH(($A787 &amp; "Points"),CLASSNAMEHEADERS,0))),"")))))))))}</f>
        <v>SIMPLELIMITEDL01</v>
      </c>
      <c r="I786" s="223"/>
      <c r="J786" s="223" t="str">
        <f t="array" ref="J786:J787">{"SIMPLELIMITEDL03";((IF("03"=(INDEX(ALLCLASSDATA,MATCH("SimpleLimitedLegendary",CLASSFEATUREHEADERS,0),MATCH($A787,CLASSNAMEHEADERS,0))),(INDEX(ALLCLASSDATA,MATCH("SimpleLimitedLegendary",CLASSFEATUREHEADERS,0),MATCH(($A787 &amp; "Points"),CLASSNAMEHEADERS,0))),(IF("03"=(INDEX(ALLCLASSDATA,MATCH("SimpleLimitedMaster",CLASSFEATUREHEADERS,0),MATCH($A787,CLASSNAMEHEADERS,0))),(INDEX(ALLCLASSDATA,MATCH("SimpleLimitedMaster",CLASSFEATUREHEADERS,0),MATCH(($A787 &amp; "Points"),CLASSNAMEHEADERS,0))),(IF("03"=(INDEX(ALLCLASSDATA,MATCH("SimpleLimitedExpert",CLASSFEATUREHEADERS,0),MATCH($A787,CLASSNAMEHEADERS,0))),(INDEX(ALLCLASSDATA,MATCH("SimpleLimitedExpert",CLASSFEATUREHEADERS,0),MATCH(($A787 &amp; "Points"),CLASSNAMEHEADERS,0))),(IF("03"=(INDEX(ALLCLASSDATA,MATCH("SimpleLimitedTrained",CLASSFEATUREHEADERS,0),MATCH($A787,CLASSNAMEHEADERS,0))),(INDEX(ALLCLASSDATA,MATCH("SimpleLimitedTrained",CLASSFEATUREHEADERS,0),MATCH(($A787 &amp; "Points"),CLASSNAMEHEADERS,0))),"")))))))))}</f>
        <v>SIMPLELIMITEDL03</v>
      </c>
      <c r="K786" s="223"/>
      <c r="L786" s="223" t="str">
        <f t="array" ref="L786:L787">{"SIMPLELIMITEDL05";((IF("05"=(INDEX(ALLCLASSDATA,MATCH("SimpleLimitedLegendary",CLASSFEATUREHEADERS,0),MATCH($A787,CLASSNAMEHEADERS,0))),(INDEX(ALLCLASSDATA,MATCH("SimpleLimitedLegendary",CLASSFEATUREHEADERS,0),MATCH(($A787 &amp; "Points"),CLASSNAMEHEADERS,0))),(IF("05"=(INDEX(ALLCLASSDATA,MATCH("SimpleLimitedMaster",CLASSFEATUREHEADERS,0),MATCH($A787,CLASSNAMEHEADERS,0))),(INDEX(ALLCLASSDATA,MATCH("SimpleLimitedMaster",CLASSFEATUREHEADERS,0),MATCH(($A787 &amp; "Points"),CLASSNAMEHEADERS,0))),(IF("05"=(INDEX(ALLCLASSDATA,MATCH("SimpleLimitedExpert",CLASSFEATUREHEADERS,0),MATCH($A787,CLASSNAMEHEADERS,0))),(INDEX(ALLCLASSDATA,MATCH("SimpleLimitedExpert",CLASSFEATUREHEADERS,0),MATCH(($A787 &amp; "Points"),CLASSNAMEHEADERS,0))),(IF("05"=(INDEX(ALLCLASSDATA,MATCH("SimpleLimitedTrained",CLASSFEATUREHEADERS,0),MATCH($A787,CLASSNAMEHEADERS,0))),(INDEX(ALLCLASSDATA,MATCH("SimpleLimitedTrained",CLASSFEATUREHEADERS,0),MATCH(($A787 &amp; "Points"),CLASSNAMEHEADERS,0))),"")))))))))}</f>
        <v>SIMPLELIMITEDL05</v>
      </c>
      <c r="M786" s="223"/>
      <c r="N786" s="223" t="str">
        <f t="array" ref="N786:N787">{"SIMPLELIMITEDL07";((IF("07"=(INDEX(ALLCLASSDATA,MATCH("SimpleLimitedLegendary",CLASSFEATUREHEADERS,0),MATCH($A787,CLASSNAMEHEADERS,0))),(INDEX(ALLCLASSDATA,MATCH("SimpleLimitedLegendary",CLASSFEATUREHEADERS,0),MATCH(($A787 &amp; "Points"),CLASSNAMEHEADERS,0))),(IF("07"=(INDEX(ALLCLASSDATA,MATCH("SimpleLimitedMaster",CLASSFEATUREHEADERS,0),MATCH($A787,CLASSNAMEHEADERS,0))),(INDEX(ALLCLASSDATA,MATCH("SimpleLimitedMaster",CLASSFEATUREHEADERS,0),MATCH(($A787 &amp; "Points"),CLASSNAMEHEADERS,0))),(IF("07"=(INDEX(ALLCLASSDATA,MATCH("SimpleLimitedExpert",CLASSFEATUREHEADERS,0),MATCH($A787,CLASSNAMEHEADERS,0))),(INDEX(ALLCLASSDATA,MATCH("SimpleLimitedExpert",CLASSFEATUREHEADERS,0),MATCH(($A787 &amp; "Points"),CLASSNAMEHEADERS,0))),(IF("07"=(INDEX(ALLCLASSDATA,MATCH("SimpleLimitedTrained",CLASSFEATUREHEADERS,0),MATCH($A787,CLASSNAMEHEADERS,0))),(INDEX(ALLCLASSDATA,MATCH("SimpleLimitedTrained",CLASSFEATUREHEADERS,0),MATCH(($A787 &amp; "Points"),CLASSNAMEHEADERS,0))),"")))))))))}</f>
        <v>SIMPLELIMITEDL07</v>
      </c>
      <c r="O786" s="223"/>
      <c r="P786" s="223" t="str">
        <f t="array" ref="P786:P787">{"SIMPLELIMITEDL09";((IF("09"=(INDEX(ALLCLASSDATA,MATCH("SimpleLimitedLegendary",CLASSFEATUREHEADERS,0),MATCH($A787,CLASSNAMEHEADERS,0))),(INDEX(ALLCLASSDATA,MATCH("SimpleLimitedLegendary",CLASSFEATUREHEADERS,0),MATCH(($A787 &amp; "Points"),CLASSNAMEHEADERS,0))),(IF("09"=(INDEX(ALLCLASSDATA,MATCH("SimpleLimitedMaster",CLASSFEATUREHEADERS,0),MATCH($A787,CLASSNAMEHEADERS,0))),(INDEX(ALLCLASSDATA,MATCH("SimpleLimitedMaster",CLASSFEATUREHEADERS,0),MATCH(($A787 &amp; "Points"),CLASSNAMEHEADERS,0))),(IF("09"=(INDEX(ALLCLASSDATA,MATCH("SimpleLimitedExpert",CLASSFEATUREHEADERS,0),MATCH($A787,CLASSNAMEHEADERS,0))),(INDEX(ALLCLASSDATA,MATCH("SimpleLimitedExpert",CLASSFEATUREHEADERS,0),MATCH(($A787 &amp; "Points"),CLASSNAMEHEADERS,0))),(IF("09"=(INDEX(ALLCLASSDATA,MATCH("SimpleLimitedTrained",CLASSFEATUREHEADERS,0),MATCH($A787,CLASSNAMEHEADERS,0))),(INDEX(ALLCLASSDATA,MATCH("SimpleLimitedTrained",CLASSFEATUREHEADERS,0),MATCH(($A787 &amp; "Points"),CLASSNAMEHEADERS,0))),"")))))))))}</f>
        <v>SIMPLELIMITEDL09</v>
      </c>
      <c r="Q786" s="223"/>
      <c r="R786" s="223" t="str">
        <f t="array" ref="R786:R787">{"SIMPLELIMITEDL11";((IF("11"=(INDEX(ALLCLASSDATA,MATCH("SimpleLimitedLegendary",CLASSFEATUREHEADERS,0),MATCH($A787,CLASSNAMEHEADERS,0))),(INDEX(ALLCLASSDATA,MATCH("SimpleLimitedLegendary",CLASSFEATUREHEADERS,0),MATCH(($A787 &amp; "Points"),CLASSNAMEHEADERS,0))),(IF("11"=(INDEX(ALLCLASSDATA,MATCH("SimpleLimitedMaster",CLASSFEATUREHEADERS,0),MATCH($A787,CLASSNAMEHEADERS,0))),(INDEX(ALLCLASSDATA,MATCH("SimpleLimitedMaster",CLASSFEATUREHEADERS,0),MATCH(($A787 &amp; "Points"),CLASSNAMEHEADERS,0))),(IF("11"=(INDEX(ALLCLASSDATA,MATCH("SimpleLimitedExpert",CLASSFEATUREHEADERS,0),MATCH($A787,CLASSNAMEHEADERS,0))),(INDEX(ALLCLASSDATA,MATCH("SimpleLimitedExpert",CLASSFEATUREHEADERS,0),MATCH(($A787 &amp; "Points"),CLASSNAMEHEADERS,0))),(IF("11"=(INDEX(ALLCLASSDATA,MATCH("SimpleLimitedTrained",CLASSFEATUREHEADERS,0),MATCH($A787,CLASSNAMEHEADERS,0))),(INDEX(ALLCLASSDATA,MATCH("SimpleLimitedTrained",CLASSFEATUREHEADERS,0),MATCH(($A787 &amp; "Points"),CLASSNAMEHEADERS,0))),"")))))))))}</f>
        <v>SIMPLELIMITEDL11</v>
      </c>
      <c r="S786" s="223"/>
      <c r="T786" s="223" t="str">
        <f t="array" ref="T786:T787">{"SIMPLELIMITEDL13";((IF("13"=(INDEX(ALLCLASSDATA,MATCH("SimpleLimitedLegendary",CLASSFEATUREHEADERS,0),MATCH($A787,CLASSNAMEHEADERS,0))),(INDEX(ALLCLASSDATA,MATCH("SimpleLimitedLegendary",CLASSFEATUREHEADERS,0),MATCH(($A787 &amp; "Points"),CLASSNAMEHEADERS,0))),(IF("13"=(INDEX(ALLCLASSDATA,MATCH("SimpleLimitedMaster",CLASSFEATUREHEADERS,0),MATCH($A787,CLASSNAMEHEADERS,0))),(INDEX(ALLCLASSDATA,MATCH("SimpleLimitedMaster",CLASSFEATUREHEADERS,0),MATCH(($A787 &amp; "Points"),CLASSNAMEHEADERS,0))),(IF("13"=(INDEX(ALLCLASSDATA,MATCH("SimpleLimitedExpert",CLASSFEATUREHEADERS,0),MATCH($A787,CLASSNAMEHEADERS,0))),(INDEX(ALLCLASSDATA,MATCH("SimpleLimitedExpert",CLASSFEATUREHEADERS,0),MATCH(($A787 &amp; "Points"),CLASSNAMEHEADERS,0))),(IF("13"=(INDEX(ALLCLASSDATA,MATCH("SimpleLimitedTrained",CLASSFEATUREHEADERS,0),MATCH($A787,CLASSNAMEHEADERS,0))),(INDEX(ALLCLASSDATA,MATCH("SimpleLimitedTrained",CLASSFEATUREHEADERS,0),MATCH(($A787 &amp; "Points"),CLASSNAMEHEADERS,0))),"")))))))))}</f>
        <v>SIMPLELIMITEDL13</v>
      </c>
      <c r="U786" s="223"/>
      <c r="V786" s="223" t="str">
        <f t="array" ref="V786:V787">{"SIMPLELIMITEDL15";((IF("15"=(INDEX(ALLCLASSDATA,MATCH("SimpleLimitedLegendary",CLASSFEATUREHEADERS,0),MATCH($A787,CLASSNAMEHEADERS,0))),(INDEX(ALLCLASSDATA,MATCH("SimpleLimitedLegendary",CLASSFEATUREHEADERS,0),MATCH(($A787 &amp; "Points"),CLASSNAMEHEADERS,0))),(IF("15"=(INDEX(ALLCLASSDATA,MATCH("SimpleLimitedMaster",CLASSFEATUREHEADERS,0),MATCH($A787,CLASSNAMEHEADERS,0))),(INDEX(ALLCLASSDATA,MATCH("SimpleLimitedMaster",CLASSFEATUREHEADERS,0),MATCH(($A787 &amp; "Points"),CLASSNAMEHEADERS,0))),(IF("15"=(INDEX(ALLCLASSDATA,MATCH("SimpleLimitedExpert",CLASSFEATUREHEADERS,0),MATCH($A787,CLASSNAMEHEADERS,0))),(INDEX(ALLCLASSDATA,MATCH("SimpleLimitedExpert",CLASSFEATUREHEADERS,0),MATCH(($A787 &amp; "Points"),CLASSNAMEHEADERS,0))),(IF("15"=(INDEX(ALLCLASSDATA,MATCH("SimpleLimitedTrained",CLASSFEATUREHEADERS,0),MATCH($A787,CLASSNAMEHEADERS,0))),(INDEX(ALLCLASSDATA,MATCH("SimpleLimitedTrained",CLASSFEATUREHEADERS,0),MATCH(($A787 &amp; "Points"),CLASSNAMEHEADERS,0))),"")))))))))}</f>
        <v>SIMPLELIMITEDL15</v>
      </c>
      <c r="W786" s="223"/>
      <c r="X786" s="223" t="str">
        <f t="array" ref="X786:X787">{"SIMPLELIMITEDL17";((IF("17"=(INDEX(ALLCLASSDATA,MATCH("SimpleLimitedLegendary",CLASSFEATUREHEADERS,0),MATCH($A787,CLASSNAMEHEADERS,0))),(INDEX(ALLCLASSDATA,MATCH("SimpleLimitedLegendary",CLASSFEATUREHEADERS,0),MATCH(($A787 &amp; "Points"),CLASSNAMEHEADERS,0))),(IF("17"=(INDEX(ALLCLASSDATA,MATCH("SimpleLimitedMaster",CLASSFEATUREHEADERS,0),MATCH($A787,CLASSNAMEHEADERS,0))),(INDEX(ALLCLASSDATA,MATCH("SimpleLimitedMaster",CLASSFEATUREHEADERS,0),MATCH(($A787 &amp; "Points"),CLASSNAMEHEADERS,0))),(IF("17"=(INDEX(ALLCLASSDATA,MATCH("SimpleLimitedExpert",CLASSFEATUREHEADERS,0),MATCH($A787,CLASSNAMEHEADERS,0))),(INDEX(ALLCLASSDATA,MATCH("SimpleLimitedExpert",CLASSFEATUREHEADERS,0),MATCH(($A787 &amp; "Points"),CLASSNAMEHEADERS,0))),(IF("17"=(INDEX(ALLCLASSDATA,MATCH("SimpleLimitedTrained",CLASSFEATUREHEADERS,0),MATCH($A787,CLASSNAMEHEADERS,0))),(INDEX(ALLCLASSDATA,MATCH("SimpleLimitedTrained",CLASSFEATUREHEADERS,0),MATCH(($A787 &amp; "Points"),CLASSNAMEHEADERS,0))),"")))))))))}</f>
        <v>SIMPLELIMITEDL17</v>
      </c>
      <c r="Y786" s="223"/>
      <c r="Z786" s="223" t="str">
        <f t="array" ref="Z786:Z787">{"SIMPLELIMITEDL19";((IF("19"=(INDEX(ALLCLASSDATA,MATCH("SimpleLimitedLegendary",CLASSFEATUREHEADERS,0),MATCH($A787,CLASSNAMEHEADERS,0))),(INDEX(ALLCLASSDATA,MATCH("SimpleLimitedLegendary",CLASSFEATUREHEADERS,0),MATCH(($A787 &amp; "Points"),CLASSNAMEHEADERS,0))),(IF("19"=(INDEX(ALLCLASSDATA,MATCH("SimpleLimitedMaster",CLASSFEATUREHEADERS,0),MATCH($A787,CLASSNAMEHEADERS,0))),(INDEX(ALLCLASSDATA,MATCH("SimpleLimitedMaster",CLASSFEATUREHEADERS,0),MATCH(($A787 &amp; "Points"),CLASSNAMEHEADERS,0))),(IF("19"=(INDEX(ALLCLASSDATA,MATCH("SimpleLimitedExpert",CLASSFEATUREHEADERS,0),MATCH($A787,CLASSNAMEHEADERS,0))),(INDEX(ALLCLASSDATA,MATCH("SimpleLimitedExpert",CLASSFEATUREHEADERS,0),MATCH(($A787 &amp; "Points"),CLASSNAMEHEADERS,0))),(IF("19"=(INDEX(ALLCLASSDATA,MATCH("SimpleLimitedTrained",CLASSFEATUREHEADERS,0),MATCH($A787,CLASSNAMEHEADERS,0))),(INDEX(ALLCLASSDATA,MATCH("SimpleLimitedTrained",CLASSFEATUREHEADERS,0),MATCH(($A787 &amp; "Points"),CLASSNAMEHEADERS,0))),"")))))))))}</f>
        <v>SIMPLELIMITEDL19</v>
      </c>
      <c r="AA786" s="223"/>
      <c r="AB786" s="76" t="str">
        <f t="array" ref="AB786:AB787">{"SIMPLELIMITED TOTAL";(IF(COUNTBLANK(G787:AA787)=17,"L",(IF(COUNTBLANK(G787:AA787)=18,"M",(IF(COUNTBLANK(G787:AA787)=19,"E",(IF(COUNTBLANK(G787:AA787)=20,"T",""))))))))}</f>
        <v>SIMPLELIMITED TOTAL</v>
      </c>
      <c r="AC786" s="76" t="str">
        <f t="array" ref="AC786:AC787">{"SIMPLELIMITED TOTAL";(sum(G787:AA787))}</f>
        <v>SIMPLELIMITED TOTAL</v>
      </c>
    </row>
    <row r="787">
      <c r="A787" s="48" t="s">
        <v>176</v>
      </c>
      <c r="B787" s="48"/>
      <c r="C787" s="48" t="s">
        <v>415</v>
      </c>
      <c r="D787" s="48" t="s">
        <v>1634</v>
      </c>
      <c r="E787" s="48" t="s">
        <v>599</v>
      </c>
      <c r="F787" s="5" t="s">
        <v>603</v>
      </c>
      <c r="G787" s="47" t="s">
        <v>603</v>
      </c>
      <c r="H787" s="5" t="s">
        <v>603</v>
      </c>
      <c r="I787" s="5"/>
      <c r="J787" s="5" t="s">
        <v>603</v>
      </c>
      <c r="K787" s="5"/>
      <c r="L787" s="5" t="s">
        <v>603</v>
      </c>
      <c r="M787" s="5"/>
      <c r="N787" s="5" t="s">
        <v>603</v>
      </c>
      <c r="O787" s="5"/>
      <c r="P787" s="5" t="s">
        <v>603</v>
      </c>
      <c r="Q787" s="5"/>
      <c r="R787" s="5" t="s">
        <v>603</v>
      </c>
      <c r="S787" s="5"/>
      <c r="T787" s="5" t="s">
        <v>603</v>
      </c>
      <c r="U787" s="5"/>
      <c r="V787" s="5" t="s">
        <v>603</v>
      </c>
      <c r="W787" s="5"/>
      <c r="X787" s="5" t="s">
        <v>603</v>
      </c>
      <c r="Y787" s="5"/>
      <c r="Z787" s="5" t="s">
        <v>603</v>
      </c>
      <c r="AA787" s="5"/>
      <c r="AB787" s="5" t="s">
        <v>603</v>
      </c>
      <c r="AC787" s="47">
        <v>0.0</v>
      </c>
    </row>
    <row r="788" hidden="1">
      <c r="A788" s="222" t="str">
        <f t="array" ref="A788:A789">{"FormulaRow29";(INDEX(CLASSLIST,A731,1))}</f>
        <v>FormulaRow29</v>
      </c>
      <c r="B788" s="77" t="s">
        <v>236</v>
      </c>
      <c r="C788" s="222" t="str">
        <f t="array" ref="C788:C789">{"CLASSTYPE";((INDEX(ALLCLASSDATA,MATCH("ClassType",CLASSFEATUREHEADERS,0),MATCH($A789,CLASSNAMEHEADERS,0))))}</f>
        <v>CLASSTYPE</v>
      </c>
      <c r="D788" s="222" t="str">
        <f t="array" ref="D788:D789">{"ATTACK";"Attack"}</f>
        <v>ATTACK</v>
      </c>
      <c r="E788" s="222" t="str">
        <f t="array" ref="E788:E789">{"SIMPLE";"Simple"}</f>
        <v>SIMPLE</v>
      </c>
      <c r="F788" s="223" t="str">
        <f t="array" ref="F788:F789">{"SIMPLEINITIAL";((IF(H789=10,"T",(IF(H789=50,"E","")))))}</f>
        <v>SIMPLEINITIAL</v>
      </c>
      <c r="G788" s="223" t="str">
        <f t="array" ref="G788:G789">{"SIMPLEINITIALPTS";((IF("00"=(INDEX(ALLCLASSDATA,MATCH("SimpleLegendary",CLASSFEATUREHEADERS,0),MATCH($A789,CLASSNAMEHEADERS,0))),(INDEX(ALLCLASSDATA,MATCH("SimpleLegendary",CLASSFEATUREHEADERS,0),MATCH(($A789 &amp; "Points"),CLASSNAMEHEADERS,0))),(IF("00"=(INDEX(ALLCLASSDATA,MATCH("SimpleMaster",CLASSFEATUREHEADERS,0),MATCH($A789,CLASSNAMEHEADERS,0))),(INDEX(ALLCLASSDATA,MATCH("SimpleMaster",CLASSFEATUREHEADERS,0),MATCH(($A789 &amp; "Points"),CLASSNAMEHEADERS,0))),(IF("00"=(INDEX(ALLCLASSDATA,MATCH("SimpleExpert",CLASSFEATUREHEADERS,0),MATCH($A789,CLASSNAMEHEADERS,0))),(INDEX(ALLCLASSDATA,MATCH("SimpleExpert",CLASSFEATUREHEADERS,0),MATCH(($A789 &amp; "Points"),CLASSNAMEHEADERS,0))),(IF("00"=(INDEX(ALLCLASSDATA,MATCH("SimpleTrained",CLASSFEATUREHEADERS,0),MATCH($A789,CLASSNAMEHEADERS,0))),(INDEX(ALLCLASSDATA,MATCH("SimpleTrained",CLASSFEATUREHEADERS,0),MATCH(($A789 &amp; "Points"),CLASSNAMEHEADERS,0))),"")))))))))}</f>
        <v>SIMPLEINITIALPTS</v>
      </c>
      <c r="H788" s="223" t="str">
        <f t="array" ref="H788:H789">{"SIMPLEL01";((IF("01"=(INDEX(ALLCLASSDATA,MATCH("SimpleLegendary",CLASSFEATUREHEADERS,0),MATCH($A789,CLASSNAMEHEADERS,0))),(INDEX(ALLCLASSDATA,MATCH("SimpleLegendary",CLASSFEATUREHEADERS,0),MATCH(($A789 &amp; "Points"),CLASSNAMEHEADERS,0))),(IF("01"=(INDEX(ALLCLASSDATA,MATCH("SimpleMaster",CLASSFEATUREHEADERS,0),MATCH($A789,CLASSNAMEHEADERS,0))),(INDEX(ALLCLASSDATA,MATCH("SimpleMaster",CLASSFEATUREHEADERS,0),MATCH(($A789 &amp; "Points"),CLASSNAMEHEADERS,0))),(IF("01"=(INDEX(ALLCLASSDATA,MATCH("SimpleExpert",CLASSFEATUREHEADERS,0),MATCH($A789,CLASSNAMEHEADERS,0))),(INDEX(ALLCLASSDATA,MATCH("SimpleExpert",CLASSFEATUREHEADERS,0),MATCH(($A789 &amp; "Points"),CLASSNAMEHEADERS,0))),(IF("01"=(INDEX(ALLCLASSDATA,MATCH("SimpleTrained",CLASSFEATUREHEADERS,0),MATCH($A789,CLASSNAMEHEADERS,0))),(INDEX(ALLCLASSDATA,MATCH("SimpleTrained",CLASSFEATUREHEADERS,0),MATCH(($A789 &amp; "Points"),CLASSNAMEHEADERS,0))),"")))))))))}</f>
        <v>SIMPLEL01</v>
      </c>
      <c r="I788" s="223"/>
      <c r="J788" s="223" t="str">
        <f t="array" ref="J788:J789">{"SIMPLEL03";((IF("03"=(INDEX(ALLCLASSDATA,MATCH("SimpleLegendary",CLASSFEATUREHEADERS,0),MATCH($A789,CLASSNAMEHEADERS,0))),(INDEX(ALLCLASSDATA,MATCH("SimpleLegendary",CLASSFEATUREHEADERS,0),MATCH(($A789 &amp; "Points"),CLASSNAMEHEADERS,0))),(IF("03"=(INDEX(ALLCLASSDATA,MATCH("SimpleMaster",CLASSFEATUREHEADERS,0),MATCH($A789,CLASSNAMEHEADERS,0))),(INDEX(ALLCLASSDATA,MATCH("SimpleMaster",CLASSFEATUREHEADERS,0),MATCH(($A789 &amp; "Points"),CLASSNAMEHEADERS,0))),(IF("03"=(INDEX(ALLCLASSDATA,MATCH("SimpleExpert",CLASSFEATUREHEADERS,0),MATCH($A789,CLASSNAMEHEADERS,0))),(INDEX(ALLCLASSDATA,MATCH("SimpleExpert",CLASSFEATUREHEADERS,0),MATCH(($A789 &amp; "Points"),CLASSNAMEHEADERS,0))),(IF("03"=(INDEX(ALLCLASSDATA,MATCH("SimpleTrained",CLASSFEATUREHEADERS,0),MATCH($A789,CLASSNAMEHEADERS,0))),(INDEX(ALLCLASSDATA,MATCH("SimpleTrained",CLASSFEATUREHEADERS,0),MATCH(($A789 &amp; "Points"),CLASSNAMEHEADERS,0))),"")))))))))}</f>
        <v>SIMPLEL03</v>
      </c>
      <c r="K788" s="223"/>
      <c r="L788" s="223" t="str">
        <f t="array" ref="L788:L789">{"SIMPLEL05";((IF("05"=(INDEX(ALLCLASSDATA,MATCH("SimpleLegendary",CLASSFEATUREHEADERS,0),MATCH($A789,CLASSNAMEHEADERS,0))),(INDEX(ALLCLASSDATA,MATCH("SimpleLegendary",CLASSFEATUREHEADERS,0),MATCH(($A789 &amp; "Points"),CLASSNAMEHEADERS,0))),(IF("05"=(INDEX(ALLCLASSDATA,MATCH("SimpleMaster",CLASSFEATUREHEADERS,0),MATCH($A789,CLASSNAMEHEADERS,0))),(INDEX(ALLCLASSDATA,MATCH("SimpleMaster",CLASSFEATUREHEADERS,0),MATCH(($A789 &amp; "Points"),CLASSNAMEHEADERS,0))),(IF("05"=(INDEX(ALLCLASSDATA,MATCH("SimpleExpert",CLASSFEATUREHEADERS,0),MATCH($A789,CLASSNAMEHEADERS,0))),(INDEX(ALLCLASSDATA,MATCH("SimpleExpert",CLASSFEATUREHEADERS,0),MATCH(($A789 &amp; "Points"),CLASSNAMEHEADERS,0))),(IF("05"=(INDEX(ALLCLASSDATA,MATCH("SimpleTrained",CLASSFEATUREHEADERS,0),MATCH($A789,CLASSNAMEHEADERS,0))),(INDEX(ALLCLASSDATA,MATCH("SimpleTrained",CLASSFEATUREHEADERS,0),MATCH(($A789 &amp; "Points"),CLASSNAMEHEADERS,0))),"")))))))))}</f>
        <v>SIMPLEL05</v>
      </c>
      <c r="M788" s="223"/>
      <c r="N788" s="223" t="str">
        <f t="array" ref="N788:N789">{"SIMPLEL07";((IF("07"=(INDEX(ALLCLASSDATA,MATCH("SimpleLegendary",CLASSFEATUREHEADERS,0),MATCH($A789,CLASSNAMEHEADERS,0))),(INDEX(ALLCLASSDATA,MATCH("SimpleLegendary",CLASSFEATUREHEADERS,0),MATCH(($A789 &amp; "Points"),CLASSNAMEHEADERS,0))),(IF("07"=(INDEX(ALLCLASSDATA,MATCH("SimpleMaster",CLASSFEATUREHEADERS,0),MATCH($A789,CLASSNAMEHEADERS,0))),(INDEX(ALLCLASSDATA,MATCH("SimpleMaster",CLASSFEATUREHEADERS,0),MATCH(($A789 &amp; "Points"),CLASSNAMEHEADERS,0))),(IF("07"=(INDEX(ALLCLASSDATA,MATCH("SimpleExpert",CLASSFEATUREHEADERS,0),MATCH($A789,CLASSNAMEHEADERS,0))),(INDEX(ALLCLASSDATA,MATCH("SimpleExpert",CLASSFEATUREHEADERS,0),MATCH(($A789 &amp; "Points"),CLASSNAMEHEADERS,0))),(IF("07"=(INDEX(ALLCLASSDATA,MATCH("SimpleTrained",CLASSFEATUREHEADERS,0),MATCH($A789,CLASSNAMEHEADERS,0))),(INDEX(ALLCLASSDATA,MATCH("SimpleTrained",CLASSFEATUREHEADERS,0),MATCH(($A789 &amp; "Points"),CLASSNAMEHEADERS,0))),"")))))))))}</f>
        <v>SIMPLEL07</v>
      </c>
      <c r="O788" s="223"/>
      <c r="P788" s="223" t="str">
        <f t="array" ref="P788:P789">{"SIMPLEL09";((IF("09"=(INDEX(ALLCLASSDATA,MATCH("SimpleLegendary",CLASSFEATUREHEADERS,0),MATCH($A789,CLASSNAMEHEADERS,0))),(INDEX(ALLCLASSDATA,MATCH("SimpleLegendary",CLASSFEATUREHEADERS,0),MATCH(($A789 &amp; "Points"),CLASSNAMEHEADERS,0))),(IF("09"=(INDEX(ALLCLASSDATA,MATCH("SimpleMaster",CLASSFEATUREHEADERS,0),MATCH($A789,CLASSNAMEHEADERS,0))),(INDEX(ALLCLASSDATA,MATCH("SimpleMaster",CLASSFEATUREHEADERS,0),MATCH(($A789 &amp; "Points"),CLASSNAMEHEADERS,0))),(IF("09"=(INDEX(ALLCLASSDATA,MATCH("SimpleExpert",CLASSFEATUREHEADERS,0),MATCH($A789,CLASSNAMEHEADERS,0))),(INDEX(ALLCLASSDATA,MATCH("SimpleExpert",CLASSFEATUREHEADERS,0),MATCH(($A789 &amp; "Points"),CLASSNAMEHEADERS,0))),(IF("09"=(INDEX(ALLCLASSDATA,MATCH("SimpleTrained",CLASSFEATUREHEADERS,0),MATCH($A789,CLASSNAMEHEADERS,0))),(INDEX(ALLCLASSDATA,MATCH("SimpleTrained",CLASSFEATUREHEADERS,0),MATCH(($A789 &amp; "Points"),CLASSNAMEHEADERS,0))),"")))))))))}</f>
        <v>SIMPLEL09</v>
      </c>
      <c r="Q788" s="223"/>
      <c r="R788" s="223" t="str">
        <f t="array" ref="R788:R789">{"SIMPLEL11";((IF("11"=(INDEX(ALLCLASSDATA,MATCH("SimpleLegendary",CLASSFEATUREHEADERS,0),MATCH($A789,CLASSNAMEHEADERS,0))),(INDEX(ALLCLASSDATA,MATCH("SimpleLegendary",CLASSFEATUREHEADERS,0),MATCH(($A789 &amp; "Points"),CLASSNAMEHEADERS,0))),(IF("11"=(INDEX(ALLCLASSDATA,MATCH("SimpleMaster",CLASSFEATUREHEADERS,0),MATCH($A789,CLASSNAMEHEADERS,0))),(INDEX(ALLCLASSDATA,MATCH("SimpleMaster",CLASSFEATUREHEADERS,0),MATCH(($A789 &amp; "Points"),CLASSNAMEHEADERS,0))),(IF("11"=(INDEX(ALLCLASSDATA,MATCH("SimpleExpert",CLASSFEATUREHEADERS,0),MATCH($A789,CLASSNAMEHEADERS,0))),(INDEX(ALLCLASSDATA,MATCH("SimpleExpert",CLASSFEATUREHEADERS,0),MATCH(($A789 &amp; "Points"),CLASSNAMEHEADERS,0))),(IF("11"=(INDEX(ALLCLASSDATA,MATCH("SimpleTrained",CLASSFEATUREHEADERS,0),MATCH($A789,CLASSNAMEHEADERS,0))),(INDEX(ALLCLASSDATA,MATCH("SimpleTrained",CLASSFEATUREHEADERS,0),MATCH(($A789 &amp; "Points"),CLASSNAMEHEADERS,0))),"")))))))))}</f>
        <v>SIMPLEL11</v>
      </c>
      <c r="S788" s="223"/>
      <c r="T788" s="223" t="str">
        <f t="array" ref="T788:T789">{"SIMPLEL13";((IF("13"=(INDEX(ALLCLASSDATA,MATCH("SimpleLegendary",CLASSFEATUREHEADERS,0),MATCH($A789,CLASSNAMEHEADERS,0))),(INDEX(ALLCLASSDATA,MATCH("SimpleLegendary",CLASSFEATUREHEADERS,0),MATCH(($A789 &amp; "Points"),CLASSNAMEHEADERS,0))),(IF("13"=(INDEX(ALLCLASSDATA,MATCH("SimpleMaster",CLASSFEATUREHEADERS,0),MATCH($A789,CLASSNAMEHEADERS,0))),(INDEX(ALLCLASSDATA,MATCH("SimpleMaster",CLASSFEATUREHEADERS,0),MATCH(($A789 &amp; "Points"),CLASSNAMEHEADERS,0))),(IF("13"=(INDEX(ALLCLASSDATA,MATCH("SimpleExpert",CLASSFEATUREHEADERS,0),MATCH($A789,CLASSNAMEHEADERS,0))),(INDEX(ALLCLASSDATA,MATCH("SimpleExpert",CLASSFEATUREHEADERS,0),MATCH(($A789 &amp; "Points"),CLASSNAMEHEADERS,0))),(IF("13"=(INDEX(ALLCLASSDATA,MATCH("SimpleTrained",CLASSFEATUREHEADERS,0),MATCH($A789,CLASSNAMEHEADERS,0))),(INDEX(ALLCLASSDATA,MATCH("SimpleTrained",CLASSFEATUREHEADERS,0),MATCH(($A789 &amp; "Points"),CLASSNAMEHEADERS,0))),"")))))))))}</f>
        <v>SIMPLEL13</v>
      </c>
      <c r="U788" s="223"/>
      <c r="V788" s="223" t="str">
        <f t="array" ref="V788:V789">{"SIMPLEL15";((IF("15"=(INDEX(ALLCLASSDATA,MATCH("SimpleLegendary",CLASSFEATUREHEADERS,0),MATCH($A789,CLASSNAMEHEADERS,0))),(INDEX(ALLCLASSDATA,MATCH("SimpleLegendary",CLASSFEATUREHEADERS,0),MATCH(($A789 &amp; "Points"),CLASSNAMEHEADERS,0))),(IF("15"=(INDEX(ALLCLASSDATA,MATCH("SimpleMaster",CLASSFEATUREHEADERS,0),MATCH($A789,CLASSNAMEHEADERS,0))),(INDEX(ALLCLASSDATA,MATCH("SimpleMaster",CLASSFEATUREHEADERS,0),MATCH(($A789 &amp; "Points"),CLASSNAMEHEADERS,0))),(IF("15"=(INDEX(ALLCLASSDATA,MATCH("SimpleExpert",CLASSFEATUREHEADERS,0),MATCH($A789,CLASSNAMEHEADERS,0))),(INDEX(ALLCLASSDATA,MATCH("SimpleExpert",CLASSFEATUREHEADERS,0),MATCH(($A789 &amp; "Points"),CLASSNAMEHEADERS,0))),(IF("15"=(INDEX(ALLCLASSDATA,MATCH("SimpleTrained",CLASSFEATUREHEADERS,0),MATCH($A789,CLASSNAMEHEADERS,0))),(INDEX(ALLCLASSDATA,MATCH("SimpleTrained",CLASSFEATUREHEADERS,0),MATCH(($A789 &amp; "Points"),CLASSNAMEHEADERS,0))),"")))))))))}</f>
        <v>SIMPLEL15</v>
      </c>
      <c r="W788" s="223"/>
      <c r="X788" s="223" t="str">
        <f t="array" ref="X788:X789">{"SIMPLEL17";((IF("17"=(INDEX(ALLCLASSDATA,MATCH("SimpleLegendary",CLASSFEATUREHEADERS,0),MATCH($A789,CLASSNAMEHEADERS,0))),(INDEX(ALLCLASSDATA,MATCH("SimpleLegendary",CLASSFEATUREHEADERS,0),MATCH(($A789 &amp; "Points"),CLASSNAMEHEADERS,0))),(IF("17"=(INDEX(ALLCLASSDATA,MATCH("SimpleMaster",CLASSFEATUREHEADERS,0),MATCH($A789,CLASSNAMEHEADERS,0))),(INDEX(ALLCLASSDATA,MATCH("SimpleMaster",CLASSFEATUREHEADERS,0),MATCH(($A789 &amp; "Points"),CLASSNAMEHEADERS,0))),(IF("17"=(INDEX(ALLCLASSDATA,MATCH("SimpleExpert",CLASSFEATUREHEADERS,0),MATCH($A789,CLASSNAMEHEADERS,0))),(INDEX(ALLCLASSDATA,MATCH("SimpleExpert",CLASSFEATUREHEADERS,0),MATCH(($A789 &amp; "Points"),CLASSNAMEHEADERS,0))),(IF("17"=(INDEX(ALLCLASSDATA,MATCH("SimpleTrained",CLASSFEATUREHEADERS,0),MATCH($A789,CLASSNAMEHEADERS,0))),(INDEX(ALLCLASSDATA,MATCH("SimpleTrained",CLASSFEATUREHEADERS,0),MATCH(($A789 &amp; "Points"),CLASSNAMEHEADERS,0))),"")))))))))}</f>
        <v>SIMPLEL17</v>
      </c>
      <c r="Y788" s="223"/>
      <c r="Z788" s="223" t="str">
        <f t="array" ref="Z788:Z789">{"SIMPLEL19";((IF("19"=(INDEX(ALLCLASSDATA,MATCH("SimpleLegendary",CLASSFEATUREHEADERS,0),MATCH($A789,CLASSNAMEHEADERS,0))),(INDEX(ALLCLASSDATA,MATCH("SimpleLegendary",CLASSFEATUREHEADERS,0),MATCH(($A789 &amp; "Points"),CLASSNAMEHEADERS,0))),(IF("19"=(INDEX(ALLCLASSDATA,MATCH("SimpleMaster",CLASSFEATUREHEADERS,0),MATCH($A789,CLASSNAMEHEADERS,0))),(INDEX(ALLCLASSDATA,MATCH("SimpleMaster",CLASSFEATUREHEADERS,0),MATCH(($A789 &amp; "Points"),CLASSNAMEHEADERS,0))),(IF("19"=(INDEX(ALLCLASSDATA,MATCH("SimpleExpert",CLASSFEATUREHEADERS,0),MATCH($A789,CLASSNAMEHEADERS,0))),(INDEX(ALLCLASSDATA,MATCH("SimpleExpert",CLASSFEATUREHEADERS,0),MATCH(($A789 &amp; "Points"),CLASSNAMEHEADERS,0))),(IF("19"=(INDEX(ALLCLASSDATA,MATCH("SimpleTrained",CLASSFEATUREHEADERS,0),MATCH($A789,CLASSNAMEHEADERS,0))),(INDEX(ALLCLASSDATA,MATCH("SimpleTrained",CLASSFEATUREHEADERS,0),MATCH(($A789 &amp; "Points"),CLASSNAMEHEADERS,0))),"")))))))))}</f>
        <v>SIMPLEL19</v>
      </c>
      <c r="AA788" s="223"/>
      <c r="AB788" s="76" t="str">
        <f t="array" ref="AB788:AB789">{"SIMPLE TOTAL";(IF(COUNTBLANK(G789:AA789)=17,"L",(IF(COUNTBLANK(G789:AA789)=18,"M",(IF(COUNTBLANK(G789:AA789)=19,"E",(IF(COUNTBLANK(G789:AA789)=20,"T",""))))))))}</f>
        <v>SIMPLE TOTAL</v>
      </c>
      <c r="AC788" s="76" t="str">
        <f t="array" ref="AC788:AC789">{"SIMPLE TOTAL";(sum(G789:AA789))}</f>
        <v>SIMPLE TOTAL</v>
      </c>
    </row>
    <row r="789">
      <c r="A789" s="48" t="s">
        <v>176</v>
      </c>
      <c r="B789" s="48"/>
      <c r="C789" s="48" t="s">
        <v>415</v>
      </c>
      <c r="D789" s="48" t="s">
        <v>1634</v>
      </c>
      <c r="E789" s="48" t="s">
        <v>68</v>
      </c>
      <c r="F789" s="5" t="s">
        <v>435</v>
      </c>
      <c r="G789" s="47" t="s">
        <v>603</v>
      </c>
      <c r="H789" s="5">
        <v>10.0</v>
      </c>
      <c r="I789" s="5"/>
      <c r="J789" s="5" t="s">
        <v>603</v>
      </c>
      <c r="K789" s="5"/>
      <c r="L789" s="5" t="s">
        <v>436</v>
      </c>
      <c r="M789" s="5"/>
      <c r="N789" s="5" t="s">
        <v>603</v>
      </c>
      <c r="O789" s="5"/>
      <c r="P789" s="5" t="s">
        <v>603</v>
      </c>
      <c r="Q789" s="5"/>
      <c r="R789" s="5" t="s">
        <v>603</v>
      </c>
      <c r="S789" s="5"/>
      <c r="T789" s="5" t="s">
        <v>437</v>
      </c>
      <c r="U789" s="5"/>
      <c r="V789" s="5" t="s">
        <v>603</v>
      </c>
      <c r="W789" s="5"/>
      <c r="X789" s="5" t="s">
        <v>603</v>
      </c>
      <c r="Y789" s="5"/>
      <c r="Z789" s="5" t="s">
        <v>603</v>
      </c>
      <c r="AA789" s="5"/>
      <c r="AB789" s="5" t="s">
        <v>437</v>
      </c>
      <c r="AC789" s="47">
        <v>10.0</v>
      </c>
    </row>
    <row r="790" hidden="1">
      <c r="A790" s="222" t="str">
        <f t="array" ref="A790:A791">{"FormulaRow30";(INDEX(CLASSLIST,A731,1))}</f>
        <v>FormulaRow30</v>
      </c>
      <c r="B790" s="77" t="s">
        <v>236</v>
      </c>
      <c r="C790" s="222" t="str">
        <f t="array" ref="C790:C791">{"CLASSTYPE";((INDEX(ALLCLASSDATA,MATCH("ClassType",CLASSFEATUREHEADERS,0),MATCH($A791,CLASSNAMEHEADERS,0))))}</f>
        <v>CLASSTYPE</v>
      </c>
      <c r="D790" s="222" t="str">
        <f t="array" ref="D790:D791">{"ATTACK";"Attack"}</f>
        <v>ATTACK</v>
      </c>
      <c r="E790" s="222" t="str">
        <f t="array" ref="E790:E791">{"MARTIALLIMITED";"MartialLimited"}</f>
        <v>MARTIALLIMITED</v>
      </c>
      <c r="F790" s="223" t="str">
        <f t="array" ref="F790:F791">{"MARTIALLIMITEDINITIAL";((IF(H791=10,"T",(IF(H791=50,"E","")))))}</f>
        <v>MARTIALLIMITEDINITIAL</v>
      </c>
      <c r="G790" s="223" t="str">
        <f t="array" ref="G790:G791">{"MARTIALLIMITEDINITIALPTS";((IF("00"=(INDEX(ALLCLASSDATA,MATCH("MartialLimitedLegendary",CLASSFEATUREHEADERS,0),MATCH($A791,CLASSNAMEHEADERS,0))),(INDEX(ALLCLASSDATA,MATCH("MartialLimitedLegendary",CLASSFEATUREHEADERS,0),MATCH(($A791 &amp; "Points"),CLASSNAMEHEADERS,0))),(IF("00"=(INDEX(ALLCLASSDATA,MATCH("MartialLimitedMaster",CLASSFEATUREHEADERS,0),MATCH($A791,CLASSNAMEHEADERS,0))),(INDEX(ALLCLASSDATA,MATCH("MartialLimitedMaster",CLASSFEATUREHEADERS,0),MATCH(($A791 &amp; "Points"),CLASSNAMEHEADERS,0))),(IF("00"=(INDEX(ALLCLASSDATA,MATCH("MartialLimitedExpert",CLASSFEATUREHEADERS,0),MATCH($A791,CLASSNAMEHEADERS,0))),(INDEX(ALLCLASSDATA,MATCH("MartialLimitedExpert",CLASSFEATUREHEADERS,0),MATCH(($A791 &amp; "Points"),CLASSNAMEHEADERS,0))),(IF("00"=(INDEX(ALLCLASSDATA,MATCH("MartialLimitedTrained",CLASSFEATUREHEADERS,0),MATCH($A791,CLASSNAMEHEADERS,0))),(INDEX(ALLCLASSDATA,MATCH("MartialLimitedTrained",CLASSFEATUREHEADERS,0),MATCH(($A791 &amp; "Points"),CLASSNAMEHEADERS,0))),"")))))))))}</f>
        <v>MARTIALLIMITEDINITIALPTS</v>
      </c>
      <c r="H790" s="223" t="str">
        <f t="array" ref="H790:H791">{"MARTIALLIMITEDL01";((IF("01"=(INDEX(ALLCLASSDATA,MATCH("MartialLimitedLegendary",CLASSFEATUREHEADERS,0),MATCH($A791,CLASSNAMEHEADERS,0))),(INDEX(ALLCLASSDATA,MATCH("MartialLimitedLegendary",CLASSFEATUREHEADERS,0),MATCH(($A791 &amp; "Points"),CLASSNAMEHEADERS,0))),(IF("01"=(INDEX(ALLCLASSDATA,MATCH("MartialLimitedMaster",CLASSFEATUREHEADERS,0),MATCH($A791,CLASSNAMEHEADERS,0))),(INDEX(ALLCLASSDATA,MATCH("MartialLimitedMaster",CLASSFEATUREHEADERS,0),MATCH(($A791 &amp; "Points"),CLASSNAMEHEADERS,0))),(IF("01"=(INDEX(ALLCLASSDATA,MATCH("MartialLimitedExpert",CLASSFEATUREHEADERS,0),MATCH($A791,CLASSNAMEHEADERS,0))),(INDEX(ALLCLASSDATA,MATCH("MartialLimitedExpert",CLASSFEATUREHEADERS,0),MATCH(($A791 &amp; "Points"),CLASSNAMEHEADERS,0))),(IF("01"=(INDEX(ALLCLASSDATA,MATCH("MartialLimitedTrained",CLASSFEATUREHEADERS,0),MATCH($A791,CLASSNAMEHEADERS,0))),(INDEX(ALLCLASSDATA,MATCH("MartialLimitedTrained",CLASSFEATUREHEADERS,0),MATCH(($A791 &amp; "Points"),CLASSNAMEHEADERS,0))),"")))))))))}</f>
        <v>MARTIALLIMITEDL01</v>
      </c>
      <c r="I790" s="223"/>
      <c r="J790" s="223" t="str">
        <f t="array" ref="J790:J791">{"MARTIALLIMITEDL03";((IF("03"=(INDEX(ALLCLASSDATA,MATCH("MartialLimitedLegendary",CLASSFEATUREHEADERS,0),MATCH($A791,CLASSNAMEHEADERS,0))),(INDEX(ALLCLASSDATA,MATCH("MartialLimitedLegendary",CLASSFEATUREHEADERS,0),MATCH(($A791 &amp; "Points"),CLASSNAMEHEADERS,0))),(IF("03"=(INDEX(ALLCLASSDATA,MATCH("MartialLimitedMaster",CLASSFEATUREHEADERS,0),MATCH($A791,CLASSNAMEHEADERS,0))),(INDEX(ALLCLASSDATA,MATCH("MartialLimitedMaster",CLASSFEATUREHEADERS,0),MATCH(($A791 &amp; "Points"),CLASSNAMEHEADERS,0))),(IF("03"=(INDEX(ALLCLASSDATA,MATCH("MartialLimitedExpert",CLASSFEATUREHEADERS,0),MATCH($A791,CLASSNAMEHEADERS,0))),(INDEX(ALLCLASSDATA,MATCH("MartialLimitedExpert",CLASSFEATUREHEADERS,0),MATCH(($A791 &amp; "Points"),CLASSNAMEHEADERS,0))),(IF("03"=(INDEX(ALLCLASSDATA,MATCH("MartialLimitedTrained",CLASSFEATUREHEADERS,0),MATCH($A791,CLASSNAMEHEADERS,0))),(INDEX(ALLCLASSDATA,MATCH("MartialLimitedTrained",CLASSFEATUREHEADERS,0),MATCH(($A791 &amp; "Points"),CLASSNAMEHEADERS,0))),"")))))))))}</f>
        <v>MARTIALLIMITEDL03</v>
      </c>
      <c r="K790" s="223"/>
      <c r="L790" s="223" t="str">
        <f t="array" ref="L790:L791">{"MARTIALLIMITEDL05";((IF("05"=(INDEX(ALLCLASSDATA,MATCH("MartialLimitedLegendary",CLASSFEATUREHEADERS,0),MATCH($A791,CLASSNAMEHEADERS,0))),(INDEX(ALLCLASSDATA,MATCH("MartialLimitedLegendary",CLASSFEATUREHEADERS,0),MATCH(($A791 &amp; "Points"),CLASSNAMEHEADERS,0))),(IF("05"=(INDEX(ALLCLASSDATA,MATCH("MartialLimitedMaster",CLASSFEATUREHEADERS,0),MATCH($A791,CLASSNAMEHEADERS,0))),(INDEX(ALLCLASSDATA,MATCH("MartialLimitedMaster",CLASSFEATUREHEADERS,0),MATCH(($A791 &amp; "Points"),CLASSNAMEHEADERS,0))),(IF("05"=(INDEX(ALLCLASSDATA,MATCH("MartialLimitedExpert",CLASSFEATUREHEADERS,0),MATCH($A791,CLASSNAMEHEADERS,0))),(INDEX(ALLCLASSDATA,MATCH("MartialLimitedExpert",CLASSFEATUREHEADERS,0),MATCH(($A791 &amp; "Points"),CLASSNAMEHEADERS,0))),(IF("05"=(INDEX(ALLCLASSDATA,MATCH("MartialLimitedTrained",CLASSFEATUREHEADERS,0),MATCH($A791,CLASSNAMEHEADERS,0))),(INDEX(ALLCLASSDATA,MATCH("MartialLimitedTrained",CLASSFEATUREHEADERS,0),MATCH(($A791 &amp; "Points"),CLASSNAMEHEADERS,0))),"")))))))))}</f>
        <v>MARTIALLIMITEDL05</v>
      </c>
      <c r="M790" s="223"/>
      <c r="N790" s="223" t="str">
        <f t="array" ref="N790:N791">{"MARTIALLIMITEDL07";((IF("07"=(INDEX(ALLCLASSDATA,MATCH("MartialLimitedLegendary",CLASSFEATUREHEADERS,0),MATCH($A791,CLASSNAMEHEADERS,0))),(INDEX(ALLCLASSDATA,MATCH("MartialLimitedLegendary",CLASSFEATUREHEADERS,0),MATCH(($A791 &amp; "Points"),CLASSNAMEHEADERS,0))),(IF("07"=(INDEX(ALLCLASSDATA,MATCH("MartialLimitedMaster",CLASSFEATUREHEADERS,0),MATCH($A791,CLASSNAMEHEADERS,0))),(INDEX(ALLCLASSDATA,MATCH("MartialLimitedMaster",CLASSFEATUREHEADERS,0),MATCH(($A791 &amp; "Points"),CLASSNAMEHEADERS,0))),(IF("07"=(INDEX(ALLCLASSDATA,MATCH("MartialLimitedExpert",CLASSFEATUREHEADERS,0),MATCH($A791,CLASSNAMEHEADERS,0))),(INDEX(ALLCLASSDATA,MATCH("MartialLimitedExpert",CLASSFEATUREHEADERS,0),MATCH(($A791 &amp; "Points"),CLASSNAMEHEADERS,0))),(IF("07"=(INDEX(ALLCLASSDATA,MATCH("MartialLimitedTrained",CLASSFEATUREHEADERS,0),MATCH($A791,CLASSNAMEHEADERS,0))),(INDEX(ALLCLASSDATA,MATCH("MartialLimitedTrained",CLASSFEATUREHEADERS,0),MATCH(($A791 &amp; "Points"),CLASSNAMEHEADERS,0))),"")))))))))}</f>
        <v>MARTIALLIMITEDL07</v>
      </c>
      <c r="O790" s="223"/>
      <c r="P790" s="223" t="str">
        <f t="array" ref="P790:P791">{"MARTIALLIMITEDL09";((IF("09"=(INDEX(ALLCLASSDATA,MATCH("MartialLimitedLegendary",CLASSFEATUREHEADERS,0),MATCH($A791,CLASSNAMEHEADERS,0))),(INDEX(ALLCLASSDATA,MATCH("MartialLimitedLegendary",CLASSFEATUREHEADERS,0),MATCH(($A791 &amp; "Points"),CLASSNAMEHEADERS,0))),(IF("09"=(INDEX(ALLCLASSDATA,MATCH("MartialLimitedMaster",CLASSFEATUREHEADERS,0),MATCH($A791,CLASSNAMEHEADERS,0))),(INDEX(ALLCLASSDATA,MATCH("MartialLimitedMaster",CLASSFEATUREHEADERS,0),MATCH(($A791 &amp; "Points"),CLASSNAMEHEADERS,0))),(IF("09"=(INDEX(ALLCLASSDATA,MATCH("MartialLimitedExpert",CLASSFEATUREHEADERS,0),MATCH($A791,CLASSNAMEHEADERS,0))),(INDEX(ALLCLASSDATA,MATCH("MartialLimitedExpert",CLASSFEATUREHEADERS,0),MATCH(($A791 &amp; "Points"),CLASSNAMEHEADERS,0))),(IF("09"=(INDEX(ALLCLASSDATA,MATCH("MartialLimitedTrained",CLASSFEATUREHEADERS,0),MATCH($A791,CLASSNAMEHEADERS,0))),(INDEX(ALLCLASSDATA,MATCH("MartialLimitedTrained",CLASSFEATUREHEADERS,0),MATCH(($A791 &amp; "Points"),CLASSNAMEHEADERS,0))),"")))))))))}</f>
        <v>MARTIALLIMITEDL09</v>
      </c>
      <c r="Q790" s="223"/>
      <c r="R790" s="223" t="str">
        <f t="array" ref="R790:R791">{"MARTIALLIMITEDL11";((IF("11"=(INDEX(ALLCLASSDATA,MATCH("MartialLimitedLegendary",CLASSFEATUREHEADERS,0),MATCH($A791,CLASSNAMEHEADERS,0))),(INDEX(ALLCLASSDATA,MATCH("MartialLimitedLegendary",CLASSFEATUREHEADERS,0),MATCH(($A791 &amp; "Points"),CLASSNAMEHEADERS,0))),(IF("11"=(INDEX(ALLCLASSDATA,MATCH("MartialLimitedMaster",CLASSFEATUREHEADERS,0),MATCH($A791,CLASSNAMEHEADERS,0))),(INDEX(ALLCLASSDATA,MATCH("MartialLimitedMaster",CLASSFEATUREHEADERS,0),MATCH(($A791 &amp; "Points"),CLASSNAMEHEADERS,0))),(IF("11"=(INDEX(ALLCLASSDATA,MATCH("MartialLimitedExpert",CLASSFEATUREHEADERS,0),MATCH($A791,CLASSNAMEHEADERS,0))),(INDEX(ALLCLASSDATA,MATCH("MartialLimitedExpert",CLASSFEATUREHEADERS,0),MATCH(($A791 &amp; "Points"),CLASSNAMEHEADERS,0))),(IF("11"=(INDEX(ALLCLASSDATA,MATCH("MartialLimitedTrained",CLASSFEATUREHEADERS,0),MATCH($A791,CLASSNAMEHEADERS,0))),(INDEX(ALLCLASSDATA,MATCH("MartialLimitedTrained",CLASSFEATUREHEADERS,0),MATCH(($A791 &amp; "Points"),CLASSNAMEHEADERS,0))),"")))))))))}</f>
        <v>MARTIALLIMITEDL11</v>
      </c>
      <c r="S790" s="223"/>
      <c r="T790" s="223" t="str">
        <f t="array" ref="T790:T791">{"MARTIALLIMITEDL13";((IF("13"=(INDEX(ALLCLASSDATA,MATCH("MartialLimitedLegendary",CLASSFEATUREHEADERS,0),MATCH($A791,CLASSNAMEHEADERS,0))),(INDEX(ALLCLASSDATA,MATCH("MartialLimitedLegendary",CLASSFEATUREHEADERS,0),MATCH(($A791 &amp; "Points"),CLASSNAMEHEADERS,0))),(IF("13"=(INDEX(ALLCLASSDATA,MATCH("MartialLimitedMaster",CLASSFEATUREHEADERS,0),MATCH($A791,CLASSNAMEHEADERS,0))),(INDEX(ALLCLASSDATA,MATCH("MartialLimitedMaster",CLASSFEATUREHEADERS,0),MATCH(($A791 &amp; "Points"),CLASSNAMEHEADERS,0))),(IF("13"=(INDEX(ALLCLASSDATA,MATCH("MartialLimitedExpert",CLASSFEATUREHEADERS,0),MATCH($A791,CLASSNAMEHEADERS,0))),(INDEX(ALLCLASSDATA,MATCH("MartialLimitedExpert",CLASSFEATUREHEADERS,0),MATCH(($A791 &amp; "Points"),CLASSNAMEHEADERS,0))),(IF("13"=(INDEX(ALLCLASSDATA,MATCH("MartialLimitedTrained",CLASSFEATUREHEADERS,0),MATCH($A791,CLASSNAMEHEADERS,0))),(INDEX(ALLCLASSDATA,MATCH("MartialLimitedTrained",CLASSFEATUREHEADERS,0),MATCH(($A791 &amp; "Points"),CLASSNAMEHEADERS,0))),"")))))))))}</f>
        <v>MARTIALLIMITEDL13</v>
      </c>
      <c r="U790" s="223"/>
      <c r="V790" s="223" t="str">
        <f t="array" ref="V790:V791">{"MARTIALLIMITEDL15";((IF("15"=(INDEX(ALLCLASSDATA,MATCH("MartialLimitedLegendary",CLASSFEATUREHEADERS,0),MATCH($A791,CLASSNAMEHEADERS,0))),(INDEX(ALLCLASSDATA,MATCH("MartialLimitedLegendary",CLASSFEATUREHEADERS,0),MATCH(($A791 &amp; "Points"),CLASSNAMEHEADERS,0))),(IF("15"=(INDEX(ALLCLASSDATA,MATCH("MartialLimitedMaster",CLASSFEATUREHEADERS,0),MATCH($A791,CLASSNAMEHEADERS,0))),(INDEX(ALLCLASSDATA,MATCH("MartialLimitedMaster",CLASSFEATUREHEADERS,0),MATCH(($A791 &amp; "Points"),CLASSNAMEHEADERS,0))),(IF("15"=(INDEX(ALLCLASSDATA,MATCH("MartialLimitedExpert",CLASSFEATUREHEADERS,0),MATCH($A791,CLASSNAMEHEADERS,0))),(INDEX(ALLCLASSDATA,MATCH("MartialLimitedExpert",CLASSFEATUREHEADERS,0),MATCH(($A791 &amp; "Points"),CLASSNAMEHEADERS,0))),(IF("15"=(INDEX(ALLCLASSDATA,MATCH("MartialLimitedTrained",CLASSFEATUREHEADERS,0),MATCH($A791,CLASSNAMEHEADERS,0))),(INDEX(ALLCLASSDATA,MATCH("MartialLimitedTrained",CLASSFEATUREHEADERS,0),MATCH(($A791 &amp; "Points"),CLASSNAMEHEADERS,0))),"")))))))))}</f>
        <v>MARTIALLIMITEDL15</v>
      </c>
      <c r="W790" s="223"/>
      <c r="X790" s="223" t="str">
        <f t="array" ref="X790:X791">{"MARTIALLIMITEDL17";((IF("17"=(INDEX(ALLCLASSDATA,MATCH("MartialLimitedLegendary",CLASSFEATUREHEADERS,0),MATCH($A791,CLASSNAMEHEADERS,0))),(INDEX(ALLCLASSDATA,MATCH("MartialLimitedLegendary",CLASSFEATUREHEADERS,0),MATCH(($A791 &amp; "Points"),CLASSNAMEHEADERS,0))),(IF("17"=(INDEX(ALLCLASSDATA,MATCH("MartialLimitedMaster",CLASSFEATUREHEADERS,0),MATCH($A791,CLASSNAMEHEADERS,0))),(INDEX(ALLCLASSDATA,MATCH("MartialLimitedMaster",CLASSFEATUREHEADERS,0),MATCH(($A791 &amp; "Points"),CLASSNAMEHEADERS,0))),(IF("17"=(INDEX(ALLCLASSDATA,MATCH("MartialLimitedExpert",CLASSFEATUREHEADERS,0),MATCH($A791,CLASSNAMEHEADERS,0))),(INDEX(ALLCLASSDATA,MATCH("MartialLimitedExpert",CLASSFEATUREHEADERS,0),MATCH(($A791 &amp; "Points"),CLASSNAMEHEADERS,0))),(IF("17"=(INDEX(ALLCLASSDATA,MATCH("MartialLimitedTrained",CLASSFEATUREHEADERS,0),MATCH($A791,CLASSNAMEHEADERS,0))),(INDEX(ALLCLASSDATA,MATCH("MartialLimitedTrained",CLASSFEATUREHEADERS,0),MATCH(($A791 &amp; "Points"),CLASSNAMEHEADERS,0))),"")))))))))}</f>
        <v>MARTIALLIMITEDL17</v>
      </c>
      <c r="Y790" s="223"/>
      <c r="Z790" s="223" t="str">
        <f t="array" ref="Z790:Z791">{"MARTIALLIMITEDL19";((IF("19"=(INDEX(ALLCLASSDATA,MATCH("MartialLimitedLegendary",CLASSFEATUREHEADERS,0),MATCH($A791,CLASSNAMEHEADERS,0))),(INDEX(ALLCLASSDATA,MATCH("MartialLimitedLegendary",CLASSFEATUREHEADERS,0),MATCH(($A791 &amp; "Points"),CLASSNAMEHEADERS,0))),(IF("19"=(INDEX(ALLCLASSDATA,MATCH("MartialLimitedMaster",CLASSFEATUREHEADERS,0),MATCH($A791,CLASSNAMEHEADERS,0))),(INDEX(ALLCLASSDATA,MATCH("MartialLimitedMaster",CLASSFEATUREHEADERS,0),MATCH(($A791 &amp; "Points"),CLASSNAMEHEADERS,0))),(IF("19"=(INDEX(ALLCLASSDATA,MATCH("MartialLimitedExpert",CLASSFEATUREHEADERS,0),MATCH($A791,CLASSNAMEHEADERS,0))),(INDEX(ALLCLASSDATA,MATCH("MartialLimitedExpert",CLASSFEATUREHEADERS,0),MATCH(($A791 &amp; "Points"),CLASSNAMEHEADERS,0))),(IF("19"=(INDEX(ALLCLASSDATA,MATCH("MartialLimitedTrained",CLASSFEATUREHEADERS,0),MATCH($A791,CLASSNAMEHEADERS,0))),(INDEX(ALLCLASSDATA,MATCH("MartialLimitedTrained",CLASSFEATUREHEADERS,0),MATCH(($A791 &amp; "Points"),CLASSNAMEHEADERS,0))),"")))))))))}</f>
        <v>MARTIALLIMITEDL19</v>
      </c>
      <c r="AA790" s="223"/>
      <c r="AB790" s="76" t="str">
        <f t="array" ref="AB790:AB791">{"MARTIALLIMITED TOTAL";(IF(COUNTBLANK(G791:AA791)=17,"L",(IF(COUNTBLANK(G791:AA791)=18,"M",(IF(COUNTBLANK(G791:AA791)=19,"E",(IF(COUNTBLANK(G791:AA791)=20,"T",""))))))))}</f>
        <v>MARTIALLIMITED TOTAL</v>
      </c>
      <c r="AC790" s="76" t="str">
        <f t="array" ref="AC790:AC791">{"MARTIALLIMITED TOTAL";(sum(G791:AA791))}</f>
        <v>MARTIALLIMITED TOTAL</v>
      </c>
    </row>
    <row r="791">
      <c r="A791" s="48" t="s">
        <v>176</v>
      </c>
      <c r="B791" s="48"/>
      <c r="C791" s="48" t="s">
        <v>415</v>
      </c>
      <c r="D791" s="48" t="s">
        <v>1634</v>
      </c>
      <c r="E791" s="48" t="s">
        <v>600</v>
      </c>
      <c r="F791" s="5" t="s">
        <v>603</v>
      </c>
      <c r="G791" s="47" t="s">
        <v>603</v>
      </c>
      <c r="H791" s="5" t="s">
        <v>603</v>
      </c>
      <c r="I791" s="5"/>
      <c r="J791" s="5" t="s">
        <v>603</v>
      </c>
      <c r="K791" s="5"/>
      <c r="L791" s="5" t="s">
        <v>603</v>
      </c>
      <c r="M791" s="5"/>
      <c r="N791" s="5" t="s">
        <v>603</v>
      </c>
      <c r="O791" s="5"/>
      <c r="P791" s="5" t="s">
        <v>603</v>
      </c>
      <c r="Q791" s="5"/>
      <c r="R791" s="5" t="s">
        <v>603</v>
      </c>
      <c r="S791" s="5"/>
      <c r="T791" s="5" t="s">
        <v>603</v>
      </c>
      <c r="U791" s="5"/>
      <c r="V791" s="5" t="s">
        <v>603</v>
      </c>
      <c r="W791" s="5"/>
      <c r="X791" s="5" t="s">
        <v>603</v>
      </c>
      <c r="Y791" s="5"/>
      <c r="Z791" s="5" t="s">
        <v>603</v>
      </c>
      <c r="AA791" s="5"/>
      <c r="AB791" s="5" t="s">
        <v>603</v>
      </c>
      <c r="AC791" s="47">
        <v>0.0</v>
      </c>
    </row>
    <row r="792" hidden="1">
      <c r="A792" s="222" t="str">
        <f t="array" ref="A792:A793">{"FormulaRow31";(INDEX(CLASSLIST,A731,1))}</f>
        <v>FormulaRow31</v>
      </c>
      <c r="B792" s="77" t="s">
        <v>236</v>
      </c>
      <c r="C792" s="222" t="str">
        <f t="array" ref="C792:C793">{"CLASSTYPE";((INDEX(ALLCLASSDATA,MATCH("ClassType",CLASSFEATUREHEADERS,0),MATCH($A793,CLASSNAMEHEADERS,0))))}</f>
        <v>CLASSTYPE</v>
      </c>
      <c r="D792" s="222" t="str">
        <f t="array" ref="D792:D793">{"ATTACK";"Attack"}</f>
        <v>ATTACK</v>
      </c>
      <c r="E792" s="222" t="str">
        <f t="array" ref="E792:E793">{"MARTIAL";"Martial"}</f>
        <v>MARTIAL</v>
      </c>
      <c r="F792" s="223" t="str">
        <f t="array" ref="F792:F793">{"MARTIALINITIAL";((IF(H793=10,"T",(IF(H793=50,"E","")))))}</f>
        <v>MARTIALINITIAL</v>
      </c>
      <c r="G792" s="223" t="str">
        <f t="array" ref="G792:G793">{"MARTIALINITIALPTS";((IF("00"=(INDEX(ALLCLASSDATA,MATCH("MartialLegendary",CLASSFEATUREHEADERS,0),MATCH($A793,CLASSNAMEHEADERS,0))),(INDEX(ALLCLASSDATA,MATCH("MartialLegendary",CLASSFEATUREHEADERS,0),MATCH(($A793 &amp; "Points"),CLASSNAMEHEADERS,0))),(IF("00"=(INDEX(ALLCLASSDATA,MATCH("MartialMaster",CLASSFEATUREHEADERS,0),MATCH($A793,CLASSNAMEHEADERS,0))),(INDEX(ALLCLASSDATA,MATCH("MartialMaster",CLASSFEATUREHEADERS,0),MATCH(($A793 &amp; "Points"),CLASSNAMEHEADERS,0))),(IF("00"=(INDEX(ALLCLASSDATA,MATCH("MartialExpert",CLASSFEATUREHEADERS,0),MATCH($A793,CLASSNAMEHEADERS,0))),(INDEX(ALLCLASSDATA,MATCH("MartialExpert",CLASSFEATUREHEADERS,0),MATCH(($A793 &amp; "Points"),CLASSNAMEHEADERS,0))),(IF("00"=(INDEX(ALLCLASSDATA,MATCH("MartialTrained",CLASSFEATUREHEADERS,0),MATCH($A793,CLASSNAMEHEADERS,0))),(INDEX(ALLCLASSDATA,MATCH("MartialTrained",CLASSFEATUREHEADERS,0),MATCH(($A793 &amp; "Points"),CLASSNAMEHEADERS,0))),"")))))))))}</f>
        <v>MARTIALINITIALPTS</v>
      </c>
      <c r="H792" s="223" t="str">
        <f t="array" ref="H792:H793">{"MARTIALL01";((IF("01"=(INDEX(ALLCLASSDATA,MATCH("MartialLegendary",CLASSFEATUREHEADERS,0),MATCH($A793,CLASSNAMEHEADERS,0))),(INDEX(ALLCLASSDATA,MATCH("MartialLegendary",CLASSFEATUREHEADERS,0),MATCH(($A793 &amp; "Points"),CLASSNAMEHEADERS,0))),(IF("01"=(INDEX(ALLCLASSDATA,MATCH("MartialMaster",CLASSFEATUREHEADERS,0),MATCH($A793,CLASSNAMEHEADERS,0))),(INDEX(ALLCLASSDATA,MATCH("MartialMaster",CLASSFEATUREHEADERS,0),MATCH(($A793 &amp; "Points"),CLASSNAMEHEADERS,0))),(IF("01"=(INDEX(ALLCLASSDATA,MATCH("MartialExpert",CLASSFEATUREHEADERS,0),MATCH($A793,CLASSNAMEHEADERS,0))),(INDEX(ALLCLASSDATA,MATCH("MartialExpert",CLASSFEATUREHEADERS,0),MATCH(($A793 &amp; "Points"),CLASSNAMEHEADERS,0))),(IF("01"=(INDEX(ALLCLASSDATA,MATCH("MartialTrained",CLASSFEATUREHEADERS,0),MATCH($A793,CLASSNAMEHEADERS,0))),(INDEX(ALLCLASSDATA,MATCH("MartialTrained",CLASSFEATUREHEADERS,0),MATCH(($A793 &amp; "Points"),CLASSNAMEHEADERS,0))),"")))))))))}</f>
        <v>MARTIALL01</v>
      </c>
      <c r="I792" s="223"/>
      <c r="J792" s="223" t="str">
        <f t="array" ref="J792:J793">{"MARTIALL03";((IF("03"=(INDEX(ALLCLASSDATA,MATCH("MartialLegendary",CLASSFEATUREHEADERS,0),MATCH($A793,CLASSNAMEHEADERS,0))),(INDEX(ALLCLASSDATA,MATCH("MartialLegendary",CLASSFEATUREHEADERS,0),MATCH(($A793 &amp; "Points"),CLASSNAMEHEADERS,0))),(IF("03"=(INDEX(ALLCLASSDATA,MATCH("MartialMaster",CLASSFEATUREHEADERS,0),MATCH($A793,CLASSNAMEHEADERS,0))),(INDEX(ALLCLASSDATA,MATCH("MartialMaster",CLASSFEATUREHEADERS,0),MATCH(($A793 &amp; "Points"),CLASSNAMEHEADERS,0))),(IF("03"=(INDEX(ALLCLASSDATA,MATCH("MartialExpert",CLASSFEATUREHEADERS,0),MATCH($A793,CLASSNAMEHEADERS,0))),(INDEX(ALLCLASSDATA,MATCH("MartialExpert",CLASSFEATUREHEADERS,0),MATCH(($A793 &amp; "Points"),CLASSNAMEHEADERS,0))),(IF("03"=(INDEX(ALLCLASSDATA,MATCH("MartialTrained",CLASSFEATUREHEADERS,0),MATCH($A793,CLASSNAMEHEADERS,0))),(INDEX(ALLCLASSDATA,MATCH("MartialTrained",CLASSFEATUREHEADERS,0),MATCH(($A793 &amp; "Points"),CLASSNAMEHEADERS,0))),"")))))))))}</f>
        <v>MARTIALL03</v>
      </c>
      <c r="K792" s="223"/>
      <c r="L792" s="223" t="str">
        <f t="array" ref="L792:L793">{"MARTIALL05";((IF("05"=(INDEX(ALLCLASSDATA,MATCH("MartialLegendary",CLASSFEATUREHEADERS,0),MATCH($A793,CLASSNAMEHEADERS,0))),(INDEX(ALLCLASSDATA,MATCH("MartialLegendary",CLASSFEATUREHEADERS,0),MATCH(($A793 &amp; "Points"),CLASSNAMEHEADERS,0))),(IF("05"=(INDEX(ALLCLASSDATA,MATCH("MartialMaster",CLASSFEATUREHEADERS,0),MATCH($A793,CLASSNAMEHEADERS,0))),(INDEX(ALLCLASSDATA,MATCH("MartialMaster",CLASSFEATUREHEADERS,0),MATCH(($A793 &amp; "Points"),CLASSNAMEHEADERS,0))),(IF("05"=(INDEX(ALLCLASSDATA,MATCH("MartialExpert",CLASSFEATUREHEADERS,0),MATCH($A793,CLASSNAMEHEADERS,0))),(INDEX(ALLCLASSDATA,MATCH("MartialExpert",CLASSFEATUREHEADERS,0),MATCH(($A793 &amp; "Points"),CLASSNAMEHEADERS,0))),(IF("05"=(INDEX(ALLCLASSDATA,MATCH("MartialTrained",CLASSFEATUREHEADERS,0),MATCH($A793,CLASSNAMEHEADERS,0))),(INDEX(ALLCLASSDATA,MATCH("MartialTrained",CLASSFEATUREHEADERS,0),MATCH(($A793 &amp; "Points"),CLASSNAMEHEADERS,0))),"")))))))))}</f>
        <v>MARTIALL05</v>
      </c>
      <c r="M792" s="223"/>
      <c r="N792" s="223" t="str">
        <f t="array" ref="N792:N793">{"MARTIALL07";((IF("07"=(INDEX(ALLCLASSDATA,MATCH("MartialLegendary",CLASSFEATUREHEADERS,0),MATCH($A793,CLASSNAMEHEADERS,0))),(INDEX(ALLCLASSDATA,MATCH("MartialLegendary",CLASSFEATUREHEADERS,0),MATCH(($A793 &amp; "Points"),CLASSNAMEHEADERS,0))),(IF("07"=(INDEX(ALLCLASSDATA,MATCH("MartialMaster",CLASSFEATUREHEADERS,0),MATCH($A793,CLASSNAMEHEADERS,0))),(INDEX(ALLCLASSDATA,MATCH("MartialMaster",CLASSFEATUREHEADERS,0),MATCH(($A793 &amp; "Points"),CLASSNAMEHEADERS,0))),(IF("07"=(INDEX(ALLCLASSDATA,MATCH("MartialExpert",CLASSFEATUREHEADERS,0),MATCH($A793,CLASSNAMEHEADERS,0))),(INDEX(ALLCLASSDATA,MATCH("MartialExpert",CLASSFEATUREHEADERS,0),MATCH(($A793 &amp; "Points"),CLASSNAMEHEADERS,0))),(IF("07"=(INDEX(ALLCLASSDATA,MATCH("MartialTrained",CLASSFEATUREHEADERS,0),MATCH($A793,CLASSNAMEHEADERS,0))),(INDEX(ALLCLASSDATA,MATCH("MartialTrained",CLASSFEATUREHEADERS,0),MATCH(($A793 &amp; "Points"),CLASSNAMEHEADERS,0))),"")))))))))}</f>
        <v>MARTIALL07</v>
      </c>
      <c r="O792" s="223"/>
      <c r="P792" s="223" t="str">
        <f t="array" ref="P792:P793">{"MARTIALL09";((IF("09"=(INDEX(ALLCLASSDATA,MATCH("MartialLegendary",CLASSFEATUREHEADERS,0),MATCH($A793,CLASSNAMEHEADERS,0))),(INDEX(ALLCLASSDATA,MATCH("MartialLegendary",CLASSFEATUREHEADERS,0),MATCH(($A793 &amp; "Points"),CLASSNAMEHEADERS,0))),(IF("09"=(INDEX(ALLCLASSDATA,MATCH("MartialMaster",CLASSFEATUREHEADERS,0),MATCH($A793,CLASSNAMEHEADERS,0))),(INDEX(ALLCLASSDATA,MATCH("MartialMaster",CLASSFEATUREHEADERS,0),MATCH(($A793 &amp; "Points"),CLASSNAMEHEADERS,0))),(IF("09"=(INDEX(ALLCLASSDATA,MATCH("MartialExpert",CLASSFEATUREHEADERS,0),MATCH($A793,CLASSNAMEHEADERS,0))),(INDEX(ALLCLASSDATA,MATCH("MartialExpert",CLASSFEATUREHEADERS,0),MATCH(($A793 &amp; "Points"),CLASSNAMEHEADERS,0))),(IF("09"=(INDEX(ALLCLASSDATA,MATCH("MartialTrained",CLASSFEATUREHEADERS,0),MATCH($A793,CLASSNAMEHEADERS,0))),(INDEX(ALLCLASSDATA,MATCH("MartialTrained",CLASSFEATUREHEADERS,0),MATCH(($A793 &amp; "Points"),CLASSNAMEHEADERS,0))),"")))))))))}</f>
        <v>MARTIALL09</v>
      </c>
      <c r="Q792" s="223"/>
      <c r="R792" s="223" t="str">
        <f t="array" ref="R792:R793">{"MARTIALL11";((IF("11"=(INDEX(ALLCLASSDATA,MATCH("MartialLegendary",CLASSFEATUREHEADERS,0),MATCH($A793,CLASSNAMEHEADERS,0))),(INDEX(ALLCLASSDATA,MATCH("MartialLegendary",CLASSFEATUREHEADERS,0),MATCH(($A793 &amp; "Points"),CLASSNAMEHEADERS,0))),(IF("11"=(INDEX(ALLCLASSDATA,MATCH("MartialMaster",CLASSFEATUREHEADERS,0),MATCH($A793,CLASSNAMEHEADERS,0))),(INDEX(ALLCLASSDATA,MATCH("MartialMaster",CLASSFEATUREHEADERS,0),MATCH(($A793 &amp; "Points"),CLASSNAMEHEADERS,0))),(IF("11"=(INDEX(ALLCLASSDATA,MATCH("MartialExpert",CLASSFEATUREHEADERS,0),MATCH($A793,CLASSNAMEHEADERS,0))),(INDEX(ALLCLASSDATA,MATCH("MartialExpert",CLASSFEATUREHEADERS,0),MATCH(($A793 &amp; "Points"),CLASSNAMEHEADERS,0))),(IF("11"=(INDEX(ALLCLASSDATA,MATCH("MartialTrained",CLASSFEATUREHEADERS,0),MATCH($A793,CLASSNAMEHEADERS,0))),(INDEX(ALLCLASSDATA,MATCH("MartialTrained",CLASSFEATUREHEADERS,0),MATCH(($A793 &amp; "Points"),CLASSNAMEHEADERS,0))),"")))))))))}</f>
        <v>MARTIALL11</v>
      </c>
      <c r="S792" s="223"/>
      <c r="T792" s="223" t="str">
        <f t="array" ref="T792:T793">{"MARTIALL13";((IF("13"=(INDEX(ALLCLASSDATA,MATCH("MartialLegendary",CLASSFEATUREHEADERS,0),MATCH($A793,CLASSNAMEHEADERS,0))),(INDEX(ALLCLASSDATA,MATCH("MartialLegendary",CLASSFEATUREHEADERS,0),MATCH(($A793 &amp; "Points"),CLASSNAMEHEADERS,0))),(IF("13"=(INDEX(ALLCLASSDATA,MATCH("MartialMaster",CLASSFEATUREHEADERS,0),MATCH($A793,CLASSNAMEHEADERS,0))),(INDEX(ALLCLASSDATA,MATCH("MartialMaster",CLASSFEATUREHEADERS,0),MATCH(($A793 &amp; "Points"),CLASSNAMEHEADERS,0))),(IF("13"=(INDEX(ALLCLASSDATA,MATCH("MartialExpert",CLASSFEATUREHEADERS,0),MATCH($A793,CLASSNAMEHEADERS,0))),(INDEX(ALLCLASSDATA,MATCH("MartialExpert",CLASSFEATUREHEADERS,0),MATCH(($A793 &amp; "Points"),CLASSNAMEHEADERS,0))),(IF("13"=(INDEX(ALLCLASSDATA,MATCH("MartialTrained",CLASSFEATUREHEADERS,0),MATCH($A793,CLASSNAMEHEADERS,0))),(INDEX(ALLCLASSDATA,MATCH("MartialTrained",CLASSFEATUREHEADERS,0),MATCH(($A793 &amp; "Points"),CLASSNAMEHEADERS,0))),"")))))))))}</f>
        <v>MARTIALL13</v>
      </c>
      <c r="U792" s="223"/>
      <c r="V792" s="223" t="str">
        <f t="array" ref="V792:V793">{"MARTIALL15";((IF("15"=(INDEX(ALLCLASSDATA,MATCH("MartialLegendary",CLASSFEATUREHEADERS,0),MATCH($A793,CLASSNAMEHEADERS,0))),(INDEX(ALLCLASSDATA,MATCH("MartialLegendary",CLASSFEATUREHEADERS,0),MATCH(($A793 &amp; "Points"),CLASSNAMEHEADERS,0))),(IF("15"=(INDEX(ALLCLASSDATA,MATCH("MartialMaster",CLASSFEATUREHEADERS,0),MATCH($A793,CLASSNAMEHEADERS,0))),(INDEX(ALLCLASSDATA,MATCH("MartialMaster",CLASSFEATUREHEADERS,0),MATCH(($A793 &amp; "Points"),CLASSNAMEHEADERS,0))),(IF("15"=(INDEX(ALLCLASSDATA,MATCH("MartialExpert",CLASSFEATUREHEADERS,0),MATCH($A793,CLASSNAMEHEADERS,0))),(INDEX(ALLCLASSDATA,MATCH("MartialExpert",CLASSFEATUREHEADERS,0),MATCH(($A793 &amp; "Points"),CLASSNAMEHEADERS,0))),(IF("15"=(INDEX(ALLCLASSDATA,MATCH("MartialTrained",CLASSFEATUREHEADERS,0),MATCH($A793,CLASSNAMEHEADERS,0))),(INDEX(ALLCLASSDATA,MATCH("MartialTrained",CLASSFEATUREHEADERS,0),MATCH(($A793 &amp; "Points"),CLASSNAMEHEADERS,0))),"")))))))))}</f>
        <v>MARTIALL15</v>
      </c>
      <c r="W792" s="223"/>
      <c r="X792" s="223" t="str">
        <f t="array" ref="X792:X793">{"MARTIALL17";((IF("17"=(INDEX(ALLCLASSDATA,MATCH("MartialLegendary",CLASSFEATUREHEADERS,0),MATCH($A793,CLASSNAMEHEADERS,0))),(INDEX(ALLCLASSDATA,MATCH("MartialLegendary",CLASSFEATUREHEADERS,0),MATCH(($A793 &amp; "Points"),CLASSNAMEHEADERS,0))),(IF("17"=(INDEX(ALLCLASSDATA,MATCH("MartialMaster",CLASSFEATUREHEADERS,0),MATCH($A793,CLASSNAMEHEADERS,0))),(INDEX(ALLCLASSDATA,MATCH("MartialMaster",CLASSFEATUREHEADERS,0),MATCH(($A793 &amp; "Points"),CLASSNAMEHEADERS,0))),(IF("17"=(INDEX(ALLCLASSDATA,MATCH("MartialExpert",CLASSFEATUREHEADERS,0),MATCH($A793,CLASSNAMEHEADERS,0))),(INDEX(ALLCLASSDATA,MATCH("MartialExpert",CLASSFEATUREHEADERS,0),MATCH(($A793 &amp; "Points"),CLASSNAMEHEADERS,0))),(IF("17"=(INDEX(ALLCLASSDATA,MATCH("MartialTrained",CLASSFEATUREHEADERS,0),MATCH($A793,CLASSNAMEHEADERS,0))),(INDEX(ALLCLASSDATA,MATCH("MartialTrained",CLASSFEATUREHEADERS,0),MATCH(($A793 &amp; "Points"),CLASSNAMEHEADERS,0))),"")))))))))}</f>
        <v>MARTIALL17</v>
      </c>
      <c r="Y792" s="223"/>
      <c r="Z792" s="223" t="str">
        <f t="array" ref="Z792:Z793">{"MARTIALL19";((IF("19"=(INDEX(ALLCLASSDATA,MATCH("MartialLegendary",CLASSFEATUREHEADERS,0),MATCH($A793,CLASSNAMEHEADERS,0))),(INDEX(ALLCLASSDATA,MATCH("MartialLegendary",CLASSFEATUREHEADERS,0),MATCH(($A793 &amp; "Points"),CLASSNAMEHEADERS,0))),(IF("19"=(INDEX(ALLCLASSDATA,MATCH("MartialMaster",CLASSFEATUREHEADERS,0),MATCH($A793,CLASSNAMEHEADERS,0))),(INDEX(ALLCLASSDATA,MATCH("MartialMaster",CLASSFEATUREHEADERS,0),MATCH(($A793 &amp; "Points"),CLASSNAMEHEADERS,0))),(IF("19"=(INDEX(ALLCLASSDATA,MATCH("MartialExpert",CLASSFEATUREHEADERS,0),MATCH($A793,CLASSNAMEHEADERS,0))),(INDEX(ALLCLASSDATA,MATCH("MartialExpert",CLASSFEATUREHEADERS,0),MATCH(($A793 &amp; "Points"),CLASSNAMEHEADERS,0))),(IF("19"=(INDEX(ALLCLASSDATA,MATCH("MartialTrained",CLASSFEATUREHEADERS,0),MATCH($A793,CLASSNAMEHEADERS,0))),(INDEX(ALLCLASSDATA,MATCH("MartialTrained",CLASSFEATUREHEADERS,0),MATCH(($A793 &amp; "Points"),CLASSNAMEHEADERS,0))),"")))))))))}</f>
        <v>MARTIALL19</v>
      </c>
      <c r="AA792" s="223"/>
      <c r="AB792" s="76" t="str">
        <f t="array" ref="AB792:AB793">{"MARTIAL TOTAL";(IF(COUNTBLANK(G793:AA793)=17,"L",(IF(COUNTBLANK(G793:AA793)=18,"M",(IF(COUNTBLANK(G793:AA793)=19,"E",(IF(COUNTBLANK(G793:AA793)=20,"T",""))))))))}</f>
        <v>MARTIAL TOTAL</v>
      </c>
      <c r="AC792" s="76" t="str">
        <f t="array" ref="AC792:AC793">{"MARTIAL TOTAL";(sum(G793:AA793))}</f>
        <v>MARTIAL TOTAL</v>
      </c>
    </row>
    <row r="793">
      <c r="A793" s="48" t="s">
        <v>176</v>
      </c>
      <c r="B793" s="48"/>
      <c r="C793" s="48" t="s">
        <v>415</v>
      </c>
      <c r="D793" s="48" t="s">
        <v>1634</v>
      </c>
      <c r="E793" s="48" t="s">
        <v>6</v>
      </c>
      <c r="F793" s="5" t="s">
        <v>435</v>
      </c>
      <c r="G793" s="47" t="s">
        <v>603</v>
      </c>
      <c r="H793" s="5">
        <v>10.0</v>
      </c>
      <c r="I793" s="5"/>
      <c r="J793" s="5" t="s">
        <v>603</v>
      </c>
      <c r="K793" s="5"/>
      <c r="L793" s="5">
        <v>50.0</v>
      </c>
      <c r="M793" s="5"/>
      <c r="N793" s="5" t="s">
        <v>603</v>
      </c>
      <c r="O793" s="5"/>
      <c r="P793" s="5" t="s">
        <v>603</v>
      </c>
      <c r="Q793" s="48"/>
      <c r="R793" s="5" t="s">
        <v>603</v>
      </c>
      <c r="S793" s="5"/>
      <c r="T793" s="5">
        <v>110.0</v>
      </c>
      <c r="U793" s="5"/>
      <c r="V793" s="5" t="s">
        <v>603</v>
      </c>
      <c r="W793" s="5"/>
      <c r="X793" s="5" t="s">
        <v>603</v>
      </c>
      <c r="Y793" s="5"/>
      <c r="Z793" s="5" t="s">
        <v>603</v>
      </c>
      <c r="AA793" s="5"/>
      <c r="AB793" s="5" t="s">
        <v>437</v>
      </c>
      <c r="AC793" s="47">
        <v>170.0</v>
      </c>
    </row>
    <row r="794" hidden="1">
      <c r="A794" s="222" t="str">
        <f t="array" ref="A794:A795">{"FormulaRow32";(INDEX(CLASSLIST,A731,1))}</f>
        <v>FormulaRow32</v>
      </c>
      <c r="B794" s="77" t="s">
        <v>236</v>
      </c>
      <c r="C794" s="222" t="str">
        <f t="array" ref="C794:C795">{"CLASSTYPE";((INDEX(ALLCLASSDATA,MATCH("ClassType",CLASSFEATUREHEADERS,0),MATCH($A795,CLASSNAMEHEADERS,0))))}</f>
        <v>CLASSTYPE</v>
      </c>
      <c r="D794" s="222" t="str">
        <f t="array" ref="D794:D795">{"ATTACK";"Attack"}</f>
        <v>ATTACK</v>
      </c>
      <c r="E794" s="222" t="str">
        <f t="array" ref="E794:E795">{"ADVANCEDGROUP";"AdvancedGroup"}</f>
        <v>ADVANCEDGROUP</v>
      </c>
      <c r="F794" s="223" t="str">
        <f t="array" ref="F794:F795">{"ADVANCEDGROUPINITIAL";((IF(H795=10,"T",(IF(H795=50,"E","")))))}</f>
        <v>ADVANCEDGROUPINITIAL</v>
      </c>
      <c r="G794" s="223" t="str">
        <f t="array" ref="G794:G795">{"ADVANCEDGROUPINITIALPTS";((IF("00"=(INDEX(ALLCLASSDATA,MATCH("AdvancedGroupLegendary",CLASSFEATUREHEADERS,0),MATCH($A795,CLASSNAMEHEADERS,0))),(INDEX(ALLCLASSDATA,MATCH("AdvancedGroupLegendary",CLASSFEATUREHEADERS,0),MATCH(($A795 &amp; "Points"),CLASSNAMEHEADERS,0))),(IF("00"=(INDEX(ALLCLASSDATA,MATCH("AdvancedGroupMaster",CLASSFEATUREHEADERS,0),MATCH($A795,CLASSNAMEHEADERS,0))),(INDEX(ALLCLASSDATA,MATCH("AdvancedGroupMaster",CLASSFEATUREHEADERS,0),MATCH(($A795 &amp; "Points"),CLASSNAMEHEADERS,0))),(IF("00"=(INDEX(ALLCLASSDATA,MATCH("AdvancedGroupExpert",CLASSFEATUREHEADERS,0),MATCH($A795,CLASSNAMEHEADERS,0))),(INDEX(ALLCLASSDATA,MATCH("AdvancedGroupExpert",CLASSFEATUREHEADERS,0),MATCH(($A795 &amp; "Points"),CLASSNAMEHEADERS,0))),(IF("00"=(INDEX(ALLCLASSDATA,MATCH("AdvancedGroupTrained",CLASSFEATUREHEADERS,0),MATCH($A795,CLASSNAMEHEADERS,0))),(INDEX(ALLCLASSDATA,MATCH("AdvancedGroupTrained",CLASSFEATUREHEADERS,0),MATCH(($A795 &amp; "Points"),CLASSNAMEHEADERS,0))),"")))))))))}</f>
        <v>ADVANCEDGROUPINITIALPTS</v>
      </c>
      <c r="H794" s="223" t="str">
        <f t="array" ref="H794:H795">{"ADVANCEDGROUPL01";((IF("01"=(INDEX(ALLCLASSDATA,MATCH("AdvancedGroupLegendary",CLASSFEATUREHEADERS,0),MATCH($A795,CLASSNAMEHEADERS,0))),(INDEX(ALLCLASSDATA,MATCH("AdvancedGroupLegendary",CLASSFEATUREHEADERS,0),MATCH(($A795 &amp; "Points"),CLASSNAMEHEADERS,0))),(IF("01"=(INDEX(ALLCLASSDATA,MATCH("AdvancedGroupMaster",CLASSFEATUREHEADERS,0),MATCH($A795,CLASSNAMEHEADERS,0))),(INDEX(ALLCLASSDATA,MATCH("AdvancedGroupMaster",CLASSFEATUREHEADERS,0),MATCH(($A795 &amp; "Points"),CLASSNAMEHEADERS,0))),(IF("01"=(INDEX(ALLCLASSDATA,MATCH("AdvancedGroupExpert",CLASSFEATUREHEADERS,0),MATCH($A795,CLASSNAMEHEADERS,0))),(INDEX(ALLCLASSDATA,MATCH("AdvancedGroupExpert",CLASSFEATUREHEADERS,0),MATCH(($A795 &amp; "Points"),CLASSNAMEHEADERS,0))),(IF("01"=(INDEX(ALLCLASSDATA,MATCH("AdvancedGroupTrained",CLASSFEATUREHEADERS,0),MATCH($A795,CLASSNAMEHEADERS,0))),(INDEX(ALLCLASSDATA,MATCH("AdvancedGroupTrained",CLASSFEATUREHEADERS,0),MATCH(($A795 &amp; "Points"),CLASSNAMEHEADERS,0))),"")))))))))}</f>
        <v>ADVANCEDGROUPL01</v>
      </c>
      <c r="I794" s="223"/>
      <c r="J794" s="223" t="str">
        <f t="array" ref="J794:J795">{"ADVANCEDGROUPL03";((IF("03"=(INDEX(ALLCLASSDATA,MATCH("AdvancedGroupLegendary",CLASSFEATUREHEADERS,0),MATCH($A795,CLASSNAMEHEADERS,0))),(INDEX(ALLCLASSDATA,MATCH("AdvancedGroupLegendary",CLASSFEATUREHEADERS,0),MATCH(($A795 &amp; "Points"),CLASSNAMEHEADERS,0))),(IF("03"=(INDEX(ALLCLASSDATA,MATCH("AdvancedGroupMaster",CLASSFEATUREHEADERS,0),MATCH($A795,CLASSNAMEHEADERS,0))),(INDEX(ALLCLASSDATA,MATCH("AdvancedGroupMaster",CLASSFEATUREHEADERS,0),MATCH(($A795 &amp; "Points"),CLASSNAMEHEADERS,0))),(IF("03"=(INDEX(ALLCLASSDATA,MATCH("AdvancedGroupExpert",CLASSFEATUREHEADERS,0),MATCH($A795,CLASSNAMEHEADERS,0))),(INDEX(ALLCLASSDATA,MATCH("AdvancedGroupExpert",CLASSFEATUREHEADERS,0),MATCH(($A795 &amp; "Points"),CLASSNAMEHEADERS,0))),(IF("03"=(INDEX(ALLCLASSDATA,MATCH("AdvancedGroupTrained",CLASSFEATUREHEADERS,0),MATCH($A795,CLASSNAMEHEADERS,0))),(INDEX(ALLCLASSDATA,MATCH("AdvancedGroupTrained",CLASSFEATUREHEADERS,0),MATCH(($A795 &amp; "Points"),CLASSNAMEHEADERS,0))),"")))))))))}</f>
        <v>ADVANCEDGROUPL03</v>
      </c>
      <c r="K794" s="223"/>
      <c r="L794" s="223" t="str">
        <f t="array" ref="L794:L795">{"ADVANCEDGROUPL05";((IF("05"=(INDEX(ALLCLASSDATA,MATCH("AdvancedGroupLegendary",CLASSFEATUREHEADERS,0),MATCH($A795,CLASSNAMEHEADERS,0))),(INDEX(ALLCLASSDATA,MATCH("AdvancedGroupLegendary",CLASSFEATUREHEADERS,0),MATCH(($A795 &amp; "Points"),CLASSNAMEHEADERS,0))),(IF("05"=(INDEX(ALLCLASSDATA,MATCH("AdvancedGroupMaster",CLASSFEATUREHEADERS,0),MATCH($A795,CLASSNAMEHEADERS,0))),(INDEX(ALLCLASSDATA,MATCH("AdvancedGroupMaster",CLASSFEATUREHEADERS,0),MATCH(($A795 &amp; "Points"),CLASSNAMEHEADERS,0))),(IF("05"=(INDEX(ALLCLASSDATA,MATCH("AdvancedGroupExpert",CLASSFEATUREHEADERS,0),MATCH($A795,CLASSNAMEHEADERS,0))),(INDEX(ALLCLASSDATA,MATCH("AdvancedGroupExpert",CLASSFEATUREHEADERS,0),MATCH(($A795 &amp; "Points"),CLASSNAMEHEADERS,0))),(IF("05"=(INDEX(ALLCLASSDATA,MATCH("AdvancedGroupTrained",CLASSFEATUREHEADERS,0),MATCH($A795,CLASSNAMEHEADERS,0))),(INDEX(ALLCLASSDATA,MATCH("AdvancedGroupTrained",CLASSFEATUREHEADERS,0),MATCH(($A795 &amp; "Points"),CLASSNAMEHEADERS,0))),"")))))))))}</f>
        <v>ADVANCEDGROUPL05</v>
      </c>
      <c r="M794" s="223"/>
      <c r="N794" s="223" t="str">
        <f t="array" ref="N794:N795">{"ADVANCEDGROUPL07";((IF("07"=(INDEX(ALLCLASSDATA,MATCH("AdvancedGroupLegendary",CLASSFEATUREHEADERS,0),MATCH($A795,CLASSNAMEHEADERS,0))),(INDEX(ALLCLASSDATA,MATCH("AdvancedGroupLegendary",CLASSFEATUREHEADERS,0),MATCH(($A795 &amp; "Points"),CLASSNAMEHEADERS,0))),(IF("07"=(INDEX(ALLCLASSDATA,MATCH("AdvancedGroupMaster",CLASSFEATUREHEADERS,0),MATCH($A795,CLASSNAMEHEADERS,0))),(INDEX(ALLCLASSDATA,MATCH("AdvancedGroupMaster",CLASSFEATUREHEADERS,0),MATCH(($A795 &amp; "Points"),CLASSNAMEHEADERS,0))),(IF("07"=(INDEX(ALLCLASSDATA,MATCH("AdvancedGroupExpert",CLASSFEATUREHEADERS,0),MATCH($A795,CLASSNAMEHEADERS,0))),(INDEX(ALLCLASSDATA,MATCH("AdvancedGroupExpert",CLASSFEATUREHEADERS,0),MATCH(($A795 &amp; "Points"),CLASSNAMEHEADERS,0))),(IF("07"=(INDEX(ALLCLASSDATA,MATCH("AdvancedGroupTrained",CLASSFEATUREHEADERS,0),MATCH($A795,CLASSNAMEHEADERS,0))),(INDEX(ALLCLASSDATA,MATCH("AdvancedGroupTrained",CLASSFEATUREHEADERS,0),MATCH(($A795 &amp; "Points"),CLASSNAMEHEADERS,0))),"")))))))))}</f>
        <v>ADVANCEDGROUPL07</v>
      </c>
      <c r="O794" s="223"/>
      <c r="P794" s="223" t="str">
        <f t="array" ref="P794:P795">{"ADVANCEDGROUPL09";((IF("09"=(INDEX(ALLCLASSDATA,MATCH("AdvancedGroupLegendary",CLASSFEATUREHEADERS,0),MATCH($A795,CLASSNAMEHEADERS,0))),(INDEX(ALLCLASSDATA,MATCH("AdvancedGroupLegendary",CLASSFEATUREHEADERS,0),MATCH(($A795 &amp; "Points"),CLASSNAMEHEADERS,0))),(IF("09"=(INDEX(ALLCLASSDATA,MATCH("AdvancedGroupMaster",CLASSFEATUREHEADERS,0),MATCH($A795,CLASSNAMEHEADERS,0))),(INDEX(ALLCLASSDATA,MATCH("AdvancedGroupMaster",CLASSFEATUREHEADERS,0),MATCH(($A795 &amp; "Points"),CLASSNAMEHEADERS,0))),(IF("09"=(INDEX(ALLCLASSDATA,MATCH("AdvancedGroupExpert",CLASSFEATUREHEADERS,0),MATCH($A795,CLASSNAMEHEADERS,0))),(INDEX(ALLCLASSDATA,MATCH("AdvancedGroupExpert",CLASSFEATUREHEADERS,0),MATCH(($A795 &amp; "Points"),CLASSNAMEHEADERS,0))),(IF("09"=(INDEX(ALLCLASSDATA,MATCH("AdvancedGroupTrained",CLASSFEATUREHEADERS,0),MATCH($A795,CLASSNAMEHEADERS,0))),(INDEX(ALLCLASSDATA,MATCH("AdvancedGroupTrained",CLASSFEATUREHEADERS,0),MATCH(($A795 &amp; "Points"),CLASSNAMEHEADERS,0))),"")))))))))}</f>
        <v>ADVANCEDGROUPL09</v>
      </c>
      <c r="Q794" s="223"/>
      <c r="R794" s="223" t="str">
        <f t="array" ref="R794:R795">{"ADVANCEDGROUPL11";((IF("11"=(INDEX(ALLCLASSDATA,MATCH("AdvancedGroupLegendary",CLASSFEATUREHEADERS,0),MATCH($A795,CLASSNAMEHEADERS,0))),(INDEX(ALLCLASSDATA,MATCH("AdvancedGroupLegendary",CLASSFEATUREHEADERS,0),MATCH(($A795 &amp; "Points"),CLASSNAMEHEADERS,0))),(IF("11"=(INDEX(ALLCLASSDATA,MATCH("AdvancedGroupMaster",CLASSFEATUREHEADERS,0),MATCH($A795,CLASSNAMEHEADERS,0))),(INDEX(ALLCLASSDATA,MATCH("AdvancedGroupMaster",CLASSFEATUREHEADERS,0),MATCH(($A795 &amp; "Points"),CLASSNAMEHEADERS,0))),(IF("11"=(INDEX(ALLCLASSDATA,MATCH("AdvancedGroupExpert",CLASSFEATUREHEADERS,0),MATCH($A795,CLASSNAMEHEADERS,0))),(INDEX(ALLCLASSDATA,MATCH("AdvancedGroupExpert",CLASSFEATUREHEADERS,0),MATCH(($A795 &amp; "Points"),CLASSNAMEHEADERS,0))),(IF("11"=(INDEX(ALLCLASSDATA,MATCH("AdvancedGroupTrained",CLASSFEATUREHEADERS,0),MATCH($A795,CLASSNAMEHEADERS,0))),(INDEX(ALLCLASSDATA,MATCH("AdvancedGroupTrained",CLASSFEATUREHEADERS,0),MATCH(($A795 &amp; "Points"),CLASSNAMEHEADERS,0))),"")))))))))}</f>
        <v>ADVANCEDGROUPL11</v>
      </c>
      <c r="S794" s="223"/>
      <c r="T794" s="223" t="str">
        <f t="array" ref="T794:T795">{"ADVANCEDGROUPL13";((IF("13"=(INDEX(ALLCLASSDATA,MATCH("AdvancedGroupLegendary",CLASSFEATUREHEADERS,0),MATCH($A795,CLASSNAMEHEADERS,0))),(INDEX(ALLCLASSDATA,MATCH("AdvancedGroupLegendary",CLASSFEATUREHEADERS,0),MATCH(($A795 &amp; "Points"),CLASSNAMEHEADERS,0))),(IF("13"=(INDEX(ALLCLASSDATA,MATCH("AdvancedGroupMaster",CLASSFEATUREHEADERS,0),MATCH($A795,CLASSNAMEHEADERS,0))),(INDEX(ALLCLASSDATA,MATCH("AdvancedGroupMaster",CLASSFEATUREHEADERS,0),MATCH(($A795 &amp; "Points"),CLASSNAMEHEADERS,0))),(IF("13"=(INDEX(ALLCLASSDATA,MATCH("AdvancedGroupExpert",CLASSFEATUREHEADERS,0),MATCH($A795,CLASSNAMEHEADERS,0))),(INDEX(ALLCLASSDATA,MATCH("AdvancedGroupExpert",CLASSFEATUREHEADERS,0),MATCH(($A795 &amp; "Points"),CLASSNAMEHEADERS,0))),(IF("13"=(INDEX(ALLCLASSDATA,MATCH("AdvancedGroupTrained",CLASSFEATUREHEADERS,0),MATCH($A795,CLASSNAMEHEADERS,0))),(INDEX(ALLCLASSDATA,MATCH("AdvancedGroupTrained",CLASSFEATUREHEADERS,0),MATCH(($A795 &amp; "Points"),CLASSNAMEHEADERS,0))),"")))))))))}</f>
        <v>ADVANCEDGROUPL13</v>
      </c>
      <c r="U794" s="223"/>
      <c r="V794" s="223" t="str">
        <f t="array" ref="V794:V795">{"ADVANCEDGROUPL15";((IF("15"=(INDEX(ALLCLASSDATA,MATCH("AdvancedGroupLegendary",CLASSFEATUREHEADERS,0),MATCH($A795,CLASSNAMEHEADERS,0))),(INDEX(ALLCLASSDATA,MATCH("AdvancedGroupLegendary",CLASSFEATUREHEADERS,0),MATCH(($A795 &amp; "Points"),CLASSNAMEHEADERS,0))),(IF("15"=(INDEX(ALLCLASSDATA,MATCH("AdvancedGroupMaster",CLASSFEATUREHEADERS,0),MATCH($A795,CLASSNAMEHEADERS,0))),(INDEX(ALLCLASSDATA,MATCH("AdvancedGroupMaster",CLASSFEATUREHEADERS,0),MATCH(($A795 &amp; "Points"),CLASSNAMEHEADERS,0))),(IF("15"=(INDEX(ALLCLASSDATA,MATCH("AdvancedGroupExpert",CLASSFEATUREHEADERS,0),MATCH($A795,CLASSNAMEHEADERS,0))),(INDEX(ALLCLASSDATA,MATCH("AdvancedGroupExpert",CLASSFEATUREHEADERS,0),MATCH(($A795 &amp; "Points"),CLASSNAMEHEADERS,0))),(IF("15"=(INDEX(ALLCLASSDATA,MATCH("AdvancedGroupTrained",CLASSFEATUREHEADERS,0),MATCH($A795,CLASSNAMEHEADERS,0))),(INDEX(ALLCLASSDATA,MATCH("AdvancedGroupTrained",CLASSFEATUREHEADERS,0),MATCH(($A795 &amp; "Points"),CLASSNAMEHEADERS,0))),"")))))))))}</f>
        <v>ADVANCEDGROUPL15</v>
      </c>
      <c r="W794" s="223"/>
      <c r="X794" s="223" t="str">
        <f t="array" ref="X794:X795">{"ADVANCEDGROUPL17";((IF("17"=(INDEX(ALLCLASSDATA,MATCH("AdvancedGroupLegendary",CLASSFEATUREHEADERS,0),MATCH($A795,CLASSNAMEHEADERS,0))),(INDEX(ALLCLASSDATA,MATCH("AdvancedGroupLegendary",CLASSFEATUREHEADERS,0),MATCH(($A795 &amp; "Points"),CLASSNAMEHEADERS,0))),(IF("17"=(INDEX(ALLCLASSDATA,MATCH("AdvancedGroupMaster",CLASSFEATUREHEADERS,0),MATCH($A795,CLASSNAMEHEADERS,0))),(INDEX(ALLCLASSDATA,MATCH("AdvancedGroupMaster",CLASSFEATUREHEADERS,0),MATCH(($A795 &amp; "Points"),CLASSNAMEHEADERS,0))),(IF("17"=(INDEX(ALLCLASSDATA,MATCH("AdvancedGroupExpert",CLASSFEATUREHEADERS,0),MATCH($A795,CLASSNAMEHEADERS,0))),(INDEX(ALLCLASSDATA,MATCH("AdvancedGroupExpert",CLASSFEATUREHEADERS,0),MATCH(($A795 &amp; "Points"),CLASSNAMEHEADERS,0))),(IF("17"=(INDEX(ALLCLASSDATA,MATCH("AdvancedGroupTrained",CLASSFEATUREHEADERS,0),MATCH($A795,CLASSNAMEHEADERS,0))),(INDEX(ALLCLASSDATA,MATCH("AdvancedGroupTrained",CLASSFEATUREHEADERS,0),MATCH(($A795 &amp; "Points"),CLASSNAMEHEADERS,0))),"")))))))))}</f>
        <v>ADVANCEDGROUPL17</v>
      </c>
      <c r="Y794" s="223"/>
      <c r="Z794" s="223" t="str">
        <f t="array" ref="Z794:Z795">{"ADVANCEDGROUPL19";((IF("19"=(INDEX(ALLCLASSDATA,MATCH("AdvancedGroupLegendary",CLASSFEATUREHEADERS,0),MATCH($A795,CLASSNAMEHEADERS,0))),(INDEX(ALLCLASSDATA,MATCH("AdvancedGroupLegendary",CLASSFEATUREHEADERS,0),MATCH(($A795 &amp; "Points"),CLASSNAMEHEADERS,0))),(IF("19"=(INDEX(ALLCLASSDATA,MATCH("AdvancedGroupMaster",CLASSFEATUREHEADERS,0),MATCH($A795,CLASSNAMEHEADERS,0))),(INDEX(ALLCLASSDATA,MATCH("AdvancedGroupMaster",CLASSFEATUREHEADERS,0),MATCH(($A795 &amp; "Points"),CLASSNAMEHEADERS,0))),(IF("19"=(INDEX(ALLCLASSDATA,MATCH("AdvancedGroupExpert",CLASSFEATUREHEADERS,0),MATCH($A795,CLASSNAMEHEADERS,0))),(INDEX(ALLCLASSDATA,MATCH("AdvancedGroupExpert",CLASSFEATUREHEADERS,0),MATCH(($A795 &amp; "Points"),CLASSNAMEHEADERS,0))),(IF("19"=(INDEX(ALLCLASSDATA,MATCH("AdvancedGroupTrained",CLASSFEATUREHEADERS,0),MATCH($A795,CLASSNAMEHEADERS,0))),(INDEX(ALLCLASSDATA,MATCH("AdvancedGroupTrained",CLASSFEATUREHEADERS,0),MATCH(($A795 &amp; "Points"),CLASSNAMEHEADERS,0))),"")))))))))}</f>
        <v>ADVANCEDGROUPL19</v>
      </c>
      <c r="AA794" s="223"/>
      <c r="AB794" s="76" t="str">
        <f t="array" ref="AB794:AB795">{"ADVANCEDGROUP TOTAL";(IF(COUNTBLANK(G795:AA795)=17,"L",(IF(COUNTBLANK(G795:AA795)=18,"M",(IF(COUNTBLANK(G795:AA795)=19,"E",(IF(COUNTBLANK(G795:AA795)=20,"T",""))))))))}</f>
        <v>ADVANCEDGROUP TOTAL</v>
      </c>
      <c r="AC794" s="76" t="str">
        <f t="array" ref="AC794:AC795">{"ADVANCEDGROUP TOTAL";(sum(G795:AA795))}</f>
        <v>ADVANCEDGROUP TOTAL</v>
      </c>
    </row>
    <row r="795">
      <c r="A795" s="48" t="s">
        <v>176</v>
      </c>
      <c r="B795" s="48"/>
      <c r="C795" s="48" t="s">
        <v>415</v>
      </c>
      <c r="D795" s="48" t="s">
        <v>1634</v>
      </c>
      <c r="E795" s="48" t="s">
        <v>601</v>
      </c>
      <c r="F795" s="5" t="s">
        <v>603</v>
      </c>
      <c r="G795" s="47" t="s">
        <v>603</v>
      </c>
      <c r="H795" s="5" t="s">
        <v>603</v>
      </c>
      <c r="I795" s="5"/>
      <c r="J795" s="5" t="s">
        <v>603</v>
      </c>
      <c r="K795" s="5"/>
      <c r="L795" s="5" t="s">
        <v>603</v>
      </c>
      <c r="M795" s="5"/>
      <c r="N795" s="5" t="s">
        <v>603</v>
      </c>
      <c r="O795" s="5"/>
      <c r="P795" s="5" t="s">
        <v>603</v>
      </c>
      <c r="Q795" s="5"/>
      <c r="R795" s="5" t="s">
        <v>603</v>
      </c>
      <c r="S795" s="5"/>
      <c r="T795" s="5" t="s">
        <v>603</v>
      </c>
      <c r="U795" s="5"/>
      <c r="V795" s="5" t="s">
        <v>603</v>
      </c>
      <c r="W795" s="5"/>
      <c r="X795" s="5" t="s">
        <v>603</v>
      </c>
      <c r="Y795" s="5"/>
      <c r="Z795" s="5" t="s">
        <v>603</v>
      </c>
      <c r="AA795" s="5"/>
      <c r="AB795" s="5" t="s">
        <v>603</v>
      </c>
      <c r="AC795" s="47">
        <v>0.0</v>
      </c>
    </row>
    <row r="796" hidden="1">
      <c r="A796" s="222" t="str">
        <f t="array" ref="A796:A797">{"FormulaRow33";(INDEX(CLASSLIST,A731,1))}</f>
        <v>FormulaRow33</v>
      </c>
      <c r="B796" s="77" t="s">
        <v>236</v>
      </c>
      <c r="C796" s="222" t="str">
        <f t="array" ref="C796:C797">{"CLASSTYPE";((INDEX(ALLCLASSDATA,MATCH("ClassType",CLASSFEATUREHEADERS,0),MATCH($A797,CLASSNAMEHEADERS,0))))}</f>
        <v>CLASSTYPE</v>
      </c>
      <c r="D796" s="222" t="str">
        <f t="array" ref="D796:D797">{"ATTACK";"Attack"}</f>
        <v>ATTACK</v>
      </c>
      <c r="E796" s="222" t="str">
        <f t="array" ref="E796:E797">{"ADVANCED";"Advanced"}</f>
        <v>ADVANCED</v>
      </c>
      <c r="F796" s="223" t="str">
        <f t="array" ref="F796:F797">{"ADVANCEDINITIAL";((IF(H797=10,"T",(IF(H797=50,"E","")))))}</f>
        <v>ADVANCEDINITIAL</v>
      </c>
      <c r="G796" s="223" t="str">
        <f t="array" ref="G796:G797">{"ADVANCEDINITIALPTS";((IF("00"=(INDEX(ALLCLASSDATA,MATCH("AdvancedLegendary",CLASSFEATUREHEADERS,0),MATCH($A797,CLASSNAMEHEADERS,0))),(INDEX(ALLCLASSDATA,MATCH("AdvancedLegendary",CLASSFEATUREHEADERS,0),MATCH(($A797 &amp; "Points"),CLASSNAMEHEADERS,0))),(IF("00"=(INDEX(ALLCLASSDATA,MATCH("AdvancedMaster",CLASSFEATUREHEADERS,0),MATCH($A797,CLASSNAMEHEADERS,0))),(INDEX(ALLCLASSDATA,MATCH("AdvancedMaster",CLASSFEATUREHEADERS,0),MATCH(($A797 &amp; "Points"),CLASSNAMEHEADERS,0))),(IF("00"=(INDEX(ALLCLASSDATA,MATCH("AdvancedExpert",CLASSFEATUREHEADERS,0),MATCH($A797,CLASSNAMEHEADERS,0))),(INDEX(ALLCLASSDATA,MATCH("AdvancedExpert",CLASSFEATUREHEADERS,0),MATCH(($A797 &amp; "Points"),CLASSNAMEHEADERS,0))),(IF("00"=(INDEX(ALLCLASSDATA,MATCH("AdvancedTrained",CLASSFEATUREHEADERS,0),MATCH($A797,CLASSNAMEHEADERS,0))),(INDEX(ALLCLASSDATA,MATCH("AdvancedTrained",CLASSFEATUREHEADERS,0),MATCH(($A797 &amp; "Points"),CLASSNAMEHEADERS,0))),"")))))))))}</f>
        <v>ADVANCEDINITIALPTS</v>
      </c>
      <c r="H796" s="223" t="str">
        <f t="array" ref="H796:H797">{"ADVANCEDL01";((IF("01"=(INDEX(ALLCLASSDATA,MATCH("AdvancedLegendary",CLASSFEATUREHEADERS,0),MATCH($A797,CLASSNAMEHEADERS,0))),(INDEX(ALLCLASSDATA,MATCH("AdvancedLegendary",CLASSFEATUREHEADERS,0),MATCH(($A797 &amp; "Points"),CLASSNAMEHEADERS,0))),(IF("01"=(INDEX(ALLCLASSDATA,MATCH("AdvancedMaster",CLASSFEATUREHEADERS,0),MATCH($A797,CLASSNAMEHEADERS,0))),(INDEX(ALLCLASSDATA,MATCH("AdvancedMaster",CLASSFEATUREHEADERS,0),MATCH(($A797 &amp; "Points"),CLASSNAMEHEADERS,0))),(IF("01"=(INDEX(ALLCLASSDATA,MATCH("AdvancedExpert",CLASSFEATUREHEADERS,0),MATCH($A797,CLASSNAMEHEADERS,0))),(INDEX(ALLCLASSDATA,MATCH("AdvancedExpert",CLASSFEATUREHEADERS,0),MATCH(($A797 &amp; "Points"),CLASSNAMEHEADERS,0))),(IF("01"=(INDEX(ALLCLASSDATA,MATCH("AdvancedTrained",CLASSFEATUREHEADERS,0),MATCH($A797,CLASSNAMEHEADERS,0))),(INDEX(ALLCLASSDATA,MATCH("AdvancedTrained",CLASSFEATUREHEADERS,0),MATCH(($A797 &amp; "Points"),CLASSNAMEHEADERS,0))),"")))))))))}</f>
        <v>ADVANCEDL01</v>
      </c>
      <c r="I796" s="223"/>
      <c r="J796" s="223" t="str">
        <f t="array" ref="J796:J797">{"ADVANCEDL03";((IF("03"=(INDEX(ALLCLASSDATA,MATCH("AdvancedLegendary",CLASSFEATUREHEADERS,0),MATCH($A797,CLASSNAMEHEADERS,0))),(INDEX(ALLCLASSDATA,MATCH("AdvancedLegendary",CLASSFEATUREHEADERS,0),MATCH(($A797 &amp; "Points"),CLASSNAMEHEADERS,0))),(IF("03"=(INDEX(ALLCLASSDATA,MATCH("AdvancedMaster",CLASSFEATUREHEADERS,0),MATCH($A797,CLASSNAMEHEADERS,0))),(INDEX(ALLCLASSDATA,MATCH("AdvancedMaster",CLASSFEATUREHEADERS,0),MATCH(($A797 &amp; "Points"),CLASSNAMEHEADERS,0))),(IF("03"=(INDEX(ALLCLASSDATA,MATCH("AdvancedExpert",CLASSFEATUREHEADERS,0),MATCH($A797,CLASSNAMEHEADERS,0))),(INDEX(ALLCLASSDATA,MATCH("AdvancedExpert",CLASSFEATUREHEADERS,0),MATCH(($A797 &amp; "Points"),CLASSNAMEHEADERS,0))),(IF("03"=(INDEX(ALLCLASSDATA,MATCH("AdvancedTrained",CLASSFEATUREHEADERS,0),MATCH($A797,CLASSNAMEHEADERS,0))),(INDEX(ALLCLASSDATA,MATCH("AdvancedTrained",CLASSFEATUREHEADERS,0),MATCH(($A797 &amp; "Points"),CLASSNAMEHEADERS,0))),"")))))))))}</f>
        <v>ADVANCEDL03</v>
      </c>
      <c r="K796" s="223"/>
      <c r="L796" s="223" t="str">
        <f t="array" ref="L796:L797">{"ADVANCEDL05";((IF("05"=(INDEX(ALLCLASSDATA,MATCH("AdvancedLegendary",CLASSFEATUREHEADERS,0),MATCH($A797,CLASSNAMEHEADERS,0))),(INDEX(ALLCLASSDATA,MATCH("AdvancedLegendary",CLASSFEATUREHEADERS,0),MATCH(($A797 &amp; "Points"),CLASSNAMEHEADERS,0))),(IF("05"=(INDEX(ALLCLASSDATA,MATCH("AdvancedMaster",CLASSFEATUREHEADERS,0),MATCH($A797,CLASSNAMEHEADERS,0))),(INDEX(ALLCLASSDATA,MATCH("AdvancedMaster",CLASSFEATUREHEADERS,0),MATCH(($A797 &amp; "Points"),CLASSNAMEHEADERS,0))),(IF("05"=(INDEX(ALLCLASSDATA,MATCH("AdvancedExpert",CLASSFEATUREHEADERS,0),MATCH($A797,CLASSNAMEHEADERS,0))),(INDEX(ALLCLASSDATA,MATCH("AdvancedExpert",CLASSFEATUREHEADERS,0),MATCH(($A797 &amp; "Points"),CLASSNAMEHEADERS,0))),(IF("05"=(INDEX(ALLCLASSDATA,MATCH("AdvancedTrained",CLASSFEATUREHEADERS,0),MATCH($A797,CLASSNAMEHEADERS,0))),(INDEX(ALLCLASSDATA,MATCH("AdvancedTrained",CLASSFEATUREHEADERS,0),MATCH(($A797 &amp; "Points"),CLASSNAMEHEADERS,0))),"")))))))))}</f>
        <v>ADVANCEDL05</v>
      </c>
      <c r="M796" s="223"/>
      <c r="N796" s="223" t="str">
        <f t="array" ref="N796:N797">{"ADVANCEDL07";((IF("07"=(INDEX(ALLCLASSDATA,MATCH("AdvancedLegendary",CLASSFEATUREHEADERS,0),MATCH($A797,CLASSNAMEHEADERS,0))),(INDEX(ALLCLASSDATA,MATCH("AdvancedLegendary",CLASSFEATUREHEADERS,0),MATCH(($A797 &amp; "Points"),CLASSNAMEHEADERS,0))),(IF("07"=(INDEX(ALLCLASSDATA,MATCH("AdvancedMaster",CLASSFEATUREHEADERS,0),MATCH($A797,CLASSNAMEHEADERS,0))),(INDEX(ALLCLASSDATA,MATCH("AdvancedMaster",CLASSFEATUREHEADERS,0),MATCH(($A797 &amp; "Points"),CLASSNAMEHEADERS,0))),(IF("07"=(INDEX(ALLCLASSDATA,MATCH("AdvancedExpert",CLASSFEATUREHEADERS,0),MATCH($A797,CLASSNAMEHEADERS,0))),(INDEX(ALLCLASSDATA,MATCH("AdvancedExpert",CLASSFEATUREHEADERS,0),MATCH(($A797 &amp; "Points"),CLASSNAMEHEADERS,0))),(IF("07"=(INDEX(ALLCLASSDATA,MATCH("AdvancedTrained",CLASSFEATUREHEADERS,0),MATCH($A797,CLASSNAMEHEADERS,0))),(INDEX(ALLCLASSDATA,MATCH("AdvancedTrained",CLASSFEATUREHEADERS,0),MATCH(($A797 &amp; "Points"),CLASSNAMEHEADERS,0))),"")))))))))}</f>
        <v>ADVANCEDL07</v>
      </c>
      <c r="O796" s="223"/>
      <c r="P796" s="223" t="str">
        <f t="array" ref="P796:P797">{"ADVANCEDL09";((IF("09"=(INDEX(ALLCLASSDATA,MATCH("AdvancedLegendary",CLASSFEATUREHEADERS,0),MATCH($A797,CLASSNAMEHEADERS,0))),(INDEX(ALLCLASSDATA,MATCH("AdvancedLegendary",CLASSFEATUREHEADERS,0),MATCH(($A797 &amp; "Points"),CLASSNAMEHEADERS,0))),(IF("09"=(INDEX(ALLCLASSDATA,MATCH("AdvancedMaster",CLASSFEATUREHEADERS,0),MATCH($A797,CLASSNAMEHEADERS,0))),(INDEX(ALLCLASSDATA,MATCH("AdvancedMaster",CLASSFEATUREHEADERS,0),MATCH(($A797 &amp; "Points"),CLASSNAMEHEADERS,0))),(IF("09"=(INDEX(ALLCLASSDATA,MATCH("AdvancedExpert",CLASSFEATUREHEADERS,0),MATCH($A797,CLASSNAMEHEADERS,0))),(INDEX(ALLCLASSDATA,MATCH("AdvancedExpert",CLASSFEATUREHEADERS,0),MATCH(($A797 &amp; "Points"),CLASSNAMEHEADERS,0))),(IF("09"=(INDEX(ALLCLASSDATA,MATCH("AdvancedTrained",CLASSFEATUREHEADERS,0),MATCH($A797,CLASSNAMEHEADERS,0))),(INDEX(ALLCLASSDATA,MATCH("AdvancedTrained",CLASSFEATUREHEADERS,0),MATCH(($A797 &amp; "Points"),CLASSNAMEHEADERS,0))),"")))))))))}</f>
        <v>ADVANCEDL09</v>
      </c>
      <c r="Q796" s="223"/>
      <c r="R796" s="223" t="str">
        <f t="array" ref="R796:R797">{"ADVANCEDL11";((IF("11"=(INDEX(ALLCLASSDATA,MATCH("AdvancedLegendary",CLASSFEATUREHEADERS,0),MATCH($A797,CLASSNAMEHEADERS,0))),(INDEX(ALLCLASSDATA,MATCH("AdvancedLegendary",CLASSFEATUREHEADERS,0),MATCH(($A797 &amp; "Points"),CLASSNAMEHEADERS,0))),(IF("11"=(INDEX(ALLCLASSDATA,MATCH("AdvancedMaster",CLASSFEATUREHEADERS,0),MATCH($A797,CLASSNAMEHEADERS,0))),(INDEX(ALLCLASSDATA,MATCH("AdvancedMaster",CLASSFEATUREHEADERS,0),MATCH(($A797 &amp; "Points"),CLASSNAMEHEADERS,0))),(IF("11"=(INDEX(ALLCLASSDATA,MATCH("AdvancedExpert",CLASSFEATUREHEADERS,0),MATCH($A797,CLASSNAMEHEADERS,0))),(INDEX(ALLCLASSDATA,MATCH("AdvancedExpert",CLASSFEATUREHEADERS,0),MATCH(($A797 &amp; "Points"),CLASSNAMEHEADERS,0))),(IF("11"=(INDEX(ALLCLASSDATA,MATCH("AdvancedTrained",CLASSFEATUREHEADERS,0),MATCH($A797,CLASSNAMEHEADERS,0))),(INDEX(ALLCLASSDATA,MATCH("AdvancedTrained",CLASSFEATUREHEADERS,0),MATCH(($A797 &amp; "Points"),CLASSNAMEHEADERS,0))),"")))))))))}</f>
        <v>ADVANCEDL11</v>
      </c>
      <c r="S796" s="223"/>
      <c r="T796" s="223" t="str">
        <f t="array" ref="T796:T797">{"ADVANCEDL13";((IF("13"=(INDEX(ALLCLASSDATA,MATCH("AdvancedLegendary",CLASSFEATUREHEADERS,0),MATCH($A797,CLASSNAMEHEADERS,0))),(INDEX(ALLCLASSDATA,MATCH("AdvancedLegendary",CLASSFEATUREHEADERS,0),MATCH(($A797 &amp; "Points"),CLASSNAMEHEADERS,0))),(IF("13"=(INDEX(ALLCLASSDATA,MATCH("AdvancedMaster",CLASSFEATUREHEADERS,0),MATCH($A797,CLASSNAMEHEADERS,0))),(INDEX(ALLCLASSDATA,MATCH("AdvancedMaster",CLASSFEATUREHEADERS,0),MATCH(($A797 &amp; "Points"),CLASSNAMEHEADERS,0))),(IF("13"=(INDEX(ALLCLASSDATA,MATCH("AdvancedExpert",CLASSFEATUREHEADERS,0),MATCH($A797,CLASSNAMEHEADERS,0))),(INDEX(ALLCLASSDATA,MATCH("AdvancedExpert",CLASSFEATUREHEADERS,0),MATCH(($A797 &amp; "Points"),CLASSNAMEHEADERS,0))),(IF("13"=(INDEX(ALLCLASSDATA,MATCH("AdvancedTrained",CLASSFEATUREHEADERS,0),MATCH($A797,CLASSNAMEHEADERS,0))),(INDEX(ALLCLASSDATA,MATCH("AdvancedTrained",CLASSFEATUREHEADERS,0),MATCH(($A797 &amp; "Points"),CLASSNAMEHEADERS,0))),"")))))))))}</f>
        <v>ADVANCEDL13</v>
      </c>
      <c r="U796" s="223"/>
      <c r="V796" s="223" t="str">
        <f t="array" ref="V796:V797">{"ADVANCEDL15";((IF("15"=(INDEX(ALLCLASSDATA,MATCH("AdvancedLegendary",CLASSFEATUREHEADERS,0),MATCH($A797,CLASSNAMEHEADERS,0))),(INDEX(ALLCLASSDATA,MATCH("AdvancedLegendary",CLASSFEATUREHEADERS,0),MATCH(($A797 &amp; "Points"),CLASSNAMEHEADERS,0))),(IF("15"=(INDEX(ALLCLASSDATA,MATCH("AdvancedMaster",CLASSFEATUREHEADERS,0),MATCH($A797,CLASSNAMEHEADERS,0))),(INDEX(ALLCLASSDATA,MATCH("AdvancedMaster",CLASSFEATUREHEADERS,0),MATCH(($A797 &amp; "Points"),CLASSNAMEHEADERS,0))),(IF("15"=(INDEX(ALLCLASSDATA,MATCH("AdvancedExpert",CLASSFEATUREHEADERS,0),MATCH($A797,CLASSNAMEHEADERS,0))),(INDEX(ALLCLASSDATA,MATCH("AdvancedExpert",CLASSFEATUREHEADERS,0),MATCH(($A797 &amp; "Points"),CLASSNAMEHEADERS,0))),(IF("15"=(INDEX(ALLCLASSDATA,MATCH("AdvancedTrained",CLASSFEATUREHEADERS,0),MATCH($A797,CLASSNAMEHEADERS,0))),(INDEX(ALLCLASSDATA,MATCH("AdvancedTrained",CLASSFEATUREHEADERS,0),MATCH(($A797 &amp; "Points"),CLASSNAMEHEADERS,0))),"")))))))))}</f>
        <v>ADVANCEDL15</v>
      </c>
      <c r="W796" s="223"/>
      <c r="X796" s="223" t="str">
        <f t="array" ref="X796:X797">{"ADVANCEDL17";((IF("17"=(INDEX(ALLCLASSDATA,MATCH("AdvancedLegendary",CLASSFEATUREHEADERS,0),MATCH($A797,CLASSNAMEHEADERS,0))),(INDEX(ALLCLASSDATA,MATCH("AdvancedLegendary",CLASSFEATUREHEADERS,0),MATCH(($A797 &amp; "Points"),CLASSNAMEHEADERS,0))),(IF("17"=(INDEX(ALLCLASSDATA,MATCH("AdvancedMaster",CLASSFEATUREHEADERS,0),MATCH($A797,CLASSNAMEHEADERS,0))),(INDEX(ALLCLASSDATA,MATCH("AdvancedMaster",CLASSFEATUREHEADERS,0),MATCH(($A797 &amp; "Points"),CLASSNAMEHEADERS,0))),(IF("17"=(INDEX(ALLCLASSDATA,MATCH("AdvancedExpert",CLASSFEATUREHEADERS,0),MATCH($A797,CLASSNAMEHEADERS,0))),(INDEX(ALLCLASSDATA,MATCH("AdvancedExpert",CLASSFEATUREHEADERS,0),MATCH(($A797 &amp; "Points"),CLASSNAMEHEADERS,0))),(IF("17"=(INDEX(ALLCLASSDATA,MATCH("AdvancedTrained",CLASSFEATUREHEADERS,0),MATCH($A797,CLASSNAMEHEADERS,0))),(INDEX(ALLCLASSDATA,MATCH("AdvancedTrained",CLASSFEATUREHEADERS,0),MATCH(($A797 &amp; "Points"),CLASSNAMEHEADERS,0))),"")))))))))}</f>
        <v>ADVANCEDL17</v>
      </c>
      <c r="Y796" s="223"/>
      <c r="Z796" s="223" t="str">
        <f t="array" ref="Z796:Z797">{"ADVANCEDL19";((IF("19"=(INDEX(ALLCLASSDATA,MATCH("AdvancedLegendary",CLASSFEATUREHEADERS,0),MATCH($A797,CLASSNAMEHEADERS,0))),(INDEX(ALLCLASSDATA,MATCH("AdvancedLegendary",CLASSFEATUREHEADERS,0),MATCH(($A797 &amp; "Points"),CLASSNAMEHEADERS,0))),(IF("19"=(INDEX(ALLCLASSDATA,MATCH("AdvancedMaster",CLASSFEATUREHEADERS,0),MATCH($A797,CLASSNAMEHEADERS,0))),(INDEX(ALLCLASSDATA,MATCH("AdvancedMaster",CLASSFEATUREHEADERS,0),MATCH(($A797 &amp; "Points"),CLASSNAMEHEADERS,0))),(IF("19"=(INDEX(ALLCLASSDATA,MATCH("AdvancedExpert",CLASSFEATUREHEADERS,0),MATCH($A797,CLASSNAMEHEADERS,0))),(INDEX(ALLCLASSDATA,MATCH("AdvancedExpert",CLASSFEATUREHEADERS,0),MATCH(($A797 &amp; "Points"),CLASSNAMEHEADERS,0))),(IF("19"=(INDEX(ALLCLASSDATA,MATCH("AdvancedTrained",CLASSFEATUREHEADERS,0),MATCH($A797,CLASSNAMEHEADERS,0))),(INDEX(ALLCLASSDATA,MATCH("AdvancedTrained",CLASSFEATUREHEADERS,0),MATCH(($A797 &amp; "Points"),CLASSNAMEHEADERS,0))),"")))))))))}</f>
        <v>ADVANCEDL19</v>
      </c>
      <c r="AA796" s="223"/>
      <c r="AB796" s="76" t="str">
        <f t="array" ref="AB796:AB797">{"ADVANCED TOTAL";(IF(COUNTBLANK(G797:AA797)=17,"L",(IF(COUNTBLANK(G797:AA797)=18,"M",(IF(COUNTBLANK(G797:AA797)=19,"E",(IF(COUNTBLANK(G797:AA797)=20,"T",""))))))))}</f>
        <v>ADVANCED TOTAL</v>
      </c>
      <c r="AC796" s="76" t="str">
        <f t="array" ref="AC796:AC797">{"ADVANCED TOTAL";(sum(G797:AA797))}</f>
        <v>ADVANCED TOTAL</v>
      </c>
    </row>
    <row r="797">
      <c r="A797" s="48" t="s">
        <v>176</v>
      </c>
      <c r="B797" s="48"/>
      <c r="C797" s="48" t="s">
        <v>415</v>
      </c>
      <c r="D797" s="97" t="s">
        <v>1634</v>
      </c>
      <c r="E797" s="97" t="s">
        <v>602</v>
      </c>
      <c r="F797" s="98" t="s">
        <v>603</v>
      </c>
      <c r="G797" s="132" t="s">
        <v>603</v>
      </c>
      <c r="H797" s="98" t="s">
        <v>603</v>
      </c>
      <c r="I797" s="98"/>
      <c r="J797" s="98" t="s">
        <v>603</v>
      </c>
      <c r="K797" s="98"/>
      <c r="L797" s="98" t="s">
        <v>603</v>
      </c>
      <c r="M797" s="98"/>
      <c r="N797" s="98" t="s">
        <v>603</v>
      </c>
      <c r="O797" s="98"/>
      <c r="P797" s="98" t="s">
        <v>603</v>
      </c>
      <c r="Q797" s="98"/>
      <c r="R797" s="98" t="s">
        <v>603</v>
      </c>
      <c r="S797" s="98"/>
      <c r="T797" s="98" t="s">
        <v>603</v>
      </c>
      <c r="U797" s="98"/>
      <c r="V797" s="98" t="s">
        <v>603</v>
      </c>
      <c r="W797" s="98"/>
      <c r="X797" s="98" t="s">
        <v>603</v>
      </c>
      <c r="Y797" s="98"/>
      <c r="Z797" s="98" t="s">
        <v>603</v>
      </c>
      <c r="AA797" s="98"/>
      <c r="AB797" s="5" t="s">
        <v>603</v>
      </c>
      <c r="AC797" s="47">
        <v>0.0</v>
      </c>
    </row>
    <row r="798" hidden="1">
      <c r="A798" s="222" t="str">
        <f t="array" ref="A798:A799">{"FormulaRow34";(INDEX(CLASSLIST,A731,1))}</f>
        <v>FormulaRow34</v>
      </c>
      <c r="B798" s="77" t="s">
        <v>236</v>
      </c>
      <c r="C798" s="222" t="str">
        <f t="array" ref="C798:C799">{"CLASSTYPE";((INDEX(ALLCLASSDATA,MATCH("ClassType",CLASSFEATUREHEADERS,0),MATCH($A799,CLASSNAMEHEADERS,0))))}</f>
        <v>CLASSTYPE</v>
      </c>
      <c r="D798" s="222" t="str">
        <f t="array" ref="D798:D799">{"DEFENSE";"Defense"}</f>
        <v>DEFENSE</v>
      </c>
      <c r="E798" s="222" t="str">
        <f t="array" ref="E798:E799">{"ARMORSPECIAL";"ArmorAS"}</f>
        <v>ARMORSPECIAL</v>
      </c>
      <c r="F798" s="223"/>
      <c r="G798" s="223"/>
      <c r="H798" s="223" t="str">
        <f t="array" ref="H798:H799">{"ARMORSPECIALL01";((IF("01"=INDEX(ALLCLASSDATA,MATCH("ArmorSpecialization",CLASSFEATUREHEADERS,0),MATCH($A799,CLASSNAMEHEADERS,0)),ArmorAS,"")))}</f>
        <v>ARMORSPECIALL01</v>
      </c>
      <c r="I798" s="223"/>
      <c r="J798" s="223" t="str">
        <f t="array" ref="J798:J799">{"ARMORSPECIALL03";((IF("03"=INDEX(ALLCLASSDATA,MATCH("ArmorSpecialization",CLASSFEATUREHEADERS,0),MATCH($A799,CLASSNAMEHEADERS,0)),ArmorAS,"")))}</f>
        <v>ARMORSPECIALL03</v>
      </c>
      <c r="K798" s="223"/>
      <c r="L798" s="223" t="str">
        <f t="array" ref="L798:L799">{"ARMORSPECIALL05";((IF("05"=INDEX(ALLCLASSDATA,MATCH("ArmorSpecialization",CLASSFEATUREHEADERS,0),MATCH($A799,CLASSNAMEHEADERS,0)),ArmorAS,"")))}</f>
        <v>ARMORSPECIALL05</v>
      </c>
      <c r="M798" s="223"/>
      <c r="N798" s="223" t="str">
        <f t="array" ref="N798:N799">{"ARMORSPECIALL07";((IF("07"=INDEX(ALLCLASSDATA,MATCH("ArmorSpecialization",CLASSFEATUREHEADERS,0),MATCH($A799,CLASSNAMEHEADERS,0)),ArmorAS,"")))}</f>
        <v>ARMORSPECIALL07</v>
      </c>
      <c r="O798" s="223"/>
      <c r="P798" s="223" t="str">
        <f t="array" ref="P798:P799">{"ARMORSPECIALL09";((IF("09"=INDEX(ALLCLASSDATA,MATCH("ArmorSpecialization",CLASSFEATUREHEADERS,0),MATCH($A799,CLASSNAMEHEADERS,0)),ArmorAS,"")))}</f>
        <v>ARMORSPECIALL09</v>
      </c>
      <c r="Q798" s="223"/>
      <c r="R798" s="223" t="str">
        <f t="array" ref="R798:R799">{"ARMORSPECIALL11";((IF("11"=INDEX(ALLCLASSDATA,MATCH("ArmorSpecialization",CLASSFEATUREHEADERS,0),MATCH($A799,CLASSNAMEHEADERS,0)),ArmorAS,"")))}</f>
        <v>ARMORSPECIALL11</v>
      </c>
      <c r="S798" s="223"/>
      <c r="T798" s="223" t="str">
        <f t="array" ref="T798:T799">{"ARMORSPECIALL13";((IF("13"=INDEX(ALLCLASSDATA,MATCH("ArmorSpecialization",CLASSFEATUREHEADERS,0),MATCH($A799,CLASSNAMEHEADERS,0)),ArmorAS,"")))}</f>
        <v>ARMORSPECIALL13</v>
      </c>
      <c r="U798" s="223"/>
      <c r="V798" s="223" t="str">
        <f t="array" ref="V798:V799">{"ARMORSPECIALL15";((IF("15"=INDEX(ALLCLASSDATA,MATCH("ArmorSpecialization",CLASSFEATUREHEADERS,0),MATCH($A799,CLASSNAMEHEADERS,0)),ArmorAS,"")))}</f>
        <v>ARMORSPECIALL15</v>
      </c>
      <c r="W798" s="223"/>
      <c r="X798" s="223" t="str">
        <f t="array" ref="X798:X799">{"ARMORSPECIALL17";((IF("17"=INDEX(ALLCLASSDATA,MATCH("ArmorSpecialization",CLASSFEATUREHEADERS,0),MATCH($A799,CLASSNAMEHEADERS,0)),ArmorAS,"")))}</f>
        <v>ARMORSPECIALL17</v>
      </c>
      <c r="Y798" s="223"/>
      <c r="Z798" s="223" t="str">
        <f t="array" ref="Z798:Z799">{"ARMORSPECIALL19";((IF("19"=INDEX(ALLCLASSDATA,MATCH("ArmorSpecialization",CLASSFEATUREHEADERS,0),MATCH($A799,CLASSNAMEHEADERS,0)),ArmorAS,"")))}</f>
        <v>ARMORSPECIALL19</v>
      </c>
      <c r="AA798" s="223"/>
      <c r="AB798" s="76"/>
      <c r="AC798" s="76" t="str">
        <f t="array" ref="AC798:AC799">{"ARMORSPECIAL TOTAL";(sum(G799:AA799))}</f>
        <v>ARMORSPECIAL TOTAL</v>
      </c>
    </row>
    <row r="799">
      <c r="A799" s="48" t="s">
        <v>176</v>
      </c>
      <c r="B799" s="48"/>
      <c r="C799" s="48" t="s">
        <v>415</v>
      </c>
      <c r="D799" s="48" t="s">
        <v>1900</v>
      </c>
      <c r="E799" s="48" t="s">
        <v>51</v>
      </c>
      <c r="F799" s="5"/>
      <c r="G799" s="47"/>
      <c r="H799" s="5" t="s">
        <v>603</v>
      </c>
      <c r="I799" s="5"/>
      <c r="J799" s="5" t="s">
        <v>603</v>
      </c>
      <c r="K799" s="5"/>
      <c r="L799" s="5" t="s">
        <v>603</v>
      </c>
      <c r="M799" s="5"/>
      <c r="N799" s="5" t="s">
        <v>603</v>
      </c>
      <c r="O799" s="5"/>
      <c r="P799" s="5" t="s">
        <v>603</v>
      </c>
      <c r="Q799" s="5"/>
      <c r="R799" s="5" t="s">
        <v>603</v>
      </c>
      <c r="S799" s="5"/>
      <c r="T799" s="5" t="s">
        <v>603</v>
      </c>
      <c r="U799" s="5"/>
      <c r="V799" s="5" t="s">
        <v>603</v>
      </c>
      <c r="W799" s="5"/>
      <c r="X799" s="5" t="s">
        <v>603</v>
      </c>
      <c r="Y799" s="5"/>
      <c r="Z799" s="5" t="s">
        <v>603</v>
      </c>
      <c r="AA799" s="5"/>
      <c r="AB799" s="5"/>
      <c r="AC799" s="47">
        <v>0.0</v>
      </c>
    </row>
    <row r="800" hidden="1">
      <c r="A800" s="222" t="str">
        <f t="array" ref="A800:A801">{"FormulaRow35";(INDEX(CLASSLIST,A731,1))}</f>
        <v>FormulaRow35</v>
      </c>
      <c r="B800" s="77" t="s">
        <v>236</v>
      </c>
      <c r="C800" s="222" t="str">
        <f t="array" ref="C800:C801">{"CLASSTYPE";((INDEX(ALLCLASSDATA,MATCH("ClassType",CLASSFEATUREHEADERS,0),MATCH($A801,CLASSNAMEHEADERS,0))))}</f>
        <v>CLASSTYPE</v>
      </c>
      <c r="D800" s="222" t="str">
        <f t="array" ref="D800:D801">{"DEFENSE";"Defense"}</f>
        <v>DEFENSE</v>
      </c>
      <c r="E800" s="222" t="str">
        <f t="array" ref="E800:E801">{"UNARMORED";"Unarmored"}</f>
        <v>UNARMORED</v>
      </c>
      <c r="F800" s="223" t="str">
        <f t="array" ref="F800:F801">{"UNARMOREDINITIAL";((IF(H801=10,"T",(IF(H801=50,"E","")))))}</f>
        <v>UNARMOREDINITIAL</v>
      </c>
      <c r="G800" s="223" t="str">
        <f t="array" ref="G800:G801">{"UNARMOREDINITIALPTS";((IF("00"=(INDEX(ALLCLASSDATA,MATCH("UnarmoredLegendary",CLASSFEATUREHEADERS,0),MATCH($A801,CLASSNAMEHEADERS,0))),(INDEX(ALLCLASSDATA,MATCH("UnarmoredLegendary",CLASSFEATUREHEADERS,0),MATCH(($A801 &amp; "Points"),CLASSNAMEHEADERS,0))),(IF("00"=(INDEX(ALLCLASSDATA,MATCH("UnarmoredMaster",CLASSFEATUREHEADERS,0),MATCH($A801,CLASSNAMEHEADERS,0))),(INDEX(ALLCLASSDATA,MATCH("UnarmoredMaster",CLASSFEATUREHEADERS,0),MATCH(($A801 &amp; "Points"),CLASSNAMEHEADERS,0))),(IF("00"=(INDEX(ALLCLASSDATA,MATCH("UnarmoredExpert",CLASSFEATUREHEADERS,0),MATCH($A801,CLASSNAMEHEADERS,0))),(INDEX(ALLCLASSDATA,MATCH("UnarmoredExpert",CLASSFEATUREHEADERS,0),MATCH(($A801 &amp; "Points"),CLASSNAMEHEADERS,0))),(IF("00"=(INDEX(ALLCLASSDATA,MATCH("UnarmoredTrained",CLASSFEATUREHEADERS,0),MATCH($A801,CLASSNAMEHEADERS,0))),(INDEX(ALLCLASSDATA,MATCH("UnarmoredTrained",CLASSFEATUREHEADERS,0),MATCH(($A801 &amp; "Points"),CLASSNAMEHEADERS,0))),"")))))))))}</f>
        <v>UNARMOREDINITIALPTS</v>
      </c>
      <c r="H800" s="223" t="str">
        <f t="array" ref="H800:H801">{"UNARMOREDL01";((IF("01"=(INDEX(ALLCLASSDATA,MATCH("UnarmoredLegendary",CLASSFEATUREHEADERS,0),MATCH($A801,CLASSNAMEHEADERS,0))),(INDEX(ALLCLASSDATA,MATCH("UnarmoredLegendary",CLASSFEATUREHEADERS,0),MATCH(($A801 &amp; "Points"),CLASSNAMEHEADERS,0))),(IF("01"=(INDEX(ALLCLASSDATA,MATCH("UnarmoredMaster",CLASSFEATUREHEADERS,0),MATCH($A801,CLASSNAMEHEADERS,0))),(INDEX(ALLCLASSDATA,MATCH("UnarmoredMaster",CLASSFEATUREHEADERS,0),MATCH(($A801 &amp; "Points"),CLASSNAMEHEADERS,0))),(IF("01"=(INDEX(ALLCLASSDATA,MATCH("UnarmoredExpert",CLASSFEATUREHEADERS,0),MATCH($A801,CLASSNAMEHEADERS,0))),(INDEX(ALLCLASSDATA,MATCH("UnarmoredExpert",CLASSFEATUREHEADERS,0),MATCH(($A801 &amp; "Points"),CLASSNAMEHEADERS,0))),(IF("01"=(INDEX(ALLCLASSDATA,MATCH("UnarmoredTrained",CLASSFEATUREHEADERS,0),MATCH($A801,CLASSNAMEHEADERS,0))),(INDEX(ALLCLASSDATA,MATCH("UnarmoredTrained",CLASSFEATUREHEADERS,0),MATCH(($A801 &amp; "Points"),CLASSNAMEHEADERS,0))),"")))))))))}</f>
        <v>UNARMOREDL01</v>
      </c>
      <c r="I800" s="223"/>
      <c r="J800" s="223" t="str">
        <f t="array" ref="J800:J801">{"UNARMOREDL03";((IF("03"=(INDEX(ALLCLASSDATA,MATCH("UnarmoredLegendary",CLASSFEATUREHEADERS,0),MATCH($A801,CLASSNAMEHEADERS,0))),(INDEX(ALLCLASSDATA,MATCH("UnarmoredLegendary",CLASSFEATUREHEADERS,0),MATCH(($A801 &amp; "Points"),CLASSNAMEHEADERS,0))),(IF("03"=(INDEX(ALLCLASSDATA,MATCH("UnarmoredMaster",CLASSFEATUREHEADERS,0),MATCH($A801,CLASSNAMEHEADERS,0))),(INDEX(ALLCLASSDATA,MATCH("UnarmoredMaster",CLASSFEATUREHEADERS,0),MATCH(($A801 &amp; "Points"),CLASSNAMEHEADERS,0))),(IF("03"=(INDEX(ALLCLASSDATA,MATCH("UnarmoredExpert",CLASSFEATUREHEADERS,0),MATCH($A801,CLASSNAMEHEADERS,0))),(INDEX(ALLCLASSDATA,MATCH("UnarmoredExpert",CLASSFEATUREHEADERS,0),MATCH(($A801 &amp; "Points"),CLASSNAMEHEADERS,0))),(IF("03"=(INDEX(ALLCLASSDATA,MATCH("UnarmoredTrained",CLASSFEATUREHEADERS,0),MATCH($A801,CLASSNAMEHEADERS,0))),(INDEX(ALLCLASSDATA,MATCH("UnarmoredTrained",CLASSFEATUREHEADERS,0),MATCH(($A801 &amp; "Points"),CLASSNAMEHEADERS,0))),"")))))))))}</f>
        <v>UNARMOREDL03</v>
      </c>
      <c r="K800" s="223"/>
      <c r="L800" s="223" t="str">
        <f t="array" ref="L800:L801">{"UNARMOREDL05";((IF("05"=(INDEX(ALLCLASSDATA,MATCH("UnarmoredLegendary",CLASSFEATUREHEADERS,0),MATCH($A801,CLASSNAMEHEADERS,0))),(INDEX(ALLCLASSDATA,MATCH("UnarmoredLegendary",CLASSFEATUREHEADERS,0),MATCH(($A801 &amp; "Points"),CLASSNAMEHEADERS,0))),(IF("05"=(INDEX(ALLCLASSDATA,MATCH("UnarmoredMaster",CLASSFEATUREHEADERS,0),MATCH($A801,CLASSNAMEHEADERS,0))),(INDEX(ALLCLASSDATA,MATCH("UnarmoredMaster",CLASSFEATUREHEADERS,0),MATCH(($A801 &amp; "Points"),CLASSNAMEHEADERS,0))),(IF("05"=(INDEX(ALLCLASSDATA,MATCH("UnarmoredExpert",CLASSFEATUREHEADERS,0),MATCH($A801,CLASSNAMEHEADERS,0))),(INDEX(ALLCLASSDATA,MATCH("UnarmoredExpert",CLASSFEATUREHEADERS,0),MATCH(($A801 &amp; "Points"),CLASSNAMEHEADERS,0))),(IF("05"=(INDEX(ALLCLASSDATA,MATCH("UnarmoredTrained",CLASSFEATUREHEADERS,0),MATCH($A801,CLASSNAMEHEADERS,0))),(INDEX(ALLCLASSDATA,MATCH("UnarmoredTrained",CLASSFEATUREHEADERS,0),MATCH(($A801 &amp; "Points"),CLASSNAMEHEADERS,0))),"")))))))))}</f>
        <v>UNARMOREDL05</v>
      </c>
      <c r="M800" s="223"/>
      <c r="N800" s="223" t="str">
        <f t="array" ref="N800:N801">{"UNARMOREDL07";((IF("07"=(INDEX(ALLCLASSDATA,MATCH("UnarmoredLegendary",CLASSFEATUREHEADERS,0),MATCH($A801,CLASSNAMEHEADERS,0))),(INDEX(ALLCLASSDATA,MATCH("UnarmoredLegendary",CLASSFEATUREHEADERS,0),MATCH(($A801 &amp; "Points"),CLASSNAMEHEADERS,0))),(IF("07"=(INDEX(ALLCLASSDATA,MATCH("UnarmoredMaster",CLASSFEATUREHEADERS,0),MATCH($A801,CLASSNAMEHEADERS,0))),(INDEX(ALLCLASSDATA,MATCH("UnarmoredMaster",CLASSFEATUREHEADERS,0),MATCH(($A801 &amp; "Points"),CLASSNAMEHEADERS,0))),(IF("07"=(INDEX(ALLCLASSDATA,MATCH("UnarmoredExpert",CLASSFEATUREHEADERS,0),MATCH($A801,CLASSNAMEHEADERS,0))),(INDEX(ALLCLASSDATA,MATCH("UnarmoredExpert",CLASSFEATUREHEADERS,0),MATCH(($A801 &amp; "Points"),CLASSNAMEHEADERS,0))),(IF("07"=(INDEX(ALLCLASSDATA,MATCH("UnarmoredTrained",CLASSFEATUREHEADERS,0),MATCH($A801,CLASSNAMEHEADERS,0))),(INDEX(ALLCLASSDATA,MATCH("UnarmoredTrained",CLASSFEATUREHEADERS,0),MATCH(($A801 &amp; "Points"),CLASSNAMEHEADERS,0))),"")))))))))}</f>
        <v>UNARMOREDL07</v>
      </c>
      <c r="O800" s="223"/>
      <c r="P800" s="223" t="str">
        <f t="array" ref="P800:P801">{"UNARMOREDL09";((IF("09"=(INDEX(ALLCLASSDATA,MATCH("UnarmoredLegendary",CLASSFEATUREHEADERS,0),MATCH($A801,CLASSNAMEHEADERS,0))),(INDEX(ALLCLASSDATA,MATCH("UnarmoredLegendary",CLASSFEATUREHEADERS,0),MATCH(($A801 &amp; "Points"),CLASSNAMEHEADERS,0))),(IF("09"=(INDEX(ALLCLASSDATA,MATCH("UnarmoredMaster",CLASSFEATUREHEADERS,0),MATCH($A801,CLASSNAMEHEADERS,0))),(INDEX(ALLCLASSDATA,MATCH("UnarmoredMaster",CLASSFEATUREHEADERS,0),MATCH(($A801 &amp; "Points"),CLASSNAMEHEADERS,0))),(IF("09"=(INDEX(ALLCLASSDATA,MATCH("UnarmoredExpert",CLASSFEATUREHEADERS,0),MATCH($A801,CLASSNAMEHEADERS,0))),(INDEX(ALLCLASSDATA,MATCH("UnarmoredExpert",CLASSFEATUREHEADERS,0),MATCH(($A801 &amp; "Points"),CLASSNAMEHEADERS,0))),(IF("09"=(INDEX(ALLCLASSDATA,MATCH("UnarmoredTrained",CLASSFEATUREHEADERS,0),MATCH($A801,CLASSNAMEHEADERS,0))),(INDEX(ALLCLASSDATA,MATCH("UnarmoredTrained",CLASSFEATUREHEADERS,0),MATCH(($A801 &amp; "Points"),CLASSNAMEHEADERS,0))),"")))))))))}</f>
        <v>UNARMOREDL09</v>
      </c>
      <c r="Q800" s="223"/>
      <c r="R800" s="223" t="str">
        <f t="array" ref="R800:R801">{"UNARMOREDL11";((IF("11"=(INDEX(ALLCLASSDATA,MATCH("UnarmoredLegendary",CLASSFEATUREHEADERS,0),MATCH($A801,CLASSNAMEHEADERS,0))),(INDEX(ALLCLASSDATA,MATCH("UnarmoredLegendary",CLASSFEATUREHEADERS,0),MATCH(($A801 &amp; "Points"),CLASSNAMEHEADERS,0))),(IF("11"=(INDEX(ALLCLASSDATA,MATCH("UnarmoredMaster",CLASSFEATUREHEADERS,0),MATCH($A801,CLASSNAMEHEADERS,0))),(INDEX(ALLCLASSDATA,MATCH("UnarmoredMaster",CLASSFEATUREHEADERS,0),MATCH(($A801 &amp; "Points"),CLASSNAMEHEADERS,0))),(IF("11"=(INDEX(ALLCLASSDATA,MATCH("UnarmoredExpert",CLASSFEATUREHEADERS,0),MATCH($A801,CLASSNAMEHEADERS,0))),(INDEX(ALLCLASSDATA,MATCH("UnarmoredExpert",CLASSFEATUREHEADERS,0),MATCH(($A801 &amp; "Points"),CLASSNAMEHEADERS,0))),(IF("11"=(INDEX(ALLCLASSDATA,MATCH("UnarmoredTrained",CLASSFEATUREHEADERS,0),MATCH($A801,CLASSNAMEHEADERS,0))),(INDEX(ALLCLASSDATA,MATCH("UnarmoredTrained",CLASSFEATUREHEADERS,0),MATCH(($A801 &amp; "Points"),CLASSNAMEHEADERS,0))),"")))))))))}</f>
        <v>UNARMOREDL11</v>
      </c>
      <c r="S800" s="223"/>
      <c r="T800" s="223" t="str">
        <f t="array" ref="T800:T801">{"UNARMOREDL13";((IF("13"=(INDEX(ALLCLASSDATA,MATCH("UnarmoredLegendary",CLASSFEATUREHEADERS,0),MATCH($A801,CLASSNAMEHEADERS,0))),(INDEX(ALLCLASSDATA,MATCH("UnarmoredLegendary",CLASSFEATUREHEADERS,0),MATCH(($A801 &amp; "Points"),CLASSNAMEHEADERS,0))),(IF("13"=(INDEX(ALLCLASSDATA,MATCH("UnarmoredMaster",CLASSFEATUREHEADERS,0),MATCH($A801,CLASSNAMEHEADERS,0))),(INDEX(ALLCLASSDATA,MATCH("UnarmoredMaster",CLASSFEATUREHEADERS,0),MATCH(($A801 &amp; "Points"),CLASSNAMEHEADERS,0))),(IF("13"=(INDEX(ALLCLASSDATA,MATCH("UnarmoredExpert",CLASSFEATUREHEADERS,0),MATCH($A801,CLASSNAMEHEADERS,0))),(INDEX(ALLCLASSDATA,MATCH("UnarmoredExpert",CLASSFEATUREHEADERS,0),MATCH(($A801 &amp; "Points"),CLASSNAMEHEADERS,0))),(IF("13"=(INDEX(ALLCLASSDATA,MATCH("UnarmoredTrained",CLASSFEATUREHEADERS,0),MATCH($A801,CLASSNAMEHEADERS,0))),(INDEX(ALLCLASSDATA,MATCH("UnarmoredTrained",CLASSFEATUREHEADERS,0),MATCH(($A801 &amp; "Points"),CLASSNAMEHEADERS,0))),"")))))))))}</f>
        <v>UNARMOREDL13</v>
      </c>
      <c r="U800" s="223"/>
      <c r="V800" s="223" t="str">
        <f t="array" ref="V800:V801">{"UNARMOREDL15";((IF("15"=(INDEX(ALLCLASSDATA,MATCH("UnarmoredLegendary",CLASSFEATUREHEADERS,0),MATCH($A801,CLASSNAMEHEADERS,0))),(INDEX(ALLCLASSDATA,MATCH("UnarmoredLegendary",CLASSFEATUREHEADERS,0),MATCH(($A801 &amp; "Points"),CLASSNAMEHEADERS,0))),(IF("15"=(INDEX(ALLCLASSDATA,MATCH("UnarmoredMaster",CLASSFEATUREHEADERS,0),MATCH($A801,CLASSNAMEHEADERS,0))),(INDEX(ALLCLASSDATA,MATCH("UnarmoredMaster",CLASSFEATUREHEADERS,0),MATCH(($A801 &amp; "Points"),CLASSNAMEHEADERS,0))),(IF("15"=(INDEX(ALLCLASSDATA,MATCH("UnarmoredExpert",CLASSFEATUREHEADERS,0),MATCH($A801,CLASSNAMEHEADERS,0))),(INDEX(ALLCLASSDATA,MATCH("UnarmoredExpert",CLASSFEATUREHEADERS,0),MATCH(($A801 &amp; "Points"),CLASSNAMEHEADERS,0))),(IF("15"=(INDEX(ALLCLASSDATA,MATCH("UnarmoredTrained",CLASSFEATUREHEADERS,0),MATCH($A801,CLASSNAMEHEADERS,0))),(INDEX(ALLCLASSDATA,MATCH("UnarmoredTrained",CLASSFEATUREHEADERS,0),MATCH(($A801 &amp; "Points"),CLASSNAMEHEADERS,0))),"")))))))))}</f>
        <v>UNARMOREDL15</v>
      </c>
      <c r="W800" s="223"/>
      <c r="X800" s="223" t="str">
        <f t="array" ref="X800:X801">{"UNARMOREDL17";((IF("17"=(INDEX(ALLCLASSDATA,MATCH("UnarmoredLegendary",CLASSFEATUREHEADERS,0),MATCH($A801,CLASSNAMEHEADERS,0))),(INDEX(ALLCLASSDATA,MATCH("UnarmoredLegendary",CLASSFEATUREHEADERS,0),MATCH(($A801 &amp; "Points"),CLASSNAMEHEADERS,0))),(IF("17"=(INDEX(ALLCLASSDATA,MATCH("UnarmoredMaster",CLASSFEATUREHEADERS,0),MATCH($A801,CLASSNAMEHEADERS,0))),(INDEX(ALLCLASSDATA,MATCH("UnarmoredMaster",CLASSFEATUREHEADERS,0),MATCH(($A801 &amp; "Points"),CLASSNAMEHEADERS,0))),(IF("17"=(INDEX(ALLCLASSDATA,MATCH("UnarmoredExpert",CLASSFEATUREHEADERS,0),MATCH($A801,CLASSNAMEHEADERS,0))),(INDEX(ALLCLASSDATA,MATCH("UnarmoredExpert",CLASSFEATUREHEADERS,0),MATCH(($A801 &amp; "Points"),CLASSNAMEHEADERS,0))),(IF("17"=(INDEX(ALLCLASSDATA,MATCH("UnarmoredTrained",CLASSFEATUREHEADERS,0),MATCH($A801,CLASSNAMEHEADERS,0))),(INDEX(ALLCLASSDATA,MATCH("UnarmoredTrained",CLASSFEATUREHEADERS,0),MATCH(($A801 &amp; "Points"),CLASSNAMEHEADERS,0))),"")))))))))}</f>
        <v>UNARMOREDL17</v>
      </c>
      <c r="Y800" s="223"/>
      <c r="Z800" s="223" t="str">
        <f t="array" ref="Z800:Z801">{"UNARMOREDL19";((IF("19"=(INDEX(ALLCLASSDATA,MATCH("UnarmoredLegendary",CLASSFEATUREHEADERS,0),MATCH($A801,CLASSNAMEHEADERS,0))),(INDEX(ALLCLASSDATA,MATCH("UnarmoredLegendary",CLASSFEATUREHEADERS,0),MATCH(($A801 &amp; "Points"),CLASSNAMEHEADERS,0))),(IF("19"=(INDEX(ALLCLASSDATA,MATCH("UnarmoredMaster",CLASSFEATUREHEADERS,0),MATCH($A801,CLASSNAMEHEADERS,0))),(INDEX(ALLCLASSDATA,MATCH("UnarmoredMaster",CLASSFEATUREHEADERS,0),MATCH(($A801 &amp; "Points"),CLASSNAMEHEADERS,0))),(IF("19"=(INDEX(ALLCLASSDATA,MATCH("UnarmoredExpert",CLASSFEATUREHEADERS,0),MATCH($A801,CLASSNAMEHEADERS,0))),(INDEX(ALLCLASSDATA,MATCH("UnarmoredExpert",CLASSFEATUREHEADERS,0),MATCH(($A801 &amp; "Points"),CLASSNAMEHEADERS,0))),(IF("19"=(INDEX(ALLCLASSDATA,MATCH("UnarmoredTrained",CLASSFEATUREHEADERS,0),MATCH($A801,CLASSNAMEHEADERS,0))),(INDEX(ALLCLASSDATA,MATCH("UnarmoredTrained",CLASSFEATUREHEADERS,0),MATCH(($A801 &amp; "Points"),CLASSNAMEHEADERS,0))),"")))))))))}</f>
        <v>UNARMOREDL19</v>
      </c>
      <c r="AA800" s="223"/>
      <c r="AB800" s="76" t="str">
        <f t="array" ref="AB800:AB801">{"UNARMORED TOTAL";(IF(COUNTBLANK(G801:AA801)=17,"L",(IF(COUNTBLANK(G801:AA801)=18,"M",(IF(COUNTBLANK(G801:AA801)=19,"E",(IF(COUNTBLANK(G801:AA801)=20,"T",""))))))))}</f>
        <v>UNARMORED TOTAL</v>
      </c>
      <c r="AC800" s="76" t="str">
        <f t="array" ref="AC800:AC801">{"UNARMORED TOTAL";(sum(G801:AA801))}</f>
        <v>UNARMORED TOTAL</v>
      </c>
    </row>
    <row r="801">
      <c r="A801" s="48" t="s">
        <v>176</v>
      </c>
      <c r="B801" s="48"/>
      <c r="C801" s="48" t="s">
        <v>415</v>
      </c>
      <c r="D801" s="48" t="s">
        <v>1900</v>
      </c>
      <c r="E801" s="48" t="s">
        <v>78</v>
      </c>
      <c r="F801" s="5" t="s">
        <v>435</v>
      </c>
      <c r="G801" s="47" t="s">
        <v>603</v>
      </c>
      <c r="H801" s="5">
        <v>10.0</v>
      </c>
      <c r="I801" s="5"/>
      <c r="J801" s="5" t="s">
        <v>603</v>
      </c>
      <c r="K801" s="5"/>
      <c r="L801" s="5" t="s">
        <v>603</v>
      </c>
      <c r="M801" s="5"/>
      <c r="N801" s="5" t="s">
        <v>603</v>
      </c>
      <c r="O801" s="5"/>
      <c r="P801" s="5" t="s">
        <v>603</v>
      </c>
      <c r="Q801" s="5"/>
      <c r="R801" s="5" t="s">
        <v>603</v>
      </c>
      <c r="S801" s="5"/>
      <c r="T801" s="5" t="s">
        <v>436</v>
      </c>
      <c r="U801" s="5"/>
      <c r="V801" s="5" t="s">
        <v>603</v>
      </c>
      <c r="W801" s="5"/>
      <c r="X801" s="5" t="s">
        <v>603</v>
      </c>
      <c r="Y801" s="5"/>
      <c r="Z801" s="5" t="s">
        <v>437</v>
      </c>
      <c r="AA801" s="5"/>
      <c r="AB801" s="5" t="s">
        <v>437</v>
      </c>
      <c r="AC801" s="47">
        <v>10.0</v>
      </c>
    </row>
    <row r="802" hidden="1">
      <c r="A802" s="222" t="str">
        <f t="array" ref="A802:A803">{"FormulaRow36";(INDEX(CLASSLIST,A731,1))}</f>
        <v>FormulaRow36</v>
      </c>
      <c r="B802" s="77" t="s">
        <v>236</v>
      </c>
      <c r="C802" s="222" t="str">
        <f t="array" ref="C802:C803">{"CLASSTYPE";((INDEX(ALLCLASSDATA,MATCH("ClassType",CLASSFEATUREHEADERS,0),MATCH($A803,CLASSNAMEHEADERS,0))))}</f>
        <v>CLASSTYPE</v>
      </c>
      <c r="D802" s="222" t="str">
        <f t="array" ref="D802:D803">{"DEFENSE";"Defense"}</f>
        <v>DEFENSE</v>
      </c>
      <c r="E802" s="222" t="str">
        <f t="array" ref="E802:E803">{"LIGHT";"Light"}</f>
        <v>LIGHT</v>
      </c>
      <c r="F802" s="223" t="str">
        <f t="array" ref="F802:F803">{"LIGHTINITIAL";((IF(H803=10,"T",(IF(H803=50,"E","")))))}</f>
        <v>LIGHTINITIAL</v>
      </c>
      <c r="G802" s="223" t="str">
        <f t="array" ref="G802:G803">{"LIGHTINITIALPTS";((IF("00"=(INDEX(ALLCLASSDATA,MATCH("LightLegendary",CLASSFEATUREHEADERS,0),MATCH($A803,CLASSNAMEHEADERS,0))),(INDEX(ALLCLASSDATA,MATCH("LightLegendary",CLASSFEATUREHEADERS,0),MATCH(($A803 &amp; "Points"),CLASSNAMEHEADERS,0))),(IF("00"=(INDEX(ALLCLASSDATA,MATCH("LightMaster",CLASSFEATUREHEADERS,0),MATCH($A803,CLASSNAMEHEADERS,0))),(INDEX(ALLCLASSDATA,MATCH("LightMaster",CLASSFEATUREHEADERS,0),MATCH(($A803 &amp; "Points"),CLASSNAMEHEADERS,0))),(IF("00"=(INDEX(ALLCLASSDATA,MATCH("LightExpert",CLASSFEATUREHEADERS,0),MATCH($A803,CLASSNAMEHEADERS,0))),(INDEX(ALLCLASSDATA,MATCH("LightExpert",CLASSFEATUREHEADERS,0),MATCH(($A803 &amp; "Points"),CLASSNAMEHEADERS,0))),(IF("00"=(INDEX(ALLCLASSDATA,MATCH("LightTrained",CLASSFEATUREHEADERS,0),MATCH($A803,CLASSNAMEHEADERS,0))),(INDEX(ALLCLASSDATA,MATCH("LightTrained",CLASSFEATUREHEADERS,0),MATCH(($A803 &amp; "Points"),CLASSNAMEHEADERS,0))),"")))))))))}</f>
        <v>LIGHTINITIALPTS</v>
      </c>
      <c r="H802" s="223" t="str">
        <f t="array" ref="H802:H803">{"LIGHTL01";((IF("01"=(INDEX(ALLCLASSDATA,MATCH("LightLegendary",CLASSFEATUREHEADERS,0),MATCH($A803,CLASSNAMEHEADERS,0))),(INDEX(ALLCLASSDATA,MATCH("LightLegendary",CLASSFEATUREHEADERS,0),MATCH(($A803 &amp; "Points"),CLASSNAMEHEADERS,0))),(IF("01"=(INDEX(ALLCLASSDATA,MATCH("LightMaster",CLASSFEATUREHEADERS,0),MATCH($A803,CLASSNAMEHEADERS,0))),(INDEX(ALLCLASSDATA,MATCH("LightMaster",CLASSFEATUREHEADERS,0),MATCH(($A803 &amp; "Points"),CLASSNAMEHEADERS,0))),(IF("01"=(INDEX(ALLCLASSDATA,MATCH("LightExpert",CLASSFEATUREHEADERS,0),MATCH($A803,CLASSNAMEHEADERS,0))),(INDEX(ALLCLASSDATA,MATCH("LightExpert",CLASSFEATUREHEADERS,0),MATCH(($A803 &amp; "Points"),CLASSNAMEHEADERS,0))),(IF("01"=(INDEX(ALLCLASSDATA,MATCH("LightTrained",CLASSFEATUREHEADERS,0),MATCH($A803,CLASSNAMEHEADERS,0))),(INDEX(ALLCLASSDATA,MATCH("LightTrained",CLASSFEATUREHEADERS,0),MATCH(($A803 &amp; "Points"),CLASSNAMEHEADERS,0))),"")))))))))}</f>
        <v>LIGHTL01</v>
      </c>
      <c r="I802" s="223"/>
      <c r="J802" s="223" t="str">
        <f t="array" ref="J802:J803">{"LIGHTL03";((IF("03"=(INDEX(ALLCLASSDATA,MATCH("LightLegendary",CLASSFEATUREHEADERS,0),MATCH($A803,CLASSNAMEHEADERS,0))),(INDEX(ALLCLASSDATA,MATCH("LightLegendary",CLASSFEATUREHEADERS,0),MATCH(($A803 &amp; "Points"),CLASSNAMEHEADERS,0))),(IF("03"=(INDEX(ALLCLASSDATA,MATCH("LightMaster",CLASSFEATUREHEADERS,0),MATCH($A803,CLASSNAMEHEADERS,0))),(INDEX(ALLCLASSDATA,MATCH("LightMaster",CLASSFEATUREHEADERS,0),MATCH(($A803 &amp; "Points"),CLASSNAMEHEADERS,0))),(IF("03"=(INDEX(ALLCLASSDATA,MATCH("LightExpert",CLASSFEATUREHEADERS,0),MATCH($A803,CLASSNAMEHEADERS,0))),(INDEX(ALLCLASSDATA,MATCH("LightExpert",CLASSFEATUREHEADERS,0),MATCH(($A803 &amp; "Points"),CLASSNAMEHEADERS,0))),(IF("03"=(INDEX(ALLCLASSDATA,MATCH("LightTrained",CLASSFEATUREHEADERS,0),MATCH($A803,CLASSNAMEHEADERS,0))),(INDEX(ALLCLASSDATA,MATCH("LightTrained",CLASSFEATUREHEADERS,0),MATCH(($A803 &amp; "Points"),CLASSNAMEHEADERS,0))),"")))))))))}</f>
        <v>LIGHTL03</v>
      </c>
      <c r="K802" s="223"/>
      <c r="L802" s="223" t="str">
        <f t="array" ref="L802:L803">{"LIGHTL05";((IF("05"=(INDEX(ALLCLASSDATA,MATCH("LightLegendary",CLASSFEATUREHEADERS,0),MATCH($A803,CLASSNAMEHEADERS,0))),(INDEX(ALLCLASSDATA,MATCH("LightLegendary",CLASSFEATUREHEADERS,0),MATCH(($A803 &amp; "Points"),CLASSNAMEHEADERS,0))),(IF("05"=(INDEX(ALLCLASSDATA,MATCH("LightMaster",CLASSFEATUREHEADERS,0),MATCH($A803,CLASSNAMEHEADERS,0))),(INDEX(ALLCLASSDATA,MATCH("LightMaster",CLASSFEATUREHEADERS,0),MATCH(($A803 &amp; "Points"),CLASSNAMEHEADERS,0))),(IF("05"=(INDEX(ALLCLASSDATA,MATCH("LightExpert",CLASSFEATUREHEADERS,0),MATCH($A803,CLASSNAMEHEADERS,0))),(INDEX(ALLCLASSDATA,MATCH("LightExpert",CLASSFEATUREHEADERS,0),MATCH(($A803 &amp; "Points"),CLASSNAMEHEADERS,0))),(IF("05"=(INDEX(ALLCLASSDATA,MATCH("LightTrained",CLASSFEATUREHEADERS,0),MATCH($A803,CLASSNAMEHEADERS,0))),(INDEX(ALLCLASSDATA,MATCH("LightTrained",CLASSFEATUREHEADERS,0),MATCH(($A803 &amp; "Points"),CLASSNAMEHEADERS,0))),"")))))))))}</f>
        <v>LIGHTL05</v>
      </c>
      <c r="M802" s="223"/>
      <c r="N802" s="223" t="str">
        <f t="array" ref="N802:N803">{"LIGHTL07";((IF("07"=(INDEX(ALLCLASSDATA,MATCH("LightLegendary",CLASSFEATUREHEADERS,0),MATCH($A803,CLASSNAMEHEADERS,0))),(INDEX(ALLCLASSDATA,MATCH("LightLegendary",CLASSFEATUREHEADERS,0),MATCH(($A803 &amp; "Points"),CLASSNAMEHEADERS,0))),(IF("07"=(INDEX(ALLCLASSDATA,MATCH("LightMaster",CLASSFEATUREHEADERS,0),MATCH($A803,CLASSNAMEHEADERS,0))),(INDEX(ALLCLASSDATA,MATCH("LightMaster",CLASSFEATUREHEADERS,0),MATCH(($A803 &amp; "Points"),CLASSNAMEHEADERS,0))),(IF("07"=(INDEX(ALLCLASSDATA,MATCH("LightExpert",CLASSFEATUREHEADERS,0),MATCH($A803,CLASSNAMEHEADERS,0))),(INDEX(ALLCLASSDATA,MATCH("LightExpert",CLASSFEATUREHEADERS,0),MATCH(($A803 &amp; "Points"),CLASSNAMEHEADERS,0))),(IF("07"=(INDEX(ALLCLASSDATA,MATCH("LightTrained",CLASSFEATUREHEADERS,0),MATCH($A803,CLASSNAMEHEADERS,0))),(INDEX(ALLCLASSDATA,MATCH("LightTrained",CLASSFEATUREHEADERS,0),MATCH(($A803 &amp; "Points"),CLASSNAMEHEADERS,0))),"")))))))))}</f>
        <v>LIGHTL07</v>
      </c>
      <c r="O802" s="223"/>
      <c r="P802" s="223" t="str">
        <f t="array" ref="P802:P803">{"LIGHTL09";((IF("09"=(INDEX(ALLCLASSDATA,MATCH("LightLegendary",CLASSFEATUREHEADERS,0),MATCH($A803,CLASSNAMEHEADERS,0))),(INDEX(ALLCLASSDATA,MATCH("LightLegendary",CLASSFEATUREHEADERS,0),MATCH(($A803 &amp; "Points"),CLASSNAMEHEADERS,0))),(IF("09"=(INDEX(ALLCLASSDATA,MATCH("LightMaster",CLASSFEATUREHEADERS,0),MATCH($A803,CLASSNAMEHEADERS,0))),(INDEX(ALLCLASSDATA,MATCH("LightMaster",CLASSFEATUREHEADERS,0),MATCH(($A803 &amp; "Points"),CLASSNAMEHEADERS,0))),(IF("09"=(INDEX(ALLCLASSDATA,MATCH("LightExpert",CLASSFEATUREHEADERS,0),MATCH($A803,CLASSNAMEHEADERS,0))),(INDEX(ALLCLASSDATA,MATCH("LightExpert",CLASSFEATUREHEADERS,0),MATCH(($A803 &amp; "Points"),CLASSNAMEHEADERS,0))),(IF("09"=(INDEX(ALLCLASSDATA,MATCH("LightTrained",CLASSFEATUREHEADERS,0),MATCH($A803,CLASSNAMEHEADERS,0))),(INDEX(ALLCLASSDATA,MATCH("LightTrained",CLASSFEATUREHEADERS,0),MATCH(($A803 &amp; "Points"),CLASSNAMEHEADERS,0))),"")))))))))}</f>
        <v>LIGHTL09</v>
      </c>
      <c r="Q802" s="223"/>
      <c r="R802" s="223" t="str">
        <f t="array" ref="R802:R803">{"LIGHTL11";((IF("11"=(INDEX(ALLCLASSDATA,MATCH("LightLegendary",CLASSFEATUREHEADERS,0),MATCH($A803,CLASSNAMEHEADERS,0))),(INDEX(ALLCLASSDATA,MATCH("LightLegendary",CLASSFEATUREHEADERS,0),MATCH(($A803 &amp; "Points"),CLASSNAMEHEADERS,0))),(IF("11"=(INDEX(ALLCLASSDATA,MATCH("LightMaster",CLASSFEATUREHEADERS,0),MATCH($A803,CLASSNAMEHEADERS,0))),(INDEX(ALLCLASSDATA,MATCH("LightMaster",CLASSFEATUREHEADERS,0),MATCH(($A803 &amp; "Points"),CLASSNAMEHEADERS,0))),(IF("11"=(INDEX(ALLCLASSDATA,MATCH("LightExpert",CLASSFEATUREHEADERS,0),MATCH($A803,CLASSNAMEHEADERS,0))),(INDEX(ALLCLASSDATA,MATCH("LightExpert",CLASSFEATUREHEADERS,0),MATCH(($A803 &amp; "Points"),CLASSNAMEHEADERS,0))),(IF("11"=(INDEX(ALLCLASSDATA,MATCH("LightTrained",CLASSFEATUREHEADERS,0),MATCH($A803,CLASSNAMEHEADERS,0))),(INDEX(ALLCLASSDATA,MATCH("LightTrained",CLASSFEATUREHEADERS,0),MATCH(($A803 &amp; "Points"),CLASSNAMEHEADERS,0))),"")))))))))}</f>
        <v>LIGHTL11</v>
      </c>
      <c r="S802" s="223"/>
      <c r="T802" s="223" t="str">
        <f t="array" ref="T802:T803">{"LIGHTL13";((IF("13"=(INDEX(ALLCLASSDATA,MATCH("LightLegendary",CLASSFEATUREHEADERS,0),MATCH($A803,CLASSNAMEHEADERS,0))),(INDEX(ALLCLASSDATA,MATCH("LightLegendary",CLASSFEATUREHEADERS,0),MATCH(($A803 &amp; "Points"),CLASSNAMEHEADERS,0))),(IF("13"=(INDEX(ALLCLASSDATA,MATCH("LightMaster",CLASSFEATUREHEADERS,0),MATCH($A803,CLASSNAMEHEADERS,0))),(INDEX(ALLCLASSDATA,MATCH("LightMaster",CLASSFEATUREHEADERS,0),MATCH(($A803 &amp; "Points"),CLASSNAMEHEADERS,0))),(IF("13"=(INDEX(ALLCLASSDATA,MATCH("LightExpert",CLASSFEATUREHEADERS,0),MATCH($A803,CLASSNAMEHEADERS,0))),(INDEX(ALLCLASSDATA,MATCH("LightExpert",CLASSFEATUREHEADERS,0),MATCH(($A803 &amp; "Points"),CLASSNAMEHEADERS,0))),(IF("13"=(INDEX(ALLCLASSDATA,MATCH("LightTrained",CLASSFEATUREHEADERS,0),MATCH($A803,CLASSNAMEHEADERS,0))),(INDEX(ALLCLASSDATA,MATCH("LightTrained",CLASSFEATUREHEADERS,0),MATCH(($A803 &amp; "Points"),CLASSNAMEHEADERS,0))),"")))))))))}</f>
        <v>LIGHTL13</v>
      </c>
      <c r="U802" s="223"/>
      <c r="V802" s="223" t="str">
        <f t="array" ref="V802:V803">{"LIGHTL15";((IF("15"=(INDEX(ALLCLASSDATA,MATCH("LightLegendary",CLASSFEATUREHEADERS,0),MATCH($A803,CLASSNAMEHEADERS,0))),(INDEX(ALLCLASSDATA,MATCH("LightLegendary",CLASSFEATUREHEADERS,0),MATCH(($A803 &amp; "Points"),CLASSNAMEHEADERS,0))),(IF("15"=(INDEX(ALLCLASSDATA,MATCH("LightMaster",CLASSFEATUREHEADERS,0),MATCH($A803,CLASSNAMEHEADERS,0))),(INDEX(ALLCLASSDATA,MATCH("LightMaster",CLASSFEATUREHEADERS,0),MATCH(($A803 &amp; "Points"),CLASSNAMEHEADERS,0))),(IF("15"=(INDEX(ALLCLASSDATA,MATCH("LightExpert",CLASSFEATUREHEADERS,0),MATCH($A803,CLASSNAMEHEADERS,0))),(INDEX(ALLCLASSDATA,MATCH("LightExpert",CLASSFEATUREHEADERS,0),MATCH(($A803 &amp; "Points"),CLASSNAMEHEADERS,0))),(IF("15"=(INDEX(ALLCLASSDATA,MATCH("LightTrained",CLASSFEATUREHEADERS,0),MATCH($A803,CLASSNAMEHEADERS,0))),(INDEX(ALLCLASSDATA,MATCH("LightTrained",CLASSFEATUREHEADERS,0),MATCH(($A803 &amp; "Points"),CLASSNAMEHEADERS,0))),"")))))))))}</f>
        <v>LIGHTL15</v>
      </c>
      <c r="W802" s="223"/>
      <c r="X802" s="223" t="str">
        <f t="array" ref="X802:X803">{"LIGHTL17";((IF("17"=(INDEX(ALLCLASSDATA,MATCH("LightLegendary",CLASSFEATUREHEADERS,0),MATCH($A803,CLASSNAMEHEADERS,0))),(INDEX(ALLCLASSDATA,MATCH("LightLegendary",CLASSFEATUREHEADERS,0),MATCH(($A803 &amp; "Points"),CLASSNAMEHEADERS,0))),(IF("17"=(INDEX(ALLCLASSDATA,MATCH("LightMaster",CLASSFEATUREHEADERS,0),MATCH($A803,CLASSNAMEHEADERS,0))),(INDEX(ALLCLASSDATA,MATCH("LightMaster",CLASSFEATUREHEADERS,0),MATCH(($A803 &amp; "Points"),CLASSNAMEHEADERS,0))),(IF("17"=(INDEX(ALLCLASSDATA,MATCH("LightExpert",CLASSFEATUREHEADERS,0),MATCH($A803,CLASSNAMEHEADERS,0))),(INDEX(ALLCLASSDATA,MATCH("LightExpert",CLASSFEATUREHEADERS,0),MATCH(($A803 &amp; "Points"),CLASSNAMEHEADERS,0))),(IF("17"=(INDEX(ALLCLASSDATA,MATCH("LightTrained",CLASSFEATUREHEADERS,0),MATCH($A803,CLASSNAMEHEADERS,0))),(INDEX(ALLCLASSDATA,MATCH("LightTrained",CLASSFEATUREHEADERS,0),MATCH(($A803 &amp; "Points"),CLASSNAMEHEADERS,0))),"")))))))))}</f>
        <v>LIGHTL17</v>
      </c>
      <c r="Y802" s="223"/>
      <c r="Z802" s="223" t="str">
        <f t="array" ref="Z802:Z803">{"LIGHTL19";((IF("19"=(INDEX(ALLCLASSDATA,MATCH("LightLegendary",CLASSFEATUREHEADERS,0),MATCH($A803,CLASSNAMEHEADERS,0))),(INDEX(ALLCLASSDATA,MATCH("LightLegendary",CLASSFEATUREHEADERS,0),MATCH(($A803 &amp; "Points"),CLASSNAMEHEADERS,0))),(IF("19"=(INDEX(ALLCLASSDATA,MATCH("LightMaster",CLASSFEATUREHEADERS,0),MATCH($A803,CLASSNAMEHEADERS,0))),(INDEX(ALLCLASSDATA,MATCH("LightMaster",CLASSFEATUREHEADERS,0),MATCH(($A803 &amp; "Points"),CLASSNAMEHEADERS,0))),(IF("19"=(INDEX(ALLCLASSDATA,MATCH("LightExpert",CLASSFEATUREHEADERS,0),MATCH($A803,CLASSNAMEHEADERS,0))),(INDEX(ALLCLASSDATA,MATCH("LightExpert",CLASSFEATUREHEADERS,0),MATCH(($A803 &amp; "Points"),CLASSNAMEHEADERS,0))),(IF("19"=(INDEX(ALLCLASSDATA,MATCH("LightTrained",CLASSFEATUREHEADERS,0),MATCH($A803,CLASSNAMEHEADERS,0))),(INDEX(ALLCLASSDATA,MATCH("LightTrained",CLASSFEATUREHEADERS,0),MATCH(($A803 &amp; "Points"),CLASSNAMEHEADERS,0))),"")))))))))}</f>
        <v>LIGHTL19</v>
      </c>
      <c r="AA802" s="223"/>
      <c r="AB802" s="76" t="str">
        <f t="array" ref="AB802:AB803">{"LIGHT TOTAL";(IF(COUNTBLANK(G803:AA803)=17,"L",(IF(COUNTBLANK(G803:AA803)=18,"M",(IF(COUNTBLANK(G803:AA803)=19,"E",(IF(COUNTBLANK(G803:AA803)=20,"T",""))))))))}</f>
        <v>LIGHT TOTAL</v>
      </c>
      <c r="AC802" s="76" t="str">
        <f t="array" ref="AC802:AC803">{"LIGHT TOTAL";(sum(G803:AA803))}</f>
        <v>LIGHT TOTAL</v>
      </c>
    </row>
    <row r="803">
      <c r="A803" s="48" t="s">
        <v>176</v>
      </c>
      <c r="B803" s="48"/>
      <c r="C803" s="48" t="s">
        <v>415</v>
      </c>
      <c r="D803" s="48" t="s">
        <v>1900</v>
      </c>
      <c r="E803" s="48" t="s">
        <v>77</v>
      </c>
      <c r="F803" s="5" t="s">
        <v>435</v>
      </c>
      <c r="G803" s="47" t="s">
        <v>603</v>
      </c>
      <c r="H803" s="5">
        <v>10.0</v>
      </c>
      <c r="I803" s="5"/>
      <c r="J803" s="5" t="s">
        <v>603</v>
      </c>
      <c r="K803" s="5"/>
      <c r="L803" s="5" t="s">
        <v>603</v>
      </c>
      <c r="M803" s="5"/>
      <c r="N803" s="5" t="s">
        <v>603</v>
      </c>
      <c r="O803" s="5"/>
      <c r="P803" s="5" t="s">
        <v>603</v>
      </c>
      <c r="Q803" s="5"/>
      <c r="R803" s="5" t="s">
        <v>603</v>
      </c>
      <c r="S803" s="5"/>
      <c r="T803" s="5">
        <v>50.0</v>
      </c>
      <c r="U803" s="5"/>
      <c r="V803" s="5" t="s">
        <v>603</v>
      </c>
      <c r="W803" s="5"/>
      <c r="X803" s="5" t="s">
        <v>603</v>
      </c>
      <c r="Y803" s="5"/>
      <c r="Z803" s="5">
        <v>110.0</v>
      </c>
      <c r="AA803" s="5"/>
      <c r="AB803" s="5" t="s">
        <v>437</v>
      </c>
      <c r="AC803" s="47">
        <v>170.0</v>
      </c>
    </row>
    <row r="804" hidden="1">
      <c r="A804" s="222" t="str">
        <f t="array" ref="A804:A805">{"FormulaRow37";(INDEX(CLASSLIST,A731,1))}</f>
        <v>FormulaRow37</v>
      </c>
      <c r="B804" s="77" t="s">
        <v>236</v>
      </c>
      <c r="C804" s="222" t="str">
        <f t="array" ref="C804:C805">{"CLASSTYPE";((INDEX(ALLCLASSDATA,MATCH("ClassType",CLASSFEATUREHEADERS,0),MATCH($A805,CLASSNAMEHEADERS,0))))}</f>
        <v>CLASSTYPE</v>
      </c>
      <c r="D804" s="222" t="str">
        <f t="array" ref="D804:D805">{"DEFENSE";"Defense"}</f>
        <v>DEFENSE</v>
      </c>
      <c r="E804" s="222" t="str">
        <f t="array" ref="E804:E805">{"MEDIUM";"Medium"}</f>
        <v>MEDIUM</v>
      </c>
      <c r="F804" s="223" t="str">
        <f t="array" ref="F804:F805">{"MEDIUMINITIAL";((IF(H805=10,"T",(IF(H805=50,"E","")))))}</f>
        <v>MEDIUMINITIAL</v>
      </c>
      <c r="G804" s="223" t="str">
        <f t="array" ref="G804:G805">{"MEDIUMINITIALPTS";((IF("00"=(INDEX(ALLCLASSDATA,MATCH("MediumLegendary",CLASSFEATUREHEADERS,0),MATCH($A805,CLASSNAMEHEADERS,0))),(INDEX(ALLCLASSDATA,MATCH("MediumLegendary",CLASSFEATUREHEADERS,0),MATCH(($A805 &amp; "Points"),CLASSNAMEHEADERS,0))),(IF("00"=(INDEX(ALLCLASSDATA,MATCH("MediumMaster",CLASSFEATUREHEADERS,0),MATCH($A805,CLASSNAMEHEADERS,0))),(INDEX(ALLCLASSDATA,MATCH("MediumMaster",CLASSFEATUREHEADERS,0),MATCH(($A805 &amp; "Points"),CLASSNAMEHEADERS,0))),(IF("00"=(INDEX(ALLCLASSDATA,MATCH("MediumExpert",CLASSFEATUREHEADERS,0),MATCH($A805,CLASSNAMEHEADERS,0))),(INDEX(ALLCLASSDATA,MATCH("MediumExpert",CLASSFEATUREHEADERS,0),MATCH(($A805 &amp; "Points"),CLASSNAMEHEADERS,0))),(IF("00"=(INDEX(ALLCLASSDATA,MATCH("MediumTrained",CLASSFEATUREHEADERS,0),MATCH($A805,CLASSNAMEHEADERS,0))),(INDEX(ALLCLASSDATA,MATCH("MediumTrained",CLASSFEATUREHEADERS,0),MATCH(($A805 &amp; "Points"),CLASSNAMEHEADERS,0))),"")))))))))}</f>
        <v>MEDIUMINITIALPTS</v>
      </c>
      <c r="H804" s="223" t="str">
        <f t="array" ref="H804:H805">{"MEDIUML01";((IF("01"=(INDEX(ALLCLASSDATA,MATCH("MediumLegendary",CLASSFEATUREHEADERS,0),MATCH($A805,CLASSNAMEHEADERS,0))),(INDEX(ALLCLASSDATA,MATCH("MediumLegendary",CLASSFEATUREHEADERS,0),MATCH(($A805 &amp; "Points"),CLASSNAMEHEADERS,0))),(IF("01"=(INDEX(ALLCLASSDATA,MATCH("MediumMaster",CLASSFEATUREHEADERS,0),MATCH($A805,CLASSNAMEHEADERS,0))),(INDEX(ALLCLASSDATA,MATCH("MediumMaster",CLASSFEATUREHEADERS,0),MATCH(($A805 &amp; "Points"),CLASSNAMEHEADERS,0))),(IF("01"=(INDEX(ALLCLASSDATA,MATCH("MediumExpert",CLASSFEATUREHEADERS,0),MATCH($A805,CLASSNAMEHEADERS,0))),(INDEX(ALLCLASSDATA,MATCH("MediumExpert",CLASSFEATUREHEADERS,0),MATCH(($A805 &amp; "Points"),CLASSNAMEHEADERS,0))),(IF("01"=(INDEX(ALLCLASSDATA,MATCH("MediumTrained",CLASSFEATUREHEADERS,0),MATCH($A805,CLASSNAMEHEADERS,0))),(INDEX(ALLCLASSDATA,MATCH("MediumTrained",CLASSFEATUREHEADERS,0),MATCH(($A805 &amp; "Points"),CLASSNAMEHEADERS,0))),"")))))))))}</f>
        <v>MEDIUML01</v>
      </c>
      <c r="I804" s="223"/>
      <c r="J804" s="223" t="str">
        <f t="array" ref="J804:J805">{"MEDIUML03";((IF("03"=(INDEX(ALLCLASSDATA,MATCH("MediumLegendary",CLASSFEATUREHEADERS,0),MATCH($A805,CLASSNAMEHEADERS,0))),(INDEX(ALLCLASSDATA,MATCH("MediumLegendary",CLASSFEATUREHEADERS,0),MATCH(($A805 &amp; "Points"),CLASSNAMEHEADERS,0))),(IF("03"=(INDEX(ALLCLASSDATA,MATCH("MediumMaster",CLASSFEATUREHEADERS,0),MATCH($A805,CLASSNAMEHEADERS,0))),(INDEX(ALLCLASSDATA,MATCH("MediumMaster",CLASSFEATUREHEADERS,0),MATCH(($A805 &amp; "Points"),CLASSNAMEHEADERS,0))),(IF("03"=(INDEX(ALLCLASSDATA,MATCH("MediumExpert",CLASSFEATUREHEADERS,0),MATCH($A805,CLASSNAMEHEADERS,0))),(INDEX(ALLCLASSDATA,MATCH("MediumExpert",CLASSFEATUREHEADERS,0),MATCH(($A805 &amp; "Points"),CLASSNAMEHEADERS,0))),(IF("03"=(INDEX(ALLCLASSDATA,MATCH("MediumTrained",CLASSFEATUREHEADERS,0),MATCH($A805,CLASSNAMEHEADERS,0))),(INDEX(ALLCLASSDATA,MATCH("MediumTrained",CLASSFEATUREHEADERS,0),MATCH(($A805 &amp; "Points"),CLASSNAMEHEADERS,0))),"")))))))))}</f>
        <v>MEDIUML03</v>
      </c>
      <c r="K804" s="223"/>
      <c r="L804" s="223" t="str">
        <f t="array" ref="L804:L805">{"MEDIUML05";((IF("05"=(INDEX(ALLCLASSDATA,MATCH("MediumLegendary",CLASSFEATUREHEADERS,0),MATCH($A805,CLASSNAMEHEADERS,0))),(INDEX(ALLCLASSDATA,MATCH("MediumLegendary",CLASSFEATUREHEADERS,0),MATCH(($A805 &amp; "Points"),CLASSNAMEHEADERS,0))),(IF("05"=(INDEX(ALLCLASSDATA,MATCH("MediumMaster",CLASSFEATUREHEADERS,0),MATCH($A805,CLASSNAMEHEADERS,0))),(INDEX(ALLCLASSDATA,MATCH("MediumMaster",CLASSFEATUREHEADERS,0),MATCH(($A805 &amp; "Points"),CLASSNAMEHEADERS,0))),(IF("05"=(INDEX(ALLCLASSDATA,MATCH("MediumExpert",CLASSFEATUREHEADERS,0),MATCH($A805,CLASSNAMEHEADERS,0))),(INDEX(ALLCLASSDATA,MATCH("MediumExpert",CLASSFEATUREHEADERS,0),MATCH(($A805 &amp; "Points"),CLASSNAMEHEADERS,0))),(IF("05"=(INDEX(ALLCLASSDATA,MATCH("MediumTrained",CLASSFEATUREHEADERS,0),MATCH($A805,CLASSNAMEHEADERS,0))),(INDEX(ALLCLASSDATA,MATCH("MediumTrained",CLASSFEATUREHEADERS,0),MATCH(($A805 &amp; "Points"),CLASSNAMEHEADERS,0))),"")))))))))}</f>
        <v>MEDIUML05</v>
      </c>
      <c r="M804" s="223"/>
      <c r="N804" s="223" t="str">
        <f t="array" ref="N804:N805">{"MEDIUML07";((IF("07"=(INDEX(ALLCLASSDATA,MATCH("MediumLegendary",CLASSFEATUREHEADERS,0),MATCH($A805,CLASSNAMEHEADERS,0))),(INDEX(ALLCLASSDATA,MATCH("MediumLegendary",CLASSFEATUREHEADERS,0),MATCH(($A805 &amp; "Points"),CLASSNAMEHEADERS,0))),(IF("07"=(INDEX(ALLCLASSDATA,MATCH("MediumMaster",CLASSFEATUREHEADERS,0),MATCH($A805,CLASSNAMEHEADERS,0))),(INDEX(ALLCLASSDATA,MATCH("MediumMaster",CLASSFEATUREHEADERS,0),MATCH(($A805 &amp; "Points"),CLASSNAMEHEADERS,0))),(IF("07"=(INDEX(ALLCLASSDATA,MATCH("MediumExpert",CLASSFEATUREHEADERS,0),MATCH($A805,CLASSNAMEHEADERS,0))),(INDEX(ALLCLASSDATA,MATCH("MediumExpert",CLASSFEATUREHEADERS,0),MATCH(($A805 &amp; "Points"),CLASSNAMEHEADERS,0))),(IF("07"=(INDEX(ALLCLASSDATA,MATCH("MediumTrained",CLASSFEATUREHEADERS,0),MATCH($A805,CLASSNAMEHEADERS,0))),(INDEX(ALLCLASSDATA,MATCH("MediumTrained",CLASSFEATUREHEADERS,0),MATCH(($A805 &amp; "Points"),CLASSNAMEHEADERS,0))),"")))))))))}</f>
        <v>MEDIUML07</v>
      </c>
      <c r="O804" s="223"/>
      <c r="P804" s="223" t="str">
        <f t="array" ref="P804:P805">{"MEDIUML09";((IF("09"=(INDEX(ALLCLASSDATA,MATCH("MediumLegendary",CLASSFEATUREHEADERS,0),MATCH($A805,CLASSNAMEHEADERS,0))),(INDEX(ALLCLASSDATA,MATCH("MediumLegendary",CLASSFEATUREHEADERS,0),MATCH(($A805 &amp; "Points"),CLASSNAMEHEADERS,0))),(IF("09"=(INDEX(ALLCLASSDATA,MATCH("MediumMaster",CLASSFEATUREHEADERS,0),MATCH($A805,CLASSNAMEHEADERS,0))),(INDEX(ALLCLASSDATA,MATCH("MediumMaster",CLASSFEATUREHEADERS,0),MATCH(($A805 &amp; "Points"),CLASSNAMEHEADERS,0))),(IF("09"=(INDEX(ALLCLASSDATA,MATCH("MediumExpert",CLASSFEATUREHEADERS,0),MATCH($A805,CLASSNAMEHEADERS,0))),(INDEX(ALLCLASSDATA,MATCH("MediumExpert",CLASSFEATUREHEADERS,0),MATCH(($A805 &amp; "Points"),CLASSNAMEHEADERS,0))),(IF("09"=(INDEX(ALLCLASSDATA,MATCH("MediumTrained",CLASSFEATUREHEADERS,0),MATCH($A805,CLASSNAMEHEADERS,0))),(INDEX(ALLCLASSDATA,MATCH("MediumTrained",CLASSFEATUREHEADERS,0),MATCH(($A805 &amp; "Points"),CLASSNAMEHEADERS,0))),"")))))))))}</f>
        <v>MEDIUML09</v>
      </c>
      <c r="Q804" s="223"/>
      <c r="R804" s="223" t="str">
        <f t="array" ref="R804:R805">{"MEDIUML11";((IF("11"=(INDEX(ALLCLASSDATA,MATCH("MediumLegendary",CLASSFEATUREHEADERS,0),MATCH($A805,CLASSNAMEHEADERS,0))),(INDEX(ALLCLASSDATA,MATCH("MediumLegendary",CLASSFEATUREHEADERS,0),MATCH(($A805 &amp; "Points"),CLASSNAMEHEADERS,0))),(IF("11"=(INDEX(ALLCLASSDATA,MATCH("MediumMaster",CLASSFEATUREHEADERS,0),MATCH($A805,CLASSNAMEHEADERS,0))),(INDEX(ALLCLASSDATA,MATCH("MediumMaster",CLASSFEATUREHEADERS,0),MATCH(($A805 &amp; "Points"),CLASSNAMEHEADERS,0))),(IF("11"=(INDEX(ALLCLASSDATA,MATCH("MediumExpert",CLASSFEATUREHEADERS,0),MATCH($A805,CLASSNAMEHEADERS,0))),(INDEX(ALLCLASSDATA,MATCH("MediumExpert",CLASSFEATUREHEADERS,0),MATCH(($A805 &amp; "Points"),CLASSNAMEHEADERS,0))),(IF("11"=(INDEX(ALLCLASSDATA,MATCH("MediumTrained",CLASSFEATUREHEADERS,0),MATCH($A805,CLASSNAMEHEADERS,0))),(INDEX(ALLCLASSDATA,MATCH("MediumTrained",CLASSFEATUREHEADERS,0),MATCH(($A805 &amp; "Points"),CLASSNAMEHEADERS,0))),"")))))))))}</f>
        <v>MEDIUML11</v>
      </c>
      <c r="S804" s="223"/>
      <c r="T804" s="223" t="str">
        <f t="array" ref="T804:T805">{"MEDIUML13";((IF("13"=(INDEX(ALLCLASSDATA,MATCH("MediumLegendary",CLASSFEATUREHEADERS,0),MATCH($A805,CLASSNAMEHEADERS,0))),(INDEX(ALLCLASSDATA,MATCH("MediumLegendary",CLASSFEATUREHEADERS,0),MATCH(($A805 &amp; "Points"),CLASSNAMEHEADERS,0))),(IF("13"=(INDEX(ALLCLASSDATA,MATCH("MediumMaster",CLASSFEATUREHEADERS,0),MATCH($A805,CLASSNAMEHEADERS,0))),(INDEX(ALLCLASSDATA,MATCH("MediumMaster",CLASSFEATUREHEADERS,0),MATCH(($A805 &amp; "Points"),CLASSNAMEHEADERS,0))),(IF("13"=(INDEX(ALLCLASSDATA,MATCH("MediumExpert",CLASSFEATUREHEADERS,0),MATCH($A805,CLASSNAMEHEADERS,0))),(INDEX(ALLCLASSDATA,MATCH("MediumExpert",CLASSFEATUREHEADERS,0),MATCH(($A805 &amp; "Points"),CLASSNAMEHEADERS,0))),(IF("13"=(INDEX(ALLCLASSDATA,MATCH("MediumTrained",CLASSFEATUREHEADERS,0),MATCH($A805,CLASSNAMEHEADERS,0))),(INDEX(ALLCLASSDATA,MATCH("MediumTrained",CLASSFEATUREHEADERS,0),MATCH(($A805 &amp; "Points"),CLASSNAMEHEADERS,0))),"")))))))))}</f>
        <v>MEDIUML13</v>
      </c>
      <c r="U804" s="223"/>
      <c r="V804" s="223" t="str">
        <f t="array" ref="V804:V805">{"MEDIUML15";((IF("15"=(INDEX(ALLCLASSDATA,MATCH("MediumLegendary",CLASSFEATUREHEADERS,0),MATCH($A805,CLASSNAMEHEADERS,0))),(INDEX(ALLCLASSDATA,MATCH("MediumLegendary",CLASSFEATUREHEADERS,0),MATCH(($A805 &amp; "Points"),CLASSNAMEHEADERS,0))),(IF("15"=(INDEX(ALLCLASSDATA,MATCH("MediumMaster",CLASSFEATUREHEADERS,0),MATCH($A805,CLASSNAMEHEADERS,0))),(INDEX(ALLCLASSDATA,MATCH("MediumMaster",CLASSFEATUREHEADERS,0),MATCH(($A805 &amp; "Points"),CLASSNAMEHEADERS,0))),(IF("15"=(INDEX(ALLCLASSDATA,MATCH("MediumExpert",CLASSFEATUREHEADERS,0),MATCH($A805,CLASSNAMEHEADERS,0))),(INDEX(ALLCLASSDATA,MATCH("MediumExpert",CLASSFEATUREHEADERS,0),MATCH(($A805 &amp; "Points"),CLASSNAMEHEADERS,0))),(IF("15"=(INDEX(ALLCLASSDATA,MATCH("MediumTrained",CLASSFEATUREHEADERS,0),MATCH($A805,CLASSNAMEHEADERS,0))),(INDEX(ALLCLASSDATA,MATCH("MediumTrained",CLASSFEATUREHEADERS,0),MATCH(($A805 &amp; "Points"),CLASSNAMEHEADERS,0))),"")))))))))}</f>
        <v>MEDIUML15</v>
      </c>
      <c r="W804" s="223"/>
      <c r="X804" s="223" t="str">
        <f t="array" ref="X804:X805">{"MEDIUML17";((IF("17"=(INDEX(ALLCLASSDATA,MATCH("MediumLegendary",CLASSFEATUREHEADERS,0),MATCH($A805,CLASSNAMEHEADERS,0))),(INDEX(ALLCLASSDATA,MATCH("MediumLegendary",CLASSFEATUREHEADERS,0),MATCH(($A805 &amp; "Points"),CLASSNAMEHEADERS,0))),(IF("17"=(INDEX(ALLCLASSDATA,MATCH("MediumMaster",CLASSFEATUREHEADERS,0),MATCH($A805,CLASSNAMEHEADERS,0))),(INDEX(ALLCLASSDATA,MATCH("MediumMaster",CLASSFEATUREHEADERS,0),MATCH(($A805 &amp; "Points"),CLASSNAMEHEADERS,0))),(IF("17"=(INDEX(ALLCLASSDATA,MATCH("MediumExpert",CLASSFEATUREHEADERS,0),MATCH($A805,CLASSNAMEHEADERS,0))),(INDEX(ALLCLASSDATA,MATCH("MediumExpert",CLASSFEATUREHEADERS,0),MATCH(($A805 &amp; "Points"),CLASSNAMEHEADERS,0))),(IF("17"=(INDEX(ALLCLASSDATA,MATCH("MediumTrained",CLASSFEATUREHEADERS,0),MATCH($A805,CLASSNAMEHEADERS,0))),(INDEX(ALLCLASSDATA,MATCH("MediumTrained",CLASSFEATUREHEADERS,0),MATCH(($A805 &amp; "Points"),CLASSNAMEHEADERS,0))),"")))))))))}</f>
        <v>MEDIUML17</v>
      </c>
      <c r="Y804" s="223"/>
      <c r="Z804" s="223" t="str">
        <f t="array" ref="Z804:Z805">{"MEDIUML19";((IF("19"=(INDEX(ALLCLASSDATA,MATCH("MediumLegendary",CLASSFEATUREHEADERS,0),MATCH($A805,CLASSNAMEHEADERS,0))),(INDEX(ALLCLASSDATA,MATCH("MediumLegendary",CLASSFEATUREHEADERS,0),MATCH(($A805 &amp; "Points"),CLASSNAMEHEADERS,0))),(IF("19"=(INDEX(ALLCLASSDATA,MATCH("MediumMaster",CLASSFEATUREHEADERS,0),MATCH($A805,CLASSNAMEHEADERS,0))),(INDEX(ALLCLASSDATA,MATCH("MediumMaster",CLASSFEATUREHEADERS,0),MATCH(($A805 &amp; "Points"),CLASSNAMEHEADERS,0))),(IF("19"=(INDEX(ALLCLASSDATA,MATCH("MediumExpert",CLASSFEATUREHEADERS,0),MATCH($A805,CLASSNAMEHEADERS,0))),(INDEX(ALLCLASSDATA,MATCH("MediumExpert",CLASSFEATUREHEADERS,0),MATCH(($A805 &amp; "Points"),CLASSNAMEHEADERS,0))),(IF("19"=(INDEX(ALLCLASSDATA,MATCH("MediumTrained",CLASSFEATUREHEADERS,0),MATCH($A805,CLASSNAMEHEADERS,0))),(INDEX(ALLCLASSDATA,MATCH("MediumTrained",CLASSFEATUREHEADERS,0),MATCH(($A805 &amp; "Points"),CLASSNAMEHEADERS,0))),"")))))))))}</f>
        <v>MEDIUML19</v>
      </c>
      <c r="AA804" s="223"/>
      <c r="AB804" s="76" t="str">
        <f t="array" ref="AB804:AB805">{"MEDIUM TOTAL";(IF(COUNTBLANK(G805:AA805)=17,"L",(IF(COUNTBLANK(G805:AA805)=18,"M",(IF(COUNTBLANK(G805:AA805)=19,"E",(IF(COUNTBLANK(G805:AA805)=20,"T",""))))))))}</f>
        <v>MEDIUM TOTAL</v>
      </c>
      <c r="AC804" s="76" t="str">
        <f t="array" ref="AC804:AC805">{"MEDIUM TOTAL";(sum(G805:AA805))}</f>
        <v>MEDIUM TOTAL</v>
      </c>
    </row>
    <row r="805">
      <c r="A805" s="48" t="s">
        <v>176</v>
      </c>
      <c r="B805" s="48"/>
      <c r="C805" s="48" t="s">
        <v>415</v>
      </c>
      <c r="D805" s="48" t="s">
        <v>1900</v>
      </c>
      <c r="E805" s="48" t="s">
        <v>76</v>
      </c>
      <c r="F805" s="5" t="s">
        <v>603</v>
      </c>
      <c r="G805" s="47" t="s">
        <v>603</v>
      </c>
      <c r="H805" s="5" t="s">
        <v>603</v>
      </c>
      <c r="I805" s="5"/>
      <c r="J805" s="5" t="s">
        <v>603</v>
      </c>
      <c r="K805" s="5"/>
      <c r="L805" s="5" t="s">
        <v>603</v>
      </c>
      <c r="M805" s="5"/>
      <c r="N805" s="5" t="s">
        <v>603</v>
      </c>
      <c r="O805" s="5"/>
      <c r="P805" s="5" t="s">
        <v>603</v>
      </c>
      <c r="Q805" s="5"/>
      <c r="R805" s="5" t="s">
        <v>603</v>
      </c>
      <c r="S805" s="5"/>
      <c r="T805" s="5" t="s">
        <v>603</v>
      </c>
      <c r="U805" s="5"/>
      <c r="V805" s="5" t="s">
        <v>603</v>
      </c>
      <c r="W805" s="5"/>
      <c r="X805" s="5" t="s">
        <v>603</v>
      </c>
      <c r="Y805" s="5"/>
      <c r="Z805" s="5" t="s">
        <v>603</v>
      </c>
      <c r="AA805" s="5"/>
      <c r="AB805" s="5" t="s">
        <v>603</v>
      </c>
      <c r="AC805" s="47">
        <v>0.0</v>
      </c>
    </row>
    <row r="806" hidden="1">
      <c r="A806" s="222" t="str">
        <f t="array" ref="A806:A807">{"FormulaRow38";(INDEX(CLASSLIST,A731,1))}</f>
        <v>FormulaRow38</v>
      </c>
      <c r="B806" s="77" t="s">
        <v>236</v>
      </c>
      <c r="C806" s="222" t="str">
        <f t="array" ref="C806:C807">{"CLASSTYPE";((INDEX(ALLCLASSDATA,MATCH("ClassType",CLASSFEATUREHEADERS,0),MATCH($A807,CLASSNAMEHEADERS,0))))}</f>
        <v>CLASSTYPE</v>
      </c>
      <c r="D806" s="222" t="str">
        <f t="array" ref="D806:D807">{"DEFENSE";"Defense"}</f>
        <v>DEFENSE</v>
      </c>
      <c r="E806" s="222" t="str">
        <f t="array" ref="E806:E807">{"HEAVY";"Heavy"}</f>
        <v>HEAVY</v>
      </c>
      <c r="F806" s="223" t="str">
        <f t="array" ref="F806:F807">{"HEAVYINITIAL";((IF(H807=10,"T",(IF(H807=50,"E","")))))}</f>
        <v>HEAVYINITIAL</v>
      </c>
      <c r="G806" s="223" t="str">
        <f t="array" ref="G806:G807">{"HEAVYINITIALPTS";((IF("00"=(INDEX(ALLCLASSDATA,MATCH("HeavyLegendary",CLASSFEATUREHEADERS,0),MATCH($A807,CLASSNAMEHEADERS,0))),(INDEX(ALLCLASSDATA,MATCH("HeavyLegendary",CLASSFEATUREHEADERS,0),MATCH(($A807 &amp; "Points"),CLASSNAMEHEADERS,0))),(IF("00"=(INDEX(ALLCLASSDATA,MATCH("HeavyMaster",CLASSFEATUREHEADERS,0),MATCH($A807,CLASSNAMEHEADERS,0))),(INDEX(ALLCLASSDATA,MATCH("HeavyMaster",CLASSFEATUREHEADERS,0),MATCH(($A807 &amp; "Points"),CLASSNAMEHEADERS,0))),(IF("00"=(INDEX(ALLCLASSDATA,MATCH("HeavyExpert",CLASSFEATUREHEADERS,0),MATCH($A807,CLASSNAMEHEADERS,0))),(INDEX(ALLCLASSDATA,MATCH("HeavyExpert",CLASSFEATUREHEADERS,0),MATCH(($A807 &amp; "Points"),CLASSNAMEHEADERS,0))),(IF("00"=(INDEX(ALLCLASSDATA,MATCH("HeavyTrained",CLASSFEATUREHEADERS,0),MATCH($A807,CLASSNAMEHEADERS,0))),(INDEX(ALLCLASSDATA,MATCH("HeavyTrained",CLASSFEATUREHEADERS,0),MATCH(($A807 &amp; "Points"),CLASSNAMEHEADERS,0))),"")))))))))}</f>
        <v>HEAVYINITIALPTS</v>
      </c>
      <c r="H806" s="223" t="str">
        <f t="array" ref="H806:H807">{"HEAVYL01";((IF("01"=(INDEX(ALLCLASSDATA,MATCH("HeavyLegendary",CLASSFEATUREHEADERS,0),MATCH($A807,CLASSNAMEHEADERS,0))),(INDEX(ALLCLASSDATA,MATCH("HeavyLegendary",CLASSFEATUREHEADERS,0),MATCH(($A807 &amp; "Points"),CLASSNAMEHEADERS,0))),(IF("01"=(INDEX(ALLCLASSDATA,MATCH("HeavyMaster",CLASSFEATUREHEADERS,0),MATCH($A807,CLASSNAMEHEADERS,0))),(INDEX(ALLCLASSDATA,MATCH("HeavyMaster",CLASSFEATUREHEADERS,0),MATCH(($A807 &amp; "Points"),CLASSNAMEHEADERS,0))),(IF("01"=(INDEX(ALLCLASSDATA,MATCH("HeavyExpert",CLASSFEATUREHEADERS,0),MATCH($A807,CLASSNAMEHEADERS,0))),(INDEX(ALLCLASSDATA,MATCH("HeavyExpert",CLASSFEATUREHEADERS,0),MATCH(($A807 &amp; "Points"),CLASSNAMEHEADERS,0))),(IF("01"=(INDEX(ALLCLASSDATA,MATCH("HeavyTrained",CLASSFEATUREHEADERS,0),MATCH($A807,CLASSNAMEHEADERS,0))),(INDEX(ALLCLASSDATA,MATCH("HeavyTrained",CLASSFEATUREHEADERS,0),MATCH(($A807 &amp; "Points"),CLASSNAMEHEADERS,0))),"")))))))))}</f>
        <v>HEAVYL01</v>
      </c>
      <c r="I806" s="223"/>
      <c r="J806" s="223" t="str">
        <f t="array" ref="J806:J807">{"HEAVYL03";((IF("03"=(INDEX(ALLCLASSDATA,MATCH("HeavyLegendary",CLASSFEATUREHEADERS,0),MATCH($A807,CLASSNAMEHEADERS,0))),(INDEX(ALLCLASSDATA,MATCH("HeavyLegendary",CLASSFEATUREHEADERS,0),MATCH(($A807 &amp; "Points"),CLASSNAMEHEADERS,0))),(IF("03"=(INDEX(ALLCLASSDATA,MATCH("HeavyMaster",CLASSFEATUREHEADERS,0),MATCH($A807,CLASSNAMEHEADERS,0))),(INDEX(ALLCLASSDATA,MATCH("HeavyMaster",CLASSFEATUREHEADERS,0),MATCH(($A807 &amp; "Points"),CLASSNAMEHEADERS,0))),(IF("03"=(INDEX(ALLCLASSDATA,MATCH("HeavyExpert",CLASSFEATUREHEADERS,0),MATCH($A807,CLASSNAMEHEADERS,0))),(INDEX(ALLCLASSDATA,MATCH("HeavyExpert",CLASSFEATUREHEADERS,0),MATCH(($A807 &amp; "Points"),CLASSNAMEHEADERS,0))),(IF("03"=(INDEX(ALLCLASSDATA,MATCH("HeavyTrained",CLASSFEATUREHEADERS,0),MATCH($A807,CLASSNAMEHEADERS,0))),(INDEX(ALLCLASSDATA,MATCH("HeavyTrained",CLASSFEATUREHEADERS,0),MATCH(($A807 &amp; "Points"),CLASSNAMEHEADERS,0))),"")))))))))}</f>
        <v>HEAVYL03</v>
      </c>
      <c r="K806" s="223"/>
      <c r="L806" s="223" t="str">
        <f t="array" ref="L806:L807">{"HEAVYL05";((IF("05"=(INDEX(ALLCLASSDATA,MATCH("HeavyLegendary",CLASSFEATUREHEADERS,0),MATCH($A807,CLASSNAMEHEADERS,0))),(INDEX(ALLCLASSDATA,MATCH("HeavyLegendary",CLASSFEATUREHEADERS,0),MATCH(($A807 &amp; "Points"),CLASSNAMEHEADERS,0))),(IF("05"=(INDEX(ALLCLASSDATA,MATCH("HeavyMaster",CLASSFEATUREHEADERS,0),MATCH($A807,CLASSNAMEHEADERS,0))),(INDEX(ALLCLASSDATA,MATCH("HeavyMaster",CLASSFEATUREHEADERS,0),MATCH(($A807 &amp; "Points"),CLASSNAMEHEADERS,0))),(IF("05"=(INDEX(ALLCLASSDATA,MATCH("HeavyExpert",CLASSFEATUREHEADERS,0),MATCH($A807,CLASSNAMEHEADERS,0))),(INDEX(ALLCLASSDATA,MATCH("HeavyExpert",CLASSFEATUREHEADERS,0),MATCH(($A807 &amp; "Points"),CLASSNAMEHEADERS,0))),(IF("05"=(INDEX(ALLCLASSDATA,MATCH("HeavyTrained",CLASSFEATUREHEADERS,0),MATCH($A807,CLASSNAMEHEADERS,0))),(INDEX(ALLCLASSDATA,MATCH("HeavyTrained",CLASSFEATUREHEADERS,0),MATCH(($A807 &amp; "Points"),CLASSNAMEHEADERS,0))),"")))))))))}</f>
        <v>HEAVYL05</v>
      </c>
      <c r="M806" s="223"/>
      <c r="N806" s="223" t="str">
        <f t="array" ref="N806:N807">{"HEAVYL07";((IF("07"=(INDEX(ALLCLASSDATA,MATCH("HeavyLegendary",CLASSFEATUREHEADERS,0),MATCH($A807,CLASSNAMEHEADERS,0))),(INDEX(ALLCLASSDATA,MATCH("HeavyLegendary",CLASSFEATUREHEADERS,0),MATCH(($A807 &amp; "Points"),CLASSNAMEHEADERS,0))),(IF("07"=(INDEX(ALLCLASSDATA,MATCH("HeavyMaster",CLASSFEATUREHEADERS,0),MATCH($A807,CLASSNAMEHEADERS,0))),(INDEX(ALLCLASSDATA,MATCH("HeavyMaster",CLASSFEATUREHEADERS,0),MATCH(($A807 &amp; "Points"),CLASSNAMEHEADERS,0))),(IF("07"=(INDEX(ALLCLASSDATA,MATCH("HeavyExpert",CLASSFEATUREHEADERS,0),MATCH($A807,CLASSNAMEHEADERS,0))),(INDEX(ALLCLASSDATA,MATCH("HeavyExpert",CLASSFEATUREHEADERS,0),MATCH(($A807 &amp; "Points"),CLASSNAMEHEADERS,0))),(IF("07"=(INDEX(ALLCLASSDATA,MATCH("HeavyTrained",CLASSFEATUREHEADERS,0),MATCH($A807,CLASSNAMEHEADERS,0))),(INDEX(ALLCLASSDATA,MATCH("HeavyTrained",CLASSFEATUREHEADERS,0),MATCH(($A807 &amp; "Points"),CLASSNAMEHEADERS,0))),"")))))))))}</f>
        <v>HEAVYL07</v>
      </c>
      <c r="O806" s="223"/>
      <c r="P806" s="223" t="str">
        <f t="array" ref="P806:P807">{"HEAVYL09";((IF("09"=(INDEX(ALLCLASSDATA,MATCH("HeavyLegendary",CLASSFEATUREHEADERS,0),MATCH($A807,CLASSNAMEHEADERS,0))),(INDEX(ALLCLASSDATA,MATCH("HeavyLegendary",CLASSFEATUREHEADERS,0),MATCH(($A807 &amp; "Points"),CLASSNAMEHEADERS,0))),(IF("09"=(INDEX(ALLCLASSDATA,MATCH("HeavyMaster",CLASSFEATUREHEADERS,0),MATCH($A807,CLASSNAMEHEADERS,0))),(INDEX(ALLCLASSDATA,MATCH("HeavyMaster",CLASSFEATUREHEADERS,0),MATCH(($A807 &amp; "Points"),CLASSNAMEHEADERS,0))),(IF("09"=(INDEX(ALLCLASSDATA,MATCH("HeavyExpert",CLASSFEATUREHEADERS,0),MATCH($A807,CLASSNAMEHEADERS,0))),(INDEX(ALLCLASSDATA,MATCH("HeavyExpert",CLASSFEATUREHEADERS,0),MATCH(($A807 &amp; "Points"),CLASSNAMEHEADERS,0))),(IF("09"=(INDEX(ALLCLASSDATA,MATCH("HeavyTrained",CLASSFEATUREHEADERS,0),MATCH($A807,CLASSNAMEHEADERS,0))),(INDEX(ALLCLASSDATA,MATCH("HeavyTrained",CLASSFEATUREHEADERS,0),MATCH(($A807 &amp; "Points"),CLASSNAMEHEADERS,0))),"")))))))))}</f>
        <v>HEAVYL09</v>
      </c>
      <c r="Q806" s="223"/>
      <c r="R806" s="223" t="str">
        <f t="array" ref="R806:R807">{"HEAVYL11";((IF("11"=(INDEX(ALLCLASSDATA,MATCH("HeavyLegendary",CLASSFEATUREHEADERS,0),MATCH($A807,CLASSNAMEHEADERS,0))),(INDEX(ALLCLASSDATA,MATCH("HeavyLegendary",CLASSFEATUREHEADERS,0),MATCH(($A807 &amp; "Points"),CLASSNAMEHEADERS,0))),(IF("11"=(INDEX(ALLCLASSDATA,MATCH("HeavyMaster",CLASSFEATUREHEADERS,0),MATCH($A807,CLASSNAMEHEADERS,0))),(INDEX(ALLCLASSDATA,MATCH("HeavyMaster",CLASSFEATUREHEADERS,0),MATCH(($A807 &amp; "Points"),CLASSNAMEHEADERS,0))),(IF("11"=(INDEX(ALLCLASSDATA,MATCH("HeavyExpert",CLASSFEATUREHEADERS,0),MATCH($A807,CLASSNAMEHEADERS,0))),(INDEX(ALLCLASSDATA,MATCH("HeavyExpert",CLASSFEATUREHEADERS,0),MATCH(($A807 &amp; "Points"),CLASSNAMEHEADERS,0))),(IF("11"=(INDEX(ALLCLASSDATA,MATCH("HeavyTrained",CLASSFEATUREHEADERS,0),MATCH($A807,CLASSNAMEHEADERS,0))),(INDEX(ALLCLASSDATA,MATCH("HeavyTrained",CLASSFEATUREHEADERS,0),MATCH(($A807 &amp; "Points"),CLASSNAMEHEADERS,0))),"")))))))))}</f>
        <v>HEAVYL11</v>
      </c>
      <c r="S806" s="223"/>
      <c r="T806" s="223" t="str">
        <f t="array" ref="T806:T807">{"HEAVYL13";((IF("13"=(INDEX(ALLCLASSDATA,MATCH("HeavyLegendary",CLASSFEATUREHEADERS,0),MATCH($A807,CLASSNAMEHEADERS,0))),(INDEX(ALLCLASSDATA,MATCH("HeavyLegendary",CLASSFEATUREHEADERS,0),MATCH(($A807 &amp; "Points"),CLASSNAMEHEADERS,0))),(IF("13"=(INDEX(ALLCLASSDATA,MATCH("HeavyMaster",CLASSFEATUREHEADERS,0),MATCH($A807,CLASSNAMEHEADERS,0))),(INDEX(ALLCLASSDATA,MATCH("HeavyMaster",CLASSFEATUREHEADERS,0),MATCH(($A807 &amp; "Points"),CLASSNAMEHEADERS,0))),(IF("13"=(INDEX(ALLCLASSDATA,MATCH("HeavyExpert",CLASSFEATUREHEADERS,0),MATCH($A807,CLASSNAMEHEADERS,0))),(INDEX(ALLCLASSDATA,MATCH("HeavyExpert",CLASSFEATUREHEADERS,0),MATCH(($A807 &amp; "Points"),CLASSNAMEHEADERS,0))),(IF("13"=(INDEX(ALLCLASSDATA,MATCH("HeavyTrained",CLASSFEATUREHEADERS,0),MATCH($A807,CLASSNAMEHEADERS,0))),(INDEX(ALLCLASSDATA,MATCH("HeavyTrained",CLASSFEATUREHEADERS,0),MATCH(($A807 &amp; "Points"),CLASSNAMEHEADERS,0))),"")))))))))}</f>
        <v>HEAVYL13</v>
      </c>
      <c r="U806" s="223"/>
      <c r="V806" s="223" t="str">
        <f t="array" ref="V806:V807">{"HEAVYL15";((IF("15"=(INDEX(ALLCLASSDATA,MATCH("HeavyLegendary",CLASSFEATUREHEADERS,0),MATCH($A807,CLASSNAMEHEADERS,0))),(INDEX(ALLCLASSDATA,MATCH("HeavyLegendary",CLASSFEATUREHEADERS,0),MATCH(($A807 &amp; "Points"),CLASSNAMEHEADERS,0))),(IF("15"=(INDEX(ALLCLASSDATA,MATCH("HeavyMaster",CLASSFEATUREHEADERS,0),MATCH($A807,CLASSNAMEHEADERS,0))),(INDEX(ALLCLASSDATA,MATCH("HeavyMaster",CLASSFEATUREHEADERS,0),MATCH(($A807 &amp; "Points"),CLASSNAMEHEADERS,0))),(IF("15"=(INDEX(ALLCLASSDATA,MATCH("HeavyExpert",CLASSFEATUREHEADERS,0),MATCH($A807,CLASSNAMEHEADERS,0))),(INDEX(ALLCLASSDATA,MATCH("HeavyExpert",CLASSFEATUREHEADERS,0),MATCH(($A807 &amp; "Points"),CLASSNAMEHEADERS,0))),(IF("15"=(INDEX(ALLCLASSDATA,MATCH("HeavyTrained",CLASSFEATUREHEADERS,0),MATCH($A807,CLASSNAMEHEADERS,0))),(INDEX(ALLCLASSDATA,MATCH("HeavyTrained",CLASSFEATUREHEADERS,0),MATCH(($A807 &amp; "Points"),CLASSNAMEHEADERS,0))),"")))))))))}</f>
        <v>HEAVYL15</v>
      </c>
      <c r="W806" s="223"/>
      <c r="X806" s="223" t="str">
        <f t="array" ref="X806:X807">{"HEAVYL17";((IF("17"=(INDEX(ALLCLASSDATA,MATCH("HeavyLegendary",CLASSFEATUREHEADERS,0),MATCH($A807,CLASSNAMEHEADERS,0))),(INDEX(ALLCLASSDATA,MATCH("HeavyLegendary",CLASSFEATUREHEADERS,0),MATCH(($A807 &amp; "Points"),CLASSNAMEHEADERS,0))),(IF("17"=(INDEX(ALLCLASSDATA,MATCH("HeavyMaster",CLASSFEATUREHEADERS,0),MATCH($A807,CLASSNAMEHEADERS,0))),(INDEX(ALLCLASSDATA,MATCH("HeavyMaster",CLASSFEATUREHEADERS,0),MATCH(($A807 &amp; "Points"),CLASSNAMEHEADERS,0))),(IF("17"=(INDEX(ALLCLASSDATA,MATCH("HeavyExpert",CLASSFEATUREHEADERS,0),MATCH($A807,CLASSNAMEHEADERS,0))),(INDEX(ALLCLASSDATA,MATCH("HeavyExpert",CLASSFEATUREHEADERS,0),MATCH(($A807 &amp; "Points"),CLASSNAMEHEADERS,0))),(IF("17"=(INDEX(ALLCLASSDATA,MATCH("HeavyTrained",CLASSFEATUREHEADERS,0),MATCH($A807,CLASSNAMEHEADERS,0))),(INDEX(ALLCLASSDATA,MATCH("HeavyTrained",CLASSFEATUREHEADERS,0),MATCH(($A807 &amp; "Points"),CLASSNAMEHEADERS,0))),"")))))))))}</f>
        <v>HEAVYL17</v>
      </c>
      <c r="Y806" s="223"/>
      <c r="Z806" s="223" t="str">
        <f t="array" ref="Z806:Z807">{"HEAVYL19";((IF("19"=(INDEX(ALLCLASSDATA,MATCH("HeavyLegendary",CLASSFEATUREHEADERS,0),MATCH($A807,CLASSNAMEHEADERS,0))),(INDEX(ALLCLASSDATA,MATCH("HeavyLegendary",CLASSFEATUREHEADERS,0),MATCH(($A807 &amp; "Points"),CLASSNAMEHEADERS,0))),(IF("19"=(INDEX(ALLCLASSDATA,MATCH("HeavyMaster",CLASSFEATUREHEADERS,0),MATCH($A807,CLASSNAMEHEADERS,0))),(INDEX(ALLCLASSDATA,MATCH("HeavyMaster",CLASSFEATUREHEADERS,0),MATCH(($A807 &amp; "Points"),CLASSNAMEHEADERS,0))),(IF("19"=(INDEX(ALLCLASSDATA,MATCH("HeavyExpert",CLASSFEATUREHEADERS,0),MATCH($A807,CLASSNAMEHEADERS,0))),(INDEX(ALLCLASSDATA,MATCH("HeavyExpert",CLASSFEATUREHEADERS,0),MATCH(($A807 &amp; "Points"),CLASSNAMEHEADERS,0))),(IF("19"=(INDEX(ALLCLASSDATA,MATCH("HeavyTrained",CLASSFEATUREHEADERS,0),MATCH($A807,CLASSNAMEHEADERS,0))),(INDEX(ALLCLASSDATA,MATCH("HeavyTrained",CLASSFEATUREHEADERS,0),MATCH(($A807 &amp; "Points"),CLASSNAMEHEADERS,0))),"")))))))))}</f>
        <v>HEAVYL19</v>
      </c>
      <c r="AA806" s="223"/>
      <c r="AB806" s="76" t="str">
        <f t="array" ref="AB806:AB807">{"HEAVY TOTAL";(IF(COUNTBLANK(G807:AA807)=17,"L",(IF(COUNTBLANK(G807:AA807)=18,"M",(IF(COUNTBLANK(G807:AA807)=19,"E",(IF(COUNTBLANK(G807:AA807)=20,"T",""))))))))}</f>
        <v>HEAVY TOTAL</v>
      </c>
      <c r="AC806" s="76" t="str">
        <f t="array" ref="AC806:AC807">{"HEAVY TOTAL";(sum(G807:AA807))}</f>
        <v>HEAVY TOTAL</v>
      </c>
    </row>
    <row r="807">
      <c r="A807" s="48" t="s">
        <v>176</v>
      </c>
      <c r="B807" s="48"/>
      <c r="C807" s="48" t="s">
        <v>415</v>
      </c>
      <c r="D807" s="97" t="s">
        <v>1900</v>
      </c>
      <c r="E807" s="97" t="s">
        <v>533</v>
      </c>
      <c r="F807" s="98" t="s">
        <v>603</v>
      </c>
      <c r="G807" s="132" t="s">
        <v>603</v>
      </c>
      <c r="H807" s="98" t="s">
        <v>603</v>
      </c>
      <c r="I807" s="98"/>
      <c r="J807" s="98" t="s">
        <v>603</v>
      </c>
      <c r="K807" s="98"/>
      <c r="L807" s="98" t="s">
        <v>603</v>
      </c>
      <c r="M807" s="98"/>
      <c r="N807" s="98" t="s">
        <v>603</v>
      </c>
      <c r="O807" s="98"/>
      <c r="P807" s="98" t="s">
        <v>603</v>
      </c>
      <c r="Q807" s="98"/>
      <c r="R807" s="98" t="s">
        <v>603</v>
      </c>
      <c r="S807" s="98"/>
      <c r="T807" s="98" t="s">
        <v>603</v>
      </c>
      <c r="U807" s="98"/>
      <c r="V807" s="98" t="s">
        <v>603</v>
      </c>
      <c r="W807" s="98"/>
      <c r="X807" s="98" t="s">
        <v>603</v>
      </c>
      <c r="Y807" s="98"/>
      <c r="Z807" s="98" t="s">
        <v>603</v>
      </c>
      <c r="AA807" s="98"/>
      <c r="AB807" s="5" t="s">
        <v>603</v>
      </c>
      <c r="AC807" s="47">
        <v>0.0</v>
      </c>
    </row>
    <row r="808" hidden="1">
      <c r="A808" s="222" t="str">
        <f t="array" ref="A808:A809">{"FormulaRow39";(INDEX(CLASSLIST,A731,1))}</f>
        <v>FormulaRow39</v>
      </c>
      <c r="B808" s="77" t="s">
        <v>236</v>
      </c>
      <c r="C808" s="222" t="str">
        <f t="array" ref="C808:C809">{"CLASSTYPE";((INDEX(ALLCLASSDATA,MATCH("ClassType",CLASSFEATUREHEADERS,0),MATCH($A809,CLASSNAMEHEADERS,0))))}</f>
        <v>CLASSTYPE</v>
      </c>
      <c r="D808" s="222" t="str">
        <f t="array" ref="D808:D809">{"SPELL/ALCHEMY";((IF(INDEX(ALLCLASSDATA,MATCH("CasterType",CLASSFEATUREHEADERS,0),MATCH(($A809),CLASSNAMEHEADERS,0))="","",(IF(INDEX(ALLCLASSDATA,MATCH("CasterType",CLASSFEATUREHEADERS,0),MATCH(($A809),CLASSNAMEHEADERS,0))="Alchemy","Alchemy","Spells")))))}</f>
        <v>SPELL/ALCHEMY</v>
      </c>
      <c r="E808" s="222" t="str">
        <f t="array" ref="E808:E809">{"SPELLLIST";(IF(D809="Spells",((INDEX(ALLCLASSDATA,MATCH("CasterType",CLASSFEATUREHEADERS,0),MATCH(($A809),CLASSNAMEHEADERS,0))) &amp; ":" &amp; (INDEX(ALLCLASSDATA,MATCH("SpellList",CLASSFEATUREHEADERS,0),MATCH(($A809),CLASSNAMEHEADERS,0)))),""))}</f>
        <v>SPELLLIST</v>
      </c>
      <c r="F808" s="223" t="str">
        <f t="array" ref="F808:F809">{"SPL";(IF(D809="Spells","SPL:",""))}</f>
        <v>SPL</v>
      </c>
      <c r="G808" s="223" t="str">
        <f t="array" ref="G808:G809">{"CANTRIP/ALC";(IF(D809="Spells","C",(IF(D809="Alchemy","ALC:",""))))}</f>
        <v>CANTRIP/ALC</v>
      </c>
      <c r="H808" s="223" t="str">
        <f t="array" ref="H808:H809">{"SPELL/ALC L01";(IF(D809="Alchemy","L01",(IF(D809="Spells","S01",""))))}</f>
        <v>SPELL/ALC L01</v>
      </c>
      <c r="I808" s="223" t="str">
        <f t="array" ref="I808:I809">{"SPELL/ALC L02";(IF(D809="Alchemy","L02",(IF(D809="Spells","S01",""))))}</f>
        <v>SPELL/ALC L02</v>
      </c>
      <c r="J808" s="223" t="str">
        <f t="array" ref="J808:J809">{"SPELL/ALC L03";(IF(D809="Alchemy","L03",(IF(D809="Spells","S02",""))))}</f>
        <v>SPELL/ALC L03</v>
      </c>
      <c r="K808" s="223" t="str">
        <f t="array" ref="K808:K809">{"SPELL/ALC L04";(IF(D809="Alchemy","L04",(IF(D809="Spells","S02",""))))}</f>
        <v>SPELL/ALC L04</v>
      </c>
      <c r="L808" s="223" t="str">
        <f t="array" ref="L808:L809">{"SPELL/ALC L05";(IF(D809="Alchemy","L05",(IF(D809="Spells","S03",""))))}</f>
        <v>SPELL/ALC L05</v>
      </c>
      <c r="M808" s="223" t="str">
        <f t="array" ref="M808:M809">{"SPELL/ALC L06";(IF(D809="Alchemy","L06",(IF(D809="Spells","S03",""))))}</f>
        <v>SPELL/ALC L06</v>
      </c>
      <c r="N808" s="223" t="str">
        <f t="array" ref="N808:N809">{"SPELL/ALC L07";(IF(D809="Alchemy","L07",(IF(D809="Spells","S04",""))))}</f>
        <v>SPELL/ALC L07</v>
      </c>
      <c r="O808" s="223" t="str">
        <f t="array" ref="O808:O809">{"SPELL/ALC L08";(IF(D809="Alchemy","L08",(IF(D809="Spells","S04",""))))}</f>
        <v>SPELL/ALC L08</v>
      </c>
      <c r="P808" s="223" t="str">
        <f t="array" ref="P808:P809">{"SPELL/ALC L09";(IF(D809="Alchemy","L09",(IF(D809="Spells","S05",""))))}</f>
        <v>SPELL/ALC L09</v>
      </c>
      <c r="Q808" s="223" t="str">
        <f t="array" ref="Q808:Q809">{"SPELL/ALC L10";(IF(D809="Alchemy","L10",(IF(D809="Spells","S05",""))))}</f>
        <v>SPELL/ALC L10</v>
      </c>
      <c r="R808" s="223" t="str">
        <f t="array" ref="R808:R809">{"SPELL/ALC L11";(IF(D809="Alchemy","L11",(IF(D809="Spells","S06",""))))}</f>
        <v>SPELL/ALC L11</v>
      </c>
      <c r="S808" s="223" t="str">
        <f t="array" ref="S808:S809">{"SPELL/ALC L12";(IF(D809="Alchemy","L12",(IF(D809="Spells","S06",""))))}</f>
        <v>SPELL/ALC L12</v>
      </c>
      <c r="T808" s="223" t="str">
        <f t="array" ref="T808:T809">{"SPELL/ALC L13";(IF(D809="Alchemy","L13",(IF(D809="Spells","S07",""))))}</f>
        <v>SPELL/ALC L13</v>
      </c>
      <c r="U808" s="223" t="str">
        <f t="array" ref="U808:U809">{"SPELL/ALC L14";(IF(D809="Alchemy","L14",(IF(D809="Spells","S07",""))))}</f>
        <v>SPELL/ALC L14</v>
      </c>
      <c r="V808" s="223" t="str">
        <f t="array" ref="V808:V809">{"SPELL/ALC L15";(IF(D809="Alchemy","L15",(IF(D809="Spells","S08",""))))}</f>
        <v>SPELL/ALC L15</v>
      </c>
      <c r="W808" s="223" t="str">
        <f t="array" ref="W808:W809">{"SPELL/ALC L16";(IF(D809="Alchemy","L16",(IF(D809="Spells","S08",""))))}</f>
        <v>SPELL/ALC L16</v>
      </c>
      <c r="X808" s="223" t="str">
        <f t="array" ref="X808:X809">{"SPELL/ALC L17";(IF(D809="Alchemy","L17",(IF(D809="Spells","S09",""))))}</f>
        <v>SPELL/ALC L17</v>
      </c>
      <c r="Y808" s="223" t="str">
        <f t="array" ref="Y808:Y809">{"SPELL/ALC L18";(IF(D809="Alchemy","L18",(IF(D809="Spells","S09",""))))}</f>
        <v>SPELL/ALC L18</v>
      </c>
      <c r="Z808" s="223" t="str">
        <f t="array" ref="Z808:Z809">{"SPELL/ALC L19";(IF(D809="Alchemy","L19",(IF(D809="Spells","S10",""))))}</f>
        <v>SPELL/ALC L19</v>
      </c>
      <c r="AA808" s="223" t="str">
        <f t="array" ref="AA808:AA809">{"SPELL/ALC L20";(IF(D809="Alchemy","L20",(IF(D809="Spells","S10",""))))}</f>
        <v>SPELL/ALC L20</v>
      </c>
      <c r="AB808" s="76"/>
      <c r="AC808" s="76"/>
    </row>
    <row r="809">
      <c r="A809" s="48" t="s">
        <v>176</v>
      </c>
      <c r="B809" s="48"/>
      <c r="C809" s="48" t="s">
        <v>415</v>
      </c>
      <c r="D809" s="48" t="s">
        <v>603</v>
      </c>
      <c r="E809" s="48" t="s">
        <v>603</v>
      </c>
      <c r="F809" s="278" t="s">
        <v>603</v>
      </c>
      <c r="G809" s="114" t="s">
        <v>603</v>
      </c>
      <c r="H809" s="279" t="s">
        <v>603</v>
      </c>
      <c r="I809" s="28" t="s">
        <v>603</v>
      </c>
      <c r="J809" s="28" t="s">
        <v>603</v>
      </c>
      <c r="K809" s="28" t="s">
        <v>603</v>
      </c>
      <c r="L809" s="28" t="s">
        <v>603</v>
      </c>
      <c r="M809" s="28" t="s">
        <v>603</v>
      </c>
      <c r="N809" s="28" t="s">
        <v>603</v>
      </c>
      <c r="O809" s="28" t="s">
        <v>603</v>
      </c>
      <c r="P809" s="28" t="s">
        <v>603</v>
      </c>
      <c r="Q809" s="28" t="s">
        <v>603</v>
      </c>
      <c r="R809" s="28" t="s">
        <v>603</v>
      </c>
      <c r="S809" s="28" t="s">
        <v>603</v>
      </c>
      <c r="T809" s="28" t="s">
        <v>603</v>
      </c>
      <c r="U809" s="28" t="s">
        <v>603</v>
      </c>
      <c r="V809" s="28" t="s">
        <v>603</v>
      </c>
      <c r="W809" s="28" t="s">
        <v>603</v>
      </c>
      <c r="X809" s="28" t="s">
        <v>603</v>
      </c>
      <c r="Y809" s="28" t="s">
        <v>603</v>
      </c>
      <c r="Z809" s="28" t="s">
        <v>603</v>
      </c>
      <c r="AA809" s="28" t="s">
        <v>603</v>
      </c>
      <c r="AB809" s="5"/>
      <c r="AC809" s="47"/>
    </row>
    <row r="810" hidden="1">
      <c r="A810" s="222" t="str">
        <f t="array" ref="A810:A811">{"FormulaRow40";(INDEX(CLASSLIST,A731,1))}</f>
        <v>FormulaRow40</v>
      </c>
      <c r="B810" s="77" t="s">
        <v>236</v>
      </c>
      <c r="C810" s="222" t="str">
        <f t="array" ref="C810:C811">{"CLASSTYPE";((INDEX(ALLCLASSDATA,MATCH("ClassType",CLASSFEATUREHEADERS,0),MATCH($A811,CLASSNAMEHEADERS,0))))}</f>
        <v>CLASSTYPE</v>
      </c>
      <c r="D810" s="222" t="str">
        <f t="array" ref="D810:D811">{"SPELL/ALCHEMY";((IF(INDEX(ALLCLASSDATA,MATCH("CasterType",CLASSFEATUREHEADERS,0),MATCH(($A811),CLASSNAMEHEADERS,0))="","",(IF(INDEX(ALLCLASSDATA,MATCH("CasterType",CLASSFEATUREHEADERS,0),MATCH(($A811),CLASSNAMEHEADERS,0))="Alchemy","","Spells")))))}</f>
        <v>SPELL/ALCHEMY</v>
      </c>
      <c r="E810" s="222" t="str">
        <f t="array" ref="E810:E811">{"SPELLLIST";(IF(D811="Spells",((INDEX(ALLCLASSDATA,MATCH("CasterType",CLASSFEATUREHEADERS,0),MATCH(($A811),CLASSNAMEHEADERS,0))) &amp; ":" &amp; (INDEX(ALLCLASSDATA,MATCH("SpellList",CLASSFEATUREHEADERS,0),MATCH(($A811),CLASSNAMEHEADERS,0)))),""))}</f>
        <v>SPELLLIST</v>
      </c>
      <c r="F810" s="222" t="str">
        <f t="array" ref="F810:F811">{"SLOTCOST";(IF(D811="Spells","SlotCost:",""))}</f>
        <v>SLOTCOST</v>
      </c>
      <c r="G810" s="222" t="str">
        <f t="array" ref="G810:G811">{"SLOTCOST CANTRIP";(INDEX(ALLCLASSDATA,MATCH("CantripSlots-L00",CLASSFEATUREHEADERS,0),MATCH(($A811 &amp; "Points"),CLASSNAMEHEADERS,0)))}</f>
        <v>SLOTCOST CANTRIP</v>
      </c>
      <c r="H810" s="222" t="str">
        <f t="array" ref="H810:H811">{"SLOTCOST L01";(INDEX(ALLCLASSDATA,MATCH("SPL01-L01",CLASSFEATUREHEADERS,0),MATCH(($A811 &amp; "Points"),CLASSNAMEHEADERS,0)))}</f>
        <v>SLOTCOST L01</v>
      </c>
      <c r="I810" s="222" t="str">
        <f t="array" ref="I810:I811">{"SLOTCOST L02";(INDEX(ALLCLASSDATA,MATCH("SPL01-L02",CLASSFEATUREHEADERS,0),MATCH(($A811 &amp; "Points"),CLASSNAMEHEADERS,0)))}</f>
        <v>SLOTCOST L02</v>
      </c>
      <c r="J810" s="222" t="str">
        <f t="array" ref="J810:J811">{"SLOTCOST L03";(INDEX(ALLCLASSDATA,MATCH("SPL02-L03",CLASSFEATUREHEADERS,0),MATCH(($A811 &amp; "Points"),CLASSNAMEHEADERS,0)))}</f>
        <v>SLOTCOST L03</v>
      </c>
      <c r="K810" s="222" t="str">
        <f t="array" ref="K810:K811">{"SLOTCOST L04";(INDEX(ALLCLASSDATA,MATCH("SPL02-L04",CLASSFEATUREHEADERS,0),MATCH(($A811 &amp; "Points"),CLASSNAMEHEADERS,0)))}</f>
        <v>SLOTCOST L04</v>
      </c>
      <c r="L810" s="222" t="str">
        <f t="array" ref="L810:L811">{"SLOTCOST L05";(INDEX(ALLCLASSDATA,MATCH("SPL03-L05",CLASSFEATUREHEADERS,0),MATCH(($A811 &amp; "Points"),CLASSNAMEHEADERS,0)))}</f>
        <v>SLOTCOST L05</v>
      </c>
      <c r="M810" s="222" t="str">
        <f t="array" ref="M810:M811">{"SLOTCOST L06";(INDEX(ALLCLASSDATA,MATCH("SPL03-L06",CLASSFEATUREHEADERS,0),MATCH(($A811 &amp; "Points"),CLASSNAMEHEADERS,0)))}</f>
        <v>SLOTCOST L06</v>
      </c>
      <c r="N810" s="222" t="str">
        <f t="array" ref="N810:N811">{"SLOTCOST L07";(INDEX(ALLCLASSDATA,MATCH("SPL04-L07",CLASSFEATUREHEADERS,0),MATCH(($A811 &amp; "Points"),CLASSNAMEHEADERS,0)))}</f>
        <v>SLOTCOST L07</v>
      </c>
      <c r="O810" s="222" t="str">
        <f t="array" ref="O810:O811">{"SLOTCOST L08";(INDEX(ALLCLASSDATA,MATCH("SPL04-L08",CLASSFEATUREHEADERS,0),MATCH(($A811 &amp; "Points"),CLASSNAMEHEADERS,0)))}</f>
        <v>SLOTCOST L08</v>
      </c>
      <c r="P810" s="222" t="str">
        <f t="array" ref="P810:P811">{"SLOTCOST L09";(INDEX(ALLCLASSDATA,MATCH("SPL05-L09",CLASSFEATUREHEADERS,0),MATCH(($A811 &amp; "Points"),CLASSNAMEHEADERS,0)))}</f>
        <v>SLOTCOST L09</v>
      </c>
      <c r="Q810" s="222" t="str">
        <f t="array" ref="Q810:Q811">{"SLOTCOST L10";(INDEX(ALLCLASSDATA,MATCH("SPL05-L10",CLASSFEATUREHEADERS,0),MATCH(($A811 &amp; "Points"),CLASSNAMEHEADERS,0)))}</f>
        <v>SLOTCOST L10</v>
      </c>
      <c r="R810" s="222" t="str">
        <f t="array" ref="R810:R811">{"SLOTCOST L11";(INDEX(ALLCLASSDATA,MATCH("SPL06-L11",CLASSFEATUREHEADERS,0),MATCH(($A811 &amp; "Points"),CLASSNAMEHEADERS,0)))}</f>
        <v>SLOTCOST L11</v>
      </c>
      <c r="S810" s="222" t="str">
        <f t="array" ref="S810:S811">{"SLOTCOST L12";(INDEX(ALLCLASSDATA,MATCH("SPL06-L12",CLASSFEATUREHEADERS,0),MATCH(($A811 &amp; "Points"),CLASSNAMEHEADERS,0)))}</f>
        <v>SLOTCOST L12</v>
      </c>
      <c r="T810" s="222" t="str">
        <f t="array" ref="T810:T811">{"SLOTCOST L13";(INDEX(ALLCLASSDATA,MATCH("SPL07-L13",CLASSFEATUREHEADERS,0),MATCH(($A811 &amp; "Points"),CLASSNAMEHEADERS,0)))}</f>
        <v>SLOTCOST L13</v>
      </c>
      <c r="U810" s="222" t="str">
        <f t="array" ref="U810:U811">{"SLOTCOST L14";(INDEX(ALLCLASSDATA,MATCH("SPL07-L14",CLASSFEATUREHEADERS,0),MATCH(($A811 &amp; "Points"),CLASSNAMEHEADERS,0)))}</f>
        <v>SLOTCOST L14</v>
      </c>
      <c r="V810" s="222" t="str">
        <f t="array" ref="V810:V811">{"SLOTCOST L15";(INDEX(ALLCLASSDATA,MATCH("SPL08-L15",CLASSFEATUREHEADERS,0),MATCH(($A811 &amp; "Points"),CLASSNAMEHEADERS,0)))}</f>
        <v>SLOTCOST L15</v>
      </c>
      <c r="W810" s="222" t="str">
        <f t="array" ref="W810:W811">{"SLOTCOST L16";(INDEX(ALLCLASSDATA,MATCH("SPL08-L16",CLASSFEATUREHEADERS,0),MATCH(($A811 &amp; "Points"),CLASSNAMEHEADERS,0)))}</f>
        <v>SLOTCOST L16</v>
      </c>
      <c r="X810" s="222" t="str">
        <f t="array" ref="X810:X811">{"SLOTCOST L17";(INDEX(ALLCLASSDATA,MATCH("SPL09-L17",CLASSFEATUREHEADERS,0),MATCH(($A811 &amp; "Points"),CLASSNAMEHEADERS,0)))}</f>
        <v>SLOTCOST L17</v>
      </c>
      <c r="Y810" s="222" t="str">
        <f t="array" ref="Y810:Y811">{"SLOTCOST L18";(INDEX(ALLCLASSDATA,MATCH("SPL09-L18",CLASSFEATUREHEADERS,0),MATCH(($A811 &amp; "Points"),CLASSNAMEHEADERS,0)))}</f>
        <v>SLOTCOST L18</v>
      </c>
      <c r="Z810" s="222" t="str">
        <f t="array" ref="Z810:Z811">{"SLOTCOST L19";(INDEX(ALLCLASSDATA,MATCH("SPL10-L19",CLASSFEATUREHEADERS,0),MATCH(($A811 &amp; "Points"),CLASSNAMEHEADERS,0)))}</f>
        <v>SLOTCOST L19</v>
      </c>
      <c r="AA810" s="222" t="str">
        <f t="array" ref="AA810:AA811">{"SLOTCOST L20";(INDEX(ALLCLASSDATA,MATCH("SPL10-L20",CLASSFEATUREHEADERS,0),MATCH(($A811 &amp; "Points"),CLASSNAMEHEADERS,0)))}</f>
        <v>SLOTCOST L20</v>
      </c>
      <c r="AB810" s="76"/>
      <c r="AC810" s="76" t="str">
        <f t="array" ref="AC810:AC811">{"SLOT TOTAL";(sum(G811:AA811))}</f>
        <v>SLOT TOTAL</v>
      </c>
    </row>
    <row r="811">
      <c r="A811" s="48" t="s">
        <v>176</v>
      </c>
      <c r="B811" s="48"/>
      <c r="C811" s="48" t="s">
        <v>415</v>
      </c>
      <c r="D811" s="48" t="s">
        <v>603</v>
      </c>
      <c r="E811" s="48" t="s">
        <v>603</v>
      </c>
      <c r="F811" s="278" t="s">
        <v>603</v>
      </c>
      <c r="G811" s="47" t="s">
        <v>603</v>
      </c>
      <c r="H811" s="5" t="s">
        <v>603</v>
      </c>
      <c r="I811" s="5" t="s">
        <v>603</v>
      </c>
      <c r="J811" s="5" t="s">
        <v>603</v>
      </c>
      <c r="K811" s="5" t="s">
        <v>603</v>
      </c>
      <c r="L811" s="5" t="s">
        <v>603</v>
      </c>
      <c r="M811" s="48" t="s">
        <v>603</v>
      </c>
      <c r="N811" s="5" t="s">
        <v>603</v>
      </c>
      <c r="O811" s="5" t="s">
        <v>603</v>
      </c>
      <c r="P811" s="5" t="s">
        <v>603</v>
      </c>
      <c r="Q811" s="5" t="s">
        <v>603</v>
      </c>
      <c r="R811" s="5" t="s">
        <v>603</v>
      </c>
      <c r="S811" s="5" t="s">
        <v>603</v>
      </c>
      <c r="T811" s="5" t="s">
        <v>603</v>
      </c>
      <c r="U811" s="5" t="s">
        <v>603</v>
      </c>
      <c r="V811" s="5" t="s">
        <v>603</v>
      </c>
      <c r="W811" s="5" t="s">
        <v>603</v>
      </c>
      <c r="X811" s="5" t="s">
        <v>603</v>
      </c>
      <c r="Y811" s="5" t="s">
        <v>603</v>
      </c>
      <c r="Z811" s="5" t="s">
        <v>603</v>
      </c>
      <c r="AA811" s="5" t="s">
        <v>603</v>
      </c>
      <c r="AB811" s="5"/>
      <c r="AC811" s="47">
        <v>0.0</v>
      </c>
    </row>
    <row r="812" hidden="1">
      <c r="A812" s="222" t="str">
        <f t="array" ref="A812:A813">{"FormulaRow41";(INDEX(CLASSLIST,A731,1))}</f>
        <v>FormulaRow41</v>
      </c>
      <c r="B812" s="77" t="s">
        <v>236</v>
      </c>
      <c r="C812" s="222" t="str">
        <f t="array" ref="C812:C813">{"CLASSTYPE";((INDEX(ALLCLASSDATA,MATCH("ClassType",CLASSFEATUREHEADERS,0),MATCH($A813,CLASSNAMEHEADERS,0))))}</f>
        <v>CLASSTYPE</v>
      </c>
      <c r="D812" s="222" t="str">
        <f t="array" ref="D812:D813">{"SPELL/ALCHEMY";((IF(INDEX(ALLCLASSDATA,MATCH("CasterType",CLASSFEATUREHEADERS,0),MATCH(($A813),CLASSNAMEHEADERS,0))="","",(IF(INDEX(ALLCLASSDATA,MATCH("CasterType",CLASSFEATUREHEADERS,0),MATCH(($A813),CLASSNAMEHEADERS,0))="Alchemy","Alchemy","Spells")))))}</f>
        <v>SPELL/ALCHEMY</v>
      </c>
      <c r="E812" s="222" t="str">
        <f t="array" ref="E812:E813">{"SPELLLIST";(IF(D813="Spells",((INDEX(ALLCLASSDATA,MATCH("CasterType",CLASSFEATUREHEADERS,0),MATCH(($A813),CLASSNAMEHEADERS,0))) &amp; ":" &amp; (INDEX(ALLCLASSDATA,MATCH("SpellList",CLASSFEATUREHEADERS,0),MATCH(($A813),CLASSNAMEHEADERS,0)))),""))}</f>
        <v>SPELLLIST</v>
      </c>
      <c r="F812" s="223" t="str">
        <f t="array" ref="F812:F813">{"LEARNEDCOST";(IF(D813="","","LearnCost:"))}</f>
        <v>LEARNEDCOST</v>
      </c>
      <c r="G812" s="223" t="str">
        <f t="array" ref="G812:G813">{"LEARNED CANTRIPS";(INDEX(ALLCLASSDATA,MATCH("CantripsLearned-L00",CLASSFEATUREHEADERS,0),MATCH(($A813 &amp; "Points"),CLASSNAMEHEADERS,0)))}</f>
        <v>LEARNED CANTRIPS</v>
      </c>
      <c r="H812" s="223" t="str">
        <f t="array" ref="H812:H813">{"LEARNED L01";(INDEX(ALLCLASSDATA,MATCH("Learned-L01",CLASSFEATUREHEADERS,0),MATCH(($A813 &amp; "Points"),CLASSNAMEHEADERS,0)))}</f>
        <v>LEARNED L01</v>
      </c>
      <c r="I812" s="223" t="str">
        <f t="array" ref="I812:I813">{"LEARNED L02";(INDEX(ALLCLASSDATA,MATCH("Learned-L02",CLASSFEATUREHEADERS,0),MATCH(($A813 &amp; "Points"),CLASSNAMEHEADERS,0)))}</f>
        <v>LEARNED L02</v>
      </c>
      <c r="J812" s="223" t="str">
        <f t="array" ref="J812:J813">{"LEARNED L03";(INDEX(ALLCLASSDATA,MATCH("Learned-L03",CLASSFEATUREHEADERS,0),MATCH(($A813 &amp; "Points"),CLASSNAMEHEADERS,0)))}</f>
        <v>LEARNED L03</v>
      </c>
      <c r="K812" s="223" t="str">
        <f t="array" ref="K812:K813">{"LEARNED L04";(INDEX(ALLCLASSDATA,MATCH("Learned-L04",CLASSFEATUREHEADERS,0),MATCH(($A813 &amp; "Points"),CLASSNAMEHEADERS,0)))}</f>
        <v>LEARNED L04</v>
      </c>
      <c r="L812" s="223" t="str">
        <f t="array" ref="L812:L813">{"LEARNED L05";(INDEX(ALLCLASSDATA,MATCH("Learned-L05",CLASSFEATUREHEADERS,0),MATCH(($A813 &amp; "Points"),CLASSNAMEHEADERS,0)))}</f>
        <v>LEARNED L05</v>
      </c>
      <c r="M812" s="223" t="str">
        <f t="array" ref="M812:M813">{"LEARNED L06";(INDEX(ALLCLASSDATA,MATCH("Learned-L06",CLASSFEATUREHEADERS,0),MATCH(($A813 &amp; "Points"),CLASSNAMEHEADERS,0)))}</f>
        <v>LEARNED L06</v>
      </c>
      <c r="N812" s="223" t="str">
        <f t="array" ref="N812:N813">{"LEARNED L07";(INDEX(ALLCLASSDATA,MATCH("Learned-L07",CLASSFEATUREHEADERS,0),MATCH(($A813 &amp; "Points"),CLASSNAMEHEADERS,0)))}</f>
        <v>LEARNED L07</v>
      </c>
      <c r="O812" s="223" t="str">
        <f t="array" ref="O812:O813">{"LEARNED L08";(INDEX(ALLCLASSDATA,MATCH("Learned-L08",CLASSFEATUREHEADERS,0),MATCH(($A813 &amp; "Points"),CLASSNAMEHEADERS,0)))}</f>
        <v>LEARNED L08</v>
      </c>
      <c r="P812" s="223" t="str">
        <f t="array" ref="P812:P813">{"LEARNED L09";(INDEX(ALLCLASSDATA,MATCH("Learned-L09",CLASSFEATUREHEADERS,0),MATCH(($A813 &amp; "Points"),CLASSNAMEHEADERS,0)))}</f>
        <v>LEARNED L09</v>
      </c>
      <c r="Q812" s="223" t="str">
        <f t="array" ref="Q812:Q813">{"LEARNED L10";(INDEX(ALLCLASSDATA,MATCH("Learned-L10",CLASSFEATUREHEADERS,0),MATCH(($A813 &amp; "Points"),CLASSNAMEHEADERS,0)))}</f>
        <v>LEARNED L10</v>
      </c>
      <c r="R812" s="223" t="str">
        <f t="array" ref="R812:R813">{"LEARNED L11";(INDEX(ALLCLASSDATA,MATCH("Learned-L11",CLASSFEATUREHEADERS,0),MATCH(($A813 &amp; "Points"),CLASSNAMEHEADERS,0)))}</f>
        <v>LEARNED L11</v>
      </c>
      <c r="S812" s="223" t="str">
        <f t="array" ref="S812:S813">{"LEARNED L12";(INDEX(ALLCLASSDATA,MATCH("Learned-L12",CLASSFEATUREHEADERS,0),MATCH(($A813 &amp; "Points"),CLASSNAMEHEADERS,0)))}</f>
        <v>LEARNED L12</v>
      </c>
      <c r="T812" s="223" t="str">
        <f t="array" ref="T812:T813">{"LEARNED L13";(INDEX(ALLCLASSDATA,MATCH("Learned-L13",CLASSFEATUREHEADERS,0),MATCH(($A813 &amp; "Points"),CLASSNAMEHEADERS,0)))}</f>
        <v>LEARNED L13</v>
      </c>
      <c r="U812" s="223" t="str">
        <f t="array" ref="U812:U813">{"LEARNED L14";(INDEX(ALLCLASSDATA,MATCH("Learned-L14",CLASSFEATUREHEADERS,0),MATCH(($A813 &amp; "Points"),CLASSNAMEHEADERS,0)))}</f>
        <v>LEARNED L14</v>
      </c>
      <c r="V812" s="223" t="str">
        <f t="array" ref="V812:V813">{"LEARNED L15";(INDEX(ALLCLASSDATA,MATCH("Learned-L15",CLASSFEATUREHEADERS,0),MATCH(($A813 &amp; "Points"),CLASSNAMEHEADERS,0)))}</f>
        <v>LEARNED L15</v>
      </c>
      <c r="W812" s="223" t="str">
        <f t="array" ref="W812:W813">{"LEARNED L16";(INDEX(ALLCLASSDATA,MATCH("Learned-L16",CLASSFEATUREHEADERS,0),MATCH(($A813 &amp; "Points"),CLASSNAMEHEADERS,0)))}</f>
        <v>LEARNED L16</v>
      </c>
      <c r="X812" s="223" t="str">
        <f t="array" ref="X812:X813">{"LEARNED L17";(INDEX(ALLCLASSDATA,MATCH("Learned-L17",CLASSFEATUREHEADERS,0),MATCH(($A813 &amp; "Points"),CLASSNAMEHEADERS,0)))}</f>
        <v>LEARNED L17</v>
      </c>
      <c r="Y812" s="223" t="str">
        <f t="array" ref="Y812:Y813">{"LEARNED L18";(INDEX(ALLCLASSDATA,MATCH("Learned-L18",CLASSFEATUREHEADERS,0),MATCH(($A813 &amp; "Points"),CLASSNAMEHEADERS,0)))}</f>
        <v>LEARNED L18</v>
      </c>
      <c r="Z812" s="223" t="str">
        <f t="array" ref="Z812:Z813">{"LEARNED L19";(INDEX(ALLCLASSDATA,MATCH("Learned-L19",CLASSFEATUREHEADERS,0),MATCH(($A813 &amp; "Points"),CLASSNAMEHEADERS,0)))}</f>
        <v>LEARNED L19</v>
      </c>
      <c r="AA812" s="223" t="str">
        <f t="array" ref="AA812:AA813">{"LEARNED L20";(INDEX(ALLCLASSDATA,MATCH("Learned-L20",CLASSFEATUREHEADERS,0),MATCH(($A813 &amp; "Points"),CLASSNAMEHEADERS,0)))}</f>
        <v>LEARNED L20</v>
      </c>
      <c r="AB812" s="76"/>
      <c r="AC812" s="76" t="str">
        <f t="array" ref="AC812:AC813">{"LEARNED TOTAL";(sum(G813:AA813))}</f>
        <v>LEARNED TOTAL</v>
      </c>
    </row>
    <row r="813">
      <c r="A813" s="48" t="s">
        <v>176</v>
      </c>
      <c r="B813" s="48"/>
      <c r="C813" s="48" t="s">
        <v>415</v>
      </c>
      <c r="D813" s="48" t="s">
        <v>603</v>
      </c>
      <c r="E813" s="48" t="s">
        <v>603</v>
      </c>
      <c r="F813" s="278" t="s">
        <v>603</v>
      </c>
      <c r="G813" s="47" t="s">
        <v>603</v>
      </c>
      <c r="H813" s="5" t="s">
        <v>603</v>
      </c>
      <c r="I813" s="5" t="s">
        <v>603</v>
      </c>
      <c r="J813" s="5" t="s">
        <v>603</v>
      </c>
      <c r="K813" s="5" t="s">
        <v>603</v>
      </c>
      <c r="L813" s="5" t="s">
        <v>603</v>
      </c>
      <c r="M813" s="5" t="s">
        <v>603</v>
      </c>
      <c r="N813" s="48" t="s">
        <v>603</v>
      </c>
      <c r="O813" s="5" t="s">
        <v>603</v>
      </c>
      <c r="P813" s="5" t="s">
        <v>603</v>
      </c>
      <c r="Q813" s="5" t="s">
        <v>603</v>
      </c>
      <c r="R813" s="5" t="s">
        <v>603</v>
      </c>
      <c r="S813" s="5" t="s">
        <v>603</v>
      </c>
      <c r="T813" s="5" t="s">
        <v>603</v>
      </c>
      <c r="U813" s="5" t="s">
        <v>603</v>
      </c>
      <c r="V813" s="5" t="s">
        <v>603</v>
      </c>
      <c r="W813" s="5" t="s">
        <v>603</v>
      </c>
      <c r="X813" s="5" t="s">
        <v>603</v>
      </c>
      <c r="Y813" s="5" t="s">
        <v>603</v>
      </c>
      <c r="Z813" s="5" t="s">
        <v>603</v>
      </c>
      <c r="AA813" s="5" t="s">
        <v>603</v>
      </c>
      <c r="AB813" s="5"/>
      <c r="AC813" s="47">
        <v>0.0</v>
      </c>
    </row>
    <row r="814" hidden="1">
      <c r="A814" s="222" t="str">
        <f t="array" ref="A814:A815">{"FormulaRow42";(INDEX(CLASSLIST,A731,1))}</f>
        <v>FormulaRow42</v>
      </c>
      <c r="B814" s="77" t="s">
        <v>236</v>
      </c>
      <c r="C814" s="222" t="str">
        <f t="array" ref="C814:C815">{"CLASSTYPE";((INDEX(ALLCLASSDATA,MATCH("ClassType",CLASSFEATUREHEADERS,0),MATCH($A815,CLASSNAMEHEADERS,0))))}</f>
        <v>CLASSTYPE</v>
      </c>
      <c r="D814" s="222" t="str">
        <f t="array" ref="D814:D815">{"SPELL/ALCHEMY";((IF(INDEX(ALLCLASSDATA,MATCH("CasterType",CLASSFEATUREHEADERS,0),MATCH(($A815),CLASSNAMEHEADERS,0))="","",(IF(INDEX(ALLCLASSDATA,MATCH("CasterType",CLASSFEATUREHEADERS,0),MATCH(($A815),CLASSNAMEHEADERS,0))="Alchemy","","Spells")))))}</f>
        <v>SPELL/ALCHEMY</v>
      </c>
      <c r="E814" s="222" t="str">
        <f t="array" ref="E814:E815">{"SPELLLIST";(IF(D815="Spells",((INDEX(ALLCLASSDATA,MATCH("CasterType",CLASSFEATUREHEADERS,0),MATCH(($A815),CLASSNAMEHEADERS,0))) &amp; ":" &amp; (INDEX(ALLCLASSDATA,MATCH("SpellList",CLASSFEATUREHEADERS,0),MATCH(($A815),CLASSNAMEHEADERS,0)))),""))}</f>
        <v>SPELLLIST</v>
      </c>
      <c r="F814" s="223" t="str">
        <f t="array" ref="F814:F815">{"SLOT/LVL";(IF(D809="Spells","Slot/LVL:",""))}</f>
        <v>SLOT/LVL</v>
      </c>
      <c r="G814" s="223" t="str">
        <f t="array" ref="G814:G815">{"CANTRIPSLOTS";(INDEX(ALLCLASSDATA,MATCH("CantripSlots-L00",CLASSFEATUREHEADERS,0),MATCH($A815,CLASSNAMEHEADERS,0)))}</f>
        <v>CANTRIPSLOTS</v>
      </c>
      <c r="H814" s="223" t="str">
        <f t="array" ref="H814:H815">{"SPL01-L01";(INDEX(ALLCLASSDATA,MATCH("SPL01-L01",CLASSFEATUREHEADERS,0),MATCH($A815,CLASSNAMEHEADERS,0)))}</f>
        <v>SPL01-L01</v>
      </c>
      <c r="I814" s="223" t="str">
        <f t="array" ref="I814:I815">{"SPL01-L02";(INDEX(ALLCLASSDATA,MATCH("SPL01-L02",CLASSFEATUREHEADERS,0),MATCH($A815,CLASSNAMEHEADERS,0)))}</f>
        <v>SPL01-L02</v>
      </c>
      <c r="J814" s="223" t="str">
        <f t="array" ref="J814:J815">{"SPL02-L03";(INDEX(ALLCLASSDATA,MATCH("SPL02-L03",CLASSFEATUREHEADERS,0),MATCH($A815,CLASSNAMEHEADERS,0)))}</f>
        <v>SPL02-L03</v>
      </c>
      <c r="K814" s="223" t="str">
        <f t="array" ref="K814:K815">{"SPL02-L04";(INDEX(ALLCLASSDATA,MATCH("SPL02-L04",CLASSFEATUREHEADERS,0),MATCH($A815,CLASSNAMEHEADERS,0)))}</f>
        <v>SPL02-L04</v>
      </c>
      <c r="L814" s="223" t="str">
        <f t="array" ref="L814:L815">{"SPL03-L05";(INDEX(ALLCLASSDATA,MATCH("SPL03-L05",CLASSFEATUREHEADERS,0),MATCH($A815,CLASSNAMEHEADERS,0)))}</f>
        <v>SPL03-L05</v>
      </c>
      <c r="M814" s="223" t="str">
        <f t="array" ref="M814:M815">{"SPL03-L06";(INDEX(ALLCLASSDATA,MATCH("SPL03-L06",CLASSFEATUREHEADERS,0),MATCH($A815,CLASSNAMEHEADERS,0)))}</f>
        <v>SPL03-L06</v>
      </c>
      <c r="N814" s="223" t="str">
        <f t="array" ref="N814:N815">{"SPL04-L07";(INDEX(ALLCLASSDATA,MATCH("SPL04-L07",CLASSFEATUREHEADERS,0),MATCH($A815,CLASSNAMEHEADERS,0)))}</f>
        <v>SPL04-L07</v>
      </c>
      <c r="O814" s="223" t="str">
        <f t="array" ref="O814:O815">{"SPL04-L08";(INDEX(ALLCLASSDATA,MATCH("SPL04-L08",CLASSFEATUREHEADERS,0),MATCH($A815,CLASSNAMEHEADERS,0)))}</f>
        <v>SPL04-L08</v>
      </c>
      <c r="P814" s="223" t="str">
        <f t="array" ref="P814:P815">{"SPL05-L09";(INDEX(ALLCLASSDATA,MATCH("SPL05-L09",CLASSFEATUREHEADERS,0),MATCH($A815,CLASSNAMEHEADERS,0)))}</f>
        <v>SPL05-L09</v>
      </c>
      <c r="Q814" s="223" t="str">
        <f t="array" ref="Q814:Q815">{"SPL05-L10";(INDEX(ALLCLASSDATA,MATCH("SPL05-L10",CLASSFEATUREHEADERS,0),MATCH($A815,CLASSNAMEHEADERS,0)))}</f>
        <v>SPL05-L10</v>
      </c>
      <c r="R814" s="223" t="str">
        <f t="array" ref="R814:R815">{"SPL06-L11";(INDEX(ALLCLASSDATA,MATCH("SPL06-L11",CLASSFEATUREHEADERS,0),MATCH($A815,CLASSNAMEHEADERS,0)))}</f>
        <v>SPL06-L11</v>
      </c>
      <c r="S814" s="223" t="str">
        <f t="array" ref="S814:S815">{"SPL06-L12";(INDEX(ALLCLASSDATA,MATCH("SPL06-L12",CLASSFEATUREHEADERS,0),MATCH($A815,CLASSNAMEHEADERS,0)))}</f>
        <v>SPL06-L12</v>
      </c>
      <c r="T814" s="223" t="str">
        <f t="array" ref="T814:T815">{"SPL07-L13";(INDEX(ALLCLASSDATA,MATCH("SPL07-L13",CLASSFEATUREHEADERS,0),MATCH($A815,CLASSNAMEHEADERS,0)))}</f>
        <v>SPL07-L13</v>
      </c>
      <c r="U814" s="223" t="str">
        <f t="array" ref="U814:U815">{"SPL07-L14";(INDEX(ALLCLASSDATA,MATCH("SPL07-L14",CLASSFEATUREHEADERS,0),MATCH($A815,CLASSNAMEHEADERS,0)))}</f>
        <v>SPL07-L14</v>
      </c>
      <c r="V814" s="223" t="str">
        <f t="array" ref="V814:V815">{"SPL08-L15";(INDEX(ALLCLASSDATA,MATCH("SPL08-L15",CLASSFEATUREHEADERS,0),MATCH($A815,CLASSNAMEHEADERS,0)))}</f>
        <v>SPL08-L15</v>
      </c>
      <c r="W814" s="223" t="str">
        <f t="array" ref="W814:W815">{"SPL08-L16";(INDEX(ALLCLASSDATA,MATCH("SPL08-L16",CLASSFEATUREHEADERS,0),MATCH($A815,CLASSNAMEHEADERS,0)))}</f>
        <v>SPL08-L16</v>
      </c>
      <c r="X814" s="223" t="str">
        <f t="array" ref="X814:X815">{"SPL09-L17";(INDEX(ALLCLASSDATA,MATCH("SPL09-L17",CLASSFEATUREHEADERS,0),MATCH($A815,CLASSNAMEHEADERS,0)))}</f>
        <v>SPL09-L17</v>
      </c>
      <c r="Y814" s="223" t="str">
        <f t="array" ref="Y814:Y815">{"SPL09-L18";(INDEX(ALLCLASSDATA,MATCH("SPL09-L18",CLASSFEATUREHEADERS,0),MATCH($A815,CLASSNAMEHEADERS,0)))}</f>
        <v>SPL09-L18</v>
      </c>
      <c r="Z814" s="223" t="str">
        <f t="array" ref="Z814:Z815">{"SPL10-L19";(INDEX(ALLCLASSDATA,MATCH("SPL10-L19",CLASSFEATUREHEADERS,0),MATCH($A815,CLASSNAMEHEADERS,0)))}</f>
        <v>SPL10-L19</v>
      </c>
      <c r="AA814" s="223" t="str">
        <f t="array" ref="AA814:AA815">{"SPL10-L20";(INDEX(ALLCLASSDATA,MATCH("SPL10-L20",CLASSFEATUREHEADERS,0),MATCH($A815,CLASSNAMEHEADERS,0)))}</f>
        <v>SPL10-L20</v>
      </c>
      <c r="AB814" s="76"/>
      <c r="AC814" s="76"/>
    </row>
    <row r="815">
      <c r="A815" s="48" t="s">
        <v>176</v>
      </c>
      <c r="B815" s="48"/>
      <c r="C815" s="48" t="s">
        <v>415</v>
      </c>
      <c r="D815" s="48" t="s">
        <v>603</v>
      </c>
      <c r="E815" s="48" t="s">
        <v>603</v>
      </c>
      <c r="F815" s="278" t="s">
        <v>603</v>
      </c>
      <c r="G815" s="280"/>
      <c r="H815" s="50"/>
      <c r="I815" s="50"/>
      <c r="J815" s="50"/>
      <c r="K815" s="50"/>
      <c r="L815" s="50"/>
      <c r="M815" s="50"/>
      <c r="N815" s="50"/>
      <c r="O815" s="50"/>
      <c r="P815" s="50"/>
      <c r="Q815" s="50"/>
      <c r="R815" s="50"/>
      <c r="S815" s="50"/>
      <c r="T815" s="50"/>
      <c r="U815" s="50"/>
      <c r="V815" s="50"/>
      <c r="W815" s="50"/>
      <c r="X815" s="50"/>
      <c r="Y815" s="50"/>
      <c r="Z815" s="50"/>
      <c r="AA815" s="50"/>
      <c r="AB815" s="278"/>
      <c r="AC815" s="47"/>
    </row>
    <row r="816" hidden="1">
      <c r="A816" s="222" t="str">
        <f t="array" ref="A816:A817">{"FormulaRow43";(INDEX(CLASSLIST,A731,1))}</f>
        <v>FormulaRow43</v>
      </c>
      <c r="B816" s="77" t="s">
        <v>236</v>
      </c>
      <c r="C816" s="222" t="str">
        <f t="array" ref="C816:C817">{"CLASSTYPE";((INDEX(ALLCLASSDATA,MATCH("ClassType",CLASSFEATUREHEADERS,0),MATCH($A817,CLASSNAMEHEADERS,0))))}</f>
        <v>CLASSTYPE</v>
      </c>
      <c r="D816" s="222" t="str">
        <f t="array" ref="D816:D817">{"SPELL/ALCHEMY";((IF(INDEX(ALLCLASSDATA,MATCH("CasterType",CLASSFEATUREHEADERS,0),MATCH(($A817),CLASSNAMEHEADERS,0))="","",(IF(INDEX(ALLCLASSDATA,MATCH("CasterType",CLASSFEATUREHEADERS,0),MATCH(($A817),CLASSNAMEHEADERS,0))="Alchemy","Alchemy","Spells")))))}</f>
        <v>SPELL/ALCHEMY</v>
      </c>
      <c r="E816" s="222" t="str">
        <f t="array" ref="E816:E817">{"SPELLLIST";(IF(D817="Spells",((INDEX(ALLCLASSDATA,MATCH("CasterType",CLASSFEATUREHEADERS,0),MATCH(($A817),CLASSNAMEHEADERS,0))) &amp; ":" &amp; (INDEX(ALLCLASSDATA,MATCH("SpellList",CLASSFEATUREHEADERS,0),MATCH(($A817),CLASSNAMEHEADERS,0)))),""))}</f>
        <v>SPELLLIST</v>
      </c>
      <c r="F816" s="223" t="str">
        <f t="array" ref="F816:F817">{"LEARNED/LVL";(IF(D817="","","Learn/LVL:"))}</f>
        <v>LEARNED/LVL</v>
      </c>
      <c r="G816" s="223" t="str">
        <f t="array" ref="G816:G817">{"LEARNEDCANTRIPS";(INDEX(ALLCLASSDATA,MATCH("CantripsLearned-L00",CLASSFEATUREHEADERS,0),MATCH($A817,CLASSNAMEHEADERS,0)))}</f>
        <v>LEARNEDCANTRIPS</v>
      </c>
      <c r="H816" s="223" t="str">
        <f t="array" ref="H816:H817">{"LEARNED L01";(INDEX(ALLCLASSDATA,MATCH("Learned-L01",CLASSFEATUREHEADERS,0),MATCH($A817,CLASSNAMEHEADERS,0)))}</f>
        <v>LEARNED L01</v>
      </c>
      <c r="I816" s="223" t="str">
        <f t="array" ref="I816:I817">{"LEARNED L02";(INDEX(ALLCLASSDATA,MATCH("Learned-L02",CLASSFEATUREHEADERS,0),MATCH($A817,CLASSNAMEHEADERS,0)))}</f>
        <v>LEARNED L02</v>
      </c>
      <c r="J816" s="223" t="str">
        <f t="array" ref="J816:J817">{"LEARNED L03";(INDEX(ALLCLASSDATA,MATCH("Learned-L03",CLASSFEATUREHEADERS,0),MATCH($A817,CLASSNAMEHEADERS,0)))}</f>
        <v>LEARNED L03</v>
      </c>
      <c r="K816" s="223" t="str">
        <f t="array" ref="K816:K817">{"LEARNED L04";(INDEX(ALLCLASSDATA,MATCH("Learned-L04",CLASSFEATUREHEADERS,0),MATCH($A817,CLASSNAMEHEADERS,0)))}</f>
        <v>LEARNED L04</v>
      </c>
      <c r="L816" s="223" t="str">
        <f t="array" ref="L816:L817">{"LEARNED L05";(INDEX(ALLCLASSDATA,MATCH("Learned-L05",CLASSFEATUREHEADERS,0),MATCH($A817,CLASSNAMEHEADERS,0)))}</f>
        <v>LEARNED L05</v>
      </c>
      <c r="M816" s="223" t="str">
        <f t="array" ref="M816:M817">{"LEARNED L06";(INDEX(ALLCLASSDATA,MATCH("Learned-L06",CLASSFEATUREHEADERS,0),MATCH($A817,CLASSNAMEHEADERS,0)))}</f>
        <v>LEARNED L06</v>
      </c>
      <c r="N816" s="223" t="str">
        <f t="array" ref="N816:N817">{"LEARNED L07";(INDEX(ALLCLASSDATA,MATCH("Learned-L07",CLASSFEATUREHEADERS,0),MATCH($A817,CLASSNAMEHEADERS,0)))}</f>
        <v>LEARNED L07</v>
      </c>
      <c r="O816" s="223" t="str">
        <f t="array" ref="O816:O817">{"LEARNED L08";(INDEX(ALLCLASSDATA,MATCH("Learned-L08",CLASSFEATUREHEADERS,0),MATCH($A817,CLASSNAMEHEADERS,0)))}</f>
        <v>LEARNED L08</v>
      </c>
      <c r="P816" s="223" t="str">
        <f t="array" ref="P816:P817">{"LEARNED L09";(INDEX(ALLCLASSDATA,MATCH("Learned-L09",CLASSFEATUREHEADERS,0),MATCH($A817,CLASSNAMEHEADERS,0)))}</f>
        <v>LEARNED L09</v>
      </c>
      <c r="Q816" s="223" t="str">
        <f t="array" ref="Q816:Q817">{"LEARNED L10";(INDEX(ALLCLASSDATA,MATCH("Learned-L10",CLASSFEATUREHEADERS,0),MATCH($A817,CLASSNAMEHEADERS,0)))}</f>
        <v>LEARNED L10</v>
      </c>
      <c r="R816" s="223" t="str">
        <f t="array" ref="R816:R817">{"LEARNED L11";(INDEX(ALLCLASSDATA,MATCH("Learned-L11",CLASSFEATUREHEADERS,0),MATCH($A817,CLASSNAMEHEADERS,0)))}</f>
        <v>LEARNED L11</v>
      </c>
      <c r="S816" s="223" t="str">
        <f t="array" ref="S816:S817">{"LEARNED L12";(INDEX(ALLCLASSDATA,MATCH("Learned-L12",CLASSFEATUREHEADERS,0),MATCH($A817,CLASSNAMEHEADERS,0)))}</f>
        <v>LEARNED L12</v>
      </c>
      <c r="T816" s="223" t="str">
        <f t="array" ref="T816:T817">{"LEARNED L13";(INDEX(ALLCLASSDATA,MATCH("Learned-L13",CLASSFEATUREHEADERS,0),MATCH($A817,CLASSNAMEHEADERS,0)))}</f>
        <v>LEARNED L13</v>
      </c>
      <c r="U816" s="223" t="str">
        <f t="array" ref="U816:U817">{"LEARNED L14";(INDEX(ALLCLASSDATA,MATCH("Learned-L14",CLASSFEATUREHEADERS,0),MATCH($A817,CLASSNAMEHEADERS,0)))}</f>
        <v>LEARNED L14</v>
      </c>
      <c r="V816" s="223" t="str">
        <f t="array" ref="V816:V817">{"LEARNED L15";(INDEX(ALLCLASSDATA,MATCH("Learned-L15",CLASSFEATUREHEADERS,0),MATCH($A817,CLASSNAMEHEADERS,0)))}</f>
        <v>LEARNED L15</v>
      </c>
      <c r="W816" s="223" t="str">
        <f t="array" ref="W816:W817">{"LEARNED L16";(INDEX(ALLCLASSDATA,MATCH("Learned-L16",CLASSFEATUREHEADERS,0),MATCH($A817,CLASSNAMEHEADERS,0)))}</f>
        <v>LEARNED L16</v>
      </c>
      <c r="X816" s="223" t="str">
        <f t="array" ref="X816:X817">{"LEARNED L17";(INDEX(ALLCLASSDATA,MATCH("Learned-L17",CLASSFEATUREHEADERS,0),MATCH($A817,CLASSNAMEHEADERS,0)))}</f>
        <v>LEARNED L17</v>
      </c>
      <c r="Y816" s="223" t="str">
        <f t="array" ref="Y816:Y817">{"LEARNED L18";(INDEX(ALLCLASSDATA,MATCH("Learned-L18",CLASSFEATUREHEADERS,0),MATCH($A817,CLASSNAMEHEADERS,0)))}</f>
        <v>LEARNED L18</v>
      </c>
      <c r="Z816" s="223" t="str">
        <f t="array" ref="Z816:Z817">{"LEARNED L19";(INDEX(ALLCLASSDATA,MATCH("Learned-L19",CLASSFEATUREHEADERS,0),MATCH($A817,CLASSNAMEHEADERS,0)))}</f>
        <v>LEARNED L19</v>
      </c>
      <c r="AA816" s="223" t="str">
        <f t="array" ref="AA816:AA817">{"LEARNED L20";(INDEX(ALLCLASSDATA,MATCH("Learned-L20",CLASSFEATUREHEADERS,0),MATCH($A817,CLASSNAMEHEADERS,0)))}</f>
        <v>LEARNED L20</v>
      </c>
      <c r="AB816" s="76"/>
      <c r="AC816" s="76"/>
    </row>
    <row r="817">
      <c r="A817" s="48" t="s">
        <v>176</v>
      </c>
      <c r="B817" s="48"/>
      <c r="C817" s="48" t="s">
        <v>415</v>
      </c>
      <c r="D817" s="48" t="s">
        <v>603</v>
      </c>
      <c r="E817" s="48" t="s">
        <v>603</v>
      </c>
      <c r="F817" s="278" t="s">
        <v>603</v>
      </c>
      <c r="G817" s="280"/>
      <c r="H817" s="278"/>
      <c r="I817" s="278"/>
      <c r="J817" s="278"/>
      <c r="K817" s="278"/>
      <c r="L817" s="278"/>
      <c r="M817" s="278"/>
      <c r="N817" s="278"/>
      <c r="O817" s="50"/>
      <c r="P817" s="278"/>
      <c r="Q817" s="278"/>
      <c r="R817" s="278"/>
      <c r="S817" s="278"/>
      <c r="T817" s="278"/>
      <c r="U817" s="278"/>
      <c r="V817" s="278"/>
      <c r="W817" s="278"/>
      <c r="X817" s="278"/>
      <c r="Y817" s="278"/>
      <c r="Z817" s="278"/>
      <c r="AA817" s="278"/>
      <c r="AB817" s="278"/>
      <c r="AC817" s="47"/>
    </row>
    <row r="818" hidden="1">
      <c r="A818" s="222" t="str">
        <f t="array" ref="A818:A819">{"FormulaRow44";(INDEX(CLASSLIST,A731,1))}</f>
        <v>FormulaRow44</v>
      </c>
      <c r="B818" s="77" t="s">
        <v>236</v>
      </c>
      <c r="C818" s="222" t="str">
        <f t="array" ref="C818:C819">{"CLASSTYPE";((INDEX(ALLCLASSDATA,MATCH("ClassType",CLASSFEATUREHEADERS,0),MATCH($A819,CLASSNAMEHEADERS,0))))}</f>
        <v>CLASSTYPE</v>
      </c>
      <c r="D818" s="222" t="str">
        <f t="array" ref="D818:D819">{"SPELL/ALCHEMY";((IF(INDEX(ALLCLASSDATA,MATCH("CasterType",CLASSFEATUREHEADERS,0),MATCH(($A819),CLASSNAMEHEADERS,0))="","",(IF(INDEX(ALLCLASSDATA,MATCH("CasterType",CLASSFEATUREHEADERS,0),MATCH(($A819),CLASSNAMEHEADERS,0))="Alchemy","","Spells")))))}</f>
        <v>SPELL/ALCHEMY</v>
      </c>
      <c r="E818" s="222" t="str">
        <f t="array" ref="E818:E819">{"SPELLLIST";(IF(D819="Spells",((INDEX(ALLCLASSDATA,MATCH("CasterType",CLASSFEATUREHEADERS,0),MATCH(($A819),CLASSNAMEHEADERS,0))) &amp; ":" &amp; (INDEX(ALLCLASSDATA,MATCH("SpellList",CLASSFEATUREHEADERS,0),MATCH(($A819),CLASSNAMEHEADERS,0)))),""))}</f>
        <v>SPELLLIST</v>
      </c>
      <c r="F818" s="223" t="str">
        <f t="array" ref="F818:F819">{"TOTALSLOTS";(IF(D819="","","TotalSlots:"))}</f>
        <v>TOTALSLOTS</v>
      </c>
      <c r="G818" s="223" t="str">
        <f t="array" ref="G818:G819">{"TOTALCANTRIPSLOTS";(G815)}</f>
        <v>TOTALCANTRIPSLOTS</v>
      </c>
      <c r="H818" s="223" t="str">
        <f t="array" ref="H818:H819">{"TOTALSLOTS L01";(H815)}</f>
        <v>TOTALSLOTS L01</v>
      </c>
      <c r="I818" s="223" t="str">
        <f t="array" ref="I818:I819">{"TOTALSLOTS L02";(H819+I815)}</f>
        <v>TOTALSLOTS L02</v>
      </c>
      <c r="J818" s="223" t="str">
        <f t="array" ref="J818:J819">{"TOTALSLOTS L03";(I819+J815)}</f>
        <v>TOTALSLOTS L03</v>
      </c>
      <c r="K818" s="223" t="str">
        <f t="array" ref="K818:K819">{"TOTALSLOTS L04";(J819+K815)}</f>
        <v>TOTALSLOTS L04</v>
      </c>
      <c r="L818" s="223" t="str">
        <f t="array" ref="L818:L819">{"TOTALSLOTS L05";(K819+L815)}</f>
        <v>TOTALSLOTS L05</v>
      </c>
      <c r="M818" s="223" t="str">
        <f t="array" ref="M818:M819">{"TOTALSLOTS L06";(L819+M815)}</f>
        <v>TOTALSLOTS L06</v>
      </c>
      <c r="N818" s="223" t="str">
        <f t="array" ref="N818:N819">{"TOTALSLOTS L07";(M819+N815)}</f>
        <v>TOTALSLOTS L07</v>
      </c>
      <c r="O818" s="223" t="str">
        <f t="array" ref="O818:O819">{"TOTALSLOTS L08";(N819+O815)}</f>
        <v>TOTALSLOTS L08</v>
      </c>
      <c r="P818" s="223" t="str">
        <f t="array" ref="P818:P819">{"TOTALSLOTS L09";(O819+P815)}</f>
        <v>TOTALSLOTS L09</v>
      </c>
      <c r="Q818" s="223" t="str">
        <f t="array" ref="Q818:Q819">{"TOTALSLOTS L10";(P819+Q815)}</f>
        <v>TOTALSLOTS L10</v>
      </c>
      <c r="R818" s="223" t="str">
        <f t="array" ref="R818:R819">{"TOTALSLOTS L11";(Q819+R815)}</f>
        <v>TOTALSLOTS L11</v>
      </c>
      <c r="S818" s="223" t="str">
        <f t="array" ref="S818:S819">{"TOTALSLOTS L12";(R819+S815)}</f>
        <v>TOTALSLOTS L12</v>
      </c>
      <c r="T818" s="223" t="str">
        <f t="array" ref="T818:T819">{"TOTALSLOTS L13";(S819+T815)}</f>
        <v>TOTALSLOTS L13</v>
      </c>
      <c r="U818" s="223" t="str">
        <f t="array" ref="U818:U819">{"TOTALSLOTS L14";(T819+U815)}</f>
        <v>TOTALSLOTS L14</v>
      </c>
      <c r="V818" s="223" t="str">
        <f t="array" ref="V818:V819">{"TOTALSLOTS L15";(U819+V815)}</f>
        <v>TOTALSLOTS L15</v>
      </c>
      <c r="W818" s="223" t="str">
        <f t="array" ref="W818:W819">{"TOTALSLOTS L16";(V819+W815)}</f>
        <v>TOTALSLOTS L16</v>
      </c>
      <c r="X818" s="223" t="str">
        <f t="array" ref="X818:X819">{"TOTALSLOTS L17";(W819+X815)}</f>
        <v>TOTALSLOTS L17</v>
      </c>
      <c r="Y818" s="223" t="str">
        <f t="array" ref="Y818:Y819">{"TOTALSLOTS L18";(X819+Y815)}</f>
        <v>TOTALSLOTS L18</v>
      </c>
      <c r="Z818" s="223" t="str">
        <f t="array" ref="Z818:Z819">{"TOTALSLOTS L19";(Y819+Z815)}</f>
        <v>TOTALSLOTS L19</v>
      </c>
      <c r="AA818" s="223" t="str">
        <f t="array" ref="AA818:AA819">{"TOTALSLOTS L20";(Z819+AA815)}</f>
        <v>TOTALSLOTS L20</v>
      </c>
      <c r="AB818" s="76"/>
      <c r="AC818" s="76"/>
    </row>
    <row r="819">
      <c r="A819" s="48" t="s">
        <v>176</v>
      </c>
      <c r="B819" s="48"/>
      <c r="C819" s="48" t="s">
        <v>415</v>
      </c>
      <c r="D819" s="48" t="s">
        <v>603</v>
      </c>
      <c r="E819" s="48" t="s">
        <v>603</v>
      </c>
      <c r="F819" s="278" t="s">
        <v>603</v>
      </c>
      <c r="G819" s="280"/>
      <c r="H819" s="278"/>
      <c r="I819" s="278">
        <v>0.0</v>
      </c>
      <c r="J819" s="278">
        <v>0.0</v>
      </c>
      <c r="K819" s="278">
        <v>0.0</v>
      </c>
      <c r="L819" s="278">
        <v>0.0</v>
      </c>
      <c r="M819" s="278">
        <v>0.0</v>
      </c>
      <c r="N819" s="278">
        <v>0.0</v>
      </c>
      <c r="O819" s="278">
        <v>0.0</v>
      </c>
      <c r="P819" s="278">
        <v>0.0</v>
      </c>
      <c r="Q819" s="278">
        <v>0.0</v>
      </c>
      <c r="R819" s="278">
        <v>0.0</v>
      </c>
      <c r="S819" s="278">
        <v>0.0</v>
      </c>
      <c r="T819" s="278">
        <v>0.0</v>
      </c>
      <c r="U819" s="278">
        <v>0.0</v>
      </c>
      <c r="V819" s="278">
        <v>0.0</v>
      </c>
      <c r="W819" s="278">
        <v>0.0</v>
      </c>
      <c r="X819" s="278">
        <v>0.0</v>
      </c>
      <c r="Y819" s="278">
        <v>0.0</v>
      </c>
      <c r="Z819" s="278">
        <v>0.0</v>
      </c>
      <c r="AA819" s="278">
        <v>0.0</v>
      </c>
      <c r="AB819" s="5"/>
      <c r="AC819" s="47"/>
    </row>
    <row r="820" hidden="1">
      <c r="A820" s="222" t="str">
        <f t="array" ref="A820:A821">{"FormulaRow45";(INDEX(CLASSLIST,A731,1))}</f>
        <v>FormulaRow45</v>
      </c>
      <c r="B820" s="77" t="s">
        <v>236</v>
      </c>
      <c r="C820" s="222" t="str">
        <f t="array" ref="C820:C821">{"CLASSTYPE";((INDEX(ALLCLASSDATA,MATCH("ClassType",CLASSFEATUREHEADERS,0),MATCH($A821,CLASSNAMEHEADERS,0))))}</f>
        <v>CLASSTYPE</v>
      </c>
      <c r="D820" s="222" t="str">
        <f t="array" ref="D820:D821">{"SPELL/ALCHEMY";((IF(INDEX(ALLCLASSDATA,MATCH("CasterType",CLASSFEATUREHEADERS,0),MATCH(($A821),CLASSNAMEHEADERS,0))="","",(IF(INDEX(ALLCLASSDATA,MATCH("CasterType",CLASSFEATUREHEADERS,0),MATCH(($A821),CLASSNAMEHEADERS,0))="Alchemy","Alchemy","Spells")))))}</f>
        <v>SPELL/ALCHEMY</v>
      </c>
      <c r="E820" s="222" t="str">
        <f t="array" ref="E820:E821">{"SPELLLIST";(IF(D821="Spells",((INDEX(ALLCLASSDATA,MATCH("CasterType",CLASSFEATUREHEADERS,0),MATCH(($A821),CLASSNAMEHEADERS,0))) &amp; ":" &amp; (INDEX(ALLCLASSDATA,MATCH("SpellList",CLASSFEATUREHEADERS,0),MATCH(($A821),CLASSNAMEHEADERS,0)))),""))}</f>
        <v>SPELLLIST</v>
      </c>
      <c r="F820" s="223" t="str">
        <f t="array" ref="F820:F821">{"TOTALLEARNED";(IF(D821="","","TotalLearned:"))}</f>
        <v>TOTALLEARNED</v>
      </c>
      <c r="G820" s="223" t="str">
        <f t="array" ref="G820:G821">{"TOTALCANTRIPSLEARNED";(G817)}</f>
        <v>TOTALCANTRIPSLEARNED</v>
      </c>
      <c r="H820" s="223" t="str">
        <f t="array" ref="H820:H821">{"TOTALLEARNED L01";(H817)}</f>
        <v>TOTALLEARNED L01</v>
      </c>
      <c r="I820" s="223" t="str">
        <f t="array" ref="I820:I821">{"TOTALLEARNED L02";(H821+I817)}</f>
        <v>TOTALLEARNED L02</v>
      </c>
      <c r="J820" s="223" t="str">
        <f t="array" ref="J820:J821">{"TOTALLEARNED L03";(I821+J817)}</f>
        <v>TOTALLEARNED L03</v>
      </c>
      <c r="K820" s="223" t="str">
        <f t="array" ref="K820:K821">{"TOTALLEARNED L04";(J821+K817)}</f>
        <v>TOTALLEARNED L04</v>
      </c>
      <c r="L820" s="223" t="str">
        <f t="array" ref="L820:L821">{"TOTALLEARNED L05";(K821+L817)}</f>
        <v>TOTALLEARNED L05</v>
      </c>
      <c r="M820" s="223" t="str">
        <f t="array" ref="M820:M821">{"TOTALLEARNED L06";(L821+M817)}</f>
        <v>TOTALLEARNED L06</v>
      </c>
      <c r="N820" s="223" t="str">
        <f t="array" ref="N820:N821">{"TOTALLEARNED L07";(M821+N817)}</f>
        <v>TOTALLEARNED L07</v>
      </c>
      <c r="O820" s="223" t="str">
        <f t="array" ref="O820:O821">{"TOTALLEARNED L08";(N821+O817)}</f>
        <v>TOTALLEARNED L08</v>
      </c>
      <c r="P820" s="223" t="str">
        <f t="array" ref="P820:P821">{"TOTALLEARNED L09";(O821+P817)}</f>
        <v>TOTALLEARNED L09</v>
      </c>
      <c r="Q820" s="223" t="str">
        <f t="array" ref="Q820:Q821">{"TOTALLEARNED L10";(P821+Q817)}</f>
        <v>TOTALLEARNED L10</v>
      </c>
      <c r="R820" s="223" t="str">
        <f t="array" ref="R820:R821">{"TOTALLEARNED L11";(Q821+R817)}</f>
        <v>TOTALLEARNED L11</v>
      </c>
      <c r="S820" s="223" t="str">
        <f t="array" ref="S820:S821">{"TOTALLEARNED L12";(R821+S817)}</f>
        <v>TOTALLEARNED L12</v>
      </c>
      <c r="T820" s="223" t="str">
        <f t="array" ref="T820:T821">{"TOTALLEARNED L13";(S821+T817)}</f>
        <v>TOTALLEARNED L13</v>
      </c>
      <c r="U820" s="223" t="str">
        <f t="array" ref="U820:U821">{"TOTALLEARNED L14";(T821+U817)}</f>
        <v>TOTALLEARNED L14</v>
      </c>
      <c r="V820" s="223" t="str">
        <f t="array" ref="V820:V821">{"TOTALLEARNED L15";(U821+V817)}</f>
        <v>TOTALLEARNED L15</v>
      </c>
      <c r="W820" s="223" t="str">
        <f t="array" ref="W820:W821">{"TOTALLEARNED L16";(V821+W817)}</f>
        <v>TOTALLEARNED L16</v>
      </c>
      <c r="X820" s="223" t="str">
        <f t="array" ref="X820:X821">{"TOTALLEARNED L17";(W821+X817)}</f>
        <v>TOTALLEARNED L17</v>
      </c>
      <c r="Y820" s="223" t="str">
        <f t="array" ref="Y820:Y821">{"TOTALLEARNED L18";(X821+Y817)}</f>
        <v>TOTALLEARNED L18</v>
      </c>
      <c r="Z820" s="223" t="str">
        <f t="array" ref="Z820:Z821">{"TOTALLEARNED L19";(Y821+Z817)}</f>
        <v>TOTALLEARNED L19</v>
      </c>
      <c r="AA820" s="223" t="str">
        <f t="array" ref="AA820:AA821">{"TOTALLEARNED L20";(Z821+AA817)}</f>
        <v>TOTALLEARNED L20</v>
      </c>
      <c r="AB820" s="76"/>
      <c r="AC820" s="76"/>
    </row>
    <row r="821">
      <c r="A821" s="97" t="s">
        <v>176</v>
      </c>
      <c r="B821" s="97"/>
      <c r="C821" s="97" t="s">
        <v>415</v>
      </c>
      <c r="D821" s="97" t="s">
        <v>603</v>
      </c>
      <c r="E821" s="97" t="s">
        <v>603</v>
      </c>
      <c r="F821" s="281" t="s">
        <v>603</v>
      </c>
      <c r="G821" s="282"/>
      <c r="H821" s="278"/>
      <c r="I821" s="278">
        <v>0.0</v>
      </c>
      <c r="J821" s="278">
        <v>0.0</v>
      </c>
      <c r="K821" s="278">
        <v>0.0</v>
      </c>
      <c r="L821" s="278">
        <v>0.0</v>
      </c>
      <c r="M821" s="278">
        <v>0.0</v>
      </c>
      <c r="N821" s="278">
        <v>0.0</v>
      </c>
      <c r="O821" s="278">
        <v>0.0</v>
      </c>
      <c r="P821" s="278">
        <v>0.0</v>
      </c>
      <c r="Q821" s="278">
        <v>0.0</v>
      </c>
      <c r="R821" s="278">
        <v>0.0</v>
      </c>
      <c r="S821" s="278">
        <v>0.0</v>
      </c>
      <c r="T821" s="278">
        <v>0.0</v>
      </c>
      <c r="U821" s="278">
        <v>0.0</v>
      </c>
      <c r="V821" s="278">
        <v>0.0</v>
      </c>
      <c r="W821" s="278">
        <v>0.0</v>
      </c>
      <c r="X821" s="278">
        <v>0.0</v>
      </c>
      <c r="Y821" s="278">
        <v>0.0</v>
      </c>
      <c r="Z821" s="278">
        <v>0.0</v>
      </c>
      <c r="AA821" s="278">
        <v>0.0</v>
      </c>
      <c r="AB821" s="5"/>
      <c r="AC821" s="47"/>
    </row>
    <row r="822">
      <c r="A822" s="55">
        <f>VLOOKUP($C822, CLASSNUMBERFINDER, 2, false)</f>
        <v>10</v>
      </c>
      <c r="B822" s="58"/>
      <c r="C822" s="70" t="s">
        <v>180</v>
      </c>
      <c r="D822" s="71"/>
      <c r="E822" s="71"/>
      <c r="F822" s="71"/>
      <c r="G822" s="72"/>
      <c r="H822" s="71"/>
      <c r="I822" s="71"/>
      <c r="J822" s="71"/>
      <c r="K822" s="71"/>
      <c r="L822" s="71"/>
      <c r="M822" s="71"/>
      <c r="N822" s="71"/>
      <c r="O822" s="71"/>
      <c r="P822" s="71"/>
      <c r="Q822" s="71"/>
      <c r="R822" s="71"/>
      <c r="S822" s="71"/>
      <c r="T822" s="71"/>
      <c r="U822" s="71"/>
      <c r="V822" s="71"/>
      <c r="W822" s="71"/>
      <c r="X822" s="71"/>
      <c r="Y822" s="71"/>
      <c r="Z822" s="71"/>
      <c r="AA822" s="71"/>
      <c r="AB822" s="71"/>
      <c r="AC822" s="73"/>
    </row>
    <row r="823" hidden="1">
      <c r="A823" s="76" t="str">
        <f t="array" ref="A823:A824">{"FormulaRow01";(INDEX(CLASSLIST,A822,1))}</f>
        <v>FormulaRow01</v>
      </c>
      <c r="B823" s="77" t="s">
        <v>236</v>
      </c>
      <c r="C823" s="76" t="str">
        <f t="array" ref="C823:C824">{"CLASSTYPE";(INDEX(ALLCLASSDATA,MATCH("ClassType",CLASSFEATUREHEADERS,0),MATCH($A824,CLASSNAMEHEADERS,0)))}</f>
        <v>CLASSTYPE</v>
      </c>
      <c r="D823" s="81" t="str">
        <f t="array" ref="D823:D824">{"TOTAL";("Total: " &amp; H824+J824+L824+N824+P824+R824+T824+V824+X824+Z824)}</f>
        <v>TOTAL</v>
      </c>
      <c r="E823" s="81" t="str">
        <f t="array" ref="E823:E824">{"BALANCE";(IF((H824+J824+L824+N824+P824+R824+T824+V824+X824+Z824)=2100,"(balanced)",(IF((H824+J824+L824+N824+P824+R824+T824+V824+X824+Z824)&gt;2100,"OVERBUDGET: ","UNDERBUDGET: ")) &amp; (H824+J824+L824+N824+P824+R824+T824+V824+X824+Z824-2100)))}</f>
        <v>BALANCE</v>
      </c>
      <c r="F823" s="81"/>
      <c r="G823" s="81"/>
      <c r="H823" s="81" t="str">
        <f t="array" ref="H823:H824">{"SUM LVL0/1/2";((SUMIF(F825:I904,"&lt;&gt;#REF!")+(SUMIF(J825:AA832,"&lt;&gt;#REF!"))))}</f>
        <v>SUM LVL0/1/2</v>
      </c>
      <c r="I823" s="81"/>
      <c r="J823" s="81" t="str">
        <f t="array" ref="J823:J824">{"SUM LVL3/4";(SUMIF(J833:K904,"&lt;&gt;#REF!"))}</f>
        <v>SUM LVL3/4</v>
      </c>
      <c r="K823" s="81"/>
      <c r="L823" s="81" t="str">
        <f t="array" ref="L823:L824">{"SUM LVL5/6";(SUMIF(L833:M904,"&lt;&gt;#REF!"))}</f>
        <v>SUM LVL5/6</v>
      </c>
      <c r="M823" s="81"/>
      <c r="N823" s="81" t="str">
        <f t="array" ref="N823:N824">{"SUM LVL7/8";(SUMIF(N833:O904,"&lt;&gt;#REF!"))}</f>
        <v>SUM LVL7/8</v>
      </c>
      <c r="O823" s="81"/>
      <c r="P823" s="81" t="str">
        <f t="array" ref="P823:P824">{"SUM LVL9/10";(SUMIF(P833:Q904,"&lt;&gt;#REF!"))}</f>
        <v>SUM LVL9/10</v>
      </c>
      <c r="Q823" s="81"/>
      <c r="R823" s="81" t="str">
        <f t="array" ref="R823:R824">{"SUM LVL11/12";(SUMIF(R833:S904,"&lt;&gt;#REF!"))}</f>
        <v>SUM LVL11/12</v>
      </c>
      <c r="S823" s="81"/>
      <c r="T823" s="81" t="str">
        <f t="array" ref="T823:T824">{"SUM LVL13/14";(SUMIF(T833:U904,"&lt;&gt;#REF!"))}</f>
        <v>SUM LVL13/14</v>
      </c>
      <c r="U823" s="81"/>
      <c r="V823" s="81" t="str">
        <f t="array" ref="V823:V824">{"SUM LVL15/16";(SUMIF(V833:W904,"&lt;&gt;#REF!"))}</f>
        <v>SUM LVL15/16</v>
      </c>
      <c r="W823" s="81"/>
      <c r="X823" s="81" t="str">
        <f t="array" ref="X823:X824">{"SUM LVL17/18";(SUMIF(X833:Y904,"&lt;&gt;#REF!"))}</f>
        <v>SUM LVL17/18</v>
      </c>
      <c r="Y823" s="81"/>
      <c r="Z823" s="81" t="str">
        <f t="array" ref="Z823:Z824">{"SUM LVL19/20";(SUMIF(Z833:AA904,"&lt;&gt;#REF!"))}</f>
        <v>SUM LVL19/20</v>
      </c>
      <c r="AA823" s="81"/>
      <c r="AB823" s="76"/>
      <c r="AC823" s="76" t="str">
        <f t="array" ref="AC823:AC824">{"SUM ROWTOTALS";(SUMIF(AC826:AC912,"&lt;&gt;#REF!"))}</f>
        <v>SUM ROWTOTALS</v>
      </c>
    </row>
    <row r="824">
      <c r="A824" s="48" t="s">
        <v>180</v>
      </c>
      <c r="B824" s="48"/>
      <c r="C824" s="48" t="s">
        <v>413</v>
      </c>
      <c r="D824" s="91" t="s">
        <v>416</v>
      </c>
      <c r="E824" s="92" t="s">
        <v>419</v>
      </c>
      <c r="F824" s="91"/>
      <c r="G824" s="93"/>
      <c r="H824" s="92">
        <v>500.0</v>
      </c>
      <c r="I824" s="92"/>
      <c r="J824" s="92">
        <v>80.0</v>
      </c>
      <c r="K824" s="92"/>
      <c r="L824" s="92">
        <v>160.0</v>
      </c>
      <c r="M824" s="92"/>
      <c r="N824" s="92">
        <v>180.0</v>
      </c>
      <c r="O824" s="92"/>
      <c r="P824" s="92">
        <v>100.0</v>
      </c>
      <c r="Q824" s="92"/>
      <c r="R824" s="92">
        <v>110.0</v>
      </c>
      <c r="S824" s="92"/>
      <c r="T824" s="92">
        <v>240.0</v>
      </c>
      <c r="U824" s="92"/>
      <c r="V824" s="92">
        <v>200.0</v>
      </c>
      <c r="W824" s="92"/>
      <c r="X824" s="92">
        <v>230.0</v>
      </c>
      <c r="Y824" s="92"/>
      <c r="Z824" s="92">
        <v>300.0</v>
      </c>
      <c r="AA824" s="92"/>
      <c r="AB824" s="5"/>
      <c r="AC824" s="47">
        <v>2100.0</v>
      </c>
    </row>
    <row r="825" hidden="1">
      <c r="A825" s="76" t="str">
        <f t="array" ref="A825:A826">{"FormulaRow02";(INDEX(CLASSLIST,A822,1))}</f>
        <v>FormulaRow02</v>
      </c>
      <c r="B825" s="77" t="s">
        <v>236</v>
      </c>
      <c r="C825" s="76" t="str">
        <f t="array" ref="C825:C826">{"CLASSTYPE";((INDEX(ALLCLASSDATA,MATCH("ClassType",CLASSFEATUREHEADERS,0),MATCH($A826,CLASSNAMEHEADERS,0))))}</f>
        <v>CLASSTYPE</v>
      </c>
      <c r="D825" s="81" t="str">
        <f t="array" ref="D825:D826">{"FEATURES";"Features"}</f>
        <v>FEATURES</v>
      </c>
      <c r="E825" s="81" t="str">
        <f t="array" ref="E825:E826">{"INITIALFEATURES";"Initial Features"}</f>
        <v>INITIALFEATURES</v>
      </c>
      <c r="F825" s="81" t="str">
        <f t="array" ref="F825:F826">{"KEY";"Key"}</f>
        <v>KEY</v>
      </c>
      <c r="G825" s="81" t="str">
        <f t="array" ref="G825:G826">{"HP";"HP"}</f>
        <v>HP</v>
      </c>
      <c r="H825" s="81" t="str">
        <f t="array" ref="H825:H826">{"CLASSFEATL01";"ClassFeatL01"}</f>
        <v>CLASSFEATL01</v>
      </c>
      <c r="I825" s="81" t="str">
        <f t="array" ref="I825:I826">{"SHIELDBLOCKL01";"ShieldBlockL01"}</f>
        <v>SHIELDBLOCKL01</v>
      </c>
      <c r="J825" s="81" t="str">
        <f t="array" ref="J825:J826">{"INITIALSKILLS";"InitialSkills"}</f>
        <v>INITIALSKILLS</v>
      </c>
      <c r="K825" s="81" t="str">
        <f t="array" ref="K825:K826">{"SUBCLASSSKILLS";"SubclassSkills"}</f>
        <v>SUBCLASSSKILLS</v>
      </c>
      <c r="L825" s="81" t="str">
        <f t="array" ref="L825:L826">{"GRANTEDSKILLS";"GrantedSkills"}</f>
        <v>GRANTEDSKILLS</v>
      </c>
      <c r="M825" s="81"/>
      <c r="N825" s="81"/>
      <c r="O825" s="81"/>
      <c r="P825" s="81" t="str">
        <f t="array" ref="P825:P826">{"FOCUSSPELLS";"FocusSpells:"}</f>
        <v>FOCUSSPELLS</v>
      </c>
      <c r="Q825" s="81" t="str">
        <f t="array" ref="Q825:Q826">{"FOCUSSPELL1-L00";((INDEX(ALLCLASSDATA,MATCH("FocusSpell1-L00",CLASSFEATUREHEADERS,0),MATCH(($A826),CLASSNAMEHEADERS,0))))}</f>
        <v>FOCUSSPELL1-L00</v>
      </c>
      <c r="R825" s="81" t="str">
        <f t="array" ref="R825:R826">{"FOCUSSPELL2-L00";((INDEX(ALLCLASSDATA,MATCH("FocusSpell2-L00",CLASSFEATUREHEADERS,0),MATCH(($A826),CLASSNAMEHEADERS,0))))}</f>
        <v>FOCUSSPELL2-L00</v>
      </c>
      <c r="S825" s="81" t="str">
        <f t="array" ref="S825:S826">{"FOCUSSPELL3-L00";((INDEX(ALLCLASSDATA,MATCH("FocusSpell3-L00",CLASSFEATUREHEADERS,0),MATCH(($A826),CLASSNAMEHEADERS,0))))}</f>
        <v>FOCUSSPELL3-L00</v>
      </c>
      <c r="T825" s="81" t="str">
        <f t="array" ref="T825:T826">{"FOCUSSPELL4-L00";((INDEX(ALLCLASSDATA,MATCH("FocusSpell4-L00",CLASSFEATUREHEADERS,0),MATCH(($A826),CLASSNAMEHEADERS,0))))}</f>
        <v>FOCUSSPELL4-L00</v>
      </c>
      <c r="U825" s="81" t="str">
        <f t="array" ref="U825:U826">{"FOCUSSPELL5-L00";((INDEX(ALLCLASSDATA,MATCH("FocusSpell5-L00",CLASSFEATUREHEADERS,0),MATCH(($A826),CLASSNAMEHEADERS,0))))}</f>
        <v>FOCUSSPELL5-L00</v>
      </c>
      <c r="V825" s="81"/>
      <c r="W825" s="81"/>
      <c r="X825" s="81"/>
      <c r="Y825" s="81"/>
      <c r="Z825" s="81"/>
      <c r="AA825" s="81"/>
      <c r="AB825" s="76"/>
      <c r="AC825" s="76"/>
    </row>
    <row r="826">
      <c r="A826" s="48" t="s">
        <v>180</v>
      </c>
      <c r="B826" s="48"/>
      <c r="C826" s="48" t="s">
        <v>413</v>
      </c>
      <c r="D826" s="48" t="s">
        <v>467</v>
      </c>
      <c r="E826" s="48" t="s">
        <v>468</v>
      </c>
      <c r="F826" s="48" t="s">
        <v>469</v>
      </c>
      <c r="G826" s="114" t="s">
        <v>15</v>
      </c>
      <c r="H826" s="8" t="s">
        <v>451</v>
      </c>
      <c r="I826" s="8" t="s">
        <v>463</v>
      </c>
      <c r="J826" s="8" t="s">
        <v>473</v>
      </c>
      <c r="K826" s="8" t="s">
        <v>474</v>
      </c>
      <c r="L826" s="8" t="s">
        <v>475</v>
      </c>
      <c r="M826" s="8"/>
      <c r="N826" s="8"/>
      <c r="O826" s="8"/>
      <c r="P826" s="8" t="s">
        <v>476</v>
      </c>
      <c r="Q826" s="116"/>
      <c r="R826" s="116"/>
      <c r="S826" s="116"/>
      <c r="T826" s="116"/>
      <c r="U826" s="116"/>
      <c r="V826" s="8"/>
      <c r="W826" s="8"/>
      <c r="X826" s="8"/>
      <c r="Y826" s="8"/>
      <c r="Z826" s="5"/>
      <c r="AA826" s="5"/>
      <c r="AB826" s="5"/>
      <c r="AC826" s="47"/>
    </row>
    <row r="827" hidden="1">
      <c r="A827" s="76" t="str">
        <f t="array" ref="A827:A828">{"FormulaRow03";(INDEX(CLASSLIST,A822,1))}</f>
        <v>FormulaRow03</v>
      </c>
      <c r="B827" s="77" t="s">
        <v>236</v>
      </c>
      <c r="C827" s="76" t="str">
        <f t="array" ref="C827:C828">{"CLASSTYPE";((INDEX(ALLCLASSDATA,MATCH("ClassType",CLASSFEATUREHEADERS,0),MATCH($A828,CLASSNAMEHEADERS,0))))}</f>
        <v>CLASSTYPE</v>
      </c>
      <c r="D827" s="76" t="str">
        <f t="array" ref="D827:D828">{"FEATUREPTS";"FeaturesPts"}</f>
        <v>FEATUREPTS</v>
      </c>
      <c r="E827" s="76" t="str">
        <f t="array" ref="E827:E828">{"INITIALFEATURES";"Initial Features"}</f>
        <v>INITIALFEATURES</v>
      </c>
      <c r="F827" s="76" t="str">
        <f t="array" ref="F827:F828">{"KEYABILITY";((INDEX(ALLCLASSDATA,MATCH("KEYABILITY",CLASSFEATUREHEADERS,0),MATCH($A828,CLASSNAMEHEADERS,0))))}</f>
        <v>KEYABILITY</v>
      </c>
      <c r="G827" s="76" t="str">
        <f t="array" ref="G827:G828">{"HP";((INDEX(ALLCLASSDATA,MATCH("HP",CLASSFEATUREHEADERS,0),MATCH(($A828 &amp; "Points"),CLASSNAMEHEADERS,0))))}</f>
        <v>HP</v>
      </c>
      <c r="H827" s="76" t="str">
        <f t="array" ref="H827:H828">{"CLASSFEATL01";((INDEX(ALLCLASSDATA,MATCH("ClassFeatL01",CLASSFEATUREHEADERS,0),MATCH(($A828 &amp; "Points"),CLASSNAMEHEADERS,0))))}</f>
        <v>CLASSFEATL01</v>
      </c>
      <c r="I827" s="76" t="str">
        <f t="array" ref="I827:I828">{"SHIELDBLOCKL01";((INDEX(ALLCLASSDATA,MATCH("ShieldBlockL01",CLASSFEATUREHEADERS,0),MATCH(($A828 &amp; "Points"),CLASSNAMEHEADERS,0))))}</f>
        <v>SHIELDBLOCKL01</v>
      </c>
      <c r="J827" s="76" t="str">
        <f t="array" ref="J827:J828">{"INITIALSKILLINCREASES";((INDEX(ALLCLASSDATA,MATCH("InitialSkillIncreases",CLASSFEATUREHEADERS,0),MATCH(($A828 &amp; "Points"),CLASSNAMEHEADERS,0))))}</f>
        <v>INITIALSKILLINCREASES</v>
      </c>
      <c r="K827" s="76" t="str">
        <f t="array" ref="K827:K828">{"SUBCLASSSKILLINCREASES";((INDEX(ALLCLASSDATA,MATCH("SubclassSkillIncreases",CLASSFEATUREHEADERS,0),MATCH(($A828 &amp; "Points"),CLASSNAMEHEADERS,0))))}</f>
        <v>SUBCLASSSKILLINCREASES</v>
      </c>
      <c r="L827" s="76" t="str">
        <f t="array" ref="L827:L828">{"GRANTEDSKILLS";(((INDEX(ALLCLASSDATA,MATCH("SkillsGrantedTotal",CLASSFEATUREHEADERS,0),MATCH(($A828 &amp; "Points"),CLASSNAMEHEADERS,0)))-(INDEX(ALLCLASSDATA,MATCH("InitialSkillIncreases",CLASSFEATUREHEADERS,0),MATCH(($A828 &amp; "Points"),CLASSNAMEHEADERS,0)))-(INDEX(ALLCLASSDATA,MATCH("SubclassSkillIncreases",CLASSFEATUREHEADERS,0),MATCH(($A828 &amp; "Points"),CLASSNAMEHEADERS,0)))))}</f>
        <v>GRANTEDSKILLS</v>
      </c>
      <c r="M827" s="76"/>
      <c r="N827" s="76"/>
      <c r="O827" s="76"/>
      <c r="P827" s="76"/>
      <c r="Q827" s="76" t="str">
        <f t="array" ref="Q827:Q828">{"FOCUSSPELL1-L00";((INDEX(ALLCLASSDATA,MATCH("FocusSpell1-L00",CLASSFEATUREHEADERS,0),MATCH(($A828 &amp; "Points"),CLASSNAMEHEADERS,0))))}</f>
        <v>FOCUSSPELL1-L00</v>
      </c>
      <c r="R827" s="76" t="str">
        <f t="array" ref="R827:R828">{"FOCUSSPELL2-L00";((INDEX(ALLCLASSDATA,MATCH("FocusSpell2-L00",CLASSFEATUREHEADERS,0),MATCH(($A828 &amp; "Points"),CLASSNAMEHEADERS,0))))}</f>
        <v>FOCUSSPELL2-L00</v>
      </c>
      <c r="S827" s="76" t="str">
        <f t="array" ref="S827:S828">{"FOCUSSPELL3-L00";((INDEX(ALLCLASSDATA,MATCH("FocusSpell3-L00",CLASSFEATUREHEADERS,0),MATCH(($A828 &amp; "Points"),CLASSNAMEHEADERS,0))))}</f>
        <v>FOCUSSPELL3-L00</v>
      </c>
      <c r="T827" s="76" t="str">
        <f t="array" ref="T827:T828">{"FOCUSSPELL4-L00";((INDEX(ALLCLASSDATA,MATCH("FocusSpell4-L00",CLASSFEATUREHEADERS,0),MATCH(($A828 &amp; "Points"),CLASSNAMEHEADERS,0))))}</f>
        <v>FOCUSSPELL4-L00</v>
      </c>
      <c r="U827" s="76" t="str">
        <f t="array" ref="U827:U828">{"FOCUSSPELL5-L00";((INDEX(ALLCLASSDATA,MATCH("FocusSpell5-L00",CLASSFEATUREHEADERS,0),MATCH(($A828 &amp; "Points"),CLASSNAMEHEADERS,0))))}</f>
        <v>FOCUSSPELL5-L00</v>
      </c>
      <c r="V827" s="76"/>
      <c r="W827" s="76"/>
      <c r="X827" s="76"/>
      <c r="Y827" s="76"/>
      <c r="Z827" s="76"/>
      <c r="AA827" s="76"/>
      <c r="AB827" s="76"/>
      <c r="AC827" s="76" t="str">
        <f t="array" ref="AC827:AC828">{"FEATUREPTS TOTAL";(sum(G828:AA828))}</f>
        <v>FEATUREPTS TOTAL</v>
      </c>
    </row>
    <row r="828">
      <c r="A828" s="48" t="s">
        <v>180</v>
      </c>
      <c r="B828" s="48"/>
      <c r="C828" s="48" t="s">
        <v>413</v>
      </c>
      <c r="D828" s="97" t="s">
        <v>559</v>
      </c>
      <c r="E828" s="97" t="s">
        <v>468</v>
      </c>
      <c r="F828" s="97" t="s">
        <v>260</v>
      </c>
      <c r="G828" s="132">
        <v>80.0</v>
      </c>
      <c r="H828" s="98">
        <v>10.0</v>
      </c>
      <c r="I828" s="98" t="s">
        <v>603</v>
      </c>
      <c r="J828" s="98">
        <v>15.0</v>
      </c>
      <c r="K828" s="98">
        <v>5.0</v>
      </c>
      <c r="L828" s="98">
        <v>0.0</v>
      </c>
      <c r="M828" s="98"/>
      <c r="N828" s="98"/>
      <c r="O828" s="98"/>
      <c r="P828" s="98"/>
      <c r="Q828" s="98"/>
      <c r="R828" s="98"/>
      <c r="S828" s="98"/>
      <c r="T828" s="98"/>
      <c r="U828" s="98"/>
      <c r="V828" s="98"/>
      <c r="W828" s="98"/>
      <c r="X828" s="98"/>
      <c r="Y828" s="98"/>
      <c r="Z828" s="98"/>
      <c r="AA828" s="98"/>
      <c r="AB828" s="5"/>
      <c r="AC828" s="47">
        <v>110.0</v>
      </c>
    </row>
    <row r="829" hidden="1">
      <c r="A829" s="76" t="str">
        <f t="array" ref="A829:A830">{"FormulaRow04";(INDEX(CLASSLIST,A822,1))}</f>
        <v>FormulaRow04</v>
      </c>
      <c r="B829" s="77" t="s">
        <v>236</v>
      </c>
      <c r="C829" s="76" t="str">
        <f t="array" ref="C829:C830">{"CLASSTYPE";((INDEX(ALLCLASSDATA,MATCH("ClassType",CLASSFEATUREHEADERS,0),MATCH($A830,CLASSNAMEHEADERS,0))))}</f>
        <v>CLASSTYPE</v>
      </c>
      <c r="D829" s="81" t="str">
        <f t="array" ref="D829:D830">{"INITIALFEATURES";"InitialFeatures"}</f>
        <v>INITIALFEATURES</v>
      </c>
      <c r="E829" s="81" t="str">
        <f t="array" ref="E829:E830">{"CLASS/SUBCLASSFEATURES";"Class/Subclass Features"}</f>
        <v>CLASS/SUBCLASSFEATURES</v>
      </c>
      <c r="F829" s="81"/>
      <c r="G829" s="136"/>
      <c r="H829" s="81" t="str">
        <f t="array" ref="H829:H830">{"CLASSINITIALABILITY1-L00";((INDEX(ALLCLASSDATA,MATCH("ClassInitialAbility1-L00",CLASSFEATUREHEADERS,0),MATCH(($A830),CLASSNAMEHEADERS,0))))}</f>
        <v>CLASSINITIALABILITY1-L00</v>
      </c>
      <c r="I829" s="81" t="str">
        <f t="array" ref="I829:I830">{"CLASSINITIALABILITY2-L00";((INDEX(ALLCLASSDATA,MATCH("ClassInitialAbility2-L00",CLASSFEATUREHEADERS,0),MATCH(($A830),CLASSNAMEHEADERS,0))))}</f>
        <v>CLASSINITIALABILITY2-L00</v>
      </c>
      <c r="J829" s="81" t="str">
        <f t="array" ref="J829:J830">{"CLASSINITIALABILITY3-L00";((INDEX(ALLCLASSDATA,MATCH("ClassInitialAbility3-L00",CLASSFEATUREHEADERS,0),MATCH(($A830),CLASSNAMEHEADERS,0))))}</f>
        <v>CLASSINITIALABILITY3-L00</v>
      </c>
      <c r="K829" s="81" t="str">
        <f t="array" ref="K829:K830">{"CLASSINITIALABILITY4-L00";((INDEX(ALLCLASSDATA,MATCH("ClassInitialAbility4-L00",CLASSFEATUREHEADERS,0),MATCH(($A830),CLASSNAMEHEADERS,0))))}</f>
        <v>CLASSINITIALABILITY4-L00</v>
      </c>
      <c r="L829" s="81" t="str">
        <f t="array" ref="L829:L830">{"CLASSINITIALABILITY5-L00";((INDEX(ALLCLASSDATA,MATCH("ClassInitialAbility5-L00",CLASSFEATUREHEADERS,0),MATCH(($A830),CLASSNAMEHEADERS,0))))}</f>
        <v>CLASSINITIALABILITY5-L00</v>
      </c>
      <c r="M829" s="81" t="str">
        <f t="array" ref="M829:M830">{"CLASSINITIALABILITY6-L00";((INDEX(ALLCLASSDATA,MATCH("ClassInitialAbility6-L00",CLASSFEATUREHEADERS,0),MATCH(($A830),CLASSNAMEHEADERS,0))))}</f>
        <v>CLASSINITIALABILITY6-L00</v>
      </c>
      <c r="N829" s="81" t="str">
        <f t="array" ref="N829:N830">{"CLASSINITIALABILITY7-L00";((INDEX(ALLCLASSDATA,MATCH("ClassInitialAbility7-L00",CLASSFEATUREHEADERS,0),MATCH(($A830),CLASSNAMEHEADERS,0))))}</f>
        <v>CLASSINITIALABILITY7-L00</v>
      </c>
      <c r="O829" s="81" t="str">
        <f t="array" ref="O829:O830">{"CLASSINITIALABILITY8-L00";((INDEX(ALLCLASSDATA,MATCH("ClassInitialAbility8-L00",CLASSFEATUREHEADERS,0),MATCH(($A830),CLASSNAMEHEADERS,0))))}</f>
        <v>CLASSINITIALABILITY8-L00</v>
      </c>
      <c r="P829" s="81" t="str">
        <f t="array" ref="P829:P830">{"CLASSINITIALABILITY9-L00";((INDEX(ALLCLASSDATA,MATCH("ClassInitialAbility9-L00",CLASSFEATUREHEADERS,0),MATCH(($A830),CLASSNAMEHEADERS,0))))}</f>
        <v>CLASSINITIALABILITY9-L00</v>
      </c>
      <c r="Q829" s="81" t="str">
        <f t="array" ref="Q829:Q830">{"CLASSINITIALABILITY10-L00";((INDEX(ALLCLASSDATA,MATCH("ClassInitialAbility10-L00",CLASSFEATUREHEADERS,0),MATCH(($A830),CLASSNAMEHEADERS,0))))}</f>
        <v>CLASSINITIALABILITY10-L00</v>
      </c>
      <c r="R829" s="81" t="str">
        <f t="array" ref="R829:R830">{"SUBCLASSINITIAL1-L00";((INDEX(ALLCLASSDATA,MATCH("SubclassInitial1-L00",CLASSFEATUREHEADERS,0),MATCH(($A830),CLASSNAMEHEADERS,0))))}</f>
        <v>SUBCLASSINITIAL1-L00</v>
      </c>
      <c r="S829" s="81" t="str">
        <f t="array" ref="S829:S830">{"SUBCLASSINITIAL2-L00";((INDEX(ALLCLASSDATA,MATCH("SubclassInitial2-L00",CLASSFEATUREHEADERS,0),MATCH(($A830),CLASSNAMEHEADERS,0))))}</f>
        <v>SUBCLASSINITIAL2-L00</v>
      </c>
      <c r="T829" s="81" t="str">
        <f t="array" ref="T829:T830">{"SUBCLASSINITIAL3-L00";((INDEX(ALLCLASSDATA,MATCH("SubclassInitial3-L00",CLASSFEATUREHEADERS,0),MATCH(($A830),CLASSNAMEHEADERS,0))))}</f>
        <v>SUBCLASSINITIAL3-L00</v>
      </c>
      <c r="U829" s="81" t="str">
        <f t="array" ref="U829:U830">{"SUBCLASSINITIAL4-L00";((INDEX(ALLCLASSDATA,MATCH("SubclassInitial4-L00",CLASSFEATUREHEADERS,0),MATCH(($A830),CLASSNAMEHEADERS,0))))}</f>
        <v>SUBCLASSINITIAL4-L00</v>
      </c>
      <c r="V829" s="81" t="str">
        <f t="array" ref="V829:V830">{"SUBCLASSINITIAL5-L00";((INDEX(ALLCLASSDATA,MATCH("SubclassInitial5-L00",CLASSFEATUREHEADERS,0),MATCH(($A830),CLASSNAMEHEADERS,0))))}</f>
        <v>SUBCLASSINITIAL5-L00</v>
      </c>
      <c r="W829" s="81" t="str">
        <f t="array" ref="W829:W830">{"SUBCLASSINITIAL6-L00";((INDEX(ALLCLASSDATA,MATCH("SubclassInitial6-L00",CLASSFEATUREHEADERS,0),MATCH(($A830),CLASSNAMEHEADERS,0))))}</f>
        <v>SUBCLASSINITIAL6-L00</v>
      </c>
      <c r="X829" s="81" t="str">
        <f t="array" ref="X829:X830">{"SUBCLASSINITIAL7-L00";((INDEX(ALLCLASSDATA,MATCH("SubclassInitial7-L00",CLASSFEATUREHEADERS,0),MATCH(($A830),CLASSNAMEHEADERS,0))))}</f>
        <v>SUBCLASSINITIAL7-L00</v>
      </c>
      <c r="Y829" s="81" t="str">
        <f t="array" ref="Y829:Y830">{"SUBCLASSINITIAL8-L00";((INDEX(ALLCLASSDATA,MATCH("SubclassInitial8-L00",CLASSFEATUREHEADERS,0),MATCH(($A830),CLASSNAMEHEADERS,0))))}</f>
        <v>SUBCLASSINITIAL8-L00</v>
      </c>
      <c r="Z829" s="81" t="str">
        <f t="array" ref="Z829:Z830">{"SUBCLASSINITIAL9-L00";((INDEX(ALLCLASSDATA,MATCH("SubclassInitial9-L00",CLASSFEATUREHEADERS,0),MATCH(($A830),CLASSNAMEHEADERS,0))))}</f>
        <v>SUBCLASSINITIAL9-L00</v>
      </c>
      <c r="AA829" s="81" t="str">
        <f t="array" ref="AA829:AA830">{"SUBCLASSINITIAL10-L00";((INDEX(ALLCLASSDATA,MATCH("SubclassInitial10-L00",CLASSFEATUREHEADERS,0),MATCH(($A830),CLASSNAMEHEADERS,0))))}</f>
        <v>SUBCLASSINITIAL10-L00</v>
      </c>
      <c r="AB829" s="76"/>
      <c r="AC829" s="76"/>
    </row>
    <row r="830">
      <c r="A830" s="48" t="s">
        <v>180</v>
      </c>
      <c r="B830" s="48"/>
      <c r="C830" s="48" t="s">
        <v>413</v>
      </c>
      <c r="D830" s="48" t="s">
        <v>614</v>
      </c>
      <c r="E830" s="48" t="s">
        <v>616</v>
      </c>
      <c r="F830" s="48"/>
      <c r="G830" s="47"/>
      <c r="H830" s="5" t="s">
        <v>1621</v>
      </c>
      <c r="I830" s="5"/>
      <c r="J830" s="5"/>
      <c r="K830" s="5"/>
      <c r="L830" s="5"/>
      <c r="M830" s="5"/>
      <c r="N830" s="5"/>
      <c r="O830" s="5"/>
      <c r="P830" s="5"/>
      <c r="Q830" s="5"/>
      <c r="R830" s="5" t="s">
        <v>1815</v>
      </c>
      <c r="S830" s="5" t="s">
        <v>1831</v>
      </c>
      <c r="T830" s="5"/>
      <c r="U830" s="5"/>
      <c r="V830" s="5"/>
      <c r="W830" s="5"/>
      <c r="X830" s="5"/>
      <c r="Y830" s="5"/>
      <c r="Z830" s="5"/>
      <c r="AA830" s="5"/>
      <c r="AB830" s="5"/>
      <c r="AC830" s="47"/>
    </row>
    <row r="831" hidden="1">
      <c r="A831" s="76" t="str">
        <f t="array" ref="A831:A832">{"FormulaRow05";(INDEX(CLASSLIST,A822,1))}</f>
        <v>FormulaRow05</v>
      </c>
      <c r="B831" s="77" t="s">
        <v>236</v>
      </c>
      <c r="C831" s="76" t="str">
        <f t="array" ref="C831:C832">{"CLASSTYPE";((INDEX(ALLCLASSDATA,MATCH("ClassType",CLASSFEATUREHEADERS,0),MATCH($A832,CLASSNAMEHEADERS,0))))}</f>
        <v>CLASSTYPE</v>
      </c>
      <c r="D831" s="76" t="str">
        <f t="array" ref="D831:D832">{"INITIALFEATURESPTS";"InitialFeaturesPts"}</f>
        <v>INITIALFEATURESPTS</v>
      </c>
      <c r="E831" s="76" t="str">
        <f t="array" ref="E831:E832">{"CLASS/SUBCLASSFEATURES";"Class/Subclass Features"}</f>
        <v>CLASS/SUBCLASSFEATURES</v>
      </c>
      <c r="F831" s="76"/>
      <c r="G831" s="76"/>
      <c r="H831" s="76" t="str">
        <f t="array" ref="H831:H832">{"CLASSINITIALABILITY1-L00PTS";((INDEX(ALLCLASSDATA,MATCH("ClassInitialAbility1-L00",CLASSFEATUREHEADERS,0),MATCH(($A832 &amp; "Points"),CLASSNAMEHEADERS,0))))}</f>
        <v>CLASSINITIALABILITY1-L00PTS</v>
      </c>
      <c r="I831" s="76" t="str">
        <f t="array" ref="I831:I832">{"CLASSINITIALABILITY2-L00PTS";((INDEX(ALLCLASSDATA,MATCH("ClassInitialAbility2-L00",CLASSFEATUREHEADERS,0),MATCH(($A832 &amp; "Points"),CLASSNAMEHEADERS,0))))}</f>
        <v>CLASSINITIALABILITY2-L00PTS</v>
      </c>
      <c r="J831" s="76" t="str">
        <f t="array" ref="J831:J832">{"CLASSINITIALABILITY3-L00PTS";((INDEX(ALLCLASSDATA,MATCH("ClassInitialAbility3-L00",CLASSFEATUREHEADERS,0),MATCH(($A832 &amp; "Points"),CLASSNAMEHEADERS,0))))}</f>
        <v>CLASSINITIALABILITY3-L00PTS</v>
      </c>
      <c r="K831" s="76" t="str">
        <f t="array" ref="K831:K832">{"CLASSINITIALABILITY4-L00PTS";((INDEX(ALLCLASSDATA,MATCH("ClassInitialAbility4-L00",CLASSFEATUREHEADERS,0),MATCH(($A832 &amp; "Points"),CLASSNAMEHEADERS,0))))}</f>
        <v>CLASSINITIALABILITY4-L00PTS</v>
      </c>
      <c r="L831" s="76" t="str">
        <f t="array" ref="L831:L832">{"CLASSINITIALABILITY5-L00PTS";((INDEX(ALLCLASSDATA,MATCH("ClassInitialAbility5-L00",CLASSFEATUREHEADERS,0),MATCH(($A832 &amp; "Points"),CLASSNAMEHEADERS,0))))}</f>
        <v>CLASSINITIALABILITY5-L00PTS</v>
      </c>
      <c r="M831" s="76" t="str">
        <f t="array" ref="M831:M832">{"CLASSINITIALABILITY6-L00PTS";((INDEX(ALLCLASSDATA,MATCH("ClassInitialAbility6-L00",CLASSFEATUREHEADERS,0),MATCH(($A832 &amp; "Points"),CLASSNAMEHEADERS,0))))}</f>
        <v>CLASSINITIALABILITY6-L00PTS</v>
      </c>
      <c r="N831" s="76" t="str">
        <f t="array" ref="N831:N832">{"CLASSINITIALABILITY7-L00PTS";((INDEX(ALLCLASSDATA,MATCH("ClassInitialAbility7-L00",CLASSFEATUREHEADERS,0),MATCH(($A832 &amp; "Points"),CLASSNAMEHEADERS,0))))}</f>
        <v>CLASSINITIALABILITY7-L00PTS</v>
      </c>
      <c r="O831" s="76" t="str">
        <f t="array" ref="O831:O832">{"CLASSINITIALABILITY8-L00PTS";((INDEX(ALLCLASSDATA,MATCH("ClassInitialAbility8-L00",CLASSFEATUREHEADERS,0),MATCH(($A832 &amp; "Points"),CLASSNAMEHEADERS,0))))}</f>
        <v>CLASSINITIALABILITY8-L00PTS</v>
      </c>
      <c r="P831" s="76" t="str">
        <f t="array" ref="P831:P832">{"CLASSINITIALABILITY9-L00PTS";((INDEX(ALLCLASSDATA,MATCH("ClassInitialAbility9-L00",CLASSFEATUREHEADERS,0),MATCH(($A832 &amp; "Points"),CLASSNAMEHEADERS,0))))}</f>
        <v>CLASSINITIALABILITY9-L00PTS</v>
      </c>
      <c r="Q831" s="76" t="str">
        <f t="array" ref="Q831:Q832">{"CLASSINITIALABILITY10-L00PTS";((INDEX(ALLCLASSDATA,MATCH("ClassInitialAbility10-L00",CLASSFEATUREHEADERS,0),MATCH(($A832 &amp; "Points"),CLASSNAMEHEADERS,0))))}</f>
        <v>CLASSINITIALABILITY10-L00PTS</v>
      </c>
      <c r="R831" s="76" t="str">
        <f t="array" ref="R831:R832">{"SUBCLASSINITIAL1-L00PTS";((INDEX(ALLCLASSDATA,MATCH("SubclassInitial1-L00",CLASSFEATUREHEADERS,0),MATCH(($A832 &amp; "Points"),CLASSNAMEHEADERS,0))))}</f>
        <v>SUBCLASSINITIAL1-L00PTS</v>
      </c>
      <c r="S831" s="76" t="str">
        <f t="array" ref="S831:S832">{"SUBCLASSINITIAL2-L00PTS";((INDEX(ALLCLASSDATA,MATCH("SubclassInitial2-L00",CLASSFEATUREHEADERS,0),MATCH(($A832 &amp; "Points"),CLASSNAMEHEADERS,0))))}</f>
        <v>SUBCLASSINITIAL2-L00PTS</v>
      </c>
      <c r="T831" s="76" t="str">
        <f t="array" ref="T831:T832">{"SUBCLASSINITIAL3-L00PTS";((INDEX(ALLCLASSDATA,MATCH("SubclassInitial3-L00",CLASSFEATUREHEADERS,0),MATCH(($A832 &amp; "Points"),CLASSNAMEHEADERS,0))))}</f>
        <v>SUBCLASSINITIAL3-L00PTS</v>
      </c>
      <c r="U831" s="76" t="str">
        <f t="array" ref="U831:U832">{"SUBCLASSINITIAL4-L00PTS";((INDEX(ALLCLASSDATA,MATCH("SubclassInitial4-L00",CLASSFEATUREHEADERS,0),MATCH(($A832 &amp; "Points"),CLASSNAMEHEADERS,0))))}</f>
        <v>SUBCLASSINITIAL4-L00PTS</v>
      </c>
      <c r="V831" s="76" t="str">
        <f t="array" ref="V831:V832">{"SUBCLASSINITIAL5-L00PTS";((INDEX(ALLCLASSDATA,MATCH("SubclassInitial5-L00",CLASSFEATUREHEADERS,0),MATCH(($A832 &amp; "Points"),CLASSNAMEHEADERS,0))))}</f>
        <v>SUBCLASSINITIAL5-L00PTS</v>
      </c>
      <c r="W831" s="76" t="str">
        <f t="array" ref="W831:W832">{"SUBCLASSINITIAL6-L00PTS";((INDEX(ALLCLASSDATA,MATCH("SubclassInitial6-L00",CLASSFEATUREHEADERS,0),MATCH(($A832 &amp; "Points"),CLASSNAMEHEADERS,0))))}</f>
        <v>SUBCLASSINITIAL6-L00PTS</v>
      </c>
      <c r="X831" s="76" t="str">
        <f t="array" ref="X831:X832">{"SUBCLASSINITIAL7-L00PTS";((INDEX(ALLCLASSDATA,MATCH("SubclassInitial7-L00",CLASSFEATUREHEADERS,0),MATCH(($A832 &amp; "Points"),CLASSNAMEHEADERS,0))))}</f>
        <v>SUBCLASSINITIAL7-L00PTS</v>
      </c>
      <c r="Y831" s="76" t="str">
        <f t="array" ref="Y831:Y832">{"SUBCLASSINITIAL8-L00PTS";((INDEX(ALLCLASSDATA,MATCH("SubclassInitial8-L00",CLASSFEATUREHEADERS,0),MATCH(($A832 &amp; "Points"),CLASSNAMEHEADERS,0))))}</f>
        <v>SUBCLASSINITIAL8-L00PTS</v>
      </c>
      <c r="Z831" s="76" t="str">
        <f t="array" ref="Z831:Z832">{"SUBCLASSINITIAL9-L00PTS";((INDEX(ALLCLASSDATA,MATCH("SubclassInitial9-L00",CLASSFEATUREHEADERS,0),MATCH(($A832 &amp; "Points"),CLASSNAMEHEADERS,0))))}</f>
        <v>SUBCLASSINITIAL9-L00PTS</v>
      </c>
      <c r="AA831" s="76" t="str">
        <f t="array" ref="AA831:AA832">{"SUBCLASSINITIAL10-L00PTS";((INDEX(ALLCLASSDATA,MATCH("SubclassInitial10-L00",CLASSFEATUREHEADERS,0),MATCH(($A832 &amp; "Points"),CLASSNAMEHEADERS,0))))}</f>
        <v>SUBCLASSINITIAL10-L00PTS</v>
      </c>
      <c r="AB831" s="76"/>
      <c r="AC831" s="76" t="str">
        <f t="array" ref="AC831:AC832">{"INITIALFEATUREPTS TOTAL";(sum(G832:AA832))}</f>
        <v>INITIALFEATUREPTS TOTAL</v>
      </c>
    </row>
    <row r="832">
      <c r="A832" s="48" t="s">
        <v>180</v>
      </c>
      <c r="B832" s="48"/>
      <c r="C832" s="48" t="s">
        <v>413</v>
      </c>
      <c r="D832" s="97" t="s">
        <v>651</v>
      </c>
      <c r="E832" s="97" t="s">
        <v>616</v>
      </c>
      <c r="F832" s="97"/>
      <c r="G832" s="132"/>
      <c r="H832" s="98">
        <v>10.0</v>
      </c>
      <c r="I832" s="98"/>
      <c r="J832" s="97"/>
      <c r="K832" s="98"/>
      <c r="L832" s="97"/>
      <c r="M832" s="98"/>
      <c r="N832" s="98"/>
      <c r="O832" s="98"/>
      <c r="P832" s="98"/>
      <c r="Q832" s="98"/>
      <c r="R832" s="98">
        <v>50.0</v>
      </c>
      <c r="S832" s="98">
        <v>10.0</v>
      </c>
      <c r="T832" s="98"/>
      <c r="U832" s="98"/>
      <c r="V832" s="98"/>
      <c r="W832" s="98"/>
      <c r="X832" s="98"/>
      <c r="Y832" s="98"/>
      <c r="Z832" s="98"/>
      <c r="AA832" s="98"/>
      <c r="AB832" s="5"/>
      <c r="AC832" s="47">
        <v>70.0</v>
      </c>
    </row>
    <row r="833" hidden="1">
      <c r="A833" s="76" t="str">
        <f t="array" ref="A833:A834">{"FormulaRow06";(INDEX(CLASSLIST,A822,1))}</f>
        <v>FormulaRow06</v>
      </c>
      <c r="B833" s="77" t="s">
        <v>236</v>
      </c>
      <c r="C833" s="76" t="str">
        <f t="array" ref="C833:C834">{"CLASSTYPE";((INDEX(ALLCLASSDATA,MATCH("ClassType",CLASSFEATUREHEADERS,0),MATCH($A834,CLASSNAMEHEADERS,0))))}</f>
        <v>CLASSTYPE</v>
      </c>
      <c r="D833" s="81" t="str">
        <f t="array" ref="D833:D834">{"SKILLS";"Skills"}</f>
        <v>SKILLS</v>
      </c>
      <c r="E833" s="81" t="str">
        <f t="array" ref="E833:E834">{"EXTRASKILLINCREASES";"Extra Skill Increases"}</f>
        <v>EXTRASKILLINCREASES</v>
      </c>
      <c r="F833" s="81"/>
      <c r="G833" s="81"/>
      <c r="H833" s="81"/>
      <c r="I833" s="81" t="str">
        <f t="array" ref="I833:I834">{"SKILLINCREASEEXTRA-L02";((INDEX(ALLCLASSDATA,MATCH("SkillIncreaseExtra-L02",CLASSFEATUREHEADERS,0),MATCH(($A834 &amp; "Points"),CLASSNAMEHEADERS,0))))}</f>
        <v>SKILLINCREASEEXTRA-L02</v>
      </c>
      <c r="J833" s="81" t="str">
        <f t="array" ref="J833:J834">{"SKILLINCREASEEXTRA-L03";((INDEX(ALLCLASSDATA,MATCH("SkillIncreaseExtra-L03",CLASSFEATUREHEADERS,0),MATCH(($A834 &amp; "Points"),CLASSNAMEHEADERS,0))))}</f>
        <v>SKILLINCREASEEXTRA-L03</v>
      </c>
      <c r="K833" s="81" t="str">
        <f t="array" ref="K833:K834">{"SKILLINCREASEEXTRA-L04";((INDEX(ALLCLASSDATA,MATCH("SkillIncreaseExtra-L04",CLASSFEATUREHEADERS,0),MATCH(($A834 &amp; "Points"),CLASSNAMEHEADERS,0))))}</f>
        <v>SKILLINCREASEEXTRA-L04</v>
      </c>
      <c r="L833" s="81" t="str">
        <f t="array" ref="L833:L834">{"SKILLINCREASEEXTRA-L05";((INDEX(ALLCLASSDATA,MATCH("SkillIncreaseExtra-L05",CLASSFEATUREHEADERS,0),MATCH(($A834 &amp; "Points"),CLASSNAMEHEADERS,0))))}</f>
        <v>SKILLINCREASEEXTRA-L05</v>
      </c>
      <c r="M833" s="81" t="str">
        <f t="array" ref="M833:M834">{"SKILLINCREASEEXTRA-L06";((INDEX(ALLCLASSDATA,MATCH("SkillIncreaseExtra-L06",CLASSFEATUREHEADERS,0),MATCH(($A834 &amp; "Points"),CLASSNAMEHEADERS,0))))}</f>
        <v>SKILLINCREASEEXTRA-L06</v>
      </c>
      <c r="N833" s="81" t="str">
        <f t="array" ref="N833:N834">{"SKILLINCREASEEXTRA-L07";((INDEX(ALLCLASSDATA,MATCH("SkillIncreaseExtra-L07",CLASSFEATUREHEADERS,0),MATCH(($A834 &amp; "Points"),CLASSNAMEHEADERS,0))))}</f>
        <v>SKILLINCREASEEXTRA-L07</v>
      </c>
      <c r="O833" s="81" t="str">
        <f t="array" ref="O833:O834">{"SKILLINCREASEEXTRA-L08";((INDEX(ALLCLASSDATA,MATCH("SkillIncreaseExtra-L08",CLASSFEATUREHEADERS,0),MATCH(($A834 &amp; "Points"),CLASSNAMEHEADERS,0))))}</f>
        <v>SKILLINCREASEEXTRA-L08</v>
      </c>
      <c r="P833" s="81" t="str">
        <f t="array" ref="P833:P834">{"SKILLINCREASEEXTRA-L09";((INDEX(ALLCLASSDATA,MATCH("SkillIncreaseExtra-L09",CLASSFEATUREHEADERS,0),MATCH(($A834 &amp; "Points"),CLASSNAMEHEADERS,0))))}</f>
        <v>SKILLINCREASEEXTRA-L09</v>
      </c>
      <c r="Q833" s="81" t="str">
        <f t="array" ref="Q833:Q834">{"SKILLINCREASEEXTRA-L10";((INDEX(ALLCLASSDATA,MATCH("SkillIncreaseExtra-L10",CLASSFEATUREHEADERS,0),MATCH(($A834 &amp; "Points"),CLASSNAMEHEADERS,0))))}</f>
        <v>SKILLINCREASEEXTRA-L10</v>
      </c>
      <c r="R833" s="81" t="str">
        <f t="array" ref="R833:R834">{"SKILLINCREASEEXTRA-L11";((INDEX(ALLCLASSDATA,MATCH("SkillIncreaseExtra-L11",CLASSFEATUREHEADERS,0),MATCH(($A834 &amp; "Points"),CLASSNAMEHEADERS,0))))}</f>
        <v>SKILLINCREASEEXTRA-L11</v>
      </c>
      <c r="S833" s="81" t="str">
        <f t="array" ref="S833:S834">{"SKILLINCREASEEXTRA-L12";((INDEX(ALLCLASSDATA,MATCH("SkillIncreaseExtra-L12",CLASSFEATUREHEADERS,0),MATCH(($A834 &amp; "Points"),CLASSNAMEHEADERS,0))))}</f>
        <v>SKILLINCREASEEXTRA-L12</v>
      </c>
      <c r="T833" s="81" t="str">
        <f t="array" ref="T833:T834">{"SKILLINCREASEEXTRA-L13";((INDEX(ALLCLASSDATA,MATCH("SkillIncreaseExtra-L13",CLASSFEATUREHEADERS,0),MATCH(($A834 &amp; "Points"),CLASSNAMEHEADERS,0))))}</f>
        <v>SKILLINCREASEEXTRA-L13</v>
      </c>
      <c r="U833" s="81" t="str">
        <f t="array" ref="U833:U834">{"SKILLINCREASEEXTRA-L14";((INDEX(ALLCLASSDATA,MATCH("SkillIncreaseExtra-L14",CLASSFEATUREHEADERS,0),MATCH(($A834 &amp; "Points"),CLASSNAMEHEADERS,0))))}</f>
        <v>SKILLINCREASEEXTRA-L14</v>
      </c>
      <c r="V833" s="81" t="str">
        <f t="array" ref="V833:V834">{"SKILLINCREASEEXTRA-L15";((INDEX(ALLCLASSDATA,MATCH("SkillIncreaseExtra-L15",CLASSFEATUREHEADERS,0),MATCH(($A834 &amp; "Points"),CLASSNAMEHEADERS,0))))}</f>
        <v>SKILLINCREASEEXTRA-L15</v>
      </c>
      <c r="W833" s="81" t="str">
        <f t="array" ref="W833:W834">{"SKILLINCREASEEXTRA-L16";((INDEX(ALLCLASSDATA,MATCH("SkillIncreaseExtra-L16",CLASSFEATUREHEADERS,0),MATCH(($A834 &amp; "Points"),CLASSNAMEHEADERS,0))))}</f>
        <v>SKILLINCREASEEXTRA-L16</v>
      </c>
      <c r="X833" s="81" t="str">
        <f t="array" ref="X833:X834">{"SKILLINCREASEEXTRA-L17";((INDEX(ALLCLASSDATA,MATCH("SkillIncreaseExtra-L17",CLASSFEATUREHEADERS,0),MATCH(($A834 &amp; "Points"),CLASSNAMEHEADERS,0))))}</f>
        <v>SKILLINCREASEEXTRA-L17</v>
      </c>
      <c r="Y833" s="81" t="str">
        <f t="array" ref="Y833:Y834">{"SKILLINCREASEEXTRA-L18";((INDEX(ALLCLASSDATA,MATCH("SkillIncreaseExtra-L18",CLASSFEATUREHEADERS,0),MATCH(($A834 &amp; "Points"),CLASSNAMEHEADERS,0))))}</f>
        <v>SKILLINCREASEEXTRA-L18</v>
      </c>
      <c r="Z833" s="81" t="str">
        <f t="array" ref="Z833:Z834">{"SKILLINCREASEEXTRA-L19";((INDEX(ALLCLASSDATA,MATCH("SkillIncreaseExtra-L19",CLASSFEATUREHEADERS,0),MATCH(($A834 &amp; "Points"),CLASSNAMEHEADERS,0))))}</f>
        <v>SKILLINCREASEEXTRA-L19</v>
      </c>
      <c r="AA833" s="81" t="str">
        <f t="array" ref="AA833:AA834">{"SKILLINCREASEEXTRA-L20";((INDEX(ALLCLASSDATA,MATCH("SkillIncreaseExtra-L20",CLASSFEATUREHEADERS,0),MATCH(($A834 &amp; "Points"),CLASSNAMEHEADERS,0))))}</f>
        <v>SKILLINCREASEEXTRA-L20</v>
      </c>
      <c r="AB833" s="76"/>
      <c r="AC833" s="76" t="str">
        <f t="array" ref="AC833:AC834">{"SKILLINCREASE TOTAL";(sum(G834:AA834))}</f>
        <v>SKILLINCREASE TOTAL</v>
      </c>
    </row>
    <row r="834">
      <c r="A834" s="48" t="s">
        <v>180</v>
      </c>
      <c r="B834" s="48"/>
      <c r="C834" s="48" t="s">
        <v>413</v>
      </c>
      <c r="D834" s="48" t="s">
        <v>659</v>
      </c>
      <c r="E834" s="48" t="s">
        <v>661</v>
      </c>
      <c r="F834" s="48"/>
      <c r="G834" s="47"/>
      <c r="H834" s="5"/>
      <c r="I834" s="5" t="s">
        <v>603</v>
      </c>
      <c r="J834" s="5" t="s">
        <v>603</v>
      </c>
      <c r="K834" s="5" t="s">
        <v>603</v>
      </c>
      <c r="L834" s="48" t="s">
        <v>603</v>
      </c>
      <c r="M834" s="5" t="s">
        <v>603</v>
      </c>
      <c r="N834" s="5" t="s">
        <v>603</v>
      </c>
      <c r="O834" s="5" t="s">
        <v>603</v>
      </c>
      <c r="P834" s="5" t="s">
        <v>603</v>
      </c>
      <c r="Q834" s="5" t="s">
        <v>603</v>
      </c>
      <c r="R834" s="5" t="s">
        <v>603</v>
      </c>
      <c r="S834" s="5" t="s">
        <v>603</v>
      </c>
      <c r="T834" s="5" t="s">
        <v>603</v>
      </c>
      <c r="U834" s="5" t="s">
        <v>603</v>
      </c>
      <c r="V834" s="5" t="s">
        <v>603</v>
      </c>
      <c r="W834" s="5" t="s">
        <v>603</v>
      </c>
      <c r="X834" s="5" t="s">
        <v>603</v>
      </c>
      <c r="Y834" s="5" t="s">
        <v>603</v>
      </c>
      <c r="Z834" s="5" t="s">
        <v>603</v>
      </c>
      <c r="AA834" s="5" t="s">
        <v>603</v>
      </c>
      <c r="AB834" s="5"/>
      <c r="AC834" s="47">
        <v>0.0</v>
      </c>
    </row>
    <row r="835" hidden="1">
      <c r="A835" s="76" t="str">
        <f t="array" ref="A835:A836">{"FormulaRow07";(INDEX(CLASSLIST,A822,1))}</f>
        <v>FormulaRow07</v>
      </c>
      <c r="B835" s="77" t="s">
        <v>236</v>
      </c>
      <c r="C835" s="76" t="str">
        <f t="array" ref="C835:C836">{"CLASSTYPE";((INDEX(ALLCLASSDATA,MATCH("ClassType",CLASSFEATUREHEADERS,0),MATCH($A836,CLASSNAMEHEADERS,0))))}</f>
        <v>CLASSTYPE</v>
      </c>
      <c r="D835" s="76" t="str">
        <f t="array" ref="D835:D836">{"SKILLS";"Skills"}</f>
        <v>SKILLS</v>
      </c>
      <c r="E835" s="76" t="str">
        <f t="array" ref="E835:E836">{"EXTRASKILLFEATS";"Extra Skill Feats"}</f>
        <v>EXTRASKILLFEATS</v>
      </c>
      <c r="F835" s="76"/>
      <c r="G835" s="76"/>
      <c r="H835" s="76" t="str">
        <f t="array" ref="H835:H836">{"SKILLFEATEXTRA-L01";((INDEX(ALLCLASSDATA,MATCH("SkillFeatExtra-L01",CLASSFEATUREHEADERS,0),MATCH(($A836 &amp; "Points"),CLASSNAMEHEADERS,0))))}</f>
        <v>SKILLFEATEXTRA-L01</v>
      </c>
      <c r="I835" s="76" t="str">
        <f t="array" ref="I835:I836">{"SKILLFEATEXTRA-L02";((INDEX(ALLCLASSDATA,MATCH("SkillFeatExtra-L02",CLASSFEATUREHEADERS,0),MATCH(($A836 &amp; "Points"),CLASSNAMEHEADERS,0))))}</f>
        <v>SKILLFEATEXTRA-L02</v>
      </c>
      <c r="J835" s="76" t="str">
        <f t="array" ref="J835:J836">{"SKILLFEATEXTRA-L03";((INDEX(ALLCLASSDATA,MATCH("SkillFeatExtra-L03",CLASSFEATUREHEADERS,0),MATCH(($A836 &amp; "Points"),CLASSNAMEHEADERS,0))))}</f>
        <v>SKILLFEATEXTRA-L03</v>
      </c>
      <c r="K835" s="76" t="str">
        <f t="array" ref="K835:K836">{"SKILLFEATEXTRA-L04";((INDEX(ALLCLASSDATA,MATCH("SkillFeatExtra-L04",CLASSFEATUREHEADERS,0),MATCH(($A836 &amp; "Points"),CLASSNAMEHEADERS,0))))}</f>
        <v>SKILLFEATEXTRA-L04</v>
      </c>
      <c r="L835" s="76" t="str">
        <f t="array" ref="L835:L836">{"SKILLFEATEXTRA-L05";((INDEX(ALLCLASSDATA,MATCH("SkillFeatExtra-L05",CLASSFEATUREHEADERS,0),MATCH(($A836 &amp; "Points"),CLASSNAMEHEADERS,0))))}</f>
        <v>SKILLFEATEXTRA-L05</v>
      </c>
      <c r="M835" s="76" t="str">
        <f t="array" ref="M835:M836">{"SKILLFEATEXTRA-L06";((INDEX(ALLCLASSDATA,MATCH("SkillFeatExtra-L06",CLASSFEATUREHEADERS,0),MATCH(($A836 &amp; "Points"),CLASSNAMEHEADERS,0))))}</f>
        <v>SKILLFEATEXTRA-L06</v>
      </c>
      <c r="N835" s="76" t="str">
        <f t="array" ref="N835:N836">{"SKILLFEATEXTRA-L07";((INDEX(ALLCLASSDATA,MATCH("SkillFeatExtra-L07",CLASSFEATUREHEADERS,0),MATCH(($A836 &amp; "Points"),CLASSNAMEHEADERS,0))))}</f>
        <v>SKILLFEATEXTRA-L07</v>
      </c>
      <c r="O835" s="76" t="str">
        <f t="array" ref="O835:O836">{"SKILLFEATEXTRA-L08";((INDEX(ALLCLASSDATA,MATCH("SkillFeatExtra-L08",CLASSFEATUREHEADERS,0),MATCH(($A836 &amp; "Points"),CLASSNAMEHEADERS,0))))}</f>
        <v>SKILLFEATEXTRA-L08</v>
      </c>
      <c r="P835" s="76" t="str">
        <f t="array" ref="P835:P836">{"SKILLFEATEXTRA-L09";((INDEX(ALLCLASSDATA,MATCH("SkillFeatExtra-L09",CLASSFEATUREHEADERS,0),MATCH(($A836 &amp; "Points"),CLASSNAMEHEADERS,0))))}</f>
        <v>SKILLFEATEXTRA-L09</v>
      </c>
      <c r="Q835" s="76" t="str">
        <f t="array" ref="Q835:Q836">{"SKILLFEATEXTRA-L10";((INDEX(ALLCLASSDATA,MATCH("SkillFeatExtra-L10",CLASSFEATUREHEADERS,0),MATCH(($A836 &amp; "Points"),CLASSNAMEHEADERS,0))))}</f>
        <v>SKILLFEATEXTRA-L10</v>
      </c>
      <c r="R835" s="76" t="str">
        <f t="array" ref="R835:R836">{"SKILLFEATEXTRA-L11";((INDEX(ALLCLASSDATA,MATCH("SkillFeatExtra-L11",CLASSFEATUREHEADERS,0),MATCH(($A836 &amp; "Points"),CLASSNAMEHEADERS,0))))}</f>
        <v>SKILLFEATEXTRA-L11</v>
      </c>
      <c r="S835" s="76" t="str">
        <f t="array" ref="S835:S836">{"SKILLFEATEXTRA-L12";((INDEX(ALLCLASSDATA,MATCH("SkillFeatExtra-L12",CLASSFEATUREHEADERS,0),MATCH(($A836 &amp; "Points"),CLASSNAMEHEADERS,0))))}</f>
        <v>SKILLFEATEXTRA-L12</v>
      </c>
      <c r="T835" s="76" t="str">
        <f t="array" ref="T835:T836">{"SKILLFEATEXTRA-L13";((INDEX(ALLCLASSDATA,MATCH("SkillFeatExtra-L13",CLASSFEATUREHEADERS,0),MATCH(($A836 &amp; "Points"),CLASSNAMEHEADERS,0))))}</f>
        <v>SKILLFEATEXTRA-L13</v>
      </c>
      <c r="U835" s="76" t="str">
        <f t="array" ref="U835:U836">{"SKILLFEATEXTRA-L14";((INDEX(ALLCLASSDATA,MATCH("SkillFeatExtra-L14",CLASSFEATUREHEADERS,0),MATCH(($A836 &amp; "Points"),CLASSNAMEHEADERS,0))))}</f>
        <v>SKILLFEATEXTRA-L14</v>
      </c>
      <c r="V835" s="76" t="str">
        <f t="array" ref="V835:V836">{"SKILLFEATEXTRA-L15";((INDEX(ALLCLASSDATA,MATCH("SkillFeatExtra-L15",CLASSFEATUREHEADERS,0),MATCH(($A836 &amp; "Points"),CLASSNAMEHEADERS,0))))}</f>
        <v>SKILLFEATEXTRA-L15</v>
      </c>
      <c r="W835" s="76" t="str">
        <f t="array" ref="W835:W836">{"SKILLFEATEXTRA-L16";((INDEX(ALLCLASSDATA,MATCH("SkillFeatExtra-L16",CLASSFEATUREHEADERS,0),MATCH(($A836 &amp; "Points"),CLASSNAMEHEADERS,0))))}</f>
        <v>SKILLFEATEXTRA-L16</v>
      </c>
      <c r="X835" s="76" t="str">
        <f t="array" ref="X835:X836">{"SKILLFEATEXTRA-L17";((INDEX(ALLCLASSDATA,MATCH("SkillFeatExtra-L17",CLASSFEATUREHEADERS,0),MATCH(($A836 &amp; "Points"),CLASSNAMEHEADERS,0))))}</f>
        <v>SKILLFEATEXTRA-L17</v>
      </c>
      <c r="Y835" s="76" t="str">
        <f t="array" ref="Y835:Y836">{"SKILLFEATEXTRA-L18";((INDEX(ALLCLASSDATA,MATCH("SkillFeatExtra-L18",CLASSFEATUREHEADERS,0),MATCH(($A836 &amp; "Points"),CLASSNAMEHEADERS,0))))}</f>
        <v>SKILLFEATEXTRA-L18</v>
      </c>
      <c r="Z835" s="76" t="str">
        <f t="array" ref="Z835:Z836">{"SKILLFEATEXTRA-L19";((INDEX(ALLCLASSDATA,MATCH("SkillFeatExtra-L19",CLASSFEATUREHEADERS,0),MATCH(($A836 &amp; "Points"),CLASSNAMEHEADERS,0))))}</f>
        <v>SKILLFEATEXTRA-L19</v>
      </c>
      <c r="AA835" s="76" t="str">
        <f t="array" ref="AA835:AA836">{"SKILLFEATEXTRA-L20";((INDEX(ALLCLASSDATA,MATCH("SkillFeatExtra-L20",CLASSFEATUREHEADERS,0),MATCH(($A836 &amp; "Points"),CLASSNAMEHEADERS,0))))}</f>
        <v>SKILLFEATEXTRA-L20</v>
      </c>
      <c r="AB835" s="76"/>
      <c r="AC835" s="76" t="str">
        <f t="array" ref="AC835:AC836">{"SKILLFEAT TOTAL";(sum(G836:AA836))}</f>
        <v>SKILLFEAT TOTAL</v>
      </c>
    </row>
    <row r="836">
      <c r="A836" s="48" t="s">
        <v>180</v>
      </c>
      <c r="B836" s="48"/>
      <c r="C836" s="48" t="s">
        <v>413</v>
      </c>
      <c r="D836" s="97" t="s">
        <v>659</v>
      </c>
      <c r="E836" s="97" t="s">
        <v>722</v>
      </c>
      <c r="F836" s="97"/>
      <c r="G836" s="132"/>
      <c r="H836" s="98" t="s">
        <v>603</v>
      </c>
      <c r="I836" s="98" t="s">
        <v>603</v>
      </c>
      <c r="J836" s="97" t="s">
        <v>603</v>
      </c>
      <c r="K836" s="98" t="s">
        <v>603</v>
      </c>
      <c r="L836" s="97" t="s">
        <v>603</v>
      </c>
      <c r="M836" s="98" t="s">
        <v>603</v>
      </c>
      <c r="N836" s="98" t="s">
        <v>603</v>
      </c>
      <c r="O836" s="98" t="s">
        <v>603</v>
      </c>
      <c r="P836" s="98" t="s">
        <v>603</v>
      </c>
      <c r="Q836" s="98" t="s">
        <v>603</v>
      </c>
      <c r="R836" s="98" t="s">
        <v>603</v>
      </c>
      <c r="S836" s="98" t="s">
        <v>603</v>
      </c>
      <c r="T836" s="98" t="s">
        <v>603</v>
      </c>
      <c r="U836" s="98" t="s">
        <v>603</v>
      </c>
      <c r="V836" s="98" t="s">
        <v>603</v>
      </c>
      <c r="W836" s="98" t="s">
        <v>603</v>
      </c>
      <c r="X836" s="98" t="s">
        <v>603</v>
      </c>
      <c r="Y836" s="98" t="s">
        <v>603</v>
      </c>
      <c r="Z836" s="98" t="s">
        <v>603</v>
      </c>
      <c r="AA836" s="98" t="s">
        <v>603</v>
      </c>
      <c r="AB836" s="5"/>
      <c r="AC836" s="47">
        <v>0.0</v>
      </c>
    </row>
    <row r="837" hidden="1">
      <c r="A837" s="76" t="str">
        <f t="array" ref="A837:A838">{"FormulaRow08";(INDEX(CLASSLIST,A822,1))}</f>
        <v>FormulaRow08</v>
      </c>
      <c r="B837" s="77" t="s">
        <v>236</v>
      </c>
      <c r="C837" s="76" t="str">
        <f t="array" ref="C837:C838">{"CLASSTYPE";((INDEX(ALLCLASSDATA,MATCH("ClassType",CLASSFEATUREHEADERS,0),MATCH($A838,CLASSNAMEHEADERS,0))))}</f>
        <v>CLASSTYPE</v>
      </c>
      <c r="D837" s="81" t="str">
        <f t="array" ref="D837:D838">{"CLASSABILITY";"ClassAbility"}</f>
        <v>CLASSABILITY</v>
      </c>
      <c r="E837" s="81" t="str">
        <f t="array" ref="E837:E838">{"CLASSABILITY1";"ClassAbility1"}</f>
        <v>CLASSABILITY1</v>
      </c>
      <c r="F837" s="81"/>
      <c r="G837" s="81"/>
      <c r="H837" s="81"/>
      <c r="I837" s="81"/>
      <c r="J837" s="81" t="str">
        <f t="array" ref="J837:J838">{"CLASSABILITY1-L03";((INDEX(ALLCLASSDATA,MATCH("ClassAbility1-L03",CLASSFEATUREHEADERS,0),MATCH(($A838),CLASSNAMEHEADERS,0))))}</f>
        <v>CLASSABILITY1-L03</v>
      </c>
      <c r="K837" s="81"/>
      <c r="L837" s="81" t="str">
        <f t="array" ref="L837:L838">{"CLASSABILITY1-L05";((INDEX(ALLCLASSDATA,MATCH("ClassAbility1-L05",CLASSFEATUREHEADERS,0),MATCH(($A838),CLASSNAMEHEADERS,0))))}</f>
        <v>CLASSABILITY1-L05</v>
      </c>
      <c r="M837" s="81"/>
      <c r="N837" s="81" t="str">
        <f t="array" ref="N837:N838">{"CLASSABILITY1-L07";((INDEX(ALLCLASSDATA,MATCH("ClassAbility1-L07",CLASSFEATUREHEADERS,0),MATCH(($A838),CLASSNAMEHEADERS,0))))}</f>
        <v>CLASSABILITY1-L07</v>
      </c>
      <c r="O837" s="81"/>
      <c r="P837" s="81" t="str">
        <f t="array" ref="P837:P838">{"CLASSABILITY1-L09";((INDEX(ALLCLASSDATA,MATCH("ClassAbility1-L09",CLASSFEATUREHEADERS,0),MATCH(($A838),CLASSNAMEHEADERS,0))))}</f>
        <v>CLASSABILITY1-L09</v>
      </c>
      <c r="Q837" s="81"/>
      <c r="R837" s="81" t="str">
        <f t="array" ref="R837:R838">{"CLASSABILITY1-L11";((INDEX(ALLCLASSDATA,MATCH("ClassAbility1-L11",CLASSFEATUREHEADERS,0),MATCH(($A838),CLASSNAMEHEADERS,0))))}</f>
        <v>CLASSABILITY1-L11</v>
      </c>
      <c r="S837" s="81"/>
      <c r="T837" s="81" t="str">
        <f t="array" ref="T837:T838">{"CLASSABILITY1-L13";((INDEX(ALLCLASSDATA,MATCH("ClassAbility1-L13",CLASSFEATUREHEADERS,0),MATCH(($A838),CLASSNAMEHEADERS,0))))}</f>
        <v>CLASSABILITY1-L13</v>
      </c>
      <c r="U837" s="81"/>
      <c r="V837" s="81" t="str">
        <f t="array" ref="V837:V838">{"CLASSABILITY1-L15";((INDEX(ALLCLASSDATA,MATCH("ClassAbility1-L15",CLASSFEATUREHEADERS,0),MATCH(($A838),CLASSNAMEHEADERS,0))))}</f>
        <v>CLASSABILITY1-L15</v>
      </c>
      <c r="W837" s="81"/>
      <c r="X837" s="81" t="str">
        <f t="array" ref="X837:X838">{"CLASSABILITY1-L17";((INDEX(ALLCLASSDATA,MATCH("ClassAbility1-L17",CLASSFEATUREHEADERS,0),MATCH(($A838),CLASSNAMEHEADERS,0))))}</f>
        <v>CLASSABILITY1-L17</v>
      </c>
      <c r="Y837" s="81"/>
      <c r="Z837" s="81" t="str">
        <f t="array" ref="Z837:Z838">{"CLASSABILITY1-L19";((INDEX(ALLCLASSDATA,MATCH("ClassAbility1-L19",CLASSFEATUREHEADERS,0),MATCH(($A838),CLASSNAMEHEADERS,0))))}</f>
        <v>CLASSABILITY1-L19</v>
      </c>
      <c r="AA837" s="81"/>
      <c r="AB837" s="76"/>
      <c r="AC837" s="76"/>
    </row>
    <row r="838">
      <c r="A838" s="48" t="s">
        <v>180</v>
      </c>
      <c r="B838" s="48"/>
      <c r="C838" s="48" t="s">
        <v>413</v>
      </c>
      <c r="D838" s="48" t="s">
        <v>825</v>
      </c>
      <c r="E838" s="48" t="s">
        <v>826</v>
      </c>
      <c r="F838" s="5"/>
      <c r="G838" s="47"/>
      <c r="H838" s="5"/>
      <c r="I838" s="5"/>
      <c r="J838" s="5" t="s">
        <v>987</v>
      </c>
      <c r="K838" s="5"/>
      <c r="L838" s="5" t="s">
        <v>1694</v>
      </c>
      <c r="M838" s="5"/>
      <c r="N838" s="5" t="s">
        <v>369</v>
      </c>
      <c r="O838" s="5"/>
      <c r="P838" s="5" t="s">
        <v>1720</v>
      </c>
      <c r="Q838" s="5"/>
      <c r="R838" s="5" t="s">
        <v>326</v>
      </c>
      <c r="S838" s="5"/>
      <c r="T838" s="5" t="s">
        <v>1751</v>
      </c>
      <c r="U838" s="5"/>
      <c r="V838" s="5" t="s">
        <v>371</v>
      </c>
      <c r="W838" s="5"/>
      <c r="X838" s="5" t="s">
        <v>1774</v>
      </c>
      <c r="Y838" s="5"/>
      <c r="Z838" s="5" t="s">
        <v>311</v>
      </c>
      <c r="AA838" s="5"/>
      <c r="AB838" s="5"/>
      <c r="AC838" s="47"/>
    </row>
    <row r="839" hidden="1">
      <c r="A839" s="76" t="str">
        <f t="array" ref="A839:A840">{"FormulaRow09";(INDEX(CLASSLIST,A822,1))}</f>
        <v>FormulaRow09</v>
      </c>
      <c r="B839" s="77" t="s">
        <v>236</v>
      </c>
      <c r="C839" s="76" t="str">
        <f t="array" ref="C839:C840">{"CLASSTYPE";((INDEX(ALLCLASSDATA,MATCH("ClassType",CLASSFEATUREHEADERS,0),MATCH($A840,CLASSNAMEHEADERS,0))))}</f>
        <v>CLASSTYPE</v>
      </c>
      <c r="D839" s="76" t="str">
        <f t="array" ref="D839:D840">{"CLASSABILITYPTS";"ClassAbilityPts"}</f>
        <v>CLASSABILITYPTS</v>
      </c>
      <c r="E839" s="76" t="str">
        <f t="array" ref="E839:E840">{"CLASSABILITY1";"ClassAbility1"}</f>
        <v>CLASSABILITY1</v>
      </c>
      <c r="F839" s="76"/>
      <c r="G839" s="76"/>
      <c r="H839" s="76"/>
      <c r="I839" s="76"/>
      <c r="J839" s="76" t="str">
        <f t="array" ref="J839:J840">{"CLASSABILITY1-L03PTS";((INDEX(ALLCLASSDATA,MATCH("ClassAbility1-L03",CLASSFEATUREHEADERS,0),MATCH(($A840 &amp; "Points"),CLASSNAMEHEADERS,0))))}</f>
        <v>CLASSABILITY1-L03PTS</v>
      </c>
      <c r="K839" s="76"/>
      <c r="L839" s="76" t="str">
        <f t="array" ref="L839:L840">{"CLASSABILITY1-L05PTS";((INDEX(ALLCLASSDATA,MATCH("ClassAbility1-L05",CLASSFEATUREHEADERS,0),MATCH(($A840 &amp; "Points"),CLASSNAMEHEADERS,0))))}</f>
        <v>CLASSABILITY1-L05PTS</v>
      </c>
      <c r="M839" s="76"/>
      <c r="N839" s="76" t="str">
        <f t="array" ref="N839:N840">{"CLASSABILITY1-L07PTS";((INDEX(ALLCLASSDATA,MATCH("ClassAbility1-L07",CLASSFEATUREHEADERS,0),MATCH(($A840 &amp; "Points"),CLASSNAMEHEADERS,0))))}</f>
        <v>CLASSABILITY1-L07PTS</v>
      </c>
      <c r="O839" s="76"/>
      <c r="P839" s="76" t="str">
        <f t="array" ref="P839:P840">{"CLASSABILITY1-L09PTS";((INDEX(ALLCLASSDATA,MATCH("ClassAbility1-L09",CLASSFEATUREHEADERS,0),MATCH(($A840 &amp; "Points"),CLASSNAMEHEADERS,0))))}</f>
        <v>CLASSABILITY1-L09PTS</v>
      </c>
      <c r="Q839" s="76"/>
      <c r="R839" s="76" t="str">
        <f t="array" ref="R839:R840">{"CLASSABILITY1-L11PTS";((INDEX(ALLCLASSDATA,MATCH("ClassAbility1-L11",CLASSFEATUREHEADERS,0),MATCH(($A840 &amp; "Points"),CLASSNAMEHEADERS,0))))}</f>
        <v>CLASSABILITY1-L11PTS</v>
      </c>
      <c r="S839" s="76"/>
      <c r="T839" s="76" t="str">
        <f t="array" ref="T839:T840">{"CLASSABILITY1-L13PTS";((INDEX(ALLCLASSDATA,MATCH("ClassAbility1-L13",CLASSFEATUREHEADERS,0),MATCH(($A840 &amp; "Points"),CLASSNAMEHEADERS,0))))}</f>
        <v>CLASSABILITY1-L13PTS</v>
      </c>
      <c r="U839" s="76"/>
      <c r="V839" s="76" t="str">
        <f t="array" ref="V839:V840">{"CLASSABILITY1-L15PTS";((INDEX(ALLCLASSDATA,MATCH("ClassAbility1-L15",CLASSFEATUREHEADERS,0),MATCH(($A840 &amp; "Points"),CLASSNAMEHEADERS,0))))}</f>
        <v>CLASSABILITY1-L15PTS</v>
      </c>
      <c r="W839" s="76"/>
      <c r="X839" s="76" t="str">
        <f t="array" ref="X839:X840">{"CLASSABILITY1-L17PTS";((INDEX(ALLCLASSDATA,MATCH("ClassAbility1-L17",CLASSFEATUREHEADERS,0),MATCH(($A840 &amp; "Points"),CLASSNAMEHEADERS,0))))}</f>
        <v>CLASSABILITY1-L17PTS</v>
      </c>
      <c r="Y839" s="76"/>
      <c r="Z839" s="76" t="str">
        <f t="array" ref="Z839:Z840">{"CLASSABILITY1-L19PTS";((INDEX(ALLCLASSDATA,MATCH("ClassAbility1-L19",CLASSFEATUREHEADERS,0),MATCH(($A840 &amp; "Points"),CLASSNAMEHEADERS,0))))}</f>
        <v>CLASSABILITY1-L19PTS</v>
      </c>
      <c r="AA839" s="76"/>
      <c r="AB839" s="76"/>
      <c r="AC839" s="76" t="str">
        <f t="array" ref="AC839:AC840">{"CLASSABILITY1 TOTAL";(sum(G840:AA840))}</f>
        <v>CLASSABILITY1 TOTAL</v>
      </c>
    </row>
    <row r="840">
      <c r="A840" s="48" t="s">
        <v>180</v>
      </c>
      <c r="B840" s="48"/>
      <c r="C840" s="48" t="s">
        <v>413</v>
      </c>
      <c r="D840" s="48" t="s">
        <v>930</v>
      </c>
      <c r="E840" s="48" t="s">
        <v>826</v>
      </c>
      <c r="F840" s="5"/>
      <c r="G840" s="5"/>
      <c r="H840" s="5"/>
      <c r="I840" s="5"/>
      <c r="J840" s="48">
        <v>30.0</v>
      </c>
      <c r="K840" s="5"/>
      <c r="L840" s="5"/>
      <c r="M840" s="5"/>
      <c r="N840" s="5"/>
      <c r="O840" s="5"/>
      <c r="P840" s="5"/>
      <c r="Q840" s="5"/>
      <c r="R840" s="5"/>
      <c r="S840" s="5"/>
      <c r="T840" s="5"/>
      <c r="U840" s="5"/>
      <c r="V840" s="5"/>
      <c r="W840" s="5"/>
      <c r="X840" s="5">
        <v>10.0</v>
      </c>
      <c r="Y840" s="5"/>
      <c r="Z840" s="5"/>
      <c r="AA840" s="5"/>
      <c r="AB840" s="5"/>
      <c r="AC840" s="47">
        <v>40.0</v>
      </c>
    </row>
    <row r="841" hidden="1">
      <c r="A841" s="76" t="str">
        <f t="array" ref="A841:A842">{"FormulaRow10";(INDEX(CLASSLIST,A822,1))}</f>
        <v>FormulaRow10</v>
      </c>
      <c r="B841" s="77" t="s">
        <v>236</v>
      </c>
      <c r="C841" s="76" t="str">
        <f t="array" ref="C841:C842">{"CLASSTYPE";((INDEX(ALLCLASSDATA,MATCH("ClassType",CLASSFEATUREHEADERS,0),MATCH($A842,CLASSNAMEHEADERS,0))))}</f>
        <v>CLASSTYPE</v>
      </c>
      <c r="D841" s="76" t="str">
        <f t="array" ref="D841:D842">{"CLASSABILITY";"ClassAbility"}</f>
        <v>CLASSABILITY</v>
      </c>
      <c r="E841" s="76" t="str">
        <f t="array" ref="E841:E842">{"CLASSABILITY2";"ClassAbility2"}</f>
        <v>CLASSABILITY2</v>
      </c>
      <c r="F841" s="76"/>
      <c r="G841" s="76"/>
      <c r="H841" s="76"/>
      <c r="I841" s="76"/>
      <c r="J841" s="76" t="str">
        <f t="array" ref="J841:J842">{"CLASSABILITY2-L03";((INDEX(ALLCLASSDATA,MATCH("ClassAbility2-L03",CLASSFEATUREHEADERS,0),MATCH(($A842),CLASSNAMEHEADERS,0))))}</f>
        <v>CLASSABILITY2-L03</v>
      </c>
      <c r="K841" s="76"/>
      <c r="L841" s="76" t="str">
        <f t="array" ref="L841:L842">{"CLASSABILITY2-L05";((INDEX(ALLCLASSDATA,MATCH("ClassAbility2-L05",CLASSFEATUREHEADERS,0),MATCH(($A842),CLASSNAMEHEADERS,0))))}</f>
        <v>CLASSABILITY2-L05</v>
      </c>
      <c r="M841" s="76"/>
      <c r="N841" s="76" t="str">
        <f t="array" ref="N841:N842">{"CLASSABILITY2-L07";((INDEX(ALLCLASSDATA,MATCH("ClassAbility2-L07",CLASSFEATUREHEADERS,0),MATCH(($A842),CLASSNAMEHEADERS,0))))}</f>
        <v>CLASSABILITY2-L07</v>
      </c>
      <c r="O841" s="76"/>
      <c r="P841" s="76" t="str">
        <f t="array" ref="P841:P842">{"CLASSABILITY2-L09";((INDEX(ALLCLASSDATA,MATCH("ClassAbility2-L09",CLASSFEATUREHEADERS,0),MATCH(($A842),CLASSNAMEHEADERS,0))))}</f>
        <v>CLASSABILITY2-L09</v>
      </c>
      <c r="Q841" s="76"/>
      <c r="R841" s="76" t="str">
        <f t="array" ref="R841:R842">{"CLASSABILITY2-L11";((INDEX(ALLCLASSDATA,MATCH("ClassAbility2-L11",CLASSFEATUREHEADERS,0),MATCH(($A842),CLASSNAMEHEADERS,0))))}</f>
        <v>CLASSABILITY2-L11</v>
      </c>
      <c r="S841" s="76"/>
      <c r="T841" s="76" t="str">
        <f t="array" ref="T841:T842">{"CLASSABILITY2-L13";((INDEX(ALLCLASSDATA,MATCH("ClassAbility2-L13",CLASSFEATUREHEADERS,0),MATCH(($A842),CLASSNAMEHEADERS,0))))}</f>
        <v>CLASSABILITY2-L13</v>
      </c>
      <c r="U841" s="76"/>
      <c r="V841" s="76" t="str">
        <f t="array" ref="V841:V842">{"CLASSABILITY2-L15";((INDEX(ALLCLASSDATA,MATCH("ClassAbility2-L15",CLASSFEATUREHEADERS,0),MATCH(($A842),CLASSNAMEHEADERS,0))))}</f>
        <v>CLASSABILITY2-L15</v>
      </c>
      <c r="W841" s="76"/>
      <c r="X841" s="76" t="str">
        <f t="array" ref="X841:X842">{"CLASSABILITY2-L17";((INDEX(ALLCLASSDATA,MATCH("ClassAbility2-L17",CLASSFEATUREHEADERS,0),MATCH(($A842),CLASSNAMEHEADERS,0))))}</f>
        <v>CLASSABILITY2-L17</v>
      </c>
      <c r="Y841" s="76"/>
      <c r="Z841" s="76" t="str">
        <f t="array" ref="Z841:Z842">{"CLASSABILITY2-L19";((INDEX(ALLCLASSDATA,MATCH("ClassAbility2-L19",CLASSFEATUREHEADERS,0),MATCH(($A842),CLASSNAMEHEADERS,0))))}</f>
        <v>CLASSABILITY2-L19</v>
      </c>
      <c r="AA841" s="76"/>
      <c r="AB841" s="76"/>
      <c r="AC841" s="76"/>
    </row>
    <row r="842">
      <c r="A842" s="48" t="s">
        <v>180</v>
      </c>
      <c r="B842" s="48"/>
      <c r="C842" s="48" t="s">
        <v>413</v>
      </c>
      <c r="D842" s="48" t="s">
        <v>825</v>
      </c>
      <c r="E842" s="48" t="s">
        <v>1007</v>
      </c>
      <c r="F842" s="48"/>
      <c r="G842" s="47"/>
      <c r="H842" s="5"/>
      <c r="I842" s="5"/>
      <c r="J842" s="5"/>
      <c r="K842" s="5"/>
      <c r="L842" s="5"/>
      <c r="M842" s="5"/>
      <c r="N842" s="5" t="s">
        <v>308</v>
      </c>
      <c r="O842" s="5"/>
      <c r="P842" s="5"/>
      <c r="Q842" s="5"/>
      <c r="R842" s="5"/>
      <c r="S842" s="5"/>
      <c r="T842" s="5" t="s">
        <v>1731</v>
      </c>
      <c r="U842" s="5"/>
      <c r="V842" s="5"/>
      <c r="W842" s="5"/>
      <c r="X842" s="5" t="s">
        <v>317</v>
      </c>
      <c r="Y842" s="5"/>
      <c r="Z842" s="5" t="s">
        <v>1782</v>
      </c>
      <c r="AA842" s="5"/>
      <c r="AB842" s="5"/>
      <c r="AC842" s="47"/>
    </row>
    <row r="843" hidden="1">
      <c r="A843" s="76" t="str">
        <f t="array" ref="A843:A844">{"FormulaRow11";(INDEX(CLASSLIST,A822,1))}</f>
        <v>FormulaRow11</v>
      </c>
      <c r="B843" s="77" t="s">
        <v>236</v>
      </c>
      <c r="C843" s="76" t="str">
        <f t="array" ref="C843:C844">{"CLASSTYPE";((INDEX(ALLCLASSDATA,MATCH("ClassType",CLASSFEATUREHEADERS,0),MATCH($A844,CLASSNAMEHEADERS,0))))}</f>
        <v>CLASSTYPE</v>
      </c>
      <c r="D843" s="76" t="str">
        <f t="array" ref="D843:D844">{"CLASSABILITYPTS";"ClassAbilityPts"}</f>
        <v>CLASSABILITYPTS</v>
      </c>
      <c r="E843" s="76" t="str">
        <f t="array" ref="E843:E844">{"CLASSABILITY2";"ClassAbility2"}</f>
        <v>CLASSABILITY2</v>
      </c>
      <c r="F843" s="76"/>
      <c r="G843" s="76"/>
      <c r="H843" s="76"/>
      <c r="I843" s="76"/>
      <c r="J843" s="76" t="str">
        <f t="array" ref="J843:J844">{"CLASSABILITY2-L03PTS";((INDEX(ALLCLASSDATA,MATCH("ClassAbility2-L03",CLASSFEATUREHEADERS,0),MATCH(($A844 &amp; "Points"),CLASSNAMEHEADERS,0))))}</f>
        <v>CLASSABILITY2-L03PTS</v>
      </c>
      <c r="K843" s="76"/>
      <c r="L843" s="76" t="str">
        <f t="array" ref="L843:L844">{"CLASSABILITY2-L05PTS";((INDEX(ALLCLASSDATA,MATCH("ClassAbility2-L05",CLASSFEATUREHEADERS,0),MATCH(($A844 &amp; "Points"),CLASSNAMEHEADERS,0))))}</f>
        <v>CLASSABILITY2-L05PTS</v>
      </c>
      <c r="M843" s="76"/>
      <c r="N843" s="76" t="str">
        <f t="array" ref="N843:N844">{"CLASSABILITY2-L07PTS";((INDEX(ALLCLASSDATA,MATCH("ClassAbility2-L07",CLASSFEATUREHEADERS,0),MATCH(($A844 &amp; "Points"),CLASSNAMEHEADERS,0))))}</f>
        <v>CLASSABILITY2-L07PTS</v>
      </c>
      <c r="O843" s="76"/>
      <c r="P843" s="76" t="str">
        <f t="array" ref="P843:P844">{"CLASSABILITY2-L09PTS";((INDEX(ALLCLASSDATA,MATCH("ClassAbility2-L09",CLASSFEATUREHEADERS,0),MATCH(($A844 &amp; "Points"),CLASSNAMEHEADERS,0))))}</f>
        <v>CLASSABILITY2-L09PTS</v>
      </c>
      <c r="Q843" s="76"/>
      <c r="R843" s="76" t="str">
        <f t="array" ref="R843:R844">{"CLASSABILITY2-L11PTS";((INDEX(ALLCLASSDATA,MATCH("ClassAbility2-L11",CLASSFEATUREHEADERS,0),MATCH(($A844 &amp; "Points"),CLASSNAMEHEADERS,0))))}</f>
        <v>CLASSABILITY2-L11PTS</v>
      </c>
      <c r="S843" s="76"/>
      <c r="T843" s="76" t="str">
        <f t="array" ref="T843:T844">{"CLASSABILITY2-L13PTS";((INDEX(ALLCLASSDATA,MATCH("ClassAbility2-L13",CLASSFEATUREHEADERS,0),MATCH(($A844 &amp; "Points"),CLASSNAMEHEADERS,0))))}</f>
        <v>CLASSABILITY2-L13PTS</v>
      </c>
      <c r="U843" s="76"/>
      <c r="V843" s="76" t="str">
        <f t="array" ref="V843:V844">{"CLASSABILITY2-L15PTS";((INDEX(ALLCLASSDATA,MATCH("ClassAbility2-L15",CLASSFEATUREHEADERS,0),MATCH(($A844 &amp; "Points"),CLASSNAMEHEADERS,0))))}</f>
        <v>CLASSABILITY2-L15PTS</v>
      </c>
      <c r="W843" s="76"/>
      <c r="X843" s="76" t="str">
        <f t="array" ref="X843:X844">{"CLASSABILITY2-L17PTS";((INDEX(ALLCLASSDATA,MATCH("ClassAbility2-L17",CLASSFEATUREHEADERS,0),MATCH(($A844 &amp; "Points"),CLASSNAMEHEADERS,0))))}</f>
        <v>CLASSABILITY2-L17PTS</v>
      </c>
      <c r="Y843" s="76"/>
      <c r="Z843" s="76" t="str">
        <f t="array" ref="Z843:Z844">{"CLASSABILITY2-L19PTS";((INDEX(ALLCLASSDATA,MATCH("ClassAbility2-L19",CLASSFEATUREHEADERS,0),MATCH(($A844 &amp; "Points"),CLASSNAMEHEADERS,0))))}</f>
        <v>CLASSABILITY2-L19PTS</v>
      </c>
      <c r="AA843" s="76"/>
      <c r="AB843" s="76"/>
      <c r="AC843" s="76" t="str">
        <f t="array" ref="AC843:AC844">{"CLASSABILITY2 TOTAL";(sum(G844:AA844))}</f>
        <v>CLASSABILITY2 TOTAL</v>
      </c>
    </row>
    <row r="844">
      <c r="A844" s="48" t="s">
        <v>180</v>
      </c>
      <c r="B844" s="48"/>
      <c r="C844" s="48" t="s">
        <v>413</v>
      </c>
      <c r="D844" s="48" t="s">
        <v>930</v>
      </c>
      <c r="E844" s="48" t="s">
        <v>1007</v>
      </c>
      <c r="F844" s="48"/>
      <c r="G844" s="47"/>
      <c r="H844" s="5"/>
      <c r="I844" s="5"/>
      <c r="J844" s="5"/>
      <c r="K844" s="5"/>
      <c r="L844" s="5"/>
      <c r="M844" s="5"/>
      <c r="N844" s="5"/>
      <c r="O844" s="5"/>
      <c r="P844" s="5"/>
      <c r="Q844" s="5"/>
      <c r="R844" s="5"/>
      <c r="S844" s="5"/>
      <c r="T844" s="5"/>
      <c r="U844" s="5"/>
      <c r="V844" s="5"/>
      <c r="W844" s="5"/>
      <c r="X844" s="5"/>
      <c r="Y844" s="5"/>
      <c r="Z844" s="5"/>
      <c r="AA844" s="5"/>
      <c r="AB844" s="5"/>
      <c r="AC844" s="47">
        <v>0.0</v>
      </c>
    </row>
    <row r="845" hidden="1">
      <c r="A845" s="76" t="str">
        <f t="array" ref="A845:A846">{"FormulaRow12";(INDEX(CLASSLIST,A822,1))}</f>
        <v>FormulaRow12</v>
      </c>
      <c r="B845" s="77" t="s">
        <v>236</v>
      </c>
      <c r="C845" s="76" t="str">
        <f t="array" ref="C845:C846">{"CLASSTYPE";((INDEX(ALLCLASSDATA,MATCH("ClassType",CLASSFEATUREHEADERS,0),MATCH($A846,CLASSNAMEHEADERS,0))))}</f>
        <v>CLASSTYPE</v>
      </c>
      <c r="D845" s="76" t="str">
        <f t="array" ref="D845:D846">{"CLASSABILITY";"ClassAbility"}</f>
        <v>CLASSABILITY</v>
      </c>
      <c r="E845" s="76" t="str">
        <f t="array" ref="E845:E846">{"CLASSABILITY3";"ClassAbility3"}</f>
        <v>CLASSABILITY3</v>
      </c>
      <c r="F845" s="76"/>
      <c r="G845" s="76"/>
      <c r="H845" s="76"/>
      <c r="I845" s="76"/>
      <c r="J845" s="76" t="str">
        <f t="array" ref="J845:J846">{"CLASSABILITY3-L03";((INDEX(ALLCLASSDATA,MATCH("ClassAbility3-L03",CLASSFEATUREHEADERS,0),MATCH(($A846),CLASSNAMEHEADERS,0))))}</f>
        <v>CLASSABILITY3-L03</v>
      </c>
      <c r="K845" s="76"/>
      <c r="L845" s="76" t="str">
        <f t="array" ref="L845:L846">{"CLASSABILITY3-L05";((INDEX(ALLCLASSDATA,MATCH("ClassAbility3-L05",CLASSFEATUREHEADERS,0),MATCH(($A846),CLASSNAMEHEADERS,0))))}</f>
        <v>CLASSABILITY3-L05</v>
      </c>
      <c r="M845" s="76"/>
      <c r="N845" s="76" t="str">
        <f t="array" ref="N845:N846">{"CLASSABILITY3-L07";((INDEX(ALLCLASSDATA,MATCH("ClassAbility3-L07",CLASSFEATUREHEADERS,0),MATCH(($A846),CLASSNAMEHEADERS,0))))}</f>
        <v>CLASSABILITY3-L07</v>
      </c>
      <c r="O845" s="76"/>
      <c r="P845" s="76" t="str">
        <f t="array" ref="P845:P846">{"CLASSABILITY3-L09";((INDEX(ALLCLASSDATA,MATCH("ClassAbility3-L09",CLASSFEATUREHEADERS,0),MATCH(($A846),CLASSNAMEHEADERS,0))))}</f>
        <v>CLASSABILITY3-L09</v>
      </c>
      <c r="Q845" s="76"/>
      <c r="R845" s="76" t="str">
        <f t="array" ref="R845:R846">{"CLASSABILITY3-L11";((INDEX(ALLCLASSDATA,MATCH("ClassAbility3-L11",CLASSFEATUREHEADERS,0),MATCH(($A846),CLASSNAMEHEADERS,0))))}</f>
        <v>CLASSABILITY3-L11</v>
      </c>
      <c r="S845" s="76"/>
      <c r="T845" s="76" t="str">
        <f t="array" ref="T845:T846">{"CLASSABILITY3-L13";((INDEX(ALLCLASSDATA,MATCH("ClassAbility3-L13",CLASSFEATUREHEADERS,0),MATCH(($A846),CLASSNAMEHEADERS,0))))}</f>
        <v>CLASSABILITY3-L13</v>
      </c>
      <c r="U845" s="76"/>
      <c r="V845" s="76" t="str">
        <f t="array" ref="V845:V846">{"CLASSABILITY3-L15";((INDEX(ALLCLASSDATA,MATCH("ClassAbility3-L15",CLASSFEATUREHEADERS,0),MATCH(($A846),CLASSNAMEHEADERS,0))))}</f>
        <v>CLASSABILITY3-L15</v>
      </c>
      <c r="W845" s="76"/>
      <c r="X845" s="76" t="str">
        <f t="array" ref="X845:X846">{"CLASSABILITY3-L17";((INDEX(ALLCLASSDATA,MATCH("ClassAbility3-L17",CLASSFEATUREHEADERS,0),MATCH(($A846),CLASSNAMEHEADERS,0))))}</f>
        <v>CLASSABILITY3-L17</v>
      </c>
      <c r="Y845" s="76"/>
      <c r="Z845" s="76" t="str">
        <f t="array" ref="Z845:Z846">{"CLASSABILITY3-L19";((INDEX(ALLCLASSDATA,MATCH("ClassAbility3-L19",CLASSFEATUREHEADERS,0),MATCH(($A846),CLASSNAMEHEADERS,0))))}</f>
        <v>CLASSABILITY3-L19</v>
      </c>
      <c r="AA845" s="76"/>
      <c r="AB845" s="76"/>
      <c r="AC845" s="76"/>
    </row>
    <row r="846">
      <c r="A846" s="48" t="s">
        <v>180</v>
      </c>
      <c r="B846" s="48"/>
      <c r="C846" s="48" t="s">
        <v>413</v>
      </c>
      <c r="D846" s="48" t="s">
        <v>825</v>
      </c>
      <c r="E846" s="48" t="s">
        <v>1144</v>
      </c>
      <c r="F846" s="48"/>
      <c r="G846" s="47"/>
      <c r="H846" s="5"/>
      <c r="I846" s="5"/>
      <c r="J846" s="5"/>
      <c r="K846" s="5"/>
      <c r="L846" s="5"/>
      <c r="M846" s="5"/>
      <c r="N846" s="5"/>
      <c r="O846" s="5"/>
      <c r="P846" s="5"/>
      <c r="Q846" s="5"/>
      <c r="R846" s="5"/>
      <c r="S846" s="5"/>
      <c r="T846" s="5"/>
      <c r="U846" s="5"/>
      <c r="V846" s="5"/>
      <c r="W846" s="5"/>
      <c r="X846" s="5"/>
      <c r="Y846" s="5"/>
      <c r="Z846" s="5"/>
      <c r="AA846" s="5"/>
      <c r="AB846" s="5"/>
      <c r="AC846" s="47"/>
    </row>
    <row r="847" hidden="1">
      <c r="A847" s="76" t="str">
        <f t="array" ref="A847:A848">{"FormulaRow13";(INDEX(CLASSLIST,A822,1))}</f>
        <v>FormulaRow13</v>
      </c>
      <c r="B847" s="77" t="s">
        <v>236</v>
      </c>
      <c r="C847" s="76" t="str">
        <f t="array" ref="C847:C848">{"CLASSTYPE";((INDEX(ALLCLASSDATA,MATCH("ClassType",CLASSFEATUREHEADERS,0),MATCH($A848,CLASSNAMEHEADERS,0))))}</f>
        <v>CLASSTYPE</v>
      </c>
      <c r="D847" s="76" t="str">
        <f t="array" ref="D847:D848">{"CLASSABILITYPTS";"ClassAbilityPts"}</f>
        <v>CLASSABILITYPTS</v>
      </c>
      <c r="E847" s="76" t="str">
        <f t="array" ref="E847:E848">{"CLASSABILITY3";"ClassAbility3"}</f>
        <v>CLASSABILITY3</v>
      </c>
      <c r="F847" s="76"/>
      <c r="G847" s="76"/>
      <c r="H847" s="76"/>
      <c r="I847" s="76"/>
      <c r="J847" s="76" t="str">
        <f t="array" ref="J847:J848">{"CLASSABILITY3-L03PTS";((INDEX(ALLCLASSDATA,MATCH("ClassAbility3-L03",CLASSFEATUREHEADERS,0),MATCH(($A848 &amp; "Points"),CLASSNAMEHEADERS,0))))}</f>
        <v>CLASSABILITY3-L03PTS</v>
      </c>
      <c r="K847" s="76"/>
      <c r="L847" s="76" t="str">
        <f t="array" ref="L847:L848">{"CLASSABILITY3-L05PTS";((INDEX(ALLCLASSDATA,MATCH("ClassAbility3-L05",CLASSFEATUREHEADERS,0),MATCH(($A848 &amp; "Points"),CLASSNAMEHEADERS,0))))}</f>
        <v>CLASSABILITY3-L05PTS</v>
      </c>
      <c r="M847" s="76"/>
      <c r="N847" s="76" t="str">
        <f t="array" ref="N847:N848">{"CLASSABILITY3-L07PTS";((INDEX(ALLCLASSDATA,MATCH("ClassAbility3-L07",CLASSFEATUREHEADERS,0),MATCH(($A848 &amp; "Points"),CLASSNAMEHEADERS,0))))}</f>
        <v>CLASSABILITY3-L07PTS</v>
      </c>
      <c r="O847" s="76"/>
      <c r="P847" s="76" t="str">
        <f t="array" ref="P847:P848">{"CLASSABILITY3-L09PTS";((INDEX(ALLCLASSDATA,MATCH("ClassAbility3-L09",CLASSFEATUREHEADERS,0),MATCH(($A848 &amp; "Points"),CLASSNAMEHEADERS,0))))}</f>
        <v>CLASSABILITY3-L09PTS</v>
      </c>
      <c r="Q847" s="76"/>
      <c r="R847" s="76" t="str">
        <f t="array" ref="R847:R848">{"CLASSABILITY3-L11PTS";((INDEX(ALLCLASSDATA,MATCH("ClassAbility3-L11",CLASSFEATUREHEADERS,0),MATCH(($A848 &amp; "Points"),CLASSNAMEHEADERS,0))))}</f>
        <v>CLASSABILITY3-L11PTS</v>
      </c>
      <c r="S847" s="76"/>
      <c r="T847" s="76" t="str">
        <f t="array" ref="T847:T848">{"CLASSABILITY3-L13PTS";((INDEX(ALLCLASSDATA,MATCH("ClassAbility3-L13",CLASSFEATUREHEADERS,0),MATCH(($A848 &amp; "Points"),CLASSNAMEHEADERS,0))))}</f>
        <v>CLASSABILITY3-L13PTS</v>
      </c>
      <c r="U847" s="76"/>
      <c r="V847" s="76" t="str">
        <f t="array" ref="V847:V848">{"CLASSABILITY3-L15PTS";((INDEX(ALLCLASSDATA,MATCH("ClassAbility3-L15",CLASSFEATUREHEADERS,0),MATCH(($A848 &amp; "Points"),CLASSNAMEHEADERS,0))))}</f>
        <v>CLASSABILITY3-L15PTS</v>
      </c>
      <c r="W847" s="76"/>
      <c r="X847" s="76" t="str">
        <f t="array" ref="X847:X848">{"CLASSABILITY3-L17PTS";((INDEX(ALLCLASSDATA,MATCH("ClassAbility3-L17",CLASSFEATUREHEADERS,0),MATCH(($A848 &amp; "Points"),CLASSNAMEHEADERS,0))))}</f>
        <v>CLASSABILITY3-L17PTS</v>
      </c>
      <c r="Y847" s="76"/>
      <c r="Z847" s="76" t="str">
        <f t="array" ref="Z847:Z848">{"CLASSABILITY3-L19PTS";((INDEX(ALLCLASSDATA,MATCH("ClassAbility3-L19",CLASSFEATUREHEADERS,0),MATCH(($A848 &amp; "Points"),CLASSNAMEHEADERS,0))))}</f>
        <v>CLASSABILITY3-L19PTS</v>
      </c>
      <c r="AA847" s="76"/>
      <c r="AB847" s="76"/>
      <c r="AC847" s="76" t="str">
        <f t="array" ref="AC847:AC848">{"CLASSABILITY3 TOTAL";(sum(G848:AA848))}</f>
        <v>CLASSABILITY3 TOTAL</v>
      </c>
    </row>
    <row r="848">
      <c r="A848" s="48" t="s">
        <v>180</v>
      </c>
      <c r="B848" s="48"/>
      <c r="C848" s="48" t="s">
        <v>413</v>
      </c>
      <c r="D848" s="48" t="s">
        <v>930</v>
      </c>
      <c r="E848" s="48" t="s">
        <v>1144</v>
      </c>
      <c r="F848" s="48"/>
      <c r="G848" s="47"/>
      <c r="H848" s="5"/>
      <c r="I848" s="5"/>
      <c r="J848" s="5"/>
      <c r="K848" s="5"/>
      <c r="L848" s="5"/>
      <c r="M848" s="5"/>
      <c r="N848" s="5"/>
      <c r="O848" s="5"/>
      <c r="P848" s="5"/>
      <c r="Q848" s="5"/>
      <c r="R848" s="5"/>
      <c r="S848" s="5"/>
      <c r="T848" s="5"/>
      <c r="U848" s="5"/>
      <c r="V848" s="5"/>
      <c r="W848" s="5"/>
      <c r="X848" s="5"/>
      <c r="Y848" s="5"/>
      <c r="Z848" s="5"/>
      <c r="AA848" s="5"/>
      <c r="AB848" s="5"/>
      <c r="AC848" s="47">
        <v>0.0</v>
      </c>
    </row>
    <row r="849" hidden="1">
      <c r="A849" s="76" t="str">
        <f t="array" ref="A849:A850">{"FormulaRow14";(INDEX(CLASSLIST,A822,1))}</f>
        <v>FormulaRow14</v>
      </c>
      <c r="B849" s="77" t="s">
        <v>236</v>
      </c>
      <c r="C849" s="76" t="str">
        <f t="array" ref="C849:C850">{"CLASSTYPE";((INDEX(ALLCLASSDATA,MATCH("ClassType",CLASSFEATUREHEADERS,0),MATCH($A850,CLASSNAMEHEADERS,0))))}</f>
        <v>CLASSTYPE</v>
      </c>
      <c r="D849" s="76" t="str">
        <f t="array" ref="D849:D850">{"CLASSABILITY";"ClassAbility"}</f>
        <v>CLASSABILITY</v>
      </c>
      <c r="E849" s="76" t="str">
        <f t="array" ref="E849:E850">{"CLASSABILITY4";"ClassAbility4"}</f>
        <v>CLASSABILITY4</v>
      </c>
      <c r="F849" s="76"/>
      <c r="G849" s="76"/>
      <c r="H849" s="76"/>
      <c r="I849" s="76"/>
      <c r="J849" s="76" t="str">
        <f t="array" ref="J849:J850">{"CLASSABILITY4-L03";((INDEX(ALLCLASSDATA,MATCH("ClassAbility4-L03",CLASSFEATUREHEADERS,0),MATCH(($A850),CLASSNAMEHEADERS,0))))}</f>
        <v>CLASSABILITY4-L03</v>
      </c>
      <c r="K849" s="76"/>
      <c r="L849" s="76" t="str">
        <f t="array" ref="L849:L850">{"CLASSABILITY4-L05";((INDEX(ALLCLASSDATA,MATCH("ClassAbility4-L05",CLASSFEATUREHEADERS,0),MATCH(($A850),CLASSNAMEHEADERS,0))))}</f>
        <v>CLASSABILITY4-L05</v>
      </c>
      <c r="M849" s="76"/>
      <c r="N849" s="76" t="str">
        <f t="array" ref="N849:N850">{"CLASSABILITY4-L07";((INDEX(ALLCLASSDATA,MATCH("ClassAbility4-L07",CLASSFEATUREHEADERS,0),MATCH(($A850),CLASSNAMEHEADERS,0))))}</f>
        <v>CLASSABILITY4-L07</v>
      </c>
      <c r="O849" s="76"/>
      <c r="P849" s="76" t="str">
        <f t="array" ref="P849:P850">{"CLASSABILITY4-L09";((INDEX(ALLCLASSDATA,MATCH("ClassAbility4-L09",CLASSFEATUREHEADERS,0),MATCH(($A850),CLASSNAMEHEADERS,0))))}</f>
        <v>CLASSABILITY4-L09</v>
      </c>
      <c r="Q849" s="76"/>
      <c r="R849" s="76" t="str">
        <f t="array" ref="R849:R850">{"CLASSABILITY4-L11";((INDEX(ALLCLASSDATA,MATCH("ClassAbility4-L11",CLASSFEATUREHEADERS,0),MATCH(($A850),CLASSNAMEHEADERS,0))))}</f>
        <v>CLASSABILITY4-L11</v>
      </c>
      <c r="S849" s="76"/>
      <c r="T849" s="76" t="str">
        <f t="array" ref="T849:T850">{"CLASSABILITY4-L13";((INDEX(ALLCLASSDATA,MATCH("ClassAbility4-L13",CLASSFEATUREHEADERS,0),MATCH(($A850),CLASSNAMEHEADERS,0))))}</f>
        <v>CLASSABILITY4-L13</v>
      </c>
      <c r="U849" s="76"/>
      <c r="V849" s="76" t="str">
        <f t="array" ref="V849:V850">{"CLASSABILITY4-L15";((INDEX(ALLCLASSDATA,MATCH("ClassAbility4-L15",CLASSFEATUREHEADERS,0),MATCH(($A850),CLASSNAMEHEADERS,0))))}</f>
        <v>CLASSABILITY4-L15</v>
      </c>
      <c r="W849" s="76"/>
      <c r="X849" s="76" t="str">
        <f t="array" ref="X849:X850">{"CLASSABILITY4-L17";((INDEX(ALLCLASSDATA,MATCH("ClassAbility4-L17",CLASSFEATUREHEADERS,0),MATCH(($A850),CLASSNAMEHEADERS,0))))}</f>
        <v>CLASSABILITY4-L17</v>
      </c>
      <c r="Y849" s="76"/>
      <c r="Z849" s="76" t="str">
        <f t="array" ref="Z849:Z850">{"CLASSABILITY4-L19";((INDEX(ALLCLASSDATA,MATCH("ClassAbility4-L19",CLASSFEATUREHEADERS,0),MATCH(($A850),CLASSNAMEHEADERS,0))))}</f>
        <v>CLASSABILITY4-L19</v>
      </c>
      <c r="AA849" s="76"/>
      <c r="AB849" s="76"/>
      <c r="AC849" s="76"/>
    </row>
    <row r="850">
      <c r="A850" s="48" t="s">
        <v>180</v>
      </c>
      <c r="B850" s="48"/>
      <c r="C850" s="48" t="s">
        <v>413</v>
      </c>
      <c r="D850" s="48" t="s">
        <v>825</v>
      </c>
      <c r="E850" s="48" t="s">
        <v>1273</v>
      </c>
      <c r="F850" s="48"/>
      <c r="G850" s="47"/>
      <c r="H850" s="5"/>
      <c r="I850" s="5"/>
      <c r="J850" s="5"/>
      <c r="K850" s="5"/>
      <c r="L850" s="5"/>
      <c r="M850" s="5"/>
      <c r="N850" s="5"/>
      <c r="O850" s="5"/>
      <c r="P850" s="5"/>
      <c r="Q850" s="5"/>
      <c r="R850" s="5"/>
      <c r="S850" s="5"/>
      <c r="T850" s="5"/>
      <c r="U850" s="5"/>
      <c r="V850" s="5"/>
      <c r="W850" s="5"/>
      <c r="X850" s="5"/>
      <c r="Y850" s="5"/>
      <c r="Z850" s="5"/>
      <c r="AA850" s="5"/>
      <c r="AB850" s="5"/>
      <c r="AC850" s="47"/>
    </row>
    <row r="851" hidden="1">
      <c r="A851" s="76" t="str">
        <f t="array" ref="A851:A852">{"FormulaRow15";(INDEX(CLASSLIST,A822,1))}</f>
        <v>FormulaRow15</v>
      </c>
      <c r="B851" s="77" t="s">
        <v>236</v>
      </c>
      <c r="C851" s="76" t="str">
        <f t="array" ref="C851:C852">{"CLASSTYPE";((INDEX(ALLCLASSDATA,MATCH("ClassType",CLASSFEATUREHEADERS,0),MATCH($A852,CLASSNAMEHEADERS,0))))}</f>
        <v>CLASSTYPE</v>
      </c>
      <c r="D851" s="76" t="str">
        <f t="array" ref="D851:D852">{"CLASSABILITYPTS";"ClassAbilityPts"}</f>
        <v>CLASSABILITYPTS</v>
      </c>
      <c r="E851" s="76" t="str">
        <f t="array" ref="E851:E852">{"CLASSABILITY4";"ClassAbility4"}</f>
        <v>CLASSABILITY4</v>
      </c>
      <c r="F851" s="76"/>
      <c r="G851" s="76"/>
      <c r="H851" s="76"/>
      <c r="I851" s="76"/>
      <c r="J851" s="76" t="str">
        <f t="array" ref="J851:J852">{"CLASSABILITY4-L03PTS";((INDEX(ALLCLASSDATA,MATCH("ClassAbility4-L03",CLASSFEATUREHEADERS,0),MATCH(($A852 &amp; "Points"),CLASSNAMEHEADERS,0))))}</f>
        <v>CLASSABILITY4-L03PTS</v>
      </c>
      <c r="K851" s="76"/>
      <c r="L851" s="76" t="str">
        <f t="array" ref="L851:L852">{"CLASSABILITY4-L05PTS";((INDEX(ALLCLASSDATA,MATCH("ClassAbility4-L05",CLASSFEATUREHEADERS,0),MATCH(($A852 &amp; "Points"),CLASSNAMEHEADERS,0))))}</f>
        <v>CLASSABILITY4-L05PTS</v>
      </c>
      <c r="M851" s="76"/>
      <c r="N851" s="76" t="str">
        <f t="array" ref="N851:N852">{"CLASSABILITY4-L07PTS";((INDEX(ALLCLASSDATA,MATCH("ClassAbility4-L07",CLASSFEATUREHEADERS,0),MATCH(($A852 &amp; "Points"),CLASSNAMEHEADERS,0))))}</f>
        <v>CLASSABILITY4-L07PTS</v>
      </c>
      <c r="O851" s="76"/>
      <c r="P851" s="76" t="str">
        <f t="array" ref="P851:P852">{"CLASSABILITY4-L09PTS";((INDEX(ALLCLASSDATA,MATCH("ClassAbility4-L09",CLASSFEATUREHEADERS,0),MATCH(($A852 &amp; "Points"),CLASSNAMEHEADERS,0))))}</f>
        <v>CLASSABILITY4-L09PTS</v>
      </c>
      <c r="Q851" s="76"/>
      <c r="R851" s="76" t="str">
        <f t="array" ref="R851:R852">{"CLASSABILITY4-L11PTS";((INDEX(ALLCLASSDATA,MATCH("ClassAbility4-L11",CLASSFEATUREHEADERS,0),MATCH(($A852 &amp; "Points"),CLASSNAMEHEADERS,0))))}</f>
        <v>CLASSABILITY4-L11PTS</v>
      </c>
      <c r="S851" s="76"/>
      <c r="T851" s="76" t="str">
        <f t="array" ref="T851:T852">{"CLASSABILITY4-L13PTS";((INDEX(ALLCLASSDATA,MATCH("ClassAbility4-L13",CLASSFEATUREHEADERS,0),MATCH(($A852 &amp; "Points"),CLASSNAMEHEADERS,0))))}</f>
        <v>CLASSABILITY4-L13PTS</v>
      </c>
      <c r="U851" s="76"/>
      <c r="V851" s="76" t="str">
        <f t="array" ref="V851:V852">{"CLASSABILITY4-L15PTS";((INDEX(ALLCLASSDATA,MATCH("ClassAbility4-L15",CLASSFEATUREHEADERS,0),MATCH(($A852 &amp; "Points"),CLASSNAMEHEADERS,0))))}</f>
        <v>CLASSABILITY4-L15PTS</v>
      </c>
      <c r="W851" s="76"/>
      <c r="X851" s="76" t="str">
        <f t="array" ref="X851:X852">{"CLASSABILITY4-L17PTS";((INDEX(ALLCLASSDATA,MATCH("ClassAbility4-L17",CLASSFEATUREHEADERS,0),MATCH(($A852 &amp; "Points"),CLASSNAMEHEADERS,0))))}</f>
        <v>CLASSABILITY4-L17PTS</v>
      </c>
      <c r="Y851" s="76"/>
      <c r="Z851" s="76" t="str">
        <f t="array" ref="Z851:Z852">{"CLASSABILITY4-L19PTS";((INDEX(ALLCLASSDATA,MATCH("ClassAbility4-L19",CLASSFEATUREHEADERS,0),MATCH(($A852 &amp; "Points"),CLASSNAMEHEADERS,0))))}</f>
        <v>CLASSABILITY4-L19PTS</v>
      </c>
      <c r="AA851" s="76"/>
      <c r="AB851" s="76"/>
      <c r="AC851" s="76" t="str">
        <f t="array" ref="AC851:AC852">{"CLASSABILITY4 TOTAL";(sum(G852:AA852))}</f>
        <v>CLASSABILITY4 TOTAL</v>
      </c>
    </row>
    <row r="852">
      <c r="A852" s="48" t="s">
        <v>180</v>
      </c>
      <c r="B852" s="48"/>
      <c r="C852" s="48" t="s">
        <v>413</v>
      </c>
      <c r="D852" s="48" t="s">
        <v>930</v>
      </c>
      <c r="E852" s="48" t="s">
        <v>1273</v>
      </c>
      <c r="F852" s="48"/>
      <c r="G852" s="47"/>
      <c r="H852" s="5"/>
      <c r="I852" s="5"/>
      <c r="J852" s="5"/>
      <c r="K852" s="5"/>
      <c r="L852" s="5"/>
      <c r="M852" s="5"/>
      <c r="N852" s="5"/>
      <c r="O852" s="5"/>
      <c r="P852" s="5"/>
      <c r="Q852" s="5"/>
      <c r="R852" s="5"/>
      <c r="S852" s="5"/>
      <c r="T852" s="5"/>
      <c r="U852" s="5"/>
      <c r="V852" s="5"/>
      <c r="W852" s="5"/>
      <c r="X852" s="5"/>
      <c r="Y852" s="5"/>
      <c r="Z852" s="5"/>
      <c r="AA852" s="5"/>
      <c r="AB852" s="5"/>
      <c r="AC852" s="47">
        <v>0.0</v>
      </c>
    </row>
    <row r="853" hidden="1">
      <c r="A853" s="76" t="str">
        <f t="array" ref="A853:A854">{"FormulaRow16";(INDEX(CLASSLIST,A822,1))}</f>
        <v>FormulaRow16</v>
      </c>
      <c r="B853" s="77" t="s">
        <v>236</v>
      </c>
      <c r="C853" s="76" t="str">
        <f t="array" ref="C853:C854">{"CLASSTYPE";((INDEX(ALLCLASSDATA,MATCH("ClassType",CLASSFEATUREHEADERS,0),MATCH($A854,CLASSNAMEHEADERS,0))))}</f>
        <v>CLASSTYPE</v>
      </c>
      <c r="D853" s="76" t="str">
        <f t="array" ref="D853:D854">{"CLASSABILITY";"ClassAbility"}</f>
        <v>CLASSABILITY</v>
      </c>
      <c r="E853" s="76" t="str">
        <f t="array" ref="E853:E854">{"SUBCLASSABILITY1";"SubclassAbility1"}</f>
        <v>SUBCLASSABILITY1</v>
      </c>
      <c r="F853" s="76"/>
      <c r="G853" s="76"/>
      <c r="H853" s="76"/>
      <c r="I853" s="76"/>
      <c r="J853" s="76" t="str">
        <f t="array" ref="J853:J854">{"SUBCLASSABILITY1-L03";((INDEX(ALLCLASSDATA,MATCH("SubclassAbility1-L03",CLASSFEATUREHEADERS,0),MATCH(($A854),CLASSNAMEHEADERS,0))))}</f>
        <v>SUBCLASSABILITY1-L03</v>
      </c>
      <c r="K853" s="76"/>
      <c r="L853" s="76" t="str">
        <f t="array" ref="L853:L854">{"SUBCLASSABILITY1-L05";((INDEX(ALLCLASSDATA,MATCH("SubclassAbility1-L05",CLASSFEATUREHEADERS,0),MATCH(($A854),CLASSNAMEHEADERS,0))))}</f>
        <v>SUBCLASSABILITY1-L05</v>
      </c>
      <c r="M853" s="76"/>
      <c r="N853" s="76" t="str">
        <f t="array" ref="N853:N854">{"SUBCLASSABILITY1-L07";((INDEX(ALLCLASSDATA,MATCH("SubclassAbility1-L07",CLASSFEATUREHEADERS,0),MATCH(($A854),CLASSNAMEHEADERS,0))))}</f>
        <v>SUBCLASSABILITY1-L07</v>
      </c>
      <c r="O853" s="76"/>
      <c r="P853" s="76" t="str">
        <f t="array" ref="P853:P854">{"SUBCLASSABILITY1-L09";((INDEX(ALLCLASSDATA,MATCH("SubclassAbility1-L09",CLASSFEATUREHEADERS,0),MATCH(($A854),CLASSNAMEHEADERS,0))))}</f>
        <v>SUBCLASSABILITY1-L09</v>
      </c>
      <c r="Q853" s="76"/>
      <c r="R853" s="76" t="str">
        <f t="array" ref="R853:R854">{"SUBCLASSABILITY1-L11";((INDEX(ALLCLASSDATA,MATCH("SubclassAbility1-L11",CLASSFEATUREHEADERS,0),MATCH(($A854),CLASSNAMEHEADERS,0))))}</f>
        <v>SUBCLASSABILITY1-L11</v>
      </c>
      <c r="S853" s="76"/>
      <c r="T853" s="76" t="str">
        <f t="array" ref="T853:T854">{"SUBCLASSABILITY1-L13";((INDEX(ALLCLASSDATA,MATCH("SubclassAbility1-L13",CLASSFEATUREHEADERS,0),MATCH(($A854),CLASSNAMEHEADERS,0))))}</f>
        <v>SUBCLASSABILITY1-L13</v>
      </c>
      <c r="U853" s="76"/>
      <c r="V853" s="76" t="str">
        <f t="array" ref="V853:V854">{"SUBCLASSABILITY1-L15";((INDEX(ALLCLASSDATA,MATCH("SubclassAbility1-L15",CLASSFEATUREHEADERS,0),MATCH(($A854),CLASSNAMEHEADERS,0))))}</f>
        <v>SUBCLASSABILITY1-L15</v>
      </c>
      <c r="W853" s="76"/>
      <c r="X853" s="76" t="str">
        <f t="array" ref="X853:X854">{"SUBCLASSABILITY1-L17";((INDEX(ALLCLASSDATA,MATCH("SubclassAbility1-L17",CLASSFEATUREHEADERS,0),MATCH(($A854),CLASSNAMEHEADERS,0))))}</f>
        <v>SUBCLASSABILITY1-L17</v>
      </c>
      <c r="Y853" s="76"/>
      <c r="Z853" s="76" t="str">
        <f t="array" ref="Z853:Z854">{"SUBCLASSABILITY1-L19";((INDEX(ALLCLASSDATA,MATCH("SubclassAbility1-L19",CLASSFEATUREHEADERS,0),MATCH(($A854),CLASSNAMEHEADERS,0))))}</f>
        <v>SUBCLASSABILITY1-L19</v>
      </c>
      <c r="AA853" s="76"/>
      <c r="AB853" s="76"/>
      <c r="AC853" s="76"/>
    </row>
    <row r="854">
      <c r="A854" s="48" t="s">
        <v>180</v>
      </c>
      <c r="B854" s="48"/>
      <c r="C854" s="48" t="s">
        <v>413</v>
      </c>
      <c r="D854" s="48" t="s">
        <v>825</v>
      </c>
      <c r="E854" s="28" t="s">
        <v>1355</v>
      </c>
      <c r="F854" s="5"/>
      <c r="G854" s="47"/>
      <c r="H854" s="5"/>
      <c r="I854" s="5"/>
      <c r="J854" s="5"/>
      <c r="K854" s="5"/>
      <c r="L854" s="5"/>
      <c r="M854" s="5"/>
      <c r="N854" s="5"/>
      <c r="O854" s="5"/>
      <c r="P854" s="5" t="s">
        <v>988</v>
      </c>
      <c r="Q854" s="5"/>
      <c r="R854" s="5"/>
      <c r="S854" s="5"/>
      <c r="T854" s="5"/>
      <c r="U854" s="5"/>
      <c r="V854" s="5" t="s">
        <v>989</v>
      </c>
      <c r="W854" s="5"/>
      <c r="X854" s="5"/>
      <c r="Y854" s="5"/>
      <c r="Z854" s="5"/>
      <c r="AA854" s="5"/>
      <c r="AB854" s="5"/>
      <c r="AC854" s="47"/>
    </row>
    <row r="855" hidden="1">
      <c r="A855" s="76" t="str">
        <f t="array" ref="A855:A856">{"FormulaRow17";(INDEX(CLASSLIST,A822,1))}</f>
        <v>FormulaRow17</v>
      </c>
      <c r="B855" s="77" t="s">
        <v>236</v>
      </c>
      <c r="C855" s="76" t="str">
        <f t="array" ref="C855:C856">{"CLASSTYPE";((INDEX(ALLCLASSDATA,MATCH("ClassType",CLASSFEATUREHEADERS,0),MATCH($A856,CLASSNAMEHEADERS,0))))}</f>
        <v>CLASSTYPE</v>
      </c>
      <c r="D855" s="76" t="str">
        <f t="array" ref="D855:D856">{"CLASSABILITYPTS";"ClassAbilityPts"}</f>
        <v>CLASSABILITYPTS</v>
      </c>
      <c r="E855" s="76" t="str">
        <f t="array" ref="E855:E856">{"SUBCLASSABILITY1";"SubclassAbility1"}</f>
        <v>SUBCLASSABILITY1</v>
      </c>
      <c r="F855" s="76"/>
      <c r="G855" s="76"/>
      <c r="H855" s="76"/>
      <c r="I855" s="76"/>
      <c r="J855" s="76" t="str">
        <f t="array" ref="J855:J856">{"SUBCLASSABILITY1-L03PTS";((INDEX(ALLCLASSDATA,MATCH("SubclassAbility1-L03",CLASSFEATUREHEADERS,0),MATCH(($A856 &amp; "Points"),CLASSNAMEHEADERS,0))))}</f>
        <v>SUBCLASSABILITY1-L03PTS</v>
      </c>
      <c r="K855" s="76"/>
      <c r="L855" s="76" t="str">
        <f t="array" ref="L855:L856">{"SUBCLASSABILITY1-L05PTS";((INDEX(ALLCLASSDATA,MATCH("SubclassAbility1-L05",CLASSFEATUREHEADERS,0),MATCH(($A856 &amp; "Points"),CLASSNAMEHEADERS,0))))}</f>
        <v>SUBCLASSABILITY1-L05PTS</v>
      </c>
      <c r="M855" s="76"/>
      <c r="N855" s="76" t="str">
        <f t="array" ref="N855:N856">{"SUBCLASSABILITY1-L07PTS";((INDEX(ALLCLASSDATA,MATCH("SubclassAbility1-L07",CLASSFEATUREHEADERS,0),MATCH(($A856 &amp; "Points"),CLASSNAMEHEADERS,0))))}</f>
        <v>SUBCLASSABILITY1-L07PTS</v>
      </c>
      <c r="O855" s="76"/>
      <c r="P855" s="76" t="str">
        <f t="array" ref="P855:P856">{"SUBCLASSABILITY1-L09PTS";((INDEX(ALLCLASSDATA,MATCH("SubclassAbility1-L09",CLASSFEATUREHEADERS,0),MATCH(($A856 &amp; "Points"),CLASSNAMEHEADERS,0))))}</f>
        <v>SUBCLASSABILITY1-L09PTS</v>
      </c>
      <c r="Q855" s="76"/>
      <c r="R855" s="76" t="str">
        <f t="array" ref="R855:R856">{"SUBCLASSABILITY1-L11PTS";((INDEX(ALLCLASSDATA,MATCH("SubclassAbility1-L11",CLASSFEATUREHEADERS,0),MATCH(($A856 &amp; "Points"),CLASSNAMEHEADERS,0))))}</f>
        <v>SUBCLASSABILITY1-L11PTS</v>
      </c>
      <c r="S855" s="76"/>
      <c r="T855" s="76" t="str">
        <f t="array" ref="T855:T856">{"SUBCLASSABILITY1-L13PTS";((INDEX(ALLCLASSDATA,MATCH("SubclassAbility1-L13",CLASSFEATUREHEADERS,0),MATCH(($A856 &amp; "Points"),CLASSNAMEHEADERS,0))))}</f>
        <v>SUBCLASSABILITY1-L13PTS</v>
      </c>
      <c r="U855" s="76"/>
      <c r="V855" s="76" t="str">
        <f t="array" ref="V855:V856">{"SUBCLASSABILITY1-L15PTS";((INDEX(ALLCLASSDATA,MATCH("SubclassAbility1-L15",CLASSFEATUREHEADERS,0),MATCH(($A856 &amp; "Points"),CLASSNAMEHEADERS,0))))}</f>
        <v>SUBCLASSABILITY1-L15PTS</v>
      </c>
      <c r="W855" s="76"/>
      <c r="X855" s="76" t="str">
        <f t="array" ref="X855:X856">{"SUBCLASSABILITY1-L17PTS";((INDEX(ALLCLASSDATA,MATCH("SubclassAbility1-L17",CLASSFEATUREHEADERS,0),MATCH(($A856 &amp; "Points"),CLASSNAMEHEADERS,0))))}</f>
        <v>SUBCLASSABILITY1-L17PTS</v>
      </c>
      <c r="Y855" s="76"/>
      <c r="Z855" s="76" t="str">
        <f t="array" ref="Z855:Z856">{"SUBCLASSABILITY1-L19PTS";((INDEX(ALLCLASSDATA,MATCH("SubclassAbility1-L19",CLASSFEATUREHEADERS,0),MATCH(($A856 &amp; "Points"),CLASSNAMEHEADERS,0))))}</f>
        <v>SUBCLASSABILITY1-L19PTS</v>
      </c>
      <c r="AA855" s="76"/>
      <c r="AB855" s="76"/>
      <c r="AC855" s="76" t="str">
        <f t="array" ref="AC855:AC856">{"SUBCLASSABILITY1 TOTAL";(sum(G856:AA856))}</f>
        <v>SUBCLASSABILITY1 TOTAL</v>
      </c>
    </row>
    <row r="856">
      <c r="A856" s="48" t="s">
        <v>180</v>
      </c>
      <c r="B856" s="48"/>
      <c r="C856" s="48" t="s">
        <v>413</v>
      </c>
      <c r="D856" s="48" t="s">
        <v>930</v>
      </c>
      <c r="E856" s="28" t="s">
        <v>1355</v>
      </c>
      <c r="F856" s="5"/>
      <c r="G856" s="47"/>
      <c r="H856" s="5"/>
      <c r="I856" s="5"/>
      <c r="J856" s="5"/>
      <c r="K856" s="5"/>
      <c r="L856" s="5"/>
      <c r="M856" s="5"/>
      <c r="N856" s="5"/>
      <c r="O856" s="5"/>
      <c r="P856" s="5">
        <v>50.0</v>
      </c>
      <c r="Q856" s="5"/>
      <c r="R856" s="5"/>
      <c r="S856" s="5"/>
      <c r="T856" s="5"/>
      <c r="U856" s="5"/>
      <c r="V856" s="5">
        <v>50.0</v>
      </c>
      <c r="W856" s="5"/>
      <c r="X856" s="5"/>
      <c r="Y856" s="5"/>
      <c r="Z856" s="5"/>
      <c r="AA856" s="5"/>
      <c r="AB856" s="5"/>
      <c r="AC856" s="47">
        <v>100.0</v>
      </c>
    </row>
    <row r="857" hidden="1">
      <c r="A857" s="76" t="str">
        <f t="array" ref="A857:A858">{"FormulaRow18";(INDEX(CLASSLIST,A822,1))}</f>
        <v>FormulaRow18</v>
      </c>
      <c r="B857" s="77" t="s">
        <v>236</v>
      </c>
      <c r="C857" s="76" t="str">
        <f t="array" ref="C857:C858">{"CLASSTYPE";((INDEX(ALLCLASSDATA,MATCH("ClassType",CLASSFEATUREHEADERS,0),MATCH($A858,CLASSNAMEHEADERS,0))))}</f>
        <v>CLASSTYPE</v>
      </c>
      <c r="D857" s="76" t="str">
        <f t="array" ref="D857:D858">{"CLASSABILITY";"ClassAbility"}</f>
        <v>CLASSABILITY</v>
      </c>
      <c r="E857" s="76" t="str">
        <f t="array" ref="E857:E858">{"SUBCLASSABILITY2";"SubclassAbility2"}</f>
        <v>SUBCLASSABILITY2</v>
      </c>
      <c r="F857" s="76"/>
      <c r="G857" s="76"/>
      <c r="H857" s="76"/>
      <c r="I857" s="76"/>
      <c r="J857" s="76" t="str">
        <f t="array" ref="J857:J858">{"SUBCLASSABILITY2-L03";((INDEX(ALLCLASSDATA,MATCH("SubclassAbility2-L03",CLASSFEATUREHEADERS,0),MATCH(($A858),CLASSNAMEHEADERS,0))))}</f>
        <v>SUBCLASSABILITY2-L03</v>
      </c>
      <c r="K857" s="76"/>
      <c r="L857" s="76" t="str">
        <f t="array" ref="L857:L858">{"SUBCLASSABILITY2-L05";((INDEX(ALLCLASSDATA,MATCH("SubclassAbility2-L05",CLASSFEATUREHEADERS,0),MATCH(($A858),CLASSNAMEHEADERS,0))))}</f>
        <v>SUBCLASSABILITY2-L05</v>
      </c>
      <c r="M857" s="76"/>
      <c r="N857" s="76" t="str">
        <f t="array" ref="N857:N858">{"SUBCLASSABILITY2-L07";((INDEX(ALLCLASSDATA,MATCH("SubclassAbility2-L07",CLASSFEATUREHEADERS,0),MATCH(($A858),CLASSNAMEHEADERS,0))))}</f>
        <v>SUBCLASSABILITY2-L07</v>
      </c>
      <c r="O857" s="76"/>
      <c r="P857" s="76" t="str">
        <f t="array" ref="P857:P858">{"SUBCLASSABILITY2-L09";((INDEX(ALLCLASSDATA,MATCH("SubclassAbility2-L09",CLASSFEATUREHEADERS,0),MATCH(($A858),CLASSNAMEHEADERS,0))))}</f>
        <v>SUBCLASSABILITY2-L09</v>
      </c>
      <c r="Q857" s="76"/>
      <c r="R857" s="76" t="str">
        <f t="array" ref="R857:R858">{"SUBCLASSABILITY2-L11";((INDEX(ALLCLASSDATA,MATCH("SubclassAbility2-L11",CLASSFEATUREHEADERS,0),MATCH(($A858),CLASSNAMEHEADERS,0))))}</f>
        <v>SUBCLASSABILITY2-L11</v>
      </c>
      <c r="S857" s="76"/>
      <c r="T857" s="76" t="str">
        <f t="array" ref="T857:T858">{"SUBCLASSABILITY2-L13";((INDEX(ALLCLASSDATA,MATCH("SubclassAbility2-L13",CLASSFEATUREHEADERS,0),MATCH(($A858),CLASSNAMEHEADERS,0))))}</f>
        <v>SUBCLASSABILITY2-L13</v>
      </c>
      <c r="U857" s="76"/>
      <c r="V857" s="76" t="str">
        <f t="array" ref="V857:V858">{"SUBCLASSABILITY2-L15";((INDEX(ALLCLASSDATA,MATCH("SubclassAbility2-L15",CLASSFEATUREHEADERS,0),MATCH(($A858),CLASSNAMEHEADERS,0))))}</f>
        <v>SUBCLASSABILITY2-L15</v>
      </c>
      <c r="W857" s="76"/>
      <c r="X857" s="76" t="str">
        <f t="array" ref="X857:X858">{"SUBCLASSABILITY2-L17";((INDEX(ALLCLASSDATA,MATCH("SubclassAbility2-L17",CLASSFEATUREHEADERS,0),MATCH(($A858),CLASSNAMEHEADERS,0))))}</f>
        <v>SUBCLASSABILITY2-L17</v>
      </c>
      <c r="Y857" s="76"/>
      <c r="Z857" s="76" t="str">
        <f t="array" ref="Z857:Z858">{"SUBCLASSABILITY2-L19";((INDEX(ALLCLASSDATA,MATCH("SubclassAbility2-L19",CLASSFEATUREHEADERS,0),MATCH(($A858),CLASSNAMEHEADERS,0))))}</f>
        <v>SUBCLASSABILITY2-L19</v>
      </c>
      <c r="AA857" s="76"/>
      <c r="AB857" s="76"/>
      <c r="AC857" s="76"/>
    </row>
    <row r="858">
      <c r="A858" s="48" t="s">
        <v>180</v>
      </c>
      <c r="B858" s="48"/>
      <c r="C858" s="48" t="s">
        <v>413</v>
      </c>
      <c r="D858" s="48" t="s">
        <v>825</v>
      </c>
      <c r="E858" s="28" t="s">
        <v>1370</v>
      </c>
      <c r="F858" s="5"/>
      <c r="G858" s="47"/>
      <c r="H858" s="5"/>
      <c r="I858" s="5"/>
      <c r="J858" s="5"/>
      <c r="K858" s="5"/>
      <c r="L858" s="5"/>
      <c r="M858" s="5"/>
      <c r="N858" s="5"/>
      <c r="O858" s="5"/>
      <c r="P858" s="5"/>
      <c r="Q858" s="5"/>
      <c r="R858" s="5"/>
      <c r="S858" s="5"/>
      <c r="T858" s="5"/>
      <c r="U858" s="5"/>
      <c r="V858" s="5"/>
      <c r="W858" s="5"/>
      <c r="X858" s="5"/>
      <c r="Y858" s="5"/>
      <c r="Z858" s="5"/>
      <c r="AA858" s="5"/>
      <c r="AB858" s="5"/>
      <c r="AC858" s="47"/>
    </row>
    <row r="859" hidden="1">
      <c r="A859" s="76" t="str">
        <f t="array" ref="A859:A860">{"FormulaRow19";(INDEX(CLASSLIST,A822,1))}</f>
        <v>FormulaRow19</v>
      </c>
      <c r="B859" s="77" t="s">
        <v>236</v>
      </c>
      <c r="C859" s="76" t="str">
        <f t="array" ref="C859:C860">{"CLASSTYPE";((INDEX(ALLCLASSDATA,MATCH("ClassType",CLASSFEATUREHEADERS,0),MATCH($A860,CLASSNAMEHEADERS,0))))}</f>
        <v>CLASSTYPE</v>
      </c>
      <c r="D859" s="76" t="str">
        <f t="array" ref="D859:D860">{"CLASSABILITYPTS";"ClassAbilityPts"}</f>
        <v>CLASSABILITYPTS</v>
      </c>
      <c r="E859" s="76" t="str">
        <f t="array" ref="E859:E860">{"SUBCLASSABILITY2";"SubclassAbility2"}</f>
        <v>SUBCLASSABILITY2</v>
      </c>
      <c r="F859" s="76"/>
      <c r="G859" s="76"/>
      <c r="H859" s="76"/>
      <c r="I859" s="76"/>
      <c r="J859" s="76" t="str">
        <f t="array" ref="J859:J860">{"SUBCLASSABILITY2-L03PTS";((INDEX(ALLCLASSDATA,MATCH("SubclassAbility2-L03",CLASSFEATUREHEADERS,0),MATCH(($A860 &amp; "Points"),CLASSNAMEHEADERS,0))))}</f>
        <v>SUBCLASSABILITY2-L03PTS</v>
      </c>
      <c r="K859" s="76"/>
      <c r="L859" s="76" t="str">
        <f t="array" ref="L859:L860">{"SUBCLASSABILITY2-L05PTS";((INDEX(ALLCLASSDATA,MATCH("SubclassAbility2-L05",CLASSFEATUREHEADERS,0),MATCH(($A860 &amp; "Points"),CLASSNAMEHEADERS,0))))}</f>
        <v>SUBCLASSABILITY2-L05PTS</v>
      </c>
      <c r="M859" s="76"/>
      <c r="N859" s="76" t="str">
        <f t="array" ref="N859:N860">{"SUBCLASSABILITY2-L07PTS";((INDEX(ALLCLASSDATA,MATCH("SubclassAbility2-L07",CLASSFEATUREHEADERS,0),MATCH(($A860 &amp; "Points"),CLASSNAMEHEADERS,0))))}</f>
        <v>SUBCLASSABILITY2-L07PTS</v>
      </c>
      <c r="O859" s="76"/>
      <c r="P859" s="76" t="str">
        <f t="array" ref="P859:P860">{"SUBCLASSABILITY2-L09PTS";((INDEX(ALLCLASSDATA,MATCH("SubclassAbility2-L09",CLASSFEATUREHEADERS,0),MATCH(($A860 &amp; "Points"),CLASSNAMEHEADERS,0))))}</f>
        <v>SUBCLASSABILITY2-L09PTS</v>
      </c>
      <c r="Q859" s="76"/>
      <c r="R859" s="76" t="str">
        <f t="array" ref="R859:R860">{"SUBCLASSABILITY2-L11PTS";((INDEX(ALLCLASSDATA,MATCH("SubclassAbility2-L11",CLASSFEATUREHEADERS,0),MATCH(($A860 &amp; "Points"),CLASSNAMEHEADERS,0))))}</f>
        <v>SUBCLASSABILITY2-L11PTS</v>
      </c>
      <c r="S859" s="76"/>
      <c r="T859" s="76" t="str">
        <f t="array" ref="T859:T860">{"SUBCLASSABILITY2-L13PTS";((INDEX(ALLCLASSDATA,MATCH("SubclassAbility2-L13",CLASSFEATUREHEADERS,0),MATCH(($A860 &amp; "Points"),CLASSNAMEHEADERS,0))))}</f>
        <v>SUBCLASSABILITY2-L13PTS</v>
      </c>
      <c r="U859" s="76"/>
      <c r="V859" s="76" t="str">
        <f t="array" ref="V859:V860">{"SUBCLASSABILITY2-L15PTS";((INDEX(ALLCLASSDATA,MATCH("SubclassAbility2-L15",CLASSFEATUREHEADERS,0),MATCH(($A860 &amp; "Points"),CLASSNAMEHEADERS,0))))}</f>
        <v>SUBCLASSABILITY2-L15PTS</v>
      </c>
      <c r="W859" s="76"/>
      <c r="X859" s="76" t="str">
        <f t="array" ref="X859:X860">{"SUBCLASSABILITY2-L17PTS";((INDEX(ALLCLASSDATA,MATCH("SubclassAbility2-L17",CLASSFEATUREHEADERS,0),MATCH(($A860 &amp; "Points"),CLASSNAMEHEADERS,0))))}</f>
        <v>SUBCLASSABILITY2-L17PTS</v>
      </c>
      <c r="Y859" s="76"/>
      <c r="Z859" s="76" t="str">
        <f t="array" ref="Z859:Z860">{"SUBCLASSABILITY2-L19PTS";((INDEX(ALLCLASSDATA,MATCH("SubclassAbility2-L19",CLASSFEATUREHEADERS,0),MATCH(($A860 &amp; "Points"),CLASSNAMEHEADERS,0))))}</f>
        <v>SUBCLASSABILITY2-L19PTS</v>
      </c>
      <c r="AA859" s="76"/>
      <c r="AB859" s="76"/>
      <c r="AC859" s="76" t="str">
        <f t="array" ref="AC859:AC860">{"SUBCLASSABILITY2 TOTAL";(sum(G860:AA860))}</f>
        <v>SUBCLASSABILITY2 TOTAL</v>
      </c>
    </row>
    <row r="860">
      <c r="A860" s="48" t="s">
        <v>180</v>
      </c>
      <c r="B860" s="48"/>
      <c r="C860" s="48" t="s">
        <v>413</v>
      </c>
      <c r="D860" s="97" t="s">
        <v>930</v>
      </c>
      <c r="E860" s="215" t="s">
        <v>1370</v>
      </c>
      <c r="F860" s="98"/>
      <c r="G860" s="132"/>
      <c r="H860" s="98"/>
      <c r="I860" s="98"/>
      <c r="J860" s="98"/>
      <c r="K860" s="98"/>
      <c r="L860" s="98"/>
      <c r="M860" s="98"/>
      <c r="N860" s="98"/>
      <c r="O860" s="98"/>
      <c r="P860" s="98"/>
      <c r="Q860" s="98"/>
      <c r="R860" s="98"/>
      <c r="S860" s="98"/>
      <c r="T860" s="98"/>
      <c r="U860" s="98"/>
      <c r="V860" s="98"/>
      <c r="W860" s="98"/>
      <c r="X860" s="98"/>
      <c r="Y860" s="98"/>
      <c r="Z860" s="98"/>
      <c r="AA860" s="98"/>
      <c r="AB860" s="5"/>
      <c r="AC860" s="47">
        <v>0.0</v>
      </c>
    </row>
    <row r="861" hidden="1">
      <c r="A861" s="76" t="str">
        <f t="array" ref="A861:A862">{"FormulaRow20";(INDEX(CLASSLIST,A822,1))}</f>
        <v>FormulaRow20</v>
      </c>
      <c r="B861" s="77" t="s">
        <v>236</v>
      </c>
      <c r="C861" s="76" t="str">
        <f t="array" ref="C861:C862">{"CLASSTYPE";((INDEX(ALLCLASSDATA,MATCH("ClassType",CLASSFEATUREHEADERS,0),MATCH($A862,CLASSNAMEHEADERS,0))))}</f>
        <v>CLASSTYPE</v>
      </c>
      <c r="D861" s="81" t="str">
        <f t="array" ref="D861:D862">{"DC";"DC"}</f>
        <v>DC</v>
      </c>
      <c r="E861" s="81" t="str">
        <f t="array" ref="E861:E862">{"CLASSDC";"ClassDC"}</f>
        <v>CLASSDC</v>
      </c>
      <c r="F861" s="81" t="str">
        <f t="array" ref="F861:F862">{"CLASSDCINITIAL";((IF(H862=10,"T",(IF(H862=50,"E","")))))}</f>
        <v>CLASSDCINITIAL</v>
      </c>
      <c r="G861" s="81" t="str">
        <f t="array" ref="G861:G862">{"CLASSDCINITIALPTS";((IF("00"=(INDEX(ALLCLASSDATA,MATCH("ClassDCLegendary",CLASSFEATUREHEADERS,0),MATCH($A862,CLASSNAMEHEADERS,0))),(INDEX(ALLCLASSDATA,MATCH("ClassDCLegendary",CLASSFEATUREHEADERS,0),MATCH(($A862 &amp; "Points"),CLASSNAMEHEADERS,0))),(IF("00"=(INDEX(ALLCLASSDATA,MATCH("ClassDCMaster",CLASSFEATUREHEADERS,0),MATCH($A862,CLASSNAMEHEADERS,0))),(INDEX(ALLCLASSDATA,MATCH("ClassDCMaster",CLASSFEATUREHEADERS,0),MATCH(($A862 &amp; "Points"),CLASSNAMEHEADERS,0))),(IF("00"=(INDEX(ALLCLASSDATA,MATCH("ClassDCExpert",CLASSFEATUREHEADERS,0),MATCH($A862,CLASSNAMEHEADERS,0))),(INDEX(ALLCLASSDATA,MATCH("ClassDCExpert",CLASSFEATUREHEADERS,0),MATCH(($A862 &amp; "Points"),CLASSNAMEHEADERS,0))),(IF("00"=(INDEX(ALLCLASSDATA,MATCH("ClassDCTrained",CLASSFEATUREHEADERS,0),MATCH($A862,CLASSNAMEHEADERS,0))),(INDEX(ALLCLASSDATA,MATCH("ClassDCTrained",CLASSFEATUREHEADERS,0),MATCH(($A862 &amp; "Points"),CLASSNAMEHEADERS,0))),"")))))))))}</f>
        <v>CLASSDCINITIALPTS</v>
      </c>
      <c r="H861" s="81" t="str">
        <f t="array" ref="H861:H862">{"CLASSDCL01";((IF("01"=(INDEX(ALLCLASSDATA,MATCH("ClassDCLegendary",CLASSFEATUREHEADERS,0),MATCH($A862,CLASSNAMEHEADERS,0))),(INDEX(ALLCLASSDATA,MATCH("ClassDCLegendary",CLASSFEATUREHEADERS,0),MATCH(($A862 &amp; "Points"),CLASSNAMEHEADERS,0))),(IF("01"=(INDEX(ALLCLASSDATA,MATCH("ClassDCMaster",CLASSFEATUREHEADERS,0),MATCH($A862,CLASSNAMEHEADERS,0))),(INDEX(ALLCLASSDATA,MATCH("ClassDCMaster",CLASSFEATUREHEADERS,0),MATCH(($A862 &amp; "Points"),CLASSNAMEHEADERS,0))),(IF("01"=(INDEX(ALLCLASSDATA,MATCH("ClassDCExpert",CLASSFEATUREHEADERS,0),MATCH($A862,CLASSNAMEHEADERS,0))),(INDEX(ALLCLASSDATA,MATCH("ClassDCExpert",CLASSFEATUREHEADERS,0),MATCH(($A862 &amp; "Points"),CLASSNAMEHEADERS,0))),(IF("01"=(INDEX(ALLCLASSDATA,MATCH("ClassDCTrained",CLASSFEATUREHEADERS,0),MATCH($A862,CLASSNAMEHEADERS,0))),(INDEX(ALLCLASSDATA,MATCH("ClassDCTrained",CLASSFEATUREHEADERS,0),MATCH(($A862 &amp; "Points"),CLASSNAMEHEADERS,0))),"")))))))))}</f>
        <v>CLASSDCL01</v>
      </c>
      <c r="I861" s="81"/>
      <c r="J861" s="81" t="str">
        <f t="array" ref="J861:J862">{"CLASSDCL03";((IF("03"=(INDEX(ALLCLASSDATA,MATCH("ClassDCLegendary",CLASSFEATUREHEADERS,0),MATCH($A862,CLASSNAMEHEADERS,0))),(INDEX(ALLCLASSDATA,MATCH("ClassDCLegendary",CLASSFEATUREHEADERS,0),MATCH(($A862 &amp; "Points"),CLASSNAMEHEADERS,0))),(IF("03"=(INDEX(ALLCLASSDATA,MATCH("ClassDCMaster",CLASSFEATUREHEADERS,0),MATCH($A862,CLASSNAMEHEADERS,0))),(INDEX(ALLCLASSDATA,MATCH("ClassDCMaster",CLASSFEATUREHEADERS,0),MATCH(($A862 &amp; "Points"),CLASSNAMEHEADERS,0))),(IF("03"=(INDEX(ALLCLASSDATA,MATCH("ClassDCExpert",CLASSFEATUREHEADERS,0),MATCH($A862,CLASSNAMEHEADERS,0))),(INDEX(ALLCLASSDATA,MATCH("ClassDCExpert",CLASSFEATUREHEADERS,0),MATCH(($A862 &amp; "Points"),CLASSNAMEHEADERS,0))),(IF("03"=(INDEX(ALLCLASSDATA,MATCH("ClassDCTrained",CLASSFEATUREHEADERS,0),MATCH($A862,CLASSNAMEHEADERS,0))),(INDEX(ALLCLASSDATA,MATCH("ClassDCTrained",CLASSFEATUREHEADERS,0),MATCH(($A862 &amp; "Points"),CLASSNAMEHEADERS,0))),"")))))))))}</f>
        <v>CLASSDCL03</v>
      </c>
      <c r="K861" s="81"/>
      <c r="L861" s="81" t="str">
        <f t="array" ref="L861:L862">{"CLASSDCL05";((IF("05"=(INDEX(ALLCLASSDATA,MATCH("ClassDCLegendary",CLASSFEATUREHEADERS,0),MATCH($A862,CLASSNAMEHEADERS,0))),(INDEX(ALLCLASSDATA,MATCH("ClassDCLegendary",CLASSFEATUREHEADERS,0),MATCH(($A862 &amp; "Points"),CLASSNAMEHEADERS,0))),(IF("05"=(INDEX(ALLCLASSDATA,MATCH("ClassDCMaster",CLASSFEATUREHEADERS,0),MATCH($A862,CLASSNAMEHEADERS,0))),(INDEX(ALLCLASSDATA,MATCH("ClassDCMaster",CLASSFEATUREHEADERS,0),MATCH(($A862 &amp; "Points"),CLASSNAMEHEADERS,0))),(IF("05"=(INDEX(ALLCLASSDATA,MATCH("ClassDCExpert",CLASSFEATUREHEADERS,0),MATCH($A862,CLASSNAMEHEADERS,0))),(INDEX(ALLCLASSDATA,MATCH("ClassDCExpert",CLASSFEATUREHEADERS,0),MATCH(($A862 &amp; "Points"),CLASSNAMEHEADERS,0))),(IF("05"=(INDEX(ALLCLASSDATA,MATCH("ClassDCTrained",CLASSFEATUREHEADERS,0),MATCH($A862,CLASSNAMEHEADERS,0))),(INDEX(ALLCLASSDATA,MATCH("ClassDCTrained",CLASSFEATUREHEADERS,0),MATCH(($A862 &amp; "Points"),CLASSNAMEHEADERS,0))),"")))))))))}</f>
        <v>CLASSDCL05</v>
      </c>
      <c r="M861" s="81"/>
      <c r="N861" s="81" t="str">
        <f t="array" ref="N861:N862">{"CLASSDCL07";((IF("07"=(INDEX(ALLCLASSDATA,MATCH("ClassDCLegendary",CLASSFEATUREHEADERS,0),MATCH($A862,CLASSNAMEHEADERS,0))),(INDEX(ALLCLASSDATA,MATCH("ClassDCLegendary",CLASSFEATUREHEADERS,0),MATCH(($A862 &amp; "Points"),CLASSNAMEHEADERS,0))),(IF("07"=(INDEX(ALLCLASSDATA,MATCH("ClassDCMaster",CLASSFEATUREHEADERS,0),MATCH($A862,CLASSNAMEHEADERS,0))),(INDEX(ALLCLASSDATA,MATCH("ClassDCMaster",CLASSFEATUREHEADERS,0),MATCH(($A862 &amp; "Points"),CLASSNAMEHEADERS,0))),(IF("07"=(INDEX(ALLCLASSDATA,MATCH("ClassDCExpert",CLASSFEATUREHEADERS,0),MATCH($A862,CLASSNAMEHEADERS,0))),(INDEX(ALLCLASSDATA,MATCH("ClassDCExpert",CLASSFEATUREHEADERS,0),MATCH(($A862 &amp; "Points"),CLASSNAMEHEADERS,0))),(IF("07"=(INDEX(ALLCLASSDATA,MATCH("ClassDCTrained",CLASSFEATUREHEADERS,0),MATCH($A862,CLASSNAMEHEADERS,0))),(INDEX(ALLCLASSDATA,MATCH("ClassDCTrained",CLASSFEATUREHEADERS,0),MATCH(($A862 &amp; "Points"),CLASSNAMEHEADERS,0))),"")))))))))}</f>
        <v>CLASSDCL07</v>
      </c>
      <c r="O861" s="81"/>
      <c r="P861" s="81" t="str">
        <f t="array" ref="P861:P862">{"CLASSDCL09";((IF("09"=(INDEX(ALLCLASSDATA,MATCH("ClassDCLegendary",CLASSFEATUREHEADERS,0),MATCH($A862,CLASSNAMEHEADERS,0))),(INDEX(ALLCLASSDATA,MATCH("ClassDCLegendary",CLASSFEATUREHEADERS,0),MATCH(($A862 &amp; "Points"),CLASSNAMEHEADERS,0))),(IF("09"=(INDEX(ALLCLASSDATA,MATCH("ClassDCMaster",CLASSFEATUREHEADERS,0),MATCH($A862,CLASSNAMEHEADERS,0))),(INDEX(ALLCLASSDATA,MATCH("ClassDCMaster",CLASSFEATUREHEADERS,0),MATCH(($A862 &amp; "Points"),CLASSNAMEHEADERS,0))),(IF("09"=(INDEX(ALLCLASSDATA,MATCH("ClassDCExpert",CLASSFEATUREHEADERS,0),MATCH($A862,CLASSNAMEHEADERS,0))),(INDEX(ALLCLASSDATA,MATCH("ClassDCExpert",CLASSFEATUREHEADERS,0),MATCH(($A862 &amp; "Points"),CLASSNAMEHEADERS,0))),(IF("09"=(INDEX(ALLCLASSDATA,MATCH("ClassDCTrained",CLASSFEATUREHEADERS,0),MATCH($A862,CLASSNAMEHEADERS,0))),(INDEX(ALLCLASSDATA,MATCH("ClassDCTrained",CLASSFEATUREHEADERS,0),MATCH(($A862 &amp; "Points"),CLASSNAMEHEADERS,0))),"")))))))))}</f>
        <v>CLASSDCL09</v>
      </c>
      <c r="Q861" s="81"/>
      <c r="R861" s="81" t="str">
        <f t="array" ref="R861:R862">{"CLASSDCL11";((IF("11"=(INDEX(ALLCLASSDATA,MATCH("ClassDCLegendary",CLASSFEATUREHEADERS,0),MATCH($A862,CLASSNAMEHEADERS,0))),(INDEX(ALLCLASSDATA,MATCH("ClassDCLegendary",CLASSFEATUREHEADERS,0),MATCH(($A862 &amp; "Points"),CLASSNAMEHEADERS,0))),(IF("11"=(INDEX(ALLCLASSDATA,MATCH("ClassDCMaster",CLASSFEATUREHEADERS,0),MATCH($A862,CLASSNAMEHEADERS,0))),(INDEX(ALLCLASSDATA,MATCH("ClassDCMaster",CLASSFEATUREHEADERS,0),MATCH(($A862 &amp; "Points"),CLASSNAMEHEADERS,0))),(IF("11"=(INDEX(ALLCLASSDATA,MATCH("ClassDCExpert",CLASSFEATUREHEADERS,0),MATCH($A862,CLASSNAMEHEADERS,0))),(INDEX(ALLCLASSDATA,MATCH("ClassDCExpert",CLASSFEATUREHEADERS,0),MATCH(($A862 &amp; "Points"),CLASSNAMEHEADERS,0))),(IF("11"=(INDEX(ALLCLASSDATA,MATCH("ClassDCTrained",CLASSFEATUREHEADERS,0),MATCH($A862,CLASSNAMEHEADERS,0))),(INDEX(ALLCLASSDATA,MATCH("ClassDCTrained",CLASSFEATUREHEADERS,0),MATCH(($A862 &amp; "Points"),CLASSNAMEHEADERS,0))),"")))))))))}</f>
        <v>CLASSDCL11</v>
      </c>
      <c r="S861" s="81"/>
      <c r="T861" s="81" t="str">
        <f t="array" ref="T861:T862">{"CLASSDCL13";((IF("13"=(INDEX(ALLCLASSDATA,MATCH("ClassDCLegendary",CLASSFEATUREHEADERS,0),MATCH($A862,CLASSNAMEHEADERS,0))),(INDEX(ALLCLASSDATA,MATCH("ClassDCLegendary",CLASSFEATUREHEADERS,0),MATCH(($A862 &amp; "Points"),CLASSNAMEHEADERS,0))),(IF("13"=(INDEX(ALLCLASSDATA,MATCH("ClassDCMaster",CLASSFEATUREHEADERS,0),MATCH($A862,CLASSNAMEHEADERS,0))),(INDEX(ALLCLASSDATA,MATCH("ClassDCMaster",CLASSFEATUREHEADERS,0),MATCH(($A862 &amp; "Points"),CLASSNAMEHEADERS,0))),(IF("13"=(INDEX(ALLCLASSDATA,MATCH("ClassDCExpert",CLASSFEATUREHEADERS,0),MATCH($A862,CLASSNAMEHEADERS,0))),(INDEX(ALLCLASSDATA,MATCH("ClassDCExpert",CLASSFEATUREHEADERS,0),MATCH(($A862 &amp; "Points"),CLASSNAMEHEADERS,0))),(IF("13"=(INDEX(ALLCLASSDATA,MATCH("ClassDCTrained",CLASSFEATUREHEADERS,0),MATCH($A862,CLASSNAMEHEADERS,0))),(INDEX(ALLCLASSDATA,MATCH("ClassDCTrained",CLASSFEATUREHEADERS,0),MATCH(($A862 &amp; "Points"),CLASSNAMEHEADERS,0))),"")))))))))}</f>
        <v>CLASSDCL13</v>
      </c>
      <c r="U861" s="81"/>
      <c r="V861" s="81" t="str">
        <f t="array" ref="V861:V862">{"CLASSDCL15";((IF("15"=(INDEX(ALLCLASSDATA,MATCH("ClassDCLegendary",CLASSFEATUREHEADERS,0),MATCH($A862,CLASSNAMEHEADERS,0))),(INDEX(ALLCLASSDATA,MATCH("ClassDCLegendary",CLASSFEATUREHEADERS,0),MATCH(($A862 &amp; "Points"),CLASSNAMEHEADERS,0))),(IF("15"=(INDEX(ALLCLASSDATA,MATCH("ClassDCMaster",CLASSFEATUREHEADERS,0),MATCH($A862,CLASSNAMEHEADERS,0))),(INDEX(ALLCLASSDATA,MATCH("ClassDCMaster",CLASSFEATUREHEADERS,0),MATCH(($A862 &amp; "Points"),CLASSNAMEHEADERS,0))),(IF("15"=(INDEX(ALLCLASSDATA,MATCH("ClassDCExpert",CLASSFEATUREHEADERS,0),MATCH($A862,CLASSNAMEHEADERS,0))),(INDEX(ALLCLASSDATA,MATCH("ClassDCExpert",CLASSFEATUREHEADERS,0),MATCH(($A862 &amp; "Points"),CLASSNAMEHEADERS,0))),(IF("15"=(INDEX(ALLCLASSDATA,MATCH("ClassDCTrained",CLASSFEATUREHEADERS,0),MATCH($A862,CLASSNAMEHEADERS,0))),(INDEX(ALLCLASSDATA,MATCH("ClassDCTrained",CLASSFEATUREHEADERS,0),MATCH(($A862 &amp; "Points"),CLASSNAMEHEADERS,0))),"")))))))))}</f>
        <v>CLASSDCL15</v>
      </c>
      <c r="W861" s="81"/>
      <c r="X861" s="81" t="str">
        <f t="array" ref="X861:X862">{"CLASSDCL17";((IF("17"=(INDEX(ALLCLASSDATA,MATCH("ClassDCLegendary",CLASSFEATUREHEADERS,0),MATCH($A862,CLASSNAMEHEADERS,0))),(INDEX(ALLCLASSDATA,MATCH("ClassDCLegendary",CLASSFEATUREHEADERS,0),MATCH(($A862 &amp; "Points"),CLASSNAMEHEADERS,0))),(IF("17"=(INDEX(ALLCLASSDATA,MATCH("ClassDCMaster",CLASSFEATUREHEADERS,0),MATCH($A862,CLASSNAMEHEADERS,0))),(INDEX(ALLCLASSDATA,MATCH("ClassDCMaster",CLASSFEATUREHEADERS,0),MATCH(($A862 &amp; "Points"),CLASSNAMEHEADERS,0))),(IF("17"=(INDEX(ALLCLASSDATA,MATCH("ClassDCExpert",CLASSFEATUREHEADERS,0),MATCH($A862,CLASSNAMEHEADERS,0))),(INDEX(ALLCLASSDATA,MATCH("ClassDCExpert",CLASSFEATUREHEADERS,0),MATCH(($A862 &amp; "Points"),CLASSNAMEHEADERS,0))),(IF("17"=(INDEX(ALLCLASSDATA,MATCH("ClassDCTrained",CLASSFEATUREHEADERS,0),MATCH($A862,CLASSNAMEHEADERS,0))),(INDEX(ALLCLASSDATA,MATCH("ClassDCTrained",CLASSFEATUREHEADERS,0),MATCH(($A862 &amp; "Points"),CLASSNAMEHEADERS,0))),"")))))))))}</f>
        <v>CLASSDCL17</v>
      </c>
      <c r="Y861" s="81"/>
      <c r="Z861" s="81" t="str">
        <f t="array" ref="Z861:Z862">{"CLASSDCL19";((IF("19"=(INDEX(ALLCLASSDATA,MATCH("ClassDCLegendary",CLASSFEATUREHEADERS,0),MATCH($A862,CLASSNAMEHEADERS,0))),(INDEX(ALLCLASSDATA,MATCH("ClassDCLegendary",CLASSFEATUREHEADERS,0),MATCH(($A862 &amp; "Points"),CLASSNAMEHEADERS,0))),(IF("19"=(INDEX(ALLCLASSDATA,MATCH("ClassDCMaster",CLASSFEATUREHEADERS,0),MATCH($A862,CLASSNAMEHEADERS,0))),(INDEX(ALLCLASSDATA,MATCH("ClassDCMaster",CLASSFEATUREHEADERS,0),MATCH(($A862 &amp; "Points"),CLASSNAMEHEADERS,0))),(IF("19"=(INDEX(ALLCLASSDATA,MATCH("ClassDCExpert",CLASSFEATUREHEADERS,0),MATCH($A862,CLASSNAMEHEADERS,0))),(INDEX(ALLCLASSDATA,MATCH("ClassDCExpert",CLASSFEATUREHEADERS,0),MATCH(($A862 &amp; "Points"),CLASSNAMEHEADERS,0))),(IF("19"=(INDEX(ALLCLASSDATA,MATCH("ClassDCTrained",CLASSFEATUREHEADERS,0),MATCH($A862,CLASSNAMEHEADERS,0))),(INDEX(ALLCLASSDATA,MATCH("ClassDCTrained",CLASSFEATUREHEADERS,0),MATCH(($A862 &amp; "Points"),CLASSNAMEHEADERS,0))),"")))))))))}</f>
        <v>CLASSDCL19</v>
      </c>
      <c r="AA861" s="81"/>
      <c r="AB861" s="76" t="str">
        <f t="array" ref="AB861:AB862">{"CLASSDC TOTAL";(IF(COUNTBLANK(G862:AA862)=17,"L",(IF(COUNTBLANK(G862:AA862)=18,"M",(IF(COUNTBLANK(G862:AA862)=19,"E",(IF(COUNTBLANK(G862:AA862)=20,"T",""))))))))}</f>
        <v>CLASSDC TOTAL</v>
      </c>
      <c r="AC861" s="76" t="str">
        <f t="array" ref="AC861:AC862">{"CLASSDC TOTAL";(sum(G862:AA862))}</f>
        <v>CLASSDC TOTAL</v>
      </c>
    </row>
    <row r="862">
      <c r="A862" s="48" t="s">
        <v>180</v>
      </c>
      <c r="B862" s="48"/>
      <c r="C862" s="48" t="s">
        <v>413</v>
      </c>
      <c r="D862" s="48" t="s">
        <v>1465</v>
      </c>
      <c r="E862" s="48" t="s">
        <v>1466</v>
      </c>
      <c r="F862" s="5" t="s">
        <v>435</v>
      </c>
      <c r="G862" s="47" t="s">
        <v>603</v>
      </c>
      <c r="H862" s="5">
        <v>10.0</v>
      </c>
      <c r="I862" s="5"/>
      <c r="J862" s="5" t="s">
        <v>603</v>
      </c>
      <c r="K862" s="5"/>
      <c r="L862" s="5" t="s">
        <v>603</v>
      </c>
      <c r="M862" s="5"/>
      <c r="N862" s="5" t="s">
        <v>603</v>
      </c>
      <c r="O862" s="5"/>
      <c r="P862" s="5">
        <v>50.0</v>
      </c>
      <c r="Q862" s="5"/>
      <c r="R862" s="5" t="s">
        <v>603</v>
      </c>
      <c r="S862" s="5"/>
      <c r="T862" s="5" t="s">
        <v>603</v>
      </c>
      <c r="U862" s="5"/>
      <c r="V862" s="5" t="s">
        <v>603</v>
      </c>
      <c r="W862" s="5"/>
      <c r="X862" s="5">
        <v>110.0</v>
      </c>
      <c r="Y862" s="5"/>
      <c r="Z862" s="5" t="s">
        <v>603</v>
      </c>
      <c r="AA862" s="5"/>
      <c r="AB862" s="5" t="s">
        <v>437</v>
      </c>
      <c r="AC862" s="47">
        <v>170.0</v>
      </c>
    </row>
    <row r="863" hidden="1">
      <c r="A863" s="222" t="str">
        <f t="array" ref="A863:A864">{"FormulaRow21";(INDEX(CLASSLIST,A822,1))}</f>
        <v>FormulaRow21</v>
      </c>
      <c r="B863" s="77" t="s">
        <v>236</v>
      </c>
      <c r="C863" s="222" t="str">
        <f t="array" ref="C863:C864">{"CLASSTYPE";((INDEX(ALLCLASSDATA,MATCH("ClassType",CLASSFEATUREHEADERS,0),MATCH($A864,CLASSNAMEHEADERS,0))))}</f>
        <v>CLASSTYPE</v>
      </c>
      <c r="D863" s="222" t="str">
        <f t="array" ref="D863:D864">{"DC";"DC"}</f>
        <v>DC</v>
      </c>
      <c r="E863" s="222" t="str">
        <f t="array" ref="E863:E864">{"SPELLDC";"SpellDC"}</f>
        <v>SPELLDC</v>
      </c>
      <c r="F863" s="223" t="str">
        <f t="array" ref="F863:F864">{"SPELLDCINITIAL";((IF(H864=10,"T",(IF(H864=50,"E","")))))}</f>
        <v>SPELLDCINITIAL</v>
      </c>
      <c r="G863" s="223" t="str">
        <f t="array" ref="G863:G864">{"SPELLDCINITIALPTS";((IF("00"=(INDEX(ALLCLASSDATA,MATCH("SpellDCLegendary",CLASSFEATUREHEADERS,0),MATCH($A864,CLASSNAMEHEADERS,0))),(INDEX(ALLCLASSDATA,MATCH("SpellDCLegendary",CLASSFEATUREHEADERS,0),MATCH(($A864 &amp; "Points"),CLASSNAMEHEADERS,0))),(IF("00"=(INDEX(ALLCLASSDATA,MATCH("SpellDCMaster",CLASSFEATUREHEADERS,0),MATCH($A864,CLASSNAMEHEADERS,0))),(INDEX(ALLCLASSDATA,MATCH("SpellDCMaster",CLASSFEATUREHEADERS,0),MATCH(($A864 &amp; "Points"),CLASSNAMEHEADERS,0))),(IF("00"=(INDEX(ALLCLASSDATA,MATCH("SpellDCExpert",CLASSFEATUREHEADERS,0),MATCH($A864,CLASSNAMEHEADERS,0))),(INDEX(ALLCLASSDATA,MATCH("SpellDCExpert",CLASSFEATUREHEADERS,0),MATCH(($A864 &amp; "Points"),CLASSNAMEHEADERS,0))),(IF("00"=(INDEX(ALLCLASSDATA,MATCH("SpellDCTrained",CLASSFEATUREHEADERS,0),MATCH($A864,CLASSNAMEHEADERS,0))),(INDEX(ALLCLASSDATA,MATCH("SpellDCTrained",CLASSFEATUREHEADERS,0),MATCH(($A864 &amp; "Points"),CLASSNAMEHEADERS,0))),"")))))))))}</f>
        <v>SPELLDCINITIALPTS</v>
      </c>
      <c r="H863" s="223" t="str">
        <f t="array" ref="H863:H864">{"SPELLDCL01";((IF("01"=(INDEX(ALLCLASSDATA,MATCH("SpellDCLegendary",CLASSFEATUREHEADERS,0),MATCH($A864,CLASSNAMEHEADERS,0))),(INDEX(ALLCLASSDATA,MATCH("SpellDCLegendary",CLASSFEATUREHEADERS,0),MATCH(($A864 &amp; "Points"),CLASSNAMEHEADERS,0))),(IF("01"=(INDEX(ALLCLASSDATA,MATCH("SpellDCMaster",CLASSFEATUREHEADERS,0),MATCH($A864,CLASSNAMEHEADERS,0))),(INDEX(ALLCLASSDATA,MATCH("SpellDCMaster",CLASSFEATUREHEADERS,0),MATCH(($A864 &amp; "Points"),CLASSNAMEHEADERS,0))),(IF("01"=(INDEX(ALLCLASSDATA,MATCH("SpellDCExpert",CLASSFEATUREHEADERS,0),MATCH($A864,CLASSNAMEHEADERS,0))),(INDEX(ALLCLASSDATA,MATCH("SpellDCExpert",CLASSFEATUREHEADERS,0),MATCH(($A864 &amp; "Points"),CLASSNAMEHEADERS,0))),(IF("01"=(INDEX(ALLCLASSDATA,MATCH("SpellDCTrained",CLASSFEATUREHEADERS,0),MATCH($A864,CLASSNAMEHEADERS,0))),(INDEX(ALLCLASSDATA,MATCH("SpellDCTrained",CLASSFEATUREHEADERS,0),MATCH(($A864 &amp; "Points"),CLASSNAMEHEADERS,0))),"")))))))))}</f>
        <v>SPELLDCL01</v>
      </c>
      <c r="I863" s="223"/>
      <c r="J863" s="223" t="str">
        <f t="array" ref="J863:J864">{"SPELLDCL03";((IF("03"=(INDEX(ALLCLASSDATA,MATCH("SpellDCLegendary",CLASSFEATUREHEADERS,0),MATCH($A864,CLASSNAMEHEADERS,0))),(INDEX(ALLCLASSDATA,MATCH("SpellDCLegendary",CLASSFEATUREHEADERS,0),MATCH(($A864 &amp; "Points"),CLASSNAMEHEADERS,0))),(IF("03"=(INDEX(ALLCLASSDATA,MATCH("SpellDCMaster",CLASSFEATUREHEADERS,0),MATCH($A864,CLASSNAMEHEADERS,0))),(INDEX(ALLCLASSDATA,MATCH("SpellDCMaster",CLASSFEATUREHEADERS,0),MATCH(($A864 &amp; "Points"),CLASSNAMEHEADERS,0))),(IF("03"=(INDEX(ALLCLASSDATA,MATCH("SpellDCExpert",CLASSFEATUREHEADERS,0),MATCH($A864,CLASSNAMEHEADERS,0))),(INDEX(ALLCLASSDATA,MATCH("SpellDCExpert",CLASSFEATUREHEADERS,0),MATCH(($A864 &amp; "Points"),CLASSNAMEHEADERS,0))),(IF("03"=(INDEX(ALLCLASSDATA,MATCH("SpellDCTrained",CLASSFEATUREHEADERS,0),MATCH($A864,CLASSNAMEHEADERS,0))),(INDEX(ALLCLASSDATA,MATCH("SpellDCTrained",CLASSFEATUREHEADERS,0),MATCH(($A864 &amp; "Points"),CLASSNAMEHEADERS,0))),"")))))))))}</f>
        <v>SPELLDCL03</v>
      </c>
      <c r="K863" s="223"/>
      <c r="L863" s="223" t="str">
        <f t="array" ref="L863:L864">{"SPELLDCL05";((IF("05"=(INDEX(ALLCLASSDATA,MATCH("SpellDCLegendary",CLASSFEATUREHEADERS,0),MATCH($A864,CLASSNAMEHEADERS,0))),(INDEX(ALLCLASSDATA,MATCH("SpellDCLegendary",CLASSFEATUREHEADERS,0),MATCH(($A864 &amp; "Points"),CLASSNAMEHEADERS,0))),(IF("05"=(INDEX(ALLCLASSDATA,MATCH("SpellDCMaster",CLASSFEATUREHEADERS,0),MATCH($A864,CLASSNAMEHEADERS,0))),(INDEX(ALLCLASSDATA,MATCH("SpellDCMaster",CLASSFEATUREHEADERS,0),MATCH(($A864 &amp; "Points"),CLASSNAMEHEADERS,0))),(IF("05"=(INDEX(ALLCLASSDATA,MATCH("SpellDCExpert",CLASSFEATUREHEADERS,0),MATCH($A864,CLASSNAMEHEADERS,0))),(INDEX(ALLCLASSDATA,MATCH("SpellDCExpert",CLASSFEATUREHEADERS,0),MATCH(($A864 &amp; "Points"),CLASSNAMEHEADERS,0))),(IF("05"=(INDEX(ALLCLASSDATA,MATCH("SpellDCTrained",CLASSFEATUREHEADERS,0),MATCH($A864,CLASSNAMEHEADERS,0))),(INDEX(ALLCLASSDATA,MATCH("SpellDCTrained",CLASSFEATUREHEADERS,0),MATCH(($A864 &amp; "Points"),CLASSNAMEHEADERS,0))),"")))))))))}</f>
        <v>SPELLDCL05</v>
      </c>
      <c r="M863" s="223"/>
      <c r="N863" s="223" t="str">
        <f t="array" ref="N863:N864">{"SPELLDCL07";((IF("07"=(INDEX(ALLCLASSDATA,MATCH("SpellDCLegendary",CLASSFEATUREHEADERS,0),MATCH($A864,CLASSNAMEHEADERS,0))),(INDEX(ALLCLASSDATA,MATCH("SpellDCLegendary",CLASSFEATUREHEADERS,0),MATCH(($A864 &amp; "Points"),CLASSNAMEHEADERS,0))),(IF("07"=(INDEX(ALLCLASSDATA,MATCH("SpellDCMaster",CLASSFEATUREHEADERS,0),MATCH($A864,CLASSNAMEHEADERS,0))),(INDEX(ALLCLASSDATA,MATCH("SpellDCMaster",CLASSFEATUREHEADERS,0),MATCH(($A864 &amp; "Points"),CLASSNAMEHEADERS,0))),(IF("07"=(INDEX(ALLCLASSDATA,MATCH("SpellDCExpert",CLASSFEATUREHEADERS,0),MATCH($A864,CLASSNAMEHEADERS,0))),(INDEX(ALLCLASSDATA,MATCH("SpellDCExpert",CLASSFEATUREHEADERS,0),MATCH(($A864 &amp; "Points"),CLASSNAMEHEADERS,0))),(IF("07"=(INDEX(ALLCLASSDATA,MATCH("SpellDCTrained",CLASSFEATUREHEADERS,0),MATCH($A864,CLASSNAMEHEADERS,0))),(INDEX(ALLCLASSDATA,MATCH("SpellDCTrained",CLASSFEATUREHEADERS,0),MATCH(($A864 &amp; "Points"),CLASSNAMEHEADERS,0))),"")))))))))}</f>
        <v>SPELLDCL07</v>
      </c>
      <c r="O863" s="223"/>
      <c r="P863" s="223" t="str">
        <f t="array" ref="P863:P864">{"SPELLDCL09";((IF("09"=(INDEX(ALLCLASSDATA,MATCH("SpellDCLegendary",CLASSFEATUREHEADERS,0),MATCH($A864,CLASSNAMEHEADERS,0))),(INDEX(ALLCLASSDATA,MATCH("SpellDCLegendary",CLASSFEATUREHEADERS,0),MATCH(($A864 &amp; "Points"),CLASSNAMEHEADERS,0))),(IF("09"=(INDEX(ALLCLASSDATA,MATCH("SpellDCMaster",CLASSFEATUREHEADERS,0),MATCH($A864,CLASSNAMEHEADERS,0))),(INDEX(ALLCLASSDATA,MATCH("SpellDCMaster",CLASSFEATUREHEADERS,0),MATCH(($A864 &amp; "Points"),CLASSNAMEHEADERS,0))),(IF("09"=(INDEX(ALLCLASSDATA,MATCH("SpellDCExpert",CLASSFEATUREHEADERS,0),MATCH($A864,CLASSNAMEHEADERS,0))),(INDEX(ALLCLASSDATA,MATCH("SpellDCExpert",CLASSFEATUREHEADERS,0),MATCH(($A864 &amp; "Points"),CLASSNAMEHEADERS,0))),(IF("09"=(INDEX(ALLCLASSDATA,MATCH("SpellDCTrained",CLASSFEATUREHEADERS,0),MATCH($A864,CLASSNAMEHEADERS,0))),(INDEX(ALLCLASSDATA,MATCH("SpellDCTrained",CLASSFEATUREHEADERS,0),MATCH(($A864 &amp; "Points"),CLASSNAMEHEADERS,0))),"")))))))))}</f>
        <v>SPELLDCL09</v>
      </c>
      <c r="Q863" s="223"/>
      <c r="R863" s="223" t="str">
        <f t="array" ref="R863:R864">{"SPELLDCL11";((IF("11"=(INDEX(ALLCLASSDATA,MATCH("SpellDCLegendary",CLASSFEATUREHEADERS,0),MATCH($A864,CLASSNAMEHEADERS,0))),(INDEX(ALLCLASSDATA,MATCH("SpellDCLegendary",CLASSFEATUREHEADERS,0),MATCH(($A864 &amp; "Points"),CLASSNAMEHEADERS,0))),(IF("11"=(INDEX(ALLCLASSDATA,MATCH("SpellDCMaster",CLASSFEATUREHEADERS,0),MATCH($A864,CLASSNAMEHEADERS,0))),(INDEX(ALLCLASSDATA,MATCH("SpellDCMaster",CLASSFEATUREHEADERS,0),MATCH(($A864 &amp; "Points"),CLASSNAMEHEADERS,0))),(IF("11"=(INDEX(ALLCLASSDATA,MATCH("SpellDCExpert",CLASSFEATUREHEADERS,0),MATCH($A864,CLASSNAMEHEADERS,0))),(INDEX(ALLCLASSDATA,MATCH("SpellDCExpert",CLASSFEATUREHEADERS,0),MATCH(($A864 &amp; "Points"),CLASSNAMEHEADERS,0))),(IF("11"=(INDEX(ALLCLASSDATA,MATCH("SpellDCTrained",CLASSFEATUREHEADERS,0),MATCH($A864,CLASSNAMEHEADERS,0))),(INDEX(ALLCLASSDATA,MATCH("SpellDCTrained",CLASSFEATUREHEADERS,0),MATCH(($A864 &amp; "Points"),CLASSNAMEHEADERS,0))),"")))))))))}</f>
        <v>SPELLDCL11</v>
      </c>
      <c r="S863" s="223"/>
      <c r="T863" s="223" t="str">
        <f t="array" ref="T863:T864">{"SPELLDCL13";((IF("13"=(INDEX(ALLCLASSDATA,MATCH("SpellDCLegendary",CLASSFEATUREHEADERS,0),MATCH($A864,CLASSNAMEHEADERS,0))),(INDEX(ALLCLASSDATA,MATCH("SpellDCLegendary",CLASSFEATUREHEADERS,0),MATCH(($A864 &amp; "Points"),CLASSNAMEHEADERS,0))),(IF("13"=(INDEX(ALLCLASSDATA,MATCH("SpellDCMaster",CLASSFEATUREHEADERS,0),MATCH($A864,CLASSNAMEHEADERS,0))),(INDEX(ALLCLASSDATA,MATCH("SpellDCMaster",CLASSFEATUREHEADERS,0),MATCH(($A864 &amp; "Points"),CLASSNAMEHEADERS,0))),(IF("13"=(INDEX(ALLCLASSDATA,MATCH("SpellDCExpert",CLASSFEATUREHEADERS,0),MATCH($A864,CLASSNAMEHEADERS,0))),(INDEX(ALLCLASSDATA,MATCH("SpellDCExpert",CLASSFEATUREHEADERS,0),MATCH(($A864 &amp; "Points"),CLASSNAMEHEADERS,0))),(IF("13"=(INDEX(ALLCLASSDATA,MATCH("SpellDCTrained",CLASSFEATUREHEADERS,0),MATCH($A864,CLASSNAMEHEADERS,0))),(INDEX(ALLCLASSDATA,MATCH("SpellDCTrained",CLASSFEATUREHEADERS,0),MATCH(($A864 &amp; "Points"),CLASSNAMEHEADERS,0))),"")))))))))}</f>
        <v>SPELLDCL13</v>
      </c>
      <c r="U863" s="223"/>
      <c r="V863" s="223" t="str">
        <f t="array" ref="V863:V864">{"SPELLDCL15";((IF("15"=(INDEX(ALLCLASSDATA,MATCH("SpellDCLegendary",CLASSFEATUREHEADERS,0),MATCH($A864,CLASSNAMEHEADERS,0))),(INDEX(ALLCLASSDATA,MATCH("SpellDCLegendary",CLASSFEATUREHEADERS,0),MATCH(($A864 &amp; "Points"),CLASSNAMEHEADERS,0))),(IF("15"=(INDEX(ALLCLASSDATA,MATCH("SpellDCMaster",CLASSFEATUREHEADERS,0),MATCH($A864,CLASSNAMEHEADERS,0))),(INDEX(ALLCLASSDATA,MATCH("SpellDCMaster",CLASSFEATUREHEADERS,0),MATCH(($A864 &amp; "Points"),CLASSNAMEHEADERS,0))),(IF("15"=(INDEX(ALLCLASSDATA,MATCH("SpellDCExpert",CLASSFEATUREHEADERS,0),MATCH($A864,CLASSNAMEHEADERS,0))),(INDEX(ALLCLASSDATA,MATCH("SpellDCExpert",CLASSFEATUREHEADERS,0),MATCH(($A864 &amp; "Points"),CLASSNAMEHEADERS,0))),(IF("15"=(INDEX(ALLCLASSDATA,MATCH("SpellDCTrained",CLASSFEATUREHEADERS,0),MATCH($A864,CLASSNAMEHEADERS,0))),(INDEX(ALLCLASSDATA,MATCH("SpellDCTrained",CLASSFEATUREHEADERS,0),MATCH(($A864 &amp; "Points"),CLASSNAMEHEADERS,0))),"")))))))))}</f>
        <v>SPELLDCL15</v>
      </c>
      <c r="W863" s="223"/>
      <c r="X863" s="223" t="str">
        <f t="array" ref="X863:X864">{"SPELLDCL17";((IF("17"=(INDEX(ALLCLASSDATA,MATCH("SpellDCLegendary",CLASSFEATUREHEADERS,0),MATCH($A864,CLASSNAMEHEADERS,0))),(INDEX(ALLCLASSDATA,MATCH("SpellDCLegendary",CLASSFEATUREHEADERS,0),MATCH(($A864 &amp; "Points"),CLASSNAMEHEADERS,0))),(IF("17"=(INDEX(ALLCLASSDATA,MATCH("SpellDCMaster",CLASSFEATUREHEADERS,0),MATCH($A864,CLASSNAMEHEADERS,0))),(INDEX(ALLCLASSDATA,MATCH("SpellDCMaster",CLASSFEATUREHEADERS,0),MATCH(($A864 &amp; "Points"),CLASSNAMEHEADERS,0))),(IF("17"=(INDEX(ALLCLASSDATA,MATCH("SpellDCExpert",CLASSFEATUREHEADERS,0),MATCH($A864,CLASSNAMEHEADERS,0))),(INDEX(ALLCLASSDATA,MATCH("SpellDCExpert",CLASSFEATUREHEADERS,0),MATCH(($A864 &amp; "Points"),CLASSNAMEHEADERS,0))),(IF("17"=(INDEX(ALLCLASSDATA,MATCH("SpellDCTrained",CLASSFEATUREHEADERS,0),MATCH($A864,CLASSNAMEHEADERS,0))),(INDEX(ALLCLASSDATA,MATCH("SpellDCTrained",CLASSFEATUREHEADERS,0),MATCH(($A864 &amp; "Points"),CLASSNAMEHEADERS,0))),"")))))))))}</f>
        <v>SPELLDCL17</v>
      </c>
      <c r="Y863" s="223"/>
      <c r="Z863" s="223" t="str">
        <f t="array" ref="Z863:Z864">{"SPELLDCL19";((IF("19"=(INDEX(ALLCLASSDATA,MATCH("SpellDCLegendary",CLASSFEATUREHEADERS,0),MATCH($A864,CLASSNAMEHEADERS,0))),(INDEX(ALLCLASSDATA,MATCH("SpellDCLegendary",CLASSFEATUREHEADERS,0),MATCH(($A864 &amp; "Points"),CLASSNAMEHEADERS,0))),(IF("19"=(INDEX(ALLCLASSDATA,MATCH("SpellDCMaster",CLASSFEATUREHEADERS,0),MATCH($A864,CLASSNAMEHEADERS,0))),(INDEX(ALLCLASSDATA,MATCH("SpellDCMaster",CLASSFEATUREHEADERS,0),MATCH(($A864 &amp; "Points"),CLASSNAMEHEADERS,0))),(IF("19"=(INDEX(ALLCLASSDATA,MATCH("SpellDCExpert",CLASSFEATUREHEADERS,0),MATCH($A864,CLASSNAMEHEADERS,0))),(INDEX(ALLCLASSDATA,MATCH("SpellDCExpert",CLASSFEATUREHEADERS,0),MATCH(($A864 &amp; "Points"),CLASSNAMEHEADERS,0))),(IF("19"=(INDEX(ALLCLASSDATA,MATCH("SpellDCTrained",CLASSFEATUREHEADERS,0),MATCH($A864,CLASSNAMEHEADERS,0))),(INDEX(ALLCLASSDATA,MATCH("SpellDCTrained",CLASSFEATUREHEADERS,0),MATCH(($A864 &amp; "Points"),CLASSNAMEHEADERS,0))),"")))))))))}</f>
        <v>SPELLDCL19</v>
      </c>
      <c r="AA863" s="223"/>
      <c r="AB863" s="76" t="str">
        <f t="array" ref="AB863:AB864">{"SPELLDC TOTAL";(IF(COUNTBLANK(G864:AA864)=17,"L",(IF(COUNTBLANK(G864:AA864)=18,"M",(IF(COUNTBLANK(G864:AA864)=19,"E",(IF(COUNTBLANK(G864:AA864)=20,"T",""))))))))}</f>
        <v>SPELLDC TOTAL</v>
      </c>
      <c r="AC863" s="76" t="str">
        <f t="array" ref="AC863:AC864">{"SPELLDC TOTAL";(sum(G864:AA864))}</f>
        <v>SPELLDC TOTAL</v>
      </c>
    </row>
    <row r="864">
      <c r="A864" s="48" t="s">
        <v>180</v>
      </c>
      <c r="B864" s="48"/>
      <c r="C864" s="48" t="s">
        <v>413</v>
      </c>
      <c r="D864" s="97" t="s">
        <v>1465</v>
      </c>
      <c r="E864" s="97" t="s">
        <v>1485</v>
      </c>
      <c r="F864" s="98" t="s">
        <v>603</v>
      </c>
      <c r="G864" s="132" t="s">
        <v>603</v>
      </c>
      <c r="H864" s="98" t="s">
        <v>603</v>
      </c>
      <c r="I864" s="98"/>
      <c r="J864" s="98" t="s">
        <v>603</v>
      </c>
      <c r="K864" s="98"/>
      <c r="L864" s="98" t="s">
        <v>603</v>
      </c>
      <c r="M864" s="98"/>
      <c r="N864" s="98" t="s">
        <v>603</v>
      </c>
      <c r="O864" s="98"/>
      <c r="P864" s="98" t="s">
        <v>603</v>
      </c>
      <c r="Q864" s="98"/>
      <c r="R864" s="98" t="s">
        <v>603</v>
      </c>
      <c r="S864" s="98"/>
      <c r="T864" s="98" t="s">
        <v>603</v>
      </c>
      <c r="U864" s="98"/>
      <c r="V864" s="98" t="s">
        <v>603</v>
      </c>
      <c r="W864" s="98"/>
      <c r="X864" s="98" t="s">
        <v>603</v>
      </c>
      <c r="Y864" s="98"/>
      <c r="Z864" s="98" t="s">
        <v>603</v>
      </c>
      <c r="AA864" s="98"/>
      <c r="AB864" s="5" t="s">
        <v>603</v>
      </c>
      <c r="AC864" s="47">
        <v>0.0</v>
      </c>
    </row>
    <row r="865" hidden="1">
      <c r="A865" s="222" t="str">
        <f t="array" ref="A865:A866">{"FormulaRow22";(INDEX(CLASSLIST,A822,1))}</f>
        <v>FormulaRow22</v>
      </c>
      <c r="B865" s="77" t="s">
        <v>236</v>
      </c>
      <c r="C865" s="222" t="str">
        <f t="array" ref="C865:C866">{"CLASSTYPE";((INDEX(ALLCLASSDATA,MATCH("ClassType",CLASSFEATUREHEADERS,0),MATCH($A866,CLASSNAMEHEADERS,0))))}</f>
        <v>CLASSTYPE</v>
      </c>
      <c r="D865" s="228" t="str">
        <f t="shared" ref="D865:E865" si="10">{"PERCEPTION";"Perception"}</f>
        <v>PERCEPTION</v>
      </c>
      <c r="E865" s="228" t="str">
        <f t="shared" si="10"/>
        <v>PERCEPTION</v>
      </c>
      <c r="F865" s="230" t="str">
        <f t="array" ref="F865:F866">{"PERCEPTIONINITIAL";((IF(H866=10,"T",(IF(H866=50,"E","")))))}</f>
        <v>PERCEPTIONINITIAL</v>
      </c>
      <c r="G865" s="230" t="str">
        <f t="array" ref="G865:G866">{"PERCEPTIONINITIALPTS";((IF("00"=(INDEX(ALLCLASSDATA,MATCH("PerceptionLegendary",CLASSFEATUREHEADERS,0),MATCH($A866,CLASSNAMEHEADERS,0))),(INDEX(ALLCLASSDATA,MATCH("PerceptionLegendary",CLASSFEATUREHEADERS,0),MATCH(($A866 &amp; "Points"),CLASSNAMEHEADERS,0))),(IF("00"=(INDEX(ALLCLASSDATA,MATCH("PerceptionMaster",CLASSFEATUREHEADERS,0),MATCH($A866,CLASSNAMEHEADERS,0))),(INDEX(ALLCLASSDATA,MATCH("PerceptionMaster",CLASSFEATUREHEADERS,0),MATCH(($A866 &amp; "Points"),CLASSNAMEHEADERS,0))),(IF("00"=(INDEX(ALLCLASSDATA,MATCH("PerceptionExpert",CLASSFEATUREHEADERS,0),MATCH($A866,CLASSNAMEHEADERS,0))),(INDEX(ALLCLASSDATA,MATCH("PerceptionExpert",CLASSFEATUREHEADERS,0),MATCH(($A866 &amp; "Points"),CLASSNAMEHEADERS,0))),(IF("00"=(INDEX(ALLCLASSDATA,MATCH("PerceptionTrained",CLASSFEATUREHEADERS,0),MATCH($A866,CLASSNAMEHEADERS,0))),(INDEX(ALLCLASSDATA,MATCH("PerceptionTrained",CLASSFEATUREHEADERS,0),MATCH(($A866 &amp; "Points"),CLASSNAMEHEADERS,0))),"")))))))))}</f>
        <v>PERCEPTIONINITIALPTS</v>
      </c>
      <c r="H865" s="230" t="str">
        <f t="array" ref="H865:H866">{"PERCEPTIONL01";((IF("01"=(INDEX(ALLCLASSDATA,MATCH("PerceptionLegendary",CLASSFEATUREHEADERS,0),MATCH($A866,CLASSNAMEHEADERS,0))),(INDEX(ALLCLASSDATA,MATCH("PerceptionLegendary",CLASSFEATUREHEADERS,0),MATCH(($A866 &amp; "Points"),CLASSNAMEHEADERS,0))),(IF("01"=(INDEX(ALLCLASSDATA,MATCH("PerceptionMaster",CLASSFEATUREHEADERS,0),MATCH($A866,CLASSNAMEHEADERS,0))),(INDEX(ALLCLASSDATA,MATCH("PerceptionMaster",CLASSFEATUREHEADERS,0),MATCH(($A866 &amp; "Points"),CLASSNAMEHEADERS,0))),(IF("01"=(INDEX(ALLCLASSDATA,MATCH("PerceptionExpert",CLASSFEATUREHEADERS,0),MATCH($A866,CLASSNAMEHEADERS,0))),(INDEX(ALLCLASSDATA,MATCH("PerceptionExpert",CLASSFEATUREHEADERS,0),MATCH(($A866 &amp; "Points"),CLASSNAMEHEADERS,0))),(IF("01"=(INDEX(ALLCLASSDATA,MATCH("PerceptionTrained",CLASSFEATUREHEADERS,0),MATCH($A866,CLASSNAMEHEADERS,0))),(INDEX(ALLCLASSDATA,MATCH("PerceptionTrained",CLASSFEATUREHEADERS,0),MATCH(($A866 &amp; "Points"),CLASSNAMEHEADERS,0))),"")))))))))}</f>
        <v>PERCEPTIONL01</v>
      </c>
      <c r="I865" s="230"/>
      <c r="J865" s="230" t="str">
        <f t="array" ref="J865:J866">{"PERCEPTIONL03";((IF("03"=(INDEX(ALLCLASSDATA,MATCH("PerceptionLegendary",CLASSFEATUREHEADERS,0),MATCH($A866,CLASSNAMEHEADERS,0))),(INDEX(ALLCLASSDATA,MATCH("PerceptionLegendary",CLASSFEATUREHEADERS,0),MATCH(($A866 &amp; "Points"),CLASSNAMEHEADERS,0))),(IF("03"=(INDEX(ALLCLASSDATA,MATCH("PerceptionMaster",CLASSFEATUREHEADERS,0),MATCH($A866,CLASSNAMEHEADERS,0))),(INDEX(ALLCLASSDATA,MATCH("PerceptionMaster",CLASSFEATUREHEADERS,0),MATCH(($A866 &amp; "Points"),CLASSNAMEHEADERS,0))),(IF("03"=(INDEX(ALLCLASSDATA,MATCH("PerceptionExpert",CLASSFEATUREHEADERS,0),MATCH($A866,CLASSNAMEHEADERS,0))),(INDEX(ALLCLASSDATA,MATCH("PerceptionExpert",CLASSFEATUREHEADERS,0),MATCH(($A866 &amp; "Points"),CLASSNAMEHEADERS,0))),(IF("03"=(INDEX(ALLCLASSDATA,MATCH("PerceptionTrained",CLASSFEATUREHEADERS,0),MATCH($A866,CLASSNAMEHEADERS,0))),(INDEX(ALLCLASSDATA,MATCH("PerceptionTrained",CLASSFEATUREHEADERS,0),MATCH(($A866 &amp; "Points"),CLASSNAMEHEADERS,0))),"")))))))))}</f>
        <v>PERCEPTIONL03</v>
      </c>
      <c r="K865" s="230"/>
      <c r="L865" s="230" t="str">
        <f t="array" ref="L865:L866">{"PERCEPTIONL05";((IF("05"=(INDEX(ALLCLASSDATA,MATCH("PerceptionLegendary",CLASSFEATUREHEADERS,0),MATCH($A866,CLASSNAMEHEADERS,0))),(INDEX(ALLCLASSDATA,MATCH("PerceptionLegendary",CLASSFEATUREHEADERS,0),MATCH(($A866 &amp; "Points"),CLASSNAMEHEADERS,0))),(IF("05"=(INDEX(ALLCLASSDATA,MATCH("PerceptionMaster",CLASSFEATUREHEADERS,0),MATCH($A866,CLASSNAMEHEADERS,0))),(INDEX(ALLCLASSDATA,MATCH("PerceptionMaster",CLASSFEATUREHEADERS,0),MATCH(($A866 &amp; "Points"),CLASSNAMEHEADERS,0))),(IF("05"=(INDEX(ALLCLASSDATA,MATCH("PerceptionExpert",CLASSFEATUREHEADERS,0),MATCH($A866,CLASSNAMEHEADERS,0))),(INDEX(ALLCLASSDATA,MATCH("PerceptionExpert",CLASSFEATUREHEADERS,0),MATCH(($A866 &amp; "Points"),CLASSNAMEHEADERS,0))),(IF("05"=(INDEX(ALLCLASSDATA,MATCH("PerceptionTrained",CLASSFEATUREHEADERS,0),MATCH($A866,CLASSNAMEHEADERS,0))),(INDEX(ALLCLASSDATA,MATCH("PerceptionTrained",CLASSFEATUREHEADERS,0),MATCH(($A866 &amp; "Points"),CLASSNAMEHEADERS,0))),"")))))))))}</f>
        <v>PERCEPTIONL05</v>
      </c>
      <c r="M865" s="230"/>
      <c r="N865" s="230" t="str">
        <f t="array" ref="N865:N866">{"PERCEPTIONL07";((IF("07"=(INDEX(ALLCLASSDATA,MATCH("PerceptionLegendary",CLASSFEATUREHEADERS,0),MATCH($A866,CLASSNAMEHEADERS,0))),(INDEX(ALLCLASSDATA,MATCH("PerceptionLegendary",CLASSFEATUREHEADERS,0),MATCH(($A866 &amp; "Points"),CLASSNAMEHEADERS,0))),(IF("07"=(INDEX(ALLCLASSDATA,MATCH("PerceptionMaster",CLASSFEATUREHEADERS,0),MATCH($A866,CLASSNAMEHEADERS,0))),(INDEX(ALLCLASSDATA,MATCH("PerceptionMaster",CLASSFEATUREHEADERS,0),MATCH(($A866 &amp; "Points"),CLASSNAMEHEADERS,0))),(IF("07"=(INDEX(ALLCLASSDATA,MATCH("PerceptionExpert",CLASSFEATUREHEADERS,0),MATCH($A866,CLASSNAMEHEADERS,0))),(INDEX(ALLCLASSDATA,MATCH("PerceptionExpert",CLASSFEATUREHEADERS,0),MATCH(($A866 &amp; "Points"),CLASSNAMEHEADERS,0))),(IF("07"=(INDEX(ALLCLASSDATA,MATCH("PerceptionTrained",CLASSFEATUREHEADERS,0),MATCH($A866,CLASSNAMEHEADERS,0))),(INDEX(ALLCLASSDATA,MATCH("PerceptionTrained",CLASSFEATUREHEADERS,0),MATCH(($A866 &amp; "Points"),CLASSNAMEHEADERS,0))),"")))))))))}</f>
        <v>PERCEPTIONL07</v>
      </c>
      <c r="O865" s="230"/>
      <c r="P865" s="230" t="str">
        <f t="array" ref="P865:P866">{"PERCEPTIONL09";((IF("09"=(INDEX(ALLCLASSDATA,MATCH("PerceptionLegendary",CLASSFEATUREHEADERS,0),MATCH($A866,CLASSNAMEHEADERS,0))),(INDEX(ALLCLASSDATA,MATCH("PerceptionLegendary",CLASSFEATUREHEADERS,0),MATCH(($A866 &amp; "Points"),CLASSNAMEHEADERS,0))),(IF("09"=(INDEX(ALLCLASSDATA,MATCH("PerceptionMaster",CLASSFEATUREHEADERS,0),MATCH($A866,CLASSNAMEHEADERS,0))),(INDEX(ALLCLASSDATA,MATCH("PerceptionMaster",CLASSFEATUREHEADERS,0),MATCH(($A866 &amp; "Points"),CLASSNAMEHEADERS,0))),(IF("09"=(INDEX(ALLCLASSDATA,MATCH("PerceptionExpert",CLASSFEATUREHEADERS,0),MATCH($A866,CLASSNAMEHEADERS,0))),(INDEX(ALLCLASSDATA,MATCH("PerceptionExpert",CLASSFEATUREHEADERS,0),MATCH(($A866 &amp; "Points"),CLASSNAMEHEADERS,0))),(IF("09"=(INDEX(ALLCLASSDATA,MATCH("PerceptionTrained",CLASSFEATUREHEADERS,0),MATCH($A866,CLASSNAMEHEADERS,0))),(INDEX(ALLCLASSDATA,MATCH("PerceptionTrained",CLASSFEATUREHEADERS,0),MATCH(($A866 &amp; "Points"),CLASSNAMEHEADERS,0))),"")))))))))}</f>
        <v>PERCEPTIONL09</v>
      </c>
      <c r="Q865" s="230"/>
      <c r="R865" s="230" t="str">
        <f t="array" ref="R865:R866">{"PERCEPTIONL11";((IF("11"=(INDEX(ALLCLASSDATA,MATCH("PerceptionLegendary",CLASSFEATUREHEADERS,0),MATCH($A866,CLASSNAMEHEADERS,0))),(INDEX(ALLCLASSDATA,MATCH("PerceptionLegendary",CLASSFEATUREHEADERS,0),MATCH(($A866 &amp; "Points"),CLASSNAMEHEADERS,0))),(IF("11"=(INDEX(ALLCLASSDATA,MATCH("PerceptionMaster",CLASSFEATUREHEADERS,0),MATCH($A866,CLASSNAMEHEADERS,0))),(INDEX(ALLCLASSDATA,MATCH("PerceptionMaster",CLASSFEATUREHEADERS,0),MATCH(($A866 &amp; "Points"),CLASSNAMEHEADERS,0))),(IF("11"=(INDEX(ALLCLASSDATA,MATCH("PerceptionExpert",CLASSFEATUREHEADERS,0),MATCH($A866,CLASSNAMEHEADERS,0))),(INDEX(ALLCLASSDATA,MATCH("PerceptionExpert",CLASSFEATUREHEADERS,0),MATCH(($A866 &amp; "Points"),CLASSNAMEHEADERS,0))),(IF("11"=(INDEX(ALLCLASSDATA,MATCH("PerceptionTrained",CLASSFEATUREHEADERS,0),MATCH($A866,CLASSNAMEHEADERS,0))),(INDEX(ALLCLASSDATA,MATCH("PerceptionTrained",CLASSFEATUREHEADERS,0),MATCH(($A866 &amp; "Points"),CLASSNAMEHEADERS,0))),"")))))))))}</f>
        <v>PERCEPTIONL11</v>
      </c>
      <c r="S865" s="230"/>
      <c r="T865" s="230" t="str">
        <f t="array" ref="T865:T866">{"PERCEPTIONL13";((IF("13"=(INDEX(ALLCLASSDATA,MATCH("PerceptionLegendary",CLASSFEATUREHEADERS,0),MATCH($A866,CLASSNAMEHEADERS,0))),(INDEX(ALLCLASSDATA,MATCH("PerceptionLegendary",CLASSFEATUREHEADERS,0),MATCH(($A866 &amp; "Points"),CLASSNAMEHEADERS,0))),(IF("13"=(INDEX(ALLCLASSDATA,MATCH("PerceptionMaster",CLASSFEATUREHEADERS,0),MATCH($A866,CLASSNAMEHEADERS,0))),(INDEX(ALLCLASSDATA,MATCH("PerceptionMaster",CLASSFEATUREHEADERS,0),MATCH(($A866 &amp; "Points"),CLASSNAMEHEADERS,0))),(IF("13"=(INDEX(ALLCLASSDATA,MATCH("PerceptionExpert",CLASSFEATUREHEADERS,0),MATCH($A866,CLASSNAMEHEADERS,0))),(INDEX(ALLCLASSDATA,MATCH("PerceptionExpert",CLASSFEATUREHEADERS,0),MATCH(($A866 &amp; "Points"),CLASSNAMEHEADERS,0))),(IF("13"=(INDEX(ALLCLASSDATA,MATCH("PerceptionTrained",CLASSFEATUREHEADERS,0),MATCH($A866,CLASSNAMEHEADERS,0))),(INDEX(ALLCLASSDATA,MATCH("PerceptionTrained",CLASSFEATUREHEADERS,0),MATCH(($A866 &amp; "Points"),CLASSNAMEHEADERS,0))),"")))))))))}</f>
        <v>PERCEPTIONL13</v>
      </c>
      <c r="U865" s="230"/>
      <c r="V865" s="230" t="str">
        <f t="array" ref="V865:V866">{"PERCEPTIONL15";((IF("15"=(INDEX(ALLCLASSDATA,MATCH("PerceptionLegendary",CLASSFEATUREHEADERS,0),MATCH($A866,CLASSNAMEHEADERS,0))),(INDEX(ALLCLASSDATA,MATCH("PerceptionLegendary",CLASSFEATUREHEADERS,0),MATCH(($A866 &amp; "Points"),CLASSNAMEHEADERS,0))),(IF("15"=(INDEX(ALLCLASSDATA,MATCH("PerceptionMaster",CLASSFEATUREHEADERS,0),MATCH($A866,CLASSNAMEHEADERS,0))),(INDEX(ALLCLASSDATA,MATCH("PerceptionMaster",CLASSFEATUREHEADERS,0),MATCH(($A866 &amp; "Points"),CLASSNAMEHEADERS,0))),(IF("15"=(INDEX(ALLCLASSDATA,MATCH("PerceptionExpert",CLASSFEATUREHEADERS,0),MATCH($A866,CLASSNAMEHEADERS,0))),(INDEX(ALLCLASSDATA,MATCH("PerceptionExpert",CLASSFEATUREHEADERS,0),MATCH(($A866 &amp; "Points"),CLASSNAMEHEADERS,0))),(IF("15"=(INDEX(ALLCLASSDATA,MATCH("PerceptionTrained",CLASSFEATUREHEADERS,0),MATCH($A866,CLASSNAMEHEADERS,0))),(INDEX(ALLCLASSDATA,MATCH("PerceptionTrained",CLASSFEATUREHEADERS,0),MATCH(($A866 &amp; "Points"),CLASSNAMEHEADERS,0))),"")))))))))}</f>
        <v>PERCEPTIONL15</v>
      </c>
      <c r="W865" s="230"/>
      <c r="X865" s="230" t="str">
        <f t="array" ref="X865:X866">{"PERCEPTIONL17";((IF("17"=(INDEX(ALLCLASSDATA,MATCH("PerceptionLegendary",CLASSFEATUREHEADERS,0),MATCH($A866,CLASSNAMEHEADERS,0))),(INDEX(ALLCLASSDATA,MATCH("PerceptionLegendary",CLASSFEATUREHEADERS,0),MATCH(($A866 &amp; "Points"),CLASSNAMEHEADERS,0))),(IF("17"=(INDEX(ALLCLASSDATA,MATCH("PerceptionMaster",CLASSFEATUREHEADERS,0),MATCH($A866,CLASSNAMEHEADERS,0))),(INDEX(ALLCLASSDATA,MATCH("PerceptionMaster",CLASSFEATUREHEADERS,0),MATCH(($A866 &amp; "Points"),CLASSNAMEHEADERS,0))),(IF("17"=(INDEX(ALLCLASSDATA,MATCH("PerceptionExpert",CLASSFEATUREHEADERS,0),MATCH($A866,CLASSNAMEHEADERS,0))),(INDEX(ALLCLASSDATA,MATCH("PerceptionExpert",CLASSFEATUREHEADERS,0),MATCH(($A866 &amp; "Points"),CLASSNAMEHEADERS,0))),(IF("17"=(INDEX(ALLCLASSDATA,MATCH("PerceptionTrained",CLASSFEATUREHEADERS,0),MATCH($A866,CLASSNAMEHEADERS,0))),(INDEX(ALLCLASSDATA,MATCH("PerceptionTrained",CLASSFEATUREHEADERS,0),MATCH(($A866 &amp; "Points"),CLASSNAMEHEADERS,0))),"")))))))))}</f>
        <v>PERCEPTIONL17</v>
      </c>
      <c r="Y865" s="230"/>
      <c r="Z865" s="230" t="str">
        <f t="array" ref="Z865:Z866">{"PERCEPTIONL19";((IF("19"=(INDEX(ALLCLASSDATA,MATCH("PerceptionLegendary",CLASSFEATUREHEADERS,0),MATCH($A866,CLASSNAMEHEADERS,0))),(INDEX(ALLCLASSDATA,MATCH("PerceptionLegendary",CLASSFEATUREHEADERS,0),MATCH(($A866 &amp; "Points"),CLASSNAMEHEADERS,0))),(IF("19"=(INDEX(ALLCLASSDATA,MATCH("PerceptionMaster",CLASSFEATUREHEADERS,0),MATCH($A866,CLASSNAMEHEADERS,0))),(INDEX(ALLCLASSDATA,MATCH("PerceptionMaster",CLASSFEATUREHEADERS,0),MATCH(($A866 &amp; "Points"),CLASSNAMEHEADERS,0))),(IF("19"=(INDEX(ALLCLASSDATA,MATCH("PerceptionExpert",CLASSFEATUREHEADERS,0),MATCH($A866,CLASSNAMEHEADERS,0))),(INDEX(ALLCLASSDATA,MATCH("PerceptionExpert",CLASSFEATUREHEADERS,0),MATCH(($A866 &amp; "Points"),CLASSNAMEHEADERS,0))),(IF("19"=(INDEX(ALLCLASSDATA,MATCH("PerceptionTrained",CLASSFEATUREHEADERS,0),MATCH($A866,CLASSNAMEHEADERS,0))),(INDEX(ALLCLASSDATA,MATCH("PerceptionTrained",CLASSFEATUREHEADERS,0),MATCH(($A866 &amp; "Points"),CLASSNAMEHEADERS,0))),"")))))))))}</f>
        <v>PERCEPTIONL19</v>
      </c>
      <c r="AA865" s="230"/>
      <c r="AB865" s="76" t="str">
        <f t="array" ref="AB865:AB866">{"PERCEPTION TOTAL";(IF(COUNTBLANK(G866:AA866)=17,"L",(IF(COUNTBLANK(G866:AA866)=18,"M",(IF(COUNTBLANK(G866:AA866)=19,"E",(IF(COUNTBLANK(G866:AA866)=20,"T",""))))))))}</f>
        <v>PERCEPTION TOTAL</v>
      </c>
      <c r="AC865" s="76" t="str">
        <f t="array" ref="AC865:AC866">{"PERCEPTION TOTAL";(sum(G866:AA866))}</f>
        <v>PERCEPTION TOTAL</v>
      </c>
    </row>
    <row r="866">
      <c r="A866" s="48" t="s">
        <v>180</v>
      </c>
      <c r="B866" s="48"/>
      <c r="C866" s="48" t="s">
        <v>413</v>
      </c>
      <c r="D866" s="97" t="s">
        <v>637</v>
      </c>
      <c r="E866" s="97" t="s">
        <v>637</v>
      </c>
      <c r="F866" s="98" t="s">
        <v>436</v>
      </c>
      <c r="G866" s="132">
        <v>10.0</v>
      </c>
      <c r="H866" s="98">
        <v>50.0</v>
      </c>
      <c r="I866" s="98"/>
      <c r="J866" s="98" t="s">
        <v>603</v>
      </c>
      <c r="K866" s="98"/>
      <c r="L866" s="98" t="s">
        <v>603</v>
      </c>
      <c r="M866" s="98"/>
      <c r="N866" s="98">
        <v>110.0</v>
      </c>
      <c r="O866" s="98"/>
      <c r="P866" s="98" t="s">
        <v>603</v>
      </c>
      <c r="Q866" s="98"/>
      <c r="R866" s="98" t="s">
        <v>603</v>
      </c>
      <c r="S866" s="98"/>
      <c r="T866" s="98" t="s">
        <v>603</v>
      </c>
      <c r="U866" s="98"/>
      <c r="V866" s="98" t="s">
        <v>603</v>
      </c>
      <c r="W866" s="98"/>
      <c r="X866" s="98" t="s">
        <v>603</v>
      </c>
      <c r="Y866" s="98"/>
      <c r="Z866" s="98">
        <v>190.0</v>
      </c>
      <c r="AA866" s="98"/>
      <c r="AB866" s="5" t="s">
        <v>466</v>
      </c>
      <c r="AC866" s="47">
        <v>360.0</v>
      </c>
    </row>
    <row r="867" hidden="1">
      <c r="A867" s="222" t="str">
        <f t="array" ref="A867:A868">{"FormulaRow23";(INDEX(CLASSLIST,A822,1))}</f>
        <v>FormulaRow23</v>
      </c>
      <c r="B867" s="77" t="s">
        <v>236</v>
      </c>
      <c r="C867" s="222" t="str">
        <f t="array" ref="C867:C868">{"CLASSTYPE";((INDEX(ALLCLASSDATA,MATCH("ClassType",CLASSFEATUREHEADERS,0),MATCH($A868,CLASSNAMEHEADERS,0))))}</f>
        <v>CLASSTYPE</v>
      </c>
      <c r="D867" s="228" t="str">
        <f t="array" ref="D867:D868">{"SAVES";"Saves"}</f>
        <v>SAVES</v>
      </c>
      <c r="E867" s="228" t="str">
        <f t="array" ref="E867:E868">{"FORTITUDESAVE";"FortitudeSave"}</f>
        <v>FORTITUDESAVE</v>
      </c>
      <c r="F867" s="230" t="str">
        <f t="array" ref="F867:F868">{"FORTITUDEINITIAL";((IF(H868=10,"T",(IF(H868=50,"E","")))))}</f>
        <v>FORTITUDEINITIAL</v>
      </c>
      <c r="G867" s="230" t="str">
        <f t="array" ref="G867:G868">{"FORTITUDEINITIALPTS";((IF("00"=(INDEX(ALLCLASSDATA,MATCH("FortitudeSaveLegendary",CLASSFEATUREHEADERS,0),MATCH($A868,CLASSNAMEHEADERS,0))),(INDEX(ALLCLASSDATA,MATCH("FortitudeSaveLegendary",CLASSFEATUREHEADERS,0),MATCH(($A868 &amp; "Points"),CLASSNAMEHEADERS,0))),(IF("00"=(INDEX(ALLCLASSDATA,MATCH("FortitudeSaveMaster",CLASSFEATUREHEADERS,0),MATCH($A868,CLASSNAMEHEADERS,0))),(INDEX(ALLCLASSDATA,MATCH("FortitudeSaveMaster",CLASSFEATUREHEADERS,0),MATCH(($A868 &amp; "Points"),CLASSNAMEHEADERS,0))),(IF("00"=(INDEX(ALLCLASSDATA,MATCH("FortitudeSaveExpert",CLASSFEATUREHEADERS,0),MATCH($A868,CLASSNAMEHEADERS,0))),(INDEX(ALLCLASSDATA,MATCH("FortitudeSaveExpert",CLASSFEATUREHEADERS,0),MATCH(($A868 &amp; "Points"),CLASSNAMEHEADERS,0))),(IF("00"=(INDEX(ALLCLASSDATA,MATCH("FortitudeSaveTrained",CLASSFEATUREHEADERS,0),MATCH($A868,CLASSNAMEHEADERS,0))),(INDEX(ALLCLASSDATA,MATCH("FortitudeSaveTrained",CLASSFEATUREHEADERS,0),MATCH(($A868 &amp; "Points"),CLASSNAMEHEADERS,0))),"")))))))))}</f>
        <v>FORTITUDEINITIALPTS</v>
      </c>
      <c r="H867" s="230" t="str">
        <f t="array" ref="H867:H868">{"FORTITUDEL01";((IF("01"=(INDEX(ALLCLASSDATA,MATCH("FortitudeSaveLegendary",CLASSFEATUREHEADERS,0),MATCH($A868,CLASSNAMEHEADERS,0))),(INDEX(ALLCLASSDATA,MATCH("FortitudeSaveLegendary",CLASSFEATUREHEADERS,0),MATCH(($A868 &amp; "Points"),CLASSNAMEHEADERS,0))),(IF("01"=(INDEX(ALLCLASSDATA,MATCH("FortitudeSaveMaster",CLASSFEATUREHEADERS,0),MATCH($A868,CLASSNAMEHEADERS,0))),(INDEX(ALLCLASSDATA,MATCH("FortitudeSaveMaster",CLASSFEATUREHEADERS,0),MATCH(($A868 &amp; "Points"),CLASSNAMEHEADERS,0))),(IF("01"=(INDEX(ALLCLASSDATA,MATCH("FortitudeSaveExpert",CLASSFEATUREHEADERS,0),MATCH($A868,CLASSNAMEHEADERS,0))),(INDEX(ALLCLASSDATA,MATCH("FortitudeSaveExpert",CLASSFEATUREHEADERS,0),MATCH(($A868 &amp; "Points"),CLASSNAMEHEADERS,0))),(IF("01"=(INDEX(ALLCLASSDATA,MATCH("FortitudeSaveTrained",CLASSFEATUREHEADERS,0),MATCH($A868,CLASSNAMEHEADERS,0))),(INDEX(ALLCLASSDATA,MATCH("FortitudeSaveTrained",CLASSFEATUREHEADERS,0),MATCH(($A868 &amp; "Points"),CLASSNAMEHEADERS,0))),"")))))))))}</f>
        <v>FORTITUDEL01</v>
      </c>
      <c r="I867" s="230"/>
      <c r="J867" s="230" t="str">
        <f t="array" ref="J867:J868">{"FORTITUDEL03";((IF("03"=(INDEX(ALLCLASSDATA,MATCH("FortitudeSaveLegendary",CLASSFEATUREHEADERS,0),MATCH($A868,CLASSNAMEHEADERS,0))),(INDEX(ALLCLASSDATA,MATCH("FortitudeSaveLegendary",CLASSFEATUREHEADERS,0),MATCH(($A868 &amp; "Points"),CLASSNAMEHEADERS,0))),(IF("03"=(INDEX(ALLCLASSDATA,MATCH("FortitudeSaveMaster",CLASSFEATUREHEADERS,0),MATCH($A868,CLASSNAMEHEADERS,0))),(INDEX(ALLCLASSDATA,MATCH("FortitudeSaveMaster",CLASSFEATUREHEADERS,0),MATCH(($A868 &amp; "Points"),CLASSNAMEHEADERS,0))),(IF("03"=(INDEX(ALLCLASSDATA,MATCH("FortitudeSaveExpert",CLASSFEATUREHEADERS,0),MATCH($A868,CLASSNAMEHEADERS,0))),(INDEX(ALLCLASSDATA,MATCH("FortitudeSaveExpert",CLASSFEATUREHEADERS,0),MATCH(($A868 &amp; "Points"),CLASSNAMEHEADERS,0))),(IF("03"=(INDEX(ALLCLASSDATA,MATCH("FortitudeSaveTrained",CLASSFEATUREHEADERS,0),MATCH($A868,CLASSNAMEHEADERS,0))),(INDEX(ALLCLASSDATA,MATCH("FortitudeSaveTrained",CLASSFEATUREHEADERS,0),MATCH(($A868 &amp; "Points"),CLASSNAMEHEADERS,0))),"")))))))))}</f>
        <v>FORTITUDEL03</v>
      </c>
      <c r="K867" s="230"/>
      <c r="L867" s="230" t="str">
        <f t="array" ref="L867:L868">{"FORTITUDEL05";((IF("05"=(INDEX(ALLCLASSDATA,MATCH("FortitudeSaveLegendary",CLASSFEATUREHEADERS,0),MATCH($A868,CLASSNAMEHEADERS,0))),(INDEX(ALLCLASSDATA,MATCH("FortitudeSaveLegendary",CLASSFEATUREHEADERS,0),MATCH(($A868 &amp; "Points"),CLASSNAMEHEADERS,0))),(IF("05"=(INDEX(ALLCLASSDATA,MATCH("FortitudeSaveMaster",CLASSFEATUREHEADERS,0),MATCH($A868,CLASSNAMEHEADERS,0))),(INDEX(ALLCLASSDATA,MATCH("FortitudeSaveMaster",CLASSFEATUREHEADERS,0),MATCH(($A868 &amp; "Points"),CLASSNAMEHEADERS,0))),(IF("05"=(INDEX(ALLCLASSDATA,MATCH("FortitudeSaveExpert",CLASSFEATUREHEADERS,0),MATCH($A868,CLASSNAMEHEADERS,0))),(INDEX(ALLCLASSDATA,MATCH("FortitudeSaveExpert",CLASSFEATUREHEADERS,0),MATCH(($A868 &amp; "Points"),CLASSNAMEHEADERS,0))),(IF("05"=(INDEX(ALLCLASSDATA,MATCH("FortitudeSaveTrained",CLASSFEATUREHEADERS,0),MATCH($A868,CLASSNAMEHEADERS,0))),(INDEX(ALLCLASSDATA,MATCH("FortitudeSaveTrained",CLASSFEATUREHEADERS,0),MATCH(($A868 &amp; "Points"),CLASSNAMEHEADERS,0))),"")))))))))}</f>
        <v>FORTITUDEL05</v>
      </c>
      <c r="M867" s="230"/>
      <c r="N867" s="230" t="str">
        <f t="array" ref="N867:N868">{"FORTITUDEL07";((IF("07"=(INDEX(ALLCLASSDATA,MATCH("FortitudeSaveLegendary",CLASSFEATUREHEADERS,0),MATCH($A868,CLASSNAMEHEADERS,0))),(INDEX(ALLCLASSDATA,MATCH("FortitudeSaveLegendary",CLASSFEATUREHEADERS,0),MATCH(($A868 &amp; "Points"),CLASSNAMEHEADERS,0))),(IF("07"=(INDEX(ALLCLASSDATA,MATCH("FortitudeSaveMaster",CLASSFEATUREHEADERS,0),MATCH($A868,CLASSNAMEHEADERS,0))),(INDEX(ALLCLASSDATA,MATCH("FortitudeSaveMaster",CLASSFEATUREHEADERS,0),MATCH(($A868 &amp; "Points"),CLASSNAMEHEADERS,0))),(IF("07"=(INDEX(ALLCLASSDATA,MATCH("FortitudeSaveExpert",CLASSFEATUREHEADERS,0),MATCH($A868,CLASSNAMEHEADERS,0))),(INDEX(ALLCLASSDATA,MATCH("FortitudeSaveExpert",CLASSFEATUREHEADERS,0),MATCH(($A868 &amp; "Points"),CLASSNAMEHEADERS,0))),(IF("07"=(INDEX(ALLCLASSDATA,MATCH("FortitudeSaveTrained",CLASSFEATUREHEADERS,0),MATCH($A868,CLASSNAMEHEADERS,0))),(INDEX(ALLCLASSDATA,MATCH("FortitudeSaveTrained",CLASSFEATUREHEADERS,0),MATCH(($A868 &amp; "Points"),CLASSNAMEHEADERS,0))),"")))))))))}</f>
        <v>FORTITUDEL07</v>
      </c>
      <c r="O867" s="230"/>
      <c r="P867" s="230" t="str">
        <f t="array" ref="P867:P868">{"FORTITUDEL09";((IF("09"=(INDEX(ALLCLASSDATA,MATCH("FortitudeSaveLegendary",CLASSFEATUREHEADERS,0),MATCH($A868,CLASSNAMEHEADERS,0))),(INDEX(ALLCLASSDATA,MATCH("FortitudeSaveLegendary",CLASSFEATUREHEADERS,0),MATCH(($A868 &amp; "Points"),CLASSNAMEHEADERS,0))),(IF("09"=(INDEX(ALLCLASSDATA,MATCH("FortitudeSaveMaster",CLASSFEATUREHEADERS,0),MATCH($A868,CLASSNAMEHEADERS,0))),(INDEX(ALLCLASSDATA,MATCH("FortitudeSaveMaster",CLASSFEATUREHEADERS,0),MATCH(($A868 &amp; "Points"),CLASSNAMEHEADERS,0))),(IF("09"=(INDEX(ALLCLASSDATA,MATCH("FortitudeSaveExpert",CLASSFEATUREHEADERS,0),MATCH($A868,CLASSNAMEHEADERS,0))),(INDEX(ALLCLASSDATA,MATCH("FortitudeSaveExpert",CLASSFEATUREHEADERS,0),MATCH(($A868 &amp; "Points"),CLASSNAMEHEADERS,0))),(IF("09"=(INDEX(ALLCLASSDATA,MATCH("FortitudeSaveTrained",CLASSFEATUREHEADERS,0),MATCH($A868,CLASSNAMEHEADERS,0))),(INDEX(ALLCLASSDATA,MATCH("FortitudeSaveTrained",CLASSFEATUREHEADERS,0),MATCH(($A868 &amp; "Points"),CLASSNAMEHEADERS,0))),"")))))))))}</f>
        <v>FORTITUDEL09</v>
      </c>
      <c r="Q867" s="230"/>
      <c r="R867" s="230" t="str">
        <f t="array" ref="R867:R868">{"FORTITUDEL11";((IF("11"=(INDEX(ALLCLASSDATA,MATCH("FortitudeSaveLegendary",CLASSFEATUREHEADERS,0),MATCH($A868,CLASSNAMEHEADERS,0))),(INDEX(ALLCLASSDATA,MATCH("FortitudeSaveLegendary",CLASSFEATUREHEADERS,0),MATCH(($A868 &amp; "Points"),CLASSNAMEHEADERS,0))),(IF("11"=(INDEX(ALLCLASSDATA,MATCH("FortitudeSaveMaster",CLASSFEATUREHEADERS,0),MATCH($A868,CLASSNAMEHEADERS,0))),(INDEX(ALLCLASSDATA,MATCH("FortitudeSaveMaster",CLASSFEATUREHEADERS,0),MATCH(($A868 &amp; "Points"),CLASSNAMEHEADERS,0))),(IF("11"=(INDEX(ALLCLASSDATA,MATCH("FortitudeSaveExpert",CLASSFEATUREHEADERS,0),MATCH($A868,CLASSNAMEHEADERS,0))),(INDEX(ALLCLASSDATA,MATCH("FortitudeSaveExpert",CLASSFEATUREHEADERS,0),MATCH(($A868 &amp; "Points"),CLASSNAMEHEADERS,0))),(IF("11"=(INDEX(ALLCLASSDATA,MATCH("FortitudeSaveTrained",CLASSFEATUREHEADERS,0),MATCH($A868,CLASSNAMEHEADERS,0))),(INDEX(ALLCLASSDATA,MATCH("FortitudeSaveTrained",CLASSFEATUREHEADERS,0),MATCH(($A868 &amp; "Points"),CLASSNAMEHEADERS,0))),"")))))))))}</f>
        <v>FORTITUDEL11</v>
      </c>
      <c r="S867" s="230"/>
      <c r="T867" s="230" t="str">
        <f t="array" ref="T867:T868">{"FORTITUDEL13";((IF("13"=(INDEX(ALLCLASSDATA,MATCH("FortitudeSaveLegendary",CLASSFEATUREHEADERS,0),MATCH($A868,CLASSNAMEHEADERS,0))),(INDEX(ALLCLASSDATA,MATCH("FortitudeSaveLegendary",CLASSFEATUREHEADERS,0),MATCH(($A868 &amp; "Points"),CLASSNAMEHEADERS,0))),(IF("13"=(INDEX(ALLCLASSDATA,MATCH("FortitudeSaveMaster",CLASSFEATUREHEADERS,0),MATCH($A868,CLASSNAMEHEADERS,0))),(INDEX(ALLCLASSDATA,MATCH("FortitudeSaveMaster",CLASSFEATUREHEADERS,0),MATCH(($A868 &amp; "Points"),CLASSNAMEHEADERS,0))),(IF("13"=(INDEX(ALLCLASSDATA,MATCH("FortitudeSaveExpert",CLASSFEATUREHEADERS,0),MATCH($A868,CLASSNAMEHEADERS,0))),(INDEX(ALLCLASSDATA,MATCH("FortitudeSaveExpert",CLASSFEATUREHEADERS,0),MATCH(($A868 &amp; "Points"),CLASSNAMEHEADERS,0))),(IF("13"=(INDEX(ALLCLASSDATA,MATCH("FortitudeSaveTrained",CLASSFEATUREHEADERS,0),MATCH($A868,CLASSNAMEHEADERS,0))),(INDEX(ALLCLASSDATA,MATCH("FortitudeSaveTrained",CLASSFEATUREHEADERS,0),MATCH(($A868 &amp; "Points"),CLASSNAMEHEADERS,0))),"")))))))))}</f>
        <v>FORTITUDEL13</v>
      </c>
      <c r="U867" s="230"/>
      <c r="V867" s="230" t="str">
        <f t="array" ref="V867:V868">{"FORTITUDEL15";((IF("15"=(INDEX(ALLCLASSDATA,MATCH("FortitudeSaveLegendary",CLASSFEATUREHEADERS,0),MATCH($A868,CLASSNAMEHEADERS,0))),(INDEX(ALLCLASSDATA,MATCH("FortitudeSaveLegendary",CLASSFEATUREHEADERS,0),MATCH(($A868 &amp; "Points"),CLASSNAMEHEADERS,0))),(IF("15"=(INDEX(ALLCLASSDATA,MATCH("FortitudeSaveMaster",CLASSFEATUREHEADERS,0),MATCH($A868,CLASSNAMEHEADERS,0))),(INDEX(ALLCLASSDATA,MATCH("FortitudeSaveMaster",CLASSFEATUREHEADERS,0),MATCH(($A868 &amp; "Points"),CLASSNAMEHEADERS,0))),(IF("15"=(INDEX(ALLCLASSDATA,MATCH("FortitudeSaveExpert",CLASSFEATUREHEADERS,0),MATCH($A868,CLASSNAMEHEADERS,0))),(INDEX(ALLCLASSDATA,MATCH("FortitudeSaveExpert",CLASSFEATUREHEADERS,0),MATCH(($A868 &amp; "Points"),CLASSNAMEHEADERS,0))),(IF("15"=(INDEX(ALLCLASSDATA,MATCH("FortitudeSaveTrained",CLASSFEATUREHEADERS,0),MATCH($A868,CLASSNAMEHEADERS,0))),(INDEX(ALLCLASSDATA,MATCH("FortitudeSaveTrained",CLASSFEATUREHEADERS,0),MATCH(($A868 &amp; "Points"),CLASSNAMEHEADERS,0))),"")))))))))}</f>
        <v>FORTITUDEL15</v>
      </c>
      <c r="W867" s="230"/>
      <c r="X867" s="230" t="str">
        <f t="array" ref="X867:X868">{"FORTITUDEL17";((IF("17"=(INDEX(ALLCLASSDATA,MATCH("FortitudeSaveLegendary",CLASSFEATUREHEADERS,0),MATCH($A868,CLASSNAMEHEADERS,0))),(INDEX(ALLCLASSDATA,MATCH("FortitudeSaveLegendary",CLASSFEATUREHEADERS,0),MATCH(($A868 &amp; "Points"),CLASSNAMEHEADERS,0))),(IF("17"=(INDEX(ALLCLASSDATA,MATCH("FortitudeSaveMaster",CLASSFEATUREHEADERS,0),MATCH($A868,CLASSNAMEHEADERS,0))),(INDEX(ALLCLASSDATA,MATCH("FortitudeSaveMaster",CLASSFEATUREHEADERS,0),MATCH(($A868 &amp; "Points"),CLASSNAMEHEADERS,0))),(IF("17"=(INDEX(ALLCLASSDATA,MATCH("FortitudeSaveExpert",CLASSFEATUREHEADERS,0),MATCH($A868,CLASSNAMEHEADERS,0))),(INDEX(ALLCLASSDATA,MATCH("FortitudeSaveExpert",CLASSFEATUREHEADERS,0),MATCH(($A868 &amp; "Points"),CLASSNAMEHEADERS,0))),(IF("17"=(INDEX(ALLCLASSDATA,MATCH("FortitudeSaveTrained",CLASSFEATUREHEADERS,0),MATCH($A868,CLASSNAMEHEADERS,0))),(INDEX(ALLCLASSDATA,MATCH("FortitudeSaveTrained",CLASSFEATUREHEADERS,0),MATCH(($A868 &amp; "Points"),CLASSNAMEHEADERS,0))),"")))))))))}</f>
        <v>FORTITUDEL17</v>
      </c>
      <c r="Y867" s="230"/>
      <c r="Z867" s="230" t="str">
        <f t="array" ref="Z867:Z868">{"FORTITUDEL19";((IF("19"=(INDEX(ALLCLASSDATA,MATCH("FortitudeSaveLegendary",CLASSFEATUREHEADERS,0),MATCH($A868,CLASSNAMEHEADERS,0))),(INDEX(ALLCLASSDATA,MATCH("FortitudeSaveLegendary",CLASSFEATUREHEADERS,0),MATCH(($A868 &amp; "Points"),CLASSNAMEHEADERS,0))),(IF("19"=(INDEX(ALLCLASSDATA,MATCH("FortitudeSaveMaster",CLASSFEATUREHEADERS,0),MATCH($A868,CLASSNAMEHEADERS,0))),(INDEX(ALLCLASSDATA,MATCH("FortitudeSaveMaster",CLASSFEATUREHEADERS,0),MATCH(($A868 &amp; "Points"),CLASSNAMEHEADERS,0))),(IF("19"=(INDEX(ALLCLASSDATA,MATCH("FortitudeSaveExpert",CLASSFEATUREHEADERS,0),MATCH($A868,CLASSNAMEHEADERS,0))),(INDEX(ALLCLASSDATA,MATCH("FortitudeSaveExpert",CLASSFEATUREHEADERS,0),MATCH(($A868 &amp; "Points"),CLASSNAMEHEADERS,0))),(IF("19"=(INDEX(ALLCLASSDATA,MATCH("FortitudeSaveTrained",CLASSFEATUREHEADERS,0),MATCH($A868,CLASSNAMEHEADERS,0))),(INDEX(ALLCLASSDATA,MATCH("FortitudeSaveTrained",CLASSFEATUREHEADERS,0),MATCH(($A868 &amp; "Points"),CLASSNAMEHEADERS,0))),"")))))))))}</f>
        <v>FORTITUDEL19</v>
      </c>
      <c r="AA867" s="230"/>
      <c r="AB867" s="76" t="str">
        <f t="array" ref="AB867:AB868">{"FORTITUDE TOTAL";(IF(COUNTBLANK(G868:AA868)=17,"L",(IF(COUNTBLANK(G868:AA868)=18,"M",(IF(COUNTBLANK(G868:AA868)=19,"E",(IF(COUNTBLANK(G868:AA868)=20,"T",""))))))))}</f>
        <v>FORTITUDE TOTAL</v>
      </c>
      <c r="AC867" s="76" t="str">
        <f t="array" ref="AC867:AC868">{"FORTITUDE TOTAL";(sum(G868:AA868))}</f>
        <v>FORTITUDE TOTAL</v>
      </c>
    </row>
    <row r="868">
      <c r="A868" s="48" t="s">
        <v>180</v>
      </c>
      <c r="B868" s="48"/>
      <c r="C868" s="48" t="s">
        <v>413</v>
      </c>
      <c r="D868" s="48" t="s">
        <v>1549</v>
      </c>
      <c r="E868" s="48" t="s">
        <v>1550</v>
      </c>
      <c r="F868" s="5" t="s">
        <v>436</v>
      </c>
      <c r="G868" s="47">
        <v>10.0</v>
      </c>
      <c r="H868" s="5">
        <v>50.0</v>
      </c>
      <c r="I868" s="5"/>
      <c r="J868" s="5" t="s">
        <v>603</v>
      </c>
      <c r="K868" s="5"/>
      <c r="L868" s="5" t="s">
        <v>603</v>
      </c>
      <c r="M868" s="5"/>
      <c r="N868" s="5" t="s">
        <v>603</v>
      </c>
      <c r="O868" s="5"/>
      <c r="P868" s="5" t="s">
        <v>603</v>
      </c>
      <c r="Q868" s="5"/>
      <c r="R868" s="5" t="s">
        <v>603</v>
      </c>
      <c r="S868" s="5"/>
      <c r="T868" s="5" t="s">
        <v>603</v>
      </c>
      <c r="U868" s="5"/>
      <c r="V868" s="5" t="s">
        <v>603</v>
      </c>
      <c r="W868" s="5"/>
      <c r="X868" s="5">
        <v>110.0</v>
      </c>
      <c r="Y868" s="5"/>
      <c r="Z868" s="5" t="s">
        <v>603</v>
      </c>
      <c r="AA868" s="5"/>
      <c r="AB868" s="5" t="s">
        <v>437</v>
      </c>
      <c r="AC868" s="47">
        <v>170.0</v>
      </c>
    </row>
    <row r="869" hidden="1">
      <c r="A869" s="222" t="str">
        <f t="array" ref="A869:A870">{"FormulaRow24";(INDEX(CLASSLIST,A822,1))}</f>
        <v>FormulaRow24</v>
      </c>
      <c r="B869" s="77" t="s">
        <v>236</v>
      </c>
      <c r="C869" s="222" t="str">
        <f t="array" ref="C869:C870">{"CLASSTYPE";((INDEX(ALLCLASSDATA,MATCH("ClassType",CLASSFEATUREHEADERS,0),MATCH($A870,CLASSNAMEHEADERS,0))))}</f>
        <v>CLASSTYPE</v>
      </c>
      <c r="D869" s="222" t="str">
        <f t="array" ref="D869:D870">{"SAVES";"Saves"}</f>
        <v>SAVES</v>
      </c>
      <c r="E869" s="222" t="str">
        <f t="array" ref="E869:E870">{"REFLEXSAVE";"ReflexSave"}</f>
        <v>REFLEXSAVE</v>
      </c>
      <c r="F869" s="223" t="str">
        <f t="array" ref="F869:F870">{"REFLEXINITIAL";((IF(H870=10,"T",(IF(H870=50,"E","")))))}</f>
        <v>REFLEXINITIAL</v>
      </c>
      <c r="G869" s="223" t="str">
        <f t="array" ref="G869:G870">{"REFLEXINITIALPTS";((IF("00"=(INDEX(ALLCLASSDATA,MATCH("ReflexSaveLegendary",CLASSFEATUREHEADERS,0),MATCH($A870,CLASSNAMEHEADERS,0))),(INDEX(ALLCLASSDATA,MATCH("ReflexSaveLegendary",CLASSFEATUREHEADERS,0),MATCH(($A870 &amp; "Points"),CLASSNAMEHEADERS,0))),(IF("00"=(INDEX(ALLCLASSDATA,MATCH("ReflexSaveMaster",CLASSFEATUREHEADERS,0),MATCH($A870,CLASSNAMEHEADERS,0))),(INDEX(ALLCLASSDATA,MATCH("ReflexSaveMaster",CLASSFEATUREHEADERS,0),MATCH(($A870 &amp; "Points"),CLASSNAMEHEADERS,0))),(IF("00"=(INDEX(ALLCLASSDATA,MATCH("ReflexSaveExpert",CLASSFEATUREHEADERS,0),MATCH($A870,CLASSNAMEHEADERS,0))),(INDEX(ALLCLASSDATA,MATCH("ReflexSaveExpert",CLASSFEATUREHEADERS,0),MATCH(($A870 &amp; "Points"),CLASSNAMEHEADERS,0))),(IF("00"=(INDEX(ALLCLASSDATA,MATCH("ReflexSaveTrained",CLASSFEATUREHEADERS,0),MATCH($A870,CLASSNAMEHEADERS,0))),(INDEX(ALLCLASSDATA,MATCH("ReflexSaveTrained",CLASSFEATUREHEADERS,0),MATCH(($A870 &amp; "Points"),CLASSNAMEHEADERS,0))),"")))))))))}</f>
        <v>REFLEXINITIALPTS</v>
      </c>
      <c r="H869" s="223" t="str">
        <f t="array" ref="H869:H870">{"REFLEXL01";((IF("01"=(INDEX(ALLCLASSDATA,MATCH("ReflexSaveLegendary",CLASSFEATUREHEADERS,0),MATCH($A870,CLASSNAMEHEADERS,0))),(INDEX(ALLCLASSDATA,MATCH("ReflexSaveLegendary",CLASSFEATUREHEADERS,0),MATCH(($A870 &amp; "Points"),CLASSNAMEHEADERS,0))),(IF("01"=(INDEX(ALLCLASSDATA,MATCH("ReflexSaveMaster",CLASSFEATUREHEADERS,0),MATCH($A870,CLASSNAMEHEADERS,0))),(INDEX(ALLCLASSDATA,MATCH("ReflexSaveMaster",CLASSFEATUREHEADERS,0),MATCH(($A870 &amp; "Points"),CLASSNAMEHEADERS,0))),(IF("01"=(INDEX(ALLCLASSDATA,MATCH("ReflexSaveExpert",CLASSFEATUREHEADERS,0),MATCH($A870,CLASSNAMEHEADERS,0))),(INDEX(ALLCLASSDATA,MATCH("ReflexSaveExpert",CLASSFEATUREHEADERS,0),MATCH(($A870 &amp; "Points"),CLASSNAMEHEADERS,0))),(IF("01"=(INDEX(ALLCLASSDATA,MATCH("ReflexSaveTrained",CLASSFEATUREHEADERS,0),MATCH($A870,CLASSNAMEHEADERS,0))),(INDEX(ALLCLASSDATA,MATCH("ReflexSaveTrained",CLASSFEATUREHEADERS,0),MATCH(($A870 &amp; "Points"),CLASSNAMEHEADERS,0))),"")))))))))}</f>
        <v>REFLEXL01</v>
      </c>
      <c r="I869" s="223"/>
      <c r="J869" s="223" t="str">
        <f t="array" ref="J869:J870">{"REFLEXL03";((IF("03"=(INDEX(ALLCLASSDATA,MATCH("ReflexSaveLegendary",CLASSFEATUREHEADERS,0),MATCH($A870,CLASSNAMEHEADERS,0))),(INDEX(ALLCLASSDATA,MATCH("ReflexSaveLegendary",CLASSFEATUREHEADERS,0),MATCH(($A870 &amp; "Points"),CLASSNAMEHEADERS,0))),(IF("03"=(INDEX(ALLCLASSDATA,MATCH("ReflexSaveMaster",CLASSFEATUREHEADERS,0),MATCH($A870,CLASSNAMEHEADERS,0))),(INDEX(ALLCLASSDATA,MATCH("ReflexSaveMaster",CLASSFEATUREHEADERS,0),MATCH(($A870 &amp; "Points"),CLASSNAMEHEADERS,0))),(IF("03"=(INDEX(ALLCLASSDATA,MATCH("ReflexSaveExpert",CLASSFEATUREHEADERS,0),MATCH($A870,CLASSNAMEHEADERS,0))),(INDEX(ALLCLASSDATA,MATCH("ReflexSaveExpert",CLASSFEATUREHEADERS,0),MATCH(($A870 &amp; "Points"),CLASSNAMEHEADERS,0))),(IF("03"=(INDEX(ALLCLASSDATA,MATCH("ReflexSaveTrained",CLASSFEATUREHEADERS,0),MATCH($A870,CLASSNAMEHEADERS,0))),(INDEX(ALLCLASSDATA,MATCH("ReflexSaveTrained",CLASSFEATUREHEADERS,0),MATCH(($A870 &amp; "Points"),CLASSNAMEHEADERS,0))),"")))))))))}</f>
        <v>REFLEXL03</v>
      </c>
      <c r="K869" s="223"/>
      <c r="L869" s="223" t="str">
        <f t="array" ref="L869:L870">{"REFLEXL05";((IF("05"=(INDEX(ALLCLASSDATA,MATCH("ReflexSaveLegendary",CLASSFEATUREHEADERS,0),MATCH($A870,CLASSNAMEHEADERS,0))),(INDEX(ALLCLASSDATA,MATCH("ReflexSaveLegendary",CLASSFEATUREHEADERS,0),MATCH(($A870 &amp; "Points"),CLASSNAMEHEADERS,0))),(IF("05"=(INDEX(ALLCLASSDATA,MATCH("ReflexSaveMaster",CLASSFEATUREHEADERS,0),MATCH($A870,CLASSNAMEHEADERS,0))),(INDEX(ALLCLASSDATA,MATCH("ReflexSaveMaster",CLASSFEATUREHEADERS,0),MATCH(($A870 &amp; "Points"),CLASSNAMEHEADERS,0))),(IF("05"=(INDEX(ALLCLASSDATA,MATCH("ReflexSaveExpert",CLASSFEATUREHEADERS,0),MATCH($A870,CLASSNAMEHEADERS,0))),(INDEX(ALLCLASSDATA,MATCH("ReflexSaveExpert",CLASSFEATUREHEADERS,0),MATCH(($A870 &amp; "Points"),CLASSNAMEHEADERS,0))),(IF("05"=(INDEX(ALLCLASSDATA,MATCH("ReflexSaveTrained",CLASSFEATUREHEADERS,0),MATCH($A870,CLASSNAMEHEADERS,0))),(INDEX(ALLCLASSDATA,MATCH("ReflexSaveTrained",CLASSFEATUREHEADERS,0),MATCH(($A870 &amp; "Points"),CLASSNAMEHEADERS,0))),"")))))))))}</f>
        <v>REFLEXL05</v>
      </c>
      <c r="M869" s="223"/>
      <c r="N869" s="223" t="str">
        <f t="array" ref="N869:N870">{"REFLEXL07";((IF("07"=(INDEX(ALLCLASSDATA,MATCH("ReflexSaveLegendary",CLASSFEATUREHEADERS,0),MATCH($A870,CLASSNAMEHEADERS,0))),(INDEX(ALLCLASSDATA,MATCH("ReflexSaveLegendary",CLASSFEATUREHEADERS,0),MATCH(($A870 &amp; "Points"),CLASSNAMEHEADERS,0))),(IF("07"=(INDEX(ALLCLASSDATA,MATCH("ReflexSaveMaster",CLASSFEATUREHEADERS,0),MATCH($A870,CLASSNAMEHEADERS,0))),(INDEX(ALLCLASSDATA,MATCH("ReflexSaveMaster",CLASSFEATUREHEADERS,0),MATCH(($A870 &amp; "Points"),CLASSNAMEHEADERS,0))),(IF("07"=(INDEX(ALLCLASSDATA,MATCH("ReflexSaveExpert",CLASSFEATUREHEADERS,0),MATCH($A870,CLASSNAMEHEADERS,0))),(INDEX(ALLCLASSDATA,MATCH("ReflexSaveExpert",CLASSFEATUREHEADERS,0),MATCH(($A870 &amp; "Points"),CLASSNAMEHEADERS,0))),(IF("07"=(INDEX(ALLCLASSDATA,MATCH("ReflexSaveTrained",CLASSFEATUREHEADERS,0),MATCH($A870,CLASSNAMEHEADERS,0))),(INDEX(ALLCLASSDATA,MATCH("ReflexSaveTrained",CLASSFEATUREHEADERS,0),MATCH(($A870 &amp; "Points"),CLASSNAMEHEADERS,0))),"")))))))))}</f>
        <v>REFLEXL07</v>
      </c>
      <c r="O869" s="223"/>
      <c r="P869" s="223" t="str">
        <f t="array" ref="P869:P870">{"REFLEXL09";((IF("09"=(INDEX(ALLCLASSDATA,MATCH("ReflexSaveLegendary",CLASSFEATUREHEADERS,0),MATCH($A870,CLASSNAMEHEADERS,0))),(INDEX(ALLCLASSDATA,MATCH("ReflexSaveLegendary",CLASSFEATUREHEADERS,0),MATCH(($A870 &amp; "Points"),CLASSNAMEHEADERS,0))),(IF("09"=(INDEX(ALLCLASSDATA,MATCH("ReflexSaveMaster",CLASSFEATUREHEADERS,0),MATCH($A870,CLASSNAMEHEADERS,0))),(INDEX(ALLCLASSDATA,MATCH("ReflexSaveMaster",CLASSFEATUREHEADERS,0),MATCH(($A870 &amp; "Points"),CLASSNAMEHEADERS,0))),(IF("09"=(INDEX(ALLCLASSDATA,MATCH("ReflexSaveExpert",CLASSFEATUREHEADERS,0),MATCH($A870,CLASSNAMEHEADERS,0))),(INDEX(ALLCLASSDATA,MATCH("ReflexSaveExpert",CLASSFEATUREHEADERS,0),MATCH(($A870 &amp; "Points"),CLASSNAMEHEADERS,0))),(IF("09"=(INDEX(ALLCLASSDATA,MATCH("ReflexSaveTrained",CLASSFEATUREHEADERS,0),MATCH($A870,CLASSNAMEHEADERS,0))),(INDEX(ALLCLASSDATA,MATCH("ReflexSaveTrained",CLASSFEATUREHEADERS,0),MATCH(($A870 &amp; "Points"),CLASSNAMEHEADERS,0))),"")))))))))}</f>
        <v>REFLEXL09</v>
      </c>
      <c r="Q869" s="223"/>
      <c r="R869" s="223" t="str">
        <f t="array" ref="R869:R870">{"REFLEXL11";((IF("11"=(INDEX(ALLCLASSDATA,MATCH("ReflexSaveLegendary",CLASSFEATUREHEADERS,0),MATCH($A870,CLASSNAMEHEADERS,0))),(INDEX(ALLCLASSDATA,MATCH("ReflexSaveLegendary",CLASSFEATUREHEADERS,0),MATCH(($A870 &amp; "Points"),CLASSNAMEHEADERS,0))),(IF("11"=(INDEX(ALLCLASSDATA,MATCH("ReflexSaveMaster",CLASSFEATUREHEADERS,0),MATCH($A870,CLASSNAMEHEADERS,0))),(INDEX(ALLCLASSDATA,MATCH("ReflexSaveMaster",CLASSFEATUREHEADERS,0),MATCH(($A870 &amp; "Points"),CLASSNAMEHEADERS,0))),(IF("11"=(INDEX(ALLCLASSDATA,MATCH("ReflexSaveExpert",CLASSFEATUREHEADERS,0),MATCH($A870,CLASSNAMEHEADERS,0))),(INDEX(ALLCLASSDATA,MATCH("ReflexSaveExpert",CLASSFEATUREHEADERS,0),MATCH(($A870 &amp; "Points"),CLASSNAMEHEADERS,0))),(IF("11"=(INDEX(ALLCLASSDATA,MATCH("ReflexSaveTrained",CLASSFEATUREHEADERS,0),MATCH($A870,CLASSNAMEHEADERS,0))),(INDEX(ALLCLASSDATA,MATCH("ReflexSaveTrained",CLASSFEATUREHEADERS,0),MATCH(($A870 &amp; "Points"),CLASSNAMEHEADERS,0))),"")))))))))}</f>
        <v>REFLEXL11</v>
      </c>
      <c r="S869" s="223"/>
      <c r="T869" s="223" t="str">
        <f t="array" ref="T869:T870">{"REFLEXL13";((IF("13"=(INDEX(ALLCLASSDATA,MATCH("ReflexSaveLegendary",CLASSFEATUREHEADERS,0),MATCH($A870,CLASSNAMEHEADERS,0))),(INDEX(ALLCLASSDATA,MATCH("ReflexSaveLegendary",CLASSFEATUREHEADERS,0),MATCH(($A870 &amp; "Points"),CLASSNAMEHEADERS,0))),(IF("13"=(INDEX(ALLCLASSDATA,MATCH("ReflexSaveMaster",CLASSFEATUREHEADERS,0),MATCH($A870,CLASSNAMEHEADERS,0))),(INDEX(ALLCLASSDATA,MATCH("ReflexSaveMaster",CLASSFEATUREHEADERS,0),MATCH(($A870 &amp; "Points"),CLASSNAMEHEADERS,0))),(IF("13"=(INDEX(ALLCLASSDATA,MATCH("ReflexSaveExpert",CLASSFEATUREHEADERS,0),MATCH($A870,CLASSNAMEHEADERS,0))),(INDEX(ALLCLASSDATA,MATCH("ReflexSaveExpert",CLASSFEATUREHEADERS,0),MATCH(($A870 &amp; "Points"),CLASSNAMEHEADERS,0))),(IF("13"=(INDEX(ALLCLASSDATA,MATCH("ReflexSaveTrained",CLASSFEATUREHEADERS,0),MATCH($A870,CLASSNAMEHEADERS,0))),(INDEX(ALLCLASSDATA,MATCH("ReflexSaveTrained",CLASSFEATUREHEADERS,0),MATCH(($A870 &amp; "Points"),CLASSNAMEHEADERS,0))),"")))))))))}</f>
        <v>REFLEXL13</v>
      </c>
      <c r="U869" s="223"/>
      <c r="V869" s="223" t="str">
        <f t="array" ref="V869:V870">{"REFLEXL15";((IF("15"=(INDEX(ALLCLASSDATA,MATCH("ReflexSaveLegendary",CLASSFEATUREHEADERS,0),MATCH($A870,CLASSNAMEHEADERS,0))),(INDEX(ALLCLASSDATA,MATCH("ReflexSaveLegendary",CLASSFEATUREHEADERS,0),MATCH(($A870 &amp; "Points"),CLASSNAMEHEADERS,0))),(IF("15"=(INDEX(ALLCLASSDATA,MATCH("ReflexSaveMaster",CLASSFEATUREHEADERS,0),MATCH($A870,CLASSNAMEHEADERS,0))),(INDEX(ALLCLASSDATA,MATCH("ReflexSaveMaster",CLASSFEATUREHEADERS,0),MATCH(($A870 &amp; "Points"),CLASSNAMEHEADERS,0))),(IF("15"=(INDEX(ALLCLASSDATA,MATCH("ReflexSaveExpert",CLASSFEATUREHEADERS,0),MATCH($A870,CLASSNAMEHEADERS,0))),(INDEX(ALLCLASSDATA,MATCH("ReflexSaveExpert",CLASSFEATUREHEADERS,0),MATCH(($A870 &amp; "Points"),CLASSNAMEHEADERS,0))),(IF("15"=(INDEX(ALLCLASSDATA,MATCH("ReflexSaveTrained",CLASSFEATUREHEADERS,0),MATCH($A870,CLASSNAMEHEADERS,0))),(INDEX(ALLCLASSDATA,MATCH("ReflexSaveTrained",CLASSFEATUREHEADERS,0),MATCH(($A870 &amp; "Points"),CLASSNAMEHEADERS,0))),"")))))))))}</f>
        <v>REFLEXL15</v>
      </c>
      <c r="W869" s="223"/>
      <c r="X869" s="223" t="str">
        <f t="array" ref="X869:X870">{"REFLEXL17";((IF("17"=(INDEX(ALLCLASSDATA,MATCH("ReflexSaveLegendary",CLASSFEATUREHEADERS,0),MATCH($A870,CLASSNAMEHEADERS,0))),(INDEX(ALLCLASSDATA,MATCH("ReflexSaveLegendary",CLASSFEATUREHEADERS,0),MATCH(($A870 &amp; "Points"),CLASSNAMEHEADERS,0))),(IF("17"=(INDEX(ALLCLASSDATA,MATCH("ReflexSaveMaster",CLASSFEATUREHEADERS,0),MATCH($A870,CLASSNAMEHEADERS,0))),(INDEX(ALLCLASSDATA,MATCH("ReflexSaveMaster",CLASSFEATUREHEADERS,0),MATCH(($A870 &amp; "Points"),CLASSNAMEHEADERS,0))),(IF("17"=(INDEX(ALLCLASSDATA,MATCH("ReflexSaveExpert",CLASSFEATUREHEADERS,0),MATCH($A870,CLASSNAMEHEADERS,0))),(INDEX(ALLCLASSDATA,MATCH("ReflexSaveExpert",CLASSFEATUREHEADERS,0),MATCH(($A870 &amp; "Points"),CLASSNAMEHEADERS,0))),(IF("17"=(INDEX(ALLCLASSDATA,MATCH("ReflexSaveTrained",CLASSFEATUREHEADERS,0),MATCH($A870,CLASSNAMEHEADERS,0))),(INDEX(ALLCLASSDATA,MATCH("ReflexSaveTrained",CLASSFEATUREHEADERS,0),MATCH(($A870 &amp; "Points"),CLASSNAMEHEADERS,0))),"")))))))))}</f>
        <v>REFLEXL17</v>
      </c>
      <c r="Y869" s="223"/>
      <c r="Z869" s="223" t="str">
        <f t="array" ref="Z869:Z870">{"REFLEXL19";((IF("19"=(INDEX(ALLCLASSDATA,MATCH("ReflexSaveLegendary",CLASSFEATUREHEADERS,0),MATCH($A870,CLASSNAMEHEADERS,0))),(INDEX(ALLCLASSDATA,MATCH("ReflexSaveLegendary",CLASSFEATUREHEADERS,0),MATCH(($A870 &amp; "Points"),CLASSNAMEHEADERS,0))),(IF("19"=(INDEX(ALLCLASSDATA,MATCH("ReflexSaveMaster",CLASSFEATUREHEADERS,0),MATCH($A870,CLASSNAMEHEADERS,0))),(INDEX(ALLCLASSDATA,MATCH("ReflexSaveMaster",CLASSFEATUREHEADERS,0),MATCH(($A870 &amp; "Points"),CLASSNAMEHEADERS,0))),(IF("19"=(INDEX(ALLCLASSDATA,MATCH("ReflexSaveExpert",CLASSFEATUREHEADERS,0),MATCH($A870,CLASSNAMEHEADERS,0))),(INDEX(ALLCLASSDATA,MATCH("ReflexSaveExpert",CLASSFEATUREHEADERS,0),MATCH(($A870 &amp; "Points"),CLASSNAMEHEADERS,0))),(IF("19"=(INDEX(ALLCLASSDATA,MATCH("ReflexSaveTrained",CLASSFEATUREHEADERS,0),MATCH($A870,CLASSNAMEHEADERS,0))),(INDEX(ALLCLASSDATA,MATCH("ReflexSaveTrained",CLASSFEATUREHEADERS,0),MATCH(($A870 &amp; "Points"),CLASSNAMEHEADERS,0))),"")))))))))}</f>
        <v>REFLEXL19</v>
      </c>
      <c r="AA869" s="223"/>
      <c r="AB869" s="76" t="str">
        <f t="array" ref="AB869:AB870">{"REFLEX TOTAL";(IF(COUNTBLANK(G870:AA870)=17,"L",(IF(COUNTBLANK(G870:AA870)=18,"M",(IF(COUNTBLANK(G870:AA870)=19,"E",(IF(COUNTBLANK(G870:AA870)=20,"T",""))))))))}</f>
        <v>REFLEX TOTAL</v>
      </c>
      <c r="AC869" s="76" t="str">
        <f t="array" ref="AC869:AC870">{"REFLEX TOTAL";(sum(G870:AA870))}</f>
        <v>REFLEX TOTAL</v>
      </c>
    </row>
    <row r="870">
      <c r="A870" s="48" t="s">
        <v>180</v>
      </c>
      <c r="B870" s="48"/>
      <c r="C870" s="48" t="s">
        <v>413</v>
      </c>
      <c r="D870" s="48" t="s">
        <v>1549</v>
      </c>
      <c r="E870" s="48" t="s">
        <v>1572</v>
      </c>
      <c r="F870" s="5" t="s">
        <v>436</v>
      </c>
      <c r="G870" s="47">
        <v>10.0</v>
      </c>
      <c r="H870" s="5">
        <v>50.0</v>
      </c>
      <c r="I870" s="5"/>
      <c r="J870" s="5" t="s">
        <v>603</v>
      </c>
      <c r="K870" s="5"/>
      <c r="L870" s="5" t="s">
        <v>603</v>
      </c>
      <c r="M870" s="5"/>
      <c r="N870" s="5" t="s">
        <v>603</v>
      </c>
      <c r="O870" s="5"/>
      <c r="P870" s="5" t="s">
        <v>603</v>
      </c>
      <c r="Q870" s="5"/>
      <c r="R870" s="5">
        <v>110.0</v>
      </c>
      <c r="S870" s="5"/>
      <c r="T870" s="5" t="s">
        <v>603</v>
      </c>
      <c r="U870" s="5"/>
      <c r="V870" s="5" t="s">
        <v>603</v>
      </c>
      <c r="W870" s="5"/>
      <c r="X870" s="5" t="s">
        <v>603</v>
      </c>
      <c r="Y870" s="5"/>
      <c r="Z870" s="5" t="s">
        <v>603</v>
      </c>
      <c r="AA870" s="5"/>
      <c r="AB870" s="5" t="s">
        <v>437</v>
      </c>
      <c r="AC870" s="47">
        <v>170.0</v>
      </c>
    </row>
    <row r="871" hidden="1">
      <c r="A871" s="222" t="str">
        <f t="array" ref="A871:A872">{"FormulaRow25";(INDEX(CLASSLIST,A822,1))}</f>
        <v>FormulaRow25</v>
      </c>
      <c r="B871" s="77" t="s">
        <v>236</v>
      </c>
      <c r="C871" s="222" t="str">
        <f t="array" ref="C871:C872">{"CLASSTYPE";((INDEX(ALLCLASSDATA,MATCH("ClassType",CLASSFEATUREHEADERS,0),MATCH($A872,CLASSNAMEHEADERS,0))))}</f>
        <v>CLASSTYPE</v>
      </c>
      <c r="D871" s="222" t="str">
        <f t="array" ref="D871:D872">{"SAVES";"Saves"}</f>
        <v>SAVES</v>
      </c>
      <c r="E871" s="222" t="str">
        <f t="array" ref="E871:E872">{"WILLSAVE";"WillSave"}</f>
        <v>WILLSAVE</v>
      </c>
      <c r="F871" s="223" t="str">
        <f t="array" ref="F871:F872">{"WILLINITIAL";((IF(H872=10,"T",(IF(H872=50,"E","")))))}</f>
        <v>WILLINITIAL</v>
      </c>
      <c r="G871" s="223" t="str">
        <f t="array" ref="G871:G872">{"WILLINITIALPTS";((IF("00"=(INDEX(ALLCLASSDATA,MATCH("WillSaveLegendary",CLASSFEATUREHEADERS,0),MATCH($A872,CLASSNAMEHEADERS,0))),(INDEX(ALLCLASSDATA,MATCH("WillSaveLegendary",CLASSFEATUREHEADERS,0),MATCH(($A872 &amp; "Points"),CLASSNAMEHEADERS,0))),(IF("00"=(INDEX(ALLCLASSDATA,MATCH("WillSaveMaster",CLASSFEATUREHEADERS,0),MATCH($A872,CLASSNAMEHEADERS,0))),(INDEX(ALLCLASSDATA,MATCH("WillSaveMaster",CLASSFEATUREHEADERS,0),MATCH(($A872 &amp; "Points"),CLASSNAMEHEADERS,0))),(IF("00"=(INDEX(ALLCLASSDATA,MATCH("WillSaveExpert",CLASSFEATUREHEADERS,0),MATCH($A872,CLASSNAMEHEADERS,0))),(INDEX(ALLCLASSDATA,MATCH("WillSaveExpert",CLASSFEATUREHEADERS,0),MATCH(($A872 &amp; "Points"),CLASSNAMEHEADERS,0))),(IF("00"=(INDEX(ALLCLASSDATA,MATCH("WillSaveTrained",CLASSFEATUREHEADERS,0),MATCH($A872,CLASSNAMEHEADERS,0))),(INDEX(ALLCLASSDATA,MATCH("WillSaveTrained",CLASSFEATUREHEADERS,0),MATCH(($A872 &amp; "Points"),CLASSNAMEHEADERS,0))),"")))))))))}</f>
        <v>WILLINITIALPTS</v>
      </c>
      <c r="H871" s="223" t="str">
        <f t="array" ref="H871:H872">{"WILLL01";((IF("01"=(INDEX(ALLCLASSDATA,MATCH("WillSaveLegendary",CLASSFEATUREHEADERS,0),MATCH($A872,CLASSNAMEHEADERS,0))),(INDEX(ALLCLASSDATA,MATCH("WillSaveLegendary",CLASSFEATUREHEADERS,0),MATCH(($A872 &amp; "Points"),CLASSNAMEHEADERS,0))),(IF("01"=(INDEX(ALLCLASSDATA,MATCH("WillSaveMaster",CLASSFEATUREHEADERS,0),MATCH($A872,CLASSNAMEHEADERS,0))),(INDEX(ALLCLASSDATA,MATCH("WillSaveMaster",CLASSFEATUREHEADERS,0),MATCH(($A872 &amp; "Points"),CLASSNAMEHEADERS,0))),(IF("01"=(INDEX(ALLCLASSDATA,MATCH("WillSaveExpert",CLASSFEATUREHEADERS,0),MATCH($A872,CLASSNAMEHEADERS,0))),(INDEX(ALLCLASSDATA,MATCH("WillSaveExpert",CLASSFEATUREHEADERS,0),MATCH(($A872 &amp; "Points"),CLASSNAMEHEADERS,0))),(IF("01"=(INDEX(ALLCLASSDATA,MATCH("WillSaveTrained",CLASSFEATUREHEADERS,0),MATCH($A872,CLASSNAMEHEADERS,0))),(INDEX(ALLCLASSDATA,MATCH("WillSaveTrained",CLASSFEATUREHEADERS,0),MATCH(($A872 &amp; "Points"),CLASSNAMEHEADERS,0))),"")))))))))}</f>
        <v>WILLL01</v>
      </c>
      <c r="I871" s="223"/>
      <c r="J871" s="223" t="str">
        <f t="array" ref="J871:J872">{"WILLL03";((IF("03"=(INDEX(ALLCLASSDATA,MATCH("WillSaveLegendary",CLASSFEATUREHEADERS,0),MATCH($A872,CLASSNAMEHEADERS,0))),(INDEX(ALLCLASSDATA,MATCH("WillSaveLegendary",CLASSFEATUREHEADERS,0),MATCH(($A872 &amp; "Points"),CLASSNAMEHEADERS,0))),(IF("03"=(INDEX(ALLCLASSDATA,MATCH("WillSaveMaster",CLASSFEATUREHEADERS,0),MATCH($A872,CLASSNAMEHEADERS,0))),(INDEX(ALLCLASSDATA,MATCH("WillSaveMaster",CLASSFEATUREHEADERS,0),MATCH(($A872 &amp; "Points"),CLASSNAMEHEADERS,0))),(IF("03"=(INDEX(ALLCLASSDATA,MATCH("WillSaveExpert",CLASSFEATUREHEADERS,0),MATCH($A872,CLASSNAMEHEADERS,0))),(INDEX(ALLCLASSDATA,MATCH("WillSaveExpert",CLASSFEATUREHEADERS,0),MATCH(($A872 &amp; "Points"),CLASSNAMEHEADERS,0))),(IF("03"=(INDEX(ALLCLASSDATA,MATCH("WillSaveTrained",CLASSFEATUREHEADERS,0),MATCH($A872,CLASSNAMEHEADERS,0))),(INDEX(ALLCLASSDATA,MATCH("WillSaveTrained",CLASSFEATUREHEADERS,0),MATCH(($A872 &amp; "Points"),CLASSNAMEHEADERS,0))),"")))))))))}</f>
        <v>WILLL03</v>
      </c>
      <c r="K871" s="223"/>
      <c r="L871" s="223" t="str">
        <f t="array" ref="L871:L872">{"WILLL05";((IF("05"=(INDEX(ALLCLASSDATA,MATCH("WillSaveLegendary",CLASSFEATUREHEADERS,0),MATCH($A872,CLASSNAMEHEADERS,0))),(INDEX(ALLCLASSDATA,MATCH("WillSaveLegendary",CLASSFEATUREHEADERS,0),MATCH(($A872 &amp; "Points"),CLASSNAMEHEADERS,0))),(IF("05"=(INDEX(ALLCLASSDATA,MATCH("WillSaveMaster",CLASSFEATUREHEADERS,0),MATCH($A872,CLASSNAMEHEADERS,0))),(INDEX(ALLCLASSDATA,MATCH("WillSaveMaster",CLASSFEATUREHEADERS,0),MATCH(($A872 &amp; "Points"),CLASSNAMEHEADERS,0))),(IF("05"=(INDEX(ALLCLASSDATA,MATCH("WillSaveExpert",CLASSFEATUREHEADERS,0),MATCH($A872,CLASSNAMEHEADERS,0))),(INDEX(ALLCLASSDATA,MATCH("WillSaveExpert",CLASSFEATUREHEADERS,0),MATCH(($A872 &amp; "Points"),CLASSNAMEHEADERS,0))),(IF("05"=(INDEX(ALLCLASSDATA,MATCH("WillSaveTrained",CLASSFEATUREHEADERS,0),MATCH($A872,CLASSNAMEHEADERS,0))),(INDEX(ALLCLASSDATA,MATCH("WillSaveTrained",CLASSFEATUREHEADERS,0),MATCH(($A872 &amp; "Points"),CLASSNAMEHEADERS,0))),"")))))))))}</f>
        <v>WILLL05</v>
      </c>
      <c r="M871" s="223"/>
      <c r="N871" s="223" t="str">
        <f t="array" ref="N871:N872">{"WILLL07";((IF("07"=(INDEX(ALLCLASSDATA,MATCH("WillSaveLegendary",CLASSFEATUREHEADERS,0),MATCH($A872,CLASSNAMEHEADERS,0))),(INDEX(ALLCLASSDATA,MATCH("WillSaveLegendary",CLASSFEATUREHEADERS,0),MATCH(($A872 &amp; "Points"),CLASSNAMEHEADERS,0))),(IF("07"=(INDEX(ALLCLASSDATA,MATCH("WillSaveMaster",CLASSFEATUREHEADERS,0),MATCH($A872,CLASSNAMEHEADERS,0))),(INDEX(ALLCLASSDATA,MATCH("WillSaveMaster",CLASSFEATUREHEADERS,0),MATCH(($A872 &amp; "Points"),CLASSNAMEHEADERS,0))),(IF("07"=(INDEX(ALLCLASSDATA,MATCH("WillSaveExpert",CLASSFEATUREHEADERS,0),MATCH($A872,CLASSNAMEHEADERS,0))),(INDEX(ALLCLASSDATA,MATCH("WillSaveExpert",CLASSFEATUREHEADERS,0),MATCH(($A872 &amp; "Points"),CLASSNAMEHEADERS,0))),(IF("07"=(INDEX(ALLCLASSDATA,MATCH("WillSaveTrained",CLASSFEATUREHEADERS,0),MATCH($A872,CLASSNAMEHEADERS,0))),(INDEX(ALLCLASSDATA,MATCH("WillSaveTrained",CLASSFEATUREHEADERS,0),MATCH(($A872 &amp; "Points"),CLASSNAMEHEADERS,0))),"")))))))))}</f>
        <v>WILLL07</v>
      </c>
      <c r="O871" s="223"/>
      <c r="P871" s="223" t="str">
        <f t="array" ref="P871:P872">{"WILLL09";((IF("09"=(INDEX(ALLCLASSDATA,MATCH("WillSaveLegendary",CLASSFEATUREHEADERS,0),MATCH($A872,CLASSNAMEHEADERS,0))),(INDEX(ALLCLASSDATA,MATCH("WillSaveLegendary",CLASSFEATUREHEADERS,0),MATCH(($A872 &amp; "Points"),CLASSNAMEHEADERS,0))),(IF("09"=(INDEX(ALLCLASSDATA,MATCH("WillSaveMaster",CLASSFEATUREHEADERS,0),MATCH($A872,CLASSNAMEHEADERS,0))),(INDEX(ALLCLASSDATA,MATCH("WillSaveMaster",CLASSFEATUREHEADERS,0),MATCH(($A872 &amp; "Points"),CLASSNAMEHEADERS,0))),(IF("09"=(INDEX(ALLCLASSDATA,MATCH("WillSaveExpert",CLASSFEATUREHEADERS,0),MATCH($A872,CLASSNAMEHEADERS,0))),(INDEX(ALLCLASSDATA,MATCH("WillSaveExpert",CLASSFEATUREHEADERS,0),MATCH(($A872 &amp; "Points"),CLASSNAMEHEADERS,0))),(IF("09"=(INDEX(ALLCLASSDATA,MATCH("WillSaveTrained",CLASSFEATUREHEADERS,0),MATCH($A872,CLASSNAMEHEADERS,0))),(INDEX(ALLCLASSDATA,MATCH("WillSaveTrained",CLASSFEATUREHEADERS,0),MATCH(($A872 &amp; "Points"),CLASSNAMEHEADERS,0))),"")))))))))}</f>
        <v>WILLL09</v>
      </c>
      <c r="Q871" s="223"/>
      <c r="R871" s="223" t="str">
        <f t="array" ref="R871:R872">{"WILLL11";((IF("11"=(INDEX(ALLCLASSDATA,MATCH("WillSaveLegendary",CLASSFEATUREHEADERS,0),MATCH($A872,CLASSNAMEHEADERS,0))),(INDEX(ALLCLASSDATA,MATCH("WillSaveLegendary",CLASSFEATUREHEADERS,0),MATCH(($A872 &amp; "Points"),CLASSNAMEHEADERS,0))),(IF("11"=(INDEX(ALLCLASSDATA,MATCH("WillSaveMaster",CLASSFEATUREHEADERS,0),MATCH($A872,CLASSNAMEHEADERS,0))),(INDEX(ALLCLASSDATA,MATCH("WillSaveMaster",CLASSFEATUREHEADERS,0),MATCH(($A872 &amp; "Points"),CLASSNAMEHEADERS,0))),(IF("11"=(INDEX(ALLCLASSDATA,MATCH("WillSaveExpert",CLASSFEATUREHEADERS,0),MATCH($A872,CLASSNAMEHEADERS,0))),(INDEX(ALLCLASSDATA,MATCH("WillSaveExpert",CLASSFEATUREHEADERS,0),MATCH(($A872 &amp; "Points"),CLASSNAMEHEADERS,0))),(IF("11"=(INDEX(ALLCLASSDATA,MATCH("WillSaveTrained",CLASSFEATUREHEADERS,0),MATCH($A872,CLASSNAMEHEADERS,0))),(INDEX(ALLCLASSDATA,MATCH("WillSaveTrained",CLASSFEATUREHEADERS,0),MATCH(($A872 &amp; "Points"),CLASSNAMEHEADERS,0))),"")))))))))}</f>
        <v>WILLL11</v>
      </c>
      <c r="S871" s="223"/>
      <c r="T871" s="223" t="str">
        <f t="array" ref="T871:T872">{"WILLL13";((IF("13"=(INDEX(ALLCLASSDATA,MATCH("WillSaveLegendary",CLASSFEATUREHEADERS,0),MATCH($A872,CLASSNAMEHEADERS,0))),(INDEX(ALLCLASSDATA,MATCH("WillSaveLegendary",CLASSFEATUREHEADERS,0),MATCH(($A872 &amp; "Points"),CLASSNAMEHEADERS,0))),(IF("13"=(INDEX(ALLCLASSDATA,MATCH("WillSaveMaster",CLASSFEATUREHEADERS,0),MATCH($A872,CLASSNAMEHEADERS,0))),(INDEX(ALLCLASSDATA,MATCH("WillSaveMaster",CLASSFEATUREHEADERS,0),MATCH(($A872 &amp; "Points"),CLASSNAMEHEADERS,0))),(IF("13"=(INDEX(ALLCLASSDATA,MATCH("WillSaveExpert",CLASSFEATUREHEADERS,0),MATCH($A872,CLASSNAMEHEADERS,0))),(INDEX(ALLCLASSDATA,MATCH("WillSaveExpert",CLASSFEATUREHEADERS,0),MATCH(($A872 &amp; "Points"),CLASSNAMEHEADERS,0))),(IF("13"=(INDEX(ALLCLASSDATA,MATCH("WillSaveTrained",CLASSFEATUREHEADERS,0),MATCH($A872,CLASSNAMEHEADERS,0))),(INDEX(ALLCLASSDATA,MATCH("WillSaveTrained",CLASSFEATUREHEADERS,0),MATCH(($A872 &amp; "Points"),CLASSNAMEHEADERS,0))),"")))))))))}</f>
        <v>WILLL13</v>
      </c>
      <c r="U871" s="223"/>
      <c r="V871" s="223" t="str">
        <f t="array" ref="V871:V872">{"WILLL15";((IF("15"=(INDEX(ALLCLASSDATA,MATCH("WillSaveLegendary",CLASSFEATUREHEADERS,0),MATCH($A872,CLASSNAMEHEADERS,0))),(INDEX(ALLCLASSDATA,MATCH("WillSaveLegendary",CLASSFEATUREHEADERS,0),MATCH(($A872 &amp; "Points"),CLASSNAMEHEADERS,0))),(IF("15"=(INDEX(ALLCLASSDATA,MATCH("WillSaveMaster",CLASSFEATUREHEADERS,0),MATCH($A872,CLASSNAMEHEADERS,0))),(INDEX(ALLCLASSDATA,MATCH("WillSaveMaster",CLASSFEATUREHEADERS,0),MATCH(($A872 &amp; "Points"),CLASSNAMEHEADERS,0))),(IF("15"=(INDEX(ALLCLASSDATA,MATCH("WillSaveExpert",CLASSFEATUREHEADERS,0),MATCH($A872,CLASSNAMEHEADERS,0))),(INDEX(ALLCLASSDATA,MATCH("WillSaveExpert",CLASSFEATUREHEADERS,0),MATCH(($A872 &amp; "Points"),CLASSNAMEHEADERS,0))),(IF("15"=(INDEX(ALLCLASSDATA,MATCH("WillSaveTrained",CLASSFEATUREHEADERS,0),MATCH($A872,CLASSNAMEHEADERS,0))),(INDEX(ALLCLASSDATA,MATCH("WillSaveTrained",CLASSFEATUREHEADERS,0),MATCH(($A872 &amp; "Points"),CLASSNAMEHEADERS,0))),"")))))))))}</f>
        <v>WILLL15</v>
      </c>
      <c r="W871" s="223"/>
      <c r="X871" s="223" t="str">
        <f t="array" ref="X871:X872">{"WILLL17";((IF("17"=(INDEX(ALLCLASSDATA,MATCH("WillSaveLegendary",CLASSFEATUREHEADERS,0),MATCH($A872,CLASSNAMEHEADERS,0))),(INDEX(ALLCLASSDATA,MATCH("WillSaveLegendary",CLASSFEATUREHEADERS,0),MATCH(($A872 &amp; "Points"),CLASSNAMEHEADERS,0))),(IF("17"=(INDEX(ALLCLASSDATA,MATCH("WillSaveMaster",CLASSFEATUREHEADERS,0),MATCH($A872,CLASSNAMEHEADERS,0))),(INDEX(ALLCLASSDATA,MATCH("WillSaveMaster",CLASSFEATUREHEADERS,0),MATCH(($A872 &amp; "Points"),CLASSNAMEHEADERS,0))),(IF("17"=(INDEX(ALLCLASSDATA,MATCH("WillSaveExpert",CLASSFEATUREHEADERS,0),MATCH($A872,CLASSNAMEHEADERS,0))),(INDEX(ALLCLASSDATA,MATCH("WillSaveExpert",CLASSFEATUREHEADERS,0),MATCH(($A872 &amp; "Points"),CLASSNAMEHEADERS,0))),(IF("17"=(INDEX(ALLCLASSDATA,MATCH("WillSaveTrained",CLASSFEATUREHEADERS,0),MATCH($A872,CLASSNAMEHEADERS,0))),(INDEX(ALLCLASSDATA,MATCH("WillSaveTrained",CLASSFEATUREHEADERS,0),MATCH(($A872 &amp; "Points"),CLASSNAMEHEADERS,0))),"")))))))))}</f>
        <v>WILLL17</v>
      </c>
      <c r="Y871" s="223"/>
      <c r="Z871" s="223" t="str">
        <f t="array" ref="Z871:Z872">{"WILLL19";((IF("19"=(INDEX(ALLCLASSDATA,MATCH("WillSaveLegendary",CLASSFEATUREHEADERS,0),MATCH($A872,CLASSNAMEHEADERS,0))),(INDEX(ALLCLASSDATA,MATCH("WillSaveLegendary",CLASSFEATUREHEADERS,0),MATCH(($A872 &amp; "Points"),CLASSNAMEHEADERS,0))),(IF("19"=(INDEX(ALLCLASSDATA,MATCH("WillSaveMaster",CLASSFEATUREHEADERS,0),MATCH($A872,CLASSNAMEHEADERS,0))),(INDEX(ALLCLASSDATA,MATCH("WillSaveMaster",CLASSFEATUREHEADERS,0),MATCH(($A872 &amp; "Points"),CLASSNAMEHEADERS,0))),(IF("19"=(INDEX(ALLCLASSDATA,MATCH("WillSaveExpert",CLASSFEATUREHEADERS,0),MATCH($A872,CLASSNAMEHEADERS,0))),(INDEX(ALLCLASSDATA,MATCH("WillSaveExpert",CLASSFEATUREHEADERS,0),MATCH(($A872 &amp; "Points"),CLASSNAMEHEADERS,0))),(IF("19"=(INDEX(ALLCLASSDATA,MATCH("WillSaveTrained",CLASSFEATUREHEADERS,0),MATCH($A872,CLASSNAMEHEADERS,0))),(INDEX(ALLCLASSDATA,MATCH("WillSaveTrained",CLASSFEATUREHEADERS,0),MATCH(($A872 &amp; "Points"),CLASSNAMEHEADERS,0))),"")))))))))}</f>
        <v>WILLL19</v>
      </c>
      <c r="AA871" s="223"/>
      <c r="AB871" s="76" t="str">
        <f t="array" ref="AB871:AB872">{"WILL TOTAL";(IF(COUNTBLANK(G872:AA872)=17,"L",(IF(COUNTBLANK(G872:AA872)=18,"M",(IF(COUNTBLANK(G872:AA872)=19,"E",(IF(COUNTBLANK(G872:AA872)=20,"T",""))))))))}</f>
        <v>WILL TOTAL</v>
      </c>
      <c r="AC871" s="76" t="str">
        <f t="array" ref="AC871:AC872">{"WILL TOTAL";(sum(G872:AA872))}</f>
        <v>WILL TOTAL</v>
      </c>
    </row>
    <row r="872">
      <c r="A872" s="48" t="s">
        <v>180</v>
      </c>
      <c r="B872" s="48"/>
      <c r="C872" s="48" t="s">
        <v>413</v>
      </c>
      <c r="D872" s="97" t="s">
        <v>1549</v>
      </c>
      <c r="E872" s="97" t="s">
        <v>1591</v>
      </c>
      <c r="F872" s="98" t="s">
        <v>435</v>
      </c>
      <c r="G872" s="132" t="s">
        <v>603</v>
      </c>
      <c r="H872" s="98">
        <v>10.0</v>
      </c>
      <c r="I872" s="98"/>
      <c r="J872" s="98">
        <v>50.0</v>
      </c>
      <c r="K872" s="98"/>
      <c r="L872" s="98" t="s">
        <v>603</v>
      </c>
      <c r="M872" s="97"/>
      <c r="N872" s="98" t="s">
        <v>603</v>
      </c>
      <c r="O872" s="98"/>
      <c r="P872" s="98" t="s">
        <v>603</v>
      </c>
      <c r="Q872" s="97"/>
      <c r="R872" s="98" t="s">
        <v>603</v>
      </c>
      <c r="S872" s="98"/>
      <c r="T872" s="98" t="s">
        <v>603</v>
      </c>
      <c r="U872" s="98"/>
      <c r="V872" s="98" t="s">
        <v>603</v>
      </c>
      <c r="W872" s="98"/>
      <c r="X872" s="98" t="s">
        <v>603</v>
      </c>
      <c r="Y872" s="98"/>
      <c r="Z872" s="98" t="s">
        <v>603</v>
      </c>
      <c r="AA872" s="98"/>
      <c r="AB872" s="5" t="s">
        <v>436</v>
      </c>
      <c r="AC872" s="47">
        <v>60.0</v>
      </c>
    </row>
    <row r="873" hidden="1">
      <c r="A873" s="222" t="str">
        <f t="array" ref="A873:A874">{"FormulaRow26";(INDEX(CLASSLIST,A822,1))}</f>
        <v>FormulaRow26</v>
      </c>
      <c r="B873" s="77" t="s">
        <v>236</v>
      </c>
      <c r="C873" s="222" t="str">
        <f t="array" ref="C873:C874">{"CLASSTYPE";((INDEX(ALLCLASSDATA,MATCH("ClassType",CLASSFEATUREHEADERS,0),MATCH($A874,CLASSNAMEHEADERS,0))))}</f>
        <v>CLASSTYPE</v>
      </c>
      <c r="D873" s="228" t="str">
        <f t="array" ref="D873:D874">{"ATTACK";"Attack"}</f>
        <v>ATTACK</v>
      </c>
      <c r="E873" s="228" t="str">
        <f t="array" ref="E873:E874">{"WEAPONSPECIAL";"WeaponCS/WS/GWS"}</f>
        <v>WEAPONSPECIAL</v>
      </c>
      <c r="F873" s="230"/>
      <c r="G873" s="230"/>
      <c r="H873" s="230" t="str">
        <f t="array" ref="H873:H874">{"WEAPONSPECIALL01";((IF("01"=INDEX(ALLCLASSDATA,MATCH("WeaponGreaterSpecialization",CLASSFEATUREHEADERS,0),MATCH($A874,CLASSNAMEHEADERS,0)),WeaponGWS,(IF("01"=INDEX(ALLCLASSDATA,MATCH("WeaponSpecialization",CLASSFEATUREHEADERS,0),MATCH($A874,CLASSNAMEHEADERS,0)),WeaponWS,(IF("01"=INDEX(ALLCLASSDATA,MATCH("WeaponCriticalSpecialization",CLASSFEATUREHEADERS,0),MATCH($A874,CLASSNAMEHEADERS,0)),WeaponCS,"")))))))}</f>
        <v>WEAPONSPECIALL01</v>
      </c>
      <c r="I873" s="230"/>
      <c r="J873" s="230" t="str">
        <f t="array" ref="J873:J874">{"WEAPONSPECIALL03";((IF("03"=INDEX(ALLCLASSDATA,MATCH("WeaponGreaterSpecialization",CLASSFEATUREHEADERS,0),MATCH($A874,CLASSNAMEHEADERS,0)),WeaponGWS,(IF("03"=INDEX(ALLCLASSDATA,MATCH("WeaponSpecialization",CLASSFEATUREHEADERS,0),MATCH($A874,CLASSNAMEHEADERS,0)),WeaponWS,(IF("03"=INDEX(ALLCLASSDATA,MATCH("WeaponCriticalSpecialization",CLASSFEATUREHEADERS,0),MATCH($A874,CLASSNAMEHEADERS,0)),WeaponCS,"")))))))}</f>
        <v>WEAPONSPECIALL03</v>
      </c>
      <c r="K873" s="230"/>
      <c r="L873" s="230" t="str">
        <f t="array" ref="L873:L874">{"WEAPONSPECIALL05";((IF("05"=INDEX(ALLCLASSDATA,MATCH("WeaponGreaterSpecialization",CLASSFEATUREHEADERS,0),MATCH($A874,CLASSNAMEHEADERS,0)),WeaponGWS,(IF("05"=INDEX(ALLCLASSDATA,MATCH("WeaponSpecialization",CLASSFEATUREHEADERS,0),MATCH($A874,CLASSNAMEHEADERS,0)),WeaponWS,(IF("05"=INDEX(ALLCLASSDATA,MATCH("WeaponCriticalSpecialization",CLASSFEATUREHEADERS,0),MATCH($A874,CLASSNAMEHEADERS,0)),WeaponCS,"")))))))}</f>
        <v>WEAPONSPECIALL05</v>
      </c>
      <c r="M873" s="230"/>
      <c r="N873" s="230" t="str">
        <f t="array" ref="N873:N874">{"WEAPONSPECIALL07";((IF("07"=INDEX(ALLCLASSDATA,MATCH("WeaponGreaterSpecialization",CLASSFEATUREHEADERS,0),MATCH($A874,CLASSNAMEHEADERS,0)),WeaponGWS,(IF("07"=INDEX(ALLCLASSDATA,MATCH("WeaponSpecialization",CLASSFEATUREHEADERS,0),MATCH($A874,CLASSNAMEHEADERS,0)),WeaponWS,(IF("07"=INDEX(ALLCLASSDATA,MATCH("WeaponCriticalSpecialization",CLASSFEATUREHEADERS,0),MATCH($A874,CLASSNAMEHEADERS,0)),WeaponCS,"")))))))}</f>
        <v>WEAPONSPECIALL07</v>
      </c>
      <c r="O873" s="230"/>
      <c r="P873" s="230" t="str">
        <f t="array" ref="P873:P874">{"WEAPONSPECIALL09";((IF("09"=INDEX(ALLCLASSDATA,MATCH("WeaponGreaterSpecialization",CLASSFEATUREHEADERS,0),MATCH($A874,CLASSNAMEHEADERS,0)),WeaponGWS,(IF("09"=INDEX(ALLCLASSDATA,MATCH("WeaponSpecialization",CLASSFEATUREHEADERS,0),MATCH($A874,CLASSNAMEHEADERS,0)),WeaponWS,(IF("09"=INDEX(ALLCLASSDATA,MATCH("WeaponCriticalSpecialization",CLASSFEATUREHEADERS,0),MATCH($A874,CLASSNAMEHEADERS,0)),WeaponCS,"")))))))}</f>
        <v>WEAPONSPECIALL09</v>
      </c>
      <c r="Q873" s="230"/>
      <c r="R873" s="230" t="str">
        <f t="array" ref="R873:R874">{"WEAPONSPECIALL11";((IF("11"=INDEX(ALLCLASSDATA,MATCH("WeaponGreaterSpecialization",CLASSFEATUREHEADERS,0),MATCH($A874,CLASSNAMEHEADERS,0)),WeaponGWS,(IF("11"=INDEX(ALLCLASSDATA,MATCH("WeaponSpecialization",CLASSFEATUREHEADERS,0),MATCH($A874,CLASSNAMEHEADERS,0)),WeaponWS,(IF("11"=INDEX(ALLCLASSDATA,MATCH("WeaponCriticalSpecialization",CLASSFEATUREHEADERS,0),MATCH($A874,CLASSNAMEHEADERS,0)),WeaponCS,"")))))))}</f>
        <v>WEAPONSPECIALL11</v>
      </c>
      <c r="S873" s="230"/>
      <c r="T873" s="230" t="str">
        <f t="array" ref="T873:T874">{"WEAPONSPECIALL13";((IF("13"=INDEX(ALLCLASSDATA,MATCH("WeaponGreaterSpecialization",CLASSFEATUREHEADERS,0),MATCH($A874,CLASSNAMEHEADERS,0)),WeaponGWS,(IF("13"=INDEX(ALLCLASSDATA,MATCH("WeaponSpecialization",CLASSFEATUREHEADERS,0),MATCH($A874,CLASSNAMEHEADERS,0)),WeaponWS,(IF("13"=INDEX(ALLCLASSDATA,MATCH("WeaponCriticalSpecialization",CLASSFEATUREHEADERS,0),MATCH($A874,CLASSNAMEHEADERS,0)),WeaponCS,"")))))))}</f>
        <v>WEAPONSPECIALL13</v>
      </c>
      <c r="U873" s="230"/>
      <c r="V873" s="230" t="str">
        <f t="array" ref="V873:V874">{"WEAPONSPECIALL15";((IF("15"=INDEX(ALLCLASSDATA,MATCH("WeaponGreaterSpecialization",CLASSFEATUREHEADERS,0),MATCH($A874,CLASSNAMEHEADERS,0)),WeaponGWS,(IF("15"=INDEX(ALLCLASSDATA,MATCH("WeaponSpecialization",CLASSFEATUREHEADERS,0),MATCH($A874,CLASSNAMEHEADERS,0)),WeaponWS,(IF("15"=INDEX(ALLCLASSDATA,MATCH("WeaponCriticalSpecialization",CLASSFEATUREHEADERS,0),MATCH($A874,CLASSNAMEHEADERS,0)),WeaponCS,"")))))))}</f>
        <v>WEAPONSPECIALL15</v>
      </c>
      <c r="W873" s="230"/>
      <c r="X873" s="230" t="str">
        <f t="array" ref="X873:X874">{"WEAPONSPECIALL17";((IF("17"=INDEX(ALLCLASSDATA,MATCH("WeaponGreaterSpecialization",CLASSFEATUREHEADERS,0),MATCH($A874,CLASSNAMEHEADERS,0)),WeaponGWS,(IF("17"=INDEX(ALLCLASSDATA,MATCH("WeaponSpecialization",CLASSFEATUREHEADERS,0),MATCH($A874,CLASSNAMEHEADERS,0)),WeaponWS,(IF("17"=INDEX(ALLCLASSDATA,MATCH("WeaponCriticalSpecialization",CLASSFEATUREHEADERS,0),MATCH($A874,CLASSNAMEHEADERS,0)),WeaponCS,"")))))))}</f>
        <v>WEAPONSPECIALL17</v>
      </c>
      <c r="Y873" s="230"/>
      <c r="Z873" s="230" t="str">
        <f t="array" ref="Z873:Z874">{"WEAPONSPECIALL19";((IF("19"=INDEX(ALLCLASSDATA,MATCH("WeaponGreaterSpecialization",CLASSFEATUREHEADERS,0),MATCH($A874,CLASSNAMEHEADERS,0)),WeaponGWS,(IF("19"=INDEX(ALLCLASSDATA,MATCH("WeaponSpecialization",CLASSFEATUREHEADERS,0),MATCH($A874,CLASSNAMEHEADERS,0)),WeaponWS,(IF("19"=INDEX(ALLCLASSDATA,MATCH("WeaponCriticalSpecialization",CLASSFEATUREHEADERS,0),MATCH($A874,CLASSNAMEHEADERS,0)),WeaponCS,"")))))))}</f>
        <v>WEAPONSPECIALL19</v>
      </c>
      <c r="AA873" s="230"/>
      <c r="AB873" s="76"/>
      <c r="AC873" s="76" t="str">
        <f t="array" ref="AC873:AC874">{"WEAPONSPECIAL TOTAL";(sum(G874:AA874))}</f>
        <v>WEAPONSPECIAL TOTAL</v>
      </c>
    </row>
    <row r="874">
      <c r="A874" s="48" t="s">
        <v>180</v>
      </c>
      <c r="B874" s="48"/>
      <c r="C874" s="48" t="s">
        <v>413</v>
      </c>
      <c r="D874" s="48" t="s">
        <v>1634</v>
      </c>
      <c r="E874" s="48" t="s">
        <v>1635</v>
      </c>
      <c r="F874" s="5"/>
      <c r="G874" s="47"/>
      <c r="H874" s="5" t="s">
        <v>603</v>
      </c>
      <c r="I874" s="5"/>
      <c r="J874" s="5" t="s">
        <v>603</v>
      </c>
      <c r="K874" s="5"/>
      <c r="L874" s="5">
        <v>50.0</v>
      </c>
      <c r="M874" s="5"/>
      <c r="N874" s="5">
        <v>70.0</v>
      </c>
      <c r="O874" s="5"/>
      <c r="P874" s="5" t="s">
        <v>603</v>
      </c>
      <c r="Q874" s="5"/>
      <c r="R874" s="5" t="s">
        <v>603</v>
      </c>
      <c r="S874" s="5"/>
      <c r="T874" s="5" t="s">
        <v>603</v>
      </c>
      <c r="U874" s="5"/>
      <c r="V874" s="5">
        <v>150.0</v>
      </c>
      <c r="W874" s="5"/>
      <c r="X874" s="5" t="s">
        <v>603</v>
      </c>
      <c r="Y874" s="5"/>
      <c r="Z874" s="5" t="s">
        <v>603</v>
      </c>
      <c r="AA874" s="5"/>
      <c r="AB874" s="5"/>
      <c r="AC874" s="47">
        <v>270.0</v>
      </c>
    </row>
    <row r="875" hidden="1">
      <c r="A875" s="222" t="str">
        <f t="array" ref="A875:A876">{"FormulaRow27";(INDEX(CLASSLIST,A822,1))}</f>
        <v>FormulaRow27</v>
      </c>
      <c r="B875" s="77" t="s">
        <v>236</v>
      </c>
      <c r="C875" s="222" t="str">
        <f t="array" ref="C875:C876">{"CLASSTYPE";((INDEX(ALLCLASSDATA,MATCH("ClassType",CLASSFEATUREHEADERS,0),MATCH($A876,CLASSNAMEHEADERS,0))))}</f>
        <v>CLASSTYPE</v>
      </c>
      <c r="D875" s="222" t="str">
        <f t="array" ref="D875:D876">{"ATTACK";"Attack"}</f>
        <v>ATTACK</v>
      </c>
      <c r="E875" s="222" t="str">
        <f t="array" ref="E875:E876">{"UNARMED";"Unarmed"}</f>
        <v>UNARMED</v>
      </c>
      <c r="F875" s="223" t="str">
        <f t="array" ref="F875:F876">{"UNARMEDINITIAL";((IF(H876=10,"T",(IF(H876=50,"E","")))))}</f>
        <v>UNARMEDINITIAL</v>
      </c>
      <c r="G875" s="223" t="str">
        <f t="array" ref="G875:G876">{"UNARMEDINITIALPTS";((IF("00"=(INDEX(ALLCLASSDATA,MATCH("UnarmedLegendary",CLASSFEATUREHEADERS,0),MATCH($A876,CLASSNAMEHEADERS,0))),(INDEX(ALLCLASSDATA,MATCH("UnarmedLegendary",CLASSFEATUREHEADERS,0),MATCH(($A876 &amp; "Points"),CLASSNAMEHEADERS,0))),(IF("00"=(INDEX(ALLCLASSDATA,MATCH("UnarmedMaster",CLASSFEATUREHEADERS,0),MATCH($A876,CLASSNAMEHEADERS,0))),(INDEX(ALLCLASSDATA,MATCH("UnarmedMaster",CLASSFEATUREHEADERS,0),MATCH(($A876 &amp; "Points"),CLASSNAMEHEADERS,0))),(IF("00"=(INDEX(ALLCLASSDATA,MATCH("UnarmedExpert",CLASSFEATUREHEADERS,0),MATCH($A876,CLASSNAMEHEADERS,0))),(INDEX(ALLCLASSDATA,MATCH("UnarmedExpert",CLASSFEATUREHEADERS,0),MATCH(($A876 &amp; "Points"),CLASSNAMEHEADERS,0))),(IF("00"=(INDEX(ALLCLASSDATA,MATCH("UnarmedTrained",CLASSFEATUREHEADERS,0),MATCH($A876,CLASSNAMEHEADERS,0))),(INDEX(ALLCLASSDATA,MATCH("UnarmedTrained",CLASSFEATUREHEADERS,0),MATCH(($A876 &amp; "Points"),CLASSNAMEHEADERS,0))),"")))))))))}</f>
        <v>UNARMEDINITIALPTS</v>
      </c>
      <c r="H875" s="223" t="str">
        <f t="array" ref="H875:H876">{"UNARMEDL01";((IF("01"=(INDEX(ALLCLASSDATA,MATCH("UnarmedLegendary",CLASSFEATUREHEADERS,0),MATCH($A876,CLASSNAMEHEADERS,0))),(INDEX(ALLCLASSDATA,MATCH("UnarmedLegendary",CLASSFEATUREHEADERS,0),MATCH(($A876 &amp; "Points"),CLASSNAMEHEADERS,0))),(IF("01"=(INDEX(ALLCLASSDATA,MATCH("UnarmedMaster",CLASSFEATUREHEADERS,0),MATCH($A876,CLASSNAMEHEADERS,0))),(INDEX(ALLCLASSDATA,MATCH("UnarmedMaster",CLASSFEATUREHEADERS,0),MATCH(($A876 &amp; "Points"),CLASSNAMEHEADERS,0))),(IF("01"=(INDEX(ALLCLASSDATA,MATCH("UnarmedExpert",CLASSFEATUREHEADERS,0),MATCH($A876,CLASSNAMEHEADERS,0))),(INDEX(ALLCLASSDATA,MATCH("UnarmedExpert",CLASSFEATUREHEADERS,0),MATCH(($A876 &amp; "Points"),CLASSNAMEHEADERS,0))),(IF("01"=(INDEX(ALLCLASSDATA,MATCH("UnarmedTrained",CLASSFEATUREHEADERS,0),MATCH($A876,CLASSNAMEHEADERS,0))),(INDEX(ALLCLASSDATA,MATCH("UnarmedTrained",CLASSFEATUREHEADERS,0),MATCH(($A876 &amp; "Points"),CLASSNAMEHEADERS,0))),"")))))))))}</f>
        <v>UNARMEDL01</v>
      </c>
      <c r="I875" s="223"/>
      <c r="J875" s="223" t="str">
        <f t="array" ref="J875:J876">{"UNARMEDL03";((IF("03"=(INDEX(ALLCLASSDATA,MATCH("UnarmedLegendary",CLASSFEATUREHEADERS,0),MATCH($A876,CLASSNAMEHEADERS,0))),(INDEX(ALLCLASSDATA,MATCH("UnarmedLegendary",CLASSFEATUREHEADERS,0),MATCH(($A876 &amp; "Points"),CLASSNAMEHEADERS,0))),(IF("03"=(INDEX(ALLCLASSDATA,MATCH("UnarmedMaster",CLASSFEATUREHEADERS,0),MATCH($A876,CLASSNAMEHEADERS,0))),(INDEX(ALLCLASSDATA,MATCH("UnarmedMaster",CLASSFEATUREHEADERS,0),MATCH(($A876 &amp; "Points"),CLASSNAMEHEADERS,0))),(IF("03"=(INDEX(ALLCLASSDATA,MATCH("UnarmedExpert",CLASSFEATUREHEADERS,0),MATCH($A876,CLASSNAMEHEADERS,0))),(INDEX(ALLCLASSDATA,MATCH("UnarmedExpert",CLASSFEATUREHEADERS,0),MATCH(($A876 &amp; "Points"),CLASSNAMEHEADERS,0))),(IF("03"=(INDEX(ALLCLASSDATA,MATCH("UnarmedTrained",CLASSFEATUREHEADERS,0),MATCH($A876,CLASSNAMEHEADERS,0))),(INDEX(ALLCLASSDATA,MATCH("UnarmedTrained",CLASSFEATUREHEADERS,0),MATCH(($A876 &amp; "Points"),CLASSNAMEHEADERS,0))),"")))))))))}</f>
        <v>UNARMEDL03</v>
      </c>
      <c r="K875" s="223"/>
      <c r="L875" s="223" t="str">
        <f t="array" ref="L875:L876">{"UNARMEDL05";((IF("05"=(INDEX(ALLCLASSDATA,MATCH("UnarmedLegendary",CLASSFEATUREHEADERS,0),MATCH($A876,CLASSNAMEHEADERS,0))),(INDEX(ALLCLASSDATA,MATCH("UnarmedLegendary",CLASSFEATUREHEADERS,0),MATCH(($A876 &amp; "Points"),CLASSNAMEHEADERS,0))),(IF("05"=(INDEX(ALLCLASSDATA,MATCH("UnarmedMaster",CLASSFEATUREHEADERS,0),MATCH($A876,CLASSNAMEHEADERS,0))),(INDEX(ALLCLASSDATA,MATCH("UnarmedMaster",CLASSFEATUREHEADERS,0),MATCH(($A876 &amp; "Points"),CLASSNAMEHEADERS,0))),(IF("05"=(INDEX(ALLCLASSDATA,MATCH("UnarmedExpert",CLASSFEATUREHEADERS,0),MATCH($A876,CLASSNAMEHEADERS,0))),(INDEX(ALLCLASSDATA,MATCH("UnarmedExpert",CLASSFEATUREHEADERS,0),MATCH(($A876 &amp; "Points"),CLASSNAMEHEADERS,0))),(IF("05"=(INDEX(ALLCLASSDATA,MATCH("UnarmedTrained",CLASSFEATUREHEADERS,0),MATCH($A876,CLASSNAMEHEADERS,0))),(INDEX(ALLCLASSDATA,MATCH("UnarmedTrained",CLASSFEATUREHEADERS,0),MATCH(($A876 &amp; "Points"),CLASSNAMEHEADERS,0))),"")))))))))}</f>
        <v>UNARMEDL05</v>
      </c>
      <c r="M875" s="223"/>
      <c r="N875" s="223" t="str">
        <f t="array" ref="N875:N876">{"UNARMEDL07";((IF("07"=(INDEX(ALLCLASSDATA,MATCH("UnarmedLegendary",CLASSFEATUREHEADERS,0),MATCH($A876,CLASSNAMEHEADERS,0))),(INDEX(ALLCLASSDATA,MATCH("UnarmedLegendary",CLASSFEATUREHEADERS,0),MATCH(($A876 &amp; "Points"),CLASSNAMEHEADERS,0))),(IF("07"=(INDEX(ALLCLASSDATA,MATCH("UnarmedMaster",CLASSFEATUREHEADERS,0),MATCH($A876,CLASSNAMEHEADERS,0))),(INDEX(ALLCLASSDATA,MATCH("UnarmedMaster",CLASSFEATUREHEADERS,0),MATCH(($A876 &amp; "Points"),CLASSNAMEHEADERS,0))),(IF("07"=(INDEX(ALLCLASSDATA,MATCH("UnarmedExpert",CLASSFEATUREHEADERS,0),MATCH($A876,CLASSNAMEHEADERS,0))),(INDEX(ALLCLASSDATA,MATCH("UnarmedExpert",CLASSFEATUREHEADERS,0),MATCH(($A876 &amp; "Points"),CLASSNAMEHEADERS,0))),(IF("07"=(INDEX(ALLCLASSDATA,MATCH("UnarmedTrained",CLASSFEATUREHEADERS,0),MATCH($A876,CLASSNAMEHEADERS,0))),(INDEX(ALLCLASSDATA,MATCH("UnarmedTrained",CLASSFEATUREHEADERS,0),MATCH(($A876 &amp; "Points"),CLASSNAMEHEADERS,0))),"")))))))))}</f>
        <v>UNARMEDL07</v>
      </c>
      <c r="O875" s="223"/>
      <c r="P875" s="223" t="str">
        <f t="array" ref="P875:P876">{"UNARMEDL09";((IF("09"=(INDEX(ALLCLASSDATA,MATCH("UnarmedLegendary",CLASSFEATUREHEADERS,0),MATCH($A876,CLASSNAMEHEADERS,0))),(INDEX(ALLCLASSDATA,MATCH("UnarmedLegendary",CLASSFEATUREHEADERS,0),MATCH(($A876 &amp; "Points"),CLASSNAMEHEADERS,0))),(IF("09"=(INDEX(ALLCLASSDATA,MATCH("UnarmedMaster",CLASSFEATUREHEADERS,0),MATCH($A876,CLASSNAMEHEADERS,0))),(INDEX(ALLCLASSDATA,MATCH("UnarmedMaster",CLASSFEATUREHEADERS,0),MATCH(($A876 &amp; "Points"),CLASSNAMEHEADERS,0))),(IF("09"=(INDEX(ALLCLASSDATA,MATCH("UnarmedExpert",CLASSFEATUREHEADERS,0),MATCH($A876,CLASSNAMEHEADERS,0))),(INDEX(ALLCLASSDATA,MATCH("UnarmedExpert",CLASSFEATUREHEADERS,0),MATCH(($A876 &amp; "Points"),CLASSNAMEHEADERS,0))),(IF("09"=(INDEX(ALLCLASSDATA,MATCH("UnarmedTrained",CLASSFEATUREHEADERS,0),MATCH($A876,CLASSNAMEHEADERS,0))),(INDEX(ALLCLASSDATA,MATCH("UnarmedTrained",CLASSFEATUREHEADERS,0),MATCH(($A876 &amp; "Points"),CLASSNAMEHEADERS,0))),"")))))))))}</f>
        <v>UNARMEDL09</v>
      </c>
      <c r="Q875" s="223"/>
      <c r="R875" s="223" t="str">
        <f t="array" ref="R875:R876">{"UNARMEDL11";((IF("11"=(INDEX(ALLCLASSDATA,MATCH("UnarmedLegendary",CLASSFEATUREHEADERS,0),MATCH($A876,CLASSNAMEHEADERS,0))),(INDEX(ALLCLASSDATA,MATCH("UnarmedLegendary",CLASSFEATUREHEADERS,0),MATCH(($A876 &amp; "Points"),CLASSNAMEHEADERS,0))),(IF("11"=(INDEX(ALLCLASSDATA,MATCH("UnarmedMaster",CLASSFEATUREHEADERS,0),MATCH($A876,CLASSNAMEHEADERS,0))),(INDEX(ALLCLASSDATA,MATCH("UnarmedMaster",CLASSFEATUREHEADERS,0),MATCH(($A876 &amp; "Points"),CLASSNAMEHEADERS,0))),(IF("11"=(INDEX(ALLCLASSDATA,MATCH("UnarmedExpert",CLASSFEATUREHEADERS,0),MATCH($A876,CLASSNAMEHEADERS,0))),(INDEX(ALLCLASSDATA,MATCH("UnarmedExpert",CLASSFEATUREHEADERS,0),MATCH(($A876 &amp; "Points"),CLASSNAMEHEADERS,0))),(IF("11"=(INDEX(ALLCLASSDATA,MATCH("UnarmedTrained",CLASSFEATUREHEADERS,0),MATCH($A876,CLASSNAMEHEADERS,0))),(INDEX(ALLCLASSDATA,MATCH("UnarmedTrained",CLASSFEATUREHEADERS,0),MATCH(($A876 &amp; "Points"),CLASSNAMEHEADERS,0))),"")))))))))}</f>
        <v>UNARMEDL11</v>
      </c>
      <c r="S875" s="223"/>
      <c r="T875" s="223" t="str">
        <f t="array" ref="T875:T876">{"UNARMEDL13";((IF("13"=(INDEX(ALLCLASSDATA,MATCH("UnarmedLegendary",CLASSFEATUREHEADERS,0),MATCH($A876,CLASSNAMEHEADERS,0))),(INDEX(ALLCLASSDATA,MATCH("UnarmedLegendary",CLASSFEATUREHEADERS,0),MATCH(($A876 &amp; "Points"),CLASSNAMEHEADERS,0))),(IF("13"=(INDEX(ALLCLASSDATA,MATCH("UnarmedMaster",CLASSFEATUREHEADERS,0),MATCH($A876,CLASSNAMEHEADERS,0))),(INDEX(ALLCLASSDATA,MATCH("UnarmedMaster",CLASSFEATUREHEADERS,0),MATCH(($A876 &amp; "Points"),CLASSNAMEHEADERS,0))),(IF("13"=(INDEX(ALLCLASSDATA,MATCH("UnarmedExpert",CLASSFEATUREHEADERS,0),MATCH($A876,CLASSNAMEHEADERS,0))),(INDEX(ALLCLASSDATA,MATCH("UnarmedExpert",CLASSFEATUREHEADERS,0),MATCH(($A876 &amp; "Points"),CLASSNAMEHEADERS,0))),(IF("13"=(INDEX(ALLCLASSDATA,MATCH("UnarmedTrained",CLASSFEATUREHEADERS,0),MATCH($A876,CLASSNAMEHEADERS,0))),(INDEX(ALLCLASSDATA,MATCH("UnarmedTrained",CLASSFEATUREHEADERS,0),MATCH(($A876 &amp; "Points"),CLASSNAMEHEADERS,0))),"")))))))))}</f>
        <v>UNARMEDL13</v>
      </c>
      <c r="U875" s="223"/>
      <c r="V875" s="223" t="str">
        <f t="array" ref="V875:V876">{"UNARMEDL15";((IF("15"=(INDEX(ALLCLASSDATA,MATCH("UnarmedLegendary",CLASSFEATUREHEADERS,0),MATCH($A876,CLASSNAMEHEADERS,0))),(INDEX(ALLCLASSDATA,MATCH("UnarmedLegendary",CLASSFEATUREHEADERS,0),MATCH(($A876 &amp; "Points"),CLASSNAMEHEADERS,0))),(IF("15"=(INDEX(ALLCLASSDATA,MATCH("UnarmedMaster",CLASSFEATUREHEADERS,0),MATCH($A876,CLASSNAMEHEADERS,0))),(INDEX(ALLCLASSDATA,MATCH("UnarmedMaster",CLASSFEATUREHEADERS,0),MATCH(($A876 &amp; "Points"),CLASSNAMEHEADERS,0))),(IF("15"=(INDEX(ALLCLASSDATA,MATCH("UnarmedExpert",CLASSFEATUREHEADERS,0),MATCH($A876,CLASSNAMEHEADERS,0))),(INDEX(ALLCLASSDATA,MATCH("UnarmedExpert",CLASSFEATUREHEADERS,0),MATCH(($A876 &amp; "Points"),CLASSNAMEHEADERS,0))),(IF("15"=(INDEX(ALLCLASSDATA,MATCH("UnarmedTrained",CLASSFEATUREHEADERS,0),MATCH($A876,CLASSNAMEHEADERS,0))),(INDEX(ALLCLASSDATA,MATCH("UnarmedTrained",CLASSFEATUREHEADERS,0),MATCH(($A876 &amp; "Points"),CLASSNAMEHEADERS,0))),"")))))))))}</f>
        <v>UNARMEDL15</v>
      </c>
      <c r="W875" s="223"/>
      <c r="X875" s="223" t="str">
        <f t="array" ref="X875:X876">{"UNARMEDL17";((IF("17"=(INDEX(ALLCLASSDATA,MATCH("UnarmedLegendary",CLASSFEATUREHEADERS,0),MATCH($A876,CLASSNAMEHEADERS,0))),(INDEX(ALLCLASSDATA,MATCH("UnarmedLegendary",CLASSFEATUREHEADERS,0),MATCH(($A876 &amp; "Points"),CLASSNAMEHEADERS,0))),(IF("17"=(INDEX(ALLCLASSDATA,MATCH("UnarmedMaster",CLASSFEATUREHEADERS,0),MATCH($A876,CLASSNAMEHEADERS,0))),(INDEX(ALLCLASSDATA,MATCH("UnarmedMaster",CLASSFEATUREHEADERS,0),MATCH(($A876 &amp; "Points"),CLASSNAMEHEADERS,0))),(IF("17"=(INDEX(ALLCLASSDATA,MATCH("UnarmedExpert",CLASSFEATUREHEADERS,0),MATCH($A876,CLASSNAMEHEADERS,0))),(INDEX(ALLCLASSDATA,MATCH("UnarmedExpert",CLASSFEATUREHEADERS,0),MATCH(($A876 &amp; "Points"),CLASSNAMEHEADERS,0))),(IF("17"=(INDEX(ALLCLASSDATA,MATCH("UnarmedTrained",CLASSFEATUREHEADERS,0),MATCH($A876,CLASSNAMEHEADERS,0))),(INDEX(ALLCLASSDATA,MATCH("UnarmedTrained",CLASSFEATUREHEADERS,0),MATCH(($A876 &amp; "Points"),CLASSNAMEHEADERS,0))),"")))))))))}</f>
        <v>UNARMEDL17</v>
      </c>
      <c r="Y875" s="223"/>
      <c r="Z875" s="223" t="str">
        <f t="array" ref="Z875:Z876">{"UNARMEDL19";((IF("19"=(INDEX(ALLCLASSDATA,MATCH("UnarmedLegendary",CLASSFEATUREHEADERS,0),MATCH($A876,CLASSNAMEHEADERS,0))),(INDEX(ALLCLASSDATA,MATCH("UnarmedLegendary",CLASSFEATUREHEADERS,0),MATCH(($A876 &amp; "Points"),CLASSNAMEHEADERS,0))),(IF("19"=(INDEX(ALLCLASSDATA,MATCH("UnarmedMaster",CLASSFEATUREHEADERS,0),MATCH($A876,CLASSNAMEHEADERS,0))),(INDEX(ALLCLASSDATA,MATCH("UnarmedMaster",CLASSFEATUREHEADERS,0),MATCH(($A876 &amp; "Points"),CLASSNAMEHEADERS,0))),(IF("19"=(INDEX(ALLCLASSDATA,MATCH("UnarmedExpert",CLASSFEATUREHEADERS,0),MATCH($A876,CLASSNAMEHEADERS,0))),(INDEX(ALLCLASSDATA,MATCH("UnarmedExpert",CLASSFEATUREHEADERS,0),MATCH(($A876 &amp; "Points"),CLASSNAMEHEADERS,0))),(IF("19"=(INDEX(ALLCLASSDATA,MATCH("UnarmedTrained",CLASSFEATUREHEADERS,0),MATCH($A876,CLASSNAMEHEADERS,0))),(INDEX(ALLCLASSDATA,MATCH("UnarmedTrained",CLASSFEATUREHEADERS,0),MATCH(($A876 &amp; "Points"),CLASSNAMEHEADERS,0))),"")))))))))}</f>
        <v>UNARMEDL19</v>
      </c>
      <c r="AA875" s="223"/>
      <c r="AB875" s="76" t="str">
        <f t="array" ref="AB875:AB876">{"UNARMED TOTAL";(IF(COUNTBLANK(G876:AA876)=17,"L",(IF(COUNTBLANK(G876:AA876)=18,"M",(IF(COUNTBLANK(G876:AA876)=19,"E",(IF(COUNTBLANK(G876:AA876)=20,"T",""))))))))}</f>
        <v>UNARMED TOTAL</v>
      </c>
      <c r="AC875" s="76" t="str">
        <f t="array" ref="AC875:AC876">{"UNARMED TOTAL";(sum(G876:AA876))}</f>
        <v>UNARMED TOTAL</v>
      </c>
    </row>
    <row r="876">
      <c r="A876" s="48" t="s">
        <v>180</v>
      </c>
      <c r="B876" s="48"/>
      <c r="C876" s="48" t="s">
        <v>413</v>
      </c>
      <c r="D876" s="48" t="s">
        <v>1634</v>
      </c>
      <c r="E876" s="48" t="s">
        <v>257</v>
      </c>
      <c r="F876" s="5" t="s">
        <v>435</v>
      </c>
      <c r="G876" s="47" t="s">
        <v>603</v>
      </c>
      <c r="H876" s="5">
        <v>10.0</v>
      </c>
      <c r="I876" s="5"/>
      <c r="J876" s="5" t="s">
        <v>603</v>
      </c>
      <c r="K876" s="5"/>
      <c r="L876" s="5" t="s">
        <v>436</v>
      </c>
      <c r="M876" s="5"/>
      <c r="N876" s="5" t="s">
        <v>603</v>
      </c>
      <c r="O876" s="5"/>
      <c r="P876" s="5" t="s">
        <v>603</v>
      </c>
      <c r="Q876" s="5"/>
      <c r="R876" s="5" t="s">
        <v>603</v>
      </c>
      <c r="S876" s="5"/>
      <c r="T876" s="5" t="s">
        <v>437</v>
      </c>
      <c r="U876" s="5"/>
      <c r="V876" s="5" t="s">
        <v>603</v>
      </c>
      <c r="W876" s="5"/>
      <c r="X876" s="5" t="s">
        <v>603</v>
      </c>
      <c r="Y876" s="5"/>
      <c r="Z876" s="5" t="s">
        <v>603</v>
      </c>
      <c r="AA876" s="5"/>
      <c r="AB876" s="5" t="s">
        <v>437</v>
      </c>
      <c r="AC876" s="47">
        <v>10.0</v>
      </c>
    </row>
    <row r="877" hidden="1">
      <c r="A877" s="222" t="str">
        <f t="array" ref="A877:A878">{"FormulaRow28";(INDEX(CLASSLIST,A822,1))}</f>
        <v>FormulaRow28</v>
      </c>
      <c r="B877" s="77" t="s">
        <v>236</v>
      </c>
      <c r="C877" s="222" t="str">
        <f t="array" ref="C877:C878">{"CLASSTYPE";((INDEX(ALLCLASSDATA,MATCH("ClassType",CLASSFEATUREHEADERS,0),MATCH($A878,CLASSNAMEHEADERS,0))))}</f>
        <v>CLASSTYPE</v>
      </c>
      <c r="D877" s="222" t="str">
        <f t="array" ref="D877:D878">{"ATTACK";"Attack"}</f>
        <v>ATTACK</v>
      </c>
      <c r="E877" s="222" t="str">
        <f t="array" ref="E877:E878">{"SIMPLELIMITED";"SimpleLimited"}</f>
        <v>SIMPLELIMITED</v>
      </c>
      <c r="F877" s="223" t="str">
        <f t="array" ref="F877:F878">{"SIMPLELIMITEDINITIAL";((IF(H878=10,"T",(IF(H878=50,"E","")))))}</f>
        <v>SIMPLELIMITEDINITIAL</v>
      </c>
      <c r="G877" s="223" t="str">
        <f t="array" ref="G877:G878">{"SIMPLELIMITEDINITIALPTS";((IF("00"=(INDEX(ALLCLASSDATA,MATCH("SimpleLimitedLegendary",CLASSFEATUREHEADERS,0),MATCH($A878,CLASSNAMEHEADERS,0))),(INDEX(ALLCLASSDATA,MATCH("SimpleLimitedLegendary",CLASSFEATUREHEADERS,0),MATCH(($A878 &amp; "Points"),CLASSNAMEHEADERS,0))),(IF("00"=(INDEX(ALLCLASSDATA,MATCH("SimpleLimitedMaster",CLASSFEATUREHEADERS,0),MATCH($A878,CLASSNAMEHEADERS,0))),(INDEX(ALLCLASSDATA,MATCH("SimpleLimitedMaster",CLASSFEATUREHEADERS,0),MATCH(($A878 &amp; "Points"),CLASSNAMEHEADERS,0))),(IF("00"=(INDEX(ALLCLASSDATA,MATCH("SimpleLimitedExpert",CLASSFEATUREHEADERS,0),MATCH($A878,CLASSNAMEHEADERS,0))),(INDEX(ALLCLASSDATA,MATCH("SimpleLimitedExpert",CLASSFEATUREHEADERS,0),MATCH(($A878 &amp; "Points"),CLASSNAMEHEADERS,0))),(IF("00"=(INDEX(ALLCLASSDATA,MATCH("SimpleLimitedTrained",CLASSFEATUREHEADERS,0),MATCH($A878,CLASSNAMEHEADERS,0))),(INDEX(ALLCLASSDATA,MATCH("SimpleLimitedTrained",CLASSFEATUREHEADERS,0),MATCH(($A878 &amp; "Points"),CLASSNAMEHEADERS,0))),"")))))))))}</f>
        <v>SIMPLELIMITEDINITIALPTS</v>
      </c>
      <c r="H877" s="223" t="str">
        <f t="array" ref="H877:H878">{"SIMPLELIMITEDL01";((IF("01"=(INDEX(ALLCLASSDATA,MATCH("SimpleLimitedLegendary",CLASSFEATUREHEADERS,0),MATCH($A878,CLASSNAMEHEADERS,0))),(INDEX(ALLCLASSDATA,MATCH("SimpleLimitedLegendary",CLASSFEATUREHEADERS,0),MATCH(($A878 &amp; "Points"),CLASSNAMEHEADERS,0))),(IF("01"=(INDEX(ALLCLASSDATA,MATCH("SimpleLimitedMaster",CLASSFEATUREHEADERS,0),MATCH($A878,CLASSNAMEHEADERS,0))),(INDEX(ALLCLASSDATA,MATCH("SimpleLimitedMaster",CLASSFEATUREHEADERS,0),MATCH(($A878 &amp; "Points"),CLASSNAMEHEADERS,0))),(IF("01"=(INDEX(ALLCLASSDATA,MATCH("SimpleLimitedExpert",CLASSFEATUREHEADERS,0),MATCH($A878,CLASSNAMEHEADERS,0))),(INDEX(ALLCLASSDATA,MATCH("SimpleLimitedExpert",CLASSFEATUREHEADERS,0),MATCH(($A878 &amp; "Points"),CLASSNAMEHEADERS,0))),(IF("01"=(INDEX(ALLCLASSDATA,MATCH("SimpleLimitedTrained",CLASSFEATUREHEADERS,0),MATCH($A878,CLASSNAMEHEADERS,0))),(INDEX(ALLCLASSDATA,MATCH("SimpleLimitedTrained",CLASSFEATUREHEADERS,0),MATCH(($A878 &amp; "Points"),CLASSNAMEHEADERS,0))),"")))))))))}</f>
        <v>SIMPLELIMITEDL01</v>
      </c>
      <c r="I877" s="223"/>
      <c r="J877" s="223" t="str">
        <f t="array" ref="J877:J878">{"SIMPLELIMITEDL03";((IF("03"=(INDEX(ALLCLASSDATA,MATCH("SimpleLimitedLegendary",CLASSFEATUREHEADERS,0),MATCH($A878,CLASSNAMEHEADERS,0))),(INDEX(ALLCLASSDATA,MATCH("SimpleLimitedLegendary",CLASSFEATUREHEADERS,0),MATCH(($A878 &amp; "Points"),CLASSNAMEHEADERS,0))),(IF("03"=(INDEX(ALLCLASSDATA,MATCH("SimpleLimitedMaster",CLASSFEATUREHEADERS,0),MATCH($A878,CLASSNAMEHEADERS,0))),(INDEX(ALLCLASSDATA,MATCH("SimpleLimitedMaster",CLASSFEATUREHEADERS,0),MATCH(($A878 &amp; "Points"),CLASSNAMEHEADERS,0))),(IF("03"=(INDEX(ALLCLASSDATA,MATCH("SimpleLimitedExpert",CLASSFEATUREHEADERS,0),MATCH($A878,CLASSNAMEHEADERS,0))),(INDEX(ALLCLASSDATA,MATCH("SimpleLimitedExpert",CLASSFEATUREHEADERS,0),MATCH(($A878 &amp; "Points"),CLASSNAMEHEADERS,0))),(IF("03"=(INDEX(ALLCLASSDATA,MATCH("SimpleLimitedTrained",CLASSFEATUREHEADERS,0),MATCH($A878,CLASSNAMEHEADERS,0))),(INDEX(ALLCLASSDATA,MATCH("SimpleLimitedTrained",CLASSFEATUREHEADERS,0),MATCH(($A878 &amp; "Points"),CLASSNAMEHEADERS,0))),"")))))))))}</f>
        <v>SIMPLELIMITEDL03</v>
      </c>
      <c r="K877" s="223"/>
      <c r="L877" s="223" t="str">
        <f t="array" ref="L877:L878">{"SIMPLELIMITEDL05";((IF("05"=(INDEX(ALLCLASSDATA,MATCH("SimpleLimitedLegendary",CLASSFEATUREHEADERS,0),MATCH($A878,CLASSNAMEHEADERS,0))),(INDEX(ALLCLASSDATA,MATCH("SimpleLimitedLegendary",CLASSFEATUREHEADERS,0),MATCH(($A878 &amp; "Points"),CLASSNAMEHEADERS,0))),(IF("05"=(INDEX(ALLCLASSDATA,MATCH("SimpleLimitedMaster",CLASSFEATUREHEADERS,0),MATCH($A878,CLASSNAMEHEADERS,0))),(INDEX(ALLCLASSDATA,MATCH("SimpleLimitedMaster",CLASSFEATUREHEADERS,0),MATCH(($A878 &amp; "Points"),CLASSNAMEHEADERS,0))),(IF("05"=(INDEX(ALLCLASSDATA,MATCH("SimpleLimitedExpert",CLASSFEATUREHEADERS,0),MATCH($A878,CLASSNAMEHEADERS,0))),(INDEX(ALLCLASSDATA,MATCH("SimpleLimitedExpert",CLASSFEATUREHEADERS,0),MATCH(($A878 &amp; "Points"),CLASSNAMEHEADERS,0))),(IF("05"=(INDEX(ALLCLASSDATA,MATCH("SimpleLimitedTrained",CLASSFEATUREHEADERS,0),MATCH($A878,CLASSNAMEHEADERS,0))),(INDEX(ALLCLASSDATA,MATCH("SimpleLimitedTrained",CLASSFEATUREHEADERS,0),MATCH(($A878 &amp; "Points"),CLASSNAMEHEADERS,0))),"")))))))))}</f>
        <v>SIMPLELIMITEDL05</v>
      </c>
      <c r="M877" s="223"/>
      <c r="N877" s="223" t="str">
        <f t="array" ref="N877:N878">{"SIMPLELIMITEDL07";((IF("07"=(INDEX(ALLCLASSDATA,MATCH("SimpleLimitedLegendary",CLASSFEATUREHEADERS,0),MATCH($A878,CLASSNAMEHEADERS,0))),(INDEX(ALLCLASSDATA,MATCH("SimpleLimitedLegendary",CLASSFEATUREHEADERS,0),MATCH(($A878 &amp; "Points"),CLASSNAMEHEADERS,0))),(IF("07"=(INDEX(ALLCLASSDATA,MATCH("SimpleLimitedMaster",CLASSFEATUREHEADERS,0),MATCH($A878,CLASSNAMEHEADERS,0))),(INDEX(ALLCLASSDATA,MATCH("SimpleLimitedMaster",CLASSFEATUREHEADERS,0),MATCH(($A878 &amp; "Points"),CLASSNAMEHEADERS,0))),(IF("07"=(INDEX(ALLCLASSDATA,MATCH("SimpleLimitedExpert",CLASSFEATUREHEADERS,0),MATCH($A878,CLASSNAMEHEADERS,0))),(INDEX(ALLCLASSDATA,MATCH("SimpleLimitedExpert",CLASSFEATUREHEADERS,0),MATCH(($A878 &amp; "Points"),CLASSNAMEHEADERS,0))),(IF("07"=(INDEX(ALLCLASSDATA,MATCH("SimpleLimitedTrained",CLASSFEATUREHEADERS,0),MATCH($A878,CLASSNAMEHEADERS,0))),(INDEX(ALLCLASSDATA,MATCH("SimpleLimitedTrained",CLASSFEATUREHEADERS,0),MATCH(($A878 &amp; "Points"),CLASSNAMEHEADERS,0))),"")))))))))}</f>
        <v>SIMPLELIMITEDL07</v>
      </c>
      <c r="O877" s="223"/>
      <c r="P877" s="223" t="str">
        <f t="array" ref="P877:P878">{"SIMPLELIMITEDL09";((IF("09"=(INDEX(ALLCLASSDATA,MATCH("SimpleLimitedLegendary",CLASSFEATUREHEADERS,0),MATCH($A878,CLASSNAMEHEADERS,0))),(INDEX(ALLCLASSDATA,MATCH("SimpleLimitedLegendary",CLASSFEATUREHEADERS,0),MATCH(($A878 &amp; "Points"),CLASSNAMEHEADERS,0))),(IF("09"=(INDEX(ALLCLASSDATA,MATCH("SimpleLimitedMaster",CLASSFEATUREHEADERS,0),MATCH($A878,CLASSNAMEHEADERS,0))),(INDEX(ALLCLASSDATA,MATCH("SimpleLimitedMaster",CLASSFEATUREHEADERS,0),MATCH(($A878 &amp; "Points"),CLASSNAMEHEADERS,0))),(IF("09"=(INDEX(ALLCLASSDATA,MATCH("SimpleLimitedExpert",CLASSFEATUREHEADERS,0),MATCH($A878,CLASSNAMEHEADERS,0))),(INDEX(ALLCLASSDATA,MATCH("SimpleLimitedExpert",CLASSFEATUREHEADERS,0),MATCH(($A878 &amp; "Points"),CLASSNAMEHEADERS,0))),(IF("09"=(INDEX(ALLCLASSDATA,MATCH("SimpleLimitedTrained",CLASSFEATUREHEADERS,0),MATCH($A878,CLASSNAMEHEADERS,0))),(INDEX(ALLCLASSDATA,MATCH("SimpleLimitedTrained",CLASSFEATUREHEADERS,0),MATCH(($A878 &amp; "Points"),CLASSNAMEHEADERS,0))),"")))))))))}</f>
        <v>SIMPLELIMITEDL09</v>
      </c>
      <c r="Q877" s="223"/>
      <c r="R877" s="223" t="str">
        <f t="array" ref="R877:R878">{"SIMPLELIMITEDL11";((IF("11"=(INDEX(ALLCLASSDATA,MATCH("SimpleLimitedLegendary",CLASSFEATUREHEADERS,0),MATCH($A878,CLASSNAMEHEADERS,0))),(INDEX(ALLCLASSDATA,MATCH("SimpleLimitedLegendary",CLASSFEATUREHEADERS,0),MATCH(($A878 &amp; "Points"),CLASSNAMEHEADERS,0))),(IF("11"=(INDEX(ALLCLASSDATA,MATCH("SimpleLimitedMaster",CLASSFEATUREHEADERS,0),MATCH($A878,CLASSNAMEHEADERS,0))),(INDEX(ALLCLASSDATA,MATCH("SimpleLimitedMaster",CLASSFEATUREHEADERS,0),MATCH(($A878 &amp; "Points"),CLASSNAMEHEADERS,0))),(IF("11"=(INDEX(ALLCLASSDATA,MATCH("SimpleLimitedExpert",CLASSFEATUREHEADERS,0),MATCH($A878,CLASSNAMEHEADERS,0))),(INDEX(ALLCLASSDATA,MATCH("SimpleLimitedExpert",CLASSFEATUREHEADERS,0),MATCH(($A878 &amp; "Points"),CLASSNAMEHEADERS,0))),(IF("11"=(INDEX(ALLCLASSDATA,MATCH("SimpleLimitedTrained",CLASSFEATUREHEADERS,0),MATCH($A878,CLASSNAMEHEADERS,0))),(INDEX(ALLCLASSDATA,MATCH("SimpleLimitedTrained",CLASSFEATUREHEADERS,0),MATCH(($A878 &amp; "Points"),CLASSNAMEHEADERS,0))),"")))))))))}</f>
        <v>SIMPLELIMITEDL11</v>
      </c>
      <c r="S877" s="223"/>
      <c r="T877" s="223" t="str">
        <f t="array" ref="T877:T878">{"SIMPLELIMITEDL13";((IF("13"=(INDEX(ALLCLASSDATA,MATCH("SimpleLimitedLegendary",CLASSFEATUREHEADERS,0),MATCH($A878,CLASSNAMEHEADERS,0))),(INDEX(ALLCLASSDATA,MATCH("SimpleLimitedLegendary",CLASSFEATUREHEADERS,0),MATCH(($A878 &amp; "Points"),CLASSNAMEHEADERS,0))),(IF("13"=(INDEX(ALLCLASSDATA,MATCH("SimpleLimitedMaster",CLASSFEATUREHEADERS,0),MATCH($A878,CLASSNAMEHEADERS,0))),(INDEX(ALLCLASSDATA,MATCH("SimpleLimitedMaster",CLASSFEATUREHEADERS,0),MATCH(($A878 &amp; "Points"),CLASSNAMEHEADERS,0))),(IF("13"=(INDEX(ALLCLASSDATA,MATCH("SimpleLimitedExpert",CLASSFEATUREHEADERS,0),MATCH($A878,CLASSNAMEHEADERS,0))),(INDEX(ALLCLASSDATA,MATCH("SimpleLimitedExpert",CLASSFEATUREHEADERS,0),MATCH(($A878 &amp; "Points"),CLASSNAMEHEADERS,0))),(IF("13"=(INDEX(ALLCLASSDATA,MATCH("SimpleLimitedTrained",CLASSFEATUREHEADERS,0),MATCH($A878,CLASSNAMEHEADERS,0))),(INDEX(ALLCLASSDATA,MATCH("SimpleLimitedTrained",CLASSFEATUREHEADERS,0),MATCH(($A878 &amp; "Points"),CLASSNAMEHEADERS,0))),"")))))))))}</f>
        <v>SIMPLELIMITEDL13</v>
      </c>
      <c r="U877" s="223"/>
      <c r="V877" s="223" t="str">
        <f t="array" ref="V877:V878">{"SIMPLELIMITEDL15";((IF("15"=(INDEX(ALLCLASSDATA,MATCH("SimpleLimitedLegendary",CLASSFEATUREHEADERS,0),MATCH($A878,CLASSNAMEHEADERS,0))),(INDEX(ALLCLASSDATA,MATCH("SimpleLimitedLegendary",CLASSFEATUREHEADERS,0),MATCH(($A878 &amp; "Points"),CLASSNAMEHEADERS,0))),(IF("15"=(INDEX(ALLCLASSDATA,MATCH("SimpleLimitedMaster",CLASSFEATUREHEADERS,0),MATCH($A878,CLASSNAMEHEADERS,0))),(INDEX(ALLCLASSDATA,MATCH("SimpleLimitedMaster",CLASSFEATUREHEADERS,0),MATCH(($A878 &amp; "Points"),CLASSNAMEHEADERS,0))),(IF("15"=(INDEX(ALLCLASSDATA,MATCH("SimpleLimitedExpert",CLASSFEATUREHEADERS,0),MATCH($A878,CLASSNAMEHEADERS,0))),(INDEX(ALLCLASSDATA,MATCH("SimpleLimitedExpert",CLASSFEATUREHEADERS,0),MATCH(($A878 &amp; "Points"),CLASSNAMEHEADERS,0))),(IF("15"=(INDEX(ALLCLASSDATA,MATCH("SimpleLimitedTrained",CLASSFEATUREHEADERS,0),MATCH($A878,CLASSNAMEHEADERS,0))),(INDEX(ALLCLASSDATA,MATCH("SimpleLimitedTrained",CLASSFEATUREHEADERS,0),MATCH(($A878 &amp; "Points"),CLASSNAMEHEADERS,0))),"")))))))))}</f>
        <v>SIMPLELIMITEDL15</v>
      </c>
      <c r="W877" s="223"/>
      <c r="X877" s="223" t="str">
        <f t="array" ref="X877:X878">{"SIMPLELIMITEDL17";((IF("17"=(INDEX(ALLCLASSDATA,MATCH("SimpleLimitedLegendary",CLASSFEATUREHEADERS,0),MATCH($A878,CLASSNAMEHEADERS,0))),(INDEX(ALLCLASSDATA,MATCH("SimpleLimitedLegendary",CLASSFEATUREHEADERS,0),MATCH(($A878 &amp; "Points"),CLASSNAMEHEADERS,0))),(IF("17"=(INDEX(ALLCLASSDATA,MATCH("SimpleLimitedMaster",CLASSFEATUREHEADERS,0),MATCH($A878,CLASSNAMEHEADERS,0))),(INDEX(ALLCLASSDATA,MATCH("SimpleLimitedMaster",CLASSFEATUREHEADERS,0),MATCH(($A878 &amp; "Points"),CLASSNAMEHEADERS,0))),(IF("17"=(INDEX(ALLCLASSDATA,MATCH("SimpleLimitedExpert",CLASSFEATUREHEADERS,0),MATCH($A878,CLASSNAMEHEADERS,0))),(INDEX(ALLCLASSDATA,MATCH("SimpleLimitedExpert",CLASSFEATUREHEADERS,0),MATCH(($A878 &amp; "Points"),CLASSNAMEHEADERS,0))),(IF("17"=(INDEX(ALLCLASSDATA,MATCH("SimpleLimitedTrained",CLASSFEATUREHEADERS,0),MATCH($A878,CLASSNAMEHEADERS,0))),(INDEX(ALLCLASSDATA,MATCH("SimpleLimitedTrained",CLASSFEATUREHEADERS,0),MATCH(($A878 &amp; "Points"),CLASSNAMEHEADERS,0))),"")))))))))}</f>
        <v>SIMPLELIMITEDL17</v>
      </c>
      <c r="Y877" s="223"/>
      <c r="Z877" s="223" t="str">
        <f t="array" ref="Z877:Z878">{"SIMPLELIMITEDL19";((IF("19"=(INDEX(ALLCLASSDATA,MATCH("SimpleLimitedLegendary",CLASSFEATUREHEADERS,0),MATCH($A878,CLASSNAMEHEADERS,0))),(INDEX(ALLCLASSDATA,MATCH("SimpleLimitedLegendary",CLASSFEATUREHEADERS,0),MATCH(($A878 &amp; "Points"),CLASSNAMEHEADERS,0))),(IF("19"=(INDEX(ALLCLASSDATA,MATCH("SimpleLimitedMaster",CLASSFEATUREHEADERS,0),MATCH($A878,CLASSNAMEHEADERS,0))),(INDEX(ALLCLASSDATA,MATCH("SimpleLimitedMaster",CLASSFEATUREHEADERS,0),MATCH(($A878 &amp; "Points"),CLASSNAMEHEADERS,0))),(IF("19"=(INDEX(ALLCLASSDATA,MATCH("SimpleLimitedExpert",CLASSFEATUREHEADERS,0),MATCH($A878,CLASSNAMEHEADERS,0))),(INDEX(ALLCLASSDATA,MATCH("SimpleLimitedExpert",CLASSFEATUREHEADERS,0),MATCH(($A878 &amp; "Points"),CLASSNAMEHEADERS,0))),(IF("19"=(INDEX(ALLCLASSDATA,MATCH("SimpleLimitedTrained",CLASSFEATUREHEADERS,0),MATCH($A878,CLASSNAMEHEADERS,0))),(INDEX(ALLCLASSDATA,MATCH("SimpleLimitedTrained",CLASSFEATUREHEADERS,0),MATCH(($A878 &amp; "Points"),CLASSNAMEHEADERS,0))),"")))))))))}</f>
        <v>SIMPLELIMITEDL19</v>
      </c>
      <c r="AA877" s="223"/>
      <c r="AB877" s="76" t="str">
        <f t="array" ref="AB877:AB878">{"SIMPLELIMITED TOTAL";(IF(COUNTBLANK(G878:AA878)=17,"L",(IF(COUNTBLANK(G878:AA878)=18,"M",(IF(COUNTBLANK(G878:AA878)=19,"E",(IF(COUNTBLANK(G878:AA878)=20,"T",""))))))))}</f>
        <v>SIMPLELIMITED TOTAL</v>
      </c>
      <c r="AC877" s="76" t="str">
        <f t="array" ref="AC877:AC878">{"SIMPLELIMITED TOTAL";(sum(G878:AA878))}</f>
        <v>SIMPLELIMITED TOTAL</v>
      </c>
    </row>
    <row r="878">
      <c r="A878" s="48" t="s">
        <v>180</v>
      </c>
      <c r="B878" s="48"/>
      <c r="C878" s="48" t="s">
        <v>413</v>
      </c>
      <c r="D878" s="48" t="s">
        <v>1634</v>
      </c>
      <c r="E878" s="48" t="s">
        <v>599</v>
      </c>
      <c r="F878" s="5" t="s">
        <v>603</v>
      </c>
      <c r="G878" s="47" t="s">
        <v>435</v>
      </c>
      <c r="H878" s="5" t="s">
        <v>436</v>
      </c>
      <c r="I878" s="5"/>
      <c r="J878" s="5" t="s">
        <v>603</v>
      </c>
      <c r="K878" s="5"/>
      <c r="L878" s="5" t="s">
        <v>437</v>
      </c>
      <c r="M878" s="5"/>
      <c r="N878" s="5" t="s">
        <v>603</v>
      </c>
      <c r="O878" s="5"/>
      <c r="P878" s="5" t="s">
        <v>603</v>
      </c>
      <c r="Q878" s="5"/>
      <c r="R878" s="5" t="s">
        <v>603</v>
      </c>
      <c r="S878" s="5"/>
      <c r="T878" s="5" t="s">
        <v>466</v>
      </c>
      <c r="U878" s="5"/>
      <c r="V878" s="5" t="s">
        <v>603</v>
      </c>
      <c r="W878" s="5"/>
      <c r="X878" s="5" t="s">
        <v>603</v>
      </c>
      <c r="Y878" s="5"/>
      <c r="Z878" s="5" t="s">
        <v>603</v>
      </c>
      <c r="AA878" s="5"/>
      <c r="AB878" s="5" t="s">
        <v>466</v>
      </c>
      <c r="AC878" s="47">
        <v>0.0</v>
      </c>
    </row>
    <row r="879" hidden="1">
      <c r="A879" s="222" t="str">
        <f t="array" ref="A879:A880">{"FormulaRow29";(INDEX(CLASSLIST,A822,1))}</f>
        <v>FormulaRow29</v>
      </c>
      <c r="B879" s="77" t="s">
        <v>236</v>
      </c>
      <c r="C879" s="222" t="str">
        <f t="array" ref="C879:C880">{"CLASSTYPE";((INDEX(ALLCLASSDATA,MATCH("ClassType",CLASSFEATUREHEADERS,0),MATCH($A880,CLASSNAMEHEADERS,0))))}</f>
        <v>CLASSTYPE</v>
      </c>
      <c r="D879" s="222" t="str">
        <f t="array" ref="D879:D880">{"ATTACK";"Attack"}</f>
        <v>ATTACK</v>
      </c>
      <c r="E879" s="222" t="str">
        <f t="array" ref="E879:E880">{"SIMPLE";"Simple"}</f>
        <v>SIMPLE</v>
      </c>
      <c r="F879" s="223" t="str">
        <f t="array" ref="F879:F880">{"SIMPLEINITIAL";((IF(H880=10,"T",(IF(H880=50,"E","")))))}</f>
        <v>SIMPLEINITIAL</v>
      </c>
      <c r="G879" s="223" t="str">
        <f t="array" ref="G879:G880">{"SIMPLEINITIALPTS";((IF("00"=(INDEX(ALLCLASSDATA,MATCH("SimpleLegendary",CLASSFEATUREHEADERS,0),MATCH($A880,CLASSNAMEHEADERS,0))),(INDEX(ALLCLASSDATA,MATCH("SimpleLegendary",CLASSFEATUREHEADERS,0),MATCH(($A880 &amp; "Points"),CLASSNAMEHEADERS,0))),(IF("00"=(INDEX(ALLCLASSDATA,MATCH("SimpleMaster",CLASSFEATUREHEADERS,0),MATCH($A880,CLASSNAMEHEADERS,0))),(INDEX(ALLCLASSDATA,MATCH("SimpleMaster",CLASSFEATUREHEADERS,0),MATCH(($A880 &amp; "Points"),CLASSNAMEHEADERS,0))),(IF("00"=(INDEX(ALLCLASSDATA,MATCH("SimpleExpert",CLASSFEATUREHEADERS,0),MATCH($A880,CLASSNAMEHEADERS,0))),(INDEX(ALLCLASSDATA,MATCH("SimpleExpert",CLASSFEATUREHEADERS,0),MATCH(($A880 &amp; "Points"),CLASSNAMEHEADERS,0))),(IF("00"=(INDEX(ALLCLASSDATA,MATCH("SimpleTrained",CLASSFEATUREHEADERS,0),MATCH($A880,CLASSNAMEHEADERS,0))),(INDEX(ALLCLASSDATA,MATCH("SimpleTrained",CLASSFEATUREHEADERS,0),MATCH(($A880 &amp; "Points"),CLASSNAMEHEADERS,0))),"")))))))))}</f>
        <v>SIMPLEINITIALPTS</v>
      </c>
      <c r="H879" s="223" t="str">
        <f t="array" ref="H879:H880">{"SIMPLEL01";((IF("01"=(INDEX(ALLCLASSDATA,MATCH("SimpleLegendary",CLASSFEATUREHEADERS,0),MATCH($A880,CLASSNAMEHEADERS,0))),(INDEX(ALLCLASSDATA,MATCH("SimpleLegendary",CLASSFEATUREHEADERS,0),MATCH(($A880 &amp; "Points"),CLASSNAMEHEADERS,0))),(IF("01"=(INDEX(ALLCLASSDATA,MATCH("SimpleMaster",CLASSFEATUREHEADERS,0),MATCH($A880,CLASSNAMEHEADERS,0))),(INDEX(ALLCLASSDATA,MATCH("SimpleMaster",CLASSFEATUREHEADERS,0),MATCH(($A880 &amp; "Points"),CLASSNAMEHEADERS,0))),(IF("01"=(INDEX(ALLCLASSDATA,MATCH("SimpleExpert",CLASSFEATUREHEADERS,0),MATCH($A880,CLASSNAMEHEADERS,0))),(INDEX(ALLCLASSDATA,MATCH("SimpleExpert",CLASSFEATUREHEADERS,0),MATCH(($A880 &amp; "Points"),CLASSNAMEHEADERS,0))),(IF("01"=(INDEX(ALLCLASSDATA,MATCH("SimpleTrained",CLASSFEATUREHEADERS,0),MATCH($A880,CLASSNAMEHEADERS,0))),(INDEX(ALLCLASSDATA,MATCH("SimpleTrained",CLASSFEATUREHEADERS,0),MATCH(($A880 &amp; "Points"),CLASSNAMEHEADERS,0))),"")))))))))}</f>
        <v>SIMPLEL01</v>
      </c>
      <c r="I879" s="223"/>
      <c r="J879" s="223" t="str">
        <f t="array" ref="J879:J880">{"SIMPLEL03";((IF("03"=(INDEX(ALLCLASSDATA,MATCH("SimpleLegendary",CLASSFEATUREHEADERS,0),MATCH($A880,CLASSNAMEHEADERS,0))),(INDEX(ALLCLASSDATA,MATCH("SimpleLegendary",CLASSFEATUREHEADERS,0),MATCH(($A880 &amp; "Points"),CLASSNAMEHEADERS,0))),(IF("03"=(INDEX(ALLCLASSDATA,MATCH("SimpleMaster",CLASSFEATUREHEADERS,0),MATCH($A880,CLASSNAMEHEADERS,0))),(INDEX(ALLCLASSDATA,MATCH("SimpleMaster",CLASSFEATUREHEADERS,0),MATCH(($A880 &amp; "Points"),CLASSNAMEHEADERS,0))),(IF("03"=(INDEX(ALLCLASSDATA,MATCH("SimpleExpert",CLASSFEATUREHEADERS,0),MATCH($A880,CLASSNAMEHEADERS,0))),(INDEX(ALLCLASSDATA,MATCH("SimpleExpert",CLASSFEATUREHEADERS,0),MATCH(($A880 &amp; "Points"),CLASSNAMEHEADERS,0))),(IF("03"=(INDEX(ALLCLASSDATA,MATCH("SimpleTrained",CLASSFEATUREHEADERS,0),MATCH($A880,CLASSNAMEHEADERS,0))),(INDEX(ALLCLASSDATA,MATCH("SimpleTrained",CLASSFEATUREHEADERS,0),MATCH(($A880 &amp; "Points"),CLASSNAMEHEADERS,0))),"")))))))))}</f>
        <v>SIMPLEL03</v>
      </c>
      <c r="K879" s="223"/>
      <c r="L879" s="223" t="str">
        <f t="array" ref="L879:L880">{"SIMPLEL05";((IF("05"=(INDEX(ALLCLASSDATA,MATCH("SimpleLegendary",CLASSFEATUREHEADERS,0),MATCH($A880,CLASSNAMEHEADERS,0))),(INDEX(ALLCLASSDATA,MATCH("SimpleLegendary",CLASSFEATUREHEADERS,0),MATCH(($A880 &amp; "Points"),CLASSNAMEHEADERS,0))),(IF("05"=(INDEX(ALLCLASSDATA,MATCH("SimpleMaster",CLASSFEATUREHEADERS,0),MATCH($A880,CLASSNAMEHEADERS,0))),(INDEX(ALLCLASSDATA,MATCH("SimpleMaster",CLASSFEATUREHEADERS,0),MATCH(($A880 &amp; "Points"),CLASSNAMEHEADERS,0))),(IF("05"=(INDEX(ALLCLASSDATA,MATCH("SimpleExpert",CLASSFEATUREHEADERS,0),MATCH($A880,CLASSNAMEHEADERS,0))),(INDEX(ALLCLASSDATA,MATCH("SimpleExpert",CLASSFEATUREHEADERS,0),MATCH(($A880 &amp; "Points"),CLASSNAMEHEADERS,0))),(IF("05"=(INDEX(ALLCLASSDATA,MATCH("SimpleTrained",CLASSFEATUREHEADERS,0),MATCH($A880,CLASSNAMEHEADERS,0))),(INDEX(ALLCLASSDATA,MATCH("SimpleTrained",CLASSFEATUREHEADERS,0),MATCH(($A880 &amp; "Points"),CLASSNAMEHEADERS,0))),"")))))))))}</f>
        <v>SIMPLEL05</v>
      </c>
      <c r="M879" s="223"/>
      <c r="N879" s="223" t="str">
        <f t="array" ref="N879:N880">{"SIMPLEL07";((IF("07"=(INDEX(ALLCLASSDATA,MATCH("SimpleLegendary",CLASSFEATUREHEADERS,0),MATCH($A880,CLASSNAMEHEADERS,0))),(INDEX(ALLCLASSDATA,MATCH("SimpleLegendary",CLASSFEATUREHEADERS,0),MATCH(($A880 &amp; "Points"),CLASSNAMEHEADERS,0))),(IF("07"=(INDEX(ALLCLASSDATA,MATCH("SimpleMaster",CLASSFEATUREHEADERS,0),MATCH($A880,CLASSNAMEHEADERS,0))),(INDEX(ALLCLASSDATA,MATCH("SimpleMaster",CLASSFEATUREHEADERS,0),MATCH(($A880 &amp; "Points"),CLASSNAMEHEADERS,0))),(IF("07"=(INDEX(ALLCLASSDATA,MATCH("SimpleExpert",CLASSFEATUREHEADERS,0),MATCH($A880,CLASSNAMEHEADERS,0))),(INDEX(ALLCLASSDATA,MATCH("SimpleExpert",CLASSFEATUREHEADERS,0),MATCH(($A880 &amp; "Points"),CLASSNAMEHEADERS,0))),(IF("07"=(INDEX(ALLCLASSDATA,MATCH("SimpleTrained",CLASSFEATUREHEADERS,0),MATCH($A880,CLASSNAMEHEADERS,0))),(INDEX(ALLCLASSDATA,MATCH("SimpleTrained",CLASSFEATUREHEADERS,0),MATCH(($A880 &amp; "Points"),CLASSNAMEHEADERS,0))),"")))))))))}</f>
        <v>SIMPLEL07</v>
      </c>
      <c r="O879" s="223"/>
      <c r="P879" s="223" t="str">
        <f t="array" ref="P879:P880">{"SIMPLEL09";((IF("09"=(INDEX(ALLCLASSDATA,MATCH("SimpleLegendary",CLASSFEATUREHEADERS,0),MATCH($A880,CLASSNAMEHEADERS,0))),(INDEX(ALLCLASSDATA,MATCH("SimpleLegendary",CLASSFEATUREHEADERS,0),MATCH(($A880 &amp; "Points"),CLASSNAMEHEADERS,0))),(IF("09"=(INDEX(ALLCLASSDATA,MATCH("SimpleMaster",CLASSFEATUREHEADERS,0),MATCH($A880,CLASSNAMEHEADERS,0))),(INDEX(ALLCLASSDATA,MATCH("SimpleMaster",CLASSFEATUREHEADERS,0),MATCH(($A880 &amp; "Points"),CLASSNAMEHEADERS,0))),(IF("09"=(INDEX(ALLCLASSDATA,MATCH("SimpleExpert",CLASSFEATUREHEADERS,0),MATCH($A880,CLASSNAMEHEADERS,0))),(INDEX(ALLCLASSDATA,MATCH("SimpleExpert",CLASSFEATUREHEADERS,0),MATCH(($A880 &amp; "Points"),CLASSNAMEHEADERS,0))),(IF("09"=(INDEX(ALLCLASSDATA,MATCH("SimpleTrained",CLASSFEATUREHEADERS,0),MATCH($A880,CLASSNAMEHEADERS,0))),(INDEX(ALLCLASSDATA,MATCH("SimpleTrained",CLASSFEATUREHEADERS,0),MATCH(($A880 &amp; "Points"),CLASSNAMEHEADERS,0))),"")))))))))}</f>
        <v>SIMPLEL09</v>
      </c>
      <c r="Q879" s="223"/>
      <c r="R879" s="223" t="str">
        <f t="array" ref="R879:R880">{"SIMPLEL11";((IF("11"=(INDEX(ALLCLASSDATA,MATCH("SimpleLegendary",CLASSFEATUREHEADERS,0),MATCH($A880,CLASSNAMEHEADERS,0))),(INDEX(ALLCLASSDATA,MATCH("SimpleLegendary",CLASSFEATUREHEADERS,0),MATCH(($A880 &amp; "Points"),CLASSNAMEHEADERS,0))),(IF("11"=(INDEX(ALLCLASSDATA,MATCH("SimpleMaster",CLASSFEATUREHEADERS,0),MATCH($A880,CLASSNAMEHEADERS,0))),(INDEX(ALLCLASSDATA,MATCH("SimpleMaster",CLASSFEATUREHEADERS,0),MATCH(($A880 &amp; "Points"),CLASSNAMEHEADERS,0))),(IF("11"=(INDEX(ALLCLASSDATA,MATCH("SimpleExpert",CLASSFEATUREHEADERS,0),MATCH($A880,CLASSNAMEHEADERS,0))),(INDEX(ALLCLASSDATA,MATCH("SimpleExpert",CLASSFEATUREHEADERS,0),MATCH(($A880 &amp; "Points"),CLASSNAMEHEADERS,0))),(IF("11"=(INDEX(ALLCLASSDATA,MATCH("SimpleTrained",CLASSFEATUREHEADERS,0),MATCH($A880,CLASSNAMEHEADERS,0))),(INDEX(ALLCLASSDATA,MATCH("SimpleTrained",CLASSFEATUREHEADERS,0),MATCH(($A880 &amp; "Points"),CLASSNAMEHEADERS,0))),"")))))))))}</f>
        <v>SIMPLEL11</v>
      </c>
      <c r="S879" s="223"/>
      <c r="T879" s="223" t="str">
        <f t="array" ref="T879:T880">{"SIMPLEL13";((IF("13"=(INDEX(ALLCLASSDATA,MATCH("SimpleLegendary",CLASSFEATUREHEADERS,0),MATCH($A880,CLASSNAMEHEADERS,0))),(INDEX(ALLCLASSDATA,MATCH("SimpleLegendary",CLASSFEATUREHEADERS,0),MATCH(($A880 &amp; "Points"),CLASSNAMEHEADERS,0))),(IF("13"=(INDEX(ALLCLASSDATA,MATCH("SimpleMaster",CLASSFEATUREHEADERS,0),MATCH($A880,CLASSNAMEHEADERS,0))),(INDEX(ALLCLASSDATA,MATCH("SimpleMaster",CLASSFEATUREHEADERS,0),MATCH(($A880 &amp; "Points"),CLASSNAMEHEADERS,0))),(IF("13"=(INDEX(ALLCLASSDATA,MATCH("SimpleExpert",CLASSFEATUREHEADERS,0),MATCH($A880,CLASSNAMEHEADERS,0))),(INDEX(ALLCLASSDATA,MATCH("SimpleExpert",CLASSFEATUREHEADERS,0),MATCH(($A880 &amp; "Points"),CLASSNAMEHEADERS,0))),(IF("13"=(INDEX(ALLCLASSDATA,MATCH("SimpleTrained",CLASSFEATUREHEADERS,0),MATCH($A880,CLASSNAMEHEADERS,0))),(INDEX(ALLCLASSDATA,MATCH("SimpleTrained",CLASSFEATUREHEADERS,0),MATCH(($A880 &amp; "Points"),CLASSNAMEHEADERS,0))),"")))))))))}</f>
        <v>SIMPLEL13</v>
      </c>
      <c r="U879" s="223"/>
      <c r="V879" s="223" t="str">
        <f t="array" ref="V879:V880">{"SIMPLEL15";((IF("15"=(INDEX(ALLCLASSDATA,MATCH("SimpleLegendary",CLASSFEATUREHEADERS,0),MATCH($A880,CLASSNAMEHEADERS,0))),(INDEX(ALLCLASSDATA,MATCH("SimpleLegendary",CLASSFEATUREHEADERS,0),MATCH(($A880 &amp; "Points"),CLASSNAMEHEADERS,0))),(IF("15"=(INDEX(ALLCLASSDATA,MATCH("SimpleMaster",CLASSFEATUREHEADERS,0),MATCH($A880,CLASSNAMEHEADERS,0))),(INDEX(ALLCLASSDATA,MATCH("SimpleMaster",CLASSFEATUREHEADERS,0),MATCH(($A880 &amp; "Points"),CLASSNAMEHEADERS,0))),(IF("15"=(INDEX(ALLCLASSDATA,MATCH("SimpleExpert",CLASSFEATUREHEADERS,0),MATCH($A880,CLASSNAMEHEADERS,0))),(INDEX(ALLCLASSDATA,MATCH("SimpleExpert",CLASSFEATUREHEADERS,0),MATCH(($A880 &amp; "Points"),CLASSNAMEHEADERS,0))),(IF("15"=(INDEX(ALLCLASSDATA,MATCH("SimpleTrained",CLASSFEATUREHEADERS,0),MATCH($A880,CLASSNAMEHEADERS,0))),(INDEX(ALLCLASSDATA,MATCH("SimpleTrained",CLASSFEATUREHEADERS,0),MATCH(($A880 &amp; "Points"),CLASSNAMEHEADERS,0))),"")))))))))}</f>
        <v>SIMPLEL15</v>
      </c>
      <c r="W879" s="223"/>
      <c r="X879" s="223" t="str">
        <f t="array" ref="X879:X880">{"SIMPLEL17";((IF("17"=(INDEX(ALLCLASSDATA,MATCH("SimpleLegendary",CLASSFEATUREHEADERS,0),MATCH($A880,CLASSNAMEHEADERS,0))),(INDEX(ALLCLASSDATA,MATCH("SimpleLegendary",CLASSFEATUREHEADERS,0),MATCH(($A880 &amp; "Points"),CLASSNAMEHEADERS,0))),(IF("17"=(INDEX(ALLCLASSDATA,MATCH("SimpleMaster",CLASSFEATUREHEADERS,0),MATCH($A880,CLASSNAMEHEADERS,0))),(INDEX(ALLCLASSDATA,MATCH("SimpleMaster",CLASSFEATUREHEADERS,0),MATCH(($A880 &amp; "Points"),CLASSNAMEHEADERS,0))),(IF("17"=(INDEX(ALLCLASSDATA,MATCH("SimpleExpert",CLASSFEATUREHEADERS,0),MATCH($A880,CLASSNAMEHEADERS,0))),(INDEX(ALLCLASSDATA,MATCH("SimpleExpert",CLASSFEATUREHEADERS,0),MATCH(($A880 &amp; "Points"),CLASSNAMEHEADERS,0))),(IF("17"=(INDEX(ALLCLASSDATA,MATCH("SimpleTrained",CLASSFEATUREHEADERS,0),MATCH($A880,CLASSNAMEHEADERS,0))),(INDEX(ALLCLASSDATA,MATCH("SimpleTrained",CLASSFEATUREHEADERS,0),MATCH(($A880 &amp; "Points"),CLASSNAMEHEADERS,0))),"")))))))))}</f>
        <v>SIMPLEL17</v>
      </c>
      <c r="Y879" s="223"/>
      <c r="Z879" s="223" t="str">
        <f t="array" ref="Z879:Z880">{"SIMPLEL19";((IF("19"=(INDEX(ALLCLASSDATA,MATCH("SimpleLegendary",CLASSFEATUREHEADERS,0),MATCH($A880,CLASSNAMEHEADERS,0))),(INDEX(ALLCLASSDATA,MATCH("SimpleLegendary",CLASSFEATUREHEADERS,0),MATCH(($A880 &amp; "Points"),CLASSNAMEHEADERS,0))),(IF("19"=(INDEX(ALLCLASSDATA,MATCH("SimpleMaster",CLASSFEATUREHEADERS,0),MATCH($A880,CLASSNAMEHEADERS,0))),(INDEX(ALLCLASSDATA,MATCH("SimpleMaster",CLASSFEATUREHEADERS,0),MATCH(($A880 &amp; "Points"),CLASSNAMEHEADERS,0))),(IF("19"=(INDEX(ALLCLASSDATA,MATCH("SimpleExpert",CLASSFEATUREHEADERS,0),MATCH($A880,CLASSNAMEHEADERS,0))),(INDEX(ALLCLASSDATA,MATCH("SimpleExpert",CLASSFEATUREHEADERS,0),MATCH(($A880 &amp; "Points"),CLASSNAMEHEADERS,0))),(IF("19"=(INDEX(ALLCLASSDATA,MATCH("SimpleTrained",CLASSFEATUREHEADERS,0),MATCH($A880,CLASSNAMEHEADERS,0))),(INDEX(ALLCLASSDATA,MATCH("SimpleTrained",CLASSFEATUREHEADERS,0),MATCH(($A880 &amp; "Points"),CLASSNAMEHEADERS,0))),"")))))))))}</f>
        <v>SIMPLEL19</v>
      </c>
      <c r="AA879" s="223"/>
      <c r="AB879" s="76" t="str">
        <f t="array" ref="AB879:AB880">{"SIMPLE TOTAL";(IF(COUNTBLANK(G880:AA880)=17,"L",(IF(COUNTBLANK(G880:AA880)=18,"M",(IF(COUNTBLANK(G880:AA880)=19,"E",(IF(COUNTBLANK(G880:AA880)=20,"T",""))))))))}</f>
        <v>SIMPLE TOTAL</v>
      </c>
      <c r="AC879" s="76" t="str">
        <f t="array" ref="AC879:AC880">{"SIMPLE TOTAL";(sum(G880:AA880))}</f>
        <v>SIMPLE TOTAL</v>
      </c>
    </row>
    <row r="880">
      <c r="A880" s="48" t="s">
        <v>180</v>
      </c>
      <c r="B880" s="48"/>
      <c r="C880" s="48" t="s">
        <v>413</v>
      </c>
      <c r="D880" s="48" t="s">
        <v>1634</v>
      </c>
      <c r="E880" s="48" t="s">
        <v>68</v>
      </c>
      <c r="F880" s="5" t="s">
        <v>435</v>
      </c>
      <c r="G880" s="47" t="s">
        <v>603</v>
      </c>
      <c r="H880" s="5">
        <v>10.0</v>
      </c>
      <c r="I880" s="5"/>
      <c r="J880" s="5" t="s">
        <v>603</v>
      </c>
      <c r="K880" s="5"/>
      <c r="L880" s="5" t="s">
        <v>436</v>
      </c>
      <c r="M880" s="5"/>
      <c r="N880" s="5" t="s">
        <v>603</v>
      </c>
      <c r="O880" s="5"/>
      <c r="P880" s="5" t="s">
        <v>603</v>
      </c>
      <c r="Q880" s="5"/>
      <c r="R880" s="5" t="s">
        <v>603</v>
      </c>
      <c r="S880" s="5"/>
      <c r="T880" s="5" t="s">
        <v>437</v>
      </c>
      <c r="U880" s="5"/>
      <c r="V880" s="5" t="s">
        <v>603</v>
      </c>
      <c r="W880" s="5"/>
      <c r="X880" s="5" t="s">
        <v>603</v>
      </c>
      <c r="Y880" s="5"/>
      <c r="Z880" s="5" t="s">
        <v>603</v>
      </c>
      <c r="AA880" s="5"/>
      <c r="AB880" s="5" t="s">
        <v>437</v>
      </c>
      <c r="AC880" s="47">
        <v>10.0</v>
      </c>
    </row>
    <row r="881" hidden="1">
      <c r="A881" s="222" t="str">
        <f t="array" ref="A881:A882">{"FormulaRow30";(INDEX(CLASSLIST,A822,1))}</f>
        <v>FormulaRow30</v>
      </c>
      <c r="B881" s="77" t="s">
        <v>236</v>
      </c>
      <c r="C881" s="222" t="str">
        <f t="array" ref="C881:C882">{"CLASSTYPE";((INDEX(ALLCLASSDATA,MATCH("ClassType",CLASSFEATUREHEADERS,0),MATCH($A882,CLASSNAMEHEADERS,0))))}</f>
        <v>CLASSTYPE</v>
      </c>
      <c r="D881" s="222" t="str">
        <f t="array" ref="D881:D882">{"ATTACK";"Attack"}</f>
        <v>ATTACK</v>
      </c>
      <c r="E881" s="222" t="str">
        <f t="array" ref="E881:E882">{"MARTIALLIMITED";"MartialLimited"}</f>
        <v>MARTIALLIMITED</v>
      </c>
      <c r="F881" s="223" t="str">
        <f t="array" ref="F881:F882">{"MARTIALLIMITEDINITIAL";((IF(H882=10,"T",(IF(H882=50,"E","")))))}</f>
        <v>MARTIALLIMITEDINITIAL</v>
      </c>
      <c r="G881" s="223" t="str">
        <f t="array" ref="G881:G882">{"MARTIALLIMITEDINITIALPTS";((IF("00"=(INDEX(ALLCLASSDATA,MATCH("MartialLimitedLegendary",CLASSFEATUREHEADERS,0),MATCH($A882,CLASSNAMEHEADERS,0))),(INDEX(ALLCLASSDATA,MATCH("MartialLimitedLegendary",CLASSFEATUREHEADERS,0),MATCH(($A882 &amp; "Points"),CLASSNAMEHEADERS,0))),(IF("00"=(INDEX(ALLCLASSDATA,MATCH("MartialLimitedMaster",CLASSFEATUREHEADERS,0),MATCH($A882,CLASSNAMEHEADERS,0))),(INDEX(ALLCLASSDATA,MATCH("MartialLimitedMaster",CLASSFEATUREHEADERS,0),MATCH(($A882 &amp; "Points"),CLASSNAMEHEADERS,0))),(IF("00"=(INDEX(ALLCLASSDATA,MATCH("MartialLimitedExpert",CLASSFEATUREHEADERS,0),MATCH($A882,CLASSNAMEHEADERS,0))),(INDEX(ALLCLASSDATA,MATCH("MartialLimitedExpert",CLASSFEATUREHEADERS,0),MATCH(($A882 &amp; "Points"),CLASSNAMEHEADERS,0))),(IF("00"=(INDEX(ALLCLASSDATA,MATCH("MartialLimitedTrained",CLASSFEATUREHEADERS,0),MATCH($A882,CLASSNAMEHEADERS,0))),(INDEX(ALLCLASSDATA,MATCH("MartialLimitedTrained",CLASSFEATUREHEADERS,0),MATCH(($A882 &amp; "Points"),CLASSNAMEHEADERS,0))),"")))))))))}</f>
        <v>MARTIALLIMITEDINITIALPTS</v>
      </c>
      <c r="H881" s="223" t="str">
        <f t="array" ref="H881:H882">{"MARTIALLIMITEDL01";((IF("01"=(INDEX(ALLCLASSDATA,MATCH("MartialLimitedLegendary",CLASSFEATUREHEADERS,0),MATCH($A882,CLASSNAMEHEADERS,0))),(INDEX(ALLCLASSDATA,MATCH("MartialLimitedLegendary",CLASSFEATUREHEADERS,0),MATCH(($A882 &amp; "Points"),CLASSNAMEHEADERS,0))),(IF("01"=(INDEX(ALLCLASSDATA,MATCH("MartialLimitedMaster",CLASSFEATUREHEADERS,0),MATCH($A882,CLASSNAMEHEADERS,0))),(INDEX(ALLCLASSDATA,MATCH("MartialLimitedMaster",CLASSFEATUREHEADERS,0),MATCH(($A882 &amp; "Points"),CLASSNAMEHEADERS,0))),(IF("01"=(INDEX(ALLCLASSDATA,MATCH("MartialLimitedExpert",CLASSFEATUREHEADERS,0),MATCH($A882,CLASSNAMEHEADERS,0))),(INDEX(ALLCLASSDATA,MATCH("MartialLimitedExpert",CLASSFEATUREHEADERS,0),MATCH(($A882 &amp; "Points"),CLASSNAMEHEADERS,0))),(IF("01"=(INDEX(ALLCLASSDATA,MATCH("MartialLimitedTrained",CLASSFEATUREHEADERS,0),MATCH($A882,CLASSNAMEHEADERS,0))),(INDEX(ALLCLASSDATA,MATCH("MartialLimitedTrained",CLASSFEATUREHEADERS,0),MATCH(($A882 &amp; "Points"),CLASSNAMEHEADERS,0))),"")))))))))}</f>
        <v>MARTIALLIMITEDL01</v>
      </c>
      <c r="I881" s="223"/>
      <c r="J881" s="223" t="str">
        <f t="array" ref="J881:J882">{"MARTIALLIMITEDL03";((IF("03"=(INDEX(ALLCLASSDATA,MATCH("MartialLimitedLegendary",CLASSFEATUREHEADERS,0),MATCH($A882,CLASSNAMEHEADERS,0))),(INDEX(ALLCLASSDATA,MATCH("MartialLimitedLegendary",CLASSFEATUREHEADERS,0),MATCH(($A882 &amp; "Points"),CLASSNAMEHEADERS,0))),(IF("03"=(INDEX(ALLCLASSDATA,MATCH("MartialLimitedMaster",CLASSFEATUREHEADERS,0),MATCH($A882,CLASSNAMEHEADERS,0))),(INDEX(ALLCLASSDATA,MATCH("MartialLimitedMaster",CLASSFEATUREHEADERS,0),MATCH(($A882 &amp; "Points"),CLASSNAMEHEADERS,0))),(IF("03"=(INDEX(ALLCLASSDATA,MATCH("MartialLimitedExpert",CLASSFEATUREHEADERS,0),MATCH($A882,CLASSNAMEHEADERS,0))),(INDEX(ALLCLASSDATA,MATCH("MartialLimitedExpert",CLASSFEATUREHEADERS,0),MATCH(($A882 &amp; "Points"),CLASSNAMEHEADERS,0))),(IF("03"=(INDEX(ALLCLASSDATA,MATCH("MartialLimitedTrained",CLASSFEATUREHEADERS,0),MATCH($A882,CLASSNAMEHEADERS,0))),(INDEX(ALLCLASSDATA,MATCH("MartialLimitedTrained",CLASSFEATUREHEADERS,0),MATCH(($A882 &amp; "Points"),CLASSNAMEHEADERS,0))),"")))))))))}</f>
        <v>MARTIALLIMITEDL03</v>
      </c>
      <c r="K881" s="223"/>
      <c r="L881" s="223" t="str">
        <f t="array" ref="L881:L882">{"MARTIALLIMITEDL05";((IF("05"=(INDEX(ALLCLASSDATA,MATCH("MartialLimitedLegendary",CLASSFEATUREHEADERS,0),MATCH($A882,CLASSNAMEHEADERS,0))),(INDEX(ALLCLASSDATA,MATCH("MartialLimitedLegendary",CLASSFEATUREHEADERS,0),MATCH(($A882 &amp; "Points"),CLASSNAMEHEADERS,0))),(IF("05"=(INDEX(ALLCLASSDATA,MATCH("MartialLimitedMaster",CLASSFEATUREHEADERS,0),MATCH($A882,CLASSNAMEHEADERS,0))),(INDEX(ALLCLASSDATA,MATCH("MartialLimitedMaster",CLASSFEATUREHEADERS,0),MATCH(($A882 &amp; "Points"),CLASSNAMEHEADERS,0))),(IF("05"=(INDEX(ALLCLASSDATA,MATCH("MartialLimitedExpert",CLASSFEATUREHEADERS,0),MATCH($A882,CLASSNAMEHEADERS,0))),(INDEX(ALLCLASSDATA,MATCH("MartialLimitedExpert",CLASSFEATUREHEADERS,0),MATCH(($A882 &amp; "Points"),CLASSNAMEHEADERS,0))),(IF("05"=(INDEX(ALLCLASSDATA,MATCH("MartialLimitedTrained",CLASSFEATUREHEADERS,0),MATCH($A882,CLASSNAMEHEADERS,0))),(INDEX(ALLCLASSDATA,MATCH("MartialLimitedTrained",CLASSFEATUREHEADERS,0),MATCH(($A882 &amp; "Points"),CLASSNAMEHEADERS,0))),"")))))))))}</f>
        <v>MARTIALLIMITEDL05</v>
      </c>
      <c r="M881" s="223"/>
      <c r="N881" s="223" t="str">
        <f t="array" ref="N881:N882">{"MARTIALLIMITEDL07";((IF("07"=(INDEX(ALLCLASSDATA,MATCH("MartialLimitedLegendary",CLASSFEATUREHEADERS,0),MATCH($A882,CLASSNAMEHEADERS,0))),(INDEX(ALLCLASSDATA,MATCH("MartialLimitedLegendary",CLASSFEATUREHEADERS,0),MATCH(($A882 &amp; "Points"),CLASSNAMEHEADERS,0))),(IF("07"=(INDEX(ALLCLASSDATA,MATCH("MartialLimitedMaster",CLASSFEATUREHEADERS,0),MATCH($A882,CLASSNAMEHEADERS,0))),(INDEX(ALLCLASSDATA,MATCH("MartialLimitedMaster",CLASSFEATUREHEADERS,0),MATCH(($A882 &amp; "Points"),CLASSNAMEHEADERS,0))),(IF("07"=(INDEX(ALLCLASSDATA,MATCH("MartialLimitedExpert",CLASSFEATUREHEADERS,0),MATCH($A882,CLASSNAMEHEADERS,0))),(INDEX(ALLCLASSDATA,MATCH("MartialLimitedExpert",CLASSFEATUREHEADERS,0),MATCH(($A882 &amp; "Points"),CLASSNAMEHEADERS,0))),(IF("07"=(INDEX(ALLCLASSDATA,MATCH("MartialLimitedTrained",CLASSFEATUREHEADERS,0),MATCH($A882,CLASSNAMEHEADERS,0))),(INDEX(ALLCLASSDATA,MATCH("MartialLimitedTrained",CLASSFEATUREHEADERS,0),MATCH(($A882 &amp; "Points"),CLASSNAMEHEADERS,0))),"")))))))))}</f>
        <v>MARTIALLIMITEDL07</v>
      </c>
      <c r="O881" s="223"/>
      <c r="P881" s="223" t="str">
        <f t="array" ref="P881:P882">{"MARTIALLIMITEDL09";((IF("09"=(INDEX(ALLCLASSDATA,MATCH("MartialLimitedLegendary",CLASSFEATUREHEADERS,0),MATCH($A882,CLASSNAMEHEADERS,0))),(INDEX(ALLCLASSDATA,MATCH("MartialLimitedLegendary",CLASSFEATUREHEADERS,0),MATCH(($A882 &amp; "Points"),CLASSNAMEHEADERS,0))),(IF("09"=(INDEX(ALLCLASSDATA,MATCH("MartialLimitedMaster",CLASSFEATUREHEADERS,0),MATCH($A882,CLASSNAMEHEADERS,0))),(INDEX(ALLCLASSDATA,MATCH("MartialLimitedMaster",CLASSFEATUREHEADERS,0),MATCH(($A882 &amp; "Points"),CLASSNAMEHEADERS,0))),(IF("09"=(INDEX(ALLCLASSDATA,MATCH("MartialLimitedExpert",CLASSFEATUREHEADERS,0),MATCH($A882,CLASSNAMEHEADERS,0))),(INDEX(ALLCLASSDATA,MATCH("MartialLimitedExpert",CLASSFEATUREHEADERS,0),MATCH(($A882 &amp; "Points"),CLASSNAMEHEADERS,0))),(IF("09"=(INDEX(ALLCLASSDATA,MATCH("MartialLimitedTrained",CLASSFEATUREHEADERS,0),MATCH($A882,CLASSNAMEHEADERS,0))),(INDEX(ALLCLASSDATA,MATCH("MartialLimitedTrained",CLASSFEATUREHEADERS,0),MATCH(($A882 &amp; "Points"),CLASSNAMEHEADERS,0))),"")))))))))}</f>
        <v>MARTIALLIMITEDL09</v>
      </c>
      <c r="Q881" s="223"/>
      <c r="R881" s="223" t="str">
        <f t="array" ref="R881:R882">{"MARTIALLIMITEDL11";((IF("11"=(INDEX(ALLCLASSDATA,MATCH("MartialLimitedLegendary",CLASSFEATUREHEADERS,0),MATCH($A882,CLASSNAMEHEADERS,0))),(INDEX(ALLCLASSDATA,MATCH("MartialLimitedLegendary",CLASSFEATUREHEADERS,0),MATCH(($A882 &amp; "Points"),CLASSNAMEHEADERS,0))),(IF("11"=(INDEX(ALLCLASSDATA,MATCH("MartialLimitedMaster",CLASSFEATUREHEADERS,0),MATCH($A882,CLASSNAMEHEADERS,0))),(INDEX(ALLCLASSDATA,MATCH("MartialLimitedMaster",CLASSFEATUREHEADERS,0),MATCH(($A882 &amp; "Points"),CLASSNAMEHEADERS,0))),(IF("11"=(INDEX(ALLCLASSDATA,MATCH("MartialLimitedExpert",CLASSFEATUREHEADERS,0),MATCH($A882,CLASSNAMEHEADERS,0))),(INDEX(ALLCLASSDATA,MATCH("MartialLimitedExpert",CLASSFEATUREHEADERS,0),MATCH(($A882 &amp; "Points"),CLASSNAMEHEADERS,0))),(IF("11"=(INDEX(ALLCLASSDATA,MATCH("MartialLimitedTrained",CLASSFEATUREHEADERS,0),MATCH($A882,CLASSNAMEHEADERS,0))),(INDEX(ALLCLASSDATA,MATCH("MartialLimitedTrained",CLASSFEATUREHEADERS,0),MATCH(($A882 &amp; "Points"),CLASSNAMEHEADERS,0))),"")))))))))}</f>
        <v>MARTIALLIMITEDL11</v>
      </c>
      <c r="S881" s="223"/>
      <c r="T881" s="223" t="str">
        <f t="array" ref="T881:T882">{"MARTIALLIMITEDL13";((IF("13"=(INDEX(ALLCLASSDATA,MATCH("MartialLimitedLegendary",CLASSFEATUREHEADERS,0),MATCH($A882,CLASSNAMEHEADERS,0))),(INDEX(ALLCLASSDATA,MATCH("MartialLimitedLegendary",CLASSFEATUREHEADERS,0),MATCH(($A882 &amp; "Points"),CLASSNAMEHEADERS,0))),(IF("13"=(INDEX(ALLCLASSDATA,MATCH("MartialLimitedMaster",CLASSFEATUREHEADERS,0),MATCH($A882,CLASSNAMEHEADERS,0))),(INDEX(ALLCLASSDATA,MATCH("MartialLimitedMaster",CLASSFEATUREHEADERS,0),MATCH(($A882 &amp; "Points"),CLASSNAMEHEADERS,0))),(IF("13"=(INDEX(ALLCLASSDATA,MATCH("MartialLimitedExpert",CLASSFEATUREHEADERS,0),MATCH($A882,CLASSNAMEHEADERS,0))),(INDEX(ALLCLASSDATA,MATCH("MartialLimitedExpert",CLASSFEATUREHEADERS,0),MATCH(($A882 &amp; "Points"),CLASSNAMEHEADERS,0))),(IF("13"=(INDEX(ALLCLASSDATA,MATCH("MartialLimitedTrained",CLASSFEATUREHEADERS,0),MATCH($A882,CLASSNAMEHEADERS,0))),(INDEX(ALLCLASSDATA,MATCH("MartialLimitedTrained",CLASSFEATUREHEADERS,0),MATCH(($A882 &amp; "Points"),CLASSNAMEHEADERS,0))),"")))))))))}</f>
        <v>MARTIALLIMITEDL13</v>
      </c>
      <c r="U881" s="223"/>
      <c r="V881" s="223" t="str">
        <f t="array" ref="V881:V882">{"MARTIALLIMITEDL15";((IF("15"=(INDEX(ALLCLASSDATA,MATCH("MartialLimitedLegendary",CLASSFEATUREHEADERS,0),MATCH($A882,CLASSNAMEHEADERS,0))),(INDEX(ALLCLASSDATA,MATCH("MartialLimitedLegendary",CLASSFEATUREHEADERS,0),MATCH(($A882 &amp; "Points"),CLASSNAMEHEADERS,0))),(IF("15"=(INDEX(ALLCLASSDATA,MATCH("MartialLimitedMaster",CLASSFEATUREHEADERS,0),MATCH($A882,CLASSNAMEHEADERS,0))),(INDEX(ALLCLASSDATA,MATCH("MartialLimitedMaster",CLASSFEATUREHEADERS,0),MATCH(($A882 &amp; "Points"),CLASSNAMEHEADERS,0))),(IF("15"=(INDEX(ALLCLASSDATA,MATCH("MartialLimitedExpert",CLASSFEATUREHEADERS,0),MATCH($A882,CLASSNAMEHEADERS,0))),(INDEX(ALLCLASSDATA,MATCH("MartialLimitedExpert",CLASSFEATUREHEADERS,0),MATCH(($A882 &amp; "Points"),CLASSNAMEHEADERS,0))),(IF("15"=(INDEX(ALLCLASSDATA,MATCH("MartialLimitedTrained",CLASSFEATUREHEADERS,0),MATCH($A882,CLASSNAMEHEADERS,0))),(INDEX(ALLCLASSDATA,MATCH("MartialLimitedTrained",CLASSFEATUREHEADERS,0),MATCH(($A882 &amp; "Points"),CLASSNAMEHEADERS,0))),"")))))))))}</f>
        <v>MARTIALLIMITEDL15</v>
      </c>
      <c r="W881" s="223"/>
      <c r="X881" s="223" t="str">
        <f t="array" ref="X881:X882">{"MARTIALLIMITEDL17";((IF("17"=(INDEX(ALLCLASSDATA,MATCH("MartialLimitedLegendary",CLASSFEATUREHEADERS,0),MATCH($A882,CLASSNAMEHEADERS,0))),(INDEX(ALLCLASSDATA,MATCH("MartialLimitedLegendary",CLASSFEATUREHEADERS,0),MATCH(($A882 &amp; "Points"),CLASSNAMEHEADERS,0))),(IF("17"=(INDEX(ALLCLASSDATA,MATCH("MartialLimitedMaster",CLASSFEATUREHEADERS,0),MATCH($A882,CLASSNAMEHEADERS,0))),(INDEX(ALLCLASSDATA,MATCH("MartialLimitedMaster",CLASSFEATUREHEADERS,0),MATCH(($A882 &amp; "Points"),CLASSNAMEHEADERS,0))),(IF("17"=(INDEX(ALLCLASSDATA,MATCH("MartialLimitedExpert",CLASSFEATUREHEADERS,0),MATCH($A882,CLASSNAMEHEADERS,0))),(INDEX(ALLCLASSDATA,MATCH("MartialLimitedExpert",CLASSFEATUREHEADERS,0),MATCH(($A882 &amp; "Points"),CLASSNAMEHEADERS,0))),(IF("17"=(INDEX(ALLCLASSDATA,MATCH("MartialLimitedTrained",CLASSFEATUREHEADERS,0),MATCH($A882,CLASSNAMEHEADERS,0))),(INDEX(ALLCLASSDATA,MATCH("MartialLimitedTrained",CLASSFEATUREHEADERS,0),MATCH(($A882 &amp; "Points"),CLASSNAMEHEADERS,0))),"")))))))))}</f>
        <v>MARTIALLIMITEDL17</v>
      </c>
      <c r="Y881" s="223"/>
      <c r="Z881" s="223" t="str">
        <f t="array" ref="Z881:Z882">{"MARTIALLIMITEDL19";((IF("19"=(INDEX(ALLCLASSDATA,MATCH("MartialLimitedLegendary",CLASSFEATUREHEADERS,0),MATCH($A882,CLASSNAMEHEADERS,0))),(INDEX(ALLCLASSDATA,MATCH("MartialLimitedLegendary",CLASSFEATUREHEADERS,0),MATCH(($A882 &amp; "Points"),CLASSNAMEHEADERS,0))),(IF("19"=(INDEX(ALLCLASSDATA,MATCH("MartialLimitedMaster",CLASSFEATUREHEADERS,0),MATCH($A882,CLASSNAMEHEADERS,0))),(INDEX(ALLCLASSDATA,MATCH("MartialLimitedMaster",CLASSFEATUREHEADERS,0),MATCH(($A882 &amp; "Points"),CLASSNAMEHEADERS,0))),(IF("19"=(INDEX(ALLCLASSDATA,MATCH("MartialLimitedExpert",CLASSFEATUREHEADERS,0),MATCH($A882,CLASSNAMEHEADERS,0))),(INDEX(ALLCLASSDATA,MATCH("MartialLimitedExpert",CLASSFEATUREHEADERS,0),MATCH(($A882 &amp; "Points"),CLASSNAMEHEADERS,0))),(IF("19"=(INDEX(ALLCLASSDATA,MATCH("MartialLimitedTrained",CLASSFEATUREHEADERS,0),MATCH($A882,CLASSNAMEHEADERS,0))),(INDEX(ALLCLASSDATA,MATCH("MartialLimitedTrained",CLASSFEATUREHEADERS,0),MATCH(($A882 &amp; "Points"),CLASSNAMEHEADERS,0))),"")))))))))}</f>
        <v>MARTIALLIMITEDL19</v>
      </c>
      <c r="AA881" s="223"/>
      <c r="AB881" s="76" t="str">
        <f t="array" ref="AB881:AB882">{"MARTIALLIMITED TOTAL";(IF(COUNTBLANK(G882:AA882)=17,"L",(IF(COUNTBLANK(G882:AA882)=18,"M",(IF(COUNTBLANK(G882:AA882)=19,"E",(IF(COUNTBLANK(G882:AA882)=20,"T",""))))))))}</f>
        <v>MARTIALLIMITED TOTAL</v>
      </c>
      <c r="AC881" s="76" t="str">
        <f t="array" ref="AC881:AC882">{"MARTIALLIMITED TOTAL";(sum(G882:AA882))}</f>
        <v>MARTIALLIMITED TOTAL</v>
      </c>
    </row>
    <row r="882">
      <c r="A882" s="48" t="s">
        <v>180</v>
      </c>
      <c r="B882" s="48"/>
      <c r="C882" s="48" t="s">
        <v>413</v>
      </c>
      <c r="D882" s="48" t="s">
        <v>1634</v>
      </c>
      <c r="E882" s="48" t="s">
        <v>600</v>
      </c>
      <c r="F882" s="5" t="s">
        <v>436</v>
      </c>
      <c r="G882" s="47" t="s">
        <v>435</v>
      </c>
      <c r="H882" s="5">
        <v>50.0</v>
      </c>
      <c r="I882" s="5"/>
      <c r="J882" s="5" t="s">
        <v>603</v>
      </c>
      <c r="K882" s="5"/>
      <c r="L882" s="5">
        <v>110.0</v>
      </c>
      <c r="M882" s="5"/>
      <c r="N882" s="5" t="s">
        <v>603</v>
      </c>
      <c r="O882" s="5"/>
      <c r="P882" s="5" t="s">
        <v>603</v>
      </c>
      <c r="Q882" s="5"/>
      <c r="R882" s="5" t="s">
        <v>603</v>
      </c>
      <c r="S882" s="5"/>
      <c r="T882" s="5">
        <v>190.0</v>
      </c>
      <c r="U882" s="5"/>
      <c r="V882" s="5" t="s">
        <v>603</v>
      </c>
      <c r="W882" s="5"/>
      <c r="X882" s="5" t="s">
        <v>603</v>
      </c>
      <c r="Y882" s="5"/>
      <c r="Z882" s="5" t="s">
        <v>603</v>
      </c>
      <c r="AA882" s="5"/>
      <c r="AB882" s="5" t="s">
        <v>466</v>
      </c>
      <c r="AC882" s="47">
        <v>350.0</v>
      </c>
    </row>
    <row r="883" hidden="1">
      <c r="A883" s="222" t="str">
        <f t="array" ref="A883:A884">{"FormulaRow31";(INDEX(CLASSLIST,A822,1))}</f>
        <v>FormulaRow31</v>
      </c>
      <c r="B883" s="77" t="s">
        <v>236</v>
      </c>
      <c r="C883" s="222" t="str">
        <f t="array" ref="C883:C884">{"CLASSTYPE";((INDEX(ALLCLASSDATA,MATCH("ClassType",CLASSFEATUREHEADERS,0),MATCH($A884,CLASSNAMEHEADERS,0))))}</f>
        <v>CLASSTYPE</v>
      </c>
      <c r="D883" s="222" t="str">
        <f t="array" ref="D883:D884">{"ATTACK";"Attack"}</f>
        <v>ATTACK</v>
      </c>
      <c r="E883" s="222" t="str">
        <f t="array" ref="E883:E884">{"MARTIAL";"Martial"}</f>
        <v>MARTIAL</v>
      </c>
      <c r="F883" s="223" t="str">
        <f t="array" ref="F883:F884">{"MARTIALINITIAL";((IF(H884=10,"T",(IF(H884=50,"E","")))))}</f>
        <v>MARTIALINITIAL</v>
      </c>
      <c r="G883" s="223" t="str">
        <f t="array" ref="G883:G884">{"MARTIALINITIALPTS";((IF("00"=(INDEX(ALLCLASSDATA,MATCH("MartialLegendary",CLASSFEATUREHEADERS,0),MATCH($A884,CLASSNAMEHEADERS,0))),(INDEX(ALLCLASSDATA,MATCH("MartialLegendary",CLASSFEATUREHEADERS,0),MATCH(($A884 &amp; "Points"),CLASSNAMEHEADERS,0))),(IF("00"=(INDEX(ALLCLASSDATA,MATCH("MartialMaster",CLASSFEATUREHEADERS,0),MATCH($A884,CLASSNAMEHEADERS,0))),(INDEX(ALLCLASSDATA,MATCH("MartialMaster",CLASSFEATUREHEADERS,0),MATCH(($A884 &amp; "Points"),CLASSNAMEHEADERS,0))),(IF("00"=(INDEX(ALLCLASSDATA,MATCH("MartialExpert",CLASSFEATUREHEADERS,0),MATCH($A884,CLASSNAMEHEADERS,0))),(INDEX(ALLCLASSDATA,MATCH("MartialExpert",CLASSFEATUREHEADERS,0),MATCH(($A884 &amp; "Points"),CLASSNAMEHEADERS,0))),(IF("00"=(INDEX(ALLCLASSDATA,MATCH("MartialTrained",CLASSFEATUREHEADERS,0),MATCH($A884,CLASSNAMEHEADERS,0))),(INDEX(ALLCLASSDATA,MATCH("MartialTrained",CLASSFEATUREHEADERS,0),MATCH(($A884 &amp; "Points"),CLASSNAMEHEADERS,0))),"")))))))))}</f>
        <v>MARTIALINITIALPTS</v>
      </c>
      <c r="H883" s="223" t="str">
        <f t="array" ref="H883:H884">{"MARTIALL01";((IF("01"=(INDEX(ALLCLASSDATA,MATCH("MartialLegendary",CLASSFEATUREHEADERS,0),MATCH($A884,CLASSNAMEHEADERS,0))),(INDEX(ALLCLASSDATA,MATCH("MartialLegendary",CLASSFEATUREHEADERS,0),MATCH(($A884 &amp; "Points"),CLASSNAMEHEADERS,0))),(IF("01"=(INDEX(ALLCLASSDATA,MATCH("MartialMaster",CLASSFEATUREHEADERS,0),MATCH($A884,CLASSNAMEHEADERS,0))),(INDEX(ALLCLASSDATA,MATCH("MartialMaster",CLASSFEATUREHEADERS,0),MATCH(($A884 &amp; "Points"),CLASSNAMEHEADERS,0))),(IF("01"=(INDEX(ALLCLASSDATA,MATCH("MartialExpert",CLASSFEATUREHEADERS,0),MATCH($A884,CLASSNAMEHEADERS,0))),(INDEX(ALLCLASSDATA,MATCH("MartialExpert",CLASSFEATUREHEADERS,0),MATCH(($A884 &amp; "Points"),CLASSNAMEHEADERS,0))),(IF("01"=(INDEX(ALLCLASSDATA,MATCH("MartialTrained",CLASSFEATUREHEADERS,0),MATCH($A884,CLASSNAMEHEADERS,0))),(INDEX(ALLCLASSDATA,MATCH("MartialTrained",CLASSFEATUREHEADERS,0),MATCH(($A884 &amp; "Points"),CLASSNAMEHEADERS,0))),"")))))))))}</f>
        <v>MARTIALL01</v>
      </c>
      <c r="I883" s="223"/>
      <c r="J883" s="223" t="str">
        <f t="array" ref="J883:J884">{"MARTIALL03";((IF("03"=(INDEX(ALLCLASSDATA,MATCH("MartialLegendary",CLASSFEATUREHEADERS,0),MATCH($A884,CLASSNAMEHEADERS,0))),(INDEX(ALLCLASSDATA,MATCH("MartialLegendary",CLASSFEATUREHEADERS,0),MATCH(($A884 &amp; "Points"),CLASSNAMEHEADERS,0))),(IF("03"=(INDEX(ALLCLASSDATA,MATCH("MartialMaster",CLASSFEATUREHEADERS,0),MATCH($A884,CLASSNAMEHEADERS,0))),(INDEX(ALLCLASSDATA,MATCH("MartialMaster",CLASSFEATUREHEADERS,0),MATCH(($A884 &amp; "Points"),CLASSNAMEHEADERS,0))),(IF("03"=(INDEX(ALLCLASSDATA,MATCH("MartialExpert",CLASSFEATUREHEADERS,0),MATCH($A884,CLASSNAMEHEADERS,0))),(INDEX(ALLCLASSDATA,MATCH("MartialExpert",CLASSFEATUREHEADERS,0),MATCH(($A884 &amp; "Points"),CLASSNAMEHEADERS,0))),(IF("03"=(INDEX(ALLCLASSDATA,MATCH("MartialTrained",CLASSFEATUREHEADERS,0),MATCH($A884,CLASSNAMEHEADERS,0))),(INDEX(ALLCLASSDATA,MATCH("MartialTrained",CLASSFEATUREHEADERS,0),MATCH(($A884 &amp; "Points"),CLASSNAMEHEADERS,0))),"")))))))))}</f>
        <v>MARTIALL03</v>
      </c>
      <c r="K883" s="223"/>
      <c r="L883" s="223" t="str">
        <f t="array" ref="L883:L884">{"MARTIALL05";((IF("05"=(INDEX(ALLCLASSDATA,MATCH("MartialLegendary",CLASSFEATUREHEADERS,0),MATCH($A884,CLASSNAMEHEADERS,0))),(INDEX(ALLCLASSDATA,MATCH("MartialLegendary",CLASSFEATUREHEADERS,0),MATCH(($A884 &amp; "Points"),CLASSNAMEHEADERS,0))),(IF("05"=(INDEX(ALLCLASSDATA,MATCH("MartialMaster",CLASSFEATUREHEADERS,0),MATCH($A884,CLASSNAMEHEADERS,0))),(INDEX(ALLCLASSDATA,MATCH("MartialMaster",CLASSFEATUREHEADERS,0),MATCH(($A884 &amp; "Points"),CLASSNAMEHEADERS,0))),(IF("05"=(INDEX(ALLCLASSDATA,MATCH("MartialExpert",CLASSFEATUREHEADERS,0),MATCH($A884,CLASSNAMEHEADERS,0))),(INDEX(ALLCLASSDATA,MATCH("MartialExpert",CLASSFEATUREHEADERS,0),MATCH(($A884 &amp; "Points"),CLASSNAMEHEADERS,0))),(IF("05"=(INDEX(ALLCLASSDATA,MATCH("MartialTrained",CLASSFEATUREHEADERS,0),MATCH($A884,CLASSNAMEHEADERS,0))),(INDEX(ALLCLASSDATA,MATCH("MartialTrained",CLASSFEATUREHEADERS,0),MATCH(($A884 &amp; "Points"),CLASSNAMEHEADERS,0))),"")))))))))}</f>
        <v>MARTIALL05</v>
      </c>
      <c r="M883" s="223"/>
      <c r="N883" s="223" t="str">
        <f t="array" ref="N883:N884">{"MARTIALL07";((IF("07"=(INDEX(ALLCLASSDATA,MATCH("MartialLegendary",CLASSFEATUREHEADERS,0),MATCH($A884,CLASSNAMEHEADERS,0))),(INDEX(ALLCLASSDATA,MATCH("MartialLegendary",CLASSFEATUREHEADERS,0),MATCH(($A884 &amp; "Points"),CLASSNAMEHEADERS,0))),(IF("07"=(INDEX(ALLCLASSDATA,MATCH("MartialMaster",CLASSFEATUREHEADERS,0),MATCH($A884,CLASSNAMEHEADERS,0))),(INDEX(ALLCLASSDATA,MATCH("MartialMaster",CLASSFEATUREHEADERS,0),MATCH(($A884 &amp; "Points"),CLASSNAMEHEADERS,0))),(IF("07"=(INDEX(ALLCLASSDATA,MATCH("MartialExpert",CLASSFEATUREHEADERS,0),MATCH($A884,CLASSNAMEHEADERS,0))),(INDEX(ALLCLASSDATA,MATCH("MartialExpert",CLASSFEATUREHEADERS,0),MATCH(($A884 &amp; "Points"),CLASSNAMEHEADERS,0))),(IF("07"=(INDEX(ALLCLASSDATA,MATCH("MartialTrained",CLASSFEATUREHEADERS,0),MATCH($A884,CLASSNAMEHEADERS,0))),(INDEX(ALLCLASSDATA,MATCH("MartialTrained",CLASSFEATUREHEADERS,0),MATCH(($A884 &amp; "Points"),CLASSNAMEHEADERS,0))),"")))))))))}</f>
        <v>MARTIALL07</v>
      </c>
      <c r="O883" s="223"/>
      <c r="P883" s="223" t="str">
        <f t="array" ref="P883:P884">{"MARTIALL09";((IF("09"=(INDEX(ALLCLASSDATA,MATCH("MartialLegendary",CLASSFEATUREHEADERS,0),MATCH($A884,CLASSNAMEHEADERS,0))),(INDEX(ALLCLASSDATA,MATCH("MartialLegendary",CLASSFEATUREHEADERS,0),MATCH(($A884 &amp; "Points"),CLASSNAMEHEADERS,0))),(IF("09"=(INDEX(ALLCLASSDATA,MATCH("MartialMaster",CLASSFEATUREHEADERS,0),MATCH($A884,CLASSNAMEHEADERS,0))),(INDEX(ALLCLASSDATA,MATCH("MartialMaster",CLASSFEATUREHEADERS,0),MATCH(($A884 &amp; "Points"),CLASSNAMEHEADERS,0))),(IF("09"=(INDEX(ALLCLASSDATA,MATCH("MartialExpert",CLASSFEATUREHEADERS,0),MATCH($A884,CLASSNAMEHEADERS,0))),(INDEX(ALLCLASSDATA,MATCH("MartialExpert",CLASSFEATUREHEADERS,0),MATCH(($A884 &amp; "Points"),CLASSNAMEHEADERS,0))),(IF("09"=(INDEX(ALLCLASSDATA,MATCH("MartialTrained",CLASSFEATUREHEADERS,0),MATCH($A884,CLASSNAMEHEADERS,0))),(INDEX(ALLCLASSDATA,MATCH("MartialTrained",CLASSFEATUREHEADERS,0),MATCH(($A884 &amp; "Points"),CLASSNAMEHEADERS,0))),"")))))))))}</f>
        <v>MARTIALL09</v>
      </c>
      <c r="Q883" s="223"/>
      <c r="R883" s="223" t="str">
        <f t="array" ref="R883:R884">{"MARTIALL11";((IF("11"=(INDEX(ALLCLASSDATA,MATCH("MartialLegendary",CLASSFEATUREHEADERS,0),MATCH($A884,CLASSNAMEHEADERS,0))),(INDEX(ALLCLASSDATA,MATCH("MartialLegendary",CLASSFEATUREHEADERS,0),MATCH(($A884 &amp; "Points"),CLASSNAMEHEADERS,0))),(IF("11"=(INDEX(ALLCLASSDATA,MATCH("MartialMaster",CLASSFEATUREHEADERS,0),MATCH($A884,CLASSNAMEHEADERS,0))),(INDEX(ALLCLASSDATA,MATCH("MartialMaster",CLASSFEATUREHEADERS,0),MATCH(($A884 &amp; "Points"),CLASSNAMEHEADERS,0))),(IF("11"=(INDEX(ALLCLASSDATA,MATCH("MartialExpert",CLASSFEATUREHEADERS,0),MATCH($A884,CLASSNAMEHEADERS,0))),(INDEX(ALLCLASSDATA,MATCH("MartialExpert",CLASSFEATUREHEADERS,0),MATCH(($A884 &amp; "Points"),CLASSNAMEHEADERS,0))),(IF("11"=(INDEX(ALLCLASSDATA,MATCH("MartialTrained",CLASSFEATUREHEADERS,0),MATCH($A884,CLASSNAMEHEADERS,0))),(INDEX(ALLCLASSDATA,MATCH("MartialTrained",CLASSFEATUREHEADERS,0),MATCH(($A884 &amp; "Points"),CLASSNAMEHEADERS,0))),"")))))))))}</f>
        <v>MARTIALL11</v>
      </c>
      <c r="S883" s="223"/>
      <c r="T883" s="223" t="str">
        <f t="array" ref="T883:T884">{"MARTIALL13";((IF("13"=(INDEX(ALLCLASSDATA,MATCH("MartialLegendary",CLASSFEATUREHEADERS,0),MATCH($A884,CLASSNAMEHEADERS,0))),(INDEX(ALLCLASSDATA,MATCH("MartialLegendary",CLASSFEATUREHEADERS,0),MATCH(($A884 &amp; "Points"),CLASSNAMEHEADERS,0))),(IF("13"=(INDEX(ALLCLASSDATA,MATCH("MartialMaster",CLASSFEATUREHEADERS,0),MATCH($A884,CLASSNAMEHEADERS,0))),(INDEX(ALLCLASSDATA,MATCH("MartialMaster",CLASSFEATUREHEADERS,0),MATCH(($A884 &amp; "Points"),CLASSNAMEHEADERS,0))),(IF("13"=(INDEX(ALLCLASSDATA,MATCH("MartialExpert",CLASSFEATUREHEADERS,0),MATCH($A884,CLASSNAMEHEADERS,0))),(INDEX(ALLCLASSDATA,MATCH("MartialExpert",CLASSFEATUREHEADERS,0),MATCH(($A884 &amp; "Points"),CLASSNAMEHEADERS,0))),(IF("13"=(INDEX(ALLCLASSDATA,MATCH("MartialTrained",CLASSFEATUREHEADERS,0),MATCH($A884,CLASSNAMEHEADERS,0))),(INDEX(ALLCLASSDATA,MATCH("MartialTrained",CLASSFEATUREHEADERS,0),MATCH(($A884 &amp; "Points"),CLASSNAMEHEADERS,0))),"")))))))))}</f>
        <v>MARTIALL13</v>
      </c>
      <c r="U883" s="223"/>
      <c r="V883" s="223" t="str">
        <f t="array" ref="V883:V884">{"MARTIALL15";((IF("15"=(INDEX(ALLCLASSDATA,MATCH("MartialLegendary",CLASSFEATUREHEADERS,0),MATCH($A884,CLASSNAMEHEADERS,0))),(INDEX(ALLCLASSDATA,MATCH("MartialLegendary",CLASSFEATUREHEADERS,0),MATCH(($A884 &amp; "Points"),CLASSNAMEHEADERS,0))),(IF("15"=(INDEX(ALLCLASSDATA,MATCH("MartialMaster",CLASSFEATUREHEADERS,0),MATCH($A884,CLASSNAMEHEADERS,0))),(INDEX(ALLCLASSDATA,MATCH("MartialMaster",CLASSFEATUREHEADERS,0),MATCH(($A884 &amp; "Points"),CLASSNAMEHEADERS,0))),(IF("15"=(INDEX(ALLCLASSDATA,MATCH("MartialExpert",CLASSFEATUREHEADERS,0),MATCH($A884,CLASSNAMEHEADERS,0))),(INDEX(ALLCLASSDATA,MATCH("MartialExpert",CLASSFEATUREHEADERS,0),MATCH(($A884 &amp; "Points"),CLASSNAMEHEADERS,0))),(IF("15"=(INDEX(ALLCLASSDATA,MATCH("MartialTrained",CLASSFEATUREHEADERS,0),MATCH($A884,CLASSNAMEHEADERS,0))),(INDEX(ALLCLASSDATA,MATCH("MartialTrained",CLASSFEATUREHEADERS,0),MATCH(($A884 &amp; "Points"),CLASSNAMEHEADERS,0))),"")))))))))}</f>
        <v>MARTIALL15</v>
      </c>
      <c r="W883" s="223"/>
      <c r="X883" s="223" t="str">
        <f t="array" ref="X883:X884">{"MARTIALL17";((IF("17"=(INDEX(ALLCLASSDATA,MATCH("MartialLegendary",CLASSFEATUREHEADERS,0),MATCH($A884,CLASSNAMEHEADERS,0))),(INDEX(ALLCLASSDATA,MATCH("MartialLegendary",CLASSFEATUREHEADERS,0),MATCH(($A884 &amp; "Points"),CLASSNAMEHEADERS,0))),(IF("17"=(INDEX(ALLCLASSDATA,MATCH("MartialMaster",CLASSFEATUREHEADERS,0),MATCH($A884,CLASSNAMEHEADERS,0))),(INDEX(ALLCLASSDATA,MATCH("MartialMaster",CLASSFEATUREHEADERS,0),MATCH(($A884 &amp; "Points"),CLASSNAMEHEADERS,0))),(IF("17"=(INDEX(ALLCLASSDATA,MATCH("MartialExpert",CLASSFEATUREHEADERS,0),MATCH($A884,CLASSNAMEHEADERS,0))),(INDEX(ALLCLASSDATA,MATCH("MartialExpert",CLASSFEATUREHEADERS,0),MATCH(($A884 &amp; "Points"),CLASSNAMEHEADERS,0))),(IF("17"=(INDEX(ALLCLASSDATA,MATCH("MartialTrained",CLASSFEATUREHEADERS,0),MATCH($A884,CLASSNAMEHEADERS,0))),(INDEX(ALLCLASSDATA,MATCH("MartialTrained",CLASSFEATUREHEADERS,0),MATCH(($A884 &amp; "Points"),CLASSNAMEHEADERS,0))),"")))))))))}</f>
        <v>MARTIALL17</v>
      </c>
      <c r="Y883" s="223"/>
      <c r="Z883" s="223" t="str">
        <f t="array" ref="Z883:Z884">{"MARTIALL19";((IF("19"=(INDEX(ALLCLASSDATA,MATCH("MartialLegendary",CLASSFEATUREHEADERS,0),MATCH($A884,CLASSNAMEHEADERS,0))),(INDEX(ALLCLASSDATA,MATCH("MartialLegendary",CLASSFEATUREHEADERS,0),MATCH(($A884 &amp; "Points"),CLASSNAMEHEADERS,0))),(IF("19"=(INDEX(ALLCLASSDATA,MATCH("MartialMaster",CLASSFEATUREHEADERS,0),MATCH($A884,CLASSNAMEHEADERS,0))),(INDEX(ALLCLASSDATA,MATCH("MartialMaster",CLASSFEATUREHEADERS,0),MATCH(($A884 &amp; "Points"),CLASSNAMEHEADERS,0))),(IF("19"=(INDEX(ALLCLASSDATA,MATCH("MartialExpert",CLASSFEATUREHEADERS,0),MATCH($A884,CLASSNAMEHEADERS,0))),(INDEX(ALLCLASSDATA,MATCH("MartialExpert",CLASSFEATUREHEADERS,0),MATCH(($A884 &amp; "Points"),CLASSNAMEHEADERS,0))),(IF("19"=(INDEX(ALLCLASSDATA,MATCH("MartialTrained",CLASSFEATUREHEADERS,0),MATCH($A884,CLASSNAMEHEADERS,0))),(INDEX(ALLCLASSDATA,MATCH("MartialTrained",CLASSFEATUREHEADERS,0),MATCH(($A884 &amp; "Points"),CLASSNAMEHEADERS,0))),"")))))))))}</f>
        <v>MARTIALL19</v>
      </c>
      <c r="AA883" s="223"/>
      <c r="AB883" s="76" t="str">
        <f t="array" ref="AB883:AB884">{"MARTIAL TOTAL";(IF(COUNTBLANK(G884:AA884)=17,"L",(IF(COUNTBLANK(G884:AA884)=18,"M",(IF(COUNTBLANK(G884:AA884)=19,"E",(IF(COUNTBLANK(G884:AA884)=20,"T",""))))))))}</f>
        <v>MARTIAL TOTAL</v>
      </c>
      <c r="AC883" s="76" t="str">
        <f t="array" ref="AC883:AC884">{"MARTIAL TOTAL";(sum(G884:AA884))}</f>
        <v>MARTIAL TOTAL</v>
      </c>
    </row>
    <row r="884">
      <c r="A884" s="48" t="s">
        <v>180</v>
      </c>
      <c r="B884" s="48"/>
      <c r="C884" s="48" t="s">
        <v>413</v>
      </c>
      <c r="D884" s="48" t="s">
        <v>1634</v>
      </c>
      <c r="E884" s="48" t="s">
        <v>6</v>
      </c>
      <c r="F884" s="5" t="s">
        <v>435</v>
      </c>
      <c r="G884" s="47" t="s">
        <v>603</v>
      </c>
      <c r="H884" s="5">
        <v>10.0</v>
      </c>
      <c r="I884" s="5"/>
      <c r="J884" s="5" t="s">
        <v>603</v>
      </c>
      <c r="K884" s="5"/>
      <c r="L884" s="5" t="s">
        <v>436</v>
      </c>
      <c r="M884" s="5"/>
      <c r="N884" s="5" t="s">
        <v>603</v>
      </c>
      <c r="O884" s="5"/>
      <c r="P884" s="5" t="s">
        <v>603</v>
      </c>
      <c r="Q884" s="48"/>
      <c r="R884" s="5" t="s">
        <v>603</v>
      </c>
      <c r="S884" s="5"/>
      <c r="T884" s="5" t="s">
        <v>437</v>
      </c>
      <c r="U884" s="5"/>
      <c r="V884" s="5" t="s">
        <v>603</v>
      </c>
      <c r="W884" s="5"/>
      <c r="X884" s="5" t="s">
        <v>603</v>
      </c>
      <c r="Y884" s="5"/>
      <c r="Z884" s="5" t="s">
        <v>603</v>
      </c>
      <c r="AA884" s="5"/>
      <c r="AB884" s="5" t="s">
        <v>437</v>
      </c>
      <c r="AC884" s="47">
        <v>10.0</v>
      </c>
    </row>
    <row r="885" hidden="1">
      <c r="A885" s="222" t="str">
        <f t="array" ref="A885:A886">{"FormulaRow32";(INDEX(CLASSLIST,A822,1))}</f>
        <v>FormulaRow32</v>
      </c>
      <c r="B885" s="77" t="s">
        <v>236</v>
      </c>
      <c r="C885" s="222" t="str">
        <f t="array" ref="C885:C886">{"CLASSTYPE";((INDEX(ALLCLASSDATA,MATCH("ClassType",CLASSFEATUREHEADERS,0),MATCH($A886,CLASSNAMEHEADERS,0))))}</f>
        <v>CLASSTYPE</v>
      </c>
      <c r="D885" s="222" t="str">
        <f t="array" ref="D885:D886">{"ATTACK";"Attack"}</f>
        <v>ATTACK</v>
      </c>
      <c r="E885" s="222" t="str">
        <f t="array" ref="E885:E886">{"ADVANCEDGROUP";"AdvancedGroup"}</f>
        <v>ADVANCEDGROUP</v>
      </c>
      <c r="F885" s="223" t="str">
        <f t="array" ref="F885:F886">{"ADVANCEDGROUPINITIAL";((IF(H886=10,"T",(IF(H886=50,"E","")))))}</f>
        <v>ADVANCEDGROUPINITIAL</v>
      </c>
      <c r="G885" s="223" t="str">
        <f t="array" ref="G885:G886">{"ADVANCEDGROUPINITIALPTS";((IF("00"=(INDEX(ALLCLASSDATA,MATCH("AdvancedGroupLegendary",CLASSFEATUREHEADERS,0),MATCH($A886,CLASSNAMEHEADERS,0))),(INDEX(ALLCLASSDATA,MATCH("AdvancedGroupLegendary",CLASSFEATUREHEADERS,0),MATCH(($A886 &amp; "Points"),CLASSNAMEHEADERS,0))),(IF("00"=(INDEX(ALLCLASSDATA,MATCH("AdvancedGroupMaster",CLASSFEATUREHEADERS,0),MATCH($A886,CLASSNAMEHEADERS,0))),(INDEX(ALLCLASSDATA,MATCH("AdvancedGroupMaster",CLASSFEATUREHEADERS,0),MATCH(($A886 &amp; "Points"),CLASSNAMEHEADERS,0))),(IF("00"=(INDEX(ALLCLASSDATA,MATCH("AdvancedGroupExpert",CLASSFEATUREHEADERS,0),MATCH($A886,CLASSNAMEHEADERS,0))),(INDEX(ALLCLASSDATA,MATCH("AdvancedGroupExpert",CLASSFEATUREHEADERS,0),MATCH(($A886 &amp; "Points"),CLASSNAMEHEADERS,0))),(IF("00"=(INDEX(ALLCLASSDATA,MATCH("AdvancedGroupTrained",CLASSFEATUREHEADERS,0),MATCH($A886,CLASSNAMEHEADERS,0))),(INDEX(ALLCLASSDATA,MATCH("AdvancedGroupTrained",CLASSFEATUREHEADERS,0),MATCH(($A886 &amp; "Points"),CLASSNAMEHEADERS,0))),"")))))))))}</f>
        <v>ADVANCEDGROUPINITIALPTS</v>
      </c>
      <c r="H885" s="223" t="str">
        <f t="array" ref="H885:H886">{"ADVANCEDGROUPL01";((IF("01"=(INDEX(ALLCLASSDATA,MATCH("AdvancedGroupLegendary",CLASSFEATUREHEADERS,0),MATCH($A886,CLASSNAMEHEADERS,0))),(INDEX(ALLCLASSDATA,MATCH("AdvancedGroupLegendary",CLASSFEATUREHEADERS,0),MATCH(($A886 &amp; "Points"),CLASSNAMEHEADERS,0))),(IF("01"=(INDEX(ALLCLASSDATA,MATCH("AdvancedGroupMaster",CLASSFEATUREHEADERS,0),MATCH($A886,CLASSNAMEHEADERS,0))),(INDEX(ALLCLASSDATA,MATCH("AdvancedGroupMaster",CLASSFEATUREHEADERS,0),MATCH(($A886 &amp; "Points"),CLASSNAMEHEADERS,0))),(IF("01"=(INDEX(ALLCLASSDATA,MATCH("AdvancedGroupExpert",CLASSFEATUREHEADERS,0),MATCH($A886,CLASSNAMEHEADERS,0))),(INDEX(ALLCLASSDATA,MATCH("AdvancedGroupExpert",CLASSFEATUREHEADERS,0),MATCH(($A886 &amp; "Points"),CLASSNAMEHEADERS,0))),(IF("01"=(INDEX(ALLCLASSDATA,MATCH("AdvancedGroupTrained",CLASSFEATUREHEADERS,0),MATCH($A886,CLASSNAMEHEADERS,0))),(INDEX(ALLCLASSDATA,MATCH("AdvancedGroupTrained",CLASSFEATUREHEADERS,0),MATCH(($A886 &amp; "Points"),CLASSNAMEHEADERS,0))),"")))))))))}</f>
        <v>ADVANCEDGROUPL01</v>
      </c>
      <c r="I885" s="223"/>
      <c r="J885" s="223" t="str">
        <f t="array" ref="J885:J886">{"ADVANCEDGROUPL03";((IF("03"=(INDEX(ALLCLASSDATA,MATCH("AdvancedGroupLegendary",CLASSFEATUREHEADERS,0),MATCH($A886,CLASSNAMEHEADERS,0))),(INDEX(ALLCLASSDATA,MATCH("AdvancedGroupLegendary",CLASSFEATUREHEADERS,0),MATCH(($A886 &amp; "Points"),CLASSNAMEHEADERS,0))),(IF("03"=(INDEX(ALLCLASSDATA,MATCH("AdvancedGroupMaster",CLASSFEATUREHEADERS,0),MATCH($A886,CLASSNAMEHEADERS,0))),(INDEX(ALLCLASSDATA,MATCH("AdvancedGroupMaster",CLASSFEATUREHEADERS,0),MATCH(($A886 &amp; "Points"),CLASSNAMEHEADERS,0))),(IF("03"=(INDEX(ALLCLASSDATA,MATCH("AdvancedGroupExpert",CLASSFEATUREHEADERS,0),MATCH($A886,CLASSNAMEHEADERS,0))),(INDEX(ALLCLASSDATA,MATCH("AdvancedGroupExpert",CLASSFEATUREHEADERS,0),MATCH(($A886 &amp; "Points"),CLASSNAMEHEADERS,0))),(IF("03"=(INDEX(ALLCLASSDATA,MATCH("AdvancedGroupTrained",CLASSFEATUREHEADERS,0),MATCH($A886,CLASSNAMEHEADERS,0))),(INDEX(ALLCLASSDATA,MATCH("AdvancedGroupTrained",CLASSFEATUREHEADERS,0),MATCH(($A886 &amp; "Points"),CLASSNAMEHEADERS,0))),"")))))))))}</f>
        <v>ADVANCEDGROUPL03</v>
      </c>
      <c r="K885" s="223"/>
      <c r="L885" s="223" t="str">
        <f t="array" ref="L885:L886">{"ADVANCEDGROUPL05";((IF("05"=(INDEX(ALLCLASSDATA,MATCH("AdvancedGroupLegendary",CLASSFEATUREHEADERS,0),MATCH($A886,CLASSNAMEHEADERS,0))),(INDEX(ALLCLASSDATA,MATCH("AdvancedGroupLegendary",CLASSFEATUREHEADERS,0),MATCH(($A886 &amp; "Points"),CLASSNAMEHEADERS,0))),(IF("05"=(INDEX(ALLCLASSDATA,MATCH("AdvancedGroupMaster",CLASSFEATUREHEADERS,0),MATCH($A886,CLASSNAMEHEADERS,0))),(INDEX(ALLCLASSDATA,MATCH("AdvancedGroupMaster",CLASSFEATUREHEADERS,0),MATCH(($A886 &amp; "Points"),CLASSNAMEHEADERS,0))),(IF("05"=(INDEX(ALLCLASSDATA,MATCH("AdvancedGroupExpert",CLASSFEATUREHEADERS,0),MATCH($A886,CLASSNAMEHEADERS,0))),(INDEX(ALLCLASSDATA,MATCH("AdvancedGroupExpert",CLASSFEATUREHEADERS,0),MATCH(($A886 &amp; "Points"),CLASSNAMEHEADERS,0))),(IF("05"=(INDEX(ALLCLASSDATA,MATCH("AdvancedGroupTrained",CLASSFEATUREHEADERS,0),MATCH($A886,CLASSNAMEHEADERS,0))),(INDEX(ALLCLASSDATA,MATCH("AdvancedGroupTrained",CLASSFEATUREHEADERS,0),MATCH(($A886 &amp; "Points"),CLASSNAMEHEADERS,0))),"")))))))))}</f>
        <v>ADVANCEDGROUPL05</v>
      </c>
      <c r="M885" s="223"/>
      <c r="N885" s="223" t="str">
        <f t="array" ref="N885:N886">{"ADVANCEDGROUPL07";((IF("07"=(INDEX(ALLCLASSDATA,MATCH("AdvancedGroupLegendary",CLASSFEATUREHEADERS,0),MATCH($A886,CLASSNAMEHEADERS,0))),(INDEX(ALLCLASSDATA,MATCH("AdvancedGroupLegendary",CLASSFEATUREHEADERS,0),MATCH(($A886 &amp; "Points"),CLASSNAMEHEADERS,0))),(IF("07"=(INDEX(ALLCLASSDATA,MATCH("AdvancedGroupMaster",CLASSFEATUREHEADERS,0),MATCH($A886,CLASSNAMEHEADERS,0))),(INDEX(ALLCLASSDATA,MATCH("AdvancedGroupMaster",CLASSFEATUREHEADERS,0),MATCH(($A886 &amp; "Points"),CLASSNAMEHEADERS,0))),(IF("07"=(INDEX(ALLCLASSDATA,MATCH("AdvancedGroupExpert",CLASSFEATUREHEADERS,0),MATCH($A886,CLASSNAMEHEADERS,0))),(INDEX(ALLCLASSDATA,MATCH("AdvancedGroupExpert",CLASSFEATUREHEADERS,0),MATCH(($A886 &amp; "Points"),CLASSNAMEHEADERS,0))),(IF("07"=(INDEX(ALLCLASSDATA,MATCH("AdvancedGroupTrained",CLASSFEATUREHEADERS,0),MATCH($A886,CLASSNAMEHEADERS,0))),(INDEX(ALLCLASSDATA,MATCH("AdvancedGroupTrained",CLASSFEATUREHEADERS,0),MATCH(($A886 &amp; "Points"),CLASSNAMEHEADERS,0))),"")))))))))}</f>
        <v>ADVANCEDGROUPL07</v>
      </c>
      <c r="O885" s="223"/>
      <c r="P885" s="223" t="str">
        <f t="array" ref="P885:P886">{"ADVANCEDGROUPL09";((IF("09"=(INDEX(ALLCLASSDATA,MATCH("AdvancedGroupLegendary",CLASSFEATUREHEADERS,0),MATCH($A886,CLASSNAMEHEADERS,0))),(INDEX(ALLCLASSDATA,MATCH("AdvancedGroupLegendary",CLASSFEATUREHEADERS,0),MATCH(($A886 &amp; "Points"),CLASSNAMEHEADERS,0))),(IF("09"=(INDEX(ALLCLASSDATA,MATCH("AdvancedGroupMaster",CLASSFEATUREHEADERS,0),MATCH($A886,CLASSNAMEHEADERS,0))),(INDEX(ALLCLASSDATA,MATCH("AdvancedGroupMaster",CLASSFEATUREHEADERS,0),MATCH(($A886 &amp; "Points"),CLASSNAMEHEADERS,0))),(IF("09"=(INDEX(ALLCLASSDATA,MATCH("AdvancedGroupExpert",CLASSFEATUREHEADERS,0),MATCH($A886,CLASSNAMEHEADERS,0))),(INDEX(ALLCLASSDATA,MATCH("AdvancedGroupExpert",CLASSFEATUREHEADERS,0),MATCH(($A886 &amp; "Points"),CLASSNAMEHEADERS,0))),(IF("09"=(INDEX(ALLCLASSDATA,MATCH("AdvancedGroupTrained",CLASSFEATUREHEADERS,0),MATCH($A886,CLASSNAMEHEADERS,0))),(INDEX(ALLCLASSDATA,MATCH("AdvancedGroupTrained",CLASSFEATUREHEADERS,0),MATCH(($A886 &amp; "Points"),CLASSNAMEHEADERS,0))),"")))))))))}</f>
        <v>ADVANCEDGROUPL09</v>
      </c>
      <c r="Q885" s="223"/>
      <c r="R885" s="223" t="str">
        <f t="array" ref="R885:R886">{"ADVANCEDGROUPL11";((IF("11"=(INDEX(ALLCLASSDATA,MATCH("AdvancedGroupLegendary",CLASSFEATUREHEADERS,0),MATCH($A886,CLASSNAMEHEADERS,0))),(INDEX(ALLCLASSDATA,MATCH("AdvancedGroupLegendary",CLASSFEATUREHEADERS,0),MATCH(($A886 &amp; "Points"),CLASSNAMEHEADERS,0))),(IF("11"=(INDEX(ALLCLASSDATA,MATCH("AdvancedGroupMaster",CLASSFEATUREHEADERS,0),MATCH($A886,CLASSNAMEHEADERS,0))),(INDEX(ALLCLASSDATA,MATCH("AdvancedGroupMaster",CLASSFEATUREHEADERS,0),MATCH(($A886 &amp; "Points"),CLASSNAMEHEADERS,0))),(IF("11"=(INDEX(ALLCLASSDATA,MATCH("AdvancedGroupExpert",CLASSFEATUREHEADERS,0),MATCH($A886,CLASSNAMEHEADERS,0))),(INDEX(ALLCLASSDATA,MATCH("AdvancedGroupExpert",CLASSFEATUREHEADERS,0),MATCH(($A886 &amp; "Points"),CLASSNAMEHEADERS,0))),(IF("11"=(INDEX(ALLCLASSDATA,MATCH("AdvancedGroupTrained",CLASSFEATUREHEADERS,0),MATCH($A886,CLASSNAMEHEADERS,0))),(INDEX(ALLCLASSDATA,MATCH("AdvancedGroupTrained",CLASSFEATUREHEADERS,0),MATCH(($A886 &amp; "Points"),CLASSNAMEHEADERS,0))),"")))))))))}</f>
        <v>ADVANCEDGROUPL11</v>
      </c>
      <c r="S885" s="223"/>
      <c r="T885" s="223" t="str">
        <f t="array" ref="T885:T886">{"ADVANCEDGROUPL13";((IF("13"=(INDEX(ALLCLASSDATA,MATCH("AdvancedGroupLegendary",CLASSFEATUREHEADERS,0),MATCH($A886,CLASSNAMEHEADERS,0))),(INDEX(ALLCLASSDATA,MATCH("AdvancedGroupLegendary",CLASSFEATUREHEADERS,0),MATCH(($A886 &amp; "Points"),CLASSNAMEHEADERS,0))),(IF("13"=(INDEX(ALLCLASSDATA,MATCH("AdvancedGroupMaster",CLASSFEATUREHEADERS,0),MATCH($A886,CLASSNAMEHEADERS,0))),(INDEX(ALLCLASSDATA,MATCH("AdvancedGroupMaster",CLASSFEATUREHEADERS,0),MATCH(($A886 &amp; "Points"),CLASSNAMEHEADERS,0))),(IF("13"=(INDEX(ALLCLASSDATA,MATCH("AdvancedGroupExpert",CLASSFEATUREHEADERS,0),MATCH($A886,CLASSNAMEHEADERS,0))),(INDEX(ALLCLASSDATA,MATCH("AdvancedGroupExpert",CLASSFEATUREHEADERS,0),MATCH(($A886 &amp; "Points"),CLASSNAMEHEADERS,0))),(IF("13"=(INDEX(ALLCLASSDATA,MATCH("AdvancedGroupTrained",CLASSFEATUREHEADERS,0),MATCH($A886,CLASSNAMEHEADERS,0))),(INDEX(ALLCLASSDATA,MATCH("AdvancedGroupTrained",CLASSFEATUREHEADERS,0),MATCH(($A886 &amp; "Points"),CLASSNAMEHEADERS,0))),"")))))))))}</f>
        <v>ADVANCEDGROUPL13</v>
      </c>
      <c r="U885" s="223"/>
      <c r="V885" s="223" t="str">
        <f t="array" ref="V885:V886">{"ADVANCEDGROUPL15";((IF("15"=(INDEX(ALLCLASSDATA,MATCH("AdvancedGroupLegendary",CLASSFEATUREHEADERS,0),MATCH($A886,CLASSNAMEHEADERS,0))),(INDEX(ALLCLASSDATA,MATCH("AdvancedGroupLegendary",CLASSFEATUREHEADERS,0),MATCH(($A886 &amp; "Points"),CLASSNAMEHEADERS,0))),(IF("15"=(INDEX(ALLCLASSDATA,MATCH("AdvancedGroupMaster",CLASSFEATUREHEADERS,0),MATCH($A886,CLASSNAMEHEADERS,0))),(INDEX(ALLCLASSDATA,MATCH("AdvancedGroupMaster",CLASSFEATUREHEADERS,0),MATCH(($A886 &amp; "Points"),CLASSNAMEHEADERS,0))),(IF("15"=(INDEX(ALLCLASSDATA,MATCH("AdvancedGroupExpert",CLASSFEATUREHEADERS,0),MATCH($A886,CLASSNAMEHEADERS,0))),(INDEX(ALLCLASSDATA,MATCH("AdvancedGroupExpert",CLASSFEATUREHEADERS,0),MATCH(($A886 &amp; "Points"),CLASSNAMEHEADERS,0))),(IF("15"=(INDEX(ALLCLASSDATA,MATCH("AdvancedGroupTrained",CLASSFEATUREHEADERS,0),MATCH($A886,CLASSNAMEHEADERS,0))),(INDEX(ALLCLASSDATA,MATCH("AdvancedGroupTrained",CLASSFEATUREHEADERS,0),MATCH(($A886 &amp; "Points"),CLASSNAMEHEADERS,0))),"")))))))))}</f>
        <v>ADVANCEDGROUPL15</v>
      </c>
      <c r="W885" s="223"/>
      <c r="X885" s="223" t="str">
        <f t="array" ref="X885:X886">{"ADVANCEDGROUPL17";((IF("17"=(INDEX(ALLCLASSDATA,MATCH("AdvancedGroupLegendary",CLASSFEATUREHEADERS,0),MATCH($A886,CLASSNAMEHEADERS,0))),(INDEX(ALLCLASSDATA,MATCH("AdvancedGroupLegendary",CLASSFEATUREHEADERS,0),MATCH(($A886 &amp; "Points"),CLASSNAMEHEADERS,0))),(IF("17"=(INDEX(ALLCLASSDATA,MATCH("AdvancedGroupMaster",CLASSFEATUREHEADERS,0),MATCH($A886,CLASSNAMEHEADERS,0))),(INDEX(ALLCLASSDATA,MATCH("AdvancedGroupMaster",CLASSFEATUREHEADERS,0),MATCH(($A886 &amp; "Points"),CLASSNAMEHEADERS,0))),(IF("17"=(INDEX(ALLCLASSDATA,MATCH("AdvancedGroupExpert",CLASSFEATUREHEADERS,0),MATCH($A886,CLASSNAMEHEADERS,0))),(INDEX(ALLCLASSDATA,MATCH("AdvancedGroupExpert",CLASSFEATUREHEADERS,0),MATCH(($A886 &amp; "Points"),CLASSNAMEHEADERS,0))),(IF("17"=(INDEX(ALLCLASSDATA,MATCH("AdvancedGroupTrained",CLASSFEATUREHEADERS,0),MATCH($A886,CLASSNAMEHEADERS,0))),(INDEX(ALLCLASSDATA,MATCH("AdvancedGroupTrained",CLASSFEATUREHEADERS,0),MATCH(($A886 &amp; "Points"),CLASSNAMEHEADERS,0))),"")))))))))}</f>
        <v>ADVANCEDGROUPL17</v>
      </c>
      <c r="Y885" s="223"/>
      <c r="Z885" s="223" t="str">
        <f t="array" ref="Z885:Z886">{"ADVANCEDGROUPL19";((IF("19"=(INDEX(ALLCLASSDATA,MATCH("AdvancedGroupLegendary",CLASSFEATUREHEADERS,0),MATCH($A886,CLASSNAMEHEADERS,0))),(INDEX(ALLCLASSDATA,MATCH("AdvancedGroupLegendary",CLASSFEATUREHEADERS,0),MATCH(($A886 &amp; "Points"),CLASSNAMEHEADERS,0))),(IF("19"=(INDEX(ALLCLASSDATA,MATCH("AdvancedGroupMaster",CLASSFEATUREHEADERS,0),MATCH($A886,CLASSNAMEHEADERS,0))),(INDEX(ALLCLASSDATA,MATCH("AdvancedGroupMaster",CLASSFEATUREHEADERS,0),MATCH(($A886 &amp; "Points"),CLASSNAMEHEADERS,0))),(IF("19"=(INDEX(ALLCLASSDATA,MATCH("AdvancedGroupExpert",CLASSFEATUREHEADERS,0),MATCH($A886,CLASSNAMEHEADERS,0))),(INDEX(ALLCLASSDATA,MATCH("AdvancedGroupExpert",CLASSFEATUREHEADERS,0),MATCH(($A886 &amp; "Points"),CLASSNAMEHEADERS,0))),(IF("19"=(INDEX(ALLCLASSDATA,MATCH("AdvancedGroupTrained",CLASSFEATUREHEADERS,0),MATCH($A886,CLASSNAMEHEADERS,0))),(INDEX(ALLCLASSDATA,MATCH("AdvancedGroupTrained",CLASSFEATUREHEADERS,0),MATCH(($A886 &amp; "Points"),CLASSNAMEHEADERS,0))),"")))))))))}</f>
        <v>ADVANCEDGROUPL19</v>
      </c>
      <c r="AA885" s="223"/>
      <c r="AB885" s="76" t="str">
        <f t="array" ref="AB885:AB886">{"ADVANCEDGROUP TOTAL";(IF(COUNTBLANK(G886:AA886)=17,"L",(IF(COUNTBLANK(G886:AA886)=18,"M",(IF(COUNTBLANK(G886:AA886)=19,"E",(IF(COUNTBLANK(G886:AA886)=20,"T",""))))))))}</f>
        <v>ADVANCEDGROUP TOTAL</v>
      </c>
      <c r="AC885" s="76" t="str">
        <f t="array" ref="AC885:AC886">{"ADVANCEDGROUP TOTAL";(sum(G886:AA886))}</f>
        <v>ADVANCEDGROUP TOTAL</v>
      </c>
    </row>
    <row r="886">
      <c r="A886" s="48" t="s">
        <v>180</v>
      </c>
      <c r="B886" s="48"/>
      <c r="C886" s="48" t="s">
        <v>413</v>
      </c>
      <c r="D886" s="48" t="s">
        <v>1634</v>
      </c>
      <c r="E886" s="48" t="s">
        <v>601</v>
      </c>
      <c r="F886" s="5" t="s">
        <v>435</v>
      </c>
      <c r="G886" s="47" t="s">
        <v>603</v>
      </c>
      <c r="H886" s="5">
        <v>10.0</v>
      </c>
      <c r="I886" s="5"/>
      <c r="J886" s="5" t="s">
        <v>603</v>
      </c>
      <c r="K886" s="5"/>
      <c r="L886" s="5" t="s">
        <v>436</v>
      </c>
      <c r="M886" s="5"/>
      <c r="N886" s="5" t="s">
        <v>603</v>
      </c>
      <c r="O886" s="5"/>
      <c r="P886" s="5" t="s">
        <v>603</v>
      </c>
      <c r="Q886" s="5"/>
      <c r="R886" s="5" t="s">
        <v>603</v>
      </c>
      <c r="S886" s="5"/>
      <c r="T886" s="5" t="s">
        <v>437</v>
      </c>
      <c r="U886" s="5"/>
      <c r="V886" s="5" t="s">
        <v>603</v>
      </c>
      <c r="W886" s="5"/>
      <c r="X886" s="5" t="s">
        <v>603</v>
      </c>
      <c r="Y886" s="5"/>
      <c r="Z886" s="5" t="s">
        <v>603</v>
      </c>
      <c r="AA886" s="5"/>
      <c r="AB886" s="5" t="s">
        <v>437</v>
      </c>
      <c r="AC886" s="47">
        <v>10.0</v>
      </c>
    </row>
    <row r="887" hidden="1">
      <c r="A887" s="222" t="str">
        <f t="array" ref="A887:A888">{"FormulaRow33";(INDEX(CLASSLIST,A822,1))}</f>
        <v>FormulaRow33</v>
      </c>
      <c r="B887" s="77" t="s">
        <v>236</v>
      </c>
      <c r="C887" s="222" t="str">
        <f t="array" ref="C887:C888">{"CLASSTYPE";((INDEX(ALLCLASSDATA,MATCH("ClassType",CLASSFEATUREHEADERS,0),MATCH($A888,CLASSNAMEHEADERS,0))))}</f>
        <v>CLASSTYPE</v>
      </c>
      <c r="D887" s="222" t="str">
        <f t="array" ref="D887:D888">{"ATTACK";"Attack"}</f>
        <v>ATTACK</v>
      </c>
      <c r="E887" s="222" t="str">
        <f t="array" ref="E887:E888">{"ADVANCED";"Advanced"}</f>
        <v>ADVANCED</v>
      </c>
      <c r="F887" s="223" t="str">
        <f t="array" ref="F887:F888">{"ADVANCEDINITIAL";((IF(H888=10,"T",(IF(H888=50,"E","")))))}</f>
        <v>ADVANCEDINITIAL</v>
      </c>
      <c r="G887" s="223" t="str">
        <f t="array" ref="G887:G888">{"ADVANCEDINITIALPTS";((IF("00"=(INDEX(ALLCLASSDATA,MATCH("AdvancedLegendary",CLASSFEATUREHEADERS,0),MATCH($A888,CLASSNAMEHEADERS,0))),(INDEX(ALLCLASSDATA,MATCH("AdvancedLegendary",CLASSFEATUREHEADERS,0),MATCH(($A888 &amp; "Points"),CLASSNAMEHEADERS,0))),(IF("00"=(INDEX(ALLCLASSDATA,MATCH("AdvancedMaster",CLASSFEATUREHEADERS,0),MATCH($A888,CLASSNAMEHEADERS,0))),(INDEX(ALLCLASSDATA,MATCH("AdvancedMaster",CLASSFEATUREHEADERS,0),MATCH(($A888 &amp; "Points"),CLASSNAMEHEADERS,0))),(IF("00"=(INDEX(ALLCLASSDATA,MATCH("AdvancedExpert",CLASSFEATUREHEADERS,0),MATCH($A888,CLASSNAMEHEADERS,0))),(INDEX(ALLCLASSDATA,MATCH("AdvancedExpert",CLASSFEATUREHEADERS,0),MATCH(($A888 &amp; "Points"),CLASSNAMEHEADERS,0))),(IF("00"=(INDEX(ALLCLASSDATA,MATCH("AdvancedTrained",CLASSFEATUREHEADERS,0),MATCH($A888,CLASSNAMEHEADERS,0))),(INDEX(ALLCLASSDATA,MATCH("AdvancedTrained",CLASSFEATUREHEADERS,0),MATCH(($A888 &amp; "Points"),CLASSNAMEHEADERS,0))),"")))))))))}</f>
        <v>ADVANCEDINITIALPTS</v>
      </c>
      <c r="H887" s="223" t="str">
        <f t="array" ref="H887:H888">{"ADVANCEDL01";((IF("01"=(INDEX(ALLCLASSDATA,MATCH("AdvancedLegendary",CLASSFEATUREHEADERS,0),MATCH($A888,CLASSNAMEHEADERS,0))),(INDEX(ALLCLASSDATA,MATCH("AdvancedLegendary",CLASSFEATUREHEADERS,0),MATCH(($A888 &amp; "Points"),CLASSNAMEHEADERS,0))),(IF("01"=(INDEX(ALLCLASSDATA,MATCH("AdvancedMaster",CLASSFEATUREHEADERS,0),MATCH($A888,CLASSNAMEHEADERS,0))),(INDEX(ALLCLASSDATA,MATCH("AdvancedMaster",CLASSFEATUREHEADERS,0),MATCH(($A888 &amp; "Points"),CLASSNAMEHEADERS,0))),(IF("01"=(INDEX(ALLCLASSDATA,MATCH("AdvancedExpert",CLASSFEATUREHEADERS,0),MATCH($A888,CLASSNAMEHEADERS,0))),(INDEX(ALLCLASSDATA,MATCH("AdvancedExpert",CLASSFEATUREHEADERS,0),MATCH(($A888 &amp; "Points"),CLASSNAMEHEADERS,0))),(IF("01"=(INDEX(ALLCLASSDATA,MATCH("AdvancedTrained",CLASSFEATUREHEADERS,0),MATCH($A888,CLASSNAMEHEADERS,0))),(INDEX(ALLCLASSDATA,MATCH("AdvancedTrained",CLASSFEATUREHEADERS,0),MATCH(($A888 &amp; "Points"),CLASSNAMEHEADERS,0))),"")))))))))}</f>
        <v>ADVANCEDL01</v>
      </c>
      <c r="I887" s="223"/>
      <c r="J887" s="223" t="str">
        <f t="array" ref="J887:J888">{"ADVANCEDL03";((IF("03"=(INDEX(ALLCLASSDATA,MATCH("AdvancedLegendary",CLASSFEATUREHEADERS,0),MATCH($A888,CLASSNAMEHEADERS,0))),(INDEX(ALLCLASSDATA,MATCH("AdvancedLegendary",CLASSFEATUREHEADERS,0),MATCH(($A888 &amp; "Points"),CLASSNAMEHEADERS,0))),(IF("03"=(INDEX(ALLCLASSDATA,MATCH("AdvancedMaster",CLASSFEATUREHEADERS,0),MATCH($A888,CLASSNAMEHEADERS,0))),(INDEX(ALLCLASSDATA,MATCH("AdvancedMaster",CLASSFEATUREHEADERS,0),MATCH(($A888 &amp; "Points"),CLASSNAMEHEADERS,0))),(IF("03"=(INDEX(ALLCLASSDATA,MATCH("AdvancedExpert",CLASSFEATUREHEADERS,0),MATCH($A888,CLASSNAMEHEADERS,0))),(INDEX(ALLCLASSDATA,MATCH("AdvancedExpert",CLASSFEATUREHEADERS,0),MATCH(($A888 &amp; "Points"),CLASSNAMEHEADERS,0))),(IF("03"=(INDEX(ALLCLASSDATA,MATCH("AdvancedTrained",CLASSFEATUREHEADERS,0),MATCH($A888,CLASSNAMEHEADERS,0))),(INDEX(ALLCLASSDATA,MATCH("AdvancedTrained",CLASSFEATUREHEADERS,0),MATCH(($A888 &amp; "Points"),CLASSNAMEHEADERS,0))),"")))))))))}</f>
        <v>ADVANCEDL03</v>
      </c>
      <c r="K887" s="223"/>
      <c r="L887" s="223" t="str">
        <f t="array" ref="L887:L888">{"ADVANCEDL05";((IF("05"=(INDEX(ALLCLASSDATA,MATCH("AdvancedLegendary",CLASSFEATUREHEADERS,0),MATCH($A888,CLASSNAMEHEADERS,0))),(INDEX(ALLCLASSDATA,MATCH("AdvancedLegendary",CLASSFEATUREHEADERS,0),MATCH(($A888 &amp; "Points"),CLASSNAMEHEADERS,0))),(IF("05"=(INDEX(ALLCLASSDATA,MATCH("AdvancedMaster",CLASSFEATUREHEADERS,0),MATCH($A888,CLASSNAMEHEADERS,0))),(INDEX(ALLCLASSDATA,MATCH("AdvancedMaster",CLASSFEATUREHEADERS,0),MATCH(($A888 &amp; "Points"),CLASSNAMEHEADERS,0))),(IF("05"=(INDEX(ALLCLASSDATA,MATCH("AdvancedExpert",CLASSFEATUREHEADERS,0),MATCH($A888,CLASSNAMEHEADERS,0))),(INDEX(ALLCLASSDATA,MATCH("AdvancedExpert",CLASSFEATUREHEADERS,0),MATCH(($A888 &amp; "Points"),CLASSNAMEHEADERS,0))),(IF("05"=(INDEX(ALLCLASSDATA,MATCH("AdvancedTrained",CLASSFEATUREHEADERS,0),MATCH($A888,CLASSNAMEHEADERS,0))),(INDEX(ALLCLASSDATA,MATCH("AdvancedTrained",CLASSFEATUREHEADERS,0),MATCH(($A888 &amp; "Points"),CLASSNAMEHEADERS,0))),"")))))))))}</f>
        <v>ADVANCEDL05</v>
      </c>
      <c r="M887" s="223"/>
      <c r="N887" s="223" t="str">
        <f t="array" ref="N887:N888">{"ADVANCEDL07";((IF("07"=(INDEX(ALLCLASSDATA,MATCH("AdvancedLegendary",CLASSFEATUREHEADERS,0),MATCH($A888,CLASSNAMEHEADERS,0))),(INDEX(ALLCLASSDATA,MATCH("AdvancedLegendary",CLASSFEATUREHEADERS,0),MATCH(($A888 &amp; "Points"),CLASSNAMEHEADERS,0))),(IF("07"=(INDEX(ALLCLASSDATA,MATCH("AdvancedMaster",CLASSFEATUREHEADERS,0),MATCH($A888,CLASSNAMEHEADERS,0))),(INDEX(ALLCLASSDATA,MATCH("AdvancedMaster",CLASSFEATUREHEADERS,0),MATCH(($A888 &amp; "Points"),CLASSNAMEHEADERS,0))),(IF("07"=(INDEX(ALLCLASSDATA,MATCH("AdvancedExpert",CLASSFEATUREHEADERS,0),MATCH($A888,CLASSNAMEHEADERS,0))),(INDEX(ALLCLASSDATA,MATCH("AdvancedExpert",CLASSFEATUREHEADERS,0),MATCH(($A888 &amp; "Points"),CLASSNAMEHEADERS,0))),(IF("07"=(INDEX(ALLCLASSDATA,MATCH("AdvancedTrained",CLASSFEATUREHEADERS,0),MATCH($A888,CLASSNAMEHEADERS,0))),(INDEX(ALLCLASSDATA,MATCH("AdvancedTrained",CLASSFEATUREHEADERS,0),MATCH(($A888 &amp; "Points"),CLASSNAMEHEADERS,0))),"")))))))))}</f>
        <v>ADVANCEDL07</v>
      </c>
      <c r="O887" s="223"/>
      <c r="P887" s="223" t="str">
        <f t="array" ref="P887:P888">{"ADVANCEDL09";((IF("09"=(INDEX(ALLCLASSDATA,MATCH("AdvancedLegendary",CLASSFEATUREHEADERS,0),MATCH($A888,CLASSNAMEHEADERS,0))),(INDEX(ALLCLASSDATA,MATCH("AdvancedLegendary",CLASSFEATUREHEADERS,0),MATCH(($A888 &amp; "Points"),CLASSNAMEHEADERS,0))),(IF("09"=(INDEX(ALLCLASSDATA,MATCH("AdvancedMaster",CLASSFEATUREHEADERS,0),MATCH($A888,CLASSNAMEHEADERS,0))),(INDEX(ALLCLASSDATA,MATCH("AdvancedMaster",CLASSFEATUREHEADERS,0),MATCH(($A888 &amp; "Points"),CLASSNAMEHEADERS,0))),(IF("09"=(INDEX(ALLCLASSDATA,MATCH("AdvancedExpert",CLASSFEATUREHEADERS,0),MATCH($A888,CLASSNAMEHEADERS,0))),(INDEX(ALLCLASSDATA,MATCH("AdvancedExpert",CLASSFEATUREHEADERS,0),MATCH(($A888 &amp; "Points"),CLASSNAMEHEADERS,0))),(IF("09"=(INDEX(ALLCLASSDATA,MATCH("AdvancedTrained",CLASSFEATUREHEADERS,0),MATCH($A888,CLASSNAMEHEADERS,0))),(INDEX(ALLCLASSDATA,MATCH("AdvancedTrained",CLASSFEATUREHEADERS,0),MATCH(($A888 &amp; "Points"),CLASSNAMEHEADERS,0))),"")))))))))}</f>
        <v>ADVANCEDL09</v>
      </c>
      <c r="Q887" s="223"/>
      <c r="R887" s="223" t="str">
        <f t="array" ref="R887:R888">{"ADVANCEDL11";((IF("11"=(INDEX(ALLCLASSDATA,MATCH("AdvancedLegendary",CLASSFEATUREHEADERS,0),MATCH($A888,CLASSNAMEHEADERS,0))),(INDEX(ALLCLASSDATA,MATCH("AdvancedLegendary",CLASSFEATUREHEADERS,0),MATCH(($A888 &amp; "Points"),CLASSNAMEHEADERS,0))),(IF("11"=(INDEX(ALLCLASSDATA,MATCH("AdvancedMaster",CLASSFEATUREHEADERS,0),MATCH($A888,CLASSNAMEHEADERS,0))),(INDEX(ALLCLASSDATA,MATCH("AdvancedMaster",CLASSFEATUREHEADERS,0),MATCH(($A888 &amp; "Points"),CLASSNAMEHEADERS,0))),(IF("11"=(INDEX(ALLCLASSDATA,MATCH("AdvancedExpert",CLASSFEATUREHEADERS,0),MATCH($A888,CLASSNAMEHEADERS,0))),(INDEX(ALLCLASSDATA,MATCH("AdvancedExpert",CLASSFEATUREHEADERS,0),MATCH(($A888 &amp; "Points"),CLASSNAMEHEADERS,0))),(IF("11"=(INDEX(ALLCLASSDATA,MATCH("AdvancedTrained",CLASSFEATUREHEADERS,0),MATCH($A888,CLASSNAMEHEADERS,0))),(INDEX(ALLCLASSDATA,MATCH("AdvancedTrained",CLASSFEATUREHEADERS,0),MATCH(($A888 &amp; "Points"),CLASSNAMEHEADERS,0))),"")))))))))}</f>
        <v>ADVANCEDL11</v>
      </c>
      <c r="S887" s="223"/>
      <c r="T887" s="223" t="str">
        <f t="array" ref="T887:T888">{"ADVANCEDL13";((IF("13"=(INDEX(ALLCLASSDATA,MATCH("AdvancedLegendary",CLASSFEATUREHEADERS,0),MATCH($A888,CLASSNAMEHEADERS,0))),(INDEX(ALLCLASSDATA,MATCH("AdvancedLegendary",CLASSFEATUREHEADERS,0),MATCH(($A888 &amp; "Points"),CLASSNAMEHEADERS,0))),(IF("13"=(INDEX(ALLCLASSDATA,MATCH("AdvancedMaster",CLASSFEATUREHEADERS,0),MATCH($A888,CLASSNAMEHEADERS,0))),(INDEX(ALLCLASSDATA,MATCH("AdvancedMaster",CLASSFEATUREHEADERS,0),MATCH(($A888 &amp; "Points"),CLASSNAMEHEADERS,0))),(IF("13"=(INDEX(ALLCLASSDATA,MATCH("AdvancedExpert",CLASSFEATUREHEADERS,0),MATCH($A888,CLASSNAMEHEADERS,0))),(INDEX(ALLCLASSDATA,MATCH("AdvancedExpert",CLASSFEATUREHEADERS,0),MATCH(($A888 &amp; "Points"),CLASSNAMEHEADERS,0))),(IF("13"=(INDEX(ALLCLASSDATA,MATCH("AdvancedTrained",CLASSFEATUREHEADERS,0),MATCH($A888,CLASSNAMEHEADERS,0))),(INDEX(ALLCLASSDATA,MATCH("AdvancedTrained",CLASSFEATUREHEADERS,0),MATCH(($A888 &amp; "Points"),CLASSNAMEHEADERS,0))),"")))))))))}</f>
        <v>ADVANCEDL13</v>
      </c>
      <c r="U887" s="223"/>
      <c r="V887" s="223" t="str">
        <f t="array" ref="V887:V888">{"ADVANCEDL15";((IF("15"=(INDEX(ALLCLASSDATA,MATCH("AdvancedLegendary",CLASSFEATUREHEADERS,0),MATCH($A888,CLASSNAMEHEADERS,0))),(INDEX(ALLCLASSDATA,MATCH("AdvancedLegendary",CLASSFEATUREHEADERS,0),MATCH(($A888 &amp; "Points"),CLASSNAMEHEADERS,0))),(IF("15"=(INDEX(ALLCLASSDATA,MATCH("AdvancedMaster",CLASSFEATUREHEADERS,0),MATCH($A888,CLASSNAMEHEADERS,0))),(INDEX(ALLCLASSDATA,MATCH("AdvancedMaster",CLASSFEATUREHEADERS,0),MATCH(($A888 &amp; "Points"),CLASSNAMEHEADERS,0))),(IF("15"=(INDEX(ALLCLASSDATA,MATCH("AdvancedExpert",CLASSFEATUREHEADERS,0),MATCH($A888,CLASSNAMEHEADERS,0))),(INDEX(ALLCLASSDATA,MATCH("AdvancedExpert",CLASSFEATUREHEADERS,0),MATCH(($A888 &amp; "Points"),CLASSNAMEHEADERS,0))),(IF("15"=(INDEX(ALLCLASSDATA,MATCH("AdvancedTrained",CLASSFEATUREHEADERS,0),MATCH($A888,CLASSNAMEHEADERS,0))),(INDEX(ALLCLASSDATA,MATCH("AdvancedTrained",CLASSFEATUREHEADERS,0),MATCH(($A888 &amp; "Points"),CLASSNAMEHEADERS,0))),"")))))))))}</f>
        <v>ADVANCEDL15</v>
      </c>
      <c r="W887" s="223"/>
      <c r="X887" s="223" t="str">
        <f t="array" ref="X887:X888">{"ADVANCEDL17";((IF("17"=(INDEX(ALLCLASSDATA,MATCH("AdvancedLegendary",CLASSFEATUREHEADERS,0),MATCH($A888,CLASSNAMEHEADERS,0))),(INDEX(ALLCLASSDATA,MATCH("AdvancedLegendary",CLASSFEATUREHEADERS,0),MATCH(($A888 &amp; "Points"),CLASSNAMEHEADERS,0))),(IF("17"=(INDEX(ALLCLASSDATA,MATCH("AdvancedMaster",CLASSFEATUREHEADERS,0),MATCH($A888,CLASSNAMEHEADERS,0))),(INDEX(ALLCLASSDATA,MATCH("AdvancedMaster",CLASSFEATUREHEADERS,0),MATCH(($A888 &amp; "Points"),CLASSNAMEHEADERS,0))),(IF("17"=(INDEX(ALLCLASSDATA,MATCH("AdvancedExpert",CLASSFEATUREHEADERS,0),MATCH($A888,CLASSNAMEHEADERS,0))),(INDEX(ALLCLASSDATA,MATCH("AdvancedExpert",CLASSFEATUREHEADERS,0),MATCH(($A888 &amp; "Points"),CLASSNAMEHEADERS,0))),(IF("17"=(INDEX(ALLCLASSDATA,MATCH("AdvancedTrained",CLASSFEATUREHEADERS,0),MATCH($A888,CLASSNAMEHEADERS,0))),(INDEX(ALLCLASSDATA,MATCH("AdvancedTrained",CLASSFEATUREHEADERS,0),MATCH(($A888 &amp; "Points"),CLASSNAMEHEADERS,0))),"")))))))))}</f>
        <v>ADVANCEDL17</v>
      </c>
      <c r="Y887" s="223"/>
      <c r="Z887" s="223" t="str">
        <f t="array" ref="Z887:Z888">{"ADVANCEDL19";((IF("19"=(INDEX(ALLCLASSDATA,MATCH("AdvancedLegendary",CLASSFEATUREHEADERS,0),MATCH($A888,CLASSNAMEHEADERS,0))),(INDEX(ALLCLASSDATA,MATCH("AdvancedLegendary",CLASSFEATUREHEADERS,0),MATCH(($A888 &amp; "Points"),CLASSNAMEHEADERS,0))),(IF("19"=(INDEX(ALLCLASSDATA,MATCH("AdvancedMaster",CLASSFEATUREHEADERS,0),MATCH($A888,CLASSNAMEHEADERS,0))),(INDEX(ALLCLASSDATA,MATCH("AdvancedMaster",CLASSFEATUREHEADERS,0),MATCH(($A888 &amp; "Points"),CLASSNAMEHEADERS,0))),(IF("19"=(INDEX(ALLCLASSDATA,MATCH("AdvancedExpert",CLASSFEATUREHEADERS,0),MATCH($A888,CLASSNAMEHEADERS,0))),(INDEX(ALLCLASSDATA,MATCH("AdvancedExpert",CLASSFEATUREHEADERS,0),MATCH(($A888 &amp; "Points"),CLASSNAMEHEADERS,0))),(IF("19"=(INDEX(ALLCLASSDATA,MATCH("AdvancedTrained",CLASSFEATUREHEADERS,0),MATCH($A888,CLASSNAMEHEADERS,0))),(INDEX(ALLCLASSDATA,MATCH("AdvancedTrained",CLASSFEATUREHEADERS,0),MATCH(($A888 &amp; "Points"),CLASSNAMEHEADERS,0))),"")))))))))}</f>
        <v>ADVANCEDL19</v>
      </c>
      <c r="AA887" s="223"/>
      <c r="AB887" s="76" t="str">
        <f t="array" ref="AB887:AB888">{"ADVANCED TOTAL";(IF(COUNTBLANK(G888:AA888)=17,"L",(IF(COUNTBLANK(G888:AA888)=18,"M",(IF(COUNTBLANK(G888:AA888)=19,"E",(IF(COUNTBLANK(G888:AA888)=20,"T",""))))))))}</f>
        <v>ADVANCED TOTAL</v>
      </c>
      <c r="AC887" s="76" t="str">
        <f t="array" ref="AC887:AC888">{"ADVANCED TOTAL";(sum(G888:AA888))}</f>
        <v>ADVANCED TOTAL</v>
      </c>
    </row>
    <row r="888">
      <c r="A888" s="48" t="s">
        <v>180</v>
      </c>
      <c r="B888" s="48"/>
      <c r="C888" s="48" t="s">
        <v>413</v>
      </c>
      <c r="D888" s="97" t="s">
        <v>1634</v>
      </c>
      <c r="E888" s="97" t="s">
        <v>602</v>
      </c>
      <c r="F888" s="98" t="s">
        <v>603</v>
      </c>
      <c r="G888" s="132" t="s">
        <v>603</v>
      </c>
      <c r="H888" s="98" t="s">
        <v>603</v>
      </c>
      <c r="I888" s="98"/>
      <c r="J888" s="98" t="s">
        <v>603</v>
      </c>
      <c r="K888" s="98"/>
      <c r="L888" s="98" t="s">
        <v>603</v>
      </c>
      <c r="M888" s="98"/>
      <c r="N888" s="98" t="s">
        <v>603</v>
      </c>
      <c r="O888" s="98"/>
      <c r="P888" s="98" t="s">
        <v>603</v>
      </c>
      <c r="Q888" s="98"/>
      <c r="R888" s="98" t="s">
        <v>603</v>
      </c>
      <c r="S888" s="98"/>
      <c r="T888" s="98" t="s">
        <v>603</v>
      </c>
      <c r="U888" s="98"/>
      <c r="V888" s="98" t="s">
        <v>603</v>
      </c>
      <c r="W888" s="98"/>
      <c r="X888" s="98" t="s">
        <v>603</v>
      </c>
      <c r="Y888" s="98"/>
      <c r="Z888" s="98" t="s">
        <v>603</v>
      </c>
      <c r="AA888" s="98"/>
      <c r="AB888" s="5" t="s">
        <v>603</v>
      </c>
      <c r="AC888" s="47">
        <v>0.0</v>
      </c>
    </row>
    <row r="889" hidden="1">
      <c r="A889" s="222" t="str">
        <f t="array" ref="A889:A890">{"FormulaRow34";(INDEX(CLASSLIST,A822,1))}</f>
        <v>FormulaRow34</v>
      </c>
      <c r="B889" s="77" t="s">
        <v>236</v>
      </c>
      <c r="C889" s="222" t="str">
        <f t="array" ref="C889:C890">{"CLASSTYPE";((INDEX(ALLCLASSDATA,MATCH("ClassType",CLASSFEATUREHEADERS,0),MATCH($A890,CLASSNAMEHEADERS,0))))}</f>
        <v>CLASSTYPE</v>
      </c>
      <c r="D889" s="222" t="str">
        <f t="array" ref="D889:D890">{"DEFENSE";"Defense"}</f>
        <v>DEFENSE</v>
      </c>
      <c r="E889" s="222" t="str">
        <f t="array" ref="E889:E890">{"ARMORSPECIAL";"ArmorAS"}</f>
        <v>ARMORSPECIAL</v>
      </c>
      <c r="F889" s="223"/>
      <c r="G889" s="223"/>
      <c r="H889" s="223" t="str">
        <f t="array" ref="H889:H890">{"ARMORSPECIALL01";((IF("01"=INDEX(ALLCLASSDATA,MATCH("ArmorSpecialization",CLASSFEATUREHEADERS,0),MATCH($A890,CLASSNAMEHEADERS,0)),ArmorAS,"")))}</f>
        <v>ARMORSPECIALL01</v>
      </c>
      <c r="I889" s="223"/>
      <c r="J889" s="223" t="str">
        <f t="array" ref="J889:J890">{"ARMORSPECIALL03";((IF("03"=INDEX(ALLCLASSDATA,MATCH("ArmorSpecialization",CLASSFEATUREHEADERS,0),MATCH($A890,CLASSNAMEHEADERS,0)),ArmorAS,"")))}</f>
        <v>ARMORSPECIALL03</v>
      </c>
      <c r="K889" s="223"/>
      <c r="L889" s="223" t="str">
        <f t="array" ref="L889:L890">{"ARMORSPECIALL05";((IF("05"=INDEX(ALLCLASSDATA,MATCH("ArmorSpecialization",CLASSFEATUREHEADERS,0),MATCH($A890,CLASSNAMEHEADERS,0)),ArmorAS,"")))}</f>
        <v>ARMORSPECIALL05</v>
      </c>
      <c r="M889" s="223"/>
      <c r="N889" s="223" t="str">
        <f t="array" ref="N889:N890">{"ARMORSPECIALL07";((IF("07"=INDEX(ALLCLASSDATA,MATCH("ArmorSpecialization",CLASSFEATUREHEADERS,0),MATCH($A890,CLASSNAMEHEADERS,0)),ArmorAS,"")))}</f>
        <v>ARMORSPECIALL07</v>
      </c>
      <c r="O889" s="223"/>
      <c r="P889" s="223" t="str">
        <f t="array" ref="P889:P890">{"ARMORSPECIALL09";((IF("09"=INDEX(ALLCLASSDATA,MATCH("ArmorSpecialization",CLASSFEATUREHEADERS,0),MATCH($A890,CLASSNAMEHEADERS,0)),ArmorAS,"")))}</f>
        <v>ARMORSPECIALL09</v>
      </c>
      <c r="Q889" s="223"/>
      <c r="R889" s="223" t="str">
        <f t="array" ref="R889:R890">{"ARMORSPECIALL11";((IF("11"=INDEX(ALLCLASSDATA,MATCH("ArmorSpecialization",CLASSFEATUREHEADERS,0),MATCH($A890,CLASSNAMEHEADERS,0)),ArmorAS,"")))}</f>
        <v>ARMORSPECIALL11</v>
      </c>
      <c r="S889" s="223"/>
      <c r="T889" s="223" t="str">
        <f t="array" ref="T889:T890">{"ARMORSPECIALL13";((IF("13"=INDEX(ALLCLASSDATA,MATCH("ArmorSpecialization",CLASSFEATUREHEADERS,0),MATCH($A890,CLASSNAMEHEADERS,0)),ArmorAS,"")))}</f>
        <v>ARMORSPECIALL13</v>
      </c>
      <c r="U889" s="223"/>
      <c r="V889" s="223" t="str">
        <f t="array" ref="V889:V890">{"ARMORSPECIALL15";((IF("15"=INDEX(ALLCLASSDATA,MATCH("ArmorSpecialization",CLASSFEATUREHEADERS,0),MATCH($A890,CLASSNAMEHEADERS,0)),ArmorAS,"")))}</f>
        <v>ARMORSPECIALL15</v>
      </c>
      <c r="W889" s="223"/>
      <c r="X889" s="223" t="str">
        <f t="array" ref="X889:X890">{"ARMORSPECIALL17";((IF("17"=INDEX(ALLCLASSDATA,MATCH("ArmorSpecialization",CLASSFEATUREHEADERS,0),MATCH($A890,CLASSNAMEHEADERS,0)),ArmorAS,"")))}</f>
        <v>ARMORSPECIALL17</v>
      </c>
      <c r="Y889" s="223"/>
      <c r="Z889" s="223" t="str">
        <f t="array" ref="Z889:Z890">{"ARMORSPECIALL19";((IF("19"=INDEX(ALLCLASSDATA,MATCH("ArmorSpecialization",CLASSFEATUREHEADERS,0),MATCH($A890,CLASSNAMEHEADERS,0)),ArmorAS,"")))}</f>
        <v>ARMORSPECIALL19</v>
      </c>
      <c r="AA889" s="223"/>
      <c r="AB889" s="76"/>
      <c r="AC889" s="76" t="str">
        <f t="array" ref="AC889:AC890">{"ARMORSPECIAL TOTAL";(sum(G890:AA890))}</f>
        <v>ARMORSPECIAL TOTAL</v>
      </c>
    </row>
    <row r="890">
      <c r="A890" s="48" t="s">
        <v>180</v>
      </c>
      <c r="B890" s="48"/>
      <c r="C890" s="48" t="s">
        <v>413</v>
      </c>
      <c r="D890" s="48" t="s">
        <v>1900</v>
      </c>
      <c r="E890" s="48" t="s">
        <v>51</v>
      </c>
      <c r="F890" s="5"/>
      <c r="G890" s="47"/>
      <c r="H890" s="5" t="s">
        <v>603</v>
      </c>
      <c r="I890" s="5"/>
      <c r="J890" s="5" t="s">
        <v>603</v>
      </c>
      <c r="K890" s="5"/>
      <c r="L890" s="5" t="s">
        <v>603</v>
      </c>
      <c r="M890" s="5"/>
      <c r="N890" s="5" t="s">
        <v>603</v>
      </c>
      <c r="O890" s="5"/>
      <c r="P890" s="5" t="s">
        <v>603</v>
      </c>
      <c r="Q890" s="5"/>
      <c r="R890" s="5" t="s">
        <v>603</v>
      </c>
      <c r="S890" s="5"/>
      <c r="T890" s="5" t="s">
        <v>603</v>
      </c>
      <c r="U890" s="5"/>
      <c r="V890" s="5" t="s">
        <v>603</v>
      </c>
      <c r="W890" s="5"/>
      <c r="X890" s="5" t="s">
        <v>603</v>
      </c>
      <c r="Y890" s="5"/>
      <c r="Z890" s="5" t="s">
        <v>603</v>
      </c>
      <c r="AA890" s="5"/>
      <c r="AB890" s="5"/>
      <c r="AC890" s="47">
        <v>0.0</v>
      </c>
    </row>
    <row r="891" hidden="1">
      <c r="A891" s="222" t="str">
        <f t="array" ref="A891:A892">{"FormulaRow35";(INDEX(CLASSLIST,A822,1))}</f>
        <v>FormulaRow35</v>
      </c>
      <c r="B891" s="77" t="s">
        <v>236</v>
      </c>
      <c r="C891" s="222" t="str">
        <f t="array" ref="C891:C892">{"CLASSTYPE";((INDEX(ALLCLASSDATA,MATCH("ClassType",CLASSFEATUREHEADERS,0),MATCH($A892,CLASSNAMEHEADERS,0))))}</f>
        <v>CLASSTYPE</v>
      </c>
      <c r="D891" s="222" t="str">
        <f t="array" ref="D891:D892">{"DEFENSE";"Defense"}</f>
        <v>DEFENSE</v>
      </c>
      <c r="E891" s="222" t="str">
        <f t="array" ref="E891:E892">{"UNARMORED";"Unarmored"}</f>
        <v>UNARMORED</v>
      </c>
      <c r="F891" s="223" t="str">
        <f t="array" ref="F891:F892">{"UNARMOREDINITIAL";((IF(H892=10,"T",(IF(H892=50,"E","")))))}</f>
        <v>UNARMOREDINITIAL</v>
      </c>
      <c r="G891" s="223" t="str">
        <f t="array" ref="G891:G892">{"UNARMOREDINITIALPTS";((IF("00"=(INDEX(ALLCLASSDATA,MATCH("UnarmoredLegendary",CLASSFEATUREHEADERS,0),MATCH($A892,CLASSNAMEHEADERS,0))),(INDEX(ALLCLASSDATA,MATCH("UnarmoredLegendary",CLASSFEATUREHEADERS,0),MATCH(($A892 &amp; "Points"),CLASSNAMEHEADERS,0))),(IF("00"=(INDEX(ALLCLASSDATA,MATCH("UnarmoredMaster",CLASSFEATUREHEADERS,0),MATCH($A892,CLASSNAMEHEADERS,0))),(INDEX(ALLCLASSDATA,MATCH("UnarmoredMaster",CLASSFEATUREHEADERS,0),MATCH(($A892 &amp; "Points"),CLASSNAMEHEADERS,0))),(IF("00"=(INDEX(ALLCLASSDATA,MATCH("UnarmoredExpert",CLASSFEATUREHEADERS,0),MATCH($A892,CLASSNAMEHEADERS,0))),(INDEX(ALLCLASSDATA,MATCH("UnarmoredExpert",CLASSFEATUREHEADERS,0),MATCH(($A892 &amp; "Points"),CLASSNAMEHEADERS,0))),(IF("00"=(INDEX(ALLCLASSDATA,MATCH("UnarmoredTrained",CLASSFEATUREHEADERS,0),MATCH($A892,CLASSNAMEHEADERS,0))),(INDEX(ALLCLASSDATA,MATCH("UnarmoredTrained",CLASSFEATUREHEADERS,0),MATCH(($A892 &amp; "Points"),CLASSNAMEHEADERS,0))),"")))))))))}</f>
        <v>UNARMOREDINITIALPTS</v>
      </c>
      <c r="H891" s="223" t="str">
        <f t="array" ref="H891:H892">{"UNARMOREDL01";((IF("01"=(INDEX(ALLCLASSDATA,MATCH("UnarmoredLegendary",CLASSFEATUREHEADERS,0),MATCH($A892,CLASSNAMEHEADERS,0))),(INDEX(ALLCLASSDATA,MATCH("UnarmoredLegendary",CLASSFEATUREHEADERS,0),MATCH(($A892 &amp; "Points"),CLASSNAMEHEADERS,0))),(IF("01"=(INDEX(ALLCLASSDATA,MATCH("UnarmoredMaster",CLASSFEATUREHEADERS,0),MATCH($A892,CLASSNAMEHEADERS,0))),(INDEX(ALLCLASSDATA,MATCH("UnarmoredMaster",CLASSFEATUREHEADERS,0),MATCH(($A892 &amp; "Points"),CLASSNAMEHEADERS,0))),(IF("01"=(INDEX(ALLCLASSDATA,MATCH("UnarmoredExpert",CLASSFEATUREHEADERS,0),MATCH($A892,CLASSNAMEHEADERS,0))),(INDEX(ALLCLASSDATA,MATCH("UnarmoredExpert",CLASSFEATUREHEADERS,0),MATCH(($A892 &amp; "Points"),CLASSNAMEHEADERS,0))),(IF("01"=(INDEX(ALLCLASSDATA,MATCH("UnarmoredTrained",CLASSFEATUREHEADERS,0),MATCH($A892,CLASSNAMEHEADERS,0))),(INDEX(ALLCLASSDATA,MATCH("UnarmoredTrained",CLASSFEATUREHEADERS,0),MATCH(($A892 &amp; "Points"),CLASSNAMEHEADERS,0))),"")))))))))}</f>
        <v>UNARMOREDL01</v>
      </c>
      <c r="I891" s="223"/>
      <c r="J891" s="223" t="str">
        <f t="array" ref="J891:J892">{"UNARMOREDL03";((IF("03"=(INDEX(ALLCLASSDATA,MATCH("UnarmoredLegendary",CLASSFEATUREHEADERS,0),MATCH($A892,CLASSNAMEHEADERS,0))),(INDEX(ALLCLASSDATA,MATCH("UnarmoredLegendary",CLASSFEATUREHEADERS,0),MATCH(($A892 &amp; "Points"),CLASSNAMEHEADERS,0))),(IF("03"=(INDEX(ALLCLASSDATA,MATCH("UnarmoredMaster",CLASSFEATUREHEADERS,0),MATCH($A892,CLASSNAMEHEADERS,0))),(INDEX(ALLCLASSDATA,MATCH("UnarmoredMaster",CLASSFEATUREHEADERS,0),MATCH(($A892 &amp; "Points"),CLASSNAMEHEADERS,0))),(IF("03"=(INDEX(ALLCLASSDATA,MATCH("UnarmoredExpert",CLASSFEATUREHEADERS,0),MATCH($A892,CLASSNAMEHEADERS,0))),(INDEX(ALLCLASSDATA,MATCH("UnarmoredExpert",CLASSFEATUREHEADERS,0),MATCH(($A892 &amp; "Points"),CLASSNAMEHEADERS,0))),(IF("03"=(INDEX(ALLCLASSDATA,MATCH("UnarmoredTrained",CLASSFEATUREHEADERS,0),MATCH($A892,CLASSNAMEHEADERS,0))),(INDEX(ALLCLASSDATA,MATCH("UnarmoredTrained",CLASSFEATUREHEADERS,0),MATCH(($A892 &amp; "Points"),CLASSNAMEHEADERS,0))),"")))))))))}</f>
        <v>UNARMOREDL03</v>
      </c>
      <c r="K891" s="223"/>
      <c r="L891" s="223" t="str">
        <f t="array" ref="L891:L892">{"UNARMOREDL05";((IF("05"=(INDEX(ALLCLASSDATA,MATCH("UnarmoredLegendary",CLASSFEATUREHEADERS,0),MATCH($A892,CLASSNAMEHEADERS,0))),(INDEX(ALLCLASSDATA,MATCH("UnarmoredLegendary",CLASSFEATUREHEADERS,0),MATCH(($A892 &amp; "Points"),CLASSNAMEHEADERS,0))),(IF("05"=(INDEX(ALLCLASSDATA,MATCH("UnarmoredMaster",CLASSFEATUREHEADERS,0),MATCH($A892,CLASSNAMEHEADERS,0))),(INDEX(ALLCLASSDATA,MATCH("UnarmoredMaster",CLASSFEATUREHEADERS,0),MATCH(($A892 &amp; "Points"),CLASSNAMEHEADERS,0))),(IF("05"=(INDEX(ALLCLASSDATA,MATCH("UnarmoredExpert",CLASSFEATUREHEADERS,0),MATCH($A892,CLASSNAMEHEADERS,0))),(INDEX(ALLCLASSDATA,MATCH("UnarmoredExpert",CLASSFEATUREHEADERS,0),MATCH(($A892 &amp; "Points"),CLASSNAMEHEADERS,0))),(IF("05"=(INDEX(ALLCLASSDATA,MATCH("UnarmoredTrained",CLASSFEATUREHEADERS,0),MATCH($A892,CLASSNAMEHEADERS,0))),(INDEX(ALLCLASSDATA,MATCH("UnarmoredTrained",CLASSFEATUREHEADERS,0),MATCH(($A892 &amp; "Points"),CLASSNAMEHEADERS,0))),"")))))))))}</f>
        <v>UNARMOREDL05</v>
      </c>
      <c r="M891" s="223"/>
      <c r="N891" s="223" t="str">
        <f t="array" ref="N891:N892">{"UNARMOREDL07";((IF("07"=(INDEX(ALLCLASSDATA,MATCH("UnarmoredLegendary",CLASSFEATUREHEADERS,0),MATCH($A892,CLASSNAMEHEADERS,0))),(INDEX(ALLCLASSDATA,MATCH("UnarmoredLegendary",CLASSFEATUREHEADERS,0),MATCH(($A892 &amp; "Points"),CLASSNAMEHEADERS,0))),(IF("07"=(INDEX(ALLCLASSDATA,MATCH("UnarmoredMaster",CLASSFEATUREHEADERS,0),MATCH($A892,CLASSNAMEHEADERS,0))),(INDEX(ALLCLASSDATA,MATCH("UnarmoredMaster",CLASSFEATUREHEADERS,0),MATCH(($A892 &amp; "Points"),CLASSNAMEHEADERS,0))),(IF("07"=(INDEX(ALLCLASSDATA,MATCH("UnarmoredExpert",CLASSFEATUREHEADERS,0),MATCH($A892,CLASSNAMEHEADERS,0))),(INDEX(ALLCLASSDATA,MATCH("UnarmoredExpert",CLASSFEATUREHEADERS,0),MATCH(($A892 &amp; "Points"),CLASSNAMEHEADERS,0))),(IF("07"=(INDEX(ALLCLASSDATA,MATCH("UnarmoredTrained",CLASSFEATUREHEADERS,0),MATCH($A892,CLASSNAMEHEADERS,0))),(INDEX(ALLCLASSDATA,MATCH("UnarmoredTrained",CLASSFEATUREHEADERS,0),MATCH(($A892 &amp; "Points"),CLASSNAMEHEADERS,0))),"")))))))))}</f>
        <v>UNARMOREDL07</v>
      </c>
      <c r="O891" s="223"/>
      <c r="P891" s="223" t="str">
        <f t="array" ref="P891:P892">{"UNARMOREDL09";((IF("09"=(INDEX(ALLCLASSDATA,MATCH("UnarmoredLegendary",CLASSFEATUREHEADERS,0),MATCH($A892,CLASSNAMEHEADERS,0))),(INDEX(ALLCLASSDATA,MATCH("UnarmoredLegendary",CLASSFEATUREHEADERS,0),MATCH(($A892 &amp; "Points"),CLASSNAMEHEADERS,0))),(IF("09"=(INDEX(ALLCLASSDATA,MATCH("UnarmoredMaster",CLASSFEATUREHEADERS,0),MATCH($A892,CLASSNAMEHEADERS,0))),(INDEX(ALLCLASSDATA,MATCH("UnarmoredMaster",CLASSFEATUREHEADERS,0),MATCH(($A892 &amp; "Points"),CLASSNAMEHEADERS,0))),(IF("09"=(INDEX(ALLCLASSDATA,MATCH("UnarmoredExpert",CLASSFEATUREHEADERS,0),MATCH($A892,CLASSNAMEHEADERS,0))),(INDEX(ALLCLASSDATA,MATCH("UnarmoredExpert",CLASSFEATUREHEADERS,0),MATCH(($A892 &amp; "Points"),CLASSNAMEHEADERS,0))),(IF("09"=(INDEX(ALLCLASSDATA,MATCH("UnarmoredTrained",CLASSFEATUREHEADERS,0),MATCH($A892,CLASSNAMEHEADERS,0))),(INDEX(ALLCLASSDATA,MATCH("UnarmoredTrained",CLASSFEATUREHEADERS,0),MATCH(($A892 &amp; "Points"),CLASSNAMEHEADERS,0))),"")))))))))}</f>
        <v>UNARMOREDL09</v>
      </c>
      <c r="Q891" s="223"/>
      <c r="R891" s="223" t="str">
        <f t="array" ref="R891:R892">{"UNARMOREDL11";((IF("11"=(INDEX(ALLCLASSDATA,MATCH("UnarmoredLegendary",CLASSFEATUREHEADERS,0),MATCH($A892,CLASSNAMEHEADERS,0))),(INDEX(ALLCLASSDATA,MATCH("UnarmoredLegendary",CLASSFEATUREHEADERS,0),MATCH(($A892 &amp; "Points"),CLASSNAMEHEADERS,0))),(IF("11"=(INDEX(ALLCLASSDATA,MATCH("UnarmoredMaster",CLASSFEATUREHEADERS,0),MATCH($A892,CLASSNAMEHEADERS,0))),(INDEX(ALLCLASSDATA,MATCH("UnarmoredMaster",CLASSFEATUREHEADERS,0),MATCH(($A892 &amp; "Points"),CLASSNAMEHEADERS,0))),(IF("11"=(INDEX(ALLCLASSDATA,MATCH("UnarmoredExpert",CLASSFEATUREHEADERS,0),MATCH($A892,CLASSNAMEHEADERS,0))),(INDEX(ALLCLASSDATA,MATCH("UnarmoredExpert",CLASSFEATUREHEADERS,0),MATCH(($A892 &amp; "Points"),CLASSNAMEHEADERS,0))),(IF("11"=(INDEX(ALLCLASSDATA,MATCH("UnarmoredTrained",CLASSFEATUREHEADERS,0),MATCH($A892,CLASSNAMEHEADERS,0))),(INDEX(ALLCLASSDATA,MATCH("UnarmoredTrained",CLASSFEATUREHEADERS,0),MATCH(($A892 &amp; "Points"),CLASSNAMEHEADERS,0))),"")))))))))}</f>
        <v>UNARMOREDL11</v>
      </c>
      <c r="S891" s="223"/>
      <c r="T891" s="223" t="str">
        <f t="array" ref="T891:T892">{"UNARMOREDL13";((IF("13"=(INDEX(ALLCLASSDATA,MATCH("UnarmoredLegendary",CLASSFEATUREHEADERS,0),MATCH($A892,CLASSNAMEHEADERS,0))),(INDEX(ALLCLASSDATA,MATCH("UnarmoredLegendary",CLASSFEATUREHEADERS,0),MATCH(($A892 &amp; "Points"),CLASSNAMEHEADERS,0))),(IF("13"=(INDEX(ALLCLASSDATA,MATCH("UnarmoredMaster",CLASSFEATUREHEADERS,0),MATCH($A892,CLASSNAMEHEADERS,0))),(INDEX(ALLCLASSDATA,MATCH("UnarmoredMaster",CLASSFEATUREHEADERS,0),MATCH(($A892 &amp; "Points"),CLASSNAMEHEADERS,0))),(IF("13"=(INDEX(ALLCLASSDATA,MATCH("UnarmoredExpert",CLASSFEATUREHEADERS,0),MATCH($A892,CLASSNAMEHEADERS,0))),(INDEX(ALLCLASSDATA,MATCH("UnarmoredExpert",CLASSFEATUREHEADERS,0),MATCH(($A892 &amp; "Points"),CLASSNAMEHEADERS,0))),(IF("13"=(INDEX(ALLCLASSDATA,MATCH("UnarmoredTrained",CLASSFEATUREHEADERS,0),MATCH($A892,CLASSNAMEHEADERS,0))),(INDEX(ALLCLASSDATA,MATCH("UnarmoredTrained",CLASSFEATUREHEADERS,0),MATCH(($A892 &amp; "Points"),CLASSNAMEHEADERS,0))),"")))))))))}</f>
        <v>UNARMOREDL13</v>
      </c>
      <c r="U891" s="223"/>
      <c r="V891" s="223" t="str">
        <f t="array" ref="V891:V892">{"UNARMOREDL15";((IF("15"=(INDEX(ALLCLASSDATA,MATCH("UnarmoredLegendary",CLASSFEATUREHEADERS,0),MATCH($A892,CLASSNAMEHEADERS,0))),(INDEX(ALLCLASSDATA,MATCH("UnarmoredLegendary",CLASSFEATUREHEADERS,0),MATCH(($A892 &amp; "Points"),CLASSNAMEHEADERS,0))),(IF("15"=(INDEX(ALLCLASSDATA,MATCH("UnarmoredMaster",CLASSFEATUREHEADERS,0),MATCH($A892,CLASSNAMEHEADERS,0))),(INDEX(ALLCLASSDATA,MATCH("UnarmoredMaster",CLASSFEATUREHEADERS,0),MATCH(($A892 &amp; "Points"),CLASSNAMEHEADERS,0))),(IF("15"=(INDEX(ALLCLASSDATA,MATCH("UnarmoredExpert",CLASSFEATUREHEADERS,0),MATCH($A892,CLASSNAMEHEADERS,0))),(INDEX(ALLCLASSDATA,MATCH("UnarmoredExpert",CLASSFEATUREHEADERS,0),MATCH(($A892 &amp; "Points"),CLASSNAMEHEADERS,0))),(IF("15"=(INDEX(ALLCLASSDATA,MATCH("UnarmoredTrained",CLASSFEATUREHEADERS,0),MATCH($A892,CLASSNAMEHEADERS,0))),(INDEX(ALLCLASSDATA,MATCH("UnarmoredTrained",CLASSFEATUREHEADERS,0),MATCH(($A892 &amp; "Points"),CLASSNAMEHEADERS,0))),"")))))))))}</f>
        <v>UNARMOREDL15</v>
      </c>
      <c r="W891" s="223"/>
      <c r="X891" s="223" t="str">
        <f t="array" ref="X891:X892">{"UNARMOREDL17";((IF("17"=(INDEX(ALLCLASSDATA,MATCH("UnarmoredLegendary",CLASSFEATUREHEADERS,0),MATCH($A892,CLASSNAMEHEADERS,0))),(INDEX(ALLCLASSDATA,MATCH("UnarmoredLegendary",CLASSFEATUREHEADERS,0),MATCH(($A892 &amp; "Points"),CLASSNAMEHEADERS,0))),(IF("17"=(INDEX(ALLCLASSDATA,MATCH("UnarmoredMaster",CLASSFEATUREHEADERS,0),MATCH($A892,CLASSNAMEHEADERS,0))),(INDEX(ALLCLASSDATA,MATCH("UnarmoredMaster",CLASSFEATUREHEADERS,0),MATCH(($A892 &amp; "Points"),CLASSNAMEHEADERS,0))),(IF("17"=(INDEX(ALLCLASSDATA,MATCH("UnarmoredExpert",CLASSFEATUREHEADERS,0),MATCH($A892,CLASSNAMEHEADERS,0))),(INDEX(ALLCLASSDATA,MATCH("UnarmoredExpert",CLASSFEATUREHEADERS,0),MATCH(($A892 &amp; "Points"),CLASSNAMEHEADERS,0))),(IF("17"=(INDEX(ALLCLASSDATA,MATCH("UnarmoredTrained",CLASSFEATUREHEADERS,0),MATCH($A892,CLASSNAMEHEADERS,0))),(INDEX(ALLCLASSDATA,MATCH("UnarmoredTrained",CLASSFEATUREHEADERS,0),MATCH(($A892 &amp; "Points"),CLASSNAMEHEADERS,0))),"")))))))))}</f>
        <v>UNARMOREDL17</v>
      </c>
      <c r="Y891" s="223"/>
      <c r="Z891" s="223" t="str">
        <f t="array" ref="Z891:Z892">{"UNARMOREDL19";((IF("19"=(INDEX(ALLCLASSDATA,MATCH("UnarmoredLegendary",CLASSFEATUREHEADERS,0),MATCH($A892,CLASSNAMEHEADERS,0))),(INDEX(ALLCLASSDATA,MATCH("UnarmoredLegendary",CLASSFEATUREHEADERS,0),MATCH(($A892 &amp; "Points"),CLASSNAMEHEADERS,0))),(IF("19"=(INDEX(ALLCLASSDATA,MATCH("UnarmoredMaster",CLASSFEATUREHEADERS,0),MATCH($A892,CLASSNAMEHEADERS,0))),(INDEX(ALLCLASSDATA,MATCH("UnarmoredMaster",CLASSFEATUREHEADERS,0),MATCH(($A892 &amp; "Points"),CLASSNAMEHEADERS,0))),(IF("19"=(INDEX(ALLCLASSDATA,MATCH("UnarmoredExpert",CLASSFEATUREHEADERS,0),MATCH($A892,CLASSNAMEHEADERS,0))),(INDEX(ALLCLASSDATA,MATCH("UnarmoredExpert",CLASSFEATUREHEADERS,0),MATCH(($A892 &amp; "Points"),CLASSNAMEHEADERS,0))),(IF("19"=(INDEX(ALLCLASSDATA,MATCH("UnarmoredTrained",CLASSFEATUREHEADERS,0),MATCH($A892,CLASSNAMEHEADERS,0))),(INDEX(ALLCLASSDATA,MATCH("UnarmoredTrained",CLASSFEATUREHEADERS,0),MATCH(($A892 &amp; "Points"),CLASSNAMEHEADERS,0))),"")))))))))}</f>
        <v>UNARMOREDL19</v>
      </c>
      <c r="AA891" s="223"/>
      <c r="AB891" s="76" t="str">
        <f t="array" ref="AB891:AB892">{"UNARMORED TOTAL";(IF(COUNTBLANK(G892:AA892)=17,"L",(IF(COUNTBLANK(G892:AA892)=18,"M",(IF(COUNTBLANK(G892:AA892)=19,"E",(IF(COUNTBLANK(G892:AA892)=20,"T",""))))))))}</f>
        <v>UNARMORED TOTAL</v>
      </c>
      <c r="AC891" s="76" t="str">
        <f t="array" ref="AC891:AC892">{"UNARMORED TOTAL";(sum(G892:AA892))}</f>
        <v>UNARMORED TOTAL</v>
      </c>
    </row>
    <row r="892">
      <c r="A892" s="48" t="s">
        <v>180</v>
      </c>
      <c r="B892" s="48"/>
      <c r="C892" s="48" t="s">
        <v>413</v>
      </c>
      <c r="D892" s="48" t="s">
        <v>1900</v>
      </c>
      <c r="E892" s="48" t="s">
        <v>78</v>
      </c>
      <c r="F892" s="5" t="s">
        <v>435</v>
      </c>
      <c r="G892" s="47" t="s">
        <v>603</v>
      </c>
      <c r="H892" s="5">
        <v>10.0</v>
      </c>
      <c r="I892" s="5"/>
      <c r="J892" s="5" t="s">
        <v>603</v>
      </c>
      <c r="K892" s="5"/>
      <c r="L892" s="5" t="s">
        <v>603</v>
      </c>
      <c r="M892" s="5"/>
      <c r="N892" s="5" t="s">
        <v>603</v>
      </c>
      <c r="O892" s="5"/>
      <c r="P892" s="5" t="s">
        <v>603</v>
      </c>
      <c r="Q892" s="5"/>
      <c r="R892" s="5" t="s">
        <v>603</v>
      </c>
      <c r="S892" s="5"/>
      <c r="T892" s="5" t="s">
        <v>436</v>
      </c>
      <c r="U892" s="5"/>
      <c r="V892" s="5" t="s">
        <v>603</v>
      </c>
      <c r="W892" s="5"/>
      <c r="X892" s="5" t="s">
        <v>603</v>
      </c>
      <c r="Y892" s="5"/>
      <c r="Z892" s="5" t="s">
        <v>437</v>
      </c>
      <c r="AA892" s="5"/>
      <c r="AB892" s="5" t="s">
        <v>437</v>
      </c>
      <c r="AC892" s="47">
        <v>10.0</v>
      </c>
    </row>
    <row r="893" hidden="1">
      <c r="A893" s="222" t="str">
        <f t="array" ref="A893:A894">{"FormulaRow36";(INDEX(CLASSLIST,A822,1))}</f>
        <v>FormulaRow36</v>
      </c>
      <c r="B893" s="77" t="s">
        <v>236</v>
      </c>
      <c r="C893" s="222" t="str">
        <f t="array" ref="C893:C894">{"CLASSTYPE";((INDEX(ALLCLASSDATA,MATCH("ClassType",CLASSFEATUREHEADERS,0),MATCH($A894,CLASSNAMEHEADERS,0))))}</f>
        <v>CLASSTYPE</v>
      </c>
      <c r="D893" s="222" t="str">
        <f t="array" ref="D893:D894">{"DEFENSE";"Defense"}</f>
        <v>DEFENSE</v>
      </c>
      <c r="E893" s="222" t="str">
        <f t="array" ref="E893:E894">{"LIGHT";"Light"}</f>
        <v>LIGHT</v>
      </c>
      <c r="F893" s="223" t="str">
        <f t="array" ref="F893:F894">{"LIGHTINITIAL";((IF(H894=10,"T",(IF(H894=50,"E","")))))}</f>
        <v>LIGHTINITIAL</v>
      </c>
      <c r="G893" s="223" t="str">
        <f t="array" ref="G893:G894">{"LIGHTINITIALPTS";((IF("00"=(INDEX(ALLCLASSDATA,MATCH("LightLegendary",CLASSFEATUREHEADERS,0),MATCH($A894,CLASSNAMEHEADERS,0))),(INDEX(ALLCLASSDATA,MATCH("LightLegendary",CLASSFEATUREHEADERS,0),MATCH(($A894 &amp; "Points"),CLASSNAMEHEADERS,0))),(IF("00"=(INDEX(ALLCLASSDATA,MATCH("LightMaster",CLASSFEATUREHEADERS,0),MATCH($A894,CLASSNAMEHEADERS,0))),(INDEX(ALLCLASSDATA,MATCH("LightMaster",CLASSFEATUREHEADERS,0),MATCH(($A894 &amp; "Points"),CLASSNAMEHEADERS,0))),(IF("00"=(INDEX(ALLCLASSDATA,MATCH("LightExpert",CLASSFEATUREHEADERS,0),MATCH($A894,CLASSNAMEHEADERS,0))),(INDEX(ALLCLASSDATA,MATCH("LightExpert",CLASSFEATUREHEADERS,0),MATCH(($A894 &amp; "Points"),CLASSNAMEHEADERS,0))),(IF("00"=(INDEX(ALLCLASSDATA,MATCH("LightTrained",CLASSFEATUREHEADERS,0),MATCH($A894,CLASSNAMEHEADERS,0))),(INDEX(ALLCLASSDATA,MATCH("LightTrained",CLASSFEATUREHEADERS,0),MATCH(($A894 &amp; "Points"),CLASSNAMEHEADERS,0))),"")))))))))}</f>
        <v>LIGHTINITIALPTS</v>
      </c>
      <c r="H893" s="223" t="str">
        <f t="array" ref="H893:H894">{"LIGHTL01";((IF("01"=(INDEX(ALLCLASSDATA,MATCH("LightLegendary",CLASSFEATUREHEADERS,0),MATCH($A894,CLASSNAMEHEADERS,0))),(INDEX(ALLCLASSDATA,MATCH("LightLegendary",CLASSFEATUREHEADERS,0),MATCH(($A894 &amp; "Points"),CLASSNAMEHEADERS,0))),(IF("01"=(INDEX(ALLCLASSDATA,MATCH("LightMaster",CLASSFEATUREHEADERS,0),MATCH($A894,CLASSNAMEHEADERS,0))),(INDEX(ALLCLASSDATA,MATCH("LightMaster",CLASSFEATUREHEADERS,0),MATCH(($A894 &amp; "Points"),CLASSNAMEHEADERS,0))),(IF("01"=(INDEX(ALLCLASSDATA,MATCH("LightExpert",CLASSFEATUREHEADERS,0),MATCH($A894,CLASSNAMEHEADERS,0))),(INDEX(ALLCLASSDATA,MATCH("LightExpert",CLASSFEATUREHEADERS,0),MATCH(($A894 &amp; "Points"),CLASSNAMEHEADERS,0))),(IF("01"=(INDEX(ALLCLASSDATA,MATCH("LightTrained",CLASSFEATUREHEADERS,0),MATCH($A894,CLASSNAMEHEADERS,0))),(INDEX(ALLCLASSDATA,MATCH("LightTrained",CLASSFEATUREHEADERS,0),MATCH(($A894 &amp; "Points"),CLASSNAMEHEADERS,0))),"")))))))))}</f>
        <v>LIGHTL01</v>
      </c>
      <c r="I893" s="223"/>
      <c r="J893" s="223" t="str">
        <f t="array" ref="J893:J894">{"LIGHTL03";((IF("03"=(INDEX(ALLCLASSDATA,MATCH("LightLegendary",CLASSFEATUREHEADERS,0),MATCH($A894,CLASSNAMEHEADERS,0))),(INDEX(ALLCLASSDATA,MATCH("LightLegendary",CLASSFEATUREHEADERS,0),MATCH(($A894 &amp; "Points"),CLASSNAMEHEADERS,0))),(IF("03"=(INDEX(ALLCLASSDATA,MATCH("LightMaster",CLASSFEATUREHEADERS,0),MATCH($A894,CLASSNAMEHEADERS,0))),(INDEX(ALLCLASSDATA,MATCH("LightMaster",CLASSFEATUREHEADERS,0),MATCH(($A894 &amp; "Points"),CLASSNAMEHEADERS,0))),(IF("03"=(INDEX(ALLCLASSDATA,MATCH("LightExpert",CLASSFEATUREHEADERS,0),MATCH($A894,CLASSNAMEHEADERS,0))),(INDEX(ALLCLASSDATA,MATCH("LightExpert",CLASSFEATUREHEADERS,0),MATCH(($A894 &amp; "Points"),CLASSNAMEHEADERS,0))),(IF("03"=(INDEX(ALLCLASSDATA,MATCH("LightTrained",CLASSFEATUREHEADERS,0),MATCH($A894,CLASSNAMEHEADERS,0))),(INDEX(ALLCLASSDATA,MATCH("LightTrained",CLASSFEATUREHEADERS,0),MATCH(($A894 &amp; "Points"),CLASSNAMEHEADERS,0))),"")))))))))}</f>
        <v>LIGHTL03</v>
      </c>
      <c r="K893" s="223"/>
      <c r="L893" s="223" t="str">
        <f t="array" ref="L893:L894">{"LIGHTL05";((IF("05"=(INDEX(ALLCLASSDATA,MATCH("LightLegendary",CLASSFEATUREHEADERS,0),MATCH($A894,CLASSNAMEHEADERS,0))),(INDEX(ALLCLASSDATA,MATCH("LightLegendary",CLASSFEATUREHEADERS,0),MATCH(($A894 &amp; "Points"),CLASSNAMEHEADERS,0))),(IF("05"=(INDEX(ALLCLASSDATA,MATCH("LightMaster",CLASSFEATUREHEADERS,0),MATCH($A894,CLASSNAMEHEADERS,0))),(INDEX(ALLCLASSDATA,MATCH("LightMaster",CLASSFEATUREHEADERS,0),MATCH(($A894 &amp; "Points"),CLASSNAMEHEADERS,0))),(IF("05"=(INDEX(ALLCLASSDATA,MATCH("LightExpert",CLASSFEATUREHEADERS,0),MATCH($A894,CLASSNAMEHEADERS,0))),(INDEX(ALLCLASSDATA,MATCH("LightExpert",CLASSFEATUREHEADERS,0),MATCH(($A894 &amp; "Points"),CLASSNAMEHEADERS,0))),(IF("05"=(INDEX(ALLCLASSDATA,MATCH("LightTrained",CLASSFEATUREHEADERS,0),MATCH($A894,CLASSNAMEHEADERS,0))),(INDEX(ALLCLASSDATA,MATCH("LightTrained",CLASSFEATUREHEADERS,0),MATCH(($A894 &amp; "Points"),CLASSNAMEHEADERS,0))),"")))))))))}</f>
        <v>LIGHTL05</v>
      </c>
      <c r="M893" s="223"/>
      <c r="N893" s="223" t="str">
        <f t="array" ref="N893:N894">{"LIGHTL07";((IF("07"=(INDEX(ALLCLASSDATA,MATCH("LightLegendary",CLASSFEATUREHEADERS,0),MATCH($A894,CLASSNAMEHEADERS,0))),(INDEX(ALLCLASSDATA,MATCH("LightLegendary",CLASSFEATUREHEADERS,0),MATCH(($A894 &amp; "Points"),CLASSNAMEHEADERS,0))),(IF("07"=(INDEX(ALLCLASSDATA,MATCH("LightMaster",CLASSFEATUREHEADERS,0),MATCH($A894,CLASSNAMEHEADERS,0))),(INDEX(ALLCLASSDATA,MATCH("LightMaster",CLASSFEATUREHEADERS,0),MATCH(($A894 &amp; "Points"),CLASSNAMEHEADERS,0))),(IF("07"=(INDEX(ALLCLASSDATA,MATCH("LightExpert",CLASSFEATUREHEADERS,0),MATCH($A894,CLASSNAMEHEADERS,0))),(INDEX(ALLCLASSDATA,MATCH("LightExpert",CLASSFEATUREHEADERS,0),MATCH(($A894 &amp; "Points"),CLASSNAMEHEADERS,0))),(IF("07"=(INDEX(ALLCLASSDATA,MATCH("LightTrained",CLASSFEATUREHEADERS,0),MATCH($A894,CLASSNAMEHEADERS,0))),(INDEX(ALLCLASSDATA,MATCH("LightTrained",CLASSFEATUREHEADERS,0),MATCH(($A894 &amp; "Points"),CLASSNAMEHEADERS,0))),"")))))))))}</f>
        <v>LIGHTL07</v>
      </c>
      <c r="O893" s="223"/>
      <c r="P893" s="223" t="str">
        <f t="array" ref="P893:P894">{"LIGHTL09";((IF("09"=(INDEX(ALLCLASSDATA,MATCH("LightLegendary",CLASSFEATUREHEADERS,0),MATCH($A894,CLASSNAMEHEADERS,0))),(INDEX(ALLCLASSDATA,MATCH("LightLegendary",CLASSFEATUREHEADERS,0),MATCH(($A894 &amp; "Points"),CLASSNAMEHEADERS,0))),(IF("09"=(INDEX(ALLCLASSDATA,MATCH("LightMaster",CLASSFEATUREHEADERS,0),MATCH($A894,CLASSNAMEHEADERS,0))),(INDEX(ALLCLASSDATA,MATCH("LightMaster",CLASSFEATUREHEADERS,0),MATCH(($A894 &amp; "Points"),CLASSNAMEHEADERS,0))),(IF("09"=(INDEX(ALLCLASSDATA,MATCH("LightExpert",CLASSFEATUREHEADERS,0),MATCH($A894,CLASSNAMEHEADERS,0))),(INDEX(ALLCLASSDATA,MATCH("LightExpert",CLASSFEATUREHEADERS,0),MATCH(($A894 &amp; "Points"),CLASSNAMEHEADERS,0))),(IF("09"=(INDEX(ALLCLASSDATA,MATCH("LightTrained",CLASSFEATUREHEADERS,0),MATCH($A894,CLASSNAMEHEADERS,0))),(INDEX(ALLCLASSDATA,MATCH("LightTrained",CLASSFEATUREHEADERS,0),MATCH(($A894 &amp; "Points"),CLASSNAMEHEADERS,0))),"")))))))))}</f>
        <v>LIGHTL09</v>
      </c>
      <c r="Q893" s="223"/>
      <c r="R893" s="223" t="str">
        <f t="array" ref="R893:R894">{"LIGHTL11";((IF("11"=(INDEX(ALLCLASSDATA,MATCH("LightLegendary",CLASSFEATUREHEADERS,0),MATCH($A894,CLASSNAMEHEADERS,0))),(INDEX(ALLCLASSDATA,MATCH("LightLegendary",CLASSFEATUREHEADERS,0),MATCH(($A894 &amp; "Points"),CLASSNAMEHEADERS,0))),(IF("11"=(INDEX(ALLCLASSDATA,MATCH("LightMaster",CLASSFEATUREHEADERS,0),MATCH($A894,CLASSNAMEHEADERS,0))),(INDEX(ALLCLASSDATA,MATCH("LightMaster",CLASSFEATUREHEADERS,0),MATCH(($A894 &amp; "Points"),CLASSNAMEHEADERS,0))),(IF("11"=(INDEX(ALLCLASSDATA,MATCH("LightExpert",CLASSFEATUREHEADERS,0),MATCH($A894,CLASSNAMEHEADERS,0))),(INDEX(ALLCLASSDATA,MATCH("LightExpert",CLASSFEATUREHEADERS,0),MATCH(($A894 &amp; "Points"),CLASSNAMEHEADERS,0))),(IF("11"=(INDEX(ALLCLASSDATA,MATCH("LightTrained",CLASSFEATUREHEADERS,0),MATCH($A894,CLASSNAMEHEADERS,0))),(INDEX(ALLCLASSDATA,MATCH("LightTrained",CLASSFEATUREHEADERS,0),MATCH(($A894 &amp; "Points"),CLASSNAMEHEADERS,0))),"")))))))))}</f>
        <v>LIGHTL11</v>
      </c>
      <c r="S893" s="223"/>
      <c r="T893" s="223" t="str">
        <f t="array" ref="T893:T894">{"LIGHTL13";((IF("13"=(INDEX(ALLCLASSDATA,MATCH("LightLegendary",CLASSFEATUREHEADERS,0),MATCH($A894,CLASSNAMEHEADERS,0))),(INDEX(ALLCLASSDATA,MATCH("LightLegendary",CLASSFEATUREHEADERS,0),MATCH(($A894 &amp; "Points"),CLASSNAMEHEADERS,0))),(IF("13"=(INDEX(ALLCLASSDATA,MATCH("LightMaster",CLASSFEATUREHEADERS,0),MATCH($A894,CLASSNAMEHEADERS,0))),(INDEX(ALLCLASSDATA,MATCH("LightMaster",CLASSFEATUREHEADERS,0),MATCH(($A894 &amp; "Points"),CLASSNAMEHEADERS,0))),(IF("13"=(INDEX(ALLCLASSDATA,MATCH("LightExpert",CLASSFEATUREHEADERS,0),MATCH($A894,CLASSNAMEHEADERS,0))),(INDEX(ALLCLASSDATA,MATCH("LightExpert",CLASSFEATUREHEADERS,0),MATCH(($A894 &amp; "Points"),CLASSNAMEHEADERS,0))),(IF("13"=(INDEX(ALLCLASSDATA,MATCH("LightTrained",CLASSFEATUREHEADERS,0),MATCH($A894,CLASSNAMEHEADERS,0))),(INDEX(ALLCLASSDATA,MATCH("LightTrained",CLASSFEATUREHEADERS,0),MATCH(($A894 &amp; "Points"),CLASSNAMEHEADERS,0))),"")))))))))}</f>
        <v>LIGHTL13</v>
      </c>
      <c r="U893" s="223"/>
      <c r="V893" s="223" t="str">
        <f t="array" ref="V893:V894">{"LIGHTL15";((IF("15"=(INDEX(ALLCLASSDATA,MATCH("LightLegendary",CLASSFEATUREHEADERS,0),MATCH($A894,CLASSNAMEHEADERS,0))),(INDEX(ALLCLASSDATA,MATCH("LightLegendary",CLASSFEATUREHEADERS,0),MATCH(($A894 &amp; "Points"),CLASSNAMEHEADERS,0))),(IF("15"=(INDEX(ALLCLASSDATA,MATCH("LightMaster",CLASSFEATUREHEADERS,0),MATCH($A894,CLASSNAMEHEADERS,0))),(INDEX(ALLCLASSDATA,MATCH("LightMaster",CLASSFEATUREHEADERS,0),MATCH(($A894 &amp; "Points"),CLASSNAMEHEADERS,0))),(IF("15"=(INDEX(ALLCLASSDATA,MATCH("LightExpert",CLASSFEATUREHEADERS,0),MATCH($A894,CLASSNAMEHEADERS,0))),(INDEX(ALLCLASSDATA,MATCH("LightExpert",CLASSFEATUREHEADERS,0),MATCH(($A894 &amp; "Points"),CLASSNAMEHEADERS,0))),(IF("15"=(INDEX(ALLCLASSDATA,MATCH("LightTrained",CLASSFEATUREHEADERS,0),MATCH($A894,CLASSNAMEHEADERS,0))),(INDEX(ALLCLASSDATA,MATCH("LightTrained",CLASSFEATUREHEADERS,0),MATCH(($A894 &amp; "Points"),CLASSNAMEHEADERS,0))),"")))))))))}</f>
        <v>LIGHTL15</v>
      </c>
      <c r="W893" s="223"/>
      <c r="X893" s="223" t="str">
        <f t="array" ref="X893:X894">{"LIGHTL17";((IF("17"=(INDEX(ALLCLASSDATA,MATCH("LightLegendary",CLASSFEATUREHEADERS,0),MATCH($A894,CLASSNAMEHEADERS,0))),(INDEX(ALLCLASSDATA,MATCH("LightLegendary",CLASSFEATUREHEADERS,0),MATCH(($A894 &amp; "Points"),CLASSNAMEHEADERS,0))),(IF("17"=(INDEX(ALLCLASSDATA,MATCH("LightMaster",CLASSFEATUREHEADERS,0),MATCH($A894,CLASSNAMEHEADERS,0))),(INDEX(ALLCLASSDATA,MATCH("LightMaster",CLASSFEATUREHEADERS,0),MATCH(($A894 &amp; "Points"),CLASSNAMEHEADERS,0))),(IF("17"=(INDEX(ALLCLASSDATA,MATCH("LightExpert",CLASSFEATUREHEADERS,0),MATCH($A894,CLASSNAMEHEADERS,0))),(INDEX(ALLCLASSDATA,MATCH("LightExpert",CLASSFEATUREHEADERS,0),MATCH(($A894 &amp; "Points"),CLASSNAMEHEADERS,0))),(IF("17"=(INDEX(ALLCLASSDATA,MATCH("LightTrained",CLASSFEATUREHEADERS,0),MATCH($A894,CLASSNAMEHEADERS,0))),(INDEX(ALLCLASSDATA,MATCH("LightTrained",CLASSFEATUREHEADERS,0),MATCH(($A894 &amp; "Points"),CLASSNAMEHEADERS,0))),"")))))))))}</f>
        <v>LIGHTL17</v>
      </c>
      <c r="Y893" s="223"/>
      <c r="Z893" s="223" t="str">
        <f t="array" ref="Z893:Z894">{"LIGHTL19";((IF("19"=(INDEX(ALLCLASSDATA,MATCH("LightLegendary",CLASSFEATUREHEADERS,0),MATCH($A894,CLASSNAMEHEADERS,0))),(INDEX(ALLCLASSDATA,MATCH("LightLegendary",CLASSFEATUREHEADERS,0),MATCH(($A894 &amp; "Points"),CLASSNAMEHEADERS,0))),(IF("19"=(INDEX(ALLCLASSDATA,MATCH("LightMaster",CLASSFEATUREHEADERS,0),MATCH($A894,CLASSNAMEHEADERS,0))),(INDEX(ALLCLASSDATA,MATCH("LightMaster",CLASSFEATUREHEADERS,0),MATCH(($A894 &amp; "Points"),CLASSNAMEHEADERS,0))),(IF("19"=(INDEX(ALLCLASSDATA,MATCH("LightExpert",CLASSFEATUREHEADERS,0),MATCH($A894,CLASSNAMEHEADERS,0))),(INDEX(ALLCLASSDATA,MATCH("LightExpert",CLASSFEATUREHEADERS,0),MATCH(($A894 &amp; "Points"),CLASSNAMEHEADERS,0))),(IF("19"=(INDEX(ALLCLASSDATA,MATCH("LightTrained",CLASSFEATUREHEADERS,0),MATCH($A894,CLASSNAMEHEADERS,0))),(INDEX(ALLCLASSDATA,MATCH("LightTrained",CLASSFEATUREHEADERS,0),MATCH(($A894 &amp; "Points"),CLASSNAMEHEADERS,0))),"")))))))))}</f>
        <v>LIGHTL19</v>
      </c>
      <c r="AA893" s="223"/>
      <c r="AB893" s="76" t="str">
        <f t="array" ref="AB893:AB894">{"LIGHT TOTAL";(IF(COUNTBLANK(G894:AA894)=17,"L",(IF(COUNTBLANK(G894:AA894)=18,"M",(IF(COUNTBLANK(G894:AA894)=19,"E",(IF(COUNTBLANK(G894:AA894)=20,"T",""))))))))}</f>
        <v>LIGHT TOTAL</v>
      </c>
      <c r="AC893" s="76" t="str">
        <f t="array" ref="AC893:AC894">{"LIGHT TOTAL";(sum(G894:AA894))}</f>
        <v>LIGHT TOTAL</v>
      </c>
    </row>
    <row r="894">
      <c r="A894" s="48" t="s">
        <v>180</v>
      </c>
      <c r="B894" s="48"/>
      <c r="C894" s="48" t="s">
        <v>413</v>
      </c>
      <c r="D894" s="48" t="s">
        <v>1900</v>
      </c>
      <c r="E894" s="48" t="s">
        <v>77</v>
      </c>
      <c r="F894" s="5" t="s">
        <v>435</v>
      </c>
      <c r="G894" s="47" t="s">
        <v>603</v>
      </c>
      <c r="H894" s="5">
        <v>10.0</v>
      </c>
      <c r="I894" s="5"/>
      <c r="J894" s="5" t="s">
        <v>603</v>
      </c>
      <c r="K894" s="5"/>
      <c r="L894" s="5" t="s">
        <v>603</v>
      </c>
      <c r="M894" s="5"/>
      <c r="N894" s="5" t="s">
        <v>603</v>
      </c>
      <c r="O894" s="5"/>
      <c r="P894" s="5" t="s">
        <v>603</v>
      </c>
      <c r="Q894" s="5"/>
      <c r="R894" s="5" t="s">
        <v>603</v>
      </c>
      <c r="S894" s="5"/>
      <c r="T894" s="5" t="s">
        <v>436</v>
      </c>
      <c r="U894" s="5"/>
      <c r="V894" s="5" t="s">
        <v>603</v>
      </c>
      <c r="W894" s="5"/>
      <c r="X894" s="5" t="s">
        <v>603</v>
      </c>
      <c r="Y894" s="5"/>
      <c r="Z894" s="5" t="s">
        <v>437</v>
      </c>
      <c r="AA894" s="5"/>
      <c r="AB894" s="5" t="s">
        <v>437</v>
      </c>
      <c r="AC894" s="47">
        <v>10.0</v>
      </c>
    </row>
    <row r="895" hidden="1">
      <c r="A895" s="222" t="str">
        <f t="array" ref="A895:A896">{"FormulaRow37";(INDEX(CLASSLIST,A822,1))}</f>
        <v>FormulaRow37</v>
      </c>
      <c r="B895" s="77" t="s">
        <v>236</v>
      </c>
      <c r="C895" s="222" t="str">
        <f t="array" ref="C895:C896">{"CLASSTYPE";((INDEX(ALLCLASSDATA,MATCH("ClassType",CLASSFEATUREHEADERS,0),MATCH($A896,CLASSNAMEHEADERS,0))))}</f>
        <v>CLASSTYPE</v>
      </c>
      <c r="D895" s="222" t="str">
        <f t="array" ref="D895:D896">{"DEFENSE";"Defense"}</f>
        <v>DEFENSE</v>
      </c>
      <c r="E895" s="222" t="str">
        <f t="array" ref="E895:E896">{"MEDIUM";"Medium"}</f>
        <v>MEDIUM</v>
      </c>
      <c r="F895" s="223" t="str">
        <f t="array" ref="F895:F896">{"MEDIUMINITIAL";((IF(H896=10,"T",(IF(H896=50,"E","")))))}</f>
        <v>MEDIUMINITIAL</v>
      </c>
      <c r="G895" s="223" t="str">
        <f t="array" ref="G895:G896">{"MEDIUMINITIALPTS";((IF("00"=(INDEX(ALLCLASSDATA,MATCH("MediumLegendary",CLASSFEATUREHEADERS,0),MATCH($A896,CLASSNAMEHEADERS,0))),(INDEX(ALLCLASSDATA,MATCH("MediumLegendary",CLASSFEATUREHEADERS,0),MATCH(($A896 &amp; "Points"),CLASSNAMEHEADERS,0))),(IF("00"=(INDEX(ALLCLASSDATA,MATCH("MediumMaster",CLASSFEATUREHEADERS,0),MATCH($A896,CLASSNAMEHEADERS,0))),(INDEX(ALLCLASSDATA,MATCH("MediumMaster",CLASSFEATUREHEADERS,0),MATCH(($A896 &amp; "Points"),CLASSNAMEHEADERS,0))),(IF("00"=(INDEX(ALLCLASSDATA,MATCH("MediumExpert",CLASSFEATUREHEADERS,0),MATCH($A896,CLASSNAMEHEADERS,0))),(INDEX(ALLCLASSDATA,MATCH("MediumExpert",CLASSFEATUREHEADERS,0),MATCH(($A896 &amp; "Points"),CLASSNAMEHEADERS,0))),(IF("00"=(INDEX(ALLCLASSDATA,MATCH("MediumTrained",CLASSFEATUREHEADERS,0),MATCH($A896,CLASSNAMEHEADERS,0))),(INDEX(ALLCLASSDATA,MATCH("MediumTrained",CLASSFEATUREHEADERS,0),MATCH(($A896 &amp; "Points"),CLASSNAMEHEADERS,0))),"")))))))))}</f>
        <v>MEDIUMINITIALPTS</v>
      </c>
      <c r="H895" s="223" t="str">
        <f t="array" ref="H895:H896">{"MEDIUML01";((IF("01"=(INDEX(ALLCLASSDATA,MATCH("MediumLegendary",CLASSFEATUREHEADERS,0),MATCH($A896,CLASSNAMEHEADERS,0))),(INDEX(ALLCLASSDATA,MATCH("MediumLegendary",CLASSFEATUREHEADERS,0),MATCH(($A896 &amp; "Points"),CLASSNAMEHEADERS,0))),(IF("01"=(INDEX(ALLCLASSDATA,MATCH("MediumMaster",CLASSFEATUREHEADERS,0),MATCH($A896,CLASSNAMEHEADERS,0))),(INDEX(ALLCLASSDATA,MATCH("MediumMaster",CLASSFEATUREHEADERS,0),MATCH(($A896 &amp; "Points"),CLASSNAMEHEADERS,0))),(IF("01"=(INDEX(ALLCLASSDATA,MATCH("MediumExpert",CLASSFEATUREHEADERS,0),MATCH($A896,CLASSNAMEHEADERS,0))),(INDEX(ALLCLASSDATA,MATCH("MediumExpert",CLASSFEATUREHEADERS,0),MATCH(($A896 &amp; "Points"),CLASSNAMEHEADERS,0))),(IF("01"=(INDEX(ALLCLASSDATA,MATCH("MediumTrained",CLASSFEATUREHEADERS,0),MATCH($A896,CLASSNAMEHEADERS,0))),(INDEX(ALLCLASSDATA,MATCH("MediumTrained",CLASSFEATUREHEADERS,0),MATCH(($A896 &amp; "Points"),CLASSNAMEHEADERS,0))),"")))))))))}</f>
        <v>MEDIUML01</v>
      </c>
      <c r="I895" s="223"/>
      <c r="J895" s="223" t="str">
        <f t="array" ref="J895:J896">{"MEDIUML03";((IF("03"=(INDEX(ALLCLASSDATA,MATCH("MediumLegendary",CLASSFEATUREHEADERS,0),MATCH($A896,CLASSNAMEHEADERS,0))),(INDEX(ALLCLASSDATA,MATCH("MediumLegendary",CLASSFEATUREHEADERS,0),MATCH(($A896 &amp; "Points"),CLASSNAMEHEADERS,0))),(IF("03"=(INDEX(ALLCLASSDATA,MATCH("MediumMaster",CLASSFEATUREHEADERS,0),MATCH($A896,CLASSNAMEHEADERS,0))),(INDEX(ALLCLASSDATA,MATCH("MediumMaster",CLASSFEATUREHEADERS,0),MATCH(($A896 &amp; "Points"),CLASSNAMEHEADERS,0))),(IF("03"=(INDEX(ALLCLASSDATA,MATCH("MediumExpert",CLASSFEATUREHEADERS,0),MATCH($A896,CLASSNAMEHEADERS,0))),(INDEX(ALLCLASSDATA,MATCH("MediumExpert",CLASSFEATUREHEADERS,0),MATCH(($A896 &amp; "Points"),CLASSNAMEHEADERS,0))),(IF("03"=(INDEX(ALLCLASSDATA,MATCH("MediumTrained",CLASSFEATUREHEADERS,0),MATCH($A896,CLASSNAMEHEADERS,0))),(INDEX(ALLCLASSDATA,MATCH("MediumTrained",CLASSFEATUREHEADERS,0),MATCH(($A896 &amp; "Points"),CLASSNAMEHEADERS,0))),"")))))))))}</f>
        <v>MEDIUML03</v>
      </c>
      <c r="K895" s="223"/>
      <c r="L895" s="223" t="str">
        <f t="array" ref="L895:L896">{"MEDIUML05";((IF("05"=(INDEX(ALLCLASSDATA,MATCH("MediumLegendary",CLASSFEATUREHEADERS,0),MATCH($A896,CLASSNAMEHEADERS,0))),(INDEX(ALLCLASSDATA,MATCH("MediumLegendary",CLASSFEATUREHEADERS,0),MATCH(($A896 &amp; "Points"),CLASSNAMEHEADERS,0))),(IF("05"=(INDEX(ALLCLASSDATA,MATCH("MediumMaster",CLASSFEATUREHEADERS,0),MATCH($A896,CLASSNAMEHEADERS,0))),(INDEX(ALLCLASSDATA,MATCH("MediumMaster",CLASSFEATUREHEADERS,0),MATCH(($A896 &amp; "Points"),CLASSNAMEHEADERS,0))),(IF("05"=(INDEX(ALLCLASSDATA,MATCH("MediumExpert",CLASSFEATUREHEADERS,0),MATCH($A896,CLASSNAMEHEADERS,0))),(INDEX(ALLCLASSDATA,MATCH("MediumExpert",CLASSFEATUREHEADERS,0),MATCH(($A896 &amp; "Points"),CLASSNAMEHEADERS,0))),(IF("05"=(INDEX(ALLCLASSDATA,MATCH("MediumTrained",CLASSFEATUREHEADERS,0),MATCH($A896,CLASSNAMEHEADERS,0))),(INDEX(ALLCLASSDATA,MATCH("MediumTrained",CLASSFEATUREHEADERS,0),MATCH(($A896 &amp; "Points"),CLASSNAMEHEADERS,0))),"")))))))))}</f>
        <v>MEDIUML05</v>
      </c>
      <c r="M895" s="223"/>
      <c r="N895" s="223" t="str">
        <f t="array" ref="N895:N896">{"MEDIUML07";((IF("07"=(INDEX(ALLCLASSDATA,MATCH("MediumLegendary",CLASSFEATUREHEADERS,0),MATCH($A896,CLASSNAMEHEADERS,0))),(INDEX(ALLCLASSDATA,MATCH("MediumLegendary",CLASSFEATUREHEADERS,0),MATCH(($A896 &amp; "Points"),CLASSNAMEHEADERS,0))),(IF("07"=(INDEX(ALLCLASSDATA,MATCH("MediumMaster",CLASSFEATUREHEADERS,0),MATCH($A896,CLASSNAMEHEADERS,0))),(INDEX(ALLCLASSDATA,MATCH("MediumMaster",CLASSFEATUREHEADERS,0),MATCH(($A896 &amp; "Points"),CLASSNAMEHEADERS,0))),(IF("07"=(INDEX(ALLCLASSDATA,MATCH("MediumExpert",CLASSFEATUREHEADERS,0),MATCH($A896,CLASSNAMEHEADERS,0))),(INDEX(ALLCLASSDATA,MATCH("MediumExpert",CLASSFEATUREHEADERS,0),MATCH(($A896 &amp; "Points"),CLASSNAMEHEADERS,0))),(IF("07"=(INDEX(ALLCLASSDATA,MATCH("MediumTrained",CLASSFEATUREHEADERS,0),MATCH($A896,CLASSNAMEHEADERS,0))),(INDEX(ALLCLASSDATA,MATCH("MediumTrained",CLASSFEATUREHEADERS,0),MATCH(($A896 &amp; "Points"),CLASSNAMEHEADERS,0))),"")))))))))}</f>
        <v>MEDIUML07</v>
      </c>
      <c r="O895" s="223"/>
      <c r="P895" s="223" t="str">
        <f t="array" ref="P895:P896">{"MEDIUML09";((IF("09"=(INDEX(ALLCLASSDATA,MATCH("MediumLegendary",CLASSFEATUREHEADERS,0),MATCH($A896,CLASSNAMEHEADERS,0))),(INDEX(ALLCLASSDATA,MATCH("MediumLegendary",CLASSFEATUREHEADERS,0),MATCH(($A896 &amp; "Points"),CLASSNAMEHEADERS,0))),(IF("09"=(INDEX(ALLCLASSDATA,MATCH("MediumMaster",CLASSFEATUREHEADERS,0),MATCH($A896,CLASSNAMEHEADERS,0))),(INDEX(ALLCLASSDATA,MATCH("MediumMaster",CLASSFEATUREHEADERS,0),MATCH(($A896 &amp; "Points"),CLASSNAMEHEADERS,0))),(IF("09"=(INDEX(ALLCLASSDATA,MATCH("MediumExpert",CLASSFEATUREHEADERS,0),MATCH($A896,CLASSNAMEHEADERS,0))),(INDEX(ALLCLASSDATA,MATCH("MediumExpert",CLASSFEATUREHEADERS,0),MATCH(($A896 &amp; "Points"),CLASSNAMEHEADERS,0))),(IF("09"=(INDEX(ALLCLASSDATA,MATCH("MediumTrained",CLASSFEATUREHEADERS,0),MATCH($A896,CLASSNAMEHEADERS,0))),(INDEX(ALLCLASSDATA,MATCH("MediumTrained",CLASSFEATUREHEADERS,0),MATCH(($A896 &amp; "Points"),CLASSNAMEHEADERS,0))),"")))))))))}</f>
        <v>MEDIUML09</v>
      </c>
      <c r="Q895" s="223"/>
      <c r="R895" s="223" t="str">
        <f t="array" ref="R895:R896">{"MEDIUML11";((IF("11"=(INDEX(ALLCLASSDATA,MATCH("MediumLegendary",CLASSFEATUREHEADERS,0),MATCH($A896,CLASSNAMEHEADERS,0))),(INDEX(ALLCLASSDATA,MATCH("MediumLegendary",CLASSFEATUREHEADERS,0),MATCH(($A896 &amp; "Points"),CLASSNAMEHEADERS,0))),(IF("11"=(INDEX(ALLCLASSDATA,MATCH("MediumMaster",CLASSFEATUREHEADERS,0),MATCH($A896,CLASSNAMEHEADERS,0))),(INDEX(ALLCLASSDATA,MATCH("MediumMaster",CLASSFEATUREHEADERS,0),MATCH(($A896 &amp; "Points"),CLASSNAMEHEADERS,0))),(IF("11"=(INDEX(ALLCLASSDATA,MATCH("MediumExpert",CLASSFEATUREHEADERS,0),MATCH($A896,CLASSNAMEHEADERS,0))),(INDEX(ALLCLASSDATA,MATCH("MediumExpert",CLASSFEATUREHEADERS,0),MATCH(($A896 &amp; "Points"),CLASSNAMEHEADERS,0))),(IF("11"=(INDEX(ALLCLASSDATA,MATCH("MediumTrained",CLASSFEATUREHEADERS,0),MATCH($A896,CLASSNAMEHEADERS,0))),(INDEX(ALLCLASSDATA,MATCH("MediumTrained",CLASSFEATUREHEADERS,0),MATCH(($A896 &amp; "Points"),CLASSNAMEHEADERS,0))),"")))))))))}</f>
        <v>MEDIUML11</v>
      </c>
      <c r="S895" s="223"/>
      <c r="T895" s="223" t="str">
        <f t="array" ref="T895:T896">{"MEDIUML13";((IF("13"=(INDEX(ALLCLASSDATA,MATCH("MediumLegendary",CLASSFEATUREHEADERS,0),MATCH($A896,CLASSNAMEHEADERS,0))),(INDEX(ALLCLASSDATA,MATCH("MediumLegendary",CLASSFEATUREHEADERS,0),MATCH(($A896 &amp; "Points"),CLASSNAMEHEADERS,0))),(IF("13"=(INDEX(ALLCLASSDATA,MATCH("MediumMaster",CLASSFEATUREHEADERS,0),MATCH($A896,CLASSNAMEHEADERS,0))),(INDEX(ALLCLASSDATA,MATCH("MediumMaster",CLASSFEATUREHEADERS,0),MATCH(($A896 &amp; "Points"),CLASSNAMEHEADERS,0))),(IF("13"=(INDEX(ALLCLASSDATA,MATCH("MediumExpert",CLASSFEATUREHEADERS,0),MATCH($A896,CLASSNAMEHEADERS,0))),(INDEX(ALLCLASSDATA,MATCH("MediumExpert",CLASSFEATUREHEADERS,0),MATCH(($A896 &amp; "Points"),CLASSNAMEHEADERS,0))),(IF("13"=(INDEX(ALLCLASSDATA,MATCH("MediumTrained",CLASSFEATUREHEADERS,0),MATCH($A896,CLASSNAMEHEADERS,0))),(INDEX(ALLCLASSDATA,MATCH("MediumTrained",CLASSFEATUREHEADERS,0),MATCH(($A896 &amp; "Points"),CLASSNAMEHEADERS,0))),"")))))))))}</f>
        <v>MEDIUML13</v>
      </c>
      <c r="U895" s="223"/>
      <c r="V895" s="223" t="str">
        <f t="array" ref="V895:V896">{"MEDIUML15";((IF("15"=(INDEX(ALLCLASSDATA,MATCH("MediumLegendary",CLASSFEATUREHEADERS,0),MATCH($A896,CLASSNAMEHEADERS,0))),(INDEX(ALLCLASSDATA,MATCH("MediumLegendary",CLASSFEATUREHEADERS,0),MATCH(($A896 &amp; "Points"),CLASSNAMEHEADERS,0))),(IF("15"=(INDEX(ALLCLASSDATA,MATCH("MediumMaster",CLASSFEATUREHEADERS,0),MATCH($A896,CLASSNAMEHEADERS,0))),(INDEX(ALLCLASSDATA,MATCH("MediumMaster",CLASSFEATUREHEADERS,0),MATCH(($A896 &amp; "Points"),CLASSNAMEHEADERS,0))),(IF("15"=(INDEX(ALLCLASSDATA,MATCH("MediumExpert",CLASSFEATUREHEADERS,0),MATCH($A896,CLASSNAMEHEADERS,0))),(INDEX(ALLCLASSDATA,MATCH("MediumExpert",CLASSFEATUREHEADERS,0),MATCH(($A896 &amp; "Points"),CLASSNAMEHEADERS,0))),(IF("15"=(INDEX(ALLCLASSDATA,MATCH("MediumTrained",CLASSFEATUREHEADERS,0),MATCH($A896,CLASSNAMEHEADERS,0))),(INDEX(ALLCLASSDATA,MATCH("MediumTrained",CLASSFEATUREHEADERS,0),MATCH(($A896 &amp; "Points"),CLASSNAMEHEADERS,0))),"")))))))))}</f>
        <v>MEDIUML15</v>
      </c>
      <c r="W895" s="223"/>
      <c r="X895" s="223" t="str">
        <f t="array" ref="X895:X896">{"MEDIUML17";((IF("17"=(INDEX(ALLCLASSDATA,MATCH("MediumLegendary",CLASSFEATUREHEADERS,0),MATCH($A896,CLASSNAMEHEADERS,0))),(INDEX(ALLCLASSDATA,MATCH("MediumLegendary",CLASSFEATUREHEADERS,0),MATCH(($A896 &amp; "Points"),CLASSNAMEHEADERS,0))),(IF("17"=(INDEX(ALLCLASSDATA,MATCH("MediumMaster",CLASSFEATUREHEADERS,0),MATCH($A896,CLASSNAMEHEADERS,0))),(INDEX(ALLCLASSDATA,MATCH("MediumMaster",CLASSFEATUREHEADERS,0),MATCH(($A896 &amp; "Points"),CLASSNAMEHEADERS,0))),(IF("17"=(INDEX(ALLCLASSDATA,MATCH("MediumExpert",CLASSFEATUREHEADERS,0),MATCH($A896,CLASSNAMEHEADERS,0))),(INDEX(ALLCLASSDATA,MATCH("MediumExpert",CLASSFEATUREHEADERS,0),MATCH(($A896 &amp; "Points"),CLASSNAMEHEADERS,0))),(IF("17"=(INDEX(ALLCLASSDATA,MATCH("MediumTrained",CLASSFEATUREHEADERS,0),MATCH($A896,CLASSNAMEHEADERS,0))),(INDEX(ALLCLASSDATA,MATCH("MediumTrained",CLASSFEATUREHEADERS,0),MATCH(($A896 &amp; "Points"),CLASSNAMEHEADERS,0))),"")))))))))}</f>
        <v>MEDIUML17</v>
      </c>
      <c r="Y895" s="223"/>
      <c r="Z895" s="223" t="str">
        <f t="array" ref="Z895:Z896">{"MEDIUML19";((IF("19"=(INDEX(ALLCLASSDATA,MATCH("MediumLegendary",CLASSFEATUREHEADERS,0),MATCH($A896,CLASSNAMEHEADERS,0))),(INDEX(ALLCLASSDATA,MATCH("MediumLegendary",CLASSFEATUREHEADERS,0),MATCH(($A896 &amp; "Points"),CLASSNAMEHEADERS,0))),(IF("19"=(INDEX(ALLCLASSDATA,MATCH("MediumMaster",CLASSFEATUREHEADERS,0),MATCH($A896,CLASSNAMEHEADERS,0))),(INDEX(ALLCLASSDATA,MATCH("MediumMaster",CLASSFEATUREHEADERS,0),MATCH(($A896 &amp; "Points"),CLASSNAMEHEADERS,0))),(IF("19"=(INDEX(ALLCLASSDATA,MATCH("MediumExpert",CLASSFEATUREHEADERS,0),MATCH($A896,CLASSNAMEHEADERS,0))),(INDEX(ALLCLASSDATA,MATCH("MediumExpert",CLASSFEATUREHEADERS,0),MATCH(($A896 &amp; "Points"),CLASSNAMEHEADERS,0))),(IF("19"=(INDEX(ALLCLASSDATA,MATCH("MediumTrained",CLASSFEATUREHEADERS,0),MATCH($A896,CLASSNAMEHEADERS,0))),(INDEX(ALLCLASSDATA,MATCH("MediumTrained",CLASSFEATUREHEADERS,0),MATCH(($A896 &amp; "Points"),CLASSNAMEHEADERS,0))),"")))))))))}</f>
        <v>MEDIUML19</v>
      </c>
      <c r="AA895" s="223"/>
      <c r="AB895" s="76" t="str">
        <f t="array" ref="AB895:AB896">{"MEDIUM TOTAL";(IF(COUNTBLANK(G896:AA896)=17,"L",(IF(COUNTBLANK(G896:AA896)=18,"M",(IF(COUNTBLANK(G896:AA896)=19,"E",(IF(COUNTBLANK(G896:AA896)=20,"T",""))))))))}</f>
        <v>MEDIUM TOTAL</v>
      </c>
      <c r="AC895" s="76" t="str">
        <f t="array" ref="AC895:AC896">{"MEDIUM TOTAL";(sum(G896:AA896))}</f>
        <v>MEDIUM TOTAL</v>
      </c>
    </row>
    <row r="896">
      <c r="A896" s="48" t="s">
        <v>180</v>
      </c>
      <c r="B896" s="48"/>
      <c r="C896" s="48" t="s">
        <v>413</v>
      </c>
      <c r="D896" s="48" t="s">
        <v>1900</v>
      </c>
      <c r="E896" s="48" t="s">
        <v>76</v>
      </c>
      <c r="F896" s="5" t="s">
        <v>435</v>
      </c>
      <c r="G896" s="47" t="s">
        <v>603</v>
      </c>
      <c r="H896" s="5">
        <v>10.0</v>
      </c>
      <c r="I896" s="5"/>
      <c r="J896" s="5" t="s">
        <v>603</v>
      </c>
      <c r="K896" s="5"/>
      <c r="L896" s="5" t="s">
        <v>603</v>
      </c>
      <c r="M896" s="5"/>
      <c r="N896" s="5" t="s">
        <v>603</v>
      </c>
      <c r="O896" s="5"/>
      <c r="P896" s="5" t="s">
        <v>603</v>
      </c>
      <c r="Q896" s="5"/>
      <c r="R896" s="5" t="s">
        <v>603</v>
      </c>
      <c r="S896" s="5"/>
      <c r="T896" s="5">
        <v>50.0</v>
      </c>
      <c r="U896" s="5"/>
      <c r="V896" s="5" t="s">
        <v>603</v>
      </c>
      <c r="W896" s="5"/>
      <c r="X896" s="5" t="s">
        <v>603</v>
      </c>
      <c r="Y896" s="5"/>
      <c r="Z896" s="5">
        <v>110.0</v>
      </c>
      <c r="AA896" s="5"/>
      <c r="AB896" s="5" t="s">
        <v>437</v>
      </c>
      <c r="AC896" s="47">
        <v>170.0</v>
      </c>
    </row>
    <row r="897" hidden="1">
      <c r="A897" s="222" t="str">
        <f t="array" ref="A897:A898">{"FormulaRow38";(INDEX(CLASSLIST,A822,1))}</f>
        <v>FormulaRow38</v>
      </c>
      <c r="B897" s="77" t="s">
        <v>236</v>
      </c>
      <c r="C897" s="222" t="str">
        <f t="array" ref="C897:C898">{"CLASSTYPE";((INDEX(ALLCLASSDATA,MATCH("ClassType",CLASSFEATUREHEADERS,0),MATCH($A898,CLASSNAMEHEADERS,0))))}</f>
        <v>CLASSTYPE</v>
      </c>
      <c r="D897" s="222" t="str">
        <f t="array" ref="D897:D898">{"DEFENSE";"Defense"}</f>
        <v>DEFENSE</v>
      </c>
      <c r="E897" s="222" t="str">
        <f t="array" ref="E897:E898">{"HEAVY";"Heavy"}</f>
        <v>HEAVY</v>
      </c>
      <c r="F897" s="223" t="str">
        <f t="array" ref="F897:F898">{"HEAVYINITIAL";((IF(H898=10,"T",(IF(H898=50,"E","")))))}</f>
        <v>HEAVYINITIAL</v>
      </c>
      <c r="G897" s="223" t="str">
        <f t="array" ref="G897:G898">{"HEAVYINITIALPTS";((IF("00"=(INDEX(ALLCLASSDATA,MATCH("HeavyLegendary",CLASSFEATUREHEADERS,0),MATCH($A898,CLASSNAMEHEADERS,0))),(INDEX(ALLCLASSDATA,MATCH("HeavyLegendary",CLASSFEATUREHEADERS,0),MATCH(($A898 &amp; "Points"),CLASSNAMEHEADERS,0))),(IF("00"=(INDEX(ALLCLASSDATA,MATCH("HeavyMaster",CLASSFEATUREHEADERS,0),MATCH($A898,CLASSNAMEHEADERS,0))),(INDEX(ALLCLASSDATA,MATCH("HeavyMaster",CLASSFEATUREHEADERS,0),MATCH(($A898 &amp; "Points"),CLASSNAMEHEADERS,0))),(IF("00"=(INDEX(ALLCLASSDATA,MATCH("HeavyExpert",CLASSFEATUREHEADERS,0),MATCH($A898,CLASSNAMEHEADERS,0))),(INDEX(ALLCLASSDATA,MATCH("HeavyExpert",CLASSFEATUREHEADERS,0),MATCH(($A898 &amp; "Points"),CLASSNAMEHEADERS,0))),(IF("00"=(INDEX(ALLCLASSDATA,MATCH("HeavyTrained",CLASSFEATUREHEADERS,0),MATCH($A898,CLASSNAMEHEADERS,0))),(INDEX(ALLCLASSDATA,MATCH("HeavyTrained",CLASSFEATUREHEADERS,0),MATCH(($A898 &amp; "Points"),CLASSNAMEHEADERS,0))),"")))))))))}</f>
        <v>HEAVYINITIALPTS</v>
      </c>
      <c r="H897" s="223" t="str">
        <f t="array" ref="H897:H898">{"HEAVYL01";((IF("01"=(INDEX(ALLCLASSDATA,MATCH("HeavyLegendary",CLASSFEATUREHEADERS,0),MATCH($A898,CLASSNAMEHEADERS,0))),(INDEX(ALLCLASSDATA,MATCH("HeavyLegendary",CLASSFEATUREHEADERS,0),MATCH(($A898 &amp; "Points"),CLASSNAMEHEADERS,0))),(IF("01"=(INDEX(ALLCLASSDATA,MATCH("HeavyMaster",CLASSFEATUREHEADERS,0),MATCH($A898,CLASSNAMEHEADERS,0))),(INDEX(ALLCLASSDATA,MATCH("HeavyMaster",CLASSFEATUREHEADERS,0),MATCH(($A898 &amp; "Points"),CLASSNAMEHEADERS,0))),(IF("01"=(INDEX(ALLCLASSDATA,MATCH("HeavyExpert",CLASSFEATUREHEADERS,0),MATCH($A898,CLASSNAMEHEADERS,0))),(INDEX(ALLCLASSDATA,MATCH("HeavyExpert",CLASSFEATUREHEADERS,0),MATCH(($A898 &amp; "Points"),CLASSNAMEHEADERS,0))),(IF("01"=(INDEX(ALLCLASSDATA,MATCH("HeavyTrained",CLASSFEATUREHEADERS,0),MATCH($A898,CLASSNAMEHEADERS,0))),(INDEX(ALLCLASSDATA,MATCH("HeavyTrained",CLASSFEATUREHEADERS,0),MATCH(($A898 &amp; "Points"),CLASSNAMEHEADERS,0))),"")))))))))}</f>
        <v>HEAVYL01</v>
      </c>
      <c r="I897" s="223"/>
      <c r="J897" s="223" t="str">
        <f t="array" ref="J897:J898">{"HEAVYL03";((IF("03"=(INDEX(ALLCLASSDATA,MATCH("HeavyLegendary",CLASSFEATUREHEADERS,0),MATCH($A898,CLASSNAMEHEADERS,0))),(INDEX(ALLCLASSDATA,MATCH("HeavyLegendary",CLASSFEATUREHEADERS,0),MATCH(($A898 &amp; "Points"),CLASSNAMEHEADERS,0))),(IF("03"=(INDEX(ALLCLASSDATA,MATCH("HeavyMaster",CLASSFEATUREHEADERS,0),MATCH($A898,CLASSNAMEHEADERS,0))),(INDEX(ALLCLASSDATA,MATCH("HeavyMaster",CLASSFEATUREHEADERS,0),MATCH(($A898 &amp; "Points"),CLASSNAMEHEADERS,0))),(IF("03"=(INDEX(ALLCLASSDATA,MATCH("HeavyExpert",CLASSFEATUREHEADERS,0),MATCH($A898,CLASSNAMEHEADERS,0))),(INDEX(ALLCLASSDATA,MATCH("HeavyExpert",CLASSFEATUREHEADERS,0),MATCH(($A898 &amp; "Points"),CLASSNAMEHEADERS,0))),(IF("03"=(INDEX(ALLCLASSDATA,MATCH("HeavyTrained",CLASSFEATUREHEADERS,0),MATCH($A898,CLASSNAMEHEADERS,0))),(INDEX(ALLCLASSDATA,MATCH("HeavyTrained",CLASSFEATUREHEADERS,0),MATCH(($A898 &amp; "Points"),CLASSNAMEHEADERS,0))),"")))))))))}</f>
        <v>HEAVYL03</v>
      </c>
      <c r="K897" s="223"/>
      <c r="L897" s="223" t="str">
        <f t="array" ref="L897:L898">{"HEAVYL05";((IF("05"=(INDEX(ALLCLASSDATA,MATCH("HeavyLegendary",CLASSFEATUREHEADERS,0),MATCH($A898,CLASSNAMEHEADERS,0))),(INDEX(ALLCLASSDATA,MATCH("HeavyLegendary",CLASSFEATUREHEADERS,0),MATCH(($A898 &amp; "Points"),CLASSNAMEHEADERS,0))),(IF("05"=(INDEX(ALLCLASSDATA,MATCH("HeavyMaster",CLASSFEATUREHEADERS,0),MATCH($A898,CLASSNAMEHEADERS,0))),(INDEX(ALLCLASSDATA,MATCH("HeavyMaster",CLASSFEATUREHEADERS,0),MATCH(($A898 &amp; "Points"),CLASSNAMEHEADERS,0))),(IF("05"=(INDEX(ALLCLASSDATA,MATCH("HeavyExpert",CLASSFEATUREHEADERS,0),MATCH($A898,CLASSNAMEHEADERS,0))),(INDEX(ALLCLASSDATA,MATCH("HeavyExpert",CLASSFEATUREHEADERS,0),MATCH(($A898 &amp; "Points"),CLASSNAMEHEADERS,0))),(IF("05"=(INDEX(ALLCLASSDATA,MATCH("HeavyTrained",CLASSFEATUREHEADERS,0),MATCH($A898,CLASSNAMEHEADERS,0))),(INDEX(ALLCLASSDATA,MATCH("HeavyTrained",CLASSFEATUREHEADERS,0),MATCH(($A898 &amp; "Points"),CLASSNAMEHEADERS,0))),"")))))))))}</f>
        <v>HEAVYL05</v>
      </c>
      <c r="M897" s="223"/>
      <c r="N897" s="223" t="str">
        <f t="array" ref="N897:N898">{"HEAVYL07";((IF("07"=(INDEX(ALLCLASSDATA,MATCH("HeavyLegendary",CLASSFEATUREHEADERS,0),MATCH($A898,CLASSNAMEHEADERS,0))),(INDEX(ALLCLASSDATA,MATCH("HeavyLegendary",CLASSFEATUREHEADERS,0),MATCH(($A898 &amp; "Points"),CLASSNAMEHEADERS,0))),(IF("07"=(INDEX(ALLCLASSDATA,MATCH("HeavyMaster",CLASSFEATUREHEADERS,0),MATCH($A898,CLASSNAMEHEADERS,0))),(INDEX(ALLCLASSDATA,MATCH("HeavyMaster",CLASSFEATUREHEADERS,0),MATCH(($A898 &amp; "Points"),CLASSNAMEHEADERS,0))),(IF("07"=(INDEX(ALLCLASSDATA,MATCH("HeavyExpert",CLASSFEATUREHEADERS,0),MATCH($A898,CLASSNAMEHEADERS,0))),(INDEX(ALLCLASSDATA,MATCH("HeavyExpert",CLASSFEATUREHEADERS,0),MATCH(($A898 &amp; "Points"),CLASSNAMEHEADERS,0))),(IF("07"=(INDEX(ALLCLASSDATA,MATCH("HeavyTrained",CLASSFEATUREHEADERS,0),MATCH($A898,CLASSNAMEHEADERS,0))),(INDEX(ALLCLASSDATA,MATCH("HeavyTrained",CLASSFEATUREHEADERS,0),MATCH(($A898 &amp; "Points"),CLASSNAMEHEADERS,0))),"")))))))))}</f>
        <v>HEAVYL07</v>
      </c>
      <c r="O897" s="223"/>
      <c r="P897" s="223" t="str">
        <f t="array" ref="P897:P898">{"HEAVYL09";((IF("09"=(INDEX(ALLCLASSDATA,MATCH("HeavyLegendary",CLASSFEATUREHEADERS,0),MATCH($A898,CLASSNAMEHEADERS,0))),(INDEX(ALLCLASSDATA,MATCH("HeavyLegendary",CLASSFEATUREHEADERS,0),MATCH(($A898 &amp; "Points"),CLASSNAMEHEADERS,0))),(IF("09"=(INDEX(ALLCLASSDATA,MATCH("HeavyMaster",CLASSFEATUREHEADERS,0),MATCH($A898,CLASSNAMEHEADERS,0))),(INDEX(ALLCLASSDATA,MATCH("HeavyMaster",CLASSFEATUREHEADERS,0),MATCH(($A898 &amp; "Points"),CLASSNAMEHEADERS,0))),(IF("09"=(INDEX(ALLCLASSDATA,MATCH("HeavyExpert",CLASSFEATUREHEADERS,0),MATCH($A898,CLASSNAMEHEADERS,0))),(INDEX(ALLCLASSDATA,MATCH("HeavyExpert",CLASSFEATUREHEADERS,0),MATCH(($A898 &amp; "Points"),CLASSNAMEHEADERS,0))),(IF("09"=(INDEX(ALLCLASSDATA,MATCH("HeavyTrained",CLASSFEATUREHEADERS,0),MATCH($A898,CLASSNAMEHEADERS,0))),(INDEX(ALLCLASSDATA,MATCH("HeavyTrained",CLASSFEATUREHEADERS,0),MATCH(($A898 &amp; "Points"),CLASSNAMEHEADERS,0))),"")))))))))}</f>
        <v>HEAVYL09</v>
      </c>
      <c r="Q897" s="223"/>
      <c r="R897" s="223" t="str">
        <f t="array" ref="R897:R898">{"HEAVYL11";((IF("11"=(INDEX(ALLCLASSDATA,MATCH("HeavyLegendary",CLASSFEATUREHEADERS,0),MATCH($A898,CLASSNAMEHEADERS,0))),(INDEX(ALLCLASSDATA,MATCH("HeavyLegendary",CLASSFEATUREHEADERS,0),MATCH(($A898 &amp; "Points"),CLASSNAMEHEADERS,0))),(IF("11"=(INDEX(ALLCLASSDATA,MATCH("HeavyMaster",CLASSFEATUREHEADERS,0),MATCH($A898,CLASSNAMEHEADERS,0))),(INDEX(ALLCLASSDATA,MATCH("HeavyMaster",CLASSFEATUREHEADERS,0),MATCH(($A898 &amp; "Points"),CLASSNAMEHEADERS,0))),(IF("11"=(INDEX(ALLCLASSDATA,MATCH("HeavyExpert",CLASSFEATUREHEADERS,0),MATCH($A898,CLASSNAMEHEADERS,0))),(INDEX(ALLCLASSDATA,MATCH("HeavyExpert",CLASSFEATUREHEADERS,0),MATCH(($A898 &amp; "Points"),CLASSNAMEHEADERS,0))),(IF("11"=(INDEX(ALLCLASSDATA,MATCH("HeavyTrained",CLASSFEATUREHEADERS,0),MATCH($A898,CLASSNAMEHEADERS,0))),(INDEX(ALLCLASSDATA,MATCH("HeavyTrained",CLASSFEATUREHEADERS,0),MATCH(($A898 &amp; "Points"),CLASSNAMEHEADERS,0))),"")))))))))}</f>
        <v>HEAVYL11</v>
      </c>
      <c r="S897" s="223"/>
      <c r="T897" s="223" t="str">
        <f t="array" ref="T897:T898">{"HEAVYL13";((IF("13"=(INDEX(ALLCLASSDATA,MATCH("HeavyLegendary",CLASSFEATUREHEADERS,0),MATCH($A898,CLASSNAMEHEADERS,0))),(INDEX(ALLCLASSDATA,MATCH("HeavyLegendary",CLASSFEATUREHEADERS,0),MATCH(($A898 &amp; "Points"),CLASSNAMEHEADERS,0))),(IF("13"=(INDEX(ALLCLASSDATA,MATCH("HeavyMaster",CLASSFEATUREHEADERS,0),MATCH($A898,CLASSNAMEHEADERS,0))),(INDEX(ALLCLASSDATA,MATCH("HeavyMaster",CLASSFEATUREHEADERS,0),MATCH(($A898 &amp; "Points"),CLASSNAMEHEADERS,0))),(IF("13"=(INDEX(ALLCLASSDATA,MATCH("HeavyExpert",CLASSFEATUREHEADERS,0),MATCH($A898,CLASSNAMEHEADERS,0))),(INDEX(ALLCLASSDATA,MATCH("HeavyExpert",CLASSFEATUREHEADERS,0),MATCH(($A898 &amp; "Points"),CLASSNAMEHEADERS,0))),(IF("13"=(INDEX(ALLCLASSDATA,MATCH("HeavyTrained",CLASSFEATUREHEADERS,0),MATCH($A898,CLASSNAMEHEADERS,0))),(INDEX(ALLCLASSDATA,MATCH("HeavyTrained",CLASSFEATUREHEADERS,0),MATCH(($A898 &amp; "Points"),CLASSNAMEHEADERS,0))),"")))))))))}</f>
        <v>HEAVYL13</v>
      </c>
      <c r="U897" s="223"/>
      <c r="V897" s="223" t="str">
        <f t="array" ref="V897:V898">{"HEAVYL15";((IF("15"=(INDEX(ALLCLASSDATA,MATCH("HeavyLegendary",CLASSFEATUREHEADERS,0),MATCH($A898,CLASSNAMEHEADERS,0))),(INDEX(ALLCLASSDATA,MATCH("HeavyLegendary",CLASSFEATUREHEADERS,0),MATCH(($A898 &amp; "Points"),CLASSNAMEHEADERS,0))),(IF("15"=(INDEX(ALLCLASSDATA,MATCH("HeavyMaster",CLASSFEATUREHEADERS,0),MATCH($A898,CLASSNAMEHEADERS,0))),(INDEX(ALLCLASSDATA,MATCH("HeavyMaster",CLASSFEATUREHEADERS,0),MATCH(($A898 &amp; "Points"),CLASSNAMEHEADERS,0))),(IF("15"=(INDEX(ALLCLASSDATA,MATCH("HeavyExpert",CLASSFEATUREHEADERS,0),MATCH($A898,CLASSNAMEHEADERS,0))),(INDEX(ALLCLASSDATA,MATCH("HeavyExpert",CLASSFEATUREHEADERS,0),MATCH(($A898 &amp; "Points"),CLASSNAMEHEADERS,0))),(IF("15"=(INDEX(ALLCLASSDATA,MATCH("HeavyTrained",CLASSFEATUREHEADERS,0),MATCH($A898,CLASSNAMEHEADERS,0))),(INDEX(ALLCLASSDATA,MATCH("HeavyTrained",CLASSFEATUREHEADERS,0),MATCH(($A898 &amp; "Points"),CLASSNAMEHEADERS,0))),"")))))))))}</f>
        <v>HEAVYL15</v>
      </c>
      <c r="W897" s="223"/>
      <c r="X897" s="223" t="str">
        <f t="array" ref="X897:X898">{"HEAVYL17";((IF("17"=(INDEX(ALLCLASSDATA,MATCH("HeavyLegendary",CLASSFEATUREHEADERS,0),MATCH($A898,CLASSNAMEHEADERS,0))),(INDEX(ALLCLASSDATA,MATCH("HeavyLegendary",CLASSFEATUREHEADERS,0),MATCH(($A898 &amp; "Points"),CLASSNAMEHEADERS,0))),(IF("17"=(INDEX(ALLCLASSDATA,MATCH("HeavyMaster",CLASSFEATUREHEADERS,0),MATCH($A898,CLASSNAMEHEADERS,0))),(INDEX(ALLCLASSDATA,MATCH("HeavyMaster",CLASSFEATUREHEADERS,0),MATCH(($A898 &amp; "Points"),CLASSNAMEHEADERS,0))),(IF("17"=(INDEX(ALLCLASSDATA,MATCH("HeavyExpert",CLASSFEATUREHEADERS,0),MATCH($A898,CLASSNAMEHEADERS,0))),(INDEX(ALLCLASSDATA,MATCH("HeavyExpert",CLASSFEATUREHEADERS,0),MATCH(($A898 &amp; "Points"),CLASSNAMEHEADERS,0))),(IF("17"=(INDEX(ALLCLASSDATA,MATCH("HeavyTrained",CLASSFEATUREHEADERS,0),MATCH($A898,CLASSNAMEHEADERS,0))),(INDEX(ALLCLASSDATA,MATCH("HeavyTrained",CLASSFEATUREHEADERS,0),MATCH(($A898 &amp; "Points"),CLASSNAMEHEADERS,0))),"")))))))))}</f>
        <v>HEAVYL17</v>
      </c>
      <c r="Y897" s="223"/>
      <c r="Z897" s="223" t="str">
        <f t="array" ref="Z897:Z898">{"HEAVYL19";((IF("19"=(INDEX(ALLCLASSDATA,MATCH("HeavyLegendary",CLASSFEATUREHEADERS,0),MATCH($A898,CLASSNAMEHEADERS,0))),(INDEX(ALLCLASSDATA,MATCH("HeavyLegendary",CLASSFEATUREHEADERS,0),MATCH(($A898 &amp; "Points"),CLASSNAMEHEADERS,0))),(IF("19"=(INDEX(ALLCLASSDATA,MATCH("HeavyMaster",CLASSFEATUREHEADERS,0),MATCH($A898,CLASSNAMEHEADERS,0))),(INDEX(ALLCLASSDATA,MATCH("HeavyMaster",CLASSFEATUREHEADERS,0),MATCH(($A898 &amp; "Points"),CLASSNAMEHEADERS,0))),(IF("19"=(INDEX(ALLCLASSDATA,MATCH("HeavyExpert",CLASSFEATUREHEADERS,0),MATCH($A898,CLASSNAMEHEADERS,0))),(INDEX(ALLCLASSDATA,MATCH("HeavyExpert",CLASSFEATUREHEADERS,0),MATCH(($A898 &amp; "Points"),CLASSNAMEHEADERS,0))),(IF("19"=(INDEX(ALLCLASSDATA,MATCH("HeavyTrained",CLASSFEATUREHEADERS,0),MATCH($A898,CLASSNAMEHEADERS,0))),(INDEX(ALLCLASSDATA,MATCH("HeavyTrained",CLASSFEATUREHEADERS,0),MATCH(($A898 &amp; "Points"),CLASSNAMEHEADERS,0))),"")))))))))}</f>
        <v>HEAVYL19</v>
      </c>
      <c r="AA897" s="223"/>
      <c r="AB897" s="76" t="str">
        <f t="array" ref="AB897:AB898">{"HEAVY TOTAL";(IF(COUNTBLANK(G898:AA898)=17,"L",(IF(COUNTBLANK(G898:AA898)=18,"M",(IF(COUNTBLANK(G898:AA898)=19,"E",(IF(COUNTBLANK(G898:AA898)=20,"T",""))))))))}</f>
        <v>HEAVY TOTAL</v>
      </c>
      <c r="AC897" s="76" t="str">
        <f t="array" ref="AC897:AC898">{"HEAVY TOTAL";(sum(G898:AA898))}</f>
        <v>HEAVY TOTAL</v>
      </c>
    </row>
    <row r="898">
      <c r="A898" s="48" t="s">
        <v>180</v>
      </c>
      <c r="B898" s="48"/>
      <c r="C898" s="48" t="s">
        <v>413</v>
      </c>
      <c r="D898" s="97" t="s">
        <v>1900</v>
      </c>
      <c r="E898" s="97" t="s">
        <v>533</v>
      </c>
      <c r="F898" s="98" t="s">
        <v>603</v>
      </c>
      <c r="G898" s="132" t="s">
        <v>603</v>
      </c>
      <c r="H898" s="98" t="s">
        <v>603</v>
      </c>
      <c r="I898" s="98"/>
      <c r="J898" s="98" t="s">
        <v>603</v>
      </c>
      <c r="K898" s="98"/>
      <c r="L898" s="98" t="s">
        <v>603</v>
      </c>
      <c r="M898" s="98"/>
      <c r="N898" s="98" t="s">
        <v>603</v>
      </c>
      <c r="O898" s="98"/>
      <c r="P898" s="98" t="s">
        <v>603</v>
      </c>
      <c r="Q898" s="98"/>
      <c r="R898" s="98" t="s">
        <v>603</v>
      </c>
      <c r="S898" s="98"/>
      <c r="T898" s="98" t="s">
        <v>603</v>
      </c>
      <c r="U898" s="98"/>
      <c r="V898" s="98" t="s">
        <v>603</v>
      </c>
      <c r="W898" s="98"/>
      <c r="X898" s="98" t="s">
        <v>603</v>
      </c>
      <c r="Y898" s="98"/>
      <c r="Z898" s="98" t="s">
        <v>603</v>
      </c>
      <c r="AA898" s="98"/>
      <c r="AB898" s="5" t="s">
        <v>603</v>
      </c>
      <c r="AC898" s="47">
        <v>0.0</v>
      </c>
    </row>
    <row r="899" hidden="1">
      <c r="A899" s="222" t="str">
        <f t="array" ref="A899:A900">{"FormulaRow39";(INDEX(CLASSLIST,A822,1))}</f>
        <v>FormulaRow39</v>
      </c>
      <c r="B899" s="77" t="s">
        <v>236</v>
      </c>
      <c r="C899" s="222" t="str">
        <f t="array" ref="C899:C900">{"CLASSTYPE";((INDEX(ALLCLASSDATA,MATCH("ClassType",CLASSFEATUREHEADERS,0),MATCH($A900,CLASSNAMEHEADERS,0))))}</f>
        <v>CLASSTYPE</v>
      </c>
      <c r="D899" s="222" t="str">
        <f t="array" ref="D899:D900">{"SPELL/ALCHEMY";((IF(INDEX(ALLCLASSDATA,MATCH("CasterType",CLASSFEATUREHEADERS,0),MATCH(($A900),CLASSNAMEHEADERS,0))="","",(IF(INDEX(ALLCLASSDATA,MATCH("CasterType",CLASSFEATUREHEADERS,0),MATCH(($A900),CLASSNAMEHEADERS,0))="Alchemy","Alchemy","Spells")))))}</f>
        <v>SPELL/ALCHEMY</v>
      </c>
      <c r="E899" s="222" t="str">
        <f t="array" ref="E899:E900">{"SPELLLIST";(IF(D900="Spells",((INDEX(ALLCLASSDATA,MATCH("CasterType",CLASSFEATUREHEADERS,0),MATCH(($A900),CLASSNAMEHEADERS,0))) &amp; ":" &amp; (INDEX(ALLCLASSDATA,MATCH("SpellList",CLASSFEATUREHEADERS,0),MATCH(($A900),CLASSNAMEHEADERS,0)))),""))}</f>
        <v>SPELLLIST</v>
      </c>
      <c r="F899" s="223" t="str">
        <f t="array" ref="F899:F900">{"SPL";(IF(D900="Spells","SPL:",""))}</f>
        <v>SPL</v>
      </c>
      <c r="G899" s="223" t="str">
        <f t="array" ref="G899:G900">{"CANTRIP/ALC";(IF(D900="Spells","C",(IF(D900="Alchemy","ALC:",""))))}</f>
        <v>CANTRIP/ALC</v>
      </c>
      <c r="H899" s="223" t="str">
        <f t="array" ref="H899:H900">{"SPELL/ALC L01";(IF(D900="Alchemy","L01",(IF(D900="Spells","S01",""))))}</f>
        <v>SPELL/ALC L01</v>
      </c>
      <c r="I899" s="223" t="str">
        <f t="array" ref="I899:I900">{"SPELL/ALC L02";(IF(D900="Alchemy","L02",(IF(D900="Spells","S01",""))))}</f>
        <v>SPELL/ALC L02</v>
      </c>
      <c r="J899" s="223" t="str">
        <f t="array" ref="J899:J900">{"SPELL/ALC L03";(IF(D900="Alchemy","L03",(IF(D900="Spells","S02",""))))}</f>
        <v>SPELL/ALC L03</v>
      </c>
      <c r="K899" s="223" t="str">
        <f t="array" ref="K899:K900">{"SPELL/ALC L04";(IF(D900="Alchemy","L04",(IF(D900="Spells","S02",""))))}</f>
        <v>SPELL/ALC L04</v>
      </c>
      <c r="L899" s="223" t="str">
        <f t="array" ref="L899:L900">{"SPELL/ALC L05";(IF(D900="Alchemy","L05",(IF(D900="Spells","S03",""))))}</f>
        <v>SPELL/ALC L05</v>
      </c>
      <c r="M899" s="223" t="str">
        <f t="array" ref="M899:M900">{"SPELL/ALC L06";(IF(D900="Alchemy","L06",(IF(D900="Spells","S03",""))))}</f>
        <v>SPELL/ALC L06</v>
      </c>
      <c r="N899" s="223" t="str">
        <f t="array" ref="N899:N900">{"SPELL/ALC L07";(IF(D900="Alchemy","L07",(IF(D900="Spells","S04",""))))}</f>
        <v>SPELL/ALC L07</v>
      </c>
      <c r="O899" s="223" t="str">
        <f t="array" ref="O899:O900">{"SPELL/ALC L08";(IF(D900="Alchemy","L08",(IF(D900="Spells","S04",""))))}</f>
        <v>SPELL/ALC L08</v>
      </c>
      <c r="P899" s="223" t="str">
        <f t="array" ref="P899:P900">{"SPELL/ALC L09";(IF(D900="Alchemy","L09",(IF(D900="Spells","S05",""))))}</f>
        <v>SPELL/ALC L09</v>
      </c>
      <c r="Q899" s="223" t="str">
        <f t="array" ref="Q899:Q900">{"SPELL/ALC L10";(IF(D900="Alchemy","L10",(IF(D900="Spells","S05",""))))}</f>
        <v>SPELL/ALC L10</v>
      </c>
      <c r="R899" s="223" t="str">
        <f t="array" ref="R899:R900">{"SPELL/ALC L11";(IF(D900="Alchemy","L11",(IF(D900="Spells","S06",""))))}</f>
        <v>SPELL/ALC L11</v>
      </c>
      <c r="S899" s="223" t="str">
        <f t="array" ref="S899:S900">{"SPELL/ALC L12";(IF(D900="Alchemy","L12",(IF(D900="Spells","S06",""))))}</f>
        <v>SPELL/ALC L12</v>
      </c>
      <c r="T899" s="223" t="str">
        <f t="array" ref="T899:T900">{"SPELL/ALC L13";(IF(D900="Alchemy","L13",(IF(D900="Spells","S07",""))))}</f>
        <v>SPELL/ALC L13</v>
      </c>
      <c r="U899" s="223" t="str">
        <f t="array" ref="U899:U900">{"SPELL/ALC L14";(IF(D900="Alchemy","L14",(IF(D900="Spells","S07",""))))}</f>
        <v>SPELL/ALC L14</v>
      </c>
      <c r="V899" s="223" t="str">
        <f t="array" ref="V899:V900">{"SPELL/ALC L15";(IF(D900="Alchemy","L15",(IF(D900="Spells","S08",""))))}</f>
        <v>SPELL/ALC L15</v>
      </c>
      <c r="W899" s="223" t="str">
        <f t="array" ref="W899:W900">{"SPELL/ALC L16";(IF(D900="Alchemy","L16",(IF(D900="Spells","S08",""))))}</f>
        <v>SPELL/ALC L16</v>
      </c>
      <c r="X899" s="223" t="str">
        <f t="array" ref="X899:X900">{"SPELL/ALC L17";(IF(D900="Alchemy","L17",(IF(D900="Spells","S09",""))))}</f>
        <v>SPELL/ALC L17</v>
      </c>
      <c r="Y899" s="223" t="str">
        <f t="array" ref="Y899:Y900">{"SPELL/ALC L18";(IF(D900="Alchemy","L18",(IF(D900="Spells","S09",""))))}</f>
        <v>SPELL/ALC L18</v>
      </c>
      <c r="Z899" s="223" t="str">
        <f t="array" ref="Z899:Z900">{"SPELL/ALC L19";(IF(D900="Alchemy","L19",(IF(D900="Spells","S10",""))))}</f>
        <v>SPELL/ALC L19</v>
      </c>
      <c r="AA899" s="223" t="str">
        <f t="array" ref="AA899:AA900">{"SPELL/ALC L20";(IF(D900="Alchemy","L20",(IF(D900="Spells","S10",""))))}</f>
        <v>SPELL/ALC L20</v>
      </c>
      <c r="AB899" s="76"/>
      <c r="AC899" s="76"/>
    </row>
    <row r="900">
      <c r="A900" s="48" t="s">
        <v>180</v>
      </c>
      <c r="B900" s="48"/>
      <c r="C900" s="48" t="s">
        <v>413</v>
      </c>
      <c r="D900" s="48" t="s">
        <v>603</v>
      </c>
      <c r="E900" s="48" t="s">
        <v>603</v>
      </c>
      <c r="F900" s="278" t="s">
        <v>603</v>
      </c>
      <c r="G900" s="114" t="s">
        <v>603</v>
      </c>
      <c r="H900" s="279" t="s">
        <v>603</v>
      </c>
      <c r="I900" s="28" t="s">
        <v>603</v>
      </c>
      <c r="J900" s="28" t="s">
        <v>603</v>
      </c>
      <c r="K900" s="28" t="s">
        <v>603</v>
      </c>
      <c r="L900" s="28" t="s">
        <v>603</v>
      </c>
      <c r="M900" s="28" t="s">
        <v>603</v>
      </c>
      <c r="N900" s="28" t="s">
        <v>603</v>
      </c>
      <c r="O900" s="28" t="s">
        <v>603</v>
      </c>
      <c r="P900" s="28" t="s">
        <v>603</v>
      </c>
      <c r="Q900" s="28" t="s">
        <v>603</v>
      </c>
      <c r="R900" s="28" t="s">
        <v>603</v>
      </c>
      <c r="S900" s="28" t="s">
        <v>603</v>
      </c>
      <c r="T900" s="28" t="s">
        <v>603</v>
      </c>
      <c r="U900" s="28" t="s">
        <v>603</v>
      </c>
      <c r="V900" s="28" t="s">
        <v>603</v>
      </c>
      <c r="W900" s="28" t="s">
        <v>603</v>
      </c>
      <c r="X900" s="28" t="s">
        <v>603</v>
      </c>
      <c r="Y900" s="28" t="s">
        <v>603</v>
      </c>
      <c r="Z900" s="28" t="s">
        <v>603</v>
      </c>
      <c r="AA900" s="28" t="s">
        <v>603</v>
      </c>
      <c r="AB900" s="5"/>
      <c r="AC900" s="47"/>
    </row>
    <row r="901" hidden="1">
      <c r="A901" s="222" t="str">
        <f t="array" ref="A901:A902">{"FormulaRow40";(INDEX(CLASSLIST,A822,1))}</f>
        <v>FormulaRow40</v>
      </c>
      <c r="B901" s="77" t="s">
        <v>236</v>
      </c>
      <c r="C901" s="222" t="str">
        <f t="array" ref="C901:C902">{"CLASSTYPE";((INDEX(ALLCLASSDATA,MATCH("ClassType",CLASSFEATUREHEADERS,0),MATCH($A902,CLASSNAMEHEADERS,0))))}</f>
        <v>CLASSTYPE</v>
      </c>
      <c r="D901" s="222" t="str">
        <f t="array" ref="D901:D902">{"SPELL/ALCHEMY";((IF(INDEX(ALLCLASSDATA,MATCH("CasterType",CLASSFEATUREHEADERS,0),MATCH(($A902),CLASSNAMEHEADERS,0))="","",(IF(INDEX(ALLCLASSDATA,MATCH("CasterType",CLASSFEATUREHEADERS,0),MATCH(($A902),CLASSNAMEHEADERS,0))="Alchemy","","Spells")))))}</f>
        <v>SPELL/ALCHEMY</v>
      </c>
      <c r="E901" s="222" t="str">
        <f t="array" ref="E901:E902">{"SPELLLIST";(IF(D902="Spells",((INDEX(ALLCLASSDATA,MATCH("CasterType",CLASSFEATUREHEADERS,0),MATCH(($A902),CLASSNAMEHEADERS,0))) &amp; ":" &amp; (INDEX(ALLCLASSDATA,MATCH("SpellList",CLASSFEATUREHEADERS,0),MATCH(($A902),CLASSNAMEHEADERS,0)))),""))}</f>
        <v>SPELLLIST</v>
      </c>
      <c r="F901" s="222" t="str">
        <f t="array" ref="F901:F902">{"SLOTCOST";(IF(D902="Spells","SlotCost:",""))}</f>
        <v>SLOTCOST</v>
      </c>
      <c r="G901" s="222" t="str">
        <f t="array" ref="G901:G902">{"SLOTCOST CANTRIP";(INDEX(ALLCLASSDATA,MATCH("CantripSlots-L00",CLASSFEATUREHEADERS,0),MATCH(($A902 &amp; "Points"),CLASSNAMEHEADERS,0)))}</f>
        <v>SLOTCOST CANTRIP</v>
      </c>
      <c r="H901" s="222" t="str">
        <f t="array" ref="H901:H902">{"SLOTCOST L01";(INDEX(ALLCLASSDATA,MATCH("SPL01-L01",CLASSFEATUREHEADERS,0),MATCH(($A902 &amp; "Points"),CLASSNAMEHEADERS,0)))}</f>
        <v>SLOTCOST L01</v>
      </c>
      <c r="I901" s="222" t="str">
        <f t="array" ref="I901:I902">{"SLOTCOST L02";(INDEX(ALLCLASSDATA,MATCH("SPL01-L02",CLASSFEATUREHEADERS,0),MATCH(($A902 &amp; "Points"),CLASSNAMEHEADERS,0)))}</f>
        <v>SLOTCOST L02</v>
      </c>
      <c r="J901" s="222" t="str">
        <f t="array" ref="J901:J902">{"SLOTCOST L03";(INDEX(ALLCLASSDATA,MATCH("SPL02-L03",CLASSFEATUREHEADERS,0),MATCH(($A902 &amp; "Points"),CLASSNAMEHEADERS,0)))}</f>
        <v>SLOTCOST L03</v>
      </c>
      <c r="K901" s="222" t="str">
        <f t="array" ref="K901:K902">{"SLOTCOST L04";(INDEX(ALLCLASSDATA,MATCH("SPL02-L04",CLASSFEATUREHEADERS,0),MATCH(($A902 &amp; "Points"),CLASSNAMEHEADERS,0)))}</f>
        <v>SLOTCOST L04</v>
      </c>
      <c r="L901" s="222" t="str">
        <f t="array" ref="L901:L902">{"SLOTCOST L05";(INDEX(ALLCLASSDATA,MATCH("SPL03-L05",CLASSFEATUREHEADERS,0),MATCH(($A902 &amp; "Points"),CLASSNAMEHEADERS,0)))}</f>
        <v>SLOTCOST L05</v>
      </c>
      <c r="M901" s="222" t="str">
        <f t="array" ref="M901:M902">{"SLOTCOST L06";(INDEX(ALLCLASSDATA,MATCH("SPL03-L06",CLASSFEATUREHEADERS,0),MATCH(($A902 &amp; "Points"),CLASSNAMEHEADERS,0)))}</f>
        <v>SLOTCOST L06</v>
      </c>
      <c r="N901" s="222" t="str">
        <f t="array" ref="N901:N902">{"SLOTCOST L07";(INDEX(ALLCLASSDATA,MATCH("SPL04-L07",CLASSFEATUREHEADERS,0),MATCH(($A902 &amp; "Points"),CLASSNAMEHEADERS,0)))}</f>
        <v>SLOTCOST L07</v>
      </c>
      <c r="O901" s="222" t="str">
        <f t="array" ref="O901:O902">{"SLOTCOST L08";(INDEX(ALLCLASSDATA,MATCH("SPL04-L08",CLASSFEATUREHEADERS,0),MATCH(($A902 &amp; "Points"),CLASSNAMEHEADERS,0)))}</f>
        <v>SLOTCOST L08</v>
      </c>
      <c r="P901" s="222" t="str">
        <f t="array" ref="P901:P902">{"SLOTCOST L09";(INDEX(ALLCLASSDATA,MATCH("SPL05-L09",CLASSFEATUREHEADERS,0),MATCH(($A902 &amp; "Points"),CLASSNAMEHEADERS,0)))}</f>
        <v>SLOTCOST L09</v>
      </c>
      <c r="Q901" s="222" t="str">
        <f t="array" ref="Q901:Q902">{"SLOTCOST L10";(INDEX(ALLCLASSDATA,MATCH("SPL05-L10",CLASSFEATUREHEADERS,0),MATCH(($A902 &amp; "Points"),CLASSNAMEHEADERS,0)))}</f>
        <v>SLOTCOST L10</v>
      </c>
      <c r="R901" s="222" t="str">
        <f t="array" ref="R901:R902">{"SLOTCOST L11";(INDEX(ALLCLASSDATA,MATCH("SPL06-L11",CLASSFEATUREHEADERS,0),MATCH(($A902 &amp; "Points"),CLASSNAMEHEADERS,0)))}</f>
        <v>SLOTCOST L11</v>
      </c>
      <c r="S901" s="222" t="str">
        <f t="array" ref="S901:S902">{"SLOTCOST L12";(INDEX(ALLCLASSDATA,MATCH("SPL06-L12",CLASSFEATUREHEADERS,0),MATCH(($A902 &amp; "Points"),CLASSNAMEHEADERS,0)))}</f>
        <v>SLOTCOST L12</v>
      </c>
      <c r="T901" s="222" t="str">
        <f t="array" ref="T901:T902">{"SLOTCOST L13";(INDEX(ALLCLASSDATA,MATCH("SPL07-L13",CLASSFEATUREHEADERS,0),MATCH(($A902 &amp; "Points"),CLASSNAMEHEADERS,0)))}</f>
        <v>SLOTCOST L13</v>
      </c>
      <c r="U901" s="222" t="str">
        <f t="array" ref="U901:U902">{"SLOTCOST L14";(INDEX(ALLCLASSDATA,MATCH("SPL07-L14",CLASSFEATUREHEADERS,0),MATCH(($A902 &amp; "Points"),CLASSNAMEHEADERS,0)))}</f>
        <v>SLOTCOST L14</v>
      </c>
      <c r="V901" s="222" t="str">
        <f t="array" ref="V901:V902">{"SLOTCOST L15";(INDEX(ALLCLASSDATA,MATCH("SPL08-L15",CLASSFEATUREHEADERS,0),MATCH(($A902 &amp; "Points"),CLASSNAMEHEADERS,0)))}</f>
        <v>SLOTCOST L15</v>
      </c>
      <c r="W901" s="222" t="str">
        <f t="array" ref="W901:W902">{"SLOTCOST L16";(INDEX(ALLCLASSDATA,MATCH("SPL08-L16",CLASSFEATUREHEADERS,0),MATCH(($A902 &amp; "Points"),CLASSNAMEHEADERS,0)))}</f>
        <v>SLOTCOST L16</v>
      </c>
      <c r="X901" s="222" t="str">
        <f t="array" ref="X901:X902">{"SLOTCOST L17";(INDEX(ALLCLASSDATA,MATCH("SPL09-L17",CLASSFEATUREHEADERS,0),MATCH(($A902 &amp; "Points"),CLASSNAMEHEADERS,0)))}</f>
        <v>SLOTCOST L17</v>
      </c>
      <c r="Y901" s="222" t="str">
        <f t="array" ref="Y901:Y902">{"SLOTCOST L18";(INDEX(ALLCLASSDATA,MATCH("SPL09-L18",CLASSFEATUREHEADERS,0),MATCH(($A902 &amp; "Points"),CLASSNAMEHEADERS,0)))}</f>
        <v>SLOTCOST L18</v>
      </c>
      <c r="Z901" s="222" t="str">
        <f t="array" ref="Z901:Z902">{"SLOTCOST L19";(INDEX(ALLCLASSDATA,MATCH("SPL10-L19",CLASSFEATUREHEADERS,0),MATCH(($A902 &amp; "Points"),CLASSNAMEHEADERS,0)))}</f>
        <v>SLOTCOST L19</v>
      </c>
      <c r="AA901" s="222" t="str">
        <f t="array" ref="AA901:AA902">{"SLOTCOST L20";(INDEX(ALLCLASSDATA,MATCH("SPL10-L20",CLASSFEATUREHEADERS,0),MATCH(($A902 &amp; "Points"),CLASSNAMEHEADERS,0)))}</f>
        <v>SLOTCOST L20</v>
      </c>
      <c r="AB901" s="76"/>
      <c r="AC901" s="76" t="str">
        <f t="array" ref="AC901:AC902">{"SLOT TOTAL";(sum(G902:AA902))}</f>
        <v>SLOT TOTAL</v>
      </c>
    </row>
    <row r="902">
      <c r="A902" s="48" t="s">
        <v>180</v>
      </c>
      <c r="B902" s="48"/>
      <c r="C902" s="48" t="s">
        <v>413</v>
      </c>
      <c r="D902" s="48" t="s">
        <v>603</v>
      </c>
      <c r="E902" s="48" t="s">
        <v>603</v>
      </c>
      <c r="F902" s="278" t="s">
        <v>603</v>
      </c>
      <c r="G902" s="47" t="s">
        <v>603</v>
      </c>
      <c r="H902" s="5" t="s">
        <v>603</v>
      </c>
      <c r="I902" s="5" t="s">
        <v>603</v>
      </c>
      <c r="J902" s="5" t="s">
        <v>603</v>
      </c>
      <c r="K902" s="5" t="s">
        <v>603</v>
      </c>
      <c r="L902" s="5" t="s">
        <v>603</v>
      </c>
      <c r="M902" s="48" t="s">
        <v>603</v>
      </c>
      <c r="N902" s="5" t="s">
        <v>603</v>
      </c>
      <c r="O902" s="5" t="s">
        <v>603</v>
      </c>
      <c r="P902" s="5" t="s">
        <v>603</v>
      </c>
      <c r="Q902" s="5" t="s">
        <v>603</v>
      </c>
      <c r="R902" s="5" t="s">
        <v>603</v>
      </c>
      <c r="S902" s="5" t="s">
        <v>603</v>
      </c>
      <c r="T902" s="5" t="s">
        <v>603</v>
      </c>
      <c r="U902" s="5" t="s">
        <v>603</v>
      </c>
      <c r="V902" s="5" t="s">
        <v>603</v>
      </c>
      <c r="W902" s="5" t="s">
        <v>603</v>
      </c>
      <c r="X902" s="5" t="s">
        <v>603</v>
      </c>
      <c r="Y902" s="5" t="s">
        <v>603</v>
      </c>
      <c r="Z902" s="5" t="s">
        <v>603</v>
      </c>
      <c r="AA902" s="5" t="s">
        <v>603</v>
      </c>
      <c r="AB902" s="5"/>
      <c r="AC902" s="47">
        <v>0.0</v>
      </c>
    </row>
    <row r="903" hidden="1">
      <c r="A903" s="222" t="str">
        <f t="array" ref="A903:A904">{"FormulaRow41";(INDEX(CLASSLIST,A822,1))}</f>
        <v>FormulaRow41</v>
      </c>
      <c r="B903" s="77" t="s">
        <v>236</v>
      </c>
      <c r="C903" s="222" t="str">
        <f t="array" ref="C903:C904">{"CLASSTYPE";((INDEX(ALLCLASSDATA,MATCH("ClassType",CLASSFEATUREHEADERS,0),MATCH($A904,CLASSNAMEHEADERS,0))))}</f>
        <v>CLASSTYPE</v>
      </c>
      <c r="D903" s="222" t="str">
        <f t="array" ref="D903:D904">{"SPELL/ALCHEMY";((IF(INDEX(ALLCLASSDATA,MATCH("CasterType",CLASSFEATUREHEADERS,0),MATCH(($A904),CLASSNAMEHEADERS,0))="","",(IF(INDEX(ALLCLASSDATA,MATCH("CasterType",CLASSFEATUREHEADERS,0),MATCH(($A904),CLASSNAMEHEADERS,0))="Alchemy","Alchemy","Spells")))))}</f>
        <v>SPELL/ALCHEMY</v>
      </c>
      <c r="E903" s="222" t="str">
        <f t="array" ref="E903:E904">{"SPELLLIST";(IF(D904="Spells",((INDEX(ALLCLASSDATA,MATCH("CasterType",CLASSFEATUREHEADERS,0),MATCH(($A904),CLASSNAMEHEADERS,0))) &amp; ":" &amp; (INDEX(ALLCLASSDATA,MATCH("SpellList",CLASSFEATUREHEADERS,0),MATCH(($A904),CLASSNAMEHEADERS,0)))),""))}</f>
        <v>SPELLLIST</v>
      </c>
      <c r="F903" s="223" t="str">
        <f t="array" ref="F903:F904">{"LEARNEDCOST";(IF(D904="","","LearnCost:"))}</f>
        <v>LEARNEDCOST</v>
      </c>
      <c r="G903" s="223" t="str">
        <f t="array" ref="G903:G904">{"LEARNED CANTRIPS";(INDEX(ALLCLASSDATA,MATCH("CantripsLearned-L00",CLASSFEATUREHEADERS,0),MATCH(($A904 &amp; "Points"),CLASSNAMEHEADERS,0)))}</f>
        <v>LEARNED CANTRIPS</v>
      </c>
      <c r="H903" s="223" t="str">
        <f t="array" ref="H903:H904">{"LEARNED L01";(INDEX(ALLCLASSDATA,MATCH("Learned-L01",CLASSFEATUREHEADERS,0),MATCH(($A904 &amp; "Points"),CLASSNAMEHEADERS,0)))}</f>
        <v>LEARNED L01</v>
      </c>
      <c r="I903" s="223" t="str">
        <f t="array" ref="I903:I904">{"LEARNED L02";(INDEX(ALLCLASSDATA,MATCH("Learned-L02",CLASSFEATUREHEADERS,0),MATCH(($A904 &amp; "Points"),CLASSNAMEHEADERS,0)))}</f>
        <v>LEARNED L02</v>
      </c>
      <c r="J903" s="223" t="str">
        <f t="array" ref="J903:J904">{"LEARNED L03";(INDEX(ALLCLASSDATA,MATCH("Learned-L03",CLASSFEATUREHEADERS,0),MATCH(($A904 &amp; "Points"),CLASSNAMEHEADERS,0)))}</f>
        <v>LEARNED L03</v>
      </c>
      <c r="K903" s="223" t="str">
        <f t="array" ref="K903:K904">{"LEARNED L04";(INDEX(ALLCLASSDATA,MATCH("Learned-L04",CLASSFEATUREHEADERS,0),MATCH(($A904 &amp; "Points"),CLASSNAMEHEADERS,0)))}</f>
        <v>LEARNED L04</v>
      </c>
      <c r="L903" s="223" t="str">
        <f t="array" ref="L903:L904">{"LEARNED L05";(INDEX(ALLCLASSDATA,MATCH("Learned-L05",CLASSFEATUREHEADERS,0),MATCH(($A904 &amp; "Points"),CLASSNAMEHEADERS,0)))}</f>
        <v>LEARNED L05</v>
      </c>
      <c r="M903" s="223" t="str">
        <f t="array" ref="M903:M904">{"LEARNED L06";(INDEX(ALLCLASSDATA,MATCH("Learned-L06",CLASSFEATUREHEADERS,0),MATCH(($A904 &amp; "Points"),CLASSNAMEHEADERS,0)))}</f>
        <v>LEARNED L06</v>
      </c>
      <c r="N903" s="223" t="str">
        <f t="array" ref="N903:N904">{"LEARNED L07";(INDEX(ALLCLASSDATA,MATCH("Learned-L07",CLASSFEATUREHEADERS,0),MATCH(($A904 &amp; "Points"),CLASSNAMEHEADERS,0)))}</f>
        <v>LEARNED L07</v>
      </c>
      <c r="O903" s="223" t="str">
        <f t="array" ref="O903:O904">{"LEARNED L08";(INDEX(ALLCLASSDATA,MATCH("Learned-L08",CLASSFEATUREHEADERS,0),MATCH(($A904 &amp; "Points"),CLASSNAMEHEADERS,0)))}</f>
        <v>LEARNED L08</v>
      </c>
      <c r="P903" s="223" t="str">
        <f t="array" ref="P903:P904">{"LEARNED L09";(INDEX(ALLCLASSDATA,MATCH("Learned-L09",CLASSFEATUREHEADERS,0),MATCH(($A904 &amp; "Points"),CLASSNAMEHEADERS,0)))}</f>
        <v>LEARNED L09</v>
      </c>
      <c r="Q903" s="223" t="str">
        <f t="array" ref="Q903:Q904">{"LEARNED L10";(INDEX(ALLCLASSDATA,MATCH("Learned-L10",CLASSFEATUREHEADERS,0),MATCH(($A904 &amp; "Points"),CLASSNAMEHEADERS,0)))}</f>
        <v>LEARNED L10</v>
      </c>
      <c r="R903" s="223" t="str">
        <f t="array" ref="R903:R904">{"LEARNED L11";(INDEX(ALLCLASSDATA,MATCH("Learned-L11",CLASSFEATUREHEADERS,0),MATCH(($A904 &amp; "Points"),CLASSNAMEHEADERS,0)))}</f>
        <v>LEARNED L11</v>
      </c>
      <c r="S903" s="223" t="str">
        <f t="array" ref="S903:S904">{"LEARNED L12";(INDEX(ALLCLASSDATA,MATCH("Learned-L12",CLASSFEATUREHEADERS,0),MATCH(($A904 &amp; "Points"),CLASSNAMEHEADERS,0)))}</f>
        <v>LEARNED L12</v>
      </c>
      <c r="T903" s="223" t="str">
        <f t="array" ref="T903:T904">{"LEARNED L13";(INDEX(ALLCLASSDATA,MATCH("Learned-L13",CLASSFEATUREHEADERS,0),MATCH(($A904 &amp; "Points"),CLASSNAMEHEADERS,0)))}</f>
        <v>LEARNED L13</v>
      </c>
      <c r="U903" s="223" t="str">
        <f t="array" ref="U903:U904">{"LEARNED L14";(INDEX(ALLCLASSDATA,MATCH("Learned-L14",CLASSFEATUREHEADERS,0),MATCH(($A904 &amp; "Points"),CLASSNAMEHEADERS,0)))}</f>
        <v>LEARNED L14</v>
      </c>
      <c r="V903" s="223" t="str">
        <f t="array" ref="V903:V904">{"LEARNED L15";(INDEX(ALLCLASSDATA,MATCH("Learned-L15",CLASSFEATUREHEADERS,0),MATCH(($A904 &amp; "Points"),CLASSNAMEHEADERS,0)))}</f>
        <v>LEARNED L15</v>
      </c>
      <c r="W903" s="223" t="str">
        <f t="array" ref="W903:W904">{"LEARNED L16";(INDEX(ALLCLASSDATA,MATCH("Learned-L16",CLASSFEATUREHEADERS,0),MATCH(($A904 &amp; "Points"),CLASSNAMEHEADERS,0)))}</f>
        <v>LEARNED L16</v>
      </c>
      <c r="X903" s="223" t="str">
        <f t="array" ref="X903:X904">{"LEARNED L17";(INDEX(ALLCLASSDATA,MATCH("Learned-L17",CLASSFEATUREHEADERS,0),MATCH(($A904 &amp; "Points"),CLASSNAMEHEADERS,0)))}</f>
        <v>LEARNED L17</v>
      </c>
      <c r="Y903" s="223" t="str">
        <f t="array" ref="Y903:Y904">{"LEARNED L18";(INDEX(ALLCLASSDATA,MATCH("Learned-L18",CLASSFEATUREHEADERS,0),MATCH(($A904 &amp; "Points"),CLASSNAMEHEADERS,0)))}</f>
        <v>LEARNED L18</v>
      </c>
      <c r="Z903" s="223" t="str">
        <f t="array" ref="Z903:Z904">{"LEARNED L19";(INDEX(ALLCLASSDATA,MATCH("Learned-L19",CLASSFEATUREHEADERS,0),MATCH(($A904 &amp; "Points"),CLASSNAMEHEADERS,0)))}</f>
        <v>LEARNED L19</v>
      </c>
      <c r="AA903" s="223" t="str">
        <f t="array" ref="AA903:AA904">{"LEARNED L20";(INDEX(ALLCLASSDATA,MATCH("Learned-L20",CLASSFEATUREHEADERS,0),MATCH(($A904 &amp; "Points"),CLASSNAMEHEADERS,0)))}</f>
        <v>LEARNED L20</v>
      </c>
      <c r="AB903" s="76"/>
      <c r="AC903" s="76" t="str">
        <f t="array" ref="AC903:AC904">{"LEARNED TOTAL";(sum(G904:AA904))}</f>
        <v>LEARNED TOTAL</v>
      </c>
    </row>
    <row r="904">
      <c r="A904" s="48" t="s">
        <v>180</v>
      </c>
      <c r="B904" s="48"/>
      <c r="C904" s="48" t="s">
        <v>413</v>
      </c>
      <c r="D904" s="48" t="s">
        <v>603</v>
      </c>
      <c r="E904" s="48" t="s">
        <v>603</v>
      </c>
      <c r="F904" s="278" t="s">
        <v>603</v>
      </c>
      <c r="G904" s="47" t="s">
        <v>603</v>
      </c>
      <c r="H904" s="5" t="s">
        <v>603</v>
      </c>
      <c r="I904" s="5" t="s">
        <v>603</v>
      </c>
      <c r="J904" s="5" t="s">
        <v>603</v>
      </c>
      <c r="K904" s="5" t="s">
        <v>603</v>
      </c>
      <c r="L904" s="5" t="s">
        <v>603</v>
      </c>
      <c r="M904" s="5" t="s">
        <v>603</v>
      </c>
      <c r="N904" s="48" t="s">
        <v>603</v>
      </c>
      <c r="O904" s="5" t="s">
        <v>603</v>
      </c>
      <c r="P904" s="5" t="s">
        <v>603</v>
      </c>
      <c r="Q904" s="5" t="s">
        <v>603</v>
      </c>
      <c r="R904" s="5" t="s">
        <v>603</v>
      </c>
      <c r="S904" s="5" t="s">
        <v>603</v>
      </c>
      <c r="T904" s="5" t="s">
        <v>603</v>
      </c>
      <c r="U904" s="5" t="s">
        <v>603</v>
      </c>
      <c r="V904" s="5" t="s">
        <v>603</v>
      </c>
      <c r="W904" s="5" t="s">
        <v>603</v>
      </c>
      <c r="X904" s="5" t="s">
        <v>603</v>
      </c>
      <c r="Y904" s="5" t="s">
        <v>603</v>
      </c>
      <c r="Z904" s="5" t="s">
        <v>603</v>
      </c>
      <c r="AA904" s="5" t="s">
        <v>603</v>
      </c>
      <c r="AB904" s="5"/>
      <c r="AC904" s="47">
        <v>0.0</v>
      </c>
    </row>
    <row r="905" hidden="1">
      <c r="A905" s="222" t="str">
        <f t="array" ref="A905:A906">{"FormulaRow42";(INDEX(CLASSLIST,A822,1))}</f>
        <v>FormulaRow42</v>
      </c>
      <c r="B905" s="77" t="s">
        <v>236</v>
      </c>
      <c r="C905" s="222" t="str">
        <f t="array" ref="C905:C906">{"CLASSTYPE";((INDEX(ALLCLASSDATA,MATCH("ClassType",CLASSFEATUREHEADERS,0),MATCH($A906,CLASSNAMEHEADERS,0))))}</f>
        <v>CLASSTYPE</v>
      </c>
      <c r="D905" s="222" t="str">
        <f t="array" ref="D905:D906">{"SPELL/ALCHEMY";((IF(INDEX(ALLCLASSDATA,MATCH("CasterType",CLASSFEATUREHEADERS,0),MATCH(($A906),CLASSNAMEHEADERS,0))="","",(IF(INDEX(ALLCLASSDATA,MATCH("CasterType",CLASSFEATUREHEADERS,0),MATCH(($A906),CLASSNAMEHEADERS,0))="Alchemy","","Spells")))))}</f>
        <v>SPELL/ALCHEMY</v>
      </c>
      <c r="E905" s="222" t="str">
        <f t="array" ref="E905:E906">{"SPELLLIST";(IF(D906="Spells",((INDEX(ALLCLASSDATA,MATCH("CasterType",CLASSFEATUREHEADERS,0),MATCH(($A906),CLASSNAMEHEADERS,0))) &amp; ":" &amp; (INDEX(ALLCLASSDATA,MATCH("SpellList",CLASSFEATUREHEADERS,0),MATCH(($A906),CLASSNAMEHEADERS,0)))),""))}</f>
        <v>SPELLLIST</v>
      </c>
      <c r="F905" s="223" t="str">
        <f t="array" ref="F905:F906">{"SLOT/LVL";(IF(D900="Spells","Slot/LVL:",""))}</f>
        <v>SLOT/LVL</v>
      </c>
      <c r="G905" s="223" t="str">
        <f t="array" ref="G905:G906">{"CANTRIPSLOTS";(INDEX(ALLCLASSDATA,MATCH("CantripSlots-L00",CLASSFEATUREHEADERS,0),MATCH($A906,CLASSNAMEHEADERS,0)))}</f>
        <v>CANTRIPSLOTS</v>
      </c>
      <c r="H905" s="223" t="str">
        <f t="array" ref="H905:H906">{"SPL01-L01";(INDEX(ALLCLASSDATA,MATCH("SPL01-L01",CLASSFEATUREHEADERS,0),MATCH($A906,CLASSNAMEHEADERS,0)))}</f>
        <v>SPL01-L01</v>
      </c>
      <c r="I905" s="223" t="str">
        <f t="array" ref="I905:I906">{"SPL01-L02";(INDEX(ALLCLASSDATA,MATCH("SPL01-L02",CLASSFEATUREHEADERS,0),MATCH($A906,CLASSNAMEHEADERS,0)))}</f>
        <v>SPL01-L02</v>
      </c>
      <c r="J905" s="223" t="str">
        <f t="array" ref="J905:J906">{"SPL02-L03";(INDEX(ALLCLASSDATA,MATCH("SPL02-L03",CLASSFEATUREHEADERS,0),MATCH($A906,CLASSNAMEHEADERS,0)))}</f>
        <v>SPL02-L03</v>
      </c>
      <c r="K905" s="223" t="str">
        <f t="array" ref="K905:K906">{"SPL02-L04";(INDEX(ALLCLASSDATA,MATCH("SPL02-L04",CLASSFEATUREHEADERS,0),MATCH($A906,CLASSNAMEHEADERS,0)))}</f>
        <v>SPL02-L04</v>
      </c>
      <c r="L905" s="223" t="str">
        <f t="array" ref="L905:L906">{"SPL03-L05";(INDEX(ALLCLASSDATA,MATCH("SPL03-L05",CLASSFEATUREHEADERS,0),MATCH($A906,CLASSNAMEHEADERS,0)))}</f>
        <v>SPL03-L05</v>
      </c>
      <c r="M905" s="223" t="str">
        <f t="array" ref="M905:M906">{"SPL03-L06";(INDEX(ALLCLASSDATA,MATCH("SPL03-L06",CLASSFEATUREHEADERS,0),MATCH($A906,CLASSNAMEHEADERS,0)))}</f>
        <v>SPL03-L06</v>
      </c>
      <c r="N905" s="223" t="str">
        <f t="array" ref="N905:N906">{"SPL04-L07";(INDEX(ALLCLASSDATA,MATCH("SPL04-L07",CLASSFEATUREHEADERS,0),MATCH($A906,CLASSNAMEHEADERS,0)))}</f>
        <v>SPL04-L07</v>
      </c>
      <c r="O905" s="223" t="str">
        <f t="array" ref="O905:O906">{"SPL04-L08";(INDEX(ALLCLASSDATA,MATCH("SPL04-L08",CLASSFEATUREHEADERS,0),MATCH($A906,CLASSNAMEHEADERS,0)))}</f>
        <v>SPL04-L08</v>
      </c>
      <c r="P905" s="223" t="str">
        <f t="array" ref="P905:P906">{"SPL05-L09";(INDEX(ALLCLASSDATA,MATCH("SPL05-L09",CLASSFEATUREHEADERS,0),MATCH($A906,CLASSNAMEHEADERS,0)))}</f>
        <v>SPL05-L09</v>
      </c>
      <c r="Q905" s="223" t="str">
        <f t="array" ref="Q905:Q906">{"SPL05-L10";(INDEX(ALLCLASSDATA,MATCH("SPL05-L10",CLASSFEATUREHEADERS,0),MATCH($A906,CLASSNAMEHEADERS,0)))}</f>
        <v>SPL05-L10</v>
      </c>
      <c r="R905" s="223" t="str">
        <f t="array" ref="R905:R906">{"SPL06-L11";(INDEX(ALLCLASSDATA,MATCH("SPL06-L11",CLASSFEATUREHEADERS,0),MATCH($A906,CLASSNAMEHEADERS,0)))}</f>
        <v>SPL06-L11</v>
      </c>
      <c r="S905" s="223" t="str">
        <f t="array" ref="S905:S906">{"SPL06-L12";(INDEX(ALLCLASSDATA,MATCH("SPL06-L12",CLASSFEATUREHEADERS,0),MATCH($A906,CLASSNAMEHEADERS,0)))}</f>
        <v>SPL06-L12</v>
      </c>
      <c r="T905" s="223" t="str">
        <f t="array" ref="T905:T906">{"SPL07-L13";(INDEX(ALLCLASSDATA,MATCH("SPL07-L13",CLASSFEATUREHEADERS,0),MATCH($A906,CLASSNAMEHEADERS,0)))}</f>
        <v>SPL07-L13</v>
      </c>
      <c r="U905" s="223" t="str">
        <f t="array" ref="U905:U906">{"SPL07-L14";(INDEX(ALLCLASSDATA,MATCH("SPL07-L14",CLASSFEATUREHEADERS,0),MATCH($A906,CLASSNAMEHEADERS,0)))}</f>
        <v>SPL07-L14</v>
      </c>
      <c r="V905" s="223" t="str">
        <f t="array" ref="V905:V906">{"SPL08-L15";(INDEX(ALLCLASSDATA,MATCH("SPL08-L15",CLASSFEATUREHEADERS,0),MATCH($A906,CLASSNAMEHEADERS,0)))}</f>
        <v>SPL08-L15</v>
      </c>
      <c r="W905" s="223" t="str">
        <f t="array" ref="W905:W906">{"SPL08-L16";(INDEX(ALLCLASSDATA,MATCH("SPL08-L16",CLASSFEATUREHEADERS,0),MATCH($A906,CLASSNAMEHEADERS,0)))}</f>
        <v>SPL08-L16</v>
      </c>
      <c r="X905" s="223" t="str">
        <f t="array" ref="X905:X906">{"SPL09-L17";(INDEX(ALLCLASSDATA,MATCH("SPL09-L17",CLASSFEATUREHEADERS,0),MATCH($A906,CLASSNAMEHEADERS,0)))}</f>
        <v>SPL09-L17</v>
      </c>
      <c r="Y905" s="223" t="str">
        <f t="array" ref="Y905:Y906">{"SPL09-L18";(INDEX(ALLCLASSDATA,MATCH("SPL09-L18",CLASSFEATUREHEADERS,0),MATCH($A906,CLASSNAMEHEADERS,0)))}</f>
        <v>SPL09-L18</v>
      </c>
      <c r="Z905" s="223" t="str">
        <f t="array" ref="Z905:Z906">{"SPL10-L19";(INDEX(ALLCLASSDATA,MATCH("SPL10-L19",CLASSFEATUREHEADERS,0),MATCH($A906,CLASSNAMEHEADERS,0)))}</f>
        <v>SPL10-L19</v>
      </c>
      <c r="AA905" s="223" t="str">
        <f t="array" ref="AA905:AA906">{"SPL10-L20";(INDEX(ALLCLASSDATA,MATCH("SPL10-L20",CLASSFEATUREHEADERS,0),MATCH($A906,CLASSNAMEHEADERS,0)))}</f>
        <v>SPL10-L20</v>
      </c>
      <c r="AB905" s="76"/>
      <c r="AC905" s="76"/>
    </row>
    <row r="906">
      <c r="A906" s="48" t="s">
        <v>180</v>
      </c>
      <c r="B906" s="48"/>
      <c r="C906" s="48" t="s">
        <v>413</v>
      </c>
      <c r="D906" s="48" t="s">
        <v>603</v>
      </c>
      <c r="E906" s="48" t="s">
        <v>603</v>
      </c>
      <c r="F906" s="278" t="s">
        <v>603</v>
      </c>
      <c r="G906" s="280"/>
      <c r="H906" s="50"/>
      <c r="I906" s="50"/>
      <c r="J906" s="50"/>
      <c r="K906" s="50"/>
      <c r="L906" s="50"/>
      <c r="M906" s="50"/>
      <c r="N906" s="50"/>
      <c r="O906" s="50"/>
      <c r="P906" s="50"/>
      <c r="Q906" s="50"/>
      <c r="R906" s="50"/>
      <c r="S906" s="50"/>
      <c r="T906" s="50"/>
      <c r="U906" s="50"/>
      <c r="V906" s="50"/>
      <c r="W906" s="50"/>
      <c r="X906" s="50"/>
      <c r="Y906" s="50"/>
      <c r="Z906" s="50"/>
      <c r="AA906" s="50"/>
      <c r="AB906" s="278"/>
      <c r="AC906" s="47"/>
    </row>
    <row r="907" hidden="1">
      <c r="A907" s="222" t="str">
        <f t="array" ref="A907:A908">{"FormulaRow43";(INDEX(CLASSLIST,A822,1))}</f>
        <v>FormulaRow43</v>
      </c>
      <c r="B907" s="77" t="s">
        <v>236</v>
      </c>
      <c r="C907" s="222" t="str">
        <f t="array" ref="C907:C908">{"CLASSTYPE";((INDEX(ALLCLASSDATA,MATCH("ClassType",CLASSFEATUREHEADERS,0),MATCH($A908,CLASSNAMEHEADERS,0))))}</f>
        <v>CLASSTYPE</v>
      </c>
      <c r="D907" s="222" t="str">
        <f t="array" ref="D907:D908">{"SPELL/ALCHEMY";((IF(INDEX(ALLCLASSDATA,MATCH("CasterType",CLASSFEATUREHEADERS,0),MATCH(($A908),CLASSNAMEHEADERS,0))="","",(IF(INDEX(ALLCLASSDATA,MATCH("CasterType",CLASSFEATUREHEADERS,0),MATCH(($A908),CLASSNAMEHEADERS,0))="Alchemy","Alchemy","Spells")))))}</f>
        <v>SPELL/ALCHEMY</v>
      </c>
      <c r="E907" s="222" t="str">
        <f t="array" ref="E907:E908">{"SPELLLIST";(IF(D908="Spells",((INDEX(ALLCLASSDATA,MATCH("CasterType",CLASSFEATUREHEADERS,0),MATCH(($A908),CLASSNAMEHEADERS,0))) &amp; ":" &amp; (INDEX(ALLCLASSDATA,MATCH("SpellList",CLASSFEATUREHEADERS,0),MATCH(($A908),CLASSNAMEHEADERS,0)))),""))}</f>
        <v>SPELLLIST</v>
      </c>
      <c r="F907" s="223" t="str">
        <f t="array" ref="F907:F908">{"LEARNED/LVL";(IF(D908="","","Learn/LVL:"))}</f>
        <v>LEARNED/LVL</v>
      </c>
      <c r="G907" s="223" t="str">
        <f t="array" ref="G907:G908">{"LEARNEDCANTRIPS";(INDEX(ALLCLASSDATA,MATCH("CantripsLearned-L00",CLASSFEATUREHEADERS,0),MATCH($A908,CLASSNAMEHEADERS,0)))}</f>
        <v>LEARNEDCANTRIPS</v>
      </c>
      <c r="H907" s="223" t="str">
        <f t="array" ref="H907:H908">{"LEARNED L01";(INDEX(ALLCLASSDATA,MATCH("Learned-L01",CLASSFEATUREHEADERS,0),MATCH($A908,CLASSNAMEHEADERS,0)))}</f>
        <v>LEARNED L01</v>
      </c>
      <c r="I907" s="223" t="str">
        <f t="array" ref="I907:I908">{"LEARNED L02";(INDEX(ALLCLASSDATA,MATCH("Learned-L02",CLASSFEATUREHEADERS,0),MATCH($A908,CLASSNAMEHEADERS,0)))}</f>
        <v>LEARNED L02</v>
      </c>
      <c r="J907" s="223" t="str">
        <f t="array" ref="J907:J908">{"LEARNED L03";(INDEX(ALLCLASSDATA,MATCH("Learned-L03",CLASSFEATUREHEADERS,0),MATCH($A908,CLASSNAMEHEADERS,0)))}</f>
        <v>LEARNED L03</v>
      </c>
      <c r="K907" s="223" t="str">
        <f t="array" ref="K907:K908">{"LEARNED L04";(INDEX(ALLCLASSDATA,MATCH("Learned-L04",CLASSFEATUREHEADERS,0),MATCH($A908,CLASSNAMEHEADERS,0)))}</f>
        <v>LEARNED L04</v>
      </c>
      <c r="L907" s="223" t="str">
        <f t="array" ref="L907:L908">{"LEARNED L05";(INDEX(ALLCLASSDATA,MATCH("Learned-L05",CLASSFEATUREHEADERS,0),MATCH($A908,CLASSNAMEHEADERS,0)))}</f>
        <v>LEARNED L05</v>
      </c>
      <c r="M907" s="223" t="str">
        <f t="array" ref="M907:M908">{"LEARNED L06";(INDEX(ALLCLASSDATA,MATCH("Learned-L06",CLASSFEATUREHEADERS,0),MATCH($A908,CLASSNAMEHEADERS,0)))}</f>
        <v>LEARNED L06</v>
      </c>
      <c r="N907" s="223" t="str">
        <f t="array" ref="N907:N908">{"LEARNED L07";(INDEX(ALLCLASSDATA,MATCH("Learned-L07",CLASSFEATUREHEADERS,0),MATCH($A908,CLASSNAMEHEADERS,0)))}</f>
        <v>LEARNED L07</v>
      </c>
      <c r="O907" s="223" t="str">
        <f t="array" ref="O907:O908">{"LEARNED L08";(INDEX(ALLCLASSDATA,MATCH("Learned-L08",CLASSFEATUREHEADERS,0),MATCH($A908,CLASSNAMEHEADERS,0)))}</f>
        <v>LEARNED L08</v>
      </c>
      <c r="P907" s="223" t="str">
        <f t="array" ref="P907:P908">{"LEARNED L09";(INDEX(ALLCLASSDATA,MATCH("Learned-L09",CLASSFEATUREHEADERS,0),MATCH($A908,CLASSNAMEHEADERS,0)))}</f>
        <v>LEARNED L09</v>
      </c>
      <c r="Q907" s="223" t="str">
        <f t="array" ref="Q907:Q908">{"LEARNED L10";(INDEX(ALLCLASSDATA,MATCH("Learned-L10",CLASSFEATUREHEADERS,0),MATCH($A908,CLASSNAMEHEADERS,0)))}</f>
        <v>LEARNED L10</v>
      </c>
      <c r="R907" s="223" t="str">
        <f t="array" ref="R907:R908">{"LEARNED L11";(INDEX(ALLCLASSDATA,MATCH("Learned-L11",CLASSFEATUREHEADERS,0),MATCH($A908,CLASSNAMEHEADERS,0)))}</f>
        <v>LEARNED L11</v>
      </c>
      <c r="S907" s="223" t="str">
        <f t="array" ref="S907:S908">{"LEARNED L12";(INDEX(ALLCLASSDATA,MATCH("Learned-L12",CLASSFEATUREHEADERS,0),MATCH($A908,CLASSNAMEHEADERS,0)))}</f>
        <v>LEARNED L12</v>
      </c>
      <c r="T907" s="223" t="str">
        <f t="array" ref="T907:T908">{"LEARNED L13";(INDEX(ALLCLASSDATA,MATCH("Learned-L13",CLASSFEATUREHEADERS,0),MATCH($A908,CLASSNAMEHEADERS,0)))}</f>
        <v>LEARNED L13</v>
      </c>
      <c r="U907" s="223" t="str">
        <f t="array" ref="U907:U908">{"LEARNED L14";(INDEX(ALLCLASSDATA,MATCH("Learned-L14",CLASSFEATUREHEADERS,0),MATCH($A908,CLASSNAMEHEADERS,0)))}</f>
        <v>LEARNED L14</v>
      </c>
      <c r="V907" s="223" t="str">
        <f t="array" ref="V907:V908">{"LEARNED L15";(INDEX(ALLCLASSDATA,MATCH("Learned-L15",CLASSFEATUREHEADERS,0),MATCH($A908,CLASSNAMEHEADERS,0)))}</f>
        <v>LEARNED L15</v>
      </c>
      <c r="W907" s="223" t="str">
        <f t="array" ref="W907:W908">{"LEARNED L16";(INDEX(ALLCLASSDATA,MATCH("Learned-L16",CLASSFEATUREHEADERS,0),MATCH($A908,CLASSNAMEHEADERS,0)))}</f>
        <v>LEARNED L16</v>
      </c>
      <c r="X907" s="223" t="str">
        <f t="array" ref="X907:X908">{"LEARNED L17";(INDEX(ALLCLASSDATA,MATCH("Learned-L17",CLASSFEATUREHEADERS,0),MATCH($A908,CLASSNAMEHEADERS,0)))}</f>
        <v>LEARNED L17</v>
      </c>
      <c r="Y907" s="223" t="str">
        <f t="array" ref="Y907:Y908">{"LEARNED L18";(INDEX(ALLCLASSDATA,MATCH("Learned-L18",CLASSFEATUREHEADERS,0),MATCH($A908,CLASSNAMEHEADERS,0)))}</f>
        <v>LEARNED L18</v>
      </c>
      <c r="Z907" s="223" t="str">
        <f t="array" ref="Z907:Z908">{"LEARNED L19";(INDEX(ALLCLASSDATA,MATCH("Learned-L19",CLASSFEATUREHEADERS,0),MATCH($A908,CLASSNAMEHEADERS,0)))}</f>
        <v>LEARNED L19</v>
      </c>
      <c r="AA907" s="223" t="str">
        <f t="array" ref="AA907:AA908">{"LEARNED L20";(INDEX(ALLCLASSDATA,MATCH("Learned-L20",CLASSFEATUREHEADERS,0),MATCH($A908,CLASSNAMEHEADERS,0)))}</f>
        <v>LEARNED L20</v>
      </c>
      <c r="AB907" s="76"/>
      <c r="AC907" s="76"/>
    </row>
    <row r="908">
      <c r="A908" s="48" t="s">
        <v>180</v>
      </c>
      <c r="B908" s="48"/>
      <c r="C908" s="48" t="s">
        <v>413</v>
      </c>
      <c r="D908" s="48" t="s">
        <v>603</v>
      </c>
      <c r="E908" s="48" t="s">
        <v>603</v>
      </c>
      <c r="F908" s="278" t="s">
        <v>603</v>
      </c>
      <c r="G908" s="280"/>
      <c r="H908" s="278"/>
      <c r="I908" s="278"/>
      <c r="J908" s="278"/>
      <c r="K908" s="278"/>
      <c r="L908" s="278"/>
      <c r="M908" s="278"/>
      <c r="N908" s="278"/>
      <c r="O908" s="50"/>
      <c r="P908" s="278"/>
      <c r="Q908" s="278"/>
      <c r="R908" s="278"/>
      <c r="S908" s="278"/>
      <c r="T908" s="278"/>
      <c r="U908" s="278"/>
      <c r="V908" s="278"/>
      <c r="W908" s="278"/>
      <c r="X908" s="278"/>
      <c r="Y908" s="278"/>
      <c r="Z908" s="278"/>
      <c r="AA908" s="278"/>
      <c r="AB908" s="278"/>
      <c r="AC908" s="47"/>
    </row>
    <row r="909" hidden="1">
      <c r="A909" s="222" t="str">
        <f t="array" ref="A909:A910">{"FormulaRow44";(INDEX(CLASSLIST,A822,1))}</f>
        <v>FormulaRow44</v>
      </c>
      <c r="B909" s="77" t="s">
        <v>236</v>
      </c>
      <c r="C909" s="222" t="str">
        <f t="array" ref="C909:C910">{"CLASSTYPE";((INDEX(ALLCLASSDATA,MATCH("ClassType",CLASSFEATUREHEADERS,0),MATCH($A910,CLASSNAMEHEADERS,0))))}</f>
        <v>CLASSTYPE</v>
      </c>
      <c r="D909" s="222" t="str">
        <f t="array" ref="D909:D910">{"SPELL/ALCHEMY";((IF(INDEX(ALLCLASSDATA,MATCH("CasterType",CLASSFEATUREHEADERS,0),MATCH(($A910),CLASSNAMEHEADERS,0))="","",(IF(INDEX(ALLCLASSDATA,MATCH("CasterType",CLASSFEATUREHEADERS,0),MATCH(($A910),CLASSNAMEHEADERS,0))="Alchemy","","Spells")))))}</f>
        <v>SPELL/ALCHEMY</v>
      </c>
      <c r="E909" s="222" t="str">
        <f t="array" ref="E909:E910">{"SPELLLIST";(IF(D910="Spells",((INDEX(ALLCLASSDATA,MATCH("CasterType",CLASSFEATUREHEADERS,0),MATCH(($A910),CLASSNAMEHEADERS,0))) &amp; ":" &amp; (INDEX(ALLCLASSDATA,MATCH("SpellList",CLASSFEATUREHEADERS,0),MATCH(($A910),CLASSNAMEHEADERS,0)))),""))}</f>
        <v>SPELLLIST</v>
      </c>
      <c r="F909" s="223" t="str">
        <f t="array" ref="F909:F910">{"TOTALSLOTS";(IF(D910="","","TotalSlots:"))}</f>
        <v>TOTALSLOTS</v>
      </c>
      <c r="G909" s="223" t="str">
        <f t="array" ref="G909:G910">{"TOTALCANTRIPSLOTS";(G906)}</f>
        <v>TOTALCANTRIPSLOTS</v>
      </c>
      <c r="H909" s="223" t="str">
        <f t="array" ref="H909:H910">{"TOTALSLOTS L01";(H906)}</f>
        <v>TOTALSLOTS L01</v>
      </c>
      <c r="I909" s="223" t="str">
        <f t="array" ref="I909:I910">{"TOTALSLOTS L02";(H910+I906)}</f>
        <v>TOTALSLOTS L02</v>
      </c>
      <c r="J909" s="223" t="str">
        <f t="array" ref="J909:J910">{"TOTALSLOTS L03";(I910+J906)}</f>
        <v>TOTALSLOTS L03</v>
      </c>
      <c r="K909" s="223" t="str">
        <f t="array" ref="K909:K910">{"TOTALSLOTS L04";(J910+K906)}</f>
        <v>TOTALSLOTS L04</v>
      </c>
      <c r="L909" s="223" t="str">
        <f t="array" ref="L909:L910">{"TOTALSLOTS L05";(K910+L906)}</f>
        <v>TOTALSLOTS L05</v>
      </c>
      <c r="M909" s="223" t="str">
        <f t="array" ref="M909:M910">{"TOTALSLOTS L06";(L910+M906)}</f>
        <v>TOTALSLOTS L06</v>
      </c>
      <c r="N909" s="223" t="str">
        <f t="array" ref="N909:N910">{"TOTALSLOTS L07";(M910+N906)}</f>
        <v>TOTALSLOTS L07</v>
      </c>
      <c r="O909" s="223" t="str">
        <f t="array" ref="O909:O910">{"TOTALSLOTS L08";(N910+O906)}</f>
        <v>TOTALSLOTS L08</v>
      </c>
      <c r="P909" s="223" t="str">
        <f t="array" ref="P909:P910">{"TOTALSLOTS L09";(O910+P906)}</f>
        <v>TOTALSLOTS L09</v>
      </c>
      <c r="Q909" s="223" t="str">
        <f t="array" ref="Q909:Q910">{"TOTALSLOTS L10";(P910+Q906)}</f>
        <v>TOTALSLOTS L10</v>
      </c>
      <c r="R909" s="223" t="str">
        <f t="array" ref="R909:R910">{"TOTALSLOTS L11";(Q910+R906)}</f>
        <v>TOTALSLOTS L11</v>
      </c>
      <c r="S909" s="223" t="str">
        <f t="array" ref="S909:S910">{"TOTALSLOTS L12";(R910+S906)}</f>
        <v>TOTALSLOTS L12</v>
      </c>
      <c r="T909" s="223" t="str">
        <f t="array" ref="T909:T910">{"TOTALSLOTS L13";(S910+T906)}</f>
        <v>TOTALSLOTS L13</v>
      </c>
      <c r="U909" s="223" t="str">
        <f t="array" ref="U909:U910">{"TOTALSLOTS L14";(T910+U906)}</f>
        <v>TOTALSLOTS L14</v>
      </c>
      <c r="V909" s="223" t="str">
        <f t="array" ref="V909:V910">{"TOTALSLOTS L15";(U910+V906)}</f>
        <v>TOTALSLOTS L15</v>
      </c>
      <c r="W909" s="223" t="str">
        <f t="array" ref="W909:W910">{"TOTALSLOTS L16";(V910+W906)}</f>
        <v>TOTALSLOTS L16</v>
      </c>
      <c r="X909" s="223" t="str">
        <f t="array" ref="X909:X910">{"TOTALSLOTS L17";(W910+X906)}</f>
        <v>TOTALSLOTS L17</v>
      </c>
      <c r="Y909" s="223" t="str">
        <f t="array" ref="Y909:Y910">{"TOTALSLOTS L18";(X910+Y906)}</f>
        <v>TOTALSLOTS L18</v>
      </c>
      <c r="Z909" s="223" t="str">
        <f t="array" ref="Z909:Z910">{"TOTALSLOTS L19";(Y910+Z906)}</f>
        <v>TOTALSLOTS L19</v>
      </c>
      <c r="AA909" s="223" t="str">
        <f t="array" ref="AA909:AA910">{"TOTALSLOTS L20";(Z910+AA906)}</f>
        <v>TOTALSLOTS L20</v>
      </c>
      <c r="AB909" s="76"/>
      <c r="AC909" s="76"/>
    </row>
    <row r="910">
      <c r="A910" s="48" t="s">
        <v>180</v>
      </c>
      <c r="B910" s="48"/>
      <c r="C910" s="48" t="s">
        <v>413</v>
      </c>
      <c r="D910" s="48" t="s">
        <v>603</v>
      </c>
      <c r="E910" s="48" t="s">
        <v>603</v>
      </c>
      <c r="F910" s="278" t="s">
        <v>603</v>
      </c>
      <c r="G910" s="280"/>
      <c r="H910" s="278"/>
      <c r="I910" s="278">
        <v>0.0</v>
      </c>
      <c r="J910" s="278">
        <v>0.0</v>
      </c>
      <c r="K910" s="278">
        <v>0.0</v>
      </c>
      <c r="L910" s="278">
        <v>0.0</v>
      </c>
      <c r="M910" s="278">
        <v>0.0</v>
      </c>
      <c r="N910" s="278">
        <v>0.0</v>
      </c>
      <c r="O910" s="278">
        <v>0.0</v>
      </c>
      <c r="P910" s="278">
        <v>0.0</v>
      </c>
      <c r="Q910" s="278">
        <v>0.0</v>
      </c>
      <c r="R910" s="278">
        <v>0.0</v>
      </c>
      <c r="S910" s="278">
        <v>0.0</v>
      </c>
      <c r="T910" s="278">
        <v>0.0</v>
      </c>
      <c r="U910" s="278">
        <v>0.0</v>
      </c>
      <c r="V910" s="278">
        <v>0.0</v>
      </c>
      <c r="W910" s="278">
        <v>0.0</v>
      </c>
      <c r="X910" s="278">
        <v>0.0</v>
      </c>
      <c r="Y910" s="278">
        <v>0.0</v>
      </c>
      <c r="Z910" s="278">
        <v>0.0</v>
      </c>
      <c r="AA910" s="278">
        <v>0.0</v>
      </c>
      <c r="AB910" s="5"/>
      <c r="AC910" s="47"/>
    </row>
    <row r="911" hidden="1">
      <c r="A911" s="222" t="str">
        <f t="array" ref="A911:A912">{"FormulaRow45";(INDEX(CLASSLIST,A822,1))}</f>
        <v>FormulaRow45</v>
      </c>
      <c r="B911" s="77" t="s">
        <v>236</v>
      </c>
      <c r="C911" s="222" t="str">
        <f t="array" ref="C911:C912">{"CLASSTYPE";((INDEX(ALLCLASSDATA,MATCH("ClassType",CLASSFEATUREHEADERS,0),MATCH($A912,CLASSNAMEHEADERS,0))))}</f>
        <v>CLASSTYPE</v>
      </c>
      <c r="D911" s="222" t="str">
        <f t="array" ref="D911:D912">{"SPELL/ALCHEMY";((IF(INDEX(ALLCLASSDATA,MATCH("CasterType",CLASSFEATUREHEADERS,0),MATCH(($A912),CLASSNAMEHEADERS,0))="","",(IF(INDEX(ALLCLASSDATA,MATCH("CasterType",CLASSFEATUREHEADERS,0),MATCH(($A912),CLASSNAMEHEADERS,0))="Alchemy","Alchemy","Spells")))))}</f>
        <v>SPELL/ALCHEMY</v>
      </c>
      <c r="E911" s="222" t="str">
        <f t="array" ref="E911:E912">{"SPELLLIST";(IF(D912="Spells",((INDEX(ALLCLASSDATA,MATCH("CasterType",CLASSFEATUREHEADERS,0),MATCH(($A912),CLASSNAMEHEADERS,0))) &amp; ":" &amp; (INDEX(ALLCLASSDATA,MATCH("SpellList",CLASSFEATUREHEADERS,0),MATCH(($A912),CLASSNAMEHEADERS,0)))),""))}</f>
        <v>SPELLLIST</v>
      </c>
      <c r="F911" s="223" t="str">
        <f t="array" ref="F911:F912">{"TOTALLEARNED";(IF(D912="","","TotalLearned:"))}</f>
        <v>TOTALLEARNED</v>
      </c>
      <c r="G911" s="223" t="str">
        <f t="array" ref="G911:G912">{"TOTALCANTRIPSLEARNED";(G908)}</f>
        <v>TOTALCANTRIPSLEARNED</v>
      </c>
      <c r="H911" s="223" t="str">
        <f t="array" ref="H911:H912">{"TOTALLEARNED L01";(H908)}</f>
        <v>TOTALLEARNED L01</v>
      </c>
      <c r="I911" s="223" t="str">
        <f t="array" ref="I911:I912">{"TOTALLEARNED L02";(H912+I908)}</f>
        <v>TOTALLEARNED L02</v>
      </c>
      <c r="J911" s="223" t="str">
        <f t="array" ref="J911:J912">{"TOTALLEARNED L03";(I912+J908)}</f>
        <v>TOTALLEARNED L03</v>
      </c>
      <c r="K911" s="223" t="str">
        <f t="array" ref="K911:K912">{"TOTALLEARNED L04";(J912+K908)}</f>
        <v>TOTALLEARNED L04</v>
      </c>
      <c r="L911" s="223" t="str">
        <f t="array" ref="L911:L912">{"TOTALLEARNED L05";(K912+L908)}</f>
        <v>TOTALLEARNED L05</v>
      </c>
      <c r="M911" s="223" t="str">
        <f t="array" ref="M911:M912">{"TOTALLEARNED L06";(L912+M908)}</f>
        <v>TOTALLEARNED L06</v>
      </c>
      <c r="N911" s="223" t="str">
        <f t="array" ref="N911:N912">{"TOTALLEARNED L07";(M912+N908)}</f>
        <v>TOTALLEARNED L07</v>
      </c>
      <c r="O911" s="223" t="str">
        <f t="array" ref="O911:O912">{"TOTALLEARNED L08";(N912+O908)}</f>
        <v>TOTALLEARNED L08</v>
      </c>
      <c r="P911" s="223" t="str">
        <f t="array" ref="P911:P912">{"TOTALLEARNED L09";(O912+P908)}</f>
        <v>TOTALLEARNED L09</v>
      </c>
      <c r="Q911" s="223" t="str">
        <f t="array" ref="Q911:Q912">{"TOTALLEARNED L10";(P912+Q908)}</f>
        <v>TOTALLEARNED L10</v>
      </c>
      <c r="R911" s="223" t="str">
        <f t="array" ref="R911:R912">{"TOTALLEARNED L11";(Q912+R908)}</f>
        <v>TOTALLEARNED L11</v>
      </c>
      <c r="S911" s="223" t="str">
        <f t="array" ref="S911:S912">{"TOTALLEARNED L12";(R912+S908)}</f>
        <v>TOTALLEARNED L12</v>
      </c>
      <c r="T911" s="223" t="str">
        <f t="array" ref="T911:T912">{"TOTALLEARNED L13";(S912+T908)}</f>
        <v>TOTALLEARNED L13</v>
      </c>
      <c r="U911" s="223" t="str">
        <f t="array" ref="U911:U912">{"TOTALLEARNED L14";(T912+U908)}</f>
        <v>TOTALLEARNED L14</v>
      </c>
      <c r="V911" s="223" t="str">
        <f t="array" ref="V911:V912">{"TOTALLEARNED L15";(U912+V908)}</f>
        <v>TOTALLEARNED L15</v>
      </c>
      <c r="W911" s="223" t="str">
        <f t="array" ref="W911:W912">{"TOTALLEARNED L16";(V912+W908)}</f>
        <v>TOTALLEARNED L16</v>
      </c>
      <c r="X911" s="223" t="str">
        <f t="array" ref="X911:X912">{"TOTALLEARNED L17";(W912+X908)}</f>
        <v>TOTALLEARNED L17</v>
      </c>
      <c r="Y911" s="223" t="str">
        <f t="array" ref="Y911:Y912">{"TOTALLEARNED L18";(X912+Y908)}</f>
        <v>TOTALLEARNED L18</v>
      </c>
      <c r="Z911" s="223" t="str">
        <f t="array" ref="Z911:Z912">{"TOTALLEARNED L19";(Y912+Z908)}</f>
        <v>TOTALLEARNED L19</v>
      </c>
      <c r="AA911" s="223" t="str">
        <f t="array" ref="AA911:AA912">{"TOTALLEARNED L20";(Z912+AA908)}</f>
        <v>TOTALLEARNED L20</v>
      </c>
      <c r="AB911" s="76"/>
      <c r="AC911" s="76"/>
    </row>
    <row r="912">
      <c r="A912" s="97" t="s">
        <v>180</v>
      </c>
      <c r="B912" s="97"/>
      <c r="C912" s="97" t="s">
        <v>413</v>
      </c>
      <c r="D912" s="97" t="s">
        <v>603</v>
      </c>
      <c r="E912" s="97" t="s">
        <v>603</v>
      </c>
      <c r="F912" s="281" t="s">
        <v>603</v>
      </c>
      <c r="G912" s="282"/>
      <c r="H912" s="278"/>
      <c r="I912" s="278">
        <v>0.0</v>
      </c>
      <c r="J912" s="278">
        <v>0.0</v>
      </c>
      <c r="K912" s="278">
        <v>0.0</v>
      </c>
      <c r="L912" s="278">
        <v>0.0</v>
      </c>
      <c r="M912" s="278">
        <v>0.0</v>
      </c>
      <c r="N912" s="278">
        <v>0.0</v>
      </c>
      <c r="O912" s="278">
        <v>0.0</v>
      </c>
      <c r="P912" s="278">
        <v>0.0</v>
      </c>
      <c r="Q912" s="278">
        <v>0.0</v>
      </c>
      <c r="R912" s="278">
        <v>0.0</v>
      </c>
      <c r="S912" s="278">
        <v>0.0</v>
      </c>
      <c r="T912" s="278">
        <v>0.0</v>
      </c>
      <c r="U912" s="278">
        <v>0.0</v>
      </c>
      <c r="V912" s="278">
        <v>0.0</v>
      </c>
      <c r="W912" s="278">
        <v>0.0</v>
      </c>
      <c r="X912" s="278">
        <v>0.0</v>
      </c>
      <c r="Y912" s="278">
        <v>0.0</v>
      </c>
      <c r="Z912" s="278">
        <v>0.0</v>
      </c>
      <c r="AA912" s="278">
        <v>0.0</v>
      </c>
      <c r="AB912" s="5"/>
      <c r="AC912" s="47"/>
    </row>
    <row r="913">
      <c r="A913" s="55">
        <f>VLOOKUP($C913, CLASSNUMBERFINDER, 2, false)</f>
        <v>11</v>
      </c>
      <c r="B913" s="58"/>
      <c r="C913" s="70" t="s">
        <v>185</v>
      </c>
      <c r="D913" s="71"/>
      <c r="E913" s="71"/>
      <c r="F913" s="71"/>
      <c r="G913" s="72"/>
      <c r="H913" s="71"/>
      <c r="I913" s="71"/>
      <c r="J913" s="71"/>
      <c r="K913" s="71"/>
      <c r="L913" s="71"/>
      <c r="M913" s="71"/>
      <c r="N913" s="71"/>
      <c r="O913" s="71"/>
      <c r="P913" s="71"/>
      <c r="Q913" s="71"/>
      <c r="R913" s="71"/>
      <c r="S913" s="71"/>
      <c r="T913" s="71"/>
      <c r="U913" s="71"/>
      <c r="V913" s="71"/>
      <c r="W913" s="71"/>
      <c r="X913" s="71"/>
      <c r="Y913" s="71"/>
      <c r="Z913" s="71"/>
      <c r="AA913" s="71"/>
      <c r="AB913" s="71"/>
      <c r="AC913" s="73"/>
    </row>
    <row r="914" hidden="1">
      <c r="A914" s="76" t="str">
        <f t="array" ref="A914:A915">{"FormulaRow01";(INDEX(CLASSLIST,A913,1))}</f>
        <v>FormulaRow01</v>
      </c>
      <c r="B914" s="77" t="s">
        <v>236</v>
      </c>
      <c r="C914" s="76" t="str">
        <f t="array" ref="C914:C915">{"CLASSTYPE";(INDEX(ALLCLASSDATA,MATCH("ClassType",CLASSFEATUREHEADERS,0),MATCH($A915,CLASSNAMEHEADERS,0)))}</f>
        <v>CLASSTYPE</v>
      </c>
      <c r="D914" s="81" t="str">
        <f t="array" ref="D914:D915">{"TOTAL";("Total: " &amp; H915+J915+L915+N915+P915+R915+T915+V915+X915+Z915)}</f>
        <v>TOTAL</v>
      </c>
      <c r="E914" s="81" t="str">
        <f t="array" ref="E914:E915">{"BALANCE";(IF((H915+J915+L915+N915+P915+R915+T915+V915+X915+Z915)=2100,"(balanced)",(IF((H915+J915+L915+N915+P915+R915+T915+V915+X915+Z915)&gt;2100,"OVERBUDGET: ","UNDERBUDGET: ")) &amp; (H915+J915+L915+N915+P915+R915+T915+V915+X915+Z915-2100)))}</f>
        <v>BALANCE</v>
      </c>
      <c r="F914" s="81"/>
      <c r="G914" s="81"/>
      <c r="H914" s="81" t="str">
        <f t="array" ref="H914:H915">{"SUM LVL0/1/2";((SUMIF(F916:I995,"&lt;&gt;#REF!")+(SUMIF(J916:AA923,"&lt;&gt;#REF!"))))}</f>
        <v>SUM LVL0/1/2</v>
      </c>
      <c r="I914" s="81"/>
      <c r="J914" s="81" t="str">
        <f t="array" ref="J914:J915">{"SUM LVL3/4";(SUMIF(J924:K995,"&lt;&gt;#REF!"))}</f>
        <v>SUM LVL3/4</v>
      </c>
      <c r="K914" s="81"/>
      <c r="L914" s="81" t="str">
        <f t="array" ref="L914:L915">{"SUM LVL5/6";(SUMIF(L924:M995,"&lt;&gt;#REF!"))}</f>
        <v>SUM LVL5/6</v>
      </c>
      <c r="M914" s="81"/>
      <c r="N914" s="81" t="str">
        <f t="array" ref="N914:N915">{"SUM LVL7/8";(SUMIF(N924:O995,"&lt;&gt;#REF!"))}</f>
        <v>SUM LVL7/8</v>
      </c>
      <c r="O914" s="81"/>
      <c r="P914" s="81" t="str">
        <f t="array" ref="P914:P915">{"SUM LVL9/10";(SUMIF(P924:Q995,"&lt;&gt;#REF!"))}</f>
        <v>SUM LVL9/10</v>
      </c>
      <c r="Q914" s="81"/>
      <c r="R914" s="81" t="str">
        <f t="array" ref="R914:R915">{"SUM LVL11/12";(SUMIF(R924:S995,"&lt;&gt;#REF!"))}</f>
        <v>SUM LVL11/12</v>
      </c>
      <c r="S914" s="81"/>
      <c r="T914" s="81" t="str">
        <f t="array" ref="T914:T915">{"SUM LVL13/14";(SUMIF(T924:U995,"&lt;&gt;#REF!"))}</f>
        <v>SUM LVL13/14</v>
      </c>
      <c r="U914" s="81"/>
      <c r="V914" s="81" t="str">
        <f t="array" ref="V914:V915">{"SUM LVL15/16";(SUMIF(V924:W995,"&lt;&gt;#REF!"))}</f>
        <v>SUM LVL15/16</v>
      </c>
      <c r="W914" s="81"/>
      <c r="X914" s="81" t="str">
        <f t="array" ref="X914:X915">{"SUM LVL17/18";(SUMIF(X924:Y995,"&lt;&gt;#REF!"))}</f>
        <v>SUM LVL17/18</v>
      </c>
      <c r="Y914" s="81"/>
      <c r="Z914" s="81" t="str">
        <f t="array" ref="Z914:Z915">{"SUM LVL19/20";(SUMIF(Z924:AA995,"&lt;&gt;#REF!"))}</f>
        <v>SUM LVL19/20</v>
      </c>
      <c r="AA914" s="81"/>
      <c r="AB914" s="76"/>
      <c r="AC914" s="76" t="str">
        <f t="array" ref="AC914:AC915">{"SUM ROWTOTALS";(SUMIF(AC917:AC1003,"&lt;&gt;#REF!"))}</f>
        <v>SUM ROWTOTALS</v>
      </c>
    </row>
    <row r="915">
      <c r="A915" s="48" t="s">
        <v>185</v>
      </c>
      <c r="B915" s="48"/>
      <c r="C915" s="48" t="s">
        <v>412</v>
      </c>
      <c r="D915" s="91" t="s">
        <v>416</v>
      </c>
      <c r="E915" s="92" t="s">
        <v>419</v>
      </c>
      <c r="F915" s="91"/>
      <c r="G915" s="93"/>
      <c r="H915" s="92">
        <v>445.0</v>
      </c>
      <c r="I915" s="92"/>
      <c r="J915" s="92">
        <v>45.0</v>
      </c>
      <c r="K915" s="92"/>
      <c r="L915" s="92">
        <v>75.0</v>
      </c>
      <c r="M915" s="92"/>
      <c r="N915" s="92">
        <v>205.0</v>
      </c>
      <c r="O915" s="92"/>
      <c r="P915" s="92">
        <v>100.0</v>
      </c>
      <c r="Q915" s="92"/>
      <c r="R915" s="92">
        <v>185.0</v>
      </c>
      <c r="S915" s="92"/>
      <c r="T915" s="92">
        <v>290.0</v>
      </c>
      <c r="U915" s="92"/>
      <c r="V915" s="92">
        <v>235.0</v>
      </c>
      <c r="W915" s="92"/>
      <c r="X915" s="92">
        <v>220.0</v>
      </c>
      <c r="Y915" s="92"/>
      <c r="Z915" s="92">
        <v>300.0</v>
      </c>
      <c r="AA915" s="92"/>
      <c r="AB915" s="5"/>
      <c r="AC915" s="47">
        <v>2100.0</v>
      </c>
    </row>
    <row r="916" hidden="1">
      <c r="A916" s="76" t="str">
        <f t="array" ref="A916:A917">{"FormulaRow02";(INDEX(CLASSLIST,A913,1))}</f>
        <v>FormulaRow02</v>
      </c>
      <c r="B916" s="77" t="s">
        <v>236</v>
      </c>
      <c r="C916" s="76" t="str">
        <f t="array" ref="C916:C917">{"CLASSTYPE";((INDEX(ALLCLASSDATA,MATCH("ClassType",CLASSFEATUREHEADERS,0),MATCH($A917,CLASSNAMEHEADERS,0))))}</f>
        <v>CLASSTYPE</v>
      </c>
      <c r="D916" s="81" t="str">
        <f t="array" ref="D916:D917">{"FEATURES";"Features"}</f>
        <v>FEATURES</v>
      </c>
      <c r="E916" s="81" t="str">
        <f t="array" ref="E916:E917">{"INITIALFEATURES";"Initial Features"}</f>
        <v>INITIALFEATURES</v>
      </c>
      <c r="F916" s="81" t="str">
        <f t="array" ref="F916:F917">{"KEY";"Key"}</f>
        <v>KEY</v>
      </c>
      <c r="G916" s="81" t="str">
        <f t="array" ref="G916:G917">{"HP";"HP"}</f>
        <v>HP</v>
      </c>
      <c r="H916" s="81" t="str">
        <f t="array" ref="H916:H917">{"CLASSFEATL01";"ClassFeatL01"}</f>
        <v>CLASSFEATL01</v>
      </c>
      <c r="I916" s="81" t="str">
        <f t="array" ref="I916:I917">{"SHIELDBLOCKL01";"ShieldBlockL01"}</f>
        <v>SHIELDBLOCKL01</v>
      </c>
      <c r="J916" s="81" t="str">
        <f t="array" ref="J916:J917">{"INITIALSKILLS";"InitialSkills"}</f>
        <v>INITIALSKILLS</v>
      </c>
      <c r="K916" s="81" t="str">
        <f t="array" ref="K916:K917">{"SUBCLASSSKILLS";"SubclassSkills"}</f>
        <v>SUBCLASSSKILLS</v>
      </c>
      <c r="L916" s="81" t="str">
        <f t="array" ref="L916:L917">{"GRANTEDSKILLS";"GrantedSkills"}</f>
        <v>GRANTEDSKILLS</v>
      </c>
      <c r="M916" s="81"/>
      <c r="N916" s="81"/>
      <c r="O916" s="81"/>
      <c r="P916" s="81" t="str">
        <f t="array" ref="P916:P917">{"FOCUSSPELLS";"FocusSpells:"}</f>
        <v>FOCUSSPELLS</v>
      </c>
      <c r="Q916" s="81" t="str">
        <f t="array" ref="Q916:Q917">{"FOCUSSPELL1-L00";((INDEX(ALLCLASSDATA,MATCH("FocusSpell1-L00",CLASSFEATUREHEADERS,0),MATCH(($A917),CLASSNAMEHEADERS,0))))}</f>
        <v>FOCUSSPELL1-L00</v>
      </c>
      <c r="R916" s="81" t="str">
        <f t="array" ref="R916:R917">{"FOCUSSPELL2-L00";((INDEX(ALLCLASSDATA,MATCH("FocusSpell2-L00",CLASSFEATUREHEADERS,0),MATCH(($A917),CLASSNAMEHEADERS,0))))}</f>
        <v>FOCUSSPELL2-L00</v>
      </c>
      <c r="S916" s="81" t="str">
        <f t="array" ref="S916:S917">{"FOCUSSPELL3-L00";((INDEX(ALLCLASSDATA,MATCH("FocusSpell3-L00",CLASSFEATUREHEADERS,0),MATCH(($A917),CLASSNAMEHEADERS,0))))}</f>
        <v>FOCUSSPELL3-L00</v>
      </c>
      <c r="T916" s="81" t="str">
        <f t="array" ref="T916:T917">{"FOCUSSPELL4-L00";((INDEX(ALLCLASSDATA,MATCH("FocusSpell4-L00",CLASSFEATUREHEADERS,0),MATCH(($A917),CLASSNAMEHEADERS,0))))}</f>
        <v>FOCUSSPELL4-L00</v>
      </c>
      <c r="U916" s="81" t="str">
        <f t="array" ref="U916:U917">{"FOCUSSPELL5-L00";((INDEX(ALLCLASSDATA,MATCH("FocusSpell5-L00",CLASSFEATUREHEADERS,0),MATCH(($A917),CLASSNAMEHEADERS,0))))}</f>
        <v>FOCUSSPELL5-L00</v>
      </c>
      <c r="V916" s="81"/>
      <c r="W916" s="81"/>
      <c r="X916" s="81"/>
      <c r="Y916" s="81"/>
      <c r="Z916" s="81"/>
      <c r="AA916" s="81"/>
      <c r="AB916" s="76"/>
      <c r="AC916" s="76"/>
    </row>
    <row r="917">
      <c r="A917" s="48" t="s">
        <v>185</v>
      </c>
      <c r="B917" s="48"/>
      <c r="C917" s="48" t="s">
        <v>412</v>
      </c>
      <c r="D917" s="48" t="s">
        <v>467</v>
      </c>
      <c r="E917" s="48" t="s">
        <v>468</v>
      </c>
      <c r="F917" s="48" t="s">
        <v>469</v>
      </c>
      <c r="G917" s="114" t="s">
        <v>15</v>
      </c>
      <c r="H917" s="8" t="s">
        <v>451</v>
      </c>
      <c r="I917" s="8" t="s">
        <v>463</v>
      </c>
      <c r="J917" s="8" t="s">
        <v>473</v>
      </c>
      <c r="K917" s="8" t="s">
        <v>474</v>
      </c>
      <c r="L917" s="8" t="s">
        <v>475</v>
      </c>
      <c r="M917" s="8"/>
      <c r="N917" s="8"/>
      <c r="O917" s="8"/>
      <c r="P917" s="8" t="s">
        <v>476</v>
      </c>
      <c r="Q917" s="116"/>
      <c r="R917" s="116"/>
      <c r="S917" s="116"/>
      <c r="T917" s="116"/>
      <c r="U917" s="116"/>
      <c r="V917" s="8"/>
      <c r="W917" s="8"/>
      <c r="X917" s="8"/>
      <c r="Y917" s="8"/>
      <c r="Z917" s="5"/>
      <c r="AA917" s="5"/>
      <c r="AB917" s="5"/>
      <c r="AC917" s="47"/>
    </row>
    <row r="918" hidden="1">
      <c r="A918" s="76" t="str">
        <f t="array" ref="A918:A919">{"FormulaRow03";(INDEX(CLASSLIST,A913,1))}</f>
        <v>FormulaRow03</v>
      </c>
      <c r="B918" s="77" t="s">
        <v>236</v>
      </c>
      <c r="C918" s="76" t="str">
        <f t="array" ref="C918:C919">{"CLASSTYPE";((INDEX(ALLCLASSDATA,MATCH("ClassType",CLASSFEATUREHEADERS,0),MATCH($A919,CLASSNAMEHEADERS,0))))}</f>
        <v>CLASSTYPE</v>
      </c>
      <c r="D918" s="76" t="str">
        <f t="array" ref="D918:D919">{"FEATUREPTS";"FeaturesPts"}</f>
        <v>FEATUREPTS</v>
      </c>
      <c r="E918" s="76" t="str">
        <f t="array" ref="E918:E919">{"INITIALFEATURES";"Initial Features"}</f>
        <v>INITIALFEATURES</v>
      </c>
      <c r="F918" s="76" t="str">
        <f t="array" ref="F918:F919">{"KEYABILITY";((INDEX(ALLCLASSDATA,MATCH("KEYABILITY",CLASSFEATUREHEADERS,0),MATCH($A919,CLASSNAMEHEADERS,0))))}</f>
        <v>KEYABILITY</v>
      </c>
      <c r="G918" s="76" t="str">
        <f t="array" ref="G918:G919">{"HP";((INDEX(ALLCLASSDATA,MATCH("HP",CLASSFEATUREHEADERS,0),MATCH(($A919 &amp; "Points"),CLASSNAMEHEADERS,0))))}</f>
        <v>HP</v>
      </c>
      <c r="H918" s="76" t="str">
        <f t="array" ref="H918:H919">{"CLASSFEATL01";((INDEX(ALLCLASSDATA,MATCH("ClassFeatL01",CLASSFEATUREHEADERS,0),MATCH(($A919 &amp; "Points"),CLASSNAMEHEADERS,0))))}</f>
        <v>CLASSFEATL01</v>
      </c>
      <c r="I918" s="76" t="str">
        <f t="array" ref="I918:I919">{"SHIELDBLOCKL01";((INDEX(ALLCLASSDATA,MATCH("ShieldBlockL01",CLASSFEATUREHEADERS,0),MATCH(($A919 &amp; "Points"),CLASSNAMEHEADERS,0))))}</f>
        <v>SHIELDBLOCKL01</v>
      </c>
      <c r="J918" s="76" t="str">
        <f t="array" ref="J918:J919">{"INITIALSKILLINCREASES";((INDEX(ALLCLASSDATA,MATCH("InitialSkillIncreases",CLASSFEATUREHEADERS,0),MATCH(($A919 &amp; "Points"),CLASSNAMEHEADERS,0))))}</f>
        <v>INITIALSKILLINCREASES</v>
      </c>
      <c r="K918" s="76" t="str">
        <f t="array" ref="K918:K919">{"SUBCLASSSKILLINCREASES";((INDEX(ALLCLASSDATA,MATCH("SubclassSkillIncreases",CLASSFEATUREHEADERS,0),MATCH(($A919 &amp; "Points"),CLASSNAMEHEADERS,0))))}</f>
        <v>SUBCLASSSKILLINCREASES</v>
      </c>
      <c r="L918" s="76" t="str">
        <f t="array" ref="L918:L919">{"GRANTEDSKILLS";(((INDEX(ALLCLASSDATA,MATCH("SkillsGrantedTotal",CLASSFEATUREHEADERS,0),MATCH(($A919 &amp; "Points"),CLASSNAMEHEADERS,0)))-(INDEX(ALLCLASSDATA,MATCH("InitialSkillIncreases",CLASSFEATUREHEADERS,0),MATCH(($A919 &amp; "Points"),CLASSNAMEHEADERS,0)))-(INDEX(ALLCLASSDATA,MATCH("SubclassSkillIncreases",CLASSFEATUREHEADERS,0),MATCH(($A919 &amp; "Points"),CLASSNAMEHEADERS,0)))))}</f>
        <v>GRANTEDSKILLS</v>
      </c>
      <c r="M918" s="76"/>
      <c r="N918" s="76"/>
      <c r="O918" s="76"/>
      <c r="P918" s="76"/>
      <c r="Q918" s="76" t="str">
        <f t="array" ref="Q918:Q919">{"FOCUSSPELL1-L00";((INDEX(ALLCLASSDATA,MATCH("FocusSpell1-L00",CLASSFEATUREHEADERS,0),MATCH(($A919 &amp; "Points"),CLASSNAMEHEADERS,0))))}</f>
        <v>FOCUSSPELL1-L00</v>
      </c>
      <c r="R918" s="76" t="str">
        <f t="array" ref="R918:R919">{"FOCUSSPELL2-L00";((INDEX(ALLCLASSDATA,MATCH("FocusSpell2-L00",CLASSFEATUREHEADERS,0),MATCH(($A919 &amp; "Points"),CLASSNAMEHEADERS,0))))}</f>
        <v>FOCUSSPELL2-L00</v>
      </c>
      <c r="S918" s="76" t="str">
        <f t="array" ref="S918:S919">{"FOCUSSPELL3-L00";((INDEX(ALLCLASSDATA,MATCH("FocusSpell3-L00",CLASSFEATUREHEADERS,0),MATCH(($A919 &amp; "Points"),CLASSNAMEHEADERS,0))))}</f>
        <v>FOCUSSPELL3-L00</v>
      </c>
      <c r="T918" s="76" t="str">
        <f t="array" ref="T918:T919">{"FOCUSSPELL4-L00";((INDEX(ALLCLASSDATA,MATCH("FocusSpell4-L00",CLASSFEATUREHEADERS,0),MATCH(($A919 &amp; "Points"),CLASSNAMEHEADERS,0))))}</f>
        <v>FOCUSSPELL4-L00</v>
      </c>
      <c r="U918" s="76" t="str">
        <f t="array" ref="U918:U919">{"FOCUSSPELL5-L00";((INDEX(ALLCLASSDATA,MATCH("FocusSpell5-L00",CLASSFEATUREHEADERS,0),MATCH(($A919 &amp; "Points"),CLASSNAMEHEADERS,0))))}</f>
        <v>FOCUSSPELL5-L00</v>
      </c>
      <c r="V918" s="76"/>
      <c r="W918" s="76"/>
      <c r="X918" s="76"/>
      <c r="Y918" s="76"/>
      <c r="Z918" s="76"/>
      <c r="AA918" s="76"/>
      <c r="AB918" s="76"/>
      <c r="AC918" s="76" t="str">
        <f t="array" ref="AC918:AC919">{"FEATUREPTS TOTAL";(sum(G919:AA919))}</f>
        <v>FEATUREPTS TOTAL</v>
      </c>
    </row>
    <row r="919">
      <c r="A919" s="48" t="s">
        <v>185</v>
      </c>
      <c r="B919" s="48"/>
      <c r="C919" s="48" t="s">
        <v>412</v>
      </c>
      <c r="D919" s="97" t="s">
        <v>559</v>
      </c>
      <c r="E919" s="97" t="s">
        <v>468</v>
      </c>
      <c r="F919" s="97" t="s">
        <v>262</v>
      </c>
      <c r="G919" s="132">
        <v>80.0</v>
      </c>
      <c r="H919" s="98">
        <v>10.0</v>
      </c>
      <c r="I919" s="98">
        <v>10.0</v>
      </c>
      <c r="J919" s="98">
        <v>15.0</v>
      </c>
      <c r="K919" s="98"/>
      <c r="L919" s="98">
        <v>5.0</v>
      </c>
      <c r="M919" s="98"/>
      <c r="N919" s="98"/>
      <c r="O919" s="98"/>
      <c r="P919" s="98"/>
      <c r="Q919" s="98"/>
      <c r="R919" s="98"/>
      <c r="S919" s="98"/>
      <c r="T919" s="98"/>
      <c r="U919" s="98"/>
      <c r="V919" s="98"/>
      <c r="W919" s="98"/>
      <c r="X919" s="98"/>
      <c r="Y919" s="98"/>
      <c r="Z919" s="98"/>
      <c r="AA919" s="98"/>
      <c r="AB919" s="5"/>
      <c r="AC919" s="47">
        <v>120.0</v>
      </c>
    </row>
    <row r="920" hidden="1">
      <c r="A920" s="76" t="str">
        <f t="array" ref="A920:A921">{"FormulaRow04";(INDEX(CLASSLIST,A913,1))}</f>
        <v>FormulaRow04</v>
      </c>
      <c r="B920" s="77" t="s">
        <v>236</v>
      </c>
      <c r="C920" s="76" t="str">
        <f t="array" ref="C920:C921">{"CLASSTYPE";((INDEX(ALLCLASSDATA,MATCH("ClassType",CLASSFEATUREHEADERS,0),MATCH($A921,CLASSNAMEHEADERS,0))))}</f>
        <v>CLASSTYPE</v>
      </c>
      <c r="D920" s="81" t="str">
        <f t="array" ref="D920:D921">{"INITIALFEATURES";"InitialFeatures"}</f>
        <v>INITIALFEATURES</v>
      </c>
      <c r="E920" s="81" t="str">
        <f t="array" ref="E920:E921">{"CLASS/SUBCLASSFEATURES";"Class/Subclass Features"}</f>
        <v>CLASS/SUBCLASSFEATURES</v>
      </c>
      <c r="F920" s="81"/>
      <c r="G920" s="136"/>
      <c r="H920" s="81" t="str">
        <f t="array" ref="H920:H921">{"CLASSINITIALABILITY1-L00";((INDEX(ALLCLASSDATA,MATCH("ClassInitialAbility1-L00",CLASSFEATUREHEADERS,0),MATCH(($A921),CLASSNAMEHEADERS,0))))}</f>
        <v>CLASSINITIALABILITY1-L00</v>
      </c>
      <c r="I920" s="81" t="str">
        <f t="array" ref="I920:I921">{"CLASSINITIALABILITY2-L00";((INDEX(ALLCLASSDATA,MATCH("ClassInitialAbility2-L00",CLASSFEATUREHEADERS,0),MATCH(($A921),CLASSNAMEHEADERS,0))))}</f>
        <v>CLASSINITIALABILITY2-L00</v>
      </c>
      <c r="J920" s="81" t="str">
        <f t="array" ref="J920:J921">{"CLASSINITIALABILITY3-L00";((INDEX(ALLCLASSDATA,MATCH("ClassInitialAbility3-L00",CLASSFEATUREHEADERS,0),MATCH(($A921),CLASSNAMEHEADERS,0))))}</f>
        <v>CLASSINITIALABILITY3-L00</v>
      </c>
      <c r="K920" s="81" t="str">
        <f t="array" ref="K920:K921">{"CLASSINITIALABILITY4-L00";((INDEX(ALLCLASSDATA,MATCH("ClassInitialAbility4-L00",CLASSFEATUREHEADERS,0),MATCH(($A921),CLASSNAMEHEADERS,0))))}</f>
        <v>CLASSINITIALABILITY4-L00</v>
      </c>
      <c r="L920" s="81" t="str">
        <f t="array" ref="L920:L921">{"CLASSINITIALABILITY5-L00";((INDEX(ALLCLASSDATA,MATCH("ClassInitialAbility5-L00",CLASSFEATUREHEADERS,0),MATCH(($A921),CLASSNAMEHEADERS,0))))}</f>
        <v>CLASSINITIALABILITY5-L00</v>
      </c>
      <c r="M920" s="81" t="str">
        <f t="array" ref="M920:M921">{"CLASSINITIALABILITY6-L00";((INDEX(ALLCLASSDATA,MATCH("ClassInitialAbility6-L00",CLASSFEATUREHEADERS,0),MATCH(($A921),CLASSNAMEHEADERS,0))))}</f>
        <v>CLASSINITIALABILITY6-L00</v>
      </c>
      <c r="N920" s="81" t="str">
        <f t="array" ref="N920:N921">{"CLASSINITIALABILITY7-L00";((INDEX(ALLCLASSDATA,MATCH("ClassInitialAbility7-L00",CLASSFEATUREHEADERS,0),MATCH(($A921),CLASSNAMEHEADERS,0))))}</f>
        <v>CLASSINITIALABILITY7-L00</v>
      </c>
      <c r="O920" s="81" t="str">
        <f t="array" ref="O920:O921">{"CLASSINITIALABILITY8-L00";((INDEX(ALLCLASSDATA,MATCH("ClassInitialAbility8-L00",CLASSFEATUREHEADERS,0),MATCH(($A921),CLASSNAMEHEADERS,0))))}</f>
        <v>CLASSINITIALABILITY8-L00</v>
      </c>
      <c r="P920" s="81" t="str">
        <f t="array" ref="P920:P921">{"CLASSINITIALABILITY9-L00";((INDEX(ALLCLASSDATA,MATCH("ClassInitialAbility9-L00",CLASSFEATUREHEADERS,0),MATCH(($A921),CLASSNAMEHEADERS,0))))}</f>
        <v>CLASSINITIALABILITY9-L00</v>
      </c>
      <c r="Q920" s="81" t="str">
        <f t="array" ref="Q920:Q921">{"CLASSINITIALABILITY10-L00";((INDEX(ALLCLASSDATA,MATCH("ClassInitialAbility10-L00",CLASSFEATUREHEADERS,0),MATCH(($A921),CLASSNAMEHEADERS,0))))}</f>
        <v>CLASSINITIALABILITY10-L00</v>
      </c>
      <c r="R920" s="81" t="str">
        <f t="array" ref="R920:R921">{"SUBCLASSINITIAL1-L00";((INDEX(ALLCLASSDATA,MATCH("SubclassInitial1-L00",CLASSFEATUREHEADERS,0),MATCH(($A921),CLASSNAMEHEADERS,0))))}</f>
        <v>SUBCLASSINITIAL1-L00</v>
      </c>
      <c r="S920" s="81" t="str">
        <f t="array" ref="S920:S921">{"SUBCLASSINITIAL2-L00";((INDEX(ALLCLASSDATA,MATCH("SubclassInitial2-L00",CLASSFEATUREHEADERS,0),MATCH(($A921),CLASSNAMEHEADERS,0))))}</f>
        <v>SUBCLASSINITIAL2-L00</v>
      </c>
      <c r="T920" s="81" t="str">
        <f t="array" ref="T920:T921">{"SUBCLASSINITIAL3-L00";((INDEX(ALLCLASSDATA,MATCH("SubclassInitial3-L00",CLASSFEATUREHEADERS,0),MATCH(($A921),CLASSNAMEHEADERS,0))))}</f>
        <v>SUBCLASSINITIAL3-L00</v>
      </c>
      <c r="U920" s="81" t="str">
        <f t="array" ref="U920:U921">{"SUBCLASSINITIAL4-L00";((INDEX(ALLCLASSDATA,MATCH("SubclassInitial4-L00",CLASSFEATUREHEADERS,0),MATCH(($A921),CLASSNAMEHEADERS,0))))}</f>
        <v>SUBCLASSINITIAL4-L00</v>
      </c>
      <c r="V920" s="81" t="str">
        <f t="array" ref="V920:V921">{"SUBCLASSINITIAL5-L00";((INDEX(ALLCLASSDATA,MATCH("SubclassInitial5-L00",CLASSFEATUREHEADERS,0),MATCH(($A921),CLASSNAMEHEADERS,0))))}</f>
        <v>SUBCLASSINITIAL5-L00</v>
      </c>
      <c r="W920" s="81" t="str">
        <f t="array" ref="W920:W921">{"SUBCLASSINITIAL6-L00";((INDEX(ALLCLASSDATA,MATCH("SubclassInitial6-L00",CLASSFEATUREHEADERS,0),MATCH(($A921),CLASSNAMEHEADERS,0))))}</f>
        <v>SUBCLASSINITIAL6-L00</v>
      </c>
      <c r="X920" s="81" t="str">
        <f t="array" ref="X920:X921">{"SUBCLASSINITIAL7-L00";((INDEX(ALLCLASSDATA,MATCH("SubclassInitial7-L00",CLASSFEATUREHEADERS,0),MATCH(($A921),CLASSNAMEHEADERS,0))))}</f>
        <v>SUBCLASSINITIAL7-L00</v>
      </c>
      <c r="Y920" s="81" t="str">
        <f t="array" ref="Y920:Y921">{"SUBCLASSINITIAL8-L00";((INDEX(ALLCLASSDATA,MATCH("SubclassInitial8-L00",CLASSFEATUREHEADERS,0),MATCH(($A921),CLASSNAMEHEADERS,0))))}</f>
        <v>SUBCLASSINITIAL8-L00</v>
      </c>
      <c r="Z920" s="81" t="str">
        <f t="array" ref="Z920:Z921">{"SUBCLASSINITIAL9-L00";((INDEX(ALLCLASSDATA,MATCH("SubclassInitial9-L00",CLASSFEATUREHEADERS,0),MATCH(($A921),CLASSNAMEHEADERS,0))))}</f>
        <v>SUBCLASSINITIAL9-L00</v>
      </c>
      <c r="AA920" s="81" t="str">
        <f t="array" ref="AA920:AA921">{"SUBCLASSINITIAL10-L00";((INDEX(ALLCLASSDATA,MATCH("SubclassInitial10-L00",CLASSFEATUREHEADERS,0),MATCH(($A921),CLASSNAMEHEADERS,0))))}</f>
        <v>SUBCLASSINITIAL10-L00</v>
      </c>
      <c r="AB920" s="76"/>
      <c r="AC920" s="76"/>
    </row>
    <row r="921">
      <c r="A921" s="48" t="s">
        <v>185</v>
      </c>
      <c r="B921" s="48"/>
      <c r="C921" s="48" t="s">
        <v>412</v>
      </c>
      <c r="D921" s="48" t="s">
        <v>614</v>
      </c>
      <c r="E921" s="48" t="s">
        <v>616</v>
      </c>
      <c r="F921" s="48"/>
      <c r="G921" s="47"/>
      <c r="H921" s="5" t="s">
        <v>1056</v>
      </c>
      <c r="I921" s="5" t="s">
        <v>1047</v>
      </c>
      <c r="J921" s="5" t="s">
        <v>1645</v>
      </c>
      <c r="K921" s="5" t="s">
        <v>387</v>
      </c>
      <c r="L921" s="5"/>
      <c r="M921" s="5"/>
      <c r="N921" s="5"/>
      <c r="O921" s="5"/>
      <c r="P921" s="5"/>
      <c r="Q921" s="5"/>
      <c r="R921" s="5" t="s">
        <v>1816</v>
      </c>
      <c r="S921" s="5"/>
      <c r="T921" s="5"/>
      <c r="U921" s="5"/>
      <c r="V921" s="5"/>
      <c r="W921" s="5"/>
      <c r="X921" s="5"/>
      <c r="Y921" s="5"/>
      <c r="Z921" s="5"/>
      <c r="AA921" s="5"/>
      <c r="AB921" s="5"/>
      <c r="AC921" s="47"/>
    </row>
    <row r="922" hidden="1">
      <c r="A922" s="76" t="str">
        <f t="array" ref="A922:A923">{"FormulaRow05";(INDEX(CLASSLIST,A913,1))}</f>
        <v>FormulaRow05</v>
      </c>
      <c r="B922" s="77" t="s">
        <v>236</v>
      </c>
      <c r="C922" s="76" t="str">
        <f t="array" ref="C922:C923">{"CLASSTYPE";((INDEX(ALLCLASSDATA,MATCH("ClassType",CLASSFEATUREHEADERS,0),MATCH($A923,CLASSNAMEHEADERS,0))))}</f>
        <v>CLASSTYPE</v>
      </c>
      <c r="D922" s="76" t="str">
        <f t="array" ref="D922:D923">{"INITIALFEATURESPTS";"InitialFeaturesPts"}</f>
        <v>INITIALFEATURESPTS</v>
      </c>
      <c r="E922" s="76" t="str">
        <f t="array" ref="E922:E923">{"CLASS/SUBCLASSFEATURES";"Class/Subclass Features"}</f>
        <v>CLASS/SUBCLASSFEATURES</v>
      </c>
      <c r="F922" s="76"/>
      <c r="G922" s="76"/>
      <c r="H922" s="76" t="str">
        <f t="array" ref="H922:H923">{"CLASSINITIALABILITY1-L00PTS";((INDEX(ALLCLASSDATA,MATCH("ClassInitialAbility1-L00",CLASSFEATUREHEADERS,0),MATCH(($A923 &amp; "Points"),CLASSNAMEHEADERS,0))))}</f>
        <v>CLASSINITIALABILITY1-L00PTS</v>
      </c>
      <c r="I922" s="76" t="str">
        <f t="array" ref="I922:I923">{"CLASSINITIALABILITY2-L00PTS";((INDEX(ALLCLASSDATA,MATCH("ClassInitialAbility2-L00",CLASSFEATUREHEADERS,0),MATCH(($A923 &amp; "Points"),CLASSNAMEHEADERS,0))))}</f>
        <v>CLASSINITIALABILITY2-L00PTS</v>
      </c>
      <c r="J922" s="76" t="str">
        <f t="array" ref="J922:J923">{"CLASSINITIALABILITY3-L00PTS";((INDEX(ALLCLASSDATA,MATCH("ClassInitialAbility3-L00",CLASSFEATUREHEADERS,0),MATCH(($A923 &amp; "Points"),CLASSNAMEHEADERS,0))))}</f>
        <v>CLASSINITIALABILITY3-L00PTS</v>
      </c>
      <c r="K922" s="76" t="str">
        <f t="array" ref="K922:K923">{"CLASSINITIALABILITY4-L00PTS";((INDEX(ALLCLASSDATA,MATCH("ClassInitialAbility4-L00",CLASSFEATUREHEADERS,0),MATCH(($A923 &amp; "Points"),CLASSNAMEHEADERS,0))))}</f>
        <v>CLASSINITIALABILITY4-L00PTS</v>
      </c>
      <c r="L922" s="76" t="str">
        <f t="array" ref="L922:L923">{"CLASSINITIALABILITY5-L00PTS";((INDEX(ALLCLASSDATA,MATCH("ClassInitialAbility5-L00",CLASSFEATUREHEADERS,0),MATCH(($A923 &amp; "Points"),CLASSNAMEHEADERS,0))))}</f>
        <v>CLASSINITIALABILITY5-L00PTS</v>
      </c>
      <c r="M922" s="76" t="str">
        <f t="array" ref="M922:M923">{"CLASSINITIALABILITY6-L00PTS";((INDEX(ALLCLASSDATA,MATCH("ClassInitialAbility6-L00",CLASSFEATUREHEADERS,0),MATCH(($A923 &amp; "Points"),CLASSNAMEHEADERS,0))))}</f>
        <v>CLASSINITIALABILITY6-L00PTS</v>
      </c>
      <c r="N922" s="76" t="str">
        <f t="array" ref="N922:N923">{"CLASSINITIALABILITY7-L00PTS";((INDEX(ALLCLASSDATA,MATCH("ClassInitialAbility7-L00",CLASSFEATUREHEADERS,0),MATCH(($A923 &amp; "Points"),CLASSNAMEHEADERS,0))))}</f>
        <v>CLASSINITIALABILITY7-L00PTS</v>
      </c>
      <c r="O922" s="76" t="str">
        <f t="array" ref="O922:O923">{"CLASSINITIALABILITY8-L00PTS";((INDEX(ALLCLASSDATA,MATCH("ClassInitialAbility8-L00",CLASSFEATUREHEADERS,0),MATCH(($A923 &amp; "Points"),CLASSNAMEHEADERS,0))))}</f>
        <v>CLASSINITIALABILITY8-L00PTS</v>
      </c>
      <c r="P922" s="76" t="str">
        <f t="array" ref="P922:P923">{"CLASSINITIALABILITY9-L00PTS";((INDEX(ALLCLASSDATA,MATCH("ClassInitialAbility9-L00",CLASSFEATUREHEADERS,0),MATCH(($A923 &amp; "Points"),CLASSNAMEHEADERS,0))))}</f>
        <v>CLASSINITIALABILITY9-L00PTS</v>
      </c>
      <c r="Q922" s="76" t="str">
        <f t="array" ref="Q922:Q923">{"CLASSINITIALABILITY10-L00PTS";((INDEX(ALLCLASSDATA,MATCH("ClassInitialAbility10-L00",CLASSFEATUREHEADERS,0),MATCH(($A923 &amp; "Points"),CLASSNAMEHEADERS,0))))}</f>
        <v>CLASSINITIALABILITY10-L00PTS</v>
      </c>
      <c r="R922" s="76" t="str">
        <f t="array" ref="R922:R923">{"SUBCLASSINITIAL1-L00PTS";((INDEX(ALLCLASSDATA,MATCH("SubclassInitial1-L00",CLASSFEATUREHEADERS,0),MATCH(($A923 &amp; "Points"),CLASSNAMEHEADERS,0))))}</f>
        <v>SUBCLASSINITIAL1-L00PTS</v>
      </c>
      <c r="S922" s="76" t="str">
        <f t="array" ref="S922:S923">{"SUBCLASSINITIAL2-L00PTS";((INDEX(ALLCLASSDATA,MATCH("SubclassInitial2-L00",CLASSFEATUREHEADERS,0),MATCH(($A923 &amp; "Points"),CLASSNAMEHEADERS,0))))}</f>
        <v>SUBCLASSINITIAL2-L00PTS</v>
      </c>
      <c r="T922" s="76" t="str">
        <f t="array" ref="T922:T923">{"SUBCLASSINITIAL3-L00PTS";((INDEX(ALLCLASSDATA,MATCH("SubclassInitial3-L00",CLASSFEATUREHEADERS,0),MATCH(($A923 &amp; "Points"),CLASSNAMEHEADERS,0))))}</f>
        <v>SUBCLASSINITIAL3-L00PTS</v>
      </c>
      <c r="U922" s="76" t="str">
        <f t="array" ref="U922:U923">{"SUBCLASSINITIAL4-L00PTS";((INDEX(ALLCLASSDATA,MATCH("SubclassInitial4-L00",CLASSFEATUREHEADERS,0),MATCH(($A923 &amp; "Points"),CLASSNAMEHEADERS,0))))}</f>
        <v>SUBCLASSINITIAL4-L00PTS</v>
      </c>
      <c r="V922" s="76" t="str">
        <f t="array" ref="V922:V923">{"SUBCLASSINITIAL5-L00PTS";((INDEX(ALLCLASSDATA,MATCH("SubclassInitial5-L00",CLASSFEATUREHEADERS,0),MATCH(($A923 &amp; "Points"),CLASSNAMEHEADERS,0))))}</f>
        <v>SUBCLASSINITIAL5-L00PTS</v>
      </c>
      <c r="W922" s="76" t="str">
        <f t="array" ref="W922:W923">{"SUBCLASSINITIAL6-L00PTS";((INDEX(ALLCLASSDATA,MATCH("SubclassInitial6-L00",CLASSFEATUREHEADERS,0),MATCH(($A923 &amp; "Points"),CLASSNAMEHEADERS,0))))}</f>
        <v>SUBCLASSINITIAL6-L00PTS</v>
      </c>
      <c r="X922" s="76" t="str">
        <f t="array" ref="X922:X923">{"SUBCLASSINITIAL7-L00PTS";((INDEX(ALLCLASSDATA,MATCH("SubclassInitial7-L00",CLASSFEATUREHEADERS,0),MATCH(($A923 &amp; "Points"),CLASSNAMEHEADERS,0))))}</f>
        <v>SUBCLASSINITIAL7-L00PTS</v>
      </c>
      <c r="Y922" s="76" t="str">
        <f t="array" ref="Y922:Y923">{"SUBCLASSINITIAL8-L00PTS";((INDEX(ALLCLASSDATA,MATCH("SubclassInitial8-L00",CLASSFEATUREHEADERS,0),MATCH(($A923 &amp; "Points"),CLASSNAMEHEADERS,0))))}</f>
        <v>SUBCLASSINITIAL8-L00PTS</v>
      </c>
      <c r="Z922" s="76" t="str">
        <f t="array" ref="Z922:Z923">{"SUBCLASSINITIAL9-L00PTS";((INDEX(ALLCLASSDATA,MATCH("SubclassInitial9-L00",CLASSFEATUREHEADERS,0),MATCH(($A923 &amp; "Points"),CLASSNAMEHEADERS,0))))}</f>
        <v>SUBCLASSINITIAL9-L00PTS</v>
      </c>
      <c r="AA922" s="76" t="str">
        <f t="array" ref="AA922:AA923">{"SUBCLASSINITIAL10-L00PTS";((INDEX(ALLCLASSDATA,MATCH("SubclassInitial10-L00",CLASSFEATUREHEADERS,0),MATCH(($A923 &amp; "Points"),CLASSNAMEHEADERS,0))))}</f>
        <v>SUBCLASSINITIAL10-L00PTS</v>
      </c>
      <c r="AB922" s="76"/>
      <c r="AC922" s="76" t="str">
        <f t="array" ref="AC922:AC923">{"INITIALFEATUREPTS TOTAL";(sum(G923:AA923))}</f>
        <v>INITIALFEATUREPTS TOTAL</v>
      </c>
    </row>
    <row r="923">
      <c r="A923" s="48" t="s">
        <v>185</v>
      </c>
      <c r="B923" s="48"/>
      <c r="C923" s="48" t="s">
        <v>412</v>
      </c>
      <c r="D923" s="97" t="s">
        <v>651</v>
      </c>
      <c r="E923" s="97" t="s">
        <v>616</v>
      </c>
      <c r="F923" s="97"/>
      <c r="G923" s="132"/>
      <c r="H923" s="98">
        <v>10.0</v>
      </c>
      <c r="I923" s="98">
        <v>30.0</v>
      </c>
      <c r="J923" s="97"/>
      <c r="K923" s="98"/>
      <c r="L923" s="97"/>
      <c r="M923" s="98"/>
      <c r="N923" s="98"/>
      <c r="O923" s="98"/>
      <c r="P923" s="98"/>
      <c r="Q923" s="98"/>
      <c r="R923" s="98">
        <v>70.0</v>
      </c>
      <c r="S923" s="98"/>
      <c r="T923" s="98"/>
      <c r="U923" s="98"/>
      <c r="V923" s="98"/>
      <c r="W923" s="98"/>
      <c r="X923" s="98"/>
      <c r="Y923" s="98"/>
      <c r="Z923" s="98"/>
      <c r="AA923" s="98"/>
      <c r="AB923" s="5"/>
      <c r="AC923" s="47">
        <v>110.0</v>
      </c>
    </row>
    <row r="924" hidden="1">
      <c r="A924" s="76" t="str">
        <f t="array" ref="A924:A925">{"FormulaRow06";(INDEX(CLASSLIST,A913,1))}</f>
        <v>FormulaRow06</v>
      </c>
      <c r="B924" s="77" t="s">
        <v>236</v>
      </c>
      <c r="C924" s="76" t="str">
        <f t="array" ref="C924:C925">{"CLASSTYPE";((INDEX(ALLCLASSDATA,MATCH("ClassType",CLASSFEATUREHEADERS,0),MATCH($A925,CLASSNAMEHEADERS,0))))}</f>
        <v>CLASSTYPE</v>
      </c>
      <c r="D924" s="81" t="str">
        <f t="array" ref="D924:D925">{"SKILLS";"Skills"}</f>
        <v>SKILLS</v>
      </c>
      <c r="E924" s="81" t="str">
        <f t="array" ref="E924:E925">{"EXTRASKILLINCREASES";"Extra Skill Increases"}</f>
        <v>EXTRASKILLINCREASES</v>
      </c>
      <c r="F924" s="81"/>
      <c r="G924" s="81"/>
      <c r="H924" s="81"/>
      <c r="I924" s="81" t="str">
        <f t="array" ref="I924:I925">{"SKILLINCREASEEXTRA-L02";((INDEX(ALLCLASSDATA,MATCH("SkillIncreaseExtra-L02",CLASSFEATUREHEADERS,0),MATCH(($A925 &amp; "Points"),CLASSNAMEHEADERS,0))))}</f>
        <v>SKILLINCREASEEXTRA-L02</v>
      </c>
      <c r="J924" s="81" t="str">
        <f t="array" ref="J924:J925">{"SKILLINCREASEEXTRA-L03";((INDEX(ALLCLASSDATA,MATCH("SkillIncreaseExtra-L03",CLASSFEATUREHEADERS,0),MATCH(($A925 &amp; "Points"),CLASSNAMEHEADERS,0))))}</f>
        <v>SKILLINCREASEEXTRA-L03</v>
      </c>
      <c r="K924" s="81" t="str">
        <f t="array" ref="K924:K925">{"SKILLINCREASEEXTRA-L04";((INDEX(ALLCLASSDATA,MATCH("SkillIncreaseExtra-L04",CLASSFEATUREHEADERS,0),MATCH(($A925 &amp; "Points"),CLASSNAMEHEADERS,0))))}</f>
        <v>SKILLINCREASEEXTRA-L04</v>
      </c>
      <c r="L924" s="81" t="str">
        <f t="array" ref="L924:L925">{"SKILLINCREASEEXTRA-L05";((INDEX(ALLCLASSDATA,MATCH("SkillIncreaseExtra-L05",CLASSFEATUREHEADERS,0),MATCH(($A925 &amp; "Points"),CLASSNAMEHEADERS,0))))}</f>
        <v>SKILLINCREASEEXTRA-L05</v>
      </c>
      <c r="M924" s="81" t="str">
        <f t="array" ref="M924:M925">{"SKILLINCREASEEXTRA-L06";((INDEX(ALLCLASSDATA,MATCH("SkillIncreaseExtra-L06",CLASSFEATUREHEADERS,0),MATCH(($A925 &amp; "Points"),CLASSNAMEHEADERS,0))))}</f>
        <v>SKILLINCREASEEXTRA-L06</v>
      </c>
      <c r="N924" s="81" t="str">
        <f t="array" ref="N924:N925">{"SKILLINCREASEEXTRA-L07";((INDEX(ALLCLASSDATA,MATCH("SkillIncreaseExtra-L07",CLASSFEATUREHEADERS,0),MATCH(($A925 &amp; "Points"),CLASSNAMEHEADERS,0))))}</f>
        <v>SKILLINCREASEEXTRA-L07</v>
      </c>
      <c r="O924" s="81" t="str">
        <f t="array" ref="O924:O925">{"SKILLINCREASEEXTRA-L08";((INDEX(ALLCLASSDATA,MATCH("SkillIncreaseExtra-L08",CLASSFEATUREHEADERS,0),MATCH(($A925 &amp; "Points"),CLASSNAMEHEADERS,0))))}</f>
        <v>SKILLINCREASEEXTRA-L08</v>
      </c>
      <c r="P924" s="81" t="str">
        <f t="array" ref="P924:P925">{"SKILLINCREASEEXTRA-L09";((INDEX(ALLCLASSDATA,MATCH("SkillIncreaseExtra-L09",CLASSFEATUREHEADERS,0),MATCH(($A925 &amp; "Points"),CLASSNAMEHEADERS,0))))}</f>
        <v>SKILLINCREASEEXTRA-L09</v>
      </c>
      <c r="Q924" s="81" t="str">
        <f t="array" ref="Q924:Q925">{"SKILLINCREASEEXTRA-L10";((INDEX(ALLCLASSDATA,MATCH("SkillIncreaseExtra-L10",CLASSFEATUREHEADERS,0),MATCH(($A925 &amp; "Points"),CLASSNAMEHEADERS,0))))}</f>
        <v>SKILLINCREASEEXTRA-L10</v>
      </c>
      <c r="R924" s="81" t="str">
        <f t="array" ref="R924:R925">{"SKILLINCREASEEXTRA-L11";((INDEX(ALLCLASSDATA,MATCH("SkillIncreaseExtra-L11",CLASSFEATUREHEADERS,0),MATCH(($A925 &amp; "Points"),CLASSNAMEHEADERS,0))))}</f>
        <v>SKILLINCREASEEXTRA-L11</v>
      </c>
      <c r="S924" s="81" t="str">
        <f t="array" ref="S924:S925">{"SKILLINCREASEEXTRA-L12";((INDEX(ALLCLASSDATA,MATCH("SkillIncreaseExtra-L12",CLASSFEATUREHEADERS,0),MATCH(($A925 &amp; "Points"),CLASSNAMEHEADERS,0))))}</f>
        <v>SKILLINCREASEEXTRA-L12</v>
      </c>
      <c r="T924" s="81" t="str">
        <f t="array" ref="T924:T925">{"SKILLINCREASEEXTRA-L13";((INDEX(ALLCLASSDATA,MATCH("SkillIncreaseExtra-L13",CLASSFEATUREHEADERS,0),MATCH(($A925 &amp; "Points"),CLASSNAMEHEADERS,0))))}</f>
        <v>SKILLINCREASEEXTRA-L13</v>
      </c>
      <c r="U924" s="81" t="str">
        <f t="array" ref="U924:U925">{"SKILLINCREASEEXTRA-L14";((INDEX(ALLCLASSDATA,MATCH("SkillIncreaseExtra-L14",CLASSFEATUREHEADERS,0),MATCH(($A925 &amp; "Points"),CLASSNAMEHEADERS,0))))}</f>
        <v>SKILLINCREASEEXTRA-L14</v>
      </c>
      <c r="V924" s="81" t="str">
        <f t="array" ref="V924:V925">{"SKILLINCREASEEXTRA-L15";((INDEX(ALLCLASSDATA,MATCH("SkillIncreaseExtra-L15",CLASSFEATUREHEADERS,0),MATCH(($A925 &amp; "Points"),CLASSNAMEHEADERS,0))))}</f>
        <v>SKILLINCREASEEXTRA-L15</v>
      </c>
      <c r="W924" s="81" t="str">
        <f t="array" ref="W924:W925">{"SKILLINCREASEEXTRA-L16";((INDEX(ALLCLASSDATA,MATCH("SkillIncreaseExtra-L16",CLASSFEATUREHEADERS,0),MATCH(($A925 &amp; "Points"),CLASSNAMEHEADERS,0))))}</f>
        <v>SKILLINCREASEEXTRA-L16</v>
      </c>
      <c r="X924" s="81" t="str">
        <f t="array" ref="X924:X925">{"SKILLINCREASEEXTRA-L17";((INDEX(ALLCLASSDATA,MATCH("SkillIncreaseExtra-L17",CLASSFEATUREHEADERS,0),MATCH(($A925 &amp; "Points"),CLASSNAMEHEADERS,0))))}</f>
        <v>SKILLINCREASEEXTRA-L17</v>
      </c>
      <c r="Y924" s="81" t="str">
        <f t="array" ref="Y924:Y925">{"SKILLINCREASEEXTRA-L18";((INDEX(ALLCLASSDATA,MATCH("SkillIncreaseExtra-L18",CLASSFEATUREHEADERS,0),MATCH(($A925 &amp; "Points"),CLASSNAMEHEADERS,0))))}</f>
        <v>SKILLINCREASEEXTRA-L18</v>
      </c>
      <c r="Z924" s="81" t="str">
        <f t="array" ref="Z924:Z925">{"SKILLINCREASEEXTRA-L19";((INDEX(ALLCLASSDATA,MATCH("SkillIncreaseExtra-L19",CLASSFEATUREHEADERS,0),MATCH(($A925 &amp; "Points"),CLASSNAMEHEADERS,0))))}</f>
        <v>SKILLINCREASEEXTRA-L19</v>
      </c>
      <c r="AA924" s="81" t="str">
        <f t="array" ref="AA924:AA925">{"SKILLINCREASEEXTRA-L20";((INDEX(ALLCLASSDATA,MATCH("SkillIncreaseExtra-L20",CLASSFEATUREHEADERS,0),MATCH(($A925 &amp; "Points"),CLASSNAMEHEADERS,0))))}</f>
        <v>SKILLINCREASEEXTRA-L20</v>
      </c>
      <c r="AB924" s="76"/>
      <c r="AC924" s="76" t="str">
        <f t="array" ref="AC924:AC925">{"SKILLINCREASE TOTAL";(sum(G925:AA925))}</f>
        <v>SKILLINCREASE TOTAL</v>
      </c>
    </row>
    <row r="925">
      <c r="A925" s="48" t="s">
        <v>185</v>
      </c>
      <c r="B925" s="48"/>
      <c r="C925" s="48" t="s">
        <v>412</v>
      </c>
      <c r="D925" s="48" t="s">
        <v>659</v>
      </c>
      <c r="E925" s="48" t="s">
        <v>661</v>
      </c>
      <c r="F925" s="48"/>
      <c r="G925" s="47"/>
      <c r="H925" s="5"/>
      <c r="I925" s="5" t="s">
        <v>603</v>
      </c>
      <c r="J925" s="5">
        <v>5.0</v>
      </c>
      <c r="K925" s="5" t="s">
        <v>603</v>
      </c>
      <c r="L925" s="48" t="s">
        <v>603</v>
      </c>
      <c r="M925" s="5" t="s">
        <v>603</v>
      </c>
      <c r="N925" s="5">
        <v>5.0</v>
      </c>
      <c r="O925" s="5" t="s">
        <v>603</v>
      </c>
      <c r="P925" s="5" t="s">
        <v>603</v>
      </c>
      <c r="Q925" s="5" t="s">
        <v>603</v>
      </c>
      <c r="R925" s="5" t="s">
        <v>603</v>
      </c>
      <c r="S925" s="5" t="s">
        <v>603</v>
      </c>
      <c r="T925" s="5" t="s">
        <v>603</v>
      </c>
      <c r="U925" s="5" t="s">
        <v>603</v>
      </c>
      <c r="V925" s="5">
        <v>5.0</v>
      </c>
      <c r="W925" s="5" t="s">
        <v>603</v>
      </c>
      <c r="X925" s="5" t="s">
        <v>603</v>
      </c>
      <c r="Y925" s="5" t="s">
        <v>603</v>
      </c>
      <c r="Z925" s="5" t="s">
        <v>603</v>
      </c>
      <c r="AA925" s="5" t="s">
        <v>603</v>
      </c>
      <c r="AB925" s="5"/>
      <c r="AC925" s="47">
        <v>15.0</v>
      </c>
    </row>
    <row r="926" hidden="1">
      <c r="A926" s="76" t="str">
        <f t="array" ref="A926:A927">{"FormulaRow07";(INDEX(CLASSLIST,A913,1))}</f>
        <v>FormulaRow07</v>
      </c>
      <c r="B926" s="77" t="s">
        <v>236</v>
      </c>
      <c r="C926" s="76" t="str">
        <f t="array" ref="C926:C927">{"CLASSTYPE";((INDEX(ALLCLASSDATA,MATCH("ClassType",CLASSFEATUREHEADERS,0),MATCH($A927,CLASSNAMEHEADERS,0))))}</f>
        <v>CLASSTYPE</v>
      </c>
      <c r="D926" s="76" t="str">
        <f t="array" ref="D926:D927">{"SKILLS";"Skills"}</f>
        <v>SKILLS</v>
      </c>
      <c r="E926" s="76" t="str">
        <f t="array" ref="E926:E927">{"EXTRASKILLFEATS";"Extra Skill Feats"}</f>
        <v>EXTRASKILLFEATS</v>
      </c>
      <c r="F926" s="76"/>
      <c r="G926" s="76"/>
      <c r="H926" s="76" t="str">
        <f t="array" ref="H926:H927">{"SKILLFEATEXTRA-L01";((INDEX(ALLCLASSDATA,MATCH("SkillFeatExtra-L01",CLASSFEATUREHEADERS,0),MATCH(($A927 &amp; "Points"),CLASSNAMEHEADERS,0))))}</f>
        <v>SKILLFEATEXTRA-L01</v>
      </c>
      <c r="I926" s="76" t="str">
        <f t="array" ref="I926:I927">{"SKILLFEATEXTRA-L02";((INDEX(ALLCLASSDATA,MATCH("SkillFeatExtra-L02",CLASSFEATUREHEADERS,0),MATCH(($A927 &amp; "Points"),CLASSNAMEHEADERS,0))))}</f>
        <v>SKILLFEATEXTRA-L02</v>
      </c>
      <c r="J926" s="76" t="str">
        <f t="array" ref="J926:J927">{"SKILLFEATEXTRA-L03";((INDEX(ALLCLASSDATA,MATCH("SkillFeatExtra-L03",CLASSFEATUREHEADERS,0),MATCH(($A927 &amp; "Points"),CLASSNAMEHEADERS,0))))}</f>
        <v>SKILLFEATEXTRA-L03</v>
      </c>
      <c r="K926" s="76" t="str">
        <f t="array" ref="K926:K927">{"SKILLFEATEXTRA-L04";((INDEX(ALLCLASSDATA,MATCH("SkillFeatExtra-L04",CLASSFEATUREHEADERS,0),MATCH(($A927 &amp; "Points"),CLASSNAMEHEADERS,0))))}</f>
        <v>SKILLFEATEXTRA-L04</v>
      </c>
      <c r="L926" s="76" t="str">
        <f t="array" ref="L926:L927">{"SKILLFEATEXTRA-L05";((INDEX(ALLCLASSDATA,MATCH("SkillFeatExtra-L05",CLASSFEATUREHEADERS,0),MATCH(($A927 &amp; "Points"),CLASSNAMEHEADERS,0))))}</f>
        <v>SKILLFEATEXTRA-L05</v>
      </c>
      <c r="M926" s="76" t="str">
        <f t="array" ref="M926:M927">{"SKILLFEATEXTRA-L06";((INDEX(ALLCLASSDATA,MATCH("SkillFeatExtra-L06",CLASSFEATUREHEADERS,0),MATCH(($A927 &amp; "Points"),CLASSNAMEHEADERS,0))))}</f>
        <v>SKILLFEATEXTRA-L06</v>
      </c>
      <c r="N926" s="76" t="str">
        <f t="array" ref="N926:N927">{"SKILLFEATEXTRA-L07";((INDEX(ALLCLASSDATA,MATCH("SkillFeatExtra-L07",CLASSFEATUREHEADERS,0),MATCH(($A927 &amp; "Points"),CLASSNAMEHEADERS,0))))}</f>
        <v>SKILLFEATEXTRA-L07</v>
      </c>
      <c r="O926" s="76" t="str">
        <f t="array" ref="O926:O927">{"SKILLFEATEXTRA-L08";((INDEX(ALLCLASSDATA,MATCH("SkillFeatExtra-L08",CLASSFEATUREHEADERS,0),MATCH(($A927 &amp; "Points"),CLASSNAMEHEADERS,0))))}</f>
        <v>SKILLFEATEXTRA-L08</v>
      </c>
      <c r="P926" s="76" t="str">
        <f t="array" ref="P926:P927">{"SKILLFEATEXTRA-L09";((INDEX(ALLCLASSDATA,MATCH("SkillFeatExtra-L09",CLASSFEATUREHEADERS,0),MATCH(($A927 &amp; "Points"),CLASSNAMEHEADERS,0))))}</f>
        <v>SKILLFEATEXTRA-L09</v>
      </c>
      <c r="Q926" s="76" t="str">
        <f t="array" ref="Q926:Q927">{"SKILLFEATEXTRA-L10";((INDEX(ALLCLASSDATA,MATCH("SkillFeatExtra-L10",CLASSFEATUREHEADERS,0),MATCH(($A927 &amp; "Points"),CLASSNAMEHEADERS,0))))}</f>
        <v>SKILLFEATEXTRA-L10</v>
      </c>
      <c r="R926" s="76" t="str">
        <f t="array" ref="R926:R927">{"SKILLFEATEXTRA-L11";((INDEX(ALLCLASSDATA,MATCH("SkillFeatExtra-L11",CLASSFEATUREHEADERS,0),MATCH(($A927 &amp; "Points"),CLASSNAMEHEADERS,0))))}</f>
        <v>SKILLFEATEXTRA-L11</v>
      </c>
      <c r="S926" s="76" t="str">
        <f t="array" ref="S926:S927">{"SKILLFEATEXTRA-L12";((INDEX(ALLCLASSDATA,MATCH("SkillFeatExtra-L12",CLASSFEATUREHEADERS,0),MATCH(($A927 &amp; "Points"),CLASSNAMEHEADERS,0))))}</f>
        <v>SKILLFEATEXTRA-L12</v>
      </c>
      <c r="T926" s="76" t="str">
        <f t="array" ref="T926:T927">{"SKILLFEATEXTRA-L13";((INDEX(ALLCLASSDATA,MATCH("SkillFeatExtra-L13",CLASSFEATUREHEADERS,0),MATCH(($A927 &amp; "Points"),CLASSNAMEHEADERS,0))))}</f>
        <v>SKILLFEATEXTRA-L13</v>
      </c>
      <c r="U926" s="76" t="str">
        <f t="array" ref="U926:U927">{"SKILLFEATEXTRA-L14";((INDEX(ALLCLASSDATA,MATCH("SkillFeatExtra-L14",CLASSFEATUREHEADERS,0),MATCH(($A927 &amp; "Points"),CLASSNAMEHEADERS,0))))}</f>
        <v>SKILLFEATEXTRA-L14</v>
      </c>
      <c r="V926" s="76" t="str">
        <f t="array" ref="V926:V927">{"SKILLFEATEXTRA-L15";((INDEX(ALLCLASSDATA,MATCH("SkillFeatExtra-L15",CLASSFEATUREHEADERS,0),MATCH(($A927 &amp; "Points"),CLASSNAMEHEADERS,0))))}</f>
        <v>SKILLFEATEXTRA-L15</v>
      </c>
      <c r="W926" s="76" t="str">
        <f t="array" ref="W926:W927">{"SKILLFEATEXTRA-L16";((INDEX(ALLCLASSDATA,MATCH("SkillFeatExtra-L16",CLASSFEATUREHEADERS,0),MATCH(($A927 &amp; "Points"),CLASSNAMEHEADERS,0))))}</f>
        <v>SKILLFEATEXTRA-L16</v>
      </c>
      <c r="X926" s="76" t="str">
        <f t="array" ref="X926:X927">{"SKILLFEATEXTRA-L17";((INDEX(ALLCLASSDATA,MATCH("SkillFeatExtra-L17",CLASSFEATUREHEADERS,0),MATCH(($A927 &amp; "Points"),CLASSNAMEHEADERS,0))))}</f>
        <v>SKILLFEATEXTRA-L17</v>
      </c>
      <c r="Y926" s="76" t="str">
        <f t="array" ref="Y926:Y927">{"SKILLFEATEXTRA-L18";((INDEX(ALLCLASSDATA,MATCH("SkillFeatExtra-L18",CLASSFEATUREHEADERS,0),MATCH(($A927 &amp; "Points"),CLASSNAMEHEADERS,0))))}</f>
        <v>SKILLFEATEXTRA-L18</v>
      </c>
      <c r="Z926" s="76" t="str">
        <f t="array" ref="Z926:Z927">{"SKILLFEATEXTRA-L19";((INDEX(ALLCLASSDATA,MATCH("SkillFeatExtra-L19",CLASSFEATUREHEADERS,0),MATCH(($A927 &amp; "Points"),CLASSNAMEHEADERS,0))))}</f>
        <v>SKILLFEATEXTRA-L19</v>
      </c>
      <c r="AA926" s="76" t="str">
        <f t="array" ref="AA926:AA927">{"SKILLFEATEXTRA-L20";((INDEX(ALLCLASSDATA,MATCH("SkillFeatExtra-L20",CLASSFEATUREHEADERS,0),MATCH(($A927 &amp; "Points"),CLASSNAMEHEADERS,0))))}</f>
        <v>SKILLFEATEXTRA-L20</v>
      </c>
      <c r="AB926" s="76"/>
      <c r="AC926" s="76" t="str">
        <f t="array" ref="AC926:AC927">{"SKILLFEAT TOTAL";(sum(G927:AA927))}</f>
        <v>SKILLFEAT TOTAL</v>
      </c>
    </row>
    <row r="927">
      <c r="A927" s="48" t="s">
        <v>185</v>
      </c>
      <c r="B927" s="48"/>
      <c r="C927" s="48" t="s">
        <v>412</v>
      </c>
      <c r="D927" s="97" t="s">
        <v>659</v>
      </c>
      <c r="E927" s="97" t="s">
        <v>722</v>
      </c>
      <c r="F927" s="97"/>
      <c r="G927" s="132"/>
      <c r="H927" s="98">
        <v>5.0</v>
      </c>
      <c r="I927" s="98" t="s">
        <v>603</v>
      </c>
      <c r="J927" s="97" t="s">
        <v>603</v>
      </c>
      <c r="K927" s="98" t="s">
        <v>603</v>
      </c>
      <c r="L927" s="97" t="s">
        <v>603</v>
      </c>
      <c r="M927" s="98" t="s">
        <v>603</v>
      </c>
      <c r="N927" s="98" t="s">
        <v>603</v>
      </c>
      <c r="O927" s="98" t="s">
        <v>603</v>
      </c>
      <c r="P927" s="98" t="s">
        <v>603</v>
      </c>
      <c r="Q927" s="98" t="s">
        <v>603</v>
      </c>
      <c r="R927" s="98" t="s">
        <v>603</v>
      </c>
      <c r="S927" s="98" t="s">
        <v>603</v>
      </c>
      <c r="T927" s="98" t="s">
        <v>603</v>
      </c>
      <c r="U927" s="98" t="s">
        <v>603</v>
      </c>
      <c r="V927" s="98" t="s">
        <v>603</v>
      </c>
      <c r="W927" s="98" t="s">
        <v>603</v>
      </c>
      <c r="X927" s="98" t="s">
        <v>603</v>
      </c>
      <c r="Y927" s="98" t="s">
        <v>603</v>
      </c>
      <c r="Z927" s="98" t="s">
        <v>603</v>
      </c>
      <c r="AA927" s="98" t="s">
        <v>603</v>
      </c>
      <c r="AB927" s="5"/>
      <c r="AC927" s="47">
        <v>5.0</v>
      </c>
    </row>
    <row r="928" hidden="1">
      <c r="A928" s="76" t="str">
        <f t="array" ref="A928:A929">{"FormulaRow08";(INDEX(CLASSLIST,A913,1))}</f>
        <v>FormulaRow08</v>
      </c>
      <c r="B928" s="77" t="s">
        <v>236</v>
      </c>
      <c r="C928" s="76" t="str">
        <f t="array" ref="C928:C929">{"CLASSTYPE";((INDEX(ALLCLASSDATA,MATCH("ClassType",CLASSFEATUREHEADERS,0),MATCH($A929,CLASSNAMEHEADERS,0))))}</f>
        <v>CLASSTYPE</v>
      </c>
      <c r="D928" s="81" t="str">
        <f t="array" ref="D928:D929">{"CLASSABILITY";"ClassAbility"}</f>
        <v>CLASSABILITY</v>
      </c>
      <c r="E928" s="81" t="str">
        <f t="array" ref="E928:E929">{"CLASSABILITY1";"ClassAbility1"}</f>
        <v>CLASSABILITY1</v>
      </c>
      <c r="F928" s="81"/>
      <c r="G928" s="81"/>
      <c r="H928" s="81"/>
      <c r="I928" s="81"/>
      <c r="J928" s="81" t="str">
        <f t="array" ref="J928:J929">{"CLASSABILITY1-L03";((INDEX(ALLCLASSDATA,MATCH("ClassAbility1-L03",CLASSFEATUREHEADERS,0),MATCH(($A929),CLASSNAMEHEADERS,0))))}</f>
        <v>CLASSABILITY1-L03</v>
      </c>
      <c r="K928" s="81"/>
      <c r="L928" s="81" t="str">
        <f t="array" ref="L928:L929">{"CLASSABILITY1-L05";((INDEX(ALLCLASSDATA,MATCH("ClassAbility1-L05",CLASSFEATUREHEADERS,0),MATCH(($A929),CLASSNAMEHEADERS,0))))}</f>
        <v>CLASSABILITY1-L05</v>
      </c>
      <c r="M928" s="81"/>
      <c r="N928" s="81" t="str">
        <f t="array" ref="N928:N929">{"CLASSABILITY1-L07";((INDEX(ALLCLASSDATA,MATCH("ClassAbility1-L07",CLASSFEATUREHEADERS,0),MATCH(($A929),CLASSNAMEHEADERS,0))))}</f>
        <v>CLASSABILITY1-L07</v>
      </c>
      <c r="O928" s="81"/>
      <c r="P928" s="81" t="str">
        <f t="array" ref="P928:P929">{"CLASSABILITY1-L09";((INDEX(ALLCLASSDATA,MATCH("ClassAbility1-L09",CLASSFEATUREHEADERS,0),MATCH(($A929),CLASSNAMEHEADERS,0))))}</f>
        <v>CLASSABILITY1-L09</v>
      </c>
      <c r="Q928" s="81"/>
      <c r="R928" s="81" t="str">
        <f t="array" ref="R928:R929">{"CLASSABILITY1-L11";((INDEX(ALLCLASSDATA,MATCH("ClassAbility1-L11",CLASSFEATUREHEADERS,0),MATCH(($A929),CLASSNAMEHEADERS,0))))}</f>
        <v>CLASSABILITY1-L11</v>
      </c>
      <c r="S928" s="81"/>
      <c r="T928" s="81" t="str">
        <f t="array" ref="T928:T929">{"CLASSABILITY1-L13";((INDEX(ALLCLASSDATA,MATCH("ClassAbility1-L13",CLASSFEATUREHEADERS,0),MATCH(($A929),CLASSNAMEHEADERS,0))))}</f>
        <v>CLASSABILITY1-L13</v>
      </c>
      <c r="U928" s="81"/>
      <c r="V928" s="81" t="str">
        <f t="array" ref="V928:V929">{"CLASSABILITY1-L15";((INDEX(ALLCLASSDATA,MATCH("ClassAbility1-L15",CLASSFEATUREHEADERS,0),MATCH(($A929),CLASSNAMEHEADERS,0))))}</f>
        <v>CLASSABILITY1-L15</v>
      </c>
      <c r="W928" s="81"/>
      <c r="X928" s="81" t="str">
        <f t="array" ref="X928:X929">{"CLASSABILITY1-L17";((INDEX(ALLCLASSDATA,MATCH("ClassAbility1-L17",CLASSFEATUREHEADERS,0),MATCH(($A929),CLASSNAMEHEADERS,0))))}</f>
        <v>CLASSABILITY1-L17</v>
      </c>
      <c r="Y928" s="81"/>
      <c r="Z928" s="81" t="str">
        <f t="array" ref="Z928:Z929">{"CLASSABILITY1-L19";((INDEX(ALLCLASSDATA,MATCH("ClassAbility1-L19",CLASSFEATUREHEADERS,0),MATCH(($A929),CLASSNAMEHEADERS,0))))}</f>
        <v>CLASSABILITY1-L19</v>
      </c>
      <c r="AA928" s="81"/>
      <c r="AB928" s="76"/>
      <c r="AC928" s="76"/>
    </row>
    <row r="929">
      <c r="A929" s="48" t="s">
        <v>185</v>
      </c>
      <c r="B929" s="48"/>
      <c r="C929" s="48" t="s">
        <v>412</v>
      </c>
      <c r="D929" s="48" t="s">
        <v>825</v>
      </c>
      <c r="E929" s="48" t="s">
        <v>826</v>
      </c>
      <c r="F929" s="5"/>
      <c r="G929" s="47"/>
      <c r="H929" s="5"/>
      <c r="I929" s="5"/>
      <c r="J929" s="5" t="s">
        <v>1678</v>
      </c>
      <c r="K929" s="5"/>
      <c r="L929" s="5" t="s">
        <v>1695</v>
      </c>
      <c r="M929" s="5"/>
      <c r="N929" s="5" t="s">
        <v>369</v>
      </c>
      <c r="O929" s="5"/>
      <c r="P929" s="5" t="s">
        <v>1721</v>
      </c>
      <c r="Q929" s="5"/>
      <c r="R929" s="5" t="s">
        <v>1731</v>
      </c>
      <c r="S929" s="5"/>
      <c r="T929" s="5" t="s">
        <v>1752</v>
      </c>
      <c r="U929" s="5"/>
      <c r="V929" s="5" t="s">
        <v>371</v>
      </c>
      <c r="W929" s="5"/>
      <c r="X929" s="5" t="s">
        <v>1775</v>
      </c>
      <c r="Y929" s="5"/>
      <c r="Z929" s="5" t="s">
        <v>1792</v>
      </c>
      <c r="AA929" s="5"/>
      <c r="AB929" s="5"/>
      <c r="AC929" s="47"/>
    </row>
    <row r="930" hidden="1">
      <c r="A930" s="76" t="str">
        <f t="array" ref="A930:A931">{"FormulaRow09";(INDEX(CLASSLIST,A913,1))}</f>
        <v>FormulaRow09</v>
      </c>
      <c r="B930" s="77" t="s">
        <v>236</v>
      </c>
      <c r="C930" s="76" t="str">
        <f t="array" ref="C930:C931">{"CLASSTYPE";((INDEX(ALLCLASSDATA,MATCH("ClassType",CLASSFEATUREHEADERS,0),MATCH($A931,CLASSNAMEHEADERS,0))))}</f>
        <v>CLASSTYPE</v>
      </c>
      <c r="D930" s="76" t="str">
        <f t="array" ref="D930:D931">{"CLASSABILITYPTS";"ClassAbilityPts"}</f>
        <v>CLASSABILITYPTS</v>
      </c>
      <c r="E930" s="76" t="str">
        <f t="array" ref="E930:E931">{"CLASSABILITY1";"ClassAbility1"}</f>
        <v>CLASSABILITY1</v>
      </c>
      <c r="F930" s="76"/>
      <c r="G930" s="76"/>
      <c r="H930" s="76"/>
      <c r="I930" s="76"/>
      <c r="J930" s="76" t="str">
        <f t="array" ref="J930:J931">{"CLASSABILITY1-L03PTS";((INDEX(ALLCLASSDATA,MATCH("ClassAbility1-L03",CLASSFEATUREHEADERS,0),MATCH(($A931 &amp; "Points"),CLASSNAMEHEADERS,0))))}</f>
        <v>CLASSABILITY1-L03PTS</v>
      </c>
      <c r="K930" s="76"/>
      <c r="L930" s="76" t="str">
        <f t="array" ref="L930:L931">{"CLASSABILITY1-L05PTS";((INDEX(ALLCLASSDATA,MATCH("ClassAbility1-L05",CLASSFEATUREHEADERS,0),MATCH(($A931 &amp; "Points"),CLASSNAMEHEADERS,0))))}</f>
        <v>CLASSABILITY1-L05PTS</v>
      </c>
      <c r="M930" s="76"/>
      <c r="N930" s="76" t="str">
        <f t="array" ref="N930:N931">{"CLASSABILITY1-L07PTS";((INDEX(ALLCLASSDATA,MATCH("ClassAbility1-L07",CLASSFEATUREHEADERS,0),MATCH(($A931 &amp; "Points"),CLASSNAMEHEADERS,0))))}</f>
        <v>CLASSABILITY1-L07PTS</v>
      </c>
      <c r="O930" s="76"/>
      <c r="P930" s="76" t="str">
        <f t="array" ref="P930:P931">{"CLASSABILITY1-L09PTS";((INDEX(ALLCLASSDATA,MATCH("ClassAbility1-L09",CLASSFEATUREHEADERS,0),MATCH(($A931 &amp; "Points"),CLASSNAMEHEADERS,0))))}</f>
        <v>CLASSABILITY1-L09PTS</v>
      </c>
      <c r="Q930" s="76"/>
      <c r="R930" s="76" t="str">
        <f t="array" ref="R930:R931">{"CLASSABILITY1-L11PTS";((INDEX(ALLCLASSDATA,MATCH("ClassAbility1-L11",CLASSFEATUREHEADERS,0),MATCH(($A931 &amp; "Points"),CLASSNAMEHEADERS,0))))}</f>
        <v>CLASSABILITY1-L11PTS</v>
      </c>
      <c r="S930" s="76"/>
      <c r="T930" s="76" t="str">
        <f t="array" ref="T930:T931">{"CLASSABILITY1-L13PTS";((INDEX(ALLCLASSDATA,MATCH("ClassAbility1-L13",CLASSFEATUREHEADERS,0),MATCH(($A931 &amp; "Points"),CLASSNAMEHEADERS,0))))}</f>
        <v>CLASSABILITY1-L13PTS</v>
      </c>
      <c r="U930" s="76"/>
      <c r="V930" s="76" t="str">
        <f t="array" ref="V930:V931">{"CLASSABILITY1-L15PTS";((INDEX(ALLCLASSDATA,MATCH("ClassAbility1-L15",CLASSFEATUREHEADERS,0),MATCH(($A931 &amp; "Points"),CLASSNAMEHEADERS,0))))}</f>
        <v>CLASSABILITY1-L15PTS</v>
      </c>
      <c r="W930" s="76"/>
      <c r="X930" s="76" t="str">
        <f t="array" ref="X930:X931">{"CLASSABILITY1-L17PTS";((INDEX(ALLCLASSDATA,MATCH("ClassAbility1-L17",CLASSFEATUREHEADERS,0),MATCH(($A931 &amp; "Points"),CLASSNAMEHEADERS,0))))}</f>
        <v>CLASSABILITY1-L17PTS</v>
      </c>
      <c r="Y930" s="76"/>
      <c r="Z930" s="76" t="str">
        <f t="array" ref="Z930:Z931">{"CLASSABILITY1-L19PTS";((INDEX(ALLCLASSDATA,MATCH("ClassAbility1-L19",CLASSFEATUREHEADERS,0),MATCH(($A931 &amp; "Points"),CLASSNAMEHEADERS,0))))}</f>
        <v>CLASSABILITY1-L19PTS</v>
      </c>
      <c r="AA930" s="76"/>
      <c r="AB930" s="76"/>
      <c r="AC930" s="76" t="str">
        <f t="array" ref="AC930:AC931">{"CLASSABILITY1 TOTAL";(sum(G931:AA931))}</f>
        <v>CLASSABILITY1 TOTAL</v>
      </c>
    </row>
    <row r="931">
      <c r="A931" s="48" t="s">
        <v>185</v>
      </c>
      <c r="B931" s="48"/>
      <c r="C931" s="48" t="s">
        <v>412</v>
      </c>
      <c r="D931" s="48" t="s">
        <v>930</v>
      </c>
      <c r="E931" s="48" t="s">
        <v>826</v>
      </c>
      <c r="F931" s="5"/>
      <c r="G931" s="5"/>
      <c r="H931" s="5"/>
      <c r="I931" s="5"/>
      <c r="J931" s="48">
        <v>10.0</v>
      </c>
      <c r="K931" s="5"/>
      <c r="L931" s="5">
        <v>25.0</v>
      </c>
      <c r="M931" s="5"/>
      <c r="N931" s="5"/>
      <c r="O931" s="5"/>
      <c r="P931" s="5"/>
      <c r="Q931" s="5"/>
      <c r="R931" s="5">
        <v>25.0</v>
      </c>
      <c r="S931" s="5"/>
      <c r="T931" s="5"/>
      <c r="U931" s="5"/>
      <c r="V931" s="5"/>
      <c r="W931" s="5"/>
      <c r="X931" s="5"/>
      <c r="Y931" s="5"/>
      <c r="Z931" s="5">
        <v>190.0</v>
      </c>
      <c r="AA931" s="5"/>
      <c r="AB931" s="5"/>
      <c r="AC931" s="47">
        <v>250.0</v>
      </c>
    </row>
    <row r="932" hidden="1">
      <c r="A932" s="76" t="str">
        <f t="array" ref="A932:A933">{"FormulaRow10";(INDEX(CLASSLIST,A913,1))}</f>
        <v>FormulaRow10</v>
      </c>
      <c r="B932" s="77" t="s">
        <v>236</v>
      </c>
      <c r="C932" s="76" t="str">
        <f t="array" ref="C932:C933">{"CLASSTYPE";((INDEX(ALLCLASSDATA,MATCH("ClassType",CLASSFEATUREHEADERS,0),MATCH($A933,CLASSNAMEHEADERS,0))))}</f>
        <v>CLASSTYPE</v>
      </c>
      <c r="D932" s="76" t="str">
        <f t="array" ref="D932:D933">{"CLASSABILITY";"ClassAbility"}</f>
        <v>CLASSABILITY</v>
      </c>
      <c r="E932" s="76" t="str">
        <f t="array" ref="E932:E933">{"CLASSABILITY2";"ClassAbility2"}</f>
        <v>CLASSABILITY2</v>
      </c>
      <c r="F932" s="76"/>
      <c r="G932" s="76"/>
      <c r="H932" s="76"/>
      <c r="I932" s="76"/>
      <c r="J932" s="76" t="str">
        <f t="array" ref="J932:J933">{"CLASSABILITY2-L03";((INDEX(ALLCLASSDATA,MATCH("ClassAbility2-L03",CLASSFEATUREHEADERS,0),MATCH(($A933),CLASSNAMEHEADERS,0))))}</f>
        <v>CLASSABILITY2-L03</v>
      </c>
      <c r="K932" s="76"/>
      <c r="L932" s="76" t="str">
        <f t="array" ref="L932:L933">{"CLASSABILITY2-L05";((INDEX(ALLCLASSDATA,MATCH("ClassAbility2-L05",CLASSFEATUREHEADERS,0),MATCH(($A933),CLASSNAMEHEADERS,0))))}</f>
        <v>CLASSABILITY2-L05</v>
      </c>
      <c r="M932" s="76"/>
      <c r="N932" s="76" t="str">
        <f t="array" ref="N932:N933">{"CLASSABILITY2-L07";((INDEX(ALLCLASSDATA,MATCH("ClassAbility2-L07",CLASSFEATUREHEADERS,0),MATCH(($A933),CLASSNAMEHEADERS,0))))}</f>
        <v>CLASSABILITY2-L07</v>
      </c>
      <c r="O932" s="76"/>
      <c r="P932" s="76" t="str">
        <f t="array" ref="P932:P933">{"CLASSABILITY2-L09";((INDEX(ALLCLASSDATA,MATCH("ClassAbility2-L09",CLASSFEATUREHEADERS,0),MATCH(($A933),CLASSNAMEHEADERS,0))))}</f>
        <v>CLASSABILITY2-L09</v>
      </c>
      <c r="Q932" s="76"/>
      <c r="R932" s="76" t="str">
        <f t="array" ref="R932:R933">{"CLASSABILITY2-L11";((INDEX(ALLCLASSDATA,MATCH("ClassAbility2-L11",CLASSFEATUREHEADERS,0),MATCH(($A933),CLASSNAMEHEADERS,0))))}</f>
        <v>CLASSABILITY2-L11</v>
      </c>
      <c r="S932" s="76"/>
      <c r="T932" s="76" t="str">
        <f t="array" ref="T932:T933">{"CLASSABILITY2-L13";((INDEX(ALLCLASSDATA,MATCH("ClassAbility2-L13",CLASSFEATUREHEADERS,0),MATCH(($A933),CLASSNAMEHEADERS,0))))}</f>
        <v>CLASSABILITY2-L13</v>
      </c>
      <c r="U932" s="76"/>
      <c r="V932" s="76" t="str">
        <f t="array" ref="V932:V933">{"CLASSABILITY2-L15";((INDEX(ALLCLASSDATA,MATCH("ClassAbility2-L15",CLASSFEATUREHEADERS,0),MATCH(($A933),CLASSNAMEHEADERS,0))))}</f>
        <v>CLASSABILITY2-L15</v>
      </c>
      <c r="W932" s="76"/>
      <c r="X932" s="76" t="str">
        <f t="array" ref="X932:X933">{"CLASSABILITY2-L17";((INDEX(ALLCLASSDATA,MATCH("ClassAbility2-L17",CLASSFEATUREHEADERS,0),MATCH(($A933),CLASSNAMEHEADERS,0))))}</f>
        <v>CLASSABILITY2-L17</v>
      </c>
      <c r="Y932" s="76"/>
      <c r="Z932" s="76" t="str">
        <f t="array" ref="Z932:Z933">{"CLASSABILITY2-L19";((INDEX(ALLCLASSDATA,MATCH("ClassAbility2-L19",CLASSFEATUREHEADERS,0),MATCH(($A933),CLASSNAMEHEADERS,0))))}</f>
        <v>CLASSABILITY2-L19</v>
      </c>
      <c r="AA932" s="76"/>
      <c r="AB932" s="76"/>
      <c r="AC932" s="76"/>
    </row>
    <row r="933">
      <c r="A933" s="48" t="s">
        <v>185</v>
      </c>
      <c r="B933" s="48"/>
      <c r="C933" s="48" t="s">
        <v>412</v>
      </c>
      <c r="D933" s="48" t="s">
        <v>825</v>
      </c>
      <c r="E933" s="48" t="s">
        <v>1007</v>
      </c>
      <c r="F933" s="48"/>
      <c r="G933" s="47"/>
      <c r="H933" s="5"/>
      <c r="I933" s="5"/>
      <c r="J933" s="5"/>
      <c r="K933" s="5"/>
      <c r="L933" s="5"/>
      <c r="M933" s="5"/>
      <c r="N933" s="5" t="s">
        <v>1709</v>
      </c>
      <c r="O933" s="5"/>
      <c r="P933" s="5"/>
      <c r="Q933" s="5"/>
      <c r="R933" s="5" t="s">
        <v>335</v>
      </c>
      <c r="S933" s="5"/>
      <c r="T933" s="5" t="s">
        <v>305</v>
      </c>
      <c r="U933" s="5"/>
      <c r="V933" s="5" t="s">
        <v>1766</v>
      </c>
      <c r="W933" s="5"/>
      <c r="X933" s="5" t="s">
        <v>317</v>
      </c>
      <c r="Y933" s="5"/>
      <c r="Z933" s="5" t="s">
        <v>1782</v>
      </c>
      <c r="AA933" s="5"/>
      <c r="AB933" s="5"/>
      <c r="AC933" s="47"/>
    </row>
    <row r="934" hidden="1">
      <c r="A934" s="76" t="str">
        <f t="array" ref="A934:A935">{"FormulaRow11";(INDEX(CLASSLIST,A913,1))}</f>
        <v>FormulaRow11</v>
      </c>
      <c r="B934" s="77" t="s">
        <v>236</v>
      </c>
      <c r="C934" s="76" t="str">
        <f t="array" ref="C934:C935">{"CLASSTYPE";((INDEX(ALLCLASSDATA,MATCH("ClassType",CLASSFEATUREHEADERS,0),MATCH($A935,CLASSNAMEHEADERS,0))))}</f>
        <v>CLASSTYPE</v>
      </c>
      <c r="D934" s="76" t="str">
        <f t="array" ref="D934:D935">{"CLASSABILITYPTS";"ClassAbilityPts"}</f>
        <v>CLASSABILITYPTS</v>
      </c>
      <c r="E934" s="76" t="str">
        <f t="array" ref="E934:E935">{"CLASSABILITY2";"ClassAbility2"}</f>
        <v>CLASSABILITY2</v>
      </c>
      <c r="F934" s="76"/>
      <c r="G934" s="76"/>
      <c r="H934" s="76"/>
      <c r="I934" s="76"/>
      <c r="J934" s="76" t="str">
        <f t="array" ref="J934:J935">{"CLASSABILITY2-L03PTS";((INDEX(ALLCLASSDATA,MATCH("ClassAbility2-L03",CLASSFEATUREHEADERS,0),MATCH(($A935 &amp; "Points"),CLASSNAMEHEADERS,0))))}</f>
        <v>CLASSABILITY2-L03PTS</v>
      </c>
      <c r="K934" s="76"/>
      <c r="L934" s="76" t="str">
        <f t="array" ref="L934:L935">{"CLASSABILITY2-L05PTS";((INDEX(ALLCLASSDATA,MATCH("ClassAbility2-L05",CLASSFEATUREHEADERS,0),MATCH(($A935 &amp; "Points"),CLASSNAMEHEADERS,0))))}</f>
        <v>CLASSABILITY2-L05PTS</v>
      </c>
      <c r="M934" s="76"/>
      <c r="N934" s="76" t="str">
        <f t="array" ref="N934:N935">{"CLASSABILITY2-L07PTS";((INDEX(ALLCLASSDATA,MATCH("ClassAbility2-L07",CLASSFEATUREHEADERS,0),MATCH(($A935 &amp; "Points"),CLASSNAMEHEADERS,0))))}</f>
        <v>CLASSABILITY2-L07PTS</v>
      </c>
      <c r="O934" s="76"/>
      <c r="P934" s="76" t="str">
        <f t="array" ref="P934:P935">{"CLASSABILITY2-L09PTS";((INDEX(ALLCLASSDATA,MATCH("ClassAbility2-L09",CLASSFEATUREHEADERS,0),MATCH(($A935 &amp; "Points"),CLASSNAMEHEADERS,0))))}</f>
        <v>CLASSABILITY2-L09PTS</v>
      </c>
      <c r="Q934" s="76"/>
      <c r="R934" s="76" t="str">
        <f t="array" ref="R934:R935">{"CLASSABILITY2-L11PTS";((INDEX(ALLCLASSDATA,MATCH("ClassAbility2-L11",CLASSFEATUREHEADERS,0),MATCH(($A935 &amp; "Points"),CLASSNAMEHEADERS,0))))}</f>
        <v>CLASSABILITY2-L11PTS</v>
      </c>
      <c r="S934" s="76"/>
      <c r="T934" s="76" t="str">
        <f t="array" ref="T934:T935">{"CLASSABILITY2-L13PTS";((INDEX(ALLCLASSDATA,MATCH("ClassAbility2-L13",CLASSFEATUREHEADERS,0),MATCH(($A935 &amp; "Points"),CLASSNAMEHEADERS,0))))}</f>
        <v>CLASSABILITY2-L13PTS</v>
      </c>
      <c r="U934" s="76"/>
      <c r="V934" s="76" t="str">
        <f t="array" ref="V934:V935">{"CLASSABILITY2-L15PTS";((INDEX(ALLCLASSDATA,MATCH("ClassAbility2-L15",CLASSFEATUREHEADERS,0),MATCH(($A935 &amp; "Points"),CLASSNAMEHEADERS,0))))}</f>
        <v>CLASSABILITY2-L15PTS</v>
      </c>
      <c r="W934" s="76"/>
      <c r="X934" s="76" t="str">
        <f t="array" ref="X934:X935">{"CLASSABILITY2-L17PTS";((INDEX(ALLCLASSDATA,MATCH("ClassAbility2-L17",CLASSFEATUREHEADERS,0),MATCH(($A935 &amp; "Points"),CLASSNAMEHEADERS,0))))}</f>
        <v>CLASSABILITY2-L17PTS</v>
      </c>
      <c r="Y934" s="76"/>
      <c r="Z934" s="76" t="str">
        <f t="array" ref="Z934:Z935">{"CLASSABILITY2-L19PTS";((INDEX(ALLCLASSDATA,MATCH("ClassAbility2-L19",CLASSFEATUREHEADERS,0),MATCH(($A935 &amp; "Points"),CLASSNAMEHEADERS,0))))}</f>
        <v>CLASSABILITY2-L19PTS</v>
      </c>
      <c r="AA934" s="76"/>
      <c r="AB934" s="76"/>
      <c r="AC934" s="76" t="str">
        <f t="array" ref="AC934:AC935">{"CLASSABILITY2 TOTAL";(sum(G935:AA935))}</f>
        <v>CLASSABILITY2 TOTAL</v>
      </c>
    </row>
    <row r="935">
      <c r="A935" s="48" t="s">
        <v>185</v>
      </c>
      <c r="B935" s="48"/>
      <c r="C935" s="48" t="s">
        <v>412</v>
      </c>
      <c r="D935" s="48" t="s">
        <v>930</v>
      </c>
      <c r="E935" s="48" t="s">
        <v>1007</v>
      </c>
      <c r="F935" s="48"/>
      <c r="G935" s="47"/>
      <c r="H935" s="5"/>
      <c r="I935" s="5"/>
      <c r="J935" s="5"/>
      <c r="K935" s="5"/>
      <c r="L935" s="5"/>
      <c r="M935" s="5"/>
      <c r="N935" s="5"/>
      <c r="O935" s="5"/>
      <c r="P935" s="5"/>
      <c r="Q935" s="5"/>
      <c r="R935" s="5"/>
      <c r="S935" s="5"/>
      <c r="T935" s="5"/>
      <c r="U935" s="5"/>
      <c r="V935" s="5">
        <v>10.0</v>
      </c>
      <c r="W935" s="5"/>
      <c r="X935" s="5"/>
      <c r="Y935" s="5"/>
      <c r="Z935" s="5"/>
      <c r="AA935" s="5"/>
      <c r="AB935" s="5"/>
      <c r="AC935" s="47">
        <v>10.0</v>
      </c>
    </row>
    <row r="936" hidden="1">
      <c r="A936" s="76" t="str">
        <f t="array" ref="A936:A937">{"FormulaRow12";(INDEX(CLASSLIST,A913,1))}</f>
        <v>FormulaRow12</v>
      </c>
      <c r="B936" s="77" t="s">
        <v>236</v>
      </c>
      <c r="C936" s="76" t="str">
        <f t="array" ref="C936:C937">{"CLASSTYPE";((INDEX(ALLCLASSDATA,MATCH("ClassType",CLASSFEATUREHEADERS,0),MATCH($A937,CLASSNAMEHEADERS,0))))}</f>
        <v>CLASSTYPE</v>
      </c>
      <c r="D936" s="76" t="str">
        <f t="array" ref="D936:D937">{"CLASSABILITY";"ClassAbility"}</f>
        <v>CLASSABILITY</v>
      </c>
      <c r="E936" s="76" t="str">
        <f t="array" ref="E936:E937">{"CLASSABILITY3";"ClassAbility3"}</f>
        <v>CLASSABILITY3</v>
      </c>
      <c r="F936" s="76"/>
      <c r="G936" s="76"/>
      <c r="H936" s="76"/>
      <c r="I936" s="76"/>
      <c r="J936" s="76" t="str">
        <f t="array" ref="J936:J937">{"CLASSABILITY3-L03";((INDEX(ALLCLASSDATA,MATCH("ClassAbility3-L03",CLASSFEATUREHEADERS,0),MATCH(($A937),CLASSNAMEHEADERS,0))))}</f>
        <v>CLASSABILITY3-L03</v>
      </c>
      <c r="K936" s="76"/>
      <c r="L936" s="76" t="str">
        <f t="array" ref="L936:L937">{"CLASSABILITY3-L05";((INDEX(ALLCLASSDATA,MATCH("ClassAbility3-L05",CLASSFEATUREHEADERS,0),MATCH(($A937),CLASSNAMEHEADERS,0))))}</f>
        <v>CLASSABILITY3-L05</v>
      </c>
      <c r="M936" s="76"/>
      <c r="N936" s="76" t="str">
        <f t="array" ref="N936:N937">{"CLASSABILITY3-L07";((INDEX(ALLCLASSDATA,MATCH("ClassAbility3-L07",CLASSFEATUREHEADERS,0),MATCH(($A937),CLASSNAMEHEADERS,0))))}</f>
        <v>CLASSABILITY3-L07</v>
      </c>
      <c r="O936" s="76"/>
      <c r="P936" s="76" t="str">
        <f t="array" ref="P936:P937">{"CLASSABILITY3-L09";((INDEX(ALLCLASSDATA,MATCH("ClassAbility3-L09",CLASSFEATUREHEADERS,0),MATCH(($A937),CLASSNAMEHEADERS,0))))}</f>
        <v>CLASSABILITY3-L09</v>
      </c>
      <c r="Q936" s="76"/>
      <c r="R936" s="76" t="str">
        <f t="array" ref="R936:R937">{"CLASSABILITY3-L11";((INDEX(ALLCLASSDATA,MATCH("ClassAbility3-L11",CLASSFEATUREHEADERS,0),MATCH(($A937),CLASSNAMEHEADERS,0))))}</f>
        <v>CLASSABILITY3-L11</v>
      </c>
      <c r="S936" s="76"/>
      <c r="T936" s="76" t="str">
        <f t="array" ref="T936:T937">{"CLASSABILITY3-L13";((INDEX(ALLCLASSDATA,MATCH("ClassAbility3-L13",CLASSFEATUREHEADERS,0),MATCH(($A937),CLASSNAMEHEADERS,0))))}</f>
        <v>CLASSABILITY3-L13</v>
      </c>
      <c r="U936" s="76"/>
      <c r="V936" s="76" t="str">
        <f t="array" ref="V936:V937">{"CLASSABILITY3-L15";((INDEX(ALLCLASSDATA,MATCH("ClassAbility3-L15",CLASSFEATUREHEADERS,0),MATCH(($A937),CLASSNAMEHEADERS,0))))}</f>
        <v>CLASSABILITY3-L15</v>
      </c>
      <c r="W936" s="76"/>
      <c r="X936" s="76" t="str">
        <f t="array" ref="X936:X937">{"CLASSABILITY3-L17";((INDEX(ALLCLASSDATA,MATCH("ClassAbility3-L17",CLASSFEATUREHEADERS,0),MATCH(($A937),CLASSNAMEHEADERS,0))))}</f>
        <v>CLASSABILITY3-L17</v>
      </c>
      <c r="Y936" s="76"/>
      <c r="Z936" s="76" t="str">
        <f t="array" ref="Z936:Z937">{"CLASSABILITY3-L19";((INDEX(ALLCLASSDATA,MATCH("ClassAbility3-L19",CLASSFEATUREHEADERS,0),MATCH(($A937),CLASSNAMEHEADERS,0))))}</f>
        <v>CLASSABILITY3-L19</v>
      </c>
      <c r="AA936" s="76"/>
      <c r="AB936" s="76"/>
      <c r="AC936" s="76"/>
    </row>
    <row r="937">
      <c r="A937" s="48" t="s">
        <v>185</v>
      </c>
      <c r="B937" s="48"/>
      <c r="C937" s="48" t="s">
        <v>412</v>
      </c>
      <c r="D937" s="48" t="s">
        <v>825</v>
      </c>
      <c r="E937" s="48" t="s">
        <v>1144</v>
      </c>
      <c r="F937" s="48"/>
      <c r="G937" s="47"/>
      <c r="H937" s="5"/>
      <c r="I937" s="5"/>
      <c r="J937" s="5"/>
      <c r="K937" s="5"/>
      <c r="L937" s="5"/>
      <c r="M937" s="5"/>
      <c r="N937" s="5" t="s">
        <v>1712</v>
      </c>
      <c r="O937" s="5"/>
      <c r="P937" s="5"/>
      <c r="Q937" s="5"/>
      <c r="R937" s="5"/>
      <c r="S937" s="5"/>
      <c r="T937" s="5"/>
      <c r="U937" s="5"/>
      <c r="V937" s="5"/>
      <c r="W937" s="5"/>
      <c r="X937" s="5"/>
      <c r="Y937" s="5"/>
      <c r="Z937" s="5"/>
      <c r="AA937" s="5"/>
      <c r="AB937" s="5"/>
      <c r="AC937" s="47"/>
    </row>
    <row r="938" hidden="1">
      <c r="A938" s="76" t="str">
        <f t="array" ref="A938:A939">{"FormulaRow13";(INDEX(CLASSLIST,A913,1))}</f>
        <v>FormulaRow13</v>
      </c>
      <c r="B938" s="77" t="s">
        <v>236</v>
      </c>
      <c r="C938" s="76" t="str">
        <f t="array" ref="C938:C939">{"CLASSTYPE";((INDEX(ALLCLASSDATA,MATCH("ClassType",CLASSFEATUREHEADERS,0),MATCH($A939,CLASSNAMEHEADERS,0))))}</f>
        <v>CLASSTYPE</v>
      </c>
      <c r="D938" s="76" t="str">
        <f t="array" ref="D938:D939">{"CLASSABILITYPTS";"ClassAbilityPts"}</f>
        <v>CLASSABILITYPTS</v>
      </c>
      <c r="E938" s="76" t="str">
        <f t="array" ref="E938:E939">{"CLASSABILITY3";"ClassAbility3"}</f>
        <v>CLASSABILITY3</v>
      </c>
      <c r="F938" s="76"/>
      <c r="G938" s="76"/>
      <c r="H938" s="76"/>
      <c r="I938" s="76"/>
      <c r="J938" s="76" t="str">
        <f t="array" ref="J938:J939">{"CLASSABILITY3-L03PTS";((INDEX(ALLCLASSDATA,MATCH("ClassAbility3-L03",CLASSFEATUREHEADERS,0),MATCH(($A939 &amp; "Points"),CLASSNAMEHEADERS,0))))}</f>
        <v>CLASSABILITY3-L03PTS</v>
      </c>
      <c r="K938" s="76"/>
      <c r="L938" s="76" t="str">
        <f t="array" ref="L938:L939">{"CLASSABILITY3-L05PTS";((INDEX(ALLCLASSDATA,MATCH("ClassAbility3-L05",CLASSFEATUREHEADERS,0),MATCH(($A939 &amp; "Points"),CLASSNAMEHEADERS,0))))}</f>
        <v>CLASSABILITY3-L05PTS</v>
      </c>
      <c r="M938" s="76"/>
      <c r="N938" s="76" t="str">
        <f t="array" ref="N938:N939">{"CLASSABILITY3-L07PTS";((INDEX(ALLCLASSDATA,MATCH("ClassAbility3-L07",CLASSFEATUREHEADERS,0),MATCH(($A939 &amp; "Points"),CLASSNAMEHEADERS,0))))}</f>
        <v>CLASSABILITY3-L07PTS</v>
      </c>
      <c r="O938" s="76"/>
      <c r="P938" s="76" t="str">
        <f t="array" ref="P938:P939">{"CLASSABILITY3-L09PTS";((INDEX(ALLCLASSDATA,MATCH("ClassAbility3-L09",CLASSFEATUREHEADERS,0),MATCH(($A939 &amp; "Points"),CLASSNAMEHEADERS,0))))}</f>
        <v>CLASSABILITY3-L09PTS</v>
      </c>
      <c r="Q938" s="76"/>
      <c r="R938" s="76" t="str">
        <f t="array" ref="R938:R939">{"CLASSABILITY3-L11PTS";((INDEX(ALLCLASSDATA,MATCH("ClassAbility3-L11",CLASSFEATUREHEADERS,0),MATCH(($A939 &amp; "Points"),CLASSNAMEHEADERS,0))))}</f>
        <v>CLASSABILITY3-L11PTS</v>
      </c>
      <c r="S938" s="76"/>
      <c r="T938" s="76" t="str">
        <f t="array" ref="T938:T939">{"CLASSABILITY3-L13PTS";((INDEX(ALLCLASSDATA,MATCH("ClassAbility3-L13",CLASSFEATUREHEADERS,0),MATCH(($A939 &amp; "Points"),CLASSNAMEHEADERS,0))))}</f>
        <v>CLASSABILITY3-L13PTS</v>
      </c>
      <c r="U938" s="76"/>
      <c r="V938" s="76" t="str">
        <f t="array" ref="V938:V939">{"CLASSABILITY3-L15PTS";((INDEX(ALLCLASSDATA,MATCH("ClassAbility3-L15",CLASSFEATUREHEADERS,0),MATCH(($A939 &amp; "Points"),CLASSNAMEHEADERS,0))))}</f>
        <v>CLASSABILITY3-L15PTS</v>
      </c>
      <c r="W938" s="76"/>
      <c r="X938" s="76" t="str">
        <f t="array" ref="X938:X939">{"CLASSABILITY3-L17PTS";((INDEX(ALLCLASSDATA,MATCH("ClassAbility3-L17",CLASSFEATUREHEADERS,0),MATCH(($A939 &amp; "Points"),CLASSNAMEHEADERS,0))))}</f>
        <v>CLASSABILITY3-L17PTS</v>
      </c>
      <c r="Y938" s="76"/>
      <c r="Z938" s="76" t="str">
        <f t="array" ref="Z938:Z939">{"CLASSABILITY3-L19PTS";((INDEX(ALLCLASSDATA,MATCH("ClassAbility3-L19",CLASSFEATUREHEADERS,0),MATCH(($A939 &amp; "Points"),CLASSNAMEHEADERS,0))))}</f>
        <v>CLASSABILITY3-L19PTS</v>
      </c>
      <c r="AA938" s="76"/>
      <c r="AB938" s="76"/>
      <c r="AC938" s="76" t="str">
        <f t="array" ref="AC938:AC939">{"CLASSABILITY3 TOTAL";(sum(G939:AA939))}</f>
        <v>CLASSABILITY3 TOTAL</v>
      </c>
    </row>
    <row r="939">
      <c r="A939" s="48" t="s">
        <v>185</v>
      </c>
      <c r="B939" s="48"/>
      <c r="C939" s="48" t="s">
        <v>412</v>
      </c>
      <c r="D939" s="48" t="s">
        <v>930</v>
      </c>
      <c r="E939" s="48" t="s">
        <v>1144</v>
      </c>
      <c r="F939" s="48"/>
      <c r="G939" s="47"/>
      <c r="H939" s="5"/>
      <c r="I939" s="5"/>
      <c r="J939" s="5"/>
      <c r="K939" s="5"/>
      <c r="L939" s="5"/>
      <c r="M939" s="5"/>
      <c r="N939" s="5">
        <v>10.0</v>
      </c>
      <c r="O939" s="5"/>
      <c r="P939" s="5"/>
      <c r="Q939" s="5"/>
      <c r="R939" s="5"/>
      <c r="S939" s="5"/>
      <c r="T939" s="5"/>
      <c r="U939" s="5"/>
      <c r="V939" s="5"/>
      <c r="W939" s="5"/>
      <c r="X939" s="5"/>
      <c r="Y939" s="5"/>
      <c r="Z939" s="5"/>
      <c r="AA939" s="5"/>
      <c r="AB939" s="5"/>
      <c r="AC939" s="47">
        <v>10.0</v>
      </c>
    </row>
    <row r="940" hidden="1">
      <c r="A940" s="76" t="str">
        <f t="array" ref="A940:A941">{"FormulaRow14";(INDEX(CLASSLIST,A913,1))}</f>
        <v>FormulaRow14</v>
      </c>
      <c r="B940" s="77" t="s">
        <v>236</v>
      </c>
      <c r="C940" s="76" t="str">
        <f t="array" ref="C940:C941">{"CLASSTYPE";((INDEX(ALLCLASSDATA,MATCH("ClassType",CLASSFEATUREHEADERS,0),MATCH($A941,CLASSNAMEHEADERS,0))))}</f>
        <v>CLASSTYPE</v>
      </c>
      <c r="D940" s="76" t="str">
        <f t="array" ref="D940:D941">{"CLASSABILITY";"ClassAbility"}</f>
        <v>CLASSABILITY</v>
      </c>
      <c r="E940" s="76" t="str">
        <f t="array" ref="E940:E941">{"CLASSABILITY4";"ClassAbility4"}</f>
        <v>CLASSABILITY4</v>
      </c>
      <c r="F940" s="76"/>
      <c r="G940" s="76"/>
      <c r="H940" s="76"/>
      <c r="I940" s="76"/>
      <c r="J940" s="76" t="str">
        <f t="array" ref="J940:J941">{"CLASSABILITY4-L03";((INDEX(ALLCLASSDATA,MATCH("ClassAbility4-L03",CLASSFEATUREHEADERS,0),MATCH(($A941),CLASSNAMEHEADERS,0))))}</f>
        <v>CLASSABILITY4-L03</v>
      </c>
      <c r="K940" s="76"/>
      <c r="L940" s="76" t="str">
        <f t="array" ref="L940:L941">{"CLASSABILITY4-L05";((INDEX(ALLCLASSDATA,MATCH("ClassAbility4-L05",CLASSFEATUREHEADERS,0),MATCH(($A941),CLASSNAMEHEADERS,0))))}</f>
        <v>CLASSABILITY4-L05</v>
      </c>
      <c r="M940" s="76"/>
      <c r="N940" s="76" t="str">
        <f t="array" ref="N940:N941">{"CLASSABILITY4-L07";((INDEX(ALLCLASSDATA,MATCH("ClassAbility4-L07",CLASSFEATUREHEADERS,0),MATCH(($A941),CLASSNAMEHEADERS,0))))}</f>
        <v>CLASSABILITY4-L07</v>
      </c>
      <c r="O940" s="76"/>
      <c r="P940" s="76" t="str">
        <f t="array" ref="P940:P941">{"CLASSABILITY4-L09";((INDEX(ALLCLASSDATA,MATCH("ClassAbility4-L09",CLASSFEATUREHEADERS,0),MATCH(($A941),CLASSNAMEHEADERS,0))))}</f>
        <v>CLASSABILITY4-L09</v>
      </c>
      <c r="Q940" s="76"/>
      <c r="R940" s="76" t="str">
        <f t="array" ref="R940:R941">{"CLASSABILITY4-L11";((INDEX(ALLCLASSDATA,MATCH("ClassAbility4-L11",CLASSFEATUREHEADERS,0),MATCH(($A941),CLASSNAMEHEADERS,0))))}</f>
        <v>CLASSABILITY4-L11</v>
      </c>
      <c r="S940" s="76"/>
      <c r="T940" s="76" t="str">
        <f t="array" ref="T940:T941">{"CLASSABILITY4-L13";((INDEX(ALLCLASSDATA,MATCH("ClassAbility4-L13",CLASSFEATUREHEADERS,0),MATCH(($A941),CLASSNAMEHEADERS,0))))}</f>
        <v>CLASSABILITY4-L13</v>
      </c>
      <c r="U940" s="76"/>
      <c r="V940" s="76" t="str">
        <f t="array" ref="V940:V941">{"CLASSABILITY4-L15";((INDEX(ALLCLASSDATA,MATCH("ClassAbility4-L15",CLASSFEATUREHEADERS,0),MATCH(($A941),CLASSNAMEHEADERS,0))))}</f>
        <v>CLASSABILITY4-L15</v>
      </c>
      <c r="W940" s="76"/>
      <c r="X940" s="76" t="str">
        <f t="array" ref="X940:X941">{"CLASSABILITY4-L17";((INDEX(ALLCLASSDATA,MATCH("ClassAbility4-L17",CLASSFEATUREHEADERS,0),MATCH(($A941),CLASSNAMEHEADERS,0))))}</f>
        <v>CLASSABILITY4-L17</v>
      </c>
      <c r="Y940" s="76"/>
      <c r="Z940" s="76" t="str">
        <f t="array" ref="Z940:Z941">{"CLASSABILITY4-L19";((INDEX(ALLCLASSDATA,MATCH("ClassAbility4-L19",CLASSFEATUREHEADERS,0),MATCH(($A941),CLASSNAMEHEADERS,0))))}</f>
        <v>CLASSABILITY4-L19</v>
      </c>
      <c r="AA940" s="76"/>
      <c r="AB940" s="76"/>
      <c r="AC940" s="76"/>
    </row>
    <row r="941">
      <c r="A941" s="48" t="s">
        <v>185</v>
      </c>
      <c r="B941" s="48"/>
      <c r="C941" s="48" t="s">
        <v>412</v>
      </c>
      <c r="D941" s="48" t="s">
        <v>825</v>
      </c>
      <c r="E941" s="48" t="s">
        <v>1273</v>
      </c>
      <c r="F941" s="48"/>
      <c r="G941" s="47"/>
      <c r="H941" s="5"/>
      <c r="I941" s="5"/>
      <c r="J941" s="5"/>
      <c r="K941" s="5"/>
      <c r="L941" s="5"/>
      <c r="M941" s="5"/>
      <c r="N941" s="5"/>
      <c r="O941" s="5"/>
      <c r="P941" s="5"/>
      <c r="Q941" s="5"/>
      <c r="R941" s="5"/>
      <c r="S941" s="5"/>
      <c r="T941" s="5"/>
      <c r="U941" s="5"/>
      <c r="V941" s="5"/>
      <c r="W941" s="5"/>
      <c r="X941" s="5"/>
      <c r="Y941" s="5"/>
      <c r="Z941" s="5"/>
      <c r="AA941" s="5"/>
      <c r="AB941" s="5"/>
      <c r="AC941" s="47"/>
    </row>
    <row r="942" hidden="1">
      <c r="A942" s="76" t="str">
        <f t="array" ref="A942:A943">{"FormulaRow15";(INDEX(CLASSLIST,A913,1))}</f>
        <v>FormulaRow15</v>
      </c>
      <c r="B942" s="77" t="s">
        <v>236</v>
      </c>
      <c r="C942" s="76" t="str">
        <f t="array" ref="C942:C943">{"CLASSTYPE";((INDEX(ALLCLASSDATA,MATCH("ClassType",CLASSFEATUREHEADERS,0),MATCH($A943,CLASSNAMEHEADERS,0))))}</f>
        <v>CLASSTYPE</v>
      </c>
      <c r="D942" s="76" t="str">
        <f t="array" ref="D942:D943">{"CLASSABILITYPTS";"ClassAbilityPts"}</f>
        <v>CLASSABILITYPTS</v>
      </c>
      <c r="E942" s="76" t="str">
        <f t="array" ref="E942:E943">{"CLASSABILITY4";"ClassAbility4"}</f>
        <v>CLASSABILITY4</v>
      </c>
      <c r="F942" s="76"/>
      <c r="G942" s="76"/>
      <c r="H942" s="76"/>
      <c r="I942" s="76"/>
      <c r="J942" s="76" t="str">
        <f t="array" ref="J942:J943">{"CLASSABILITY4-L03PTS";((INDEX(ALLCLASSDATA,MATCH("ClassAbility4-L03",CLASSFEATUREHEADERS,0),MATCH(($A943 &amp; "Points"),CLASSNAMEHEADERS,0))))}</f>
        <v>CLASSABILITY4-L03PTS</v>
      </c>
      <c r="K942" s="76"/>
      <c r="L942" s="76" t="str">
        <f t="array" ref="L942:L943">{"CLASSABILITY4-L05PTS";((INDEX(ALLCLASSDATA,MATCH("ClassAbility4-L05",CLASSFEATUREHEADERS,0),MATCH(($A943 &amp; "Points"),CLASSNAMEHEADERS,0))))}</f>
        <v>CLASSABILITY4-L05PTS</v>
      </c>
      <c r="M942" s="76"/>
      <c r="N942" s="76" t="str">
        <f t="array" ref="N942:N943">{"CLASSABILITY4-L07PTS";((INDEX(ALLCLASSDATA,MATCH("ClassAbility4-L07",CLASSFEATUREHEADERS,0),MATCH(($A943 &amp; "Points"),CLASSNAMEHEADERS,0))))}</f>
        <v>CLASSABILITY4-L07PTS</v>
      </c>
      <c r="O942" s="76"/>
      <c r="P942" s="76" t="str">
        <f t="array" ref="P942:P943">{"CLASSABILITY4-L09PTS";((INDEX(ALLCLASSDATA,MATCH("ClassAbility4-L09",CLASSFEATUREHEADERS,0),MATCH(($A943 &amp; "Points"),CLASSNAMEHEADERS,0))))}</f>
        <v>CLASSABILITY4-L09PTS</v>
      </c>
      <c r="Q942" s="76"/>
      <c r="R942" s="76" t="str">
        <f t="array" ref="R942:R943">{"CLASSABILITY4-L11PTS";((INDEX(ALLCLASSDATA,MATCH("ClassAbility4-L11",CLASSFEATUREHEADERS,0),MATCH(($A943 &amp; "Points"),CLASSNAMEHEADERS,0))))}</f>
        <v>CLASSABILITY4-L11PTS</v>
      </c>
      <c r="S942" s="76"/>
      <c r="T942" s="76" t="str">
        <f t="array" ref="T942:T943">{"CLASSABILITY4-L13PTS";((INDEX(ALLCLASSDATA,MATCH("ClassAbility4-L13",CLASSFEATUREHEADERS,0),MATCH(($A943 &amp; "Points"),CLASSNAMEHEADERS,0))))}</f>
        <v>CLASSABILITY4-L13PTS</v>
      </c>
      <c r="U942" s="76"/>
      <c r="V942" s="76" t="str">
        <f t="array" ref="V942:V943">{"CLASSABILITY4-L15PTS";((INDEX(ALLCLASSDATA,MATCH("ClassAbility4-L15",CLASSFEATUREHEADERS,0),MATCH(($A943 &amp; "Points"),CLASSNAMEHEADERS,0))))}</f>
        <v>CLASSABILITY4-L15PTS</v>
      </c>
      <c r="W942" s="76"/>
      <c r="X942" s="76" t="str">
        <f t="array" ref="X942:X943">{"CLASSABILITY4-L17PTS";((INDEX(ALLCLASSDATA,MATCH("ClassAbility4-L17",CLASSFEATUREHEADERS,0),MATCH(($A943 &amp; "Points"),CLASSNAMEHEADERS,0))))}</f>
        <v>CLASSABILITY4-L17PTS</v>
      </c>
      <c r="Y942" s="76"/>
      <c r="Z942" s="76" t="str">
        <f t="array" ref="Z942:Z943">{"CLASSABILITY4-L19PTS";((INDEX(ALLCLASSDATA,MATCH("ClassAbility4-L19",CLASSFEATUREHEADERS,0),MATCH(($A943 &amp; "Points"),CLASSNAMEHEADERS,0))))}</f>
        <v>CLASSABILITY4-L19PTS</v>
      </c>
      <c r="AA942" s="76"/>
      <c r="AB942" s="76"/>
      <c r="AC942" s="76" t="str">
        <f t="array" ref="AC942:AC943">{"CLASSABILITY4 TOTAL";(sum(G943:AA943))}</f>
        <v>CLASSABILITY4 TOTAL</v>
      </c>
    </row>
    <row r="943">
      <c r="A943" s="48" t="s">
        <v>185</v>
      </c>
      <c r="B943" s="48"/>
      <c r="C943" s="48" t="s">
        <v>412</v>
      </c>
      <c r="D943" s="48" t="s">
        <v>930</v>
      </c>
      <c r="E943" s="48" t="s">
        <v>1273</v>
      </c>
      <c r="F943" s="48"/>
      <c r="G943" s="47"/>
      <c r="H943" s="5"/>
      <c r="I943" s="5"/>
      <c r="J943" s="5"/>
      <c r="K943" s="5"/>
      <c r="L943" s="5"/>
      <c r="M943" s="5"/>
      <c r="N943" s="5"/>
      <c r="O943" s="5"/>
      <c r="P943" s="5"/>
      <c r="Q943" s="5"/>
      <c r="R943" s="5"/>
      <c r="S943" s="5"/>
      <c r="T943" s="5"/>
      <c r="U943" s="5"/>
      <c r="V943" s="5"/>
      <c r="W943" s="5"/>
      <c r="X943" s="5"/>
      <c r="Y943" s="5"/>
      <c r="Z943" s="5"/>
      <c r="AA943" s="5"/>
      <c r="AB943" s="5"/>
      <c r="AC943" s="47">
        <v>0.0</v>
      </c>
    </row>
    <row r="944" hidden="1">
      <c r="A944" s="76" t="str">
        <f t="array" ref="A944:A945">{"FormulaRow16";(INDEX(CLASSLIST,A913,1))}</f>
        <v>FormulaRow16</v>
      </c>
      <c r="B944" s="77" t="s">
        <v>236</v>
      </c>
      <c r="C944" s="76" t="str">
        <f t="array" ref="C944:C945">{"CLASSTYPE";((INDEX(ALLCLASSDATA,MATCH("ClassType",CLASSFEATUREHEADERS,0),MATCH($A945,CLASSNAMEHEADERS,0))))}</f>
        <v>CLASSTYPE</v>
      </c>
      <c r="D944" s="76" t="str">
        <f t="array" ref="D944:D945">{"CLASSABILITY";"ClassAbility"}</f>
        <v>CLASSABILITY</v>
      </c>
      <c r="E944" s="76" t="str">
        <f t="array" ref="E944:E945">{"SUBCLASSABILITY1";"SubclassAbility1"}</f>
        <v>SUBCLASSABILITY1</v>
      </c>
      <c r="F944" s="76"/>
      <c r="G944" s="76"/>
      <c r="H944" s="76"/>
      <c r="I944" s="76"/>
      <c r="J944" s="76" t="str">
        <f t="array" ref="J944:J945">{"SUBCLASSABILITY1-L03";((INDEX(ALLCLASSDATA,MATCH("SubclassAbility1-L03",CLASSFEATUREHEADERS,0),MATCH(($A945),CLASSNAMEHEADERS,0))))}</f>
        <v>SUBCLASSABILITY1-L03</v>
      </c>
      <c r="K944" s="76"/>
      <c r="L944" s="76" t="str">
        <f t="array" ref="L944:L945">{"SUBCLASSABILITY1-L05";((INDEX(ALLCLASSDATA,MATCH("SubclassAbility1-L05",CLASSFEATUREHEADERS,0),MATCH(($A945),CLASSNAMEHEADERS,0))))}</f>
        <v>SUBCLASSABILITY1-L05</v>
      </c>
      <c r="M944" s="76"/>
      <c r="N944" s="76" t="str">
        <f t="array" ref="N944:N945">{"SUBCLASSABILITY1-L07";((INDEX(ALLCLASSDATA,MATCH("SubclassAbility1-L07",CLASSFEATUREHEADERS,0),MATCH(($A945),CLASSNAMEHEADERS,0))))}</f>
        <v>SUBCLASSABILITY1-L07</v>
      </c>
      <c r="O944" s="76"/>
      <c r="P944" s="76" t="str">
        <f t="array" ref="P944:P945">{"SUBCLASSABILITY1-L09";((INDEX(ALLCLASSDATA,MATCH("SubclassAbility1-L09",CLASSFEATUREHEADERS,0),MATCH(($A945),CLASSNAMEHEADERS,0))))}</f>
        <v>SUBCLASSABILITY1-L09</v>
      </c>
      <c r="Q944" s="76"/>
      <c r="R944" s="76" t="str">
        <f t="array" ref="R944:R945">{"SUBCLASSABILITY1-L11";((INDEX(ALLCLASSDATA,MATCH("SubclassAbility1-L11",CLASSFEATUREHEADERS,0),MATCH(($A945),CLASSNAMEHEADERS,0))))}</f>
        <v>SUBCLASSABILITY1-L11</v>
      </c>
      <c r="S944" s="76"/>
      <c r="T944" s="76" t="str">
        <f t="array" ref="T944:T945">{"SUBCLASSABILITY1-L13";((INDEX(ALLCLASSDATA,MATCH("SubclassAbility1-L13",CLASSFEATUREHEADERS,0),MATCH(($A945),CLASSNAMEHEADERS,0))))}</f>
        <v>SUBCLASSABILITY1-L13</v>
      </c>
      <c r="U944" s="76"/>
      <c r="V944" s="76" t="str">
        <f t="array" ref="V944:V945">{"SUBCLASSABILITY1-L15";((INDEX(ALLCLASSDATA,MATCH("SubclassAbility1-L15",CLASSFEATUREHEADERS,0),MATCH(($A945),CLASSNAMEHEADERS,0))))}</f>
        <v>SUBCLASSABILITY1-L15</v>
      </c>
      <c r="W944" s="76"/>
      <c r="X944" s="76" t="str">
        <f t="array" ref="X944:X945">{"SUBCLASSABILITY1-L17";((INDEX(ALLCLASSDATA,MATCH("SubclassAbility1-L17",CLASSFEATUREHEADERS,0),MATCH(($A945),CLASSNAMEHEADERS,0))))}</f>
        <v>SUBCLASSABILITY1-L17</v>
      </c>
      <c r="Y944" s="76"/>
      <c r="Z944" s="76" t="str">
        <f t="array" ref="Z944:Z945">{"SUBCLASSABILITY1-L19";((INDEX(ALLCLASSDATA,MATCH("SubclassAbility1-L19",CLASSFEATUREHEADERS,0),MATCH(($A945),CLASSNAMEHEADERS,0))))}</f>
        <v>SUBCLASSABILITY1-L19</v>
      </c>
      <c r="AA944" s="76"/>
      <c r="AB944" s="76"/>
      <c r="AC944" s="76"/>
    </row>
    <row r="945">
      <c r="A945" s="48" t="s">
        <v>185</v>
      </c>
      <c r="B945" s="48"/>
      <c r="C945" s="48" t="s">
        <v>412</v>
      </c>
      <c r="D945" s="48" t="s">
        <v>825</v>
      </c>
      <c r="E945" s="28" t="s">
        <v>1355</v>
      </c>
      <c r="F945" s="5"/>
      <c r="G945" s="47"/>
      <c r="H945" s="5"/>
      <c r="I945" s="5"/>
      <c r="J945" s="5" t="s">
        <v>1851</v>
      </c>
      <c r="K945" s="5"/>
      <c r="L945" s="5"/>
      <c r="M945" s="5"/>
      <c r="N945" s="5" t="s">
        <v>1863</v>
      </c>
      <c r="O945" s="5"/>
      <c r="P945" s="5" t="s">
        <v>1870</v>
      </c>
      <c r="Q945" s="5"/>
      <c r="R945" s="5"/>
      <c r="S945" s="5"/>
      <c r="T945" s="5" t="s">
        <v>1877</v>
      </c>
      <c r="U945" s="5"/>
      <c r="V945" s="5" t="s">
        <v>1882</v>
      </c>
      <c r="W945" s="5"/>
      <c r="X945" s="5"/>
      <c r="Y945" s="5"/>
      <c r="Z945" s="5"/>
      <c r="AA945" s="5"/>
      <c r="AB945" s="5"/>
      <c r="AC945" s="47"/>
    </row>
    <row r="946" hidden="1">
      <c r="A946" s="76" t="str">
        <f t="array" ref="A946:A947">{"FormulaRow17";(INDEX(CLASSLIST,A913,1))}</f>
        <v>FormulaRow17</v>
      </c>
      <c r="B946" s="77" t="s">
        <v>236</v>
      </c>
      <c r="C946" s="76" t="str">
        <f t="array" ref="C946:C947">{"CLASSTYPE";((INDEX(ALLCLASSDATA,MATCH("ClassType",CLASSFEATUREHEADERS,0),MATCH($A947,CLASSNAMEHEADERS,0))))}</f>
        <v>CLASSTYPE</v>
      </c>
      <c r="D946" s="76" t="str">
        <f t="array" ref="D946:D947">{"CLASSABILITYPTS";"ClassAbilityPts"}</f>
        <v>CLASSABILITYPTS</v>
      </c>
      <c r="E946" s="76" t="str">
        <f t="array" ref="E946:E947">{"SUBCLASSABILITY1";"SubclassAbility1"}</f>
        <v>SUBCLASSABILITY1</v>
      </c>
      <c r="F946" s="76"/>
      <c r="G946" s="76"/>
      <c r="H946" s="76"/>
      <c r="I946" s="76"/>
      <c r="J946" s="76" t="str">
        <f t="array" ref="J946:J947">{"SUBCLASSABILITY1-L03PTS";((INDEX(ALLCLASSDATA,MATCH("SubclassAbility1-L03",CLASSFEATUREHEADERS,0),MATCH(($A947 &amp; "Points"),CLASSNAMEHEADERS,0))))}</f>
        <v>SUBCLASSABILITY1-L03PTS</v>
      </c>
      <c r="K946" s="76"/>
      <c r="L946" s="76" t="str">
        <f t="array" ref="L946:L947">{"SUBCLASSABILITY1-L05PTS";((INDEX(ALLCLASSDATA,MATCH("SubclassAbility1-L05",CLASSFEATUREHEADERS,0),MATCH(($A947 &amp; "Points"),CLASSNAMEHEADERS,0))))}</f>
        <v>SUBCLASSABILITY1-L05PTS</v>
      </c>
      <c r="M946" s="76"/>
      <c r="N946" s="76" t="str">
        <f t="array" ref="N946:N947">{"SUBCLASSABILITY1-L07PTS";((INDEX(ALLCLASSDATA,MATCH("SubclassAbility1-L07",CLASSFEATUREHEADERS,0),MATCH(($A947 &amp; "Points"),CLASSNAMEHEADERS,0))))}</f>
        <v>SUBCLASSABILITY1-L07PTS</v>
      </c>
      <c r="O946" s="76"/>
      <c r="P946" s="76" t="str">
        <f t="array" ref="P946:P947">{"SUBCLASSABILITY1-L09PTS";((INDEX(ALLCLASSDATA,MATCH("SubclassAbility1-L09",CLASSFEATUREHEADERS,0),MATCH(($A947 &amp; "Points"),CLASSNAMEHEADERS,0))))}</f>
        <v>SUBCLASSABILITY1-L09PTS</v>
      </c>
      <c r="Q946" s="76"/>
      <c r="R946" s="76" t="str">
        <f t="array" ref="R946:R947">{"SUBCLASSABILITY1-L11PTS";((INDEX(ALLCLASSDATA,MATCH("SubclassAbility1-L11",CLASSFEATUREHEADERS,0),MATCH(($A947 &amp; "Points"),CLASSNAMEHEADERS,0))))}</f>
        <v>SUBCLASSABILITY1-L11PTS</v>
      </c>
      <c r="S946" s="76"/>
      <c r="T946" s="76" t="str">
        <f t="array" ref="T946:T947">{"SUBCLASSABILITY1-L13PTS";((INDEX(ALLCLASSDATA,MATCH("SubclassAbility1-L13",CLASSFEATUREHEADERS,0),MATCH(($A947 &amp; "Points"),CLASSNAMEHEADERS,0))))}</f>
        <v>SUBCLASSABILITY1-L13PTS</v>
      </c>
      <c r="U946" s="76"/>
      <c r="V946" s="76" t="str">
        <f t="array" ref="V946:V947">{"SUBCLASSABILITY1-L15PTS";((INDEX(ALLCLASSDATA,MATCH("SubclassAbility1-L15",CLASSFEATUREHEADERS,0),MATCH(($A947 &amp; "Points"),CLASSNAMEHEADERS,0))))}</f>
        <v>SUBCLASSABILITY1-L15PTS</v>
      </c>
      <c r="W946" s="76"/>
      <c r="X946" s="76" t="str">
        <f t="array" ref="X946:X947">{"SUBCLASSABILITY1-L17PTS";((INDEX(ALLCLASSDATA,MATCH("SubclassAbility1-L17",CLASSFEATUREHEADERS,0),MATCH(($A947 &amp; "Points"),CLASSNAMEHEADERS,0))))}</f>
        <v>SUBCLASSABILITY1-L17PTS</v>
      </c>
      <c r="Y946" s="76"/>
      <c r="Z946" s="76" t="str">
        <f t="array" ref="Z946:Z947">{"SUBCLASSABILITY1-L19PTS";((INDEX(ALLCLASSDATA,MATCH("SubclassAbility1-L19",CLASSFEATUREHEADERS,0),MATCH(($A947 &amp; "Points"),CLASSNAMEHEADERS,0))))}</f>
        <v>SUBCLASSABILITY1-L19PTS</v>
      </c>
      <c r="AA946" s="76"/>
      <c r="AB946" s="76"/>
      <c r="AC946" s="76" t="str">
        <f t="array" ref="AC946:AC947">{"SUBCLASSABILITY1 TOTAL";(sum(G947:AA947))}</f>
        <v>SUBCLASSABILITY1 TOTAL</v>
      </c>
    </row>
    <row r="947">
      <c r="A947" s="48" t="s">
        <v>185</v>
      </c>
      <c r="B947" s="48"/>
      <c r="C947" s="48" t="s">
        <v>412</v>
      </c>
      <c r="D947" s="48" t="s">
        <v>930</v>
      </c>
      <c r="E947" s="28" t="s">
        <v>1355</v>
      </c>
      <c r="F947" s="5"/>
      <c r="G947" s="47"/>
      <c r="H947" s="5"/>
      <c r="I947" s="5"/>
      <c r="J947" s="5">
        <v>30.0</v>
      </c>
      <c r="K947" s="5"/>
      <c r="L947" s="5"/>
      <c r="M947" s="5"/>
      <c r="N947" s="5">
        <v>70.0</v>
      </c>
      <c r="O947" s="5"/>
      <c r="P947" s="5">
        <v>50.0</v>
      </c>
      <c r="Q947" s="5"/>
      <c r="R947" s="5"/>
      <c r="S947" s="5"/>
      <c r="T947" s="5">
        <v>130.0</v>
      </c>
      <c r="U947" s="5"/>
      <c r="V947" s="5">
        <v>70.0</v>
      </c>
      <c r="W947" s="5"/>
      <c r="X947" s="5"/>
      <c r="Y947" s="5"/>
      <c r="Z947" s="5"/>
      <c r="AA947" s="5"/>
      <c r="AB947" s="5"/>
      <c r="AC947" s="47">
        <v>350.0</v>
      </c>
    </row>
    <row r="948" hidden="1">
      <c r="A948" s="76" t="str">
        <f t="array" ref="A948:A949">{"FormulaRow18";(INDEX(CLASSLIST,A913,1))}</f>
        <v>FormulaRow18</v>
      </c>
      <c r="B948" s="77" t="s">
        <v>236</v>
      </c>
      <c r="C948" s="76" t="str">
        <f t="array" ref="C948:C949">{"CLASSTYPE";((INDEX(ALLCLASSDATA,MATCH("ClassType",CLASSFEATUREHEADERS,0),MATCH($A949,CLASSNAMEHEADERS,0))))}</f>
        <v>CLASSTYPE</v>
      </c>
      <c r="D948" s="76" t="str">
        <f t="array" ref="D948:D949">{"CLASSABILITY";"ClassAbility"}</f>
        <v>CLASSABILITY</v>
      </c>
      <c r="E948" s="76" t="str">
        <f t="array" ref="E948:E949">{"SUBCLASSABILITY2";"SubclassAbility2"}</f>
        <v>SUBCLASSABILITY2</v>
      </c>
      <c r="F948" s="76"/>
      <c r="G948" s="76"/>
      <c r="H948" s="76"/>
      <c r="I948" s="76"/>
      <c r="J948" s="76" t="str">
        <f t="array" ref="J948:J949">{"SUBCLASSABILITY2-L03";((INDEX(ALLCLASSDATA,MATCH("SubclassAbility2-L03",CLASSFEATUREHEADERS,0),MATCH(($A949),CLASSNAMEHEADERS,0))))}</f>
        <v>SUBCLASSABILITY2-L03</v>
      </c>
      <c r="K948" s="76"/>
      <c r="L948" s="76" t="str">
        <f t="array" ref="L948:L949">{"SUBCLASSABILITY2-L05";((INDEX(ALLCLASSDATA,MATCH("SubclassAbility2-L05",CLASSFEATUREHEADERS,0),MATCH(($A949),CLASSNAMEHEADERS,0))))}</f>
        <v>SUBCLASSABILITY2-L05</v>
      </c>
      <c r="M948" s="76"/>
      <c r="N948" s="76" t="str">
        <f t="array" ref="N948:N949">{"SUBCLASSABILITY2-L07";((INDEX(ALLCLASSDATA,MATCH("SubclassAbility2-L07",CLASSFEATUREHEADERS,0),MATCH(($A949),CLASSNAMEHEADERS,0))))}</f>
        <v>SUBCLASSABILITY2-L07</v>
      </c>
      <c r="O948" s="76"/>
      <c r="P948" s="76" t="str">
        <f t="array" ref="P948:P949">{"SUBCLASSABILITY2-L09";((INDEX(ALLCLASSDATA,MATCH("SubclassAbility2-L09",CLASSFEATUREHEADERS,0),MATCH(($A949),CLASSNAMEHEADERS,0))))}</f>
        <v>SUBCLASSABILITY2-L09</v>
      </c>
      <c r="Q948" s="76"/>
      <c r="R948" s="76" t="str">
        <f t="array" ref="R948:R949">{"SUBCLASSABILITY2-L11";((INDEX(ALLCLASSDATA,MATCH("SubclassAbility2-L11",CLASSFEATUREHEADERS,0),MATCH(($A949),CLASSNAMEHEADERS,0))))}</f>
        <v>SUBCLASSABILITY2-L11</v>
      </c>
      <c r="S948" s="76"/>
      <c r="T948" s="76" t="str">
        <f t="array" ref="T948:T949">{"SUBCLASSABILITY2-L13";((INDEX(ALLCLASSDATA,MATCH("SubclassAbility2-L13",CLASSFEATUREHEADERS,0),MATCH(($A949),CLASSNAMEHEADERS,0))))}</f>
        <v>SUBCLASSABILITY2-L13</v>
      </c>
      <c r="U948" s="76"/>
      <c r="V948" s="76" t="str">
        <f t="array" ref="V948:V949">{"SUBCLASSABILITY2-L15";((INDEX(ALLCLASSDATA,MATCH("SubclassAbility2-L15",CLASSFEATUREHEADERS,0),MATCH(($A949),CLASSNAMEHEADERS,0))))}</f>
        <v>SUBCLASSABILITY2-L15</v>
      </c>
      <c r="W948" s="76"/>
      <c r="X948" s="76" t="str">
        <f t="array" ref="X948:X949">{"SUBCLASSABILITY2-L17";((INDEX(ALLCLASSDATA,MATCH("SubclassAbility2-L17",CLASSFEATUREHEADERS,0),MATCH(($A949),CLASSNAMEHEADERS,0))))}</f>
        <v>SUBCLASSABILITY2-L17</v>
      </c>
      <c r="Y948" s="76"/>
      <c r="Z948" s="76" t="str">
        <f t="array" ref="Z948:Z949">{"SUBCLASSABILITY2-L19";((INDEX(ALLCLASSDATA,MATCH("SubclassAbility2-L19",CLASSFEATUREHEADERS,0),MATCH(($A949),CLASSNAMEHEADERS,0))))}</f>
        <v>SUBCLASSABILITY2-L19</v>
      </c>
      <c r="AA948" s="76"/>
      <c r="AB948" s="76"/>
      <c r="AC948" s="76"/>
    </row>
    <row r="949">
      <c r="A949" s="48" t="s">
        <v>185</v>
      </c>
      <c r="B949" s="48"/>
      <c r="C949" s="48" t="s">
        <v>412</v>
      </c>
      <c r="D949" s="48" t="s">
        <v>825</v>
      </c>
      <c r="E949" s="28" t="s">
        <v>1370</v>
      </c>
      <c r="F949" s="5"/>
      <c r="G949" s="47"/>
      <c r="H949" s="5"/>
      <c r="I949" s="5"/>
      <c r="J949" s="5"/>
      <c r="K949" s="5"/>
      <c r="L949" s="5"/>
      <c r="M949" s="5"/>
      <c r="N949" s="5"/>
      <c r="O949" s="5"/>
      <c r="P949" s="5"/>
      <c r="Q949" s="5"/>
      <c r="R949" s="5"/>
      <c r="S949" s="5"/>
      <c r="T949" s="5"/>
      <c r="U949" s="5"/>
      <c r="V949" s="5"/>
      <c r="W949" s="5"/>
      <c r="X949" s="5"/>
      <c r="Y949" s="5"/>
      <c r="Z949" s="5"/>
      <c r="AA949" s="5"/>
      <c r="AB949" s="5"/>
      <c r="AC949" s="47"/>
    </row>
    <row r="950" hidden="1">
      <c r="A950" s="76" t="str">
        <f t="array" ref="A950:A951">{"FormulaRow19";(INDEX(CLASSLIST,A913,1))}</f>
        <v>FormulaRow19</v>
      </c>
      <c r="B950" s="77" t="s">
        <v>236</v>
      </c>
      <c r="C950" s="76" t="str">
        <f t="array" ref="C950:C951">{"CLASSTYPE";((INDEX(ALLCLASSDATA,MATCH("ClassType",CLASSFEATUREHEADERS,0),MATCH($A951,CLASSNAMEHEADERS,0))))}</f>
        <v>CLASSTYPE</v>
      </c>
      <c r="D950" s="76" t="str">
        <f t="array" ref="D950:D951">{"CLASSABILITYPTS";"ClassAbilityPts"}</f>
        <v>CLASSABILITYPTS</v>
      </c>
      <c r="E950" s="76" t="str">
        <f t="array" ref="E950:E951">{"SUBCLASSABILITY2";"SubclassAbility2"}</f>
        <v>SUBCLASSABILITY2</v>
      </c>
      <c r="F950" s="76"/>
      <c r="G950" s="76"/>
      <c r="H950" s="76"/>
      <c r="I950" s="76"/>
      <c r="J950" s="76" t="str">
        <f t="array" ref="J950:J951">{"SUBCLASSABILITY2-L03PTS";((INDEX(ALLCLASSDATA,MATCH("SubclassAbility2-L03",CLASSFEATUREHEADERS,0),MATCH(($A951 &amp; "Points"),CLASSNAMEHEADERS,0))))}</f>
        <v>SUBCLASSABILITY2-L03PTS</v>
      </c>
      <c r="K950" s="76"/>
      <c r="L950" s="76" t="str">
        <f t="array" ref="L950:L951">{"SUBCLASSABILITY2-L05PTS";((INDEX(ALLCLASSDATA,MATCH("SubclassAbility2-L05",CLASSFEATUREHEADERS,0),MATCH(($A951 &amp; "Points"),CLASSNAMEHEADERS,0))))}</f>
        <v>SUBCLASSABILITY2-L05PTS</v>
      </c>
      <c r="M950" s="76"/>
      <c r="N950" s="76" t="str">
        <f t="array" ref="N950:N951">{"SUBCLASSABILITY2-L07PTS";((INDEX(ALLCLASSDATA,MATCH("SubclassAbility2-L07",CLASSFEATUREHEADERS,0),MATCH(($A951 &amp; "Points"),CLASSNAMEHEADERS,0))))}</f>
        <v>SUBCLASSABILITY2-L07PTS</v>
      </c>
      <c r="O950" s="76"/>
      <c r="P950" s="76" t="str">
        <f t="array" ref="P950:P951">{"SUBCLASSABILITY2-L09PTS";((INDEX(ALLCLASSDATA,MATCH("SubclassAbility2-L09",CLASSFEATUREHEADERS,0),MATCH(($A951 &amp; "Points"),CLASSNAMEHEADERS,0))))}</f>
        <v>SUBCLASSABILITY2-L09PTS</v>
      </c>
      <c r="Q950" s="76"/>
      <c r="R950" s="76" t="str">
        <f t="array" ref="R950:R951">{"SUBCLASSABILITY2-L11PTS";((INDEX(ALLCLASSDATA,MATCH("SubclassAbility2-L11",CLASSFEATUREHEADERS,0),MATCH(($A951 &amp; "Points"),CLASSNAMEHEADERS,0))))}</f>
        <v>SUBCLASSABILITY2-L11PTS</v>
      </c>
      <c r="S950" s="76"/>
      <c r="T950" s="76" t="str">
        <f t="array" ref="T950:T951">{"SUBCLASSABILITY2-L13PTS";((INDEX(ALLCLASSDATA,MATCH("SubclassAbility2-L13",CLASSFEATUREHEADERS,0),MATCH(($A951 &amp; "Points"),CLASSNAMEHEADERS,0))))}</f>
        <v>SUBCLASSABILITY2-L13PTS</v>
      </c>
      <c r="U950" s="76"/>
      <c r="V950" s="76" t="str">
        <f t="array" ref="V950:V951">{"SUBCLASSABILITY2-L15PTS";((INDEX(ALLCLASSDATA,MATCH("SubclassAbility2-L15",CLASSFEATUREHEADERS,0),MATCH(($A951 &amp; "Points"),CLASSNAMEHEADERS,0))))}</f>
        <v>SUBCLASSABILITY2-L15PTS</v>
      </c>
      <c r="W950" s="76"/>
      <c r="X950" s="76" t="str">
        <f t="array" ref="X950:X951">{"SUBCLASSABILITY2-L17PTS";((INDEX(ALLCLASSDATA,MATCH("SubclassAbility2-L17",CLASSFEATUREHEADERS,0),MATCH(($A951 &amp; "Points"),CLASSNAMEHEADERS,0))))}</f>
        <v>SUBCLASSABILITY2-L17PTS</v>
      </c>
      <c r="Y950" s="76"/>
      <c r="Z950" s="76" t="str">
        <f t="array" ref="Z950:Z951">{"SUBCLASSABILITY2-L19PTS";((INDEX(ALLCLASSDATA,MATCH("SubclassAbility2-L19",CLASSFEATUREHEADERS,0),MATCH(($A951 &amp; "Points"),CLASSNAMEHEADERS,0))))}</f>
        <v>SUBCLASSABILITY2-L19PTS</v>
      </c>
      <c r="AA950" s="76"/>
      <c r="AB950" s="76"/>
      <c r="AC950" s="76" t="str">
        <f t="array" ref="AC950:AC951">{"SUBCLASSABILITY2 TOTAL";(sum(G951:AA951))}</f>
        <v>SUBCLASSABILITY2 TOTAL</v>
      </c>
    </row>
    <row r="951">
      <c r="A951" s="48" t="s">
        <v>185</v>
      </c>
      <c r="B951" s="48"/>
      <c r="C951" s="48" t="s">
        <v>412</v>
      </c>
      <c r="D951" s="97" t="s">
        <v>930</v>
      </c>
      <c r="E951" s="215" t="s">
        <v>1370</v>
      </c>
      <c r="F951" s="98"/>
      <c r="G951" s="132"/>
      <c r="H951" s="98"/>
      <c r="I951" s="98"/>
      <c r="J951" s="98"/>
      <c r="K951" s="98"/>
      <c r="L951" s="98"/>
      <c r="M951" s="98"/>
      <c r="N951" s="98"/>
      <c r="O951" s="98"/>
      <c r="P951" s="98"/>
      <c r="Q951" s="98"/>
      <c r="R951" s="98"/>
      <c r="S951" s="98"/>
      <c r="T951" s="98"/>
      <c r="U951" s="98"/>
      <c r="V951" s="98"/>
      <c r="W951" s="98"/>
      <c r="X951" s="98"/>
      <c r="Y951" s="98"/>
      <c r="Z951" s="98"/>
      <c r="AA951" s="98"/>
      <c r="AB951" s="5"/>
      <c r="AC951" s="47">
        <v>0.0</v>
      </c>
    </row>
    <row r="952" hidden="1">
      <c r="A952" s="76" t="str">
        <f t="array" ref="A952:A953">{"FormulaRow20";(INDEX(CLASSLIST,A913,1))}</f>
        <v>FormulaRow20</v>
      </c>
      <c r="B952" s="77" t="s">
        <v>236</v>
      </c>
      <c r="C952" s="76" t="str">
        <f t="array" ref="C952:C953">{"CLASSTYPE";((INDEX(ALLCLASSDATA,MATCH("ClassType",CLASSFEATUREHEADERS,0),MATCH($A953,CLASSNAMEHEADERS,0))))}</f>
        <v>CLASSTYPE</v>
      </c>
      <c r="D952" s="81" t="str">
        <f t="array" ref="D952:D953">{"DC";"DC"}</f>
        <v>DC</v>
      </c>
      <c r="E952" s="81" t="str">
        <f t="array" ref="E952:E953">{"CLASSDC";"ClassDC"}</f>
        <v>CLASSDC</v>
      </c>
      <c r="F952" s="81" t="str">
        <f t="array" ref="F952:F953">{"CLASSDCINITIAL";((IF(H953=10,"T",(IF(H953=50,"E","")))))}</f>
        <v>CLASSDCINITIAL</v>
      </c>
      <c r="G952" s="81" t="str">
        <f t="array" ref="G952:G953">{"CLASSDCINITIALPTS";((IF("00"=(INDEX(ALLCLASSDATA,MATCH("ClassDCLegendary",CLASSFEATUREHEADERS,0),MATCH($A953,CLASSNAMEHEADERS,0))),(INDEX(ALLCLASSDATA,MATCH("ClassDCLegendary",CLASSFEATUREHEADERS,0),MATCH(($A953 &amp; "Points"),CLASSNAMEHEADERS,0))),(IF("00"=(INDEX(ALLCLASSDATA,MATCH("ClassDCMaster",CLASSFEATUREHEADERS,0),MATCH($A953,CLASSNAMEHEADERS,0))),(INDEX(ALLCLASSDATA,MATCH("ClassDCMaster",CLASSFEATUREHEADERS,0),MATCH(($A953 &amp; "Points"),CLASSNAMEHEADERS,0))),(IF("00"=(INDEX(ALLCLASSDATA,MATCH("ClassDCExpert",CLASSFEATUREHEADERS,0),MATCH($A953,CLASSNAMEHEADERS,0))),(INDEX(ALLCLASSDATA,MATCH("ClassDCExpert",CLASSFEATUREHEADERS,0),MATCH(($A953 &amp; "Points"),CLASSNAMEHEADERS,0))),(IF("00"=(INDEX(ALLCLASSDATA,MATCH("ClassDCTrained",CLASSFEATUREHEADERS,0),MATCH($A953,CLASSNAMEHEADERS,0))),(INDEX(ALLCLASSDATA,MATCH("ClassDCTrained",CLASSFEATUREHEADERS,0),MATCH(($A953 &amp; "Points"),CLASSNAMEHEADERS,0))),"")))))))))}</f>
        <v>CLASSDCINITIALPTS</v>
      </c>
      <c r="H952" s="81" t="str">
        <f t="array" ref="H952:H953">{"CLASSDCL01";((IF("01"=(INDEX(ALLCLASSDATA,MATCH("ClassDCLegendary",CLASSFEATUREHEADERS,0),MATCH($A953,CLASSNAMEHEADERS,0))),(INDEX(ALLCLASSDATA,MATCH("ClassDCLegendary",CLASSFEATUREHEADERS,0),MATCH(($A953 &amp; "Points"),CLASSNAMEHEADERS,0))),(IF("01"=(INDEX(ALLCLASSDATA,MATCH("ClassDCMaster",CLASSFEATUREHEADERS,0),MATCH($A953,CLASSNAMEHEADERS,0))),(INDEX(ALLCLASSDATA,MATCH("ClassDCMaster",CLASSFEATUREHEADERS,0),MATCH(($A953 &amp; "Points"),CLASSNAMEHEADERS,0))),(IF("01"=(INDEX(ALLCLASSDATA,MATCH("ClassDCExpert",CLASSFEATUREHEADERS,0),MATCH($A953,CLASSNAMEHEADERS,0))),(INDEX(ALLCLASSDATA,MATCH("ClassDCExpert",CLASSFEATUREHEADERS,0),MATCH(($A953 &amp; "Points"),CLASSNAMEHEADERS,0))),(IF("01"=(INDEX(ALLCLASSDATA,MATCH("ClassDCTrained",CLASSFEATUREHEADERS,0),MATCH($A953,CLASSNAMEHEADERS,0))),(INDEX(ALLCLASSDATA,MATCH("ClassDCTrained",CLASSFEATUREHEADERS,0),MATCH(($A953 &amp; "Points"),CLASSNAMEHEADERS,0))),"")))))))))}</f>
        <v>CLASSDCL01</v>
      </c>
      <c r="I952" s="81"/>
      <c r="J952" s="81" t="str">
        <f t="array" ref="J952:J953">{"CLASSDCL03";((IF("03"=(INDEX(ALLCLASSDATA,MATCH("ClassDCLegendary",CLASSFEATUREHEADERS,0),MATCH($A953,CLASSNAMEHEADERS,0))),(INDEX(ALLCLASSDATA,MATCH("ClassDCLegendary",CLASSFEATUREHEADERS,0),MATCH(($A953 &amp; "Points"),CLASSNAMEHEADERS,0))),(IF("03"=(INDEX(ALLCLASSDATA,MATCH("ClassDCMaster",CLASSFEATUREHEADERS,0),MATCH($A953,CLASSNAMEHEADERS,0))),(INDEX(ALLCLASSDATA,MATCH("ClassDCMaster",CLASSFEATUREHEADERS,0),MATCH(($A953 &amp; "Points"),CLASSNAMEHEADERS,0))),(IF("03"=(INDEX(ALLCLASSDATA,MATCH("ClassDCExpert",CLASSFEATUREHEADERS,0),MATCH($A953,CLASSNAMEHEADERS,0))),(INDEX(ALLCLASSDATA,MATCH("ClassDCExpert",CLASSFEATUREHEADERS,0),MATCH(($A953 &amp; "Points"),CLASSNAMEHEADERS,0))),(IF("03"=(INDEX(ALLCLASSDATA,MATCH("ClassDCTrained",CLASSFEATUREHEADERS,0),MATCH($A953,CLASSNAMEHEADERS,0))),(INDEX(ALLCLASSDATA,MATCH("ClassDCTrained",CLASSFEATUREHEADERS,0),MATCH(($A953 &amp; "Points"),CLASSNAMEHEADERS,0))),"")))))))))}</f>
        <v>CLASSDCL03</v>
      </c>
      <c r="K952" s="81"/>
      <c r="L952" s="81" t="str">
        <f t="array" ref="L952:L953">{"CLASSDCL05";((IF("05"=(INDEX(ALLCLASSDATA,MATCH("ClassDCLegendary",CLASSFEATUREHEADERS,0),MATCH($A953,CLASSNAMEHEADERS,0))),(INDEX(ALLCLASSDATA,MATCH("ClassDCLegendary",CLASSFEATUREHEADERS,0),MATCH(($A953 &amp; "Points"),CLASSNAMEHEADERS,0))),(IF("05"=(INDEX(ALLCLASSDATA,MATCH("ClassDCMaster",CLASSFEATUREHEADERS,0),MATCH($A953,CLASSNAMEHEADERS,0))),(INDEX(ALLCLASSDATA,MATCH("ClassDCMaster",CLASSFEATUREHEADERS,0),MATCH(($A953 &amp; "Points"),CLASSNAMEHEADERS,0))),(IF("05"=(INDEX(ALLCLASSDATA,MATCH("ClassDCExpert",CLASSFEATUREHEADERS,0),MATCH($A953,CLASSNAMEHEADERS,0))),(INDEX(ALLCLASSDATA,MATCH("ClassDCExpert",CLASSFEATUREHEADERS,0),MATCH(($A953 &amp; "Points"),CLASSNAMEHEADERS,0))),(IF("05"=(INDEX(ALLCLASSDATA,MATCH("ClassDCTrained",CLASSFEATUREHEADERS,0),MATCH($A953,CLASSNAMEHEADERS,0))),(INDEX(ALLCLASSDATA,MATCH("ClassDCTrained",CLASSFEATUREHEADERS,0),MATCH(($A953 &amp; "Points"),CLASSNAMEHEADERS,0))),"")))))))))}</f>
        <v>CLASSDCL05</v>
      </c>
      <c r="M952" s="81"/>
      <c r="N952" s="81" t="str">
        <f t="array" ref="N952:N953">{"CLASSDCL07";((IF("07"=(INDEX(ALLCLASSDATA,MATCH("ClassDCLegendary",CLASSFEATUREHEADERS,0),MATCH($A953,CLASSNAMEHEADERS,0))),(INDEX(ALLCLASSDATA,MATCH("ClassDCLegendary",CLASSFEATUREHEADERS,0),MATCH(($A953 &amp; "Points"),CLASSNAMEHEADERS,0))),(IF("07"=(INDEX(ALLCLASSDATA,MATCH("ClassDCMaster",CLASSFEATUREHEADERS,0),MATCH($A953,CLASSNAMEHEADERS,0))),(INDEX(ALLCLASSDATA,MATCH("ClassDCMaster",CLASSFEATUREHEADERS,0),MATCH(($A953 &amp; "Points"),CLASSNAMEHEADERS,0))),(IF("07"=(INDEX(ALLCLASSDATA,MATCH("ClassDCExpert",CLASSFEATUREHEADERS,0),MATCH($A953,CLASSNAMEHEADERS,0))),(INDEX(ALLCLASSDATA,MATCH("ClassDCExpert",CLASSFEATUREHEADERS,0),MATCH(($A953 &amp; "Points"),CLASSNAMEHEADERS,0))),(IF("07"=(INDEX(ALLCLASSDATA,MATCH("ClassDCTrained",CLASSFEATUREHEADERS,0),MATCH($A953,CLASSNAMEHEADERS,0))),(INDEX(ALLCLASSDATA,MATCH("ClassDCTrained",CLASSFEATUREHEADERS,0),MATCH(($A953 &amp; "Points"),CLASSNAMEHEADERS,0))),"")))))))))}</f>
        <v>CLASSDCL07</v>
      </c>
      <c r="O952" s="81"/>
      <c r="P952" s="81" t="str">
        <f t="array" ref="P952:P953">{"CLASSDCL09";((IF("09"=(INDEX(ALLCLASSDATA,MATCH("ClassDCLegendary",CLASSFEATUREHEADERS,0),MATCH($A953,CLASSNAMEHEADERS,0))),(INDEX(ALLCLASSDATA,MATCH("ClassDCLegendary",CLASSFEATUREHEADERS,0),MATCH(($A953 &amp; "Points"),CLASSNAMEHEADERS,0))),(IF("09"=(INDEX(ALLCLASSDATA,MATCH("ClassDCMaster",CLASSFEATUREHEADERS,0),MATCH($A953,CLASSNAMEHEADERS,0))),(INDEX(ALLCLASSDATA,MATCH("ClassDCMaster",CLASSFEATUREHEADERS,0),MATCH(($A953 &amp; "Points"),CLASSNAMEHEADERS,0))),(IF("09"=(INDEX(ALLCLASSDATA,MATCH("ClassDCExpert",CLASSFEATUREHEADERS,0),MATCH($A953,CLASSNAMEHEADERS,0))),(INDEX(ALLCLASSDATA,MATCH("ClassDCExpert",CLASSFEATUREHEADERS,0),MATCH(($A953 &amp; "Points"),CLASSNAMEHEADERS,0))),(IF("09"=(INDEX(ALLCLASSDATA,MATCH("ClassDCTrained",CLASSFEATUREHEADERS,0),MATCH($A953,CLASSNAMEHEADERS,0))),(INDEX(ALLCLASSDATA,MATCH("ClassDCTrained",CLASSFEATUREHEADERS,0),MATCH(($A953 &amp; "Points"),CLASSNAMEHEADERS,0))),"")))))))))}</f>
        <v>CLASSDCL09</v>
      </c>
      <c r="Q952" s="81"/>
      <c r="R952" s="81" t="str">
        <f t="array" ref="R952:R953">{"CLASSDCL11";((IF("11"=(INDEX(ALLCLASSDATA,MATCH("ClassDCLegendary",CLASSFEATUREHEADERS,0),MATCH($A953,CLASSNAMEHEADERS,0))),(INDEX(ALLCLASSDATA,MATCH("ClassDCLegendary",CLASSFEATUREHEADERS,0),MATCH(($A953 &amp; "Points"),CLASSNAMEHEADERS,0))),(IF("11"=(INDEX(ALLCLASSDATA,MATCH("ClassDCMaster",CLASSFEATUREHEADERS,0),MATCH($A953,CLASSNAMEHEADERS,0))),(INDEX(ALLCLASSDATA,MATCH("ClassDCMaster",CLASSFEATUREHEADERS,0),MATCH(($A953 &amp; "Points"),CLASSNAMEHEADERS,0))),(IF("11"=(INDEX(ALLCLASSDATA,MATCH("ClassDCExpert",CLASSFEATUREHEADERS,0),MATCH($A953,CLASSNAMEHEADERS,0))),(INDEX(ALLCLASSDATA,MATCH("ClassDCExpert",CLASSFEATUREHEADERS,0),MATCH(($A953 &amp; "Points"),CLASSNAMEHEADERS,0))),(IF("11"=(INDEX(ALLCLASSDATA,MATCH("ClassDCTrained",CLASSFEATUREHEADERS,0),MATCH($A953,CLASSNAMEHEADERS,0))),(INDEX(ALLCLASSDATA,MATCH("ClassDCTrained",CLASSFEATUREHEADERS,0),MATCH(($A953 &amp; "Points"),CLASSNAMEHEADERS,0))),"")))))))))}</f>
        <v>CLASSDCL11</v>
      </c>
      <c r="S952" s="81"/>
      <c r="T952" s="81" t="str">
        <f t="array" ref="T952:T953">{"CLASSDCL13";((IF("13"=(INDEX(ALLCLASSDATA,MATCH("ClassDCLegendary",CLASSFEATUREHEADERS,0),MATCH($A953,CLASSNAMEHEADERS,0))),(INDEX(ALLCLASSDATA,MATCH("ClassDCLegendary",CLASSFEATUREHEADERS,0),MATCH(($A953 &amp; "Points"),CLASSNAMEHEADERS,0))),(IF("13"=(INDEX(ALLCLASSDATA,MATCH("ClassDCMaster",CLASSFEATUREHEADERS,0),MATCH($A953,CLASSNAMEHEADERS,0))),(INDEX(ALLCLASSDATA,MATCH("ClassDCMaster",CLASSFEATUREHEADERS,0),MATCH(($A953 &amp; "Points"),CLASSNAMEHEADERS,0))),(IF("13"=(INDEX(ALLCLASSDATA,MATCH("ClassDCExpert",CLASSFEATUREHEADERS,0),MATCH($A953,CLASSNAMEHEADERS,0))),(INDEX(ALLCLASSDATA,MATCH("ClassDCExpert",CLASSFEATUREHEADERS,0),MATCH(($A953 &amp; "Points"),CLASSNAMEHEADERS,0))),(IF("13"=(INDEX(ALLCLASSDATA,MATCH("ClassDCTrained",CLASSFEATUREHEADERS,0),MATCH($A953,CLASSNAMEHEADERS,0))),(INDEX(ALLCLASSDATA,MATCH("ClassDCTrained",CLASSFEATUREHEADERS,0),MATCH(($A953 &amp; "Points"),CLASSNAMEHEADERS,0))),"")))))))))}</f>
        <v>CLASSDCL13</v>
      </c>
      <c r="U952" s="81"/>
      <c r="V952" s="81" t="str">
        <f t="array" ref="V952:V953">{"CLASSDCL15";((IF("15"=(INDEX(ALLCLASSDATA,MATCH("ClassDCLegendary",CLASSFEATUREHEADERS,0),MATCH($A953,CLASSNAMEHEADERS,0))),(INDEX(ALLCLASSDATA,MATCH("ClassDCLegendary",CLASSFEATUREHEADERS,0),MATCH(($A953 &amp; "Points"),CLASSNAMEHEADERS,0))),(IF("15"=(INDEX(ALLCLASSDATA,MATCH("ClassDCMaster",CLASSFEATUREHEADERS,0),MATCH($A953,CLASSNAMEHEADERS,0))),(INDEX(ALLCLASSDATA,MATCH("ClassDCMaster",CLASSFEATUREHEADERS,0),MATCH(($A953 &amp; "Points"),CLASSNAMEHEADERS,0))),(IF("15"=(INDEX(ALLCLASSDATA,MATCH("ClassDCExpert",CLASSFEATUREHEADERS,0),MATCH($A953,CLASSNAMEHEADERS,0))),(INDEX(ALLCLASSDATA,MATCH("ClassDCExpert",CLASSFEATUREHEADERS,0),MATCH(($A953 &amp; "Points"),CLASSNAMEHEADERS,0))),(IF("15"=(INDEX(ALLCLASSDATA,MATCH("ClassDCTrained",CLASSFEATUREHEADERS,0),MATCH($A953,CLASSNAMEHEADERS,0))),(INDEX(ALLCLASSDATA,MATCH("ClassDCTrained",CLASSFEATUREHEADERS,0),MATCH(($A953 &amp; "Points"),CLASSNAMEHEADERS,0))),"")))))))))}</f>
        <v>CLASSDCL15</v>
      </c>
      <c r="W952" s="81"/>
      <c r="X952" s="81" t="str">
        <f t="array" ref="X952:X953">{"CLASSDCL17";((IF("17"=(INDEX(ALLCLASSDATA,MATCH("ClassDCLegendary",CLASSFEATUREHEADERS,0),MATCH($A953,CLASSNAMEHEADERS,0))),(INDEX(ALLCLASSDATA,MATCH("ClassDCLegendary",CLASSFEATUREHEADERS,0),MATCH(($A953 &amp; "Points"),CLASSNAMEHEADERS,0))),(IF("17"=(INDEX(ALLCLASSDATA,MATCH("ClassDCMaster",CLASSFEATUREHEADERS,0),MATCH($A953,CLASSNAMEHEADERS,0))),(INDEX(ALLCLASSDATA,MATCH("ClassDCMaster",CLASSFEATUREHEADERS,0),MATCH(($A953 &amp; "Points"),CLASSNAMEHEADERS,0))),(IF("17"=(INDEX(ALLCLASSDATA,MATCH("ClassDCExpert",CLASSFEATUREHEADERS,0),MATCH($A953,CLASSNAMEHEADERS,0))),(INDEX(ALLCLASSDATA,MATCH("ClassDCExpert",CLASSFEATUREHEADERS,0),MATCH(($A953 &amp; "Points"),CLASSNAMEHEADERS,0))),(IF("17"=(INDEX(ALLCLASSDATA,MATCH("ClassDCTrained",CLASSFEATUREHEADERS,0),MATCH($A953,CLASSNAMEHEADERS,0))),(INDEX(ALLCLASSDATA,MATCH("ClassDCTrained",CLASSFEATUREHEADERS,0),MATCH(($A953 &amp; "Points"),CLASSNAMEHEADERS,0))),"")))))))))}</f>
        <v>CLASSDCL17</v>
      </c>
      <c r="Y952" s="81"/>
      <c r="Z952" s="81" t="str">
        <f t="array" ref="Z952:Z953">{"CLASSDCL19";((IF("19"=(INDEX(ALLCLASSDATA,MATCH("ClassDCLegendary",CLASSFEATUREHEADERS,0),MATCH($A953,CLASSNAMEHEADERS,0))),(INDEX(ALLCLASSDATA,MATCH("ClassDCLegendary",CLASSFEATUREHEADERS,0),MATCH(($A953 &amp; "Points"),CLASSNAMEHEADERS,0))),(IF("19"=(INDEX(ALLCLASSDATA,MATCH("ClassDCMaster",CLASSFEATUREHEADERS,0),MATCH($A953,CLASSNAMEHEADERS,0))),(INDEX(ALLCLASSDATA,MATCH("ClassDCMaster",CLASSFEATUREHEADERS,0),MATCH(($A953 &amp; "Points"),CLASSNAMEHEADERS,0))),(IF("19"=(INDEX(ALLCLASSDATA,MATCH("ClassDCExpert",CLASSFEATUREHEADERS,0),MATCH($A953,CLASSNAMEHEADERS,0))),(INDEX(ALLCLASSDATA,MATCH("ClassDCExpert",CLASSFEATUREHEADERS,0),MATCH(($A953 &amp; "Points"),CLASSNAMEHEADERS,0))),(IF("19"=(INDEX(ALLCLASSDATA,MATCH("ClassDCTrained",CLASSFEATUREHEADERS,0),MATCH($A953,CLASSNAMEHEADERS,0))),(INDEX(ALLCLASSDATA,MATCH("ClassDCTrained",CLASSFEATUREHEADERS,0),MATCH(($A953 &amp; "Points"),CLASSNAMEHEADERS,0))),"")))))))))}</f>
        <v>CLASSDCL19</v>
      </c>
      <c r="AA952" s="81"/>
      <c r="AB952" s="76" t="str">
        <f t="array" ref="AB952:AB953">{"CLASSDC TOTAL";(IF(COUNTBLANK(G953:AA953)=17,"L",(IF(COUNTBLANK(G953:AA953)=18,"M",(IF(COUNTBLANK(G953:AA953)=19,"E",(IF(COUNTBLANK(G953:AA953)=20,"T",""))))))))}</f>
        <v>CLASSDC TOTAL</v>
      </c>
      <c r="AC952" s="76" t="str">
        <f t="array" ref="AC952:AC953">{"CLASSDC TOTAL";(sum(G953:AA953))}</f>
        <v>CLASSDC TOTAL</v>
      </c>
    </row>
    <row r="953">
      <c r="A953" s="48" t="s">
        <v>185</v>
      </c>
      <c r="B953" s="48"/>
      <c r="C953" s="48" t="s">
        <v>412</v>
      </c>
      <c r="D953" s="48" t="s">
        <v>1465</v>
      </c>
      <c r="E953" s="48" t="s">
        <v>1466</v>
      </c>
      <c r="F953" s="5" t="s">
        <v>435</v>
      </c>
      <c r="G953" s="47" t="s">
        <v>603</v>
      </c>
      <c r="H953" s="5">
        <v>10.0</v>
      </c>
      <c r="I953" s="5"/>
      <c r="J953" s="5" t="s">
        <v>603</v>
      </c>
      <c r="K953" s="5"/>
      <c r="L953" s="5" t="s">
        <v>603</v>
      </c>
      <c r="M953" s="5"/>
      <c r="N953" s="5" t="s">
        <v>603</v>
      </c>
      <c r="O953" s="5"/>
      <c r="P953" s="5">
        <v>50.0</v>
      </c>
      <c r="Q953" s="5"/>
      <c r="R953" s="5" t="s">
        <v>603</v>
      </c>
      <c r="S953" s="5"/>
      <c r="T953" s="5" t="s">
        <v>603</v>
      </c>
      <c r="U953" s="5"/>
      <c r="V953" s="5" t="s">
        <v>603</v>
      </c>
      <c r="W953" s="5"/>
      <c r="X953" s="5">
        <v>110.0</v>
      </c>
      <c r="Y953" s="5"/>
      <c r="Z953" s="5" t="s">
        <v>603</v>
      </c>
      <c r="AA953" s="5"/>
      <c r="AB953" s="5" t="s">
        <v>437</v>
      </c>
      <c r="AC953" s="47">
        <v>170.0</v>
      </c>
    </row>
    <row r="954" hidden="1">
      <c r="A954" s="222" t="str">
        <f t="array" ref="A954:A955">{"FormulaRow21";(INDEX(CLASSLIST,A913,1))}</f>
        <v>FormulaRow21</v>
      </c>
      <c r="B954" s="77" t="s">
        <v>236</v>
      </c>
      <c r="C954" s="222" t="str">
        <f t="array" ref="C954:C955">{"CLASSTYPE";((INDEX(ALLCLASSDATA,MATCH("ClassType",CLASSFEATUREHEADERS,0),MATCH($A955,CLASSNAMEHEADERS,0))))}</f>
        <v>CLASSTYPE</v>
      </c>
      <c r="D954" s="222" t="str">
        <f t="array" ref="D954:D955">{"DC";"DC"}</f>
        <v>DC</v>
      </c>
      <c r="E954" s="222" t="str">
        <f t="array" ref="E954:E955">{"SPELLDC";"SpellDC"}</f>
        <v>SPELLDC</v>
      </c>
      <c r="F954" s="223" t="str">
        <f t="array" ref="F954:F955">{"SPELLDCINITIAL";((IF(H955=10,"T",(IF(H955=50,"E","")))))}</f>
        <v>SPELLDCINITIAL</v>
      </c>
      <c r="G954" s="223" t="str">
        <f t="array" ref="G954:G955">{"SPELLDCINITIALPTS";((IF("00"=(INDEX(ALLCLASSDATA,MATCH("SpellDCLegendary",CLASSFEATUREHEADERS,0),MATCH($A955,CLASSNAMEHEADERS,0))),(INDEX(ALLCLASSDATA,MATCH("SpellDCLegendary",CLASSFEATUREHEADERS,0),MATCH(($A955 &amp; "Points"),CLASSNAMEHEADERS,0))),(IF("00"=(INDEX(ALLCLASSDATA,MATCH("SpellDCMaster",CLASSFEATUREHEADERS,0),MATCH($A955,CLASSNAMEHEADERS,0))),(INDEX(ALLCLASSDATA,MATCH("SpellDCMaster",CLASSFEATUREHEADERS,0),MATCH(($A955 &amp; "Points"),CLASSNAMEHEADERS,0))),(IF("00"=(INDEX(ALLCLASSDATA,MATCH("SpellDCExpert",CLASSFEATUREHEADERS,0),MATCH($A955,CLASSNAMEHEADERS,0))),(INDEX(ALLCLASSDATA,MATCH("SpellDCExpert",CLASSFEATUREHEADERS,0),MATCH(($A955 &amp; "Points"),CLASSNAMEHEADERS,0))),(IF("00"=(INDEX(ALLCLASSDATA,MATCH("SpellDCTrained",CLASSFEATUREHEADERS,0),MATCH($A955,CLASSNAMEHEADERS,0))),(INDEX(ALLCLASSDATA,MATCH("SpellDCTrained",CLASSFEATUREHEADERS,0),MATCH(($A955 &amp; "Points"),CLASSNAMEHEADERS,0))),"")))))))))}</f>
        <v>SPELLDCINITIALPTS</v>
      </c>
      <c r="H954" s="223" t="str">
        <f t="array" ref="H954:H955">{"SPELLDCL01";((IF("01"=(INDEX(ALLCLASSDATA,MATCH("SpellDCLegendary",CLASSFEATUREHEADERS,0),MATCH($A955,CLASSNAMEHEADERS,0))),(INDEX(ALLCLASSDATA,MATCH("SpellDCLegendary",CLASSFEATUREHEADERS,0),MATCH(($A955 &amp; "Points"),CLASSNAMEHEADERS,0))),(IF("01"=(INDEX(ALLCLASSDATA,MATCH("SpellDCMaster",CLASSFEATUREHEADERS,0),MATCH($A955,CLASSNAMEHEADERS,0))),(INDEX(ALLCLASSDATA,MATCH("SpellDCMaster",CLASSFEATUREHEADERS,0),MATCH(($A955 &amp; "Points"),CLASSNAMEHEADERS,0))),(IF("01"=(INDEX(ALLCLASSDATA,MATCH("SpellDCExpert",CLASSFEATUREHEADERS,0),MATCH($A955,CLASSNAMEHEADERS,0))),(INDEX(ALLCLASSDATA,MATCH("SpellDCExpert",CLASSFEATUREHEADERS,0),MATCH(($A955 &amp; "Points"),CLASSNAMEHEADERS,0))),(IF("01"=(INDEX(ALLCLASSDATA,MATCH("SpellDCTrained",CLASSFEATUREHEADERS,0),MATCH($A955,CLASSNAMEHEADERS,0))),(INDEX(ALLCLASSDATA,MATCH("SpellDCTrained",CLASSFEATUREHEADERS,0),MATCH(($A955 &amp; "Points"),CLASSNAMEHEADERS,0))),"")))))))))}</f>
        <v>SPELLDCL01</v>
      </c>
      <c r="I954" s="223"/>
      <c r="J954" s="223" t="str">
        <f t="array" ref="J954:J955">{"SPELLDCL03";((IF("03"=(INDEX(ALLCLASSDATA,MATCH("SpellDCLegendary",CLASSFEATUREHEADERS,0),MATCH($A955,CLASSNAMEHEADERS,0))),(INDEX(ALLCLASSDATA,MATCH("SpellDCLegendary",CLASSFEATUREHEADERS,0),MATCH(($A955 &amp; "Points"),CLASSNAMEHEADERS,0))),(IF("03"=(INDEX(ALLCLASSDATA,MATCH("SpellDCMaster",CLASSFEATUREHEADERS,0),MATCH($A955,CLASSNAMEHEADERS,0))),(INDEX(ALLCLASSDATA,MATCH("SpellDCMaster",CLASSFEATUREHEADERS,0),MATCH(($A955 &amp; "Points"),CLASSNAMEHEADERS,0))),(IF("03"=(INDEX(ALLCLASSDATA,MATCH("SpellDCExpert",CLASSFEATUREHEADERS,0),MATCH($A955,CLASSNAMEHEADERS,0))),(INDEX(ALLCLASSDATA,MATCH("SpellDCExpert",CLASSFEATUREHEADERS,0),MATCH(($A955 &amp; "Points"),CLASSNAMEHEADERS,0))),(IF("03"=(INDEX(ALLCLASSDATA,MATCH("SpellDCTrained",CLASSFEATUREHEADERS,0),MATCH($A955,CLASSNAMEHEADERS,0))),(INDEX(ALLCLASSDATA,MATCH("SpellDCTrained",CLASSFEATUREHEADERS,0),MATCH(($A955 &amp; "Points"),CLASSNAMEHEADERS,0))),"")))))))))}</f>
        <v>SPELLDCL03</v>
      </c>
      <c r="K954" s="223"/>
      <c r="L954" s="223" t="str">
        <f t="array" ref="L954:L955">{"SPELLDCL05";((IF("05"=(INDEX(ALLCLASSDATA,MATCH("SpellDCLegendary",CLASSFEATUREHEADERS,0),MATCH($A955,CLASSNAMEHEADERS,0))),(INDEX(ALLCLASSDATA,MATCH("SpellDCLegendary",CLASSFEATUREHEADERS,0),MATCH(($A955 &amp; "Points"),CLASSNAMEHEADERS,0))),(IF("05"=(INDEX(ALLCLASSDATA,MATCH("SpellDCMaster",CLASSFEATUREHEADERS,0),MATCH($A955,CLASSNAMEHEADERS,0))),(INDEX(ALLCLASSDATA,MATCH("SpellDCMaster",CLASSFEATUREHEADERS,0),MATCH(($A955 &amp; "Points"),CLASSNAMEHEADERS,0))),(IF("05"=(INDEX(ALLCLASSDATA,MATCH("SpellDCExpert",CLASSFEATUREHEADERS,0),MATCH($A955,CLASSNAMEHEADERS,0))),(INDEX(ALLCLASSDATA,MATCH("SpellDCExpert",CLASSFEATUREHEADERS,0),MATCH(($A955 &amp; "Points"),CLASSNAMEHEADERS,0))),(IF("05"=(INDEX(ALLCLASSDATA,MATCH("SpellDCTrained",CLASSFEATUREHEADERS,0),MATCH($A955,CLASSNAMEHEADERS,0))),(INDEX(ALLCLASSDATA,MATCH("SpellDCTrained",CLASSFEATUREHEADERS,0),MATCH(($A955 &amp; "Points"),CLASSNAMEHEADERS,0))),"")))))))))}</f>
        <v>SPELLDCL05</v>
      </c>
      <c r="M954" s="223"/>
      <c r="N954" s="223" t="str">
        <f t="array" ref="N954:N955">{"SPELLDCL07";((IF("07"=(INDEX(ALLCLASSDATA,MATCH("SpellDCLegendary",CLASSFEATUREHEADERS,0),MATCH($A955,CLASSNAMEHEADERS,0))),(INDEX(ALLCLASSDATA,MATCH("SpellDCLegendary",CLASSFEATUREHEADERS,0),MATCH(($A955 &amp; "Points"),CLASSNAMEHEADERS,0))),(IF("07"=(INDEX(ALLCLASSDATA,MATCH("SpellDCMaster",CLASSFEATUREHEADERS,0),MATCH($A955,CLASSNAMEHEADERS,0))),(INDEX(ALLCLASSDATA,MATCH("SpellDCMaster",CLASSFEATUREHEADERS,0),MATCH(($A955 &amp; "Points"),CLASSNAMEHEADERS,0))),(IF("07"=(INDEX(ALLCLASSDATA,MATCH("SpellDCExpert",CLASSFEATUREHEADERS,0),MATCH($A955,CLASSNAMEHEADERS,0))),(INDEX(ALLCLASSDATA,MATCH("SpellDCExpert",CLASSFEATUREHEADERS,0),MATCH(($A955 &amp; "Points"),CLASSNAMEHEADERS,0))),(IF("07"=(INDEX(ALLCLASSDATA,MATCH("SpellDCTrained",CLASSFEATUREHEADERS,0),MATCH($A955,CLASSNAMEHEADERS,0))),(INDEX(ALLCLASSDATA,MATCH("SpellDCTrained",CLASSFEATUREHEADERS,0),MATCH(($A955 &amp; "Points"),CLASSNAMEHEADERS,0))),"")))))))))}</f>
        <v>SPELLDCL07</v>
      </c>
      <c r="O954" s="223"/>
      <c r="P954" s="223" t="str">
        <f t="array" ref="P954:P955">{"SPELLDCL09";((IF("09"=(INDEX(ALLCLASSDATA,MATCH("SpellDCLegendary",CLASSFEATUREHEADERS,0),MATCH($A955,CLASSNAMEHEADERS,0))),(INDEX(ALLCLASSDATA,MATCH("SpellDCLegendary",CLASSFEATUREHEADERS,0),MATCH(($A955 &amp; "Points"),CLASSNAMEHEADERS,0))),(IF("09"=(INDEX(ALLCLASSDATA,MATCH("SpellDCMaster",CLASSFEATUREHEADERS,0),MATCH($A955,CLASSNAMEHEADERS,0))),(INDEX(ALLCLASSDATA,MATCH("SpellDCMaster",CLASSFEATUREHEADERS,0),MATCH(($A955 &amp; "Points"),CLASSNAMEHEADERS,0))),(IF("09"=(INDEX(ALLCLASSDATA,MATCH("SpellDCExpert",CLASSFEATUREHEADERS,0),MATCH($A955,CLASSNAMEHEADERS,0))),(INDEX(ALLCLASSDATA,MATCH("SpellDCExpert",CLASSFEATUREHEADERS,0),MATCH(($A955 &amp; "Points"),CLASSNAMEHEADERS,0))),(IF("09"=(INDEX(ALLCLASSDATA,MATCH("SpellDCTrained",CLASSFEATUREHEADERS,0),MATCH($A955,CLASSNAMEHEADERS,0))),(INDEX(ALLCLASSDATA,MATCH("SpellDCTrained",CLASSFEATUREHEADERS,0),MATCH(($A955 &amp; "Points"),CLASSNAMEHEADERS,0))),"")))))))))}</f>
        <v>SPELLDCL09</v>
      </c>
      <c r="Q954" s="223"/>
      <c r="R954" s="223" t="str">
        <f t="array" ref="R954:R955">{"SPELLDCL11";((IF("11"=(INDEX(ALLCLASSDATA,MATCH("SpellDCLegendary",CLASSFEATUREHEADERS,0),MATCH($A955,CLASSNAMEHEADERS,0))),(INDEX(ALLCLASSDATA,MATCH("SpellDCLegendary",CLASSFEATUREHEADERS,0),MATCH(($A955 &amp; "Points"),CLASSNAMEHEADERS,0))),(IF("11"=(INDEX(ALLCLASSDATA,MATCH("SpellDCMaster",CLASSFEATUREHEADERS,0),MATCH($A955,CLASSNAMEHEADERS,0))),(INDEX(ALLCLASSDATA,MATCH("SpellDCMaster",CLASSFEATUREHEADERS,0),MATCH(($A955 &amp; "Points"),CLASSNAMEHEADERS,0))),(IF("11"=(INDEX(ALLCLASSDATA,MATCH("SpellDCExpert",CLASSFEATUREHEADERS,0),MATCH($A955,CLASSNAMEHEADERS,0))),(INDEX(ALLCLASSDATA,MATCH("SpellDCExpert",CLASSFEATUREHEADERS,0),MATCH(($A955 &amp; "Points"),CLASSNAMEHEADERS,0))),(IF("11"=(INDEX(ALLCLASSDATA,MATCH("SpellDCTrained",CLASSFEATUREHEADERS,0),MATCH($A955,CLASSNAMEHEADERS,0))),(INDEX(ALLCLASSDATA,MATCH("SpellDCTrained",CLASSFEATUREHEADERS,0),MATCH(($A955 &amp; "Points"),CLASSNAMEHEADERS,0))),"")))))))))}</f>
        <v>SPELLDCL11</v>
      </c>
      <c r="S954" s="223"/>
      <c r="T954" s="223" t="str">
        <f t="array" ref="T954:T955">{"SPELLDCL13";((IF("13"=(INDEX(ALLCLASSDATA,MATCH("SpellDCLegendary",CLASSFEATUREHEADERS,0),MATCH($A955,CLASSNAMEHEADERS,0))),(INDEX(ALLCLASSDATA,MATCH("SpellDCLegendary",CLASSFEATUREHEADERS,0),MATCH(($A955 &amp; "Points"),CLASSNAMEHEADERS,0))),(IF("13"=(INDEX(ALLCLASSDATA,MATCH("SpellDCMaster",CLASSFEATUREHEADERS,0),MATCH($A955,CLASSNAMEHEADERS,0))),(INDEX(ALLCLASSDATA,MATCH("SpellDCMaster",CLASSFEATUREHEADERS,0),MATCH(($A955 &amp; "Points"),CLASSNAMEHEADERS,0))),(IF("13"=(INDEX(ALLCLASSDATA,MATCH("SpellDCExpert",CLASSFEATUREHEADERS,0),MATCH($A955,CLASSNAMEHEADERS,0))),(INDEX(ALLCLASSDATA,MATCH("SpellDCExpert",CLASSFEATUREHEADERS,0),MATCH(($A955 &amp; "Points"),CLASSNAMEHEADERS,0))),(IF("13"=(INDEX(ALLCLASSDATA,MATCH("SpellDCTrained",CLASSFEATUREHEADERS,0),MATCH($A955,CLASSNAMEHEADERS,0))),(INDEX(ALLCLASSDATA,MATCH("SpellDCTrained",CLASSFEATUREHEADERS,0),MATCH(($A955 &amp; "Points"),CLASSNAMEHEADERS,0))),"")))))))))}</f>
        <v>SPELLDCL13</v>
      </c>
      <c r="U954" s="223"/>
      <c r="V954" s="223" t="str">
        <f t="array" ref="V954:V955">{"SPELLDCL15";((IF("15"=(INDEX(ALLCLASSDATA,MATCH("SpellDCLegendary",CLASSFEATUREHEADERS,0),MATCH($A955,CLASSNAMEHEADERS,0))),(INDEX(ALLCLASSDATA,MATCH("SpellDCLegendary",CLASSFEATUREHEADERS,0),MATCH(($A955 &amp; "Points"),CLASSNAMEHEADERS,0))),(IF("15"=(INDEX(ALLCLASSDATA,MATCH("SpellDCMaster",CLASSFEATUREHEADERS,0),MATCH($A955,CLASSNAMEHEADERS,0))),(INDEX(ALLCLASSDATA,MATCH("SpellDCMaster",CLASSFEATUREHEADERS,0),MATCH(($A955 &amp; "Points"),CLASSNAMEHEADERS,0))),(IF("15"=(INDEX(ALLCLASSDATA,MATCH("SpellDCExpert",CLASSFEATUREHEADERS,0),MATCH($A955,CLASSNAMEHEADERS,0))),(INDEX(ALLCLASSDATA,MATCH("SpellDCExpert",CLASSFEATUREHEADERS,0),MATCH(($A955 &amp; "Points"),CLASSNAMEHEADERS,0))),(IF("15"=(INDEX(ALLCLASSDATA,MATCH("SpellDCTrained",CLASSFEATUREHEADERS,0),MATCH($A955,CLASSNAMEHEADERS,0))),(INDEX(ALLCLASSDATA,MATCH("SpellDCTrained",CLASSFEATUREHEADERS,0),MATCH(($A955 &amp; "Points"),CLASSNAMEHEADERS,0))),"")))))))))}</f>
        <v>SPELLDCL15</v>
      </c>
      <c r="W954" s="223"/>
      <c r="X954" s="223" t="str">
        <f t="array" ref="X954:X955">{"SPELLDCL17";((IF("17"=(INDEX(ALLCLASSDATA,MATCH("SpellDCLegendary",CLASSFEATUREHEADERS,0),MATCH($A955,CLASSNAMEHEADERS,0))),(INDEX(ALLCLASSDATA,MATCH("SpellDCLegendary",CLASSFEATUREHEADERS,0),MATCH(($A955 &amp; "Points"),CLASSNAMEHEADERS,0))),(IF("17"=(INDEX(ALLCLASSDATA,MATCH("SpellDCMaster",CLASSFEATUREHEADERS,0),MATCH($A955,CLASSNAMEHEADERS,0))),(INDEX(ALLCLASSDATA,MATCH("SpellDCMaster",CLASSFEATUREHEADERS,0),MATCH(($A955 &amp; "Points"),CLASSNAMEHEADERS,0))),(IF("17"=(INDEX(ALLCLASSDATA,MATCH("SpellDCExpert",CLASSFEATUREHEADERS,0),MATCH($A955,CLASSNAMEHEADERS,0))),(INDEX(ALLCLASSDATA,MATCH("SpellDCExpert",CLASSFEATUREHEADERS,0),MATCH(($A955 &amp; "Points"),CLASSNAMEHEADERS,0))),(IF("17"=(INDEX(ALLCLASSDATA,MATCH("SpellDCTrained",CLASSFEATUREHEADERS,0),MATCH($A955,CLASSNAMEHEADERS,0))),(INDEX(ALLCLASSDATA,MATCH("SpellDCTrained",CLASSFEATUREHEADERS,0),MATCH(($A955 &amp; "Points"),CLASSNAMEHEADERS,0))),"")))))))))}</f>
        <v>SPELLDCL17</v>
      </c>
      <c r="Y954" s="223"/>
      <c r="Z954" s="223" t="str">
        <f t="array" ref="Z954:Z955">{"SPELLDCL19";((IF("19"=(INDEX(ALLCLASSDATA,MATCH("SpellDCLegendary",CLASSFEATUREHEADERS,0),MATCH($A955,CLASSNAMEHEADERS,0))),(INDEX(ALLCLASSDATA,MATCH("SpellDCLegendary",CLASSFEATUREHEADERS,0),MATCH(($A955 &amp; "Points"),CLASSNAMEHEADERS,0))),(IF("19"=(INDEX(ALLCLASSDATA,MATCH("SpellDCMaster",CLASSFEATUREHEADERS,0),MATCH($A955,CLASSNAMEHEADERS,0))),(INDEX(ALLCLASSDATA,MATCH("SpellDCMaster",CLASSFEATUREHEADERS,0),MATCH(($A955 &amp; "Points"),CLASSNAMEHEADERS,0))),(IF("19"=(INDEX(ALLCLASSDATA,MATCH("SpellDCExpert",CLASSFEATUREHEADERS,0),MATCH($A955,CLASSNAMEHEADERS,0))),(INDEX(ALLCLASSDATA,MATCH("SpellDCExpert",CLASSFEATUREHEADERS,0),MATCH(($A955 &amp; "Points"),CLASSNAMEHEADERS,0))),(IF("19"=(INDEX(ALLCLASSDATA,MATCH("SpellDCTrained",CLASSFEATUREHEADERS,0),MATCH($A955,CLASSNAMEHEADERS,0))),(INDEX(ALLCLASSDATA,MATCH("SpellDCTrained",CLASSFEATUREHEADERS,0),MATCH(($A955 &amp; "Points"),CLASSNAMEHEADERS,0))),"")))))))))}</f>
        <v>SPELLDCL19</v>
      </c>
      <c r="AA954" s="223"/>
      <c r="AB954" s="76" t="str">
        <f t="array" ref="AB954:AB955">{"SPELLDC TOTAL";(IF(COUNTBLANK(G955:AA955)=17,"L",(IF(COUNTBLANK(G955:AA955)=18,"M",(IF(COUNTBLANK(G955:AA955)=19,"E",(IF(COUNTBLANK(G955:AA955)=20,"T",""))))))))}</f>
        <v>SPELLDC TOTAL</v>
      </c>
      <c r="AC954" s="76" t="str">
        <f t="array" ref="AC954:AC955">{"SPELLDC TOTAL";(sum(G955:AA955))}</f>
        <v>SPELLDC TOTAL</v>
      </c>
    </row>
    <row r="955">
      <c r="A955" s="48" t="s">
        <v>185</v>
      </c>
      <c r="B955" s="48"/>
      <c r="C955" s="48" t="s">
        <v>412</v>
      </c>
      <c r="D955" s="97" t="s">
        <v>1465</v>
      </c>
      <c r="E955" s="97" t="s">
        <v>1485</v>
      </c>
      <c r="F955" s="98" t="s">
        <v>603</v>
      </c>
      <c r="G955" s="132" t="s">
        <v>603</v>
      </c>
      <c r="H955" s="98" t="s">
        <v>603</v>
      </c>
      <c r="I955" s="98"/>
      <c r="J955" s="98" t="s">
        <v>603</v>
      </c>
      <c r="K955" s="98"/>
      <c r="L955" s="98" t="s">
        <v>603</v>
      </c>
      <c r="M955" s="98"/>
      <c r="N955" s="98" t="s">
        <v>603</v>
      </c>
      <c r="O955" s="98"/>
      <c r="P955" s="98" t="s">
        <v>603</v>
      </c>
      <c r="Q955" s="98"/>
      <c r="R955" s="98" t="s">
        <v>603</v>
      </c>
      <c r="S955" s="98"/>
      <c r="T955" s="98" t="s">
        <v>603</v>
      </c>
      <c r="U955" s="98"/>
      <c r="V955" s="98" t="s">
        <v>603</v>
      </c>
      <c r="W955" s="98"/>
      <c r="X955" s="98" t="s">
        <v>603</v>
      </c>
      <c r="Y955" s="98"/>
      <c r="Z955" s="98" t="s">
        <v>603</v>
      </c>
      <c r="AA955" s="98"/>
      <c r="AB955" s="5" t="s">
        <v>603</v>
      </c>
      <c r="AC955" s="47">
        <v>0.0</v>
      </c>
    </row>
    <row r="956" hidden="1">
      <c r="A956" s="222" t="str">
        <f t="array" ref="A956:A957">{"FormulaRow22";(INDEX(CLASSLIST,A913,1))}</f>
        <v>FormulaRow22</v>
      </c>
      <c r="B956" s="77" t="s">
        <v>236</v>
      </c>
      <c r="C956" s="222" t="str">
        <f t="array" ref="C956:C957">{"CLASSTYPE";((INDEX(ALLCLASSDATA,MATCH("ClassType",CLASSFEATUREHEADERS,0),MATCH($A957,CLASSNAMEHEADERS,0))))}</f>
        <v>CLASSTYPE</v>
      </c>
      <c r="D956" s="228" t="str">
        <f t="shared" ref="D956:E956" si="11">{"PERCEPTION";"Perception"}</f>
        <v>PERCEPTION</v>
      </c>
      <c r="E956" s="228" t="str">
        <f t="shared" si="11"/>
        <v>PERCEPTION</v>
      </c>
      <c r="F956" s="230" t="str">
        <f t="array" ref="F956:F957">{"PERCEPTIONINITIAL";((IF(H957=10,"T",(IF(H957=50,"E","")))))}</f>
        <v>PERCEPTIONINITIAL</v>
      </c>
      <c r="G956" s="230" t="str">
        <f t="array" ref="G956:G957">{"PERCEPTIONINITIALPTS";((IF("00"=(INDEX(ALLCLASSDATA,MATCH("PerceptionLegendary",CLASSFEATUREHEADERS,0),MATCH($A957,CLASSNAMEHEADERS,0))),(INDEX(ALLCLASSDATA,MATCH("PerceptionLegendary",CLASSFEATUREHEADERS,0),MATCH(($A957 &amp; "Points"),CLASSNAMEHEADERS,0))),(IF("00"=(INDEX(ALLCLASSDATA,MATCH("PerceptionMaster",CLASSFEATUREHEADERS,0),MATCH($A957,CLASSNAMEHEADERS,0))),(INDEX(ALLCLASSDATA,MATCH("PerceptionMaster",CLASSFEATUREHEADERS,0),MATCH(($A957 &amp; "Points"),CLASSNAMEHEADERS,0))),(IF("00"=(INDEX(ALLCLASSDATA,MATCH("PerceptionExpert",CLASSFEATUREHEADERS,0),MATCH($A957,CLASSNAMEHEADERS,0))),(INDEX(ALLCLASSDATA,MATCH("PerceptionExpert",CLASSFEATUREHEADERS,0),MATCH(($A957 &amp; "Points"),CLASSNAMEHEADERS,0))),(IF("00"=(INDEX(ALLCLASSDATA,MATCH("PerceptionTrained",CLASSFEATUREHEADERS,0),MATCH($A957,CLASSNAMEHEADERS,0))),(INDEX(ALLCLASSDATA,MATCH("PerceptionTrained",CLASSFEATUREHEADERS,0),MATCH(($A957 &amp; "Points"),CLASSNAMEHEADERS,0))),"")))))))))}</f>
        <v>PERCEPTIONINITIALPTS</v>
      </c>
      <c r="H956" s="230" t="str">
        <f t="array" ref="H956:H957">{"PERCEPTIONL01";((IF("01"=(INDEX(ALLCLASSDATA,MATCH("PerceptionLegendary",CLASSFEATUREHEADERS,0),MATCH($A957,CLASSNAMEHEADERS,0))),(INDEX(ALLCLASSDATA,MATCH("PerceptionLegendary",CLASSFEATUREHEADERS,0),MATCH(($A957 &amp; "Points"),CLASSNAMEHEADERS,0))),(IF("01"=(INDEX(ALLCLASSDATA,MATCH("PerceptionMaster",CLASSFEATUREHEADERS,0),MATCH($A957,CLASSNAMEHEADERS,0))),(INDEX(ALLCLASSDATA,MATCH("PerceptionMaster",CLASSFEATUREHEADERS,0),MATCH(($A957 &amp; "Points"),CLASSNAMEHEADERS,0))),(IF("01"=(INDEX(ALLCLASSDATA,MATCH("PerceptionExpert",CLASSFEATUREHEADERS,0),MATCH($A957,CLASSNAMEHEADERS,0))),(INDEX(ALLCLASSDATA,MATCH("PerceptionExpert",CLASSFEATUREHEADERS,0),MATCH(($A957 &amp; "Points"),CLASSNAMEHEADERS,0))),(IF("01"=(INDEX(ALLCLASSDATA,MATCH("PerceptionTrained",CLASSFEATUREHEADERS,0),MATCH($A957,CLASSNAMEHEADERS,0))),(INDEX(ALLCLASSDATA,MATCH("PerceptionTrained",CLASSFEATUREHEADERS,0),MATCH(($A957 &amp; "Points"),CLASSNAMEHEADERS,0))),"")))))))))}</f>
        <v>PERCEPTIONL01</v>
      </c>
      <c r="I956" s="230"/>
      <c r="J956" s="230" t="str">
        <f t="array" ref="J956:J957">{"PERCEPTIONL03";((IF("03"=(INDEX(ALLCLASSDATA,MATCH("PerceptionLegendary",CLASSFEATUREHEADERS,0),MATCH($A957,CLASSNAMEHEADERS,0))),(INDEX(ALLCLASSDATA,MATCH("PerceptionLegendary",CLASSFEATUREHEADERS,0),MATCH(($A957 &amp; "Points"),CLASSNAMEHEADERS,0))),(IF("03"=(INDEX(ALLCLASSDATA,MATCH("PerceptionMaster",CLASSFEATUREHEADERS,0),MATCH($A957,CLASSNAMEHEADERS,0))),(INDEX(ALLCLASSDATA,MATCH("PerceptionMaster",CLASSFEATUREHEADERS,0),MATCH(($A957 &amp; "Points"),CLASSNAMEHEADERS,0))),(IF("03"=(INDEX(ALLCLASSDATA,MATCH("PerceptionExpert",CLASSFEATUREHEADERS,0),MATCH($A957,CLASSNAMEHEADERS,0))),(INDEX(ALLCLASSDATA,MATCH("PerceptionExpert",CLASSFEATUREHEADERS,0),MATCH(($A957 &amp; "Points"),CLASSNAMEHEADERS,0))),(IF("03"=(INDEX(ALLCLASSDATA,MATCH("PerceptionTrained",CLASSFEATUREHEADERS,0),MATCH($A957,CLASSNAMEHEADERS,0))),(INDEX(ALLCLASSDATA,MATCH("PerceptionTrained",CLASSFEATUREHEADERS,0),MATCH(($A957 &amp; "Points"),CLASSNAMEHEADERS,0))),"")))))))))}</f>
        <v>PERCEPTIONL03</v>
      </c>
      <c r="K956" s="230"/>
      <c r="L956" s="230" t="str">
        <f t="array" ref="L956:L957">{"PERCEPTIONL05";((IF("05"=(INDEX(ALLCLASSDATA,MATCH("PerceptionLegendary",CLASSFEATUREHEADERS,0),MATCH($A957,CLASSNAMEHEADERS,0))),(INDEX(ALLCLASSDATA,MATCH("PerceptionLegendary",CLASSFEATUREHEADERS,0),MATCH(($A957 &amp; "Points"),CLASSNAMEHEADERS,0))),(IF("05"=(INDEX(ALLCLASSDATA,MATCH("PerceptionMaster",CLASSFEATUREHEADERS,0),MATCH($A957,CLASSNAMEHEADERS,0))),(INDEX(ALLCLASSDATA,MATCH("PerceptionMaster",CLASSFEATUREHEADERS,0),MATCH(($A957 &amp; "Points"),CLASSNAMEHEADERS,0))),(IF("05"=(INDEX(ALLCLASSDATA,MATCH("PerceptionExpert",CLASSFEATUREHEADERS,0),MATCH($A957,CLASSNAMEHEADERS,0))),(INDEX(ALLCLASSDATA,MATCH("PerceptionExpert",CLASSFEATUREHEADERS,0),MATCH(($A957 &amp; "Points"),CLASSNAMEHEADERS,0))),(IF("05"=(INDEX(ALLCLASSDATA,MATCH("PerceptionTrained",CLASSFEATUREHEADERS,0),MATCH($A957,CLASSNAMEHEADERS,0))),(INDEX(ALLCLASSDATA,MATCH("PerceptionTrained",CLASSFEATUREHEADERS,0),MATCH(($A957 &amp; "Points"),CLASSNAMEHEADERS,0))),"")))))))))}</f>
        <v>PERCEPTIONL05</v>
      </c>
      <c r="M956" s="230"/>
      <c r="N956" s="230" t="str">
        <f t="array" ref="N956:N957">{"PERCEPTIONL07";((IF("07"=(INDEX(ALLCLASSDATA,MATCH("PerceptionLegendary",CLASSFEATUREHEADERS,0),MATCH($A957,CLASSNAMEHEADERS,0))),(INDEX(ALLCLASSDATA,MATCH("PerceptionLegendary",CLASSFEATUREHEADERS,0),MATCH(($A957 &amp; "Points"),CLASSNAMEHEADERS,0))),(IF("07"=(INDEX(ALLCLASSDATA,MATCH("PerceptionMaster",CLASSFEATUREHEADERS,0),MATCH($A957,CLASSNAMEHEADERS,0))),(INDEX(ALLCLASSDATA,MATCH("PerceptionMaster",CLASSFEATUREHEADERS,0),MATCH(($A957 &amp; "Points"),CLASSNAMEHEADERS,0))),(IF("07"=(INDEX(ALLCLASSDATA,MATCH("PerceptionExpert",CLASSFEATUREHEADERS,0),MATCH($A957,CLASSNAMEHEADERS,0))),(INDEX(ALLCLASSDATA,MATCH("PerceptionExpert",CLASSFEATUREHEADERS,0),MATCH(($A957 &amp; "Points"),CLASSNAMEHEADERS,0))),(IF("07"=(INDEX(ALLCLASSDATA,MATCH("PerceptionTrained",CLASSFEATUREHEADERS,0),MATCH($A957,CLASSNAMEHEADERS,0))),(INDEX(ALLCLASSDATA,MATCH("PerceptionTrained",CLASSFEATUREHEADERS,0),MATCH(($A957 &amp; "Points"),CLASSNAMEHEADERS,0))),"")))))))))}</f>
        <v>PERCEPTIONL07</v>
      </c>
      <c r="O956" s="230"/>
      <c r="P956" s="230" t="str">
        <f t="array" ref="P956:P957">{"PERCEPTIONL09";((IF("09"=(INDEX(ALLCLASSDATA,MATCH("PerceptionLegendary",CLASSFEATUREHEADERS,0),MATCH($A957,CLASSNAMEHEADERS,0))),(INDEX(ALLCLASSDATA,MATCH("PerceptionLegendary",CLASSFEATUREHEADERS,0),MATCH(($A957 &amp; "Points"),CLASSNAMEHEADERS,0))),(IF("09"=(INDEX(ALLCLASSDATA,MATCH("PerceptionMaster",CLASSFEATUREHEADERS,0),MATCH($A957,CLASSNAMEHEADERS,0))),(INDEX(ALLCLASSDATA,MATCH("PerceptionMaster",CLASSFEATUREHEADERS,0),MATCH(($A957 &amp; "Points"),CLASSNAMEHEADERS,0))),(IF("09"=(INDEX(ALLCLASSDATA,MATCH("PerceptionExpert",CLASSFEATUREHEADERS,0),MATCH($A957,CLASSNAMEHEADERS,0))),(INDEX(ALLCLASSDATA,MATCH("PerceptionExpert",CLASSFEATUREHEADERS,0),MATCH(($A957 &amp; "Points"),CLASSNAMEHEADERS,0))),(IF("09"=(INDEX(ALLCLASSDATA,MATCH("PerceptionTrained",CLASSFEATUREHEADERS,0),MATCH($A957,CLASSNAMEHEADERS,0))),(INDEX(ALLCLASSDATA,MATCH("PerceptionTrained",CLASSFEATUREHEADERS,0),MATCH(($A957 &amp; "Points"),CLASSNAMEHEADERS,0))),"")))))))))}</f>
        <v>PERCEPTIONL09</v>
      </c>
      <c r="Q956" s="230"/>
      <c r="R956" s="230" t="str">
        <f t="array" ref="R956:R957">{"PERCEPTIONL11";((IF("11"=(INDEX(ALLCLASSDATA,MATCH("PerceptionLegendary",CLASSFEATUREHEADERS,0),MATCH($A957,CLASSNAMEHEADERS,0))),(INDEX(ALLCLASSDATA,MATCH("PerceptionLegendary",CLASSFEATUREHEADERS,0),MATCH(($A957 &amp; "Points"),CLASSNAMEHEADERS,0))),(IF("11"=(INDEX(ALLCLASSDATA,MATCH("PerceptionMaster",CLASSFEATUREHEADERS,0),MATCH($A957,CLASSNAMEHEADERS,0))),(INDEX(ALLCLASSDATA,MATCH("PerceptionMaster",CLASSFEATUREHEADERS,0),MATCH(($A957 &amp; "Points"),CLASSNAMEHEADERS,0))),(IF("11"=(INDEX(ALLCLASSDATA,MATCH("PerceptionExpert",CLASSFEATUREHEADERS,0),MATCH($A957,CLASSNAMEHEADERS,0))),(INDEX(ALLCLASSDATA,MATCH("PerceptionExpert",CLASSFEATUREHEADERS,0),MATCH(($A957 &amp; "Points"),CLASSNAMEHEADERS,0))),(IF("11"=(INDEX(ALLCLASSDATA,MATCH("PerceptionTrained",CLASSFEATUREHEADERS,0),MATCH($A957,CLASSNAMEHEADERS,0))),(INDEX(ALLCLASSDATA,MATCH("PerceptionTrained",CLASSFEATUREHEADERS,0),MATCH(($A957 &amp; "Points"),CLASSNAMEHEADERS,0))),"")))))))))}</f>
        <v>PERCEPTIONL11</v>
      </c>
      <c r="S956" s="230"/>
      <c r="T956" s="230" t="str">
        <f t="array" ref="T956:T957">{"PERCEPTIONL13";((IF("13"=(INDEX(ALLCLASSDATA,MATCH("PerceptionLegendary",CLASSFEATUREHEADERS,0),MATCH($A957,CLASSNAMEHEADERS,0))),(INDEX(ALLCLASSDATA,MATCH("PerceptionLegendary",CLASSFEATUREHEADERS,0),MATCH(($A957 &amp; "Points"),CLASSNAMEHEADERS,0))),(IF("13"=(INDEX(ALLCLASSDATA,MATCH("PerceptionMaster",CLASSFEATUREHEADERS,0),MATCH($A957,CLASSNAMEHEADERS,0))),(INDEX(ALLCLASSDATA,MATCH("PerceptionMaster",CLASSFEATUREHEADERS,0),MATCH(($A957 &amp; "Points"),CLASSNAMEHEADERS,0))),(IF("13"=(INDEX(ALLCLASSDATA,MATCH("PerceptionExpert",CLASSFEATUREHEADERS,0),MATCH($A957,CLASSNAMEHEADERS,0))),(INDEX(ALLCLASSDATA,MATCH("PerceptionExpert",CLASSFEATUREHEADERS,0),MATCH(($A957 &amp; "Points"),CLASSNAMEHEADERS,0))),(IF("13"=(INDEX(ALLCLASSDATA,MATCH("PerceptionTrained",CLASSFEATUREHEADERS,0),MATCH($A957,CLASSNAMEHEADERS,0))),(INDEX(ALLCLASSDATA,MATCH("PerceptionTrained",CLASSFEATUREHEADERS,0),MATCH(($A957 &amp; "Points"),CLASSNAMEHEADERS,0))),"")))))))))}</f>
        <v>PERCEPTIONL13</v>
      </c>
      <c r="U956" s="230"/>
      <c r="V956" s="230" t="str">
        <f t="array" ref="V956:V957">{"PERCEPTIONL15";((IF("15"=(INDEX(ALLCLASSDATA,MATCH("PerceptionLegendary",CLASSFEATUREHEADERS,0),MATCH($A957,CLASSNAMEHEADERS,0))),(INDEX(ALLCLASSDATA,MATCH("PerceptionLegendary",CLASSFEATUREHEADERS,0),MATCH(($A957 &amp; "Points"),CLASSNAMEHEADERS,0))),(IF("15"=(INDEX(ALLCLASSDATA,MATCH("PerceptionMaster",CLASSFEATUREHEADERS,0),MATCH($A957,CLASSNAMEHEADERS,0))),(INDEX(ALLCLASSDATA,MATCH("PerceptionMaster",CLASSFEATUREHEADERS,0),MATCH(($A957 &amp; "Points"),CLASSNAMEHEADERS,0))),(IF("15"=(INDEX(ALLCLASSDATA,MATCH("PerceptionExpert",CLASSFEATUREHEADERS,0),MATCH($A957,CLASSNAMEHEADERS,0))),(INDEX(ALLCLASSDATA,MATCH("PerceptionExpert",CLASSFEATUREHEADERS,0),MATCH(($A957 &amp; "Points"),CLASSNAMEHEADERS,0))),(IF("15"=(INDEX(ALLCLASSDATA,MATCH("PerceptionTrained",CLASSFEATUREHEADERS,0),MATCH($A957,CLASSNAMEHEADERS,0))),(INDEX(ALLCLASSDATA,MATCH("PerceptionTrained",CLASSFEATUREHEADERS,0),MATCH(($A957 &amp; "Points"),CLASSNAMEHEADERS,0))),"")))))))))}</f>
        <v>PERCEPTIONL15</v>
      </c>
      <c r="W956" s="230"/>
      <c r="X956" s="230" t="str">
        <f t="array" ref="X956:X957">{"PERCEPTIONL17";((IF("17"=(INDEX(ALLCLASSDATA,MATCH("PerceptionLegendary",CLASSFEATUREHEADERS,0),MATCH($A957,CLASSNAMEHEADERS,0))),(INDEX(ALLCLASSDATA,MATCH("PerceptionLegendary",CLASSFEATUREHEADERS,0),MATCH(($A957 &amp; "Points"),CLASSNAMEHEADERS,0))),(IF("17"=(INDEX(ALLCLASSDATA,MATCH("PerceptionMaster",CLASSFEATUREHEADERS,0),MATCH($A957,CLASSNAMEHEADERS,0))),(INDEX(ALLCLASSDATA,MATCH("PerceptionMaster",CLASSFEATUREHEADERS,0),MATCH(($A957 &amp; "Points"),CLASSNAMEHEADERS,0))),(IF("17"=(INDEX(ALLCLASSDATA,MATCH("PerceptionExpert",CLASSFEATUREHEADERS,0),MATCH($A957,CLASSNAMEHEADERS,0))),(INDEX(ALLCLASSDATA,MATCH("PerceptionExpert",CLASSFEATUREHEADERS,0),MATCH(($A957 &amp; "Points"),CLASSNAMEHEADERS,0))),(IF("17"=(INDEX(ALLCLASSDATA,MATCH("PerceptionTrained",CLASSFEATUREHEADERS,0),MATCH($A957,CLASSNAMEHEADERS,0))),(INDEX(ALLCLASSDATA,MATCH("PerceptionTrained",CLASSFEATUREHEADERS,0),MATCH(($A957 &amp; "Points"),CLASSNAMEHEADERS,0))),"")))))))))}</f>
        <v>PERCEPTIONL17</v>
      </c>
      <c r="Y956" s="230"/>
      <c r="Z956" s="230" t="str">
        <f t="array" ref="Z956:Z957">{"PERCEPTIONL19";((IF("19"=(INDEX(ALLCLASSDATA,MATCH("PerceptionLegendary",CLASSFEATUREHEADERS,0),MATCH($A957,CLASSNAMEHEADERS,0))),(INDEX(ALLCLASSDATA,MATCH("PerceptionLegendary",CLASSFEATUREHEADERS,0),MATCH(($A957 &amp; "Points"),CLASSNAMEHEADERS,0))),(IF("19"=(INDEX(ALLCLASSDATA,MATCH("PerceptionMaster",CLASSFEATUREHEADERS,0),MATCH($A957,CLASSNAMEHEADERS,0))),(INDEX(ALLCLASSDATA,MATCH("PerceptionMaster",CLASSFEATUREHEADERS,0),MATCH(($A957 &amp; "Points"),CLASSNAMEHEADERS,0))),(IF("19"=(INDEX(ALLCLASSDATA,MATCH("PerceptionExpert",CLASSFEATUREHEADERS,0),MATCH($A957,CLASSNAMEHEADERS,0))),(INDEX(ALLCLASSDATA,MATCH("PerceptionExpert",CLASSFEATUREHEADERS,0),MATCH(($A957 &amp; "Points"),CLASSNAMEHEADERS,0))),(IF("19"=(INDEX(ALLCLASSDATA,MATCH("PerceptionTrained",CLASSFEATUREHEADERS,0),MATCH($A957,CLASSNAMEHEADERS,0))),(INDEX(ALLCLASSDATA,MATCH("PerceptionTrained",CLASSFEATUREHEADERS,0),MATCH(($A957 &amp; "Points"),CLASSNAMEHEADERS,0))),"")))))))))}</f>
        <v>PERCEPTIONL19</v>
      </c>
      <c r="AA956" s="230"/>
      <c r="AB956" s="76" t="str">
        <f t="array" ref="AB956:AB957">{"PERCEPTION TOTAL";(IF(COUNTBLANK(G957:AA957)=17,"L",(IF(COUNTBLANK(G957:AA957)=18,"M",(IF(COUNTBLANK(G957:AA957)=19,"E",(IF(COUNTBLANK(G957:AA957)=20,"T",""))))))))}</f>
        <v>PERCEPTION TOTAL</v>
      </c>
      <c r="AC956" s="76" t="str">
        <f t="array" ref="AC956:AC957">{"PERCEPTION TOTAL";(sum(G957:AA957))}</f>
        <v>PERCEPTION TOTAL</v>
      </c>
    </row>
    <row r="957">
      <c r="A957" s="48" t="s">
        <v>185</v>
      </c>
      <c r="B957" s="48"/>
      <c r="C957" s="48" t="s">
        <v>412</v>
      </c>
      <c r="D957" s="97" t="s">
        <v>637</v>
      </c>
      <c r="E957" s="97" t="s">
        <v>637</v>
      </c>
      <c r="F957" s="98" t="s">
        <v>435</v>
      </c>
      <c r="G957" s="132" t="s">
        <v>603</v>
      </c>
      <c r="H957" s="98">
        <v>10.0</v>
      </c>
      <c r="I957" s="98"/>
      <c r="J957" s="98" t="s">
        <v>603</v>
      </c>
      <c r="K957" s="98"/>
      <c r="L957" s="98" t="s">
        <v>603</v>
      </c>
      <c r="M957" s="98"/>
      <c r="N957" s="98" t="s">
        <v>603</v>
      </c>
      <c r="O957" s="98"/>
      <c r="P957" s="98" t="s">
        <v>603</v>
      </c>
      <c r="Q957" s="98"/>
      <c r="R957" s="98" t="s">
        <v>603</v>
      </c>
      <c r="S957" s="98"/>
      <c r="T957" s="98">
        <v>50.0</v>
      </c>
      <c r="U957" s="98"/>
      <c r="V957" s="98" t="s">
        <v>603</v>
      </c>
      <c r="W957" s="98"/>
      <c r="X957" s="98" t="s">
        <v>603</v>
      </c>
      <c r="Y957" s="98"/>
      <c r="Z957" s="98" t="s">
        <v>603</v>
      </c>
      <c r="AA957" s="98"/>
      <c r="AB957" s="5" t="s">
        <v>436</v>
      </c>
      <c r="AC957" s="47">
        <v>60.0</v>
      </c>
    </row>
    <row r="958" hidden="1">
      <c r="A958" s="222" t="str">
        <f t="array" ref="A958:A959">{"FormulaRow23";(INDEX(CLASSLIST,A913,1))}</f>
        <v>FormulaRow23</v>
      </c>
      <c r="B958" s="77" t="s">
        <v>236</v>
      </c>
      <c r="C958" s="222" t="str">
        <f t="array" ref="C958:C959">{"CLASSTYPE";((INDEX(ALLCLASSDATA,MATCH("ClassType",CLASSFEATUREHEADERS,0),MATCH($A959,CLASSNAMEHEADERS,0))))}</f>
        <v>CLASSTYPE</v>
      </c>
      <c r="D958" s="228" t="str">
        <f t="array" ref="D958:D959">{"SAVES";"Saves"}</f>
        <v>SAVES</v>
      </c>
      <c r="E958" s="228" t="str">
        <f t="array" ref="E958:E959">{"FORTITUDESAVE";"FortitudeSave"}</f>
        <v>FORTITUDESAVE</v>
      </c>
      <c r="F958" s="230" t="str">
        <f t="array" ref="F958:F959">{"FORTITUDEINITIAL";((IF(H959=10,"T",(IF(H959=50,"E","")))))}</f>
        <v>FORTITUDEINITIAL</v>
      </c>
      <c r="G958" s="230" t="str">
        <f t="array" ref="G958:G959">{"FORTITUDEINITIALPTS";((IF("00"=(INDEX(ALLCLASSDATA,MATCH("FortitudeSaveLegendary",CLASSFEATUREHEADERS,0),MATCH($A959,CLASSNAMEHEADERS,0))),(INDEX(ALLCLASSDATA,MATCH("FortitudeSaveLegendary",CLASSFEATUREHEADERS,0),MATCH(($A959 &amp; "Points"),CLASSNAMEHEADERS,0))),(IF("00"=(INDEX(ALLCLASSDATA,MATCH("FortitudeSaveMaster",CLASSFEATUREHEADERS,0),MATCH($A959,CLASSNAMEHEADERS,0))),(INDEX(ALLCLASSDATA,MATCH("FortitudeSaveMaster",CLASSFEATUREHEADERS,0),MATCH(($A959 &amp; "Points"),CLASSNAMEHEADERS,0))),(IF("00"=(INDEX(ALLCLASSDATA,MATCH("FortitudeSaveExpert",CLASSFEATUREHEADERS,0),MATCH($A959,CLASSNAMEHEADERS,0))),(INDEX(ALLCLASSDATA,MATCH("FortitudeSaveExpert",CLASSFEATUREHEADERS,0),MATCH(($A959 &amp; "Points"),CLASSNAMEHEADERS,0))),(IF("00"=(INDEX(ALLCLASSDATA,MATCH("FortitudeSaveTrained",CLASSFEATUREHEADERS,0),MATCH($A959,CLASSNAMEHEADERS,0))),(INDEX(ALLCLASSDATA,MATCH("FortitudeSaveTrained",CLASSFEATUREHEADERS,0),MATCH(($A959 &amp; "Points"),CLASSNAMEHEADERS,0))),"")))))))))}</f>
        <v>FORTITUDEINITIALPTS</v>
      </c>
      <c r="H958" s="230" t="str">
        <f t="array" ref="H958:H959">{"FORTITUDEL01";((IF("01"=(INDEX(ALLCLASSDATA,MATCH("FortitudeSaveLegendary",CLASSFEATUREHEADERS,0),MATCH($A959,CLASSNAMEHEADERS,0))),(INDEX(ALLCLASSDATA,MATCH("FortitudeSaveLegendary",CLASSFEATUREHEADERS,0),MATCH(($A959 &amp; "Points"),CLASSNAMEHEADERS,0))),(IF("01"=(INDEX(ALLCLASSDATA,MATCH("FortitudeSaveMaster",CLASSFEATUREHEADERS,0),MATCH($A959,CLASSNAMEHEADERS,0))),(INDEX(ALLCLASSDATA,MATCH("FortitudeSaveMaster",CLASSFEATUREHEADERS,0),MATCH(($A959 &amp; "Points"),CLASSNAMEHEADERS,0))),(IF("01"=(INDEX(ALLCLASSDATA,MATCH("FortitudeSaveExpert",CLASSFEATUREHEADERS,0),MATCH($A959,CLASSNAMEHEADERS,0))),(INDEX(ALLCLASSDATA,MATCH("FortitudeSaveExpert",CLASSFEATUREHEADERS,0),MATCH(($A959 &amp; "Points"),CLASSNAMEHEADERS,0))),(IF("01"=(INDEX(ALLCLASSDATA,MATCH("FortitudeSaveTrained",CLASSFEATUREHEADERS,0),MATCH($A959,CLASSNAMEHEADERS,0))),(INDEX(ALLCLASSDATA,MATCH("FortitudeSaveTrained",CLASSFEATUREHEADERS,0),MATCH(($A959 &amp; "Points"),CLASSNAMEHEADERS,0))),"")))))))))}</f>
        <v>FORTITUDEL01</v>
      </c>
      <c r="I958" s="230"/>
      <c r="J958" s="230" t="str">
        <f t="array" ref="J958:J959">{"FORTITUDEL03";((IF("03"=(INDEX(ALLCLASSDATA,MATCH("FortitudeSaveLegendary",CLASSFEATUREHEADERS,0),MATCH($A959,CLASSNAMEHEADERS,0))),(INDEX(ALLCLASSDATA,MATCH("FortitudeSaveLegendary",CLASSFEATUREHEADERS,0),MATCH(($A959 &amp; "Points"),CLASSNAMEHEADERS,0))),(IF("03"=(INDEX(ALLCLASSDATA,MATCH("FortitudeSaveMaster",CLASSFEATUREHEADERS,0),MATCH($A959,CLASSNAMEHEADERS,0))),(INDEX(ALLCLASSDATA,MATCH("FortitudeSaveMaster",CLASSFEATUREHEADERS,0),MATCH(($A959 &amp; "Points"),CLASSNAMEHEADERS,0))),(IF("03"=(INDEX(ALLCLASSDATA,MATCH("FortitudeSaveExpert",CLASSFEATUREHEADERS,0),MATCH($A959,CLASSNAMEHEADERS,0))),(INDEX(ALLCLASSDATA,MATCH("FortitudeSaveExpert",CLASSFEATUREHEADERS,0),MATCH(($A959 &amp; "Points"),CLASSNAMEHEADERS,0))),(IF("03"=(INDEX(ALLCLASSDATA,MATCH("FortitudeSaveTrained",CLASSFEATUREHEADERS,0),MATCH($A959,CLASSNAMEHEADERS,0))),(INDEX(ALLCLASSDATA,MATCH("FortitudeSaveTrained",CLASSFEATUREHEADERS,0),MATCH(($A959 &amp; "Points"),CLASSNAMEHEADERS,0))),"")))))))))}</f>
        <v>FORTITUDEL03</v>
      </c>
      <c r="K958" s="230"/>
      <c r="L958" s="230" t="str">
        <f t="array" ref="L958:L959">{"FORTITUDEL05";((IF("05"=(INDEX(ALLCLASSDATA,MATCH("FortitudeSaveLegendary",CLASSFEATUREHEADERS,0),MATCH($A959,CLASSNAMEHEADERS,0))),(INDEX(ALLCLASSDATA,MATCH("FortitudeSaveLegendary",CLASSFEATUREHEADERS,0),MATCH(($A959 &amp; "Points"),CLASSNAMEHEADERS,0))),(IF("05"=(INDEX(ALLCLASSDATA,MATCH("FortitudeSaveMaster",CLASSFEATUREHEADERS,0),MATCH($A959,CLASSNAMEHEADERS,0))),(INDEX(ALLCLASSDATA,MATCH("FortitudeSaveMaster",CLASSFEATUREHEADERS,0),MATCH(($A959 &amp; "Points"),CLASSNAMEHEADERS,0))),(IF("05"=(INDEX(ALLCLASSDATA,MATCH("FortitudeSaveExpert",CLASSFEATUREHEADERS,0),MATCH($A959,CLASSNAMEHEADERS,0))),(INDEX(ALLCLASSDATA,MATCH("FortitudeSaveExpert",CLASSFEATUREHEADERS,0),MATCH(($A959 &amp; "Points"),CLASSNAMEHEADERS,0))),(IF("05"=(INDEX(ALLCLASSDATA,MATCH("FortitudeSaveTrained",CLASSFEATUREHEADERS,0),MATCH($A959,CLASSNAMEHEADERS,0))),(INDEX(ALLCLASSDATA,MATCH("FortitudeSaveTrained",CLASSFEATUREHEADERS,0),MATCH(($A959 &amp; "Points"),CLASSNAMEHEADERS,0))),"")))))))))}</f>
        <v>FORTITUDEL05</v>
      </c>
      <c r="M958" s="230"/>
      <c r="N958" s="230" t="str">
        <f t="array" ref="N958:N959">{"FORTITUDEL07";((IF("07"=(INDEX(ALLCLASSDATA,MATCH("FortitudeSaveLegendary",CLASSFEATUREHEADERS,0),MATCH($A959,CLASSNAMEHEADERS,0))),(INDEX(ALLCLASSDATA,MATCH("FortitudeSaveLegendary",CLASSFEATUREHEADERS,0),MATCH(($A959 &amp; "Points"),CLASSNAMEHEADERS,0))),(IF("07"=(INDEX(ALLCLASSDATA,MATCH("FortitudeSaveMaster",CLASSFEATUREHEADERS,0),MATCH($A959,CLASSNAMEHEADERS,0))),(INDEX(ALLCLASSDATA,MATCH("FortitudeSaveMaster",CLASSFEATUREHEADERS,0),MATCH(($A959 &amp; "Points"),CLASSNAMEHEADERS,0))),(IF("07"=(INDEX(ALLCLASSDATA,MATCH("FortitudeSaveExpert",CLASSFEATUREHEADERS,0),MATCH($A959,CLASSNAMEHEADERS,0))),(INDEX(ALLCLASSDATA,MATCH("FortitudeSaveExpert",CLASSFEATUREHEADERS,0),MATCH(($A959 &amp; "Points"),CLASSNAMEHEADERS,0))),(IF("07"=(INDEX(ALLCLASSDATA,MATCH("FortitudeSaveTrained",CLASSFEATUREHEADERS,0),MATCH($A959,CLASSNAMEHEADERS,0))),(INDEX(ALLCLASSDATA,MATCH("FortitudeSaveTrained",CLASSFEATUREHEADERS,0),MATCH(($A959 &amp; "Points"),CLASSNAMEHEADERS,0))),"")))))))))}</f>
        <v>FORTITUDEL07</v>
      </c>
      <c r="O958" s="230"/>
      <c r="P958" s="230" t="str">
        <f t="array" ref="P958:P959">{"FORTITUDEL09";((IF("09"=(INDEX(ALLCLASSDATA,MATCH("FortitudeSaveLegendary",CLASSFEATUREHEADERS,0),MATCH($A959,CLASSNAMEHEADERS,0))),(INDEX(ALLCLASSDATA,MATCH("FortitudeSaveLegendary",CLASSFEATUREHEADERS,0),MATCH(($A959 &amp; "Points"),CLASSNAMEHEADERS,0))),(IF("09"=(INDEX(ALLCLASSDATA,MATCH("FortitudeSaveMaster",CLASSFEATUREHEADERS,0),MATCH($A959,CLASSNAMEHEADERS,0))),(INDEX(ALLCLASSDATA,MATCH("FortitudeSaveMaster",CLASSFEATUREHEADERS,0),MATCH(($A959 &amp; "Points"),CLASSNAMEHEADERS,0))),(IF("09"=(INDEX(ALLCLASSDATA,MATCH("FortitudeSaveExpert",CLASSFEATUREHEADERS,0),MATCH($A959,CLASSNAMEHEADERS,0))),(INDEX(ALLCLASSDATA,MATCH("FortitudeSaveExpert",CLASSFEATUREHEADERS,0),MATCH(($A959 &amp; "Points"),CLASSNAMEHEADERS,0))),(IF("09"=(INDEX(ALLCLASSDATA,MATCH("FortitudeSaveTrained",CLASSFEATUREHEADERS,0),MATCH($A959,CLASSNAMEHEADERS,0))),(INDEX(ALLCLASSDATA,MATCH("FortitudeSaveTrained",CLASSFEATUREHEADERS,0),MATCH(($A959 &amp; "Points"),CLASSNAMEHEADERS,0))),"")))))))))}</f>
        <v>FORTITUDEL09</v>
      </c>
      <c r="Q958" s="230"/>
      <c r="R958" s="230" t="str">
        <f t="array" ref="R958:R959">{"FORTITUDEL11";((IF("11"=(INDEX(ALLCLASSDATA,MATCH("FortitudeSaveLegendary",CLASSFEATUREHEADERS,0),MATCH($A959,CLASSNAMEHEADERS,0))),(INDEX(ALLCLASSDATA,MATCH("FortitudeSaveLegendary",CLASSFEATUREHEADERS,0),MATCH(($A959 &amp; "Points"),CLASSNAMEHEADERS,0))),(IF("11"=(INDEX(ALLCLASSDATA,MATCH("FortitudeSaveMaster",CLASSFEATUREHEADERS,0),MATCH($A959,CLASSNAMEHEADERS,0))),(INDEX(ALLCLASSDATA,MATCH("FortitudeSaveMaster",CLASSFEATUREHEADERS,0),MATCH(($A959 &amp; "Points"),CLASSNAMEHEADERS,0))),(IF("11"=(INDEX(ALLCLASSDATA,MATCH("FortitudeSaveExpert",CLASSFEATUREHEADERS,0),MATCH($A959,CLASSNAMEHEADERS,0))),(INDEX(ALLCLASSDATA,MATCH("FortitudeSaveExpert",CLASSFEATUREHEADERS,0),MATCH(($A959 &amp; "Points"),CLASSNAMEHEADERS,0))),(IF("11"=(INDEX(ALLCLASSDATA,MATCH("FortitudeSaveTrained",CLASSFEATUREHEADERS,0),MATCH($A959,CLASSNAMEHEADERS,0))),(INDEX(ALLCLASSDATA,MATCH("FortitudeSaveTrained",CLASSFEATUREHEADERS,0),MATCH(($A959 &amp; "Points"),CLASSNAMEHEADERS,0))),"")))))))))}</f>
        <v>FORTITUDEL11</v>
      </c>
      <c r="S958" s="230"/>
      <c r="T958" s="230" t="str">
        <f t="array" ref="T958:T959">{"FORTITUDEL13";((IF("13"=(INDEX(ALLCLASSDATA,MATCH("FortitudeSaveLegendary",CLASSFEATUREHEADERS,0),MATCH($A959,CLASSNAMEHEADERS,0))),(INDEX(ALLCLASSDATA,MATCH("FortitudeSaveLegendary",CLASSFEATUREHEADERS,0),MATCH(($A959 &amp; "Points"),CLASSNAMEHEADERS,0))),(IF("13"=(INDEX(ALLCLASSDATA,MATCH("FortitudeSaveMaster",CLASSFEATUREHEADERS,0),MATCH($A959,CLASSNAMEHEADERS,0))),(INDEX(ALLCLASSDATA,MATCH("FortitudeSaveMaster",CLASSFEATUREHEADERS,0),MATCH(($A959 &amp; "Points"),CLASSNAMEHEADERS,0))),(IF("13"=(INDEX(ALLCLASSDATA,MATCH("FortitudeSaveExpert",CLASSFEATUREHEADERS,0),MATCH($A959,CLASSNAMEHEADERS,0))),(INDEX(ALLCLASSDATA,MATCH("FortitudeSaveExpert",CLASSFEATUREHEADERS,0),MATCH(($A959 &amp; "Points"),CLASSNAMEHEADERS,0))),(IF("13"=(INDEX(ALLCLASSDATA,MATCH("FortitudeSaveTrained",CLASSFEATUREHEADERS,0),MATCH($A959,CLASSNAMEHEADERS,0))),(INDEX(ALLCLASSDATA,MATCH("FortitudeSaveTrained",CLASSFEATUREHEADERS,0),MATCH(($A959 &amp; "Points"),CLASSNAMEHEADERS,0))),"")))))))))}</f>
        <v>FORTITUDEL13</v>
      </c>
      <c r="U958" s="230"/>
      <c r="V958" s="230" t="str">
        <f t="array" ref="V958:V959">{"FORTITUDEL15";((IF("15"=(INDEX(ALLCLASSDATA,MATCH("FortitudeSaveLegendary",CLASSFEATUREHEADERS,0),MATCH($A959,CLASSNAMEHEADERS,0))),(INDEX(ALLCLASSDATA,MATCH("FortitudeSaveLegendary",CLASSFEATUREHEADERS,0),MATCH(($A959 &amp; "Points"),CLASSNAMEHEADERS,0))),(IF("15"=(INDEX(ALLCLASSDATA,MATCH("FortitudeSaveMaster",CLASSFEATUREHEADERS,0),MATCH($A959,CLASSNAMEHEADERS,0))),(INDEX(ALLCLASSDATA,MATCH("FortitudeSaveMaster",CLASSFEATUREHEADERS,0),MATCH(($A959 &amp; "Points"),CLASSNAMEHEADERS,0))),(IF("15"=(INDEX(ALLCLASSDATA,MATCH("FortitudeSaveExpert",CLASSFEATUREHEADERS,0),MATCH($A959,CLASSNAMEHEADERS,0))),(INDEX(ALLCLASSDATA,MATCH("FortitudeSaveExpert",CLASSFEATUREHEADERS,0),MATCH(($A959 &amp; "Points"),CLASSNAMEHEADERS,0))),(IF("15"=(INDEX(ALLCLASSDATA,MATCH("FortitudeSaveTrained",CLASSFEATUREHEADERS,0),MATCH($A959,CLASSNAMEHEADERS,0))),(INDEX(ALLCLASSDATA,MATCH("FortitudeSaveTrained",CLASSFEATUREHEADERS,0),MATCH(($A959 &amp; "Points"),CLASSNAMEHEADERS,0))),"")))))))))}</f>
        <v>FORTITUDEL15</v>
      </c>
      <c r="W958" s="230"/>
      <c r="X958" s="230" t="str">
        <f t="array" ref="X958:X959">{"FORTITUDEL17";((IF("17"=(INDEX(ALLCLASSDATA,MATCH("FortitudeSaveLegendary",CLASSFEATUREHEADERS,0),MATCH($A959,CLASSNAMEHEADERS,0))),(INDEX(ALLCLASSDATA,MATCH("FortitudeSaveLegendary",CLASSFEATUREHEADERS,0),MATCH(($A959 &amp; "Points"),CLASSNAMEHEADERS,0))),(IF("17"=(INDEX(ALLCLASSDATA,MATCH("FortitudeSaveMaster",CLASSFEATUREHEADERS,0),MATCH($A959,CLASSNAMEHEADERS,0))),(INDEX(ALLCLASSDATA,MATCH("FortitudeSaveMaster",CLASSFEATUREHEADERS,0),MATCH(($A959 &amp; "Points"),CLASSNAMEHEADERS,0))),(IF("17"=(INDEX(ALLCLASSDATA,MATCH("FortitudeSaveExpert",CLASSFEATUREHEADERS,0),MATCH($A959,CLASSNAMEHEADERS,0))),(INDEX(ALLCLASSDATA,MATCH("FortitudeSaveExpert",CLASSFEATUREHEADERS,0),MATCH(($A959 &amp; "Points"),CLASSNAMEHEADERS,0))),(IF("17"=(INDEX(ALLCLASSDATA,MATCH("FortitudeSaveTrained",CLASSFEATUREHEADERS,0),MATCH($A959,CLASSNAMEHEADERS,0))),(INDEX(ALLCLASSDATA,MATCH("FortitudeSaveTrained",CLASSFEATUREHEADERS,0),MATCH(($A959 &amp; "Points"),CLASSNAMEHEADERS,0))),"")))))))))}</f>
        <v>FORTITUDEL17</v>
      </c>
      <c r="Y958" s="230"/>
      <c r="Z958" s="230" t="str">
        <f t="array" ref="Z958:Z959">{"FORTITUDEL19";((IF("19"=(INDEX(ALLCLASSDATA,MATCH("FortitudeSaveLegendary",CLASSFEATUREHEADERS,0),MATCH($A959,CLASSNAMEHEADERS,0))),(INDEX(ALLCLASSDATA,MATCH("FortitudeSaveLegendary",CLASSFEATUREHEADERS,0),MATCH(($A959 &amp; "Points"),CLASSNAMEHEADERS,0))),(IF("19"=(INDEX(ALLCLASSDATA,MATCH("FortitudeSaveMaster",CLASSFEATUREHEADERS,0),MATCH($A959,CLASSNAMEHEADERS,0))),(INDEX(ALLCLASSDATA,MATCH("FortitudeSaveMaster",CLASSFEATUREHEADERS,0),MATCH(($A959 &amp; "Points"),CLASSNAMEHEADERS,0))),(IF("19"=(INDEX(ALLCLASSDATA,MATCH("FortitudeSaveExpert",CLASSFEATUREHEADERS,0),MATCH($A959,CLASSNAMEHEADERS,0))),(INDEX(ALLCLASSDATA,MATCH("FortitudeSaveExpert",CLASSFEATUREHEADERS,0),MATCH(($A959 &amp; "Points"),CLASSNAMEHEADERS,0))),(IF("19"=(INDEX(ALLCLASSDATA,MATCH("FortitudeSaveTrained",CLASSFEATUREHEADERS,0),MATCH($A959,CLASSNAMEHEADERS,0))),(INDEX(ALLCLASSDATA,MATCH("FortitudeSaveTrained",CLASSFEATUREHEADERS,0),MATCH(($A959 &amp; "Points"),CLASSNAMEHEADERS,0))),"")))))))))}</f>
        <v>FORTITUDEL19</v>
      </c>
      <c r="AA958" s="230"/>
      <c r="AB958" s="76" t="str">
        <f t="array" ref="AB958:AB959">{"FORTITUDE TOTAL";(IF(COUNTBLANK(G959:AA959)=17,"L",(IF(COUNTBLANK(G959:AA959)=18,"M",(IF(COUNTBLANK(G959:AA959)=19,"E",(IF(COUNTBLANK(G959:AA959)=20,"T",""))))))))}</f>
        <v>FORTITUDE TOTAL</v>
      </c>
      <c r="AC958" s="76" t="str">
        <f t="array" ref="AC958:AC959">{"FORTITUDE TOTAL";(sum(G959:AA959))}</f>
        <v>FORTITUDE TOTAL</v>
      </c>
    </row>
    <row r="959">
      <c r="A959" s="48" t="s">
        <v>185</v>
      </c>
      <c r="B959" s="48"/>
      <c r="C959" s="48" t="s">
        <v>412</v>
      </c>
      <c r="D959" s="48" t="s">
        <v>1549</v>
      </c>
      <c r="E959" s="48" t="s">
        <v>1550</v>
      </c>
      <c r="F959" s="5" t="s">
        <v>436</v>
      </c>
      <c r="G959" s="47">
        <v>10.0</v>
      </c>
      <c r="H959" s="5">
        <v>50.0</v>
      </c>
      <c r="I959" s="5"/>
      <c r="J959" s="5" t="s">
        <v>603</v>
      </c>
      <c r="K959" s="5"/>
      <c r="L959" s="5" t="s">
        <v>603</v>
      </c>
      <c r="M959" s="5"/>
      <c r="N959" s="5" t="s">
        <v>603</v>
      </c>
      <c r="O959" s="5"/>
      <c r="P959" s="5" t="s">
        <v>603</v>
      </c>
      <c r="Q959" s="5"/>
      <c r="R959" s="5" t="s">
        <v>603</v>
      </c>
      <c r="S959" s="5"/>
      <c r="T959" s="5" t="s">
        <v>603</v>
      </c>
      <c r="U959" s="5"/>
      <c r="V959" s="5" t="s">
        <v>603</v>
      </c>
      <c r="W959" s="5"/>
      <c r="X959" s="5">
        <v>110.0</v>
      </c>
      <c r="Y959" s="5"/>
      <c r="Z959" s="5" t="s">
        <v>603</v>
      </c>
      <c r="AA959" s="5"/>
      <c r="AB959" s="5" t="s">
        <v>437</v>
      </c>
      <c r="AC959" s="47">
        <v>170.0</v>
      </c>
    </row>
    <row r="960" hidden="1">
      <c r="A960" s="222" t="str">
        <f t="array" ref="A960:A961">{"FormulaRow24";(INDEX(CLASSLIST,A913,1))}</f>
        <v>FormulaRow24</v>
      </c>
      <c r="B960" s="77" t="s">
        <v>236</v>
      </c>
      <c r="C960" s="222" t="str">
        <f t="array" ref="C960:C961">{"CLASSTYPE";((INDEX(ALLCLASSDATA,MATCH("ClassType",CLASSFEATUREHEADERS,0),MATCH($A961,CLASSNAMEHEADERS,0))))}</f>
        <v>CLASSTYPE</v>
      </c>
      <c r="D960" s="222" t="str">
        <f t="array" ref="D960:D961">{"SAVES";"Saves"}</f>
        <v>SAVES</v>
      </c>
      <c r="E960" s="222" t="str">
        <f t="array" ref="E960:E961">{"REFLEXSAVE";"ReflexSave"}</f>
        <v>REFLEXSAVE</v>
      </c>
      <c r="F960" s="223" t="str">
        <f t="array" ref="F960:F961">{"REFLEXINITIAL";((IF(H961=10,"T",(IF(H961=50,"E","")))))}</f>
        <v>REFLEXINITIAL</v>
      </c>
      <c r="G960" s="223" t="str">
        <f t="array" ref="G960:G961">{"REFLEXINITIALPTS";((IF("00"=(INDEX(ALLCLASSDATA,MATCH("ReflexSaveLegendary",CLASSFEATUREHEADERS,0),MATCH($A961,CLASSNAMEHEADERS,0))),(INDEX(ALLCLASSDATA,MATCH("ReflexSaveLegendary",CLASSFEATUREHEADERS,0),MATCH(($A961 &amp; "Points"),CLASSNAMEHEADERS,0))),(IF("00"=(INDEX(ALLCLASSDATA,MATCH("ReflexSaveMaster",CLASSFEATUREHEADERS,0),MATCH($A961,CLASSNAMEHEADERS,0))),(INDEX(ALLCLASSDATA,MATCH("ReflexSaveMaster",CLASSFEATUREHEADERS,0),MATCH(($A961 &amp; "Points"),CLASSNAMEHEADERS,0))),(IF("00"=(INDEX(ALLCLASSDATA,MATCH("ReflexSaveExpert",CLASSFEATUREHEADERS,0),MATCH($A961,CLASSNAMEHEADERS,0))),(INDEX(ALLCLASSDATA,MATCH("ReflexSaveExpert",CLASSFEATUREHEADERS,0),MATCH(($A961 &amp; "Points"),CLASSNAMEHEADERS,0))),(IF("00"=(INDEX(ALLCLASSDATA,MATCH("ReflexSaveTrained",CLASSFEATUREHEADERS,0),MATCH($A961,CLASSNAMEHEADERS,0))),(INDEX(ALLCLASSDATA,MATCH("ReflexSaveTrained",CLASSFEATUREHEADERS,0),MATCH(($A961 &amp; "Points"),CLASSNAMEHEADERS,0))),"")))))))))}</f>
        <v>REFLEXINITIALPTS</v>
      </c>
      <c r="H960" s="223" t="str">
        <f t="array" ref="H960:H961">{"REFLEXL01";((IF("01"=(INDEX(ALLCLASSDATA,MATCH("ReflexSaveLegendary",CLASSFEATUREHEADERS,0),MATCH($A961,CLASSNAMEHEADERS,0))),(INDEX(ALLCLASSDATA,MATCH("ReflexSaveLegendary",CLASSFEATUREHEADERS,0),MATCH(($A961 &amp; "Points"),CLASSNAMEHEADERS,0))),(IF("01"=(INDEX(ALLCLASSDATA,MATCH("ReflexSaveMaster",CLASSFEATUREHEADERS,0),MATCH($A961,CLASSNAMEHEADERS,0))),(INDEX(ALLCLASSDATA,MATCH("ReflexSaveMaster",CLASSFEATUREHEADERS,0),MATCH(($A961 &amp; "Points"),CLASSNAMEHEADERS,0))),(IF("01"=(INDEX(ALLCLASSDATA,MATCH("ReflexSaveExpert",CLASSFEATUREHEADERS,0),MATCH($A961,CLASSNAMEHEADERS,0))),(INDEX(ALLCLASSDATA,MATCH("ReflexSaveExpert",CLASSFEATUREHEADERS,0),MATCH(($A961 &amp; "Points"),CLASSNAMEHEADERS,0))),(IF("01"=(INDEX(ALLCLASSDATA,MATCH("ReflexSaveTrained",CLASSFEATUREHEADERS,0),MATCH($A961,CLASSNAMEHEADERS,0))),(INDEX(ALLCLASSDATA,MATCH("ReflexSaveTrained",CLASSFEATUREHEADERS,0),MATCH(($A961 &amp; "Points"),CLASSNAMEHEADERS,0))),"")))))))))}</f>
        <v>REFLEXL01</v>
      </c>
      <c r="I960" s="223"/>
      <c r="J960" s="223" t="str">
        <f t="array" ref="J960:J961">{"REFLEXL03";((IF("03"=(INDEX(ALLCLASSDATA,MATCH("ReflexSaveLegendary",CLASSFEATUREHEADERS,0),MATCH($A961,CLASSNAMEHEADERS,0))),(INDEX(ALLCLASSDATA,MATCH("ReflexSaveLegendary",CLASSFEATUREHEADERS,0),MATCH(($A961 &amp; "Points"),CLASSNAMEHEADERS,0))),(IF("03"=(INDEX(ALLCLASSDATA,MATCH("ReflexSaveMaster",CLASSFEATUREHEADERS,0),MATCH($A961,CLASSNAMEHEADERS,0))),(INDEX(ALLCLASSDATA,MATCH("ReflexSaveMaster",CLASSFEATUREHEADERS,0),MATCH(($A961 &amp; "Points"),CLASSNAMEHEADERS,0))),(IF("03"=(INDEX(ALLCLASSDATA,MATCH("ReflexSaveExpert",CLASSFEATUREHEADERS,0),MATCH($A961,CLASSNAMEHEADERS,0))),(INDEX(ALLCLASSDATA,MATCH("ReflexSaveExpert",CLASSFEATUREHEADERS,0),MATCH(($A961 &amp; "Points"),CLASSNAMEHEADERS,0))),(IF("03"=(INDEX(ALLCLASSDATA,MATCH("ReflexSaveTrained",CLASSFEATUREHEADERS,0),MATCH($A961,CLASSNAMEHEADERS,0))),(INDEX(ALLCLASSDATA,MATCH("ReflexSaveTrained",CLASSFEATUREHEADERS,0),MATCH(($A961 &amp; "Points"),CLASSNAMEHEADERS,0))),"")))))))))}</f>
        <v>REFLEXL03</v>
      </c>
      <c r="K960" s="223"/>
      <c r="L960" s="223" t="str">
        <f t="array" ref="L960:L961">{"REFLEXL05";((IF("05"=(INDEX(ALLCLASSDATA,MATCH("ReflexSaveLegendary",CLASSFEATUREHEADERS,0),MATCH($A961,CLASSNAMEHEADERS,0))),(INDEX(ALLCLASSDATA,MATCH("ReflexSaveLegendary",CLASSFEATUREHEADERS,0),MATCH(($A961 &amp; "Points"),CLASSNAMEHEADERS,0))),(IF("05"=(INDEX(ALLCLASSDATA,MATCH("ReflexSaveMaster",CLASSFEATUREHEADERS,0),MATCH($A961,CLASSNAMEHEADERS,0))),(INDEX(ALLCLASSDATA,MATCH("ReflexSaveMaster",CLASSFEATUREHEADERS,0),MATCH(($A961 &amp; "Points"),CLASSNAMEHEADERS,0))),(IF("05"=(INDEX(ALLCLASSDATA,MATCH("ReflexSaveExpert",CLASSFEATUREHEADERS,0),MATCH($A961,CLASSNAMEHEADERS,0))),(INDEX(ALLCLASSDATA,MATCH("ReflexSaveExpert",CLASSFEATUREHEADERS,0),MATCH(($A961 &amp; "Points"),CLASSNAMEHEADERS,0))),(IF("05"=(INDEX(ALLCLASSDATA,MATCH("ReflexSaveTrained",CLASSFEATUREHEADERS,0),MATCH($A961,CLASSNAMEHEADERS,0))),(INDEX(ALLCLASSDATA,MATCH("ReflexSaveTrained",CLASSFEATUREHEADERS,0),MATCH(($A961 &amp; "Points"),CLASSNAMEHEADERS,0))),"")))))))))}</f>
        <v>REFLEXL05</v>
      </c>
      <c r="M960" s="223"/>
      <c r="N960" s="223" t="str">
        <f t="array" ref="N960:N961">{"REFLEXL07";((IF("07"=(INDEX(ALLCLASSDATA,MATCH("ReflexSaveLegendary",CLASSFEATUREHEADERS,0),MATCH($A961,CLASSNAMEHEADERS,0))),(INDEX(ALLCLASSDATA,MATCH("ReflexSaveLegendary",CLASSFEATUREHEADERS,0),MATCH(($A961 &amp; "Points"),CLASSNAMEHEADERS,0))),(IF("07"=(INDEX(ALLCLASSDATA,MATCH("ReflexSaveMaster",CLASSFEATUREHEADERS,0),MATCH($A961,CLASSNAMEHEADERS,0))),(INDEX(ALLCLASSDATA,MATCH("ReflexSaveMaster",CLASSFEATUREHEADERS,0),MATCH(($A961 &amp; "Points"),CLASSNAMEHEADERS,0))),(IF("07"=(INDEX(ALLCLASSDATA,MATCH("ReflexSaveExpert",CLASSFEATUREHEADERS,0),MATCH($A961,CLASSNAMEHEADERS,0))),(INDEX(ALLCLASSDATA,MATCH("ReflexSaveExpert",CLASSFEATUREHEADERS,0),MATCH(($A961 &amp; "Points"),CLASSNAMEHEADERS,0))),(IF("07"=(INDEX(ALLCLASSDATA,MATCH("ReflexSaveTrained",CLASSFEATUREHEADERS,0),MATCH($A961,CLASSNAMEHEADERS,0))),(INDEX(ALLCLASSDATA,MATCH("ReflexSaveTrained",CLASSFEATUREHEADERS,0),MATCH(($A961 &amp; "Points"),CLASSNAMEHEADERS,0))),"")))))))))}</f>
        <v>REFLEXL07</v>
      </c>
      <c r="O960" s="223"/>
      <c r="P960" s="223" t="str">
        <f t="array" ref="P960:P961">{"REFLEXL09";((IF("09"=(INDEX(ALLCLASSDATA,MATCH("ReflexSaveLegendary",CLASSFEATUREHEADERS,0),MATCH($A961,CLASSNAMEHEADERS,0))),(INDEX(ALLCLASSDATA,MATCH("ReflexSaveLegendary",CLASSFEATUREHEADERS,0),MATCH(($A961 &amp; "Points"),CLASSNAMEHEADERS,0))),(IF("09"=(INDEX(ALLCLASSDATA,MATCH("ReflexSaveMaster",CLASSFEATUREHEADERS,0),MATCH($A961,CLASSNAMEHEADERS,0))),(INDEX(ALLCLASSDATA,MATCH("ReflexSaveMaster",CLASSFEATUREHEADERS,0),MATCH(($A961 &amp; "Points"),CLASSNAMEHEADERS,0))),(IF("09"=(INDEX(ALLCLASSDATA,MATCH("ReflexSaveExpert",CLASSFEATUREHEADERS,0),MATCH($A961,CLASSNAMEHEADERS,0))),(INDEX(ALLCLASSDATA,MATCH("ReflexSaveExpert",CLASSFEATUREHEADERS,0),MATCH(($A961 &amp; "Points"),CLASSNAMEHEADERS,0))),(IF("09"=(INDEX(ALLCLASSDATA,MATCH("ReflexSaveTrained",CLASSFEATUREHEADERS,0),MATCH($A961,CLASSNAMEHEADERS,0))),(INDEX(ALLCLASSDATA,MATCH("ReflexSaveTrained",CLASSFEATUREHEADERS,0),MATCH(($A961 &amp; "Points"),CLASSNAMEHEADERS,0))),"")))))))))}</f>
        <v>REFLEXL09</v>
      </c>
      <c r="Q960" s="223"/>
      <c r="R960" s="223" t="str">
        <f t="array" ref="R960:R961">{"REFLEXL11";((IF("11"=(INDEX(ALLCLASSDATA,MATCH("ReflexSaveLegendary",CLASSFEATUREHEADERS,0),MATCH($A961,CLASSNAMEHEADERS,0))),(INDEX(ALLCLASSDATA,MATCH("ReflexSaveLegendary",CLASSFEATUREHEADERS,0),MATCH(($A961 &amp; "Points"),CLASSNAMEHEADERS,0))),(IF("11"=(INDEX(ALLCLASSDATA,MATCH("ReflexSaveMaster",CLASSFEATUREHEADERS,0),MATCH($A961,CLASSNAMEHEADERS,0))),(INDEX(ALLCLASSDATA,MATCH("ReflexSaveMaster",CLASSFEATUREHEADERS,0),MATCH(($A961 &amp; "Points"),CLASSNAMEHEADERS,0))),(IF("11"=(INDEX(ALLCLASSDATA,MATCH("ReflexSaveExpert",CLASSFEATUREHEADERS,0),MATCH($A961,CLASSNAMEHEADERS,0))),(INDEX(ALLCLASSDATA,MATCH("ReflexSaveExpert",CLASSFEATUREHEADERS,0),MATCH(($A961 &amp; "Points"),CLASSNAMEHEADERS,0))),(IF("11"=(INDEX(ALLCLASSDATA,MATCH("ReflexSaveTrained",CLASSFEATUREHEADERS,0),MATCH($A961,CLASSNAMEHEADERS,0))),(INDEX(ALLCLASSDATA,MATCH("ReflexSaveTrained",CLASSFEATUREHEADERS,0),MATCH(($A961 &amp; "Points"),CLASSNAMEHEADERS,0))),"")))))))))}</f>
        <v>REFLEXL11</v>
      </c>
      <c r="S960" s="223"/>
      <c r="T960" s="223" t="str">
        <f t="array" ref="T960:T961">{"REFLEXL13";((IF("13"=(INDEX(ALLCLASSDATA,MATCH("ReflexSaveLegendary",CLASSFEATUREHEADERS,0),MATCH($A961,CLASSNAMEHEADERS,0))),(INDEX(ALLCLASSDATA,MATCH("ReflexSaveLegendary",CLASSFEATUREHEADERS,0),MATCH(($A961 &amp; "Points"),CLASSNAMEHEADERS,0))),(IF("13"=(INDEX(ALLCLASSDATA,MATCH("ReflexSaveMaster",CLASSFEATUREHEADERS,0),MATCH($A961,CLASSNAMEHEADERS,0))),(INDEX(ALLCLASSDATA,MATCH("ReflexSaveMaster",CLASSFEATUREHEADERS,0),MATCH(($A961 &amp; "Points"),CLASSNAMEHEADERS,0))),(IF("13"=(INDEX(ALLCLASSDATA,MATCH("ReflexSaveExpert",CLASSFEATUREHEADERS,0),MATCH($A961,CLASSNAMEHEADERS,0))),(INDEX(ALLCLASSDATA,MATCH("ReflexSaveExpert",CLASSFEATUREHEADERS,0),MATCH(($A961 &amp; "Points"),CLASSNAMEHEADERS,0))),(IF("13"=(INDEX(ALLCLASSDATA,MATCH("ReflexSaveTrained",CLASSFEATUREHEADERS,0),MATCH($A961,CLASSNAMEHEADERS,0))),(INDEX(ALLCLASSDATA,MATCH("ReflexSaveTrained",CLASSFEATUREHEADERS,0),MATCH(($A961 &amp; "Points"),CLASSNAMEHEADERS,0))),"")))))))))}</f>
        <v>REFLEXL13</v>
      </c>
      <c r="U960" s="223"/>
      <c r="V960" s="223" t="str">
        <f t="array" ref="V960:V961">{"REFLEXL15";((IF("15"=(INDEX(ALLCLASSDATA,MATCH("ReflexSaveLegendary",CLASSFEATUREHEADERS,0),MATCH($A961,CLASSNAMEHEADERS,0))),(INDEX(ALLCLASSDATA,MATCH("ReflexSaveLegendary",CLASSFEATUREHEADERS,0),MATCH(($A961 &amp; "Points"),CLASSNAMEHEADERS,0))),(IF("15"=(INDEX(ALLCLASSDATA,MATCH("ReflexSaveMaster",CLASSFEATUREHEADERS,0),MATCH($A961,CLASSNAMEHEADERS,0))),(INDEX(ALLCLASSDATA,MATCH("ReflexSaveMaster",CLASSFEATUREHEADERS,0),MATCH(($A961 &amp; "Points"),CLASSNAMEHEADERS,0))),(IF("15"=(INDEX(ALLCLASSDATA,MATCH("ReflexSaveExpert",CLASSFEATUREHEADERS,0),MATCH($A961,CLASSNAMEHEADERS,0))),(INDEX(ALLCLASSDATA,MATCH("ReflexSaveExpert",CLASSFEATUREHEADERS,0),MATCH(($A961 &amp; "Points"),CLASSNAMEHEADERS,0))),(IF("15"=(INDEX(ALLCLASSDATA,MATCH("ReflexSaveTrained",CLASSFEATUREHEADERS,0),MATCH($A961,CLASSNAMEHEADERS,0))),(INDEX(ALLCLASSDATA,MATCH("ReflexSaveTrained",CLASSFEATUREHEADERS,0),MATCH(($A961 &amp; "Points"),CLASSNAMEHEADERS,0))),"")))))))))}</f>
        <v>REFLEXL15</v>
      </c>
      <c r="W960" s="223"/>
      <c r="X960" s="223" t="str">
        <f t="array" ref="X960:X961">{"REFLEXL17";((IF("17"=(INDEX(ALLCLASSDATA,MATCH("ReflexSaveLegendary",CLASSFEATUREHEADERS,0),MATCH($A961,CLASSNAMEHEADERS,0))),(INDEX(ALLCLASSDATA,MATCH("ReflexSaveLegendary",CLASSFEATUREHEADERS,0),MATCH(($A961 &amp; "Points"),CLASSNAMEHEADERS,0))),(IF("17"=(INDEX(ALLCLASSDATA,MATCH("ReflexSaveMaster",CLASSFEATUREHEADERS,0),MATCH($A961,CLASSNAMEHEADERS,0))),(INDEX(ALLCLASSDATA,MATCH("ReflexSaveMaster",CLASSFEATUREHEADERS,0),MATCH(($A961 &amp; "Points"),CLASSNAMEHEADERS,0))),(IF("17"=(INDEX(ALLCLASSDATA,MATCH("ReflexSaveExpert",CLASSFEATUREHEADERS,0),MATCH($A961,CLASSNAMEHEADERS,0))),(INDEX(ALLCLASSDATA,MATCH("ReflexSaveExpert",CLASSFEATUREHEADERS,0),MATCH(($A961 &amp; "Points"),CLASSNAMEHEADERS,0))),(IF("17"=(INDEX(ALLCLASSDATA,MATCH("ReflexSaveTrained",CLASSFEATUREHEADERS,0),MATCH($A961,CLASSNAMEHEADERS,0))),(INDEX(ALLCLASSDATA,MATCH("ReflexSaveTrained",CLASSFEATUREHEADERS,0),MATCH(($A961 &amp; "Points"),CLASSNAMEHEADERS,0))),"")))))))))}</f>
        <v>REFLEXL17</v>
      </c>
      <c r="Y960" s="223"/>
      <c r="Z960" s="223" t="str">
        <f t="array" ref="Z960:Z961">{"REFLEXL19";((IF("19"=(INDEX(ALLCLASSDATA,MATCH("ReflexSaveLegendary",CLASSFEATUREHEADERS,0),MATCH($A961,CLASSNAMEHEADERS,0))),(INDEX(ALLCLASSDATA,MATCH("ReflexSaveLegendary",CLASSFEATUREHEADERS,0),MATCH(($A961 &amp; "Points"),CLASSNAMEHEADERS,0))),(IF("19"=(INDEX(ALLCLASSDATA,MATCH("ReflexSaveMaster",CLASSFEATUREHEADERS,0),MATCH($A961,CLASSNAMEHEADERS,0))),(INDEX(ALLCLASSDATA,MATCH("ReflexSaveMaster",CLASSFEATUREHEADERS,0),MATCH(($A961 &amp; "Points"),CLASSNAMEHEADERS,0))),(IF("19"=(INDEX(ALLCLASSDATA,MATCH("ReflexSaveExpert",CLASSFEATUREHEADERS,0),MATCH($A961,CLASSNAMEHEADERS,0))),(INDEX(ALLCLASSDATA,MATCH("ReflexSaveExpert",CLASSFEATUREHEADERS,0),MATCH(($A961 &amp; "Points"),CLASSNAMEHEADERS,0))),(IF("19"=(INDEX(ALLCLASSDATA,MATCH("ReflexSaveTrained",CLASSFEATUREHEADERS,0),MATCH($A961,CLASSNAMEHEADERS,0))),(INDEX(ALLCLASSDATA,MATCH("ReflexSaveTrained",CLASSFEATUREHEADERS,0),MATCH(($A961 &amp; "Points"),CLASSNAMEHEADERS,0))),"")))))))))}</f>
        <v>REFLEXL19</v>
      </c>
      <c r="AA960" s="223"/>
      <c r="AB960" s="76" t="str">
        <f t="array" ref="AB960:AB961">{"REFLEX TOTAL";(IF(COUNTBLANK(G961:AA961)=17,"L",(IF(COUNTBLANK(G961:AA961)=18,"M",(IF(COUNTBLANK(G961:AA961)=19,"E",(IF(COUNTBLANK(G961:AA961)=20,"T",""))))))))}</f>
        <v>REFLEX TOTAL</v>
      </c>
      <c r="AC960" s="76" t="str">
        <f t="array" ref="AC960:AC961">{"REFLEX TOTAL";(sum(G961:AA961))}</f>
        <v>REFLEX TOTAL</v>
      </c>
    </row>
    <row r="961">
      <c r="A961" s="48" t="s">
        <v>185</v>
      </c>
      <c r="B961" s="48"/>
      <c r="C961" s="48" t="s">
        <v>412</v>
      </c>
      <c r="D961" s="48" t="s">
        <v>1549</v>
      </c>
      <c r="E961" s="48" t="s">
        <v>1572</v>
      </c>
      <c r="F961" s="5" t="s">
        <v>435</v>
      </c>
      <c r="G961" s="47" t="s">
        <v>603</v>
      </c>
      <c r="H961" s="5">
        <v>10.0</v>
      </c>
      <c r="I961" s="5"/>
      <c r="J961" s="5" t="s">
        <v>603</v>
      </c>
      <c r="K961" s="5"/>
      <c r="L961" s="5" t="s">
        <v>603</v>
      </c>
      <c r="M961" s="5"/>
      <c r="N961" s="5">
        <v>50.0</v>
      </c>
      <c r="O961" s="5"/>
      <c r="P961" s="5" t="s">
        <v>603</v>
      </c>
      <c r="Q961" s="5"/>
      <c r="R961" s="5" t="s">
        <v>603</v>
      </c>
      <c r="S961" s="5"/>
      <c r="T961" s="5" t="s">
        <v>603</v>
      </c>
      <c r="U961" s="5"/>
      <c r="V961" s="5" t="s">
        <v>603</v>
      </c>
      <c r="W961" s="5"/>
      <c r="X961" s="5" t="s">
        <v>603</v>
      </c>
      <c r="Y961" s="5"/>
      <c r="Z961" s="5" t="s">
        <v>603</v>
      </c>
      <c r="AA961" s="5"/>
      <c r="AB961" s="5" t="s">
        <v>436</v>
      </c>
      <c r="AC961" s="47">
        <v>60.0</v>
      </c>
    </row>
    <row r="962" hidden="1">
      <c r="A962" s="222" t="str">
        <f t="array" ref="A962:A963">{"FormulaRow25";(INDEX(CLASSLIST,A913,1))}</f>
        <v>FormulaRow25</v>
      </c>
      <c r="B962" s="77" t="s">
        <v>236</v>
      </c>
      <c r="C962" s="222" t="str">
        <f t="array" ref="C962:C963">{"CLASSTYPE";((INDEX(ALLCLASSDATA,MATCH("ClassType",CLASSFEATUREHEADERS,0),MATCH($A963,CLASSNAMEHEADERS,0))))}</f>
        <v>CLASSTYPE</v>
      </c>
      <c r="D962" s="222" t="str">
        <f t="array" ref="D962:D963">{"SAVES";"Saves"}</f>
        <v>SAVES</v>
      </c>
      <c r="E962" s="222" t="str">
        <f t="array" ref="E962:E963">{"WILLSAVE";"WillSave"}</f>
        <v>WILLSAVE</v>
      </c>
      <c r="F962" s="223" t="str">
        <f t="array" ref="F962:F963">{"WILLINITIAL";((IF(H963=10,"T",(IF(H963=50,"E","")))))}</f>
        <v>WILLINITIAL</v>
      </c>
      <c r="G962" s="223" t="str">
        <f t="array" ref="G962:G963">{"WILLINITIALPTS";((IF("00"=(INDEX(ALLCLASSDATA,MATCH("WillSaveLegendary",CLASSFEATUREHEADERS,0),MATCH($A963,CLASSNAMEHEADERS,0))),(INDEX(ALLCLASSDATA,MATCH("WillSaveLegendary",CLASSFEATUREHEADERS,0),MATCH(($A963 &amp; "Points"),CLASSNAMEHEADERS,0))),(IF("00"=(INDEX(ALLCLASSDATA,MATCH("WillSaveMaster",CLASSFEATUREHEADERS,0),MATCH($A963,CLASSNAMEHEADERS,0))),(INDEX(ALLCLASSDATA,MATCH("WillSaveMaster",CLASSFEATUREHEADERS,0),MATCH(($A963 &amp; "Points"),CLASSNAMEHEADERS,0))),(IF("00"=(INDEX(ALLCLASSDATA,MATCH("WillSaveExpert",CLASSFEATUREHEADERS,0),MATCH($A963,CLASSNAMEHEADERS,0))),(INDEX(ALLCLASSDATA,MATCH("WillSaveExpert",CLASSFEATUREHEADERS,0),MATCH(($A963 &amp; "Points"),CLASSNAMEHEADERS,0))),(IF("00"=(INDEX(ALLCLASSDATA,MATCH("WillSaveTrained",CLASSFEATUREHEADERS,0),MATCH($A963,CLASSNAMEHEADERS,0))),(INDEX(ALLCLASSDATA,MATCH("WillSaveTrained",CLASSFEATUREHEADERS,0),MATCH(($A963 &amp; "Points"),CLASSNAMEHEADERS,0))),"")))))))))}</f>
        <v>WILLINITIALPTS</v>
      </c>
      <c r="H962" s="223" t="str">
        <f t="array" ref="H962:H963">{"WILLL01";((IF("01"=(INDEX(ALLCLASSDATA,MATCH("WillSaveLegendary",CLASSFEATUREHEADERS,0),MATCH($A963,CLASSNAMEHEADERS,0))),(INDEX(ALLCLASSDATA,MATCH("WillSaveLegendary",CLASSFEATUREHEADERS,0),MATCH(($A963 &amp; "Points"),CLASSNAMEHEADERS,0))),(IF("01"=(INDEX(ALLCLASSDATA,MATCH("WillSaveMaster",CLASSFEATUREHEADERS,0),MATCH($A963,CLASSNAMEHEADERS,0))),(INDEX(ALLCLASSDATA,MATCH("WillSaveMaster",CLASSFEATUREHEADERS,0),MATCH(($A963 &amp; "Points"),CLASSNAMEHEADERS,0))),(IF("01"=(INDEX(ALLCLASSDATA,MATCH("WillSaveExpert",CLASSFEATUREHEADERS,0),MATCH($A963,CLASSNAMEHEADERS,0))),(INDEX(ALLCLASSDATA,MATCH("WillSaveExpert",CLASSFEATUREHEADERS,0),MATCH(($A963 &amp; "Points"),CLASSNAMEHEADERS,0))),(IF("01"=(INDEX(ALLCLASSDATA,MATCH("WillSaveTrained",CLASSFEATUREHEADERS,0),MATCH($A963,CLASSNAMEHEADERS,0))),(INDEX(ALLCLASSDATA,MATCH("WillSaveTrained",CLASSFEATUREHEADERS,0),MATCH(($A963 &amp; "Points"),CLASSNAMEHEADERS,0))),"")))))))))}</f>
        <v>WILLL01</v>
      </c>
      <c r="I962" s="223"/>
      <c r="J962" s="223" t="str">
        <f t="array" ref="J962:J963">{"WILLL03";((IF("03"=(INDEX(ALLCLASSDATA,MATCH("WillSaveLegendary",CLASSFEATUREHEADERS,0),MATCH($A963,CLASSNAMEHEADERS,0))),(INDEX(ALLCLASSDATA,MATCH("WillSaveLegendary",CLASSFEATUREHEADERS,0),MATCH(($A963 &amp; "Points"),CLASSNAMEHEADERS,0))),(IF("03"=(INDEX(ALLCLASSDATA,MATCH("WillSaveMaster",CLASSFEATUREHEADERS,0),MATCH($A963,CLASSNAMEHEADERS,0))),(INDEX(ALLCLASSDATA,MATCH("WillSaveMaster",CLASSFEATUREHEADERS,0),MATCH(($A963 &amp; "Points"),CLASSNAMEHEADERS,0))),(IF("03"=(INDEX(ALLCLASSDATA,MATCH("WillSaveExpert",CLASSFEATUREHEADERS,0),MATCH($A963,CLASSNAMEHEADERS,0))),(INDEX(ALLCLASSDATA,MATCH("WillSaveExpert",CLASSFEATUREHEADERS,0),MATCH(($A963 &amp; "Points"),CLASSNAMEHEADERS,0))),(IF("03"=(INDEX(ALLCLASSDATA,MATCH("WillSaveTrained",CLASSFEATUREHEADERS,0),MATCH($A963,CLASSNAMEHEADERS,0))),(INDEX(ALLCLASSDATA,MATCH("WillSaveTrained",CLASSFEATUREHEADERS,0),MATCH(($A963 &amp; "Points"),CLASSNAMEHEADERS,0))),"")))))))))}</f>
        <v>WILLL03</v>
      </c>
      <c r="K962" s="223"/>
      <c r="L962" s="223" t="str">
        <f t="array" ref="L962:L963">{"WILLL05";((IF("05"=(INDEX(ALLCLASSDATA,MATCH("WillSaveLegendary",CLASSFEATUREHEADERS,0),MATCH($A963,CLASSNAMEHEADERS,0))),(INDEX(ALLCLASSDATA,MATCH("WillSaveLegendary",CLASSFEATUREHEADERS,0),MATCH(($A963 &amp; "Points"),CLASSNAMEHEADERS,0))),(IF("05"=(INDEX(ALLCLASSDATA,MATCH("WillSaveMaster",CLASSFEATUREHEADERS,0),MATCH($A963,CLASSNAMEHEADERS,0))),(INDEX(ALLCLASSDATA,MATCH("WillSaveMaster",CLASSFEATUREHEADERS,0),MATCH(($A963 &amp; "Points"),CLASSNAMEHEADERS,0))),(IF("05"=(INDEX(ALLCLASSDATA,MATCH("WillSaveExpert",CLASSFEATUREHEADERS,0),MATCH($A963,CLASSNAMEHEADERS,0))),(INDEX(ALLCLASSDATA,MATCH("WillSaveExpert",CLASSFEATUREHEADERS,0),MATCH(($A963 &amp; "Points"),CLASSNAMEHEADERS,0))),(IF("05"=(INDEX(ALLCLASSDATA,MATCH("WillSaveTrained",CLASSFEATUREHEADERS,0),MATCH($A963,CLASSNAMEHEADERS,0))),(INDEX(ALLCLASSDATA,MATCH("WillSaveTrained",CLASSFEATUREHEADERS,0),MATCH(($A963 &amp; "Points"),CLASSNAMEHEADERS,0))),"")))))))))}</f>
        <v>WILLL05</v>
      </c>
      <c r="M962" s="223"/>
      <c r="N962" s="223" t="str">
        <f t="array" ref="N962:N963">{"WILLL07";((IF("07"=(INDEX(ALLCLASSDATA,MATCH("WillSaveLegendary",CLASSFEATUREHEADERS,0),MATCH($A963,CLASSNAMEHEADERS,0))),(INDEX(ALLCLASSDATA,MATCH("WillSaveLegendary",CLASSFEATUREHEADERS,0),MATCH(($A963 &amp; "Points"),CLASSNAMEHEADERS,0))),(IF("07"=(INDEX(ALLCLASSDATA,MATCH("WillSaveMaster",CLASSFEATUREHEADERS,0),MATCH($A963,CLASSNAMEHEADERS,0))),(INDEX(ALLCLASSDATA,MATCH("WillSaveMaster",CLASSFEATUREHEADERS,0),MATCH(($A963 &amp; "Points"),CLASSNAMEHEADERS,0))),(IF("07"=(INDEX(ALLCLASSDATA,MATCH("WillSaveExpert",CLASSFEATUREHEADERS,0),MATCH($A963,CLASSNAMEHEADERS,0))),(INDEX(ALLCLASSDATA,MATCH("WillSaveExpert",CLASSFEATUREHEADERS,0),MATCH(($A963 &amp; "Points"),CLASSNAMEHEADERS,0))),(IF("07"=(INDEX(ALLCLASSDATA,MATCH("WillSaveTrained",CLASSFEATUREHEADERS,0),MATCH($A963,CLASSNAMEHEADERS,0))),(INDEX(ALLCLASSDATA,MATCH("WillSaveTrained",CLASSFEATUREHEADERS,0),MATCH(($A963 &amp; "Points"),CLASSNAMEHEADERS,0))),"")))))))))}</f>
        <v>WILLL07</v>
      </c>
      <c r="O962" s="223"/>
      <c r="P962" s="223" t="str">
        <f t="array" ref="P962:P963">{"WILLL09";((IF("09"=(INDEX(ALLCLASSDATA,MATCH("WillSaveLegendary",CLASSFEATUREHEADERS,0),MATCH($A963,CLASSNAMEHEADERS,0))),(INDEX(ALLCLASSDATA,MATCH("WillSaveLegendary",CLASSFEATUREHEADERS,0),MATCH(($A963 &amp; "Points"),CLASSNAMEHEADERS,0))),(IF("09"=(INDEX(ALLCLASSDATA,MATCH("WillSaveMaster",CLASSFEATUREHEADERS,0),MATCH($A963,CLASSNAMEHEADERS,0))),(INDEX(ALLCLASSDATA,MATCH("WillSaveMaster",CLASSFEATUREHEADERS,0),MATCH(($A963 &amp; "Points"),CLASSNAMEHEADERS,0))),(IF("09"=(INDEX(ALLCLASSDATA,MATCH("WillSaveExpert",CLASSFEATUREHEADERS,0),MATCH($A963,CLASSNAMEHEADERS,0))),(INDEX(ALLCLASSDATA,MATCH("WillSaveExpert",CLASSFEATUREHEADERS,0),MATCH(($A963 &amp; "Points"),CLASSNAMEHEADERS,0))),(IF("09"=(INDEX(ALLCLASSDATA,MATCH("WillSaveTrained",CLASSFEATUREHEADERS,0),MATCH($A963,CLASSNAMEHEADERS,0))),(INDEX(ALLCLASSDATA,MATCH("WillSaveTrained",CLASSFEATUREHEADERS,0),MATCH(($A963 &amp; "Points"),CLASSNAMEHEADERS,0))),"")))))))))}</f>
        <v>WILLL09</v>
      </c>
      <c r="Q962" s="223"/>
      <c r="R962" s="223" t="str">
        <f t="array" ref="R962:R963">{"WILLL11";((IF("11"=(INDEX(ALLCLASSDATA,MATCH("WillSaveLegendary",CLASSFEATUREHEADERS,0),MATCH($A963,CLASSNAMEHEADERS,0))),(INDEX(ALLCLASSDATA,MATCH("WillSaveLegendary",CLASSFEATUREHEADERS,0),MATCH(($A963 &amp; "Points"),CLASSNAMEHEADERS,0))),(IF("11"=(INDEX(ALLCLASSDATA,MATCH("WillSaveMaster",CLASSFEATUREHEADERS,0),MATCH($A963,CLASSNAMEHEADERS,0))),(INDEX(ALLCLASSDATA,MATCH("WillSaveMaster",CLASSFEATUREHEADERS,0),MATCH(($A963 &amp; "Points"),CLASSNAMEHEADERS,0))),(IF("11"=(INDEX(ALLCLASSDATA,MATCH("WillSaveExpert",CLASSFEATUREHEADERS,0),MATCH($A963,CLASSNAMEHEADERS,0))),(INDEX(ALLCLASSDATA,MATCH("WillSaveExpert",CLASSFEATUREHEADERS,0),MATCH(($A963 &amp; "Points"),CLASSNAMEHEADERS,0))),(IF("11"=(INDEX(ALLCLASSDATA,MATCH("WillSaveTrained",CLASSFEATUREHEADERS,0),MATCH($A963,CLASSNAMEHEADERS,0))),(INDEX(ALLCLASSDATA,MATCH("WillSaveTrained",CLASSFEATUREHEADERS,0),MATCH(($A963 &amp; "Points"),CLASSNAMEHEADERS,0))),"")))))))))}</f>
        <v>WILLL11</v>
      </c>
      <c r="S962" s="223"/>
      <c r="T962" s="223" t="str">
        <f t="array" ref="T962:T963">{"WILLL13";((IF("13"=(INDEX(ALLCLASSDATA,MATCH("WillSaveLegendary",CLASSFEATUREHEADERS,0),MATCH($A963,CLASSNAMEHEADERS,0))),(INDEX(ALLCLASSDATA,MATCH("WillSaveLegendary",CLASSFEATUREHEADERS,0),MATCH(($A963 &amp; "Points"),CLASSNAMEHEADERS,0))),(IF("13"=(INDEX(ALLCLASSDATA,MATCH("WillSaveMaster",CLASSFEATUREHEADERS,0),MATCH($A963,CLASSNAMEHEADERS,0))),(INDEX(ALLCLASSDATA,MATCH("WillSaveMaster",CLASSFEATUREHEADERS,0),MATCH(($A963 &amp; "Points"),CLASSNAMEHEADERS,0))),(IF("13"=(INDEX(ALLCLASSDATA,MATCH("WillSaveExpert",CLASSFEATUREHEADERS,0),MATCH($A963,CLASSNAMEHEADERS,0))),(INDEX(ALLCLASSDATA,MATCH("WillSaveExpert",CLASSFEATUREHEADERS,0),MATCH(($A963 &amp; "Points"),CLASSNAMEHEADERS,0))),(IF("13"=(INDEX(ALLCLASSDATA,MATCH("WillSaveTrained",CLASSFEATUREHEADERS,0),MATCH($A963,CLASSNAMEHEADERS,0))),(INDEX(ALLCLASSDATA,MATCH("WillSaveTrained",CLASSFEATUREHEADERS,0),MATCH(($A963 &amp; "Points"),CLASSNAMEHEADERS,0))),"")))))))))}</f>
        <v>WILLL13</v>
      </c>
      <c r="U962" s="223"/>
      <c r="V962" s="223" t="str">
        <f t="array" ref="V962:V963">{"WILLL15";((IF("15"=(INDEX(ALLCLASSDATA,MATCH("WillSaveLegendary",CLASSFEATUREHEADERS,0),MATCH($A963,CLASSNAMEHEADERS,0))),(INDEX(ALLCLASSDATA,MATCH("WillSaveLegendary",CLASSFEATUREHEADERS,0),MATCH(($A963 &amp; "Points"),CLASSNAMEHEADERS,0))),(IF("15"=(INDEX(ALLCLASSDATA,MATCH("WillSaveMaster",CLASSFEATUREHEADERS,0),MATCH($A963,CLASSNAMEHEADERS,0))),(INDEX(ALLCLASSDATA,MATCH("WillSaveMaster",CLASSFEATUREHEADERS,0),MATCH(($A963 &amp; "Points"),CLASSNAMEHEADERS,0))),(IF("15"=(INDEX(ALLCLASSDATA,MATCH("WillSaveExpert",CLASSFEATUREHEADERS,0),MATCH($A963,CLASSNAMEHEADERS,0))),(INDEX(ALLCLASSDATA,MATCH("WillSaveExpert",CLASSFEATUREHEADERS,0),MATCH(($A963 &amp; "Points"),CLASSNAMEHEADERS,0))),(IF("15"=(INDEX(ALLCLASSDATA,MATCH("WillSaveTrained",CLASSFEATUREHEADERS,0),MATCH($A963,CLASSNAMEHEADERS,0))),(INDEX(ALLCLASSDATA,MATCH("WillSaveTrained",CLASSFEATUREHEADERS,0),MATCH(($A963 &amp; "Points"),CLASSNAMEHEADERS,0))),"")))))))))}</f>
        <v>WILLL15</v>
      </c>
      <c r="W962" s="223"/>
      <c r="X962" s="223" t="str">
        <f t="array" ref="X962:X963">{"WILLL17";((IF("17"=(INDEX(ALLCLASSDATA,MATCH("WillSaveLegendary",CLASSFEATUREHEADERS,0),MATCH($A963,CLASSNAMEHEADERS,0))),(INDEX(ALLCLASSDATA,MATCH("WillSaveLegendary",CLASSFEATUREHEADERS,0),MATCH(($A963 &amp; "Points"),CLASSNAMEHEADERS,0))),(IF("17"=(INDEX(ALLCLASSDATA,MATCH("WillSaveMaster",CLASSFEATUREHEADERS,0),MATCH($A963,CLASSNAMEHEADERS,0))),(INDEX(ALLCLASSDATA,MATCH("WillSaveMaster",CLASSFEATUREHEADERS,0),MATCH(($A963 &amp; "Points"),CLASSNAMEHEADERS,0))),(IF("17"=(INDEX(ALLCLASSDATA,MATCH("WillSaveExpert",CLASSFEATUREHEADERS,0),MATCH($A963,CLASSNAMEHEADERS,0))),(INDEX(ALLCLASSDATA,MATCH("WillSaveExpert",CLASSFEATUREHEADERS,0),MATCH(($A963 &amp; "Points"),CLASSNAMEHEADERS,0))),(IF("17"=(INDEX(ALLCLASSDATA,MATCH("WillSaveTrained",CLASSFEATUREHEADERS,0),MATCH($A963,CLASSNAMEHEADERS,0))),(INDEX(ALLCLASSDATA,MATCH("WillSaveTrained",CLASSFEATUREHEADERS,0),MATCH(($A963 &amp; "Points"),CLASSNAMEHEADERS,0))),"")))))))))}</f>
        <v>WILLL17</v>
      </c>
      <c r="Y962" s="223"/>
      <c r="Z962" s="223" t="str">
        <f t="array" ref="Z962:Z963">{"WILLL19";((IF("19"=(INDEX(ALLCLASSDATA,MATCH("WillSaveLegendary",CLASSFEATUREHEADERS,0),MATCH($A963,CLASSNAMEHEADERS,0))),(INDEX(ALLCLASSDATA,MATCH("WillSaveLegendary",CLASSFEATUREHEADERS,0),MATCH(($A963 &amp; "Points"),CLASSNAMEHEADERS,0))),(IF("19"=(INDEX(ALLCLASSDATA,MATCH("WillSaveMaster",CLASSFEATUREHEADERS,0),MATCH($A963,CLASSNAMEHEADERS,0))),(INDEX(ALLCLASSDATA,MATCH("WillSaveMaster",CLASSFEATUREHEADERS,0),MATCH(($A963 &amp; "Points"),CLASSNAMEHEADERS,0))),(IF("19"=(INDEX(ALLCLASSDATA,MATCH("WillSaveExpert",CLASSFEATUREHEADERS,0),MATCH($A963,CLASSNAMEHEADERS,0))),(INDEX(ALLCLASSDATA,MATCH("WillSaveExpert",CLASSFEATUREHEADERS,0),MATCH(($A963 &amp; "Points"),CLASSNAMEHEADERS,0))),(IF("19"=(INDEX(ALLCLASSDATA,MATCH("WillSaveTrained",CLASSFEATUREHEADERS,0),MATCH($A963,CLASSNAMEHEADERS,0))),(INDEX(ALLCLASSDATA,MATCH("WillSaveTrained",CLASSFEATUREHEADERS,0),MATCH(($A963 &amp; "Points"),CLASSNAMEHEADERS,0))),"")))))))))}</f>
        <v>WILLL19</v>
      </c>
      <c r="AA962" s="223"/>
      <c r="AB962" s="76" t="str">
        <f t="array" ref="AB962:AB963">{"WILL TOTAL";(IF(COUNTBLANK(G963:AA963)=17,"L",(IF(COUNTBLANK(G963:AA963)=18,"M",(IF(COUNTBLANK(G963:AA963)=19,"E",(IF(COUNTBLANK(G963:AA963)=20,"T",""))))))))}</f>
        <v>WILL TOTAL</v>
      </c>
      <c r="AC962" s="76" t="str">
        <f t="array" ref="AC962:AC963">{"WILL TOTAL";(sum(G963:AA963))}</f>
        <v>WILL TOTAL</v>
      </c>
    </row>
    <row r="963">
      <c r="A963" s="48" t="s">
        <v>185</v>
      </c>
      <c r="B963" s="48"/>
      <c r="C963" s="48" t="s">
        <v>412</v>
      </c>
      <c r="D963" s="97" t="s">
        <v>1549</v>
      </c>
      <c r="E963" s="97" t="s">
        <v>1591</v>
      </c>
      <c r="F963" s="98" t="s">
        <v>436</v>
      </c>
      <c r="G963" s="132">
        <v>10.0</v>
      </c>
      <c r="H963" s="98">
        <v>50.0</v>
      </c>
      <c r="I963" s="98"/>
      <c r="J963" s="98" t="s">
        <v>603</v>
      </c>
      <c r="K963" s="98"/>
      <c r="L963" s="98" t="s">
        <v>603</v>
      </c>
      <c r="M963" s="97"/>
      <c r="N963" s="98" t="s">
        <v>603</v>
      </c>
      <c r="O963" s="98"/>
      <c r="P963" s="98" t="s">
        <v>603</v>
      </c>
      <c r="Q963" s="97"/>
      <c r="R963" s="98">
        <v>110.0</v>
      </c>
      <c r="S963" s="98"/>
      <c r="T963" s="98" t="s">
        <v>603</v>
      </c>
      <c r="U963" s="98"/>
      <c r="V963" s="98" t="s">
        <v>603</v>
      </c>
      <c r="W963" s="98"/>
      <c r="X963" s="98" t="s">
        <v>603</v>
      </c>
      <c r="Y963" s="98"/>
      <c r="Z963" s="98" t="s">
        <v>603</v>
      </c>
      <c r="AA963" s="98"/>
      <c r="AB963" s="5" t="s">
        <v>437</v>
      </c>
      <c r="AC963" s="47">
        <v>170.0</v>
      </c>
    </row>
    <row r="964" hidden="1">
      <c r="A964" s="222" t="str">
        <f t="array" ref="A964:A965">{"FormulaRow26";(INDEX(CLASSLIST,A913,1))}</f>
        <v>FormulaRow26</v>
      </c>
      <c r="B964" s="77" t="s">
        <v>236</v>
      </c>
      <c r="C964" s="222" t="str">
        <f t="array" ref="C964:C965">{"CLASSTYPE";((INDEX(ALLCLASSDATA,MATCH("ClassType",CLASSFEATUREHEADERS,0),MATCH($A965,CLASSNAMEHEADERS,0))))}</f>
        <v>CLASSTYPE</v>
      </c>
      <c r="D964" s="228" t="str">
        <f t="array" ref="D964:D965">{"ATTACK";"Attack"}</f>
        <v>ATTACK</v>
      </c>
      <c r="E964" s="228" t="str">
        <f t="array" ref="E964:E965">{"WEAPONSPECIAL";"WeaponCS/WS/GWS"}</f>
        <v>WEAPONSPECIAL</v>
      </c>
      <c r="F964" s="230"/>
      <c r="G964" s="230"/>
      <c r="H964" s="230" t="str">
        <f t="array" ref="H964:H965">{"WEAPONSPECIALL01";((IF("01"=INDEX(ALLCLASSDATA,MATCH("WeaponGreaterSpecialization",CLASSFEATUREHEADERS,0),MATCH($A965,CLASSNAMEHEADERS,0)),WeaponGWS,(IF("01"=INDEX(ALLCLASSDATA,MATCH("WeaponSpecialization",CLASSFEATUREHEADERS,0),MATCH($A965,CLASSNAMEHEADERS,0)),WeaponWS,(IF("01"=INDEX(ALLCLASSDATA,MATCH("WeaponCriticalSpecialization",CLASSFEATUREHEADERS,0),MATCH($A965,CLASSNAMEHEADERS,0)),WeaponCS,"")))))))}</f>
        <v>WEAPONSPECIALL01</v>
      </c>
      <c r="I964" s="230"/>
      <c r="J964" s="230" t="str">
        <f t="array" ref="J964:J965">{"WEAPONSPECIALL03";((IF("03"=INDEX(ALLCLASSDATA,MATCH("WeaponGreaterSpecialization",CLASSFEATUREHEADERS,0),MATCH($A965,CLASSNAMEHEADERS,0)),WeaponGWS,(IF("03"=INDEX(ALLCLASSDATA,MATCH("WeaponSpecialization",CLASSFEATUREHEADERS,0),MATCH($A965,CLASSNAMEHEADERS,0)),WeaponWS,(IF("03"=INDEX(ALLCLASSDATA,MATCH("WeaponCriticalSpecialization",CLASSFEATUREHEADERS,0),MATCH($A965,CLASSNAMEHEADERS,0)),WeaponCS,"")))))))}</f>
        <v>WEAPONSPECIALL03</v>
      </c>
      <c r="K964" s="230"/>
      <c r="L964" s="230" t="str">
        <f t="array" ref="L964:L965">{"WEAPONSPECIALL05";((IF("05"=INDEX(ALLCLASSDATA,MATCH("WeaponGreaterSpecialization",CLASSFEATUREHEADERS,0),MATCH($A965,CLASSNAMEHEADERS,0)),WeaponGWS,(IF("05"=INDEX(ALLCLASSDATA,MATCH("WeaponSpecialization",CLASSFEATUREHEADERS,0),MATCH($A965,CLASSNAMEHEADERS,0)),WeaponWS,(IF("05"=INDEX(ALLCLASSDATA,MATCH("WeaponCriticalSpecialization",CLASSFEATUREHEADERS,0),MATCH($A965,CLASSNAMEHEADERS,0)),WeaponCS,"")))))))}</f>
        <v>WEAPONSPECIALL05</v>
      </c>
      <c r="M964" s="230"/>
      <c r="N964" s="230" t="str">
        <f t="array" ref="N964:N965">{"WEAPONSPECIALL07";((IF("07"=INDEX(ALLCLASSDATA,MATCH("WeaponGreaterSpecialization",CLASSFEATUREHEADERS,0),MATCH($A965,CLASSNAMEHEADERS,0)),WeaponGWS,(IF("07"=INDEX(ALLCLASSDATA,MATCH("WeaponSpecialization",CLASSFEATUREHEADERS,0),MATCH($A965,CLASSNAMEHEADERS,0)),WeaponWS,(IF("07"=INDEX(ALLCLASSDATA,MATCH("WeaponCriticalSpecialization",CLASSFEATUREHEADERS,0),MATCH($A965,CLASSNAMEHEADERS,0)),WeaponCS,"")))))))}</f>
        <v>WEAPONSPECIALL07</v>
      </c>
      <c r="O964" s="230"/>
      <c r="P964" s="230" t="str">
        <f t="array" ref="P964:P965">{"WEAPONSPECIALL09";((IF("09"=INDEX(ALLCLASSDATA,MATCH("WeaponGreaterSpecialization",CLASSFEATUREHEADERS,0),MATCH($A965,CLASSNAMEHEADERS,0)),WeaponGWS,(IF("09"=INDEX(ALLCLASSDATA,MATCH("WeaponSpecialization",CLASSFEATUREHEADERS,0),MATCH($A965,CLASSNAMEHEADERS,0)),WeaponWS,(IF("09"=INDEX(ALLCLASSDATA,MATCH("WeaponCriticalSpecialization",CLASSFEATUREHEADERS,0),MATCH($A965,CLASSNAMEHEADERS,0)),WeaponCS,"")))))))}</f>
        <v>WEAPONSPECIALL09</v>
      </c>
      <c r="Q964" s="230"/>
      <c r="R964" s="230" t="str">
        <f t="array" ref="R964:R965">{"WEAPONSPECIALL11";((IF("11"=INDEX(ALLCLASSDATA,MATCH("WeaponGreaterSpecialization",CLASSFEATUREHEADERS,0),MATCH($A965,CLASSNAMEHEADERS,0)),WeaponGWS,(IF("11"=INDEX(ALLCLASSDATA,MATCH("WeaponSpecialization",CLASSFEATUREHEADERS,0),MATCH($A965,CLASSNAMEHEADERS,0)),WeaponWS,(IF("11"=INDEX(ALLCLASSDATA,MATCH("WeaponCriticalSpecialization",CLASSFEATUREHEADERS,0),MATCH($A965,CLASSNAMEHEADERS,0)),WeaponCS,"")))))))}</f>
        <v>WEAPONSPECIALL11</v>
      </c>
      <c r="S964" s="230"/>
      <c r="T964" s="230" t="str">
        <f t="array" ref="T964:T965">{"WEAPONSPECIALL13";((IF("13"=INDEX(ALLCLASSDATA,MATCH("WeaponGreaterSpecialization",CLASSFEATUREHEADERS,0),MATCH($A965,CLASSNAMEHEADERS,0)),WeaponGWS,(IF("13"=INDEX(ALLCLASSDATA,MATCH("WeaponSpecialization",CLASSFEATUREHEADERS,0),MATCH($A965,CLASSNAMEHEADERS,0)),WeaponWS,(IF("13"=INDEX(ALLCLASSDATA,MATCH("WeaponCriticalSpecialization",CLASSFEATUREHEADERS,0),MATCH($A965,CLASSNAMEHEADERS,0)),WeaponCS,"")))))))}</f>
        <v>WEAPONSPECIALL13</v>
      </c>
      <c r="U964" s="230"/>
      <c r="V964" s="230" t="str">
        <f t="array" ref="V964:V965">{"WEAPONSPECIALL15";((IF("15"=INDEX(ALLCLASSDATA,MATCH("WeaponGreaterSpecialization",CLASSFEATUREHEADERS,0),MATCH($A965,CLASSNAMEHEADERS,0)),WeaponGWS,(IF("15"=INDEX(ALLCLASSDATA,MATCH("WeaponSpecialization",CLASSFEATUREHEADERS,0),MATCH($A965,CLASSNAMEHEADERS,0)),WeaponWS,(IF("15"=INDEX(ALLCLASSDATA,MATCH("WeaponCriticalSpecialization",CLASSFEATUREHEADERS,0),MATCH($A965,CLASSNAMEHEADERS,0)),WeaponCS,"")))))))}</f>
        <v>WEAPONSPECIALL15</v>
      </c>
      <c r="W964" s="230"/>
      <c r="X964" s="230" t="str">
        <f t="array" ref="X964:X965">{"WEAPONSPECIALL17";((IF("17"=INDEX(ALLCLASSDATA,MATCH("WeaponGreaterSpecialization",CLASSFEATUREHEADERS,0),MATCH($A965,CLASSNAMEHEADERS,0)),WeaponGWS,(IF("17"=INDEX(ALLCLASSDATA,MATCH("WeaponSpecialization",CLASSFEATUREHEADERS,0),MATCH($A965,CLASSNAMEHEADERS,0)),WeaponWS,(IF("17"=INDEX(ALLCLASSDATA,MATCH("WeaponCriticalSpecialization",CLASSFEATUREHEADERS,0),MATCH($A965,CLASSNAMEHEADERS,0)),WeaponCS,"")))))))}</f>
        <v>WEAPONSPECIALL17</v>
      </c>
      <c r="Y964" s="230"/>
      <c r="Z964" s="230" t="str">
        <f t="array" ref="Z964:Z965">{"WEAPONSPECIALL19";((IF("19"=INDEX(ALLCLASSDATA,MATCH("WeaponGreaterSpecialization",CLASSFEATUREHEADERS,0),MATCH($A965,CLASSNAMEHEADERS,0)),WeaponGWS,(IF("19"=INDEX(ALLCLASSDATA,MATCH("WeaponSpecialization",CLASSFEATUREHEADERS,0),MATCH($A965,CLASSNAMEHEADERS,0)),WeaponWS,(IF("19"=INDEX(ALLCLASSDATA,MATCH("WeaponCriticalSpecialization",CLASSFEATUREHEADERS,0),MATCH($A965,CLASSNAMEHEADERS,0)),WeaponCS,"")))))))}</f>
        <v>WEAPONSPECIALL19</v>
      </c>
      <c r="AA964" s="230"/>
      <c r="AB964" s="76"/>
      <c r="AC964" s="76" t="str">
        <f t="array" ref="AC964:AC965">{"WEAPONSPECIAL TOTAL";(sum(G965:AA965))}</f>
        <v>WEAPONSPECIAL TOTAL</v>
      </c>
    </row>
    <row r="965">
      <c r="A965" s="48" t="s">
        <v>185</v>
      </c>
      <c r="B965" s="48"/>
      <c r="C965" s="48" t="s">
        <v>412</v>
      </c>
      <c r="D965" s="48" t="s">
        <v>1634</v>
      </c>
      <c r="E965" s="48" t="s">
        <v>1635</v>
      </c>
      <c r="F965" s="5"/>
      <c r="G965" s="47"/>
      <c r="H965" s="5" t="s">
        <v>603</v>
      </c>
      <c r="I965" s="5"/>
      <c r="J965" s="5" t="s">
        <v>603</v>
      </c>
      <c r="K965" s="5"/>
      <c r="L965" s="5" t="s">
        <v>603</v>
      </c>
      <c r="M965" s="5"/>
      <c r="N965" s="5">
        <v>70.0</v>
      </c>
      <c r="O965" s="5"/>
      <c r="P965" s="5" t="s">
        <v>603</v>
      </c>
      <c r="Q965" s="5"/>
      <c r="R965" s="5" t="s">
        <v>603</v>
      </c>
      <c r="S965" s="5"/>
      <c r="T965" s="5" t="s">
        <v>603</v>
      </c>
      <c r="U965" s="5"/>
      <c r="V965" s="5">
        <v>150.0</v>
      </c>
      <c r="W965" s="5"/>
      <c r="X965" s="5" t="s">
        <v>603</v>
      </c>
      <c r="Y965" s="5"/>
      <c r="Z965" s="5" t="s">
        <v>603</v>
      </c>
      <c r="AA965" s="5"/>
      <c r="AB965" s="5"/>
      <c r="AC965" s="47">
        <v>220.0</v>
      </c>
    </row>
    <row r="966" hidden="1">
      <c r="A966" s="222" t="str">
        <f t="array" ref="A966:A967">{"FormulaRow27";(INDEX(CLASSLIST,A913,1))}</f>
        <v>FormulaRow27</v>
      </c>
      <c r="B966" s="77" t="s">
        <v>236</v>
      </c>
      <c r="C966" s="222" t="str">
        <f t="array" ref="C966:C967">{"CLASSTYPE";((INDEX(ALLCLASSDATA,MATCH("ClassType",CLASSFEATUREHEADERS,0),MATCH($A967,CLASSNAMEHEADERS,0))))}</f>
        <v>CLASSTYPE</v>
      </c>
      <c r="D966" s="222" t="str">
        <f t="array" ref="D966:D967">{"ATTACK";"Attack"}</f>
        <v>ATTACK</v>
      </c>
      <c r="E966" s="222" t="str">
        <f t="array" ref="E966:E967">{"UNARMED";"Unarmed"}</f>
        <v>UNARMED</v>
      </c>
      <c r="F966" s="223" t="str">
        <f t="array" ref="F966:F967">{"UNARMEDINITIAL";((IF(H967=10,"T",(IF(H967=50,"E","")))))}</f>
        <v>UNARMEDINITIAL</v>
      </c>
      <c r="G966" s="223" t="str">
        <f t="array" ref="G966:G967">{"UNARMEDINITIALPTS";((IF("00"=(INDEX(ALLCLASSDATA,MATCH("UnarmedLegendary",CLASSFEATUREHEADERS,0),MATCH($A967,CLASSNAMEHEADERS,0))),(INDEX(ALLCLASSDATA,MATCH("UnarmedLegendary",CLASSFEATUREHEADERS,0),MATCH(($A967 &amp; "Points"),CLASSNAMEHEADERS,0))),(IF("00"=(INDEX(ALLCLASSDATA,MATCH("UnarmedMaster",CLASSFEATUREHEADERS,0),MATCH($A967,CLASSNAMEHEADERS,0))),(INDEX(ALLCLASSDATA,MATCH("UnarmedMaster",CLASSFEATUREHEADERS,0),MATCH(($A967 &amp; "Points"),CLASSNAMEHEADERS,0))),(IF("00"=(INDEX(ALLCLASSDATA,MATCH("UnarmedExpert",CLASSFEATUREHEADERS,0),MATCH($A967,CLASSNAMEHEADERS,0))),(INDEX(ALLCLASSDATA,MATCH("UnarmedExpert",CLASSFEATUREHEADERS,0),MATCH(($A967 &amp; "Points"),CLASSNAMEHEADERS,0))),(IF("00"=(INDEX(ALLCLASSDATA,MATCH("UnarmedTrained",CLASSFEATUREHEADERS,0),MATCH($A967,CLASSNAMEHEADERS,0))),(INDEX(ALLCLASSDATA,MATCH("UnarmedTrained",CLASSFEATUREHEADERS,0),MATCH(($A967 &amp; "Points"),CLASSNAMEHEADERS,0))),"")))))))))}</f>
        <v>UNARMEDINITIALPTS</v>
      </c>
      <c r="H966" s="223" t="str">
        <f t="array" ref="H966:H967">{"UNARMEDL01";((IF("01"=(INDEX(ALLCLASSDATA,MATCH("UnarmedLegendary",CLASSFEATUREHEADERS,0),MATCH($A967,CLASSNAMEHEADERS,0))),(INDEX(ALLCLASSDATA,MATCH("UnarmedLegendary",CLASSFEATUREHEADERS,0),MATCH(($A967 &amp; "Points"),CLASSNAMEHEADERS,0))),(IF("01"=(INDEX(ALLCLASSDATA,MATCH("UnarmedMaster",CLASSFEATUREHEADERS,0),MATCH($A967,CLASSNAMEHEADERS,0))),(INDEX(ALLCLASSDATA,MATCH("UnarmedMaster",CLASSFEATUREHEADERS,0),MATCH(($A967 &amp; "Points"),CLASSNAMEHEADERS,0))),(IF("01"=(INDEX(ALLCLASSDATA,MATCH("UnarmedExpert",CLASSFEATUREHEADERS,0),MATCH($A967,CLASSNAMEHEADERS,0))),(INDEX(ALLCLASSDATA,MATCH("UnarmedExpert",CLASSFEATUREHEADERS,0),MATCH(($A967 &amp; "Points"),CLASSNAMEHEADERS,0))),(IF("01"=(INDEX(ALLCLASSDATA,MATCH("UnarmedTrained",CLASSFEATUREHEADERS,0),MATCH($A967,CLASSNAMEHEADERS,0))),(INDEX(ALLCLASSDATA,MATCH("UnarmedTrained",CLASSFEATUREHEADERS,0),MATCH(($A967 &amp; "Points"),CLASSNAMEHEADERS,0))),"")))))))))}</f>
        <v>UNARMEDL01</v>
      </c>
      <c r="I966" s="223"/>
      <c r="J966" s="223" t="str">
        <f t="array" ref="J966:J967">{"UNARMEDL03";((IF("03"=(INDEX(ALLCLASSDATA,MATCH("UnarmedLegendary",CLASSFEATUREHEADERS,0),MATCH($A967,CLASSNAMEHEADERS,0))),(INDEX(ALLCLASSDATA,MATCH("UnarmedLegendary",CLASSFEATUREHEADERS,0),MATCH(($A967 &amp; "Points"),CLASSNAMEHEADERS,0))),(IF("03"=(INDEX(ALLCLASSDATA,MATCH("UnarmedMaster",CLASSFEATUREHEADERS,0),MATCH($A967,CLASSNAMEHEADERS,0))),(INDEX(ALLCLASSDATA,MATCH("UnarmedMaster",CLASSFEATUREHEADERS,0),MATCH(($A967 &amp; "Points"),CLASSNAMEHEADERS,0))),(IF("03"=(INDEX(ALLCLASSDATA,MATCH("UnarmedExpert",CLASSFEATUREHEADERS,0),MATCH($A967,CLASSNAMEHEADERS,0))),(INDEX(ALLCLASSDATA,MATCH("UnarmedExpert",CLASSFEATUREHEADERS,0),MATCH(($A967 &amp; "Points"),CLASSNAMEHEADERS,0))),(IF("03"=(INDEX(ALLCLASSDATA,MATCH("UnarmedTrained",CLASSFEATUREHEADERS,0),MATCH($A967,CLASSNAMEHEADERS,0))),(INDEX(ALLCLASSDATA,MATCH("UnarmedTrained",CLASSFEATUREHEADERS,0),MATCH(($A967 &amp; "Points"),CLASSNAMEHEADERS,0))),"")))))))))}</f>
        <v>UNARMEDL03</v>
      </c>
      <c r="K966" s="223"/>
      <c r="L966" s="223" t="str">
        <f t="array" ref="L966:L967">{"UNARMEDL05";((IF("05"=(INDEX(ALLCLASSDATA,MATCH("UnarmedLegendary",CLASSFEATUREHEADERS,0),MATCH($A967,CLASSNAMEHEADERS,0))),(INDEX(ALLCLASSDATA,MATCH("UnarmedLegendary",CLASSFEATUREHEADERS,0),MATCH(($A967 &amp; "Points"),CLASSNAMEHEADERS,0))),(IF("05"=(INDEX(ALLCLASSDATA,MATCH("UnarmedMaster",CLASSFEATUREHEADERS,0),MATCH($A967,CLASSNAMEHEADERS,0))),(INDEX(ALLCLASSDATA,MATCH("UnarmedMaster",CLASSFEATUREHEADERS,0),MATCH(($A967 &amp; "Points"),CLASSNAMEHEADERS,0))),(IF("05"=(INDEX(ALLCLASSDATA,MATCH("UnarmedExpert",CLASSFEATUREHEADERS,0),MATCH($A967,CLASSNAMEHEADERS,0))),(INDEX(ALLCLASSDATA,MATCH("UnarmedExpert",CLASSFEATUREHEADERS,0),MATCH(($A967 &amp; "Points"),CLASSNAMEHEADERS,0))),(IF("05"=(INDEX(ALLCLASSDATA,MATCH("UnarmedTrained",CLASSFEATUREHEADERS,0),MATCH($A967,CLASSNAMEHEADERS,0))),(INDEX(ALLCLASSDATA,MATCH("UnarmedTrained",CLASSFEATUREHEADERS,0),MATCH(($A967 &amp; "Points"),CLASSNAMEHEADERS,0))),"")))))))))}</f>
        <v>UNARMEDL05</v>
      </c>
      <c r="M966" s="223"/>
      <c r="N966" s="223" t="str">
        <f t="array" ref="N966:N967">{"UNARMEDL07";((IF("07"=(INDEX(ALLCLASSDATA,MATCH("UnarmedLegendary",CLASSFEATUREHEADERS,0),MATCH($A967,CLASSNAMEHEADERS,0))),(INDEX(ALLCLASSDATA,MATCH("UnarmedLegendary",CLASSFEATUREHEADERS,0),MATCH(($A967 &amp; "Points"),CLASSNAMEHEADERS,0))),(IF("07"=(INDEX(ALLCLASSDATA,MATCH("UnarmedMaster",CLASSFEATUREHEADERS,0),MATCH($A967,CLASSNAMEHEADERS,0))),(INDEX(ALLCLASSDATA,MATCH("UnarmedMaster",CLASSFEATUREHEADERS,0),MATCH(($A967 &amp; "Points"),CLASSNAMEHEADERS,0))),(IF("07"=(INDEX(ALLCLASSDATA,MATCH("UnarmedExpert",CLASSFEATUREHEADERS,0),MATCH($A967,CLASSNAMEHEADERS,0))),(INDEX(ALLCLASSDATA,MATCH("UnarmedExpert",CLASSFEATUREHEADERS,0),MATCH(($A967 &amp; "Points"),CLASSNAMEHEADERS,0))),(IF("07"=(INDEX(ALLCLASSDATA,MATCH("UnarmedTrained",CLASSFEATUREHEADERS,0),MATCH($A967,CLASSNAMEHEADERS,0))),(INDEX(ALLCLASSDATA,MATCH("UnarmedTrained",CLASSFEATUREHEADERS,0),MATCH(($A967 &amp; "Points"),CLASSNAMEHEADERS,0))),"")))))))))}</f>
        <v>UNARMEDL07</v>
      </c>
      <c r="O966" s="223"/>
      <c r="P966" s="223" t="str">
        <f t="array" ref="P966:P967">{"UNARMEDL09";((IF("09"=(INDEX(ALLCLASSDATA,MATCH("UnarmedLegendary",CLASSFEATUREHEADERS,0),MATCH($A967,CLASSNAMEHEADERS,0))),(INDEX(ALLCLASSDATA,MATCH("UnarmedLegendary",CLASSFEATUREHEADERS,0),MATCH(($A967 &amp; "Points"),CLASSNAMEHEADERS,0))),(IF("09"=(INDEX(ALLCLASSDATA,MATCH("UnarmedMaster",CLASSFEATUREHEADERS,0),MATCH($A967,CLASSNAMEHEADERS,0))),(INDEX(ALLCLASSDATA,MATCH("UnarmedMaster",CLASSFEATUREHEADERS,0),MATCH(($A967 &amp; "Points"),CLASSNAMEHEADERS,0))),(IF("09"=(INDEX(ALLCLASSDATA,MATCH("UnarmedExpert",CLASSFEATUREHEADERS,0),MATCH($A967,CLASSNAMEHEADERS,0))),(INDEX(ALLCLASSDATA,MATCH("UnarmedExpert",CLASSFEATUREHEADERS,0),MATCH(($A967 &amp; "Points"),CLASSNAMEHEADERS,0))),(IF("09"=(INDEX(ALLCLASSDATA,MATCH("UnarmedTrained",CLASSFEATUREHEADERS,0),MATCH($A967,CLASSNAMEHEADERS,0))),(INDEX(ALLCLASSDATA,MATCH("UnarmedTrained",CLASSFEATUREHEADERS,0),MATCH(($A967 &amp; "Points"),CLASSNAMEHEADERS,0))),"")))))))))}</f>
        <v>UNARMEDL09</v>
      </c>
      <c r="Q966" s="223"/>
      <c r="R966" s="223" t="str">
        <f t="array" ref="R966:R967">{"UNARMEDL11";((IF("11"=(INDEX(ALLCLASSDATA,MATCH("UnarmedLegendary",CLASSFEATUREHEADERS,0),MATCH($A967,CLASSNAMEHEADERS,0))),(INDEX(ALLCLASSDATA,MATCH("UnarmedLegendary",CLASSFEATUREHEADERS,0),MATCH(($A967 &amp; "Points"),CLASSNAMEHEADERS,0))),(IF("11"=(INDEX(ALLCLASSDATA,MATCH("UnarmedMaster",CLASSFEATUREHEADERS,0),MATCH($A967,CLASSNAMEHEADERS,0))),(INDEX(ALLCLASSDATA,MATCH("UnarmedMaster",CLASSFEATUREHEADERS,0),MATCH(($A967 &amp; "Points"),CLASSNAMEHEADERS,0))),(IF("11"=(INDEX(ALLCLASSDATA,MATCH("UnarmedExpert",CLASSFEATUREHEADERS,0),MATCH($A967,CLASSNAMEHEADERS,0))),(INDEX(ALLCLASSDATA,MATCH("UnarmedExpert",CLASSFEATUREHEADERS,0),MATCH(($A967 &amp; "Points"),CLASSNAMEHEADERS,0))),(IF("11"=(INDEX(ALLCLASSDATA,MATCH("UnarmedTrained",CLASSFEATUREHEADERS,0),MATCH($A967,CLASSNAMEHEADERS,0))),(INDEX(ALLCLASSDATA,MATCH("UnarmedTrained",CLASSFEATUREHEADERS,0),MATCH(($A967 &amp; "Points"),CLASSNAMEHEADERS,0))),"")))))))))}</f>
        <v>UNARMEDL11</v>
      </c>
      <c r="S966" s="223"/>
      <c r="T966" s="223" t="str">
        <f t="array" ref="T966:T967">{"UNARMEDL13";((IF("13"=(INDEX(ALLCLASSDATA,MATCH("UnarmedLegendary",CLASSFEATUREHEADERS,0),MATCH($A967,CLASSNAMEHEADERS,0))),(INDEX(ALLCLASSDATA,MATCH("UnarmedLegendary",CLASSFEATUREHEADERS,0),MATCH(($A967 &amp; "Points"),CLASSNAMEHEADERS,0))),(IF("13"=(INDEX(ALLCLASSDATA,MATCH("UnarmedMaster",CLASSFEATUREHEADERS,0),MATCH($A967,CLASSNAMEHEADERS,0))),(INDEX(ALLCLASSDATA,MATCH("UnarmedMaster",CLASSFEATUREHEADERS,0),MATCH(($A967 &amp; "Points"),CLASSNAMEHEADERS,0))),(IF("13"=(INDEX(ALLCLASSDATA,MATCH("UnarmedExpert",CLASSFEATUREHEADERS,0),MATCH($A967,CLASSNAMEHEADERS,0))),(INDEX(ALLCLASSDATA,MATCH("UnarmedExpert",CLASSFEATUREHEADERS,0),MATCH(($A967 &amp; "Points"),CLASSNAMEHEADERS,0))),(IF("13"=(INDEX(ALLCLASSDATA,MATCH("UnarmedTrained",CLASSFEATUREHEADERS,0),MATCH($A967,CLASSNAMEHEADERS,0))),(INDEX(ALLCLASSDATA,MATCH("UnarmedTrained",CLASSFEATUREHEADERS,0),MATCH(($A967 &amp; "Points"),CLASSNAMEHEADERS,0))),"")))))))))}</f>
        <v>UNARMEDL13</v>
      </c>
      <c r="U966" s="223"/>
      <c r="V966" s="223" t="str">
        <f t="array" ref="V966:V967">{"UNARMEDL15";((IF("15"=(INDEX(ALLCLASSDATA,MATCH("UnarmedLegendary",CLASSFEATUREHEADERS,0),MATCH($A967,CLASSNAMEHEADERS,0))),(INDEX(ALLCLASSDATA,MATCH("UnarmedLegendary",CLASSFEATUREHEADERS,0),MATCH(($A967 &amp; "Points"),CLASSNAMEHEADERS,0))),(IF("15"=(INDEX(ALLCLASSDATA,MATCH("UnarmedMaster",CLASSFEATUREHEADERS,0),MATCH($A967,CLASSNAMEHEADERS,0))),(INDEX(ALLCLASSDATA,MATCH("UnarmedMaster",CLASSFEATUREHEADERS,0),MATCH(($A967 &amp; "Points"),CLASSNAMEHEADERS,0))),(IF("15"=(INDEX(ALLCLASSDATA,MATCH("UnarmedExpert",CLASSFEATUREHEADERS,0),MATCH($A967,CLASSNAMEHEADERS,0))),(INDEX(ALLCLASSDATA,MATCH("UnarmedExpert",CLASSFEATUREHEADERS,0),MATCH(($A967 &amp; "Points"),CLASSNAMEHEADERS,0))),(IF("15"=(INDEX(ALLCLASSDATA,MATCH("UnarmedTrained",CLASSFEATUREHEADERS,0),MATCH($A967,CLASSNAMEHEADERS,0))),(INDEX(ALLCLASSDATA,MATCH("UnarmedTrained",CLASSFEATUREHEADERS,0),MATCH(($A967 &amp; "Points"),CLASSNAMEHEADERS,0))),"")))))))))}</f>
        <v>UNARMEDL15</v>
      </c>
      <c r="W966" s="223"/>
      <c r="X966" s="223" t="str">
        <f t="array" ref="X966:X967">{"UNARMEDL17";((IF("17"=(INDEX(ALLCLASSDATA,MATCH("UnarmedLegendary",CLASSFEATUREHEADERS,0),MATCH($A967,CLASSNAMEHEADERS,0))),(INDEX(ALLCLASSDATA,MATCH("UnarmedLegendary",CLASSFEATUREHEADERS,0),MATCH(($A967 &amp; "Points"),CLASSNAMEHEADERS,0))),(IF("17"=(INDEX(ALLCLASSDATA,MATCH("UnarmedMaster",CLASSFEATUREHEADERS,0),MATCH($A967,CLASSNAMEHEADERS,0))),(INDEX(ALLCLASSDATA,MATCH("UnarmedMaster",CLASSFEATUREHEADERS,0),MATCH(($A967 &amp; "Points"),CLASSNAMEHEADERS,0))),(IF("17"=(INDEX(ALLCLASSDATA,MATCH("UnarmedExpert",CLASSFEATUREHEADERS,0),MATCH($A967,CLASSNAMEHEADERS,0))),(INDEX(ALLCLASSDATA,MATCH("UnarmedExpert",CLASSFEATUREHEADERS,0),MATCH(($A967 &amp; "Points"),CLASSNAMEHEADERS,0))),(IF("17"=(INDEX(ALLCLASSDATA,MATCH("UnarmedTrained",CLASSFEATUREHEADERS,0),MATCH($A967,CLASSNAMEHEADERS,0))),(INDEX(ALLCLASSDATA,MATCH("UnarmedTrained",CLASSFEATUREHEADERS,0),MATCH(($A967 &amp; "Points"),CLASSNAMEHEADERS,0))),"")))))))))}</f>
        <v>UNARMEDL17</v>
      </c>
      <c r="Y966" s="223"/>
      <c r="Z966" s="223" t="str">
        <f t="array" ref="Z966:Z967">{"UNARMEDL19";((IF("19"=(INDEX(ALLCLASSDATA,MATCH("UnarmedLegendary",CLASSFEATUREHEADERS,0),MATCH($A967,CLASSNAMEHEADERS,0))),(INDEX(ALLCLASSDATA,MATCH("UnarmedLegendary",CLASSFEATUREHEADERS,0),MATCH(($A967 &amp; "Points"),CLASSNAMEHEADERS,0))),(IF("19"=(INDEX(ALLCLASSDATA,MATCH("UnarmedMaster",CLASSFEATUREHEADERS,0),MATCH($A967,CLASSNAMEHEADERS,0))),(INDEX(ALLCLASSDATA,MATCH("UnarmedMaster",CLASSFEATUREHEADERS,0),MATCH(($A967 &amp; "Points"),CLASSNAMEHEADERS,0))),(IF("19"=(INDEX(ALLCLASSDATA,MATCH("UnarmedExpert",CLASSFEATUREHEADERS,0),MATCH($A967,CLASSNAMEHEADERS,0))),(INDEX(ALLCLASSDATA,MATCH("UnarmedExpert",CLASSFEATUREHEADERS,0),MATCH(($A967 &amp; "Points"),CLASSNAMEHEADERS,0))),(IF("19"=(INDEX(ALLCLASSDATA,MATCH("UnarmedTrained",CLASSFEATUREHEADERS,0),MATCH($A967,CLASSNAMEHEADERS,0))),(INDEX(ALLCLASSDATA,MATCH("UnarmedTrained",CLASSFEATUREHEADERS,0),MATCH(($A967 &amp; "Points"),CLASSNAMEHEADERS,0))),"")))))))))}</f>
        <v>UNARMEDL19</v>
      </c>
      <c r="AA966" s="223"/>
      <c r="AB966" s="76" t="str">
        <f t="array" ref="AB966:AB967">{"UNARMED TOTAL";(IF(COUNTBLANK(G967:AA967)=17,"L",(IF(COUNTBLANK(G967:AA967)=18,"M",(IF(COUNTBLANK(G967:AA967)=19,"E",(IF(COUNTBLANK(G967:AA967)=20,"T",""))))))))}</f>
        <v>UNARMED TOTAL</v>
      </c>
      <c r="AC966" s="76" t="str">
        <f t="array" ref="AC966:AC967">{"UNARMED TOTAL";(sum(G967:AA967))}</f>
        <v>UNARMED TOTAL</v>
      </c>
    </row>
    <row r="967">
      <c r="A967" s="48" t="s">
        <v>185</v>
      </c>
      <c r="B967" s="48"/>
      <c r="C967" s="48" t="s">
        <v>412</v>
      </c>
      <c r="D967" s="48" t="s">
        <v>1634</v>
      </c>
      <c r="E967" s="48" t="s">
        <v>257</v>
      </c>
      <c r="F967" s="5" t="s">
        <v>435</v>
      </c>
      <c r="G967" s="47" t="s">
        <v>603</v>
      </c>
      <c r="H967" s="5">
        <v>10.0</v>
      </c>
      <c r="I967" s="5"/>
      <c r="J967" s="5" t="s">
        <v>603</v>
      </c>
      <c r="K967" s="5"/>
      <c r="L967" s="5" t="s">
        <v>436</v>
      </c>
      <c r="M967" s="5"/>
      <c r="N967" s="5" t="s">
        <v>603</v>
      </c>
      <c r="O967" s="5"/>
      <c r="P967" s="5" t="s">
        <v>603</v>
      </c>
      <c r="Q967" s="5"/>
      <c r="R967" s="5" t="s">
        <v>603</v>
      </c>
      <c r="S967" s="5"/>
      <c r="T967" s="5" t="s">
        <v>437</v>
      </c>
      <c r="U967" s="5"/>
      <c r="V967" s="5" t="s">
        <v>603</v>
      </c>
      <c r="W967" s="5"/>
      <c r="X967" s="5" t="s">
        <v>603</v>
      </c>
      <c r="Y967" s="5"/>
      <c r="Z967" s="5" t="s">
        <v>603</v>
      </c>
      <c r="AA967" s="5"/>
      <c r="AB967" s="5" t="s">
        <v>437</v>
      </c>
      <c r="AC967" s="47">
        <v>10.0</v>
      </c>
    </row>
    <row r="968" hidden="1">
      <c r="A968" s="222" t="str">
        <f t="array" ref="A968:A969">{"FormulaRow28";(INDEX(CLASSLIST,A913,1))}</f>
        <v>FormulaRow28</v>
      </c>
      <c r="B968" s="77" t="s">
        <v>236</v>
      </c>
      <c r="C968" s="222" t="str">
        <f t="array" ref="C968:C969">{"CLASSTYPE";((INDEX(ALLCLASSDATA,MATCH("ClassType",CLASSFEATUREHEADERS,0),MATCH($A969,CLASSNAMEHEADERS,0))))}</f>
        <v>CLASSTYPE</v>
      </c>
      <c r="D968" s="222" t="str">
        <f t="array" ref="D968:D969">{"ATTACK";"Attack"}</f>
        <v>ATTACK</v>
      </c>
      <c r="E968" s="222" t="str">
        <f t="array" ref="E968:E969">{"SIMPLELIMITED";"SimpleLimited"}</f>
        <v>SIMPLELIMITED</v>
      </c>
      <c r="F968" s="223" t="str">
        <f t="array" ref="F968:F969">{"SIMPLELIMITEDINITIAL";((IF(H969=10,"T",(IF(H969=50,"E","")))))}</f>
        <v>SIMPLELIMITEDINITIAL</v>
      </c>
      <c r="G968" s="223" t="str">
        <f t="array" ref="G968:G969">{"SIMPLELIMITEDINITIALPTS";((IF("00"=(INDEX(ALLCLASSDATA,MATCH("SimpleLimitedLegendary",CLASSFEATUREHEADERS,0),MATCH($A969,CLASSNAMEHEADERS,0))),(INDEX(ALLCLASSDATA,MATCH("SimpleLimitedLegendary",CLASSFEATUREHEADERS,0),MATCH(($A969 &amp; "Points"),CLASSNAMEHEADERS,0))),(IF("00"=(INDEX(ALLCLASSDATA,MATCH("SimpleLimitedMaster",CLASSFEATUREHEADERS,0),MATCH($A969,CLASSNAMEHEADERS,0))),(INDEX(ALLCLASSDATA,MATCH("SimpleLimitedMaster",CLASSFEATUREHEADERS,0),MATCH(($A969 &amp; "Points"),CLASSNAMEHEADERS,0))),(IF("00"=(INDEX(ALLCLASSDATA,MATCH("SimpleLimitedExpert",CLASSFEATUREHEADERS,0),MATCH($A969,CLASSNAMEHEADERS,0))),(INDEX(ALLCLASSDATA,MATCH("SimpleLimitedExpert",CLASSFEATUREHEADERS,0),MATCH(($A969 &amp; "Points"),CLASSNAMEHEADERS,0))),(IF("00"=(INDEX(ALLCLASSDATA,MATCH("SimpleLimitedTrained",CLASSFEATUREHEADERS,0),MATCH($A969,CLASSNAMEHEADERS,0))),(INDEX(ALLCLASSDATA,MATCH("SimpleLimitedTrained",CLASSFEATUREHEADERS,0),MATCH(($A969 &amp; "Points"),CLASSNAMEHEADERS,0))),"")))))))))}</f>
        <v>SIMPLELIMITEDINITIALPTS</v>
      </c>
      <c r="H968" s="223" t="str">
        <f t="array" ref="H968:H969">{"SIMPLELIMITEDL01";((IF("01"=(INDEX(ALLCLASSDATA,MATCH("SimpleLimitedLegendary",CLASSFEATUREHEADERS,0),MATCH($A969,CLASSNAMEHEADERS,0))),(INDEX(ALLCLASSDATA,MATCH("SimpleLimitedLegendary",CLASSFEATUREHEADERS,0),MATCH(($A969 &amp; "Points"),CLASSNAMEHEADERS,0))),(IF("01"=(INDEX(ALLCLASSDATA,MATCH("SimpleLimitedMaster",CLASSFEATUREHEADERS,0),MATCH($A969,CLASSNAMEHEADERS,0))),(INDEX(ALLCLASSDATA,MATCH("SimpleLimitedMaster",CLASSFEATUREHEADERS,0),MATCH(($A969 &amp; "Points"),CLASSNAMEHEADERS,0))),(IF("01"=(INDEX(ALLCLASSDATA,MATCH("SimpleLimitedExpert",CLASSFEATUREHEADERS,0),MATCH($A969,CLASSNAMEHEADERS,0))),(INDEX(ALLCLASSDATA,MATCH("SimpleLimitedExpert",CLASSFEATUREHEADERS,0),MATCH(($A969 &amp; "Points"),CLASSNAMEHEADERS,0))),(IF("01"=(INDEX(ALLCLASSDATA,MATCH("SimpleLimitedTrained",CLASSFEATUREHEADERS,0),MATCH($A969,CLASSNAMEHEADERS,0))),(INDEX(ALLCLASSDATA,MATCH("SimpleLimitedTrained",CLASSFEATUREHEADERS,0),MATCH(($A969 &amp; "Points"),CLASSNAMEHEADERS,0))),"")))))))))}</f>
        <v>SIMPLELIMITEDL01</v>
      </c>
      <c r="I968" s="223"/>
      <c r="J968" s="223" t="str">
        <f t="array" ref="J968:J969">{"SIMPLELIMITEDL03";((IF("03"=(INDEX(ALLCLASSDATA,MATCH("SimpleLimitedLegendary",CLASSFEATUREHEADERS,0),MATCH($A969,CLASSNAMEHEADERS,0))),(INDEX(ALLCLASSDATA,MATCH("SimpleLimitedLegendary",CLASSFEATUREHEADERS,0),MATCH(($A969 &amp; "Points"),CLASSNAMEHEADERS,0))),(IF("03"=(INDEX(ALLCLASSDATA,MATCH("SimpleLimitedMaster",CLASSFEATUREHEADERS,0),MATCH($A969,CLASSNAMEHEADERS,0))),(INDEX(ALLCLASSDATA,MATCH("SimpleLimitedMaster",CLASSFEATUREHEADERS,0),MATCH(($A969 &amp; "Points"),CLASSNAMEHEADERS,0))),(IF("03"=(INDEX(ALLCLASSDATA,MATCH("SimpleLimitedExpert",CLASSFEATUREHEADERS,0),MATCH($A969,CLASSNAMEHEADERS,0))),(INDEX(ALLCLASSDATA,MATCH("SimpleLimitedExpert",CLASSFEATUREHEADERS,0),MATCH(($A969 &amp; "Points"),CLASSNAMEHEADERS,0))),(IF("03"=(INDEX(ALLCLASSDATA,MATCH("SimpleLimitedTrained",CLASSFEATUREHEADERS,0),MATCH($A969,CLASSNAMEHEADERS,0))),(INDEX(ALLCLASSDATA,MATCH("SimpleLimitedTrained",CLASSFEATUREHEADERS,0),MATCH(($A969 &amp; "Points"),CLASSNAMEHEADERS,0))),"")))))))))}</f>
        <v>SIMPLELIMITEDL03</v>
      </c>
      <c r="K968" s="223"/>
      <c r="L968" s="223" t="str">
        <f t="array" ref="L968:L969">{"SIMPLELIMITEDL05";((IF("05"=(INDEX(ALLCLASSDATA,MATCH("SimpleLimitedLegendary",CLASSFEATUREHEADERS,0),MATCH($A969,CLASSNAMEHEADERS,0))),(INDEX(ALLCLASSDATA,MATCH("SimpleLimitedLegendary",CLASSFEATUREHEADERS,0),MATCH(($A969 &amp; "Points"),CLASSNAMEHEADERS,0))),(IF("05"=(INDEX(ALLCLASSDATA,MATCH("SimpleLimitedMaster",CLASSFEATUREHEADERS,0),MATCH($A969,CLASSNAMEHEADERS,0))),(INDEX(ALLCLASSDATA,MATCH("SimpleLimitedMaster",CLASSFEATUREHEADERS,0),MATCH(($A969 &amp; "Points"),CLASSNAMEHEADERS,0))),(IF("05"=(INDEX(ALLCLASSDATA,MATCH("SimpleLimitedExpert",CLASSFEATUREHEADERS,0),MATCH($A969,CLASSNAMEHEADERS,0))),(INDEX(ALLCLASSDATA,MATCH("SimpleLimitedExpert",CLASSFEATUREHEADERS,0),MATCH(($A969 &amp; "Points"),CLASSNAMEHEADERS,0))),(IF("05"=(INDEX(ALLCLASSDATA,MATCH("SimpleLimitedTrained",CLASSFEATUREHEADERS,0),MATCH($A969,CLASSNAMEHEADERS,0))),(INDEX(ALLCLASSDATA,MATCH("SimpleLimitedTrained",CLASSFEATUREHEADERS,0),MATCH(($A969 &amp; "Points"),CLASSNAMEHEADERS,0))),"")))))))))}</f>
        <v>SIMPLELIMITEDL05</v>
      </c>
      <c r="M968" s="223"/>
      <c r="N968" s="223" t="str">
        <f t="array" ref="N968:N969">{"SIMPLELIMITEDL07";((IF("07"=(INDEX(ALLCLASSDATA,MATCH("SimpleLimitedLegendary",CLASSFEATUREHEADERS,0),MATCH($A969,CLASSNAMEHEADERS,0))),(INDEX(ALLCLASSDATA,MATCH("SimpleLimitedLegendary",CLASSFEATUREHEADERS,0),MATCH(($A969 &amp; "Points"),CLASSNAMEHEADERS,0))),(IF("07"=(INDEX(ALLCLASSDATA,MATCH("SimpleLimitedMaster",CLASSFEATUREHEADERS,0),MATCH($A969,CLASSNAMEHEADERS,0))),(INDEX(ALLCLASSDATA,MATCH("SimpleLimitedMaster",CLASSFEATUREHEADERS,0),MATCH(($A969 &amp; "Points"),CLASSNAMEHEADERS,0))),(IF("07"=(INDEX(ALLCLASSDATA,MATCH("SimpleLimitedExpert",CLASSFEATUREHEADERS,0),MATCH($A969,CLASSNAMEHEADERS,0))),(INDEX(ALLCLASSDATA,MATCH("SimpleLimitedExpert",CLASSFEATUREHEADERS,0),MATCH(($A969 &amp; "Points"),CLASSNAMEHEADERS,0))),(IF("07"=(INDEX(ALLCLASSDATA,MATCH("SimpleLimitedTrained",CLASSFEATUREHEADERS,0),MATCH($A969,CLASSNAMEHEADERS,0))),(INDEX(ALLCLASSDATA,MATCH("SimpleLimitedTrained",CLASSFEATUREHEADERS,0),MATCH(($A969 &amp; "Points"),CLASSNAMEHEADERS,0))),"")))))))))}</f>
        <v>SIMPLELIMITEDL07</v>
      </c>
      <c r="O968" s="223"/>
      <c r="P968" s="223" t="str">
        <f t="array" ref="P968:P969">{"SIMPLELIMITEDL09";((IF("09"=(INDEX(ALLCLASSDATA,MATCH("SimpleLimitedLegendary",CLASSFEATUREHEADERS,0),MATCH($A969,CLASSNAMEHEADERS,0))),(INDEX(ALLCLASSDATA,MATCH("SimpleLimitedLegendary",CLASSFEATUREHEADERS,0),MATCH(($A969 &amp; "Points"),CLASSNAMEHEADERS,0))),(IF("09"=(INDEX(ALLCLASSDATA,MATCH("SimpleLimitedMaster",CLASSFEATUREHEADERS,0),MATCH($A969,CLASSNAMEHEADERS,0))),(INDEX(ALLCLASSDATA,MATCH("SimpleLimitedMaster",CLASSFEATUREHEADERS,0),MATCH(($A969 &amp; "Points"),CLASSNAMEHEADERS,0))),(IF("09"=(INDEX(ALLCLASSDATA,MATCH("SimpleLimitedExpert",CLASSFEATUREHEADERS,0),MATCH($A969,CLASSNAMEHEADERS,0))),(INDEX(ALLCLASSDATA,MATCH("SimpleLimitedExpert",CLASSFEATUREHEADERS,0),MATCH(($A969 &amp; "Points"),CLASSNAMEHEADERS,0))),(IF("09"=(INDEX(ALLCLASSDATA,MATCH("SimpleLimitedTrained",CLASSFEATUREHEADERS,0),MATCH($A969,CLASSNAMEHEADERS,0))),(INDEX(ALLCLASSDATA,MATCH("SimpleLimitedTrained",CLASSFEATUREHEADERS,0),MATCH(($A969 &amp; "Points"),CLASSNAMEHEADERS,0))),"")))))))))}</f>
        <v>SIMPLELIMITEDL09</v>
      </c>
      <c r="Q968" s="223"/>
      <c r="R968" s="223" t="str">
        <f t="array" ref="R968:R969">{"SIMPLELIMITEDL11";((IF("11"=(INDEX(ALLCLASSDATA,MATCH("SimpleLimitedLegendary",CLASSFEATUREHEADERS,0),MATCH($A969,CLASSNAMEHEADERS,0))),(INDEX(ALLCLASSDATA,MATCH("SimpleLimitedLegendary",CLASSFEATUREHEADERS,0),MATCH(($A969 &amp; "Points"),CLASSNAMEHEADERS,0))),(IF("11"=(INDEX(ALLCLASSDATA,MATCH("SimpleLimitedMaster",CLASSFEATUREHEADERS,0),MATCH($A969,CLASSNAMEHEADERS,0))),(INDEX(ALLCLASSDATA,MATCH("SimpleLimitedMaster",CLASSFEATUREHEADERS,0),MATCH(($A969 &amp; "Points"),CLASSNAMEHEADERS,0))),(IF("11"=(INDEX(ALLCLASSDATA,MATCH("SimpleLimitedExpert",CLASSFEATUREHEADERS,0),MATCH($A969,CLASSNAMEHEADERS,0))),(INDEX(ALLCLASSDATA,MATCH("SimpleLimitedExpert",CLASSFEATUREHEADERS,0),MATCH(($A969 &amp; "Points"),CLASSNAMEHEADERS,0))),(IF("11"=(INDEX(ALLCLASSDATA,MATCH("SimpleLimitedTrained",CLASSFEATUREHEADERS,0),MATCH($A969,CLASSNAMEHEADERS,0))),(INDEX(ALLCLASSDATA,MATCH("SimpleLimitedTrained",CLASSFEATUREHEADERS,0),MATCH(($A969 &amp; "Points"),CLASSNAMEHEADERS,0))),"")))))))))}</f>
        <v>SIMPLELIMITEDL11</v>
      </c>
      <c r="S968" s="223"/>
      <c r="T968" s="223" t="str">
        <f t="array" ref="T968:T969">{"SIMPLELIMITEDL13";((IF("13"=(INDEX(ALLCLASSDATA,MATCH("SimpleLimitedLegendary",CLASSFEATUREHEADERS,0),MATCH($A969,CLASSNAMEHEADERS,0))),(INDEX(ALLCLASSDATA,MATCH("SimpleLimitedLegendary",CLASSFEATUREHEADERS,0),MATCH(($A969 &amp; "Points"),CLASSNAMEHEADERS,0))),(IF("13"=(INDEX(ALLCLASSDATA,MATCH("SimpleLimitedMaster",CLASSFEATUREHEADERS,0),MATCH($A969,CLASSNAMEHEADERS,0))),(INDEX(ALLCLASSDATA,MATCH("SimpleLimitedMaster",CLASSFEATUREHEADERS,0),MATCH(($A969 &amp; "Points"),CLASSNAMEHEADERS,0))),(IF("13"=(INDEX(ALLCLASSDATA,MATCH("SimpleLimitedExpert",CLASSFEATUREHEADERS,0),MATCH($A969,CLASSNAMEHEADERS,0))),(INDEX(ALLCLASSDATA,MATCH("SimpleLimitedExpert",CLASSFEATUREHEADERS,0),MATCH(($A969 &amp; "Points"),CLASSNAMEHEADERS,0))),(IF("13"=(INDEX(ALLCLASSDATA,MATCH("SimpleLimitedTrained",CLASSFEATUREHEADERS,0),MATCH($A969,CLASSNAMEHEADERS,0))),(INDEX(ALLCLASSDATA,MATCH("SimpleLimitedTrained",CLASSFEATUREHEADERS,0),MATCH(($A969 &amp; "Points"),CLASSNAMEHEADERS,0))),"")))))))))}</f>
        <v>SIMPLELIMITEDL13</v>
      </c>
      <c r="U968" s="223"/>
      <c r="V968" s="223" t="str">
        <f t="array" ref="V968:V969">{"SIMPLELIMITEDL15";((IF("15"=(INDEX(ALLCLASSDATA,MATCH("SimpleLimitedLegendary",CLASSFEATUREHEADERS,0),MATCH($A969,CLASSNAMEHEADERS,0))),(INDEX(ALLCLASSDATA,MATCH("SimpleLimitedLegendary",CLASSFEATUREHEADERS,0),MATCH(($A969 &amp; "Points"),CLASSNAMEHEADERS,0))),(IF("15"=(INDEX(ALLCLASSDATA,MATCH("SimpleLimitedMaster",CLASSFEATUREHEADERS,0),MATCH($A969,CLASSNAMEHEADERS,0))),(INDEX(ALLCLASSDATA,MATCH("SimpleLimitedMaster",CLASSFEATUREHEADERS,0),MATCH(($A969 &amp; "Points"),CLASSNAMEHEADERS,0))),(IF("15"=(INDEX(ALLCLASSDATA,MATCH("SimpleLimitedExpert",CLASSFEATUREHEADERS,0),MATCH($A969,CLASSNAMEHEADERS,0))),(INDEX(ALLCLASSDATA,MATCH("SimpleLimitedExpert",CLASSFEATUREHEADERS,0),MATCH(($A969 &amp; "Points"),CLASSNAMEHEADERS,0))),(IF("15"=(INDEX(ALLCLASSDATA,MATCH("SimpleLimitedTrained",CLASSFEATUREHEADERS,0),MATCH($A969,CLASSNAMEHEADERS,0))),(INDEX(ALLCLASSDATA,MATCH("SimpleLimitedTrained",CLASSFEATUREHEADERS,0),MATCH(($A969 &amp; "Points"),CLASSNAMEHEADERS,0))),"")))))))))}</f>
        <v>SIMPLELIMITEDL15</v>
      </c>
      <c r="W968" s="223"/>
      <c r="X968" s="223" t="str">
        <f t="array" ref="X968:X969">{"SIMPLELIMITEDL17";((IF("17"=(INDEX(ALLCLASSDATA,MATCH("SimpleLimitedLegendary",CLASSFEATUREHEADERS,0),MATCH($A969,CLASSNAMEHEADERS,0))),(INDEX(ALLCLASSDATA,MATCH("SimpleLimitedLegendary",CLASSFEATUREHEADERS,0),MATCH(($A969 &amp; "Points"),CLASSNAMEHEADERS,0))),(IF("17"=(INDEX(ALLCLASSDATA,MATCH("SimpleLimitedMaster",CLASSFEATUREHEADERS,0),MATCH($A969,CLASSNAMEHEADERS,0))),(INDEX(ALLCLASSDATA,MATCH("SimpleLimitedMaster",CLASSFEATUREHEADERS,0),MATCH(($A969 &amp; "Points"),CLASSNAMEHEADERS,0))),(IF("17"=(INDEX(ALLCLASSDATA,MATCH("SimpleLimitedExpert",CLASSFEATUREHEADERS,0),MATCH($A969,CLASSNAMEHEADERS,0))),(INDEX(ALLCLASSDATA,MATCH("SimpleLimitedExpert",CLASSFEATUREHEADERS,0),MATCH(($A969 &amp; "Points"),CLASSNAMEHEADERS,0))),(IF("17"=(INDEX(ALLCLASSDATA,MATCH("SimpleLimitedTrained",CLASSFEATUREHEADERS,0),MATCH($A969,CLASSNAMEHEADERS,0))),(INDEX(ALLCLASSDATA,MATCH("SimpleLimitedTrained",CLASSFEATUREHEADERS,0),MATCH(($A969 &amp; "Points"),CLASSNAMEHEADERS,0))),"")))))))))}</f>
        <v>SIMPLELIMITEDL17</v>
      </c>
      <c r="Y968" s="223"/>
      <c r="Z968" s="223" t="str">
        <f t="array" ref="Z968:Z969">{"SIMPLELIMITEDL19";((IF("19"=(INDEX(ALLCLASSDATA,MATCH("SimpleLimitedLegendary",CLASSFEATUREHEADERS,0),MATCH($A969,CLASSNAMEHEADERS,0))),(INDEX(ALLCLASSDATA,MATCH("SimpleLimitedLegendary",CLASSFEATUREHEADERS,0),MATCH(($A969 &amp; "Points"),CLASSNAMEHEADERS,0))),(IF("19"=(INDEX(ALLCLASSDATA,MATCH("SimpleLimitedMaster",CLASSFEATUREHEADERS,0),MATCH($A969,CLASSNAMEHEADERS,0))),(INDEX(ALLCLASSDATA,MATCH("SimpleLimitedMaster",CLASSFEATUREHEADERS,0),MATCH(($A969 &amp; "Points"),CLASSNAMEHEADERS,0))),(IF("19"=(INDEX(ALLCLASSDATA,MATCH("SimpleLimitedExpert",CLASSFEATUREHEADERS,0),MATCH($A969,CLASSNAMEHEADERS,0))),(INDEX(ALLCLASSDATA,MATCH("SimpleLimitedExpert",CLASSFEATUREHEADERS,0),MATCH(($A969 &amp; "Points"),CLASSNAMEHEADERS,0))),(IF("19"=(INDEX(ALLCLASSDATA,MATCH("SimpleLimitedTrained",CLASSFEATUREHEADERS,0),MATCH($A969,CLASSNAMEHEADERS,0))),(INDEX(ALLCLASSDATA,MATCH("SimpleLimitedTrained",CLASSFEATUREHEADERS,0),MATCH(($A969 &amp; "Points"),CLASSNAMEHEADERS,0))),"")))))))))}</f>
        <v>SIMPLELIMITEDL19</v>
      </c>
      <c r="AA968" s="223"/>
      <c r="AB968" s="76" t="str">
        <f t="array" ref="AB968:AB969">{"SIMPLELIMITED TOTAL";(IF(COUNTBLANK(G969:AA969)=17,"L",(IF(COUNTBLANK(G969:AA969)=18,"M",(IF(COUNTBLANK(G969:AA969)=19,"E",(IF(COUNTBLANK(G969:AA969)=20,"T",""))))))))}</f>
        <v>SIMPLELIMITED TOTAL</v>
      </c>
      <c r="AC968" s="76" t="str">
        <f t="array" ref="AC968:AC969">{"SIMPLELIMITED TOTAL";(sum(G969:AA969))}</f>
        <v>SIMPLELIMITED TOTAL</v>
      </c>
    </row>
    <row r="969">
      <c r="A969" s="48" t="s">
        <v>185</v>
      </c>
      <c r="B969" s="48"/>
      <c r="C969" s="48" t="s">
        <v>412</v>
      </c>
      <c r="D969" s="48" t="s">
        <v>1634</v>
      </c>
      <c r="E969" s="48" t="s">
        <v>599</v>
      </c>
      <c r="F969" s="5" t="s">
        <v>603</v>
      </c>
      <c r="G969" s="47" t="s">
        <v>603</v>
      </c>
      <c r="H969" s="5" t="s">
        <v>603</v>
      </c>
      <c r="I969" s="5"/>
      <c r="J969" s="5" t="s">
        <v>603</v>
      </c>
      <c r="K969" s="5"/>
      <c r="L969" s="5" t="s">
        <v>603</v>
      </c>
      <c r="M969" s="5"/>
      <c r="N969" s="5" t="s">
        <v>603</v>
      </c>
      <c r="O969" s="5"/>
      <c r="P969" s="5" t="s">
        <v>603</v>
      </c>
      <c r="Q969" s="5"/>
      <c r="R969" s="5" t="s">
        <v>603</v>
      </c>
      <c r="S969" s="5"/>
      <c r="T969" s="5" t="s">
        <v>603</v>
      </c>
      <c r="U969" s="5"/>
      <c r="V969" s="5" t="s">
        <v>603</v>
      </c>
      <c r="W969" s="5"/>
      <c r="X969" s="5" t="s">
        <v>603</v>
      </c>
      <c r="Y969" s="5"/>
      <c r="Z969" s="5" t="s">
        <v>603</v>
      </c>
      <c r="AA969" s="5"/>
      <c r="AB969" s="5" t="s">
        <v>603</v>
      </c>
      <c r="AC969" s="47">
        <v>0.0</v>
      </c>
    </row>
    <row r="970" hidden="1">
      <c r="A970" s="222" t="str">
        <f t="array" ref="A970:A971">{"FormulaRow29";(INDEX(CLASSLIST,A913,1))}</f>
        <v>FormulaRow29</v>
      </c>
      <c r="B970" s="77" t="s">
        <v>236</v>
      </c>
      <c r="C970" s="222" t="str">
        <f t="array" ref="C970:C971">{"CLASSTYPE";((INDEX(ALLCLASSDATA,MATCH("ClassType",CLASSFEATUREHEADERS,0),MATCH($A971,CLASSNAMEHEADERS,0))))}</f>
        <v>CLASSTYPE</v>
      </c>
      <c r="D970" s="222" t="str">
        <f t="array" ref="D970:D971">{"ATTACK";"Attack"}</f>
        <v>ATTACK</v>
      </c>
      <c r="E970" s="222" t="str">
        <f t="array" ref="E970:E971">{"SIMPLE";"Simple"}</f>
        <v>SIMPLE</v>
      </c>
      <c r="F970" s="223" t="str">
        <f t="array" ref="F970:F971">{"SIMPLEINITIAL";((IF(H971=10,"T",(IF(H971=50,"E","")))))}</f>
        <v>SIMPLEINITIAL</v>
      </c>
      <c r="G970" s="223" t="str">
        <f t="array" ref="G970:G971">{"SIMPLEINITIALPTS";((IF("00"=(INDEX(ALLCLASSDATA,MATCH("SimpleLegendary",CLASSFEATUREHEADERS,0),MATCH($A971,CLASSNAMEHEADERS,0))),(INDEX(ALLCLASSDATA,MATCH("SimpleLegendary",CLASSFEATUREHEADERS,0),MATCH(($A971 &amp; "Points"),CLASSNAMEHEADERS,0))),(IF("00"=(INDEX(ALLCLASSDATA,MATCH("SimpleMaster",CLASSFEATUREHEADERS,0),MATCH($A971,CLASSNAMEHEADERS,0))),(INDEX(ALLCLASSDATA,MATCH("SimpleMaster",CLASSFEATUREHEADERS,0),MATCH(($A971 &amp; "Points"),CLASSNAMEHEADERS,0))),(IF("00"=(INDEX(ALLCLASSDATA,MATCH("SimpleExpert",CLASSFEATUREHEADERS,0),MATCH($A971,CLASSNAMEHEADERS,0))),(INDEX(ALLCLASSDATA,MATCH("SimpleExpert",CLASSFEATUREHEADERS,0),MATCH(($A971 &amp; "Points"),CLASSNAMEHEADERS,0))),(IF("00"=(INDEX(ALLCLASSDATA,MATCH("SimpleTrained",CLASSFEATUREHEADERS,0),MATCH($A971,CLASSNAMEHEADERS,0))),(INDEX(ALLCLASSDATA,MATCH("SimpleTrained",CLASSFEATUREHEADERS,0),MATCH(($A971 &amp; "Points"),CLASSNAMEHEADERS,0))),"")))))))))}</f>
        <v>SIMPLEINITIALPTS</v>
      </c>
      <c r="H970" s="223" t="str">
        <f t="array" ref="H970:H971">{"SIMPLEL01";((IF("01"=(INDEX(ALLCLASSDATA,MATCH("SimpleLegendary",CLASSFEATUREHEADERS,0),MATCH($A971,CLASSNAMEHEADERS,0))),(INDEX(ALLCLASSDATA,MATCH("SimpleLegendary",CLASSFEATUREHEADERS,0),MATCH(($A971 &amp; "Points"),CLASSNAMEHEADERS,0))),(IF("01"=(INDEX(ALLCLASSDATA,MATCH("SimpleMaster",CLASSFEATUREHEADERS,0),MATCH($A971,CLASSNAMEHEADERS,0))),(INDEX(ALLCLASSDATA,MATCH("SimpleMaster",CLASSFEATUREHEADERS,0),MATCH(($A971 &amp; "Points"),CLASSNAMEHEADERS,0))),(IF("01"=(INDEX(ALLCLASSDATA,MATCH("SimpleExpert",CLASSFEATUREHEADERS,0),MATCH($A971,CLASSNAMEHEADERS,0))),(INDEX(ALLCLASSDATA,MATCH("SimpleExpert",CLASSFEATUREHEADERS,0),MATCH(($A971 &amp; "Points"),CLASSNAMEHEADERS,0))),(IF("01"=(INDEX(ALLCLASSDATA,MATCH("SimpleTrained",CLASSFEATUREHEADERS,0),MATCH($A971,CLASSNAMEHEADERS,0))),(INDEX(ALLCLASSDATA,MATCH("SimpleTrained",CLASSFEATUREHEADERS,0),MATCH(($A971 &amp; "Points"),CLASSNAMEHEADERS,0))),"")))))))))}</f>
        <v>SIMPLEL01</v>
      </c>
      <c r="I970" s="223"/>
      <c r="J970" s="223" t="str">
        <f t="array" ref="J970:J971">{"SIMPLEL03";((IF("03"=(INDEX(ALLCLASSDATA,MATCH("SimpleLegendary",CLASSFEATUREHEADERS,0),MATCH($A971,CLASSNAMEHEADERS,0))),(INDEX(ALLCLASSDATA,MATCH("SimpleLegendary",CLASSFEATUREHEADERS,0),MATCH(($A971 &amp; "Points"),CLASSNAMEHEADERS,0))),(IF("03"=(INDEX(ALLCLASSDATA,MATCH("SimpleMaster",CLASSFEATUREHEADERS,0),MATCH($A971,CLASSNAMEHEADERS,0))),(INDEX(ALLCLASSDATA,MATCH("SimpleMaster",CLASSFEATUREHEADERS,0),MATCH(($A971 &amp; "Points"),CLASSNAMEHEADERS,0))),(IF("03"=(INDEX(ALLCLASSDATA,MATCH("SimpleExpert",CLASSFEATUREHEADERS,0),MATCH($A971,CLASSNAMEHEADERS,0))),(INDEX(ALLCLASSDATA,MATCH("SimpleExpert",CLASSFEATUREHEADERS,0),MATCH(($A971 &amp; "Points"),CLASSNAMEHEADERS,0))),(IF("03"=(INDEX(ALLCLASSDATA,MATCH("SimpleTrained",CLASSFEATUREHEADERS,0),MATCH($A971,CLASSNAMEHEADERS,0))),(INDEX(ALLCLASSDATA,MATCH("SimpleTrained",CLASSFEATUREHEADERS,0),MATCH(($A971 &amp; "Points"),CLASSNAMEHEADERS,0))),"")))))))))}</f>
        <v>SIMPLEL03</v>
      </c>
      <c r="K970" s="223"/>
      <c r="L970" s="223" t="str">
        <f t="array" ref="L970:L971">{"SIMPLEL05";((IF("05"=(INDEX(ALLCLASSDATA,MATCH("SimpleLegendary",CLASSFEATUREHEADERS,0),MATCH($A971,CLASSNAMEHEADERS,0))),(INDEX(ALLCLASSDATA,MATCH("SimpleLegendary",CLASSFEATUREHEADERS,0),MATCH(($A971 &amp; "Points"),CLASSNAMEHEADERS,0))),(IF("05"=(INDEX(ALLCLASSDATA,MATCH("SimpleMaster",CLASSFEATUREHEADERS,0),MATCH($A971,CLASSNAMEHEADERS,0))),(INDEX(ALLCLASSDATA,MATCH("SimpleMaster",CLASSFEATUREHEADERS,0),MATCH(($A971 &amp; "Points"),CLASSNAMEHEADERS,0))),(IF("05"=(INDEX(ALLCLASSDATA,MATCH("SimpleExpert",CLASSFEATUREHEADERS,0),MATCH($A971,CLASSNAMEHEADERS,0))),(INDEX(ALLCLASSDATA,MATCH("SimpleExpert",CLASSFEATUREHEADERS,0),MATCH(($A971 &amp; "Points"),CLASSNAMEHEADERS,0))),(IF("05"=(INDEX(ALLCLASSDATA,MATCH("SimpleTrained",CLASSFEATUREHEADERS,0),MATCH($A971,CLASSNAMEHEADERS,0))),(INDEX(ALLCLASSDATA,MATCH("SimpleTrained",CLASSFEATUREHEADERS,0),MATCH(($A971 &amp; "Points"),CLASSNAMEHEADERS,0))),"")))))))))}</f>
        <v>SIMPLEL05</v>
      </c>
      <c r="M970" s="223"/>
      <c r="N970" s="223" t="str">
        <f t="array" ref="N970:N971">{"SIMPLEL07";((IF("07"=(INDEX(ALLCLASSDATA,MATCH("SimpleLegendary",CLASSFEATUREHEADERS,0),MATCH($A971,CLASSNAMEHEADERS,0))),(INDEX(ALLCLASSDATA,MATCH("SimpleLegendary",CLASSFEATUREHEADERS,0),MATCH(($A971 &amp; "Points"),CLASSNAMEHEADERS,0))),(IF("07"=(INDEX(ALLCLASSDATA,MATCH("SimpleMaster",CLASSFEATUREHEADERS,0),MATCH($A971,CLASSNAMEHEADERS,0))),(INDEX(ALLCLASSDATA,MATCH("SimpleMaster",CLASSFEATUREHEADERS,0),MATCH(($A971 &amp; "Points"),CLASSNAMEHEADERS,0))),(IF("07"=(INDEX(ALLCLASSDATA,MATCH("SimpleExpert",CLASSFEATUREHEADERS,0),MATCH($A971,CLASSNAMEHEADERS,0))),(INDEX(ALLCLASSDATA,MATCH("SimpleExpert",CLASSFEATUREHEADERS,0),MATCH(($A971 &amp; "Points"),CLASSNAMEHEADERS,0))),(IF("07"=(INDEX(ALLCLASSDATA,MATCH("SimpleTrained",CLASSFEATUREHEADERS,0),MATCH($A971,CLASSNAMEHEADERS,0))),(INDEX(ALLCLASSDATA,MATCH("SimpleTrained",CLASSFEATUREHEADERS,0),MATCH(($A971 &amp; "Points"),CLASSNAMEHEADERS,0))),"")))))))))}</f>
        <v>SIMPLEL07</v>
      </c>
      <c r="O970" s="223"/>
      <c r="P970" s="223" t="str">
        <f t="array" ref="P970:P971">{"SIMPLEL09";((IF("09"=(INDEX(ALLCLASSDATA,MATCH("SimpleLegendary",CLASSFEATUREHEADERS,0),MATCH($A971,CLASSNAMEHEADERS,0))),(INDEX(ALLCLASSDATA,MATCH("SimpleLegendary",CLASSFEATUREHEADERS,0),MATCH(($A971 &amp; "Points"),CLASSNAMEHEADERS,0))),(IF("09"=(INDEX(ALLCLASSDATA,MATCH("SimpleMaster",CLASSFEATUREHEADERS,0),MATCH($A971,CLASSNAMEHEADERS,0))),(INDEX(ALLCLASSDATA,MATCH("SimpleMaster",CLASSFEATUREHEADERS,0),MATCH(($A971 &amp; "Points"),CLASSNAMEHEADERS,0))),(IF("09"=(INDEX(ALLCLASSDATA,MATCH("SimpleExpert",CLASSFEATUREHEADERS,0),MATCH($A971,CLASSNAMEHEADERS,0))),(INDEX(ALLCLASSDATA,MATCH("SimpleExpert",CLASSFEATUREHEADERS,0),MATCH(($A971 &amp; "Points"),CLASSNAMEHEADERS,0))),(IF("09"=(INDEX(ALLCLASSDATA,MATCH("SimpleTrained",CLASSFEATUREHEADERS,0),MATCH($A971,CLASSNAMEHEADERS,0))),(INDEX(ALLCLASSDATA,MATCH("SimpleTrained",CLASSFEATUREHEADERS,0),MATCH(($A971 &amp; "Points"),CLASSNAMEHEADERS,0))),"")))))))))}</f>
        <v>SIMPLEL09</v>
      </c>
      <c r="Q970" s="223"/>
      <c r="R970" s="223" t="str">
        <f t="array" ref="R970:R971">{"SIMPLEL11";((IF("11"=(INDEX(ALLCLASSDATA,MATCH("SimpleLegendary",CLASSFEATUREHEADERS,0),MATCH($A971,CLASSNAMEHEADERS,0))),(INDEX(ALLCLASSDATA,MATCH("SimpleLegendary",CLASSFEATUREHEADERS,0),MATCH(($A971 &amp; "Points"),CLASSNAMEHEADERS,0))),(IF("11"=(INDEX(ALLCLASSDATA,MATCH("SimpleMaster",CLASSFEATUREHEADERS,0),MATCH($A971,CLASSNAMEHEADERS,0))),(INDEX(ALLCLASSDATA,MATCH("SimpleMaster",CLASSFEATUREHEADERS,0),MATCH(($A971 &amp; "Points"),CLASSNAMEHEADERS,0))),(IF("11"=(INDEX(ALLCLASSDATA,MATCH("SimpleExpert",CLASSFEATUREHEADERS,0),MATCH($A971,CLASSNAMEHEADERS,0))),(INDEX(ALLCLASSDATA,MATCH("SimpleExpert",CLASSFEATUREHEADERS,0),MATCH(($A971 &amp; "Points"),CLASSNAMEHEADERS,0))),(IF("11"=(INDEX(ALLCLASSDATA,MATCH("SimpleTrained",CLASSFEATUREHEADERS,0),MATCH($A971,CLASSNAMEHEADERS,0))),(INDEX(ALLCLASSDATA,MATCH("SimpleTrained",CLASSFEATUREHEADERS,0),MATCH(($A971 &amp; "Points"),CLASSNAMEHEADERS,0))),"")))))))))}</f>
        <v>SIMPLEL11</v>
      </c>
      <c r="S970" s="223"/>
      <c r="T970" s="223" t="str">
        <f t="array" ref="T970:T971">{"SIMPLEL13";((IF("13"=(INDEX(ALLCLASSDATA,MATCH("SimpleLegendary",CLASSFEATUREHEADERS,0),MATCH($A971,CLASSNAMEHEADERS,0))),(INDEX(ALLCLASSDATA,MATCH("SimpleLegendary",CLASSFEATUREHEADERS,0),MATCH(($A971 &amp; "Points"),CLASSNAMEHEADERS,0))),(IF("13"=(INDEX(ALLCLASSDATA,MATCH("SimpleMaster",CLASSFEATUREHEADERS,0),MATCH($A971,CLASSNAMEHEADERS,0))),(INDEX(ALLCLASSDATA,MATCH("SimpleMaster",CLASSFEATUREHEADERS,0),MATCH(($A971 &amp; "Points"),CLASSNAMEHEADERS,0))),(IF("13"=(INDEX(ALLCLASSDATA,MATCH("SimpleExpert",CLASSFEATUREHEADERS,0),MATCH($A971,CLASSNAMEHEADERS,0))),(INDEX(ALLCLASSDATA,MATCH("SimpleExpert",CLASSFEATUREHEADERS,0),MATCH(($A971 &amp; "Points"),CLASSNAMEHEADERS,0))),(IF("13"=(INDEX(ALLCLASSDATA,MATCH("SimpleTrained",CLASSFEATUREHEADERS,0),MATCH($A971,CLASSNAMEHEADERS,0))),(INDEX(ALLCLASSDATA,MATCH("SimpleTrained",CLASSFEATUREHEADERS,0),MATCH(($A971 &amp; "Points"),CLASSNAMEHEADERS,0))),"")))))))))}</f>
        <v>SIMPLEL13</v>
      </c>
      <c r="U970" s="223"/>
      <c r="V970" s="223" t="str">
        <f t="array" ref="V970:V971">{"SIMPLEL15";((IF("15"=(INDEX(ALLCLASSDATA,MATCH("SimpleLegendary",CLASSFEATUREHEADERS,0),MATCH($A971,CLASSNAMEHEADERS,0))),(INDEX(ALLCLASSDATA,MATCH("SimpleLegendary",CLASSFEATUREHEADERS,0),MATCH(($A971 &amp; "Points"),CLASSNAMEHEADERS,0))),(IF("15"=(INDEX(ALLCLASSDATA,MATCH("SimpleMaster",CLASSFEATUREHEADERS,0),MATCH($A971,CLASSNAMEHEADERS,0))),(INDEX(ALLCLASSDATA,MATCH("SimpleMaster",CLASSFEATUREHEADERS,0),MATCH(($A971 &amp; "Points"),CLASSNAMEHEADERS,0))),(IF("15"=(INDEX(ALLCLASSDATA,MATCH("SimpleExpert",CLASSFEATUREHEADERS,0),MATCH($A971,CLASSNAMEHEADERS,0))),(INDEX(ALLCLASSDATA,MATCH("SimpleExpert",CLASSFEATUREHEADERS,0),MATCH(($A971 &amp; "Points"),CLASSNAMEHEADERS,0))),(IF("15"=(INDEX(ALLCLASSDATA,MATCH("SimpleTrained",CLASSFEATUREHEADERS,0),MATCH($A971,CLASSNAMEHEADERS,0))),(INDEX(ALLCLASSDATA,MATCH("SimpleTrained",CLASSFEATUREHEADERS,0),MATCH(($A971 &amp; "Points"),CLASSNAMEHEADERS,0))),"")))))))))}</f>
        <v>SIMPLEL15</v>
      </c>
      <c r="W970" s="223"/>
      <c r="X970" s="223" t="str">
        <f t="array" ref="X970:X971">{"SIMPLEL17";((IF("17"=(INDEX(ALLCLASSDATA,MATCH("SimpleLegendary",CLASSFEATUREHEADERS,0),MATCH($A971,CLASSNAMEHEADERS,0))),(INDEX(ALLCLASSDATA,MATCH("SimpleLegendary",CLASSFEATUREHEADERS,0),MATCH(($A971 &amp; "Points"),CLASSNAMEHEADERS,0))),(IF("17"=(INDEX(ALLCLASSDATA,MATCH("SimpleMaster",CLASSFEATUREHEADERS,0),MATCH($A971,CLASSNAMEHEADERS,0))),(INDEX(ALLCLASSDATA,MATCH("SimpleMaster",CLASSFEATUREHEADERS,0),MATCH(($A971 &amp; "Points"),CLASSNAMEHEADERS,0))),(IF("17"=(INDEX(ALLCLASSDATA,MATCH("SimpleExpert",CLASSFEATUREHEADERS,0),MATCH($A971,CLASSNAMEHEADERS,0))),(INDEX(ALLCLASSDATA,MATCH("SimpleExpert",CLASSFEATUREHEADERS,0),MATCH(($A971 &amp; "Points"),CLASSNAMEHEADERS,0))),(IF("17"=(INDEX(ALLCLASSDATA,MATCH("SimpleTrained",CLASSFEATUREHEADERS,0),MATCH($A971,CLASSNAMEHEADERS,0))),(INDEX(ALLCLASSDATA,MATCH("SimpleTrained",CLASSFEATUREHEADERS,0),MATCH(($A971 &amp; "Points"),CLASSNAMEHEADERS,0))),"")))))))))}</f>
        <v>SIMPLEL17</v>
      </c>
      <c r="Y970" s="223"/>
      <c r="Z970" s="223" t="str">
        <f t="array" ref="Z970:Z971">{"SIMPLEL19";((IF("19"=(INDEX(ALLCLASSDATA,MATCH("SimpleLegendary",CLASSFEATUREHEADERS,0),MATCH($A971,CLASSNAMEHEADERS,0))),(INDEX(ALLCLASSDATA,MATCH("SimpleLegendary",CLASSFEATUREHEADERS,0),MATCH(($A971 &amp; "Points"),CLASSNAMEHEADERS,0))),(IF("19"=(INDEX(ALLCLASSDATA,MATCH("SimpleMaster",CLASSFEATUREHEADERS,0),MATCH($A971,CLASSNAMEHEADERS,0))),(INDEX(ALLCLASSDATA,MATCH("SimpleMaster",CLASSFEATUREHEADERS,0),MATCH(($A971 &amp; "Points"),CLASSNAMEHEADERS,0))),(IF("19"=(INDEX(ALLCLASSDATA,MATCH("SimpleExpert",CLASSFEATUREHEADERS,0),MATCH($A971,CLASSNAMEHEADERS,0))),(INDEX(ALLCLASSDATA,MATCH("SimpleExpert",CLASSFEATUREHEADERS,0),MATCH(($A971 &amp; "Points"),CLASSNAMEHEADERS,0))),(IF("19"=(INDEX(ALLCLASSDATA,MATCH("SimpleTrained",CLASSFEATUREHEADERS,0),MATCH($A971,CLASSNAMEHEADERS,0))),(INDEX(ALLCLASSDATA,MATCH("SimpleTrained",CLASSFEATUREHEADERS,0),MATCH(($A971 &amp; "Points"),CLASSNAMEHEADERS,0))),"")))))))))}</f>
        <v>SIMPLEL19</v>
      </c>
      <c r="AA970" s="223"/>
      <c r="AB970" s="76" t="str">
        <f t="array" ref="AB970:AB971">{"SIMPLE TOTAL";(IF(COUNTBLANK(G971:AA971)=17,"L",(IF(COUNTBLANK(G971:AA971)=18,"M",(IF(COUNTBLANK(G971:AA971)=19,"E",(IF(COUNTBLANK(G971:AA971)=20,"T",""))))))))}</f>
        <v>SIMPLE TOTAL</v>
      </c>
      <c r="AC970" s="76" t="str">
        <f t="array" ref="AC970:AC971">{"SIMPLE TOTAL";(sum(G971:AA971))}</f>
        <v>SIMPLE TOTAL</v>
      </c>
    </row>
    <row r="971">
      <c r="A971" s="48" t="s">
        <v>185</v>
      </c>
      <c r="B971" s="48"/>
      <c r="C971" s="48" t="s">
        <v>412</v>
      </c>
      <c r="D971" s="48" t="s">
        <v>1634</v>
      </c>
      <c r="E971" s="48" t="s">
        <v>68</v>
      </c>
      <c r="F971" s="5" t="s">
        <v>435</v>
      </c>
      <c r="G971" s="47" t="s">
        <v>603</v>
      </c>
      <c r="H971" s="5">
        <v>10.0</v>
      </c>
      <c r="I971" s="5"/>
      <c r="J971" s="5" t="s">
        <v>603</v>
      </c>
      <c r="K971" s="5"/>
      <c r="L971" s="5" t="s">
        <v>436</v>
      </c>
      <c r="M971" s="5"/>
      <c r="N971" s="5" t="s">
        <v>603</v>
      </c>
      <c r="O971" s="5"/>
      <c r="P971" s="5" t="s">
        <v>603</v>
      </c>
      <c r="Q971" s="5"/>
      <c r="R971" s="5" t="s">
        <v>603</v>
      </c>
      <c r="S971" s="5"/>
      <c r="T971" s="5" t="s">
        <v>437</v>
      </c>
      <c r="U971" s="5"/>
      <c r="V971" s="5" t="s">
        <v>603</v>
      </c>
      <c r="W971" s="5"/>
      <c r="X971" s="5" t="s">
        <v>603</v>
      </c>
      <c r="Y971" s="5"/>
      <c r="Z971" s="5" t="s">
        <v>603</v>
      </c>
      <c r="AA971" s="5"/>
      <c r="AB971" s="5" t="s">
        <v>437</v>
      </c>
      <c r="AC971" s="47">
        <v>10.0</v>
      </c>
    </row>
    <row r="972" hidden="1">
      <c r="A972" s="222" t="str">
        <f t="array" ref="A972:A973">{"FormulaRow30";(INDEX(CLASSLIST,A913,1))}</f>
        <v>FormulaRow30</v>
      </c>
      <c r="B972" s="77" t="s">
        <v>236</v>
      </c>
      <c r="C972" s="222" t="str">
        <f t="array" ref="C972:C973">{"CLASSTYPE";((INDEX(ALLCLASSDATA,MATCH("ClassType",CLASSFEATUREHEADERS,0),MATCH($A973,CLASSNAMEHEADERS,0))))}</f>
        <v>CLASSTYPE</v>
      </c>
      <c r="D972" s="222" t="str">
        <f t="array" ref="D972:D973">{"ATTACK";"Attack"}</f>
        <v>ATTACK</v>
      </c>
      <c r="E972" s="222" t="str">
        <f t="array" ref="E972:E973">{"MARTIALLIMITED";"MartialLimited"}</f>
        <v>MARTIALLIMITED</v>
      </c>
      <c r="F972" s="223" t="str">
        <f t="array" ref="F972:F973">{"MARTIALLIMITEDINITIAL";((IF(H973=10,"T",(IF(H973=50,"E","")))))}</f>
        <v>MARTIALLIMITEDINITIAL</v>
      </c>
      <c r="G972" s="223" t="str">
        <f t="array" ref="G972:G973">{"MARTIALLIMITEDINITIALPTS";((IF("00"=(INDEX(ALLCLASSDATA,MATCH("MartialLimitedLegendary",CLASSFEATUREHEADERS,0),MATCH($A973,CLASSNAMEHEADERS,0))),(INDEX(ALLCLASSDATA,MATCH("MartialLimitedLegendary",CLASSFEATUREHEADERS,0),MATCH(($A973 &amp; "Points"),CLASSNAMEHEADERS,0))),(IF("00"=(INDEX(ALLCLASSDATA,MATCH("MartialLimitedMaster",CLASSFEATUREHEADERS,0),MATCH($A973,CLASSNAMEHEADERS,0))),(INDEX(ALLCLASSDATA,MATCH("MartialLimitedMaster",CLASSFEATUREHEADERS,0),MATCH(($A973 &amp; "Points"),CLASSNAMEHEADERS,0))),(IF("00"=(INDEX(ALLCLASSDATA,MATCH("MartialLimitedExpert",CLASSFEATUREHEADERS,0),MATCH($A973,CLASSNAMEHEADERS,0))),(INDEX(ALLCLASSDATA,MATCH("MartialLimitedExpert",CLASSFEATUREHEADERS,0),MATCH(($A973 &amp; "Points"),CLASSNAMEHEADERS,0))),(IF("00"=(INDEX(ALLCLASSDATA,MATCH("MartialLimitedTrained",CLASSFEATUREHEADERS,0),MATCH($A973,CLASSNAMEHEADERS,0))),(INDEX(ALLCLASSDATA,MATCH("MartialLimitedTrained",CLASSFEATUREHEADERS,0),MATCH(($A973 &amp; "Points"),CLASSNAMEHEADERS,0))),"")))))))))}</f>
        <v>MARTIALLIMITEDINITIALPTS</v>
      </c>
      <c r="H972" s="223" t="str">
        <f t="array" ref="H972:H973">{"MARTIALLIMITEDL01";((IF("01"=(INDEX(ALLCLASSDATA,MATCH("MartialLimitedLegendary",CLASSFEATUREHEADERS,0),MATCH($A973,CLASSNAMEHEADERS,0))),(INDEX(ALLCLASSDATA,MATCH("MartialLimitedLegendary",CLASSFEATUREHEADERS,0),MATCH(($A973 &amp; "Points"),CLASSNAMEHEADERS,0))),(IF("01"=(INDEX(ALLCLASSDATA,MATCH("MartialLimitedMaster",CLASSFEATUREHEADERS,0),MATCH($A973,CLASSNAMEHEADERS,0))),(INDEX(ALLCLASSDATA,MATCH("MartialLimitedMaster",CLASSFEATUREHEADERS,0),MATCH(($A973 &amp; "Points"),CLASSNAMEHEADERS,0))),(IF("01"=(INDEX(ALLCLASSDATA,MATCH("MartialLimitedExpert",CLASSFEATUREHEADERS,0),MATCH($A973,CLASSNAMEHEADERS,0))),(INDEX(ALLCLASSDATA,MATCH("MartialLimitedExpert",CLASSFEATUREHEADERS,0),MATCH(($A973 &amp; "Points"),CLASSNAMEHEADERS,0))),(IF("01"=(INDEX(ALLCLASSDATA,MATCH("MartialLimitedTrained",CLASSFEATUREHEADERS,0),MATCH($A973,CLASSNAMEHEADERS,0))),(INDEX(ALLCLASSDATA,MATCH("MartialLimitedTrained",CLASSFEATUREHEADERS,0),MATCH(($A973 &amp; "Points"),CLASSNAMEHEADERS,0))),"")))))))))}</f>
        <v>MARTIALLIMITEDL01</v>
      </c>
      <c r="I972" s="223"/>
      <c r="J972" s="223" t="str">
        <f t="array" ref="J972:J973">{"MARTIALLIMITEDL03";((IF("03"=(INDEX(ALLCLASSDATA,MATCH("MartialLimitedLegendary",CLASSFEATUREHEADERS,0),MATCH($A973,CLASSNAMEHEADERS,0))),(INDEX(ALLCLASSDATA,MATCH("MartialLimitedLegendary",CLASSFEATUREHEADERS,0),MATCH(($A973 &amp; "Points"),CLASSNAMEHEADERS,0))),(IF("03"=(INDEX(ALLCLASSDATA,MATCH("MartialLimitedMaster",CLASSFEATUREHEADERS,0),MATCH($A973,CLASSNAMEHEADERS,0))),(INDEX(ALLCLASSDATA,MATCH("MartialLimitedMaster",CLASSFEATUREHEADERS,0),MATCH(($A973 &amp; "Points"),CLASSNAMEHEADERS,0))),(IF("03"=(INDEX(ALLCLASSDATA,MATCH("MartialLimitedExpert",CLASSFEATUREHEADERS,0),MATCH($A973,CLASSNAMEHEADERS,0))),(INDEX(ALLCLASSDATA,MATCH("MartialLimitedExpert",CLASSFEATUREHEADERS,0),MATCH(($A973 &amp; "Points"),CLASSNAMEHEADERS,0))),(IF("03"=(INDEX(ALLCLASSDATA,MATCH("MartialLimitedTrained",CLASSFEATUREHEADERS,0),MATCH($A973,CLASSNAMEHEADERS,0))),(INDEX(ALLCLASSDATA,MATCH("MartialLimitedTrained",CLASSFEATUREHEADERS,0),MATCH(($A973 &amp; "Points"),CLASSNAMEHEADERS,0))),"")))))))))}</f>
        <v>MARTIALLIMITEDL03</v>
      </c>
      <c r="K972" s="223"/>
      <c r="L972" s="223" t="str">
        <f t="array" ref="L972:L973">{"MARTIALLIMITEDL05";((IF("05"=(INDEX(ALLCLASSDATA,MATCH("MartialLimitedLegendary",CLASSFEATUREHEADERS,0),MATCH($A973,CLASSNAMEHEADERS,0))),(INDEX(ALLCLASSDATA,MATCH("MartialLimitedLegendary",CLASSFEATUREHEADERS,0),MATCH(($A973 &amp; "Points"),CLASSNAMEHEADERS,0))),(IF("05"=(INDEX(ALLCLASSDATA,MATCH("MartialLimitedMaster",CLASSFEATUREHEADERS,0),MATCH($A973,CLASSNAMEHEADERS,0))),(INDEX(ALLCLASSDATA,MATCH("MartialLimitedMaster",CLASSFEATUREHEADERS,0),MATCH(($A973 &amp; "Points"),CLASSNAMEHEADERS,0))),(IF("05"=(INDEX(ALLCLASSDATA,MATCH("MartialLimitedExpert",CLASSFEATUREHEADERS,0),MATCH($A973,CLASSNAMEHEADERS,0))),(INDEX(ALLCLASSDATA,MATCH("MartialLimitedExpert",CLASSFEATUREHEADERS,0),MATCH(($A973 &amp; "Points"),CLASSNAMEHEADERS,0))),(IF("05"=(INDEX(ALLCLASSDATA,MATCH("MartialLimitedTrained",CLASSFEATUREHEADERS,0),MATCH($A973,CLASSNAMEHEADERS,0))),(INDEX(ALLCLASSDATA,MATCH("MartialLimitedTrained",CLASSFEATUREHEADERS,0),MATCH(($A973 &amp; "Points"),CLASSNAMEHEADERS,0))),"")))))))))}</f>
        <v>MARTIALLIMITEDL05</v>
      </c>
      <c r="M972" s="223"/>
      <c r="N972" s="223" t="str">
        <f t="array" ref="N972:N973">{"MARTIALLIMITEDL07";((IF("07"=(INDEX(ALLCLASSDATA,MATCH("MartialLimitedLegendary",CLASSFEATUREHEADERS,0),MATCH($A973,CLASSNAMEHEADERS,0))),(INDEX(ALLCLASSDATA,MATCH("MartialLimitedLegendary",CLASSFEATUREHEADERS,0),MATCH(($A973 &amp; "Points"),CLASSNAMEHEADERS,0))),(IF("07"=(INDEX(ALLCLASSDATA,MATCH("MartialLimitedMaster",CLASSFEATUREHEADERS,0),MATCH($A973,CLASSNAMEHEADERS,0))),(INDEX(ALLCLASSDATA,MATCH("MartialLimitedMaster",CLASSFEATUREHEADERS,0),MATCH(($A973 &amp; "Points"),CLASSNAMEHEADERS,0))),(IF("07"=(INDEX(ALLCLASSDATA,MATCH("MartialLimitedExpert",CLASSFEATUREHEADERS,0),MATCH($A973,CLASSNAMEHEADERS,0))),(INDEX(ALLCLASSDATA,MATCH("MartialLimitedExpert",CLASSFEATUREHEADERS,0),MATCH(($A973 &amp; "Points"),CLASSNAMEHEADERS,0))),(IF("07"=(INDEX(ALLCLASSDATA,MATCH("MartialLimitedTrained",CLASSFEATUREHEADERS,0),MATCH($A973,CLASSNAMEHEADERS,0))),(INDEX(ALLCLASSDATA,MATCH("MartialLimitedTrained",CLASSFEATUREHEADERS,0),MATCH(($A973 &amp; "Points"),CLASSNAMEHEADERS,0))),"")))))))))}</f>
        <v>MARTIALLIMITEDL07</v>
      </c>
      <c r="O972" s="223"/>
      <c r="P972" s="223" t="str">
        <f t="array" ref="P972:P973">{"MARTIALLIMITEDL09";((IF("09"=(INDEX(ALLCLASSDATA,MATCH("MartialLimitedLegendary",CLASSFEATUREHEADERS,0),MATCH($A973,CLASSNAMEHEADERS,0))),(INDEX(ALLCLASSDATA,MATCH("MartialLimitedLegendary",CLASSFEATUREHEADERS,0),MATCH(($A973 &amp; "Points"),CLASSNAMEHEADERS,0))),(IF("09"=(INDEX(ALLCLASSDATA,MATCH("MartialLimitedMaster",CLASSFEATUREHEADERS,0),MATCH($A973,CLASSNAMEHEADERS,0))),(INDEX(ALLCLASSDATA,MATCH("MartialLimitedMaster",CLASSFEATUREHEADERS,0),MATCH(($A973 &amp; "Points"),CLASSNAMEHEADERS,0))),(IF("09"=(INDEX(ALLCLASSDATA,MATCH("MartialLimitedExpert",CLASSFEATUREHEADERS,0),MATCH($A973,CLASSNAMEHEADERS,0))),(INDEX(ALLCLASSDATA,MATCH("MartialLimitedExpert",CLASSFEATUREHEADERS,0),MATCH(($A973 &amp; "Points"),CLASSNAMEHEADERS,0))),(IF("09"=(INDEX(ALLCLASSDATA,MATCH("MartialLimitedTrained",CLASSFEATUREHEADERS,0),MATCH($A973,CLASSNAMEHEADERS,0))),(INDEX(ALLCLASSDATA,MATCH("MartialLimitedTrained",CLASSFEATUREHEADERS,0),MATCH(($A973 &amp; "Points"),CLASSNAMEHEADERS,0))),"")))))))))}</f>
        <v>MARTIALLIMITEDL09</v>
      </c>
      <c r="Q972" s="223"/>
      <c r="R972" s="223" t="str">
        <f t="array" ref="R972:R973">{"MARTIALLIMITEDL11";((IF("11"=(INDEX(ALLCLASSDATA,MATCH("MartialLimitedLegendary",CLASSFEATUREHEADERS,0),MATCH($A973,CLASSNAMEHEADERS,0))),(INDEX(ALLCLASSDATA,MATCH("MartialLimitedLegendary",CLASSFEATUREHEADERS,0),MATCH(($A973 &amp; "Points"),CLASSNAMEHEADERS,0))),(IF("11"=(INDEX(ALLCLASSDATA,MATCH("MartialLimitedMaster",CLASSFEATUREHEADERS,0),MATCH($A973,CLASSNAMEHEADERS,0))),(INDEX(ALLCLASSDATA,MATCH("MartialLimitedMaster",CLASSFEATUREHEADERS,0),MATCH(($A973 &amp; "Points"),CLASSNAMEHEADERS,0))),(IF("11"=(INDEX(ALLCLASSDATA,MATCH("MartialLimitedExpert",CLASSFEATUREHEADERS,0),MATCH($A973,CLASSNAMEHEADERS,0))),(INDEX(ALLCLASSDATA,MATCH("MartialLimitedExpert",CLASSFEATUREHEADERS,0),MATCH(($A973 &amp; "Points"),CLASSNAMEHEADERS,0))),(IF("11"=(INDEX(ALLCLASSDATA,MATCH("MartialLimitedTrained",CLASSFEATUREHEADERS,0),MATCH($A973,CLASSNAMEHEADERS,0))),(INDEX(ALLCLASSDATA,MATCH("MartialLimitedTrained",CLASSFEATUREHEADERS,0),MATCH(($A973 &amp; "Points"),CLASSNAMEHEADERS,0))),"")))))))))}</f>
        <v>MARTIALLIMITEDL11</v>
      </c>
      <c r="S972" s="223"/>
      <c r="T972" s="223" t="str">
        <f t="array" ref="T972:T973">{"MARTIALLIMITEDL13";((IF("13"=(INDEX(ALLCLASSDATA,MATCH("MartialLimitedLegendary",CLASSFEATUREHEADERS,0),MATCH($A973,CLASSNAMEHEADERS,0))),(INDEX(ALLCLASSDATA,MATCH("MartialLimitedLegendary",CLASSFEATUREHEADERS,0),MATCH(($A973 &amp; "Points"),CLASSNAMEHEADERS,0))),(IF("13"=(INDEX(ALLCLASSDATA,MATCH("MartialLimitedMaster",CLASSFEATUREHEADERS,0),MATCH($A973,CLASSNAMEHEADERS,0))),(INDEX(ALLCLASSDATA,MATCH("MartialLimitedMaster",CLASSFEATUREHEADERS,0),MATCH(($A973 &amp; "Points"),CLASSNAMEHEADERS,0))),(IF("13"=(INDEX(ALLCLASSDATA,MATCH("MartialLimitedExpert",CLASSFEATUREHEADERS,0),MATCH($A973,CLASSNAMEHEADERS,0))),(INDEX(ALLCLASSDATA,MATCH("MartialLimitedExpert",CLASSFEATUREHEADERS,0),MATCH(($A973 &amp; "Points"),CLASSNAMEHEADERS,0))),(IF("13"=(INDEX(ALLCLASSDATA,MATCH("MartialLimitedTrained",CLASSFEATUREHEADERS,0),MATCH($A973,CLASSNAMEHEADERS,0))),(INDEX(ALLCLASSDATA,MATCH("MartialLimitedTrained",CLASSFEATUREHEADERS,0),MATCH(($A973 &amp; "Points"),CLASSNAMEHEADERS,0))),"")))))))))}</f>
        <v>MARTIALLIMITEDL13</v>
      </c>
      <c r="U972" s="223"/>
      <c r="V972" s="223" t="str">
        <f t="array" ref="V972:V973">{"MARTIALLIMITEDL15";((IF("15"=(INDEX(ALLCLASSDATA,MATCH("MartialLimitedLegendary",CLASSFEATUREHEADERS,0),MATCH($A973,CLASSNAMEHEADERS,0))),(INDEX(ALLCLASSDATA,MATCH("MartialLimitedLegendary",CLASSFEATUREHEADERS,0),MATCH(($A973 &amp; "Points"),CLASSNAMEHEADERS,0))),(IF("15"=(INDEX(ALLCLASSDATA,MATCH("MartialLimitedMaster",CLASSFEATUREHEADERS,0),MATCH($A973,CLASSNAMEHEADERS,0))),(INDEX(ALLCLASSDATA,MATCH("MartialLimitedMaster",CLASSFEATUREHEADERS,0),MATCH(($A973 &amp; "Points"),CLASSNAMEHEADERS,0))),(IF("15"=(INDEX(ALLCLASSDATA,MATCH("MartialLimitedExpert",CLASSFEATUREHEADERS,0),MATCH($A973,CLASSNAMEHEADERS,0))),(INDEX(ALLCLASSDATA,MATCH("MartialLimitedExpert",CLASSFEATUREHEADERS,0),MATCH(($A973 &amp; "Points"),CLASSNAMEHEADERS,0))),(IF("15"=(INDEX(ALLCLASSDATA,MATCH("MartialLimitedTrained",CLASSFEATUREHEADERS,0),MATCH($A973,CLASSNAMEHEADERS,0))),(INDEX(ALLCLASSDATA,MATCH("MartialLimitedTrained",CLASSFEATUREHEADERS,0),MATCH(($A973 &amp; "Points"),CLASSNAMEHEADERS,0))),"")))))))))}</f>
        <v>MARTIALLIMITEDL15</v>
      </c>
      <c r="W972" s="223"/>
      <c r="X972" s="223" t="str">
        <f t="array" ref="X972:X973">{"MARTIALLIMITEDL17";((IF("17"=(INDEX(ALLCLASSDATA,MATCH("MartialLimitedLegendary",CLASSFEATUREHEADERS,0),MATCH($A973,CLASSNAMEHEADERS,0))),(INDEX(ALLCLASSDATA,MATCH("MartialLimitedLegendary",CLASSFEATUREHEADERS,0),MATCH(($A973 &amp; "Points"),CLASSNAMEHEADERS,0))),(IF("17"=(INDEX(ALLCLASSDATA,MATCH("MartialLimitedMaster",CLASSFEATUREHEADERS,0),MATCH($A973,CLASSNAMEHEADERS,0))),(INDEX(ALLCLASSDATA,MATCH("MartialLimitedMaster",CLASSFEATUREHEADERS,0),MATCH(($A973 &amp; "Points"),CLASSNAMEHEADERS,0))),(IF("17"=(INDEX(ALLCLASSDATA,MATCH("MartialLimitedExpert",CLASSFEATUREHEADERS,0),MATCH($A973,CLASSNAMEHEADERS,0))),(INDEX(ALLCLASSDATA,MATCH("MartialLimitedExpert",CLASSFEATUREHEADERS,0),MATCH(($A973 &amp; "Points"),CLASSNAMEHEADERS,0))),(IF("17"=(INDEX(ALLCLASSDATA,MATCH("MartialLimitedTrained",CLASSFEATUREHEADERS,0),MATCH($A973,CLASSNAMEHEADERS,0))),(INDEX(ALLCLASSDATA,MATCH("MartialLimitedTrained",CLASSFEATUREHEADERS,0),MATCH(($A973 &amp; "Points"),CLASSNAMEHEADERS,0))),"")))))))))}</f>
        <v>MARTIALLIMITEDL17</v>
      </c>
      <c r="Y972" s="223"/>
      <c r="Z972" s="223" t="str">
        <f t="array" ref="Z972:Z973">{"MARTIALLIMITEDL19";((IF("19"=(INDEX(ALLCLASSDATA,MATCH("MartialLimitedLegendary",CLASSFEATUREHEADERS,0),MATCH($A973,CLASSNAMEHEADERS,0))),(INDEX(ALLCLASSDATA,MATCH("MartialLimitedLegendary",CLASSFEATUREHEADERS,0),MATCH(($A973 &amp; "Points"),CLASSNAMEHEADERS,0))),(IF("19"=(INDEX(ALLCLASSDATA,MATCH("MartialLimitedMaster",CLASSFEATUREHEADERS,0),MATCH($A973,CLASSNAMEHEADERS,0))),(INDEX(ALLCLASSDATA,MATCH("MartialLimitedMaster",CLASSFEATUREHEADERS,0),MATCH(($A973 &amp; "Points"),CLASSNAMEHEADERS,0))),(IF("19"=(INDEX(ALLCLASSDATA,MATCH("MartialLimitedExpert",CLASSFEATUREHEADERS,0),MATCH($A973,CLASSNAMEHEADERS,0))),(INDEX(ALLCLASSDATA,MATCH("MartialLimitedExpert",CLASSFEATUREHEADERS,0),MATCH(($A973 &amp; "Points"),CLASSNAMEHEADERS,0))),(IF("19"=(INDEX(ALLCLASSDATA,MATCH("MartialLimitedTrained",CLASSFEATUREHEADERS,0),MATCH($A973,CLASSNAMEHEADERS,0))),(INDEX(ALLCLASSDATA,MATCH("MartialLimitedTrained",CLASSFEATUREHEADERS,0),MATCH(($A973 &amp; "Points"),CLASSNAMEHEADERS,0))),"")))))))))}</f>
        <v>MARTIALLIMITEDL19</v>
      </c>
      <c r="AA972" s="223"/>
      <c r="AB972" s="76" t="str">
        <f t="array" ref="AB972:AB973">{"MARTIALLIMITED TOTAL";(IF(COUNTBLANK(G973:AA973)=17,"L",(IF(COUNTBLANK(G973:AA973)=18,"M",(IF(COUNTBLANK(G973:AA973)=19,"E",(IF(COUNTBLANK(G973:AA973)=20,"T",""))))))))}</f>
        <v>MARTIALLIMITED TOTAL</v>
      </c>
      <c r="AC972" s="76" t="str">
        <f t="array" ref="AC972:AC973">{"MARTIALLIMITED TOTAL";(sum(G973:AA973))}</f>
        <v>MARTIALLIMITED TOTAL</v>
      </c>
    </row>
    <row r="973">
      <c r="A973" s="48" t="s">
        <v>185</v>
      </c>
      <c r="B973" s="48"/>
      <c r="C973" s="48" t="s">
        <v>412</v>
      </c>
      <c r="D973" s="48" t="s">
        <v>1634</v>
      </c>
      <c r="E973" s="48" t="s">
        <v>600</v>
      </c>
      <c r="F973" s="5" t="s">
        <v>603</v>
      </c>
      <c r="G973" s="47" t="s">
        <v>603</v>
      </c>
      <c r="H973" s="5" t="s">
        <v>603</v>
      </c>
      <c r="I973" s="5"/>
      <c r="J973" s="5" t="s">
        <v>603</v>
      </c>
      <c r="K973" s="5"/>
      <c r="L973" s="5" t="s">
        <v>603</v>
      </c>
      <c r="M973" s="5"/>
      <c r="N973" s="5" t="s">
        <v>603</v>
      </c>
      <c r="O973" s="5"/>
      <c r="P973" s="5" t="s">
        <v>603</v>
      </c>
      <c r="Q973" s="5"/>
      <c r="R973" s="5" t="s">
        <v>603</v>
      </c>
      <c r="S973" s="5"/>
      <c r="T973" s="5" t="s">
        <v>603</v>
      </c>
      <c r="U973" s="5"/>
      <c r="V973" s="5" t="s">
        <v>603</v>
      </c>
      <c r="W973" s="5"/>
      <c r="X973" s="5" t="s">
        <v>603</v>
      </c>
      <c r="Y973" s="5"/>
      <c r="Z973" s="5" t="s">
        <v>603</v>
      </c>
      <c r="AA973" s="5"/>
      <c r="AB973" s="5" t="s">
        <v>603</v>
      </c>
      <c r="AC973" s="47">
        <v>0.0</v>
      </c>
    </row>
    <row r="974" hidden="1">
      <c r="A974" s="222" t="str">
        <f t="array" ref="A974:A975">{"FormulaRow31";(INDEX(CLASSLIST,A913,1))}</f>
        <v>FormulaRow31</v>
      </c>
      <c r="B974" s="77" t="s">
        <v>236</v>
      </c>
      <c r="C974" s="222" t="str">
        <f t="array" ref="C974:C975">{"CLASSTYPE";((INDEX(ALLCLASSDATA,MATCH("ClassType",CLASSFEATUREHEADERS,0),MATCH($A975,CLASSNAMEHEADERS,0))))}</f>
        <v>CLASSTYPE</v>
      </c>
      <c r="D974" s="222" t="str">
        <f t="array" ref="D974:D975">{"ATTACK";"Attack"}</f>
        <v>ATTACK</v>
      </c>
      <c r="E974" s="222" t="str">
        <f t="array" ref="E974:E975">{"MARTIAL";"Martial"}</f>
        <v>MARTIAL</v>
      </c>
      <c r="F974" s="223" t="str">
        <f t="array" ref="F974:F975">{"MARTIALINITIAL";((IF(H975=10,"T",(IF(H975=50,"E","")))))}</f>
        <v>MARTIALINITIAL</v>
      </c>
      <c r="G974" s="223" t="str">
        <f t="array" ref="G974:G975">{"MARTIALINITIALPTS";((IF("00"=(INDEX(ALLCLASSDATA,MATCH("MartialLegendary",CLASSFEATUREHEADERS,0),MATCH($A975,CLASSNAMEHEADERS,0))),(INDEX(ALLCLASSDATA,MATCH("MartialLegendary",CLASSFEATUREHEADERS,0),MATCH(($A975 &amp; "Points"),CLASSNAMEHEADERS,0))),(IF("00"=(INDEX(ALLCLASSDATA,MATCH("MartialMaster",CLASSFEATUREHEADERS,0),MATCH($A975,CLASSNAMEHEADERS,0))),(INDEX(ALLCLASSDATA,MATCH("MartialMaster",CLASSFEATUREHEADERS,0),MATCH(($A975 &amp; "Points"),CLASSNAMEHEADERS,0))),(IF("00"=(INDEX(ALLCLASSDATA,MATCH("MartialExpert",CLASSFEATUREHEADERS,0),MATCH($A975,CLASSNAMEHEADERS,0))),(INDEX(ALLCLASSDATA,MATCH("MartialExpert",CLASSFEATUREHEADERS,0),MATCH(($A975 &amp; "Points"),CLASSNAMEHEADERS,0))),(IF("00"=(INDEX(ALLCLASSDATA,MATCH("MartialTrained",CLASSFEATUREHEADERS,0),MATCH($A975,CLASSNAMEHEADERS,0))),(INDEX(ALLCLASSDATA,MATCH("MartialTrained",CLASSFEATUREHEADERS,0),MATCH(($A975 &amp; "Points"),CLASSNAMEHEADERS,0))),"")))))))))}</f>
        <v>MARTIALINITIALPTS</v>
      </c>
      <c r="H974" s="223" t="str">
        <f t="array" ref="H974:H975">{"MARTIALL01";((IF("01"=(INDEX(ALLCLASSDATA,MATCH("MartialLegendary",CLASSFEATUREHEADERS,0),MATCH($A975,CLASSNAMEHEADERS,0))),(INDEX(ALLCLASSDATA,MATCH("MartialLegendary",CLASSFEATUREHEADERS,0),MATCH(($A975 &amp; "Points"),CLASSNAMEHEADERS,0))),(IF("01"=(INDEX(ALLCLASSDATA,MATCH("MartialMaster",CLASSFEATUREHEADERS,0),MATCH($A975,CLASSNAMEHEADERS,0))),(INDEX(ALLCLASSDATA,MATCH("MartialMaster",CLASSFEATUREHEADERS,0),MATCH(($A975 &amp; "Points"),CLASSNAMEHEADERS,0))),(IF("01"=(INDEX(ALLCLASSDATA,MATCH("MartialExpert",CLASSFEATUREHEADERS,0),MATCH($A975,CLASSNAMEHEADERS,0))),(INDEX(ALLCLASSDATA,MATCH("MartialExpert",CLASSFEATUREHEADERS,0),MATCH(($A975 &amp; "Points"),CLASSNAMEHEADERS,0))),(IF("01"=(INDEX(ALLCLASSDATA,MATCH("MartialTrained",CLASSFEATUREHEADERS,0),MATCH($A975,CLASSNAMEHEADERS,0))),(INDEX(ALLCLASSDATA,MATCH("MartialTrained",CLASSFEATUREHEADERS,0),MATCH(($A975 &amp; "Points"),CLASSNAMEHEADERS,0))),"")))))))))}</f>
        <v>MARTIALL01</v>
      </c>
      <c r="I974" s="223"/>
      <c r="J974" s="223" t="str">
        <f t="array" ref="J974:J975">{"MARTIALL03";((IF("03"=(INDEX(ALLCLASSDATA,MATCH("MartialLegendary",CLASSFEATUREHEADERS,0),MATCH($A975,CLASSNAMEHEADERS,0))),(INDEX(ALLCLASSDATA,MATCH("MartialLegendary",CLASSFEATUREHEADERS,0),MATCH(($A975 &amp; "Points"),CLASSNAMEHEADERS,0))),(IF("03"=(INDEX(ALLCLASSDATA,MATCH("MartialMaster",CLASSFEATUREHEADERS,0),MATCH($A975,CLASSNAMEHEADERS,0))),(INDEX(ALLCLASSDATA,MATCH("MartialMaster",CLASSFEATUREHEADERS,0),MATCH(($A975 &amp; "Points"),CLASSNAMEHEADERS,0))),(IF("03"=(INDEX(ALLCLASSDATA,MATCH("MartialExpert",CLASSFEATUREHEADERS,0),MATCH($A975,CLASSNAMEHEADERS,0))),(INDEX(ALLCLASSDATA,MATCH("MartialExpert",CLASSFEATUREHEADERS,0),MATCH(($A975 &amp; "Points"),CLASSNAMEHEADERS,0))),(IF("03"=(INDEX(ALLCLASSDATA,MATCH("MartialTrained",CLASSFEATUREHEADERS,0),MATCH($A975,CLASSNAMEHEADERS,0))),(INDEX(ALLCLASSDATA,MATCH("MartialTrained",CLASSFEATUREHEADERS,0),MATCH(($A975 &amp; "Points"),CLASSNAMEHEADERS,0))),"")))))))))}</f>
        <v>MARTIALL03</v>
      </c>
      <c r="K974" s="223"/>
      <c r="L974" s="223" t="str">
        <f t="array" ref="L974:L975">{"MARTIALL05";((IF("05"=(INDEX(ALLCLASSDATA,MATCH("MartialLegendary",CLASSFEATUREHEADERS,0),MATCH($A975,CLASSNAMEHEADERS,0))),(INDEX(ALLCLASSDATA,MATCH("MartialLegendary",CLASSFEATUREHEADERS,0),MATCH(($A975 &amp; "Points"),CLASSNAMEHEADERS,0))),(IF("05"=(INDEX(ALLCLASSDATA,MATCH("MartialMaster",CLASSFEATUREHEADERS,0),MATCH($A975,CLASSNAMEHEADERS,0))),(INDEX(ALLCLASSDATA,MATCH("MartialMaster",CLASSFEATUREHEADERS,0),MATCH(($A975 &amp; "Points"),CLASSNAMEHEADERS,0))),(IF("05"=(INDEX(ALLCLASSDATA,MATCH("MartialExpert",CLASSFEATUREHEADERS,0),MATCH($A975,CLASSNAMEHEADERS,0))),(INDEX(ALLCLASSDATA,MATCH("MartialExpert",CLASSFEATUREHEADERS,0),MATCH(($A975 &amp; "Points"),CLASSNAMEHEADERS,0))),(IF("05"=(INDEX(ALLCLASSDATA,MATCH("MartialTrained",CLASSFEATUREHEADERS,0),MATCH($A975,CLASSNAMEHEADERS,0))),(INDEX(ALLCLASSDATA,MATCH("MartialTrained",CLASSFEATUREHEADERS,0),MATCH(($A975 &amp; "Points"),CLASSNAMEHEADERS,0))),"")))))))))}</f>
        <v>MARTIALL05</v>
      </c>
      <c r="M974" s="223"/>
      <c r="N974" s="223" t="str">
        <f t="array" ref="N974:N975">{"MARTIALL07";((IF("07"=(INDEX(ALLCLASSDATA,MATCH("MartialLegendary",CLASSFEATUREHEADERS,0),MATCH($A975,CLASSNAMEHEADERS,0))),(INDEX(ALLCLASSDATA,MATCH("MartialLegendary",CLASSFEATUREHEADERS,0),MATCH(($A975 &amp; "Points"),CLASSNAMEHEADERS,0))),(IF("07"=(INDEX(ALLCLASSDATA,MATCH("MartialMaster",CLASSFEATUREHEADERS,0),MATCH($A975,CLASSNAMEHEADERS,0))),(INDEX(ALLCLASSDATA,MATCH("MartialMaster",CLASSFEATUREHEADERS,0),MATCH(($A975 &amp; "Points"),CLASSNAMEHEADERS,0))),(IF("07"=(INDEX(ALLCLASSDATA,MATCH("MartialExpert",CLASSFEATUREHEADERS,0),MATCH($A975,CLASSNAMEHEADERS,0))),(INDEX(ALLCLASSDATA,MATCH("MartialExpert",CLASSFEATUREHEADERS,0),MATCH(($A975 &amp; "Points"),CLASSNAMEHEADERS,0))),(IF("07"=(INDEX(ALLCLASSDATA,MATCH("MartialTrained",CLASSFEATUREHEADERS,0),MATCH($A975,CLASSNAMEHEADERS,0))),(INDEX(ALLCLASSDATA,MATCH("MartialTrained",CLASSFEATUREHEADERS,0),MATCH(($A975 &amp; "Points"),CLASSNAMEHEADERS,0))),"")))))))))}</f>
        <v>MARTIALL07</v>
      </c>
      <c r="O974" s="223"/>
      <c r="P974" s="223" t="str">
        <f t="array" ref="P974:P975">{"MARTIALL09";((IF("09"=(INDEX(ALLCLASSDATA,MATCH("MartialLegendary",CLASSFEATUREHEADERS,0),MATCH($A975,CLASSNAMEHEADERS,0))),(INDEX(ALLCLASSDATA,MATCH("MartialLegendary",CLASSFEATUREHEADERS,0),MATCH(($A975 &amp; "Points"),CLASSNAMEHEADERS,0))),(IF("09"=(INDEX(ALLCLASSDATA,MATCH("MartialMaster",CLASSFEATUREHEADERS,0),MATCH($A975,CLASSNAMEHEADERS,0))),(INDEX(ALLCLASSDATA,MATCH("MartialMaster",CLASSFEATUREHEADERS,0),MATCH(($A975 &amp; "Points"),CLASSNAMEHEADERS,0))),(IF("09"=(INDEX(ALLCLASSDATA,MATCH("MartialExpert",CLASSFEATUREHEADERS,0),MATCH($A975,CLASSNAMEHEADERS,0))),(INDEX(ALLCLASSDATA,MATCH("MartialExpert",CLASSFEATUREHEADERS,0),MATCH(($A975 &amp; "Points"),CLASSNAMEHEADERS,0))),(IF("09"=(INDEX(ALLCLASSDATA,MATCH("MartialTrained",CLASSFEATUREHEADERS,0),MATCH($A975,CLASSNAMEHEADERS,0))),(INDEX(ALLCLASSDATA,MATCH("MartialTrained",CLASSFEATUREHEADERS,0),MATCH(($A975 &amp; "Points"),CLASSNAMEHEADERS,0))),"")))))))))}</f>
        <v>MARTIALL09</v>
      </c>
      <c r="Q974" s="223"/>
      <c r="R974" s="223" t="str">
        <f t="array" ref="R974:R975">{"MARTIALL11";((IF("11"=(INDEX(ALLCLASSDATA,MATCH("MartialLegendary",CLASSFEATUREHEADERS,0),MATCH($A975,CLASSNAMEHEADERS,0))),(INDEX(ALLCLASSDATA,MATCH("MartialLegendary",CLASSFEATUREHEADERS,0),MATCH(($A975 &amp; "Points"),CLASSNAMEHEADERS,0))),(IF("11"=(INDEX(ALLCLASSDATA,MATCH("MartialMaster",CLASSFEATUREHEADERS,0),MATCH($A975,CLASSNAMEHEADERS,0))),(INDEX(ALLCLASSDATA,MATCH("MartialMaster",CLASSFEATUREHEADERS,0),MATCH(($A975 &amp; "Points"),CLASSNAMEHEADERS,0))),(IF("11"=(INDEX(ALLCLASSDATA,MATCH("MartialExpert",CLASSFEATUREHEADERS,0),MATCH($A975,CLASSNAMEHEADERS,0))),(INDEX(ALLCLASSDATA,MATCH("MartialExpert",CLASSFEATUREHEADERS,0),MATCH(($A975 &amp; "Points"),CLASSNAMEHEADERS,0))),(IF("11"=(INDEX(ALLCLASSDATA,MATCH("MartialTrained",CLASSFEATUREHEADERS,0),MATCH($A975,CLASSNAMEHEADERS,0))),(INDEX(ALLCLASSDATA,MATCH("MartialTrained",CLASSFEATUREHEADERS,0),MATCH(($A975 &amp; "Points"),CLASSNAMEHEADERS,0))),"")))))))))}</f>
        <v>MARTIALL11</v>
      </c>
      <c r="S974" s="223"/>
      <c r="T974" s="223" t="str">
        <f t="array" ref="T974:T975">{"MARTIALL13";((IF("13"=(INDEX(ALLCLASSDATA,MATCH("MartialLegendary",CLASSFEATUREHEADERS,0),MATCH($A975,CLASSNAMEHEADERS,0))),(INDEX(ALLCLASSDATA,MATCH("MartialLegendary",CLASSFEATUREHEADERS,0),MATCH(($A975 &amp; "Points"),CLASSNAMEHEADERS,0))),(IF("13"=(INDEX(ALLCLASSDATA,MATCH("MartialMaster",CLASSFEATUREHEADERS,0),MATCH($A975,CLASSNAMEHEADERS,0))),(INDEX(ALLCLASSDATA,MATCH("MartialMaster",CLASSFEATUREHEADERS,0),MATCH(($A975 &amp; "Points"),CLASSNAMEHEADERS,0))),(IF("13"=(INDEX(ALLCLASSDATA,MATCH("MartialExpert",CLASSFEATUREHEADERS,0),MATCH($A975,CLASSNAMEHEADERS,0))),(INDEX(ALLCLASSDATA,MATCH("MartialExpert",CLASSFEATUREHEADERS,0),MATCH(($A975 &amp; "Points"),CLASSNAMEHEADERS,0))),(IF("13"=(INDEX(ALLCLASSDATA,MATCH("MartialTrained",CLASSFEATUREHEADERS,0),MATCH($A975,CLASSNAMEHEADERS,0))),(INDEX(ALLCLASSDATA,MATCH("MartialTrained",CLASSFEATUREHEADERS,0),MATCH(($A975 &amp; "Points"),CLASSNAMEHEADERS,0))),"")))))))))}</f>
        <v>MARTIALL13</v>
      </c>
      <c r="U974" s="223"/>
      <c r="V974" s="223" t="str">
        <f t="array" ref="V974:V975">{"MARTIALL15";((IF("15"=(INDEX(ALLCLASSDATA,MATCH("MartialLegendary",CLASSFEATUREHEADERS,0),MATCH($A975,CLASSNAMEHEADERS,0))),(INDEX(ALLCLASSDATA,MATCH("MartialLegendary",CLASSFEATUREHEADERS,0),MATCH(($A975 &amp; "Points"),CLASSNAMEHEADERS,0))),(IF("15"=(INDEX(ALLCLASSDATA,MATCH("MartialMaster",CLASSFEATUREHEADERS,0),MATCH($A975,CLASSNAMEHEADERS,0))),(INDEX(ALLCLASSDATA,MATCH("MartialMaster",CLASSFEATUREHEADERS,0),MATCH(($A975 &amp; "Points"),CLASSNAMEHEADERS,0))),(IF("15"=(INDEX(ALLCLASSDATA,MATCH("MartialExpert",CLASSFEATUREHEADERS,0),MATCH($A975,CLASSNAMEHEADERS,0))),(INDEX(ALLCLASSDATA,MATCH("MartialExpert",CLASSFEATUREHEADERS,0),MATCH(($A975 &amp; "Points"),CLASSNAMEHEADERS,0))),(IF("15"=(INDEX(ALLCLASSDATA,MATCH("MartialTrained",CLASSFEATUREHEADERS,0),MATCH($A975,CLASSNAMEHEADERS,0))),(INDEX(ALLCLASSDATA,MATCH("MartialTrained",CLASSFEATUREHEADERS,0),MATCH(($A975 &amp; "Points"),CLASSNAMEHEADERS,0))),"")))))))))}</f>
        <v>MARTIALL15</v>
      </c>
      <c r="W974" s="223"/>
      <c r="X974" s="223" t="str">
        <f t="array" ref="X974:X975">{"MARTIALL17";((IF("17"=(INDEX(ALLCLASSDATA,MATCH("MartialLegendary",CLASSFEATUREHEADERS,0),MATCH($A975,CLASSNAMEHEADERS,0))),(INDEX(ALLCLASSDATA,MATCH("MartialLegendary",CLASSFEATUREHEADERS,0),MATCH(($A975 &amp; "Points"),CLASSNAMEHEADERS,0))),(IF("17"=(INDEX(ALLCLASSDATA,MATCH("MartialMaster",CLASSFEATUREHEADERS,0),MATCH($A975,CLASSNAMEHEADERS,0))),(INDEX(ALLCLASSDATA,MATCH("MartialMaster",CLASSFEATUREHEADERS,0),MATCH(($A975 &amp; "Points"),CLASSNAMEHEADERS,0))),(IF("17"=(INDEX(ALLCLASSDATA,MATCH("MartialExpert",CLASSFEATUREHEADERS,0),MATCH($A975,CLASSNAMEHEADERS,0))),(INDEX(ALLCLASSDATA,MATCH("MartialExpert",CLASSFEATUREHEADERS,0),MATCH(($A975 &amp; "Points"),CLASSNAMEHEADERS,0))),(IF("17"=(INDEX(ALLCLASSDATA,MATCH("MartialTrained",CLASSFEATUREHEADERS,0),MATCH($A975,CLASSNAMEHEADERS,0))),(INDEX(ALLCLASSDATA,MATCH("MartialTrained",CLASSFEATUREHEADERS,0),MATCH(($A975 &amp; "Points"),CLASSNAMEHEADERS,0))),"")))))))))}</f>
        <v>MARTIALL17</v>
      </c>
      <c r="Y974" s="223"/>
      <c r="Z974" s="223" t="str">
        <f t="array" ref="Z974:Z975">{"MARTIALL19";((IF("19"=(INDEX(ALLCLASSDATA,MATCH("MartialLegendary",CLASSFEATUREHEADERS,0),MATCH($A975,CLASSNAMEHEADERS,0))),(INDEX(ALLCLASSDATA,MATCH("MartialLegendary",CLASSFEATUREHEADERS,0),MATCH(($A975 &amp; "Points"),CLASSNAMEHEADERS,0))),(IF("19"=(INDEX(ALLCLASSDATA,MATCH("MartialMaster",CLASSFEATUREHEADERS,0),MATCH($A975,CLASSNAMEHEADERS,0))),(INDEX(ALLCLASSDATA,MATCH("MartialMaster",CLASSFEATUREHEADERS,0),MATCH(($A975 &amp; "Points"),CLASSNAMEHEADERS,0))),(IF("19"=(INDEX(ALLCLASSDATA,MATCH("MartialExpert",CLASSFEATUREHEADERS,0),MATCH($A975,CLASSNAMEHEADERS,0))),(INDEX(ALLCLASSDATA,MATCH("MartialExpert",CLASSFEATUREHEADERS,0),MATCH(($A975 &amp; "Points"),CLASSNAMEHEADERS,0))),(IF("19"=(INDEX(ALLCLASSDATA,MATCH("MartialTrained",CLASSFEATUREHEADERS,0),MATCH($A975,CLASSNAMEHEADERS,0))),(INDEX(ALLCLASSDATA,MATCH("MartialTrained",CLASSFEATUREHEADERS,0),MATCH(($A975 &amp; "Points"),CLASSNAMEHEADERS,0))),"")))))))))}</f>
        <v>MARTIALL19</v>
      </c>
      <c r="AA974" s="223"/>
      <c r="AB974" s="76" t="str">
        <f t="array" ref="AB974:AB975">{"MARTIAL TOTAL";(IF(COUNTBLANK(G975:AA975)=17,"L",(IF(COUNTBLANK(G975:AA975)=18,"M",(IF(COUNTBLANK(G975:AA975)=19,"E",(IF(COUNTBLANK(G975:AA975)=20,"T",""))))))))}</f>
        <v>MARTIAL TOTAL</v>
      </c>
      <c r="AC974" s="76" t="str">
        <f t="array" ref="AC974:AC975">{"MARTIAL TOTAL";(sum(G975:AA975))}</f>
        <v>MARTIAL TOTAL</v>
      </c>
    </row>
    <row r="975">
      <c r="A975" s="48" t="s">
        <v>185</v>
      </c>
      <c r="B975" s="48"/>
      <c r="C975" s="48" t="s">
        <v>412</v>
      </c>
      <c r="D975" s="48" t="s">
        <v>1634</v>
      </c>
      <c r="E975" s="48" t="s">
        <v>6</v>
      </c>
      <c r="F975" s="5" t="s">
        <v>435</v>
      </c>
      <c r="G975" s="47" t="s">
        <v>603</v>
      </c>
      <c r="H975" s="5">
        <v>10.0</v>
      </c>
      <c r="I975" s="5"/>
      <c r="J975" s="5" t="s">
        <v>603</v>
      </c>
      <c r="K975" s="5"/>
      <c r="L975" s="5">
        <v>50.0</v>
      </c>
      <c r="M975" s="5"/>
      <c r="N975" s="5" t="s">
        <v>603</v>
      </c>
      <c r="O975" s="5"/>
      <c r="P975" s="5" t="s">
        <v>603</v>
      </c>
      <c r="Q975" s="48"/>
      <c r="R975" s="5" t="s">
        <v>603</v>
      </c>
      <c r="S975" s="5"/>
      <c r="T975" s="5">
        <v>110.0</v>
      </c>
      <c r="U975" s="5"/>
      <c r="V975" s="5" t="s">
        <v>603</v>
      </c>
      <c r="W975" s="5"/>
      <c r="X975" s="5" t="s">
        <v>603</v>
      </c>
      <c r="Y975" s="5"/>
      <c r="Z975" s="5" t="s">
        <v>603</v>
      </c>
      <c r="AA975" s="5"/>
      <c r="AB975" s="5" t="s">
        <v>437</v>
      </c>
      <c r="AC975" s="47">
        <v>170.0</v>
      </c>
    </row>
    <row r="976" hidden="1">
      <c r="A976" s="222" t="str">
        <f t="array" ref="A976:A977">{"FormulaRow32";(INDEX(CLASSLIST,A913,1))}</f>
        <v>FormulaRow32</v>
      </c>
      <c r="B976" s="77" t="s">
        <v>236</v>
      </c>
      <c r="C976" s="222" t="str">
        <f t="array" ref="C976:C977">{"CLASSTYPE";((INDEX(ALLCLASSDATA,MATCH("ClassType",CLASSFEATUREHEADERS,0),MATCH($A977,CLASSNAMEHEADERS,0))))}</f>
        <v>CLASSTYPE</v>
      </c>
      <c r="D976" s="222" t="str">
        <f t="array" ref="D976:D977">{"ATTACK";"Attack"}</f>
        <v>ATTACK</v>
      </c>
      <c r="E976" s="222" t="str">
        <f t="array" ref="E976:E977">{"ADVANCEDGROUP";"AdvancedGroup"}</f>
        <v>ADVANCEDGROUP</v>
      </c>
      <c r="F976" s="223" t="str">
        <f t="array" ref="F976:F977">{"ADVANCEDGROUPINITIAL";((IF(H977=10,"T",(IF(H977=50,"E","")))))}</f>
        <v>ADVANCEDGROUPINITIAL</v>
      </c>
      <c r="G976" s="223" t="str">
        <f t="array" ref="G976:G977">{"ADVANCEDGROUPINITIALPTS";((IF("00"=(INDEX(ALLCLASSDATA,MATCH("AdvancedGroupLegendary",CLASSFEATUREHEADERS,0),MATCH($A977,CLASSNAMEHEADERS,0))),(INDEX(ALLCLASSDATA,MATCH("AdvancedGroupLegendary",CLASSFEATUREHEADERS,0),MATCH(($A977 &amp; "Points"),CLASSNAMEHEADERS,0))),(IF("00"=(INDEX(ALLCLASSDATA,MATCH("AdvancedGroupMaster",CLASSFEATUREHEADERS,0),MATCH($A977,CLASSNAMEHEADERS,0))),(INDEX(ALLCLASSDATA,MATCH("AdvancedGroupMaster",CLASSFEATUREHEADERS,0),MATCH(($A977 &amp; "Points"),CLASSNAMEHEADERS,0))),(IF("00"=(INDEX(ALLCLASSDATA,MATCH("AdvancedGroupExpert",CLASSFEATUREHEADERS,0),MATCH($A977,CLASSNAMEHEADERS,0))),(INDEX(ALLCLASSDATA,MATCH("AdvancedGroupExpert",CLASSFEATUREHEADERS,0),MATCH(($A977 &amp; "Points"),CLASSNAMEHEADERS,0))),(IF("00"=(INDEX(ALLCLASSDATA,MATCH("AdvancedGroupTrained",CLASSFEATUREHEADERS,0),MATCH($A977,CLASSNAMEHEADERS,0))),(INDEX(ALLCLASSDATA,MATCH("AdvancedGroupTrained",CLASSFEATUREHEADERS,0),MATCH(($A977 &amp; "Points"),CLASSNAMEHEADERS,0))),"")))))))))}</f>
        <v>ADVANCEDGROUPINITIALPTS</v>
      </c>
      <c r="H976" s="223" t="str">
        <f t="array" ref="H976:H977">{"ADVANCEDGROUPL01";((IF("01"=(INDEX(ALLCLASSDATA,MATCH("AdvancedGroupLegendary",CLASSFEATUREHEADERS,0),MATCH($A977,CLASSNAMEHEADERS,0))),(INDEX(ALLCLASSDATA,MATCH("AdvancedGroupLegendary",CLASSFEATUREHEADERS,0),MATCH(($A977 &amp; "Points"),CLASSNAMEHEADERS,0))),(IF("01"=(INDEX(ALLCLASSDATA,MATCH("AdvancedGroupMaster",CLASSFEATUREHEADERS,0),MATCH($A977,CLASSNAMEHEADERS,0))),(INDEX(ALLCLASSDATA,MATCH("AdvancedGroupMaster",CLASSFEATUREHEADERS,0),MATCH(($A977 &amp; "Points"),CLASSNAMEHEADERS,0))),(IF("01"=(INDEX(ALLCLASSDATA,MATCH("AdvancedGroupExpert",CLASSFEATUREHEADERS,0),MATCH($A977,CLASSNAMEHEADERS,0))),(INDEX(ALLCLASSDATA,MATCH("AdvancedGroupExpert",CLASSFEATUREHEADERS,0),MATCH(($A977 &amp; "Points"),CLASSNAMEHEADERS,0))),(IF("01"=(INDEX(ALLCLASSDATA,MATCH("AdvancedGroupTrained",CLASSFEATUREHEADERS,0),MATCH($A977,CLASSNAMEHEADERS,0))),(INDEX(ALLCLASSDATA,MATCH("AdvancedGroupTrained",CLASSFEATUREHEADERS,0),MATCH(($A977 &amp; "Points"),CLASSNAMEHEADERS,0))),"")))))))))}</f>
        <v>ADVANCEDGROUPL01</v>
      </c>
      <c r="I976" s="223"/>
      <c r="J976" s="223" t="str">
        <f t="array" ref="J976:J977">{"ADVANCEDGROUPL03";((IF("03"=(INDEX(ALLCLASSDATA,MATCH("AdvancedGroupLegendary",CLASSFEATUREHEADERS,0),MATCH($A977,CLASSNAMEHEADERS,0))),(INDEX(ALLCLASSDATA,MATCH("AdvancedGroupLegendary",CLASSFEATUREHEADERS,0),MATCH(($A977 &amp; "Points"),CLASSNAMEHEADERS,0))),(IF("03"=(INDEX(ALLCLASSDATA,MATCH("AdvancedGroupMaster",CLASSFEATUREHEADERS,0),MATCH($A977,CLASSNAMEHEADERS,0))),(INDEX(ALLCLASSDATA,MATCH("AdvancedGroupMaster",CLASSFEATUREHEADERS,0),MATCH(($A977 &amp; "Points"),CLASSNAMEHEADERS,0))),(IF("03"=(INDEX(ALLCLASSDATA,MATCH("AdvancedGroupExpert",CLASSFEATUREHEADERS,0),MATCH($A977,CLASSNAMEHEADERS,0))),(INDEX(ALLCLASSDATA,MATCH("AdvancedGroupExpert",CLASSFEATUREHEADERS,0),MATCH(($A977 &amp; "Points"),CLASSNAMEHEADERS,0))),(IF("03"=(INDEX(ALLCLASSDATA,MATCH("AdvancedGroupTrained",CLASSFEATUREHEADERS,0),MATCH($A977,CLASSNAMEHEADERS,0))),(INDEX(ALLCLASSDATA,MATCH("AdvancedGroupTrained",CLASSFEATUREHEADERS,0),MATCH(($A977 &amp; "Points"),CLASSNAMEHEADERS,0))),"")))))))))}</f>
        <v>ADVANCEDGROUPL03</v>
      </c>
      <c r="K976" s="223"/>
      <c r="L976" s="223" t="str">
        <f t="array" ref="L976:L977">{"ADVANCEDGROUPL05";((IF("05"=(INDEX(ALLCLASSDATA,MATCH("AdvancedGroupLegendary",CLASSFEATUREHEADERS,0),MATCH($A977,CLASSNAMEHEADERS,0))),(INDEX(ALLCLASSDATA,MATCH("AdvancedGroupLegendary",CLASSFEATUREHEADERS,0),MATCH(($A977 &amp; "Points"),CLASSNAMEHEADERS,0))),(IF("05"=(INDEX(ALLCLASSDATA,MATCH("AdvancedGroupMaster",CLASSFEATUREHEADERS,0),MATCH($A977,CLASSNAMEHEADERS,0))),(INDEX(ALLCLASSDATA,MATCH("AdvancedGroupMaster",CLASSFEATUREHEADERS,0),MATCH(($A977 &amp; "Points"),CLASSNAMEHEADERS,0))),(IF("05"=(INDEX(ALLCLASSDATA,MATCH("AdvancedGroupExpert",CLASSFEATUREHEADERS,0),MATCH($A977,CLASSNAMEHEADERS,0))),(INDEX(ALLCLASSDATA,MATCH("AdvancedGroupExpert",CLASSFEATUREHEADERS,0),MATCH(($A977 &amp; "Points"),CLASSNAMEHEADERS,0))),(IF("05"=(INDEX(ALLCLASSDATA,MATCH("AdvancedGroupTrained",CLASSFEATUREHEADERS,0),MATCH($A977,CLASSNAMEHEADERS,0))),(INDEX(ALLCLASSDATA,MATCH("AdvancedGroupTrained",CLASSFEATUREHEADERS,0),MATCH(($A977 &amp; "Points"),CLASSNAMEHEADERS,0))),"")))))))))}</f>
        <v>ADVANCEDGROUPL05</v>
      </c>
      <c r="M976" s="223"/>
      <c r="N976" s="223" t="str">
        <f t="array" ref="N976:N977">{"ADVANCEDGROUPL07";((IF("07"=(INDEX(ALLCLASSDATA,MATCH("AdvancedGroupLegendary",CLASSFEATUREHEADERS,0),MATCH($A977,CLASSNAMEHEADERS,0))),(INDEX(ALLCLASSDATA,MATCH("AdvancedGroupLegendary",CLASSFEATUREHEADERS,0),MATCH(($A977 &amp; "Points"),CLASSNAMEHEADERS,0))),(IF("07"=(INDEX(ALLCLASSDATA,MATCH("AdvancedGroupMaster",CLASSFEATUREHEADERS,0),MATCH($A977,CLASSNAMEHEADERS,0))),(INDEX(ALLCLASSDATA,MATCH("AdvancedGroupMaster",CLASSFEATUREHEADERS,0),MATCH(($A977 &amp; "Points"),CLASSNAMEHEADERS,0))),(IF("07"=(INDEX(ALLCLASSDATA,MATCH("AdvancedGroupExpert",CLASSFEATUREHEADERS,0),MATCH($A977,CLASSNAMEHEADERS,0))),(INDEX(ALLCLASSDATA,MATCH("AdvancedGroupExpert",CLASSFEATUREHEADERS,0),MATCH(($A977 &amp; "Points"),CLASSNAMEHEADERS,0))),(IF("07"=(INDEX(ALLCLASSDATA,MATCH("AdvancedGroupTrained",CLASSFEATUREHEADERS,0),MATCH($A977,CLASSNAMEHEADERS,0))),(INDEX(ALLCLASSDATA,MATCH("AdvancedGroupTrained",CLASSFEATUREHEADERS,0),MATCH(($A977 &amp; "Points"),CLASSNAMEHEADERS,0))),"")))))))))}</f>
        <v>ADVANCEDGROUPL07</v>
      </c>
      <c r="O976" s="223"/>
      <c r="P976" s="223" t="str">
        <f t="array" ref="P976:P977">{"ADVANCEDGROUPL09";((IF("09"=(INDEX(ALLCLASSDATA,MATCH("AdvancedGroupLegendary",CLASSFEATUREHEADERS,0),MATCH($A977,CLASSNAMEHEADERS,0))),(INDEX(ALLCLASSDATA,MATCH("AdvancedGroupLegendary",CLASSFEATUREHEADERS,0),MATCH(($A977 &amp; "Points"),CLASSNAMEHEADERS,0))),(IF("09"=(INDEX(ALLCLASSDATA,MATCH("AdvancedGroupMaster",CLASSFEATUREHEADERS,0),MATCH($A977,CLASSNAMEHEADERS,0))),(INDEX(ALLCLASSDATA,MATCH("AdvancedGroupMaster",CLASSFEATUREHEADERS,0),MATCH(($A977 &amp; "Points"),CLASSNAMEHEADERS,0))),(IF("09"=(INDEX(ALLCLASSDATA,MATCH("AdvancedGroupExpert",CLASSFEATUREHEADERS,0),MATCH($A977,CLASSNAMEHEADERS,0))),(INDEX(ALLCLASSDATA,MATCH("AdvancedGroupExpert",CLASSFEATUREHEADERS,0),MATCH(($A977 &amp; "Points"),CLASSNAMEHEADERS,0))),(IF("09"=(INDEX(ALLCLASSDATA,MATCH("AdvancedGroupTrained",CLASSFEATUREHEADERS,0),MATCH($A977,CLASSNAMEHEADERS,0))),(INDEX(ALLCLASSDATA,MATCH("AdvancedGroupTrained",CLASSFEATUREHEADERS,0),MATCH(($A977 &amp; "Points"),CLASSNAMEHEADERS,0))),"")))))))))}</f>
        <v>ADVANCEDGROUPL09</v>
      </c>
      <c r="Q976" s="223"/>
      <c r="R976" s="223" t="str">
        <f t="array" ref="R976:R977">{"ADVANCEDGROUPL11";((IF("11"=(INDEX(ALLCLASSDATA,MATCH("AdvancedGroupLegendary",CLASSFEATUREHEADERS,0),MATCH($A977,CLASSNAMEHEADERS,0))),(INDEX(ALLCLASSDATA,MATCH("AdvancedGroupLegendary",CLASSFEATUREHEADERS,0),MATCH(($A977 &amp; "Points"),CLASSNAMEHEADERS,0))),(IF("11"=(INDEX(ALLCLASSDATA,MATCH("AdvancedGroupMaster",CLASSFEATUREHEADERS,0),MATCH($A977,CLASSNAMEHEADERS,0))),(INDEX(ALLCLASSDATA,MATCH("AdvancedGroupMaster",CLASSFEATUREHEADERS,0),MATCH(($A977 &amp; "Points"),CLASSNAMEHEADERS,0))),(IF("11"=(INDEX(ALLCLASSDATA,MATCH("AdvancedGroupExpert",CLASSFEATUREHEADERS,0),MATCH($A977,CLASSNAMEHEADERS,0))),(INDEX(ALLCLASSDATA,MATCH("AdvancedGroupExpert",CLASSFEATUREHEADERS,0),MATCH(($A977 &amp; "Points"),CLASSNAMEHEADERS,0))),(IF("11"=(INDEX(ALLCLASSDATA,MATCH("AdvancedGroupTrained",CLASSFEATUREHEADERS,0),MATCH($A977,CLASSNAMEHEADERS,0))),(INDEX(ALLCLASSDATA,MATCH("AdvancedGroupTrained",CLASSFEATUREHEADERS,0),MATCH(($A977 &amp; "Points"),CLASSNAMEHEADERS,0))),"")))))))))}</f>
        <v>ADVANCEDGROUPL11</v>
      </c>
      <c r="S976" s="223"/>
      <c r="T976" s="223" t="str">
        <f t="array" ref="T976:T977">{"ADVANCEDGROUPL13";((IF("13"=(INDEX(ALLCLASSDATA,MATCH("AdvancedGroupLegendary",CLASSFEATUREHEADERS,0),MATCH($A977,CLASSNAMEHEADERS,0))),(INDEX(ALLCLASSDATA,MATCH("AdvancedGroupLegendary",CLASSFEATUREHEADERS,0),MATCH(($A977 &amp; "Points"),CLASSNAMEHEADERS,0))),(IF("13"=(INDEX(ALLCLASSDATA,MATCH("AdvancedGroupMaster",CLASSFEATUREHEADERS,0),MATCH($A977,CLASSNAMEHEADERS,0))),(INDEX(ALLCLASSDATA,MATCH("AdvancedGroupMaster",CLASSFEATUREHEADERS,0),MATCH(($A977 &amp; "Points"),CLASSNAMEHEADERS,0))),(IF("13"=(INDEX(ALLCLASSDATA,MATCH("AdvancedGroupExpert",CLASSFEATUREHEADERS,0),MATCH($A977,CLASSNAMEHEADERS,0))),(INDEX(ALLCLASSDATA,MATCH("AdvancedGroupExpert",CLASSFEATUREHEADERS,0),MATCH(($A977 &amp; "Points"),CLASSNAMEHEADERS,0))),(IF("13"=(INDEX(ALLCLASSDATA,MATCH("AdvancedGroupTrained",CLASSFEATUREHEADERS,0),MATCH($A977,CLASSNAMEHEADERS,0))),(INDEX(ALLCLASSDATA,MATCH("AdvancedGroupTrained",CLASSFEATUREHEADERS,0),MATCH(($A977 &amp; "Points"),CLASSNAMEHEADERS,0))),"")))))))))}</f>
        <v>ADVANCEDGROUPL13</v>
      </c>
      <c r="U976" s="223"/>
      <c r="V976" s="223" t="str">
        <f t="array" ref="V976:V977">{"ADVANCEDGROUPL15";((IF("15"=(INDEX(ALLCLASSDATA,MATCH("AdvancedGroupLegendary",CLASSFEATUREHEADERS,0),MATCH($A977,CLASSNAMEHEADERS,0))),(INDEX(ALLCLASSDATA,MATCH("AdvancedGroupLegendary",CLASSFEATUREHEADERS,0),MATCH(($A977 &amp; "Points"),CLASSNAMEHEADERS,0))),(IF("15"=(INDEX(ALLCLASSDATA,MATCH("AdvancedGroupMaster",CLASSFEATUREHEADERS,0),MATCH($A977,CLASSNAMEHEADERS,0))),(INDEX(ALLCLASSDATA,MATCH("AdvancedGroupMaster",CLASSFEATUREHEADERS,0),MATCH(($A977 &amp; "Points"),CLASSNAMEHEADERS,0))),(IF("15"=(INDEX(ALLCLASSDATA,MATCH("AdvancedGroupExpert",CLASSFEATUREHEADERS,0),MATCH($A977,CLASSNAMEHEADERS,0))),(INDEX(ALLCLASSDATA,MATCH("AdvancedGroupExpert",CLASSFEATUREHEADERS,0),MATCH(($A977 &amp; "Points"),CLASSNAMEHEADERS,0))),(IF("15"=(INDEX(ALLCLASSDATA,MATCH("AdvancedGroupTrained",CLASSFEATUREHEADERS,0),MATCH($A977,CLASSNAMEHEADERS,0))),(INDEX(ALLCLASSDATA,MATCH("AdvancedGroupTrained",CLASSFEATUREHEADERS,0),MATCH(($A977 &amp; "Points"),CLASSNAMEHEADERS,0))),"")))))))))}</f>
        <v>ADVANCEDGROUPL15</v>
      </c>
      <c r="W976" s="223"/>
      <c r="X976" s="223" t="str">
        <f t="array" ref="X976:X977">{"ADVANCEDGROUPL17";((IF("17"=(INDEX(ALLCLASSDATA,MATCH("AdvancedGroupLegendary",CLASSFEATUREHEADERS,0),MATCH($A977,CLASSNAMEHEADERS,0))),(INDEX(ALLCLASSDATA,MATCH("AdvancedGroupLegendary",CLASSFEATUREHEADERS,0),MATCH(($A977 &amp; "Points"),CLASSNAMEHEADERS,0))),(IF("17"=(INDEX(ALLCLASSDATA,MATCH("AdvancedGroupMaster",CLASSFEATUREHEADERS,0),MATCH($A977,CLASSNAMEHEADERS,0))),(INDEX(ALLCLASSDATA,MATCH("AdvancedGroupMaster",CLASSFEATUREHEADERS,0),MATCH(($A977 &amp; "Points"),CLASSNAMEHEADERS,0))),(IF("17"=(INDEX(ALLCLASSDATA,MATCH("AdvancedGroupExpert",CLASSFEATUREHEADERS,0),MATCH($A977,CLASSNAMEHEADERS,0))),(INDEX(ALLCLASSDATA,MATCH("AdvancedGroupExpert",CLASSFEATUREHEADERS,0),MATCH(($A977 &amp; "Points"),CLASSNAMEHEADERS,0))),(IF("17"=(INDEX(ALLCLASSDATA,MATCH("AdvancedGroupTrained",CLASSFEATUREHEADERS,0),MATCH($A977,CLASSNAMEHEADERS,0))),(INDEX(ALLCLASSDATA,MATCH("AdvancedGroupTrained",CLASSFEATUREHEADERS,0),MATCH(($A977 &amp; "Points"),CLASSNAMEHEADERS,0))),"")))))))))}</f>
        <v>ADVANCEDGROUPL17</v>
      </c>
      <c r="Y976" s="223"/>
      <c r="Z976" s="223" t="str">
        <f t="array" ref="Z976:Z977">{"ADVANCEDGROUPL19";((IF("19"=(INDEX(ALLCLASSDATA,MATCH("AdvancedGroupLegendary",CLASSFEATUREHEADERS,0),MATCH($A977,CLASSNAMEHEADERS,0))),(INDEX(ALLCLASSDATA,MATCH("AdvancedGroupLegendary",CLASSFEATUREHEADERS,0),MATCH(($A977 &amp; "Points"),CLASSNAMEHEADERS,0))),(IF("19"=(INDEX(ALLCLASSDATA,MATCH("AdvancedGroupMaster",CLASSFEATUREHEADERS,0),MATCH($A977,CLASSNAMEHEADERS,0))),(INDEX(ALLCLASSDATA,MATCH("AdvancedGroupMaster",CLASSFEATUREHEADERS,0),MATCH(($A977 &amp; "Points"),CLASSNAMEHEADERS,0))),(IF("19"=(INDEX(ALLCLASSDATA,MATCH("AdvancedGroupExpert",CLASSFEATUREHEADERS,0),MATCH($A977,CLASSNAMEHEADERS,0))),(INDEX(ALLCLASSDATA,MATCH("AdvancedGroupExpert",CLASSFEATUREHEADERS,0),MATCH(($A977 &amp; "Points"),CLASSNAMEHEADERS,0))),(IF("19"=(INDEX(ALLCLASSDATA,MATCH("AdvancedGroupTrained",CLASSFEATUREHEADERS,0),MATCH($A977,CLASSNAMEHEADERS,0))),(INDEX(ALLCLASSDATA,MATCH("AdvancedGroupTrained",CLASSFEATUREHEADERS,0),MATCH(($A977 &amp; "Points"),CLASSNAMEHEADERS,0))),"")))))))))}</f>
        <v>ADVANCEDGROUPL19</v>
      </c>
      <c r="AA976" s="223"/>
      <c r="AB976" s="76" t="str">
        <f t="array" ref="AB976:AB977">{"ADVANCEDGROUP TOTAL";(IF(COUNTBLANK(G977:AA977)=17,"L",(IF(COUNTBLANK(G977:AA977)=18,"M",(IF(COUNTBLANK(G977:AA977)=19,"E",(IF(COUNTBLANK(G977:AA977)=20,"T",""))))))))}</f>
        <v>ADVANCEDGROUP TOTAL</v>
      </c>
      <c r="AC976" s="76" t="str">
        <f t="array" ref="AC976:AC977">{"ADVANCEDGROUP TOTAL";(sum(G977:AA977))}</f>
        <v>ADVANCEDGROUP TOTAL</v>
      </c>
    </row>
    <row r="977">
      <c r="A977" s="48" t="s">
        <v>185</v>
      </c>
      <c r="B977" s="48"/>
      <c r="C977" s="48" t="s">
        <v>412</v>
      </c>
      <c r="D977" s="48" t="s">
        <v>1634</v>
      </c>
      <c r="E977" s="48" t="s">
        <v>601</v>
      </c>
      <c r="F977" s="5" t="s">
        <v>603</v>
      </c>
      <c r="G977" s="47" t="s">
        <v>603</v>
      </c>
      <c r="H977" s="5" t="s">
        <v>603</v>
      </c>
      <c r="I977" s="5"/>
      <c r="J977" s="5" t="s">
        <v>603</v>
      </c>
      <c r="K977" s="5"/>
      <c r="L977" s="5" t="s">
        <v>603</v>
      </c>
      <c r="M977" s="5"/>
      <c r="N977" s="5" t="s">
        <v>603</v>
      </c>
      <c r="O977" s="5"/>
      <c r="P977" s="5" t="s">
        <v>603</v>
      </c>
      <c r="Q977" s="5"/>
      <c r="R977" s="5" t="s">
        <v>603</v>
      </c>
      <c r="S977" s="5"/>
      <c r="T977" s="5" t="s">
        <v>603</v>
      </c>
      <c r="U977" s="5"/>
      <c r="V977" s="5" t="s">
        <v>603</v>
      </c>
      <c r="W977" s="5"/>
      <c r="X977" s="5" t="s">
        <v>603</v>
      </c>
      <c r="Y977" s="5"/>
      <c r="Z977" s="5" t="s">
        <v>603</v>
      </c>
      <c r="AA977" s="5"/>
      <c r="AB977" s="5" t="s">
        <v>603</v>
      </c>
      <c r="AC977" s="47">
        <v>0.0</v>
      </c>
    </row>
    <row r="978" hidden="1">
      <c r="A978" s="222" t="str">
        <f t="array" ref="A978:A979">{"FormulaRow33";(INDEX(CLASSLIST,A913,1))}</f>
        <v>FormulaRow33</v>
      </c>
      <c r="B978" s="77" t="s">
        <v>236</v>
      </c>
      <c r="C978" s="222" t="str">
        <f t="array" ref="C978:C979">{"CLASSTYPE";((INDEX(ALLCLASSDATA,MATCH("ClassType",CLASSFEATUREHEADERS,0),MATCH($A979,CLASSNAMEHEADERS,0))))}</f>
        <v>CLASSTYPE</v>
      </c>
      <c r="D978" s="222" t="str">
        <f t="array" ref="D978:D979">{"ATTACK";"Attack"}</f>
        <v>ATTACK</v>
      </c>
      <c r="E978" s="222" t="str">
        <f t="array" ref="E978:E979">{"ADVANCED";"Advanced"}</f>
        <v>ADVANCED</v>
      </c>
      <c r="F978" s="223" t="str">
        <f t="array" ref="F978:F979">{"ADVANCEDINITIAL";((IF(H979=10,"T",(IF(H979=50,"E","")))))}</f>
        <v>ADVANCEDINITIAL</v>
      </c>
      <c r="G978" s="223" t="str">
        <f t="array" ref="G978:G979">{"ADVANCEDINITIALPTS";((IF("00"=(INDEX(ALLCLASSDATA,MATCH("AdvancedLegendary",CLASSFEATUREHEADERS,0),MATCH($A979,CLASSNAMEHEADERS,0))),(INDEX(ALLCLASSDATA,MATCH("AdvancedLegendary",CLASSFEATUREHEADERS,0),MATCH(($A979 &amp; "Points"),CLASSNAMEHEADERS,0))),(IF("00"=(INDEX(ALLCLASSDATA,MATCH("AdvancedMaster",CLASSFEATUREHEADERS,0),MATCH($A979,CLASSNAMEHEADERS,0))),(INDEX(ALLCLASSDATA,MATCH("AdvancedMaster",CLASSFEATUREHEADERS,0),MATCH(($A979 &amp; "Points"),CLASSNAMEHEADERS,0))),(IF("00"=(INDEX(ALLCLASSDATA,MATCH("AdvancedExpert",CLASSFEATUREHEADERS,0),MATCH($A979,CLASSNAMEHEADERS,0))),(INDEX(ALLCLASSDATA,MATCH("AdvancedExpert",CLASSFEATUREHEADERS,0),MATCH(($A979 &amp; "Points"),CLASSNAMEHEADERS,0))),(IF("00"=(INDEX(ALLCLASSDATA,MATCH("AdvancedTrained",CLASSFEATUREHEADERS,0),MATCH($A979,CLASSNAMEHEADERS,0))),(INDEX(ALLCLASSDATA,MATCH("AdvancedTrained",CLASSFEATUREHEADERS,0),MATCH(($A979 &amp; "Points"),CLASSNAMEHEADERS,0))),"")))))))))}</f>
        <v>ADVANCEDINITIALPTS</v>
      </c>
      <c r="H978" s="223" t="str">
        <f t="array" ref="H978:H979">{"ADVANCEDL01";((IF("01"=(INDEX(ALLCLASSDATA,MATCH("AdvancedLegendary",CLASSFEATUREHEADERS,0),MATCH($A979,CLASSNAMEHEADERS,0))),(INDEX(ALLCLASSDATA,MATCH("AdvancedLegendary",CLASSFEATUREHEADERS,0),MATCH(($A979 &amp; "Points"),CLASSNAMEHEADERS,0))),(IF("01"=(INDEX(ALLCLASSDATA,MATCH("AdvancedMaster",CLASSFEATUREHEADERS,0),MATCH($A979,CLASSNAMEHEADERS,0))),(INDEX(ALLCLASSDATA,MATCH("AdvancedMaster",CLASSFEATUREHEADERS,0),MATCH(($A979 &amp; "Points"),CLASSNAMEHEADERS,0))),(IF("01"=(INDEX(ALLCLASSDATA,MATCH("AdvancedExpert",CLASSFEATUREHEADERS,0),MATCH($A979,CLASSNAMEHEADERS,0))),(INDEX(ALLCLASSDATA,MATCH("AdvancedExpert",CLASSFEATUREHEADERS,0),MATCH(($A979 &amp; "Points"),CLASSNAMEHEADERS,0))),(IF("01"=(INDEX(ALLCLASSDATA,MATCH("AdvancedTrained",CLASSFEATUREHEADERS,0),MATCH($A979,CLASSNAMEHEADERS,0))),(INDEX(ALLCLASSDATA,MATCH("AdvancedTrained",CLASSFEATUREHEADERS,0),MATCH(($A979 &amp; "Points"),CLASSNAMEHEADERS,0))),"")))))))))}</f>
        <v>ADVANCEDL01</v>
      </c>
      <c r="I978" s="223"/>
      <c r="J978" s="223" t="str">
        <f t="array" ref="J978:J979">{"ADVANCEDL03";((IF("03"=(INDEX(ALLCLASSDATA,MATCH("AdvancedLegendary",CLASSFEATUREHEADERS,0),MATCH($A979,CLASSNAMEHEADERS,0))),(INDEX(ALLCLASSDATA,MATCH("AdvancedLegendary",CLASSFEATUREHEADERS,0),MATCH(($A979 &amp; "Points"),CLASSNAMEHEADERS,0))),(IF("03"=(INDEX(ALLCLASSDATA,MATCH("AdvancedMaster",CLASSFEATUREHEADERS,0),MATCH($A979,CLASSNAMEHEADERS,0))),(INDEX(ALLCLASSDATA,MATCH("AdvancedMaster",CLASSFEATUREHEADERS,0),MATCH(($A979 &amp; "Points"),CLASSNAMEHEADERS,0))),(IF("03"=(INDEX(ALLCLASSDATA,MATCH("AdvancedExpert",CLASSFEATUREHEADERS,0),MATCH($A979,CLASSNAMEHEADERS,0))),(INDEX(ALLCLASSDATA,MATCH("AdvancedExpert",CLASSFEATUREHEADERS,0),MATCH(($A979 &amp; "Points"),CLASSNAMEHEADERS,0))),(IF("03"=(INDEX(ALLCLASSDATA,MATCH("AdvancedTrained",CLASSFEATUREHEADERS,0),MATCH($A979,CLASSNAMEHEADERS,0))),(INDEX(ALLCLASSDATA,MATCH("AdvancedTrained",CLASSFEATUREHEADERS,0),MATCH(($A979 &amp; "Points"),CLASSNAMEHEADERS,0))),"")))))))))}</f>
        <v>ADVANCEDL03</v>
      </c>
      <c r="K978" s="223"/>
      <c r="L978" s="223" t="str">
        <f t="array" ref="L978:L979">{"ADVANCEDL05";((IF("05"=(INDEX(ALLCLASSDATA,MATCH("AdvancedLegendary",CLASSFEATUREHEADERS,0),MATCH($A979,CLASSNAMEHEADERS,0))),(INDEX(ALLCLASSDATA,MATCH("AdvancedLegendary",CLASSFEATUREHEADERS,0),MATCH(($A979 &amp; "Points"),CLASSNAMEHEADERS,0))),(IF("05"=(INDEX(ALLCLASSDATA,MATCH("AdvancedMaster",CLASSFEATUREHEADERS,0),MATCH($A979,CLASSNAMEHEADERS,0))),(INDEX(ALLCLASSDATA,MATCH("AdvancedMaster",CLASSFEATUREHEADERS,0),MATCH(($A979 &amp; "Points"),CLASSNAMEHEADERS,0))),(IF("05"=(INDEX(ALLCLASSDATA,MATCH("AdvancedExpert",CLASSFEATUREHEADERS,0),MATCH($A979,CLASSNAMEHEADERS,0))),(INDEX(ALLCLASSDATA,MATCH("AdvancedExpert",CLASSFEATUREHEADERS,0),MATCH(($A979 &amp; "Points"),CLASSNAMEHEADERS,0))),(IF("05"=(INDEX(ALLCLASSDATA,MATCH("AdvancedTrained",CLASSFEATUREHEADERS,0),MATCH($A979,CLASSNAMEHEADERS,0))),(INDEX(ALLCLASSDATA,MATCH("AdvancedTrained",CLASSFEATUREHEADERS,0),MATCH(($A979 &amp; "Points"),CLASSNAMEHEADERS,0))),"")))))))))}</f>
        <v>ADVANCEDL05</v>
      </c>
      <c r="M978" s="223"/>
      <c r="N978" s="223" t="str">
        <f t="array" ref="N978:N979">{"ADVANCEDL07";((IF("07"=(INDEX(ALLCLASSDATA,MATCH("AdvancedLegendary",CLASSFEATUREHEADERS,0),MATCH($A979,CLASSNAMEHEADERS,0))),(INDEX(ALLCLASSDATA,MATCH("AdvancedLegendary",CLASSFEATUREHEADERS,0),MATCH(($A979 &amp; "Points"),CLASSNAMEHEADERS,0))),(IF("07"=(INDEX(ALLCLASSDATA,MATCH("AdvancedMaster",CLASSFEATUREHEADERS,0),MATCH($A979,CLASSNAMEHEADERS,0))),(INDEX(ALLCLASSDATA,MATCH("AdvancedMaster",CLASSFEATUREHEADERS,0),MATCH(($A979 &amp; "Points"),CLASSNAMEHEADERS,0))),(IF("07"=(INDEX(ALLCLASSDATA,MATCH("AdvancedExpert",CLASSFEATUREHEADERS,0),MATCH($A979,CLASSNAMEHEADERS,0))),(INDEX(ALLCLASSDATA,MATCH("AdvancedExpert",CLASSFEATUREHEADERS,0),MATCH(($A979 &amp; "Points"),CLASSNAMEHEADERS,0))),(IF("07"=(INDEX(ALLCLASSDATA,MATCH("AdvancedTrained",CLASSFEATUREHEADERS,0),MATCH($A979,CLASSNAMEHEADERS,0))),(INDEX(ALLCLASSDATA,MATCH("AdvancedTrained",CLASSFEATUREHEADERS,0),MATCH(($A979 &amp; "Points"),CLASSNAMEHEADERS,0))),"")))))))))}</f>
        <v>ADVANCEDL07</v>
      </c>
      <c r="O978" s="223"/>
      <c r="P978" s="223" t="str">
        <f t="array" ref="P978:P979">{"ADVANCEDL09";((IF("09"=(INDEX(ALLCLASSDATA,MATCH("AdvancedLegendary",CLASSFEATUREHEADERS,0),MATCH($A979,CLASSNAMEHEADERS,0))),(INDEX(ALLCLASSDATA,MATCH("AdvancedLegendary",CLASSFEATUREHEADERS,0),MATCH(($A979 &amp; "Points"),CLASSNAMEHEADERS,0))),(IF("09"=(INDEX(ALLCLASSDATA,MATCH("AdvancedMaster",CLASSFEATUREHEADERS,0),MATCH($A979,CLASSNAMEHEADERS,0))),(INDEX(ALLCLASSDATA,MATCH("AdvancedMaster",CLASSFEATUREHEADERS,0),MATCH(($A979 &amp; "Points"),CLASSNAMEHEADERS,0))),(IF("09"=(INDEX(ALLCLASSDATA,MATCH("AdvancedExpert",CLASSFEATUREHEADERS,0),MATCH($A979,CLASSNAMEHEADERS,0))),(INDEX(ALLCLASSDATA,MATCH("AdvancedExpert",CLASSFEATUREHEADERS,0),MATCH(($A979 &amp; "Points"),CLASSNAMEHEADERS,0))),(IF("09"=(INDEX(ALLCLASSDATA,MATCH("AdvancedTrained",CLASSFEATUREHEADERS,0),MATCH($A979,CLASSNAMEHEADERS,0))),(INDEX(ALLCLASSDATA,MATCH("AdvancedTrained",CLASSFEATUREHEADERS,0),MATCH(($A979 &amp; "Points"),CLASSNAMEHEADERS,0))),"")))))))))}</f>
        <v>ADVANCEDL09</v>
      </c>
      <c r="Q978" s="223"/>
      <c r="R978" s="223" t="str">
        <f t="array" ref="R978:R979">{"ADVANCEDL11";((IF("11"=(INDEX(ALLCLASSDATA,MATCH("AdvancedLegendary",CLASSFEATUREHEADERS,0),MATCH($A979,CLASSNAMEHEADERS,0))),(INDEX(ALLCLASSDATA,MATCH("AdvancedLegendary",CLASSFEATUREHEADERS,0),MATCH(($A979 &amp; "Points"),CLASSNAMEHEADERS,0))),(IF("11"=(INDEX(ALLCLASSDATA,MATCH("AdvancedMaster",CLASSFEATUREHEADERS,0),MATCH($A979,CLASSNAMEHEADERS,0))),(INDEX(ALLCLASSDATA,MATCH("AdvancedMaster",CLASSFEATUREHEADERS,0),MATCH(($A979 &amp; "Points"),CLASSNAMEHEADERS,0))),(IF("11"=(INDEX(ALLCLASSDATA,MATCH("AdvancedExpert",CLASSFEATUREHEADERS,0),MATCH($A979,CLASSNAMEHEADERS,0))),(INDEX(ALLCLASSDATA,MATCH("AdvancedExpert",CLASSFEATUREHEADERS,0),MATCH(($A979 &amp; "Points"),CLASSNAMEHEADERS,0))),(IF("11"=(INDEX(ALLCLASSDATA,MATCH("AdvancedTrained",CLASSFEATUREHEADERS,0),MATCH($A979,CLASSNAMEHEADERS,0))),(INDEX(ALLCLASSDATA,MATCH("AdvancedTrained",CLASSFEATUREHEADERS,0),MATCH(($A979 &amp; "Points"),CLASSNAMEHEADERS,0))),"")))))))))}</f>
        <v>ADVANCEDL11</v>
      </c>
      <c r="S978" s="223"/>
      <c r="T978" s="223" t="str">
        <f t="array" ref="T978:T979">{"ADVANCEDL13";((IF("13"=(INDEX(ALLCLASSDATA,MATCH("AdvancedLegendary",CLASSFEATUREHEADERS,0),MATCH($A979,CLASSNAMEHEADERS,0))),(INDEX(ALLCLASSDATA,MATCH("AdvancedLegendary",CLASSFEATUREHEADERS,0),MATCH(($A979 &amp; "Points"),CLASSNAMEHEADERS,0))),(IF("13"=(INDEX(ALLCLASSDATA,MATCH("AdvancedMaster",CLASSFEATUREHEADERS,0),MATCH($A979,CLASSNAMEHEADERS,0))),(INDEX(ALLCLASSDATA,MATCH("AdvancedMaster",CLASSFEATUREHEADERS,0),MATCH(($A979 &amp; "Points"),CLASSNAMEHEADERS,0))),(IF("13"=(INDEX(ALLCLASSDATA,MATCH("AdvancedExpert",CLASSFEATUREHEADERS,0),MATCH($A979,CLASSNAMEHEADERS,0))),(INDEX(ALLCLASSDATA,MATCH("AdvancedExpert",CLASSFEATUREHEADERS,0),MATCH(($A979 &amp; "Points"),CLASSNAMEHEADERS,0))),(IF("13"=(INDEX(ALLCLASSDATA,MATCH("AdvancedTrained",CLASSFEATUREHEADERS,0),MATCH($A979,CLASSNAMEHEADERS,0))),(INDEX(ALLCLASSDATA,MATCH("AdvancedTrained",CLASSFEATUREHEADERS,0),MATCH(($A979 &amp; "Points"),CLASSNAMEHEADERS,0))),"")))))))))}</f>
        <v>ADVANCEDL13</v>
      </c>
      <c r="U978" s="223"/>
      <c r="V978" s="223" t="str">
        <f t="array" ref="V978:V979">{"ADVANCEDL15";((IF("15"=(INDEX(ALLCLASSDATA,MATCH("AdvancedLegendary",CLASSFEATUREHEADERS,0),MATCH($A979,CLASSNAMEHEADERS,0))),(INDEX(ALLCLASSDATA,MATCH("AdvancedLegendary",CLASSFEATUREHEADERS,0),MATCH(($A979 &amp; "Points"),CLASSNAMEHEADERS,0))),(IF("15"=(INDEX(ALLCLASSDATA,MATCH("AdvancedMaster",CLASSFEATUREHEADERS,0),MATCH($A979,CLASSNAMEHEADERS,0))),(INDEX(ALLCLASSDATA,MATCH("AdvancedMaster",CLASSFEATUREHEADERS,0),MATCH(($A979 &amp; "Points"),CLASSNAMEHEADERS,0))),(IF("15"=(INDEX(ALLCLASSDATA,MATCH("AdvancedExpert",CLASSFEATUREHEADERS,0),MATCH($A979,CLASSNAMEHEADERS,0))),(INDEX(ALLCLASSDATA,MATCH("AdvancedExpert",CLASSFEATUREHEADERS,0),MATCH(($A979 &amp; "Points"),CLASSNAMEHEADERS,0))),(IF("15"=(INDEX(ALLCLASSDATA,MATCH("AdvancedTrained",CLASSFEATUREHEADERS,0),MATCH($A979,CLASSNAMEHEADERS,0))),(INDEX(ALLCLASSDATA,MATCH("AdvancedTrained",CLASSFEATUREHEADERS,0),MATCH(($A979 &amp; "Points"),CLASSNAMEHEADERS,0))),"")))))))))}</f>
        <v>ADVANCEDL15</v>
      </c>
      <c r="W978" s="223"/>
      <c r="X978" s="223" t="str">
        <f t="array" ref="X978:X979">{"ADVANCEDL17";((IF("17"=(INDEX(ALLCLASSDATA,MATCH("AdvancedLegendary",CLASSFEATUREHEADERS,0),MATCH($A979,CLASSNAMEHEADERS,0))),(INDEX(ALLCLASSDATA,MATCH("AdvancedLegendary",CLASSFEATUREHEADERS,0),MATCH(($A979 &amp; "Points"),CLASSNAMEHEADERS,0))),(IF("17"=(INDEX(ALLCLASSDATA,MATCH("AdvancedMaster",CLASSFEATUREHEADERS,0),MATCH($A979,CLASSNAMEHEADERS,0))),(INDEX(ALLCLASSDATA,MATCH("AdvancedMaster",CLASSFEATUREHEADERS,0),MATCH(($A979 &amp; "Points"),CLASSNAMEHEADERS,0))),(IF("17"=(INDEX(ALLCLASSDATA,MATCH("AdvancedExpert",CLASSFEATUREHEADERS,0),MATCH($A979,CLASSNAMEHEADERS,0))),(INDEX(ALLCLASSDATA,MATCH("AdvancedExpert",CLASSFEATUREHEADERS,0),MATCH(($A979 &amp; "Points"),CLASSNAMEHEADERS,0))),(IF("17"=(INDEX(ALLCLASSDATA,MATCH("AdvancedTrained",CLASSFEATUREHEADERS,0),MATCH($A979,CLASSNAMEHEADERS,0))),(INDEX(ALLCLASSDATA,MATCH("AdvancedTrained",CLASSFEATUREHEADERS,0),MATCH(($A979 &amp; "Points"),CLASSNAMEHEADERS,0))),"")))))))))}</f>
        <v>ADVANCEDL17</v>
      </c>
      <c r="Y978" s="223"/>
      <c r="Z978" s="223" t="str">
        <f t="array" ref="Z978:Z979">{"ADVANCEDL19";((IF("19"=(INDEX(ALLCLASSDATA,MATCH("AdvancedLegendary",CLASSFEATUREHEADERS,0),MATCH($A979,CLASSNAMEHEADERS,0))),(INDEX(ALLCLASSDATA,MATCH("AdvancedLegendary",CLASSFEATUREHEADERS,0),MATCH(($A979 &amp; "Points"),CLASSNAMEHEADERS,0))),(IF("19"=(INDEX(ALLCLASSDATA,MATCH("AdvancedMaster",CLASSFEATUREHEADERS,0),MATCH($A979,CLASSNAMEHEADERS,0))),(INDEX(ALLCLASSDATA,MATCH("AdvancedMaster",CLASSFEATUREHEADERS,0),MATCH(($A979 &amp; "Points"),CLASSNAMEHEADERS,0))),(IF("19"=(INDEX(ALLCLASSDATA,MATCH("AdvancedExpert",CLASSFEATUREHEADERS,0),MATCH($A979,CLASSNAMEHEADERS,0))),(INDEX(ALLCLASSDATA,MATCH("AdvancedExpert",CLASSFEATUREHEADERS,0),MATCH(($A979 &amp; "Points"),CLASSNAMEHEADERS,0))),(IF("19"=(INDEX(ALLCLASSDATA,MATCH("AdvancedTrained",CLASSFEATUREHEADERS,0),MATCH($A979,CLASSNAMEHEADERS,0))),(INDEX(ALLCLASSDATA,MATCH("AdvancedTrained",CLASSFEATUREHEADERS,0),MATCH(($A979 &amp; "Points"),CLASSNAMEHEADERS,0))),"")))))))))}</f>
        <v>ADVANCEDL19</v>
      </c>
      <c r="AA978" s="223"/>
      <c r="AB978" s="76" t="str">
        <f t="array" ref="AB978:AB979">{"ADVANCED TOTAL";(IF(COUNTBLANK(G979:AA979)=17,"L",(IF(COUNTBLANK(G979:AA979)=18,"M",(IF(COUNTBLANK(G979:AA979)=19,"E",(IF(COUNTBLANK(G979:AA979)=20,"T",""))))))))}</f>
        <v>ADVANCED TOTAL</v>
      </c>
      <c r="AC978" s="76" t="str">
        <f t="array" ref="AC978:AC979">{"ADVANCED TOTAL";(sum(G979:AA979))}</f>
        <v>ADVANCED TOTAL</v>
      </c>
    </row>
    <row r="979">
      <c r="A979" s="48" t="s">
        <v>185</v>
      </c>
      <c r="B979" s="48"/>
      <c r="C979" s="48" t="s">
        <v>412</v>
      </c>
      <c r="D979" s="97" t="s">
        <v>1634</v>
      </c>
      <c r="E979" s="97" t="s">
        <v>602</v>
      </c>
      <c r="F979" s="98" t="s">
        <v>603</v>
      </c>
      <c r="G979" s="132" t="s">
        <v>603</v>
      </c>
      <c r="H979" s="98" t="s">
        <v>603</v>
      </c>
      <c r="I979" s="98"/>
      <c r="J979" s="98" t="s">
        <v>603</v>
      </c>
      <c r="K979" s="98"/>
      <c r="L979" s="98" t="s">
        <v>603</v>
      </c>
      <c r="M979" s="98"/>
      <c r="N979" s="98" t="s">
        <v>603</v>
      </c>
      <c r="O979" s="98"/>
      <c r="P979" s="98" t="s">
        <v>603</v>
      </c>
      <c r="Q979" s="98"/>
      <c r="R979" s="98" t="s">
        <v>603</v>
      </c>
      <c r="S979" s="98"/>
      <c r="T979" s="98" t="s">
        <v>603</v>
      </c>
      <c r="U979" s="98"/>
      <c r="V979" s="98" t="s">
        <v>603</v>
      </c>
      <c r="W979" s="98"/>
      <c r="X979" s="98" t="s">
        <v>603</v>
      </c>
      <c r="Y979" s="98"/>
      <c r="Z979" s="98" t="s">
        <v>603</v>
      </c>
      <c r="AA979" s="98"/>
      <c r="AB979" s="5" t="s">
        <v>603</v>
      </c>
      <c r="AC979" s="47">
        <v>0.0</v>
      </c>
    </row>
    <row r="980" hidden="1">
      <c r="A980" s="222" t="str">
        <f t="array" ref="A980:A981">{"FormulaRow34";(INDEX(CLASSLIST,A913,1))}</f>
        <v>FormulaRow34</v>
      </c>
      <c r="B980" s="77" t="s">
        <v>236</v>
      </c>
      <c r="C980" s="222" t="str">
        <f t="array" ref="C980:C981">{"CLASSTYPE";((INDEX(ALLCLASSDATA,MATCH("ClassType",CLASSFEATUREHEADERS,0),MATCH($A981,CLASSNAMEHEADERS,0))))}</f>
        <v>CLASSTYPE</v>
      </c>
      <c r="D980" s="222" t="str">
        <f t="array" ref="D980:D981">{"DEFENSE";"Defense"}</f>
        <v>DEFENSE</v>
      </c>
      <c r="E980" s="222" t="str">
        <f t="array" ref="E980:E981">{"ARMORSPECIAL";"ArmorAS"}</f>
        <v>ARMORSPECIAL</v>
      </c>
      <c r="F980" s="223"/>
      <c r="G980" s="223"/>
      <c r="H980" s="223" t="str">
        <f t="array" ref="H980:H981">{"ARMORSPECIALL01";((IF("01"=INDEX(ALLCLASSDATA,MATCH("ArmorSpecialization",CLASSFEATUREHEADERS,0),MATCH($A981,CLASSNAMEHEADERS,0)),ArmorAS,"")))}</f>
        <v>ARMORSPECIALL01</v>
      </c>
      <c r="I980" s="223"/>
      <c r="J980" s="223" t="str">
        <f t="array" ref="J980:J981">{"ARMORSPECIALL03";((IF("03"=INDEX(ALLCLASSDATA,MATCH("ArmorSpecialization",CLASSFEATUREHEADERS,0),MATCH($A981,CLASSNAMEHEADERS,0)),ArmorAS,"")))}</f>
        <v>ARMORSPECIALL03</v>
      </c>
      <c r="K980" s="223"/>
      <c r="L980" s="223" t="str">
        <f t="array" ref="L980:L981">{"ARMORSPECIALL05";((IF("05"=INDEX(ALLCLASSDATA,MATCH("ArmorSpecialization",CLASSFEATUREHEADERS,0),MATCH($A981,CLASSNAMEHEADERS,0)),ArmorAS,"")))}</f>
        <v>ARMORSPECIALL05</v>
      </c>
      <c r="M980" s="223"/>
      <c r="N980" s="223" t="str">
        <f t="array" ref="N980:N981">{"ARMORSPECIALL07";((IF("07"=INDEX(ALLCLASSDATA,MATCH("ArmorSpecialization",CLASSFEATUREHEADERS,0),MATCH($A981,CLASSNAMEHEADERS,0)),ArmorAS,"")))}</f>
        <v>ARMORSPECIALL07</v>
      </c>
      <c r="O980" s="223"/>
      <c r="P980" s="223" t="str">
        <f t="array" ref="P980:P981">{"ARMORSPECIALL09";((IF("09"=INDEX(ALLCLASSDATA,MATCH("ArmorSpecialization",CLASSFEATUREHEADERS,0),MATCH($A981,CLASSNAMEHEADERS,0)),ArmorAS,"")))}</f>
        <v>ARMORSPECIALL09</v>
      </c>
      <c r="Q980" s="223"/>
      <c r="R980" s="223" t="str">
        <f t="array" ref="R980:R981">{"ARMORSPECIALL11";((IF("11"=INDEX(ALLCLASSDATA,MATCH("ArmorSpecialization",CLASSFEATUREHEADERS,0),MATCH($A981,CLASSNAMEHEADERS,0)),ArmorAS,"")))}</f>
        <v>ARMORSPECIALL11</v>
      </c>
      <c r="S980" s="223"/>
      <c r="T980" s="223" t="str">
        <f t="array" ref="T980:T981">{"ARMORSPECIALL13";((IF("13"=INDEX(ALLCLASSDATA,MATCH("ArmorSpecialization",CLASSFEATUREHEADERS,0),MATCH($A981,CLASSNAMEHEADERS,0)),ArmorAS,"")))}</f>
        <v>ARMORSPECIALL13</v>
      </c>
      <c r="U980" s="223"/>
      <c r="V980" s="223" t="str">
        <f t="array" ref="V980:V981">{"ARMORSPECIALL15";((IF("15"=INDEX(ALLCLASSDATA,MATCH("ArmorSpecialization",CLASSFEATUREHEADERS,0),MATCH($A981,CLASSNAMEHEADERS,0)),ArmorAS,"")))}</f>
        <v>ARMORSPECIALL15</v>
      </c>
      <c r="W980" s="223"/>
      <c r="X980" s="223" t="str">
        <f t="array" ref="X980:X981">{"ARMORSPECIALL17";((IF("17"=INDEX(ALLCLASSDATA,MATCH("ArmorSpecialization",CLASSFEATUREHEADERS,0),MATCH($A981,CLASSNAMEHEADERS,0)),ArmorAS,"")))}</f>
        <v>ARMORSPECIALL17</v>
      </c>
      <c r="Y980" s="223"/>
      <c r="Z980" s="223" t="str">
        <f t="array" ref="Z980:Z981">{"ARMORSPECIALL19";((IF("19"=INDEX(ALLCLASSDATA,MATCH("ArmorSpecialization",CLASSFEATUREHEADERS,0),MATCH($A981,CLASSNAMEHEADERS,0)),ArmorAS,"")))}</f>
        <v>ARMORSPECIALL19</v>
      </c>
      <c r="AA980" s="223"/>
      <c r="AB980" s="76"/>
      <c r="AC980" s="76" t="str">
        <f t="array" ref="AC980:AC981">{"ARMORSPECIAL TOTAL";(sum(G981:AA981))}</f>
        <v>ARMORSPECIAL TOTAL</v>
      </c>
    </row>
    <row r="981">
      <c r="A981" s="48" t="s">
        <v>185</v>
      </c>
      <c r="B981" s="48"/>
      <c r="C981" s="48" t="s">
        <v>412</v>
      </c>
      <c r="D981" s="48" t="s">
        <v>1900</v>
      </c>
      <c r="E981" s="48" t="s">
        <v>51</v>
      </c>
      <c r="F981" s="5"/>
      <c r="G981" s="47"/>
      <c r="H981" s="5" t="s">
        <v>603</v>
      </c>
      <c r="I981" s="5"/>
      <c r="J981" s="5" t="s">
        <v>603</v>
      </c>
      <c r="K981" s="5"/>
      <c r="L981" s="5" t="s">
        <v>603</v>
      </c>
      <c r="M981" s="5"/>
      <c r="N981" s="5" t="s">
        <v>603</v>
      </c>
      <c r="O981" s="5"/>
      <c r="P981" s="5" t="s">
        <v>603</v>
      </c>
      <c r="Q981" s="5"/>
      <c r="R981" s="5" t="s">
        <v>603</v>
      </c>
      <c r="S981" s="5"/>
      <c r="T981" s="5" t="s">
        <v>603</v>
      </c>
      <c r="U981" s="5"/>
      <c r="V981" s="5" t="s">
        <v>603</v>
      </c>
      <c r="W981" s="5"/>
      <c r="X981" s="5" t="s">
        <v>603</v>
      </c>
      <c r="Y981" s="5"/>
      <c r="Z981" s="5" t="s">
        <v>603</v>
      </c>
      <c r="AA981" s="5"/>
      <c r="AB981" s="5"/>
      <c r="AC981" s="47">
        <v>0.0</v>
      </c>
    </row>
    <row r="982" hidden="1">
      <c r="A982" s="222" t="str">
        <f t="array" ref="A982:A983">{"FormulaRow35";(INDEX(CLASSLIST,A913,1))}</f>
        <v>FormulaRow35</v>
      </c>
      <c r="B982" s="77" t="s">
        <v>236</v>
      </c>
      <c r="C982" s="222" t="str">
        <f t="array" ref="C982:C983">{"CLASSTYPE";((INDEX(ALLCLASSDATA,MATCH("ClassType",CLASSFEATUREHEADERS,0),MATCH($A983,CLASSNAMEHEADERS,0))))}</f>
        <v>CLASSTYPE</v>
      </c>
      <c r="D982" s="222" t="str">
        <f t="array" ref="D982:D983">{"DEFENSE";"Defense"}</f>
        <v>DEFENSE</v>
      </c>
      <c r="E982" s="222" t="str">
        <f t="array" ref="E982:E983">{"UNARMORED";"Unarmored"}</f>
        <v>UNARMORED</v>
      </c>
      <c r="F982" s="223" t="str">
        <f t="array" ref="F982:F983">{"UNARMOREDINITIAL";((IF(H983=10,"T",(IF(H983=50,"E","")))))}</f>
        <v>UNARMOREDINITIAL</v>
      </c>
      <c r="G982" s="223" t="str">
        <f t="array" ref="G982:G983">{"UNARMOREDINITIALPTS";((IF("00"=(INDEX(ALLCLASSDATA,MATCH("UnarmoredLegendary",CLASSFEATUREHEADERS,0),MATCH($A983,CLASSNAMEHEADERS,0))),(INDEX(ALLCLASSDATA,MATCH("UnarmoredLegendary",CLASSFEATUREHEADERS,0),MATCH(($A983 &amp; "Points"),CLASSNAMEHEADERS,0))),(IF("00"=(INDEX(ALLCLASSDATA,MATCH("UnarmoredMaster",CLASSFEATUREHEADERS,0),MATCH($A983,CLASSNAMEHEADERS,0))),(INDEX(ALLCLASSDATA,MATCH("UnarmoredMaster",CLASSFEATUREHEADERS,0),MATCH(($A983 &amp; "Points"),CLASSNAMEHEADERS,0))),(IF("00"=(INDEX(ALLCLASSDATA,MATCH("UnarmoredExpert",CLASSFEATUREHEADERS,0),MATCH($A983,CLASSNAMEHEADERS,0))),(INDEX(ALLCLASSDATA,MATCH("UnarmoredExpert",CLASSFEATUREHEADERS,0),MATCH(($A983 &amp; "Points"),CLASSNAMEHEADERS,0))),(IF("00"=(INDEX(ALLCLASSDATA,MATCH("UnarmoredTrained",CLASSFEATUREHEADERS,0),MATCH($A983,CLASSNAMEHEADERS,0))),(INDEX(ALLCLASSDATA,MATCH("UnarmoredTrained",CLASSFEATUREHEADERS,0),MATCH(($A983 &amp; "Points"),CLASSNAMEHEADERS,0))),"")))))))))}</f>
        <v>UNARMOREDINITIALPTS</v>
      </c>
      <c r="H982" s="223" t="str">
        <f t="array" ref="H982:H983">{"UNARMOREDL01";((IF("01"=(INDEX(ALLCLASSDATA,MATCH("UnarmoredLegendary",CLASSFEATUREHEADERS,0),MATCH($A983,CLASSNAMEHEADERS,0))),(INDEX(ALLCLASSDATA,MATCH("UnarmoredLegendary",CLASSFEATUREHEADERS,0),MATCH(($A983 &amp; "Points"),CLASSNAMEHEADERS,0))),(IF("01"=(INDEX(ALLCLASSDATA,MATCH("UnarmoredMaster",CLASSFEATUREHEADERS,0),MATCH($A983,CLASSNAMEHEADERS,0))),(INDEX(ALLCLASSDATA,MATCH("UnarmoredMaster",CLASSFEATUREHEADERS,0),MATCH(($A983 &amp; "Points"),CLASSNAMEHEADERS,0))),(IF("01"=(INDEX(ALLCLASSDATA,MATCH("UnarmoredExpert",CLASSFEATUREHEADERS,0),MATCH($A983,CLASSNAMEHEADERS,0))),(INDEX(ALLCLASSDATA,MATCH("UnarmoredExpert",CLASSFEATUREHEADERS,0),MATCH(($A983 &amp; "Points"),CLASSNAMEHEADERS,0))),(IF("01"=(INDEX(ALLCLASSDATA,MATCH("UnarmoredTrained",CLASSFEATUREHEADERS,0),MATCH($A983,CLASSNAMEHEADERS,0))),(INDEX(ALLCLASSDATA,MATCH("UnarmoredTrained",CLASSFEATUREHEADERS,0),MATCH(($A983 &amp; "Points"),CLASSNAMEHEADERS,0))),"")))))))))}</f>
        <v>UNARMOREDL01</v>
      </c>
      <c r="I982" s="223"/>
      <c r="J982" s="223" t="str">
        <f t="array" ref="J982:J983">{"UNARMOREDL03";((IF("03"=(INDEX(ALLCLASSDATA,MATCH("UnarmoredLegendary",CLASSFEATUREHEADERS,0),MATCH($A983,CLASSNAMEHEADERS,0))),(INDEX(ALLCLASSDATA,MATCH("UnarmoredLegendary",CLASSFEATUREHEADERS,0),MATCH(($A983 &amp; "Points"),CLASSNAMEHEADERS,0))),(IF("03"=(INDEX(ALLCLASSDATA,MATCH("UnarmoredMaster",CLASSFEATUREHEADERS,0),MATCH($A983,CLASSNAMEHEADERS,0))),(INDEX(ALLCLASSDATA,MATCH("UnarmoredMaster",CLASSFEATUREHEADERS,0),MATCH(($A983 &amp; "Points"),CLASSNAMEHEADERS,0))),(IF("03"=(INDEX(ALLCLASSDATA,MATCH("UnarmoredExpert",CLASSFEATUREHEADERS,0),MATCH($A983,CLASSNAMEHEADERS,0))),(INDEX(ALLCLASSDATA,MATCH("UnarmoredExpert",CLASSFEATUREHEADERS,0),MATCH(($A983 &amp; "Points"),CLASSNAMEHEADERS,0))),(IF("03"=(INDEX(ALLCLASSDATA,MATCH("UnarmoredTrained",CLASSFEATUREHEADERS,0),MATCH($A983,CLASSNAMEHEADERS,0))),(INDEX(ALLCLASSDATA,MATCH("UnarmoredTrained",CLASSFEATUREHEADERS,0),MATCH(($A983 &amp; "Points"),CLASSNAMEHEADERS,0))),"")))))))))}</f>
        <v>UNARMOREDL03</v>
      </c>
      <c r="K982" s="223"/>
      <c r="L982" s="223" t="str">
        <f t="array" ref="L982:L983">{"UNARMOREDL05";((IF("05"=(INDEX(ALLCLASSDATA,MATCH("UnarmoredLegendary",CLASSFEATUREHEADERS,0),MATCH($A983,CLASSNAMEHEADERS,0))),(INDEX(ALLCLASSDATA,MATCH("UnarmoredLegendary",CLASSFEATUREHEADERS,0),MATCH(($A983 &amp; "Points"),CLASSNAMEHEADERS,0))),(IF("05"=(INDEX(ALLCLASSDATA,MATCH("UnarmoredMaster",CLASSFEATUREHEADERS,0),MATCH($A983,CLASSNAMEHEADERS,0))),(INDEX(ALLCLASSDATA,MATCH("UnarmoredMaster",CLASSFEATUREHEADERS,0),MATCH(($A983 &amp; "Points"),CLASSNAMEHEADERS,0))),(IF("05"=(INDEX(ALLCLASSDATA,MATCH("UnarmoredExpert",CLASSFEATUREHEADERS,0),MATCH($A983,CLASSNAMEHEADERS,0))),(INDEX(ALLCLASSDATA,MATCH("UnarmoredExpert",CLASSFEATUREHEADERS,0),MATCH(($A983 &amp; "Points"),CLASSNAMEHEADERS,0))),(IF("05"=(INDEX(ALLCLASSDATA,MATCH("UnarmoredTrained",CLASSFEATUREHEADERS,0),MATCH($A983,CLASSNAMEHEADERS,0))),(INDEX(ALLCLASSDATA,MATCH("UnarmoredTrained",CLASSFEATUREHEADERS,0),MATCH(($A983 &amp; "Points"),CLASSNAMEHEADERS,0))),"")))))))))}</f>
        <v>UNARMOREDL05</v>
      </c>
      <c r="M982" s="223"/>
      <c r="N982" s="223" t="str">
        <f t="array" ref="N982:N983">{"UNARMOREDL07";((IF("07"=(INDEX(ALLCLASSDATA,MATCH("UnarmoredLegendary",CLASSFEATUREHEADERS,0),MATCH($A983,CLASSNAMEHEADERS,0))),(INDEX(ALLCLASSDATA,MATCH("UnarmoredLegendary",CLASSFEATUREHEADERS,0),MATCH(($A983 &amp; "Points"),CLASSNAMEHEADERS,0))),(IF("07"=(INDEX(ALLCLASSDATA,MATCH("UnarmoredMaster",CLASSFEATUREHEADERS,0),MATCH($A983,CLASSNAMEHEADERS,0))),(INDEX(ALLCLASSDATA,MATCH("UnarmoredMaster",CLASSFEATUREHEADERS,0),MATCH(($A983 &amp; "Points"),CLASSNAMEHEADERS,0))),(IF("07"=(INDEX(ALLCLASSDATA,MATCH("UnarmoredExpert",CLASSFEATUREHEADERS,0),MATCH($A983,CLASSNAMEHEADERS,0))),(INDEX(ALLCLASSDATA,MATCH("UnarmoredExpert",CLASSFEATUREHEADERS,0),MATCH(($A983 &amp; "Points"),CLASSNAMEHEADERS,0))),(IF("07"=(INDEX(ALLCLASSDATA,MATCH("UnarmoredTrained",CLASSFEATUREHEADERS,0),MATCH($A983,CLASSNAMEHEADERS,0))),(INDEX(ALLCLASSDATA,MATCH("UnarmoredTrained",CLASSFEATUREHEADERS,0),MATCH(($A983 &amp; "Points"),CLASSNAMEHEADERS,0))),"")))))))))}</f>
        <v>UNARMOREDL07</v>
      </c>
      <c r="O982" s="223"/>
      <c r="P982" s="223" t="str">
        <f t="array" ref="P982:P983">{"UNARMOREDL09";((IF("09"=(INDEX(ALLCLASSDATA,MATCH("UnarmoredLegendary",CLASSFEATUREHEADERS,0),MATCH($A983,CLASSNAMEHEADERS,0))),(INDEX(ALLCLASSDATA,MATCH("UnarmoredLegendary",CLASSFEATUREHEADERS,0),MATCH(($A983 &amp; "Points"),CLASSNAMEHEADERS,0))),(IF("09"=(INDEX(ALLCLASSDATA,MATCH("UnarmoredMaster",CLASSFEATUREHEADERS,0),MATCH($A983,CLASSNAMEHEADERS,0))),(INDEX(ALLCLASSDATA,MATCH("UnarmoredMaster",CLASSFEATUREHEADERS,0),MATCH(($A983 &amp; "Points"),CLASSNAMEHEADERS,0))),(IF("09"=(INDEX(ALLCLASSDATA,MATCH("UnarmoredExpert",CLASSFEATUREHEADERS,0),MATCH($A983,CLASSNAMEHEADERS,0))),(INDEX(ALLCLASSDATA,MATCH("UnarmoredExpert",CLASSFEATUREHEADERS,0),MATCH(($A983 &amp; "Points"),CLASSNAMEHEADERS,0))),(IF("09"=(INDEX(ALLCLASSDATA,MATCH("UnarmoredTrained",CLASSFEATUREHEADERS,0),MATCH($A983,CLASSNAMEHEADERS,0))),(INDEX(ALLCLASSDATA,MATCH("UnarmoredTrained",CLASSFEATUREHEADERS,0),MATCH(($A983 &amp; "Points"),CLASSNAMEHEADERS,0))),"")))))))))}</f>
        <v>UNARMOREDL09</v>
      </c>
      <c r="Q982" s="223"/>
      <c r="R982" s="223" t="str">
        <f t="array" ref="R982:R983">{"UNARMOREDL11";((IF("11"=(INDEX(ALLCLASSDATA,MATCH("UnarmoredLegendary",CLASSFEATUREHEADERS,0),MATCH($A983,CLASSNAMEHEADERS,0))),(INDEX(ALLCLASSDATA,MATCH("UnarmoredLegendary",CLASSFEATUREHEADERS,0),MATCH(($A983 &amp; "Points"),CLASSNAMEHEADERS,0))),(IF("11"=(INDEX(ALLCLASSDATA,MATCH("UnarmoredMaster",CLASSFEATUREHEADERS,0),MATCH($A983,CLASSNAMEHEADERS,0))),(INDEX(ALLCLASSDATA,MATCH("UnarmoredMaster",CLASSFEATUREHEADERS,0),MATCH(($A983 &amp; "Points"),CLASSNAMEHEADERS,0))),(IF("11"=(INDEX(ALLCLASSDATA,MATCH("UnarmoredExpert",CLASSFEATUREHEADERS,0),MATCH($A983,CLASSNAMEHEADERS,0))),(INDEX(ALLCLASSDATA,MATCH("UnarmoredExpert",CLASSFEATUREHEADERS,0),MATCH(($A983 &amp; "Points"),CLASSNAMEHEADERS,0))),(IF("11"=(INDEX(ALLCLASSDATA,MATCH("UnarmoredTrained",CLASSFEATUREHEADERS,0),MATCH($A983,CLASSNAMEHEADERS,0))),(INDEX(ALLCLASSDATA,MATCH("UnarmoredTrained",CLASSFEATUREHEADERS,0),MATCH(($A983 &amp; "Points"),CLASSNAMEHEADERS,0))),"")))))))))}</f>
        <v>UNARMOREDL11</v>
      </c>
      <c r="S982" s="223"/>
      <c r="T982" s="223" t="str">
        <f t="array" ref="T982:T983">{"UNARMOREDL13";((IF("13"=(INDEX(ALLCLASSDATA,MATCH("UnarmoredLegendary",CLASSFEATUREHEADERS,0),MATCH($A983,CLASSNAMEHEADERS,0))),(INDEX(ALLCLASSDATA,MATCH("UnarmoredLegendary",CLASSFEATUREHEADERS,0),MATCH(($A983 &amp; "Points"),CLASSNAMEHEADERS,0))),(IF("13"=(INDEX(ALLCLASSDATA,MATCH("UnarmoredMaster",CLASSFEATUREHEADERS,0),MATCH($A983,CLASSNAMEHEADERS,0))),(INDEX(ALLCLASSDATA,MATCH("UnarmoredMaster",CLASSFEATUREHEADERS,0),MATCH(($A983 &amp; "Points"),CLASSNAMEHEADERS,0))),(IF("13"=(INDEX(ALLCLASSDATA,MATCH("UnarmoredExpert",CLASSFEATUREHEADERS,0),MATCH($A983,CLASSNAMEHEADERS,0))),(INDEX(ALLCLASSDATA,MATCH("UnarmoredExpert",CLASSFEATUREHEADERS,0),MATCH(($A983 &amp; "Points"),CLASSNAMEHEADERS,0))),(IF("13"=(INDEX(ALLCLASSDATA,MATCH("UnarmoredTrained",CLASSFEATUREHEADERS,0),MATCH($A983,CLASSNAMEHEADERS,0))),(INDEX(ALLCLASSDATA,MATCH("UnarmoredTrained",CLASSFEATUREHEADERS,0),MATCH(($A983 &amp; "Points"),CLASSNAMEHEADERS,0))),"")))))))))}</f>
        <v>UNARMOREDL13</v>
      </c>
      <c r="U982" s="223"/>
      <c r="V982" s="223" t="str">
        <f t="array" ref="V982:V983">{"UNARMOREDL15";((IF("15"=(INDEX(ALLCLASSDATA,MATCH("UnarmoredLegendary",CLASSFEATUREHEADERS,0),MATCH($A983,CLASSNAMEHEADERS,0))),(INDEX(ALLCLASSDATA,MATCH("UnarmoredLegendary",CLASSFEATUREHEADERS,0),MATCH(($A983 &amp; "Points"),CLASSNAMEHEADERS,0))),(IF("15"=(INDEX(ALLCLASSDATA,MATCH("UnarmoredMaster",CLASSFEATUREHEADERS,0),MATCH($A983,CLASSNAMEHEADERS,0))),(INDEX(ALLCLASSDATA,MATCH("UnarmoredMaster",CLASSFEATUREHEADERS,0),MATCH(($A983 &amp; "Points"),CLASSNAMEHEADERS,0))),(IF("15"=(INDEX(ALLCLASSDATA,MATCH("UnarmoredExpert",CLASSFEATUREHEADERS,0),MATCH($A983,CLASSNAMEHEADERS,0))),(INDEX(ALLCLASSDATA,MATCH("UnarmoredExpert",CLASSFEATUREHEADERS,0),MATCH(($A983 &amp; "Points"),CLASSNAMEHEADERS,0))),(IF("15"=(INDEX(ALLCLASSDATA,MATCH("UnarmoredTrained",CLASSFEATUREHEADERS,0),MATCH($A983,CLASSNAMEHEADERS,0))),(INDEX(ALLCLASSDATA,MATCH("UnarmoredTrained",CLASSFEATUREHEADERS,0),MATCH(($A983 &amp; "Points"),CLASSNAMEHEADERS,0))),"")))))))))}</f>
        <v>UNARMOREDL15</v>
      </c>
      <c r="W982" s="223"/>
      <c r="X982" s="223" t="str">
        <f t="array" ref="X982:X983">{"UNARMOREDL17";((IF("17"=(INDEX(ALLCLASSDATA,MATCH("UnarmoredLegendary",CLASSFEATUREHEADERS,0),MATCH($A983,CLASSNAMEHEADERS,0))),(INDEX(ALLCLASSDATA,MATCH("UnarmoredLegendary",CLASSFEATUREHEADERS,0),MATCH(($A983 &amp; "Points"),CLASSNAMEHEADERS,0))),(IF("17"=(INDEX(ALLCLASSDATA,MATCH("UnarmoredMaster",CLASSFEATUREHEADERS,0),MATCH($A983,CLASSNAMEHEADERS,0))),(INDEX(ALLCLASSDATA,MATCH("UnarmoredMaster",CLASSFEATUREHEADERS,0),MATCH(($A983 &amp; "Points"),CLASSNAMEHEADERS,0))),(IF("17"=(INDEX(ALLCLASSDATA,MATCH("UnarmoredExpert",CLASSFEATUREHEADERS,0),MATCH($A983,CLASSNAMEHEADERS,0))),(INDEX(ALLCLASSDATA,MATCH("UnarmoredExpert",CLASSFEATUREHEADERS,0),MATCH(($A983 &amp; "Points"),CLASSNAMEHEADERS,0))),(IF("17"=(INDEX(ALLCLASSDATA,MATCH("UnarmoredTrained",CLASSFEATUREHEADERS,0),MATCH($A983,CLASSNAMEHEADERS,0))),(INDEX(ALLCLASSDATA,MATCH("UnarmoredTrained",CLASSFEATUREHEADERS,0),MATCH(($A983 &amp; "Points"),CLASSNAMEHEADERS,0))),"")))))))))}</f>
        <v>UNARMOREDL17</v>
      </c>
      <c r="Y982" s="223"/>
      <c r="Z982" s="223" t="str">
        <f t="array" ref="Z982:Z983">{"UNARMOREDL19";((IF("19"=(INDEX(ALLCLASSDATA,MATCH("UnarmoredLegendary",CLASSFEATUREHEADERS,0),MATCH($A983,CLASSNAMEHEADERS,0))),(INDEX(ALLCLASSDATA,MATCH("UnarmoredLegendary",CLASSFEATUREHEADERS,0),MATCH(($A983 &amp; "Points"),CLASSNAMEHEADERS,0))),(IF("19"=(INDEX(ALLCLASSDATA,MATCH("UnarmoredMaster",CLASSFEATUREHEADERS,0),MATCH($A983,CLASSNAMEHEADERS,0))),(INDEX(ALLCLASSDATA,MATCH("UnarmoredMaster",CLASSFEATUREHEADERS,0),MATCH(($A983 &amp; "Points"),CLASSNAMEHEADERS,0))),(IF("19"=(INDEX(ALLCLASSDATA,MATCH("UnarmoredExpert",CLASSFEATUREHEADERS,0),MATCH($A983,CLASSNAMEHEADERS,0))),(INDEX(ALLCLASSDATA,MATCH("UnarmoredExpert",CLASSFEATUREHEADERS,0),MATCH(($A983 &amp; "Points"),CLASSNAMEHEADERS,0))),(IF("19"=(INDEX(ALLCLASSDATA,MATCH("UnarmoredTrained",CLASSFEATUREHEADERS,0),MATCH($A983,CLASSNAMEHEADERS,0))),(INDEX(ALLCLASSDATA,MATCH("UnarmoredTrained",CLASSFEATUREHEADERS,0),MATCH(($A983 &amp; "Points"),CLASSNAMEHEADERS,0))),"")))))))))}</f>
        <v>UNARMOREDL19</v>
      </c>
      <c r="AA982" s="223"/>
      <c r="AB982" s="76" t="str">
        <f t="array" ref="AB982:AB983">{"UNARMORED TOTAL";(IF(COUNTBLANK(G983:AA983)=17,"L",(IF(COUNTBLANK(G983:AA983)=18,"M",(IF(COUNTBLANK(G983:AA983)=19,"E",(IF(COUNTBLANK(G983:AA983)=20,"T",""))))))))}</f>
        <v>UNARMORED TOTAL</v>
      </c>
      <c r="AC982" s="76" t="str">
        <f t="array" ref="AC982:AC983">{"UNARMORED TOTAL";(sum(G983:AA983))}</f>
        <v>UNARMORED TOTAL</v>
      </c>
    </row>
    <row r="983">
      <c r="A983" s="48" t="s">
        <v>185</v>
      </c>
      <c r="B983" s="48"/>
      <c r="C983" s="48" t="s">
        <v>412</v>
      </c>
      <c r="D983" s="48" t="s">
        <v>1900</v>
      </c>
      <c r="E983" s="48" t="s">
        <v>78</v>
      </c>
      <c r="F983" s="5" t="s">
        <v>435</v>
      </c>
      <c r="G983" s="47" t="s">
        <v>603</v>
      </c>
      <c r="H983" s="5">
        <v>10.0</v>
      </c>
      <c r="I983" s="5"/>
      <c r="J983" s="5" t="s">
        <v>603</v>
      </c>
      <c r="K983" s="5"/>
      <c r="L983" s="5" t="s">
        <v>603</v>
      </c>
      <c r="M983" s="5"/>
      <c r="N983" s="5" t="s">
        <v>603</v>
      </c>
      <c r="O983" s="5"/>
      <c r="P983" s="5" t="s">
        <v>603</v>
      </c>
      <c r="Q983" s="5"/>
      <c r="R983" s="5" t="s">
        <v>436</v>
      </c>
      <c r="S983" s="5"/>
      <c r="T983" s="5" t="s">
        <v>603</v>
      </c>
      <c r="U983" s="5"/>
      <c r="V983" s="5" t="s">
        <v>603</v>
      </c>
      <c r="W983" s="5"/>
      <c r="X983" s="5" t="s">
        <v>603</v>
      </c>
      <c r="Y983" s="5"/>
      <c r="Z983" s="5" t="s">
        <v>437</v>
      </c>
      <c r="AA983" s="5"/>
      <c r="AB983" s="5" t="s">
        <v>437</v>
      </c>
      <c r="AC983" s="47">
        <v>10.0</v>
      </c>
    </row>
    <row r="984" hidden="1">
      <c r="A984" s="222" t="str">
        <f t="array" ref="A984:A985">{"FormulaRow36";(INDEX(CLASSLIST,A913,1))}</f>
        <v>FormulaRow36</v>
      </c>
      <c r="B984" s="77" t="s">
        <v>236</v>
      </c>
      <c r="C984" s="222" t="str">
        <f t="array" ref="C984:C985">{"CLASSTYPE";((INDEX(ALLCLASSDATA,MATCH("ClassType",CLASSFEATUREHEADERS,0),MATCH($A985,CLASSNAMEHEADERS,0))))}</f>
        <v>CLASSTYPE</v>
      </c>
      <c r="D984" s="222" t="str">
        <f t="array" ref="D984:D985">{"DEFENSE";"Defense"}</f>
        <v>DEFENSE</v>
      </c>
      <c r="E984" s="222" t="str">
        <f t="array" ref="E984:E985">{"LIGHT";"Light"}</f>
        <v>LIGHT</v>
      </c>
      <c r="F984" s="223" t="str">
        <f t="array" ref="F984:F985">{"LIGHTINITIAL";((IF(H985=10,"T",(IF(H985=50,"E","")))))}</f>
        <v>LIGHTINITIAL</v>
      </c>
      <c r="G984" s="223" t="str">
        <f t="array" ref="G984:G985">{"LIGHTINITIALPTS";((IF("00"=(INDEX(ALLCLASSDATA,MATCH("LightLegendary",CLASSFEATUREHEADERS,0),MATCH($A985,CLASSNAMEHEADERS,0))),(INDEX(ALLCLASSDATA,MATCH("LightLegendary",CLASSFEATUREHEADERS,0),MATCH(($A985 &amp; "Points"),CLASSNAMEHEADERS,0))),(IF("00"=(INDEX(ALLCLASSDATA,MATCH("LightMaster",CLASSFEATUREHEADERS,0),MATCH($A985,CLASSNAMEHEADERS,0))),(INDEX(ALLCLASSDATA,MATCH("LightMaster",CLASSFEATUREHEADERS,0),MATCH(($A985 &amp; "Points"),CLASSNAMEHEADERS,0))),(IF("00"=(INDEX(ALLCLASSDATA,MATCH("LightExpert",CLASSFEATUREHEADERS,0),MATCH($A985,CLASSNAMEHEADERS,0))),(INDEX(ALLCLASSDATA,MATCH("LightExpert",CLASSFEATUREHEADERS,0),MATCH(($A985 &amp; "Points"),CLASSNAMEHEADERS,0))),(IF("00"=(INDEX(ALLCLASSDATA,MATCH("LightTrained",CLASSFEATUREHEADERS,0),MATCH($A985,CLASSNAMEHEADERS,0))),(INDEX(ALLCLASSDATA,MATCH("LightTrained",CLASSFEATUREHEADERS,0),MATCH(($A985 &amp; "Points"),CLASSNAMEHEADERS,0))),"")))))))))}</f>
        <v>LIGHTINITIALPTS</v>
      </c>
      <c r="H984" s="223" t="str">
        <f t="array" ref="H984:H985">{"LIGHTL01";((IF("01"=(INDEX(ALLCLASSDATA,MATCH("LightLegendary",CLASSFEATUREHEADERS,0),MATCH($A985,CLASSNAMEHEADERS,0))),(INDEX(ALLCLASSDATA,MATCH("LightLegendary",CLASSFEATUREHEADERS,0),MATCH(($A985 &amp; "Points"),CLASSNAMEHEADERS,0))),(IF("01"=(INDEX(ALLCLASSDATA,MATCH("LightMaster",CLASSFEATUREHEADERS,0),MATCH($A985,CLASSNAMEHEADERS,0))),(INDEX(ALLCLASSDATA,MATCH("LightMaster",CLASSFEATUREHEADERS,0),MATCH(($A985 &amp; "Points"),CLASSNAMEHEADERS,0))),(IF("01"=(INDEX(ALLCLASSDATA,MATCH("LightExpert",CLASSFEATUREHEADERS,0),MATCH($A985,CLASSNAMEHEADERS,0))),(INDEX(ALLCLASSDATA,MATCH("LightExpert",CLASSFEATUREHEADERS,0),MATCH(($A985 &amp; "Points"),CLASSNAMEHEADERS,0))),(IF("01"=(INDEX(ALLCLASSDATA,MATCH("LightTrained",CLASSFEATUREHEADERS,0),MATCH($A985,CLASSNAMEHEADERS,0))),(INDEX(ALLCLASSDATA,MATCH("LightTrained",CLASSFEATUREHEADERS,0),MATCH(($A985 &amp; "Points"),CLASSNAMEHEADERS,0))),"")))))))))}</f>
        <v>LIGHTL01</v>
      </c>
      <c r="I984" s="223"/>
      <c r="J984" s="223" t="str">
        <f t="array" ref="J984:J985">{"LIGHTL03";((IF("03"=(INDEX(ALLCLASSDATA,MATCH("LightLegendary",CLASSFEATUREHEADERS,0),MATCH($A985,CLASSNAMEHEADERS,0))),(INDEX(ALLCLASSDATA,MATCH("LightLegendary",CLASSFEATUREHEADERS,0),MATCH(($A985 &amp; "Points"),CLASSNAMEHEADERS,0))),(IF("03"=(INDEX(ALLCLASSDATA,MATCH("LightMaster",CLASSFEATUREHEADERS,0),MATCH($A985,CLASSNAMEHEADERS,0))),(INDEX(ALLCLASSDATA,MATCH("LightMaster",CLASSFEATUREHEADERS,0),MATCH(($A985 &amp; "Points"),CLASSNAMEHEADERS,0))),(IF("03"=(INDEX(ALLCLASSDATA,MATCH("LightExpert",CLASSFEATUREHEADERS,0),MATCH($A985,CLASSNAMEHEADERS,0))),(INDEX(ALLCLASSDATA,MATCH("LightExpert",CLASSFEATUREHEADERS,0),MATCH(($A985 &amp; "Points"),CLASSNAMEHEADERS,0))),(IF("03"=(INDEX(ALLCLASSDATA,MATCH("LightTrained",CLASSFEATUREHEADERS,0),MATCH($A985,CLASSNAMEHEADERS,0))),(INDEX(ALLCLASSDATA,MATCH("LightTrained",CLASSFEATUREHEADERS,0),MATCH(($A985 &amp; "Points"),CLASSNAMEHEADERS,0))),"")))))))))}</f>
        <v>LIGHTL03</v>
      </c>
      <c r="K984" s="223"/>
      <c r="L984" s="223" t="str">
        <f t="array" ref="L984:L985">{"LIGHTL05";((IF("05"=(INDEX(ALLCLASSDATA,MATCH("LightLegendary",CLASSFEATUREHEADERS,0),MATCH($A985,CLASSNAMEHEADERS,0))),(INDEX(ALLCLASSDATA,MATCH("LightLegendary",CLASSFEATUREHEADERS,0),MATCH(($A985 &amp; "Points"),CLASSNAMEHEADERS,0))),(IF("05"=(INDEX(ALLCLASSDATA,MATCH("LightMaster",CLASSFEATUREHEADERS,0),MATCH($A985,CLASSNAMEHEADERS,0))),(INDEX(ALLCLASSDATA,MATCH("LightMaster",CLASSFEATUREHEADERS,0),MATCH(($A985 &amp; "Points"),CLASSNAMEHEADERS,0))),(IF("05"=(INDEX(ALLCLASSDATA,MATCH("LightExpert",CLASSFEATUREHEADERS,0),MATCH($A985,CLASSNAMEHEADERS,0))),(INDEX(ALLCLASSDATA,MATCH("LightExpert",CLASSFEATUREHEADERS,0),MATCH(($A985 &amp; "Points"),CLASSNAMEHEADERS,0))),(IF("05"=(INDEX(ALLCLASSDATA,MATCH("LightTrained",CLASSFEATUREHEADERS,0),MATCH($A985,CLASSNAMEHEADERS,0))),(INDEX(ALLCLASSDATA,MATCH("LightTrained",CLASSFEATUREHEADERS,0),MATCH(($A985 &amp; "Points"),CLASSNAMEHEADERS,0))),"")))))))))}</f>
        <v>LIGHTL05</v>
      </c>
      <c r="M984" s="223"/>
      <c r="N984" s="223" t="str">
        <f t="array" ref="N984:N985">{"LIGHTL07";((IF("07"=(INDEX(ALLCLASSDATA,MATCH("LightLegendary",CLASSFEATUREHEADERS,0),MATCH($A985,CLASSNAMEHEADERS,0))),(INDEX(ALLCLASSDATA,MATCH("LightLegendary",CLASSFEATUREHEADERS,0),MATCH(($A985 &amp; "Points"),CLASSNAMEHEADERS,0))),(IF("07"=(INDEX(ALLCLASSDATA,MATCH("LightMaster",CLASSFEATUREHEADERS,0),MATCH($A985,CLASSNAMEHEADERS,0))),(INDEX(ALLCLASSDATA,MATCH("LightMaster",CLASSFEATUREHEADERS,0),MATCH(($A985 &amp; "Points"),CLASSNAMEHEADERS,0))),(IF("07"=(INDEX(ALLCLASSDATA,MATCH("LightExpert",CLASSFEATUREHEADERS,0),MATCH($A985,CLASSNAMEHEADERS,0))),(INDEX(ALLCLASSDATA,MATCH("LightExpert",CLASSFEATUREHEADERS,0),MATCH(($A985 &amp; "Points"),CLASSNAMEHEADERS,0))),(IF("07"=(INDEX(ALLCLASSDATA,MATCH("LightTrained",CLASSFEATUREHEADERS,0),MATCH($A985,CLASSNAMEHEADERS,0))),(INDEX(ALLCLASSDATA,MATCH("LightTrained",CLASSFEATUREHEADERS,0),MATCH(($A985 &amp; "Points"),CLASSNAMEHEADERS,0))),"")))))))))}</f>
        <v>LIGHTL07</v>
      </c>
      <c r="O984" s="223"/>
      <c r="P984" s="223" t="str">
        <f t="array" ref="P984:P985">{"LIGHTL09";((IF("09"=(INDEX(ALLCLASSDATA,MATCH("LightLegendary",CLASSFEATUREHEADERS,0),MATCH($A985,CLASSNAMEHEADERS,0))),(INDEX(ALLCLASSDATA,MATCH("LightLegendary",CLASSFEATUREHEADERS,0),MATCH(($A985 &amp; "Points"),CLASSNAMEHEADERS,0))),(IF("09"=(INDEX(ALLCLASSDATA,MATCH("LightMaster",CLASSFEATUREHEADERS,0),MATCH($A985,CLASSNAMEHEADERS,0))),(INDEX(ALLCLASSDATA,MATCH("LightMaster",CLASSFEATUREHEADERS,0),MATCH(($A985 &amp; "Points"),CLASSNAMEHEADERS,0))),(IF("09"=(INDEX(ALLCLASSDATA,MATCH("LightExpert",CLASSFEATUREHEADERS,0),MATCH($A985,CLASSNAMEHEADERS,0))),(INDEX(ALLCLASSDATA,MATCH("LightExpert",CLASSFEATUREHEADERS,0),MATCH(($A985 &amp; "Points"),CLASSNAMEHEADERS,0))),(IF("09"=(INDEX(ALLCLASSDATA,MATCH("LightTrained",CLASSFEATUREHEADERS,0),MATCH($A985,CLASSNAMEHEADERS,0))),(INDEX(ALLCLASSDATA,MATCH("LightTrained",CLASSFEATUREHEADERS,0),MATCH(($A985 &amp; "Points"),CLASSNAMEHEADERS,0))),"")))))))))}</f>
        <v>LIGHTL09</v>
      </c>
      <c r="Q984" s="223"/>
      <c r="R984" s="223" t="str">
        <f t="array" ref="R984:R985">{"LIGHTL11";((IF("11"=(INDEX(ALLCLASSDATA,MATCH("LightLegendary",CLASSFEATUREHEADERS,0),MATCH($A985,CLASSNAMEHEADERS,0))),(INDEX(ALLCLASSDATA,MATCH("LightLegendary",CLASSFEATUREHEADERS,0),MATCH(($A985 &amp; "Points"),CLASSNAMEHEADERS,0))),(IF("11"=(INDEX(ALLCLASSDATA,MATCH("LightMaster",CLASSFEATUREHEADERS,0),MATCH($A985,CLASSNAMEHEADERS,0))),(INDEX(ALLCLASSDATA,MATCH("LightMaster",CLASSFEATUREHEADERS,0),MATCH(($A985 &amp; "Points"),CLASSNAMEHEADERS,0))),(IF("11"=(INDEX(ALLCLASSDATA,MATCH("LightExpert",CLASSFEATUREHEADERS,0),MATCH($A985,CLASSNAMEHEADERS,0))),(INDEX(ALLCLASSDATA,MATCH("LightExpert",CLASSFEATUREHEADERS,0),MATCH(($A985 &amp; "Points"),CLASSNAMEHEADERS,0))),(IF("11"=(INDEX(ALLCLASSDATA,MATCH("LightTrained",CLASSFEATUREHEADERS,0),MATCH($A985,CLASSNAMEHEADERS,0))),(INDEX(ALLCLASSDATA,MATCH("LightTrained",CLASSFEATUREHEADERS,0),MATCH(($A985 &amp; "Points"),CLASSNAMEHEADERS,0))),"")))))))))}</f>
        <v>LIGHTL11</v>
      </c>
      <c r="S984" s="223"/>
      <c r="T984" s="223" t="str">
        <f t="array" ref="T984:T985">{"LIGHTL13";((IF("13"=(INDEX(ALLCLASSDATA,MATCH("LightLegendary",CLASSFEATUREHEADERS,0),MATCH($A985,CLASSNAMEHEADERS,0))),(INDEX(ALLCLASSDATA,MATCH("LightLegendary",CLASSFEATUREHEADERS,0),MATCH(($A985 &amp; "Points"),CLASSNAMEHEADERS,0))),(IF("13"=(INDEX(ALLCLASSDATA,MATCH("LightMaster",CLASSFEATUREHEADERS,0),MATCH($A985,CLASSNAMEHEADERS,0))),(INDEX(ALLCLASSDATA,MATCH("LightMaster",CLASSFEATUREHEADERS,0),MATCH(($A985 &amp; "Points"),CLASSNAMEHEADERS,0))),(IF("13"=(INDEX(ALLCLASSDATA,MATCH("LightExpert",CLASSFEATUREHEADERS,0),MATCH($A985,CLASSNAMEHEADERS,0))),(INDEX(ALLCLASSDATA,MATCH("LightExpert",CLASSFEATUREHEADERS,0),MATCH(($A985 &amp; "Points"),CLASSNAMEHEADERS,0))),(IF("13"=(INDEX(ALLCLASSDATA,MATCH("LightTrained",CLASSFEATUREHEADERS,0),MATCH($A985,CLASSNAMEHEADERS,0))),(INDEX(ALLCLASSDATA,MATCH("LightTrained",CLASSFEATUREHEADERS,0),MATCH(($A985 &amp; "Points"),CLASSNAMEHEADERS,0))),"")))))))))}</f>
        <v>LIGHTL13</v>
      </c>
      <c r="U984" s="223"/>
      <c r="V984" s="223" t="str">
        <f t="array" ref="V984:V985">{"LIGHTL15";((IF("15"=(INDEX(ALLCLASSDATA,MATCH("LightLegendary",CLASSFEATUREHEADERS,0),MATCH($A985,CLASSNAMEHEADERS,0))),(INDEX(ALLCLASSDATA,MATCH("LightLegendary",CLASSFEATUREHEADERS,0),MATCH(($A985 &amp; "Points"),CLASSNAMEHEADERS,0))),(IF("15"=(INDEX(ALLCLASSDATA,MATCH("LightMaster",CLASSFEATUREHEADERS,0),MATCH($A985,CLASSNAMEHEADERS,0))),(INDEX(ALLCLASSDATA,MATCH("LightMaster",CLASSFEATUREHEADERS,0),MATCH(($A985 &amp; "Points"),CLASSNAMEHEADERS,0))),(IF("15"=(INDEX(ALLCLASSDATA,MATCH("LightExpert",CLASSFEATUREHEADERS,0),MATCH($A985,CLASSNAMEHEADERS,0))),(INDEX(ALLCLASSDATA,MATCH("LightExpert",CLASSFEATUREHEADERS,0),MATCH(($A985 &amp; "Points"),CLASSNAMEHEADERS,0))),(IF("15"=(INDEX(ALLCLASSDATA,MATCH("LightTrained",CLASSFEATUREHEADERS,0),MATCH($A985,CLASSNAMEHEADERS,0))),(INDEX(ALLCLASSDATA,MATCH("LightTrained",CLASSFEATUREHEADERS,0),MATCH(($A985 &amp; "Points"),CLASSNAMEHEADERS,0))),"")))))))))}</f>
        <v>LIGHTL15</v>
      </c>
      <c r="W984" s="223"/>
      <c r="X984" s="223" t="str">
        <f t="array" ref="X984:X985">{"LIGHTL17";((IF("17"=(INDEX(ALLCLASSDATA,MATCH("LightLegendary",CLASSFEATUREHEADERS,0),MATCH($A985,CLASSNAMEHEADERS,0))),(INDEX(ALLCLASSDATA,MATCH("LightLegendary",CLASSFEATUREHEADERS,0),MATCH(($A985 &amp; "Points"),CLASSNAMEHEADERS,0))),(IF("17"=(INDEX(ALLCLASSDATA,MATCH("LightMaster",CLASSFEATUREHEADERS,0),MATCH($A985,CLASSNAMEHEADERS,0))),(INDEX(ALLCLASSDATA,MATCH("LightMaster",CLASSFEATUREHEADERS,0),MATCH(($A985 &amp; "Points"),CLASSNAMEHEADERS,0))),(IF("17"=(INDEX(ALLCLASSDATA,MATCH("LightExpert",CLASSFEATUREHEADERS,0),MATCH($A985,CLASSNAMEHEADERS,0))),(INDEX(ALLCLASSDATA,MATCH("LightExpert",CLASSFEATUREHEADERS,0),MATCH(($A985 &amp; "Points"),CLASSNAMEHEADERS,0))),(IF("17"=(INDEX(ALLCLASSDATA,MATCH("LightTrained",CLASSFEATUREHEADERS,0),MATCH($A985,CLASSNAMEHEADERS,0))),(INDEX(ALLCLASSDATA,MATCH("LightTrained",CLASSFEATUREHEADERS,0),MATCH(($A985 &amp; "Points"),CLASSNAMEHEADERS,0))),"")))))))))}</f>
        <v>LIGHTL17</v>
      </c>
      <c r="Y984" s="223"/>
      <c r="Z984" s="223" t="str">
        <f t="array" ref="Z984:Z985">{"LIGHTL19";((IF("19"=(INDEX(ALLCLASSDATA,MATCH("LightLegendary",CLASSFEATUREHEADERS,0),MATCH($A985,CLASSNAMEHEADERS,0))),(INDEX(ALLCLASSDATA,MATCH("LightLegendary",CLASSFEATUREHEADERS,0),MATCH(($A985 &amp; "Points"),CLASSNAMEHEADERS,0))),(IF("19"=(INDEX(ALLCLASSDATA,MATCH("LightMaster",CLASSFEATUREHEADERS,0),MATCH($A985,CLASSNAMEHEADERS,0))),(INDEX(ALLCLASSDATA,MATCH("LightMaster",CLASSFEATUREHEADERS,0),MATCH(($A985 &amp; "Points"),CLASSNAMEHEADERS,0))),(IF("19"=(INDEX(ALLCLASSDATA,MATCH("LightExpert",CLASSFEATUREHEADERS,0),MATCH($A985,CLASSNAMEHEADERS,0))),(INDEX(ALLCLASSDATA,MATCH("LightExpert",CLASSFEATUREHEADERS,0),MATCH(($A985 &amp; "Points"),CLASSNAMEHEADERS,0))),(IF("19"=(INDEX(ALLCLASSDATA,MATCH("LightTrained",CLASSFEATUREHEADERS,0),MATCH($A985,CLASSNAMEHEADERS,0))),(INDEX(ALLCLASSDATA,MATCH("LightTrained",CLASSFEATUREHEADERS,0),MATCH(($A985 &amp; "Points"),CLASSNAMEHEADERS,0))),"")))))))))}</f>
        <v>LIGHTL19</v>
      </c>
      <c r="AA984" s="223"/>
      <c r="AB984" s="76" t="str">
        <f t="array" ref="AB984:AB985">{"LIGHT TOTAL";(IF(COUNTBLANK(G985:AA985)=17,"L",(IF(COUNTBLANK(G985:AA985)=18,"M",(IF(COUNTBLANK(G985:AA985)=19,"E",(IF(COUNTBLANK(G985:AA985)=20,"T",""))))))))}</f>
        <v>LIGHT TOTAL</v>
      </c>
      <c r="AC984" s="76" t="str">
        <f t="array" ref="AC984:AC985">{"LIGHT TOTAL";(sum(G985:AA985))}</f>
        <v>LIGHT TOTAL</v>
      </c>
    </row>
    <row r="985">
      <c r="A985" s="48" t="s">
        <v>185</v>
      </c>
      <c r="B985" s="48"/>
      <c r="C985" s="48" t="s">
        <v>412</v>
      </c>
      <c r="D985" s="48" t="s">
        <v>1900</v>
      </c>
      <c r="E985" s="48" t="s">
        <v>77</v>
      </c>
      <c r="F985" s="5" t="s">
        <v>435</v>
      </c>
      <c r="G985" s="47" t="s">
        <v>603</v>
      </c>
      <c r="H985" s="5">
        <v>10.0</v>
      </c>
      <c r="I985" s="5"/>
      <c r="J985" s="5" t="s">
        <v>603</v>
      </c>
      <c r="K985" s="5"/>
      <c r="L985" s="5" t="s">
        <v>603</v>
      </c>
      <c r="M985" s="5"/>
      <c r="N985" s="5" t="s">
        <v>603</v>
      </c>
      <c r="O985" s="5"/>
      <c r="P985" s="5" t="s">
        <v>603</v>
      </c>
      <c r="Q985" s="5"/>
      <c r="R985" s="5" t="s">
        <v>436</v>
      </c>
      <c r="S985" s="5"/>
      <c r="T985" s="5" t="s">
        <v>603</v>
      </c>
      <c r="U985" s="5"/>
      <c r="V985" s="5" t="s">
        <v>603</v>
      </c>
      <c r="W985" s="5"/>
      <c r="X985" s="5" t="s">
        <v>603</v>
      </c>
      <c r="Y985" s="5"/>
      <c r="Z985" s="5" t="s">
        <v>437</v>
      </c>
      <c r="AA985" s="5"/>
      <c r="AB985" s="5" t="s">
        <v>437</v>
      </c>
      <c r="AC985" s="47">
        <v>10.0</v>
      </c>
    </row>
    <row r="986" hidden="1">
      <c r="A986" s="222" t="str">
        <f t="array" ref="A986:A987">{"FormulaRow37";(INDEX(CLASSLIST,A913,1))}</f>
        <v>FormulaRow37</v>
      </c>
      <c r="B986" s="77" t="s">
        <v>236</v>
      </c>
      <c r="C986" s="222" t="str">
        <f t="array" ref="C986:C987">{"CLASSTYPE";((INDEX(ALLCLASSDATA,MATCH("ClassType",CLASSFEATUREHEADERS,0),MATCH($A987,CLASSNAMEHEADERS,0))))}</f>
        <v>CLASSTYPE</v>
      </c>
      <c r="D986" s="222" t="str">
        <f t="array" ref="D986:D987">{"DEFENSE";"Defense"}</f>
        <v>DEFENSE</v>
      </c>
      <c r="E986" s="222" t="str">
        <f t="array" ref="E986:E987">{"MEDIUM";"Medium"}</f>
        <v>MEDIUM</v>
      </c>
      <c r="F986" s="223" t="str">
        <f t="array" ref="F986:F987">{"MEDIUMINITIAL";((IF(H987=10,"T",(IF(H987=50,"E","")))))}</f>
        <v>MEDIUMINITIAL</v>
      </c>
      <c r="G986" s="223" t="str">
        <f t="array" ref="G986:G987">{"MEDIUMINITIALPTS";((IF("00"=(INDEX(ALLCLASSDATA,MATCH("MediumLegendary",CLASSFEATUREHEADERS,0),MATCH($A987,CLASSNAMEHEADERS,0))),(INDEX(ALLCLASSDATA,MATCH("MediumLegendary",CLASSFEATUREHEADERS,0),MATCH(($A987 &amp; "Points"),CLASSNAMEHEADERS,0))),(IF("00"=(INDEX(ALLCLASSDATA,MATCH("MediumMaster",CLASSFEATUREHEADERS,0),MATCH($A987,CLASSNAMEHEADERS,0))),(INDEX(ALLCLASSDATA,MATCH("MediumMaster",CLASSFEATUREHEADERS,0),MATCH(($A987 &amp; "Points"),CLASSNAMEHEADERS,0))),(IF("00"=(INDEX(ALLCLASSDATA,MATCH("MediumExpert",CLASSFEATUREHEADERS,0),MATCH($A987,CLASSNAMEHEADERS,0))),(INDEX(ALLCLASSDATA,MATCH("MediumExpert",CLASSFEATUREHEADERS,0),MATCH(($A987 &amp; "Points"),CLASSNAMEHEADERS,0))),(IF("00"=(INDEX(ALLCLASSDATA,MATCH("MediumTrained",CLASSFEATUREHEADERS,0),MATCH($A987,CLASSNAMEHEADERS,0))),(INDEX(ALLCLASSDATA,MATCH("MediumTrained",CLASSFEATUREHEADERS,0),MATCH(($A987 &amp; "Points"),CLASSNAMEHEADERS,0))),"")))))))))}</f>
        <v>MEDIUMINITIALPTS</v>
      </c>
      <c r="H986" s="223" t="str">
        <f t="array" ref="H986:H987">{"MEDIUML01";((IF("01"=(INDEX(ALLCLASSDATA,MATCH("MediumLegendary",CLASSFEATUREHEADERS,0),MATCH($A987,CLASSNAMEHEADERS,0))),(INDEX(ALLCLASSDATA,MATCH("MediumLegendary",CLASSFEATUREHEADERS,0),MATCH(($A987 &amp; "Points"),CLASSNAMEHEADERS,0))),(IF("01"=(INDEX(ALLCLASSDATA,MATCH("MediumMaster",CLASSFEATUREHEADERS,0),MATCH($A987,CLASSNAMEHEADERS,0))),(INDEX(ALLCLASSDATA,MATCH("MediumMaster",CLASSFEATUREHEADERS,0),MATCH(($A987 &amp; "Points"),CLASSNAMEHEADERS,0))),(IF("01"=(INDEX(ALLCLASSDATA,MATCH("MediumExpert",CLASSFEATUREHEADERS,0),MATCH($A987,CLASSNAMEHEADERS,0))),(INDEX(ALLCLASSDATA,MATCH("MediumExpert",CLASSFEATUREHEADERS,0),MATCH(($A987 &amp; "Points"),CLASSNAMEHEADERS,0))),(IF("01"=(INDEX(ALLCLASSDATA,MATCH("MediumTrained",CLASSFEATUREHEADERS,0),MATCH($A987,CLASSNAMEHEADERS,0))),(INDEX(ALLCLASSDATA,MATCH("MediumTrained",CLASSFEATUREHEADERS,0),MATCH(($A987 &amp; "Points"),CLASSNAMEHEADERS,0))),"")))))))))}</f>
        <v>MEDIUML01</v>
      </c>
      <c r="I986" s="223"/>
      <c r="J986" s="223" t="str">
        <f t="array" ref="J986:J987">{"MEDIUML03";((IF("03"=(INDEX(ALLCLASSDATA,MATCH("MediumLegendary",CLASSFEATUREHEADERS,0),MATCH($A987,CLASSNAMEHEADERS,0))),(INDEX(ALLCLASSDATA,MATCH("MediumLegendary",CLASSFEATUREHEADERS,0),MATCH(($A987 &amp; "Points"),CLASSNAMEHEADERS,0))),(IF("03"=(INDEX(ALLCLASSDATA,MATCH("MediumMaster",CLASSFEATUREHEADERS,0),MATCH($A987,CLASSNAMEHEADERS,0))),(INDEX(ALLCLASSDATA,MATCH("MediumMaster",CLASSFEATUREHEADERS,0),MATCH(($A987 &amp; "Points"),CLASSNAMEHEADERS,0))),(IF("03"=(INDEX(ALLCLASSDATA,MATCH("MediumExpert",CLASSFEATUREHEADERS,0),MATCH($A987,CLASSNAMEHEADERS,0))),(INDEX(ALLCLASSDATA,MATCH("MediumExpert",CLASSFEATUREHEADERS,0),MATCH(($A987 &amp; "Points"),CLASSNAMEHEADERS,0))),(IF("03"=(INDEX(ALLCLASSDATA,MATCH("MediumTrained",CLASSFEATUREHEADERS,0),MATCH($A987,CLASSNAMEHEADERS,0))),(INDEX(ALLCLASSDATA,MATCH("MediumTrained",CLASSFEATUREHEADERS,0),MATCH(($A987 &amp; "Points"),CLASSNAMEHEADERS,0))),"")))))))))}</f>
        <v>MEDIUML03</v>
      </c>
      <c r="K986" s="223"/>
      <c r="L986" s="223" t="str">
        <f t="array" ref="L986:L987">{"MEDIUML05";((IF("05"=(INDEX(ALLCLASSDATA,MATCH("MediumLegendary",CLASSFEATUREHEADERS,0),MATCH($A987,CLASSNAMEHEADERS,0))),(INDEX(ALLCLASSDATA,MATCH("MediumLegendary",CLASSFEATUREHEADERS,0),MATCH(($A987 &amp; "Points"),CLASSNAMEHEADERS,0))),(IF("05"=(INDEX(ALLCLASSDATA,MATCH("MediumMaster",CLASSFEATUREHEADERS,0),MATCH($A987,CLASSNAMEHEADERS,0))),(INDEX(ALLCLASSDATA,MATCH("MediumMaster",CLASSFEATUREHEADERS,0),MATCH(($A987 &amp; "Points"),CLASSNAMEHEADERS,0))),(IF("05"=(INDEX(ALLCLASSDATA,MATCH("MediumExpert",CLASSFEATUREHEADERS,0),MATCH($A987,CLASSNAMEHEADERS,0))),(INDEX(ALLCLASSDATA,MATCH("MediumExpert",CLASSFEATUREHEADERS,0),MATCH(($A987 &amp; "Points"),CLASSNAMEHEADERS,0))),(IF("05"=(INDEX(ALLCLASSDATA,MATCH("MediumTrained",CLASSFEATUREHEADERS,0),MATCH($A987,CLASSNAMEHEADERS,0))),(INDEX(ALLCLASSDATA,MATCH("MediumTrained",CLASSFEATUREHEADERS,0),MATCH(($A987 &amp; "Points"),CLASSNAMEHEADERS,0))),"")))))))))}</f>
        <v>MEDIUML05</v>
      </c>
      <c r="M986" s="223"/>
      <c r="N986" s="223" t="str">
        <f t="array" ref="N986:N987">{"MEDIUML07";((IF("07"=(INDEX(ALLCLASSDATA,MATCH("MediumLegendary",CLASSFEATUREHEADERS,0),MATCH($A987,CLASSNAMEHEADERS,0))),(INDEX(ALLCLASSDATA,MATCH("MediumLegendary",CLASSFEATUREHEADERS,0),MATCH(($A987 &amp; "Points"),CLASSNAMEHEADERS,0))),(IF("07"=(INDEX(ALLCLASSDATA,MATCH("MediumMaster",CLASSFEATUREHEADERS,0),MATCH($A987,CLASSNAMEHEADERS,0))),(INDEX(ALLCLASSDATA,MATCH("MediumMaster",CLASSFEATUREHEADERS,0),MATCH(($A987 &amp; "Points"),CLASSNAMEHEADERS,0))),(IF("07"=(INDEX(ALLCLASSDATA,MATCH("MediumExpert",CLASSFEATUREHEADERS,0),MATCH($A987,CLASSNAMEHEADERS,0))),(INDEX(ALLCLASSDATA,MATCH("MediumExpert",CLASSFEATUREHEADERS,0),MATCH(($A987 &amp; "Points"),CLASSNAMEHEADERS,0))),(IF("07"=(INDEX(ALLCLASSDATA,MATCH("MediumTrained",CLASSFEATUREHEADERS,0),MATCH($A987,CLASSNAMEHEADERS,0))),(INDEX(ALLCLASSDATA,MATCH("MediumTrained",CLASSFEATUREHEADERS,0),MATCH(($A987 &amp; "Points"),CLASSNAMEHEADERS,0))),"")))))))))}</f>
        <v>MEDIUML07</v>
      </c>
      <c r="O986" s="223"/>
      <c r="P986" s="223" t="str">
        <f t="array" ref="P986:P987">{"MEDIUML09";((IF("09"=(INDEX(ALLCLASSDATA,MATCH("MediumLegendary",CLASSFEATUREHEADERS,0),MATCH($A987,CLASSNAMEHEADERS,0))),(INDEX(ALLCLASSDATA,MATCH("MediumLegendary",CLASSFEATUREHEADERS,0),MATCH(($A987 &amp; "Points"),CLASSNAMEHEADERS,0))),(IF("09"=(INDEX(ALLCLASSDATA,MATCH("MediumMaster",CLASSFEATUREHEADERS,0),MATCH($A987,CLASSNAMEHEADERS,0))),(INDEX(ALLCLASSDATA,MATCH("MediumMaster",CLASSFEATUREHEADERS,0),MATCH(($A987 &amp; "Points"),CLASSNAMEHEADERS,0))),(IF("09"=(INDEX(ALLCLASSDATA,MATCH("MediumExpert",CLASSFEATUREHEADERS,0),MATCH($A987,CLASSNAMEHEADERS,0))),(INDEX(ALLCLASSDATA,MATCH("MediumExpert",CLASSFEATUREHEADERS,0),MATCH(($A987 &amp; "Points"),CLASSNAMEHEADERS,0))),(IF("09"=(INDEX(ALLCLASSDATA,MATCH("MediumTrained",CLASSFEATUREHEADERS,0),MATCH($A987,CLASSNAMEHEADERS,0))),(INDEX(ALLCLASSDATA,MATCH("MediumTrained",CLASSFEATUREHEADERS,0),MATCH(($A987 &amp; "Points"),CLASSNAMEHEADERS,0))),"")))))))))}</f>
        <v>MEDIUML09</v>
      </c>
      <c r="Q986" s="223"/>
      <c r="R986" s="223" t="str">
        <f t="array" ref="R986:R987">{"MEDIUML11";((IF("11"=(INDEX(ALLCLASSDATA,MATCH("MediumLegendary",CLASSFEATUREHEADERS,0),MATCH($A987,CLASSNAMEHEADERS,0))),(INDEX(ALLCLASSDATA,MATCH("MediumLegendary",CLASSFEATUREHEADERS,0),MATCH(($A987 &amp; "Points"),CLASSNAMEHEADERS,0))),(IF("11"=(INDEX(ALLCLASSDATA,MATCH("MediumMaster",CLASSFEATUREHEADERS,0),MATCH($A987,CLASSNAMEHEADERS,0))),(INDEX(ALLCLASSDATA,MATCH("MediumMaster",CLASSFEATUREHEADERS,0),MATCH(($A987 &amp; "Points"),CLASSNAMEHEADERS,0))),(IF("11"=(INDEX(ALLCLASSDATA,MATCH("MediumExpert",CLASSFEATUREHEADERS,0),MATCH($A987,CLASSNAMEHEADERS,0))),(INDEX(ALLCLASSDATA,MATCH("MediumExpert",CLASSFEATUREHEADERS,0),MATCH(($A987 &amp; "Points"),CLASSNAMEHEADERS,0))),(IF("11"=(INDEX(ALLCLASSDATA,MATCH("MediumTrained",CLASSFEATUREHEADERS,0),MATCH($A987,CLASSNAMEHEADERS,0))),(INDEX(ALLCLASSDATA,MATCH("MediumTrained",CLASSFEATUREHEADERS,0),MATCH(($A987 &amp; "Points"),CLASSNAMEHEADERS,0))),"")))))))))}</f>
        <v>MEDIUML11</v>
      </c>
      <c r="S986" s="223"/>
      <c r="T986" s="223" t="str">
        <f t="array" ref="T986:T987">{"MEDIUML13";((IF("13"=(INDEX(ALLCLASSDATA,MATCH("MediumLegendary",CLASSFEATUREHEADERS,0),MATCH($A987,CLASSNAMEHEADERS,0))),(INDEX(ALLCLASSDATA,MATCH("MediumLegendary",CLASSFEATUREHEADERS,0),MATCH(($A987 &amp; "Points"),CLASSNAMEHEADERS,0))),(IF("13"=(INDEX(ALLCLASSDATA,MATCH("MediumMaster",CLASSFEATUREHEADERS,0),MATCH($A987,CLASSNAMEHEADERS,0))),(INDEX(ALLCLASSDATA,MATCH("MediumMaster",CLASSFEATUREHEADERS,0),MATCH(($A987 &amp; "Points"),CLASSNAMEHEADERS,0))),(IF("13"=(INDEX(ALLCLASSDATA,MATCH("MediumExpert",CLASSFEATUREHEADERS,0),MATCH($A987,CLASSNAMEHEADERS,0))),(INDEX(ALLCLASSDATA,MATCH("MediumExpert",CLASSFEATUREHEADERS,0),MATCH(($A987 &amp; "Points"),CLASSNAMEHEADERS,0))),(IF("13"=(INDEX(ALLCLASSDATA,MATCH("MediumTrained",CLASSFEATUREHEADERS,0),MATCH($A987,CLASSNAMEHEADERS,0))),(INDEX(ALLCLASSDATA,MATCH("MediumTrained",CLASSFEATUREHEADERS,0),MATCH(($A987 &amp; "Points"),CLASSNAMEHEADERS,0))),"")))))))))}</f>
        <v>MEDIUML13</v>
      </c>
      <c r="U986" s="223"/>
      <c r="V986" s="223" t="str">
        <f t="array" ref="V986:V987">{"MEDIUML15";((IF("15"=(INDEX(ALLCLASSDATA,MATCH("MediumLegendary",CLASSFEATUREHEADERS,0),MATCH($A987,CLASSNAMEHEADERS,0))),(INDEX(ALLCLASSDATA,MATCH("MediumLegendary",CLASSFEATUREHEADERS,0),MATCH(($A987 &amp; "Points"),CLASSNAMEHEADERS,0))),(IF("15"=(INDEX(ALLCLASSDATA,MATCH("MediumMaster",CLASSFEATUREHEADERS,0),MATCH($A987,CLASSNAMEHEADERS,0))),(INDEX(ALLCLASSDATA,MATCH("MediumMaster",CLASSFEATUREHEADERS,0),MATCH(($A987 &amp; "Points"),CLASSNAMEHEADERS,0))),(IF("15"=(INDEX(ALLCLASSDATA,MATCH("MediumExpert",CLASSFEATUREHEADERS,0),MATCH($A987,CLASSNAMEHEADERS,0))),(INDEX(ALLCLASSDATA,MATCH("MediumExpert",CLASSFEATUREHEADERS,0),MATCH(($A987 &amp; "Points"),CLASSNAMEHEADERS,0))),(IF("15"=(INDEX(ALLCLASSDATA,MATCH("MediumTrained",CLASSFEATUREHEADERS,0),MATCH($A987,CLASSNAMEHEADERS,0))),(INDEX(ALLCLASSDATA,MATCH("MediumTrained",CLASSFEATUREHEADERS,0),MATCH(($A987 &amp; "Points"),CLASSNAMEHEADERS,0))),"")))))))))}</f>
        <v>MEDIUML15</v>
      </c>
      <c r="W986" s="223"/>
      <c r="X986" s="223" t="str">
        <f t="array" ref="X986:X987">{"MEDIUML17";((IF("17"=(INDEX(ALLCLASSDATA,MATCH("MediumLegendary",CLASSFEATUREHEADERS,0),MATCH($A987,CLASSNAMEHEADERS,0))),(INDEX(ALLCLASSDATA,MATCH("MediumLegendary",CLASSFEATUREHEADERS,0),MATCH(($A987 &amp; "Points"),CLASSNAMEHEADERS,0))),(IF("17"=(INDEX(ALLCLASSDATA,MATCH("MediumMaster",CLASSFEATUREHEADERS,0),MATCH($A987,CLASSNAMEHEADERS,0))),(INDEX(ALLCLASSDATA,MATCH("MediumMaster",CLASSFEATUREHEADERS,0),MATCH(($A987 &amp; "Points"),CLASSNAMEHEADERS,0))),(IF("17"=(INDEX(ALLCLASSDATA,MATCH("MediumExpert",CLASSFEATUREHEADERS,0),MATCH($A987,CLASSNAMEHEADERS,0))),(INDEX(ALLCLASSDATA,MATCH("MediumExpert",CLASSFEATUREHEADERS,0),MATCH(($A987 &amp; "Points"),CLASSNAMEHEADERS,0))),(IF("17"=(INDEX(ALLCLASSDATA,MATCH("MediumTrained",CLASSFEATUREHEADERS,0),MATCH($A987,CLASSNAMEHEADERS,0))),(INDEX(ALLCLASSDATA,MATCH("MediumTrained",CLASSFEATUREHEADERS,0),MATCH(($A987 &amp; "Points"),CLASSNAMEHEADERS,0))),"")))))))))}</f>
        <v>MEDIUML17</v>
      </c>
      <c r="Y986" s="223"/>
      <c r="Z986" s="223" t="str">
        <f t="array" ref="Z986:Z987">{"MEDIUML19";((IF("19"=(INDEX(ALLCLASSDATA,MATCH("MediumLegendary",CLASSFEATUREHEADERS,0),MATCH($A987,CLASSNAMEHEADERS,0))),(INDEX(ALLCLASSDATA,MATCH("MediumLegendary",CLASSFEATUREHEADERS,0),MATCH(($A987 &amp; "Points"),CLASSNAMEHEADERS,0))),(IF("19"=(INDEX(ALLCLASSDATA,MATCH("MediumMaster",CLASSFEATUREHEADERS,0),MATCH($A987,CLASSNAMEHEADERS,0))),(INDEX(ALLCLASSDATA,MATCH("MediumMaster",CLASSFEATUREHEADERS,0),MATCH(($A987 &amp; "Points"),CLASSNAMEHEADERS,0))),(IF("19"=(INDEX(ALLCLASSDATA,MATCH("MediumExpert",CLASSFEATUREHEADERS,0),MATCH($A987,CLASSNAMEHEADERS,0))),(INDEX(ALLCLASSDATA,MATCH("MediumExpert",CLASSFEATUREHEADERS,0),MATCH(($A987 &amp; "Points"),CLASSNAMEHEADERS,0))),(IF("19"=(INDEX(ALLCLASSDATA,MATCH("MediumTrained",CLASSFEATUREHEADERS,0),MATCH($A987,CLASSNAMEHEADERS,0))),(INDEX(ALLCLASSDATA,MATCH("MediumTrained",CLASSFEATUREHEADERS,0),MATCH(($A987 &amp; "Points"),CLASSNAMEHEADERS,0))),"")))))))))}</f>
        <v>MEDIUML19</v>
      </c>
      <c r="AA986" s="223"/>
      <c r="AB986" s="76" t="str">
        <f t="array" ref="AB986:AB987">{"MEDIUM TOTAL";(IF(COUNTBLANK(G987:AA987)=17,"L",(IF(COUNTBLANK(G987:AA987)=18,"M",(IF(COUNTBLANK(G987:AA987)=19,"E",(IF(COUNTBLANK(G987:AA987)=20,"T",""))))))))}</f>
        <v>MEDIUM TOTAL</v>
      </c>
      <c r="AC986" s="76" t="str">
        <f t="array" ref="AC986:AC987">{"MEDIUM TOTAL";(sum(G987:AA987))}</f>
        <v>MEDIUM TOTAL</v>
      </c>
    </row>
    <row r="987">
      <c r="A987" s="48" t="s">
        <v>185</v>
      </c>
      <c r="B987" s="48"/>
      <c r="C987" s="48" t="s">
        <v>412</v>
      </c>
      <c r="D987" s="48" t="s">
        <v>1900</v>
      </c>
      <c r="E987" s="48" t="s">
        <v>76</v>
      </c>
      <c r="F987" s="5" t="s">
        <v>435</v>
      </c>
      <c r="G987" s="47" t="s">
        <v>603</v>
      </c>
      <c r="H987" s="5">
        <v>10.0</v>
      </c>
      <c r="I987" s="5"/>
      <c r="J987" s="5" t="s">
        <v>603</v>
      </c>
      <c r="K987" s="5"/>
      <c r="L987" s="5" t="s">
        <v>603</v>
      </c>
      <c r="M987" s="5"/>
      <c r="N987" s="5" t="s">
        <v>603</v>
      </c>
      <c r="O987" s="5"/>
      <c r="P987" s="5" t="s">
        <v>603</v>
      </c>
      <c r="Q987" s="5"/>
      <c r="R987" s="5">
        <v>50.0</v>
      </c>
      <c r="S987" s="5"/>
      <c r="T987" s="5" t="s">
        <v>603</v>
      </c>
      <c r="U987" s="5"/>
      <c r="V987" s="5" t="s">
        <v>603</v>
      </c>
      <c r="W987" s="5"/>
      <c r="X987" s="5" t="s">
        <v>603</v>
      </c>
      <c r="Y987" s="5"/>
      <c r="Z987" s="5">
        <v>110.0</v>
      </c>
      <c r="AA987" s="5"/>
      <c r="AB987" s="5" t="s">
        <v>437</v>
      </c>
      <c r="AC987" s="47">
        <v>170.0</v>
      </c>
    </row>
    <row r="988" hidden="1">
      <c r="A988" s="222" t="str">
        <f t="array" ref="A988:A989">{"FormulaRow38";(INDEX(CLASSLIST,A913,1))}</f>
        <v>FormulaRow38</v>
      </c>
      <c r="B988" s="77" t="s">
        <v>236</v>
      </c>
      <c r="C988" s="222" t="str">
        <f t="array" ref="C988:C989">{"CLASSTYPE";((INDEX(ALLCLASSDATA,MATCH("ClassType",CLASSFEATUREHEADERS,0),MATCH($A989,CLASSNAMEHEADERS,0))))}</f>
        <v>CLASSTYPE</v>
      </c>
      <c r="D988" s="222" t="str">
        <f t="array" ref="D988:D989">{"DEFENSE";"Defense"}</f>
        <v>DEFENSE</v>
      </c>
      <c r="E988" s="222" t="str">
        <f t="array" ref="E988:E989">{"HEAVY";"Heavy"}</f>
        <v>HEAVY</v>
      </c>
      <c r="F988" s="223" t="str">
        <f t="array" ref="F988:F989">{"HEAVYINITIAL";((IF(H989=10,"T",(IF(H989=50,"E","")))))}</f>
        <v>HEAVYINITIAL</v>
      </c>
      <c r="G988" s="223" t="str">
        <f t="array" ref="G988:G989">{"HEAVYINITIALPTS";((IF("00"=(INDEX(ALLCLASSDATA,MATCH("HeavyLegendary",CLASSFEATUREHEADERS,0),MATCH($A989,CLASSNAMEHEADERS,0))),(INDEX(ALLCLASSDATA,MATCH("HeavyLegendary",CLASSFEATUREHEADERS,0),MATCH(($A989 &amp; "Points"),CLASSNAMEHEADERS,0))),(IF("00"=(INDEX(ALLCLASSDATA,MATCH("HeavyMaster",CLASSFEATUREHEADERS,0),MATCH($A989,CLASSNAMEHEADERS,0))),(INDEX(ALLCLASSDATA,MATCH("HeavyMaster",CLASSFEATUREHEADERS,0),MATCH(($A989 &amp; "Points"),CLASSNAMEHEADERS,0))),(IF("00"=(INDEX(ALLCLASSDATA,MATCH("HeavyExpert",CLASSFEATUREHEADERS,0),MATCH($A989,CLASSNAMEHEADERS,0))),(INDEX(ALLCLASSDATA,MATCH("HeavyExpert",CLASSFEATUREHEADERS,0),MATCH(($A989 &amp; "Points"),CLASSNAMEHEADERS,0))),(IF("00"=(INDEX(ALLCLASSDATA,MATCH("HeavyTrained",CLASSFEATUREHEADERS,0),MATCH($A989,CLASSNAMEHEADERS,0))),(INDEX(ALLCLASSDATA,MATCH("HeavyTrained",CLASSFEATUREHEADERS,0),MATCH(($A989 &amp; "Points"),CLASSNAMEHEADERS,0))),"")))))))))}</f>
        <v>HEAVYINITIALPTS</v>
      </c>
      <c r="H988" s="223" t="str">
        <f t="array" ref="H988:H989">{"HEAVYL01";((IF("01"=(INDEX(ALLCLASSDATA,MATCH("HeavyLegendary",CLASSFEATUREHEADERS,0),MATCH($A989,CLASSNAMEHEADERS,0))),(INDEX(ALLCLASSDATA,MATCH("HeavyLegendary",CLASSFEATUREHEADERS,0),MATCH(($A989 &amp; "Points"),CLASSNAMEHEADERS,0))),(IF("01"=(INDEX(ALLCLASSDATA,MATCH("HeavyMaster",CLASSFEATUREHEADERS,0),MATCH($A989,CLASSNAMEHEADERS,0))),(INDEX(ALLCLASSDATA,MATCH("HeavyMaster",CLASSFEATUREHEADERS,0),MATCH(($A989 &amp; "Points"),CLASSNAMEHEADERS,0))),(IF("01"=(INDEX(ALLCLASSDATA,MATCH("HeavyExpert",CLASSFEATUREHEADERS,0),MATCH($A989,CLASSNAMEHEADERS,0))),(INDEX(ALLCLASSDATA,MATCH("HeavyExpert",CLASSFEATUREHEADERS,0),MATCH(($A989 &amp; "Points"),CLASSNAMEHEADERS,0))),(IF("01"=(INDEX(ALLCLASSDATA,MATCH("HeavyTrained",CLASSFEATUREHEADERS,0),MATCH($A989,CLASSNAMEHEADERS,0))),(INDEX(ALLCLASSDATA,MATCH("HeavyTrained",CLASSFEATUREHEADERS,0),MATCH(($A989 &amp; "Points"),CLASSNAMEHEADERS,0))),"")))))))))}</f>
        <v>HEAVYL01</v>
      </c>
      <c r="I988" s="223"/>
      <c r="J988" s="223" t="str">
        <f t="array" ref="J988:J989">{"HEAVYL03";((IF("03"=(INDEX(ALLCLASSDATA,MATCH("HeavyLegendary",CLASSFEATUREHEADERS,0),MATCH($A989,CLASSNAMEHEADERS,0))),(INDEX(ALLCLASSDATA,MATCH("HeavyLegendary",CLASSFEATUREHEADERS,0),MATCH(($A989 &amp; "Points"),CLASSNAMEHEADERS,0))),(IF("03"=(INDEX(ALLCLASSDATA,MATCH("HeavyMaster",CLASSFEATUREHEADERS,0),MATCH($A989,CLASSNAMEHEADERS,0))),(INDEX(ALLCLASSDATA,MATCH("HeavyMaster",CLASSFEATUREHEADERS,0),MATCH(($A989 &amp; "Points"),CLASSNAMEHEADERS,0))),(IF("03"=(INDEX(ALLCLASSDATA,MATCH("HeavyExpert",CLASSFEATUREHEADERS,0),MATCH($A989,CLASSNAMEHEADERS,0))),(INDEX(ALLCLASSDATA,MATCH("HeavyExpert",CLASSFEATUREHEADERS,0),MATCH(($A989 &amp; "Points"),CLASSNAMEHEADERS,0))),(IF("03"=(INDEX(ALLCLASSDATA,MATCH("HeavyTrained",CLASSFEATUREHEADERS,0),MATCH($A989,CLASSNAMEHEADERS,0))),(INDEX(ALLCLASSDATA,MATCH("HeavyTrained",CLASSFEATUREHEADERS,0),MATCH(($A989 &amp; "Points"),CLASSNAMEHEADERS,0))),"")))))))))}</f>
        <v>HEAVYL03</v>
      </c>
      <c r="K988" s="223"/>
      <c r="L988" s="223" t="str">
        <f t="array" ref="L988:L989">{"HEAVYL05";((IF("05"=(INDEX(ALLCLASSDATA,MATCH("HeavyLegendary",CLASSFEATUREHEADERS,0),MATCH($A989,CLASSNAMEHEADERS,0))),(INDEX(ALLCLASSDATA,MATCH("HeavyLegendary",CLASSFEATUREHEADERS,0),MATCH(($A989 &amp; "Points"),CLASSNAMEHEADERS,0))),(IF("05"=(INDEX(ALLCLASSDATA,MATCH("HeavyMaster",CLASSFEATUREHEADERS,0),MATCH($A989,CLASSNAMEHEADERS,0))),(INDEX(ALLCLASSDATA,MATCH("HeavyMaster",CLASSFEATUREHEADERS,0),MATCH(($A989 &amp; "Points"),CLASSNAMEHEADERS,0))),(IF("05"=(INDEX(ALLCLASSDATA,MATCH("HeavyExpert",CLASSFEATUREHEADERS,0),MATCH($A989,CLASSNAMEHEADERS,0))),(INDEX(ALLCLASSDATA,MATCH("HeavyExpert",CLASSFEATUREHEADERS,0),MATCH(($A989 &amp; "Points"),CLASSNAMEHEADERS,0))),(IF("05"=(INDEX(ALLCLASSDATA,MATCH("HeavyTrained",CLASSFEATUREHEADERS,0),MATCH($A989,CLASSNAMEHEADERS,0))),(INDEX(ALLCLASSDATA,MATCH("HeavyTrained",CLASSFEATUREHEADERS,0),MATCH(($A989 &amp; "Points"),CLASSNAMEHEADERS,0))),"")))))))))}</f>
        <v>HEAVYL05</v>
      </c>
      <c r="M988" s="223"/>
      <c r="N988" s="223" t="str">
        <f t="array" ref="N988:N989">{"HEAVYL07";((IF("07"=(INDEX(ALLCLASSDATA,MATCH("HeavyLegendary",CLASSFEATUREHEADERS,0),MATCH($A989,CLASSNAMEHEADERS,0))),(INDEX(ALLCLASSDATA,MATCH("HeavyLegendary",CLASSFEATUREHEADERS,0),MATCH(($A989 &amp; "Points"),CLASSNAMEHEADERS,0))),(IF("07"=(INDEX(ALLCLASSDATA,MATCH("HeavyMaster",CLASSFEATUREHEADERS,0),MATCH($A989,CLASSNAMEHEADERS,0))),(INDEX(ALLCLASSDATA,MATCH("HeavyMaster",CLASSFEATUREHEADERS,0),MATCH(($A989 &amp; "Points"),CLASSNAMEHEADERS,0))),(IF("07"=(INDEX(ALLCLASSDATA,MATCH("HeavyExpert",CLASSFEATUREHEADERS,0),MATCH($A989,CLASSNAMEHEADERS,0))),(INDEX(ALLCLASSDATA,MATCH("HeavyExpert",CLASSFEATUREHEADERS,0),MATCH(($A989 &amp; "Points"),CLASSNAMEHEADERS,0))),(IF("07"=(INDEX(ALLCLASSDATA,MATCH("HeavyTrained",CLASSFEATUREHEADERS,0),MATCH($A989,CLASSNAMEHEADERS,0))),(INDEX(ALLCLASSDATA,MATCH("HeavyTrained",CLASSFEATUREHEADERS,0),MATCH(($A989 &amp; "Points"),CLASSNAMEHEADERS,0))),"")))))))))}</f>
        <v>HEAVYL07</v>
      </c>
      <c r="O988" s="223"/>
      <c r="P988" s="223" t="str">
        <f t="array" ref="P988:P989">{"HEAVYL09";((IF("09"=(INDEX(ALLCLASSDATA,MATCH("HeavyLegendary",CLASSFEATUREHEADERS,0),MATCH($A989,CLASSNAMEHEADERS,0))),(INDEX(ALLCLASSDATA,MATCH("HeavyLegendary",CLASSFEATUREHEADERS,0),MATCH(($A989 &amp; "Points"),CLASSNAMEHEADERS,0))),(IF("09"=(INDEX(ALLCLASSDATA,MATCH("HeavyMaster",CLASSFEATUREHEADERS,0),MATCH($A989,CLASSNAMEHEADERS,0))),(INDEX(ALLCLASSDATA,MATCH("HeavyMaster",CLASSFEATUREHEADERS,0),MATCH(($A989 &amp; "Points"),CLASSNAMEHEADERS,0))),(IF("09"=(INDEX(ALLCLASSDATA,MATCH("HeavyExpert",CLASSFEATUREHEADERS,0),MATCH($A989,CLASSNAMEHEADERS,0))),(INDEX(ALLCLASSDATA,MATCH("HeavyExpert",CLASSFEATUREHEADERS,0),MATCH(($A989 &amp; "Points"),CLASSNAMEHEADERS,0))),(IF("09"=(INDEX(ALLCLASSDATA,MATCH("HeavyTrained",CLASSFEATUREHEADERS,0),MATCH($A989,CLASSNAMEHEADERS,0))),(INDEX(ALLCLASSDATA,MATCH("HeavyTrained",CLASSFEATUREHEADERS,0),MATCH(($A989 &amp; "Points"),CLASSNAMEHEADERS,0))),"")))))))))}</f>
        <v>HEAVYL09</v>
      </c>
      <c r="Q988" s="223"/>
      <c r="R988" s="223" t="str">
        <f t="array" ref="R988:R989">{"HEAVYL11";((IF("11"=(INDEX(ALLCLASSDATA,MATCH("HeavyLegendary",CLASSFEATUREHEADERS,0),MATCH($A989,CLASSNAMEHEADERS,0))),(INDEX(ALLCLASSDATA,MATCH("HeavyLegendary",CLASSFEATUREHEADERS,0),MATCH(($A989 &amp; "Points"),CLASSNAMEHEADERS,0))),(IF("11"=(INDEX(ALLCLASSDATA,MATCH("HeavyMaster",CLASSFEATUREHEADERS,0),MATCH($A989,CLASSNAMEHEADERS,0))),(INDEX(ALLCLASSDATA,MATCH("HeavyMaster",CLASSFEATUREHEADERS,0),MATCH(($A989 &amp; "Points"),CLASSNAMEHEADERS,0))),(IF("11"=(INDEX(ALLCLASSDATA,MATCH("HeavyExpert",CLASSFEATUREHEADERS,0),MATCH($A989,CLASSNAMEHEADERS,0))),(INDEX(ALLCLASSDATA,MATCH("HeavyExpert",CLASSFEATUREHEADERS,0),MATCH(($A989 &amp; "Points"),CLASSNAMEHEADERS,0))),(IF("11"=(INDEX(ALLCLASSDATA,MATCH("HeavyTrained",CLASSFEATUREHEADERS,0),MATCH($A989,CLASSNAMEHEADERS,0))),(INDEX(ALLCLASSDATA,MATCH("HeavyTrained",CLASSFEATUREHEADERS,0),MATCH(($A989 &amp; "Points"),CLASSNAMEHEADERS,0))),"")))))))))}</f>
        <v>HEAVYL11</v>
      </c>
      <c r="S988" s="223"/>
      <c r="T988" s="223" t="str">
        <f t="array" ref="T988:T989">{"HEAVYL13";((IF("13"=(INDEX(ALLCLASSDATA,MATCH("HeavyLegendary",CLASSFEATUREHEADERS,0),MATCH($A989,CLASSNAMEHEADERS,0))),(INDEX(ALLCLASSDATA,MATCH("HeavyLegendary",CLASSFEATUREHEADERS,0),MATCH(($A989 &amp; "Points"),CLASSNAMEHEADERS,0))),(IF("13"=(INDEX(ALLCLASSDATA,MATCH("HeavyMaster",CLASSFEATUREHEADERS,0),MATCH($A989,CLASSNAMEHEADERS,0))),(INDEX(ALLCLASSDATA,MATCH("HeavyMaster",CLASSFEATUREHEADERS,0),MATCH(($A989 &amp; "Points"),CLASSNAMEHEADERS,0))),(IF("13"=(INDEX(ALLCLASSDATA,MATCH("HeavyExpert",CLASSFEATUREHEADERS,0),MATCH($A989,CLASSNAMEHEADERS,0))),(INDEX(ALLCLASSDATA,MATCH("HeavyExpert",CLASSFEATUREHEADERS,0),MATCH(($A989 &amp; "Points"),CLASSNAMEHEADERS,0))),(IF("13"=(INDEX(ALLCLASSDATA,MATCH("HeavyTrained",CLASSFEATUREHEADERS,0),MATCH($A989,CLASSNAMEHEADERS,0))),(INDEX(ALLCLASSDATA,MATCH("HeavyTrained",CLASSFEATUREHEADERS,0),MATCH(($A989 &amp; "Points"),CLASSNAMEHEADERS,0))),"")))))))))}</f>
        <v>HEAVYL13</v>
      </c>
      <c r="U988" s="223"/>
      <c r="V988" s="223" t="str">
        <f t="array" ref="V988:V989">{"HEAVYL15";((IF("15"=(INDEX(ALLCLASSDATA,MATCH("HeavyLegendary",CLASSFEATUREHEADERS,0),MATCH($A989,CLASSNAMEHEADERS,0))),(INDEX(ALLCLASSDATA,MATCH("HeavyLegendary",CLASSFEATUREHEADERS,0),MATCH(($A989 &amp; "Points"),CLASSNAMEHEADERS,0))),(IF("15"=(INDEX(ALLCLASSDATA,MATCH("HeavyMaster",CLASSFEATUREHEADERS,0),MATCH($A989,CLASSNAMEHEADERS,0))),(INDEX(ALLCLASSDATA,MATCH("HeavyMaster",CLASSFEATUREHEADERS,0),MATCH(($A989 &amp; "Points"),CLASSNAMEHEADERS,0))),(IF("15"=(INDEX(ALLCLASSDATA,MATCH("HeavyExpert",CLASSFEATUREHEADERS,0),MATCH($A989,CLASSNAMEHEADERS,0))),(INDEX(ALLCLASSDATA,MATCH("HeavyExpert",CLASSFEATUREHEADERS,0),MATCH(($A989 &amp; "Points"),CLASSNAMEHEADERS,0))),(IF("15"=(INDEX(ALLCLASSDATA,MATCH("HeavyTrained",CLASSFEATUREHEADERS,0),MATCH($A989,CLASSNAMEHEADERS,0))),(INDEX(ALLCLASSDATA,MATCH("HeavyTrained",CLASSFEATUREHEADERS,0),MATCH(($A989 &amp; "Points"),CLASSNAMEHEADERS,0))),"")))))))))}</f>
        <v>HEAVYL15</v>
      </c>
      <c r="W988" s="223"/>
      <c r="X988" s="223" t="str">
        <f t="array" ref="X988:X989">{"HEAVYL17";((IF("17"=(INDEX(ALLCLASSDATA,MATCH("HeavyLegendary",CLASSFEATUREHEADERS,0),MATCH($A989,CLASSNAMEHEADERS,0))),(INDEX(ALLCLASSDATA,MATCH("HeavyLegendary",CLASSFEATUREHEADERS,0),MATCH(($A989 &amp; "Points"),CLASSNAMEHEADERS,0))),(IF("17"=(INDEX(ALLCLASSDATA,MATCH("HeavyMaster",CLASSFEATUREHEADERS,0),MATCH($A989,CLASSNAMEHEADERS,0))),(INDEX(ALLCLASSDATA,MATCH("HeavyMaster",CLASSFEATUREHEADERS,0),MATCH(($A989 &amp; "Points"),CLASSNAMEHEADERS,0))),(IF("17"=(INDEX(ALLCLASSDATA,MATCH("HeavyExpert",CLASSFEATUREHEADERS,0),MATCH($A989,CLASSNAMEHEADERS,0))),(INDEX(ALLCLASSDATA,MATCH("HeavyExpert",CLASSFEATUREHEADERS,0),MATCH(($A989 &amp; "Points"),CLASSNAMEHEADERS,0))),(IF("17"=(INDEX(ALLCLASSDATA,MATCH("HeavyTrained",CLASSFEATUREHEADERS,0),MATCH($A989,CLASSNAMEHEADERS,0))),(INDEX(ALLCLASSDATA,MATCH("HeavyTrained",CLASSFEATUREHEADERS,0),MATCH(($A989 &amp; "Points"),CLASSNAMEHEADERS,0))),"")))))))))}</f>
        <v>HEAVYL17</v>
      </c>
      <c r="Y988" s="223"/>
      <c r="Z988" s="223" t="str">
        <f t="array" ref="Z988:Z989">{"HEAVYL19";((IF("19"=(INDEX(ALLCLASSDATA,MATCH("HeavyLegendary",CLASSFEATUREHEADERS,0),MATCH($A989,CLASSNAMEHEADERS,0))),(INDEX(ALLCLASSDATA,MATCH("HeavyLegendary",CLASSFEATUREHEADERS,0),MATCH(($A989 &amp; "Points"),CLASSNAMEHEADERS,0))),(IF("19"=(INDEX(ALLCLASSDATA,MATCH("HeavyMaster",CLASSFEATUREHEADERS,0),MATCH($A989,CLASSNAMEHEADERS,0))),(INDEX(ALLCLASSDATA,MATCH("HeavyMaster",CLASSFEATUREHEADERS,0),MATCH(($A989 &amp; "Points"),CLASSNAMEHEADERS,0))),(IF("19"=(INDEX(ALLCLASSDATA,MATCH("HeavyExpert",CLASSFEATUREHEADERS,0),MATCH($A989,CLASSNAMEHEADERS,0))),(INDEX(ALLCLASSDATA,MATCH("HeavyExpert",CLASSFEATUREHEADERS,0),MATCH(($A989 &amp; "Points"),CLASSNAMEHEADERS,0))),(IF("19"=(INDEX(ALLCLASSDATA,MATCH("HeavyTrained",CLASSFEATUREHEADERS,0),MATCH($A989,CLASSNAMEHEADERS,0))),(INDEX(ALLCLASSDATA,MATCH("HeavyTrained",CLASSFEATUREHEADERS,0),MATCH(($A989 &amp; "Points"),CLASSNAMEHEADERS,0))),"")))))))))}</f>
        <v>HEAVYL19</v>
      </c>
      <c r="AA988" s="223"/>
      <c r="AB988" s="76" t="str">
        <f t="array" ref="AB988:AB989">{"HEAVY TOTAL";(IF(COUNTBLANK(G989:AA989)=17,"L",(IF(COUNTBLANK(G989:AA989)=18,"M",(IF(COUNTBLANK(G989:AA989)=19,"E",(IF(COUNTBLANK(G989:AA989)=20,"T",""))))))))}</f>
        <v>HEAVY TOTAL</v>
      </c>
      <c r="AC988" s="76" t="str">
        <f t="array" ref="AC988:AC989">{"HEAVY TOTAL";(sum(G989:AA989))}</f>
        <v>HEAVY TOTAL</v>
      </c>
    </row>
    <row r="989">
      <c r="A989" s="48" t="s">
        <v>185</v>
      </c>
      <c r="B989" s="48"/>
      <c r="C989" s="48" t="s">
        <v>412</v>
      </c>
      <c r="D989" s="97" t="s">
        <v>1900</v>
      </c>
      <c r="E989" s="97" t="s">
        <v>533</v>
      </c>
      <c r="F989" s="98" t="s">
        <v>603</v>
      </c>
      <c r="G989" s="132" t="s">
        <v>603</v>
      </c>
      <c r="H989" s="98" t="s">
        <v>603</v>
      </c>
      <c r="I989" s="98"/>
      <c r="J989" s="98" t="s">
        <v>603</v>
      </c>
      <c r="K989" s="98"/>
      <c r="L989" s="98" t="s">
        <v>603</v>
      </c>
      <c r="M989" s="98"/>
      <c r="N989" s="98" t="s">
        <v>603</v>
      </c>
      <c r="O989" s="98"/>
      <c r="P989" s="98" t="s">
        <v>603</v>
      </c>
      <c r="Q989" s="98"/>
      <c r="R989" s="98" t="s">
        <v>603</v>
      </c>
      <c r="S989" s="98"/>
      <c r="T989" s="98" t="s">
        <v>603</v>
      </c>
      <c r="U989" s="98"/>
      <c r="V989" s="98" t="s">
        <v>603</v>
      </c>
      <c r="W989" s="98"/>
      <c r="X989" s="98" t="s">
        <v>603</v>
      </c>
      <c r="Y989" s="98"/>
      <c r="Z989" s="98" t="s">
        <v>603</v>
      </c>
      <c r="AA989" s="98"/>
      <c r="AB989" s="5" t="s">
        <v>603</v>
      </c>
      <c r="AC989" s="47">
        <v>0.0</v>
      </c>
    </row>
    <row r="990" hidden="1">
      <c r="A990" s="222" t="str">
        <f t="array" ref="A990:A991">{"FormulaRow39";(INDEX(CLASSLIST,A913,1))}</f>
        <v>FormulaRow39</v>
      </c>
      <c r="B990" s="77" t="s">
        <v>236</v>
      </c>
      <c r="C990" s="222" t="str">
        <f t="array" ref="C990:C991">{"CLASSTYPE";((INDEX(ALLCLASSDATA,MATCH("ClassType",CLASSFEATUREHEADERS,0),MATCH($A991,CLASSNAMEHEADERS,0))))}</f>
        <v>CLASSTYPE</v>
      </c>
      <c r="D990" s="222" t="str">
        <f t="array" ref="D990:D991">{"SPELL/ALCHEMY";((IF(INDEX(ALLCLASSDATA,MATCH("CasterType",CLASSFEATUREHEADERS,0),MATCH(($A991),CLASSNAMEHEADERS,0))="","",(IF(INDEX(ALLCLASSDATA,MATCH("CasterType",CLASSFEATUREHEADERS,0),MATCH(($A991),CLASSNAMEHEADERS,0))="Alchemy","Alchemy","Spells")))))}</f>
        <v>SPELL/ALCHEMY</v>
      </c>
      <c r="E990" s="222" t="str">
        <f t="array" ref="E990:E991">{"SPELLLIST";(IF(D991="Spells",((INDEX(ALLCLASSDATA,MATCH("CasterType",CLASSFEATUREHEADERS,0),MATCH(($A991),CLASSNAMEHEADERS,0))) &amp; ":" &amp; (INDEX(ALLCLASSDATA,MATCH("SpellList",CLASSFEATUREHEADERS,0),MATCH(($A991),CLASSNAMEHEADERS,0)))),""))}</f>
        <v>SPELLLIST</v>
      </c>
      <c r="F990" s="223" t="str">
        <f t="array" ref="F990:F991">{"SPL";(IF(D991="Spells","SPL:",""))}</f>
        <v>SPL</v>
      </c>
      <c r="G990" s="223" t="str">
        <f t="array" ref="G990:G991">{"CANTRIP/ALC";(IF(D991="Spells","C",(IF(D991="Alchemy","ALC:",""))))}</f>
        <v>CANTRIP/ALC</v>
      </c>
      <c r="H990" s="223" t="str">
        <f t="array" ref="H990:H991">{"SPELL/ALC L01";(IF(D991="Alchemy","L01",(IF(D991="Spells","S01",""))))}</f>
        <v>SPELL/ALC L01</v>
      </c>
      <c r="I990" s="223" t="str">
        <f t="array" ref="I990:I991">{"SPELL/ALC L02";(IF(D991="Alchemy","L02",(IF(D991="Spells","S01",""))))}</f>
        <v>SPELL/ALC L02</v>
      </c>
      <c r="J990" s="223" t="str">
        <f t="array" ref="J990:J991">{"SPELL/ALC L03";(IF(D991="Alchemy","L03",(IF(D991="Spells","S02",""))))}</f>
        <v>SPELL/ALC L03</v>
      </c>
      <c r="K990" s="223" t="str">
        <f t="array" ref="K990:K991">{"SPELL/ALC L04";(IF(D991="Alchemy","L04",(IF(D991="Spells","S02",""))))}</f>
        <v>SPELL/ALC L04</v>
      </c>
      <c r="L990" s="223" t="str">
        <f t="array" ref="L990:L991">{"SPELL/ALC L05";(IF(D991="Alchemy","L05",(IF(D991="Spells","S03",""))))}</f>
        <v>SPELL/ALC L05</v>
      </c>
      <c r="M990" s="223" t="str">
        <f t="array" ref="M990:M991">{"SPELL/ALC L06";(IF(D991="Alchemy","L06",(IF(D991="Spells","S03",""))))}</f>
        <v>SPELL/ALC L06</v>
      </c>
      <c r="N990" s="223" t="str">
        <f t="array" ref="N990:N991">{"SPELL/ALC L07";(IF(D991="Alchemy","L07",(IF(D991="Spells","S04",""))))}</f>
        <v>SPELL/ALC L07</v>
      </c>
      <c r="O990" s="223" t="str">
        <f t="array" ref="O990:O991">{"SPELL/ALC L08";(IF(D991="Alchemy","L08",(IF(D991="Spells","S04",""))))}</f>
        <v>SPELL/ALC L08</v>
      </c>
      <c r="P990" s="223" t="str">
        <f t="array" ref="P990:P991">{"SPELL/ALC L09";(IF(D991="Alchemy","L09",(IF(D991="Spells","S05",""))))}</f>
        <v>SPELL/ALC L09</v>
      </c>
      <c r="Q990" s="223" t="str">
        <f t="array" ref="Q990:Q991">{"SPELL/ALC L10";(IF(D991="Alchemy","L10",(IF(D991="Spells","S05",""))))}</f>
        <v>SPELL/ALC L10</v>
      </c>
      <c r="R990" s="223" t="str">
        <f t="array" ref="R990:R991">{"SPELL/ALC L11";(IF(D991="Alchemy","L11",(IF(D991="Spells","S06",""))))}</f>
        <v>SPELL/ALC L11</v>
      </c>
      <c r="S990" s="223" t="str">
        <f t="array" ref="S990:S991">{"SPELL/ALC L12";(IF(D991="Alchemy","L12",(IF(D991="Spells","S06",""))))}</f>
        <v>SPELL/ALC L12</v>
      </c>
      <c r="T990" s="223" t="str">
        <f t="array" ref="T990:T991">{"SPELL/ALC L13";(IF(D991="Alchemy","L13",(IF(D991="Spells","S07",""))))}</f>
        <v>SPELL/ALC L13</v>
      </c>
      <c r="U990" s="223" t="str">
        <f t="array" ref="U990:U991">{"SPELL/ALC L14";(IF(D991="Alchemy","L14",(IF(D991="Spells","S07",""))))}</f>
        <v>SPELL/ALC L14</v>
      </c>
      <c r="V990" s="223" t="str">
        <f t="array" ref="V990:V991">{"SPELL/ALC L15";(IF(D991="Alchemy","L15",(IF(D991="Spells","S08",""))))}</f>
        <v>SPELL/ALC L15</v>
      </c>
      <c r="W990" s="223" t="str">
        <f t="array" ref="W990:W991">{"SPELL/ALC L16";(IF(D991="Alchemy","L16",(IF(D991="Spells","S08",""))))}</f>
        <v>SPELL/ALC L16</v>
      </c>
      <c r="X990" s="223" t="str">
        <f t="array" ref="X990:X991">{"SPELL/ALC L17";(IF(D991="Alchemy","L17",(IF(D991="Spells","S09",""))))}</f>
        <v>SPELL/ALC L17</v>
      </c>
      <c r="Y990" s="223" t="str">
        <f t="array" ref="Y990:Y991">{"SPELL/ALC L18";(IF(D991="Alchemy","L18",(IF(D991="Spells","S09",""))))}</f>
        <v>SPELL/ALC L18</v>
      </c>
      <c r="Z990" s="223" t="str">
        <f t="array" ref="Z990:Z991">{"SPELL/ALC L19";(IF(D991="Alchemy","L19",(IF(D991="Spells","S10",""))))}</f>
        <v>SPELL/ALC L19</v>
      </c>
      <c r="AA990" s="223" t="str">
        <f t="array" ref="AA990:AA991">{"SPELL/ALC L20";(IF(D991="Alchemy","L20",(IF(D991="Spells","S10",""))))}</f>
        <v>SPELL/ALC L20</v>
      </c>
      <c r="AB990" s="76"/>
      <c r="AC990" s="76"/>
    </row>
    <row r="991">
      <c r="A991" s="48" t="s">
        <v>185</v>
      </c>
      <c r="B991" s="48"/>
      <c r="C991" s="48" t="s">
        <v>412</v>
      </c>
      <c r="D991" s="48" t="s">
        <v>603</v>
      </c>
      <c r="E991" s="48" t="s">
        <v>603</v>
      </c>
      <c r="F991" s="278" t="s">
        <v>603</v>
      </c>
      <c r="G991" s="114" t="s">
        <v>603</v>
      </c>
      <c r="H991" s="279" t="s">
        <v>603</v>
      </c>
      <c r="I991" s="28" t="s">
        <v>603</v>
      </c>
      <c r="J991" s="28" t="s">
        <v>603</v>
      </c>
      <c r="K991" s="28" t="s">
        <v>603</v>
      </c>
      <c r="L991" s="28" t="s">
        <v>603</v>
      </c>
      <c r="M991" s="28" t="s">
        <v>603</v>
      </c>
      <c r="N991" s="28" t="s">
        <v>603</v>
      </c>
      <c r="O991" s="28" t="s">
        <v>603</v>
      </c>
      <c r="P991" s="28" t="s">
        <v>603</v>
      </c>
      <c r="Q991" s="28" t="s">
        <v>603</v>
      </c>
      <c r="R991" s="28" t="s">
        <v>603</v>
      </c>
      <c r="S991" s="28" t="s">
        <v>603</v>
      </c>
      <c r="T991" s="28" t="s">
        <v>603</v>
      </c>
      <c r="U991" s="28" t="s">
        <v>603</v>
      </c>
      <c r="V991" s="28" t="s">
        <v>603</v>
      </c>
      <c r="W991" s="28" t="s">
        <v>603</v>
      </c>
      <c r="X991" s="28" t="s">
        <v>603</v>
      </c>
      <c r="Y991" s="28" t="s">
        <v>603</v>
      </c>
      <c r="Z991" s="28" t="s">
        <v>603</v>
      </c>
      <c r="AA991" s="28" t="s">
        <v>603</v>
      </c>
      <c r="AB991" s="5"/>
      <c r="AC991" s="47"/>
    </row>
    <row r="992" hidden="1">
      <c r="A992" s="222" t="str">
        <f t="array" ref="A992:A993">{"FormulaRow40";(INDEX(CLASSLIST,A913,1))}</f>
        <v>FormulaRow40</v>
      </c>
      <c r="B992" s="77" t="s">
        <v>236</v>
      </c>
      <c r="C992" s="222" t="str">
        <f t="array" ref="C992:C993">{"CLASSTYPE";((INDEX(ALLCLASSDATA,MATCH("ClassType",CLASSFEATUREHEADERS,0),MATCH($A993,CLASSNAMEHEADERS,0))))}</f>
        <v>CLASSTYPE</v>
      </c>
      <c r="D992" s="222" t="str">
        <f t="array" ref="D992:D993">{"SPELL/ALCHEMY";((IF(INDEX(ALLCLASSDATA,MATCH("CasterType",CLASSFEATUREHEADERS,0),MATCH(($A993),CLASSNAMEHEADERS,0))="","",(IF(INDEX(ALLCLASSDATA,MATCH("CasterType",CLASSFEATUREHEADERS,0),MATCH(($A993),CLASSNAMEHEADERS,0))="Alchemy","","Spells")))))}</f>
        <v>SPELL/ALCHEMY</v>
      </c>
      <c r="E992" s="222" t="str">
        <f t="array" ref="E992:E993">{"SPELLLIST";(IF(D993="Spells",((INDEX(ALLCLASSDATA,MATCH("CasterType",CLASSFEATUREHEADERS,0),MATCH(($A993),CLASSNAMEHEADERS,0))) &amp; ":" &amp; (INDEX(ALLCLASSDATA,MATCH("SpellList",CLASSFEATUREHEADERS,0),MATCH(($A993),CLASSNAMEHEADERS,0)))),""))}</f>
        <v>SPELLLIST</v>
      </c>
      <c r="F992" s="222" t="str">
        <f t="array" ref="F992:F993">{"SLOTCOST";(IF(D993="Spells","SlotCost:",""))}</f>
        <v>SLOTCOST</v>
      </c>
      <c r="G992" s="222" t="str">
        <f t="array" ref="G992:G993">{"SLOTCOST CANTRIP";(INDEX(ALLCLASSDATA,MATCH("CantripSlots-L00",CLASSFEATUREHEADERS,0),MATCH(($A993 &amp; "Points"),CLASSNAMEHEADERS,0)))}</f>
        <v>SLOTCOST CANTRIP</v>
      </c>
      <c r="H992" s="222" t="str">
        <f t="array" ref="H992:H993">{"SLOTCOST L01";(INDEX(ALLCLASSDATA,MATCH("SPL01-L01",CLASSFEATUREHEADERS,0),MATCH(($A993 &amp; "Points"),CLASSNAMEHEADERS,0)))}</f>
        <v>SLOTCOST L01</v>
      </c>
      <c r="I992" s="222" t="str">
        <f t="array" ref="I992:I993">{"SLOTCOST L02";(INDEX(ALLCLASSDATA,MATCH("SPL01-L02",CLASSFEATUREHEADERS,0),MATCH(($A993 &amp; "Points"),CLASSNAMEHEADERS,0)))}</f>
        <v>SLOTCOST L02</v>
      </c>
      <c r="J992" s="222" t="str">
        <f t="array" ref="J992:J993">{"SLOTCOST L03";(INDEX(ALLCLASSDATA,MATCH("SPL02-L03",CLASSFEATUREHEADERS,0),MATCH(($A993 &amp; "Points"),CLASSNAMEHEADERS,0)))}</f>
        <v>SLOTCOST L03</v>
      </c>
      <c r="K992" s="222" t="str">
        <f t="array" ref="K992:K993">{"SLOTCOST L04";(INDEX(ALLCLASSDATA,MATCH("SPL02-L04",CLASSFEATUREHEADERS,0),MATCH(($A993 &amp; "Points"),CLASSNAMEHEADERS,0)))}</f>
        <v>SLOTCOST L04</v>
      </c>
      <c r="L992" s="222" t="str">
        <f t="array" ref="L992:L993">{"SLOTCOST L05";(INDEX(ALLCLASSDATA,MATCH("SPL03-L05",CLASSFEATUREHEADERS,0),MATCH(($A993 &amp; "Points"),CLASSNAMEHEADERS,0)))}</f>
        <v>SLOTCOST L05</v>
      </c>
      <c r="M992" s="222" t="str">
        <f t="array" ref="M992:M993">{"SLOTCOST L06";(INDEX(ALLCLASSDATA,MATCH("SPL03-L06",CLASSFEATUREHEADERS,0),MATCH(($A993 &amp; "Points"),CLASSNAMEHEADERS,0)))}</f>
        <v>SLOTCOST L06</v>
      </c>
      <c r="N992" s="222" t="str">
        <f t="array" ref="N992:N993">{"SLOTCOST L07";(INDEX(ALLCLASSDATA,MATCH("SPL04-L07",CLASSFEATUREHEADERS,0),MATCH(($A993 &amp; "Points"),CLASSNAMEHEADERS,0)))}</f>
        <v>SLOTCOST L07</v>
      </c>
      <c r="O992" s="222" t="str">
        <f t="array" ref="O992:O993">{"SLOTCOST L08";(INDEX(ALLCLASSDATA,MATCH("SPL04-L08",CLASSFEATUREHEADERS,0),MATCH(($A993 &amp; "Points"),CLASSNAMEHEADERS,0)))}</f>
        <v>SLOTCOST L08</v>
      </c>
      <c r="P992" s="222" t="str">
        <f t="array" ref="P992:P993">{"SLOTCOST L09";(INDEX(ALLCLASSDATA,MATCH("SPL05-L09",CLASSFEATUREHEADERS,0),MATCH(($A993 &amp; "Points"),CLASSNAMEHEADERS,0)))}</f>
        <v>SLOTCOST L09</v>
      </c>
      <c r="Q992" s="222" t="str">
        <f t="array" ref="Q992:Q993">{"SLOTCOST L10";(INDEX(ALLCLASSDATA,MATCH("SPL05-L10",CLASSFEATUREHEADERS,0),MATCH(($A993 &amp; "Points"),CLASSNAMEHEADERS,0)))}</f>
        <v>SLOTCOST L10</v>
      </c>
      <c r="R992" s="222" t="str">
        <f t="array" ref="R992:R993">{"SLOTCOST L11";(INDEX(ALLCLASSDATA,MATCH("SPL06-L11",CLASSFEATUREHEADERS,0),MATCH(($A993 &amp; "Points"),CLASSNAMEHEADERS,0)))}</f>
        <v>SLOTCOST L11</v>
      </c>
      <c r="S992" s="222" t="str">
        <f t="array" ref="S992:S993">{"SLOTCOST L12";(INDEX(ALLCLASSDATA,MATCH("SPL06-L12",CLASSFEATUREHEADERS,0),MATCH(($A993 &amp; "Points"),CLASSNAMEHEADERS,0)))}</f>
        <v>SLOTCOST L12</v>
      </c>
      <c r="T992" s="222" t="str">
        <f t="array" ref="T992:T993">{"SLOTCOST L13";(INDEX(ALLCLASSDATA,MATCH("SPL07-L13",CLASSFEATUREHEADERS,0),MATCH(($A993 &amp; "Points"),CLASSNAMEHEADERS,0)))}</f>
        <v>SLOTCOST L13</v>
      </c>
      <c r="U992" s="222" t="str">
        <f t="array" ref="U992:U993">{"SLOTCOST L14";(INDEX(ALLCLASSDATA,MATCH("SPL07-L14",CLASSFEATUREHEADERS,0),MATCH(($A993 &amp; "Points"),CLASSNAMEHEADERS,0)))}</f>
        <v>SLOTCOST L14</v>
      </c>
      <c r="V992" s="222" t="str">
        <f t="array" ref="V992:V993">{"SLOTCOST L15";(INDEX(ALLCLASSDATA,MATCH("SPL08-L15",CLASSFEATUREHEADERS,0),MATCH(($A993 &amp; "Points"),CLASSNAMEHEADERS,0)))}</f>
        <v>SLOTCOST L15</v>
      </c>
      <c r="W992" s="222" t="str">
        <f t="array" ref="W992:W993">{"SLOTCOST L16";(INDEX(ALLCLASSDATA,MATCH("SPL08-L16",CLASSFEATUREHEADERS,0),MATCH(($A993 &amp; "Points"),CLASSNAMEHEADERS,0)))}</f>
        <v>SLOTCOST L16</v>
      </c>
      <c r="X992" s="222" t="str">
        <f t="array" ref="X992:X993">{"SLOTCOST L17";(INDEX(ALLCLASSDATA,MATCH("SPL09-L17",CLASSFEATUREHEADERS,0),MATCH(($A993 &amp; "Points"),CLASSNAMEHEADERS,0)))}</f>
        <v>SLOTCOST L17</v>
      </c>
      <c r="Y992" s="222" t="str">
        <f t="array" ref="Y992:Y993">{"SLOTCOST L18";(INDEX(ALLCLASSDATA,MATCH("SPL09-L18",CLASSFEATUREHEADERS,0),MATCH(($A993 &amp; "Points"),CLASSNAMEHEADERS,0)))}</f>
        <v>SLOTCOST L18</v>
      </c>
      <c r="Z992" s="222" t="str">
        <f t="array" ref="Z992:Z993">{"SLOTCOST L19";(INDEX(ALLCLASSDATA,MATCH("SPL10-L19",CLASSFEATUREHEADERS,0),MATCH(($A993 &amp; "Points"),CLASSNAMEHEADERS,0)))}</f>
        <v>SLOTCOST L19</v>
      </c>
      <c r="AA992" s="222" t="str">
        <f t="array" ref="AA992:AA993">{"SLOTCOST L20";(INDEX(ALLCLASSDATA,MATCH("SPL10-L20",CLASSFEATUREHEADERS,0),MATCH(($A993 &amp; "Points"),CLASSNAMEHEADERS,0)))}</f>
        <v>SLOTCOST L20</v>
      </c>
      <c r="AB992" s="76"/>
      <c r="AC992" s="76" t="str">
        <f t="array" ref="AC992:AC993">{"SLOT TOTAL";(sum(G993:AA993))}</f>
        <v>SLOT TOTAL</v>
      </c>
    </row>
    <row r="993">
      <c r="A993" s="48" t="s">
        <v>185</v>
      </c>
      <c r="B993" s="48"/>
      <c r="C993" s="48" t="s">
        <v>412</v>
      </c>
      <c r="D993" s="48" t="s">
        <v>603</v>
      </c>
      <c r="E993" s="48" t="s">
        <v>603</v>
      </c>
      <c r="F993" s="278" t="s">
        <v>603</v>
      </c>
      <c r="G993" s="47" t="s">
        <v>603</v>
      </c>
      <c r="H993" s="5" t="s">
        <v>603</v>
      </c>
      <c r="I993" s="5" t="s">
        <v>603</v>
      </c>
      <c r="J993" s="5" t="s">
        <v>603</v>
      </c>
      <c r="K993" s="5" t="s">
        <v>603</v>
      </c>
      <c r="L993" s="5" t="s">
        <v>603</v>
      </c>
      <c r="M993" s="48" t="s">
        <v>603</v>
      </c>
      <c r="N993" s="5" t="s">
        <v>603</v>
      </c>
      <c r="O993" s="5" t="s">
        <v>603</v>
      </c>
      <c r="P993" s="5" t="s">
        <v>603</v>
      </c>
      <c r="Q993" s="5" t="s">
        <v>603</v>
      </c>
      <c r="R993" s="5" t="s">
        <v>603</v>
      </c>
      <c r="S993" s="5" t="s">
        <v>603</v>
      </c>
      <c r="T993" s="5" t="s">
        <v>603</v>
      </c>
      <c r="U993" s="5" t="s">
        <v>603</v>
      </c>
      <c r="V993" s="5" t="s">
        <v>603</v>
      </c>
      <c r="W993" s="5" t="s">
        <v>603</v>
      </c>
      <c r="X993" s="5" t="s">
        <v>603</v>
      </c>
      <c r="Y993" s="5" t="s">
        <v>603</v>
      </c>
      <c r="Z993" s="5" t="s">
        <v>603</v>
      </c>
      <c r="AA993" s="5" t="s">
        <v>603</v>
      </c>
      <c r="AB993" s="5"/>
      <c r="AC993" s="47">
        <v>0.0</v>
      </c>
    </row>
    <row r="994" hidden="1">
      <c r="A994" s="222" t="str">
        <f t="array" ref="A994:A995">{"FormulaRow41";(INDEX(CLASSLIST,A913,1))}</f>
        <v>FormulaRow41</v>
      </c>
      <c r="B994" s="77" t="s">
        <v>236</v>
      </c>
      <c r="C994" s="222" t="str">
        <f t="array" ref="C994:C995">{"CLASSTYPE";((INDEX(ALLCLASSDATA,MATCH("ClassType",CLASSFEATUREHEADERS,0),MATCH($A995,CLASSNAMEHEADERS,0))))}</f>
        <v>CLASSTYPE</v>
      </c>
      <c r="D994" s="222" t="str">
        <f t="array" ref="D994:D995">{"SPELL/ALCHEMY";((IF(INDEX(ALLCLASSDATA,MATCH("CasterType",CLASSFEATUREHEADERS,0),MATCH(($A995),CLASSNAMEHEADERS,0))="","",(IF(INDEX(ALLCLASSDATA,MATCH("CasterType",CLASSFEATUREHEADERS,0),MATCH(($A995),CLASSNAMEHEADERS,0))="Alchemy","Alchemy","Spells")))))}</f>
        <v>SPELL/ALCHEMY</v>
      </c>
      <c r="E994" s="222" t="str">
        <f t="array" ref="E994:E995">{"SPELLLIST";(IF(D995="Spells",((INDEX(ALLCLASSDATA,MATCH("CasterType",CLASSFEATUREHEADERS,0),MATCH(($A995),CLASSNAMEHEADERS,0))) &amp; ":" &amp; (INDEX(ALLCLASSDATA,MATCH("SpellList",CLASSFEATUREHEADERS,0),MATCH(($A995),CLASSNAMEHEADERS,0)))),""))}</f>
        <v>SPELLLIST</v>
      </c>
      <c r="F994" s="223" t="str">
        <f t="array" ref="F994:F995">{"LEARNEDCOST";(IF(D995="","","LearnCost:"))}</f>
        <v>LEARNEDCOST</v>
      </c>
      <c r="G994" s="223" t="str">
        <f t="array" ref="G994:G995">{"LEARNED CANTRIPS";(INDEX(ALLCLASSDATA,MATCH("CantripsLearned-L00",CLASSFEATUREHEADERS,0),MATCH(($A995 &amp; "Points"),CLASSNAMEHEADERS,0)))}</f>
        <v>LEARNED CANTRIPS</v>
      </c>
      <c r="H994" s="223" t="str">
        <f t="array" ref="H994:H995">{"LEARNED L01";(INDEX(ALLCLASSDATA,MATCH("Learned-L01",CLASSFEATUREHEADERS,0),MATCH(($A995 &amp; "Points"),CLASSNAMEHEADERS,0)))}</f>
        <v>LEARNED L01</v>
      </c>
      <c r="I994" s="223" t="str">
        <f t="array" ref="I994:I995">{"LEARNED L02";(INDEX(ALLCLASSDATA,MATCH("Learned-L02",CLASSFEATUREHEADERS,0),MATCH(($A995 &amp; "Points"),CLASSNAMEHEADERS,0)))}</f>
        <v>LEARNED L02</v>
      </c>
      <c r="J994" s="223" t="str">
        <f t="array" ref="J994:J995">{"LEARNED L03";(INDEX(ALLCLASSDATA,MATCH("Learned-L03",CLASSFEATUREHEADERS,0),MATCH(($A995 &amp; "Points"),CLASSNAMEHEADERS,0)))}</f>
        <v>LEARNED L03</v>
      </c>
      <c r="K994" s="223" t="str">
        <f t="array" ref="K994:K995">{"LEARNED L04";(INDEX(ALLCLASSDATA,MATCH("Learned-L04",CLASSFEATUREHEADERS,0),MATCH(($A995 &amp; "Points"),CLASSNAMEHEADERS,0)))}</f>
        <v>LEARNED L04</v>
      </c>
      <c r="L994" s="223" t="str">
        <f t="array" ref="L994:L995">{"LEARNED L05";(INDEX(ALLCLASSDATA,MATCH("Learned-L05",CLASSFEATUREHEADERS,0),MATCH(($A995 &amp; "Points"),CLASSNAMEHEADERS,0)))}</f>
        <v>LEARNED L05</v>
      </c>
      <c r="M994" s="223" t="str">
        <f t="array" ref="M994:M995">{"LEARNED L06";(INDEX(ALLCLASSDATA,MATCH("Learned-L06",CLASSFEATUREHEADERS,0),MATCH(($A995 &amp; "Points"),CLASSNAMEHEADERS,0)))}</f>
        <v>LEARNED L06</v>
      </c>
      <c r="N994" s="223" t="str">
        <f t="array" ref="N994:N995">{"LEARNED L07";(INDEX(ALLCLASSDATA,MATCH("Learned-L07",CLASSFEATUREHEADERS,0),MATCH(($A995 &amp; "Points"),CLASSNAMEHEADERS,0)))}</f>
        <v>LEARNED L07</v>
      </c>
      <c r="O994" s="223" t="str">
        <f t="array" ref="O994:O995">{"LEARNED L08";(INDEX(ALLCLASSDATA,MATCH("Learned-L08",CLASSFEATUREHEADERS,0),MATCH(($A995 &amp; "Points"),CLASSNAMEHEADERS,0)))}</f>
        <v>LEARNED L08</v>
      </c>
      <c r="P994" s="223" t="str">
        <f t="array" ref="P994:P995">{"LEARNED L09";(INDEX(ALLCLASSDATA,MATCH("Learned-L09",CLASSFEATUREHEADERS,0),MATCH(($A995 &amp; "Points"),CLASSNAMEHEADERS,0)))}</f>
        <v>LEARNED L09</v>
      </c>
      <c r="Q994" s="223" t="str">
        <f t="array" ref="Q994:Q995">{"LEARNED L10";(INDEX(ALLCLASSDATA,MATCH("Learned-L10",CLASSFEATUREHEADERS,0),MATCH(($A995 &amp; "Points"),CLASSNAMEHEADERS,0)))}</f>
        <v>LEARNED L10</v>
      </c>
      <c r="R994" s="223" t="str">
        <f t="array" ref="R994:R995">{"LEARNED L11";(INDEX(ALLCLASSDATA,MATCH("Learned-L11",CLASSFEATUREHEADERS,0),MATCH(($A995 &amp; "Points"),CLASSNAMEHEADERS,0)))}</f>
        <v>LEARNED L11</v>
      </c>
      <c r="S994" s="223" t="str">
        <f t="array" ref="S994:S995">{"LEARNED L12";(INDEX(ALLCLASSDATA,MATCH("Learned-L12",CLASSFEATUREHEADERS,0),MATCH(($A995 &amp; "Points"),CLASSNAMEHEADERS,0)))}</f>
        <v>LEARNED L12</v>
      </c>
      <c r="T994" s="223" t="str">
        <f t="array" ref="T994:T995">{"LEARNED L13";(INDEX(ALLCLASSDATA,MATCH("Learned-L13",CLASSFEATUREHEADERS,0),MATCH(($A995 &amp; "Points"),CLASSNAMEHEADERS,0)))}</f>
        <v>LEARNED L13</v>
      </c>
      <c r="U994" s="223" t="str">
        <f t="array" ref="U994:U995">{"LEARNED L14";(INDEX(ALLCLASSDATA,MATCH("Learned-L14",CLASSFEATUREHEADERS,0),MATCH(($A995 &amp; "Points"),CLASSNAMEHEADERS,0)))}</f>
        <v>LEARNED L14</v>
      </c>
      <c r="V994" s="223" t="str">
        <f t="array" ref="V994:V995">{"LEARNED L15";(INDEX(ALLCLASSDATA,MATCH("Learned-L15",CLASSFEATUREHEADERS,0),MATCH(($A995 &amp; "Points"),CLASSNAMEHEADERS,0)))}</f>
        <v>LEARNED L15</v>
      </c>
      <c r="W994" s="223" t="str">
        <f t="array" ref="W994:W995">{"LEARNED L16";(INDEX(ALLCLASSDATA,MATCH("Learned-L16",CLASSFEATUREHEADERS,0),MATCH(($A995 &amp; "Points"),CLASSNAMEHEADERS,0)))}</f>
        <v>LEARNED L16</v>
      </c>
      <c r="X994" s="223" t="str">
        <f t="array" ref="X994:X995">{"LEARNED L17";(INDEX(ALLCLASSDATA,MATCH("Learned-L17",CLASSFEATUREHEADERS,0),MATCH(($A995 &amp; "Points"),CLASSNAMEHEADERS,0)))}</f>
        <v>LEARNED L17</v>
      </c>
      <c r="Y994" s="223" t="str">
        <f t="array" ref="Y994:Y995">{"LEARNED L18";(INDEX(ALLCLASSDATA,MATCH("Learned-L18",CLASSFEATUREHEADERS,0),MATCH(($A995 &amp; "Points"),CLASSNAMEHEADERS,0)))}</f>
        <v>LEARNED L18</v>
      </c>
      <c r="Z994" s="223" t="str">
        <f t="array" ref="Z994:Z995">{"LEARNED L19";(INDEX(ALLCLASSDATA,MATCH("Learned-L19",CLASSFEATUREHEADERS,0),MATCH(($A995 &amp; "Points"),CLASSNAMEHEADERS,0)))}</f>
        <v>LEARNED L19</v>
      </c>
      <c r="AA994" s="223" t="str">
        <f t="array" ref="AA994:AA995">{"LEARNED L20";(INDEX(ALLCLASSDATA,MATCH("Learned-L20",CLASSFEATUREHEADERS,0),MATCH(($A995 &amp; "Points"),CLASSNAMEHEADERS,0)))}</f>
        <v>LEARNED L20</v>
      </c>
      <c r="AB994" s="76"/>
      <c r="AC994" s="76" t="str">
        <f t="array" ref="AC994:AC995">{"LEARNED TOTAL";(sum(G995:AA995))}</f>
        <v>LEARNED TOTAL</v>
      </c>
    </row>
    <row r="995">
      <c r="A995" s="48" t="s">
        <v>185</v>
      </c>
      <c r="B995" s="48"/>
      <c r="C995" s="48" t="s">
        <v>412</v>
      </c>
      <c r="D995" s="48" t="s">
        <v>603</v>
      </c>
      <c r="E995" s="48" t="s">
        <v>603</v>
      </c>
      <c r="F995" s="278" t="s">
        <v>603</v>
      </c>
      <c r="G995" s="47" t="s">
        <v>603</v>
      </c>
      <c r="H995" s="5" t="s">
        <v>603</v>
      </c>
      <c r="I995" s="5" t="s">
        <v>603</v>
      </c>
      <c r="J995" s="5" t="s">
        <v>603</v>
      </c>
      <c r="K995" s="5" t="s">
        <v>603</v>
      </c>
      <c r="L995" s="5" t="s">
        <v>603</v>
      </c>
      <c r="M995" s="5" t="s">
        <v>603</v>
      </c>
      <c r="N995" s="48" t="s">
        <v>603</v>
      </c>
      <c r="O995" s="5" t="s">
        <v>603</v>
      </c>
      <c r="P995" s="5" t="s">
        <v>603</v>
      </c>
      <c r="Q995" s="5" t="s">
        <v>603</v>
      </c>
      <c r="R995" s="5" t="s">
        <v>603</v>
      </c>
      <c r="S995" s="5" t="s">
        <v>603</v>
      </c>
      <c r="T995" s="5" t="s">
        <v>603</v>
      </c>
      <c r="U995" s="5" t="s">
        <v>603</v>
      </c>
      <c r="V995" s="5" t="s">
        <v>603</v>
      </c>
      <c r="W995" s="5" t="s">
        <v>603</v>
      </c>
      <c r="X995" s="5" t="s">
        <v>603</v>
      </c>
      <c r="Y995" s="5" t="s">
        <v>603</v>
      </c>
      <c r="Z995" s="5" t="s">
        <v>603</v>
      </c>
      <c r="AA995" s="5" t="s">
        <v>603</v>
      </c>
      <c r="AB995" s="5"/>
      <c r="AC995" s="47">
        <v>0.0</v>
      </c>
    </row>
    <row r="996" hidden="1">
      <c r="A996" s="222" t="str">
        <f t="array" ref="A996:A997">{"FormulaRow42";(INDEX(CLASSLIST,A913,1))}</f>
        <v>FormulaRow42</v>
      </c>
      <c r="B996" s="77" t="s">
        <v>236</v>
      </c>
      <c r="C996" s="222" t="str">
        <f t="array" ref="C996:C997">{"CLASSTYPE";((INDEX(ALLCLASSDATA,MATCH("ClassType",CLASSFEATUREHEADERS,0),MATCH($A997,CLASSNAMEHEADERS,0))))}</f>
        <v>CLASSTYPE</v>
      </c>
      <c r="D996" s="222" t="str">
        <f t="array" ref="D996:D997">{"SPELL/ALCHEMY";((IF(INDEX(ALLCLASSDATA,MATCH("CasterType",CLASSFEATUREHEADERS,0),MATCH(($A997),CLASSNAMEHEADERS,0))="","",(IF(INDEX(ALLCLASSDATA,MATCH("CasterType",CLASSFEATUREHEADERS,0),MATCH(($A997),CLASSNAMEHEADERS,0))="Alchemy","","Spells")))))}</f>
        <v>SPELL/ALCHEMY</v>
      </c>
      <c r="E996" s="222" t="str">
        <f t="array" ref="E996:E997">{"SPELLLIST";(IF(D997="Spells",((INDEX(ALLCLASSDATA,MATCH("CasterType",CLASSFEATUREHEADERS,0),MATCH(($A997),CLASSNAMEHEADERS,0))) &amp; ":" &amp; (INDEX(ALLCLASSDATA,MATCH("SpellList",CLASSFEATUREHEADERS,0),MATCH(($A997),CLASSNAMEHEADERS,0)))),""))}</f>
        <v>SPELLLIST</v>
      </c>
      <c r="F996" s="223" t="str">
        <f t="array" ref="F996:F997">{"SLOT/LVL";(IF(D991="Spells","Slot/LVL:",""))}</f>
        <v>SLOT/LVL</v>
      </c>
      <c r="G996" s="223" t="str">
        <f t="array" ref="G996:G997">{"CANTRIPSLOTS";(INDEX(ALLCLASSDATA,MATCH("CantripSlots-L00",CLASSFEATUREHEADERS,0),MATCH($A997,CLASSNAMEHEADERS,0)))}</f>
        <v>CANTRIPSLOTS</v>
      </c>
      <c r="H996" s="223" t="str">
        <f t="array" ref="H996:H997">{"SPL01-L01";(INDEX(ALLCLASSDATA,MATCH("SPL01-L01",CLASSFEATUREHEADERS,0),MATCH($A997,CLASSNAMEHEADERS,0)))}</f>
        <v>SPL01-L01</v>
      </c>
      <c r="I996" s="223" t="str">
        <f t="array" ref="I996:I997">{"SPL01-L02";(INDEX(ALLCLASSDATA,MATCH("SPL01-L02",CLASSFEATUREHEADERS,0),MATCH($A997,CLASSNAMEHEADERS,0)))}</f>
        <v>SPL01-L02</v>
      </c>
      <c r="J996" s="223" t="str">
        <f t="array" ref="J996:J997">{"SPL02-L03";(INDEX(ALLCLASSDATA,MATCH("SPL02-L03",CLASSFEATUREHEADERS,0),MATCH($A997,CLASSNAMEHEADERS,0)))}</f>
        <v>SPL02-L03</v>
      </c>
      <c r="K996" s="223" t="str">
        <f t="array" ref="K996:K997">{"SPL02-L04";(INDEX(ALLCLASSDATA,MATCH("SPL02-L04",CLASSFEATUREHEADERS,0),MATCH($A997,CLASSNAMEHEADERS,0)))}</f>
        <v>SPL02-L04</v>
      </c>
      <c r="L996" s="223" t="str">
        <f t="array" ref="L996:L997">{"SPL03-L05";(INDEX(ALLCLASSDATA,MATCH("SPL03-L05",CLASSFEATUREHEADERS,0),MATCH($A997,CLASSNAMEHEADERS,0)))}</f>
        <v>SPL03-L05</v>
      </c>
      <c r="M996" s="223" t="str">
        <f t="array" ref="M996:M997">{"SPL03-L06";(INDEX(ALLCLASSDATA,MATCH("SPL03-L06",CLASSFEATUREHEADERS,0),MATCH($A997,CLASSNAMEHEADERS,0)))}</f>
        <v>SPL03-L06</v>
      </c>
      <c r="N996" s="223" t="str">
        <f t="array" ref="N996:N997">{"SPL04-L07";(INDEX(ALLCLASSDATA,MATCH("SPL04-L07",CLASSFEATUREHEADERS,0),MATCH($A997,CLASSNAMEHEADERS,0)))}</f>
        <v>SPL04-L07</v>
      </c>
      <c r="O996" s="223" t="str">
        <f t="array" ref="O996:O997">{"SPL04-L08";(INDEX(ALLCLASSDATA,MATCH("SPL04-L08",CLASSFEATUREHEADERS,0),MATCH($A997,CLASSNAMEHEADERS,0)))}</f>
        <v>SPL04-L08</v>
      </c>
      <c r="P996" s="223" t="str">
        <f t="array" ref="P996:P997">{"SPL05-L09";(INDEX(ALLCLASSDATA,MATCH("SPL05-L09",CLASSFEATUREHEADERS,0),MATCH($A997,CLASSNAMEHEADERS,0)))}</f>
        <v>SPL05-L09</v>
      </c>
      <c r="Q996" s="223" t="str">
        <f t="array" ref="Q996:Q997">{"SPL05-L10";(INDEX(ALLCLASSDATA,MATCH("SPL05-L10",CLASSFEATUREHEADERS,0),MATCH($A997,CLASSNAMEHEADERS,0)))}</f>
        <v>SPL05-L10</v>
      </c>
      <c r="R996" s="223" t="str">
        <f t="array" ref="R996:R997">{"SPL06-L11";(INDEX(ALLCLASSDATA,MATCH("SPL06-L11",CLASSFEATUREHEADERS,0),MATCH($A997,CLASSNAMEHEADERS,0)))}</f>
        <v>SPL06-L11</v>
      </c>
      <c r="S996" s="223" t="str">
        <f t="array" ref="S996:S997">{"SPL06-L12";(INDEX(ALLCLASSDATA,MATCH("SPL06-L12",CLASSFEATUREHEADERS,0),MATCH($A997,CLASSNAMEHEADERS,0)))}</f>
        <v>SPL06-L12</v>
      </c>
      <c r="T996" s="223" t="str">
        <f t="array" ref="T996:T997">{"SPL07-L13";(INDEX(ALLCLASSDATA,MATCH("SPL07-L13",CLASSFEATUREHEADERS,0),MATCH($A997,CLASSNAMEHEADERS,0)))}</f>
        <v>SPL07-L13</v>
      </c>
      <c r="U996" s="223" t="str">
        <f t="array" ref="U996:U997">{"SPL07-L14";(INDEX(ALLCLASSDATA,MATCH("SPL07-L14",CLASSFEATUREHEADERS,0),MATCH($A997,CLASSNAMEHEADERS,0)))}</f>
        <v>SPL07-L14</v>
      </c>
      <c r="V996" s="223" t="str">
        <f t="array" ref="V996:V997">{"SPL08-L15";(INDEX(ALLCLASSDATA,MATCH("SPL08-L15",CLASSFEATUREHEADERS,0),MATCH($A997,CLASSNAMEHEADERS,0)))}</f>
        <v>SPL08-L15</v>
      </c>
      <c r="W996" s="223" t="str">
        <f t="array" ref="W996:W997">{"SPL08-L16";(INDEX(ALLCLASSDATA,MATCH("SPL08-L16",CLASSFEATUREHEADERS,0),MATCH($A997,CLASSNAMEHEADERS,0)))}</f>
        <v>SPL08-L16</v>
      </c>
      <c r="X996" s="223" t="str">
        <f t="array" ref="X996:X997">{"SPL09-L17";(INDEX(ALLCLASSDATA,MATCH("SPL09-L17",CLASSFEATUREHEADERS,0),MATCH($A997,CLASSNAMEHEADERS,0)))}</f>
        <v>SPL09-L17</v>
      </c>
      <c r="Y996" s="223" t="str">
        <f t="array" ref="Y996:Y997">{"SPL09-L18";(INDEX(ALLCLASSDATA,MATCH("SPL09-L18",CLASSFEATUREHEADERS,0),MATCH($A997,CLASSNAMEHEADERS,0)))}</f>
        <v>SPL09-L18</v>
      </c>
      <c r="Z996" s="223" t="str">
        <f t="array" ref="Z996:Z997">{"SPL10-L19";(INDEX(ALLCLASSDATA,MATCH("SPL10-L19",CLASSFEATUREHEADERS,0),MATCH($A997,CLASSNAMEHEADERS,0)))}</f>
        <v>SPL10-L19</v>
      </c>
      <c r="AA996" s="223" t="str">
        <f t="array" ref="AA996:AA997">{"SPL10-L20";(INDEX(ALLCLASSDATA,MATCH("SPL10-L20",CLASSFEATUREHEADERS,0),MATCH($A997,CLASSNAMEHEADERS,0)))}</f>
        <v>SPL10-L20</v>
      </c>
      <c r="AB996" s="76"/>
      <c r="AC996" s="76"/>
    </row>
    <row r="997">
      <c r="A997" s="48" t="s">
        <v>185</v>
      </c>
      <c r="B997" s="48"/>
      <c r="C997" s="48" t="s">
        <v>412</v>
      </c>
      <c r="D997" s="48" t="s">
        <v>603</v>
      </c>
      <c r="E997" s="48" t="s">
        <v>603</v>
      </c>
      <c r="F997" s="278" t="s">
        <v>603</v>
      </c>
      <c r="G997" s="280"/>
      <c r="H997" s="50"/>
      <c r="I997" s="50"/>
      <c r="J997" s="50"/>
      <c r="K997" s="50"/>
      <c r="L997" s="50"/>
      <c r="M997" s="50"/>
      <c r="N997" s="50"/>
      <c r="O997" s="50"/>
      <c r="P997" s="50"/>
      <c r="Q997" s="50"/>
      <c r="R997" s="50"/>
      <c r="S997" s="50"/>
      <c r="T997" s="50"/>
      <c r="U997" s="50"/>
      <c r="V997" s="50"/>
      <c r="W997" s="50"/>
      <c r="X997" s="50"/>
      <c r="Y997" s="50"/>
      <c r="Z997" s="50"/>
      <c r="AA997" s="50"/>
      <c r="AB997" s="278"/>
      <c r="AC997" s="47"/>
    </row>
    <row r="998" hidden="1">
      <c r="A998" s="222" t="str">
        <f t="array" ref="A998:A999">{"FormulaRow43";(INDEX(CLASSLIST,A913,1))}</f>
        <v>FormulaRow43</v>
      </c>
      <c r="B998" s="77" t="s">
        <v>236</v>
      </c>
      <c r="C998" s="222" t="str">
        <f t="array" ref="C998:C999">{"CLASSTYPE";((INDEX(ALLCLASSDATA,MATCH("ClassType",CLASSFEATUREHEADERS,0),MATCH($A999,CLASSNAMEHEADERS,0))))}</f>
        <v>CLASSTYPE</v>
      </c>
      <c r="D998" s="222" t="str">
        <f t="array" ref="D998:D999">{"SPELL/ALCHEMY";((IF(INDEX(ALLCLASSDATA,MATCH("CasterType",CLASSFEATUREHEADERS,0),MATCH(($A999),CLASSNAMEHEADERS,0))="","",(IF(INDEX(ALLCLASSDATA,MATCH("CasterType",CLASSFEATUREHEADERS,0),MATCH(($A999),CLASSNAMEHEADERS,0))="Alchemy","Alchemy","Spells")))))}</f>
        <v>SPELL/ALCHEMY</v>
      </c>
      <c r="E998" s="222" t="str">
        <f t="array" ref="E998:E999">{"SPELLLIST";(IF(D999="Spells",((INDEX(ALLCLASSDATA,MATCH("CasterType",CLASSFEATUREHEADERS,0),MATCH(($A999),CLASSNAMEHEADERS,0))) &amp; ":" &amp; (INDEX(ALLCLASSDATA,MATCH("SpellList",CLASSFEATUREHEADERS,0),MATCH(($A999),CLASSNAMEHEADERS,0)))),""))}</f>
        <v>SPELLLIST</v>
      </c>
      <c r="F998" s="223" t="str">
        <f t="array" ref="F998:F999">{"LEARNED/LVL";(IF(D999="","","Learn/LVL:"))}</f>
        <v>LEARNED/LVL</v>
      </c>
      <c r="G998" s="223" t="str">
        <f t="array" ref="G998:G999">{"LEARNEDCANTRIPS";(INDEX(ALLCLASSDATA,MATCH("CantripsLearned-L00",CLASSFEATUREHEADERS,0),MATCH($A999,CLASSNAMEHEADERS,0)))}</f>
        <v>LEARNEDCANTRIPS</v>
      </c>
      <c r="H998" s="223" t="str">
        <f t="array" ref="H998:H999">{"LEARNED L01";(INDEX(ALLCLASSDATA,MATCH("Learned-L01",CLASSFEATUREHEADERS,0),MATCH($A999,CLASSNAMEHEADERS,0)))}</f>
        <v>LEARNED L01</v>
      </c>
      <c r="I998" s="223" t="str">
        <f t="array" ref="I998:I999">{"LEARNED L02";(INDEX(ALLCLASSDATA,MATCH("Learned-L02",CLASSFEATUREHEADERS,0),MATCH($A999,CLASSNAMEHEADERS,0)))}</f>
        <v>LEARNED L02</v>
      </c>
      <c r="J998" s="223" t="str">
        <f t="array" ref="J998:J999">{"LEARNED L03";(INDEX(ALLCLASSDATA,MATCH("Learned-L03",CLASSFEATUREHEADERS,0),MATCH($A999,CLASSNAMEHEADERS,0)))}</f>
        <v>LEARNED L03</v>
      </c>
      <c r="K998" s="223" t="str">
        <f t="array" ref="K998:K999">{"LEARNED L04";(INDEX(ALLCLASSDATA,MATCH("Learned-L04",CLASSFEATUREHEADERS,0),MATCH($A999,CLASSNAMEHEADERS,0)))}</f>
        <v>LEARNED L04</v>
      </c>
      <c r="L998" s="223" t="str">
        <f t="array" ref="L998:L999">{"LEARNED L05";(INDEX(ALLCLASSDATA,MATCH("Learned-L05",CLASSFEATUREHEADERS,0),MATCH($A999,CLASSNAMEHEADERS,0)))}</f>
        <v>LEARNED L05</v>
      </c>
      <c r="M998" s="223" t="str">
        <f t="array" ref="M998:M999">{"LEARNED L06";(INDEX(ALLCLASSDATA,MATCH("Learned-L06",CLASSFEATUREHEADERS,0),MATCH($A999,CLASSNAMEHEADERS,0)))}</f>
        <v>LEARNED L06</v>
      </c>
      <c r="N998" s="223" t="str">
        <f t="array" ref="N998:N999">{"LEARNED L07";(INDEX(ALLCLASSDATA,MATCH("Learned-L07",CLASSFEATUREHEADERS,0),MATCH($A999,CLASSNAMEHEADERS,0)))}</f>
        <v>LEARNED L07</v>
      </c>
      <c r="O998" s="223" t="str">
        <f t="array" ref="O998:O999">{"LEARNED L08";(INDEX(ALLCLASSDATA,MATCH("Learned-L08",CLASSFEATUREHEADERS,0),MATCH($A999,CLASSNAMEHEADERS,0)))}</f>
        <v>LEARNED L08</v>
      </c>
      <c r="P998" s="223" t="str">
        <f t="array" ref="P998:P999">{"LEARNED L09";(INDEX(ALLCLASSDATA,MATCH("Learned-L09",CLASSFEATUREHEADERS,0),MATCH($A999,CLASSNAMEHEADERS,0)))}</f>
        <v>LEARNED L09</v>
      </c>
      <c r="Q998" s="223" t="str">
        <f t="array" ref="Q998:Q999">{"LEARNED L10";(INDEX(ALLCLASSDATA,MATCH("Learned-L10",CLASSFEATUREHEADERS,0),MATCH($A999,CLASSNAMEHEADERS,0)))}</f>
        <v>LEARNED L10</v>
      </c>
      <c r="R998" s="223" t="str">
        <f t="array" ref="R998:R999">{"LEARNED L11";(INDEX(ALLCLASSDATA,MATCH("Learned-L11",CLASSFEATUREHEADERS,0),MATCH($A999,CLASSNAMEHEADERS,0)))}</f>
        <v>LEARNED L11</v>
      </c>
      <c r="S998" s="223" t="str">
        <f t="array" ref="S998:S999">{"LEARNED L12";(INDEX(ALLCLASSDATA,MATCH("Learned-L12",CLASSFEATUREHEADERS,0),MATCH($A999,CLASSNAMEHEADERS,0)))}</f>
        <v>LEARNED L12</v>
      </c>
      <c r="T998" s="223" t="str">
        <f t="array" ref="T998:T999">{"LEARNED L13";(INDEX(ALLCLASSDATA,MATCH("Learned-L13",CLASSFEATUREHEADERS,0),MATCH($A999,CLASSNAMEHEADERS,0)))}</f>
        <v>LEARNED L13</v>
      </c>
      <c r="U998" s="223" t="str">
        <f t="array" ref="U998:U999">{"LEARNED L14";(INDEX(ALLCLASSDATA,MATCH("Learned-L14",CLASSFEATUREHEADERS,0),MATCH($A999,CLASSNAMEHEADERS,0)))}</f>
        <v>LEARNED L14</v>
      </c>
      <c r="V998" s="223" t="str">
        <f t="array" ref="V998:V999">{"LEARNED L15";(INDEX(ALLCLASSDATA,MATCH("Learned-L15",CLASSFEATUREHEADERS,0),MATCH($A999,CLASSNAMEHEADERS,0)))}</f>
        <v>LEARNED L15</v>
      </c>
      <c r="W998" s="223" t="str">
        <f t="array" ref="W998:W999">{"LEARNED L16";(INDEX(ALLCLASSDATA,MATCH("Learned-L16",CLASSFEATUREHEADERS,0),MATCH($A999,CLASSNAMEHEADERS,0)))}</f>
        <v>LEARNED L16</v>
      </c>
      <c r="X998" s="223" t="str">
        <f t="array" ref="X998:X999">{"LEARNED L17";(INDEX(ALLCLASSDATA,MATCH("Learned-L17",CLASSFEATUREHEADERS,0),MATCH($A999,CLASSNAMEHEADERS,0)))}</f>
        <v>LEARNED L17</v>
      </c>
      <c r="Y998" s="223" t="str">
        <f t="array" ref="Y998:Y999">{"LEARNED L18";(INDEX(ALLCLASSDATA,MATCH("Learned-L18",CLASSFEATUREHEADERS,0),MATCH($A999,CLASSNAMEHEADERS,0)))}</f>
        <v>LEARNED L18</v>
      </c>
      <c r="Z998" s="223" t="str">
        <f t="array" ref="Z998:Z999">{"LEARNED L19";(INDEX(ALLCLASSDATA,MATCH("Learned-L19",CLASSFEATUREHEADERS,0),MATCH($A999,CLASSNAMEHEADERS,0)))}</f>
        <v>LEARNED L19</v>
      </c>
      <c r="AA998" s="223" t="str">
        <f t="array" ref="AA998:AA999">{"LEARNED L20";(INDEX(ALLCLASSDATA,MATCH("Learned-L20",CLASSFEATUREHEADERS,0),MATCH($A999,CLASSNAMEHEADERS,0)))}</f>
        <v>LEARNED L20</v>
      </c>
      <c r="AB998" s="76"/>
      <c r="AC998" s="76"/>
    </row>
    <row r="999">
      <c r="A999" s="48" t="s">
        <v>185</v>
      </c>
      <c r="B999" s="48"/>
      <c r="C999" s="48" t="s">
        <v>412</v>
      </c>
      <c r="D999" s="48" t="s">
        <v>603</v>
      </c>
      <c r="E999" s="48" t="s">
        <v>603</v>
      </c>
      <c r="F999" s="278" t="s">
        <v>603</v>
      </c>
      <c r="G999" s="280"/>
      <c r="H999" s="278"/>
      <c r="I999" s="278"/>
      <c r="J999" s="278"/>
      <c r="K999" s="278"/>
      <c r="L999" s="278"/>
      <c r="M999" s="278"/>
      <c r="N999" s="278"/>
      <c r="O999" s="50"/>
      <c r="P999" s="278"/>
      <c r="Q999" s="278"/>
      <c r="R999" s="278"/>
      <c r="S999" s="278"/>
      <c r="T999" s="278"/>
      <c r="U999" s="278"/>
      <c r="V999" s="278"/>
      <c r="W999" s="278"/>
      <c r="X999" s="278"/>
      <c r="Y999" s="278"/>
      <c r="Z999" s="278"/>
      <c r="AA999" s="278"/>
      <c r="AB999" s="278"/>
      <c r="AC999" s="47"/>
    </row>
    <row r="1000" hidden="1">
      <c r="A1000" s="222" t="str">
        <f t="array" ref="A1000:A1001">{"FormulaRow44";(INDEX(CLASSLIST,A913,1))}</f>
        <v>FormulaRow44</v>
      </c>
      <c r="B1000" s="77" t="s">
        <v>236</v>
      </c>
      <c r="C1000" s="222" t="str">
        <f t="array" ref="C1000:C1001">{"CLASSTYPE";((INDEX(ALLCLASSDATA,MATCH("ClassType",CLASSFEATUREHEADERS,0),MATCH($A1001,CLASSNAMEHEADERS,0))))}</f>
        <v>CLASSTYPE</v>
      </c>
      <c r="D1000" s="222" t="str">
        <f t="array" ref="D1000:D1001">{"SPELL/ALCHEMY";((IF(INDEX(ALLCLASSDATA,MATCH("CasterType",CLASSFEATUREHEADERS,0),MATCH(($A1001),CLASSNAMEHEADERS,0))="","",(IF(INDEX(ALLCLASSDATA,MATCH("CasterType",CLASSFEATUREHEADERS,0),MATCH(($A1001),CLASSNAMEHEADERS,0))="Alchemy","","Spells")))))}</f>
        <v>SPELL/ALCHEMY</v>
      </c>
      <c r="E1000" s="222" t="str">
        <f t="array" ref="E1000:E1001">{"SPELLLIST";(IF(D1001="Spells",((INDEX(ALLCLASSDATA,MATCH("CasterType",CLASSFEATUREHEADERS,0),MATCH(($A1001),CLASSNAMEHEADERS,0))) &amp; ":" &amp; (INDEX(ALLCLASSDATA,MATCH("SpellList",CLASSFEATUREHEADERS,0),MATCH(($A1001),CLASSNAMEHEADERS,0)))),""))}</f>
        <v>SPELLLIST</v>
      </c>
      <c r="F1000" s="223" t="str">
        <f t="array" ref="F1000:F1001">{"TOTALSLOTS";(IF(D1001="","","TotalSlots:"))}</f>
        <v>TOTALSLOTS</v>
      </c>
      <c r="G1000" s="223" t="str">
        <f t="array" ref="G1000:G1001">{"TOTALCANTRIPSLOTS";(G997)}</f>
        <v>TOTALCANTRIPSLOTS</v>
      </c>
      <c r="H1000" s="223" t="str">
        <f t="array" ref="H1000:H1001">{"TOTALSLOTS L01";(H997)}</f>
        <v>TOTALSLOTS L01</v>
      </c>
      <c r="I1000" s="223" t="str">
        <f t="array" ref="I1000:I1001">{"TOTALSLOTS L02";(H1001+I997)}</f>
        <v>TOTALSLOTS L02</v>
      </c>
      <c r="J1000" s="223" t="str">
        <f t="array" ref="J1000:J1001">{"TOTALSLOTS L03";(I1001+J997)}</f>
        <v>TOTALSLOTS L03</v>
      </c>
      <c r="K1000" s="223" t="str">
        <f t="array" ref="K1000:K1001">{"TOTALSLOTS L04";(J1001+K997)}</f>
        <v>TOTALSLOTS L04</v>
      </c>
      <c r="L1000" s="223" t="str">
        <f t="array" ref="L1000:L1001">{"TOTALSLOTS L05";(K1001+L997)}</f>
        <v>TOTALSLOTS L05</v>
      </c>
      <c r="M1000" s="223" t="str">
        <f t="array" ref="M1000:M1001">{"TOTALSLOTS L06";(L1001+M997)}</f>
        <v>TOTALSLOTS L06</v>
      </c>
      <c r="N1000" s="223" t="str">
        <f t="array" ref="N1000:N1001">{"TOTALSLOTS L07";(M1001+N997)}</f>
        <v>TOTALSLOTS L07</v>
      </c>
      <c r="O1000" s="223" t="str">
        <f t="array" ref="O1000:O1001">{"TOTALSLOTS L08";(N1001+O997)}</f>
        <v>TOTALSLOTS L08</v>
      </c>
      <c r="P1000" s="223" t="str">
        <f t="array" ref="P1000:P1001">{"TOTALSLOTS L09";(O1001+P997)}</f>
        <v>TOTALSLOTS L09</v>
      </c>
      <c r="Q1000" s="223" t="str">
        <f t="array" ref="Q1000:Q1001">{"TOTALSLOTS L10";(P1001+Q997)}</f>
        <v>TOTALSLOTS L10</v>
      </c>
      <c r="R1000" s="223" t="str">
        <f t="array" ref="R1000:R1001">{"TOTALSLOTS L11";(Q1001+R997)}</f>
        <v>TOTALSLOTS L11</v>
      </c>
      <c r="S1000" s="223" t="str">
        <f t="array" ref="S1000:S1001">{"TOTALSLOTS L12";(R1001+S997)}</f>
        <v>TOTALSLOTS L12</v>
      </c>
      <c r="T1000" s="223" t="str">
        <f t="array" ref="T1000:T1001">{"TOTALSLOTS L13";(S1001+T997)}</f>
        <v>TOTALSLOTS L13</v>
      </c>
      <c r="U1000" s="223" t="str">
        <f t="array" ref="U1000:U1001">{"TOTALSLOTS L14";(T1001+U997)}</f>
        <v>TOTALSLOTS L14</v>
      </c>
      <c r="V1000" s="223" t="str">
        <f t="array" ref="V1000:V1001">{"TOTALSLOTS L15";(U1001+V997)}</f>
        <v>TOTALSLOTS L15</v>
      </c>
      <c r="W1000" s="223" t="str">
        <f t="array" ref="W1000:W1001">{"TOTALSLOTS L16";(V1001+W997)}</f>
        <v>TOTALSLOTS L16</v>
      </c>
      <c r="X1000" s="223" t="str">
        <f t="array" ref="X1000:X1001">{"TOTALSLOTS L17";(W1001+X997)}</f>
        <v>TOTALSLOTS L17</v>
      </c>
      <c r="Y1000" s="223" t="str">
        <f t="array" ref="Y1000:Y1001">{"TOTALSLOTS L18";(X1001+Y997)}</f>
        <v>TOTALSLOTS L18</v>
      </c>
      <c r="Z1000" s="223" t="str">
        <f t="array" ref="Z1000:Z1001">{"TOTALSLOTS L19";(Y1001+Z997)}</f>
        <v>TOTALSLOTS L19</v>
      </c>
      <c r="AA1000" s="223" t="str">
        <f t="array" ref="AA1000:AA1001">{"TOTALSLOTS L20";(Z1001+AA997)}</f>
        <v>TOTALSLOTS L20</v>
      </c>
      <c r="AB1000" s="76"/>
      <c r="AC1000" s="76"/>
    </row>
    <row r="1001">
      <c r="A1001" s="48" t="s">
        <v>185</v>
      </c>
      <c r="B1001" s="48"/>
      <c r="C1001" s="48" t="s">
        <v>412</v>
      </c>
      <c r="D1001" s="48" t="s">
        <v>603</v>
      </c>
      <c r="E1001" s="48" t="s">
        <v>603</v>
      </c>
      <c r="F1001" s="278" t="s">
        <v>603</v>
      </c>
      <c r="G1001" s="280"/>
      <c r="H1001" s="278"/>
      <c r="I1001" s="278">
        <v>0.0</v>
      </c>
      <c r="J1001" s="278">
        <v>0.0</v>
      </c>
      <c r="K1001" s="278">
        <v>0.0</v>
      </c>
      <c r="L1001" s="278">
        <v>0.0</v>
      </c>
      <c r="M1001" s="278">
        <v>0.0</v>
      </c>
      <c r="N1001" s="278">
        <v>0.0</v>
      </c>
      <c r="O1001" s="278">
        <v>0.0</v>
      </c>
      <c r="P1001" s="278">
        <v>0.0</v>
      </c>
      <c r="Q1001" s="278">
        <v>0.0</v>
      </c>
      <c r="R1001" s="278">
        <v>0.0</v>
      </c>
      <c r="S1001" s="278">
        <v>0.0</v>
      </c>
      <c r="T1001" s="278">
        <v>0.0</v>
      </c>
      <c r="U1001" s="278">
        <v>0.0</v>
      </c>
      <c r="V1001" s="278">
        <v>0.0</v>
      </c>
      <c r="W1001" s="278">
        <v>0.0</v>
      </c>
      <c r="X1001" s="278">
        <v>0.0</v>
      </c>
      <c r="Y1001" s="278">
        <v>0.0</v>
      </c>
      <c r="Z1001" s="278">
        <v>0.0</v>
      </c>
      <c r="AA1001" s="278">
        <v>0.0</v>
      </c>
      <c r="AB1001" s="5"/>
      <c r="AC1001" s="47"/>
    </row>
    <row r="1002" hidden="1">
      <c r="A1002" s="222" t="str">
        <f t="array" ref="A1002:A1003">{"FormulaRow45";(INDEX(CLASSLIST,A913,1))}</f>
        <v>FormulaRow45</v>
      </c>
      <c r="B1002" s="77" t="s">
        <v>236</v>
      </c>
      <c r="C1002" s="222" t="str">
        <f t="array" ref="C1002:C1003">{"CLASSTYPE";((INDEX(ALLCLASSDATA,MATCH("ClassType",CLASSFEATUREHEADERS,0),MATCH($A1003,CLASSNAMEHEADERS,0))))}</f>
        <v>CLASSTYPE</v>
      </c>
      <c r="D1002" s="222" t="str">
        <f t="array" ref="D1002:D1003">{"SPELL/ALCHEMY";((IF(INDEX(ALLCLASSDATA,MATCH("CasterType",CLASSFEATUREHEADERS,0),MATCH(($A1003),CLASSNAMEHEADERS,0))="","",(IF(INDEX(ALLCLASSDATA,MATCH("CasterType",CLASSFEATUREHEADERS,0),MATCH(($A1003),CLASSNAMEHEADERS,0))="Alchemy","Alchemy","Spells")))))}</f>
        <v>SPELL/ALCHEMY</v>
      </c>
      <c r="E1002" s="222" t="str">
        <f t="array" ref="E1002:E1003">{"SPELLLIST";(IF(D1003="Spells",((INDEX(ALLCLASSDATA,MATCH("CasterType",CLASSFEATUREHEADERS,0),MATCH(($A1003),CLASSNAMEHEADERS,0))) &amp; ":" &amp; (INDEX(ALLCLASSDATA,MATCH("SpellList",CLASSFEATUREHEADERS,0),MATCH(($A1003),CLASSNAMEHEADERS,0)))),""))}</f>
        <v>SPELLLIST</v>
      </c>
      <c r="F1002" s="223" t="str">
        <f t="array" ref="F1002:F1003">{"TOTALLEARNED";(IF(D1003="","","TotalLearned:"))}</f>
        <v>TOTALLEARNED</v>
      </c>
      <c r="G1002" s="223" t="str">
        <f t="array" ref="G1002:G1003">{"TOTALCANTRIPSLEARNED";(G999)}</f>
        <v>TOTALCANTRIPSLEARNED</v>
      </c>
      <c r="H1002" s="223" t="str">
        <f t="array" ref="H1002:H1003">{"TOTALLEARNED L01";(H999)}</f>
        <v>TOTALLEARNED L01</v>
      </c>
      <c r="I1002" s="223" t="str">
        <f t="array" ref="I1002:I1003">{"TOTALLEARNED L02";(H1003+I999)}</f>
        <v>TOTALLEARNED L02</v>
      </c>
      <c r="J1002" s="223" t="str">
        <f t="array" ref="J1002:J1003">{"TOTALLEARNED L03";(I1003+J999)}</f>
        <v>TOTALLEARNED L03</v>
      </c>
      <c r="K1002" s="223" t="str">
        <f t="array" ref="K1002:K1003">{"TOTALLEARNED L04";(J1003+K999)}</f>
        <v>TOTALLEARNED L04</v>
      </c>
      <c r="L1002" s="223" t="str">
        <f t="array" ref="L1002:L1003">{"TOTALLEARNED L05";(K1003+L999)}</f>
        <v>TOTALLEARNED L05</v>
      </c>
      <c r="M1002" s="223" t="str">
        <f t="array" ref="M1002:M1003">{"TOTALLEARNED L06";(L1003+M999)}</f>
        <v>TOTALLEARNED L06</v>
      </c>
      <c r="N1002" s="223" t="str">
        <f t="array" ref="N1002:N1003">{"TOTALLEARNED L07";(M1003+N999)}</f>
        <v>TOTALLEARNED L07</v>
      </c>
      <c r="O1002" s="223" t="str">
        <f t="array" ref="O1002:O1003">{"TOTALLEARNED L08";(N1003+O999)}</f>
        <v>TOTALLEARNED L08</v>
      </c>
      <c r="P1002" s="223" t="str">
        <f t="array" ref="P1002:P1003">{"TOTALLEARNED L09";(O1003+P999)}</f>
        <v>TOTALLEARNED L09</v>
      </c>
      <c r="Q1002" s="223" t="str">
        <f t="array" ref="Q1002:Q1003">{"TOTALLEARNED L10";(P1003+Q999)}</f>
        <v>TOTALLEARNED L10</v>
      </c>
      <c r="R1002" s="223" t="str">
        <f t="array" ref="R1002:R1003">{"TOTALLEARNED L11";(Q1003+R999)}</f>
        <v>TOTALLEARNED L11</v>
      </c>
      <c r="S1002" s="223" t="str">
        <f t="array" ref="S1002:S1003">{"TOTALLEARNED L12";(R1003+S999)}</f>
        <v>TOTALLEARNED L12</v>
      </c>
      <c r="T1002" s="223" t="str">
        <f t="array" ref="T1002:T1003">{"TOTALLEARNED L13";(S1003+T999)}</f>
        <v>TOTALLEARNED L13</v>
      </c>
      <c r="U1002" s="223" t="str">
        <f t="array" ref="U1002:U1003">{"TOTALLEARNED L14";(T1003+U999)}</f>
        <v>TOTALLEARNED L14</v>
      </c>
      <c r="V1002" s="223" t="str">
        <f t="array" ref="V1002:V1003">{"TOTALLEARNED L15";(U1003+V999)}</f>
        <v>TOTALLEARNED L15</v>
      </c>
      <c r="W1002" s="223" t="str">
        <f t="array" ref="W1002:W1003">{"TOTALLEARNED L16";(V1003+W999)}</f>
        <v>TOTALLEARNED L16</v>
      </c>
      <c r="X1002" s="223" t="str">
        <f t="array" ref="X1002:X1003">{"TOTALLEARNED L17";(W1003+X999)}</f>
        <v>TOTALLEARNED L17</v>
      </c>
      <c r="Y1002" s="223" t="str">
        <f t="array" ref="Y1002:Y1003">{"TOTALLEARNED L18";(X1003+Y999)}</f>
        <v>TOTALLEARNED L18</v>
      </c>
      <c r="Z1002" s="223" t="str">
        <f t="array" ref="Z1002:Z1003">{"TOTALLEARNED L19";(Y1003+Z999)}</f>
        <v>TOTALLEARNED L19</v>
      </c>
      <c r="AA1002" s="223" t="str">
        <f t="array" ref="AA1002:AA1003">{"TOTALLEARNED L20";(Z1003+AA999)}</f>
        <v>TOTALLEARNED L20</v>
      </c>
      <c r="AB1002" s="76"/>
      <c r="AC1002" s="76"/>
    </row>
    <row r="1003">
      <c r="A1003" s="97" t="s">
        <v>185</v>
      </c>
      <c r="B1003" s="97"/>
      <c r="C1003" s="97" t="s">
        <v>412</v>
      </c>
      <c r="D1003" s="97" t="s">
        <v>603</v>
      </c>
      <c r="E1003" s="97" t="s">
        <v>603</v>
      </c>
      <c r="F1003" s="281" t="s">
        <v>603</v>
      </c>
      <c r="G1003" s="282"/>
      <c r="H1003" s="278"/>
      <c r="I1003" s="278">
        <v>0.0</v>
      </c>
      <c r="J1003" s="278">
        <v>0.0</v>
      </c>
      <c r="K1003" s="278">
        <v>0.0</v>
      </c>
      <c r="L1003" s="278">
        <v>0.0</v>
      </c>
      <c r="M1003" s="278">
        <v>0.0</v>
      </c>
      <c r="N1003" s="278">
        <v>0.0</v>
      </c>
      <c r="O1003" s="278">
        <v>0.0</v>
      </c>
      <c r="P1003" s="278">
        <v>0.0</v>
      </c>
      <c r="Q1003" s="278">
        <v>0.0</v>
      </c>
      <c r="R1003" s="278">
        <v>0.0</v>
      </c>
      <c r="S1003" s="278">
        <v>0.0</v>
      </c>
      <c r="T1003" s="278">
        <v>0.0</v>
      </c>
      <c r="U1003" s="278">
        <v>0.0</v>
      </c>
      <c r="V1003" s="278">
        <v>0.0</v>
      </c>
      <c r="W1003" s="278">
        <v>0.0</v>
      </c>
      <c r="X1003" s="278">
        <v>0.0</v>
      </c>
      <c r="Y1003" s="278">
        <v>0.0</v>
      </c>
      <c r="Z1003" s="278">
        <v>0.0</v>
      </c>
      <c r="AA1003" s="278">
        <v>0.0</v>
      </c>
      <c r="AB1003" s="5"/>
      <c r="AC1003" s="47"/>
    </row>
    <row r="1004">
      <c r="A1004" s="55">
        <f>VLOOKUP($C1004, CLASSNUMBERFINDER, 2, false)</f>
        <v>12</v>
      </c>
      <c r="B1004" s="58"/>
      <c r="C1004" s="70" t="s">
        <v>189</v>
      </c>
      <c r="D1004" s="71"/>
      <c r="E1004" s="71"/>
      <c r="F1004" s="71"/>
      <c r="G1004" s="72"/>
      <c r="H1004" s="71"/>
      <c r="I1004" s="71"/>
      <c r="J1004" s="71"/>
      <c r="K1004" s="71"/>
      <c r="L1004" s="71"/>
      <c r="M1004" s="71"/>
      <c r="N1004" s="71"/>
      <c r="O1004" s="71"/>
      <c r="P1004" s="71"/>
      <c r="Q1004" s="71"/>
      <c r="R1004" s="71"/>
      <c r="S1004" s="71"/>
      <c r="T1004" s="71"/>
      <c r="U1004" s="71"/>
      <c r="V1004" s="71"/>
      <c r="W1004" s="71"/>
      <c r="X1004" s="71"/>
      <c r="Y1004" s="71"/>
      <c r="Z1004" s="71"/>
      <c r="AA1004" s="71"/>
      <c r="AB1004" s="71"/>
      <c r="AC1004" s="73"/>
    </row>
    <row r="1005" hidden="1">
      <c r="A1005" s="76" t="str">
        <f t="array" ref="A1005:A1006">{"FormulaRow01";(INDEX(CLASSLIST,A1004,1))}</f>
        <v>FormulaRow01</v>
      </c>
      <c r="B1005" s="77" t="s">
        <v>236</v>
      </c>
      <c r="C1005" s="76" t="str">
        <f t="array" ref="C1005:C1006">{"CLASSTYPE";(INDEX(ALLCLASSDATA,MATCH("ClassType",CLASSFEATUREHEADERS,0),MATCH($A1006,CLASSNAMEHEADERS,0)))}</f>
        <v>CLASSTYPE</v>
      </c>
      <c r="D1005" s="81" t="str">
        <f t="array" ref="D1005:D1006">{"TOTAL";("Total: " &amp; H1006+J1006+L1006+N1006+P1006+R1006+T1006+V1006+X1006+Z1006)}</f>
        <v>TOTAL</v>
      </c>
      <c r="E1005" s="81" t="str">
        <f t="array" ref="E1005:E1006">{"BALANCE";(IF((H1006+J1006+L1006+N1006+P1006+R1006+T1006+V1006+X1006+Z1006)=2100,"(balanced)",(IF((H1006+J1006+L1006+N1006+P1006+R1006+T1006+V1006+X1006+Z1006)&gt;2100,"OVERBUDGET: ","UNDERBUDGET: ")) &amp; (H1006+J1006+L1006+N1006+P1006+R1006+T1006+V1006+X1006+Z1006-2100)))}</f>
        <v>BALANCE</v>
      </c>
      <c r="F1005" s="81"/>
      <c r="G1005" s="81"/>
      <c r="H1005" s="81" t="str">
        <f t="array" ref="H1005:H1006">{"SUM LVL0/1/2";((SUMIF(F1007:I1086,"&lt;&gt;#REF!")+(SUMIF(J1007:AA1014,"&lt;&gt;#REF!"))))}</f>
        <v>SUM LVL0/1/2</v>
      </c>
      <c r="I1005" s="81"/>
      <c r="J1005" s="81" t="str">
        <f t="array" ref="J1005:J1006">{"SUM LVL3/4";(SUMIF(J1015:K1086,"&lt;&gt;#REF!"))}</f>
        <v>SUM LVL3/4</v>
      </c>
      <c r="K1005" s="81"/>
      <c r="L1005" s="81" t="str">
        <f t="array" ref="L1005:L1006">{"SUM LVL5/6";(SUMIF(L1015:M1086,"&lt;&gt;#REF!"))}</f>
        <v>SUM LVL5/6</v>
      </c>
      <c r="M1005" s="81"/>
      <c r="N1005" s="81" t="str">
        <f t="array" ref="N1005:N1006">{"SUM LVL7/8";(SUMIF(N1015:O1086,"&lt;&gt;#REF!"))}</f>
        <v>SUM LVL7/8</v>
      </c>
      <c r="O1005" s="81"/>
      <c r="P1005" s="81" t="str">
        <f t="array" ref="P1005:P1006">{"SUM LVL9/10";(SUMIF(P1015:Q1086,"&lt;&gt;#REF!"))}</f>
        <v>SUM LVL9/10</v>
      </c>
      <c r="Q1005" s="81"/>
      <c r="R1005" s="81" t="str">
        <f t="array" ref="R1005:R1006">{"SUM LVL11/12";(SUMIF(R1015:S1086,"&lt;&gt;#REF!"))}</f>
        <v>SUM LVL11/12</v>
      </c>
      <c r="S1005" s="81"/>
      <c r="T1005" s="81" t="str">
        <f t="array" ref="T1005:T1006">{"SUM LVL13/14";(SUMIF(T1015:U1086,"&lt;&gt;#REF!"))}</f>
        <v>SUM LVL13/14</v>
      </c>
      <c r="U1005" s="81"/>
      <c r="V1005" s="81" t="str">
        <f t="array" ref="V1005:V1006">{"SUM LVL15/16";(SUMIF(V1015:W1086,"&lt;&gt;#REF!"))}</f>
        <v>SUM LVL15/16</v>
      </c>
      <c r="W1005" s="81"/>
      <c r="X1005" s="81" t="str">
        <f t="array" ref="X1005:X1006">{"SUM LVL17/18";(SUMIF(X1015:Y1086,"&lt;&gt;#REF!"))}</f>
        <v>SUM LVL17/18</v>
      </c>
      <c r="Y1005" s="81"/>
      <c r="Z1005" s="81" t="str">
        <f t="array" ref="Z1005:Z1006">{"SUM LVL19/20";(SUMIF(Z1015:AA1086,"&lt;&gt;#REF!"))}</f>
        <v>SUM LVL19/20</v>
      </c>
      <c r="AA1005" s="81"/>
      <c r="AB1005" s="76"/>
      <c r="AC1005" s="76" t="str">
        <f t="array" ref="AC1005:AC1006">{"SUM ROWTOTALS";(SUMIF(AC1008:AC1094,"&lt;&gt;#REF!"))}</f>
        <v>SUM ROWTOTALS</v>
      </c>
    </row>
    <row r="1006">
      <c r="A1006" s="48" t="s">
        <v>189</v>
      </c>
      <c r="B1006" s="48"/>
      <c r="C1006" s="48" t="s">
        <v>412</v>
      </c>
      <c r="D1006" s="91" t="s">
        <v>416</v>
      </c>
      <c r="E1006" s="92" t="s">
        <v>419</v>
      </c>
      <c r="F1006" s="91"/>
      <c r="G1006" s="93"/>
      <c r="H1006" s="92">
        <v>360.0</v>
      </c>
      <c r="I1006" s="92"/>
      <c r="J1006" s="92">
        <v>20.0</v>
      </c>
      <c r="K1006" s="92"/>
      <c r="L1006" s="92">
        <v>70.0</v>
      </c>
      <c r="M1006" s="92"/>
      <c r="N1006" s="92">
        <v>200.0</v>
      </c>
      <c r="O1006" s="92"/>
      <c r="P1006" s="92">
        <v>210.0</v>
      </c>
      <c r="Q1006" s="92"/>
      <c r="R1006" s="92">
        <v>250.0</v>
      </c>
      <c r="S1006" s="92"/>
      <c r="T1006" s="92">
        <v>270.0</v>
      </c>
      <c r="U1006" s="92"/>
      <c r="V1006" s="92">
        <v>280.0</v>
      </c>
      <c r="W1006" s="92"/>
      <c r="X1006" s="92">
        <v>310.0</v>
      </c>
      <c r="Y1006" s="92"/>
      <c r="Z1006" s="92">
        <v>130.0</v>
      </c>
      <c r="AA1006" s="92"/>
      <c r="AB1006" s="5"/>
      <c r="AC1006" s="47">
        <v>2100.0</v>
      </c>
    </row>
    <row r="1007" hidden="1">
      <c r="A1007" s="76" t="str">
        <f t="array" ref="A1007:A1008">{"FormulaRow02";(INDEX(CLASSLIST,A1004,1))}</f>
        <v>FormulaRow02</v>
      </c>
      <c r="B1007" s="77" t="s">
        <v>236</v>
      </c>
      <c r="C1007" s="76" t="str">
        <f t="array" ref="C1007:C1008">{"CLASSTYPE";((INDEX(ALLCLASSDATA,MATCH("ClassType",CLASSFEATUREHEADERS,0),MATCH($A1008,CLASSNAMEHEADERS,0))))}</f>
        <v>CLASSTYPE</v>
      </c>
      <c r="D1007" s="81" t="str">
        <f t="array" ref="D1007:D1008">{"FEATURES";"Features"}</f>
        <v>FEATURES</v>
      </c>
      <c r="E1007" s="81" t="str">
        <f t="array" ref="E1007:E1008">{"INITIALFEATURES";"Initial Features"}</f>
        <v>INITIALFEATURES</v>
      </c>
      <c r="F1007" s="81" t="str">
        <f t="array" ref="F1007:F1008">{"KEY";"Key"}</f>
        <v>KEY</v>
      </c>
      <c r="G1007" s="81" t="str">
        <f t="array" ref="G1007:G1008">{"HP";"HP"}</f>
        <v>HP</v>
      </c>
      <c r="H1007" s="81" t="str">
        <f t="array" ref="H1007:H1008">{"CLASSFEATL01";"ClassFeatL01"}</f>
        <v>CLASSFEATL01</v>
      </c>
      <c r="I1007" s="81" t="str">
        <f t="array" ref="I1007:I1008">{"SHIELDBLOCKL01";"ShieldBlockL01"}</f>
        <v>SHIELDBLOCKL01</v>
      </c>
      <c r="J1007" s="81" t="str">
        <f t="array" ref="J1007:J1008">{"INITIALSKILLS";"InitialSkills"}</f>
        <v>INITIALSKILLS</v>
      </c>
      <c r="K1007" s="81" t="str">
        <f t="array" ref="K1007:K1008">{"SUBCLASSSKILLS";"SubclassSkills"}</f>
        <v>SUBCLASSSKILLS</v>
      </c>
      <c r="L1007" s="81" t="str">
        <f t="array" ref="L1007:L1008">{"GRANTEDSKILLS";"GrantedSkills"}</f>
        <v>GRANTEDSKILLS</v>
      </c>
      <c r="M1007" s="81"/>
      <c r="N1007" s="81"/>
      <c r="O1007" s="81"/>
      <c r="P1007" s="81" t="str">
        <f t="array" ref="P1007:P1008">{"FOCUSSPELLS";"FocusSpells:"}</f>
        <v>FOCUSSPELLS</v>
      </c>
      <c r="Q1007" s="81" t="str">
        <f t="array" ref="Q1007:Q1008">{"FOCUSSPELL1-L00";((INDEX(ALLCLASSDATA,MATCH("FocusSpell1-L00",CLASSFEATUREHEADERS,0),MATCH(($A1008),CLASSNAMEHEADERS,0))))}</f>
        <v>FOCUSSPELL1-L00</v>
      </c>
      <c r="R1007" s="81" t="str">
        <f t="array" ref="R1007:R1008">{"FOCUSSPELL2-L00";((INDEX(ALLCLASSDATA,MATCH("FocusSpell2-L00",CLASSFEATUREHEADERS,0),MATCH(($A1008),CLASSNAMEHEADERS,0))))}</f>
        <v>FOCUSSPELL2-L00</v>
      </c>
      <c r="S1007" s="81" t="str">
        <f t="array" ref="S1007:S1008">{"FOCUSSPELL3-L00";((INDEX(ALLCLASSDATA,MATCH("FocusSpell3-L00",CLASSFEATUREHEADERS,0),MATCH(($A1008),CLASSNAMEHEADERS,0))))}</f>
        <v>FOCUSSPELL3-L00</v>
      </c>
      <c r="T1007" s="81" t="str">
        <f t="array" ref="T1007:T1008">{"FOCUSSPELL4-L00";((INDEX(ALLCLASSDATA,MATCH("FocusSpell4-L00",CLASSFEATUREHEADERS,0),MATCH(($A1008),CLASSNAMEHEADERS,0))))}</f>
        <v>FOCUSSPELL4-L00</v>
      </c>
      <c r="U1007" s="81" t="str">
        <f t="array" ref="U1007:U1008">{"FOCUSSPELL5-L00";((INDEX(ALLCLASSDATA,MATCH("FocusSpell5-L00",CLASSFEATUREHEADERS,0),MATCH(($A1008),CLASSNAMEHEADERS,0))))}</f>
        <v>FOCUSSPELL5-L00</v>
      </c>
      <c r="V1007" s="81"/>
      <c r="W1007" s="81"/>
      <c r="X1007" s="81"/>
      <c r="Y1007" s="81"/>
      <c r="Z1007" s="81"/>
      <c r="AA1007" s="81"/>
      <c r="AB1007" s="76"/>
      <c r="AC1007" s="76"/>
    </row>
    <row r="1008">
      <c r="A1008" s="48" t="s">
        <v>189</v>
      </c>
      <c r="B1008" s="48"/>
      <c r="C1008" s="48" t="s">
        <v>412</v>
      </c>
      <c r="D1008" s="48" t="s">
        <v>467</v>
      </c>
      <c r="E1008" s="48" t="s">
        <v>468</v>
      </c>
      <c r="F1008" s="48" t="s">
        <v>469</v>
      </c>
      <c r="G1008" s="114" t="s">
        <v>15</v>
      </c>
      <c r="H1008" s="8" t="s">
        <v>451</v>
      </c>
      <c r="I1008" s="8" t="s">
        <v>463</v>
      </c>
      <c r="J1008" s="8" t="s">
        <v>473</v>
      </c>
      <c r="K1008" s="8" t="s">
        <v>474</v>
      </c>
      <c r="L1008" s="8" t="s">
        <v>475</v>
      </c>
      <c r="M1008" s="8"/>
      <c r="N1008" s="8"/>
      <c r="O1008" s="8"/>
      <c r="P1008" s="8" t="s">
        <v>476</v>
      </c>
      <c r="Q1008" s="116"/>
      <c r="R1008" s="116"/>
      <c r="S1008" s="116"/>
      <c r="T1008" s="116"/>
      <c r="U1008" s="116"/>
      <c r="V1008" s="8"/>
      <c r="W1008" s="8"/>
      <c r="X1008" s="8"/>
      <c r="Y1008" s="8"/>
      <c r="Z1008" s="5"/>
      <c r="AA1008" s="5"/>
      <c r="AB1008" s="5"/>
      <c r="AC1008" s="47"/>
    </row>
    <row r="1009" hidden="1">
      <c r="A1009" s="76" t="str">
        <f t="array" ref="A1009:A1010">{"FormulaRow03";(INDEX(CLASSLIST,A1004,1))}</f>
        <v>FormulaRow03</v>
      </c>
      <c r="B1009" s="77" t="s">
        <v>236</v>
      </c>
      <c r="C1009" s="76" t="str">
        <f t="array" ref="C1009:C1010">{"CLASSTYPE";((INDEX(ALLCLASSDATA,MATCH("ClassType",CLASSFEATUREHEADERS,0),MATCH($A1010,CLASSNAMEHEADERS,0))))}</f>
        <v>CLASSTYPE</v>
      </c>
      <c r="D1009" s="76" t="str">
        <f t="array" ref="D1009:D1010">{"FEATUREPTS";"FeaturesPts"}</f>
        <v>FEATUREPTS</v>
      </c>
      <c r="E1009" s="76" t="str">
        <f t="array" ref="E1009:E1010">{"INITIALFEATURES";"Initial Features"}</f>
        <v>INITIALFEATURES</v>
      </c>
      <c r="F1009" s="76" t="str">
        <f t="array" ref="F1009:F1010">{"KEYABILITY";((INDEX(ALLCLASSDATA,MATCH("KEYABILITY",CLASSFEATUREHEADERS,0),MATCH($A1010,CLASSNAMEHEADERS,0))))}</f>
        <v>KEYABILITY</v>
      </c>
      <c r="G1009" s="76" t="str">
        <f t="array" ref="G1009:G1010">{"HP";((INDEX(ALLCLASSDATA,MATCH("HP",CLASSFEATUREHEADERS,0),MATCH(($A1010 &amp; "Points"),CLASSNAMEHEADERS,0))))}</f>
        <v>HP</v>
      </c>
      <c r="H1009" s="76" t="str">
        <f t="array" ref="H1009:H1010">{"CLASSFEATL01";((INDEX(ALLCLASSDATA,MATCH("ClassFeatL01",CLASSFEATUREHEADERS,0),MATCH(($A1010 &amp; "Points"),CLASSNAMEHEADERS,0))))}</f>
        <v>CLASSFEATL01</v>
      </c>
      <c r="I1009" s="76" t="str">
        <f t="array" ref="I1009:I1010">{"SHIELDBLOCKL01";((INDEX(ALLCLASSDATA,MATCH("ShieldBlockL01",CLASSFEATUREHEADERS,0),MATCH(($A1010 &amp; "Points"),CLASSNAMEHEADERS,0))))}</f>
        <v>SHIELDBLOCKL01</v>
      </c>
      <c r="J1009" s="76" t="str">
        <f t="array" ref="J1009:J1010">{"INITIALSKILLINCREASES";((INDEX(ALLCLASSDATA,MATCH("InitialSkillIncreases",CLASSFEATUREHEADERS,0),MATCH(($A1010 &amp; "Points"),CLASSNAMEHEADERS,0))))}</f>
        <v>INITIALSKILLINCREASES</v>
      </c>
      <c r="K1009" s="76" t="str">
        <f t="array" ref="K1009:K1010">{"SUBCLASSSKILLINCREASES";((INDEX(ALLCLASSDATA,MATCH("SubclassSkillIncreases",CLASSFEATUREHEADERS,0),MATCH(($A1010 &amp; "Points"),CLASSNAMEHEADERS,0))))}</f>
        <v>SUBCLASSSKILLINCREASES</v>
      </c>
      <c r="L1009" s="76" t="str">
        <f t="array" ref="L1009:L1010">{"GRANTEDSKILLS";(((INDEX(ALLCLASSDATA,MATCH("SkillsGrantedTotal",CLASSFEATUREHEADERS,0),MATCH(($A1010 &amp; "Points"),CLASSNAMEHEADERS,0)))-(INDEX(ALLCLASSDATA,MATCH("InitialSkillIncreases",CLASSFEATUREHEADERS,0),MATCH(($A1010 &amp; "Points"),CLASSNAMEHEADERS,0)))-(INDEX(ALLCLASSDATA,MATCH("SubclassSkillIncreases",CLASSFEATUREHEADERS,0),MATCH(($A1010 &amp; "Points"),CLASSNAMEHEADERS,0)))))}</f>
        <v>GRANTEDSKILLS</v>
      </c>
      <c r="M1009" s="76"/>
      <c r="N1009" s="76"/>
      <c r="O1009" s="76"/>
      <c r="P1009" s="76"/>
      <c r="Q1009" s="76" t="str">
        <f t="array" ref="Q1009:Q1010">{"FOCUSSPELL1-L00";((INDEX(ALLCLASSDATA,MATCH("FocusSpell1-L00",CLASSFEATUREHEADERS,0),MATCH(($A1010 &amp; "Points"),CLASSNAMEHEADERS,0))))}</f>
        <v>FOCUSSPELL1-L00</v>
      </c>
      <c r="R1009" s="76" t="str">
        <f t="array" ref="R1009:R1010">{"FOCUSSPELL2-L00";((INDEX(ALLCLASSDATA,MATCH("FocusSpell2-L00",CLASSFEATUREHEADERS,0),MATCH(($A1010 &amp; "Points"),CLASSNAMEHEADERS,0))))}</f>
        <v>FOCUSSPELL2-L00</v>
      </c>
      <c r="S1009" s="76" t="str">
        <f t="array" ref="S1009:S1010">{"FOCUSSPELL3-L00";((INDEX(ALLCLASSDATA,MATCH("FocusSpell3-L00",CLASSFEATUREHEADERS,0),MATCH(($A1010 &amp; "Points"),CLASSNAMEHEADERS,0))))}</f>
        <v>FOCUSSPELL3-L00</v>
      </c>
      <c r="T1009" s="76" t="str">
        <f t="array" ref="T1009:T1010">{"FOCUSSPELL4-L00";((INDEX(ALLCLASSDATA,MATCH("FocusSpell4-L00",CLASSFEATUREHEADERS,0),MATCH(($A1010 &amp; "Points"),CLASSNAMEHEADERS,0))))}</f>
        <v>FOCUSSPELL4-L00</v>
      </c>
      <c r="U1009" s="76" t="str">
        <f t="array" ref="U1009:U1010">{"FOCUSSPELL5-L00";((INDEX(ALLCLASSDATA,MATCH("FocusSpell5-L00",CLASSFEATUREHEADERS,0),MATCH(($A1010 &amp; "Points"),CLASSNAMEHEADERS,0))))}</f>
        <v>FOCUSSPELL5-L00</v>
      </c>
      <c r="V1009" s="76"/>
      <c r="W1009" s="76"/>
      <c r="X1009" s="76"/>
      <c r="Y1009" s="76"/>
      <c r="Z1009" s="76"/>
      <c r="AA1009" s="76"/>
      <c r="AB1009" s="76"/>
      <c r="AC1009" s="76" t="str">
        <f t="array" ref="AC1009:AC1010">{"FEATUREPTS TOTAL";(sum(G1010:AA1010))}</f>
        <v>FEATUREPTS TOTAL</v>
      </c>
    </row>
    <row r="1010">
      <c r="A1010" s="48" t="s">
        <v>189</v>
      </c>
      <c r="B1010" s="48"/>
      <c r="C1010" s="48" t="s">
        <v>412</v>
      </c>
      <c r="D1010" s="97" t="s">
        <v>559</v>
      </c>
      <c r="E1010" s="97" t="s">
        <v>468</v>
      </c>
      <c r="F1010" s="97" t="s">
        <v>262</v>
      </c>
      <c r="G1010" s="132">
        <v>80.0</v>
      </c>
      <c r="H1010" s="98">
        <v>10.0</v>
      </c>
      <c r="I1010" s="98" t="s">
        <v>603</v>
      </c>
      <c r="J1010" s="98">
        <v>15.0</v>
      </c>
      <c r="K1010" s="98"/>
      <c r="L1010" s="98">
        <v>5.0</v>
      </c>
      <c r="M1010" s="98"/>
      <c r="N1010" s="98"/>
      <c r="O1010" s="98"/>
      <c r="P1010" s="98"/>
      <c r="Q1010" s="98"/>
      <c r="R1010" s="98"/>
      <c r="S1010" s="98"/>
      <c r="T1010" s="98"/>
      <c r="U1010" s="98"/>
      <c r="V1010" s="98"/>
      <c r="W1010" s="98"/>
      <c r="X1010" s="98"/>
      <c r="Y1010" s="98"/>
      <c r="Z1010" s="98"/>
      <c r="AA1010" s="98"/>
      <c r="AB1010" s="5"/>
      <c r="AC1010" s="47">
        <v>110.0</v>
      </c>
    </row>
    <row r="1011" hidden="1">
      <c r="A1011" s="76" t="str">
        <f t="array" ref="A1011:A1012">{"FormulaRow04";(INDEX(CLASSLIST,A1004,1))}</f>
        <v>FormulaRow04</v>
      </c>
      <c r="B1011" s="77" t="s">
        <v>236</v>
      </c>
      <c r="C1011" s="76" t="str">
        <f t="array" ref="C1011:C1012">{"CLASSTYPE";((INDEX(ALLCLASSDATA,MATCH("ClassType",CLASSFEATUREHEADERS,0),MATCH($A1012,CLASSNAMEHEADERS,0))))}</f>
        <v>CLASSTYPE</v>
      </c>
      <c r="D1011" s="81" t="str">
        <f t="array" ref="D1011:D1012">{"INITIALFEATURES";"InitialFeatures"}</f>
        <v>INITIALFEATURES</v>
      </c>
      <c r="E1011" s="81" t="str">
        <f t="array" ref="E1011:E1012">{"CLASS/SUBCLASSFEATURES";"Class/Subclass Features"}</f>
        <v>CLASS/SUBCLASSFEATURES</v>
      </c>
      <c r="F1011" s="81"/>
      <c r="G1011" s="136"/>
      <c r="H1011" s="81" t="str">
        <f t="array" ref="H1011:H1012">{"CLASSINITIALABILITY1-L00";((INDEX(ALLCLASSDATA,MATCH("ClassInitialAbility1-L00",CLASSFEATUREHEADERS,0),MATCH(($A1012),CLASSNAMEHEADERS,0))))}</f>
        <v>CLASSINITIALABILITY1-L00</v>
      </c>
      <c r="I1011" s="81" t="str">
        <f t="array" ref="I1011:I1012">{"CLASSINITIALABILITY2-L00";((INDEX(ALLCLASSDATA,MATCH("ClassInitialAbility2-L00",CLASSFEATUREHEADERS,0),MATCH(($A1012),CLASSNAMEHEADERS,0))))}</f>
        <v>CLASSINITIALABILITY2-L00</v>
      </c>
      <c r="J1011" s="81" t="str">
        <f t="array" ref="J1011:J1012">{"CLASSINITIALABILITY3-L00";((INDEX(ALLCLASSDATA,MATCH("ClassInitialAbility3-L00",CLASSFEATUREHEADERS,0),MATCH(($A1012),CLASSNAMEHEADERS,0))))}</f>
        <v>CLASSINITIALABILITY3-L00</v>
      </c>
      <c r="K1011" s="81" t="str">
        <f t="array" ref="K1011:K1012">{"CLASSINITIALABILITY4-L00";((INDEX(ALLCLASSDATA,MATCH("ClassInitialAbility4-L00",CLASSFEATUREHEADERS,0),MATCH(($A1012),CLASSNAMEHEADERS,0))))}</f>
        <v>CLASSINITIALABILITY4-L00</v>
      </c>
      <c r="L1011" s="81" t="str">
        <f t="array" ref="L1011:L1012">{"CLASSINITIALABILITY5-L00";((INDEX(ALLCLASSDATA,MATCH("ClassInitialAbility5-L00",CLASSFEATUREHEADERS,0),MATCH(($A1012),CLASSNAMEHEADERS,0))))}</f>
        <v>CLASSINITIALABILITY5-L00</v>
      </c>
      <c r="M1011" s="81" t="str">
        <f t="array" ref="M1011:M1012">{"CLASSINITIALABILITY6-L00";((INDEX(ALLCLASSDATA,MATCH("ClassInitialAbility6-L00",CLASSFEATUREHEADERS,0),MATCH(($A1012),CLASSNAMEHEADERS,0))))}</f>
        <v>CLASSINITIALABILITY6-L00</v>
      </c>
      <c r="N1011" s="81" t="str">
        <f t="array" ref="N1011:N1012">{"CLASSINITIALABILITY7-L00";((INDEX(ALLCLASSDATA,MATCH("ClassInitialAbility7-L00",CLASSFEATUREHEADERS,0),MATCH(($A1012),CLASSNAMEHEADERS,0))))}</f>
        <v>CLASSINITIALABILITY7-L00</v>
      </c>
      <c r="O1011" s="81" t="str">
        <f t="array" ref="O1011:O1012">{"CLASSINITIALABILITY8-L00";((INDEX(ALLCLASSDATA,MATCH("ClassInitialAbility8-L00",CLASSFEATUREHEADERS,0),MATCH(($A1012),CLASSNAMEHEADERS,0))))}</f>
        <v>CLASSINITIALABILITY8-L00</v>
      </c>
      <c r="P1011" s="81" t="str">
        <f t="array" ref="P1011:P1012">{"CLASSINITIALABILITY9-L00";((INDEX(ALLCLASSDATA,MATCH("ClassInitialAbility9-L00",CLASSFEATUREHEADERS,0),MATCH(($A1012),CLASSNAMEHEADERS,0))))}</f>
        <v>CLASSINITIALABILITY9-L00</v>
      </c>
      <c r="Q1011" s="81" t="str">
        <f t="array" ref="Q1011:Q1012">{"CLASSINITIALABILITY10-L00";((INDEX(ALLCLASSDATA,MATCH("ClassInitialAbility10-L00",CLASSFEATUREHEADERS,0),MATCH(($A1012),CLASSNAMEHEADERS,0))))}</f>
        <v>CLASSINITIALABILITY10-L00</v>
      </c>
      <c r="R1011" s="81" t="str">
        <f t="array" ref="R1011:R1012">{"SUBCLASSINITIAL1-L00";((INDEX(ALLCLASSDATA,MATCH("SubclassInitial1-L00",CLASSFEATUREHEADERS,0),MATCH(($A1012),CLASSNAMEHEADERS,0))))}</f>
        <v>SUBCLASSINITIAL1-L00</v>
      </c>
      <c r="S1011" s="81" t="str">
        <f t="array" ref="S1011:S1012">{"SUBCLASSINITIAL2-L00";((INDEX(ALLCLASSDATA,MATCH("SubclassInitial2-L00",CLASSFEATUREHEADERS,0),MATCH(($A1012),CLASSNAMEHEADERS,0))))}</f>
        <v>SUBCLASSINITIAL2-L00</v>
      </c>
      <c r="T1011" s="81" t="str">
        <f t="array" ref="T1011:T1012">{"SUBCLASSINITIAL3-L00";((INDEX(ALLCLASSDATA,MATCH("SubclassInitial3-L00",CLASSFEATUREHEADERS,0),MATCH(($A1012),CLASSNAMEHEADERS,0))))}</f>
        <v>SUBCLASSINITIAL3-L00</v>
      </c>
      <c r="U1011" s="81" t="str">
        <f t="array" ref="U1011:U1012">{"SUBCLASSINITIAL4-L00";((INDEX(ALLCLASSDATA,MATCH("SubclassInitial4-L00",CLASSFEATUREHEADERS,0),MATCH(($A1012),CLASSNAMEHEADERS,0))))}</f>
        <v>SUBCLASSINITIAL4-L00</v>
      </c>
      <c r="V1011" s="81" t="str">
        <f t="array" ref="V1011:V1012">{"SUBCLASSINITIAL5-L00";((INDEX(ALLCLASSDATA,MATCH("SubclassInitial5-L00",CLASSFEATUREHEADERS,0),MATCH(($A1012),CLASSNAMEHEADERS,0))))}</f>
        <v>SUBCLASSINITIAL5-L00</v>
      </c>
      <c r="W1011" s="81" t="str">
        <f t="array" ref="W1011:W1012">{"SUBCLASSINITIAL6-L00";((INDEX(ALLCLASSDATA,MATCH("SubclassInitial6-L00",CLASSFEATUREHEADERS,0),MATCH(($A1012),CLASSNAMEHEADERS,0))))}</f>
        <v>SUBCLASSINITIAL6-L00</v>
      </c>
      <c r="X1011" s="81" t="str">
        <f t="array" ref="X1011:X1012">{"SUBCLASSINITIAL7-L00";((INDEX(ALLCLASSDATA,MATCH("SubclassInitial7-L00",CLASSFEATUREHEADERS,0),MATCH(($A1012),CLASSNAMEHEADERS,0))))}</f>
        <v>SUBCLASSINITIAL7-L00</v>
      </c>
      <c r="Y1011" s="81" t="str">
        <f t="array" ref="Y1011:Y1012">{"SUBCLASSINITIAL8-L00";((INDEX(ALLCLASSDATA,MATCH("SubclassInitial8-L00",CLASSFEATUREHEADERS,0),MATCH(($A1012),CLASSNAMEHEADERS,0))))}</f>
        <v>SUBCLASSINITIAL8-L00</v>
      </c>
      <c r="Z1011" s="81" t="str">
        <f t="array" ref="Z1011:Z1012">{"SUBCLASSINITIAL9-L00";((INDEX(ALLCLASSDATA,MATCH("SubclassInitial9-L00",CLASSFEATUREHEADERS,0),MATCH(($A1012),CLASSNAMEHEADERS,0))))}</f>
        <v>SUBCLASSINITIAL9-L00</v>
      </c>
      <c r="AA1011" s="81" t="str">
        <f t="array" ref="AA1011:AA1012">{"SUBCLASSINITIAL10-L00";((INDEX(ALLCLASSDATA,MATCH("SubclassInitial10-L00",CLASSFEATUREHEADERS,0),MATCH(($A1012),CLASSNAMEHEADERS,0))))}</f>
        <v>SUBCLASSINITIAL10-L00</v>
      </c>
      <c r="AB1011" s="76"/>
      <c r="AC1011" s="76"/>
    </row>
    <row r="1012">
      <c r="A1012" s="48" t="s">
        <v>189</v>
      </c>
      <c r="B1012" s="48"/>
      <c r="C1012" s="48" t="s">
        <v>412</v>
      </c>
      <c r="D1012" s="48" t="s">
        <v>614</v>
      </c>
      <c r="E1012" s="48" t="s">
        <v>616</v>
      </c>
      <c r="F1012" s="48"/>
      <c r="G1012" s="47"/>
      <c r="H1012" s="5" t="s">
        <v>483</v>
      </c>
      <c r="I1012" s="5" t="s">
        <v>1636</v>
      </c>
      <c r="J1012" s="5" t="s">
        <v>1646</v>
      </c>
      <c r="K1012" s="5" t="s">
        <v>1109</v>
      </c>
      <c r="L1012" s="5" t="s">
        <v>1661</v>
      </c>
      <c r="M1012" s="5" t="s">
        <v>1665</v>
      </c>
      <c r="N1012" s="5" t="s">
        <v>1670</v>
      </c>
      <c r="O1012" s="5"/>
      <c r="P1012" s="5"/>
      <c r="Q1012" s="5"/>
      <c r="R1012" s="5" t="s">
        <v>1817</v>
      </c>
      <c r="S1012" s="5" t="s">
        <v>1832</v>
      </c>
      <c r="T1012" s="5"/>
      <c r="U1012" s="5"/>
      <c r="V1012" s="5"/>
      <c r="W1012" s="5"/>
      <c r="X1012" s="5"/>
      <c r="Y1012" s="5"/>
      <c r="Z1012" s="5"/>
      <c r="AA1012" s="5"/>
      <c r="AB1012" s="5"/>
      <c r="AC1012" s="47"/>
    </row>
    <row r="1013" hidden="1">
      <c r="A1013" s="76" t="str">
        <f t="array" ref="A1013:A1014">{"FormulaRow05";(INDEX(CLASSLIST,A1004,1))}</f>
        <v>FormulaRow05</v>
      </c>
      <c r="B1013" s="77" t="s">
        <v>236</v>
      </c>
      <c r="C1013" s="76" t="str">
        <f t="array" ref="C1013:C1014">{"CLASSTYPE";((INDEX(ALLCLASSDATA,MATCH("ClassType",CLASSFEATUREHEADERS,0),MATCH($A1014,CLASSNAMEHEADERS,0))))}</f>
        <v>CLASSTYPE</v>
      </c>
      <c r="D1013" s="76" t="str">
        <f t="array" ref="D1013:D1014">{"INITIALFEATURESPTS";"InitialFeaturesPts"}</f>
        <v>INITIALFEATURESPTS</v>
      </c>
      <c r="E1013" s="76" t="str">
        <f t="array" ref="E1013:E1014">{"CLASS/SUBCLASSFEATURES";"Class/Subclass Features"}</f>
        <v>CLASS/SUBCLASSFEATURES</v>
      </c>
      <c r="F1013" s="76"/>
      <c r="G1013" s="76"/>
      <c r="H1013" s="76" t="str">
        <f t="array" ref="H1013:H1014">{"CLASSINITIALABILITY1-L00PTS";((INDEX(ALLCLASSDATA,MATCH("ClassInitialAbility1-L00",CLASSFEATUREHEADERS,0),MATCH(($A1014 &amp; "Points"),CLASSNAMEHEADERS,0))))}</f>
        <v>CLASSINITIALABILITY1-L00PTS</v>
      </c>
      <c r="I1013" s="76" t="str">
        <f t="array" ref="I1013:I1014">{"CLASSINITIALABILITY2-L00PTS";((INDEX(ALLCLASSDATA,MATCH("ClassInitialAbility2-L00",CLASSFEATUREHEADERS,0),MATCH(($A1014 &amp; "Points"),CLASSNAMEHEADERS,0))))}</f>
        <v>CLASSINITIALABILITY2-L00PTS</v>
      </c>
      <c r="J1013" s="76" t="str">
        <f t="array" ref="J1013:J1014">{"CLASSINITIALABILITY3-L00PTS";((INDEX(ALLCLASSDATA,MATCH("ClassInitialAbility3-L00",CLASSFEATUREHEADERS,0),MATCH(($A1014 &amp; "Points"),CLASSNAMEHEADERS,0))))}</f>
        <v>CLASSINITIALABILITY3-L00PTS</v>
      </c>
      <c r="K1013" s="76" t="str">
        <f t="array" ref="K1013:K1014">{"CLASSINITIALABILITY4-L00PTS";((INDEX(ALLCLASSDATA,MATCH("ClassInitialAbility4-L00",CLASSFEATUREHEADERS,0),MATCH(($A1014 &amp; "Points"),CLASSNAMEHEADERS,0))))}</f>
        <v>CLASSINITIALABILITY4-L00PTS</v>
      </c>
      <c r="L1013" s="76" t="str">
        <f t="array" ref="L1013:L1014">{"CLASSINITIALABILITY5-L00PTS";((INDEX(ALLCLASSDATA,MATCH("ClassInitialAbility5-L00",CLASSFEATUREHEADERS,0),MATCH(($A1014 &amp; "Points"),CLASSNAMEHEADERS,0))))}</f>
        <v>CLASSINITIALABILITY5-L00PTS</v>
      </c>
      <c r="M1013" s="76" t="str">
        <f t="array" ref="M1013:M1014">{"CLASSINITIALABILITY6-L00PTS";((INDEX(ALLCLASSDATA,MATCH("ClassInitialAbility6-L00",CLASSFEATUREHEADERS,0),MATCH(($A1014 &amp; "Points"),CLASSNAMEHEADERS,0))))}</f>
        <v>CLASSINITIALABILITY6-L00PTS</v>
      </c>
      <c r="N1013" s="76" t="str">
        <f t="array" ref="N1013:N1014">{"CLASSINITIALABILITY7-L00PTS";((INDEX(ALLCLASSDATA,MATCH("ClassInitialAbility7-L00",CLASSFEATUREHEADERS,0),MATCH(($A1014 &amp; "Points"),CLASSNAMEHEADERS,0))))}</f>
        <v>CLASSINITIALABILITY7-L00PTS</v>
      </c>
      <c r="O1013" s="76" t="str">
        <f t="array" ref="O1013:O1014">{"CLASSINITIALABILITY8-L00PTS";((INDEX(ALLCLASSDATA,MATCH("ClassInitialAbility8-L00",CLASSFEATUREHEADERS,0),MATCH(($A1014 &amp; "Points"),CLASSNAMEHEADERS,0))))}</f>
        <v>CLASSINITIALABILITY8-L00PTS</v>
      </c>
      <c r="P1013" s="76" t="str">
        <f t="array" ref="P1013:P1014">{"CLASSINITIALABILITY9-L00PTS";((INDEX(ALLCLASSDATA,MATCH("ClassInitialAbility9-L00",CLASSFEATUREHEADERS,0),MATCH(($A1014 &amp; "Points"),CLASSNAMEHEADERS,0))))}</f>
        <v>CLASSINITIALABILITY9-L00PTS</v>
      </c>
      <c r="Q1013" s="76" t="str">
        <f t="array" ref="Q1013:Q1014">{"CLASSINITIALABILITY10-L00PTS";((INDEX(ALLCLASSDATA,MATCH("ClassInitialAbility10-L00",CLASSFEATUREHEADERS,0),MATCH(($A1014 &amp; "Points"),CLASSNAMEHEADERS,0))))}</f>
        <v>CLASSINITIALABILITY10-L00PTS</v>
      </c>
      <c r="R1013" s="76" t="str">
        <f t="array" ref="R1013:R1014">{"SUBCLASSINITIAL1-L00PTS";((INDEX(ALLCLASSDATA,MATCH("SubclassInitial1-L00",CLASSFEATUREHEADERS,0),MATCH(($A1014 &amp; "Points"),CLASSNAMEHEADERS,0))))}</f>
        <v>SUBCLASSINITIAL1-L00PTS</v>
      </c>
      <c r="S1013" s="76" t="str">
        <f t="array" ref="S1013:S1014">{"SUBCLASSINITIAL2-L00PTS";((INDEX(ALLCLASSDATA,MATCH("SubclassInitial2-L00",CLASSFEATUREHEADERS,0),MATCH(($A1014 &amp; "Points"),CLASSNAMEHEADERS,0))))}</f>
        <v>SUBCLASSINITIAL2-L00PTS</v>
      </c>
      <c r="T1013" s="76" t="str">
        <f t="array" ref="T1013:T1014">{"SUBCLASSINITIAL3-L00PTS";((INDEX(ALLCLASSDATA,MATCH("SubclassInitial3-L00",CLASSFEATUREHEADERS,0),MATCH(($A1014 &amp; "Points"),CLASSNAMEHEADERS,0))))}</f>
        <v>SUBCLASSINITIAL3-L00PTS</v>
      </c>
      <c r="U1013" s="76" t="str">
        <f t="array" ref="U1013:U1014">{"SUBCLASSINITIAL4-L00PTS";((INDEX(ALLCLASSDATA,MATCH("SubclassInitial4-L00",CLASSFEATUREHEADERS,0),MATCH(($A1014 &amp; "Points"),CLASSNAMEHEADERS,0))))}</f>
        <v>SUBCLASSINITIAL4-L00PTS</v>
      </c>
      <c r="V1013" s="76" t="str">
        <f t="array" ref="V1013:V1014">{"SUBCLASSINITIAL5-L00PTS";((INDEX(ALLCLASSDATA,MATCH("SubclassInitial5-L00",CLASSFEATUREHEADERS,0),MATCH(($A1014 &amp; "Points"),CLASSNAMEHEADERS,0))))}</f>
        <v>SUBCLASSINITIAL5-L00PTS</v>
      </c>
      <c r="W1013" s="76" t="str">
        <f t="array" ref="W1013:W1014">{"SUBCLASSINITIAL6-L00PTS";((INDEX(ALLCLASSDATA,MATCH("SubclassInitial6-L00",CLASSFEATUREHEADERS,0),MATCH(($A1014 &amp; "Points"),CLASSNAMEHEADERS,0))))}</f>
        <v>SUBCLASSINITIAL6-L00PTS</v>
      </c>
      <c r="X1013" s="76" t="str">
        <f t="array" ref="X1013:X1014">{"SUBCLASSINITIAL7-L00PTS";((INDEX(ALLCLASSDATA,MATCH("SubclassInitial7-L00",CLASSFEATUREHEADERS,0),MATCH(($A1014 &amp; "Points"),CLASSNAMEHEADERS,0))))}</f>
        <v>SUBCLASSINITIAL7-L00PTS</v>
      </c>
      <c r="Y1013" s="76" t="str">
        <f t="array" ref="Y1013:Y1014">{"SUBCLASSINITIAL8-L00PTS";((INDEX(ALLCLASSDATA,MATCH("SubclassInitial8-L00",CLASSFEATUREHEADERS,0),MATCH(($A1014 &amp; "Points"),CLASSNAMEHEADERS,0))))}</f>
        <v>SUBCLASSINITIAL8-L00PTS</v>
      </c>
      <c r="Z1013" s="76" t="str">
        <f t="array" ref="Z1013:Z1014">{"SUBCLASSINITIAL9-L00PTS";((INDEX(ALLCLASSDATA,MATCH("SubclassInitial9-L00",CLASSFEATUREHEADERS,0),MATCH(($A1014 &amp; "Points"),CLASSNAMEHEADERS,0))))}</f>
        <v>SUBCLASSINITIAL9-L00PTS</v>
      </c>
      <c r="AA1013" s="76" t="str">
        <f t="array" ref="AA1013:AA1014">{"SUBCLASSINITIAL10-L00PTS";((INDEX(ALLCLASSDATA,MATCH("SubclassInitial10-L00",CLASSFEATUREHEADERS,0),MATCH(($A1014 &amp; "Points"),CLASSNAMEHEADERS,0))))}</f>
        <v>SUBCLASSINITIAL10-L00PTS</v>
      </c>
      <c r="AB1013" s="76"/>
      <c r="AC1013" s="76" t="str">
        <f t="array" ref="AC1013:AC1014">{"INITIALFEATUREPTS TOTAL";(sum(G1014:AA1014))}</f>
        <v>INITIALFEATUREPTS TOTAL</v>
      </c>
    </row>
    <row r="1014">
      <c r="A1014" s="48" t="s">
        <v>189</v>
      </c>
      <c r="B1014" s="48"/>
      <c r="C1014" s="48" t="s">
        <v>412</v>
      </c>
      <c r="D1014" s="97" t="s">
        <v>651</v>
      </c>
      <c r="E1014" s="97" t="s">
        <v>616</v>
      </c>
      <c r="F1014" s="97"/>
      <c r="G1014" s="132"/>
      <c r="H1014" s="98"/>
      <c r="I1014" s="98"/>
      <c r="J1014" s="97"/>
      <c r="K1014" s="98">
        <v>30.0</v>
      </c>
      <c r="L1014" s="97"/>
      <c r="M1014" s="98">
        <v>-10.0</v>
      </c>
      <c r="N1014" s="98">
        <v>-30.0</v>
      </c>
      <c r="O1014" s="98"/>
      <c r="P1014" s="98"/>
      <c r="Q1014" s="98"/>
      <c r="R1014" s="98">
        <v>10.0</v>
      </c>
      <c r="S1014" s="98">
        <v>-10.0</v>
      </c>
      <c r="T1014" s="98"/>
      <c r="U1014" s="98"/>
      <c r="V1014" s="98"/>
      <c r="W1014" s="98"/>
      <c r="X1014" s="98"/>
      <c r="Y1014" s="98"/>
      <c r="Z1014" s="98"/>
      <c r="AA1014" s="98"/>
      <c r="AB1014" s="5"/>
      <c r="AC1014" s="47">
        <v>-10.0</v>
      </c>
    </row>
    <row r="1015" hidden="1">
      <c r="A1015" s="76" t="str">
        <f t="array" ref="A1015:A1016">{"FormulaRow06";(INDEX(CLASSLIST,A1004,1))}</f>
        <v>FormulaRow06</v>
      </c>
      <c r="B1015" s="77" t="s">
        <v>236</v>
      </c>
      <c r="C1015" s="76" t="str">
        <f t="array" ref="C1015:C1016">{"CLASSTYPE";((INDEX(ALLCLASSDATA,MATCH("ClassType",CLASSFEATUREHEADERS,0),MATCH($A1016,CLASSNAMEHEADERS,0))))}</f>
        <v>CLASSTYPE</v>
      </c>
      <c r="D1015" s="81" t="str">
        <f t="array" ref="D1015:D1016">{"SKILLS";"Skills"}</f>
        <v>SKILLS</v>
      </c>
      <c r="E1015" s="81" t="str">
        <f t="array" ref="E1015:E1016">{"EXTRASKILLINCREASES";"Extra Skill Increases"}</f>
        <v>EXTRASKILLINCREASES</v>
      </c>
      <c r="F1015" s="81"/>
      <c r="G1015" s="81"/>
      <c r="H1015" s="81"/>
      <c r="I1015" s="81" t="str">
        <f t="array" ref="I1015:I1016">{"SKILLINCREASEEXTRA-L02";((INDEX(ALLCLASSDATA,MATCH("SkillIncreaseExtra-L02",CLASSFEATUREHEADERS,0),MATCH(($A1016 &amp; "Points"),CLASSNAMEHEADERS,0))))}</f>
        <v>SKILLINCREASEEXTRA-L02</v>
      </c>
      <c r="J1015" s="81" t="str">
        <f t="array" ref="J1015:J1016">{"SKILLINCREASEEXTRA-L03";((INDEX(ALLCLASSDATA,MATCH("SkillIncreaseExtra-L03",CLASSFEATUREHEADERS,0),MATCH(($A1016 &amp; "Points"),CLASSNAMEHEADERS,0))))}</f>
        <v>SKILLINCREASEEXTRA-L03</v>
      </c>
      <c r="K1015" s="81" t="str">
        <f t="array" ref="K1015:K1016">{"SKILLINCREASEEXTRA-L04";((INDEX(ALLCLASSDATA,MATCH("SkillIncreaseExtra-L04",CLASSFEATUREHEADERS,0),MATCH(($A1016 &amp; "Points"),CLASSNAMEHEADERS,0))))}</f>
        <v>SKILLINCREASEEXTRA-L04</v>
      </c>
      <c r="L1015" s="81" t="str">
        <f t="array" ref="L1015:L1016">{"SKILLINCREASEEXTRA-L05";((INDEX(ALLCLASSDATA,MATCH("SkillIncreaseExtra-L05",CLASSFEATUREHEADERS,0),MATCH(($A1016 &amp; "Points"),CLASSNAMEHEADERS,0))))}</f>
        <v>SKILLINCREASEEXTRA-L05</v>
      </c>
      <c r="M1015" s="81" t="str">
        <f t="array" ref="M1015:M1016">{"SKILLINCREASEEXTRA-L06";((INDEX(ALLCLASSDATA,MATCH("SkillIncreaseExtra-L06",CLASSFEATUREHEADERS,0),MATCH(($A1016 &amp; "Points"),CLASSNAMEHEADERS,0))))}</f>
        <v>SKILLINCREASEEXTRA-L06</v>
      </c>
      <c r="N1015" s="81" t="str">
        <f t="array" ref="N1015:N1016">{"SKILLINCREASEEXTRA-L07";((INDEX(ALLCLASSDATA,MATCH("SkillIncreaseExtra-L07",CLASSFEATUREHEADERS,0),MATCH(($A1016 &amp; "Points"),CLASSNAMEHEADERS,0))))}</f>
        <v>SKILLINCREASEEXTRA-L07</v>
      </c>
      <c r="O1015" s="81" t="str">
        <f t="array" ref="O1015:O1016">{"SKILLINCREASEEXTRA-L08";((INDEX(ALLCLASSDATA,MATCH("SkillIncreaseExtra-L08",CLASSFEATUREHEADERS,0),MATCH(($A1016 &amp; "Points"),CLASSNAMEHEADERS,0))))}</f>
        <v>SKILLINCREASEEXTRA-L08</v>
      </c>
      <c r="P1015" s="81" t="str">
        <f t="array" ref="P1015:P1016">{"SKILLINCREASEEXTRA-L09";((INDEX(ALLCLASSDATA,MATCH("SkillIncreaseExtra-L09",CLASSFEATUREHEADERS,0),MATCH(($A1016 &amp; "Points"),CLASSNAMEHEADERS,0))))}</f>
        <v>SKILLINCREASEEXTRA-L09</v>
      </c>
      <c r="Q1015" s="81" t="str">
        <f t="array" ref="Q1015:Q1016">{"SKILLINCREASEEXTRA-L10";((INDEX(ALLCLASSDATA,MATCH("SkillIncreaseExtra-L10",CLASSFEATUREHEADERS,0),MATCH(($A1016 &amp; "Points"),CLASSNAMEHEADERS,0))))}</f>
        <v>SKILLINCREASEEXTRA-L10</v>
      </c>
      <c r="R1015" s="81" t="str">
        <f t="array" ref="R1015:R1016">{"SKILLINCREASEEXTRA-L11";((INDEX(ALLCLASSDATA,MATCH("SkillIncreaseExtra-L11",CLASSFEATUREHEADERS,0),MATCH(($A1016 &amp; "Points"),CLASSNAMEHEADERS,0))))}</f>
        <v>SKILLINCREASEEXTRA-L11</v>
      </c>
      <c r="S1015" s="81" t="str">
        <f t="array" ref="S1015:S1016">{"SKILLINCREASEEXTRA-L12";((INDEX(ALLCLASSDATA,MATCH("SkillIncreaseExtra-L12",CLASSFEATUREHEADERS,0),MATCH(($A1016 &amp; "Points"),CLASSNAMEHEADERS,0))))}</f>
        <v>SKILLINCREASEEXTRA-L12</v>
      </c>
      <c r="T1015" s="81" t="str">
        <f t="array" ref="T1015:T1016">{"SKILLINCREASEEXTRA-L13";((INDEX(ALLCLASSDATA,MATCH("SkillIncreaseExtra-L13",CLASSFEATUREHEADERS,0),MATCH(($A1016 &amp; "Points"),CLASSNAMEHEADERS,0))))}</f>
        <v>SKILLINCREASEEXTRA-L13</v>
      </c>
      <c r="U1015" s="81" t="str">
        <f t="array" ref="U1015:U1016">{"SKILLINCREASEEXTRA-L14";((INDEX(ALLCLASSDATA,MATCH("SkillIncreaseExtra-L14",CLASSFEATUREHEADERS,0),MATCH(($A1016 &amp; "Points"),CLASSNAMEHEADERS,0))))}</f>
        <v>SKILLINCREASEEXTRA-L14</v>
      </c>
      <c r="V1015" s="81" t="str">
        <f t="array" ref="V1015:V1016">{"SKILLINCREASEEXTRA-L15";((INDEX(ALLCLASSDATA,MATCH("SkillIncreaseExtra-L15",CLASSFEATUREHEADERS,0),MATCH(($A1016 &amp; "Points"),CLASSNAMEHEADERS,0))))}</f>
        <v>SKILLINCREASEEXTRA-L15</v>
      </c>
      <c r="W1015" s="81" t="str">
        <f t="array" ref="W1015:W1016">{"SKILLINCREASEEXTRA-L16";((INDEX(ALLCLASSDATA,MATCH("SkillIncreaseExtra-L16",CLASSFEATUREHEADERS,0),MATCH(($A1016 &amp; "Points"),CLASSNAMEHEADERS,0))))}</f>
        <v>SKILLINCREASEEXTRA-L16</v>
      </c>
      <c r="X1015" s="81" t="str">
        <f t="array" ref="X1015:X1016">{"SKILLINCREASEEXTRA-L17";((INDEX(ALLCLASSDATA,MATCH("SkillIncreaseExtra-L17",CLASSFEATUREHEADERS,0),MATCH(($A1016 &amp; "Points"),CLASSNAMEHEADERS,0))))}</f>
        <v>SKILLINCREASEEXTRA-L17</v>
      </c>
      <c r="Y1015" s="81" t="str">
        <f t="array" ref="Y1015:Y1016">{"SKILLINCREASEEXTRA-L18";((INDEX(ALLCLASSDATA,MATCH("SkillIncreaseExtra-L18",CLASSFEATUREHEADERS,0),MATCH(($A1016 &amp; "Points"),CLASSNAMEHEADERS,0))))}</f>
        <v>SKILLINCREASEEXTRA-L18</v>
      </c>
      <c r="Z1015" s="81" t="str">
        <f t="array" ref="Z1015:Z1016">{"SKILLINCREASEEXTRA-L19";((INDEX(ALLCLASSDATA,MATCH("SkillIncreaseExtra-L19",CLASSFEATUREHEADERS,0),MATCH(($A1016 &amp; "Points"),CLASSNAMEHEADERS,0))))}</f>
        <v>SKILLINCREASEEXTRA-L19</v>
      </c>
      <c r="AA1015" s="81" t="str">
        <f t="array" ref="AA1015:AA1016">{"SKILLINCREASEEXTRA-L20";((INDEX(ALLCLASSDATA,MATCH("SkillIncreaseExtra-L20",CLASSFEATUREHEADERS,0),MATCH(($A1016 &amp; "Points"),CLASSNAMEHEADERS,0))))}</f>
        <v>SKILLINCREASEEXTRA-L20</v>
      </c>
      <c r="AB1015" s="76"/>
      <c r="AC1015" s="76" t="str">
        <f t="array" ref="AC1015:AC1016">{"SKILLINCREASE TOTAL";(sum(G1016:AA1016))}</f>
        <v>SKILLINCREASE TOTAL</v>
      </c>
    </row>
    <row r="1016">
      <c r="A1016" s="48" t="s">
        <v>189</v>
      </c>
      <c r="B1016" s="48"/>
      <c r="C1016" s="48" t="s">
        <v>412</v>
      </c>
      <c r="D1016" s="48" t="s">
        <v>659</v>
      </c>
      <c r="E1016" s="48" t="s">
        <v>661</v>
      </c>
      <c r="F1016" s="48"/>
      <c r="G1016" s="47"/>
      <c r="H1016" s="5"/>
      <c r="I1016" s="5" t="s">
        <v>603</v>
      </c>
      <c r="J1016" s="5" t="s">
        <v>603</v>
      </c>
      <c r="K1016" s="5" t="s">
        <v>603</v>
      </c>
      <c r="L1016" s="48" t="s">
        <v>603</v>
      </c>
      <c r="M1016" s="5" t="s">
        <v>603</v>
      </c>
      <c r="N1016" s="5" t="s">
        <v>603</v>
      </c>
      <c r="O1016" s="5" t="s">
        <v>603</v>
      </c>
      <c r="P1016" s="5" t="s">
        <v>603</v>
      </c>
      <c r="Q1016" s="5" t="s">
        <v>603</v>
      </c>
      <c r="R1016" s="5" t="s">
        <v>603</v>
      </c>
      <c r="S1016" s="5" t="s">
        <v>603</v>
      </c>
      <c r="T1016" s="5" t="s">
        <v>603</v>
      </c>
      <c r="U1016" s="5" t="s">
        <v>603</v>
      </c>
      <c r="V1016" s="5" t="s">
        <v>603</v>
      </c>
      <c r="W1016" s="5" t="s">
        <v>603</v>
      </c>
      <c r="X1016" s="5" t="s">
        <v>603</v>
      </c>
      <c r="Y1016" s="5" t="s">
        <v>603</v>
      </c>
      <c r="Z1016" s="5" t="s">
        <v>603</v>
      </c>
      <c r="AA1016" s="5" t="s">
        <v>603</v>
      </c>
      <c r="AB1016" s="5"/>
      <c r="AC1016" s="47">
        <v>0.0</v>
      </c>
    </row>
    <row r="1017" hidden="1">
      <c r="A1017" s="76" t="str">
        <f t="array" ref="A1017:A1018">{"FormulaRow07";(INDEX(CLASSLIST,A1004,1))}</f>
        <v>FormulaRow07</v>
      </c>
      <c r="B1017" s="77" t="s">
        <v>236</v>
      </c>
      <c r="C1017" s="76" t="str">
        <f t="array" ref="C1017:C1018">{"CLASSTYPE";((INDEX(ALLCLASSDATA,MATCH("ClassType",CLASSFEATUREHEADERS,0),MATCH($A1018,CLASSNAMEHEADERS,0))))}</f>
        <v>CLASSTYPE</v>
      </c>
      <c r="D1017" s="76" t="str">
        <f t="array" ref="D1017:D1018">{"SKILLS";"Skills"}</f>
        <v>SKILLS</v>
      </c>
      <c r="E1017" s="76" t="str">
        <f t="array" ref="E1017:E1018">{"EXTRASKILLFEATS";"Extra Skill Feats"}</f>
        <v>EXTRASKILLFEATS</v>
      </c>
      <c r="F1017" s="76"/>
      <c r="G1017" s="76"/>
      <c r="H1017" s="76" t="str">
        <f t="array" ref="H1017:H1018">{"SKILLFEATEXTRA-L01";((INDEX(ALLCLASSDATA,MATCH("SkillFeatExtra-L01",CLASSFEATUREHEADERS,0),MATCH(($A1018 &amp; "Points"),CLASSNAMEHEADERS,0))))}</f>
        <v>SKILLFEATEXTRA-L01</v>
      </c>
      <c r="I1017" s="76" t="str">
        <f t="array" ref="I1017:I1018">{"SKILLFEATEXTRA-L02";((INDEX(ALLCLASSDATA,MATCH("SkillFeatExtra-L02",CLASSFEATUREHEADERS,0),MATCH(($A1018 &amp; "Points"),CLASSNAMEHEADERS,0))))}</f>
        <v>SKILLFEATEXTRA-L02</v>
      </c>
      <c r="J1017" s="76" t="str">
        <f t="array" ref="J1017:J1018">{"SKILLFEATEXTRA-L03";((INDEX(ALLCLASSDATA,MATCH("SkillFeatExtra-L03",CLASSFEATUREHEADERS,0),MATCH(($A1018 &amp; "Points"),CLASSNAMEHEADERS,0))))}</f>
        <v>SKILLFEATEXTRA-L03</v>
      </c>
      <c r="K1017" s="76" t="str">
        <f t="array" ref="K1017:K1018">{"SKILLFEATEXTRA-L04";((INDEX(ALLCLASSDATA,MATCH("SkillFeatExtra-L04",CLASSFEATUREHEADERS,0),MATCH(($A1018 &amp; "Points"),CLASSNAMEHEADERS,0))))}</f>
        <v>SKILLFEATEXTRA-L04</v>
      </c>
      <c r="L1017" s="76" t="str">
        <f t="array" ref="L1017:L1018">{"SKILLFEATEXTRA-L05";((INDEX(ALLCLASSDATA,MATCH("SkillFeatExtra-L05",CLASSFEATUREHEADERS,0),MATCH(($A1018 &amp; "Points"),CLASSNAMEHEADERS,0))))}</f>
        <v>SKILLFEATEXTRA-L05</v>
      </c>
      <c r="M1017" s="76" t="str">
        <f t="array" ref="M1017:M1018">{"SKILLFEATEXTRA-L06";((INDEX(ALLCLASSDATA,MATCH("SkillFeatExtra-L06",CLASSFEATUREHEADERS,0),MATCH(($A1018 &amp; "Points"),CLASSNAMEHEADERS,0))))}</f>
        <v>SKILLFEATEXTRA-L06</v>
      </c>
      <c r="N1017" s="76" t="str">
        <f t="array" ref="N1017:N1018">{"SKILLFEATEXTRA-L07";((INDEX(ALLCLASSDATA,MATCH("SkillFeatExtra-L07",CLASSFEATUREHEADERS,0),MATCH(($A1018 &amp; "Points"),CLASSNAMEHEADERS,0))))}</f>
        <v>SKILLFEATEXTRA-L07</v>
      </c>
      <c r="O1017" s="76" t="str">
        <f t="array" ref="O1017:O1018">{"SKILLFEATEXTRA-L08";((INDEX(ALLCLASSDATA,MATCH("SkillFeatExtra-L08",CLASSFEATUREHEADERS,0),MATCH(($A1018 &amp; "Points"),CLASSNAMEHEADERS,0))))}</f>
        <v>SKILLFEATEXTRA-L08</v>
      </c>
      <c r="P1017" s="76" t="str">
        <f t="array" ref="P1017:P1018">{"SKILLFEATEXTRA-L09";((INDEX(ALLCLASSDATA,MATCH("SkillFeatExtra-L09",CLASSFEATUREHEADERS,0),MATCH(($A1018 &amp; "Points"),CLASSNAMEHEADERS,0))))}</f>
        <v>SKILLFEATEXTRA-L09</v>
      </c>
      <c r="Q1017" s="76" t="str">
        <f t="array" ref="Q1017:Q1018">{"SKILLFEATEXTRA-L10";((INDEX(ALLCLASSDATA,MATCH("SkillFeatExtra-L10",CLASSFEATUREHEADERS,0),MATCH(($A1018 &amp; "Points"),CLASSNAMEHEADERS,0))))}</f>
        <v>SKILLFEATEXTRA-L10</v>
      </c>
      <c r="R1017" s="76" t="str">
        <f t="array" ref="R1017:R1018">{"SKILLFEATEXTRA-L11";((INDEX(ALLCLASSDATA,MATCH("SkillFeatExtra-L11",CLASSFEATUREHEADERS,0),MATCH(($A1018 &amp; "Points"),CLASSNAMEHEADERS,0))))}</f>
        <v>SKILLFEATEXTRA-L11</v>
      </c>
      <c r="S1017" s="76" t="str">
        <f t="array" ref="S1017:S1018">{"SKILLFEATEXTRA-L12";((INDEX(ALLCLASSDATA,MATCH("SkillFeatExtra-L12",CLASSFEATUREHEADERS,0),MATCH(($A1018 &amp; "Points"),CLASSNAMEHEADERS,0))))}</f>
        <v>SKILLFEATEXTRA-L12</v>
      </c>
      <c r="T1017" s="76" t="str">
        <f t="array" ref="T1017:T1018">{"SKILLFEATEXTRA-L13";((INDEX(ALLCLASSDATA,MATCH("SkillFeatExtra-L13",CLASSFEATUREHEADERS,0),MATCH(($A1018 &amp; "Points"),CLASSNAMEHEADERS,0))))}</f>
        <v>SKILLFEATEXTRA-L13</v>
      </c>
      <c r="U1017" s="76" t="str">
        <f t="array" ref="U1017:U1018">{"SKILLFEATEXTRA-L14";((INDEX(ALLCLASSDATA,MATCH("SkillFeatExtra-L14",CLASSFEATUREHEADERS,0),MATCH(($A1018 &amp; "Points"),CLASSNAMEHEADERS,0))))}</f>
        <v>SKILLFEATEXTRA-L14</v>
      </c>
      <c r="V1017" s="76" t="str">
        <f t="array" ref="V1017:V1018">{"SKILLFEATEXTRA-L15";((INDEX(ALLCLASSDATA,MATCH("SkillFeatExtra-L15",CLASSFEATUREHEADERS,0),MATCH(($A1018 &amp; "Points"),CLASSNAMEHEADERS,0))))}</f>
        <v>SKILLFEATEXTRA-L15</v>
      </c>
      <c r="W1017" s="76" t="str">
        <f t="array" ref="W1017:W1018">{"SKILLFEATEXTRA-L16";((INDEX(ALLCLASSDATA,MATCH("SkillFeatExtra-L16",CLASSFEATUREHEADERS,0),MATCH(($A1018 &amp; "Points"),CLASSNAMEHEADERS,0))))}</f>
        <v>SKILLFEATEXTRA-L16</v>
      </c>
      <c r="X1017" s="76" t="str">
        <f t="array" ref="X1017:X1018">{"SKILLFEATEXTRA-L17";((INDEX(ALLCLASSDATA,MATCH("SkillFeatExtra-L17",CLASSFEATUREHEADERS,0),MATCH(($A1018 &amp; "Points"),CLASSNAMEHEADERS,0))))}</f>
        <v>SKILLFEATEXTRA-L17</v>
      </c>
      <c r="Y1017" s="76" t="str">
        <f t="array" ref="Y1017:Y1018">{"SKILLFEATEXTRA-L18";((INDEX(ALLCLASSDATA,MATCH("SkillFeatExtra-L18",CLASSFEATUREHEADERS,0),MATCH(($A1018 &amp; "Points"),CLASSNAMEHEADERS,0))))}</f>
        <v>SKILLFEATEXTRA-L18</v>
      </c>
      <c r="Z1017" s="76" t="str">
        <f t="array" ref="Z1017:Z1018">{"SKILLFEATEXTRA-L19";((INDEX(ALLCLASSDATA,MATCH("SkillFeatExtra-L19",CLASSFEATUREHEADERS,0),MATCH(($A1018 &amp; "Points"),CLASSNAMEHEADERS,0))))}</f>
        <v>SKILLFEATEXTRA-L19</v>
      </c>
      <c r="AA1017" s="76" t="str">
        <f t="array" ref="AA1017:AA1018">{"SKILLFEATEXTRA-L20";((INDEX(ALLCLASSDATA,MATCH("SkillFeatExtra-L20",CLASSFEATUREHEADERS,0),MATCH(($A1018 &amp; "Points"),CLASSNAMEHEADERS,0))))}</f>
        <v>SKILLFEATEXTRA-L20</v>
      </c>
      <c r="AB1017" s="76"/>
      <c r="AC1017" s="76" t="str">
        <f t="array" ref="AC1017:AC1018">{"SKILLFEAT TOTAL";(sum(G1018:AA1018))}</f>
        <v>SKILLFEAT TOTAL</v>
      </c>
    </row>
    <row r="1018">
      <c r="A1018" s="48" t="s">
        <v>189</v>
      </c>
      <c r="B1018" s="48"/>
      <c r="C1018" s="48" t="s">
        <v>412</v>
      </c>
      <c r="D1018" s="97" t="s">
        <v>659</v>
      </c>
      <c r="E1018" s="97" t="s">
        <v>722</v>
      </c>
      <c r="F1018" s="97"/>
      <c r="G1018" s="132"/>
      <c r="H1018" s="98"/>
      <c r="I1018" s="98" t="s">
        <v>603</v>
      </c>
      <c r="J1018" s="97" t="s">
        <v>603</v>
      </c>
      <c r="K1018" s="98" t="s">
        <v>603</v>
      </c>
      <c r="L1018" s="97" t="s">
        <v>603</v>
      </c>
      <c r="M1018" s="98" t="s">
        <v>603</v>
      </c>
      <c r="N1018" s="98" t="s">
        <v>603</v>
      </c>
      <c r="O1018" s="98" t="s">
        <v>603</v>
      </c>
      <c r="P1018" s="98" t="s">
        <v>603</v>
      </c>
      <c r="Q1018" s="98" t="s">
        <v>603</v>
      </c>
      <c r="R1018" s="98" t="s">
        <v>603</v>
      </c>
      <c r="S1018" s="98" t="s">
        <v>603</v>
      </c>
      <c r="T1018" s="98" t="s">
        <v>603</v>
      </c>
      <c r="U1018" s="98" t="s">
        <v>603</v>
      </c>
      <c r="V1018" s="98" t="s">
        <v>603</v>
      </c>
      <c r="W1018" s="98" t="s">
        <v>603</v>
      </c>
      <c r="X1018" s="98" t="s">
        <v>603</v>
      </c>
      <c r="Y1018" s="98" t="s">
        <v>603</v>
      </c>
      <c r="Z1018" s="98" t="s">
        <v>603</v>
      </c>
      <c r="AA1018" s="98" t="s">
        <v>603</v>
      </c>
      <c r="AB1018" s="5"/>
      <c r="AC1018" s="47">
        <v>0.0</v>
      </c>
    </row>
    <row r="1019" hidden="1">
      <c r="A1019" s="76" t="str">
        <f t="array" ref="A1019:A1020">{"FormulaRow08";(INDEX(CLASSLIST,A1004,1))}</f>
        <v>FormulaRow08</v>
      </c>
      <c r="B1019" s="77" t="s">
        <v>236</v>
      </c>
      <c r="C1019" s="76" t="str">
        <f t="array" ref="C1019:C1020">{"CLASSTYPE";((INDEX(ALLCLASSDATA,MATCH("ClassType",CLASSFEATUREHEADERS,0),MATCH($A1020,CLASSNAMEHEADERS,0))))}</f>
        <v>CLASSTYPE</v>
      </c>
      <c r="D1019" s="81" t="str">
        <f t="array" ref="D1019:D1020">{"CLASSABILITY";"ClassAbility"}</f>
        <v>CLASSABILITY</v>
      </c>
      <c r="E1019" s="81" t="str">
        <f t="array" ref="E1019:E1020">{"CLASSABILITY1";"ClassAbility1"}</f>
        <v>CLASSABILITY1</v>
      </c>
      <c r="F1019" s="81"/>
      <c r="G1019" s="81"/>
      <c r="H1019" s="81"/>
      <c r="I1019" s="81"/>
      <c r="J1019" s="81" t="str">
        <f t="array" ref="J1019:J1020">{"CLASSABILITY1-L03";((INDEX(ALLCLASSDATA,MATCH("ClassAbility1-L03",CLASSFEATUREHEADERS,0),MATCH(($A1020),CLASSNAMEHEADERS,0))))}</f>
        <v>CLASSABILITY1-L03</v>
      </c>
      <c r="K1019" s="81"/>
      <c r="L1019" s="81" t="str">
        <f t="array" ref="L1019:L1020">{"CLASSABILITY1-L05";((INDEX(ALLCLASSDATA,MATCH("ClassAbility1-L05",CLASSFEATUREHEADERS,0),MATCH(($A1020),CLASSNAMEHEADERS,0))))}</f>
        <v>CLASSABILITY1-L05</v>
      </c>
      <c r="M1019" s="81"/>
      <c r="N1019" s="81" t="str">
        <f t="array" ref="N1019:N1020">{"CLASSABILITY1-L07";((INDEX(ALLCLASSDATA,MATCH("ClassAbility1-L07",CLASSFEATUREHEADERS,0),MATCH(($A1020),CLASSNAMEHEADERS,0))))}</f>
        <v>CLASSABILITY1-L07</v>
      </c>
      <c r="O1019" s="81"/>
      <c r="P1019" s="81" t="str">
        <f t="array" ref="P1019:P1020">{"CLASSABILITY1-L09";((INDEX(ALLCLASSDATA,MATCH("ClassAbility1-L09",CLASSFEATUREHEADERS,0),MATCH(($A1020),CLASSNAMEHEADERS,0))))}</f>
        <v>CLASSABILITY1-L09</v>
      </c>
      <c r="Q1019" s="81"/>
      <c r="R1019" s="81" t="str">
        <f t="array" ref="R1019:R1020">{"CLASSABILITY1-L11";((INDEX(ALLCLASSDATA,MATCH("ClassAbility1-L11",CLASSFEATUREHEADERS,0),MATCH(($A1020),CLASSNAMEHEADERS,0))))}</f>
        <v>CLASSABILITY1-L11</v>
      </c>
      <c r="S1019" s="81"/>
      <c r="T1019" s="81" t="str">
        <f t="array" ref="T1019:T1020">{"CLASSABILITY1-L13";((INDEX(ALLCLASSDATA,MATCH("ClassAbility1-L13",CLASSFEATUREHEADERS,0),MATCH(($A1020),CLASSNAMEHEADERS,0))))}</f>
        <v>CLASSABILITY1-L13</v>
      </c>
      <c r="U1019" s="81"/>
      <c r="V1019" s="81" t="str">
        <f t="array" ref="V1019:V1020">{"CLASSABILITY1-L15";((INDEX(ALLCLASSDATA,MATCH("ClassAbility1-L15",CLASSFEATUREHEADERS,0),MATCH(($A1020),CLASSNAMEHEADERS,0))))}</f>
        <v>CLASSABILITY1-L15</v>
      </c>
      <c r="W1019" s="81"/>
      <c r="X1019" s="81" t="str">
        <f t="array" ref="X1019:X1020">{"CLASSABILITY1-L17";((INDEX(ALLCLASSDATA,MATCH("ClassAbility1-L17",CLASSFEATUREHEADERS,0),MATCH(($A1020),CLASSNAMEHEADERS,0))))}</f>
        <v>CLASSABILITY1-L17</v>
      </c>
      <c r="Y1019" s="81"/>
      <c r="Z1019" s="81" t="str">
        <f t="array" ref="Z1019:Z1020">{"CLASSABILITY1-L19";((INDEX(ALLCLASSDATA,MATCH("ClassAbility1-L19",CLASSFEATUREHEADERS,0),MATCH(($A1020),CLASSNAMEHEADERS,0))))}</f>
        <v>CLASSABILITY1-L19</v>
      </c>
      <c r="AA1019" s="81"/>
      <c r="AB1019" s="76"/>
      <c r="AC1019" s="76"/>
    </row>
    <row r="1020">
      <c r="A1020" s="48" t="s">
        <v>189</v>
      </c>
      <c r="B1020" s="48"/>
      <c r="C1020" s="48" t="s">
        <v>412</v>
      </c>
      <c r="D1020" s="48" t="s">
        <v>825</v>
      </c>
      <c r="E1020" s="48" t="s">
        <v>826</v>
      </c>
      <c r="F1020" s="5"/>
      <c r="G1020" s="47"/>
      <c r="H1020" s="5"/>
      <c r="I1020" s="5"/>
      <c r="J1020" s="5"/>
      <c r="K1020" s="5"/>
      <c r="L1020" s="5" t="s">
        <v>1696</v>
      </c>
      <c r="M1020" s="5"/>
      <c r="N1020" s="5" t="s">
        <v>1705</v>
      </c>
      <c r="O1020" s="5"/>
      <c r="P1020" s="5" t="s">
        <v>1722</v>
      </c>
      <c r="Q1020" s="5"/>
      <c r="R1020" s="5" t="s">
        <v>317</v>
      </c>
      <c r="S1020" s="5"/>
      <c r="T1020" s="5" t="s">
        <v>369</v>
      </c>
      <c r="U1020" s="5"/>
      <c r="V1020" s="5" t="s">
        <v>1098</v>
      </c>
      <c r="W1020" s="5"/>
      <c r="X1020" s="5" t="s">
        <v>1776</v>
      </c>
      <c r="Y1020" s="5"/>
      <c r="Z1020" s="5" t="s">
        <v>1793</v>
      </c>
      <c r="AA1020" s="5"/>
      <c r="AB1020" s="5"/>
      <c r="AC1020" s="47"/>
    </row>
    <row r="1021" hidden="1">
      <c r="A1021" s="76" t="str">
        <f t="array" ref="A1021:A1022">{"FormulaRow09";(INDEX(CLASSLIST,A1004,1))}</f>
        <v>FormulaRow09</v>
      </c>
      <c r="B1021" s="77" t="s">
        <v>236</v>
      </c>
      <c r="C1021" s="76" t="str">
        <f t="array" ref="C1021:C1022">{"CLASSTYPE";((INDEX(ALLCLASSDATA,MATCH("ClassType",CLASSFEATUREHEADERS,0),MATCH($A1022,CLASSNAMEHEADERS,0))))}</f>
        <v>CLASSTYPE</v>
      </c>
      <c r="D1021" s="76" t="str">
        <f t="array" ref="D1021:D1022">{"CLASSABILITYPTS";"ClassAbilityPts"}</f>
        <v>CLASSABILITYPTS</v>
      </c>
      <c r="E1021" s="76" t="str">
        <f t="array" ref="E1021:E1022">{"CLASSABILITY1";"ClassAbility1"}</f>
        <v>CLASSABILITY1</v>
      </c>
      <c r="F1021" s="76"/>
      <c r="G1021" s="76"/>
      <c r="H1021" s="76"/>
      <c r="I1021" s="76"/>
      <c r="J1021" s="76" t="str">
        <f t="array" ref="J1021:J1022">{"CLASSABILITY1-L03PTS";((INDEX(ALLCLASSDATA,MATCH("ClassAbility1-L03",CLASSFEATUREHEADERS,0),MATCH(($A1022 &amp; "Points"),CLASSNAMEHEADERS,0))))}</f>
        <v>CLASSABILITY1-L03PTS</v>
      </c>
      <c r="K1021" s="76"/>
      <c r="L1021" s="76" t="str">
        <f t="array" ref="L1021:L1022">{"CLASSABILITY1-L05PTS";((INDEX(ALLCLASSDATA,MATCH("ClassAbility1-L05",CLASSFEATUREHEADERS,0),MATCH(($A1022 &amp; "Points"),CLASSNAMEHEADERS,0))))}</f>
        <v>CLASSABILITY1-L05PTS</v>
      </c>
      <c r="M1021" s="76"/>
      <c r="N1021" s="76" t="str">
        <f t="array" ref="N1021:N1022">{"CLASSABILITY1-L07PTS";((INDEX(ALLCLASSDATA,MATCH("ClassAbility1-L07",CLASSFEATUREHEADERS,0),MATCH(($A1022 &amp; "Points"),CLASSNAMEHEADERS,0))))}</f>
        <v>CLASSABILITY1-L07PTS</v>
      </c>
      <c r="O1021" s="76"/>
      <c r="P1021" s="76" t="str">
        <f t="array" ref="P1021:P1022">{"CLASSABILITY1-L09PTS";((INDEX(ALLCLASSDATA,MATCH("ClassAbility1-L09",CLASSFEATUREHEADERS,0),MATCH(($A1022 &amp; "Points"),CLASSNAMEHEADERS,0))))}</f>
        <v>CLASSABILITY1-L09PTS</v>
      </c>
      <c r="Q1021" s="76"/>
      <c r="R1021" s="76" t="str">
        <f t="array" ref="R1021:R1022">{"CLASSABILITY1-L11PTS";((INDEX(ALLCLASSDATA,MATCH("ClassAbility1-L11",CLASSFEATUREHEADERS,0),MATCH(($A1022 &amp; "Points"),CLASSNAMEHEADERS,0))))}</f>
        <v>CLASSABILITY1-L11PTS</v>
      </c>
      <c r="S1021" s="76"/>
      <c r="T1021" s="76" t="str">
        <f t="array" ref="T1021:T1022">{"CLASSABILITY1-L13PTS";((INDEX(ALLCLASSDATA,MATCH("ClassAbility1-L13",CLASSFEATUREHEADERS,0),MATCH(($A1022 &amp; "Points"),CLASSNAMEHEADERS,0))))}</f>
        <v>CLASSABILITY1-L13PTS</v>
      </c>
      <c r="U1021" s="76"/>
      <c r="V1021" s="76" t="str">
        <f t="array" ref="V1021:V1022">{"CLASSABILITY1-L15PTS";((INDEX(ALLCLASSDATA,MATCH("ClassAbility1-L15",CLASSFEATUREHEADERS,0),MATCH(($A1022 &amp; "Points"),CLASSNAMEHEADERS,0))))}</f>
        <v>CLASSABILITY1-L15PTS</v>
      </c>
      <c r="W1021" s="76"/>
      <c r="X1021" s="76" t="str">
        <f t="array" ref="X1021:X1022">{"CLASSABILITY1-L17PTS";((INDEX(ALLCLASSDATA,MATCH("ClassAbility1-L17",CLASSFEATUREHEADERS,0),MATCH(($A1022 &amp; "Points"),CLASSNAMEHEADERS,0))))}</f>
        <v>CLASSABILITY1-L17PTS</v>
      </c>
      <c r="Y1021" s="76"/>
      <c r="Z1021" s="76" t="str">
        <f t="array" ref="Z1021:Z1022">{"CLASSABILITY1-L19PTS";((INDEX(ALLCLASSDATA,MATCH("ClassAbility1-L19",CLASSFEATUREHEADERS,0),MATCH(($A1022 &amp; "Points"),CLASSNAMEHEADERS,0))))}</f>
        <v>CLASSABILITY1-L19PTS</v>
      </c>
      <c r="AA1021" s="76"/>
      <c r="AB1021" s="76"/>
      <c r="AC1021" s="76" t="str">
        <f t="array" ref="AC1021:AC1022">{"CLASSABILITY1 TOTAL";(sum(G1022:AA1022))}</f>
        <v>CLASSABILITY1 TOTAL</v>
      </c>
    </row>
    <row r="1022">
      <c r="A1022" s="48" t="s">
        <v>189</v>
      </c>
      <c r="B1022" s="48"/>
      <c r="C1022" s="48" t="s">
        <v>412</v>
      </c>
      <c r="D1022" s="48" t="s">
        <v>930</v>
      </c>
      <c r="E1022" s="48" t="s">
        <v>826</v>
      </c>
      <c r="F1022" s="5"/>
      <c r="G1022" s="5"/>
      <c r="H1022" s="5"/>
      <c r="I1022" s="5"/>
      <c r="J1022" s="48"/>
      <c r="K1022" s="5"/>
      <c r="L1022" s="5">
        <v>80.0</v>
      </c>
      <c r="M1022" s="5"/>
      <c r="N1022" s="5"/>
      <c r="O1022" s="5"/>
      <c r="P1022" s="5"/>
      <c r="Q1022" s="5"/>
      <c r="R1022" s="5"/>
      <c r="S1022" s="5"/>
      <c r="T1022" s="5"/>
      <c r="U1022" s="5"/>
      <c r="V1022" s="5">
        <v>150.0</v>
      </c>
      <c r="W1022" s="5"/>
      <c r="X1022" s="5"/>
      <c r="Y1022" s="5"/>
      <c r="Z1022" s="5"/>
      <c r="AA1022" s="5"/>
      <c r="AB1022" s="5"/>
      <c r="AC1022" s="47">
        <v>230.0</v>
      </c>
    </row>
    <row r="1023" hidden="1">
      <c r="A1023" s="76" t="str">
        <f t="array" ref="A1023:A1024">{"FormulaRow10";(INDEX(CLASSLIST,A1004,1))}</f>
        <v>FormulaRow10</v>
      </c>
      <c r="B1023" s="77" t="s">
        <v>236</v>
      </c>
      <c r="C1023" s="76" t="str">
        <f t="array" ref="C1023:C1024">{"CLASSTYPE";((INDEX(ALLCLASSDATA,MATCH("ClassType",CLASSFEATUREHEADERS,0),MATCH($A1024,CLASSNAMEHEADERS,0))))}</f>
        <v>CLASSTYPE</v>
      </c>
      <c r="D1023" s="76" t="str">
        <f t="array" ref="D1023:D1024">{"CLASSABILITY";"ClassAbility"}</f>
        <v>CLASSABILITY</v>
      </c>
      <c r="E1023" s="76" t="str">
        <f t="array" ref="E1023:E1024">{"CLASSABILITY2";"ClassAbility2"}</f>
        <v>CLASSABILITY2</v>
      </c>
      <c r="F1023" s="76"/>
      <c r="G1023" s="76"/>
      <c r="H1023" s="76"/>
      <c r="I1023" s="76"/>
      <c r="J1023" s="76" t="str">
        <f t="array" ref="J1023:J1024">{"CLASSABILITY2-L03";((INDEX(ALLCLASSDATA,MATCH("ClassAbility2-L03",CLASSFEATUREHEADERS,0),MATCH(($A1024),CLASSNAMEHEADERS,0))))}</f>
        <v>CLASSABILITY2-L03</v>
      </c>
      <c r="K1023" s="76"/>
      <c r="L1023" s="76" t="str">
        <f t="array" ref="L1023:L1024">{"CLASSABILITY2-L05";((INDEX(ALLCLASSDATA,MATCH("ClassAbility2-L05",CLASSFEATUREHEADERS,0),MATCH(($A1024),CLASSNAMEHEADERS,0))))}</f>
        <v>CLASSABILITY2-L05</v>
      </c>
      <c r="M1023" s="76"/>
      <c r="N1023" s="76" t="str">
        <f t="array" ref="N1023:N1024">{"CLASSABILITY2-L07";((INDEX(ALLCLASSDATA,MATCH("ClassAbility2-L07",CLASSFEATUREHEADERS,0),MATCH(($A1024),CLASSNAMEHEADERS,0))))}</f>
        <v>CLASSABILITY2-L07</v>
      </c>
      <c r="O1023" s="76"/>
      <c r="P1023" s="76" t="str">
        <f t="array" ref="P1023:P1024">{"CLASSABILITY2-L09";((INDEX(ALLCLASSDATA,MATCH("ClassAbility2-L09",CLASSFEATUREHEADERS,0),MATCH(($A1024),CLASSNAMEHEADERS,0))))}</f>
        <v>CLASSABILITY2-L09</v>
      </c>
      <c r="Q1023" s="76"/>
      <c r="R1023" s="76" t="str">
        <f t="array" ref="R1023:R1024">{"CLASSABILITY2-L11";((INDEX(ALLCLASSDATA,MATCH("ClassAbility2-L11",CLASSFEATUREHEADERS,0),MATCH(($A1024),CLASSNAMEHEADERS,0))))}</f>
        <v>CLASSABILITY2-L11</v>
      </c>
      <c r="S1023" s="76"/>
      <c r="T1023" s="76" t="str">
        <f t="array" ref="T1023:T1024">{"CLASSABILITY2-L13";((INDEX(ALLCLASSDATA,MATCH("ClassAbility2-L13",CLASSFEATUREHEADERS,0),MATCH(($A1024),CLASSNAMEHEADERS,0))))}</f>
        <v>CLASSABILITY2-L13</v>
      </c>
      <c r="U1023" s="76"/>
      <c r="V1023" s="76" t="str">
        <f t="array" ref="V1023:V1024">{"CLASSABILITY2-L15";((INDEX(ALLCLASSDATA,MATCH("ClassAbility2-L15",CLASSFEATUREHEADERS,0),MATCH(($A1024),CLASSNAMEHEADERS,0))))}</f>
        <v>CLASSABILITY2-L15</v>
      </c>
      <c r="W1023" s="76"/>
      <c r="X1023" s="76" t="str">
        <f t="array" ref="X1023:X1024">{"CLASSABILITY2-L17";((INDEX(ALLCLASSDATA,MATCH("ClassAbility2-L17",CLASSFEATUREHEADERS,0),MATCH(($A1024),CLASSNAMEHEADERS,0))))}</f>
        <v>CLASSABILITY2-L17</v>
      </c>
      <c r="Y1023" s="76"/>
      <c r="Z1023" s="76" t="str">
        <f t="array" ref="Z1023:Z1024">{"CLASSABILITY2-L19";((INDEX(ALLCLASSDATA,MATCH("ClassAbility2-L19",CLASSFEATUREHEADERS,0),MATCH(($A1024),CLASSNAMEHEADERS,0))))}</f>
        <v>CLASSABILITY2-L19</v>
      </c>
      <c r="AA1023" s="76"/>
      <c r="AB1023" s="76"/>
      <c r="AC1023" s="76"/>
    </row>
    <row r="1024">
      <c r="A1024" s="48" t="s">
        <v>189</v>
      </c>
      <c r="B1024" s="48"/>
      <c r="C1024" s="48" t="s">
        <v>412</v>
      </c>
      <c r="D1024" s="48" t="s">
        <v>825</v>
      </c>
      <c r="E1024" s="48" t="s">
        <v>1007</v>
      </c>
      <c r="F1024" s="48"/>
      <c r="G1024" s="47"/>
      <c r="H1024" s="5"/>
      <c r="I1024" s="5"/>
      <c r="J1024" s="5"/>
      <c r="K1024" s="5"/>
      <c r="L1024" s="5" t="s">
        <v>1700</v>
      </c>
      <c r="M1024" s="5"/>
      <c r="N1024" s="5" t="s">
        <v>332</v>
      </c>
      <c r="O1024" s="5"/>
      <c r="P1024" s="5" t="s">
        <v>305</v>
      </c>
      <c r="Q1024" s="5"/>
      <c r="R1024" s="5"/>
      <c r="S1024" s="5"/>
      <c r="T1024" s="5" t="s">
        <v>1755</v>
      </c>
      <c r="U1024" s="5"/>
      <c r="V1024" s="5" t="s">
        <v>326</v>
      </c>
      <c r="W1024" s="5"/>
      <c r="X1024" s="5"/>
      <c r="Y1024" s="5"/>
      <c r="Z1024" s="5"/>
      <c r="AA1024" s="5"/>
      <c r="AB1024" s="5"/>
      <c r="AC1024" s="47"/>
    </row>
    <row r="1025" hidden="1">
      <c r="A1025" s="76" t="str">
        <f t="array" ref="A1025:A1026">{"FormulaRow11";(INDEX(CLASSLIST,A1004,1))}</f>
        <v>FormulaRow11</v>
      </c>
      <c r="B1025" s="77" t="s">
        <v>236</v>
      </c>
      <c r="C1025" s="76" t="str">
        <f t="array" ref="C1025:C1026">{"CLASSTYPE";((INDEX(ALLCLASSDATA,MATCH("ClassType",CLASSFEATUREHEADERS,0),MATCH($A1026,CLASSNAMEHEADERS,0))))}</f>
        <v>CLASSTYPE</v>
      </c>
      <c r="D1025" s="76" t="str">
        <f t="array" ref="D1025:D1026">{"CLASSABILITYPTS";"ClassAbilityPts"}</f>
        <v>CLASSABILITYPTS</v>
      </c>
      <c r="E1025" s="76" t="str">
        <f t="array" ref="E1025:E1026">{"CLASSABILITY2";"ClassAbility2"}</f>
        <v>CLASSABILITY2</v>
      </c>
      <c r="F1025" s="76"/>
      <c r="G1025" s="76"/>
      <c r="H1025" s="76"/>
      <c r="I1025" s="76"/>
      <c r="J1025" s="76" t="str">
        <f t="array" ref="J1025:J1026">{"CLASSABILITY2-L03PTS";((INDEX(ALLCLASSDATA,MATCH("ClassAbility2-L03",CLASSFEATUREHEADERS,0),MATCH(($A1026 &amp; "Points"),CLASSNAMEHEADERS,0))))}</f>
        <v>CLASSABILITY2-L03PTS</v>
      </c>
      <c r="K1025" s="76"/>
      <c r="L1025" s="76" t="str">
        <f t="array" ref="L1025:L1026">{"CLASSABILITY2-L05PTS";((INDEX(ALLCLASSDATA,MATCH("ClassAbility2-L05",CLASSFEATUREHEADERS,0),MATCH(($A1026 &amp; "Points"),CLASSNAMEHEADERS,0))))}</f>
        <v>CLASSABILITY2-L05PTS</v>
      </c>
      <c r="M1025" s="76"/>
      <c r="N1025" s="76" t="str">
        <f t="array" ref="N1025:N1026">{"CLASSABILITY2-L07PTS";((INDEX(ALLCLASSDATA,MATCH("ClassAbility2-L07",CLASSFEATUREHEADERS,0),MATCH(($A1026 &amp; "Points"),CLASSNAMEHEADERS,0))))}</f>
        <v>CLASSABILITY2-L07PTS</v>
      </c>
      <c r="O1025" s="76"/>
      <c r="P1025" s="76" t="str">
        <f t="array" ref="P1025:P1026">{"CLASSABILITY2-L09PTS";((INDEX(ALLCLASSDATA,MATCH("ClassAbility2-L09",CLASSFEATUREHEADERS,0),MATCH(($A1026 &amp; "Points"),CLASSNAMEHEADERS,0))))}</f>
        <v>CLASSABILITY2-L09PTS</v>
      </c>
      <c r="Q1025" s="76"/>
      <c r="R1025" s="76" t="str">
        <f t="array" ref="R1025:R1026">{"CLASSABILITY2-L11PTS";((INDEX(ALLCLASSDATA,MATCH("ClassAbility2-L11",CLASSFEATUREHEADERS,0),MATCH(($A1026 &amp; "Points"),CLASSNAMEHEADERS,0))))}</f>
        <v>CLASSABILITY2-L11PTS</v>
      </c>
      <c r="S1025" s="76"/>
      <c r="T1025" s="76" t="str">
        <f t="array" ref="T1025:T1026">{"CLASSABILITY2-L13PTS";((INDEX(ALLCLASSDATA,MATCH("ClassAbility2-L13",CLASSFEATUREHEADERS,0),MATCH(($A1026 &amp; "Points"),CLASSNAMEHEADERS,0))))}</f>
        <v>CLASSABILITY2-L13PTS</v>
      </c>
      <c r="U1025" s="76"/>
      <c r="V1025" s="76" t="str">
        <f t="array" ref="V1025:V1026">{"CLASSABILITY2-L15PTS";((INDEX(ALLCLASSDATA,MATCH("ClassAbility2-L15",CLASSFEATUREHEADERS,0),MATCH(($A1026 &amp; "Points"),CLASSNAMEHEADERS,0))))}</f>
        <v>CLASSABILITY2-L15PTS</v>
      </c>
      <c r="W1025" s="76"/>
      <c r="X1025" s="76" t="str">
        <f t="array" ref="X1025:X1026">{"CLASSABILITY2-L17PTS";((INDEX(ALLCLASSDATA,MATCH("ClassAbility2-L17",CLASSFEATUREHEADERS,0),MATCH(($A1026 &amp; "Points"),CLASSNAMEHEADERS,0))))}</f>
        <v>CLASSABILITY2-L17PTS</v>
      </c>
      <c r="Y1025" s="76"/>
      <c r="Z1025" s="76" t="str">
        <f t="array" ref="Z1025:Z1026">{"CLASSABILITY2-L19PTS";((INDEX(ALLCLASSDATA,MATCH("ClassAbility2-L19",CLASSFEATUREHEADERS,0),MATCH(($A1026 &amp; "Points"),CLASSNAMEHEADERS,0))))}</f>
        <v>CLASSABILITY2-L19PTS</v>
      </c>
      <c r="AA1025" s="76"/>
      <c r="AB1025" s="76"/>
      <c r="AC1025" s="76" t="str">
        <f t="array" ref="AC1025:AC1026">{"CLASSABILITY2 TOTAL";(sum(G1026:AA1026))}</f>
        <v>CLASSABILITY2 TOTAL</v>
      </c>
    </row>
    <row r="1026">
      <c r="A1026" s="48" t="s">
        <v>189</v>
      </c>
      <c r="B1026" s="48"/>
      <c r="C1026" s="48" t="s">
        <v>412</v>
      </c>
      <c r="D1026" s="48" t="s">
        <v>930</v>
      </c>
      <c r="E1026" s="48" t="s">
        <v>1007</v>
      </c>
      <c r="F1026" s="48"/>
      <c r="G1026" s="47"/>
      <c r="H1026" s="5"/>
      <c r="I1026" s="5"/>
      <c r="J1026" s="5"/>
      <c r="K1026" s="5"/>
      <c r="L1026" s="5">
        <v>-80.0</v>
      </c>
      <c r="M1026" s="5"/>
      <c r="N1026" s="5"/>
      <c r="O1026" s="5"/>
      <c r="P1026" s="5"/>
      <c r="Q1026" s="5"/>
      <c r="R1026" s="5"/>
      <c r="S1026" s="5"/>
      <c r="T1026" s="5"/>
      <c r="U1026" s="5"/>
      <c r="V1026" s="5"/>
      <c r="W1026" s="5"/>
      <c r="X1026" s="5"/>
      <c r="Y1026" s="5"/>
      <c r="Z1026" s="5"/>
      <c r="AA1026" s="5"/>
      <c r="AB1026" s="5"/>
      <c r="AC1026" s="47">
        <v>-80.0</v>
      </c>
    </row>
    <row r="1027" hidden="1">
      <c r="A1027" s="76" t="str">
        <f t="array" ref="A1027:A1028">{"FormulaRow12";(INDEX(CLASSLIST,A1004,1))}</f>
        <v>FormulaRow12</v>
      </c>
      <c r="B1027" s="77" t="s">
        <v>236</v>
      </c>
      <c r="C1027" s="76" t="str">
        <f t="array" ref="C1027:C1028">{"CLASSTYPE";((INDEX(ALLCLASSDATA,MATCH("ClassType",CLASSFEATUREHEADERS,0),MATCH($A1028,CLASSNAMEHEADERS,0))))}</f>
        <v>CLASSTYPE</v>
      </c>
      <c r="D1027" s="76" t="str">
        <f t="array" ref="D1027:D1028">{"CLASSABILITY";"ClassAbility"}</f>
        <v>CLASSABILITY</v>
      </c>
      <c r="E1027" s="76" t="str">
        <f t="array" ref="E1027:E1028">{"CLASSABILITY3";"ClassAbility3"}</f>
        <v>CLASSABILITY3</v>
      </c>
      <c r="F1027" s="76"/>
      <c r="G1027" s="76"/>
      <c r="H1027" s="76"/>
      <c r="I1027" s="76"/>
      <c r="J1027" s="76" t="str">
        <f t="array" ref="J1027:J1028">{"CLASSABILITY3-L03";((INDEX(ALLCLASSDATA,MATCH("ClassAbility3-L03",CLASSFEATUREHEADERS,0),MATCH(($A1028),CLASSNAMEHEADERS,0))))}</f>
        <v>CLASSABILITY3-L03</v>
      </c>
      <c r="K1027" s="76"/>
      <c r="L1027" s="76" t="str">
        <f t="array" ref="L1027:L1028">{"CLASSABILITY3-L05";((INDEX(ALLCLASSDATA,MATCH("ClassAbility3-L05",CLASSFEATUREHEADERS,0),MATCH(($A1028),CLASSNAMEHEADERS,0))))}</f>
        <v>CLASSABILITY3-L05</v>
      </c>
      <c r="M1027" s="76"/>
      <c r="N1027" s="76" t="str">
        <f t="array" ref="N1027:N1028">{"CLASSABILITY3-L07";((INDEX(ALLCLASSDATA,MATCH("ClassAbility3-L07",CLASSFEATUREHEADERS,0),MATCH(($A1028),CLASSNAMEHEADERS,0))))}</f>
        <v>CLASSABILITY3-L07</v>
      </c>
      <c r="O1027" s="76"/>
      <c r="P1027" s="76" t="str">
        <f t="array" ref="P1027:P1028">{"CLASSABILITY3-L09";((INDEX(ALLCLASSDATA,MATCH("ClassAbility3-L09",CLASSFEATUREHEADERS,0),MATCH(($A1028),CLASSNAMEHEADERS,0))))}</f>
        <v>CLASSABILITY3-L09</v>
      </c>
      <c r="Q1027" s="76"/>
      <c r="R1027" s="76" t="str">
        <f t="array" ref="R1027:R1028">{"CLASSABILITY3-L11";((INDEX(ALLCLASSDATA,MATCH("ClassAbility3-L11",CLASSFEATUREHEADERS,0),MATCH(($A1028),CLASSNAMEHEADERS,0))))}</f>
        <v>CLASSABILITY3-L11</v>
      </c>
      <c r="S1027" s="76"/>
      <c r="T1027" s="76" t="str">
        <f t="array" ref="T1027:T1028">{"CLASSABILITY3-L13";((INDEX(ALLCLASSDATA,MATCH("ClassAbility3-L13",CLASSFEATUREHEADERS,0),MATCH(($A1028),CLASSNAMEHEADERS,0))))}</f>
        <v>CLASSABILITY3-L13</v>
      </c>
      <c r="U1027" s="76"/>
      <c r="V1027" s="76" t="str">
        <f t="array" ref="V1027:V1028">{"CLASSABILITY3-L15";((INDEX(ALLCLASSDATA,MATCH("ClassAbility3-L15",CLASSFEATUREHEADERS,0),MATCH(($A1028),CLASSNAMEHEADERS,0))))}</f>
        <v>CLASSABILITY3-L15</v>
      </c>
      <c r="W1027" s="76"/>
      <c r="X1027" s="76" t="str">
        <f t="array" ref="X1027:X1028">{"CLASSABILITY3-L17";((INDEX(ALLCLASSDATA,MATCH("ClassAbility3-L17",CLASSFEATUREHEADERS,0),MATCH(($A1028),CLASSNAMEHEADERS,0))))}</f>
        <v>CLASSABILITY3-L17</v>
      </c>
      <c r="Y1027" s="76"/>
      <c r="Z1027" s="76" t="str">
        <f t="array" ref="Z1027:Z1028">{"CLASSABILITY3-L19";((INDEX(ALLCLASSDATA,MATCH("ClassAbility3-L19",CLASSFEATUREHEADERS,0),MATCH(($A1028),CLASSNAMEHEADERS,0))))}</f>
        <v>CLASSABILITY3-L19</v>
      </c>
      <c r="AA1027" s="76"/>
      <c r="AB1027" s="76"/>
      <c r="AC1027" s="76"/>
    </row>
    <row r="1028">
      <c r="A1028" s="48" t="s">
        <v>189</v>
      </c>
      <c r="B1028" s="48"/>
      <c r="C1028" s="48" t="s">
        <v>412</v>
      </c>
      <c r="D1028" s="48" t="s">
        <v>825</v>
      </c>
      <c r="E1028" s="48" t="s">
        <v>1144</v>
      </c>
      <c r="F1028" s="48"/>
      <c r="G1028" s="47"/>
      <c r="H1028" s="5"/>
      <c r="I1028" s="5"/>
      <c r="J1028" s="5"/>
      <c r="K1028" s="5"/>
      <c r="L1028" s="5"/>
      <c r="M1028" s="5"/>
      <c r="N1028" s="5"/>
      <c r="O1028" s="5"/>
      <c r="P1028" s="5" t="s">
        <v>1095</v>
      </c>
      <c r="Q1028" s="5"/>
      <c r="R1028" s="5"/>
      <c r="S1028" s="5"/>
      <c r="T1028" s="5"/>
      <c r="U1028" s="5"/>
      <c r="V1028" s="5"/>
      <c r="W1028" s="5"/>
      <c r="X1028" s="5"/>
      <c r="Y1028" s="5"/>
      <c r="Z1028" s="5"/>
      <c r="AA1028" s="5"/>
      <c r="AB1028" s="5"/>
      <c r="AC1028" s="47"/>
    </row>
    <row r="1029" hidden="1">
      <c r="A1029" s="76" t="str">
        <f t="array" ref="A1029:A1030">{"FormulaRow13";(INDEX(CLASSLIST,A1004,1))}</f>
        <v>FormulaRow13</v>
      </c>
      <c r="B1029" s="77" t="s">
        <v>236</v>
      </c>
      <c r="C1029" s="76" t="str">
        <f t="array" ref="C1029:C1030">{"CLASSTYPE";((INDEX(ALLCLASSDATA,MATCH("ClassType",CLASSFEATUREHEADERS,0),MATCH($A1030,CLASSNAMEHEADERS,0))))}</f>
        <v>CLASSTYPE</v>
      </c>
      <c r="D1029" s="76" t="str">
        <f t="array" ref="D1029:D1030">{"CLASSABILITYPTS";"ClassAbilityPts"}</f>
        <v>CLASSABILITYPTS</v>
      </c>
      <c r="E1029" s="76" t="str">
        <f t="array" ref="E1029:E1030">{"CLASSABILITY3";"ClassAbility3"}</f>
        <v>CLASSABILITY3</v>
      </c>
      <c r="F1029" s="76"/>
      <c r="G1029" s="76"/>
      <c r="H1029" s="76"/>
      <c r="I1029" s="76"/>
      <c r="J1029" s="76" t="str">
        <f t="array" ref="J1029:J1030">{"CLASSABILITY3-L03PTS";((INDEX(ALLCLASSDATA,MATCH("ClassAbility3-L03",CLASSFEATUREHEADERS,0),MATCH(($A1030 &amp; "Points"),CLASSNAMEHEADERS,0))))}</f>
        <v>CLASSABILITY3-L03PTS</v>
      </c>
      <c r="K1029" s="76"/>
      <c r="L1029" s="76" t="str">
        <f t="array" ref="L1029:L1030">{"CLASSABILITY3-L05PTS";((INDEX(ALLCLASSDATA,MATCH("ClassAbility3-L05",CLASSFEATUREHEADERS,0),MATCH(($A1030 &amp; "Points"),CLASSNAMEHEADERS,0))))}</f>
        <v>CLASSABILITY3-L05PTS</v>
      </c>
      <c r="M1029" s="76"/>
      <c r="N1029" s="76" t="str">
        <f t="array" ref="N1029:N1030">{"CLASSABILITY3-L07PTS";((INDEX(ALLCLASSDATA,MATCH("ClassAbility3-L07",CLASSFEATUREHEADERS,0),MATCH(($A1030 &amp; "Points"),CLASSNAMEHEADERS,0))))}</f>
        <v>CLASSABILITY3-L07PTS</v>
      </c>
      <c r="O1029" s="76"/>
      <c r="P1029" s="76" t="str">
        <f t="array" ref="P1029:P1030">{"CLASSABILITY3-L09PTS";((INDEX(ALLCLASSDATA,MATCH("ClassAbility3-L09",CLASSFEATUREHEADERS,0),MATCH(($A1030 &amp; "Points"),CLASSNAMEHEADERS,0))))}</f>
        <v>CLASSABILITY3-L09PTS</v>
      </c>
      <c r="Q1029" s="76"/>
      <c r="R1029" s="76" t="str">
        <f t="array" ref="R1029:R1030">{"CLASSABILITY3-L11PTS";((INDEX(ALLCLASSDATA,MATCH("ClassAbility3-L11",CLASSFEATUREHEADERS,0),MATCH(($A1030 &amp; "Points"),CLASSNAMEHEADERS,0))))}</f>
        <v>CLASSABILITY3-L11PTS</v>
      </c>
      <c r="S1029" s="76"/>
      <c r="T1029" s="76" t="str">
        <f t="array" ref="T1029:T1030">{"CLASSABILITY3-L13PTS";((INDEX(ALLCLASSDATA,MATCH("ClassAbility3-L13",CLASSFEATUREHEADERS,0),MATCH(($A1030 &amp; "Points"),CLASSNAMEHEADERS,0))))}</f>
        <v>CLASSABILITY3-L13PTS</v>
      </c>
      <c r="U1029" s="76"/>
      <c r="V1029" s="76" t="str">
        <f t="array" ref="V1029:V1030">{"CLASSABILITY3-L15PTS";((INDEX(ALLCLASSDATA,MATCH("ClassAbility3-L15",CLASSFEATUREHEADERS,0),MATCH(($A1030 &amp; "Points"),CLASSNAMEHEADERS,0))))}</f>
        <v>CLASSABILITY3-L15PTS</v>
      </c>
      <c r="W1029" s="76"/>
      <c r="X1029" s="76" t="str">
        <f t="array" ref="X1029:X1030">{"CLASSABILITY3-L17PTS";((INDEX(ALLCLASSDATA,MATCH("ClassAbility3-L17",CLASSFEATUREHEADERS,0),MATCH(($A1030 &amp; "Points"),CLASSNAMEHEADERS,0))))}</f>
        <v>CLASSABILITY3-L17PTS</v>
      </c>
      <c r="Y1029" s="76"/>
      <c r="Z1029" s="76" t="str">
        <f t="array" ref="Z1029:Z1030">{"CLASSABILITY3-L19PTS";((INDEX(ALLCLASSDATA,MATCH("ClassAbility3-L19",CLASSFEATUREHEADERS,0),MATCH(($A1030 &amp; "Points"),CLASSNAMEHEADERS,0))))}</f>
        <v>CLASSABILITY3-L19PTS</v>
      </c>
      <c r="AA1029" s="76"/>
      <c r="AB1029" s="76"/>
      <c r="AC1029" s="76" t="str">
        <f t="array" ref="AC1029:AC1030">{"CLASSABILITY3 TOTAL";(sum(G1030:AA1030))}</f>
        <v>CLASSABILITY3 TOTAL</v>
      </c>
    </row>
    <row r="1030">
      <c r="A1030" s="48" t="s">
        <v>189</v>
      </c>
      <c r="B1030" s="48"/>
      <c r="C1030" s="48" t="s">
        <v>412</v>
      </c>
      <c r="D1030" s="48" t="s">
        <v>930</v>
      </c>
      <c r="E1030" s="48" t="s">
        <v>1144</v>
      </c>
      <c r="F1030" s="48"/>
      <c r="G1030" s="47"/>
      <c r="H1030" s="5"/>
      <c r="I1030" s="5"/>
      <c r="J1030" s="5"/>
      <c r="K1030" s="5"/>
      <c r="L1030" s="5"/>
      <c r="M1030" s="5"/>
      <c r="N1030" s="5"/>
      <c r="O1030" s="5"/>
      <c r="P1030" s="5">
        <v>90.0</v>
      </c>
      <c r="Q1030" s="5"/>
      <c r="R1030" s="5"/>
      <c r="S1030" s="5"/>
      <c r="T1030" s="5"/>
      <c r="U1030" s="5"/>
      <c r="V1030" s="5"/>
      <c r="W1030" s="5"/>
      <c r="X1030" s="5"/>
      <c r="Y1030" s="5"/>
      <c r="Z1030" s="5"/>
      <c r="AA1030" s="5"/>
      <c r="AB1030" s="5"/>
      <c r="AC1030" s="47">
        <v>90.0</v>
      </c>
    </row>
    <row r="1031" hidden="1">
      <c r="A1031" s="76" t="str">
        <f t="array" ref="A1031:A1032">{"FormulaRow14";(INDEX(CLASSLIST,A1004,1))}</f>
        <v>FormulaRow14</v>
      </c>
      <c r="B1031" s="77" t="s">
        <v>236</v>
      </c>
      <c r="C1031" s="76" t="str">
        <f t="array" ref="C1031:C1032">{"CLASSTYPE";((INDEX(ALLCLASSDATA,MATCH("ClassType",CLASSFEATUREHEADERS,0),MATCH($A1032,CLASSNAMEHEADERS,0))))}</f>
        <v>CLASSTYPE</v>
      </c>
      <c r="D1031" s="76" t="str">
        <f t="array" ref="D1031:D1032">{"CLASSABILITY";"ClassAbility"}</f>
        <v>CLASSABILITY</v>
      </c>
      <c r="E1031" s="76" t="str">
        <f t="array" ref="E1031:E1032">{"CLASSABILITY4";"ClassAbility4"}</f>
        <v>CLASSABILITY4</v>
      </c>
      <c r="F1031" s="76"/>
      <c r="G1031" s="76"/>
      <c r="H1031" s="76"/>
      <c r="I1031" s="76"/>
      <c r="J1031" s="76" t="str">
        <f t="array" ref="J1031:J1032">{"CLASSABILITY4-L03";((INDEX(ALLCLASSDATA,MATCH("ClassAbility4-L03",CLASSFEATUREHEADERS,0),MATCH(($A1032),CLASSNAMEHEADERS,0))))}</f>
        <v>CLASSABILITY4-L03</v>
      </c>
      <c r="K1031" s="76"/>
      <c r="L1031" s="76" t="str">
        <f t="array" ref="L1031:L1032">{"CLASSABILITY4-L05";((INDEX(ALLCLASSDATA,MATCH("ClassAbility4-L05",CLASSFEATUREHEADERS,0),MATCH(($A1032),CLASSNAMEHEADERS,0))))}</f>
        <v>CLASSABILITY4-L05</v>
      </c>
      <c r="M1031" s="76"/>
      <c r="N1031" s="76" t="str">
        <f t="array" ref="N1031:N1032">{"CLASSABILITY4-L07";((INDEX(ALLCLASSDATA,MATCH("ClassAbility4-L07",CLASSFEATUREHEADERS,0),MATCH(($A1032),CLASSNAMEHEADERS,0))))}</f>
        <v>CLASSABILITY4-L07</v>
      </c>
      <c r="O1031" s="76"/>
      <c r="P1031" s="76" t="str">
        <f t="array" ref="P1031:P1032">{"CLASSABILITY4-L09";((INDEX(ALLCLASSDATA,MATCH("ClassAbility4-L09",CLASSFEATUREHEADERS,0),MATCH(($A1032),CLASSNAMEHEADERS,0))))}</f>
        <v>CLASSABILITY4-L09</v>
      </c>
      <c r="Q1031" s="76"/>
      <c r="R1031" s="76" t="str">
        <f t="array" ref="R1031:R1032">{"CLASSABILITY4-L11";((INDEX(ALLCLASSDATA,MATCH("ClassAbility4-L11",CLASSFEATUREHEADERS,0),MATCH(($A1032),CLASSNAMEHEADERS,0))))}</f>
        <v>CLASSABILITY4-L11</v>
      </c>
      <c r="S1031" s="76"/>
      <c r="T1031" s="76" t="str">
        <f t="array" ref="T1031:T1032">{"CLASSABILITY4-L13";((INDEX(ALLCLASSDATA,MATCH("ClassAbility4-L13",CLASSFEATUREHEADERS,0),MATCH(($A1032),CLASSNAMEHEADERS,0))))}</f>
        <v>CLASSABILITY4-L13</v>
      </c>
      <c r="U1031" s="76"/>
      <c r="V1031" s="76" t="str">
        <f t="array" ref="V1031:V1032">{"CLASSABILITY4-L15";((INDEX(ALLCLASSDATA,MATCH("ClassAbility4-L15",CLASSFEATUREHEADERS,0),MATCH(($A1032),CLASSNAMEHEADERS,0))))}</f>
        <v>CLASSABILITY4-L15</v>
      </c>
      <c r="W1031" s="76"/>
      <c r="X1031" s="76" t="str">
        <f t="array" ref="X1031:X1032">{"CLASSABILITY4-L17";((INDEX(ALLCLASSDATA,MATCH("ClassAbility4-L17",CLASSFEATUREHEADERS,0),MATCH(($A1032),CLASSNAMEHEADERS,0))))}</f>
        <v>CLASSABILITY4-L17</v>
      </c>
      <c r="Y1031" s="76"/>
      <c r="Z1031" s="76" t="str">
        <f t="array" ref="Z1031:Z1032">{"CLASSABILITY4-L19";((INDEX(ALLCLASSDATA,MATCH("ClassAbility4-L19",CLASSFEATUREHEADERS,0),MATCH(($A1032),CLASSNAMEHEADERS,0))))}</f>
        <v>CLASSABILITY4-L19</v>
      </c>
      <c r="AA1031" s="76"/>
      <c r="AB1031" s="76"/>
      <c r="AC1031" s="76"/>
    </row>
    <row r="1032">
      <c r="A1032" s="48" t="s">
        <v>189</v>
      </c>
      <c r="B1032" s="48"/>
      <c r="C1032" s="48" t="s">
        <v>412</v>
      </c>
      <c r="D1032" s="48" t="s">
        <v>825</v>
      </c>
      <c r="E1032" s="48" t="s">
        <v>1273</v>
      </c>
      <c r="F1032" s="48"/>
      <c r="G1032" s="47"/>
      <c r="H1032" s="5"/>
      <c r="I1032" s="5"/>
      <c r="J1032" s="5"/>
      <c r="K1032" s="5"/>
      <c r="L1032" s="5"/>
      <c r="M1032" s="5"/>
      <c r="N1032" s="5"/>
      <c r="O1032" s="5"/>
      <c r="P1032" s="5"/>
      <c r="Q1032" s="5"/>
      <c r="R1032" s="5"/>
      <c r="S1032" s="5"/>
      <c r="T1032" s="5"/>
      <c r="U1032" s="5"/>
      <c r="V1032" s="5"/>
      <c r="W1032" s="5"/>
      <c r="X1032" s="5"/>
      <c r="Y1032" s="5"/>
      <c r="Z1032" s="5"/>
      <c r="AA1032" s="5"/>
      <c r="AB1032" s="5"/>
      <c r="AC1032" s="47"/>
    </row>
    <row r="1033" hidden="1">
      <c r="A1033" s="76" t="str">
        <f t="array" ref="A1033:A1034">{"FormulaRow15";(INDEX(CLASSLIST,A1004,1))}</f>
        <v>FormulaRow15</v>
      </c>
      <c r="B1033" s="77" t="s">
        <v>236</v>
      </c>
      <c r="C1033" s="76" t="str">
        <f t="array" ref="C1033:C1034">{"CLASSTYPE";((INDEX(ALLCLASSDATA,MATCH("ClassType",CLASSFEATUREHEADERS,0),MATCH($A1034,CLASSNAMEHEADERS,0))))}</f>
        <v>CLASSTYPE</v>
      </c>
      <c r="D1033" s="76" t="str">
        <f t="array" ref="D1033:D1034">{"CLASSABILITYPTS";"ClassAbilityPts"}</f>
        <v>CLASSABILITYPTS</v>
      </c>
      <c r="E1033" s="76" t="str">
        <f t="array" ref="E1033:E1034">{"CLASSABILITY4";"ClassAbility4"}</f>
        <v>CLASSABILITY4</v>
      </c>
      <c r="F1033" s="76"/>
      <c r="G1033" s="76"/>
      <c r="H1033" s="76"/>
      <c r="I1033" s="76"/>
      <c r="J1033" s="76" t="str">
        <f t="array" ref="J1033:J1034">{"CLASSABILITY4-L03PTS";((INDEX(ALLCLASSDATA,MATCH("ClassAbility4-L03",CLASSFEATUREHEADERS,0),MATCH(($A1034 &amp; "Points"),CLASSNAMEHEADERS,0))))}</f>
        <v>CLASSABILITY4-L03PTS</v>
      </c>
      <c r="K1033" s="76"/>
      <c r="L1033" s="76" t="str">
        <f t="array" ref="L1033:L1034">{"CLASSABILITY4-L05PTS";((INDEX(ALLCLASSDATA,MATCH("ClassAbility4-L05",CLASSFEATUREHEADERS,0),MATCH(($A1034 &amp; "Points"),CLASSNAMEHEADERS,0))))}</f>
        <v>CLASSABILITY4-L05PTS</v>
      </c>
      <c r="M1033" s="76"/>
      <c r="N1033" s="76" t="str">
        <f t="array" ref="N1033:N1034">{"CLASSABILITY4-L07PTS";((INDEX(ALLCLASSDATA,MATCH("ClassAbility4-L07",CLASSFEATUREHEADERS,0),MATCH(($A1034 &amp; "Points"),CLASSNAMEHEADERS,0))))}</f>
        <v>CLASSABILITY4-L07PTS</v>
      </c>
      <c r="O1033" s="76"/>
      <c r="P1033" s="76" t="str">
        <f t="array" ref="P1033:P1034">{"CLASSABILITY4-L09PTS";((INDEX(ALLCLASSDATA,MATCH("ClassAbility4-L09",CLASSFEATUREHEADERS,0),MATCH(($A1034 &amp; "Points"),CLASSNAMEHEADERS,0))))}</f>
        <v>CLASSABILITY4-L09PTS</v>
      </c>
      <c r="Q1033" s="76"/>
      <c r="R1033" s="76" t="str">
        <f t="array" ref="R1033:R1034">{"CLASSABILITY4-L11PTS";((INDEX(ALLCLASSDATA,MATCH("ClassAbility4-L11",CLASSFEATUREHEADERS,0),MATCH(($A1034 &amp; "Points"),CLASSNAMEHEADERS,0))))}</f>
        <v>CLASSABILITY4-L11PTS</v>
      </c>
      <c r="S1033" s="76"/>
      <c r="T1033" s="76" t="str">
        <f t="array" ref="T1033:T1034">{"CLASSABILITY4-L13PTS";((INDEX(ALLCLASSDATA,MATCH("ClassAbility4-L13",CLASSFEATUREHEADERS,0),MATCH(($A1034 &amp; "Points"),CLASSNAMEHEADERS,0))))}</f>
        <v>CLASSABILITY4-L13PTS</v>
      </c>
      <c r="U1033" s="76"/>
      <c r="V1033" s="76" t="str">
        <f t="array" ref="V1033:V1034">{"CLASSABILITY4-L15PTS";((INDEX(ALLCLASSDATA,MATCH("ClassAbility4-L15",CLASSFEATUREHEADERS,0),MATCH(($A1034 &amp; "Points"),CLASSNAMEHEADERS,0))))}</f>
        <v>CLASSABILITY4-L15PTS</v>
      </c>
      <c r="W1033" s="76"/>
      <c r="X1033" s="76" t="str">
        <f t="array" ref="X1033:X1034">{"CLASSABILITY4-L17PTS";((INDEX(ALLCLASSDATA,MATCH("ClassAbility4-L17",CLASSFEATUREHEADERS,0),MATCH(($A1034 &amp; "Points"),CLASSNAMEHEADERS,0))))}</f>
        <v>CLASSABILITY4-L17PTS</v>
      </c>
      <c r="Y1033" s="76"/>
      <c r="Z1033" s="76" t="str">
        <f t="array" ref="Z1033:Z1034">{"CLASSABILITY4-L19PTS";((INDEX(ALLCLASSDATA,MATCH("ClassAbility4-L19",CLASSFEATUREHEADERS,0),MATCH(($A1034 &amp; "Points"),CLASSNAMEHEADERS,0))))}</f>
        <v>CLASSABILITY4-L19PTS</v>
      </c>
      <c r="AA1033" s="76"/>
      <c r="AB1033" s="76"/>
      <c r="AC1033" s="76" t="str">
        <f t="array" ref="AC1033:AC1034">{"CLASSABILITY4 TOTAL";(sum(G1034:AA1034))}</f>
        <v>CLASSABILITY4 TOTAL</v>
      </c>
    </row>
    <row r="1034">
      <c r="A1034" s="48" t="s">
        <v>189</v>
      </c>
      <c r="B1034" s="48"/>
      <c r="C1034" s="48" t="s">
        <v>412</v>
      </c>
      <c r="D1034" s="48" t="s">
        <v>930</v>
      </c>
      <c r="E1034" s="48" t="s">
        <v>1273</v>
      </c>
      <c r="F1034" s="48"/>
      <c r="G1034" s="47"/>
      <c r="H1034" s="5"/>
      <c r="I1034" s="5"/>
      <c r="J1034" s="5"/>
      <c r="K1034" s="5"/>
      <c r="L1034" s="5"/>
      <c r="M1034" s="5"/>
      <c r="N1034" s="5"/>
      <c r="O1034" s="5"/>
      <c r="P1034" s="5"/>
      <c r="Q1034" s="5"/>
      <c r="R1034" s="5"/>
      <c r="S1034" s="5"/>
      <c r="T1034" s="5"/>
      <c r="U1034" s="5"/>
      <c r="V1034" s="5"/>
      <c r="W1034" s="5"/>
      <c r="X1034" s="5"/>
      <c r="Y1034" s="5"/>
      <c r="Z1034" s="5"/>
      <c r="AA1034" s="5"/>
      <c r="AB1034" s="5"/>
      <c r="AC1034" s="47">
        <v>0.0</v>
      </c>
    </row>
    <row r="1035" hidden="1">
      <c r="A1035" s="76" t="str">
        <f t="array" ref="A1035:A1036">{"FormulaRow16";(INDEX(CLASSLIST,A1004,1))}</f>
        <v>FormulaRow16</v>
      </c>
      <c r="B1035" s="77" t="s">
        <v>236</v>
      </c>
      <c r="C1035" s="76" t="str">
        <f t="array" ref="C1035:C1036">{"CLASSTYPE";((INDEX(ALLCLASSDATA,MATCH("ClassType",CLASSFEATUREHEADERS,0),MATCH($A1036,CLASSNAMEHEADERS,0))))}</f>
        <v>CLASSTYPE</v>
      </c>
      <c r="D1035" s="76" t="str">
        <f t="array" ref="D1035:D1036">{"CLASSABILITY";"ClassAbility"}</f>
        <v>CLASSABILITY</v>
      </c>
      <c r="E1035" s="76" t="str">
        <f t="array" ref="E1035:E1036">{"SUBCLASSABILITY1";"SubclassAbility1"}</f>
        <v>SUBCLASSABILITY1</v>
      </c>
      <c r="F1035" s="76"/>
      <c r="G1035" s="76"/>
      <c r="H1035" s="76"/>
      <c r="I1035" s="76"/>
      <c r="J1035" s="76" t="str">
        <f t="array" ref="J1035:J1036">{"SUBCLASSABILITY1-L03";((INDEX(ALLCLASSDATA,MATCH("SubclassAbility1-L03",CLASSFEATUREHEADERS,0),MATCH(($A1036),CLASSNAMEHEADERS,0))))}</f>
        <v>SUBCLASSABILITY1-L03</v>
      </c>
      <c r="K1035" s="76"/>
      <c r="L1035" s="76" t="str">
        <f t="array" ref="L1035:L1036">{"SUBCLASSABILITY1-L05";((INDEX(ALLCLASSDATA,MATCH("SubclassAbility1-L05",CLASSFEATUREHEADERS,0),MATCH(($A1036),CLASSNAMEHEADERS,0))))}</f>
        <v>SUBCLASSABILITY1-L05</v>
      </c>
      <c r="M1035" s="76"/>
      <c r="N1035" s="76" t="str">
        <f t="array" ref="N1035:N1036">{"SUBCLASSABILITY1-L07";((INDEX(ALLCLASSDATA,MATCH("SubclassAbility1-L07",CLASSFEATUREHEADERS,0),MATCH(($A1036),CLASSNAMEHEADERS,0))))}</f>
        <v>SUBCLASSABILITY1-L07</v>
      </c>
      <c r="O1035" s="76"/>
      <c r="P1035" s="76" t="str">
        <f t="array" ref="P1035:P1036">{"SUBCLASSABILITY1-L09";((INDEX(ALLCLASSDATA,MATCH("SubclassAbility1-L09",CLASSFEATUREHEADERS,0),MATCH(($A1036),CLASSNAMEHEADERS,0))))}</f>
        <v>SUBCLASSABILITY1-L09</v>
      </c>
      <c r="Q1035" s="76"/>
      <c r="R1035" s="76" t="str">
        <f t="array" ref="R1035:R1036">{"SUBCLASSABILITY1-L11";((INDEX(ALLCLASSDATA,MATCH("SubclassAbility1-L11",CLASSFEATUREHEADERS,0),MATCH(($A1036),CLASSNAMEHEADERS,0))))}</f>
        <v>SUBCLASSABILITY1-L11</v>
      </c>
      <c r="S1035" s="76"/>
      <c r="T1035" s="76" t="str">
        <f t="array" ref="T1035:T1036">{"SUBCLASSABILITY1-L13";((INDEX(ALLCLASSDATA,MATCH("SubclassAbility1-L13",CLASSFEATUREHEADERS,0),MATCH(($A1036),CLASSNAMEHEADERS,0))))}</f>
        <v>SUBCLASSABILITY1-L13</v>
      </c>
      <c r="U1035" s="76"/>
      <c r="V1035" s="76" t="str">
        <f t="array" ref="V1035:V1036">{"SUBCLASSABILITY1-L15";((INDEX(ALLCLASSDATA,MATCH("SubclassAbility1-L15",CLASSFEATUREHEADERS,0),MATCH(($A1036),CLASSNAMEHEADERS,0))))}</f>
        <v>SUBCLASSABILITY1-L15</v>
      </c>
      <c r="W1035" s="76"/>
      <c r="X1035" s="76" t="str">
        <f t="array" ref="X1035:X1036">{"SUBCLASSABILITY1-L17";((INDEX(ALLCLASSDATA,MATCH("SubclassAbility1-L17",CLASSFEATUREHEADERS,0),MATCH(($A1036),CLASSNAMEHEADERS,0))))}</f>
        <v>SUBCLASSABILITY1-L17</v>
      </c>
      <c r="Y1035" s="76"/>
      <c r="Z1035" s="76" t="str">
        <f t="array" ref="Z1035:Z1036">{"SUBCLASSABILITY1-L19";((INDEX(ALLCLASSDATA,MATCH("SubclassAbility1-L19",CLASSFEATUREHEADERS,0),MATCH(($A1036),CLASSNAMEHEADERS,0))))}</f>
        <v>SUBCLASSABILITY1-L19</v>
      </c>
      <c r="AA1035" s="76"/>
      <c r="AB1035" s="76"/>
      <c r="AC1035" s="76"/>
    </row>
    <row r="1036">
      <c r="A1036" s="48" t="s">
        <v>189</v>
      </c>
      <c r="B1036" s="48"/>
      <c r="C1036" s="48" t="s">
        <v>412</v>
      </c>
      <c r="D1036" s="48" t="s">
        <v>825</v>
      </c>
      <c r="E1036" s="28" t="s">
        <v>1355</v>
      </c>
      <c r="F1036" s="5"/>
      <c r="G1036" s="47"/>
      <c r="H1036" s="5"/>
      <c r="I1036" s="5"/>
      <c r="J1036" s="5"/>
      <c r="K1036" s="5"/>
      <c r="L1036" s="5" t="s">
        <v>1855</v>
      </c>
      <c r="M1036" s="5"/>
      <c r="N1036" s="5" t="s">
        <v>1094</v>
      </c>
      <c r="O1036" s="5"/>
      <c r="P1036" s="5"/>
      <c r="Q1036" s="5"/>
      <c r="R1036" s="5" t="s">
        <v>1096</v>
      </c>
      <c r="S1036" s="5"/>
      <c r="T1036" s="5" t="s">
        <v>1097</v>
      </c>
      <c r="U1036" s="5"/>
      <c r="V1036" s="5"/>
      <c r="W1036" s="5"/>
      <c r="X1036" s="5" t="s">
        <v>1099</v>
      </c>
      <c r="Y1036" s="5"/>
      <c r="Z1036" s="5"/>
      <c r="AA1036" s="5"/>
      <c r="AB1036" s="5"/>
      <c r="AC1036" s="47"/>
    </row>
    <row r="1037" hidden="1">
      <c r="A1037" s="76" t="str">
        <f t="array" ref="A1037:A1038">{"FormulaRow17";(INDEX(CLASSLIST,A1004,1))}</f>
        <v>FormulaRow17</v>
      </c>
      <c r="B1037" s="77" t="s">
        <v>236</v>
      </c>
      <c r="C1037" s="76" t="str">
        <f t="array" ref="C1037:C1038">{"CLASSTYPE";((INDEX(ALLCLASSDATA,MATCH("ClassType",CLASSFEATUREHEADERS,0),MATCH($A1038,CLASSNAMEHEADERS,0))))}</f>
        <v>CLASSTYPE</v>
      </c>
      <c r="D1037" s="76" t="str">
        <f t="array" ref="D1037:D1038">{"CLASSABILITYPTS";"ClassAbilityPts"}</f>
        <v>CLASSABILITYPTS</v>
      </c>
      <c r="E1037" s="76" t="str">
        <f t="array" ref="E1037:E1038">{"SUBCLASSABILITY1";"SubclassAbility1"}</f>
        <v>SUBCLASSABILITY1</v>
      </c>
      <c r="F1037" s="76"/>
      <c r="G1037" s="76"/>
      <c r="H1037" s="76"/>
      <c r="I1037" s="76"/>
      <c r="J1037" s="76" t="str">
        <f t="array" ref="J1037:J1038">{"SUBCLASSABILITY1-L03PTS";((INDEX(ALLCLASSDATA,MATCH("SubclassAbility1-L03",CLASSFEATUREHEADERS,0),MATCH(($A1038 &amp; "Points"),CLASSNAMEHEADERS,0))))}</f>
        <v>SUBCLASSABILITY1-L03PTS</v>
      </c>
      <c r="K1037" s="76"/>
      <c r="L1037" s="76" t="str">
        <f t="array" ref="L1037:L1038">{"SUBCLASSABILITY1-L05PTS";((INDEX(ALLCLASSDATA,MATCH("SubclassAbility1-L05",CLASSFEATUREHEADERS,0),MATCH(($A1038 &amp; "Points"),CLASSNAMEHEADERS,0))))}</f>
        <v>SUBCLASSABILITY1-L05PTS</v>
      </c>
      <c r="M1037" s="76"/>
      <c r="N1037" s="76" t="str">
        <f t="array" ref="N1037:N1038">{"SUBCLASSABILITY1-L07PTS";((INDEX(ALLCLASSDATA,MATCH("SubclassAbility1-L07",CLASSFEATUREHEADERS,0),MATCH(($A1038 &amp; "Points"),CLASSNAMEHEADERS,0))))}</f>
        <v>SUBCLASSABILITY1-L07PTS</v>
      </c>
      <c r="O1037" s="76"/>
      <c r="P1037" s="76" t="str">
        <f t="array" ref="P1037:P1038">{"SUBCLASSABILITY1-L09PTS";((INDEX(ALLCLASSDATA,MATCH("SubclassAbility1-L09",CLASSFEATUREHEADERS,0),MATCH(($A1038 &amp; "Points"),CLASSNAMEHEADERS,0))))}</f>
        <v>SUBCLASSABILITY1-L09PTS</v>
      </c>
      <c r="Q1037" s="76"/>
      <c r="R1037" s="76" t="str">
        <f t="array" ref="R1037:R1038">{"SUBCLASSABILITY1-L11PTS";((INDEX(ALLCLASSDATA,MATCH("SubclassAbility1-L11",CLASSFEATUREHEADERS,0),MATCH(($A1038 &amp; "Points"),CLASSNAMEHEADERS,0))))}</f>
        <v>SUBCLASSABILITY1-L11PTS</v>
      </c>
      <c r="S1037" s="76"/>
      <c r="T1037" s="76" t="str">
        <f t="array" ref="T1037:T1038">{"SUBCLASSABILITY1-L13PTS";((INDEX(ALLCLASSDATA,MATCH("SubclassAbility1-L13",CLASSFEATUREHEADERS,0),MATCH(($A1038 &amp; "Points"),CLASSNAMEHEADERS,0))))}</f>
        <v>SUBCLASSABILITY1-L13PTS</v>
      </c>
      <c r="U1037" s="76"/>
      <c r="V1037" s="76" t="str">
        <f t="array" ref="V1037:V1038">{"SUBCLASSABILITY1-L15PTS";((INDEX(ALLCLASSDATA,MATCH("SubclassAbility1-L15",CLASSFEATUREHEADERS,0),MATCH(($A1038 &amp; "Points"),CLASSNAMEHEADERS,0))))}</f>
        <v>SUBCLASSABILITY1-L15PTS</v>
      </c>
      <c r="W1037" s="76"/>
      <c r="X1037" s="76" t="str">
        <f t="array" ref="X1037:X1038">{"SUBCLASSABILITY1-L17PTS";((INDEX(ALLCLASSDATA,MATCH("SubclassAbility1-L17",CLASSFEATUREHEADERS,0),MATCH(($A1038 &amp; "Points"),CLASSNAMEHEADERS,0))))}</f>
        <v>SUBCLASSABILITY1-L17PTS</v>
      </c>
      <c r="Y1037" s="76"/>
      <c r="Z1037" s="76" t="str">
        <f t="array" ref="Z1037:Z1038">{"SUBCLASSABILITY1-L19PTS";((INDEX(ALLCLASSDATA,MATCH("SubclassAbility1-L19",CLASSFEATUREHEADERS,0),MATCH(($A1038 &amp; "Points"),CLASSNAMEHEADERS,0))))}</f>
        <v>SUBCLASSABILITY1-L19PTS</v>
      </c>
      <c r="AA1037" s="76"/>
      <c r="AB1037" s="76"/>
      <c r="AC1037" s="76" t="str">
        <f t="array" ref="AC1037:AC1038">{"SUBCLASSABILITY1 TOTAL";(sum(G1038:AA1038))}</f>
        <v>SUBCLASSABILITY1 TOTAL</v>
      </c>
    </row>
    <row r="1038">
      <c r="A1038" s="48" t="s">
        <v>189</v>
      </c>
      <c r="B1038" s="48"/>
      <c r="C1038" s="48" t="s">
        <v>412</v>
      </c>
      <c r="D1038" s="48" t="s">
        <v>930</v>
      </c>
      <c r="E1038" s="28" t="s">
        <v>1355</v>
      </c>
      <c r="F1038" s="5"/>
      <c r="G1038" s="47"/>
      <c r="H1038" s="5"/>
      <c r="I1038" s="5"/>
      <c r="J1038" s="5"/>
      <c r="K1038" s="5"/>
      <c r="L1038" s="5">
        <v>50.0</v>
      </c>
      <c r="M1038" s="5"/>
      <c r="N1038" s="5">
        <v>70.0</v>
      </c>
      <c r="O1038" s="5"/>
      <c r="P1038" s="5"/>
      <c r="Q1038" s="5"/>
      <c r="R1038" s="5">
        <v>110.0</v>
      </c>
      <c r="S1038" s="5"/>
      <c r="T1038" s="5">
        <v>130.0</v>
      </c>
      <c r="U1038" s="5"/>
      <c r="V1038" s="5"/>
      <c r="W1038" s="5"/>
      <c r="X1038" s="5">
        <v>170.0</v>
      </c>
      <c r="Y1038" s="5"/>
      <c r="Z1038" s="5"/>
      <c r="AA1038" s="5"/>
      <c r="AB1038" s="5"/>
      <c r="AC1038" s="47">
        <v>530.0</v>
      </c>
    </row>
    <row r="1039" hidden="1">
      <c r="A1039" s="76" t="str">
        <f t="array" ref="A1039:A1040">{"FormulaRow18";(INDEX(CLASSLIST,A1004,1))}</f>
        <v>FormulaRow18</v>
      </c>
      <c r="B1039" s="77" t="s">
        <v>236</v>
      </c>
      <c r="C1039" s="76" t="str">
        <f t="array" ref="C1039:C1040">{"CLASSTYPE";((INDEX(ALLCLASSDATA,MATCH("ClassType",CLASSFEATUREHEADERS,0),MATCH($A1040,CLASSNAMEHEADERS,0))))}</f>
        <v>CLASSTYPE</v>
      </c>
      <c r="D1039" s="76" t="str">
        <f t="array" ref="D1039:D1040">{"CLASSABILITY";"ClassAbility"}</f>
        <v>CLASSABILITY</v>
      </c>
      <c r="E1039" s="76" t="str">
        <f t="array" ref="E1039:E1040">{"SUBCLASSABILITY2";"SubclassAbility2"}</f>
        <v>SUBCLASSABILITY2</v>
      </c>
      <c r="F1039" s="76"/>
      <c r="G1039" s="76"/>
      <c r="H1039" s="76"/>
      <c r="I1039" s="76"/>
      <c r="J1039" s="76" t="str">
        <f t="array" ref="J1039:J1040">{"SUBCLASSABILITY2-L03";((INDEX(ALLCLASSDATA,MATCH("SubclassAbility2-L03",CLASSFEATUREHEADERS,0),MATCH(($A1040),CLASSNAMEHEADERS,0))))}</f>
        <v>SUBCLASSABILITY2-L03</v>
      </c>
      <c r="K1039" s="76"/>
      <c r="L1039" s="76" t="str">
        <f t="array" ref="L1039:L1040">{"SUBCLASSABILITY2-L05";((INDEX(ALLCLASSDATA,MATCH("SubclassAbility2-L05",CLASSFEATUREHEADERS,0),MATCH(($A1040),CLASSNAMEHEADERS,0))))}</f>
        <v>SUBCLASSABILITY2-L05</v>
      </c>
      <c r="M1039" s="76"/>
      <c r="N1039" s="76" t="str">
        <f t="array" ref="N1039:N1040">{"SUBCLASSABILITY2-L07";((INDEX(ALLCLASSDATA,MATCH("SubclassAbility2-L07",CLASSFEATUREHEADERS,0),MATCH(($A1040),CLASSNAMEHEADERS,0))))}</f>
        <v>SUBCLASSABILITY2-L07</v>
      </c>
      <c r="O1039" s="76"/>
      <c r="P1039" s="76" t="str">
        <f t="array" ref="P1039:P1040">{"SUBCLASSABILITY2-L09";((INDEX(ALLCLASSDATA,MATCH("SubclassAbility2-L09",CLASSFEATUREHEADERS,0),MATCH(($A1040),CLASSNAMEHEADERS,0))))}</f>
        <v>SUBCLASSABILITY2-L09</v>
      </c>
      <c r="Q1039" s="76"/>
      <c r="R1039" s="76" t="str">
        <f t="array" ref="R1039:R1040">{"SUBCLASSABILITY2-L11";((INDEX(ALLCLASSDATA,MATCH("SubclassAbility2-L11",CLASSFEATUREHEADERS,0),MATCH(($A1040),CLASSNAMEHEADERS,0))))}</f>
        <v>SUBCLASSABILITY2-L11</v>
      </c>
      <c r="S1039" s="76"/>
      <c r="T1039" s="76" t="str">
        <f t="array" ref="T1039:T1040">{"SUBCLASSABILITY2-L13";((INDEX(ALLCLASSDATA,MATCH("SubclassAbility2-L13",CLASSFEATUREHEADERS,0),MATCH(($A1040),CLASSNAMEHEADERS,0))))}</f>
        <v>SUBCLASSABILITY2-L13</v>
      </c>
      <c r="U1039" s="76"/>
      <c r="V1039" s="76" t="str">
        <f t="array" ref="V1039:V1040">{"SUBCLASSABILITY2-L15";((INDEX(ALLCLASSDATA,MATCH("SubclassAbility2-L15",CLASSFEATUREHEADERS,0),MATCH(($A1040),CLASSNAMEHEADERS,0))))}</f>
        <v>SUBCLASSABILITY2-L15</v>
      </c>
      <c r="W1039" s="76"/>
      <c r="X1039" s="76" t="str">
        <f t="array" ref="X1039:X1040">{"SUBCLASSABILITY2-L17";((INDEX(ALLCLASSDATA,MATCH("SubclassAbility2-L17",CLASSFEATUREHEADERS,0),MATCH(($A1040),CLASSNAMEHEADERS,0))))}</f>
        <v>SUBCLASSABILITY2-L17</v>
      </c>
      <c r="Y1039" s="76"/>
      <c r="Z1039" s="76" t="str">
        <f t="array" ref="Z1039:Z1040">{"SUBCLASSABILITY2-L19";((INDEX(ALLCLASSDATA,MATCH("SubclassAbility2-L19",CLASSFEATUREHEADERS,0),MATCH(($A1040),CLASSNAMEHEADERS,0))))}</f>
        <v>SUBCLASSABILITY2-L19</v>
      </c>
      <c r="AA1039" s="76"/>
      <c r="AB1039" s="76"/>
      <c r="AC1039" s="76"/>
    </row>
    <row r="1040">
      <c r="A1040" s="48" t="s">
        <v>189</v>
      </c>
      <c r="B1040" s="48"/>
      <c r="C1040" s="48" t="s">
        <v>412</v>
      </c>
      <c r="D1040" s="48" t="s">
        <v>825</v>
      </c>
      <c r="E1040" s="28" t="s">
        <v>1370</v>
      </c>
      <c r="F1040" s="5"/>
      <c r="G1040" s="47"/>
      <c r="H1040" s="5"/>
      <c r="I1040" s="5"/>
      <c r="J1040" s="5"/>
      <c r="K1040" s="5"/>
      <c r="L1040" s="5"/>
      <c r="M1040" s="5"/>
      <c r="N1040" s="5"/>
      <c r="O1040" s="5"/>
      <c r="P1040" s="5"/>
      <c r="Q1040" s="5"/>
      <c r="R1040" s="5"/>
      <c r="S1040" s="5"/>
      <c r="T1040" s="5"/>
      <c r="U1040" s="5"/>
      <c r="V1040" s="5"/>
      <c r="W1040" s="5"/>
      <c r="X1040" s="5"/>
      <c r="Y1040" s="5"/>
      <c r="Z1040" s="5"/>
      <c r="AA1040" s="5"/>
      <c r="AB1040" s="5"/>
      <c r="AC1040" s="47"/>
    </row>
    <row r="1041" hidden="1">
      <c r="A1041" s="76" t="str">
        <f t="array" ref="A1041:A1042">{"FormulaRow19";(INDEX(CLASSLIST,A1004,1))}</f>
        <v>FormulaRow19</v>
      </c>
      <c r="B1041" s="77" t="s">
        <v>236</v>
      </c>
      <c r="C1041" s="76" t="str">
        <f t="array" ref="C1041:C1042">{"CLASSTYPE";((INDEX(ALLCLASSDATA,MATCH("ClassType",CLASSFEATUREHEADERS,0),MATCH($A1042,CLASSNAMEHEADERS,0))))}</f>
        <v>CLASSTYPE</v>
      </c>
      <c r="D1041" s="76" t="str">
        <f t="array" ref="D1041:D1042">{"CLASSABILITYPTS";"ClassAbilityPts"}</f>
        <v>CLASSABILITYPTS</v>
      </c>
      <c r="E1041" s="76" t="str">
        <f t="array" ref="E1041:E1042">{"SUBCLASSABILITY2";"SubclassAbility2"}</f>
        <v>SUBCLASSABILITY2</v>
      </c>
      <c r="F1041" s="76"/>
      <c r="G1041" s="76"/>
      <c r="H1041" s="76"/>
      <c r="I1041" s="76"/>
      <c r="J1041" s="76" t="str">
        <f t="array" ref="J1041:J1042">{"SUBCLASSABILITY2-L03PTS";((INDEX(ALLCLASSDATA,MATCH("SubclassAbility2-L03",CLASSFEATUREHEADERS,0),MATCH(($A1042 &amp; "Points"),CLASSNAMEHEADERS,0))))}</f>
        <v>SUBCLASSABILITY2-L03PTS</v>
      </c>
      <c r="K1041" s="76"/>
      <c r="L1041" s="76" t="str">
        <f t="array" ref="L1041:L1042">{"SUBCLASSABILITY2-L05PTS";((INDEX(ALLCLASSDATA,MATCH("SubclassAbility2-L05",CLASSFEATUREHEADERS,0),MATCH(($A1042 &amp; "Points"),CLASSNAMEHEADERS,0))))}</f>
        <v>SUBCLASSABILITY2-L05PTS</v>
      </c>
      <c r="M1041" s="76"/>
      <c r="N1041" s="76" t="str">
        <f t="array" ref="N1041:N1042">{"SUBCLASSABILITY2-L07PTS";((INDEX(ALLCLASSDATA,MATCH("SubclassAbility2-L07",CLASSFEATUREHEADERS,0),MATCH(($A1042 &amp; "Points"),CLASSNAMEHEADERS,0))))}</f>
        <v>SUBCLASSABILITY2-L07PTS</v>
      </c>
      <c r="O1041" s="76"/>
      <c r="P1041" s="76" t="str">
        <f t="array" ref="P1041:P1042">{"SUBCLASSABILITY2-L09PTS";((INDEX(ALLCLASSDATA,MATCH("SubclassAbility2-L09",CLASSFEATUREHEADERS,0),MATCH(($A1042 &amp; "Points"),CLASSNAMEHEADERS,0))))}</f>
        <v>SUBCLASSABILITY2-L09PTS</v>
      </c>
      <c r="Q1041" s="76"/>
      <c r="R1041" s="76" t="str">
        <f t="array" ref="R1041:R1042">{"SUBCLASSABILITY2-L11PTS";((INDEX(ALLCLASSDATA,MATCH("SubclassAbility2-L11",CLASSFEATUREHEADERS,0),MATCH(($A1042 &amp; "Points"),CLASSNAMEHEADERS,0))))}</f>
        <v>SUBCLASSABILITY2-L11PTS</v>
      </c>
      <c r="S1041" s="76"/>
      <c r="T1041" s="76" t="str">
        <f t="array" ref="T1041:T1042">{"SUBCLASSABILITY2-L13PTS";((INDEX(ALLCLASSDATA,MATCH("SubclassAbility2-L13",CLASSFEATUREHEADERS,0),MATCH(($A1042 &amp; "Points"),CLASSNAMEHEADERS,0))))}</f>
        <v>SUBCLASSABILITY2-L13PTS</v>
      </c>
      <c r="U1041" s="76"/>
      <c r="V1041" s="76" t="str">
        <f t="array" ref="V1041:V1042">{"SUBCLASSABILITY2-L15PTS";((INDEX(ALLCLASSDATA,MATCH("SubclassAbility2-L15",CLASSFEATUREHEADERS,0),MATCH(($A1042 &amp; "Points"),CLASSNAMEHEADERS,0))))}</f>
        <v>SUBCLASSABILITY2-L15PTS</v>
      </c>
      <c r="W1041" s="76"/>
      <c r="X1041" s="76" t="str">
        <f t="array" ref="X1041:X1042">{"SUBCLASSABILITY2-L17PTS";((INDEX(ALLCLASSDATA,MATCH("SubclassAbility2-L17",CLASSFEATUREHEADERS,0),MATCH(($A1042 &amp; "Points"),CLASSNAMEHEADERS,0))))}</f>
        <v>SUBCLASSABILITY2-L17PTS</v>
      </c>
      <c r="Y1041" s="76"/>
      <c r="Z1041" s="76" t="str">
        <f t="array" ref="Z1041:Z1042">{"SUBCLASSABILITY2-L19PTS";((INDEX(ALLCLASSDATA,MATCH("SubclassAbility2-L19",CLASSFEATUREHEADERS,0),MATCH(($A1042 &amp; "Points"),CLASSNAMEHEADERS,0))))}</f>
        <v>SUBCLASSABILITY2-L19PTS</v>
      </c>
      <c r="AA1041" s="76"/>
      <c r="AB1041" s="76"/>
      <c r="AC1041" s="76" t="str">
        <f t="array" ref="AC1041:AC1042">{"SUBCLASSABILITY2 TOTAL";(sum(G1042:AA1042))}</f>
        <v>SUBCLASSABILITY2 TOTAL</v>
      </c>
    </row>
    <row r="1042">
      <c r="A1042" s="48" t="s">
        <v>189</v>
      </c>
      <c r="B1042" s="48"/>
      <c r="C1042" s="48" t="s">
        <v>412</v>
      </c>
      <c r="D1042" s="97" t="s">
        <v>930</v>
      </c>
      <c r="E1042" s="215" t="s">
        <v>1370</v>
      </c>
      <c r="F1042" s="98"/>
      <c r="G1042" s="132"/>
      <c r="H1042" s="98"/>
      <c r="I1042" s="98"/>
      <c r="J1042" s="98"/>
      <c r="K1042" s="98"/>
      <c r="L1042" s="98"/>
      <c r="M1042" s="98"/>
      <c r="N1042" s="98"/>
      <c r="O1042" s="98"/>
      <c r="P1042" s="98"/>
      <c r="Q1042" s="98"/>
      <c r="R1042" s="98"/>
      <c r="S1042" s="98"/>
      <c r="T1042" s="98"/>
      <c r="U1042" s="98"/>
      <c r="V1042" s="98"/>
      <c r="W1042" s="98"/>
      <c r="X1042" s="98"/>
      <c r="Y1042" s="98"/>
      <c r="Z1042" s="98"/>
      <c r="AA1042" s="98"/>
      <c r="AB1042" s="5"/>
      <c r="AC1042" s="47">
        <v>0.0</v>
      </c>
    </row>
    <row r="1043" hidden="1">
      <c r="A1043" s="76" t="str">
        <f t="array" ref="A1043:A1044">{"FormulaRow20";(INDEX(CLASSLIST,A1004,1))}</f>
        <v>FormulaRow20</v>
      </c>
      <c r="B1043" s="77" t="s">
        <v>236</v>
      </c>
      <c r="C1043" s="76" t="str">
        <f t="array" ref="C1043:C1044">{"CLASSTYPE";((INDEX(ALLCLASSDATA,MATCH("ClassType",CLASSFEATUREHEADERS,0),MATCH($A1044,CLASSNAMEHEADERS,0))))}</f>
        <v>CLASSTYPE</v>
      </c>
      <c r="D1043" s="81" t="str">
        <f t="array" ref="D1043:D1044">{"DC";"DC"}</f>
        <v>DC</v>
      </c>
      <c r="E1043" s="81" t="str">
        <f t="array" ref="E1043:E1044">{"CLASSDC";"ClassDC"}</f>
        <v>CLASSDC</v>
      </c>
      <c r="F1043" s="81" t="str">
        <f t="array" ref="F1043:F1044">{"CLASSDCINITIAL";((IF(H1044=10,"T",(IF(H1044=50,"E","")))))}</f>
        <v>CLASSDCINITIAL</v>
      </c>
      <c r="G1043" s="81" t="str">
        <f t="array" ref="G1043:G1044">{"CLASSDCINITIALPTS";((IF("00"=(INDEX(ALLCLASSDATA,MATCH("ClassDCLegendary",CLASSFEATUREHEADERS,0),MATCH($A1044,CLASSNAMEHEADERS,0))),(INDEX(ALLCLASSDATA,MATCH("ClassDCLegendary",CLASSFEATUREHEADERS,0),MATCH(($A1044 &amp; "Points"),CLASSNAMEHEADERS,0))),(IF("00"=(INDEX(ALLCLASSDATA,MATCH("ClassDCMaster",CLASSFEATUREHEADERS,0),MATCH($A1044,CLASSNAMEHEADERS,0))),(INDEX(ALLCLASSDATA,MATCH("ClassDCMaster",CLASSFEATUREHEADERS,0),MATCH(($A1044 &amp; "Points"),CLASSNAMEHEADERS,0))),(IF("00"=(INDEX(ALLCLASSDATA,MATCH("ClassDCExpert",CLASSFEATUREHEADERS,0),MATCH($A1044,CLASSNAMEHEADERS,0))),(INDEX(ALLCLASSDATA,MATCH("ClassDCExpert",CLASSFEATUREHEADERS,0),MATCH(($A1044 &amp; "Points"),CLASSNAMEHEADERS,0))),(IF("00"=(INDEX(ALLCLASSDATA,MATCH("ClassDCTrained",CLASSFEATUREHEADERS,0),MATCH($A1044,CLASSNAMEHEADERS,0))),(INDEX(ALLCLASSDATA,MATCH("ClassDCTrained",CLASSFEATUREHEADERS,0),MATCH(($A1044 &amp; "Points"),CLASSNAMEHEADERS,0))),"")))))))))}</f>
        <v>CLASSDCINITIALPTS</v>
      </c>
      <c r="H1043" s="81" t="str">
        <f t="array" ref="H1043:H1044">{"CLASSDCL01";((IF("01"=(INDEX(ALLCLASSDATA,MATCH("ClassDCLegendary",CLASSFEATUREHEADERS,0),MATCH($A1044,CLASSNAMEHEADERS,0))),(INDEX(ALLCLASSDATA,MATCH("ClassDCLegendary",CLASSFEATUREHEADERS,0),MATCH(($A1044 &amp; "Points"),CLASSNAMEHEADERS,0))),(IF("01"=(INDEX(ALLCLASSDATA,MATCH("ClassDCMaster",CLASSFEATUREHEADERS,0),MATCH($A1044,CLASSNAMEHEADERS,0))),(INDEX(ALLCLASSDATA,MATCH("ClassDCMaster",CLASSFEATUREHEADERS,0),MATCH(($A1044 &amp; "Points"),CLASSNAMEHEADERS,0))),(IF("01"=(INDEX(ALLCLASSDATA,MATCH("ClassDCExpert",CLASSFEATUREHEADERS,0),MATCH($A1044,CLASSNAMEHEADERS,0))),(INDEX(ALLCLASSDATA,MATCH("ClassDCExpert",CLASSFEATUREHEADERS,0),MATCH(($A1044 &amp; "Points"),CLASSNAMEHEADERS,0))),(IF("01"=(INDEX(ALLCLASSDATA,MATCH("ClassDCTrained",CLASSFEATUREHEADERS,0),MATCH($A1044,CLASSNAMEHEADERS,0))),(INDEX(ALLCLASSDATA,MATCH("ClassDCTrained",CLASSFEATUREHEADERS,0),MATCH(($A1044 &amp; "Points"),CLASSNAMEHEADERS,0))),"")))))))))}</f>
        <v>CLASSDCL01</v>
      </c>
      <c r="I1043" s="81"/>
      <c r="J1043" s="81" t="str">
        <f t="array" ref="J1043:J1044">{"CLASSDCL03";((IF("03"=(INDEX(ALLCLASSDATA,MATCH("ClassDCLegendary",CLASSFEATUREHEADERS,0),MATCH($A1044,CLASSNAMEHEADERS,0))),(INDEX(ALLCLASSDATA,MATCH("ClassDCLegendary",CLASSFEATUREHEADERS,0),MATCH(($A1044 &amp; "Points"),CLASSNAMEHEADERS,0))),(IF("03"=(INDEX(ALLCLASSDATA,MATCH("ClassDCMaster",CLASSFEATUREHEADERS,0),MATCH($A1044,CLASSNAMEHEADERS,0))),(INDEX(ALLCLASSDATA,MATCH("ClassDCMaster",CLASSFEATUREHEADERS,0),MATCH(($A1044 &amp; "Points"),CLASSNAMEHEADERS,0))),(IF("03"=(INDEX(ALLCLASSDATA,MATCH("ClassDCExpert",CLASSFEATUREHEADERS,0),MATCH($A1044,CLASSNAMEHEADERS,0))),(INDEX(ALLCLASSDATA,MATCH("ClassDCExpert",CLASSFEATUREHEADERS,0),MATCH(($A1044 &amp; "Points"),CLASSNAMEHEADERS,0))),(IF("03"=(INDEX(ALLCLASSDATA,MATCH("ClassDCTrained",CLASSFEATUREHEADERS,0),MATCH($A1044,CLASSNAMEHEADERS,0))),(INDEX(ALLCLASSDATA,MATCH("ClassDCTrained",CLASSFEATUREHEADERS,0),MATCH(($A1044 &amp; "Points"),CLASSNAMEHEADERS,0))),"")))))))))}</f>
        <v>CLASSDCL03</v>
      </c>
      <c r="K1043" s="81"/>
      <c r="L1043" s="81" t="str">
        <f t="array" ref="L1043:L1044">{"CLASSDCL05";((IF("05"=(INDEX(ALLCLASSDATA,MATCH("ClassDCLegendary",CLASSFEATUREHEADERS,0),MATCH($A1044,CLASSNAMEHEADERS,0))),(INDEX(ALLCLASSDATA,MATCH("ClassDCLegendary",CLASSFEATUREHEADERS,0),MATCH(($A1044 &amp; "Points"),CLASSNAMEHEADERS,0))),(IF("05"=(INDEX(ALLCLASSDATA,MATCH("ClassDCMaster",CLASSFEATUREHEADERS,0),MATCH($A1044,CLASSNAMEHEADERS,0))),(INDEX(ALLCLASSDATA,MATCH("ClassDCMaster",CLASSFEATUREHEADERS,0),MATCH(($A1044 &amp; "Points"),CLASSNAMEHEADERS,0))),(IF("05"=(INDEX(ALLCLASSDATA,MATCH("ClassDCExpert",CLASSFEATUREHEADERS,0),MATCH($A1044,CLASSNAMEHEADERS,0))),(INDEX(ALLCLASSDATA,MATCH("ClassDCExpert",CLASSFEATUREHEADERS,0),MATCH(($A1044 &amp; "Points"),CLASSNAMEHEADERS,0))),(IF("05"=(INDEX(ALLCLASSDATA,MATCH("ClassDCTrained",CLASSFEATUREHEADERS,0),MATCH($A1044,CLASSNAMEHEADERS,0))),(INDEX(ALLCLASSDATA,MATCH("ClassDCTrained",CLASSFEATUREHEADERS,0),MATCH(($A1044 &amp; "Points"),CLASSNAMEHEADERS,0))),"")))))))))}</f>
        <v>CLASSDCL05</v>
      </c>
      <c r="M1043" s="81"/>
      <c r="N1043" s="81" t="str">
        <f t="array" ref="N1043:N1044">{"CLASSDCL07";((IF("07"=(INDEX(ALLCLASSDATA,MATCH("ClassDCLegendary",CLASSFEATUREHEADERS,0),MATCH($A1044,CLASSNAMEHEADERS,0))),(INDEX(ALLCLASSDATA,MATCH("ClassDCLegendary",CLASSFEATUREHEADERS,0),MATCH(($A1044 &amp; "Points"),CLASSNAMEHEADERS,0))),(IF("07"=(INDEX(ALLCLASSDATA,MATCH("ClassDCMaster",CLASSFEATUREHEADERS,0),MATCH($A1044,CLASSNAMEHEADERS,0))),(INDEX(ALLCLASSDATA,MATCH("ClassDCMaster",CLASSFEATUREHEADERS,0),MATCH(($A1044 &amp; "Points"),CLASSNAMEHEADERS,0))),(IF("07"=(INDEX(ALLCLASSDATA,MATCH("ClassDCExpert",CLASSFEATUREHEADERS,0),MATCH($A1044,CLASSNAMEHEADERS,0))),(INDEX(ALLCLASSDATA,MATCH("ClassDCExpert",CLASSFEATUREHEADERS,0),MATCH(($A1044 &amp; "Points"),CLASSNAMEHEADERS,0))),(IF("07"=(INDEX(ALLCLASSDATA,MATCH("ClassDCTrained",CLASSFEATUREHEADERS,0),MATCH($A1044,CLASSNAMEHEADERS,0))),(INDEX(ALLCLASSDATA,MATCH("ClassDCTrained",CLASSFEATUREHEADERS,0),MATCH(($A1044 &amp; "Points"),CLASSNAMEHEADERS,0))),"")))))))))}</f>
        <v>CLASSDCL07</v>
      </c>
      <c r="O1043" s="81"/>
      <c r="P1043" s="81" t="str">
        <f t="array" ref="P1043:P1044">{"CLASSDCL09";((IF("09"=(INDEX(ALLCLASSDATA,MATCH("ClassDCLegendary",CLASSFEATUREHEADERS,0),MATCH($A1044,CLASSNAMEHEADERS,0))),(INDEX(ALLCLASSDATA,MATCH("ClassDCLegendary",CLASSFEATUREHEADERS,0),MATCH(($A1044 &amp; "Points"),CLASSNAMEHEADERS,0))),(IF("09"=(INDEX(ALLCLASSDATA,MATCH("ClassDCMaster",CLASSFEATUREHEADERS,0),MATCH($A1044,CLASSNAMEHEADERS,0))),(INDEX(ALLCLASSDATA,MATCH("ClassDCMaster",CLASSFEATUREHEADERS,0),MATCH(($A1044 &amp; "Points"),CLASSNAMEHEADERS,0))),(IF("09"=(INDEX(ALLCLASSDATA,MATCH("ClassDCExpert",CLASSFEATUREHEADERS,0),MATCH($A1044,CLASSNAMEHEADERS,0))),(INDEX(ALLCLASSDATA,MATCH("ClassDCExpert",CLASSFEATUREHEADERS,0),MATCH(($A1044 &amp; "Points"),CLASSNAMEHEADERS,0))),(IF("09"=(INDEX(ALLCLASSDATA,MATCH("ClassDCTrained",CLASSFEATUREHEADERS,0),MATCH($A1044,CLASSNAMEHEADERS,0))),(INDEX(ALLCLASSDATA,MATCH("ClassDCTrained",CLASSFEATUREHEADERS,0),MATCH(($A1044 &amp; "Points"),CLASSNAMEHEADERS,0))),"")))))))))}</f>
        <v>CLASSDCL09</v>
      </c>
      <c r="Q1043" s="81"/>
      <c r="R1043" s="81" t="str">
        <f t="array" ref="R1043:R1044">{"CLASSDCL11";((IF("11"=(INDEX(ALLCLASSDATA,MATCH("ClassDCLegendary",CLASSFEATUREHEADERS,0),MATCH($A1044,CLASSNAMEHEADERS,0))),(INDEX(ALLCLASSDATA,MATCH("ClassDCLegendary",CLASSFEATUREHEADERS,0),MATCH(($A1044 &amp; "Points"),CLASSNAMEHEADERS,0))),(IF("11"=(INDEX(ALLCLASSDATA,MATCH("ClassDCMaster",CLASSFEATUREHEADERS,0),MATCH($A1044,CLASSNAMEHEADERS,0))),(INDEX(ALLCLASSDATA,MATCH("ClassDCMaster",CLASSFEATUREHEADERS,0),MATCH(($A1044 &amp; "Points"),CLASSNAMEHEADERS,0))),(IF("11"=(INDEX(ALLCLASSDATA,MATCH("ClassDCExpert",CLASSFEATUREHEADERS,0),MATCH($A1044,CLASSNAMEHEADERS,0))),(INDEX(ALLCLASSDATA,MATCH("ClassDCExpert",CLASSFEATUREHEADERS,0),MATCH(($A1044 &amp; "Points"),CLASSNAMEHEADERS,0))),(IF("11"=(INDEX(ALLCLASSDATA,MATCH("ClassDCTrained",CLASSFEATUREHEADERS,0),MATCH($A1044,CLASSNAMEHEADERS,0))),(INDEX(ALLCLASSDATA,MATCH("ClassDCTrained",CLASSFEATUREHEADERS,0),MATCH(($A1044 &amp; "Points"),CLASSNAMEHEADERS,0))),"")))))))))}</f>
        <v>CLASSDCL11</v>
      </c>
      <c r="S1043" s="81"/>
      <c r="T1043" s="81" t="str">
        <f t="array" ref="T1043:T1044">{"CLASSDCL13";((IF("13"=(INDEX(ALLCLASSDATA,MATCH("ClassDCLegendary",CLASSFEATUREHEADERS,0),MATCH($A1044,CLASSNAMEHEADERS,0))),(INDEX(ALLCLASSDATA,MATCH("ClassDCLegendary",CLASSFEATUREHEADERS,0),MATCH(($A1044 &amp; "Points"),CLASSNAMEHEADERS,0))),(IF("13"=(INDEX(ALLCLASSDATA,MATCH("ClassDCMaster",CLASSFEATUREHEADERS,0),MATCH($A1044,CLASSNAMEHEADERS,0))),(INDEX(ALLCLASSDATA,MATCH("ClassDCMaster",CLASSFEATUREHEADERS,0),MATCH(($A1044 &amp; "Points"),CLASSNAMEHEADERS,0))),(IF("13"=(INDEX(ALLCLASSDATA,MATCH("ClassDCExpert",CLASSFEATUREHEADERS,0),MATCH($A1044,CLASSNAMEHEADERS,0))),(INDEX(ALLCLASSDATA,MATCH("ClassDCExpert",CLASSFEATUREHEADERS,0),MATCH(($A1044 &amp; "Points"),CLASSNAMEHEADERS,0))),(IF("13"=(INDEX(ALLCLASSDATA,MATCH("ClassDCTrained",CLASSFEATUREHEADERS,0),MATCH($A1044,CLASSNAMEHEADERS,0))),(INDEX(ALLCLASSDATA,MATCH("ClassDCTrained",CLASSFEATUREHEADERS,0),MATCH(($A1044 &amp; "Points"),CLASSNAMEHEADERS,0))),"")))))))))}</f>
        <v>CLASSDCL13</v>
      </c>
      <c r="U1043" s="81"/>
      <c r="V1043" s="81" t="str">
        <f t="array" ref="V1043:V1044">{"CLASSDCL15";((IF("15"=(INDEX(ALLCLASSDATA,MATCH("ClassDCLegendary",CLASSFEATUREHEADERS,0),MATCH($A1044,CLASSNAMEHEADERS,0))),(INDEX(ALLCLASSDATA,MATCH("ClassDCLegendary",CLASSFEATUREHEADERS,0),MATCH(($A1044 &amp; "Points"),CLASSNAMEHEADERS,0))),(IF("15"=(INDEX(ALLCLASSDATA,MATCH("ClassDCMaster",CLASSFEATUREHEADERS,0),MATCH($A1044,CLASSNAMEHEADERS,0))),(INDEX(ALLCLASSDATA,MATCH("ClassDCMaster",CLASSFEATUREHEADERS,0),MATCH(($A1044 &amp; "Points"),CLASSNAMEHEADERS,0))),(IF("15"=(INDEX(ALLCLASSDATA,MATCH("ClassDCExpert",CLASSFEATUREHEADERS,0),MATCH($A1044,CLASSNAMEHEADERS,0))),(INDEX(ALLCLASSDATA,MATCH("ClassDCExpert",CLASSFEATUREHEADERS,0),MATCH(($A1044 &amp; "Points"),CLASSNAMEHEADERS,0))),(IF("15"=(INDEX(ALLCLASSDATA,MATCH("ClassDCTrained",CLASSFEATUREHEADERS,0),MATCH($A1044,CLASSNAMEHEADERS,0))),(INDEX(ALLCLASSDATA,MATCH("ClassDCTrained",CLASSFEATUREHEADERS,0),MATCH(($A1044 &amp; "Points"),CLASSNAMEHEADERS,0))),"")))))))))}</f>
        <v>CLASSDCL15</v>
      </c>
      <c r="W1043" s="81"/>
      <c r="X1043" s="81" t="str">
        <f t="array" ref="X1043:X1044">{"CLASSDCL17";((IF("17"=(INDEX(ALLCLASSDATA,MATCH("ClassDCLegendary",CLASSFEATUREHEADERS,0),MATCH($A1044,CLASSNAMEHEADERS,0))),(INDEX(ALLCLASSDATA,MATCH("ClassDCLegendary",CLASSFEATUREHEADERS,0),MATCH(($A1044 &amp; "Points"),CLASSNAMEHEADERS,0))),(IF("17"=(INDEX(ALLCLASSDATA,MATCH("ClassDCMaster",CLASSFEATUREHEADERS,0),MATCH($A1044,CLASSNAMEHEADERS,0))),(INDEX(ALLCLASSDATA,MATCH("ClassDCMaster",CLASSFEATUREHEADERS,0),MATCH(($A1044 &amp; "Points"),CLASSNAMEHEADERS,0))),(IF("17"=(INDEX(ALLCLASSDATA,MATCH("ClassDCExpert",CLASSFEATUREHEADERS,0),MATCH($A1044,CLASSNAMEHEADERS,0))),(INDEX(ALLCLASSDATA,MATCH("ClassDCExpert",CLASSFEATUREHEADERS,0),MATCH(($A1044 &amp; "Points"),CLASSNAMEHEADERS,0))),(IF("17"=(INDEX(ALLCLASSDATA,MATCH("ClassDCTrained",CLASSFEATUREHEADERS,0),MATCH($A1044,CLASSNAMEHEADERS,0))),(INDEX(ALLCLASSDATA,MATCH("ClassDCTrained",CLASSFEATUREHEADERS,0),MATCH(($A1044 &amp; "Points"),CLASSNAMEHEADERS,0))),"")))))))))}</f>
        <v>CLASSDCL17</v>
      </c>
      <c r="Y1043" s="81"/>
      <c r="Z1043" s="81" t="str">
        <f t="array" ref="Z1043:Z1044">{"CLASSDCL19";((IF("19"=(INDEX(ALLCLASSDATA,MATCH("ClassDCLegendary",CLASSFEATUREHEADERS,0),MATCH($A1044,CLASSNAMEHEADERS,0))),(INDEX(ALLCLASSDATA,MATCH("ClassDCLegendary",CLASSFEATUREHEADERS,0),MATCH(($A1044 &amp; "Points"),CLASSNAMEHEADERS,0))),(IF("19"=(INDEX(ALLCLASSDATA,MATCH("ClassDCMaster",CLASSFEATUREHEADERS,0),MATCH($A1044,CLASSNAMEHEADERS,0))),(INDEX(ALLCLASSDATA,MATCH("ClassDCMaster",CLASSFEATUREHEADERS,0),MATCH(($A1044 &amp; "Points"),CLASSNAMEHEADERS,0))),(IF("19"=(INDEX(ALLCLASSDATA,MATCH("ClassDCExpert",CLASSFEATUREHEADERS,0),MATCH($A1044,CLASSNAMEHEADERS,0))),(INDEX(ALLCLASSDATA,MATCH("ClassDCExpert",CLASSFEATUREHEADERS,0),MATCH(($A1044 &amp; "Points"),CLASSNAMEHEADERS,0))),(IF("19"=(INDEX(ALLCLASSDATA,MATCH("ClassDCTrained",CLASSFEATUREHEADERS,0),MATCH($A1044,CLASSNAMEHEADERS,0))),(INDEX(ALLCLASSDATA,MATCH("ClassDCTrained",CLASSFEATUREHEADERS,0),MATCH(($A1044 &amp; "Points"),CLASSNAMEHEADERS,0))),"")))))))))}</f>
        <v>CLASSDCL19</v>
      </c>
      <c r="AA1043" s="81"/>
      <c r="AB1043" s="76" t="str">
        <f t="array" ref="AB1043:AB1044">{"CLASSDC TOTAL";(IF(COUNTBLANK(G1044:AA1044)=17,"L",(IF(COUNTBLANK(G1044:AA1044)=18,"M",(IF(COUNTBLANK(G1044:AA1044)=19,"E",(IF(COUNTBLANK(G1044:AA1044)=20,"T",""))))))))}</f>
        <v>CLASSDC TOTAL</v>
      </c>
      <c r="AC1043" s="76" t="str">
        <f t="array" ref="AC1043:AC1044">{"CLASSDC TOTAL";(sum(G1044:AA1044))}</f>
        <v>CLASSDC TOTAL</v>
      </c>
    </row>
    <row r="1044">
      <c r="A1044" s="48" t="s">
        <v>189</v>
      </c>
      <c r="B1044" s="48"/>
      <c r="C1044" s="48" t="s">
        <v>412</v>
      </c>
      <c r="D1044" s="48" t="s">
        <v>1465</v>
      </c>
      <c r="E1044" s="48" t="s">
        <v>1466</v>
      </c>
      <c r="F1044" s="5" t="s">
        <v>435</v>
      </c>
      <c r="G1044" s="47" t="s">
        <v>603</v>
      </c>
      <c r="H1044" s="5">
        <v>10.0</v>
      </c>
      <c r="I1044" s="5"/>
      <c r="J1044" s="5" t="s">
        <v>603</v>
      </c>
      <c r="K1044" s="5"/>
      <c r="L1044" s="5" t="s">
        <v>603</v>
      </c>
      <c r="M1044" s="5"/>
      <c r="N1044" s="5" t="s">
        <v>603</v>
      </c>
      <c r="O1044" s="5"/>
      <c r="P1044" s="5">
        <v>50.0</v>
      </c>
      <c r="Q1044" s="5"/>
      <c r="R1044" s="5" t="s">
        <v>603</v>
      </c>
      <c r="S1044" s="5"/>
      <c r="T1044" s="5" t="s">
        <v>603</v>
      </c>
      <c r="U1044" s="5"/>
      <c r="V1044" s="5" t="s">
        <v>603</v>
      </c>
      <c r="W1044" s="5"/>
      <c r="X1044" s="5">
        <v>110.0</v>
      </c>
      <c r="Y1044" s="5"/>
      <c r="Z1044" s="5" t="s">
        <v>603</v>
      </c>
      <c r="AA1044" s="5"/>
      <c r="AB1044" s="5" t="s">
        <v>437</v>
      </c>
      <c r="AC1044" s="47">
        <v>170.0</v>
      </c>
    </row>
    <row r="1045" hidden="1">
      <c r="A1045" s="222" t="str">
        <f t="array" ref="A1045:A1046">{"FormulaRow21";(INDEX(CLASSLIST,A1004,1))}</f>
        <v>FormulaRow21</v>
      </c>
      <c r="B1045" s="77" t="s">
        <v>236</v>
      </c>
      <c r="C1045" s="222" t="str">
        <f t="array" ref="C1045:C1046">{"CLASSTYPE";((INDEX(ALLCLASSDATA,MATCH("ClassType",CLASSFEATUREHEADERS,0),MATCH($A1046,CLASSNAMEHEADERS,0))))}</f>
        <v>CLASSTYPE</v>
      </c>
      <c r="D1045" s="222" t="str">
        <f t="array" ref="D1045:D1046">{"DC";"DC"}</f>
        <v>DC</v>
      </c>
      <c r="E1045" s="222" t="str">
        <f t="array" ref="E1045:E1046">{"SPELLDC";"SpellDC"}</f>
        <v>SPELLDC</v>
      </c>
      <c r="F1045" s="223" t="str">
        <f t="array" ref="F1045:F1046">{"SPELLDCINITIAL";((IF(H1046=10,"T",(IF(H1046=50,"E","")))))}</f>
        <v>SPELLDCINITIAL</v>
      </c>
      <c r="G1045" s="223" t="str">
        <f t="array" ref="G1045:G1046">{"SPELLDCINITIALPTS";((IF("00"=(INDEX(ALLCLASSDATA,MATCH("SpellDCLegendary",CLASSFEATUREHEADERS,0),MATCH($A1046,CLASSNAMEHEADERS,0))),(INDEX(ALLCLASSDATA,MATCH("SpellDCLegendary",CLASSFEATUREHEADERS,0),MATCH(($A1046 &amp; "Points"),CLASSNAMEHEADERS,0))),(IF("00"=(INDEX(ALLCLASSDATA,MATCH("SpellDCMaster",CLASSFEATUREHEADERS,0),MATCH($A1046,CLASSNAMEHEADERS,0))),(INDEX(ALLCLASSDATA,MATCH("SpellDCMaster",CLASSFEATUREHEADERS,0),MATCH(($A1046 &amp; "Points"),CLASSNAMEHEADERS,0))),(IF("00"=(INDEX(ALLCLASSDATA,MATCH("SpellDCExpert",CLASSFEATUREHEADERS,0),MATCH($A1046,CLASSNAMEHEADERS,0))),(INDEX(ALLCLASSDATA,MATCH("SpellDCExpert",CLASSFEATUREHEADERS,0),MATCH(($A1046 &amp; "Points"),CLASSNAMEHEADERS,0))),(IF("00"=(INDEX(ALLCLASSDATA,MATCH("SpellDCTrained",CLASSFEATUREHEADERS,0),MATCH($A1046,CLASSNAMEHEADERS,0))),(INDEX(ALLCLASSDATA,MATCH("SpellDCTrained",CLASSFEATUREHEADERS,0),MATCH(($A1046 &amp; "Points"),CLASSNAMEHEADERS,0))),"")))))))))}</f>
        <v>SPELLDCINITIALPTS</v>
      </c>
      <c r="H1045" s="223" t="str">
        <f t="array" ref="H1045:H1046">{"SPELLDCL01";((IF("01"=(INDEX(ALLCLASSDATA,MATCH("SpellDCLegendary",CLASSFEATUREHEADERS,0),MATCH($A1046,CLASSNAMEHEADERS,0))),(INDEX(ALLCLASSDATA,MATCH("SpellDCLegendary",CLASSFEATUREHEADERS,0),MATCH(($A1046 &amp; "Points"),CLASSNAMEHEADERS,0))),(IF("01"=(INDEX(ALLCLASSDATA,MATCH("SpellDCMaster",CLASSFEATUREHEADERS,0),MATCH($A1046,CLASSNAMEHEADERS,0))),(INDEX(ALLCLASSDATA,MATCH("SpellDCMaster",CLASSFEATUREHEADERS,0),MATCH(($A1046 &amp; "Points"),CLASSNAMEHEADERS,0))),(IF("01"=(INDEX(ALLCLASSDATA,MATCH("SpellDCExpert",CLASSFEATUREHEADERS,0),MATCH($A1046,CLASSNAMEHEADERS,0))),(INDEX(ALLCLASSDATA,MATCH("SpellDCExpert",CLASSFEATUREHEADERS,0),MATCH(($A1046 &amp; "Points"),CLASSNAMEHEADERS,0))),(IF("01"=(INDEX(ALLCLASSDATA,MATCH("SpellDCTrained",CLASSFEATUREHEADERS,0),MATCH($A1046,CLASSNAMEHEADERS,0))),(INDEX(ALLCLASSDATA,MATCH("SpellDCTrained",CLASSFEATUREHEADERS,0),MATCH(($A1046 &amp; "Points"),CLASSNAMEHEADERS,0))),"")))))))))}</f>
        <v>SPELLDCL01</v>
      </c>
      <c r="I1045" s="223"/>
      <c r="J1045" s="223" t="str">
        <f t="array" ref="J1045:J1046">{"SPELLDCL03";((IF("03"=(INDEX(ALLCLASSDATA,MATCH("SpellDCLegendary",CLASSFEATUREHEADERS,0),MATCH($A1046,CLASSNAMEHEADERS,0))),(INDEX(ALLCLASSDATA,MATCH("SpellDCLegendary",CLASSFEATUREHEADERS,0),MATCH(($A1046 &amp; "Points"),CLASSNAMEHEADERS,0))),(IF("03"=(INDEX(ALLCLASSDATA,MATCH("SpellDCMaster",CLASSFEATUREHEADERS,0),MATCH($A1046,CLASSNAMEHEADERS,0))),(INDEX(ALLCLASSDATA,MATCH("SpellDCMaster",CLASSFEATUREHEADERS,0),MATCH(($A1046 &amp; "Points"),CLASSNAMEHEADERS,0))),(IF("03"=(INDEX(ALLCLASSDATA,MATCH("SpellDCExpert",CLASSFEATUREHEADERS,0),MATCH($A1046,CLASSNAMEHEADERS,0))),(INDEX(ALLCLASSDATA,MATCH("SpellDCExpert",CLASSFEATUREHEADERS,0),MATCH(($A1046 &amp; "Points"),CLASSNAMEHEADERS,0))),(IF("03"=(INDEX(ALLCLASSDATA,MATCH("SpellDCTrained",CLASSFEATUREHEADERS,0),MATCH($A1046,CLASSNAMEHEADERS,0))),(INDEX(ALLCLASSDATA,MATCH("SpellDCTrained",CLASSFEATUREHEADERS,0),MATCH(($A1046 &amp; "Points"),CLASSNAMEHEADERS,0))),"")))))))))}</f>
        <v>SPELLDCL03</v>
      </c>
      <c r="K1045" s="223"/>
      <c r="L1045" s="223" t="str">
        <f t="array" ref="L1045:L1046">{"SPELLDCL05";((IF("05"=(INDEX(ALLCLASSDATA,MATCH("SpellDCLegendary",CLASSFEATUREHEADERS,0),MATCH($A1046,CLASSNAMEHEADERS,0))),(INDEX(ALLCLASSDATA,MATCH("SpellDCLegendary",CLASSFEATUREHEADERS,0),MATCH(($A1046 &amp; "Points"),CLASSNAMEHEADERS,0))),(IF("05"=(INDEX(ALLCLASSDATA,MATCH("SpellDCMaster",CLASSFEATUREHEADERS,0),MATCH($A1046,CLASSNAMEHEADERS,0))),(INDEX(ALLCLASSDATA,MATCH("SpellDCMaster",CLASSFEATUREHEADERS,0),MATCH(($A1046 &amp; "Points"),CLASSNAMEHEADERS,0))),(IF("05"=(INDEX(ALLCLASSDATA,MATCH("SpellDCExpert",CLASSFEATUREHEADERS,0),MATCH($A1046,CLASSNAMEHEADERS,0))),(INDEX(ALLCLASSDATA,MATCH("SpellDCExpert",CLASSFEATUREHEADERS,0),MATCH(($A1046 &amp; "Points"),CLASSNAMEHEADERS,0))),(IF("05"=(INDEX(ALLCLASSDATA,MATCH("SpellDCTrained",CLASSFEATUREHEADERS,0),MATCH($A1046,CLASSNAMEHEADERS,0))),(INDEX(ALLCLASSDATA,MATCH("SpellDCTrained",CLASSFEATUREHEADERS,0),MATCH(($A1046 &amp; "Points"),CLASSNAMEHEADERS,0))),"")))))))))}</f>
        <v>SPELLDCL05</v>
      </c>
      <c r="M1045" s="223"/>
      <c r="N1045" s="223" t="str">
        <f t="array" ref="N1045:N1046">{"SPELLDCL07";((IF("07"=(INDEX(ALLCLASSDATA,MATCH("SpellDCLegendary",CLASSFEATUREHEADERS,0),MATCH($A1046,CLASSNAMEHEADERS,0))),(INDEX(ALLCLASSDATA,MATCH("SpellDCLegendary",CLASSFEATUREHEADERS,0),MATCH(($A1046 &amp; "Points"),CLASSNAMEHEADERS,0))),(IF("07"=(INDEX(ALLCLASSDATA,MATCH("SpellDCMaster",CLASSFEATUREHEADERS,0),MATCH($A1046,CLASSNAMEHEADERS,0))),(INDEX(ALLCLASSDATA,MATCH("SpellDCMaster",CLASSFEATUREHEADERS,0),MATCH(($A1046 &amp; "Points"),CLASSNAMEHEADERS,0))),(IF("07"=(INDEX(ALLCLASSDATA,MATCH("SpellDCExpert",CLASSFEATUREHEADERS,0),MATCH($A1046,CLASSNAMEHEADERS,0))),(INDEX(ALLCLASSDATA,MATCH("SpellDCExpert",CLASSFEATUREHEADERS,0),MATCH(($A1046 &amp; "Points"),CLASSNAMEHEADERS,0))),(IF("07"=(INDEX(ALLCLASSDATA,MATCH("SpellDCTrained",CLASSFEATUREHEADERS,0),MATCH($A1046,CLASSNAMEHEADERS,0))),(INDEX(ALLCLASSDATA,MATCH("SpellDCTrained",CLASSFEATUREHEADERS,0),MATCH(($A1046 &amp; "Points"),CLASSNAMEHEADERS,0))),"")))))))))}</f>
        <v>SPELLDCL07</v>
      </c>
      <c r="O1045" s="223"/>
      <c r="P1045" s="223" t="str">
        <f t="array" ref="P1045:P1046">{"SPELLDCL09";((IF("09"=(INDEX(ALLCLASSDATA,MATCH("SpellDCLegendary",CLASSFEATUREHEADERS,0),MATCH($A1046,CLASSNAMEHEADERS,0))),(INDEX(ALLCLASSDATA,MATCH("SpellDCLegendary",CLASSFEATUREHEADERS,0),MATCH(($A1046 &amp; "Points"),CLASSNAMEHEADERS,0))),(IF("09"=(INDEX(ALLCLASSDATA,MATCH("SpellDCMaster",CLASSFEATUREHEADERS,0),MATCH($A1046,CLASSNAMEHEADERS,0))),(INDEX(ALLCLASSDATA,MATCH("SpellDCMaster",CLASSFEATUREHEADERS,0),MATCH(($A1046 &amp; "Points"),CLASSNAMEHEADERS,0))),(IF("09"=(INDEX(ALLCLASSDATA,MATCH("SpellDCExpert",CLASSFEATUREHEADERS,0),MATCH($A1046,CLASSNAMEHEADERS,0))),(INDEX(ALLCLASSDATA,MATCH("SpellDCExpert",CLASSFEATUREHEADERS,0),MATCH(($A1046 &amp; "Points"),CLASSNAMEHEADERS,0))),(IF("09"=(INDEX(ALLCLASSDATA,MATCH("SpellDCTrained",CLASSFEATUREHEADERS,0),MATCH($A1046,CLASSNAMEHEADERS,0))),(INDEX(ALLCLASSDATA,MATCH("SpellDCTrained",CLASSFEATUREHEADERS,0),MATCH(($A1046 &amp; "Points"),CLASSNAMEHEADERS,0))),"")))))))))}</f>
        <v>SPELLDCL09</v>
      </c>
      <c r="Q1045" s="223"/>
      <c r="R1045" s="223" t="str">
        <f t="array" ref="R1045:R1046">{"SPELLDCL11";((IF("11"=(INDEX(ALLCLASSDATA,MATCH("SpellDCLegendary",CLASSFEATUREHEADERS,0),MATCH($A1046,CLASSNAMEHEADERS,0))),(INDEX(ALLCLASSDATA,MATCH("SpellDCLegendary",CLASSFEATUREHEADERS,0),MATCH(($A1046 &amp; "Points"),CLASSNAMEHEADERS,0))),(IF("11"=(INDEX(ALLCLASSDATA,MATCH("SpellDCMaster",CLASSFEATUREHEADERS,0),MATCH($A1046,CLASSNAMEHEADERS,0))),(INDEX(ALLCLASSDATA,MATCH("SpellDCMaster",CLASSFEATUREHEADERS,0),MATCH(($A1046 &amp; "Points"),CLASSNAMEHEADERS,0))),(IF("11"=(INDEX(ALLCLASSDATA,MATCH("SpellDCExpert",CLASSFEATUREHEADERS,0),MATCH($A1046,CLASSNAMEHEADERS,0))),(INDEX(ALLCLASSDATA,MATCH("SpellDCExpert",CLASSFEATUREHEADERS,0),MATCH(($A1046 &amp; "Points"),CLASSNAMEHEADERS,0))),(IF("11"=(INDEX(ALLCLASSDATA,MATCH("SpellDCTrained",CLASSFEATUREHEADERS,0),MATCH($A1046,CLASSNAMEHEADERS,0))),(INDEX(ALLCLASSDATA,MATCH("SpellDCTrained",CLASSFEATUREHEADERS,0),MATCH(($A1046 &amp; "Points"),CLASSNAMEHEADERS,0))),"")))))))))}</f>
        <v>SPELLDCL11</v>
      </c>
      <c r="S1045" s="223"/>
      <c r="T1045" s="223" t="str">
        <f t="array" ref="T1045:T1046">{"SPELLDCL13";((IF("13"=(INDEX(ALLCLASSDATA,MATCH("SpellDCLegendary",CLASSFEATUREHEADERS,0),MATCH($A1046,CLASSNAMEHEADERS,0))),(INDEX(ALLCLASSDATA,MATCH("SpellDCLegendary",CLASSFEATUREHEADERS,0),MATCH(($A1046 &amp; "Points"),CLASSNAMEHEADERS,0))),(IF("13"=(INDEX(ALLCLASSDATA,MATCH("SpellDCMaster",CLASSFEATUREHEADERS,0),MATCH($A1046,CLASSNAMEHEADERS,0))),(INDEX(ALLCLASSDATA,MATCH("SpellDCMaster",CLASSFEATUREHEADERS,0),MATCH(($A1046 &amp; "Points"),CLASSNAMEHEADERS,0))),(IF("13"=(INDEX(ALLCLASSDATA,MATCH("SpellDCExpert",CLASSFEATUREHEADERS,0),MATCH($A1046,CLASSNAMEHEADERS,0))),(INDEX(ALLCLASSDATA,MATCH("SpellDCExpert",CLASSFEATUREHEADERS,0),MATCH(($A1046 &amp; "Points"),CLASSNAMEHEADERS,0))),(IF("13"=(INDEX(ALLCLASSDATA,MATCH("SpellDCTrained",CLASSFEATUREHEADERS,0),MATCH($A1046,CLASSNAMEHEADERS,0))),(INDEX(ALLCLASSDATA,MATCH("SpellDCTrained",CLASSFEATUREHEADERS,0),MATCH(($A1046 &amp; "Points"),CLASSNAMEHEADERS,0))),"")))))))))}</f>
        <v>SPELLDCL13</v>
      </c>
      <c r="U1045" s="223"/>
      <c r="V1045" s="223" t="str">
        <f t="array" ref="V1045:V1046">{"SPELLDCL15";((IF("15"=(INDEX(ALLCLASSDATA,MATCH("SpellDCLegendary",CLASSFEATUREHEADERS,0),MATCH($A1046,CLASSNAMEHEADERS,0))),(INDEX(ALLCLASSDATA,MATCH("SpellDCLegendary",CLASSFEATUREHEADERS,0),MATCH(($A1046 &amp; "Points"),CLASSNAMEHEADERS,0))),(IF("15"=(INDEX(ALLCLASSDATA,MATCH("SpellDCMaster",CLASSFEATUREHEADERS,0),MATCH($A1046,CLASSNAMEHEADERS,0))),(INDEX(ALLCLASSDATA,MATCH("SpellDCMaster",CLASSFEATUREHEADERS,0),MATCH(($A1046 &amp; "Points"),CLASSNAMEHEADERS,0))),(IF("15"=(INDEX(ALLCLASSDATA,MATCH("SpellDCExpert",CLASSFEATUREHEADERS,0),MATCH($A1046,CLASSNAMEHEADERS,0))),(INDEX(ALLCLASSDATA,MATCH("SpellDCExpert",CLASSFEATUREHEADERS,0),MATCH(($A1046 &amp; "Points"),CLASSNAMEHEADERS,0))),(IF("15"=(INDEX(ALLCLASSDATA,MATCH("SpellDCTrained",CLASSFEATUREHEADERS,0),MATCH($A1046,CLASSNAMEHEADERS,0))),(INDEX(ALLCLASSDATA,MATCH("SpellDCTrained",CLASSFEATUREHEADERS,0),MATCH(($A1046 &amp; "Points"),CLASSNAMEHEADERS,0))),"")))))))))}</f>
        <v>SPELLDCL15</v>
      </c>
      <c r="W1045" s="223"/>
      <c r="X1045" s="223" t="str">
        <f t="array" ref="X1045:X1046">{"SPELLDCL17";((IF("17"=(INDEX(ALLCLASSDATA,MATCH("SpellDCLegendary",CLASSFEATUREHEADERS,0),MATCH($A1046,CLASSNAMEHEADERS,0))),(INDEX(ALLCLASSDATA,MATCH("SpellDCLegendary",CLASSFEATUREHEADERS,0),MATCH(($A1046 &amp; "Points"),CLASSNAMEHEADERS,0))),(IF("17"=(INDEX(ALLCLASSDATA,MATCH("SpellDCMaster",CLASSFEATUREHEADERS,0),MATCH($A1046,CLASSNAMEHEADERS,0))),(INDEX(ALLCLASSDATA,MATCH("SpellDCMaster",CLASSFEATUREHEADERS,0),MATCH(($A1046 &amp; "Points"),CLASSNAMEHEADERS,0))),(IF("17"=(INDEX(ALLCLASSDATA,MATCH("SpellDCExpert",CLASSFEATUREHEADERS,0),MATCH($A1046,CLASSNAMEHEADERS,0))),(INDEX(ALLCLASSDATA,MATCH("SpellDCExpert",CLASSFEATUREHEADERS,0),MATCH(($A1046 &amp; "Points"),CLASSNAMEHEADERS,0))),(IF("17"=(INDEX(ALLCLASSDATA,MATCH("SpellDCTrained",CLASSFEATUREHEADERS,0),MATCH($A1046,CLASSNAMEHEADERS,0))),(INDEX(ALLCLASSDATA,MATCH("SpellDCTrained",CLASSFEATUREHEADERS,0),MATCH(($A1046 &amp; "Points"),CLASSNAMEHEADERS,0))),"")))))))))}</f>
        <v>SPELLDCL17</v>
      </c>
      <c r="Y1045" s="223"/>
      <c r="Z1045" s="223" t="str">
        <f t="array" ref="Z1045:Z1046">{"SPELLDCL19";((IF("19"=(INDEX(ALLCLASSDATA,MATCH("SpellDCLegendary",CLASSFEATUREHEADERS,0),MATCH($A1046,CLASSNAMEHEADERS,0))),(INDEX(ALLCLASSDATA,MATCH("SpellDCLegendary",CLASSFEATUREHEADERS,0),MATCH(($A1046 &amp; "Points"),CLASSNAMEHEADERS,0))),(IF("19"=(INDEX(ALLCLASSDATA,MATCH("SpellDCMaster",CLASSFEATUREHEADERS,0),MATCH($A1046,CLASSNAMEHEADERS,0))),(INDEX(ALLCLASSDATA,MATCH("SpellDCMaster",CLASSFEATUREHEADERS,0),MATCH(($A1046 &amp; "Points"),CLASSNAMEHEADERS,0))),(IF("19"=(INDEX(ALLCLASSDATA,MATCH("SpellDCExpert",CLASSFEATUREHEADERS,0),MATCH($A1046,CLASSNAMEHEADERS,0))),(INDEX(ALLCLASSDATA,MATCH("SpellDCExpert",CLASSFEATUREHEADERS,0),MATCH(($A1046 &amp; "Points"),CLASSNAMEHEADERS,0))),(IF("19"=(INDEX(ALLCLASSDATA,MATCH("SpellDCTrained",CLASSFEATUREHEADERS,0),MATCH($A1046,CLASSNAMEHEADERS,0))),(INDEX(ALLCLASSDATA,MATCH("SpellDCTrained",CLASSFEATUREHEADERS,0),MATCH(($A1046 &amp; "Points"),CLASSNAMEHEADERS,0))),"")))))))))}</f>
        <v>SPELLDCL19</v>
      </c>
      <c r="AA1045" s="223"/>
      <c r="AB1045" s="76" t="str">
        <f t="array" ref="AB1045:AB1046">{"SPELLDC TOTAL";(IF(COUNTBLANK(G1046:AA1046)=17,"L",(IF(COUNTBLANK(G1046:AA1046)=18,"M",(IF(COUNTBLANK(G1046:AA1046)=19,"E",(IF(COUNTBLANK(G1046:AA1046)=20,"T",""))))))))}</f>
        <v>SPELLDC TOTAL</v>
      </c>
      <c r="AC1045" s="76" t="str">
        <f t="array" ref="AC1045:AC1046">{"SPELLDC TOTAL";(sum(G1046:AA1046))}</f>
        <v>SPELLDC TOTAL</v>
      </c>
    </row>
    <row r="1046">
      <c r="A1046" s="48" t="s">
        <v>189</v>
      </c>
      <c r="B1046" s="48"/>
      <c r="C1046" s="48" t="s">
        <v>412</v>
      </c>
      <c r="D1046" s="97" t="s">
        <v>1465</v>
      </c>
      <c r="E1046" s="97" t="s">
        <v>1485</v>
      </c>
      <c r="F1046" s="98" t="s">
        <v>603</v>
      </c>
      <c r="G1046" s="132" t="s">
        <v>603</v>
      </c>
      <c r="H1046" s="98" t="s">
        <v>603</v>
      </c>
      <c r="I1046" s="98"/>
      <c r="J1046" s="98" t="s">
        <v>603</v>
      </c>
      <c r="K1046" s="98"/>
      <c r="L1046" s="98" t="s">
        <v>603</v>
      </c>
      <c r="M1046" s="98"/>
      <c r="N1046" s="98" t="s">
        <v>603</v>
      </c>
      <c r="O1046" s="98"/>
      <c r="P1046" s="98" t="s">
        <v>603</v>
      </c>
      <c r="Q1046" s="98"/>
      <c r="R1046" s="98" t="s">
        <v>603</v>
      </c>
      <c r="S1046" s="98"/>
      <c r="T1046" s="98" t="s">
        <v>603</v>
      </c>
      <c r="U1046" s="98"/>
      <c r="V1046" s="98" t="s">
        <v>603</v>
      </c>
      <c r="W1046" s="98"/>
      <c r="X1046" s="98" t="s">
        <v>603</v>
      </c>
      <c r="Y1046" s="98"/>
      <c r="Z1046" s="98" t="s">
        <v>603</v>
      </c>
      <c r="AA1046" s="98"/>
      <c r="AB1046" s="5" t="s">
        <v>603</v>
      </c>
      <c r="AC1046" s="47">
        <v>0.0</v>
      </c>
    </row>
    <row r="1047" hidden="1">
      <c r="A1047" s="222" t="str">
        <f t="array" ref="A1047:A1048">{"FormulaRow22";(INDEX(CLASSLIST,A1004,1))}</f>
        <v>FormulaRow22</v>
      </c>
      <c r="B1047" s="77" t="s">
        <v>236</v>
      </c>
      <c r="C1047" s="222" t="str">
        <f t="array" ref="C1047:C1048">{"CLASSTYPE";((INDEX(ALLCLASSDATA,MATCH("ClassType",CLASSFEATUREHEADERS,0),MATCH($A1048,CLASSNAMEHEADERS,0))))}</f>
        <v>CLASSTYPE</v>
      </c>
      <c r="D1047" s="228" t="str">
        <f t="shared" ref="D1047:E1047" si="12">{"PERCEPTION";"Perception"}</f>
        <v>PERCEPTION</v>
      </c>
      <c r="E1047" s="228" t="str">
        <f t="shared" si="12"/>
        <v>PERCEPTION</v>
      </c>
      <c r="F1047" s="230" t="str">
        <f t="array" ref="F1047:F1048">{"PERCEPTIONINITIAL";((IF(H1048=10,"T",(IF(H1048=50,"E","")))))}</f>
        <v>PERCEPTIONINITIAL</v>
      </c>
      <c r="G1047" s="230" t="str">
        <f t="array" ref="G1047:G1048">{"PERCEPTIONINITIALPTS";((IF("00"=(INDEX(ALLCLASSDATA,MATCH("PerceptionLegendary",CLASSFEATUREHEADERS,0),MATCH($A1048,CLASSNAMEHEADERS,0))),(INDEX(ALLCLASSDATA,MATCH("PerceptionLegendary",CLASSFEATUREHEADERS,0),MATCH(($A1048 &amp; "Points"),CLASSNAMEHEADERS,0))),(IF("00"=(INDEX(ALLCLASSDATA,MATCH("PerceptionMaster",CLASSFEATUREHEADERS,0),MATCH($A1048,CLASSNAMEHEADERS,0))),(INDEX(ALLCLASSDATA,MATCH("PerceptionMaster",CLASSFEATUREHEADERS,0),MATCH(($A1048 &amp; "Points"),CLASSNAMEHEADERS,0))),(IF("00"=(INDEX(ALLCLASSDATA,MATCH("PerceptionExpert",CLASSFEATUREHEADERS,0),MATCH($A1048,CLASSNAMEHEADERS,0))),(INDEX(ALLCLASSDATA,MATCH("PerceptionExpert",CLASSFEATUREHEADERS,0),MATCH(($A1048 &amp; "Points"),CLASSNAMEHEADERS,0))),(IF("00"=(INDEX(ALLCLASSDATA,MATCH("PerceptionTrained",CLASSFEATUREHEADERS,0),MATCH($A1048,CLASSNAMEHEADERS,0))),(INDEX(ALLCLASSDATA,MATCH("PerceptionTrained",CLASSFEATUREHEADERS,0),MATCH(($A1048 &amp; "Points"),CLASSNAMEHEADERS,0))),"")))))))))}</f>
        <v>PERCEPTIONINITIALPTS</v>
      </c>
      <c r="H1047" s="230" t="str">
        <f t="array" ref="H1047:H1048">{"PERCEPTIONL01";((IF("01"=(INDEX(ALLCLASSDATA,MATCH("PerceptionLegendary",CLASSFEATUREHEADERS,0),MATCH($A1048,CLASSNAMEHEADERS,0))),(INDEX(ALLCLASSDATA,MATCH("PerceptionLegendary",CLASSFEATUREHEADERS,0),MATCH(($A1048 &amp; "Points"),CLASSNAMEHEADERS,0))),(IF("01"=(INDEX(ALLCLASSDATA,MATCH("PerceptionMaster",CLASSFEATUREHEADERS,0),MATCH($A1048,CLASSNAMEHEADERS,0))),(INDEX(ALLCLASSDATA,MATCH("PerceptionMaster",CLASSFEATUREHEADERS,0),MATCH(($A1048 &amp; "Points"),CLASSNAMEHEADERS,0))),(IF("01"=(INDEX(ALLCLASSDATA,MATCH("PerceptionExpert",CLASSFEATUREHEADERS,0),MATCH($A1048,CLASSNAMEHEADERS,0))),(INDEX(ALLCLASSDATA,MATCH("PerceptionExpert",CLASSFEATUREHEADERS,0),MATCH(($A1048 &amp; "Points"),CLASSNAMEHEADERS,0))),(IF("01"=(INDEX(ALLCLASSDATA,MATCH("PerceptionTrained",CLASSFEATUREHEADERS,0),MATCH($A1048,CLASSNAMEHEADERS,0))),(INDEX(ALLCLASSDATA,MATCH("PerceptionTrained",CLASSFEATUREHEADERS,0),MATCH(($A1048 &amp; "Points"),CLASSNAMEHEADERS,0))),"")))))))))}</f>
        <v>PERCEPTIONL01</v>
      </c>
      <c r="I1047" s="230"/>
      <c r="J1047" s="230" t="str">
        <f t="array" ref="J1047:J1048">{"PERCEPTIONL03";((IF("03"=(INDEX(ALLCLASSDATA,MATCH("PerceptionLegendary",CLASSFEATUREHEADERS,0),MATCH($A1048,CLASSNAMEHEADERS,0))),(INDEX(ALLCLASSDATA,MATCH("PerceptionLegendary",CLASSFEATUREHEADERS,0),MATCH(($A1048 &amp; "Points"),CLASSNAMEHEADERS,0))),(IF("03"=(INDEX(ALLCLASSDATA,MATCH("PerceptionMaster",CLASSFEATUREHEADERS,0),MATCH($A1048,CLASSNAMEHEADERS,0))),(INDEX(ALLCLASSDATA,MATCH("PerceptionMaster",CLASSFEATUREHEADERS,0),MATCH(($A1048 &amp; "Points"),CLASSNAMEHEADERS,0))),(IF("03"=(INDEX(ALLCLASSDATA,MATCH("PerceptionExpert",CLASSFEATUREHEADERS,0),MATCH($A1048,CLASSNAMEHEADERS,0))),(INDEX(ALLCLASSDATA,MATCH("PerceptionExpert",CLASSFEATUREHEADERS,0),MATCH(($A1048 &amp; "Points"),CLASSNAMEHEADERS,0))),(IF("03"=(INDEX(ALLCLASSDATA,MATCH("PerceptionTrained",CLASSFEATUREHEADERS,0),MATCH($A1048,CLASSNAMEHEADERS,0))),(INDEX(ALLCLASSDATA,MATCH("PerceptionTrained",CLASSFEATUREHEADERS,0),MATCH(($A1048 &amp; "Points"),CLASSNAMEHEADERS,0))),"")))))))))}</f>
        <v>PERCEPTIONL03</v>
      </c>
      <c r="K1047" s="230"/>
      <c r="L1047" s="230" t="str">
        <f t="array" ref="L1047:L1048">{"PERCEPTIONL05";((IF("05"=(INDEX(ALLCLASSDATA,MATCH("PerceptionLegendary",CLASSFEATUREHEADERS,0),MATCH($A1048,CLASSNAMEHEADERS,0))),(INDEX(ALLCLASSDATA,MATCH("PerceptionLegendary",CLASSFEATUREHEADERS,0),MATCH(($A1048 &amp; "Points"),CLASSNAMEHEADERS,0))),(IF("05"=(INDEX(ALLCLASSDATA,MATCH("PerceptionMaster",CLASSFEATUREHEADERS,0),MATCH($A1048,CLASSNAMEHEADERS,0))),(INDEX(ALLCLASSDATA,MATCH("PerceptionMaster",CLASSFEATUREHEADERS,0),MATCH(($A1048 &amp; "Points"),CLASSNAMEHEADERS,0))),(IF("05"=(INDEX(ALLCLASSDATA,MATCH("PerceptionExpert",CLASSFEATUREHEADERS,0),MATCH($A1048,CLASSNAMEHEADERS,0))),(INDEX(ALLCLASSDATA,MATCH("PerceptionExpert",CLASSFEATUREHEADERS,0),MATCH(($A1048 &amp; "Points"),CLASSNAMEHEADERS,0))),(IF("05"=(INDEX(ALLCLASSDATA,MATCH("PerceptionTrained",CLASSFEATUREHEADERS,0),MATCH($A1048,CLASSNAMEHEADERS,0))),(INDEX(ALLCLASSDATA,MATCH("PerceptionTrained",CLASSFEATUREHEADERS,0),MATCH(($A1048 &amp; "Points"),CLASSNAMEHEADERS,0))),"")))))))))}</f>
        <v>PERCEPTIONL05</v>
      </c>
      <c r="M1047" s="230"/>
      <c r="N1047" s="230" t="str">
        <f t="array" ref="N1047:N1048">{"PERCEPTIONL07";((IF("07"=(INDEX(ALLCLASSDATA,MATCH("PerceptionLegendary",CLASSFEATUREHEADERS,0),MATCH($A1048,CLASSNAMEHEADERS,0))),(INDEX(ALLCLASSDATA,MATCH("PerceptionLegendary",CLASSFEATUREHEADERS,0),MATCH(($A1048 &amp; "Points"),CLASSNAMEHEADERS,0))),(IF("07"=(INDEX(ALLCLASSDATA,MATCH("PerceptionMaster",CLASSFEATUREHEADERS,0),MATCH($A1048,CLASSNAMEHEADERS,0))),(INDEX(ALLCLASSDATA,MATCH("PerceptionMaster",CLASSFEATUREHEADERS,0),MATCH(($A1048 &amp; "Points"),CLASSNAMEHEADERS,0))),(IF("07"=(INDEX(ALLCLASSDATA,MATCH("PerceptionExpert",CLASSFEATUREHEADERS,0),MATCH($A1048,CLASSNAMEHEADERS,0))),(INDEX(ALLCLASSDATA,MATCH("PerceptionExpert",CLASSFEATUREHEADERS,0),MATCH(($A1048 &amp; "Points"),CLASSNAMEHEADERS,0))),(IF("07"=(INDEX(ALLCLASSDATA,MATCH("PerceptionTrained",CLASSFEATUREHEADERS,0),MATCH($A1048,CLASSNAMEHEADERS,0))),(INDEX(ALLCLASSDATA,MATCH("PerceptionTrained",CLASSFEATUREHEADERS,0),MATCH(($A1048 &amp; "Points"),CLASSNAMEHEADERS,0))),"")))))))))}</f>
        <v>PERCEPTIONL07</v>
      </c>
      <c r="O1047" s="230"/>
      <c r="P1047" s="230" t="str">
        <f t="array" ref="P1047:P1048">{"PERCEPTIONL09";((IF("09"=(INDEX(ALLCLASSDATA,MATCH("PerceptionLegendary",CLASSFEATUREHEADERS,0),MATCH($A1048,CLASSNAMEHEADERS,0))),(INDEX(ALLCLASSDATA,MATCH("PerceptionLegendary",CLASSFEATUREHEADERS,0),MATCH(($A1048 &amp; "Points"),CLASSNAMEHEADERS,0))),(IF("09"=(INDEX(ALLCLASSDATA,MATCH("PerceptionMaster",CLASSFEATUREHEADERS,0),MATCH($A1048,CLASSNAMEHEADERS,0))),(INDEX(ALLCLASSDATA,MATCH("PerceptionMaster",CLASSFEATUREHEADERS,0),MATCH(($A1048 &amp; "Points"),CLASSNAMEHEADERS,0))),(IF("09"=(INDEX(ALLCLASSDATA,MATCH("PerceptionExpert",CLASSFEATUREHEADERS,0),MATCH($A1048,CLASSNAMEHEADERS,0))),(INDEX(ALLCLASSDATA,MATCH("PerceptionExpert",CLASSFEATUREHEADERS,0),MATCH(($A1048 &amp; "Points"),CLASSNAMEHEADERS,0))),(IF("09"=(INDEX(ALLCLASSDATA,MATCH("PerceptionTrained",CLASSFEATUREHEADERS,0),MATCH($A1048,CLASSNAMEHEADERS,0))),(INDEX(ALLCLASSDATA,MATCH("PerceptionTrained",CLASSFEATUREHEADERS,0),MATCH(($A1048 &amp; "Points"),CLASSNAMEHEADERS,0))),"")))))))))}</f>
        <v>PERCEPTIONL09</v>
      </c>
      <c r="Q1047" s="230"/>
      <c r="R1047" s="230" t="str">
        <f t="array" ref="R1047:R1048">{"PERCEPTIONL11";((IF("11"=(INDEX(ALLCLASSDATA,MATCH("PerceptionLegendary",CLASSFEATUREHEADERS,0),MATCH($A1048,CLASSNAMEHEADERS,0))),(INDEX(ALLCLASSDATA,MATCH("PerceptionLegendary",CLASSFEATUREHEADERS,0),MATCH(($A1048 &amp; "Points"),CLASSNAMEHEADERS,0))),(IF("11"=(INDEX(ALLCLASSDATA,MATCH("PerceptionMaster",CLASSFEATUREHEADERS,0),MATCH($A1048,CLASSNAMEHEADERS,0))),(INDEX(ALLCLASSDATA,MATCH("PerceptionMaster",CLASSFEATUREHEADERS,0),MATCH(($A1048 &amp; "Points"),CLASSNAMEHEADERS,0))),(IF("11"=(INDEX(ALLCLASSDATA,MATCH("PerceptionExpert",CLASSFEATUREHEADERS,0),MATCH($A1048,CLASSNAMEHEADERS,0))),(INDEX(ALLCLASSDATA,MATCH("PerceptionExpert",CLASSFEATUREHEADERS,0),MATCH(($A1048 &amp; "Points"),CLASSNAMEHEADERS,0))),(IF("11"=(INDEX(ALLCLASSDATA,MATCH("PerceptionTrained",CLASSFEATUREHEADERS,0),MATCH($A1048,CLASSNAMEHEADERS,0))),(INDEX(ALLCLASSDATA,MATCH("PerceptionTrained",CLASSFEATUREHEADERS,0),MATCH(($A1048 &amp; "Points"),CLASSNAMEHEADERS,0))),"")))))))))}</f>
        <v>PERCEPTIONL11</v>
      </c>
      <c r="S1047" s="230"/>
      <c r="T1047" s="230" t="str">
        <f t="array" ref="T1047:T1048">{"PERCEPTIONL13";((IF("13"=(INDEX(ALLCLASSDATA,MATCH("PerceptionLegendary",CLASSFEATUREHEADERS,0),MATCH($A1048,CLASSNAMEHEADERS,0))),(INDEX(ALLCLASSDATA,MATCH("PerceptionLegendary",CLASSFEATUREHEADERS,0),MATCH(($A1048 &amp; "Points"),CLASSNAMEHEADERS,0))),(IF("13"=(INDEX(ALLCLASSDATA,MATCH("PerceptionMaster",CLASSFEATUREHEADERS,0),MATCH($A1048,CLASSNAMEHEADERS,0))),(INDEX(ALLCLASSDATA,MATCH("PerceptionMaster",CLASSFEATUREHEADERS,0),MATCH(($A1048 &amp; "Points"),CLASSNAMEHEADERS,0))),(IF("13"=(INDEX(ALLCLASSDATA,MATCH("PerceptionExpert",CLASSFEATUREHEADERS,0),MATCH($A1048,CLASSNAMEHEADERS,0))),(INDEX(ALLCLASSDATA,MATCH("PerceptionExpert",CLASSFEATUREHEADERS,0),MATCH(($A1048 &amp; "Points"),CLASSNAMEHEADERS,0))),(IF("13"=(INDEX(ALLCLASSDATA,MATCH("PerceptionTrained",CLASSFEATUREHEADERS,0),MATCH($A1048,CLASSNAMEHEADERS,0))),(INDEX(ALLCLASSDATA,MATCH("PerceptionTrained",CLASSFEATUREHEADERS,0),MATCH(($A1048 &amp; "Points"),CLASSNAMEHEADERS,0))),"")))))))))}</f>
        <v>PERCEPTIONL13</v>
      </c>
      <c r="U1047" s="230"/>
      <c r="V1047" s="230" t="str">
        <f t="array" ref="V1047:V1048">{"PERCEPTIONL15";((IF("15"=(INDEX(ALLCLASSDATA,MATCH("PerceptionLegendary",CLASSFEATUREHEADERS,0),MATCH($A1048,CLASSNAMEHEADERS,0))),(INDEX(ALLCLASSDATA,MATCH("PerceptionLegendary",CLASSFEATUREHEADERS,0),MATCH(($A1048 &amp; "Points"),CLASSNAMEHEADERS,0))),(IF("15"=(INDEX(ALLCLASSDATA,MATCH("PerceptionMaster",CLASSFEATUREHEADERS,0),MATCH($A1048,CLASSNAMEHEADERS,0))),(INDEX(ALLCLASSDATA,MATCH("PerceptionMaster",CLASSFEATUREHEADERS,0),MATCH(($A1048 &amp; "Points"),CLASSNAMEHEADERS,0))),(IF("15"=(INDEX(ALLCLASSDATA,MATCH("PerceptionExpert",CLASSFEATUREHEADERS,0),MATCH($A1048,CLASSNAMEHEADERS,0))),(INDEX(ALLCLASSDATA,MATCH("PerceptionExpert",CLASSFEATUREHEADERS,0),MATCH(($A1048 &amp; "Points"),CLASSNAMEHEADERS,0))),(IF("15"=(INDEX(ALLCLASSDATA,MATCH("PerceptionTrained",CLASSFEATUREHEADERS,0),MATCH($A1048,CLASSNAMEHEADERS,0))),(INDEX(ALLCLASSDATA,MATCH("PerceptionTrained",CLASSFEATUREHEADERS,0),MATCH(($A1048 &amp; "Points"),CLASSNAMEHEADERS,0))),"")))))))))}</f>
        <v>PERCEPTIONL15</v>
      </c>
      <c r="W1047" s="230"/>
      <c r="X1047" s="230" t="str">
        <f t="array" ref="X1047:X1048">{"PERCEPTIONL17";((IF("17"=(INDEX(ALLCLASSDATA,MATCH("PerceptionLegendary",CLASSFEATUREHEADERS,0),MATCH($A1048,CLASSNAMEHEADERS,0))),(INDEX(ALLCLASSDATA,MATCH("PerceptionLegendary",CLASSFEATUREHEADERS,0),MATCH(($A1048 &amp; "Points"),CLASSNAMEHEADERS,0))),(IF("17"=(INDEX(ALLCLASSDATA,MATCH("PerceptionMaster",CLASSFEATUREHEADERS,0),MATCH($A1048,CLASSNAMEHEADERS,0))),(INDEX(ALLCLASSDATA,MATCH("PerceptionMaster",CLASSFEATUREHEADERS,0),MATCH(($A1048 &amp; "Points"),CLASSNAMEHEADERS,0))),(IF("17"=(INDEX(ALLCLASSDATA,MATCH("PerceptionExpert",CLASSFEATUREHEADERS,0),MATCH($A1048,CLASSNAMEHEADERS,0))),(INDEX(ALLCLASSDATA,MATCH("PerceptionExpert",CLASSFEATUREHEADERS,0),MATCH(($A1048 &amp; "Points"),CLASSNAMEHEADERS,0))),(IF("17"=(INDEX(ALLCLASSDATA,MATCH("PerceptionTrained",CLASSFEATUREHEADERS,0),MATCH($A1048,CLASSNAMEHEADERS,0))),(INDEX(ALLCLASSDATA,MATCH("PerceptionTrained",CLASSFEATUREHEADERS,0),MATCH(($A1048 &amp; "Points"),CLASSNAMEHEADERS,0))),"")))))))))}</f>
        <v>PERCEPTIONL17</v>
      </c>
      <c r="Y1047" s="230"/>
      <c r="Z1047" s="230" t="str">
        <f t="array" ref="Z1047:Z1048">{"PERCEPTIONL19";((IF("19"=(INDEX(ALLCLASSDATA,MATCH("PerceptionLegendary",CLASSFEATUREHEADERS,0),MATCH($A1048,CLASSNAMEHEADERS,0))),(INDEX(ALLCLASSDATA,MATCH("PerceptionLegendary",CLASSFEATUREHEADERS,0),MATCH(($A1048 &amp; "Points"),CLASSNAMEHEADERS,0))),(IF("19"=(INDEX(ALLCLASSDATA,MATCH("PerceptionMaster",CLASSFEATUREHEADERS,0),MATCH($A1048,CLASSNAMEHEADERS,0))),(INDEX(ALLCLASSDATA,MATCH("PerceptionMaster",CLASSFEATUREHEADERS,0),MATCH(($A1048 &amp; "Points"),CLASSNAMEHEADERS,0))),(IF("19"=(INDEX(ALLCLASSDATA,MATCH("PerceptionExpert",CLASSFEATUREHEADERS,0),MATCH($A1048,CLASSNAMEHEADERS,0))),(INDEX(ALLCLASSDATA,MATCH("PerceptionExpert",CLASSFEATUREHEADERS,0),MATCH(($A1048 &amp; "Points"),CLASSNAMEHEADERS,0))),(IF("19"=(INDEX(ALLCLASSDATA,MATCH("PerceptionTrained",CLASSFEATUREHEADERS,0),MATCH($A1048,CLASSNAMEHEADERS,0))),(INDEX(ALLCLASSDATA,MATCH("PerceptionTrained",CLASSFEATUREHEADERS,0),MATCH(($A1048 &amp; "Points"),CLASSNAMEHEADERS,0))),"")))))))))}</f>
        <v>PERCEPTIONL19</v>
      </c>
      <c r="AA1047" s="230"/>
      <c r="AB1047" s="76" t="str">
        <f t="array" ref="AB1047:AB1048">{"PERCEPTION TOTAL";(IF(COUNTBLANK(G1048:AA1048)=17,"L",(IF(COUNTBLANK(G1048:AA1048)=18,"M",(IF(COUNTBLANK(G1048:AA1048)=19,"E",(IF(COUNTBLANK(G1048:AA1048)=20,"T",""))))))))}</f>
        <v>PERCEPTION TOTAL</v>
      </c>
      <c r="AC1047" s="76" t="str">
        <f t="array" ref="AC1047:AC1048">{"PERCEPTION TOTAL";(sum(G1048:AA1048))}</f>
        <v>PERCEPTION TOTAL</v>
      </c>
    </row>
    <row r="1048">
      <c r="A1048" s="48" t="s">
        <v>189</v>
      </c>
      <c r="B1048" s="48"/>
      <c r="C1048" s="48" t="s">
        <v>412</v>
      </c>
      <c r="D1048" s="97" t="s">
        <v>637</v>
      </c>
      <c r="E1048" s="97" t="s">
        <v>637</v>
      </c>
      <c r="F1048" s="98" t="s">
        <v>435</v>
      </c>
      <c r="G1048" s="132" t="s">
        <v>603</v>
      </c>
      <c r="H1048" s="98">
        <v>10.0</v>
      </c>
      <c r="I1048" s="98"/>
      <c r="J1048" s="98" t="s">
        <v>603</v>
      </c>
      <c r="K1048" s="98"/>
      <c r="L1048" s="98" t="s">
        <v>603</v>
      </c>
      <c r="M1048" s="98"/>
      <c r="N1048" s="98" t="s">
        <v>603</v>
      </c>
      <c r="O1048" s="98"/>
      <c r="P1048" s="98">
        <v>50.0</v>
      </c>
      <c r="Q1048" s="98"/>
      <c r="R1048" s="98" t="s">
        <v>603</v>
      </c>
      <c r="S1048" s="98"/>
      <c r="T1048" s="98" t="s">
        <v>603</v>
      </c>
      <c r="U1048" s="98"/>
      <c r="V1048" s="98" t="s">
        <v>603</v>
      </c>
      <c r="W1048" s="98"/>
      <c r="X1048" s="98" t="s">
        <v>603</v>
      </c>
      <c r="Y1048" s="98"/>
      <c r="Z1048" s="98" t="s">
        <v>603</v>
      </c>
      <c r="AA1048" s="98"/>
      <c r="AB1048" s="5" t="s">
        <v>436</v>
      </c>
      <c r="AC1048" s="47">
        <v>60.0</v>
      </c>
    </row>
    <row r="1049" hidden="1">
      <c r="A1049" s="222" t="str">
        <f t="array" ref="A1049:A1050">{"FormulaRow23";(INDEX(CLASSLIST,A1004,1))}</f>
        <v>FormulaRow23</v>
      </c>
      <c r="B1049" s="77" t="s">
        <v>236</v>
      </c>
      <c r="C1049" s="222" t="str">
        <f t="array" ref="C1049:C1050">{"CLASSTYPE";((INDEX(ALLCLASSDATA,MATCH("ClassType",CLASSFEATUREHEADERS,0),MATCH($A1050,CLASSNAMEHEADERS,0))))}</f>
        <v>CLASSTYPE</v>
      </c>
      <c r="D1049" s="228" t="str">
        <f t="array" ref="D1049:D1050">{"SAVES";"Saves"}</f>
        <v>SAVES</v>
      </c>
      <c r="E1049" s="228" t="str">
        <f t="array" ref="E1049:E1050">{"FORTITUDESAVE";"FortitudeSave"}</f>
        <v>FORTITUDESAVE</v>
      </c>
      <c r="F1049" s="230" t="str">
        <f t="array" ref="F1049:F1050">{"FORTITUDEINITIAL";((IF(H1050=10,"T",(IF(H1050=50,"E","")))))}</f>
        <v>FORTITUDEINITIAL</v>
      </c>
      <c r="G1049" s="230" t="str">
        <f t="array" ref="G1049:G1050">{"FORTITUDEINITIALPTS";((IF("00"=(INDEX(ALLCLASSDATA,MATCH("FortitudeSaveLegendary",CLASSFEATUREHEADERS,0),MATCH($A1050,CLASSNAMEHEADERS,0))),(INDEX(ALLCLASSDATA,MATCH("FortitudeSaveLegendary",CLASSFEATUREHEADERS,0),MATCH(($A1050 &amp; "Points"),CLASSNAMEHEADERS,0))),(IF("00"=(INDEX(ALLCLASSDATA,MATCH("FortitudeSaveMaster",CLASSFEATUREHEADERS,0),MATCH($A1050,CLASSNAMEHEADERS,0))),(INDEX(ALLCLASSDATA,MATCH("FortitudeSaveMaster",CLASSFEATUREHEADERS,0),MATCH(($A1050 &amp; "Points"),CLASSNAMEHEADERS,0))),(IF("00"=(INDEX(ALLCLASSDATA,MATCH("FortitudeSaveExpert",CLASSFEATUREHEADERS,0),MATCH($A1050,CLASSNAMEHEADERS,0))),(INDEX(ALLCLASSDATA,MATCH("FortitudeSaveExpert",CLASSFEATUREHEADERS,0),MATCH(($A1050 &amp; "Points"),CLASSNAMEHEADERS,0))),(IF("00"=(INDEX(ALLCLASSDATA,MATCH("FortitudeSaveTrained",CLASSFEATUREHEADERS,0),MATCH($A1050,CLASSNAMEHEADERS,0))),(INDEX(ALLCLASSDATA,MATCH("FortitudeSaveTrained",CLASSFEATUREHEADERS,0),MATCH(($A1050 &amp; "Points"),CLASSNAMEHEADERS,0))),"")))))))))}</f>
        <v>FORTITUDEINITIALPTS</v>
      </c>
      <c r="H1049" s="230" t="str">
        <f t="array" ref="H1049:H1050">{"FORTITUDEL01";((IF("01"=(INDEX(ALLCLASSDATA,MATCH("FortitudeSaveLegendary",CLASSFEATUREHEADERS,0),MATCH($A1050,CLASSNAMEHEADERS,0))),(INDEX(ALLCLASSDATA,MATCH("FortitudeSaveLegendary",CLASSFEATUREHEADERS,0),MATCH(($A1050 &amp; "Points"),CLASSNAMEHEADERS,0))),(IF("01"=(INDEX(ALLCLASSDATA,MATCH("FortitudeSaveMaster",CLASSFEATUREHEADERS,0),MATCH($A1050,CLASSNAMEHEADERS,0))),(INDEX(ALLCLASSDATA,MATCH("FortitudeSaveMaster",CLASSFEATUREHEADERS,0),MATCH(($A1050 &amp; "Points"),CLASSNAMEHEADERS,0))),(IF("01"=(INDEX(ALLCLASSDATA,MATCH("FortitudeSaveExpert",CLASSFEATUREHEADERS,0),MATCH($A1050,CLASSNAMEHEADERS,0))),(INDEX(ALLCLASSDATA,MATCH("FortitudeSaveExpert",CLASSFEATUREHEADERS,0),MATCH(($A1050 &amp; "Points"),CLASSNAMEHEADERS,0))),(IF("01"=(INDEX(ALLCLASSDATA,MATCH("FortitudeSaveTrained",CLASSFEATUREHEADERS,0),MATCH($A1050,CLASSNAMEHEADERS,0))),(INDEX(ALLCLASSDATA,MATCH("FortitudeSaveTrained",CLASSFEATUREHEADERS,0),MATCH(($A1050 &amp; "Points"),CLASSNAMEHEADERS,0))),"")))))))))}</f>
        <v>FORTITUDEL01</v>
      </c>
      <c r="I1049" s="230"/>
      <c r="J1049" s="230" t="str">
        <f t="array" ref="J1049:J1050">{"FORTITUDEL03";((IF("03"=(INDEX(ALLCLASSDATA,MATCH("FortitudeSaveLegendary",CLASSFEATUREHEADERS,0),MATCH($A1050,CLASSNAMEHEADERS,0))),(INDEX(ALLCLASSDATA,MATCH("FortitudeSaveLegendary",CLASSFEATUREHEADERS,0),MATCH(($A1050 &amp; "Points"),CLASSNAMEHEADERS,0))),(IF("03"=(INDEX(ALLCLASSDATA,MATCH("FortitudeSaveMaster",CLASSFEATUREHEADERS,0),MATCH($A1050,CLASSNAMEHEADERS,0))),(INDEX(ALLCLASSDATA,MATCH("FortitudeSaveMaster",CLASSFEATUREHEADERS,0),MATCH(($A1050 &amp; "Points"),CLASSNAMEHEADERS,0))),(IF("03"=(INDEX(ALLCLASSDATA,MATCH("FortitudeSaveExpert",CLASSFEATUREHEADERS,0),MATCH($A1050,CLASSNAMEHEADERS,0))),(INDEX(ALLCLASSDATA,MATCH("FortitudeSaveExpert",CLASSFEATUREHEADERS,0),MATCH(($A1050 &amp; "Points"),CLASSNAMEHEADERS,0))),(IF("03"=(INDEX(ALLCLASSDATA,MATCH("FortitudeSaveTrained",CLASSFEATUREHEADERS,0),MATCH($A1050,CLASSNAMEHEADERS,0))),(INDEX(ALLCLASSDATA,MATCH("FortitudeSaveTrained",CLASSFEATUREHEADERS,0),MATCH(($A1050 &amp; "Points"),CLASSNAMEHEADERS,0))),"")))))))))}</f>
        <v>FORTITUDEL03</v>
      </c>
      <c r="K1049" s="230"/>
      <c r="L1049" s="230" t="str">
        <f t="array" ref="L1049:L1050">{"FORTITUDEL05";((IF("05"=(INDEX(ALLCLASSDATA,MATCH("FortitudeSaveLegendary",CLASSFEATUREHEADERS,0),MATCH($A1050,CLASSNAMEHEADERS,0))),(INDEX(ALLCLASSDATA,MATCH("FortitudeSaveLegendary",CLASSFEATUREHEADERS,0),MATCH(($A1050 &amp; "Points"),CLASSNAMEHEADERS,0))),(IF("05"=(INDEX(ALLCLASSDATA,MATCH("FortitudeSaveMaster",CLASSFEATUREHEADERS,0),MATCH($A1050,CLASSNAMEHEADERS,0))),(INDEX(ALLCLASSDATA,MATCH("FortitudeSaveMaster",CLASSFEATUREHEADERS,0),MATCH(($A1050 &amp; "Points"),CLASSNAMEHEADERS,0))),(IF("05"=(INDEX(ALLCLASSDATA,MATCH("FortitudeSaveExpert",CLASSFEATUREHEADERS,0),MATCH($A1050,CLASSNAMEHEADERS,0))),(INDEX(ALLCLASSDATA,MATCH("FortitudeSaveExpert",CLASSFEATUREHEADERS,0),MATCH(($A1050 &amp; "Points"),CLASSNAMEHEADERS,0))),(IF("05"=(INDEX(ALLCLASSDATA,MATCH("FortitudeSaveTrained",CLASSFEATUREHEADERS,0),MATCH($A1050,CLASSNAMEHEADERS,0))),(INDEX(ALLCLASSDATA,MATCH("FortitudeSaveTrained",CLASSFEATUREHEADERS,0),MATCH(($A1050 &amp; "Points"),CLASSNAMEHEADERS,0))),"")))))))))}</f>
        <v>FORTITUDEL05</v>
      </c>
      <c r="M1049" s="230"/>
      <c r="N1049" s="230" t="str">
        <f t="array" ref="N1049:N1050">{"FORTITUDEL07";((IF("07"=(INDEX(ALLCLASSDATA,MATCH("FortitudeSaveLegendary",CLASSFEATUREHEADERS,0),MATCH($A1050,CLASSNAMEHEADERS,0))),(INDEX(ALLCLASSDATA,MATCH("FortitudeSaveLegendary",CLASSFEATUREHEADERS,0),MATCH(($A1050 &amp; "Points"),CLASSNAMEHEADERS,0))),(IF("07"=(INDEX(ALLCLASSDATA,MATCH("FortitudeSaveMaster",CLASSFEATUREHEADERS,0),MATCH($A1050,CLASSNAMEHEADERS,0))),(INDEX(ALLCLASSDATA,MATCH("FortitudeSaveMaster",CLASSFEATUREHEADERS,0),MATCH(($A1050 &amp; "Points"),CLASSNAMEHEADERS,0))),(IF("07"=(INDEX(ALLCLASSDATA,MATCH("FortitudeSaveExpert",CLASSFEATUREHEADERS,0),MATCH($A1050,CLASSNAMEHEADERS,0))),(INDEX(ALLCLASSDATA,MATCH("FortitudeSaveExpert",CLASSFEATUREHEADERS,0),MATCH(($A1050 &amp; "Points"),CLASSNAMEHEADERS,0))),(IF("07"=(INDEX(ALLCLASSDATA,MATCH("FortitudeSaveTrained",CLASSFEATUREHEADERS,0),MATCH($A1050,CLASSNAMEHEADERS,0))),(INDEX(ALLCLASSDATA,MATCH("FortitudeSaveTrained",CLASSFEATUREHEADERS,0),MATCH(($A1050 &amp; "Points"),CLASSNAMEHEADERS,0))),"")))))))))}</f>
        <v>FORTITUDEL07</v>
      </c>
      <c r="O1049" s="230"/>
      <c r="P1049" s="230" t="str">
        <f t="array" ref="P1049:P1050">{"FORTITUDEL09";((IF("09"=(INDEX(ALLCLASSDATA,MATCH("FortitudeSaveLegendary",CLASSFEATUREHEADERS,0),MATCH($A1050,CLASSNAMEHEADERS,0))),(INDEX(ALLCLASSDATA,MATCH("FortitudeSaveLegendary",CLASSFEATUREHEADERS,0),MATCH(($A1050 &amp; "Points"),CLASSNAMEHEADERS,0))),(IF("09"=(INDEX(ALLCLASSDATA,MATCH("FortitudeSaveMaster",CLASSFEATUREHEADERS,0),MATCH($A1050,CLASSNAMEHEADERS,0))),(INDEX(ALLCLASSDATA,MATCH("FortitudeSaveMaster",CLASSFEATUREHEADERS,0),MATCH(($A1050 &amp; "Points"),CLASSNAMEHEADERS,0))),(IF("09"=(INDEX(ALLCLASSDATA,MATCH("FortitudeSaveExpert",CLASSFEATUREHEADERS,0),MATCH($A1050,CLASSNAMEHEADERS,0))),(INDEX(ALLCLASSDATA,MATCH("FortitudeSaveExpert",CLASSFEATUREHEADERS,0),MATCH(($A1050 &amp; "Points"),CLASSNAMEHEADERS,0))),(IF("09"=(INDEX(ALLCLASSDATA,MATCH("FortitudeSaveTrained",CLASSFEATUREHEADERS,0),MATCH($A1050,CLASSNAMEHEADERS,0))),(INDEX(ALLCLASSDATA,MATCH("FortitudeSaveTrained",CLASSFEATUREHEADERS,0),MATCH(($A1050 &amp; "Points"),CLASSNAMEHEADERS,0))),"")))))))))}</f>
        <v>FORTITUDEL09</v>
      </c>
      <c r="Q1049" s="230"/>
      <c r="R1049" s="230" t="str">
        <f t="array" ref="R1049:R1050">{"FORTITUDEL11";((IF("11"=(INDEX(ALLCLASSDATA,MATCH("FortitudeSaveLegendary",CLASSFEATUREHEADERS,0),MATCH($A1050,CLASSNAMEHEADERS,0))),(INDEX(ALLCLASSDATA,MATCH("FortitudeSaveLegendary",CLASSFEATUREHEADERS,0),MATCH(($A1050 &amp; "Points"),CLASSNAMEHEADERS,0))),(IF("11"=(INDEX(ALLCLASSDATA,MATCH("FortitudeSaveMaster",CLASSFEATUREHEADERS,0),MATCH($A1050,CLASSNAMEHEADERS,0))),(INDEX(ALLCLASSDATA,MATCH("FortitudeSaveMaster",CLASSFEATUREHEADERS,0),MATCH(($A1050 &amp; "Points"),CLASSNAMEHEADERS,0))),(IF("11"=(INDEX(ALLCLASSDATA,MATCH("FortitudeSaveExpert",CLASSFEATUREHEADERS,0),MATCH($A1050,CLASSNAMEHEADERS,0))),(INDEX(ALLCLASSDATA,MATCH("FortitudeSaveExpert",CLASSFEATUREHEADERS,0),MATCH(($A1050 &amp; "Points"),CLASSNAMEHEADERS,0))),(IF("11"=(INDEX(ALLCLASSDATA,MATCH("FortitudeSaveTrained",CLASSFEATUREHEADERS,0),MATCH($A1050,CLASSNAMEHEADERS,0))),(INDEX(ALLCLASSDATA,MATCH("FortitudeSaveTrained",CLASSFEATUREHEADERS,0),MATCH(($A1050 &amp; "Points"),CLASSNAMEHEADERS,0))),"")))))))))}</f>
        <v>FORTITUDEL11</v>
      </c>
      <c r="S1049" s="230"/>
      <c r="T1049" s="230" t="str">
        <f t="array" ref="T1049:T1050">{"FORTITUDEL13";((IF("13"=(INDEX(ALLCLASSDATA,MATCH("FortitudeSaveLegendary",CLASSFEATUREHEADERS,0),MATCH($A1050,CLASSNAMEHEADERS,0))),(INDEX(ALLCLASSDATA,MATCH("FortitudeSaveLegendary",CLASSFEATUREHEADERS,0),MATCH(($A1050 &amp; "Points"),CLASSNAMEHEADERS,0))),(IF("13"=(INDEX(ALLCLASSDATA,MATCH("FortitudeSaveMaster",CLASSFEATUREHEADERS,0),MATCH($A1050,CLASSNAMEHEADERS,0))),(INDEX(ALLCLASSDATA,MATCH("FortitudeSaveMaster",CLASSFEATUREHEADERS,0),MATCH(($A1050 &amp; "Points"),CLASSNAMEHEADERS,0))),(IF("13"=(INDEX(ALLCLASSDATA,MATCH("FortitudeSaveExpert",CLASSFEATUREHEADERS,0),MATCH($A1050,CLASSNAMEHEADERS,0))),(INDEX(ALLCLASSDATA,MATCH("FortitudeSaveExpert",CLASSFEATUREHEADERS,0),MATCH(($A1050 &amp; "Points"),CLASSNAMEHEADERS,0))),(IF("13"=(INDEX(ALLCLASSDATA,MATCH("FortitudeSaveTrained",CLASSFEATUREHEADERS,0),MATCH($A1050,CLASSNAMEHEADERS,0))),(INDEX(ALLCLASSDATA,MATCH("FortitudeSaveTrained",CLASSFEATUREHEADERS,0),MATCH(($A1050 &amp; "Points"),CLASSNAMEHEADERS,0))),"")))))))))}</f>
        <v>FORTITUDEL13</v>
      </c>
      <c r="U1049" s="230"/>
      <c r="V1049" s="230" t="str">
        <f t="array" ref="V1049:V1050">{"FORTITUDEL15";((IF("15"=(INDEX(ALLCLASSDATA,MATCH("FortitudeSaveLegendary",CLASSFEATUREHEADERS,0),MATCH($A1050,CLASSNAMEHEADERS,0))),(INDEX(ALLCLASSDATA,MATCH("FortitudeSaveLegendary",CLASSFEATUREHEADERS,0),MATCH(($A1050 &amp; "Points"),CLASSNAMEHEADERS,0))),(IF("15"=(INDEX(ALLCLASSDATA,MATCH("FortitudeSaveMaster",CLASSFEATUREHEADERS,0),MATCH($A1050,CLASSNAMEHEADERS,0))),(INDEX(ALLCLASSDATA,MATCH("FortitudeSaveMaster",CLASSFEATUREHEADERS,0),MATCH(($A1050 &amp; "Points"),CLASSNAMEHEADERS,0))),(IF("15"=(INDEX(ALLCLASSDATA,MATCH("FortitudeSaveExpert",CLASSFEATUREHEADERS,0),MATCH($A1050,CLASSNAMEHEADERS,0))),(INDEX(ALLCLASSDATA,MATCH("FortitudeSaveExpert",CLASSFEATUREHEADERS,0),MATCH(($A1050 &amp; "Points"),CLASSNAMEHEADERS,0))),(IF("15"=(INDEX(ALLCLASSDATA,MATCH("FortitudeSaveTrained",CLASSFEATUREHEADERS,0),MATCH($A1050,CLASSNAMEHEADERS,0))),(INDEX(ALLCLASSDATA,MATCH("FortitudeSaveTrained",CLASSFEATUREHEADERS,0),MATCH(($A1050 &amp; "Points"),CLASSNAMEHEADERS,0))),"")))))))))}</f>
        <v>FORTITUDEL15</v>
      </c>
      <c r="W1049" s="230"/>
      <c r="X1049" s="230" t="str">
        <f t="array" ref="X1049:X1050">{"FORTITUDEL17";((IF("17"=(INDEX(ALLCLASSDATA,MATCH("FortitudeSaveLegendary",CLASSFEATUREHEADERS,0),MATCH($A1050,CLASSNAMEHEADERS,0))),(INDEX(ALLCLASSDATA,MATCH("FortitudeSaveLegendary",CLASSFEATUREHEADERS,0),MATCH(($A1050 &amp; "Points"),CLASSNAMEHEADERS,0))),(IF("17"=(INDEX(ALLCLASSDATA,MATCH("FortitudeSaveMaster",CLASSFEATUREHEADERS,0),MATCH($A1050,CLASSNAMEHEADERS,0))),(INDEX(ALLCLASSDATA,MATCH("FortitudeSaveMaster",CLASSFEATUREHEADERS,0),MATCH(($A1050 &amp; "Points"),CLASSNAMEHEADERS,0))),(IF("17"=(INDEX(ALLCLASSDATA,MATCH("FortitudeSaveExpert",CLASSFEATUREHEADERS,0),MATCH($A1050,CLASSNAMEHEADERS,0))),(INDEX(ALLCLASSDATA,MATCH("FortitudeSaveExpert",CLASSFEATUREHEADERS,0),MATCH(($A1050 &amp; "Points"),CLASSNAMEHEADERS,0))),(IF("17"=(INDEX(ALLCLASSDATA,MATCH("FortitudeSaveTrained",CLASSFEATUREHEADERS,0),MATCH($A1050,CLASSNAMEHEADERS,0))),(INDEX(ALLCLASSDATA,MATCH("FortitudeSaveTrained",CLASSFEATUREHEADERS,0),MATCH(($A1050 &amp; "Points"),CLASSNAMEHEADERS,0))),"")))))))))}</f>
        <v>FORTITUDEL17</v>
      </c>
      <c r="Y1049" s="230"/>
      <c r="Z1049" s="230" t="str">
        <f t="array" ref="Z1049:Z1050">{"FORTITUDEL19";((IF("19"=(INDEX(ALLCLASSDATA,MATCH("FortitudeSaveLegendary",CLASSFEATUREHEADERS,0),MATCH($A1050,CLASSNAMEHEADERS,0))),(INDEX(ALLCLASSDATA,MATCH("FortitudeSaveLegendary",CLASSFEATUREHEADERS,0),MATCH(($A1050 &amp; "Points"),CLASSNAMEHEADERS,0))),(IF("19"=(INDEX(ALLCLASSDATA,MATCH("FortitudeSaveMaster",CLASSFEATUREHEADERS,0),MATCH($A1050,CLASSNAMEHEADERS,0))),(INDEX(ALLCLASSDATA,MATCH("FortitudeSaveMaster",CLASSFEATUREHEADERS,0),MATCH(($A1050 &amp; "Points"),CLASSNAMEHEADERS,0))),(IF("19"=(INDEX(ALLCLASSDATA,MATCH("FortitudeSaveExpert",CLASSFEATUREHEADERS,0),MATCH($A1050,CLASSNAMEHEADERS,0))),(INDEX(ALLCLASSDATA,MATCH("FortitudeSaveExpert",CLASSFEATUREHEADERS,0),MATCH(($A1050 &amp; "Points"),CLASSNAMEHEADERS,0))),(IF("19"=(INDEX(ALLCLASSDATA,MATCH("FortitudeSaveTrained",CLASSFEATUREHEADERS,0),MATCH($A1050,CLASSNAMEHEADERS,0))),(INDEX(ALLCLASSDATA,MATCH("FortitudeSaveTrained",CLASSFEATUREHEADERS,0),MATCH(($A1050 &amp; "Points"),CLASSNAMEHEADERS,0))),"")))))))))}</f>
        <v>FORTITUDEL19</v>
      </c>
      <c r="AA1049" s="230"/>
      <c r="AB1049" s="76" t="str">
        <f t="array" ref="AB1049:AB1050">{"FORTITUDE TOTAL";(IF(COUNTBLANK(G1050:AA1050)=17,"L",(IF(COUNTBLANK(G1050:AA1050)=18,"M",(IF(COUNTBLANK(G1050:AA1050)=19,"E",(IF(COUNTBLANK(G1050:AA1050)=20,"T",""))))))))}</f>
        <v>FORTITUDE TOTAL</v>
      </c>
      <c r="AC1049" s="76" t="str">
        <f t="array" ref="AC1049:AC1050">{"FORTITUDE TOTAL";(sum(G1050:AA1050))}</f>
        <v>FORTITUDE TOTAL</v>
      </c>
    </row>
    <row r="1050">
      <c r="A1050" s="48" t="s">
        <v>189</v>
      </c>
      <c r="B1050" s="48"/>
      <c r="C1050" s="48" t="s">
        <v>412</v>
      </c>
      <c r="D1050" s="48" t="s">
        <v>1549</v>
      </c>
      <c r="E1050" s="48" t="s">
        <v>1550</v>
      </c>
      <c r="F1050" s="5" t="s">
        <v>436</v>
      </c>
      <c r="G1050" s="47">
        <v>10.0</v>
      </c>
      <c r="H1050" s="5">
        <v>50.0</v>
      </c>
      <c r="I1050" s="5"/>
      <c r="J1050" s="5" t="s">
        <v>603</v>
      </c>
      <c r="K1050" s="5"/>
      <c r="L1050" s="5" t="s">
        <v>603</v>
      </c>
      <c r="M1050" s="5"/>
      <c r="N1050" s="5" t="s">
        <v>603</v>
      </c>
      <c r="O1050" s="5"/>
      <c r="P1050" s="5" t="s">
        <v>603</v>
      </c>
      <c r="Q1050" s="5"/>
      <c r="R1050" s="5">
        <v>110.0</v>
      </c>
      <c r="S1050" s="5"/>
      <c r="T1050" s="5" t="s">
        <v>603</v>
      </c>
      <c r="U1050" s="5"/>
      <c r="V1050" s="5" t="s">
        <v>603</v>
      </c>
      <c r="W1050" s="5"/>
      <c r="X1050" s="5" t="s">
        <v>603</v>
      </c>
      <c r="Y1050" s="5"/>
      <c r="Z1050" s="5" t="s">
        <v>603</v>
      </c>
      <c r="AA1050" s="5"/>
      <c r="AB1050" s="5" t="s">
        <v>437</v>
      </c>
      <c r="AC1050" s="47">
        <v>170.0</v>
      </c>
    </row>
    <row r="1051" hidden="1">
      <c r="A1051" s="222" t="str">
        <f t="array" ref="A1051:A1052">{"FormulaRow24";(INDEX(CLASSLIST,A1004,1))}</f>
        <v>FormulaRow24</v>
      </c>
      <c r="B1051" s="77" t="s">
        <v>236</v>
      </c>
      <c r="C1051" s="222" t="str">
        <f t="array" ref="C1051:C1052">{"CLASSTYPE";((INDEX(ALLCLASSDATA,MATCH("ClassType",CLASSFEATUREHEADERS,0),MATCH($A1052,CLASSNAMEHEADERS,0))))}</f>
        <v>CLASSTYPE</v>
      </c>
      <c r="D1051" s="222" t="str">
        <f t="array" ref="D1051:D1052">{"SAVES";"Saves"}</f>
        <v>SAVES</v>
      </c>
      <c r="E1051" s="222" t="str">
        <f t="array" ref="E1051:E1052">{"REFLEXSAVE";"ReflexSave"}</f>
        <v>REFLEXSAVE</v>
      </c>
      <c r="F1051" s="223" t="str">
        <f t="array" ref="F1051:F1052">{"REFLEXINITIAL";((IF(H1052=10,"T",(IF(H1052=50,"E","")))))}</f>
        <v>REFLEXINITIAL</v>
      </c>
      <c r="G1051" s="223" t="str">
        <f t="array" ref="G1051:G1052">{"REFLEXINITIALPTS";((IF("00"=(INDEX(ALLCLASSDATA,MATCH("ReflexSaveLegendary",CLASSFEATUREHEADERS,0),MATCH($A1052,CLASSNAMEHEADERS,0))),(INDEX(ALLCLASSDATA,MATCH("ReflexSaveLegendary",CLASSFEATUREHEADERS,0),MATCH(($A1052 &amp; "Points"),CLASSNAMEHEADERS,0))),(IF("00"=(INDEX(ALLCLASSDATA,MATCH("ReflexSaveMaster",CLASSFEATUREHEADERS,0),MATCH($A1052,CLASSNAMEHEADERS,0))),(INDEX(ALLCLASSDATA,MATCH("ReflexSaveMaster",CLASSFEATUREHEADERS,0),MATCH(($A1052 &amp; "Points"),CLASSNAMEHEADERS,0))),(IF("00"=(INDEX(ALLCLASSDATA,MATCH("ReflexSaveExpert",CLASSFEATUREHEADERS,0),MATCH($A1052,CLASSNAMEHEADERS,0))),(INDEX(ALLCLASSDATA,MATCH("ReflexSaveExpert",CLASSFEATUREHEADERS,0),MATCH(($A1052 &amp; "Points"),CLASSNAMEHEADERS,0))),(IF("00"=(INDEX(ALLCLASSDATA,MATCH("ReflexSaveTrained",CLASSFEATUREHEADERS,0),MATCH($A1052,CLASSNAMEHEADERS,0))),(INDEX(ALLCLASSDATA,MATCH("ReflexSaveTrained",CLASSFEATUREHEADERS,0),MATCH(($A1052 &amp; "Points"),CLASSNAMEHEADERS,0))),"")))))))))}</f>
        <v>REFLEXINITIALPTS</v>
      </c>
      <c r="H1051" s="223" t="str">
        <f t="array" ref="H1051:H1052">{"REFLEXL01";((IF("01"=(INDEX(ALLCLASSDATA,MATCH("ReflexSaveLegendary",CLASSFEATUREHEADERS,0),MATCH($A1052,CLASSNAMEHEADERS,0))),(INDEX(ALLCLASSDATA,MATCH("ReflexSaveLegendary",CLASSFEATUREHEADERS,0),MATCH(($A1052 &amp; "Points"),CLASSNAMEHEADERS,0))),(IF("01"=(INDEX(ALLCLASSDATA,MATCH("ReflexSaveMaster",CLASSFEATUREHEADERS,0),MATCH($A1052,CLASSNAMEHEADERS,0))),(INDEX(ALLCLASSDATA,MATCH("ReflexSaveMaster",CLASSFEATUREHEADERS,0),MATCH(($A1052 &amp; "Points"),CLASSNAMEHEADERS,0))),(IF("01"=(INDEX(ALLCLASSDATA,MATCH("ReflexSaveExpert",CLASSFEATUREHEADERS,0),MATCH($A1052,CLASSNAMEHEADERS,0))),(INDEX(ALLCLASSDATA,MATCH("ReflexSaveExpert",CLASSFEATUREHEADERS,0),MATCH(($A1052 &amp; "Points"),CLASSNAMEHEADERS,0))),(IF("01"=(INDEX(ALLCLASSDATA,MATCH("ReflexSaveTrained",CLASSFEATUREHEADERS,0),MATCH($A1052,CLASSNAMEHEADERS,0))),(INDEX(ALLCLASSDATA,MATCH("ReflexSaveTrained",CLASSFEATUREHEADERS,0),MATCH(($A1052 &amp; "Points"),CLASSNAMEHEADERS,0))),"")))))))))}</f>
        <v>REFLEXL01</v>
      </c>
      <c r="I1051" s="223"/>
      <c r="J1051" s="223" t="str">
        <f t="array" ref="J1051:J1052">{"REFLEXL03";((IF("03"=(INDEX(ALLCLASSDATA,MATCH("ReflexSaveLegendary",CLASSFEATUREHEADERS,0),MATCH($A1052,CLASSNAMEHEADERS,0))),(INDEX(ALLCLASSDATA,MATCH("ReflexSaveLegendary",CLASSFEATUREHEADERS,0),MATCH(($A1052 &amp; "Points"),CLASSNAMEHEADERS,0))),(IF("03"=(INDEX(ALLCLASSDATA,MATCH("ReflexSaveMaster",CLASSFEATUREHEADERS,0),MATCH($A1052,CLASSNAMEHEADERS,0))),(INDEX(ALLCLASSDATA,MATCH("ReflexSaveMaster",CLASSFEATUREHEADERS,0),MATCH(($A1052 &amp; "Points"),CLASSNAMEHEADERS,0))),(IF("03"=(INDEX(ALLCLASSDATA,MATCH("ReflexSaveExpert",CLASSFEATUREHEADERS,0),MATCH($A1052,CLASSNAMEHEADERS,0))),(INDEX(ALLCLASSDATA,MATCH("ReflexSaveExpert",CLASSFEATUREHEADERS,0),MATCH(($A1052 &amp; "Points"),CLASSNAMEHEADERS,0))),(IF("03"=(INDEX(ALLCLASSDATA,MATCH("ReflexSaveTrained",CLASSFEATUREHEADERS,0),MATCH($A1052,CLASSNAMEHEADERS,0))),(INDEX(ALLCLASSDATA,MATCH("ReflexSaveTrained",CLASSFEATUREHEADERS,0),MATCH(($A1052 &amp; "Points"),CLASSNAMEHEADERS,0))),"")))))))))}</f>
        <v>REFLEXL03</v>
      </c>
      <c r="K1051" s="223"/>
      <c r="L1051" s="223" t="str">
        <f t="array" ref="L1051:L1052">{"REFLEXL05";((IF("05"=(INDEX(ALLCLASSDATA,MATCH("ReflexSaveLegendary",CLASSFEATUREHEADERS,0),MATCH($A1052,CLASSNAMEHEADERS,0))),(INDEX(ALLCLASSDATA,MATCH("ReflexSaveLegendary",CLASSFEATUREHEADERS,0),MATCH(($A1052 &amp; "Points"),CLASSNAMEHEADERS,0))),(IF("05"=(INDEX(ALLCLASSDATA,MATCH("ReflexSaveMaster",CLASSFEATUREHEADERS,0),MATCH($A1052,CLASSNAMEHEADERS,0))),(INDEX(ALLCLASSDATA,MATCH("ReflexSaveMaster",CLASSFEATUREHEADERS,0),MATCH(($A1052 &amp; "Points"),CLASSNAMEHEADERS,0))),(IF("05"=(INDEX(ALLCLASSDATA,MATCH("ReflexSaveExpert",CLASSFEATUREHEADERS,0),MATCH($A1052,CLASSNAMEHEADERS,0))),(INDEX(ALLCLASSDATA,MATCH("ReflexSaveExpert",CLASSFEATUREHEADERS,0),MATCH(($A1052 &amp; "Points"),CLASSNAMEHEADERS,0))),(IF("05"=(INDEX(ALLCLASSDATA,MATCH("ReflexSaveTrained",CLASSFEATUREHEADERS,0),MATCH($A1052,CLASSNAMEHEADERS,0))),(INDEX(ALLCLASSDATA,MATCH("ReflexSaveTrained",CLASSFEATUREHEADERS,0),MATCH(($A1052 &amp; "Points"),CLASSNAMEHEADERS,0))),"")))))))))}</f>
        <v>REFLEXL05</v>
      </c>
      <c r="M1051" s="223"/>
      <c r="N1051" s="223" t="str">
        <f t="array" ref="N1051:N1052">{"REFLEXL07";((IF("07"=(INDEX(ALLCLASSDATA,MATCH("ReflexSaveLegendary",CLASSFEATUREHEADERS,0),MATCH($A1052,CLASSNAMEHEADERS,0))),(INDEX(ALLCLASSDATA,MATCH("ReflexSaveLegendary",CLASSFEATUREHEADERS,0),MATCH(($A1052 &amp; "Points"),CLASSNAMEHEADERS,0))),(IF("07"=(INDEX(ALLCLASSDATA,MATCH("ReflexSaveMaster",CLASSFEATUREHEADERS,0),MATCH($A1052,CLASSNAMEHEADERS,0))),(INDEX(ALLCLASSDATA,MATCH("ReflexSaveMaster",CLASSFEATUREHEADERS,0),MATCH(($A1052 &amp; "Points"),CLASSNAMEHEADERS,0))),(IF("07"=(INDEX(ALLCLASSDATA,MATCH("ReflexSaveExpert",CLASSFEATUREHEADERS,0),MATCH($A1052,CLASSNAMEHEADERS,0))),(INDEX(ALLCLASSDATA,MATCH("ReflexSaveExpert",CLASSFEATUREHEADERS,0),MATCH(($A1052 &amp; "Points"),CLASSNAMEHEADERS,0))),(IF("07"=(INDEX(ALLCLASSDATA,MATCH("ReflexSaveTrained",CLASSFEATUREHEADERS,0),MATCH($A1052,CLASSNAMEHEADERS,0))),(INDEX(ALLCLASSDATA,MATCH("ReflexSaveTrained",CLASSFEATUREHEADERS,0),MATCH(($A1052 &amp; "Points"),CLASSNAMEHEADERS,0))),"")))))))))}</f>
        <v>REFLEXL07</v>
      </c>
      <c r="O1051" s="223"/>
      <c r="P1051" s="223" t="str">
        <f t="array" ref="P1051:P1052">{"REFLEXL09";((IF("09"=(INDEX(ALLCLASSDATA,MATCH("ReflexSaveLegendary",CLASSFEATUREHEADERS,0),MATCH($A1052,CLASSNAMEHEADERS,0))),(INDEX(ALLCLASSDATA,MATCH("ReflexSaveLegendary",CLASSFEATUREHEADERS,0),MATCH(($A1052 &amp; "Points"),CLASSNAMEHEADERS,0))),(IF("09"=(INDEX(ALLCLASSDATA,MATCH("ReflexSaveMaster",CLASSFEATUREHEADERS,0),MATCH($A1052,CLASSNAMEHEADERS,0))),(INDEX(ALLCLASSDATA,MATCH("ReflexSaveMaster",CLASSFEATUREHEADERS,0),MATCH(($A1052 &amp; "Points"),CLASSNAMEHEADERS,0))),(IF("09"=(INDEX(ALLCLASSDATA,MATCH("ReflexSaveExpert",CLASSFEATUREHEADERS,0),MATCH($A1052,CLASSNAMEHEADERS,0))),(INDEX(ALLCLASSDATA,MATCH("ReflexSaveExpert",CLASSFEATUREHEADERS,0),MATCH(($A1052 &amp; "Points"),CLASSNAMEHEADERS,0))),(IF("09"=(INDEX(ALLCLASSDATA,MATCH("ReflexSaveTrained",CLASSFEATUREHEADERS,0),MATCH($A1052,CLASSNAMEHEADERS,0))),(INDEX(ALLCLASSDATA,MATCH("ReflexSaveTrained",CLASSFEATUREHEADERS,0),MATCH(($A1052 &amp; "Points"),CLASSNAMEHEADERS,0))),"")))))))))}</f>
        <v>REFLEXL09</v>
      </c>
      <c r="Q1051" s="223"/>
      <c r="R1051" s="223" t="str">
        <f t="array" ref="R1051:R1052">{"REFLEXL11";((IF("11"=(INDEX(ALLCLASSDATA,MATCH("ReflexSaveLegendary",CLASSFEATUREHEADERS,0),MATCH($A1052,CLASSNAMEHEADERS,0))),(INDEX(ALLCLASSDATA,MATCH("ReflexSaveLegendary",CLASSFEATUREHEADERS,0),MATCH(($A1052 &amp; "Points"),CLASSNAMEHEADERS,0))),(IF("11"=(INDEX(ALLCLASSDATA,MATCH("ReflexSaveMaster",CLASSFEATUREHEADERS,0),MATCH($A1052,CLASSNAMEHEADERS,0))),(INDEX(ALLCLASSDATA,MATCH("ReflexSaveMaster",CLASSFEATUREHEADERS,0),MATCH(($A1052 &amp; "Points"),CLASSNAMEHEADERS,0))),(IF("11"=(INDEX(ALLCLASSDATA,MATCH("ReflexSaveExpert",CLASSFEATUREHEADERS,0),MATCH($A1052,CLASSNAMEHEADERS,0))),(INDEX(ALLCLASSDATA,MATCH("ReflexSaveExpert",CLASSFEATUREHEADERS,0),MATCH(($A1052 &amp; "Points"),CLASSNAMEHEADERS,0))),(IF("11"=(INDEX(ALLCLASSDATA,MATCH("ReflexSaveTrained",CLASSFEATUREHEADERS,0),MATCH($A1052,CLASSNAMEHEADERS,0))),(INDEX(ALLCLASSDATA,MATCH("ReflexSaveTrained",CLASSFEATUREHEADERS,0),MATCH(($A1052 &amp; "Points"),CLASSNAMEHEADERS,0))),"")))))))))}</f>
        <v>REFLEXL11</v>
      </c>
      <c r="S1051" s="223"/>
      <c r="T1051" s="223" t="str">
        <f t="array" ref="T1051:T1052">{"REFLEXL13";((IF("13"=(INDEX(ALLCLASSDATA,MATCH("ReflexSaveLegendary",CLASSFEATUREHEADERS,0),MATCH($A1052,CLASSNAMEHEADERS,0))),(INDEX(ALLCLASSDATA,MATCH("ReflexSaveLegendary",CLASSFEATUREHEADERS,0),MATCH(($A1052 &amp; "Points"),CLASSNAMEHEADERS,0))),(IF("13"=(INDEX(ALLCLASSDATA,MATCH("ReflexSaveMaster",CLASSFEATUREHEADERS,0),MATCH($A1052,CLASSNAMEHEADERS,0))),(INDEX(ALLCLASSDATA,MATCH("ReflexSaveMaster",CLASSFEATUREHEADERS,0),MATCH(($A1052 &amp; "Points"),CLASSNAMEHEADERS,0))),(IF("13"=(INDEX(ALLCLASSDATA,MATCH("ReflexSaveExpert",CLASSFEATUREHEADERS,0),MATCH($A1052,CLASSNAMEHEADERS,0))),(INDEX(ALLCLASSDATA,MATCH("ReflexSaveExpert",CLASSFEATUREHEADERS,0),MATCH(($A1052 &amp; "Points"),CLASSNAMEHEADERS,0))),(IF("13"=(INDEX(ALLCLASSDATA,MATCH("ReflexSaveTrained",CLASSFEATUREHEADERS,0),MATCH($A1052,CLASSNAMEHEADERS,0))),(INDEX(ALLCLASSDATA,MATCH("ReflexSaveTrained",CLASSFEATUREHEADERS,0),MATCH(($A1052 &amp; "Points"),CLASSNAMEHEADERS,0))),"")))))))))}</f>
        <v>REFLEXL13</v>
      </c>
      <c r="U1051" s="223"/>
      <c r="V1051" s="223" t="str">
        <f t="array" ref="V1051:V1052">{"REFLEXL15";((IF("15"=(INDEX(ALLCLASSDATA,MATCH("ReflexSaveLegendary",CLASSFEATUREHEADERS,0),MATCH($A1052,CLASSNAMEHEADERS,0))),(INDEX(ALLCLASSDATA,MATCH("ReflexSaveLegendary",CLASSFEATUREHEADERS,0),MATCH(($A1052 &amp; "Points"),CLASSNAMEHEADERS,0))),(IF("15"=(INDEX(ALLCLASSDATA,MATCH("ReflexSaveMaster",CLASSFEATUREHEADERS,0),MATCH($A1052,CLASSNAMEHEADERS,0))),(INDEX(ALLCLASSDATA,MATCH("ReflexSaveMaster",CLASSFEATUREHEADERS,0),MATCH(($A1052 &amp; "Points"),CLASSNAMEHEADERS,0))),(IF("15"=(INDEX(ALLCLASSDATA,MATCH("ReflexSaveExpert",CLASSFEATUREHEADERS,0),MATCH($A1052,CLASSNAMEHEADERS,0))),(INDEX(ALLCLASSDATA,MATCH("ReflexSaveExpert",CLASSFEATUREHEADERS,0),MATCH(($A1052 &amp; "Points"),CLASSNAMEHEADERS,0))),(IF("15"=(INDEX(ALLCLASSDATA,MATCH("ReflexSaveTrained",CLASSFEATUREHEADERS,0),MATCH($A1052,CLASSNAMEHEADERS,0))),(INDEX(ALLCLASSDATA,MATCH("ReflexSaveTrained",CLASSFEATUREHEADERS,0),MATCH(($A1052 &amp; "Points"),CLASSNAMEHEADERS,0))),"")))))))))}</f>
        <v>REFLEXL15</v>
      </c>
      <c r="W1051" s="223"/>
      <c r="X1051" s="223" t="str">
        <f t="array" ref="X1051:X1052">{"REFLEXL17";((IF("17"=(INDEX(ALLCLASSDATA,MATCH("ReflexSaveLegendary",CLASSFEATUREHEADERS,0),MATCH($A1052,CLASSNAMEHEADERS,0))),(INDEX(ALLCLASSDATA,MATCH("ReflexSaveLegendary",CLASSFEATUREHEADERS,0),MATCH(($A1052 &amp; "Points"),CLASSNAMEHEADERS,0))),(IF("17"=(INDEX(ALLCLASSDATA,MATCH("ReflexSaveMaster",CLASSFEATUREHEADERS,0),MATCH($A1052,CLASSNAMEHEADERS,0))),(INDEX(ALLCLASSDATA,MATCH("ReflexSaveMaster",CLASSFEATUREHEADERS,0),MATCH(($A1052 &amp; "Points"),CLASSNAMEHEADERS,0))),(IF("17"=(INDEX(ALLCLASSDATA,MATCH("ReflexSaveExpert",CLASSFEATUREHEADERS,0),MATCH($A1052,CLASSNAMEHEADERS,0))),(INDEX(ALLCLASSDATA,MATCH("ReflexSaveExpert",CLASSFEATUREHEADERS,0),MATCH(($A1052 &amp; "Points"),CLASSNAMEHEADERS,0))),(IF("17"=(INDEX(ALLCLASSDATA,MATCH("ReflexSaveTrained",CLASSFEATUREHEADERS,0),MATCH($A1052,CLASSNAMEHEADERS,0))),(INDEX(ALLCLASSDATA,MATCH("ReflexSaveTrained",CLASSFEATUREHEADERS,0),MATCH(($A1052 &amp; "Points"),CLASSNAMEHEADERS,0))),"")))))))))}</f>
        <v>REFLEXL17</v>
      </c>
      <c r="Y1051" s="223"/>
      <c r="Z1051" s="223" t="str">
        <f t="array" ref="Z1051:Z1052">{"REFLEXL19";((IF("19"=(INDEX(ALLCLASSDATA,MATCH("ReflexSaveLegendary",CLASSFEATUREHEADERS,0),MATCH($A1052,CLASSNAMEHEADERS,0))),(INDEX(ALLCLASSDATA,MATCH("ReflexSaveLegendary",CLASSFEATUREHEADERS,0),MATCH(($A1052 &amp; "Points"),CLASSNAMEHEADERS,0))),(IF("19"=(INDEX(ALLCLASSDATA,MATCH("ReflexSaveMaster",CLASSFEATUREHEADERS,0),MATCH($A1052,CLASSNAMEHEADERS,0))),(INDEX(ALLCLASSDATA,MATCH("ReflexSaveMaster",CLASSFEATUREHEADERS,0),MATCH(($A1052 &amp; "Points"),CLASSNAMEHEADERS,0))),(IF("19"=(INDEX(ALLCLASSDATA,MATCH("ReflexSaveExpert",CLASSFEATUREHEADERS,0),MATCH($A1052,CLASSNAMEHEADERS,0))),(INDEX(ALLCLASSDATA,MATCH("ReflexSaveExpert",CLASSFEATUREHEADERS,0),MATCH(($A1052 &amp; "Points"),CLASSNAMEHEADERS,0))),(IF("19"=(INDEX(ALLCLASSDATA,MATCH("ReflexSaveTrained",CLASSFEATUREHEADERS,0),MATCH($A1052,CLASSNAMEHEADERS,0))),(INDEX(ALLCLASSDATA,MATCH("ReflexSaveTrained",CLASSFEATUREHEADERS,0),MATCH(($A1052 &amp; "Points"),CLASSNAMEHEADERS,0))),"")))))))))}</f>
        <v>REFLEXL19</v>
      </c>
      <c r="AA1051" s="223"/>
      <c r="AB1051" s="76" t="str">
        <f t="array" ref="AB1051:AB1052">{"REFLEX TOTAL";(IF(COUNTBLANK(G1052:AA1052)=17,"L",(IF(COUNTBLANK(G1052:AA1052)=18,"M",(IF(COUNTBLANK(G1052:AA1052)=19,"E",(IF(COUNTBLANK(G1052:AA1052)=20,"T",""))))))))}</f>
        <v>REFLEX TOTAL</v>
      </c>
      <c r="AC1051" s="76" t="str">
        <f t="array" ref="AC1051:AC1052">{"REFLEX TOTAL";(sum(G1052:AA1052))}</f>
        <v>REFLEX TOTAL</v>
      </c>
    </row>
    <row r="1052">
      <c r="A1052" s="48" t="s">
        <v>189</v>
      </c>
      <c r="B1052" s="48"/>
      <c r="C1052" s="48" t="s">
        <v>412</v>
      </c>
      <c r="D1052" s="48" t="s">
        <v>1549</v>
      </c>
      <c r="E1052" s="48" t="s">
        <v>1572</v>
      </c>
      <c r="F1052" s="5" t="s">
        <v>436</v>
      </c>
      <c r="G1052" s="47">
        <v>10.0</v>
      </c>
      <c r="H1052" s="5">
        <v>50.0</v>
      </c>
      <c r="I1052" s="5"/>
      <c r="J1052" s="5" t="s">
        <v>603</v>
      </c>
      <c r="K1052" s="5"/>
      <c r="L1052" s="5" t="s">
        <v>603</v>
      </c>
      <c r="M1052" s="5"/>
      <c r="N1052" s="5" t="s">
        <v>603</v>
      </c>
      <c r="O1052" s="5"/>
      <c r="P1052" s="5" t="s">
        <v>603</v>
      </c>
      <c r="Q1052" s="5"/>
      <c r="R1052" s="5" t="s">
        <v>603</v>
      </c>
      <c r="S1052" s="5"/>
      <c r="T1052" s="5" t="s">
        <v>603</v>
      </c>
      <c r="U1052" s="5"/>
      <c r="V1052" s="5">
        <v>110.0</v>
      </c>
      <c r="W1052" s="5"/>
      <c r="X1052" s="5" t="s">
        <v>603</v>
      </c>
      <c r="Y1052" s="5"/>
      <c r="Z1052" s="5" t="s">
        <v>603</v>
      </c>
      <c r="AA1052" s="5"/>
      <c r="AB1052" s="5" t="s">
        <v>437</v>
      </c>
      <c r="AC1052" s="47">
        <v>170.0</v>
      </c>
    </row>
    <row r="1053" hidden="1">
      <c r="A1053" s="222" t="str">
        <f t="array" ref="A1053:A1054">{"FormulaRow25";(INDEX(CLASSLIST,A1004,1))}</f>
        <v>FormulaRow25</v>
      </c>
      <c r="B1053" s="77" t="s">
        <v>236</v>
      </c>
      <c r="C1053" s="222" t="str">
        <f t="array" ref="C1053:C1054">{"CLASSTYPE";((INDEX(ALLCLASSDATA,MATCH("ClassType",CLASSFEATUREHEADERS,0),MATCH($A1054,CLASSNAMEHEADERS,0))))}</f>
        <v>CLASSTYPE</v>
      </c>
      <c r="D1053" s="222" t="str">
        <f t="array" ref="D1053:D1054">{"SAVES";"Saves"}</f>
        <v>SAVES</v>
      </c>
      <c r="E1053" s="222" t="str">
        <f t="array" ref="E1053:E1054">{"WILLSAVE";"WillSave"}</f>
        <v>WILLSAVE</v>
      </c>
      <c r="F1053" s="223" t="str">
        <f t="array" ref="F1053:F1054">{"WILLINITIAL";((IF(H1054=10,"T",(IF(H1054=50,"E","")))))}</f>
        <v>WILLINITIAL</v>
      </c>
      <c r="G1053" s="223" t="str">
        <f t="array" ref="G1053:G1054">{"WILLINITIALPTS";((IF("00"=(INDEX(ALLCLASSDATA,MATCH("WillSaveLegendary",CLASSFEATUREHEADERS,0),MATCH($A1054,CLASSNAMEHEADERS,0))),(INDEX(ALLCLASSDATA,MATCH("WillSaveLegendary",CLASSFEATUREHEADERS,0),MATCH(($A1054 &amp; "Points"),CLASSNAMEHEADERS,0))),(IF("00"=(INDEX(ALLCLASSDATA,MATCH("WillSaveMaster",CLASSFEATUREHEADERS,0),MATCH($A1054,CLASSNAMEHEADERS,0))),(INDEX(ALLCLASSDATA,MATCH("WillSaveMaster",CLASSFEATUREHEADERS,0),MATCH(($A1054 &amp; "Points"),CLASSNAMEHEADERS,0))),(IF("00"=(INDEX(ALLCLASSDATA,MATCH("WillSaveExpert",CLASSFEATUREHEADERS,0),MATCH($A1054,CLASSNAMEHEADERS,0))),(INDEX(ALLCLASSDATA,MATCH("WillSaveExpert",CLASSFEATUREHEADERS,0),MATCH(($A1054 &amp; "Points"),CLASSNAMEHEADERS,0))),(IF("00"=(INDEX(ALLCLASSDATA,MATCH("WillSaveTrained",CLASSFEATUREHEADERS,0),MATCH($A1054,CLASSNAMEHEADERS,0))),(INDEX(ALLCLASSDATA,MATCH("WillSaveTrained",CLASSFEATUREHEADERS,0),MATCH(($A1054 &amp; "Points"),CLASSNAMEHEADERS,0))),"")))))))))}</f>
        <v>WILLINITIALPTS</v>
      </c>
      <c r="H1053" s="223" t="str">
        <f t="array" ref="H1053:H1054">{"WILLL01";((IF("01"=(INDEX(ALLCLASSDATA,MATCH("WillSaveLegendary",CLASSFEATUREHEADERS,0),MATCH($A1054,CLASSNAMEHEADERS,0))),(INDEX(ALLCLASSDATA,MATCH("WillSaveLegendary",CLASSFEATUREHEADERS,0),MATCH(($A1054 &amp; "Points"),CLASSNAMEHEADERS,0))),(IF("01"=(INDEX(ALLCLASSDATA,MATCH("WillSaveMaster",CLASSFEATUREHEADERS,0),MATCH($A1054,CLASSNAMEHEADERS,0))),(INDEX(ALLCLASSDATA,MATCH("WillSaveMaster",CLASSFEATUREHEADERS,0),MATCH(($A1054 &amp; "Points"),CLASSNAMEHEADERS,0))),(IF("01"=(INDEX(ALLCLASSDATA,MATCH("WillSaveExpert",CLASSFEATUREHEADERS,0),MATCH($A1054,CLASSNAMEHEADERS,0))),(INDEX(ALLCLASSDATA,MATCH("WillSaveExpert",CLASSFEATUREHEADERS,0),MATCH(($A1054 &amp; "Points"),CLASSNAMEHEADERS,0))),(IF("01"=(INDEX(ALLCLASSDATA,MATCH("WillSaveTrained",CLASSFEATUREHEADERS,0),MATCH($A1054,CLASSNAMEHEADERS,0))),(INDEX(ALLCLASSDATA,MATCH("WillSaveTrained",CLASSFEATUREHEADERS,0),MATCH(($A1054 &amp; "Points"),CLASSNAMEHEADERS,0))),"")))))))))}</f>
        <v>WILLL01</v>
      </c>
      <c r="I1053" s="223"/>
      <c r="J1053" s="223" t="str">
        <f t="array" ref="J1053:J1054">{"WILLL03";((IF("03"=(INDEX(ALLCLASSDATA,MATCH("WillSaveLegendary",CLASSFEATUREHEADERS,0),MATCH($A1054,CLASSNAMEHEADERS,0))),(INDEX(ALLCLASSDATA,MATCH("WillSaveLegendary",CLASSFEATUREHEADERS,0),MATCH(($A1054 &amp; "Points"),CLASSNAMEHEADERS,0))),(IF("03"=(INDEX(ALLCLASSDATA,MATCH("WillSaveMaster",CLASSFEATUREHEADERS,0),MATCH($A1054,CLASSNAMEHEADERS,0))),(INDEX(ALLCLASSDATA,MATCH("WillSaveMaster",CLASSFEATUREHEADERS,0),MATCH(($A1054 &amp; "Points"),CLASSNAMEHEADERS,0))),(IF("03"=(INDEX(ALLCLASSDATA,MATCH("WillSaveExpert",CLASSFEATUREHEADERS,0),MATCH($A1054,CLASSNAMEHEADERS,0))),(INDEX(ALLCLASSDATA,MATCH("WillSaveExpert",CLASSFEATUREHEADERS,0),MATCH(($A1054 &amp; "Points"),CLASSNAMEHEADERS,0))),(IF("03"=(INDEX(ALLCLASSDATA,MATCH("WillSaveTrained",CLASSFEATUREHEADERS,0),MATCH($A1054,CLASSNAMEHEADERS,0))),(INDEX(ALLCLASSDATA,MATCH("WillSaveTrained",CLASSFEATUREHEADERS,0),MATCH(($A1054 &amp; "Points"),CLASSNAMEHEADERS,0))),"")))))))))}</f>
        <v>WILLL03</v>
      </c>
      <c r="K1053" s="223"/>
      <c r="L1053" s="223" t="str">
        <f t="array" ref="L1053:L1054">{"WILLL05";((IF("05"=(INDEX(ALLCLASSDATA,MATCH("WillSaveLegendary",CLASSFEATUREHEADERS,0),MATCH($A1054,CLASSNAMEHEADERS,0))),(INDEX(ALLCLASSDATA,MATCH("WillSaveLegendary",CLASSFEATUREHEADERS,0),MATCH(($A1054 &amp; "Points"),CLASSNAMEHEADERS,0))),(IF("05"=(INDEX(ALLCLASSDATA,MATCH("WillSaveMaster",CLASSFEATUREHEADERS,0),MATCH($A1054,CLASSNAMEHEADERS,0))),(INDEX(ALLCLASSDATA,MATCH("WillSaveMaster",CLASSFEATUREHEADERS,0),MATCH(($A1054 &amp; "Points"),CLASSNAMEHEADERS,0))),(IF("05"=(INDEX(ALLCLASSDATA,MATCH("WillSaveExpert",CLASSFEATUREHEADERS,0),MATCH($A1054,CLASSNAMEHEADERS,0))),(INDEX(ALLCLASSDATA,MATCH("WillSaveExpert",CLASSFEATUREHEADERS,0),MATCH(($A1054 &amp; "Points"),CLASSNAMEHEADERS,0))),(IF("05"=(INDEX(ALLCLASSDATA,MATCH("WillSaveTrained",CLASSFEATUREHEADERS,0),MATCH($A1054,CLASSNAMEHEADERS,0))),(INDEX(ALLCLASSDATA,MATCH("WillSaveTrained",CLASSFEATUREHEADERS,0),MATCH(($A1054 &amp; "Points"),CLASSNAMEHEADERS,0))),"")))))))))}</f>
        <v>WILLL05</v>
      </c>
      <c r="M1053" s="223"/>
      <c r="N1053" s="223" t="str">
        <f t="array" ref="N1053:N1054">{"WILLL07";((IF("07"=(INDEX(ALLCLASSDATA,MATCH("WillSaveLegendary",CLASSFEATUREHEADERS,0),MATCH($A1054,CLASSNAMEHEADERS,0))),(INDEX(ALLCLASSDATA,MATCH("WillSaveLegendary",CLASSFEATUREHEADERS,0),MATCH(($A1054 &amp; "Points"),CLASSNAMEHEADERS,0))),(IF("07"=(INDEX(ALLCLASSDATA,MATCH("WillSaveMaster",CLASSFEATUREHEADERS,0),MATCH($A1054,CLASSNAMEHEADERS,0))),(INDEX(ALLCLASSDATA,MATCH("WillSaveMaster",CLASSFEATUREHEADERS,0),MATCH(($A1054 &amp; "Points"),CLASSNAMEHEADERS,0))),(IF("07"=(INDEX(ALLCLASSDATA,MATCH("WillSaveExpert",CLASSFEATUREHEADERS,0),MATCH($A1054,CLASSNAMEHEADERS,0))),(INDEX(ALLCLASSDATA,MATCH("WillSaveExpert",CLASSFEATUREHEADERS,0),MATCH(($A1054 &amp; "Points"),CLASSNAMEHEADERS,0))),(IF("07"=(INDEX(ALLCLASSDATA,MATCH("WillSaveTrained",CLASSFEATUREHEADERS,0),MATCH($A1054,CLASSNAMEHEADERS,0))),(INDEX(ALLCLASSDATA,MATCH("WillSaveTrained",CLASSFEATUREHEADERS,0),MATCH(($A1054 &amp; "Points"),CLASSNAMEHEADERS,0))),"")))))))))}</f>
        <v>WILLL07</v>
      </c>
      <c r="O1053" s="223"/>
      <c r="P1053" s="223" t="str">
        <f t="array" ref="P1053:P1054">{"WILLL09";((IF("09"=(INDEX(ALLCLASSDATA,MATCH("WillSaveLegendary",CLASSFEATUREHEADERS,0),MATCH($A1054,CLASSNAMEHEADERS,0))),(INDEX(ALLCLASSDATA,MATCH("WillSaveLegendary",CLASSFEATUREHEADERS,0),MATCH(($A1054 &amp; "Points"),CLASSNAMEHEADERS,0))),(IF("09"=(INDEX(ALLCLASSDATA,MATCH("WillSaveMaster",CLASSFEATUREHEADERS,0),MATCH($A1054,CLASSNAMEHEADERS,0))),(INDEX(ALLCLASSDATA,MATCH("WillSaveMaster",CLASSFEATUREHEADERS,0),MATCH(($A1054 &amp; "Points"),CLASSNAMEHEADERS,0))),(IF("09"=(INDEX(ALLCLASSDATA,MATCH("WillSaveExpert",CLASSFEATUREHEADERS,0),MATCH($A1054,CLASSNAMEHEADERS,0))),(INDEX(ALLCLASSDATA,MATCH("WillSaveExpert",CLASSFEATUREHEADERS,0),MATCH(($A1054 &amp; "Points"),CLASSNAMEHEADERS,0))),(IF("09"=(INDEX(ALLCLASSDATA,MATCH("WillSaveTrained",CLASSFEATUREHEADERS,0),MATCH($A1054,CLASSNAMEHEADERS,0))),(INDEX(ALLCLASSDATA,MATCH("WillSaveTrained",CLASSFEATUREHEADERS,0),MATCH(($A1054 &amp; "Points"),CLASSNAMEHEADERS,0))),"")))))))))}</f>
        <v>WILLL09</v>
      </c>
      <c r="Q1053" s="223"/>
      <c r="R1053" s="223" t="str">
        <f t="array" ref="R1053:R1054">{"WILLL11";((IF("11"=(INDEX(ALLCLASSDATA,MATCH("WillSaveLegendary",CLASSFEATUREHEADERS,0),MATCH($A1054,CLASSNAMEHEADERS,0))),(INDEX(ALLCLASSDATA,MATCH("WillSaveLegendary",CLASSFEATUREHEADERS,0),MATCH(($A1054 &amp; "Points"),CLASSNAMEHEADERS,0))),(IF("11"=(INDEX(ALLCLASSDATA,MATCH("WillSaveMaster",CLASSFEATUREHEADERS,0),MATCH($A1054,CLASSNAMEHEADERS,0))),(INDEX(ALLCLASSDATA,MATCH("WillSaveMaster",CLASSFEATUREHEADERS,0),MATCH(($A1054 &amp; "Points"),CLASSNAMEHEADERS,0))),(IF("11"=(INDEX(ALLCLASSDATA,MATCH("WillSaveExpert",CLASSFEATUREHEADERS,0),MATCH($A1054,CLASSNAMEHEADERS,0))),(INDEX(ALLCLASSDATA,MATCH("WillSaveExpert",CLASSFEATUREHEADERS,0),MATCH(($A1054 &amp; "Points"),CLASSNAMEHEADERS,0))),(IF("11"=(INDEX(ALLCLASSDATA,MATCH("WillSaveTrained",CLASSFEATUREHEADERS,0),MATCH($A1054,CLASSNAMEHEADERS,0))),(INDEX(ALLCLASSDATA,MATCH("WillSaveTrained",CLASSFEATUREHEADERS,0),MATCH(($A1054 &amp; "Points"),CLASSNAMEHEADERS,0))),"")))))))))}</f>
        <v>WILLL11</v>
      </c>
      <c r="S1053" s="223"/>
      <c r="T1053" s="223" t="str">
        <f t="array" ref="T1053:T1054">{"WILLL13";((IF("13"=(INDEX(ALLCLASSDATA,MATCH("WillSaveLegendary",CLASSFEATUREHEADERS,0),MATCH($A1054,CLASSNAMEHEADERS,0))),(INDEX(ALLCLASSDATA,MATCH("WillSaveLegendary",CLASSFEATUREHEADERS,0),MATCH(($A1054 &amp; "Points"),CLASSNAMEHEADERS,0))),(IF("13"=(INDEX(ALLCLASSDATA,MATCH("WillSaveMaster",CLASSFEATUREHEADERS,0),MATCH($A1054,CLASSNAMEHEADERS,0))),(INDEX(ALLCLASSDATA,MATCH("WillSaveMaster",CLASSFEATUREHEADERS,0),MATCH(($A1054 &amp; "Points"),CLASSNAMEHEADERS,0))),(IF("13"=(INDEX(ALLCLASSDATA,MATCH("WillSaveExpert",CLASSFEATUREHEADERS,0),MATCH($A1054,CLASSNAMEHEADERS,0))),(INDEX(ALLCLASSDATA,MATCH("WillSaveExpert",CLASSFEATUREHEADERS,0),MATCH(($A1054 &amp; "Points"),CLASSNAMEHEADERS,0))),(IF("13"=(INDEX(ALLCLASSDATA,MATCH("WillSaveTrained",CLASSFEATUREHEADERS,0),MATCH($A1054,CLASSNAMEHEADERS,0))),(INDEX(ALLCLASSDATA,MATCH("WillSaveTrained",CLASSFEATUREHEADERS,0),MATCH(($A1054 &amp; "Points"),CLASSNAMEHEADERS,0))),"")))))))))}</f>
        <v>WILLL13</v>
      </c>
      <c r="U1053" s="223"/>
      <c r="V1053" s="223" t="str">
        <f t="array" ref="V1053:V1054">{"WILLL15";((IF("15"=(INDEX(ALLCLASSDATA,MATCH("WillSaveLegendary",CLASSFEATUREHEADERS,0),MATCH($A1054,CLASSNAMEHEADERS,0))),(INDEX(ALLCLASSDATA,MATCH("WillSaveLegendary",CLASSFEATUREHEADERS,0),MATCH(($A1054 &amp; "Points"),CLASSNAMEHEADERS,0))),(IF("15"=(INDEX(ALLCLASSDATA,MATCH("WillSaveMaster",CLASSFEATUREHEADERS,0),MATCH($A1054,CLASSNAMEHEADERS,0))),(INDEX(ALLCLASSDATA,MATCH("WillSaveMaster",CLASSFEATUREHEADERS,0),MATCH(($A1054 &amp; "Points"),CLASSNAMEHEADERS,0))),(IF("15"=(INDEX(ALLCLASSDATA,MATCH("WillSaveExpert",CLASSFEATUREHEADERS,0),MATCH($A1054,CLASSNAMEHEADERS,0))),(INDEX(ALLCLASSDATA,MATCH("WillSaveExpert",CLASSFEATUREHEADERS,0),MATCH(($A1054 &amp; "Points"),CLASSNAMEHEADERS,0))),(IF("15"=(INDEX(ALLCLASSDATA,MATCH("WillSaveTrained",CLASSFEATUREHEADERS,0),MATCH($A1054,CLASSNAMEHEADERS,0))),(INDEX(ALLCLASSDATA,MATCH("WillSaveTrained",CLASSFEATUREHEADERS,0),MATCH(($A1054 &amp; "Points"),CLASSNAMEHEADERS,0))),"")))))))))}</f>
        <v>WILLL15</v>
      </c>
      <c r="W1053" s="223"/>
      <c r="X1053" s="223" t="str">
        <f t="array" ref="X1053:X1054">{"WILLL17";((IF("17"=(INDEX(ALLCLASSDATA,MATCH("WillSaveLegendary",CLASSFEATUREHEADERS,0),MATCH($A1054,CLASSNAMEHEADERS,0))),(INDEX(ALLCLASSDATA,MATCH("WillSaveLegendary",CLASSFEATUREHEADERS,0),MATCH(($A1054 &amp; "Points"),CLASSNAMEHEADERS,0))),(IF("17"=(INDEX(ALLCLASSDATA,MATCH("WillSaveMaster",CLASSFEATUREHEADERS,0),MATCH($A1054,CLASSNAMEHEADERS,0))),(INDEX(ALLCLASSDATA,MATCH("WillSaveMaster",CLASSFEATUREHEADERS,0),MATCH(($A1054 &amp; "Points"),CLASSNAMEHEADERS,0))),(IF("17"=(INDEX(ALLCLASSDATA,MATCH("WillSaveExpert",CLASSFEATUREHEADERS,0),MATCH($A1054,CLASSNAMEHEADERS,0))),(INDEX(ALLCLASSDATA,MATCH("WillSaveExpert",CLASSFEATUREHEADERS,0),MATCH(($A1054 &amp; "Points"),CLASSNAMEHEADERS,0))),(IF("17"=(INDEX(ALLCLASSDATA,MATCH("WillSaveTrained",CLASSFEATUREHEADERS,0),MATCH($A1054,CLASSNAMEHEADERS,0))),(INDEX(ALLCLASSDATA,MATCH("WillSaveTrained",CLASSFEATUREHEADERS,0),MATCH(($A1054 &amp; "Points"),CLASSNAMEHEADERS,0))),"")))))))))}</f>
        <v>WILLL17</v>
      </c>
      <c r="Y1053" s="223"/>
      <c r="Z1053" s="223" t="str">
        <f t="array" ref="Z1053:Z1054">{"WILLL19";((IF("19"=(INDEX(ALLCLASSDATA,MATCH("WillSaveLegendary",CLASSFEATUREHEADERS,0),MATCH($A1054,CLASSNAMEHEADERS,0))),(INDEX(ALLCLASSDATA,MATCH("WillSaveLegendary",CLASSFEATUREHEADERS,0),MATCH(($A1054 &amp; "Points"),CLASSNAMEHEADERS,0))),(IF("19"=(INDEX(ALLCLASSDATA,MATCH("WillSaveMaster",CLASSFEATUREHEADERS,0),MATCH($A1054,CLASSNAMEHEADERS,0))),(INDEX(ALLCLASSDATA,MATCH("WillSaveMaster",CLASSFEATUREHEADERS,0),MATCH(($A1054 &amp; "Points"),CLASSNAMEHEADERS,0))),(IF("19"=(INDEX(ALLCLASSDATA,MATCH("WillSaveExpert",CLASSFEATUREHEADERS,0),MATCH($A1054,CLASSNAMEHEADERS,0))),(INDEX(ALLCLASSDATA,MATCH("WillSaveExpert",CLASSFEATUREHEADERS,0),MATCH(($A1054 &amp; "Points"),CLASSNAMEHEADERS,0))),(IF("19"=(INDEX(ALLCLASSDATA,MATCH("WillSaveTrained",CLASSFEATUREHEADERS,0),MATCH($A1054,CLASSNAMEHEADERS,0))),(INDEX(ALLCLASSDATA,MATCH("WillSaveTrained",CLASSFEATUREHEADERS,0),MATCH(($A1054 &amp; "Points"),CLASSNAMEHEADERS,0))),"")))))))))}</f>
        <v>WILLL19</v>
      </c>
      <c r="AA1053" s="223"/>
      <c r="AB1053" s="76" t="str">
        <f t="array" ref="AB1053:AB1054">{"WILL TOTAL";(IF(COUNTBLANK(G1054:AA1054)=17,"L",(IF(COUNTBLANK(G1054:AA1054)=18,"M",(IF(COUNTBLANK(G1054:AA1054)=19,"E",(IF(COUNTBLANK(G1054:AA1054)=20,"T",""))))))))}</f>
        <v>WILL TOTAL</v>
      </c>
      <c r="AC1053" s="76" t="str">
        <f t="array" ref="AC1053:AC1054">{"WILL TOTAL";(sum(G1054:AA1054))}</f>
        <v>WILL TOTAL</v>
      </c>
    </row>
    <row r="1054">
      <c r="A1054" s="48" t="s">
        <v>189</v>
      </c>
      <c r="B1054" s="48"/>
      <c r="C1054" s="48" t="s">
        <v>412</v>
      </c>
      <c r="D1054" s="97" t="s">
        <v>1549</v>
      </c>
      <c r="E1054" s="97" t="s">
        <v>1591</v>
      </c>
      <c r="F1054" s="98" t="s">
        <v>435</v>
      </c>
      <c r="G1054" s="132" t="s">
        <v>603</v>
      </c>
      <c r="H1054" s="98">
        <v>10.0</v>
      </c>
      <c r="I1054" s="98"/>
      <c r="J1054" s="98" t="s">
        <v>603</v>
      </c>
      <c r="K1054" s="98"/>
      <c r="L1054" s="98" t="s">
        <v>603</v>
      </c>
      <c r="M1054" s="97"/>
      <c r="N1054" s="98">
        <v>50.0</v>
      </c>
      <c r="O1054" s="98"/>
      <c r="P1054" s="98" t="s">
        <v>603</v>
      </c>
      <c r="Q1054" s="97"/>
      <c r="R1054" s="98" t="s">
        <v>603</v>
      </c>
      <c r="S1054" s="98"/>
      <c r="T1054" s="98" t="s">
        <v>603</v>
      </c>
      <c r="U1054" s="98"/>
      <c r="V1054" s="98" t="s">
        <v>603</v>
      </c>
      <c r="W1054" s="98"/>
      <c r="X1054" s="98" t="s">
        <v>603</v>
      </c>
      <c r="Y1054" s="98"/>
      <c r="Z1054" s="98" t="s">
        <v>603</v>
      </c>
      <c r="AA1054" s="98"/>
      <c r="AB1054" s="5" t="s">
        <v>436</v>
      </c>
      <c r="AC1054" s="47">
        <v>60.0</v>
      </c>
    </row>
    <row r="1055" hidden="1">
      <c r="A1055" s="222" t="str">
        <f t="array" ref="A1055:A1056">{"FormulaRow26";(INDEX(CLASSLIST,A1004,1))}</f>
        <v>FormulaRow26</v>
      </c>
      <c r="B1055" s="77" t="s">
        <v>236</v>
      </c>
      <c r="C1055" s="222" t="str">
        <f t="array" ref="C1055:C1056">{"CLASSTYPE";((INDEX(ALLCLASSDATA,MATCH("ClassType",CLASSFEATUREHEADERS,0),MATCH($A1056,CLASSNAMEHEADERS,0))))}</f>
        <v>CLASSTYPE</v>
      </c>
      <c r="D1055" s="228" t="str">
        <f t="array" ref="D1055:D1056">{"ATTACK";"Attack"}</f>
        <v>ATTACK</v>
      </c>
      <c r="E1055" s="228" t="str">
        <f t="array" ref="E1055:E1056">{"WEAPONSPECIAL";"WeaponCS/WS/GWS"}</f>
        <v>WEAPONSPECIAL</v>
      </c>
      <c r="F1055" s="230"/>
      <c r="G1055" s="230"/>
      <c r="H1055" s="230" t="str">
        <f t="array" ref="H1055:H1056">{"WEAPONSPECIALL01";((IF("01"=INDEX(ALLCLASSDATA,MATCH("WeaponGreaterSpecialization",CLASSFEATUREHEADERS,0),MATCH($A1056,CLASSNAMEHEADERS,0)),WeaponGWS,(IF("01"=INDEX(ALLCLASSDATA,MATCH("WeaponSpecialization",CLASSFEATUREHEADERS,0),MATCH($A1056,CLASSNAMEHEADERS,0)),WeaponWS,(IF("01"=INDEX(ALLCLASSDATA,MATCH("WeaponCriticalSpecialization",CLASSFEATUREHEADERS,0),MATCH($A1056,CLASSNAMEHEADERS,0)),WeaponCS,"")))))))}</f>
        <v>WEAPONSPECIALL01</v>
      </c>
      <c r="I1055" s="230"/>
      <c r="J1055" s="230" t="str">
        <f t="array" ref="J1055:J1056">{"WEAPONSPECIALL03";((IF("03"=INDEX(ALLCLASSDATA,MATCH("WeaponGreaterSpecialization",CLASSFEATUREHEADERS,0),MATCH($A1056,CLASSNAMEHEADERS,0)),WeaponGWS,(IF("03"=INDEX(ALLCLASSDATA,MATCH("WeaponSpecialization",CLASSFEATUREHEADERS,0),MATCH($A1056,CLASSNAMEHEADERS,0)),WeaponWS,(IF("03"=INDEX(ALLCLASSDATA,MATCH("WeaponCriticalSpecialization",CLASSFEATUREHEADERS,0),MATCH($A1056,CLASSNAMEHEADERS,0)),WeaponCS,"")))))))}</f>
        <v>WEAPONSPECIALL03</v>
      </c>
      <c r="K1055" s="230"/>
      <c r="L1055" s="230" t="str">
        <f t="array" ref="L1055:L1056">{"WEAPONSPECIALL05";((IF("05"=INDEX(ALLCLASSDATA,MATCH("WeaponGreaterSpecialization",CLASSFEATUREHEADERS,0),MATCH($A1056,CLASSNAMEHEADERS,0)),WeaponGWS,(IF("05"=INDEX(ALLCLASSDATA,MATCH("WeaponSpecialization",CLASSFEATUREHEADERS,0),MATCH($A1056,CLASSNAMEHEADERS,0)),WeaponWS,(IF("05"=INDEX(ALLCLASSDATA,MATCH("WeaponCriticalSpecialization",CLASSFEATUREHEADERS,0),MATCH($A1056,CLASSNAMEHEADERS,0)),WeaponCS,"")))))))}</f>
        <v>WEAPONSPECIALL05</v>
      </c>
      <c r="M1055" s="230"/>
      <c r="N1055" s="230" t="str">
        <f t="array" ref="N1055:N1056">{"WEAPONSPECIALL07";((IF("07"=INDEX(ALLCLASSDATA,MATCH("WeaponGreaterSpecialization",CLASSFEATUREHEADERS,0),MATCH($A1056,CLASSNAMEHEADERS,0)),WeaponGWS,(IF("07"=INDEX(ALLCLASSDATA,MATCH("WeaponSpecialization",CLASSFEATUREHEADERS,0),MATCH($A1056,CLASSNAMEHEADERS,0)),WeaponWS,(IF("07"=INDEX(ALLCLASSDATA,MATCH("WeaponCriticalSpecialization",CLASSFEATUREHEADERS,0),MATCH($A1056,CLASSNAMEHEADERS,0)),WeaponCS,"")))))))}</f>
        <v>WEAPONSPECIALL07</v>
      </c>
      <c r="O1055" s="230"/>
      <c r="P1055" s="230" t="str">
        <f t="array" ref="P1055:P1056">{"WEAPONSPECIALL09";((IF("09"=INDEX(ALLCLASSDATA,MATCH("WeaponGreaterSpecialization",CLASSFEATUREHEADERS,0),MATCH($A1056,CLASSNAMEHEADERS,0)),WeaponGWS,(IF("09"=INDEX(ALLCLASSDATA,MATCH("WeaponSpecialization",CLASSFEATUREHEADERS,0),MATCH($A1056,CLASSNAMEHEADERS,0)),WeaponWS,(IF("09"=INDEX(ALLCLASSDATA,MATCH("WeaponCriticalSpecialization",CLASSFEATUREHEADERS,0),MATCH($A1056,CLASSNAMEHEADERS,0)),WeaponCS,"")))))))}</f>
        <v>WEAPONSPECIALL09</v>
      </c>
      <c r="Q1055" s="230"/>
      <c r="R1055" s="230" t="str">
        <f t="array" ref="R1055:R1056">{"WEAPONSPECIALL11";((IF("11"=INDEX(ALLCLASSDATA,MATCH("WeaponGreaterSpecialization",CLASSFEATUREHEADERS,0),MATCH($A1056,CLASSNAMEHEADERS,0)),WeaponGWS,(IF("11"=INDEX(ALLCLASSDATA,MATCH("WeaponSpecialization",CLASSFEATUREHEADERS,0),MATCH($A1056,CLASSNAMEHEADERS,0)),WeaponWS,(IF("11"=INDEX(ALLCLASSDATA,MATCH("WeaponCriticalSpecialization",CLASSFEATUREHEADERS,0),MATCH($A1056,CLASSNAMEHEADERS,0)),WeaponCS,"")))))))}</f>
        <v>WEAPONSPECIALL11</v>
      </c>
      <c r="S1055" s="230"/>
      <c r="T1055" s="230" t="str">
        <f t="array" ref="T1055:T1056">{"WEAPONSPECIALL13";((IF("13"=INDEX(ALLCLASSDATA,MATCH("WeaponGreaterSpecialization",CLASSFEATUREHEADERS,0),MATCH($A1056,CLASSNAMEHEADERS,0)),WeaponGWS,(IF("13"=INDEX(ALLCLASSDATA,MATCH("WeaponSpecialization",CLASSFEATUREHEADERS,0),MATCH($A1056,CLASSNAMEHEADERS,0)),WeaponWS,(IF("13"=INDEX(ALLCLASSDATA,MATCH("WeaponCriticalSpecialization",CLASSFEATUREHEADERS,0),MATCH($A1056,CLASSNAMEHEADERS,0)),WeaponCS,"")))))))}</f>
        <v>WEAPONSPECIALL13</v>
      </c>
      <c r="U1055" s="230"/>
      <c r="V1055" s="230" t="str">
        <f t="array" ref="V1055:V1056">{"WEAPONSPECIALL15";((IF("15"=INDEX(ALLCLASSDATA,MATCH("WeaponGreaterSpecialization",CLASSFEATUREHEADERS,0),MATCH($A1056,CLASSNAMEHEADERS,0)),WeaponGWS,(IF("15"=INDEX(ALLCLASSDATA,MATCH("WeaponSpecialization",CLASSFEATUREHEADERS,0),MATCH($A1056,CLASSNAMEHEADERS,0)),WeaponWS,(IF("15"=INDEX(ALLCLASSDATA,MATCH("WeaponCriticalSpecialization",CLASSFEATUREHEADERS,0),MATCH($A1056,CLASSNAMEHEADERS,0)),WeaponCS,"")))))))}</f>
        <v>WEAPONSPECIALL15</v>
      </c>
      <c r="W1055" s="230"/>
      <c r="X1055" s="230" t="str">
        <f t="array" ref="X1055:X1056">{"WEAPONSPECIALL17";((IF("17"=INDEX(ALLCLASSDATA,MATCH("WeaponGreaterSpecialization",CLASSFEATUREHEADERS,0),MATCH($A1056,CLASSNAMEHEADERS,0)),WeaponGWS,(IF("17"=INDEX(ALLCLASSDATA,MATCH("WeaponSpecialization",CLASSFEATUREHEADERS,0),MATCH($A1056,CLASSNAMEHEADERS,0)),WeaponWS,(IF("17"=INDEX(ALLCLASSDATA,MATCH("WeaponCriticalSpecialization",CLASSFEATUREHEADERS,0),MATCH($A1056,CLASSNAMEHEADERS,0)),WeaponCS,"")))))))}</f>
        <v>WEAPONSPECIALL17</v>
      </c>
      <c r="Y1055" s="230"/>
      <c r="Z1055" s="230" t="str">
        <f t="array" ref="Z1055:Z1056">{"WEAPONSPECIALL19";((IF("19"=INDEX(ALLCLASSDATA,MATCH("WeaponGreaterSpecialization",CLASSFEATUREHEADERS,0),MATCH($A1056,CLASSNAMEHEADERS,0)),WeaponGWS,(IF("19"=INDEX(ALLCLASSDATA,MATCH("WeaponSpecialization",CLASSFEATUREHEADERS,0),MATCH($A1056,CLASSNAMEHEADERS,0)),WeaponWS,(IF("19"=INDEX(ALLCLASSDATA,MATCH("WeaponCriticalSpecialization",CLASSFEATUREHEADERS,0),MATCH($A1056,CLASSNAMEHEADERS,0)),WeaponCS,"")))))))}</f>
        <v>WEAPONSPECIALL19</v>
      </c>
      <c r="AA1055" s="230"/>
      <c r="AB1055" s="76"/>
      <c r="AC1055" s="76" t="str">
        <f t="array" ref="AC1055:AC1056">{"WEAPONSPECIAL TOTAL";(sum(G1056:AA1056))}</f>
        <v>WEAPONSPECIAL TOTAL</v>
      </c>
    </row>
    <row r="1056">
      <c r="A1056" s="48" t="s">
        <v>189</v>
      </c>
      <c r="B1056" s="48"/>
      <c r="C1056" s="48" t="s">
        <v>412</v>
      </c>
      <c r="D1056" s="48" t="s">
        <v>1634</v>
      </c>
      <c r="E1056" s="48" t="s">
        <v>1635</v>
      </c>
      <c r="F1056" s="5"/>
      <c r="G1056" s="47"/>
      <c r="H1056" s="5" t="s">
        <v>603</v>
      </c>
      <c r="I1056" s="5"/>
      <c r="J1056" s="5" t="s">
        <v>603</v>
      </c>
      <c r="K1056" s="5"/>
      <c r="L1056" s="5" t="s">
        <v>603</v>
      </c>
      <c r="M1056" s="5"/>
      <c r="N1056" s="5" t="s">
        <v>603</v>
      </c>
      <c r="O1056" s="5"/>
      <c r="P1056" s="5" t="s">
        <v>603</v>
      </c>
      <c r="Q1056" s="5"/>
      <c r="R1056" s="5" t="s">
        <v>603</v>
      </c>
      <c r="S1056" s="5"/>
      <c r="T1056" s="5">
        <v>70.0</v>
      </c>
      <c r="U1056" s="5"/>
      <c r="V1056" s="5" t="s">
        <v>603</v>
      </c>
      <c r="W1056" s="5"/>
      <c r="X1056" s="5" t="s">
        <v>603</v>
      </c>
      <c r="Y1056" s="5"/>
      <c r="Z1056" s="5" t="s">
        <v>603</v>
      </c>
      <c r="AA1056" s="5"/>
      <c r="AB1056" s="5"/>
      <c r="AC1056" s="47">
        <v>70.0</v>
      </c>
    </row>
    <row r="1057" hidden="1">
      <c r="A1057" s="222" t="str">
        <f t="array" ref="A1057:A1058">{"FormulaRow27";(INDEX(CLASSLIST,A1004,1))}</f>
        <v>FormulaRow27</v>
      </c>
      <c r="B1057" s="77" t="s">
        <v>236</v>
      </c>
      <c r="C1057" s="222" t="str">
        <f t="array" ref="C1057:C1058">{"CLASSTYPE";((INDEX(ALLCLASSDATA,MATCH("ClassType",CLASSFEATUREHEADERS,0),MATCH($A1058,CLASSNAMEHEADERS,0))))}</f>
        <v>CLASSTYPE</v>
      </c>
      <c r="D1057" s="222" t="str">
        <f t="array" ref="D1057:D1058">{"ATTACK";"Attack"}</f>
        <v>ATTACK</v>
      </c>
      <c r="E1057" s="222" t="str">
        <f t="array" ref="E1057:E1058">{"UNARMED";"Unarmed"}</f>
        <v>UNARMED</v>
      </c>
      <c r="F1057" s="223" t="str">
        <f t="array" ref="F1057:F1058">{"UNARMEDINITIAL";((IF(H1058=10,"T",(IF(H1058=50,"E","")))))}</f>
        <v>UNARMEDINITIAL</v>
      </c>
      <c r="G1057" s="223" t="str">
        <f t="array" ref="G1057:G1058">{"UNARMEDINITIALPTS";((IF("00"=(INDEX(ALLCLASSDATA,MATCH("UnarmedLegendary",CLASSFEATUREHEADERS,0),MATCH($A1058,CLASSNAMEHEADERS,0))),(INDEX(ALLCLASSDATA,MATCH("UnarmedLegendary",CLASSFEATUREHEADERS,0),MATCH(($A1058 &amp; "Points"),CLASSNAMEHEADERS,0))),(IF("00"=(INDEX(ALLCLASSDATA,MATCH("UnarmedMaster",CLASSFEATUREHEADERS,0),MATCH($A1058,CLASSNAMEHEADERS,0))),(INDEX(ALLCLASSDATA,MATCH("UnarmedMaster",CLASSFEATUREHEADERS,0),MATCH(($A1058 &amp; "Points"),CLASSNAMEHEADERS,0))),(IF("00"=(INDEX(ALLCLASSDATA,MATCH("UnarmedExpert",CLASSFEATUREHEADERS,0),MATCH($A1058,CLASSNAMEHEADERS,0))),(INDEX(ALLCLASSDATA,MATCH("UnarmedExpert",CLASSFEATUREHEADERS,0),MATCH(($A1058 &amp; "Points"),CLASSNAMEHEADERS,0))),(IF("00"=(INDEX(ALLCLASSDATA,MATCH("UnarmedTrained",CLASSFEATUREHEADERS,0),MATCH($A1058,CLASSNAMEHEADERS,0))),(INDEX(ALLCLASSDATA,MATCH("UnarmedTrained",CLASSFEATUREHEADERS,0),MATCH(($A1058 &amp; "Points"),CLASSNAMEHEADERS,0))),"")))))))))}</f>
        <v>UNARMEDINITIALPTS</v>
      </c>
      <c r="H1057" s="223" t="str">
        <f t="array" ref="H1057:H1058">{"UNARMEDL01";((IF("01"=(INDEX(ALLCLASSDATA,MATCH("UnarmedLegendary",CLASSFEATUREHEADERS,0),MATCH($A1058,CLASSNAMEHEADERS,0))),(INDEX(ALLCLASSDATA,MATCH("UnarmedLegendary",CLASSFEATUREHEADERS,0),MATCH(($A1058 &amp; "Points"),CLASSNAMEHEADERS,0))),(IF("01"=(INDEX(ALLCLASSDATA,MATCH("UnarmedMaster",CLASSFEATUREHEADERS,0),MATCH($A1058,CLASSNAMEHEADERS,0))),(INDEX(ALLCLASSDATA,MATCH("UnarmedMaster",CLASSFEATUREHEADERS,0),MATCH(($A1058 &amp; "Points"),CLASSNAMEHEADERS,0))),(IF("01"=(INDEX(ALLCLASSDATA,MATCH("UnarmedExpert",CLASSFEATUREHEADERS,0),MATCH($A1058,CLASSNAMEHEADERS,0))),(INDEX(ALLCLASSDATA,MATCH("UnarmedExpert",CLASSFEATUREHEADERS,0),MATCH(($A1058 &amp; "Points"),CLASSNAMEHEADERS,0))),(IF("01"=(INDEX(ALLCLASSDATA,MATCH("UnarmedTrained",CLASSFEATUREHEADERS,0),MATCH($A1058,CLASSNAMEHEADERS,0))),(INDEX(ALLCLASSDATA,MATCH("UnarmedTrained",CLASSFEATUREHEADERS,0),MATCH(($A1058 &amp; "Points"),CLASSNAMEHEADERS,0))),"")))))))))}</f>
        <v>UNARMEDL01</v>
      </c>
      <c r="I1057" s="223"/>
      <c r="J1057" s="223" t="str">
        <f t="array" ref="J1057:J1058">{"UNARMEDL03";((IF("03"=(INDEX(ALLCLASSDATA,MATCH("UnarmedLegendary",CLASSFEATUREHEADERS,0),MATCH($A1058,CLASSNAMEHEADERS,0))),(INDEX(ALLCLASSDATA,MATCH("UnarmedLegendary",CLASSFEATUREHEADERS,0),MATCH(($A1058 &amp; "Points"),CLASSNAMEHEADERS,0))),(IF("03"=(INDEX(ALLCLASSDATA,MATCH("UnarmedMaster",CLASSFEATUREHEADERS,0),MATCH($A1058,CLASSNAMEHEADERS,0))),(INDEX(ALLCLASSDATA,MATCH("UnarmedMaster",CLASSFEATUREHEADERS,0),MATCH(($A1058 &amp; "Points"),CLASSNAMEHEADERS,0))),(IF("03"=(INDEX(ALLCLASSDATA,MATCH("UnarmedExpert",CLASSFEATUREHEADERS,0),MATCH($A1058,CLASSNAMEHEADERS,0))),(INDEX(ALLCLASSDATA,MATCH("UnarmedExpert",CLASSFEATUREHEADERS,0),MATCH(($A1058 &amp; "Points"),CLASSNAMEHEADERS,0))),(IF("03"=(INDEX(ALLCLASSDATA,MATCH("UnarmedTrained",CLASSFEATUREHEADERS,0),MATCH($A1058,CLASSNAMEHEADERS,0))),(INDEX(ALLCLASSDATA,MATCH("UnarmedTrained",CLASSFEATUREHEADERS,0),MATCH(($A1058 &amp; "Points"),CLASSNAMEHEADERS,0))),"")))))))))}</f>
        <v>UNARMEDL03</v>
      </c>
      <c r="K1057" s="223"/>
      <c r="L1057" s="223" t="str">
        <f t="array" ref="L1057:L1058">{"UNARMEDL05";((IF("05"=(INDEX(ALLCLASSDATA,MATCH("UnarmedLegendary",CLASSFEATUREHEADERS,0),MATCH($A1058,CLASSNAMEHEADERS,0))),(INDEX(ALLCLASSDATA,MATCH("UnarmedLegendary",CLASSFEATUREHEADERS,0),MATCH(($A1058 &amp; "Points"),CLASSNAMEHEADERS,0))),(IF("05"=(INDEX(ALLCLASSDATA,MATCH("UnarmedMaster",CLASSFEATUREHEADERS,0),MATCH($A1058,CLASSNAMEHEADERS,0))),(INDEX(ALLCLASSDATA,MATCH("UnarmedMaster",CLASSFEATUREHEADERS,0),MATCH(($A1058 &amp; "Points"),CLASSNAMEHEADERS,0))),(IF("05"=(INDEX(ALLCLASSDATA,MATCH("UnarmedExpert",CLASSFEATUREHEADERS,0),MATCH($A1058,CLASSNAMEHEADERS,0))),(INDEX(ALLCLASSDATA,MATCH("UnarmedExpert",CLASSFEATUREHEADERS,0),MATCH(($A1058 &amp; "Points"),CLASSNAMEHEADERS,0))),(IF("05"=(INDEX(ALLCLASSDATA,MATCH("UnarmedTrained",CLASSFEATUREHEADERS,0),MATCH($A1058,CLASSNAMEHEADERS,0))),(INDEX(ALLCLASSDATA,MATCH("UnarmedTrained",CLASSFEATUREHEADERS,0),MATCH(($A1058 &amp; "Points"),CLASSNAMEHEADERS,0))),"")))))))))}</f>
        <v>UNARMEDL05</v>
      </c>
      <c r="M1057" s="223"/>
      <c r="N1057" s="223" t="str">
        <f t="array" ref="N1057:N1058">{"UNARMEDL07";((IF("07"=(INDEX(ALLCLASSDATA,MATCH("UnarmedLegendary",CLASSFEATUREHEADERS,0),MATCH($A1058,CLASSNAMEHEADERS,0))),(INDEX(ALLCLASSDATA,MATCH("UnarmedLegendary",CLASSFEATUREHEADERS,0),MATCH(($A1058 &amp; "Points"),CLASSNAMEHEADERS,0))),(IF("07"=(INDEX(ALLCLASSDATA,MATCH("UnarmedMaster",CLASSFEATUREHEADERS,0),MATCH($A1058,CLASSNAMEHEADERS,0))),(INDEX(ALLCLASSDATA,MATCH("UnarmedMaster",CLASSFEATUREHEADERS,0),MATCH(($A1058 &amp; "Points"),CLASSNAMEHEADERS,0))),(IF("07"=(INDEX(ALLCLASSDATA,MATCH("UnarmedExpert",CLASSFEATUREHEADERS,0),MATCH($A1058,CLASSNAMEHEADERS,0))),(INDEX(ALLCLASSDATA,MATCH("UnarmedExpert",CLASSFEATUREHEADERS,0),MATCH(($A1058 &amp; "Points"),CLASSNAMEHEADERS,0))),(IF("07"=(INDEX(ALLCLASSDATA,MATCH("UnarmedTrained",CLASSFEATUREHEADERS,0),MATCH($A1058,CLASSNAMEHEADERS,0))),(INDEX(ALLCLASSDATA,MATCH("UnarmedTrained",CLASSFEATUREHEADERS,0),MATCH(($A1058 &amp; "Points"),CLASSNAMEHEADERS,0))),"")))))))))}</f>
        <v>UNARMEDL07</v>
      </c>
      <c r="O1057" s="223"/>
      <c r="P1057" s="223" t="str">
        <f t="array" ref="P1057:P1058">{"UNARMEDL09";((IF("09"=(INDEX(ALLCLASSDATA,MATCH("UnarmedLegendary",CLASSFEATUREHEADERS,0),MATCH($A1058,CLASSNAMEHEADERS,0))),(INDEX(ALLCLASSDATA,MATCH("UnarmedLegendary",CLASSFEATUREHEADERS,0),MATCH(($A1058 &amp; "Points"),CLASSNAMEHEADERS,0))),(IF("09"=(INDEX(ALLCLASSDATA,MATCH("UnarmedMaster",CLASSFEATUREHEADERS,0),MATCH($A1058,CLASSNAMEHEADERS,0))),(INDEX(ALLCLASSDATA,MATCH("UnarmedMaster",CLASSFEATUREHEADERS,0),MATCH(($A1058 &amp; "Points"),CLASSNAMEHEADERS,0))),(IF("09"=(INDEX(ALLCLASSDATA,MATCH("UnarmedExpert",CLASSFEATUREHEADERS,0),MATCH($A1058,CLASSNAMEHEADERS,0))),(INDEX(ALLCLASSDATA,MATCH("UnarmedExpert",CLASSFEATUREHEADERS,0),MATCH(($A1058 &amp; "Points"),CLASSNAMEHEADERS,0))),(IF("09"=(INDEX(ALLCLASSDATA,MATCH("UnarmedTrained",CLASSFEATUREHEADERS,0),MATCH($A1058,CLASSNAMEHEADERS,0))),(INDEX(ALLCLASSDATA,MATCH("UnarmedTrained",CLASSFEATUREHEADERS,0),MATCH(($A1058 &amp; "Points"),CLASSNAMEHEADERS,0))),"")))))))))}</f>
        <v>UNARMEDL09</v>
      </c>
      <c r="Q1057" s="223"/>
      <c r="R1057" s="223" t="str">
        <f t="array" ref="R1057:R1058">{"UNARMEDL11";((IF("11"=(INDEX(ALLCLASSDATA,MATCH("UnarmedLegendary",CLASSFEATUREHEADERS,0),MATCH($A1058,CLASSNAMEHEADERS,0))),(INDEX(ALLCLASSDATA,MATCH("UnarmedLegendary",CLASSFEATUREHEADERS,0),MATCH(($A1058 &amp; "Points"),CLASSNAMEHEADERS,0))),(IF("11"=(INDEX(ALLCLASSDATA,MATCH("UnarmedMaster",CLASSFEATUREHEADERS,0),MATCH($A1058,CLASSNAMEHEADERS,0))),(INDEX(ALLCLASSDATA,MATCH("UnarmedMaster",CLASSFEATUREHEADERS,0),MATCH(($A1058 &amp; "Points"),CLASSNAMEHEADERS,0))),(IF("11"=(INDEX(ALLCLASSDATA,MATCH("UnarmedExpert",CLASSFEATUREHEADERS,0),MATCH($A1058,CLASSNAMEHEADERS,0))),(INDEX(ALLCLASSDATA,MATCH("UnarmedExpert",CLASSFEATUREHEADERS,0),MATCH(($A1058 &amp; "Points"),CLASSNAMEHEADERS,0))),(IF("11"=(INDEX(ALLCLASSDATA,MATCH("UnarmedTrained",CLASSFEATUREHEADERS,0),MATCH($A1058,CLASSNAMEHEADERS,0))),(INDEX(ALLCLASSDATA,MATCH("UnarmedTrained",CLASSFEATUREHEADERS,0),MATCH(($A1058 &amp; "Points"),CLASSNAMEHEADERS,0))),"")))))))))}</f>
        <v>UNARMEDL11</v>
      </c>
      <c r="S1057" s="223"/>
      <c r="T1057" s="223" t="str">
        <f t="array" ref="T1057:T1058">{"UNARMEDL13";((IF("13"=(INDEX(ALLCLASSDATA,MATCH("UnarmedLegendary",CLASSFEATUREHEADERS,0),MATCH($A1058,CLASSNAMEHEADERS,0))),(INDEX(ALLCLASSDATA,MATCH("UnarmedLegendary",CLASSFEATUREHEADERS,0),MATCH(($A1058 &amp; "Points"),CLASSNAMEHEADERS,0))),(IF("13"=(INDEX(ALLCLASSDATA,MATCH("UnarmedMaster",CLASSFEATUREHEADERS,0),MATCH($A1058,CLASSNAMEHEADERS,0))),(INDEX(ALLCLASSDATA,MATCH("UnarmedMaster",CLASSFEATUREHEADERS,0),MATCH(($A1058 &amp; "Points"),CLASSNAMEHEADERS,0))),(IF("13"=(INDEX(ALLCLASSDATA,MATCH("UnarmedExpert",CLASSFEATUREHEADERS,0),MATCH($A1058,CLASSNAMEHEADERS,0))),(INDEX(ALLCLASSDATA,MATCH("UnarmedExpert",CLASSFEATUREHEADERS,0),MATCH(($A1058 &amp; "Points"),CLASSNAMEHEADERS,0))),(IF("13"=(INDEX(ALLCLASSDATA,MATCH("UnarmedTrained",CLASSFEATUREHEADERS,0),MATCH($A1058,CLASSNAMEHEADERS,0))),(INDEX(ALLCLASSDATA,MATCH("UnarmedTrained",CLASSFEATUREHEADERS,0),MATCH(($A1058 &amp; "Points"),CLASSNAMEHEADERS,0))),"")))))))))}</f>
        <v>UNARMEDL13</v>
      </c>
      <c r="U1057" s="223"/>
      <c r="V1057" s="223" t="str">
        <f t="array" ref="V1057:V1058">{"UNARMEDL15";((IF("15"=(INDEX(ALLCLASSDATA,MATCH("UnarmedLegendary",CLASSFEATUREHEADERS,0),MATCH($A1058,CLASSNAMEHEADERS,0))),(INDEX(ALLCLASSDATA,MATCH("UnarmedLegendary",CLASSFEATUREHEADERS,0),MATCH(($A1058 &amp; "Points"),CLASSNAMEHEADERS,0))),(IF("15"=(INDEX(ALLCLASSDATA,MATCH("UnarmedMaster",CLASSFEATUREHEADERS,0),MATCH($A1058,CLASSNAMEHEADERS,0))),(INDEX(ALLCLASSDATA,MATCH("UnarmedMaster",CLASSFEATUREHEADERS,0),MATCH(($A1058 &amp; "Points"),CLASSNAMEHEADERS,0))),(IF("15"=(INDEX(ALLCLASSDATA,MATCH("UnarmedExpert",CLASSFEATUREHEADERS,0),MATCH($A1058,CLASSNAMEHEADERS,0))),(INDEX(ALLCLASSDATA,MATCH("UnarmedExpert",CLASSFEATUREHEADERS,0),MATCH(($A1058 &amp; "Points"),CLASSNAMEHEADERS,0))),(IF("15"=(INDEX(ALLCLASSDATA,MATCH("UnarmedTrained",CLASSFEATUREHEADERS,0),MATCH($A1058,CLASSNAMEHEADERS,0))),(INDEX(ALLCLASSDATA,MATCH("UnarmedTrained",CLASSFEATUREHEADERS,0),MATCH(($A1058 &amp; "Points"),CLASSNAMEHEADERS,0))),"")))))))))}</f>
        <v>UNARMEDL15</v>
      </c>
      <c r="W1057" s="223"/>
      <c r="X1057" s="223" t="str">
        <f t="array" ref="X1057:X1058">{"UNARMEDL17";((IF("17"=(INDEX(ALLCLASSDATA,MATCH("UnarmedLegendary",CLASSFEATUREHEADERS,0),MATCH($A1058,CLASSNAMEHEADERS,0))),(INDEX(ALLCLASSDATA,MATCH("UnarmedLegendary",CLASSFEATUREHEADERS,0),MATCH(($A1058 &amp; "Points"),CLASSNAMEHEADERS,0))),(IF("17"=(INDEX(ALLCLASSDATA,MATCH("UnarmedMaster",CLASSFEATUREHEADERS,0),MATCH($A1058,CLASSNAMEHEADERS,0))),(INDEX(ALLCLASSDATA,MATCH("UnarmedMaster",CLASSFEATUREHEADERS,0),MATCH(($A1058 &amp; "Points"),CLASSNAMEHEADERS,0))),(IF("17"=(INDEX(ALLCLASSDATA,MATCH("UnarmedExpert",CLASSFEATUREHEADERS,0),MATCH($A1058,CLASSNAMEHEADERS,0))),(INDEX(ALLCLASSDATA,MATCH("UnarmedExpert",CLASSFEATUREHEADERS,0),MATCH(($A1058 &amp; "Points"),CLASSNAMEHEADERS,0))),(IF("17"=(INDEX(ALLCLASSDATA,MATCH("UnarmedTrained",CLASSFEATUREHEADERS,0),MATCH($A1058,CLASSNAMEHEADERS,0))),(INDEX(ALLCLASSDATA,MATCH("UnarmedTrained",CLASSFEATUREHEADERS,0),MATCH(($A1058 &amp; "Points"),CLASSNAMEHEADERS,0))),"")))))))))}</f>
        <v>UNARMEDL17</v>
      </c>
      <c r="Y1057" s="223"/>
      <c r="Z1057" s="223" t="str">
        <f t="array" ref="Z1057:Z1058">{"UNARMEDL19";((IF("19"=(INDEX(ALLCLASSDATA,MATCH("UnarmedLegendary",CLASSFEATUREHEADERS,0),MATCH($A1058,CLASSNAMEHEADERS,0))),(INDEX(ALLCLASSDATA,MATCH("UnarmedLegendary",CLASSFEATUREHEADERS,0),MATCH(($A1058 &amp; "Points"),CLASSNAMEHEADERS,0))),(IF("19"=(INDEX(ALLCLASSDATA,MATCH("UnarmedMaster",CLASSFEATUREHEADERS,0),MATCH($A1058,CLASSNAMEHEADERS,0))),(INDEX(ALLCLASSDATA,MATCH("UnarmedMaster",CLASSFEATUREHEADERS,0),MATCH(($A1058 &amp; "Points"),CLASSNAMEHEADERS,0))),(IF("19"=(INDEX(ALLCLASSDATA,MATCH("UnarmedExpert",CLASSFEATUREHEADERS,0),MATCH($A1058,CLASSNAMEHEADERS,0))),(INDEX(ALLCLASSDATA,MATCH("UnarmedExpert",CLASSFEATUREHEADERS,0),MATCH(($A1058 &amp; "Points"),CLASSNAMEHEADERS,0))),(IF("19"=(INDEX(ALLCLASSDATA,MATCH("UnarmedTrained",CLASSFEATUREHEADERS,0),MATCH($A1058,CLASSNAMEHEADERS,0))),(INDEX(ALLCLASSDATA,MATCH("UnarmedTrained",CLASSFEATUREHEADERS,0),MATCH(($A1058 &amp; "Points"),CLASSNAMEHEADERS,0))),"")))))))))}</f>
        <v>UNARMEDL19</v>
      </c>
      <c r="AA1057" s="223"/>
      <c r="AB1057" s="76" t="str">
        <f t="array" ref="AB1057:AB1058">{"UNARMED TOTAL";(IF(COUNTBLANK(G1058:AA1058)=17,"L",(IF(COUNTBLANK(G1058:AA1058)=18,"M",(IF(COUNTBLANK(G1058:AA1058)=19,"E",(IF(COUNTBLANK(G1058:AA1058)=20,"T",""))))))))}</f>
        <v>UNARMED TOTAL</v>
      </c>
      <c r="AC1057" s="76" t="str">
        <f t="array" ref="AC1057:AC1058">{"UNARMED TOTAL";(sum(G1058:AA1058))}</f>
        <v>UNARMED TOTAL</v>
      </c>
    </row>
    <row r="1058">
      <c r="A1058" s="48" t="s">
        <v>189</v>
      </c>
      <c r="B1058" s="48"/>
      <c r="C1058" s="48" t="s">
        <v>412</v>
      </c>
      <c r="D1058" s="48" t="s">
        <v>1634</v>
      </c>
      <c r="E1058" s="48" t="s">
        <v>257</v>
      </c>
      <c r="F1058" s="5" t="s">
        <v>435</v>
      </c>
      <c r="G1058" s="47" t="s">
        <v>603</v>
      </c>
      <c r="H1058" s="5">
        <v>10.0</v>
      </c>
      <c r="I1058" s="5"/>
      <c r="J1058" s="5" t="s">
        <v>603</v>
      </c>
      <c r="K1058" s="5"/>
      <c r="L1058" s="5" t="s">
        <v>603</v>
      </c>
      <c r="M1058" s="5"/>
      <c r="N1058" s="5" t="s">
        <v>436</v>
      </c>
      <c r="O1058" s="5"/>
      <c r="P1058" s="5" t="s">
        <v>603</v>
      </c>
      <c r="Q1058" s="5"/>
      <c r="R1058" s="5" t="s">
        <v>603</v>
      </c>
      <c r="S1058" s="5"/>
      <c r="T1058" s="5" t="s">
        <v>603</v>
      </c>
      <c r="U1058" s="5"/>
      <c r="V1058" s="5" t="s">
        <v>603</v>
      </c>
      <c r="W1058" s="5"/>
      <c r="X1058" s="5" t="s">
        <v>603</v>
      </c>
      <c r="Y1058" s="5"/>
      <c r="Z1058" s="5" t="s">
        <v>603</v>
      </c>
      <c r="AA1058" s="5"/>
      <c r="AB1058" s="5" t="s">
        <v>436</v>
      </c>
      <c r="AC1058" s="47">
        <v>10.0</v>
      </c>
    </row>
    <row r="1059" hidden="1">
      <c r="A1059" s="222" t="str">
        <f t="array" ref="A1059:A1060">{"FormulaRow28";(INDEX(CLASSLIST,A1004,1))}</f>
        <v>FormulaRow28</v>
      </c>
      <c r="B1059" s="77" t="s">
        <v>236</v>
      </c>
      <c r="C1059" s="222" t="str">
        <f t="array" ref="C1059:C1060">{"CLASSTYPE";((INDEX(ALLCLASSDATA,MATCH("ClassType",CLASSFEATUREHEADERS,0),MATCH($A1060,CLASSNAMEHEADERS,0))))}</f>
        <v>CLASSTYPE</v>
      </c>
      <c r="D1059" s="222" t="str">
        <f t="array" ref="D1059:D1060">{"ATTACK";"Attack"}</f>
        <v>ATTACK</v>
      </c>
      <c r="E1059" s="222" t="str">
        <f t="array" ref="E1059:E1060">{"SIMPLELIMITED";"SimpleLimited"}</f>
        <v>SIMPLELIMITED</v>
      </c>
      <c r="F1059" s="223" t="str">
        <f t="array" ref="F1059:F1060">{"SIMPLELIMITEDINITIAL";((IF(H1060=10,"T",(IF(H1060=50,"E","")))))}</f>
        <v>SIMPLELIMITEDINITIAL</v>
      </c>
      <c r="G1059" s="223" t="str">
        <f t="array" ref="G1059:G1060">{"SIMPLELIMITEDINITIALPTS";((IF("00"=(INDEX(ALLCLASSDATA,MATCH("SimpleLimitedLegendary",CLASSFEATUREHEADERS,0),MATCH($A1060,CLASSNAMEHEADERS,0))),(INDEX(ALLCLASSDATA,MATCH("SimpleLimitedLegendary",CLASSFEATUREHEADERS,0),MATCH(($A1060 &amp; "Points"),CLASSNAMEHEADERS,0))),(IF("00"=(INDEX(ALLCLASSDATA,MATCH("SimpleLimitedMaster",CLASSFEATUREHEADERS,0),MATCH($A1060,CLASSNAMEHEADERS,0))),(INDEX(ALLCLASSDATA,MATCH("SimpleLimitedMaster",CLASSFEATUREHEADERS,0),MATCH(($A1060 &amp; "Points"),CLASSNAMEHEADERS,0))),(IF("00"=(INDEX(ALLCLASSDATA,MATCH("SimpleLimitedExpert",CLASSFEATUREHEADERS,0),MATCH($A1060,CLASSNAMEHEADERS,0))),(INDEX(ALLCLASSDATA,MATCH("SimpleLimitedExpert",CLASSFEATUREHEADERS,0),MATCH(($A1060 &amp; "Points"),CLASSNAMEHEADERS,0))),(IF("00"=(INDEX(ALLCLASSDATA,MATCH("SimpleLimitedTrained",CLASSFEATUREHEADERS,0),MATCH($A1060,CLASSNAMEHEADERS,0))),(INDEX(ALLCLASSDATA,MATCH("SimpleLimitedTrained",CLASSFEATUREHEADERS,0),MATCH(($A1060 &amp; "Points"),CLASSNAMEHEADERS,0))),"")))))))))}</f>
        <v>SIMPLELIMITEDINITIALPTS</v>
      </c>
      <c r="H1059" s="223" t="str">
        <f t="array" ref="H1059:H1060">{"SIMPLELIMITEDL01";((IF("01"=(INDEX(ALLCLASSDATA,MATCH("SimpleLimitedLegendary",CLASSFEATUREHEADERS,0),MATCH($A1060,CLASSNAMEHEADERS,0))),(INDEX(ALLCLASSDATA,MATCH("SimpleLimitedLegendary",CLASSFEATUREHEADERS,0),MATCH(($A1060 &amp; "Points"),CLASSNAMEHEADERS,0))),(IF("01"=(INDEX(ALLCLASSDATA,MATCH("SimpleLimitedMaster",CLASSFEATUREHEADERS,0),MATCH($A1060,CLASSNAMEHEADERS,0))),(INDEX(ALLCLASSDATA,MATCH("SimpleLimitedMaster",CLASSFEATUREHEADERS,0),MATCH(($A1060 &amp; "Points"),CLASSNAMEHEADERS,0))),(IF("01"=(INDEX(ALLCLASSDATA,MATCH("SimpleLimitedExpert",CLASSFEATUREHEADERS,0),MATCH($A1060,CLASSNAMEHEADERS,0))),(INDEX(ALLCLASSDATA,MATCH("SimpleLimitedExpert",CLASSFEATUREHEADERS,0),MATCH(($A1060 &amp; "Points"),CLASSNAMEHEADERS,0))),(IF("01"=(INDEX(ALLCLASSDATA,MATCH("SimpleLimitedTrained",CLASSFEATUREHEADERS,0),MATCH($A1060,CLASSNAMEHEADERS,0))),(INDEX(ALLCLASSDATA,MATCH("SimpleLimitedTrained",CLASSFEATUREHEADERS,0),MATCH(($A1060 &amp; "Points"),CLASSNAMEHEADERS,0))),"")))))))))}</f>
        <v>SIMPLELIMITEDL01</v>
      </c>
      <c r="I1059" s="223"/>
      <c r="J1059" s="223" t="str">
        <f t="array" ref="J1059:J1060">{"SIMPLELIMITEDL03";((IF("03"=(INDEX(ALLCLASSDATA,MATCH("SimpleLimitedLegendary",CLASSFEATUREHEADERS,0),MATCH($A1060,CLASSNAMEHEADERS,0))),(INDEX(ALLCLASSDATA,MATCH("SimpleLimitedLegendary",CLASSFEATUREHEADERS,0),MATCH(($A1060 &amp; "Points"),CLASSNAMEHEADERS,0))),(IF("03"=(INDEX(ALLCLASSDATA,MATCH("SimpleLimitedMaster",CLASSFEATUREHEADERS,0),MATCH($A1060,CLASSNAMEHEADERS,0))),(INDEX(ALLCLASSDATA,MATCH("SimpleLimitedMaster",CLASSFEATUREHEADERS,0),MATCH(($A1060 &amp; "Points"),CLASSNAMEHEADERS,0))),(IF("03"=(INDEX(ALLCLASSDATA,MATCH("SimpleLimitedExpert",CLASSFEATUREHEADERS,0),MATCH($A1060,CLASSNAMEHEADERS,0))),(INDEX(ALLCLASSDATA,MATCH("SimpleLimitedExpert",CLASSFEATUREHEADERS,0),MATCH(($A1060 &amp; "Points"),CLASSNAMEHEADERS,0))),(IF("03"=(INDEX(ALLCLASSDATA,MATCH("SimpleLimitedTrained",CLASSFEATUREHEADERS,0),MATCH($A1060,CLASSNAMEHEADERS,0))),(INDEX(ALLCLASSDATA,MATCH("SimpleLimitedTrained",CLASSFEATUREHEADERS,0),MATCH(($A1060 &amp; "Points"),CLASSNAMEHEADERS,0))),"")))))))))}</f>
        <v>SIMPLELIMITEDL03</v>
      </c>
      <c r="K1059" s="223"/>
      <c r="L1059" s="223" t="str">
        <f t="array" ref="L1059:L1060">{"SIMPLELIMITEDL05";((IF("05"=(INDEX(ALLCLASSDATA,MATCH("SimpleLimitedLegendary",CLASSFEATUREHEADERS,0),MATCH($A1060,CLASSNAMEHEADERS,0))),(INDEX(ALLCLASSDATA,MATCH("SimpleLimitedLegendary",CLASSFEATUREHEADERS,0),MATCH(($A1060 &amp; "Points"),CLASSNAMEHEADERS,0))),(IF("05"=(INDEX(ALLCLASSDATA,MATCH("SimpleLimitedMaster",CLASSFEATUREHEADERS,0),MATCH($A1060,CLASSNAMEHEADERS,0))),(INDEX(ALLCLASSDATA,MATCH("SimpleLimitedMaster",CLASSFEATUREHEADERS,0),MATCH(($A1060 &amp; "Points"),CLASSNAMEHEADERS,0))),(IF("05"=(INDEX(ALLCLASSDATA,MATCH("SimpleLimitedExpert",CLASSFEATUREHEADERS,0),MATCH($A1060,CLASSNAMEHEADERS,0))),(INDEX(ALLCLASSDATA,MATCH("SimpleLimitedExpert",CLASSFEATUREHEADERS,0),MATCH(($A1060 &amp; "Points"),CLASSNAMEHEADERS,0))),(IF("05"=(INDEX(ALLCLASSDATA,MATCH("SimpleLimitedTrained",CLASSFEATUREHEADERS,0),MATCH($A1060,CLASSNAMEHEADERS,0))),(INDEX(ALLCLASSDATA,MATCH("SimpleLimitedTrained",CLASSFEATUREHEADERS,0),MATCH(($A1060 &amp; "Points"),CLASSNAMEHEADERS,0))),"")))))))))}</f>
        <v>SIMPLELIMITEDL05</v>
      </c>
      <c r="M1059" s="223"/>
      <c r="N1059" s="223" t="str">
        <f t="array" ref="N1059:N1060">{"SIMPLELIMITEDL07";((IF("07"=(INDEX(ALLCLASSDATA,MATCH("SimpleLimitedLegendary",CLASSFEATUREHEADERS,0),MATCH($A1060,CLASSNAMEHEADERS,0))),(INDEX(ALLCLASSDATA,MATCH("SimpleLimitedLegendary",CLASSFEATUREHEADERS,0),MATCH(($A1060 &amp; "Points"),CLASSNAMEHEADERS,0))),(IF("07"=(INDEX(ALLCLASSDATA,MATCH("SimpleLimitedMaster",CLASSFEATUREHEADERS,0),MATCH($A1060,CLASSNAMEHEADERS,0))),(INDEX(ALLCLASSDATA,MATCH("SimpleLimitedMaster",CLASSFEATUREHEADERS,0),MATCH(($A1060 &amp; "Points"),CLASSNAMEHEADERS,0))),(IF("07"=(INDEX(ALLCLASSDATA,MATCH("SimpleLimitedExpert",CLASSFEATUREHEADERS,0),MATCH($A1060,CLASSNAMEHEADERS,0))),(INDEX(ALLCLASSDATA,MATCH("SimpleLimitedExpert",CLASSFEATUREHEADERS,0),MATCH(($A1060 &amp; "Points"),CLASSNAMEHEADERS,0))),(IF("07"=(INDEX(ALLCLASSDATA,MATCH("SimpleLimitedTrained",CLASSFEATUREHEADERS,0),MATCH($A1060,CLASSNAMEHEADERS,0))),(INDEX(ALLCLASSDATA,MATCH("SimpleLimitedTrained",CLASSFEATUREHEADERS,0),MATCH(($A1060 &amp; "Points"),CLASSNAMEHEADERS,0))),"")))))))))}</f>
        <v>SIMPLELIMITEDL07</v>
      </c>
      <c r="O1059" s="223"/>
      <c r="P1059" s="223" t="str">
        <f t="array" ref="P1059:P1060">{"SIMPLELIMITEDL09";((IF("09"=(INDEX(ALLCLASSDATA,MATCH("SimpleLimitedLegendary",CLASSFEATUREHEADERS,0),MATCH($A1060,CLASSNAMEHEADERS,0))),(INDEX(ALLCLASSDATA,MATCH("SimpleLimitedLegendary",CLASSFEATUREHEADERS,0),MATCH(($A1060 &amp; "Points"),CLASSNAMEHEADERS,0))),(IF("09"=(INDEX(ALLCLASSDATA,MATCH("SimpleLimitedMaster",CLASSFEATUREHEADERS,0),MATCH($A1060,CLASSNAMEHEADERS,0))),(INDEX(ALLCLASSDATA,MATCH("SimpleLimitedMaster",CLASSFEATUREHEADERS,0),MATCH(($A1060 &amp; "Points"),CLASSNAMEHEADERS,0))),(IF("09"=(INDEX(ALLCLASSDATA,MATCH("SimpleLimitedExpert",CLASSFEATUREHEADERS,0),MATCH($A1060,CLASSNAMEHEADERS,0))),(INDEX(ALLCLASSDATA,MATCH("SimpleLimitedExpert",CLASSFEATUREHEADERS,0),MATCH(($A1060 &amp; "Points"),CLASSNAMEHEADERS,0))),(IF("09"=(INDEX(ALLCLASSDATA,MATCH("SimpleLimitedTrained",CLASSFEATUREHEADERS,0),MATCH($A1060,CLASSNAMEHEADERS,0))),(INDEX(ALLCLASSDATA,MATCH("SimpleLimitedTrained",CLASSFEATUREHEADERS,0),MATCH(($A1060 &amp; "Points"),CLASSNAMEHEADERS,0))),"")))))))))}</f>
        <v>SIMPLELIMITEDL09</v>
      </c>
      <c r="Q1059" s="223"/>
      <c r="R1059" s="223" t="str">
        <f t="array" ref="R1059:R1060">{"SIMPLELIMITEDL11";((IF("11"=(INDEX(ALLCLASSDATA,MATCH("SimpleLimitedLegendary",CLASSFEATUREHEADERS,0),MATCH($A1060,CLASSNAMEHEADERS,0))),(INDEX(ALLCLASSDATA,MATCH("SimpleLimitedLegendary",CLASSFEATUREHEADERS,0),MATCH(($A1060 &amp; "Points"),CLASSNAMEHEADERS,0))),(IF("11"=(INDEX(ALLCLASSDATA,MATCH("SimpleLimitedMaster",CLASSFEATUREHEADERS,0),MATCH($A1060,CLASSNAMEHEADERS,0))),(INDEX(ALLCLASSDATA,MATCH("SimpleLimitedMaster",CLASSFEATUREHEADERS,0),MATCH(($A1060 &amp; "Points"),CLASSNAMEHEADERS,0))),(IF("11"=(INDEX(ALLCLASSDATA,MATCH("SimpleLimitedExpert",CLASSFEATUREHEADERS,0),MATCH($A1060,CLASSNAMEHEADERS,0))),(INDEX(ALLCLASSDATA,MATCH("SimpleLimitedExpert",CLASSFEATUREHEADERS,0),MATCH(($A1060 &amp; "Points"),CLASSNAMEHEADERS,0))),(IF("11"=(INDEX(ALLCLASSDATA,MATCH("SimpleLimitedTrained",CLASSFEATUREHEADERS,0),MATCH($A1060,CLASSNAMEHEADERS,0))),(INDEX(ALLCLASSDATA,MATCH("SimpleLimitedTrained",CLASSFEATUREHEADERS,0),MATCH(($A1060 &amp; "Points"),CLASSNAMEHEADERS,0))),"")))))))))}</f>
        <v>SIMPLELIMITEDL11</v>
      </c>
      <c r="S1059" s="223"/>
      <c r="T1059" s="223" t="str">
        <f t="array" ref="T1059:T1060">{"SIMPLELIMITEDL13";((IF("13"=(INDEX(ALLCLASSDATA,MATCH("SimpleLimitedLegendary",CLASSFEATUREHEADERS,0),MATCH($A1060,CLASSNAMEHEADERS,0))),(INDEX(ALLCLASSDATA,MATCH("SimpleLimitedLegendary",CLASSFEATUREHEADERS,0),MATCH(($A1060 &amp; "Points"),CLASSNAMEHEADERS,0))),(IF("13"=(INDEX(ALLCLASSDATA,MATCH("SimpleLimitedMaster",CLASSFEATUREHEADERS,0),MATCH($A1060,CLASSNAMEHEADERS,0))),(INDEX(ALLCLASSDATA,MATCH("SimpleLimitedMaster",CLASSFEATUREHEADERS,0),MATCH(($A1060 &amp; "Points"),CLASSNAMEHEADERS,0))),(IF("13"=(INDEX(ALLCLASSDATA,MATCH("SimpleLimitedExpert",CLASSFEATUREHEADERS,0),MATCH($A1060,CLASSNAMEHEADERS,0))),(INDEX(ALLCLASSDATA,MATCH("SimpleLimitedExpert",CLASSFEATUREHEADERS,0),MATCH(($A1060 &amp; "Points"),CLASSNAMEHEADERS,0))),(IF("13"=(INDEX(ALLCLASSDATA,MATCH("SimpleLimitedTrained",CLASSFEATUREHEADERS,0),MATCH($A1060,CLASSNAMEHEADERS,0))),(INDEX(ALLCLASSDATA,MATCH("SimpleLimitedTrained",CLASSFEATUREHEADERS,0),MATCH(($A1060 &amp; "Points"),CLASSNAMEHEADERS,0))),"")))))))))}</f>
        <v>SIMPLELIMITEDL13</v>
      </c>
      <c r="U1059" s="223"/>
      <c r="V1059" s="223" t="str">
        <f t="array" ref="V1059:V1060">{"SIMPLELIMITEDL15";((IF("15"=(INDEX(ALLCLASSDATA,MATCH("SimpleLimitedLegendary",CLASSFEATUREHEADERS,0),MATCH($A1060,CLASSNAMEHEADERS,0))),(INDEX(ALLCLASSDATA,MATCH("SimpleLimitedLegendary",CLASSFEATUREHEADERS,0),MATCH(($A1060 &amp; "Points"),CLASSNAMEHEADERS,0))),(IF("15"=(INDEX(ALLCLASSDATA,MATCH("SimpleLimitedMaster",CLASSFEATUREHEADERS,0),MATCH($A1060,CLASSNAMEHEADERS,0))),(INDEX(ALLCLASSDATA,MATCH("SimpleLimitedMaster",CLASSFEATUREHEADERS,0),MATCH(($A1060 &amp; "Points"),CLASSNAMEHEADERS,0))),(IF("15"=(INDEX(ALLCLASSDATA,MATCH("SimpleLimitedExpert",CLASSFEATUREHEADERS,0),MATCH($A1060,CLASSNAMEHEADERS,0))),(INDEX(ALLCLASSDATA,MATCH("SimpleLimitedExpert",CLASSFEATUREHEADERS,0),MATCH(($A1060 &amp; "Points"),CLASSNAMEHEADERS,0))),(IF("15"=(INDEX(ALLCLASSDATA,MATCH("SimpleLimitedTrained",CLASSFEATUREHEADERS,0),MATCH($A1060,CLASSNAMEHEADERS,0))),(INDEX(ALLCLASSDATA,MATCH("SimpleLimitedTrained",CLASSFEATUREHEADERS,0),MATCH(($A1060 &amp; "Points"),CLASSNAMEHEADERS,0))),"")))))))))}</f>
        <v>SIMPLELIMITEDL15</v>
      </c>
      <c r="W1059" s="223"/>
      <c r="X1059" s="223" t="str">
        <f t="array" ref="X1059:X1060">{"SIMPLELIMITEDL17";((IF("17"=(INDEX(ALLCLASSDATA,MATCH("SimpleLimitedLegendary",CLASSFEATUREHEADERS,0),MATCH($A1060,CLASSNAMEHEADERS,0))),(INDEX(ALLCLASSDATA,MATCH("SimpleLimitedLegendary",CLASSFEATUREHEADERS,0),MATCH(($A1060 &amp; "Points"),CLASSNAMEHEADERS,0))),(IF("17"=(INDEX(ALLCLASSDATA,MATCH("SimpleLimitedMaster",CLASSFEATUREHEADERS,0),MATCH($A1060,CLASSNAMEHEADERS,0))),(INDEX(ALLCLASSDATA,MATCH("SimpleLimitedMaster",CLASSFEATUREHEADERS,0),MATCH(($A1060 &amp; "Points"),CLASSNAMEHEADERS,0))),(IF("17"=(INDEX(ALLCLASSDATA,MATCH("SimpleLimitedExpert",CLASSFEATUREHEADERS,0),MATCH($A1060,CLASSNAMEHEADERS,0))),(INDEX(ALLCLASSDATA,MATCH("SimpleLimitedExpert",CLASSFEATUREHEADERS,0),MATCH(($A1060 &amp; "Points"),CLASSNAMEHEADERS,0))),(IF("17"=(INDEX(ALLCLASSDATA,MATCH("SimpleLimitedTrained",CLASSFEATUREHEADERS,0),MATCH($A1060,CLASSNAMEHEADERS,0))),(INDEX(ALLCLASSDATA,MATCH("SimpleLimitedTrained",CLASSFEATUREHEADERS,0),MATCH(($A1060 &amp; "Points"),CLASSNAMEHEADERS,0))),"")))))))))}</f>
        <v>SIMPLELIMITEDL17</v>
      </c>
      <c r="Y1059" s="223"/>
      <c r="Z1059" s="223" t="str">
        <f t="array" ref="Z1059:Z1060">{"SIMPLELIMITEDL19";((IF("19"=(INDEX(ALLCLASSDATA,MATCH("SimpleLimitedLegendary",CLASSFEATUREHEADERS,0),MATCH($A1060,CLASSNAMEHEADERS,0))),(INDEX(ALLCLASSDATA,MATCH("SimpleLimitedLegendary",CLASSFEATUREHEADERS,0),MATCH(($A1060 &amp; "Points"),CLASSNAMEHEADERS,0))),(IF("19"=(INDEX(ALLCLASSDATA,MATCH("SimpleLimitedMaster",CLASSFEATUREHEADERS,0),MATCH($A1060,CLASSNAMEHEADERS,0))),(INDEX(ALLCLASSDATA,MATCH("SimpleLimitedMaster",CLASSFEATUREHEADERS,0),MATCH(($A1060 &amp; "Points"),CLASSNAMEHEADERS,0))),(IF("19"=(INDEX(ALLCLASSDATA,MATCH("SimpleLimitedExpert",CLASSFEATUREHEADERS,0),MATCH($A1060,CLASSNAMEHEADERS,0))),(INDEX(ALLCLASSDATA,MATCH("SimpleLimitedExpert",CLASSFEATUREHEADERS,0),MATCH(($A1060 &amp; "Points"),CLASSNAMEHEADERS,0))),(IF("19"=(INDEX(ALLCLASSDATA,MATCH("SimpleLimitedTrained",CLASSFEATUREHEADERS,0),MATCH($A1060,CLASSNAMEHEADERS,0))),(INDEX(ALLCLASSDATA,MATCH("SimpleLimitedTrained",CLASSFEATUREHEADERS,0),MATCH(($A1060 &amp; "Points"),CLASSNAMEHEADERS,0))),"")))))))))}</f>
        <v>SIMPLELIMITEDL19</v>
      </c>
      <c r="AA1059" s="223"/>
      <c r="AB1059" s="76" t="str">
        <f t="array" ref="AB1059:AB1060">{"SIMPLELIMITED TOTAL";(IF(COUNTBLANK(G1060:AA1060)=17,"L",(IF(COUNTBLANK(G1060:AA1060)=18,"M",(IF(COUNTBLANK(G1060:AA1060)=19,"E",(IF(COUNTBLANK(G1060:AA1060)=20,"T",""))))))))}</f>
        <v>SIMPLELIMITED TOTAL</v>
      </c>
      <c r="AC1059" s="76" t="str">
        <f t="array" ref="AC1059:AC1060">{"SIMPLELIMITED TOTAL";(sum(G1060:AA1060))}</f>
        <v>SIMPLELIMITED TOTAL</v>
      </c>
    </row>
    <row r="1060">
      <c r="A1060" s="48" t="s">
        <v>189</v>
      </c>
      <c r="B1060" s="48"/>
      <c r="C1060" s="48" t="s">
        <v>412</v>
      </c>
      <c r="D1060" s="48" t="s">
        <v>1634</v>
      </c>
      <c r="E1060" s="48" t="s">
        <v>599</v>
      </c>
      <c r="F1060" s="5" t="s">
        <v>603</v>
      </c>
      <c r="G1060" s="47" t="s">
        <v>603</v>
      </c>
      <c r="H1060" s="5" t="s">
        <v>603</v>
      </c>
      <c r="I1060" s="5"/>
      <c r="J1060" s="5" t="s">
        <v>603</v>
      </c>
      <c r="K1060" s="5"/>
      <c r="L1060" s="5" t="s">
        <v>603</v>
      </c>
      <c r="M1060" s="5"/>
      <c r="N1060" s="5" t="s">
        <v>603</v>
      </c>
      <c r="O1060" s="5"/>
      <c r="P1060" s="5" t="s">
        <v>603</v>
      </c>
      <c r="Q1060" s="5"/>
      <c r="R1060" s="5" t="s">
        <v>603</v>
      </c>
      <c r="S1060" s="5"/>
      <c r="T1060" s="5" t="s">
        <v>603</v>
      </c>
      <c r="U1060" s="5"/>
      <c r="V1060" s="5" t="s">
        <v>603</v>
      </c>
      <c r="W1060" s="5"/>
      <c r="X1060" s="5" t="s">
        <v>603</v>
      </c>
      <c r="Y1060" s="5"/>
      <c r="Z1060" s="5" t="s">
        <v>603</v>
      </c>
      <c r="AA1060" s="5"/>
      <c r="AB1060" s="5" t="s">
        <v>603</v>
      </c>
      <c r="AC1060" s="47">
        <v>0.0</v>
      </c>
    </row>
    <row r="1061" hidden="1">
      <c r="A1061" s="222" t="str">
        <f t="array" ref="A1061:A1062">{"FormulaRow29";(INDEX(CLASSLIST,A1004,1))}</f>
        <v>FormulaRow29</v>
      </c>
      <c r="B1061" s="77" t="s">
        <v>236</v>
      </c>
      <c r="C1061" s="222" t="str">
        <f t="array" ref="C1061:C1062">{"CLASSTYPE";((INDEX(ALLCLASSDATA,MATCH("ClassType",CLASSFEATUREHEADERS,0),MATCH($A1062,CLASSNAMEHEADERS,0))))}</f>
        <v>CLASSTYPE</v>
      </c>
      <c r="D1061" s="222" t="str">
        <f t="array" ref="D1061:D1062">{"ATTACK";"Attack"}</f>
        <v>ATTACK</v>
      </c>
      <c r="E1061" s="222" t="str">
        <f t="array" ref="E1061:E1062">{"SIMPLE";"Simple"}</f>
        <v>SIMPLE</v>
      </c>
      <c r="F1061" s="223" t="str">
        <f t="array" ref="F1061:F1062">{"SIMPLEINITIAL";((IF(H1062=10,"T",(IF(H1062=50,"E","")))))}</f>
        <v>SIMPLEINITIAL</v>
      </c>
      <c r="G1061" s="223" t="str">
        <f t="array" ref="G1061:G1062">{"SIMPLEINITIALPTS";((IF("00"=(INDEX(ALLCLASSDATA,MATCH("SimpleLegendary",CLASSFEATUREHEADERS,0),MATCH($A1062,CLASSNAMEHEADERS,0))),(INDEX(ALLCLASSDATA,MATCH("SimpleLegendary",CLASSFEATUREHEADERS,0),MATCH(($A1062 &amp; "Points"),CLASSNAMEHEADERS,0))),(IF("00"=(INDEX(ALLCLASSDATA,MATCH("SimpleMaster",CLASSFEATUREHEADERS,0),MATCH($A1062,CLASSNAMEHEADERS,0))),(INDEX(ALLCLASSDATA,MATCH("SimpleMaster",CLASSFEATUREHEADERS,0),MATCH(($A1062 &amp; "Points"),CLASSNAMEHEADERS,0))),(IF("00"=(INDEX(ALLCLASSDATA,MATCH("SimpleExpert",CLASSFEATUREHEADERS,0),MATCH($A1062,CLASSNAMEHEADERS,0))),(INDEX(ALLCLASSDATA,MATCH("SimpleExpert",CLASSFEATUREHEADERS,0),MATCH(($A1062 &amp; "Points"),CLASSNAMEHEADERS,0))),(IF("00"=(INDEX(ALLCLASSDATA,MATCH("SimpleTrained",CLASSFEATUREHEADERS,0),MATCH($A1062,CLASSNAMEHEADERS,0))),(INDEX(ALLCLASSDATA,MATCH("SimpleTrained",CLASSFEATUREHEADERS,0),MATCH(($A1062 &amp; "Points"),CLASSNAMEHEADERS,0))),"")))))))))}</f>
        <v>SIMPLEINITIALPTS</v>
      </c>
      <c r="H1061" s="223" t="str">
        <f t="array" ref="H1061:H1062">{"SIMPLEL01";((IF("01"=(INDEX(ALLCLASSDATA,MATCH("SimpleLegendary",CLASSFEATUREHEADERS,0),MATCH($A1062,CLASSNAMEHEADERS,0))),(INDEX(ALLCLASSDATA,MATCH("SimpleLegendary",CLASSFEATUREHEADERS,0),MATCH(($A1062 &amp; "Points"),CLASSNAMEHEADERS,0))),(IF("01"=(INDEX(ALLCLASSDATA,MATCH("SimpleMaster",CLASSFEATUREHEADERS,0),MATCH($A1062,CLASSNAMEHEADERS,0))),(INDEX(ALLCLASSDATA,MATCH("SimpleMaster",CLASSFEATUREHEADERS,0),MATCH(($A1062 &amp; "Points"),CLASSNAMEHEADERS,0))),(IF("01"=(INDEX(ALLCLASSDATA,MATCH("SimpleExpert",CLASSFEATUREHEADERS,0),MATCH($A1062,CLASSNAMEHEADERS,0))),(INDEX(ALLCLASSDATA,MATCH("SimpleExpert",CLASSFEATUREHEADERS,0),MATCH(($A1062 &amp; "Points"),CLASSNAMEHEADERS,0))),(IF("01"=(INDEX(ALLCLASSDATA,MATCH("SimpleTrained",CLASSFEATUREHEADERS,0),MATCH($A1062,CLASSNAMEHEADERS,0))),(INDEX(ALLCLASSDATA,MATCH("SimpleTrained",CLASSFEATUREHEADERS,0),MATCH(($A1062 &amp; "Points"),CLASSNAMEHEADERS,0))),"")))))))))}</f>
        <v>SIMPLEL01</v>
      </c>
      <c r="I1061" s="223"/>
      <c r="J1061" s="223" t="str">
        <f t="array" ref="J1061:J1062">{"SIMPLEL03";((IF("03"=(INDEX(ALLCLASSDATA,MATCH("SimpleLegendary",CLASSFEATUREHEADERS,0),MATCH($A1062,CLASSNAMEHEADERS,0))),(INDEX(ALLCLASSDATA,MATCH("SimpleLegendary",CLASSFEATUREHEADERS,0),MATCH(($A1062 &amp; "Points"),CLASSNAMEHEADERS,0))),(IF("03"=(INDEX(ALLCLASSDATA,MATCH("SimpleMaster",CLASSFEATUREHEADERS,0),MATCH($A1062,CLASSNAMEHEADERS,0))),(INDEX(ALLCLASSDATA,MATCH("SimpleMaster",CLASSFEATUREHEADERS,0),MATCH(($A1062 &amp; "Points"),CLASSNAMEHEADERS,0))),(IF("03"=(INDEX(ALLCLASSDATA,MATCH("SimpleExpert",CLASSFEATUREHEADERS,0),MATCH($A1062,CLASSNAMEHEADERS,0))),(INDEX(ALLCLASSDATA,MATCH("SimpleExpert",CLASSFEATUREHEADERS,0),MATCH(($A1062 &amp; "Points"),CLASSNAMEHEADERS,0))),(IF("03"=(INDEX(ALLCLASSDATA,MATCH("SimpleTrained",CLASSFEATUREHEADERS,0),MATCH($A1062,CLASSNAMEHEADERS,0))),(INDEX(ALLCLASSDATA,MATCH("SimpleTrained",CLASSFEATUREHEADERS,0),MATCH(($A1062 &amp; "Points"),CLASSNAMEHEADERS,0))),"")))))))))}</f>
        <v>SIMPLEL03</v>
      </c>
      <c r="K1061" s="223"/>
      <c r="L1061" s="223" t="str">
        <f t="array" ref="L1061:L1062">{"SIMPLEL05";((IF("05"=(INDEX(ALLCLASSDATA,MATCH("SimpleLegendary",CLASSFEATUREHEADERS,0),MATCH($A1062,CLASSNAMEHEADERS,0))),(INDEX(ALLCLASSDATA,MATCH("SimpleLegendary",CLASSFEATUREHEADERS,0),MATCH(($A1062 &amp; "Points"),CLASSNAMEHEADERS,0))),(IF("05"=(INDEX(ALLCLASSDATA,MATCH("SimpleMaster",CLASSFEATUREHEADERS,0),MATCH($A1062,CLASSNAMEHEADERS,0))),(INDEX(ALLCLASSDATA,MATCH("SimpleMaster",CLASSFEATUREHEADERS,0),MATCH(($A1062 &amp; "Points"),CLASSNAMEHEADERS,0))),(IF("05"=(INDEX(ALLCLASSDATA,MATCH("SimpleExpert",CLASSFEATUREHEADERS,0),MATCH($A1062,CLASSNAMEHEADERS,0))),(INDEX(ALLCLASSDATA,MATCH("SimpleExpert",CLASSFEATUREHEADERS,0),MATCH(($A1062 &amp; "Points"),CLASSNAMEHEADERS,0))),(IF("05"=(INDEX(ALLCLASSDATA,MATCH("SimpleTrained",CLASSFEATUREHEADERS,0),MATCH($A1062,CLASSNAMEHEADERS,0))),(INDEX(ALLCLASSDATA,MATCH("SimpleTrained",CLASSFEATUREHEADERS,0),MATCH(($A1062 &amp; "Points"),CLASSNAMEHEADERS,0))),"")))))))))}</f>
        <v>SIMPLEL05</v>
      </c>
      <c r="M1061" s="223"/>
      <c r="N1061" s="223" t="str">
        <f t="array" ref="N1061:N1062">{"SIMPLEL07";((IF("07"=(INDEX(ALLCLASSDATA,MATCH("SimpleLegendary",CLASSFEATUREHEADERS,0),MATCH($A1062,CLASSNAMEHEADERS,0))),(INDEX(ALLCLASSDATA,MATCH("SimpleLegendary",CLASSFEATUREHEADERS,0),MATCH(($A1062 &amp; "Points"),CLASSNAMEHEADERS,0))),(IF("07"=(INDEX(ALLCLASSDATA,MATCH("SimpleMaster",CLASSFEATUREHEADERS,0),MATCH($A1062,CLASSNAMEHEADERS,0))),(INDEX(ALLCLASSDATA,MATCH("SimpleMaster",CLASSFEATUREHEADERS,0),MATCH(($A1062 &amp; "Points"),CLASSNAMEHEADERS,0))),(IF("07"=(INDEX(ALLCLASSDATA,MATCH("SimpleExpert",CLASSFEATUREHEADERS,0),MATCH($A1062,CLASSNAMEHEADERS,0))),(INDEX(ALLCLASSDATA,MATCH("SimpleExpert",CLASSFEATUREHEADERS,0),MATCH(($A1062 &amp; "Points"),CLASSNAMEHEADERS,0))),(IF("07"=(INDEX(ALLCLASSDATA,MATCH("SimpleTrained",CLASSFEATUREHEADERS,0),MATCH($A1062,CLASSNAMEHEADERS,0))),(INDEX(ALLCLASSDATA,MATCH("SimpleTrained",CLASSFEATUREHEADERS,0),MATCH(($A1062 &amp; "Points"),CLASSNAMEHEADERS,0))),"")))))))))}</f>
        <v>SIMPLEL07</v>
      </c>
      <c r="O1061" s="223"/>
      <c r="P1061" s="223" t="str">
        <f t="array" ref="P1061:P1062">{"SIMPLEL09";((IF("09"=(INDEX(ALLCLASSDATA,MATCH("SimpleLegendary",CLASSFEATUREHEADERS,0),MATCH($A1062,CLASSNAMEHEADERS,0))),(INDEX(ALLCLASSDATA,MATCH("SimpleLegendary",CLASSFEATUREHEADERS,0),MATCH(($A1062 &amp; "Points"),CLASSNAMEHEADERS,0))),(IF("09"=(INDEX(ALLCLASSDATA,MATCH("SimpleMaster",CLASSFEATUREHEADERS,0),MATCH($A1062,CLASSNAMEHEADERS,0))),(INDEX(ALLCLASSDATA,MATCH("SimpleMaster",CLASSFEATUREHEADERS,0),MATCH(($A1062 &amp; "Points"),CLASSNAMEHEADERS,0))),(IF("09"=(INDEX(ALLCLASSDATA,MATCH("SimpleExpert",CLASSFEATUREHEADERS,0),MATCH($A1062,CLASSNAMEHEADERS,0))),(INDEX(ALLCLASSDATA,MATCH("SimpleExpert",CLASSFEATUREHEADERS,0),MATCH(($A1062 &amp; "Points"),CLASSNAMEHEADERS,0))),(IF("09"=(INDEX(ALLCLASSDATA,MATCH("SimpleTrained",CLASSFEATUREHEADERS,0),MATCH($A1062,CLASSNAMEHEADERS,0))),(INDEX(ALLCLASSDATA,MATCH("SimpleTrained",CLASSFEATUREHEADERS,0),MATCH(($A1062 &amp; "Points"),CLASSNAMEHEADERS,0))),"")))))))))}</f>
        <v>SIMPLEL09</v>
      </c>
      <c r="Q1061" s="223"/>
      <c r="R1061" s="223" t="str">
        <f t="array" ref="R1061:R1062">{"SIMPLEL11";((IF("11"=(INDEX(ALLCLASSDATA,MATCH("SimpleLegendary",CLASSFEATUREHEADERS,0),MATCH($A1062,CLASSNAMEHEADERS,0))),(INDEX(ALLCLASSDATA,MATCH("SimpleLegendary",CLASSFEATUREHEADERS,0),MATCH(($A1062 &amp; "Points"),CLASSNAMEHEADERS,0))),(IF("11"=(INDEX(ALLCLASSDATA,MATCH("SimpleMaster",CLASSFEATUREHEADERS,0),MATCH($A1062,CLASSNAMEHEADERS,0))),(INDEX(ALLCLASSDATA,MATCH("SimpleMaster",CLASSFEATUREHEADERS,0),MATCH(($A1062 &amp; "Points"),CLASSNAMEHEADERS,0))),(IF("11"=(INDEX(ALLCLASSDATA,MATCH("SimpleExpert",CLASSFEATUREHEADERS,0),MATCH($A1062,CLASSNAMEHEADERS,0))),(INDEX(ALLCLASSDATA,MATCH("SimpleExpert",CLASSFEATUREHEADERS,0),MATCH(($A1062 &amp; "Points"),CLASSNAMEHEADERS,0))),(IF("11"=(INDEX(ALLCLASSDATA,MATCH("SimpleTrained",CLASSFEATUREHEADERS,0),MATCH($A1062,CLASSNAMEHEADERS,0))),(INDEX(ALLCLASSDATA,MATCH("SimpleTrained",CLASSFEATUREHEADERS,0),MATCH(($A1062 &amp; "Points"),CLASSNAMEHEADERS,0))),"")))))))))}</f>
        <v>SIMPLEL11</v>
      </c>
      <c r="S1061" s="223"/>
      <c r="T1061" s="223" t="str">
        <f t="array" ref="T1061:T1062">{"SIMPLEL13";((IF("13"=(INDEX(ALLCLASSDATA,MATCH("SimpleLegendary",CLASSFEATUREHEADERS,0),MATCH($A1062,CLASSNAMEHEADERS,0))),(INDEX(ALLCLASSDATA,MATCH("SimpleLegendary",CLASSFEATUREHEADERS,0),MATCH(($A1062 &amp; "Points"),CLASSNAMEHEADERS,0))),(IF("13"=(INDEX(ALLCLASSDATA,MATCH("SimpleMaster",CLASSFEATUREHEADERS,0),MATCH($A1062,CLASSNAMEHEADERS,0))),(INDEX(ALLCLASSDATA,MATCH("SimpleMaster",CLASSFEATUREHEADERS,0),MATCH(($A1062 &amp; "Points"),CLASSNAMEHEADERS,0))),(IF("13"=(INDEX(ALLCLASSDATA,MATCH("SimpleExpert",CLASSFEATUREHEADERS,0),MATCH($A1062,CLASSNAMEHEADERS,0))),(INDEX(ALLCLASSDATA,MATCH("SimpleExpert",CLASSFEATUREHEADERS,0),MATCH(($A1062 &amp; "Points"),CLASSNAMEHEADERS,0))),(IF("13"=(INDEX(ALLCLASSDATA,MATCH("SimpleTrained",CLASSFEATUREHEADERS,0),MATCH($A1062,CLASSNAMEHEADERS,0))),(INDEX(ALLCLASSDATA,MATCH("SimpleTrained",CLASSFEATUREHEADERS,0),MATCH(($A1062 &amp; "Points"),CLASSNAMEHEADERS,0))),"")))))))))}</f>
        <v>SIMPLEL13</v>
      </c>
      <c r="U1061" s="223"/>
      <c r="V1061" s="223" t="str">
        <f t="array" ref="V1061:V1062">{"SIMPLEL15";((IF("15"=(INDEX(ALLCLASSDATA,MATCH("SimpleLegendary",CLASSFEATUREHEADERS,0),MATCH($A1062,CLASSNAMEHEADERS,0))),(INDEX(ALLCLASSDATA,MATCH("SimpleLegendary",CLASSFEATUREHEADERS,0),MATCH(($A1062 &amp; "Points"),CLASSNAMEHEADERS,0))),(IF("15"=(INDEX(ALLCLASSDATA,MATCH("SimpleMaster",CLASSFEATUREHEADERS,0),MATCH($A1062,CLASSNAMEHEADERS,0))),(INDEX(ALLCLASSDATA,MATCH("SimpleMaster",CLASSFEATUREHEADERS,0),MATCH(($A1062 &amp; "Points"),CLASSNAMEHEADERS,0))),(IF("15"=(INDEX(ALLCLASSDATA,MATCH("SimpleExpert",CLASSFEATUREHEADERS,0),MATCH($A1062,CLASSNAMEHEADERS,0))),(INDEX(ALLCLASSDATA,MATCH("SimpleExpert",CLASSFEATUREHEADERS,0),MATCH(($A1062 &amp; "Points"),CLASSNAMEHEADERS,0))),(IF("15"=(INDEX(ALLCLASSDATA,MATCH("SimpleTrained",CLASSFEATUREHEADERS,0),MATCH($A1062,CLASSNAMEHEADERS,0))),(INDEX(ALLCLASSDATA,MATCH("SimpleTrained",CLASSFEATUREHEADERS,0),MATCH(($A1062 &amp; "Points"),CLASSNAMEHEADERS,0))),"")))))))))}</f>
        <v>SIMPLEL15</v>
      </c>
      <c r="W1061" s="223"/>
      <c r="X1061" s="223" t="str">
        <f t="array" ref="X1061:X1062">{"SIMPLEL17";((IF("17"=(INDEX(ALLCLASSDATA,MATCH("SimpleLegendary",CLASSFEATUREHEADERS,0),MATCH($A1062,CLASSNAMEHEADERS,0))),(INDEX(ALLCLASSDATA,MATCH("SimpleLegendary",CLASSFEATUREHEADERS,0),MATCH(($A1062 &amp; "Points"),CLASSNAMEHEADERS,0))),(IF("17"=(INDEX(ALLCLASSDATA,MATCH("SimpleMaster",CLASSFEATUREHEADERS,0),MATCH($A1062,CLASSNAMEHEADERS,0))),(INDEX(ALLCLASSDATA,MATCH("SimpleMaster",CLASSFEATUREHEADERS,0),MATCH(($A1062 &amp; "Points"),CLASSNAMEHEADERS,0))),(IF("17"=(INDEX(ALLCLASSDATA,MATCH("SimpleExpert",CLASSFEATUREHEADERS,0),MATCH($A1062,CLASSNAMEHEADERS,0))),(INDEX(ALLCLASSDATA,MATCH("SimpleExpert",CLASSFEATUREHEADERS,0),MATCH(($A1062 &amp; "Points"),CLASSNAMEHEADERS,0))),(IF("17"=(INDEX(ALLCLASSDATA,MATCH("SimpleTrained",CLASSFEATUREHEADERS,0),MATCH($A1062,CLASSNAMEHEADERS,0))),(INDEX(ALLCLASSDATA,MATCH("SimpleTrained",CLASSFEATUREHEADERS,0),MATCH(($A1062 &amp; "Points"),CLASSNAMEHEADERS,0))),"")))))))))}</f>
        <v>SIMPLEL17</v>
      </c>
      <c r="Y1061" s="223"/>
      <c r="Z1061" s="223" t="str">
        <f t="array" ref="Z1061:Z1062">{"SIMPLEL19";((IF("19"=(INDEX(ALLCLASSDATA,MATCH("SimpleLegendary",CLASSFEATUREHEADERS,0),MATCH($A1062,CLASSNAMEHEADERS,0))),(INDEX(ALLCLASSDATA,MATCH("SimpleLegendary",CLASSFEATUREHEADERS,0),MATCH(($A1062 &amp; "Points"),CLASSNAMEHEADERS,0))),(IF("19"=(INDEX(ALLCLASSDATA,MATCH("SimpleMaster",CLASSFEATUREHEADERS,0),MATCH($A1062,CLASSNAMEHEADERS,0))),(INDEX(ALLCLASSDATA,MATCH("SimpleMaster",CLASSFEATUREHEADERS,0),MATCH(($A1062 &amp; "Points"),CLASSNAMEHEADERS,0))),(IF("19"=(INDEX(ALLCLASSDATA,MATCH("SimpleExpert",CLASSFEATUREHEADERS,0),MATCH($A1062,CLASSNAMEHEADERS,0))),(INDEX(ALLCLASSDATA,MATCH("SimpleExpert",CLASSFEATUREHEADERS,0),MATCH(($A1062 &amp; "Points"),CLASSNAMEHEADERS,0))),(IF("19"=(INDEX(ALLCLASSDATA,MATCH("SimpleTrained",CLASSFEATUREHEADERS,0),MATCH($A1062,CLASSNAMEHEADERS,0))),(INDEX(ALLCLASSDATA,MATCH("SimpleTrained",CLASSFEATUREHEADERS,0),MATCH(($A1062 &amp; "Points"),CLASSNAMEHEADERS,0))),"")))))))))}</f>
        <v>SIMPLEL19</v>
      </c>
      <c r="AA1061" s="223"/>
      <c r="AB1061" s="76" t="str">
        <f t="array" ref="AB1061:AB1062">{"SIMPLE TOTAL";(IF(COUNTBLANK(G1062:AA1062)=17,"L",(IF(COUNTBLANK(G1062:AA1062)=18,"M",(IF(COUNTBLANK(G1062:AA1062)=19,"E",(IF(COUNTBLANK(G1062:AA1062)=20,"T",""))))))))}</f>
        <v>SIMPLE TOTAL</v>
      </c>
      <c r="AC1061" s="76" t="str">
        <f t="array" ref="AC1061:AC1062">{"SIMPLE TOTAL";(sum(G1062:AA1062))}</f>
        <v>SIMPLE TOTAL</v>
      </c>
    </row>
    <row r="1062">
      <c r="A1062" s="48" t="s">
        <v>189</v>
      </c>
      <c r="B1062" s="48"/>
      <c r="C1062" s="48" t="s">
        <v>412</v>
      </c>
      <c r="D1062" s="48" t="s">
        <v>1634</v>
      </c>
      <c r="E1062" s="48" t="s">
        <v>68</v>
      </c>
      <c r="F1062" s="5" t="s">
        <v>435</v>
      </c>
      <c r="G1062" s="47" t="s">
        <v>603</v>
      </c>
      <c r="H1062" s="5">
        <v>10.0</v>
      </c>
      <c r="I1062" s="5"/>
      <c r="J1062" s="5" t="s">
        <v>603</v>
      </c>
      <c r="K1062" s="5"/>
      <c r="L1062" s="5" t="s">
        <v>603</v>
      </c>
      <c r="M1062" s="5"/>
      <c r="N1062" s="5" t="s">
        <v>436</v>
      </c>
      <c r="O1062" s="5"/>
      <c r="P1062" s="5" t="s">
        <v>603</v>
      </c>
      <c r="Q1062" s="5"/>
      <c r="R1062" s="5" t="s">
        <v>603</v>
      </c>
      <c r="S1062" s="5"/>
      <c r="T1062" s="5" t="s">
        <v>603</v>
      </c>
      <c r="U1062" s="5"/>
      <c r="V1062" s="5" t="s">
        <v>603</v>
      </c>
      <c r="W1062" s="5"/>
      <c r="X1062" s="5" t="s">
        <v>603</v>
      </c>
      <c r="Y1062" s="5"/>
      <c r="Z1062" s="5" t="s">
        <v>603</v>
      </c>
      <c r="AA1062" s="5"/>
      <c r="AB1062" s="5" t="s">
        <v>436</v>
      </c>
      <c r="AC1062" s="47">
        <v>10.0</v>
      </c>
    </row>
    <row r="1063" hidden="1">
      <c r="A1063" s="222" t="str">
        <f t="array" ref="A1063:A1064">{"FormulaRow30";(INDEX(CLASSLIST,A1004,1))}</f>
        <v>FormulaRow30</v>
      </c>
      <c r="B1063" s="77" t="s">
        <v>236</v>
      </c>
      <c r="C1063" s="222" t="str">
        <f t="array" ref="C1063:C1064">{"CLASSTYPE";((INDEX(ALLCLASSDATA,MATCH("ClassType",CLASSFEATUREHEADERS,0),MATCH($A1064,CLASSNAMEHEADERS,0))))}</f>
        <v>CLASSTYPE</v>
      </c>
      <c r="D1063" s="222" t="str">
        <f t="array" ref="D1063:D1064">{"ATTACK";"Attack"}</f>
        <v>ATTACK</v>
      </c>
      <c r="E1063" s="222" t="str">
        <f t="array" ref="E1063:E1064">{"MARTIALLIMITED";"MartialLimited"}</f>
        <v>MARTIALLIMITED</v>
      </c>
      <c r="F1063" s="223" t="str">
        <f t="array" ref="F1063:F1064">{"MARTIALLIMITEDINITIAL";((IF(H1064=10,"T",(IF(H1064=50,"E","")))))}</f>
        <v>MARTIALLIMITEDINITIAL</v>
      </c>
      <c r="G1063" s="223" t="str">
        <f t="array" ref="G1063:G1064">{"MARTIALLIMITEDINITIALPTS";((IF("00"=(INDEX(ALLCLASSDATA,MATCH("MartialLimitedLegendary",CLASSFEATUREHEADERS,0),MATCH($A1064,CLASSNAMEHEADERS,0))),(INDEX(ALLCLASSDATA,MATCH("MartialLimitedLegendary",CLASSFEATUREHEADERS,0),MATCH(($A1064 &amp; "Points"),CLASSNAMEHEADERS,0))),(IF("00"=(INDEX(ALLCLASSDATA,MATCH("MartialLimitedMaster",CLASSFEATUREHEADERS,0),MATCH($A1064,CLASSNAMEHEADERS,0))),(INDEX(ALLCLASSDATA,MATCH("MartialLimitedMaster",CLASSFEATUREHEADERS,0),MATCH(($A1064 &amp; "Points"),CLASSNAMEHEADERS,0))),(IF("00"=(INDEX(ALLCLASSDATA,MATCH("MartialLimitedExpert",CLASSFEATUREHEADERS,0),MATCH($A1064,CLASSNAMEHEADERS,0))),(INDEX(ALLCLASSDATA,MATCH("MartialLimitedExpert",CLASSFEATUREHEADERS,0),MATCH(($A1064 &amp; "Points"),CLASSNAMEHEADERS,0))),(IF("00"=(INDEX(ALLCLASSDATA,MATCH("MartialLimitedTrained",CLASSFEATUREHEADERS,0),MATCH($A1064,CLASSNAMEHEADERS,0))),(INDEX(ALLCLASSDATA,MATCH("MartialLimitedTrained",CLASSFEATUREHEADERS,0),MATCH(($A1064 &amp; "Points"),CLASSNAMEHEADERS,0))),"")))))))))}</f>
        <v>MARTIALLIMITEDINITIALPTS</v>
      </c>
      <c r="H1063" s="223" t="str">
        <f t="array" ref="H1063:H1064">{"MARTIALLIMITEDL01";((IF("01"=(INDEX(ALLCLASSDATA,MATCH("MartialLimitedLegendary",CLASSFEATUREHEADERS,0),MATCH($A1064,CLASSNAMEHEADERS,0))),(INDEX(ALLCLASSDATA,MATCH("MartialLimitedLegendary",CLASSFEATUREHEADERS,0),MATCH(($A1064 &amp; "Points"),CLASSNAMEHEADERS,0))),(IF("01"=(INDEX(ALLCLASSDATA,MATCH("MartialLimitedMaster",CLASSFEATUREHEADERS,0),MATCH($A1064,CLASSNAMEHEADERS,0))),(INDEX(ALLCLASSDATA,MATCH("MartialLimitedMaster",CLASSFEATUREHEADERS,0),MATCH(($A1064 &amp; "Points"),CLASSNAMEHEADERS,0))),(IF("01"=(INDEX(ALLCLASSDATA,MATCH("MartialLimitedExpert",CLASSFEATUREHEADERS,0),MATCH($A1064,CLASSNAMEHEADERS,0))),(INDEX(ALLCLASSDATA,MATCH("MartialLimitedExpert",CLASSFEATUREHEADERS,0),MATCH(($A1064 &amp; "Points"),CLASSNAMEHEADERS,0))),(IF("01"=(INDEX(ALLCLASSDATA,MATCH("MartialLimitedTrained",CLASSFEATUREHEADERS,0),MATCH($A1064,CLASSNAMEHEADERS,0))),(INDEX(ALLCLASSDATA,MATCH("MartialLimitedTrained",CLASSFEATUREHEADERS,0),MATCH(($A1064 &amp; "Points"),CLASSNAMEHEADERS,0))),"")))))))))}</f>
        <v>MARTIALLIMITEDL01</v>
      </c>
      <c r="I1063" s="223"/>
      <c r="J1063" s="223" t="str">
        <f t="array" ref="J1063:J1064">{"MARTIALLIMITEDL03";((IF("03"=(INDEX(ALLCLASSDATA,MATCH("MartialLimitedLegendary",CLASSFEATUREHEADERS,0),MATCH($A1064,CLASSNAMEHEADERS,0))),(INDEX(ALLCLASSDATA,MATCH("MartialLimitedLegendary",CLASSFEATUREHEADERS,0),MATCH(($A1064 &amp; "Points"),CLASSNAMEHEADERS,0))),(IF("03"=(INDEX(ALLCLASSDATA,MATCH("MartialLimitedMaster",CLASSFEATUREHEADERS,0),MATCH($A1064,CLASSNAMEHEADERS,0))),(INDEX(ALLCLASSDATA,MATCH("MartialLimitedMaster",CLASSFEATUREHEADERS,0),MATCH(($A1064 &amp; "Points"),CLASSNAMEHEADERS,0))),(IF("03"=(INDEX(ALLCLASSDATA,MATCH("MartialLimitedExpert",CLASSFEATUREHEADERS,0),MATCH($A1064,CLASSNAMEHEADERS,0))),(INDEX(ALLCLASSDATA,MATCH("MartialLimitedExpert",CLASSFEATUREHEADERS,0),MATCH(($A1064 &amp; "Points"),CLASSNAMEHEADERS,0))),(IF("03"=(INDEX(ALLCLASSDATA,MATCH("MartialLimitedTrained",CLASSFEATUREHEADERS,0),MATCH($A1064,CLASSNAMEHEADERS,0))),(INDEX(ALLCLASSDATA,MATCH("MartialLimitedTrained",CLASSFEATUREHEADERS,0),MATCH(($A1064 &amp; "Points"),CLASSNAMEHEADERS,0))),"")))))))))}</f>
        <v>MARTIALLIMITEDL03</v>
      </c>
      <c r="K1063" s="223"/>
      <c r="L1063" s="223" t="str">
        <f t="array" ref="L1063:L1064">{"MARTIALLIMITEDL05";((IF("05"=(INDEX(ALLCLASSDATA,MATCH("MartialLimitedLegendary",CLASSFEATUREHEADERS,0),MATCH($A1064,CLASSNAMEHEADERS,0))),(INDEX(ALLCLASSDATA,MATCH("MartialLimitedLegendary",CLASSFEATUREHEADERS,0),MATCH(($A1064 &amp; "Points"),CLASSNAMEHEADERS,0))),(IF("05"=(INDEX(ALLCLASSDATA,MATCH("MartialLimitedMaster",CLASSFEATUREHEADERS,0),MATCH($A1064,CLASSNAMEHEADERS,0))),(INDEX(ALLCLASSDATA,MATCH("MartialLimitedMaster",CLASSFEATUREHEADERS,0),MATCH(($A1064 &amp; "Points"),CLASSNAMEHEADERS,0))),(IF("05"=(INDEX(ALLCLASSDATA,MATCH("MartialLimitedExpert",CLASSFEATUREHEADERS,0),MATCH($A1064,CLASSNAMEHEADERS,0))),(INDEX(ALLCLASSDATA,MATCH("MartialLimitedExpert",CLASSFEATUREHEADERS,0),MATCH(($A1064 &amp; "Points"),CLASSNAMEHEADERS,0))),(IF("05"=(INDEX(ALLCLASSDATA,MATCH("MartialLimitedTrained",CLASSFEATUREHEADERS,0),MATCH($A1064,CLASSNAMEHEADERS,0))),(INDEX(ALLCLASSDATA,MATCH("MartialLimitedTrained",CLASSFEATUREHEADERS,0),MATCH(($A1064 &amp; "Points"),CLASSNAMEHEADERS,0))),"")))))))))}</f>
        <v>MARTIALLIMITEDL05</v>
      </c>
      <c r="M1063" s="223"/>
      <c r="N1063" s="223" t="str">
        <f t="array" ref="N1063:N1064">{"MARTIALLIMITEDL07";((IF("07"=(INDEX(ALLCLASSDATA,MATCH("MartialLimitedLegendary",CLASSFEATUREHEADERS,0),MATCH($A1064,CLASSNAMEHEADERS,0))),(INDEX(ALLCLASSDATA,MATCH("MartialLimitedLegendary",CLASSFEATUREHEADERS,0),MATCH(($A1064 &amp; "Points"),CLASSNAMEHEADERS,0))),(IF("07"=(INDEX(ALLCLASSDATA,MATCH("MartialLimitedMaster",CLASSFEATUREHEADERS,0),MATCH($A1064,CLASSNAMEHEADERS,0))),(INDEX(ALLCLASSDATA,MATCH("MartialLimitedMaster",CLASSFEATUREHEADERS,0),MATCH(($A1064 &amp; "Points"),CLASSNAMEHEADERS,0))),(IF("07"=(INDEX(ALLCLASSDATA,MATCH("MartialLimitedExpert",CLASSFEATUREHEADERS,0),MATCH($A1064,CLASSNAMEHEADERS,0))),(INDEX(ALLCLASSDATA,MATCH("MartialLimitedExpert",CLASSFEATUREHEADERS,0),MATCH(($A1064 &amp; "Points"),CLASSNAMEHEADERS,0))),(IF("07"=(INDEX(ALLCLASSDATA,MATCH("MartialLimitedTrained",CLASSFEATUREHEADERS,0),MATCH($A1064,CLASSNAMEHEADERS,0))),(INDEX(ALLCLASSDATA,MATCH("MartialLimitedTrained",CLASSFEATUREHEADERS,0),MATCH(($A1064 &amp; "Points"),CLASSNAMEHEADERS,0))),"")))))))))}</f>
        <v>MARTIALLIMITEDL07</v>
      </c>
      <c r="O1063" s="223"/>
      <c r="P1063" s="223" t="str">
        <f t="array" ref="P1063:P1064">{"MARTIALLIMITEDL09";((IF("09"=(INDEX(ALLCLASSDATA,MATCH("MartialLimitedLegendary",CLASSFEATUREHEADERS,0),MATCH($A1064,CLASSNAMEHEADERS,0))),(INDEX(ALLCLASSDATA,MATCH("MartialLimitedLegendary",CLASSFEATUREHEADERS,0),MATCH(($A1064 &amp; "Points"),CLASSNAMEHEADERS,0))),(IF("09"=(INDEX(ALLCLASSDATA,MATCH("MartialLimitedMaster",CLASSFEATUREHEADERS,0),MATCH($A1064,CLASSNAMEHEADERS,0))),(INDEX(ALLCLASSDATA,MATCH("MartialLimitedMaster",CLASSFEATUREHEADERS,0),MATCH(($A1064 &amp; "Points"),CLASSNAMEHEADERS,0))),(IF("09"=(INDEX(ALLCLASSDATA,MATCH("MartialLimitedExpert",CLASSFEATUREHEADERS,0),MATCH($A1064,CLASSNAMEHEADERS,0))),(INDEX(ALLCLASSDATA,MATCH("MartialLimitedExpert",CLASSFEATUREHEADERS,0),MATCH(($A1064 &amp; "Points"),CLASSNAMEHEADERS,0))),(IF("09"=(INDEX(ALLCLASSDATA,MATCH("MartialLimitedTrained",CLASSFEATUREHEADERS,0),MATCH($A1064,CLASSNAMEHEADERS,0))),(INDEX(ALLCLASSDATA,MATCH("MartialLimitedTrained",CLASSFEATUREHEADERS,0),MATCH(($A1064 &amp; "Points"),CLASSNAMEHEADERS,0))),"")))))))))}</f>
        <v>MARTIALLIMITEDL09</v>
      </c>
      <c r="Q1063" s="223"/>
      <c r="R1063" s="223" t="str">
        <f t="array" ref="R1063:R1064">{"MARTIALLIMITEDL11";((IF("11"=(INDEX(ALLCLASSDATA,MATCH("MartialLimitedLegendary",CLASSFEATUREHEADERS,0),MATCH($A1064,CLASSNAMEHEADERS,0))),(INDEX(ALLCLASSDATA,MATCH("MartialLimitedLegendary",CLASSFEATUREHEADERS,0),MATCH(($A1064 &amp; "Points"),CLASSNAMEHEADERS,0))),(IF("11"=(INDEX(ALLCLASSDATA,MATCH("MartialLimitedMaster",CLASSFEATUREHEADERS,0),MATCH($A1064,CLASSNAMEHEADERS,0))),(INDEX(ALLCLASSDATA,MATCH("MartialLimitedMaster",CLASSFEATUREHEADERS,0),MATCH(($A1064 &amp; "Points"),CLASSNAMEHEADERS,0))),(IF("11"=(INDEX(ALLCLASSDATA,MATCH("MartialLimitedExpert",CLASSFEATUREHEADERS,0),MATCH($A1064,CLASSNAMEHEADERS,0))),(INDEX(ALLCLASSDATA,MATCH("MartialLimitedExpert",CLASSFEATUREHEADERS,0),MATCH(($A1064 &amp; "Points"),CLASSNAMEHEADERS,0))),(IF("11"=(INDEX(ALLCLASSDATA,MATCH("MartialLimitedTrained",CLASSFEATUREHEADERS,0),MATCH($A1064,CLASSNAMEHEADERS,0))),(INDEX(ALLCLASSDATA,MATCH("MartialLimitedTrained",CLASSFEATUREHEADERS,0),MATCH(($A1064 &amp; "Points"),CLASSNAMEHEADERS,0))),"")))))))))}</f>
        <v>MARTIALLIMITEDL11</v>
      </c>
      <c r="S1063" s="223"/>
      <c r="T1063" s="223" t="str">
        <f t="array" ref="T1063:T1064">{"MARTIALLIMITEDL13";((IF("13"=(INDEX(ALLCLASSDATA,MATCH("MartialLimitedLegendary",CLASSFEATUREHEADERS,0),MATCH($A1064,CLASSNAMEHEADERS,0))),(INDEX(ALLCLASSDATA,MATCH("MartialLimitedLegendary",CLASSFEATUREHEADERS,0),MATCH(($A1064 &amp; "Points"),CLASSNAMEHEADERS,0))),(IF("13"=(INDEX(ALLCLASSDATA,MATCH("MartialLimitedMaster",CLASSFEATUREHEADERS,0),MATCH($A1064,CLASSNAMEHEADERS,0))),(INDEX(ALLCLASSDATA,MATCH("MartialLimitedMaster",CLASSFEATUREHEADERS,0),MATCH(($A1064 &amp; "Points"),CLASSNAMEHEADERS,0))),(IF("13"=(INDEX(ALLCLASSDATA,MATCH("MartialLimitedExpert",CLASSFEATUREHEADERS,0),MATCH($A1064,CLASSNAMEHEADERS,0))),(INDEX(ALLCLASSDATA,MATCH("MartialLimitedExpert",CLASSFEATUREHEADERS,0),MATCH(($A1064 &amp; "Points"),CLASSNAMEHEADERS,0))),(IF("13"=(INDEX(ALLCLASSDATA,MATCH("MartialLimitedTrained",CLASSFEATUREHEADERS,0),MATCH($A1064,CLASSNAMEHEADERS,0))),(INDEX(ALLCLASSDATA,MATCH("MartialLimitedTrained",CLASSFEATUREHEADERS,0),MATCH(($A1064 &amp; "Points"),CLASSNAMEHEADERS,0))),"")))))))))}</f>
        <v>MARTIALLIMITEDL13</v>
      </c>
      <c r="U1063" s="223"/>
      <c r="V1063" s="223" t="str">
        <f t="array" ref="V1063:V1064">{"MARTIALLIMITEDL15";((IF("15"=(INDEX(ALLCLASSDATA,MATCH("MartialLimitedLegendary",CLASSFEATUREHEADERS,0),MATCH($A1064,CLASSNAMEHEADERS,0))),(INDEX(ALLCLASSDATA,MATCH("MartialLimitedLegendary",CLASSFEATUREHEADERS,0),MATCH(($A1064 &amp; "Points"),CLASSNAMEHEADERS,0))),(IF("15"=(INDEX(ALLCLASSDATA,MATCH("MartialLimitedMaster",CLASSFEATUREHEADERS,0),MATCH($A1064,CLASSNAMEHEADERS,0))),(INDEX(ALLCLASSDATA,MATCH("MartialLimitedMaster",CLASSFEATUREHEADERS,0),MATCH(($A1064 &amp; "Points"),CLASSNAMEHEADERS,0))),(IF("15"=(INDEX(ALLCLASSDATA,MATCH("MartialLimitedExpert",CLASSFEATUREHEADERS,0),MATCH($A1064,CLASSNAMEHEADERS,0))),(INDEX(ALLCLASSDATA,MATCH("MartialLimitedExpert",CLASSFEATUREHEADERS,0),MATCH(($A1064 &amp; "Points"),CLASSNAMEHEADERS,0))),(IF("15"=(INDEX(ALLCLASSDATA,MATCH("MartialLimitedTrained",CLASSFEATUREHEADERS,0),MATCH($A1064,CLASSNAMEHEADERS,0))),(INDEX(ALLCLASSDATA,MATCH("MartialLimitedTrained",CLASSFEATUREHEADERS,0),MATCH(($A1064 &amp; "Points"),CLASSNAMEHEADERS,0))),"")))))))))}</f>
        <v>MARTIALLIMITEDL15</v>
      </c>
      <c r="W1063" s="223"/>
      <c r="X1063" s="223" t="str">
        <f t="array" ref="X1063:X1064">{"MARTIALLIMITEDL17";((IF("17"=(INDEX(ALLCLASSDATA,MATCH("MartialLimitedLegendary",CLASSFEATUREHEADERS,0),MATCH($A1064,CLASSNAMEHEADERS,0))),(INDEX(ALLCLASSDATA,MATCH("MartialLimitedLegendary",CLASSFEATUREHEADERS,0),MATCH(($A1064 &amp; "Points"),CLASSNAMEHEADERS,0))),(IF("17"=(INDEX(ALLCLASSDATA,MATCH("MartialLimitedMaster",CLASSFEATUREHEADERS,0),MATCH($A1064,CLASSNAMEHEADERS,0))),(INDEX(ALLCLASSDATA,MATCH("MartialLimitedMaster",CLASSFEATUREHEADERS,0),MATCH(($A1064 &amp; "Points"),CLASSNAMEHEADERS,0))),(IF("17"=(INDEX(ALLCLASSDATA,MATCH("MartialLimitedExpert",CLASSFEATUREHEADERS,0),MATCH($A1064,CLASSNAMEHEADERS,0))),(INDEX(ALLCLASSDATA,MATCH("MartialLimitedExpert",CLASSFEATUREHEADERS,0),MATCH(($A1064 &amp; "Points"),CLASSNAMEHEADERS,0))),(IF("17"=(INDEX(ALLCLASSDATA,MATCH("MartialLimitedTrained",CLASSFEATUREHEADERS,0),MATCH($A1064,CLASSNAMEHEADERS,0))),(INDEX(ALLCLASSDATA,MATCH("MartialLimitedTrained",CLASSFEATUREHEADERS,0),MATCH(($A1064 &amp; "Points"),CLASSNAMEHEADERS,0))),"")))))))))}</f>
        <v>MARTIALLIMITEDL17</v>
      </c>
      <c r="Y1063" s="223"/>
      <c r="Z1063" s="223" t="str">
        <f t="array" ref="Z1063:Z1064">{"MARTIALLIMITEDL19";((IF("19"=(INDEX(ALLCLASSDATA,MATCH("MartialLimitedLegendary",CLASSFEATUREHEADERS,0),MATCH($A1064,CLASSNAMEHEADERS,0))),(INDEX(ALLCLASSDATA,MATCH("MartialLimitedLegendary",CLASSFEATUREHEADERS,0),MATCH(($A1064 &amp; "Points"),CLASSNAMEHEADERS,0))),(IF("19"=(INDEX(ALLCLASSDATA,MATCH("MartialLimitedMaster",CLASSFEATUREHEADERS,0),MATCH($A1064,CLASSNAMEHEADERS,0))),(INDEX(ALLCLASSDATA,MATCH("MartialLimitedMaster",CLASSFEATUREHEADERS,0),MATCH(($A1064 &amp; "Points"),CLASSNAMEHEADERS,0))),(IF("19"=(INDEX(ALLCLASSDATA,MATCH("MartialLimitedExpert",CLASSFEATUREHEADERS,0),MATCH($A1064,CLASSNAMEHEADERS,0))),(INDEX(ALLCLASSDATA,MATCH("MartialLimitedExpert",CLASSFEATUREHEADERS,0),MATCH(($A1064 &amp; "Points"),CLASSNAMEHEADERS,0))),(IF("19"=(INDEX(ALLCLASSDATA,MATCH("MartialLimitedTrained",CLASSFEATUREHEADERS,0),MATCH($A1064,CLASSNAMEHEADERS,0))),(INDEX(ALLCLASSDATA,MATCH("MartialLimitedTrained",CLASSFEATUREHEADERS,0),MATCH(($A1064 &amp; "Points"),CLASSNAMEHEADERS,0))),"")))))))))}</f>
        <v>MARTIALLIMITEDL19</v>
      </c>
      <c r="AA1063" s="223"/>
      <c r="AB1063" s="76" t="str">
        <f t="array" ref="AB1063:AB1064">{"MARTIALLIMITED TOTAL";(IF(COUNTBLANK(G1064:AA1064)=17,"L",(IF(COUNTBLANK(G1064:AA1064)=18,"M",(IF(COUNTBLANK(G1064:AA1064)=19,"E",(IF(COUNTBLANK(G1064:AA1064)=20,"T",""))))))))}</f>
        <v>MARTIALLIMITED TOTAL</v>
      </c>
      <c r="AC1063" s="76" t="str">
        <f t="array" ref="AC1063:AC1064">{"MARTIALLIMITED TOTAL";(sum(G1064:AA1064))}</f>
        <v>MARTIALLIMITED TOTAL</v>
      </c>
    </row>
    <row r="1064">
      <c r="A1064" s="48" t="s">
        <v>189</v>
      </c>
      <c r="B1064" s="48"/>
      <c r="C1064" s="48" t="s">
        <v>412</v>
      </c>
      <c r="D1064" s="48" t="s">
        <v>1634</v>
      </c>
      <c r="E1064" s="48" t="s">
        <v>600</v>
      </c>
      <c r="F1064" s="5" t="s">
        <v>435</v>
      </c>
      <c r="G1064" s="47" t="s">
        <v>603</v>
      </c>
      <c r="H1064" s="5">
        <v>10.0</v>
      </c>
      <c r="I1064" s="5"/>
      <c r="J1064" s="5" t="s">
        <v>603</v>
      </c>
      <c r="K1064" s="5"/>
      <c r="L1064" s="5" t="s">
        <v>603</v>
      </c>
      <c r="M1064" s="5"/>
      <c r="N1064" s="5">
        <v>50.0</v>
      </c>
      <c r="O1064" s="5"/>
      <c r="P1064" s="5" t="s">
        <v>603</v>
      </c>
      <c r="Q1064" s="5"/>
      <c r="R1064" s="5" t="s">
        <v>603</v>
      </c>
      <c r="S1064" s="5"/>
      <c r="T1064" s="5" t="s">
        <v>603</v>
      </c>
      <c r="U1064" s="5"/>
      <c r="V1064" s="5" t="s">
        <v>603</v>
      </c>
      <c r="W1064" s="5"/>
      <c r="X1064" s="5" t="s">
        <v>603</v>
      </c>
      <c r="Y1064" s="5"/>
      <c r="Z1064" s="5" t="s">
        <v>603</v>
      </c>
      <c r="AA1064" s="5"/>
      <c r="AB1064" s="5" t="s">
        <v>436</v>
      </c>
      <c r="AC1064" s="47">
        <v>60.0</v>
      </c>
    </row>
    <row r="1065" hidden="1">
      <c r="A1065" s="222" t="str">
        <f t="array" ref="A1065:A1066">{"FormulaRow31";(INDEX(CLASSLIST,A1004,1))}</f>
        <v>FormulaRow31</v>
      </c>
      <c r="B1065" s="77" t="s">
        <v>236</v>
      </c>
      <c r="C1065" s="222" t="str">
        <f t="array" ref="C1065:C1066">{"CLASSTYPE";((INDEX(ALLCLASSDATA,MATCH("ClassType",CLASSFEATUREHEADERS,0),MATCH($A1066,CLASSNAMEHEADERS,0))))}</f>
        <v>CLASSTYPE</v>
      </c>
      <c r="D1065" s="222" t="str">
        <f t="array" ref="D1065:D1066">{"ATTACK";"Attack"}</f>
        <v>ATTACK</v>
      </c>
      <c r="E1065" s="222" t="str">
        <f t="array" ref="E1065:E1066">{"MARTIAL";"Martial"}</f>
        <v>MARTIAL</v>
      </c>
      <c r="F1065" s="223" t="str">
        <f t="array" ref="F1065:F1066">{"MARTIALINITIAL";((IF(H1066=10,"T",(IF(H1066=50,"E","")))))}</f>
        <v>MARTIALINITIAL</v>
      </c>
      <c r="G1065" s="223" t="str">
        <f t="array" ref="G1065:G1066">{"MARTIALINITIALPTS";((IF("00"=(INDEX(ALLCLASSDATA,MATCH("MartialLegendary",CLASSFEATUREHEADERS,0),MATCH($A1066,CLASSNAMEHEADERS,0))),(INDEX(ALLCLASSDATA,MATCH("MartialLegendary",CLASSFEATUREHEADERS,0),MATCH(($A1066 &amp; "Points"),CLASSNAMEHEADERS,0))),(IF("00"=(INDEX(ALLCLASSDATA,MATCH("MartialMaster",CLASSFEATUREHEADERS,0),MATCH($A1066,CLASSNAMEHEADERS,0))),(INDEX(ALLCLASSDATA,MATCH("MartialMaster",CLASSFEATUREHEADERS,0),MATCH(($A1066 &amp; "Points"),CLASSNAMEHEADERS,0))),(IF("00"=(INDEX(ALLCLASSDATA,MATCH("MartialExpert",CLASSFEATUREHEADERS,0),MATCH($A1066,CLASSNAMEHEADERS,0))),(INDEX(ALLCLASSDATA,MATCH("MartialExpert",CLASSFEATUREHEADERS,0),MATCH(($A1066 &amp; "Points"),CLASSNAMEHEADERS,0))),(IF("00"=(INDEX(ALLCLASSDATA,MATCH("MartialTrained",CLASSFEATUREHEADERS,0),MATCH($A1066,CLASSNAMEHEADERS,0))),(INDEX(ALLCLASSDATA,MATCH("MartialTrained",CLASSFEATUREHEADERS,0),MATCH(($A1066 &amp; "Points"),CLASSNAMEHEADERS,0))),"")))))))))}</f>
        <v>MARTIALINITIALPTS</v>
      </c>
      <c r="H1065" s="223" t="str">
        <f t="array" ref="H1065:H1066">{"MARTIALL01";((IF("01"=(INDEX(ALLCLASSDATA,MATCH("MartialLegendary",CLASSFEATUREHEADERS,0),MATCH($A1066,CLASSNAMEHEADERS,0))),(INDEX(ALLCLASSDATA,MATCH("MartialLegendary",CLASSFEATUREHEADERS,0),MATCH(($A1066 &amp; "Points"),CLASSNAMEHEADERS,0))),(IF("01"=(INDEX(ALLCLASSDATA,MATCH("MartialMaster",CLASSFEATUREHEADERS,0),MATCH($A1066,CLASSNAMEHEADERS,0))),(INDEX(ALLCLASSDATA,MATCH("MartialMaster",CLASSFEATUREHEADERS,0),MATCH(($A1066 &amp; "Points"),CLASSNAMEHEADERS,0))),(IF("01"=(INDEX(ALLCLASSDATA,MATCH("MartialExpert",CLASSFEATUREHEADERS,0),MATCH($A1066,CLASSNAMEHEADERS,0))),(INDEX(ALLCLASSDATA,MATCH("MartialExpert",CLASSFEATUREHEADERS,0),MATCH(($A1066 &amp; "Points"),CLASSNAMEHEADERS,0))),(IF("01"=(INDEX(ALLCLASSDATA,MATCH("MartialTrained",CLASSFEATUREHEADERS,0),MATCH($A1066,CLASSNAMEHEADERS,0))),(INDEX(ALLCLASSDATA,MATCH("MartialTrained",CLASSFEATUREHEADERS,0),MATCH(($A1066 &amp; "Points"),CLASSNAMEHEADERS,0))),"")))))))))}</f>
        <v>MARTIALL01</v>
      </c>
      <c r="I1065" s="223"/>
      <c r="J1065" s="223" t="str">
        <f t="array" ref="J1065:J1066">{"MARTIALL03";((IF("03"=(INDEX(ALLCLASSDATA,MATCH("MartialLegendary",CLASSFEATUREHEADERS,0),MATCH($A1066,CLASSNAMEHEADERS,0))),(INDEX(ALLCLASSDATA,MATCH("MartialLegendary",CLASSFEATUREHEADERS,0),MATCH(($A1066 &amp; "Points"),CLASSNAMEHEADERS,0))),(IF("03"=(INDEX(ALLCLASSDATA,MATCH("MartialMaster",CLASSFEATUREHEADERS,0),MATCH($A1066,CLASSNAMEHEADERS,0))),(INDEX(ALLCLASSDATA,MATCH("MartialMaster",CLASSFEATUREHEADERS,0),MATCH(($A1066 &amp; "Points"),CLASSNAMEHEADERS,0))),(IF("03"=(INDEX(ALLCLASSDATA,MATCH("MartialExpert",CLASSFEATUREHEADERS,0),MATCH($A1066,CLASSNAMEHEADERS,0))),(INDEX(ALLCLASSDATA,MATCH("MartialExpert",CLASSFEATUREHEADERS,0),MATCH(($A1066 &amp; "Points"),CLASSNAMEHEADERS,0))),(IF("03"=(INDEX(ALLCLASSDATA,MATCH("MartialTrained",CLASSFEATUREHEADERS,0),MATCH($A1066,CLASSNAMEHEADERS,0))),(INDEX(ALLCLASSDATA,MATCH("MartialTrained",CLASSFEATUREHEADERS,0),MATCH(($A1066 &amp; "Points"),CLASSNAMEHEADERS,0))),"")))))))))}</f>
        <v>MARTIALL03</v>
      </c>
      <c r="K1065" s="223"/>
      <c r="L1065" s="223" t="str">
        <f t="array" ref="L1065:L1066">{"MARTIALL05";((IF("05"=(INDEX(ALLCLASSDATA,MATCH("MartialLegendary",CLASSFEATUREHEADERS,0),MATCH($A1066,CLASSNAMEHEADERS,0))),(INDEX(ALLCLASSDATA,MATCH("MartialLegendary",CLASSFEATUREHEADERS,0),MATCH(($A1066 &amp; "Points"),CLASSNAMEHEADERS,0))),(IF("05"=(INDEX(ALLCLASSDATA,MATCH("MartialMaster",CLASSFEATUREHEADERS,0),MATCH($A1066,CLASSNAMEHEADERS,0))),(INDEX(ALLCLASSDATA,MATCH("MartialMaster",CLASSFEATUREHEADERS,0),MATCH(($A1066 &amp; "Points"),CLASSNAMEHEADERS,0))),(IF("05"=(INDEX(ALLCLASSDATA,MATCH("MartialExpert",CLASSFEATUREHEADERS,0),MATCH($A1066,CLASSNAMEHEADERS,0))),(INDEX(ALLCLASSDATA,MATCH("MartialExpert",CLASSFEATUREHEADERS,0),MATCH(($A1066 &amp; "Points"),CLASSNAMEHEADERS,0))),(IF("05"=(INDEX(ALLCLASSDATA,MATCH("MartialTrained",CLASSFEATUREHEADERS,0),MATCH($A1066,CLASSNAMEHEADERS,0))),(INDEX(ALLCLASSDATA,MATCH("MartialTrained",CLASSFEATUREHEADERS,0),MATCH(($A1066 &amp; "Points"),CLASSNAMEHEADERS,0))),"")))))))))}</f>
        <v>MARTIALL05</v>
      </c>
      <c r="M1065" s="223"/>
      <c r="N1065" s="223" t="str">
        <f t="array" ref="N1065:N1066">{"MARTIALL07";((IF("07"=(INDEX(ALLCLASSDATA,MATCH("MartialLegendary",CLASSFEATUREHEADERS,0),MATCH($A1066,CLASSNAMEHEADERS,0))),(INDEX(ALLCLASSDATA,MATCH("MartialLegendary",CLASSFEATUREHEADERS,0),MATCH(($A1066 &amp; "Points"),CLASSNAMEHEADERS,0))),(IF("07"=(INDEX(ALLCLASSDATA,MATCH("MartialMaster",CLASSFEATUREHEADERS,0),MATCH($A1066,CLASSNAMEHEADERS,0))),(INDEX(ALLCLASSDATA,MATCH("MartialMaster",CLASSFEATUREHEADERS,0),MATCH(($A1066 &amp; "Points"),CLASSNAMEHEADERS,0))),(IF("07"=(INDEX(ALLCLASSDATA,MATCH("MartialExpert",CLASSFEATUREHEADERS,0),MATCH($A1066,CLASSNAMEHEADERS,0))),(INDEX(ALLCLASSDATA,MATCH("MartialExpert",CLASSFEATUREHEADERS,0),MATCH(($A1066 &amp; "Points"),CLASSNAMEHEADERS,0))),(IF("07"=(INDEX(ALLCLASSDATA,MATCH("MartialTrained",CLASSFEATUREHEADERS,0),MATCH($A1066,CLASSNAMEHEADERS,0))),(INDEX(ALLCLASSDATA,MATCH("MartialTrained",CLASSFEATUREHEADERS,0),MATCH(($A1066 &amp; "Points"),CLASSNAMEHEADERS,0))),"")))))))))}</f>
        <v>MARTIALL07</v>
      </c>
      <c r="O1065" s="223"/>
      <c r="P1065" s="223" t="str">
        <f t="array" ref="P1065:P1066">{"MARTIALL09";((IF("09"=(INDEX(ALLCLASSDATA,MATCH("MartialLegendary",CLASSFEATUREHEADERS,0),MATCH($A1066,CLASSNAMEHEADERS,0))),(INDEX(ALLCLASSDATA,MATCH("MartialLegendary",CLASSFEATUREHEADERS,0),MATCH(($A1066 &amp; "Points"),CLASSNAMEHEADERS,0))),(IF("09"=(INDEX(ALLCLASSDATA,MATCH("MartialMaster",CLASSFEATUREHEADERS,0),MATCH($A1066,CLASSNAMEHEADERS,0))),(INDEX(ALLCLASSDATA,MATCH("MartialMaster",CLASSFEATUREHEADERS,0),MATCH(($A1066 &amp; "Points"),CLASSNAMEHEADERS,0))),(IF("09"=(INDEX(ALLCLASSDATA,MATCH("MartialExpert",CLASSFEATUREHEADERS,0),MATCH($A1066,CLASSNAMEHEADERS,0))),(INDEX(ALLCLASSDATA,MATCH("MartialExpert",CLASSFEATUREHEADERS,0),MATCH(($A1066 &amp; "Points"),CLASSNAMEHEADERS,0))),(IF("09"=(INDEX(ALLCLASSDATA,MATCH("MartialTrained",CLASSFEATUREHEADERS,0),MATCH($A1066,CLASSNAMEHEADERS,0))),(INDEX(ALLCLASSDATA,MATCH("MartialTrained",CLASSFEATUREHEADERS,0),MATCH(($A1066 &amp; "Points"),CLASSNAMEHEADERS,0))),"")))))))))}</f>
        <v>MARTIALL09</v>
      </c>
      <c r="Q1065" s="223"/>
      <c r="R1065" s="223" t="str">
        <f t="array" ref="R1065:R1066">{"MARTIALL11";((IF("11"=(INDEX(ALLCLASSDATA,MATCH("MartialLegendary",CLASSFEATUREHEADERS,0),MATCH($A1066,CLASSNAMEHEADERS,0))),(INDEX(ALLCLASSDATA,MATCH("MartialLegendary",CLASSFEATUREHEADERS,0),MATCH(($A1066 &amp; "Points"),CLASSNAMEHEADERS,0))),(IF("11"=(INDEX(ALLCLASSDATA,MATCH("MartialMaster",CLASSFEATUREHEADERS,0),MATCH($A1066,CLASSNAMEHEADERS,0))),(INDEX(ALLCLASSDATA,MATCH("MartialMaster",CLASSFEATUREHEADERS,0),MATCH(($A1066 &amp; "Points"),CLASSNAMEHEADERS,0))),(IF("11"=(INDEX(ALLCLASSDATA,MATCH("MartialExpert",CLASSFEATUREHEADERS,0),MATCH($A1066,CLASSNAMEHEADERS,0))),(INDEX(ALLCLASSDATA,MATCH("MartialExpert",CLASSFEATUREHEADERS,0),MATCH(($A1066 &amp; "Points"),CLASSNAMEHEADERS,0))),(IF("11"=(INDEX(ALLCLASSDATA,MATCH("MartialTrained",CLASSFEATUREHEADERS,0),MATCH($A1066,CLASSNAMEHEADERS,0))),(INDEX(ALLCLASSDATA,MATCH("MartialTrained",CLASSFEATUREHEADERS,0),MATCH(($A1066 &amp; "Points"),CLASSNAMEHEADERS,0))),"")))))))))}</f>
        <v>MARTIALL11</v>
      </c>
      <c r="S1065" s="223"/>
      <c r="T1065" s="223" t="str">
        <f t="array" ref="T1065:T1066">{"MARTIALL13";((IF("13"=(INDEX(ALLCLASSDATA,MATCH("MartialLegendary",CLASSFEATUREHEADERS,0),MATCH($A1066,CLASSNAMEHEADERS,0))),(INDEX(ALLCLASSDATA,MATCH("MartialLegendary",CLASSFEATUREHEADERS,0),MATCH(($A1066 &amp; "Points"),CLASSNAMEHEADERS,0))),(IF("13"=(INDEX(ALLCLASSDATA,MATCH("MartialMaster",CLASSFEATUREHEADERS,0),MATCH($A1066,CLASSNAMEHEADERS,0))),(INDEX(ALLCLASSDATA,MATCH("MartialMaster",CLASSFEATUREHEADERS,0),MATCH(($A1066 &amp; "Points"),CLASSNAMEHEADERS,0))),(IF("13"=(INDEX(ALLCLASSDATA,MATCH("MartialExpert",CLASSFEATUREHEADERS,0),MATCH($A1066,CLASSNAMEHEADERS,0))),(INDEX(ALLCLASSDATA,MATCH("MartialExpert",CLASSFEATUREHEADERS,0),MATCH(($A1066 &amp; "Points"),CLASSNAMEHEADERS,0))),(IF("13"=(INDEX(ALLCLASSDATA,MATCH("MartialTrained",CLASSFEATUREHEADERS,0),MATCH($A1066,CLASSNAMEHEADERS,0))),(INDEX(ALLCLASSDATA,MATCH("MartialTrained",CLASSFEATUREHEADERS,0),MATCH(($A1066 &amp; "Points"),CLASSNAMEHEADERS,0))),"")))))))))}</f>
        <v>MARTIALL13</v>
      </c>
      <c r="U1065" s="223"/>
      <c r="V1065" s="223" t="str">
        <f t="array" ref="V1065:V1066">{"MARTIALL15";((IF("15"=(INDEX(ALLCLASSDATA,MATCH("MartialLegendary",CLASSFEATUREHEADERS,0),MATCH($A1066,CLASSNAMEHEADERS,0))),(INDEX(ALLCLASSDATA,MATCH("MartialLegendary",CLASSFEATUREHEADERS,0),MATCH(($A1066 &amp; "Points"),CLASSNAMEHEADERS,0))),(IF("15"=(INDEX(ALLCLASSDATA,MATCH("MartialMaster",CLASSFEATUREHEADERS,0),MATCH($A1066,CLASSNAMEHEADERS,0))),(INDEX(ALLCLASSDATA,MATCH("MartialMaster",CLASSFEATUREHEADERS,0),MATCH(($A1066 &amp; "Points"),CLASSNAMEHEADERS,0))),(IF("15"=(INDEX(ALLCLASSDATA,MATCH("MartialExpert",CLASSFEATUREHEADERS,0),MATCH($A1066,CLASSNAMEHEADERS,0))),(INDEX(ALLCLASSDATA,MATCH("MartialExpert",CLASSFEATUREHEADERS,0),MATCH(($A1066 &amp; "Points"),CLASSNAMEHEADERS,0))),(IF("15"=(INDEX(ALLCLASSDATA,MATCH("MartialTrained",CLASSFEATUREHEADERS,0),MATCH($A1066,CLASSNAMEHEADERS,0))),(INDEX(ALLCLASSDATA,MATCH("MartialTrained",CLASSFEATUREHEADERS,0),MATCH(($A1066 &amp; "Points"),CLASSNAMEHEADERS,0))),"")))))))))}</f>
        <v>MARTIALL15</v>
      </c>
      <c r="W1065" s="223"/>
      <c r="X1065" s="223" t="str">
        <f t="array" ref="X1065:X1066">{"MARTIALL17";((IF("17"=(INDEX(ALLCLASSDATA,MATCH("MartialLegendary",CLASSFEATUREHEADERS,0),MATCH($A1066,CLASSNAMEHEADERS,0))),(INDEX(ALLCLASSDATA,MATCH("MartialLegendary",CLASSFEATUREHEADERS,0),MATCH(($A1066 &amp; "Points"),CLASSNAMEHEADERS,0))),(IF("17"=(INDEX(ALLCLASSDATA,MATCH("MartialMaster",CLASSFEATUREHEADERS,0),MATCH($A1066,CLASSNAMEHEADERS,0))),(INDEX(ALLCLASSDATA,MATCH("MartialMaster",CLASSFEATUREHEADERS,0),MATCH(($A1066 &amp; "Points"),CLASSNAMEHEADERS,0))),(IF("17"=(INDEX(ALLCLASSDATA,MATCH("MartialExpert",CLASSFEATUREHEADERS,0),MATCH($A1066,CLASSNAMEHEADERS,0))),(INDEX(ALLCLASSDATA,MATCH("MartialExpert",CLASSFEATUREHEADERS,0),MATCH(($A1066 &amp; "Points"),CLASSNAMEHEADERS,0))),(IF("17"=(INDEX(ALLCLASSDATA,MATCH("MartialTrained",CLASSFEATUREHEADERS,0),MATCH($A1066,CLASSNAMEHEADERS,0))),(INDEX(ALLCLASSDATA,MATCH("MartialTrained",CLASSFEATUREHEADERS,0),MATCH(($A1066 &amp; "Points"),CLASSNAMEHEADERS,0))),"")))))))))}</f>
        <v>MARTIALL17</v>
      </c>
      <c r="Y1065" s="223"/>
      <c r="Z1065" s="223" t="str">
        <f t="array" ref="Z1065:Z1066">{"MARTIALL19";((IF("19"=(INDEX(ALLCLASSDATA,MATCH("MartialLegendary",CLASSFEATUREHEADERS,0),MATCH($A1066,CLASSNAMEHEADERS,0))),(INDEX(ALLCLASSDATA,MATCH("MartialLegendary",CLASSFEATUREHEADERS,0),MATCH(($A1066 &amp; "Points"),CLASSNAMEHEADERS,0))),(IF("19"=(INDEX(ALLCLASSDATA,MATCH("MartialMaster",CLASSFEATUREHEADERS,0),MATCH($A1066,CLASSNAMEHEADERS,0))),(INDEX(ALLCLASSDATA,MATCH("MartialMaster",CLASSFEATUREHEADERS,0),MATCH(($A1066 &amp; "Points"),CLASSNAMEHEADERS,0))),(IF("19"=(INDEX(ALLCLASSDATA,MATCH("MartialExpert",CLASSFEATUREHEADERS,0),MATCH($A1066,CLASSNAMEHEADERS,0))),(INDEX(ALLCLASSDATA,MATCH("MartialExpert",CLASSFEATUREHEADERS,0),MATCH(($A1066 &amp; "Points"),CLASSNAMEHEADERS,0))),(IF("19"=(INDEX(ALLCLASSDATA,MATCH("MartialTrained",CLASSFEATUREHEADERS,0),MATCH($A1066,CLASSNAMEHEADERS,0))),(INDEX(ALLCLASSDATA,MATCH("MartialTrained",CLASSFEATUREHEADERS,0),MATCH(($A1066 &amp; "Points"),CLASSNAMEHEADERS,0))),"")))))))))}</f>
        <v>MARTIALL19</v>
      </c>
      <c r="AA1065" s="223"/>
      <c r="AB1065" s="76" t="str">
        <f t="array" ref="AB1065:AB1066">{"MARTIAL TOTAL";(IF(COUNTBLANK(G1066:AA1066)=17,"L",(IF(COUNTBLANK(G1066:AA1066)=18,"M",(IF(COUNTBLANK(G1066:AA1066)=19,"E",(IF(COUNTBLANK(G1066:AA1066)=20,"T",""))))))))}</f>
        <v>MARTIAL TOTAL</v>
      </c>
      <c r="AC1065" s="76" t="str">
        <f t="array" ref="AC1065:AC1066">{"MARTIAL TOTAL";(sum(G1066:AA1066))}</f>
        <v>MARTIAL TOTAL</v>
      </c>
    </row>
    <row r="1066">
      <c r="A1066" s="48" t="s">
        <v>189</v>
      </c>
      <c r="B1066" s="48"/>
      <c r="C1066" s="48" t="s">
        <v>412</v>
      </c>
      <c r="D1066" s="48" t="s">
        <v>1634</v>
      </c>
      <c r="E1066" s="48" t="s">
        <v>6</v>
      </c>
      <c r="F1066" s="5" t="s">
        <v>603</v>
      </c>
      <c r="G1066" s="47" t="s">
        <v>603</v>
      </c>
      <c r="H1066" s="5" t="s">
        <v>603</v>
      </c>
      <c r="I1066" s="5"/>
      <c r="J1066" s="5" t="s">
        <v>603</v>
      </c>
      <c r="K1066" s="5"/>
      <c r="L1066" s="5" t="s">
        <v>603</v>
      </c>
      <c r="M1066" s="5"/>
      <c r="N1066" s="5" t="s">
        <v>603</v>
      </c>
      <c r="O1066" s="5"/>
      <c r="P1066" s="5" t="s">
        <v>603</v>
      </c>
      <c r="Q1066" s="48"/>
      <c r="R1066" s="5" t="s">
        <v>603</v>
      </c>
      <c r="S1066" s="5"/>
      <c r="T1066" s="5" t="s">
        <v>603</v>
      </c>
      <c r="U1066" s="5"/>
      <c r="V1066" s="5" t="s">
        <v>603</v>
      </c>
      <c r="W1066" s="5"/>
      <c r="X1066" s="5" t="s">
        <v>603</v>
      </c>
      <c r="Y1066" s="5"/>
      <c r="Z1066" s="5" t="s">
        <v>603</v>
      </c>
      <c r="AA1066" s="5"/>
      <c r="AB1066" s="5" t="s">
        <v>603</v>
      </c>
      <c r="AC1066" s="47">
        <v>0.0</v>
      </c>
    </row>
    <row r="1067" hidden="1">
      <c r="A1067" s="222" t="str">
        <f t="array" ref="A1067:A1068">{"FormulaRow32";(INDEX(CLASSLIST,A1004,1))}</f>
        <v>FormulaRow32</v>
      </c>
      <c r="B1067" s="77" t="s">
        <v>236</v>
      </c>
      <c r="C1067" s="222" t="str">
        <f t="array" ref="C1067:C1068">{"CLASSTYPE";((INDEX(ALLCLASSDATA,MATCH("ClassType",CLASSFEATUREHEADERS,0),MATCH($A1068,CLASSNAMEHEADERS,0))))}</f>
        <v>CLASSTYPE</v>
      </c>
      <c r="D1067" s="222" t="str">
        <f t="array" ref="D1067:D1068">{"ATTACK";"Attack"}</f>
        <v>ATTACK</v>
      </c>
      <c r="E1067" s="222" t="str">
        <f t="array" ref="E1067:E1068">{"ADVANCEDGROUP";"AdvancedGroup"}</f>
        <v>ADVANCEDGROUP</v>
      </c>
      <c r="F1067" s="223" t="str">
        <f t="array" ref="F1067:F1068">{"ADVANCEDGROUPINITIAL";((IF(H1068=10,"T",(IF(H1068=50,"E","")))))}</f>
        <v>ADVANCEDGROUPINITIAL</v>
      </c>
      <c r="G1067" s="223" t="str">
        <f t="array" ref="G1067:G1068">{"ADVANCEDGROUPINITIALPTS";((IF("00"=(INDEX(ALLCLASSDATA,MATCH("AdvancedGroupLegendary",CLASSFEATUREHEADERS,0),MATCH($A1068,CLASSNAMEHEADERS,0))),(INDEX(ALLCLASSDATA,MATCH("AdvancedGroupLegendary",CLASSFEATUREHEADERS,0),MATCH(($A1068 &amp; "Points"),CLASSNAMEHEADERS,0))),(IF("00"=(INDEX(ALLCLASSDATA,MATCH("AdvancedGroupMaster",CLASSFEATUREHEADERS,0),MATCH($A1068,CLASSNAMEHEADERS,0))),(INDEX(ALLCLASSDATA,MATCH("AdvancedGroupMaster",CLASSFEATUREHEADERS,0),MATCH(($A1068 &amp; "Points"),CLASSNAMEHEADERS,0))),(IF("00"=(INDEX(ALLCLASSDATA,MATCH("AdvancedGroupExpert",CLASSFEATUREHEADERS,0),MATCH($A1068,CLASSNAMEHEADERS,0))),(INDEX(ALLCLASSDATA,MATCH("AdvancedGroupExpert",CLASSFEATUREHEADERS,0),MATCH(($A1068 &amp; "Points"),CLASSNAMEHEADERS,0))),(IF("00"=(INDEX(ALLCLASSDATA,MATCH("AdvancedGroupTrained",CLASSFEATUREHEADERS,0),MATCH($A1068,CLASSNAMEHEADERS,0))),(INDEX(ALLCLASSDATA,MATCH("AdvancedGroupTrained",CLASSFEATUREHEADERS,0),MATCH(($A1068 &amp; "Points"),CLASSNAMEHEADERS,0))),"")))))))))}</f>
        <v>ADVANCEDGROUPINITIALPTS</v>
      </c>
      <c r="H1067" s="223" t="str">
        <f t="array" ref="H1067:H1068">{"ADVANCEDGROUPL01";((IF("01"=(INDEX(ALLCLASSDATA,MATCH("AdvancedGroupLegendary",CLASSFEATUREHEADERS,0),MATCH($A1068,CLASSNAMEHEADERS,0))),(INDEX(ALLCLASSDATA,MATCH("AdvancedGroupLegendary",CLASSFEATUREHEADERS,0),MATCH(($A1068 &amp; "Points"),CLASSNAMEHEADERS,0))),(IF("01"=(INDEX(ALLCLASSDATA,MATCH("AdvancedGroupMaster",CLASSFEATUREHEADERS,0),MATCH($A1068,CLASSNAMEHEADERS,0))),(INDEX(ALLCLASSDATA,MATCH("AdvancedGroupMaster",CLASSFEATUREHEADERS,0),MATCH(($A1068 &amp; "Points"),CLASSNAMEHEADERS,0))),(IF("01"=(INDEX(ALLCLASSDATA,MATCH("AdvancedGroupExpert",CLASSFEATUREHEADERS,0),MATCH($A1068,CLASSNAMEHEADERS,0))),(INDEX(ALLCLASSDATA,MATCH("AdvancedGroupExpert",CLASSFEATUREHEADERS,0),MATCH(($A1068 &amp; "Points"),CLASSNAMEHEADERS,0))),(IF("01"=(INDEX(ALLCLASSDATA,MATCH("AdvancedGroupTrained",CLASSFEATUREHEADERS,0),MATCH($A1068,CLASSNAMEHEADERS,0))),(INDEX(ALLCLASSDATA,MATCH("AdvancedGroupTrained",CLASSFEATUREHEADERS,0),MATCH(($A1068 &amp; "Points"),CLASSNAMEHEADERS,0))),"")))))))))}</f>
        <v>ADVANCEDGROUPL01</v>
      </c>
      <c r="I1067" s="223"/>
      <c r="J1067" s="223" t="str">
        <f t="array" ref="J1067:J1068">{"ADVANCEDGROUPL03";((IF("03"=(INDEX(ALLCLASSDATA,MATCH("AdvancedGroupLegendary",CLASSFEATUREHEADERS,0),MATCH($A1068,CLASSNAMEHEADERS,0))),(INDEX(ALLCLASSDATA,MATCH("AdvancedGroupLegendary",CLASSFEATUREHEADERS,0),MATCH(($A1068 &amp; "Points"),CLASSNAMEHEADERS,0))),(IF("03"=(INDEX(ALLCLASSDATA,MATCH("AdvancedGroupMaster",CLASSFEATUREHEADERS,0),MATCH($A1068,CLASSNAMEHEADERS,0))),(INDEX(ALLCLASSDATA,MATCH("AdvancedGroupMaster",CLASSFEATUREHEADERS,0),MATCH(($A1068 &amp; "Points"),CLASSNAMEHEADERS,0))),(IF("03"=(INDEX(ALLCLASSDATA,MATCH("AdvancedGroupExpert",CLASSFEATUREHEADERS,0),MATCH($A1068,CLASSNAMEHEADERS,0))),(INDEX(ALLCLASSDATA,MATCH("AdvancedGroupExpert",CLASSFEATUREHEADERS,0),MATCH(($A1068 &amp; "Points"),CLASSNAMEHEADERS,0))),(IF("03"=(INDEX(ALLCLASSDATA,MATCH("AdvancedGroupTrained",CLASSFEATUREHEADERS,0),MATCH($A1068,CLASSNAMEHEADERS,0))),(INDEX(ALLCLASSDATA,MATCH("AdvancedGroupTrained",CLASSFEATUREHEADERS,0),MATCH(($A1068 &amp; "Points"),CLASSNAMEHEADERS,0))),"")))))))))}</f>
        <v>ADVANCEDGROUPL03</v>
      </c>
      <c r="K1067" s="223"/>
      <c r="L1067" s="223" t="str">
        <f t="array" ref="L1067:L1068">{"ADVANCEDGROUPL05";((IF("05"=(INDEX(ALLCLASSDATA,MATCH("AdvancedGroupLegendary",CLASSFEATUREHEADERS,0),MATCH($A1068,CLASSNAMEHEADERS,0))),(INDEX(ALLCLASSDATA,MATCH("AdvancedGroupLegendary",CLASSFEATUREHEADERS,0),MATCH(($A1068 &amp; "Points"),CLASSNAMEHEADERS,0))),(IF("05"=(INDEX(ALLCLASSDATA,MATCH("AdvancedGroupMaster",CLASSFEATUREHEADERS,0),MATCH($A1068,CLASSNAMEHEADERS,0))),(INDEX(ALLCLASSDATA,MATCH("AdvancedGroupMaster",CLASSFEATUREHEADERS,0),MATCH(($A1068 &amp; "Points"),CLASSNAMEHEADERS,0))),(IF("05"=(INDEX(ALLCLASSDATA,MATCH("AdvancedGroupExpert",CLASSFEATUREHEADERS,0),MATCH($A1068,CLASSNAMEHEADERS,0))),(INDEX(ALLCLASSDATA,MATCH("AdvancedGroupExpert",CLASSFEATUREHEADERS,0),MATCH(($A1068 &amp; "Points"),CLASSNAMEHEADERS,0))),(IF("05"=(INDEX(ALLCLASSDATA,MATCH("AdvancedGroupTrained",CLASSFEATUREHEADERS,0),MATCH($A1068,CLASSNAMEHEADERS,0))),(INDEX(ALLCLASSDATA,MATCH("AdvancedGroupTrained",CLASSFEATUREHEADERS,0),MATCH(($A1068 &amp; "Points"),CLASSNAMEHEADERS,0))),"")))))))))}</f>
        <v>ADVANCEDGROUPL05</v>
      </c>
      <c r="M1067" s="223"/>
      <c r="N1067" s="223" t="str">
        <f t="array" ref="N1067:N1068">{"ADVANCEDGROUPL07";((IF("07"=(INDEX(ALLCLASSDATA,MATCH("AdvancedGroupLegendary",CLASSFEATUREHEADERS,0),MATCH($A1068,CLASSNAMEHEADERS,0))),(INDEX(ALLCLASSDATA,MATCH("AdvancedGroupLegendary",CLASSFEATUREHEADERS,0),MATCH(($A1068 &amp; "Points"),CLASSNAMEHEADERS,0))),(IF("07"=(INDEX(ALLCLASSDATA,MATCH("AdvancedGroupMaster",CLASSFEATUREHEADERS,0),MATCH($A1068,CLASSNAMEHEADERS,0))),(INDEX(ALLCLASSDATA,MATCH("AdvancedGroupMaster",CLASSFEATUREHEADERS,0),MATCH(($A1068 &amp; "Points"),CLASSNAMEHEADERS,0))),(IF("07"=(INDEX(ALLCLASSDATA,MATCH("AdvancedGroupExpert",CLASSFEATUREHEADERS,0),MATCH($A1068,CLASSNAMEHEADERS,0))),(INDEX(ALLCLASSDATA,MATCH("AdvancedGroupExpert",CLASSFEATUREHEADERS,0),MATCH(($A1068 &amp; "Points"),CLASSNAMEHEADERS,0))),(IF("07"=(INDEX(ALLCLASSDATA,MATCH("AdvancedGroupTrained",CLASSFEATUREHEADERS,0),MATCH($A1068,CLASSNAMEHEADERS,0))),(INDEX(ALLCLASSDATA,MATCH("AdvancedGroupTrained",CLASSFEATUREHEADERS,0),MATCH(($A1068 &amp; "Points"),CLASSNAMEHEADERS,0))),"")))))))))}</f>
        <v>ADVANCEDGROUPL07</v>
      </c>
      <c r="O1067" s="223"/>
      <c r="P1067" s="223" t="str">
        <f t="array" ref="P1067:P1068">{"ADVANCEDGROUPL09";((IF("09"=(INDEX(ALLCLASSDATA,MATCH("AdvancedGroupLegendary",CLASSFEATUREHEADERS,0),MATCH($A1068,CLASSNAMEHEADERS,0))),(INDEX(ALLCLASSDATA,MATCH("AdvancedGroupLegendary",CLASSFEATUREHEADERS,0),MATCH(($A1068 &amp; "Points"),CLASSNAMEHEADERS,0))),(IF("09"=(INDEX(ALLCLASSDATA,MATCH("AdvancedGroupMaster",CLASSFEATUREHEADERS,0),MATCH($A1068,CLASSNAMEHEADERS,0))),(INDEX(ALLCLASSDATA,MATCH("AdvancedGroupMaster",CLASSFEATUREHEADERS,0),MATCH(($A1068 &amp; "Points"),CLASSNAMEHEADERS,0))),(IF("09"=(INDEX(ALLCLASSDATA,MATCH("AdvancedGroupExpert",CLASSFEATUREHEADERS,0),MATCH($A1068,CLASSNAMEHEADERS,0))),(INDEX(ALLCLASSDATA,MATCH("AdvancedGroupExpert",CLASSFEATUREHEADERS,0),MATCH(($A1068 &amp; "Points"),CLASSNAMEHEADERS,0))),(IF("09"=(INDEX(ALLCLASSDATA,MATCH("AdvancedGroupTrained",CLASSFEATUREHEADERS,0),MATCH($A1068,CLASSNAMEHEADERS,0))),(INDEX(ALLCLASSDATA,MATCH("AdvancedGroupTrained",CLASSFEATUREHEADERS,0),MATCH(($A1068 &amp; "Points"),CLASSNAMEHEADERS,0))),"")))))))))}</f>
        <v>ADVANCEDGROUPL09</v>
      </c>
      <c r="Q1067" s="223"/>
      <c r="R1067" s="223" t="str">
        <f t="array" ref="R1067:R1068">{"ADVANCEDGROUPL11";((IF("11"=(INDEX(ALLCLASSDATA,MATCH("AdvancedGroupLegendary",CLASSFEATUREHEADERS,0),MATCH($A1068,CLASSNAMEHEADERS,0))),(INDEX(ALLCLASSDATA,MATCH("AdvancedGroupLegendary",CLASSFEATUREHEADERS,0),MATCH(($A1068 &amp; "Points"),CLASSNAMEHEADERS,0))),(IF("11"=(INDEX(ALLCLASSDATA,MATCH("AdvancedGroupMaster",CLASSFEATUREHEADERS,0),MATCH($A1068,CLASSNAMEHEADERS,0))),(INDEX(ALLCLASSDATA,MATCH("AdvancedGroupMaster",CLASSFEATUREHEADERS,0),MATCH(($A1068 &amp; "Points"),CLASSNAMEHEADERS,0))),(IF("11"=(INDEX(ALLCLASSDATA,MATCH("AdvancedGroupExpert",CLASSFEATUREHEADERS,0),MATCH($A1068,CLASSNAMEHEADERS,0))),(INDEX(ALLCLASSDATA,MATCH("AdvancedGroupExpert",CLASSFEATUREHEADERS,0),MATCH(($A1068 &amp; "Points"),CLASSNAMEHEADERS,0))),(IF("11"=(INDEX(ALLCLASSDATA,MATCH("AdvancedGroupTrained",CLASSFEATUREHEADERS,0),MATCH($A1068,CLASSNAMEHEADERS,0))),(INDEX(ALLCLASSDATA,MATCH("AdvancedGroupTrained",CLASSFEATUREHEADERS,0),MATCH(($A1068 &amp; "Points"),CLASSNAMEHEADERS,0))),"")))))))))}</f>
        <v>ADVANCEDGROUPL11</v>
      </c>
      <c r="S1067" s="223"/>
      <c r="T1067" s="223" t="str">
        <f t="array" ref="T1067:T1068">{"ADVANCEDGROUPL13";((IF("13"=(INDEX(ALLCLASSDATA,MATCH("AdvancedGroupLegendary",CLASSFEATUREHEADERS,0),MATCH($A1068,CLASSNAMEHEADERS,0))),(INDEX(ALLCLASSDATA,MATCH("AdvancedGroupLegendary",CLASSFEATUREHEADERS,0),MATCH(($A1068 &amp; "Points"),CLASSNAMEHEADERS,0))),(IF("13"=(INDEX(ALLCLASSDATA,MATCH("AdvancedGroupMaster",CLASSFEATUREHEADERS,0),MATCH($A1068,CLASSNAMEHEADERS,0))),(INDEX(ALLCLASSDATA,MATCH("AdvancedGroupMaster",CLASSFEATUREHEADERS,0),MATCH(($A1068 &amp; "Points"),CLASSNAMEHEADERS,0))),(IF("13"=(INDEX(ALLCLASSDATA,MATCH("AdvancedGroupExpert",CLASSFEATUREHEADERS,0),MATCH($A1068,CLASSNAMEHEADERS,0))),(INDEX(ALLCLASSDATA,MATCH("AdvancedGroupExpert",CLASSFEATUREHEADERS,0),MATCH(($A1068 &amp; "Points"),CLASSNAMEHEADERS,0))),(IF("13"=(INDEX(ALLCLASSDATA,MATCH("AdvancedGroupTrained",CLASSFEATUREHEADERS,0),MATCH($A1068,CLASSNAMEHEADERS,0))),(INDEX(ALLCLASSDATA,MATCH("AdvancedGroupTrained",CLASSFEATUREHEADERS,0),MATCH(($A1068 &amp; "Points"),CLASSNAMEHEADERS,0))),"")))))))))}</f>
        <v>ADVANCEDGROUPL13</v>
      </c>
      <c r="U1067" s="223"/>
      <c r="V1067" s="223" t="str">
        <f t="array" ref="V1067:V1068">{"ADVANCEDGROUPL15";((IF("15"=(INDEX(ALLCLASSDATA,MATCH("AdvancedGroupLegendary",CLASSFEATUREHEADERS,0),MATCH($A1068,CLASSNAMEHEADERS,0))),(INDEX(ALLCLASSDATA,MATCH("AdvancedGroupLegendary",CLASSFEATUREHEADERS,0),MATCH(($A1068 &amp; "Points"),CLASSNAMEHEADERS,0))),(IF("15"=(INDEX(ALLCLASSDATA,MATCH("AdvancedGroupMaster",CLASSFEATUREHEADERS,0),MATCH($A1068,CLASSNAMEHEADERS,0))),(INDEX(ALLCLASSDATA,MATCH("AdvancedGroupMaster",CLASSFEATUREHEADERS,0),MATCH(($A1068 &amp; "Points"),CLASSNAMEHEADERS,0))),(IF("15"=(INDEX(ALLCLASSDATA,MATCH("AdvancedGroupExpert",CLASSFEATUREHEADERS,0),MATCH($A1068,CLASSNAMEHEADERS,0))),(INDEX(ALLCLASSDATA,MATCH("AdvancedGroupExpert",CLASSFEATUREHEADERS,0),MATCH(($A1068 &amp; "Points"),CLASSNAMEHEADERS,0))),(IF("15"=(INDEX(ALLCLASSDATA,MATCH("AdvancedGroupTrained",CLASSFEATUREHEADERS,0),MATCH($A1068,CLASSNAMEHEADERS,0))),(INDEX(ALLCLASSDATA,MATCH("AdvancedGroupTrained",CLASSFEATUREHEADERS,0),MATCH(($A1068 &amp; "Points"),CLASSNAMEHEADERS,0))),"")))))))))}</f>
        <v>ADVANCEDGROUPL15</v>
      </c>
      <c r="W1067" s="223"/>
      <c r="X1067" s="223" t="str">
        <f t="array" ref="X1067:X1068">{"ADVANCEDGROUPL17";((IF("17"=(INDEX(ALLCLASSDATA,MATCH("AdvancedGroupLegendary",CLASSFEATUREHEADERS,0),MATCH($A1068,CLASSNAMEHEADERS,0))),(INDEX(ALLCLASSDATA,MATCH("AdvancedGroupLegendary",CLASSFEATUREHEADERS,0),MATCH(($A1068 &amp; "Points"),CLASSNAMEHEADERS,0))),(IF("17"=(INDEX(ALLCLASSDATA,MATCH("AdvancedGroupMaster",CLASSFEATUREHEADERS,0),MATCH($A1068,CLASSNAMEHEADERS,0))),(INDEX(ALLCLASSDATA,MATCH("AdvancedGroupMaster",CLASSFEATUREHEADERS,0),MATCH(($A1068 &amp; "Points"),CLASSNAMEHEADERS,0))),(IF("17"=(INDEX(ALLCLASSDATA,MATCH("AdvancedGroupExpert",CLASSFEATUREHEADERS,0),MATCH($A1068,CLASSNAMEHEADERS,0))),(INDEX(ALLCLASSDATA,MATCH("AdvancedGroupExpert",CLASSFEATUREHEADERS,0),MATCH(($A1068 &amp; "Points"),CLASSNAMEHEADERS,0))),(IF("17"=(INDEX(ALLCLASSDATA,MATCH("AdvancedGroupTrained",CLASSFEATUREHEADERS,0),MATCH($A1068,CLASSNAMEHEADERS,0))),(INDEX(ALLCLASSDATA,MATCH("AdvancedGroupTrained",CLASSFEATUREHEADERS,0),MATCH(($A1068 &amp; "Points"),CLASSNAMEHEADERS,0))),"")))))))))}</f>
        <v>ADVANCEDGROUPL17</v>
      </c>
      <c r="Y1067" s="223"/>
      <c r="Z1067" s="223" t="str">
        <f t="array" ref="Z1067:Z1068">{"ADVANCEDGROUPL19";((IF("19"=(INDEX(ALLCLASSDATA,MATCH("AdvancedGroupLegendary",CLASSFEATUREHEADERS,0),MATCH($A1068,CLASSNAMEHEADERS,0))),(INDEX(ALLCLASSDATA,MATCH("AdvancedGroupLegendary",CLASSFEATUREHEADERS,0),MATCH(($A1068 &amp; "Points"),CLASSNAMEHEADERS,0))),(IF("19"=(INDEX(ALLCLASSDATA,MATCH("AdvancedGroupMaster",CLASSFEATUREHEADERS,0),MATCH($A1068,CLASSNAMEHEADERS,0))),(INDEX(ALLCLASSDATA,MATCH("AdvancedGroupMaster",CLASSFEATUREHEADERS,0),MATCH(($A1068 &amp; "Points"),CLASSNAMEHEADERS,0))),(IF("19"=(INDEX(ALLCLASSDATA,MATCH("AdvancedGroupExpert",CLASSFEATUREHEADERS,0),MATCH($A1068,CLASSNAMEHEADERS,0))),(INDEX(ALLCLASSDATA,MATCH("AdvancedGroupExpert",CLASSFEATUREHEADERS,0),MATCH(($A1068 &amp; "Points"),CLASSNAMEHEADERS,0))),(IF("19"=(INDEX(ALLCLASSDATA,MATCH("AdvancedGroupTrained",CLASSFEATUREHEADERS,0),MATCH($A1068,CLASSNAMEHEADERS,0))),(INDEX(ALLCLASSDATA,MATCH("AdvancedGroupTrained",CLASSFEATUREHEADERS,0),MATCH(($A1068 &amp; "Points"),CLASSNAMEHEADERS,0))),"")))))))))}</f>
        <v>ADVANCEDGROUPL19</v>
      </c>
      <c r="AA1067" s="223"/>
      <c r="AB1067" s="76" t="str">
        <f t="array" ref="AB1067:AB1068">{"ADVANCEDGROUP TOTAL";(IF(COUNTBLANK(G1068:AA1068)=17,"L",(IF(COUNTBLANK(G1068:AA1068)=18,"M",(IF(COUNTBLANK(G1068:AA1068)=19,"E",(IF(COUNTBLANK(G1068:AA1068)=20,"T",""))))))))}</f>
        <v>ADVANCEDGROUP TOTAL</v>
      </c>
      <c r="AC1067" s="76" t="str">
        <f t="array" ref="AC1067:AC1068">{"ADVANCEDGROUP TOTAL";(sum(G1068:AA1068))}</f>
        <v>ADVANCEDGROUP TOTAL</v>
      </c>
    </row>
    <row r="1068">
      <c r="A1068" s="48" t="s">
        <v>189</v>
      </c>
      <c r="B1068" s="48"/>
      <c r="C1068" s="48" t="s">
        <v>412</v>
      </c>
      <c r="D1068" s="48" t="s">
        <v>1634</v>
      </c>
      <c r="E1068" s="48" t="s">
        <v>601</v>
      </c>
      <c r="F1068" s="5" t="s">
        <v>603</v>
      </c>
      <c r="G1068" s="47" t="s">
        <v>603</v>
      </c>
      <c r="H1068" s="5" t="s">
        <v>603</v>
      </c>
      <c r="I1068" s="5"/>
      <c r="J1068" s="5" t="s">
        <v>603</v>
      </c>
      <c r="K1068" s="5"/>
      <c r="L1068" s="5" t="s">
        <v>603</v>
      </c>
      <c r="M1068" s="5"/>
      <c r="N1068" s="5" t="s">
        <v>603</v>
      </c>
      <c r="O1068" s="5"/>
      <c r="P1068" s="5" t="s">
        <v>603</v>
      </c>
      <c r="Q1068" s="5"/>
      <c r="R1068" s="5" t="s">
        <v>603</v>
      </c>
      <c r="S1068" s="5"/>
      <c r="T1068" s="5" t="s">
        <v>603</v>
      </c>
      <c r="U1068" s="5"/>
      <c r="V1068" s="5" t="s">
        <v>603</v>
      </c>
      <c r="W1068" s="5"/>
      <c r="X1068" s="5" t="s">
        <v>603</v>
      </c>
      <c r="Y1068" s="5"/>
      <c r="Z1068" s="5" t="s">
        <v>603</v>
      </c>
      <c r="AA1068" s="5"/>
      <c r="AB1068" s="5" t="s">
        <v>603</v>
      </c>
      <c r="AC1068" s="47">
        <v>0.0</v>
      </c>
    </row>
    <row r="1069" hidden="1">
      <c r="A1069" s="222" t="str">
        <f t="array" ref="A1069:A1070">{"FormulaRow33";(INDEX(CLASSLIST,A1004,1))}</f>
        <v>FormulaRow33</v>
      </c>
      <c r="B1069" s="77" t="s">
        <v>236</v>
      </c>
      <c r="C1069" s="222" t="str">
        <f t="array" ref="C1069:C1070">{"CLASSTYPE";((INDEX(ALLCLASSDATA,MATCH("ClassType",CLASSFEATUREHEADERS,0),MATCH($A1070,CLASSNAMEHEADERS,0))))}</f>
        <v>CLASSTYPE</v>
      </c>
      <c r="D1069" s="222" t="str">
        <f t="array" ref="D1069:D1070">{"ATTACK";"Attack"}</f>
        <v>ATTACK</v>
      </c>
      <c r="E1069" s="222" t="str">
        <f t="array" ref="E1069:E1070">{"ADVANCED";"Advanced"}</f>
        <v>ADVANCED</v>
      </c>
      <c r="F1069" s="223" t="str">
        <f t="array" ref="F1069:F1070">{"ADVANCEDINITIAL";((IF(H1070=10,"T",(IF(H1070=50,"E","")))))}</f>
        <v>ADVANCEDINITIAL</v>
      </c>
      <c r="G1069" s="223" t="str">
        <f t="array" ref="G1069:G1070">{"ADVANCEDINITIALPTS";((IF("00"=(INDEX(ALLCLASSDATA,MATCH("AdvancedLegendary",CLASSFEATUREHEADERS,0),MATCH($A1070,CLASSNAMEHEADERS,0))),(INDEX(ALLCLASSDATA,MATCH("AdvancedLegendary",CLASSFEATUREHEADERS,0),MATCH(($A1070 &amp; "Points"),CLASSNAMEHEADERS,0))),(IF("00"=(INDEX(ALLCLASSDATA,MATCH("AdvancedMaster",CLASSFEATUREHEADERS,0),MATCH($A1070,CLASSNAMEHEADERS,0))),(INDEX(ALLCLASSDATA,MATCH("AdvancedMaster",CLASSFEATUREHEADERS,0),MATCH(($A1070 &amp; "Points"),CLASSNAMEHEADERS,0))),(IF("00"=(INDEX(ALLCLASSDATA,MATCH("AdvancedExpert",CLASSFEATUREHEADERS,0),MATCH($A1070,CLASSNAMEHEADERS,0))),(INDEX(ALLCLASSDATA,MATCH("AdvancedExpert",CLASSFEATUREHEADERS,0),MATCH(($A1070 &amp; "Points"),CLASSNAMEHEADERS,0))),(IF("00"=(INDEX(ALLCLASSDATA,MATCH("AdvancedTrained",CLASSFEATUREHEADERS,0),MATCH($A1070,CLASSNAMEHEADERS,0))),(INDEX(ALLCLASSDATA,MATCH("AdvancedTrained",CLASSFEATUREHEADERS,0),MATCH(($A1070 &amp; "Points"),CLASSNAMEHEADERS,0))),"")))))))))}</f>
        <v>ADVANCEDINITIALPTS</v>
      </c>
      <c r="H1069" s="223" t="str">
        <f t="array" ref="H1069:H1070">{"ADVANCEDL01";((IF("01"=(INDEX(ALLCLASSDATA,MATCH("AdvancedLegendary",CLASSFEATUREHEADERS,0),MATCH($A1070,CLASSNAMEHEADERS,0))),(INDEX(ALLCLASSDATA,MATCH("AdvancedLegendary",CLASSFEATUREHEADERS,0),MATCH(($A1070 &amp; "Points"),CLASSNAMEHEADERS,0))),(IF("01"=(INDEX(ALLCLASSDATA,MATCH("AdvancedMaster",CLASSFEATUREHEADERS,0),MATCH($A1070,CLASSNAMEHEADERS,0))),(INDEX(ALLCLASSDATA,MATCH("AdvancedMaster",CLASSFEATUREHEADERS,0),MATCH(($A1070 &amp; "Points"),CLASSNAMEHEADERS,0))),(IF("01"=(INDEX(ALLCLASSDATA,MATCH("AdvancedExpert",CLASSFEATUREHEADERS,0),MATCH($A1070,CLASSNAMEHEADERS,0))),(INDEX(ALLCLASSDATA,MATCH("AdvancedExpert",CLASSFEATUREHEADERS,0),MATCH(($A1070 &amp; "Points"),CLASSNAMEHEADERS,0))),(IF("01"=(INDEX(ALLCLASSDATA,MATCH("AdvancedTrained",CLASSFEATUREHEADERS,0),MATCH($A1070,CLASSNAMEHEADERS,0))),(INDEX(ALLCLASSDATA,MATCH("AdvancedTrained",CLASSFEATUREHEADERS,0),MATCH(($A1070 &amp; "Points"),CLASSNAMEHEADERS,0))),"")))))))))}</f>
        <v>ADVANCEDL01</v>
      </c>
      <c r="I1069" s="223"/>
      <c r="J1069" s="223" t="str">
        <f t="array" ref="J1069:J1070">{"ADVANCEDL03";((IF("03"=(INDEX(ALLCLASSDATA,MATCH("AdvancedLegendary",CLASSFEATUREHEADERS,0),MATCH($A1070,CLASSNAMEHEADERS,0))),(INDEX(ALLCLASSDATA,MATCH("AdvancedLegendary",CLASSFEATUREHEADERS,0),MATCH(($A1070 &amp; "Points"),CLASSNAMEHEADERS,0))),(IF("03"=(INDEX(ALLCLASSDATA,MATCH("AdvancedMaster",CLASSFEATUREHEADERS,0),MATCH($A1070,CLASSNAMEHEADERS,0))),(INDEX(ALLCLASSDATA,MATCH("AdvancedMaster",CLASSFEATUREHEADERS,0),MATCH(($A1070 &amp; "Points"),CLASSNAMEHEADERS,0))),(IF("03"=(INDEX(ALLCLASSDATA,MATCH("AdvancedExpert",CLASSFEATUREHEADERS,0),MATCH($A1070,CLASSNAMEHEADERS,0))),(INDEX(ALLCLASSDATA,MATCH("AdvancedExpert",CLASSFEATUREHEADERS,0),MATCH(($A1070 &amp; "Points"),CLASSNAMEHEADERS,0))),(IF("03"=(INDEX(ALLCLASSDATA,MATCH("AdvancedTrained",CLASSFEATUREHEADERS,0),MATCH($A1070,CLASSNAMEHEADERS,0))),(INDEX(ALLCLASSDATA,MATCH("AdvancedTrained",CLASSFEATUREHEADERS,0),MATCH(($A1070 &amp; "Points"),CLASSNAMEHEADERS,0))),"")))))))))}</f>
        <v>ADVANCEDL03</v>
      </c>
      <c r="K1069" s="223"/>
      <c r="L1069" s="223" t="str">
        <f t="array" ref="L1069:L1070">{"ADVANCEDL05";((IF("05"=(INDEX(ALLCLASSDATA,MATCH("AdvancedLegendary",CLASSFEATUREHEADERS,0),MATCH($A1070,CLASSNAMEHEADERS,0))),(INDEX(ALLCLASSDATA,MATCH("AdvancedLegendary",CLASSFEATUREHEADERS,0),MATCH(($A1070 &amp; "Points"),CLASSNAMEHEADERS,0))),(IF("05"=(INDEX(ALLCLASSDATA,MATCH("AdvancedMaster",CLASSFEATUREHEADERS,0),MATCH($A1070,CLASSNAMEHEADERS,0))),(INDEX(ALLCLASSDATA,MATCH("AdvancedMaster",CLASSFEATUREHEADERS,0),MATCH(($A1070 &amp; "Points"),CLASSNAMEHEADERS,0))),(IF("05"=(INDEX(ALLCLASSDATA,MATCH("AdvancedExpert",CLASSFEATUREHEADERS,0),MATCH($A1070,CLASSNAMEHEADERS,0))),(INDEX(ALLCLASSDATA,MATCH("AdvancedExpert",CLASSFEATUREHEADERS,0),MATCH(($A1070 &amp; "Points"),CLASSNAMEHEADERS,0))),(IF("05"=(INDEX(ALLCLASSDATA,MATCH("AdvancedTrained",CLASSFEATUREHEADERS,0),MATCH($A1070,CLASSNAMEHEADERS,0))),(INDEX(ALLCLASSDATA,MATCH("AdvancedTrained",CLASSFEATUREHEADERS,0),MATCH(($A1070 &amp; "Points"),CLASSNAMEHEADERS,0))),"")))))))))}</f>
        <v>ADVANCEDL05</v>
      </c>
      <c r="M1069" s="223"/>
      <c r="N1069" s="223" t="str">
        <f t="array" ref="N1069:N1070">{"ADVANCEDL07";((IF("07"=(INDEX(ALLCLASSDATA,MATCH("AdvancedLegendary",CLASSFEATUREHEADERS,0),MATCH($A1070,CLASSNAMEHEADERS,0))),(INDEX(ALLCLASSDATA,MATCH("AdvancedLegendary",CLASSFEATUREHEADERS,0),MATCH(($A1070 &amp; "Points"),CLASSNAMEHEADERS,0))),(IF("07"=(INDEX(ALLCLASSDATA,MATCH("AdvancedMaster",CLASSFEATUREHEADERS,0),MATCH($A1070,CLASSNAMEHEADERS,0))),(INDEX(ALLCLASSDATA,MATCH("AdvancedMaster",CLASSFEATUREHEADERS,0),MATCH(($A1070 &amp; "Points"),CLASSNAMEHEADERS,0))),(IF("07"=(INDEX(ALLCLASSDATA,MATCH("AdvancedExpert",CLASSFEATUREHEADERS,0),MATCH($A1070,CLASSNAMEHEADERS,0))),(INDEX(ALLCLASSDATA,MATCH("AdvancedExpert",CLASSFEATUREHEADERS,0),MATCH(($A1070 &amp; "Points"),CLASSNAMEHEADERS,0))),(IF("07"=(INDEX(ALLCLASSDATA,MATCH("AdvancedTrained",CLASSFEATUREHEADERS,0),MATCH($A1070,CLASSNAMEHEADERS,0))),(INDEX(ALLCLASSDATA,MATCH("AdvancedTrained",CLASSFEATUREHEADERS,0),MATCH(($A1070 &amp; "Points"),CLASSNAMEHEADERS,0))),"")))))))))}</f>
        <v>ADVANCEDL07</v>
      </c>
      <c r="O1069" s="223"/>
      <c r="P1069" s="223" t="str">
        <f t="array" ref="P1069:P1070">{"ADVANCEDL09";((IF("09"=(INDEX(ALLCLASSDATA,MATCH("AdvancedLegendary",CLASSFEATUREHEADERS,0),MATCH($A1070,CLASSNAMEHEADERS,0))),(INDEX(ALLCLASSDATA,MATCH("AdvancedLegendary",CLASSFEATUREHEADERS,0),MATCH(($A1070 &amp; "Points"),CLASSNAMEHEADERS,0))),(IF("09"=(INDEX(ALLCLASSDATA,MATCH("AdvancedMaster",CLASSFEATUREHEADERS,0),MATCH($A1070,CLASSNAMEHEADERS,0))),(INDEX(ALLCLASSDATA,MATCH("AdvancedMaster",CLASSFEATUREHEADERS,0),MATCH(($A1070 &amp; "Points"),CLASSNAMEHEADERS,0))),(IF("09"=(INDEX(ALLCLASSDATA,MATCH("AdvancedExpert",CLASSFEATUREHEADERS,0),MATCH($A1070,CLASSNAMEHEADERS,0))),(INDEX(ALLCLASSDATA,MATCH("AdvancedExpert",CLASSFEATUREHEADERS,0),MATCH(($A1070 &amp; "Points"),CLASSNAMEHEADERS,0))),(IF("09"=(INDEX(ALLCLASSDATA,MATCH("AdvancedTrained",CLASSFEATUREHEADERS,0),MATCH($A1070,CLASSNAMEHEADERS,0))),(INDEX(ALLCLASSDATA,MATCH("AdvancedTrained",CLASSFEATUREHEADERS,0),MATCH(($A1070 &amp; "Points"),CLASSNAMEHEADERS,0))),"")))))))))}</f>
        <v>ADVANCEDL09</v>
      </c>
      <c r="Q1069" s="223"/>
      <c r="R1069" s="223" t="str">
        <f t="array" ref="R1069:R1070">{"ADVANCEDL11";((IF("11"=(INDEX(ALLCLASSDATA,MATCH("AdvancedLegendary",CLASSFEATUREHEADERS,0),MATCH($A1070,CLASSNAMEHEADERS,0))),(INDEX(ALLCLASSDATA,MATCH("AdvancedLegendary",CLASSFEATUREHEADERS,0),MATCH(($A1070 &amp; "Points"),CLASSNAMEHEADERS,0))),(IF("11"=(INDEX(ALLCLASSDATA,MATCH("AdvancedMaster",CLASSFEATUREHEADERS,0),MATCH($A1070,CLASSNAMEHEADERS,0))),(INDEX(ALLCLASSDATA,MATCH("AdvancedMaster",CLASSFEATUREHEADERS,0),MATCH(($A1070 &amp; "Points"),CLASSNAMEHEADERS,0))),(IF("11"=(INDEX(ALLCLASSDATA,MATCH("AdvancedExpert",CLASSFEATUREHEADERS,0),MATCH($A1070,CLASSNAMEHEADERS,0))),(INDEX(ALLCLASSDATA,MATCH("AdvancedExpert",CLASSFEATUREHEADERS,0),MATCH(($A1070 &amp; "Points"),CLASSNAMEHEADERS,0))),(IF("11"=(INDEX(ALLCLASSDATA,MATCH("AdvancedTrained",CLASSFEATUREHEADERS,0),MATCH($A1070,CLASSNAMEHEADERS,0))),(INDEX(ALLCLASSDATA,MATCH("AdvancedTrained",CLASSFEATUREHEADERS,0),MATCH(($A1070 &amp; "Points"),CLASSNAMEHEADERS,0))),"")))))))))}</f>
        <v>ADVANCEDL11</v>
      </c>
      <c r="S1069" s="223"/>
      <c r="T1069" s="223" t="str">
        <f t="array" ref="T1069:T1070">{"ADVANCEDL13";((IF("13"=(INDEX(ALLCLASSDATA,MATCH("AdvancedLegendary",CLASSFEATUREHEADERS,0),MATCH($A1070,CLASSNAMEHEADERS,0))),(INDEX(ALLCLASSDATA,MATCH("AdvancedLegendary",CLASSFEATUREHEADERS,0),MATCH(($A1070 &amp; "Points"),CLASSNAMEHEADERS,0))),(IF("13"=(INDEX(ALLCLASSDATA,MATCH("AdvancedMaster",CLASSFEATUREHEADERS,0),MATCH($A1070,CLASSNAMEHEADERS,0))),(INDEX(ALLCLASSDATA,MATCH("AdvancedMaster",CLASSFEATUREHEADERS,0),MATCH(($A1070 &amp; "Points"),CLASSNAMEHEADERS,0))),(IF("13"=(INDEX(ALLCLASSDATA,MATCH("AdvancedExpert",CLASSFEATUREHEADERS,0),MATCH($A1070,CLASSNAMEHEADERS,0))),(INDEX(ALLCLASSDATA,MATCH("AdvancedExpert",CLASSFEATUREHEADERS,0),MATCH(($A1070 &amp; "Points"),CLASSNAMEHEADERS,0))),(IF("13"=(INDEX(ALLCLASSDATA,MATCH("AdvancedTrained",CLASSFEATUREHEADERS,0),MATCH($A1070,CLASSNAMEHEADERS,0))),(INDEX(ALLCLASSDATA,MATCH("AdvancedTrained",CLASSFEATUREHEADERS,0),MATCH(($A1070 &amp; "Points"),CLASSNAMEHEADERS,0))),"")))))))))}</f>
        <v>ADVANCEDL13</v>
      </c>
      <c r="U1069" s="223"/>
      <c r="V1069" s="223" t="str">
        <f t="array" ref="V1069:V1070">{"ADVANCEDL15";((IF("15"=(INDEX(ALLCLASSDATA,MATCH("AdvancedLegendary",CLASSFEATUREHEADERS,0),MATCH($A1070,CLASSNAMEHEADERS,0))),(INDEX(ALLCLASSDATA,MATCH("AdvancedLegendary",CLASSFEATUREHEADERS,0),MATCH(($A1070 &amp; "Points"),CLASSNAMEHEADERS,0))),(IF("15"=(INDEX(ALLCLASSDATA,MATCH("AdvancedMaster",CLASSFEATUREHEADERS,0),MATCH($A1070,CLASSNAMEHEADERS,0))),(INDEX(ALLCLASSDATA,MATCH("AdvancedMaster",CLASSFEATUREHEADERS,0),MATCH(($A1070 &amp; "Points"),CLASSNAMEHEADERS,0))),(IF("15"=(INDEX(ALLCLASSDATA,MATCH("AdvancedExpert",CLASSFEATUREHEADERS,0),MATCH($A1070,CLASSNAMEHEADERS,0))),(INDEX(ALLCLASSDATA,MATCH("AdvancedExpert",CLASSFEATUREHEADERS,0),MATCH(($A1070 &amp; "Points"),CLASSNAMEHEADERS,0))),(IF("15"=(INDEX(ALLCLASSDATA,MATCH("AdvancedTrained",CLASSFEATUREHEADERS,0),MATCH($A1070,CLASSNAMEHEADERS,0))),(INDEX(ALLCLASSDATA,MATCH("AdvancedTrained",CLASSFEATUREHEADERS,0),MATCH(($A1070 &amp; "Points"),CLASSNAMEHEADERS,0))),"")))))))))}</f>
        <v>ADVANCEDL15</v>
      </c>
      <c r="W1069" s="223"/>
      <c r="X1069" s="223" t="str">
        <f t="array" ref="X1069:X1070">{"ADVANCEDL17";((IF("17"=(INDEX(ALLCLASSDATA,MATCH("AdvancedLegendary",CLASSFEATUREHEADERS,0),MATCH($A1070,CLASSNAMEHEADERS,0))),(INDEX(ALLCLASSDATA,MATCH("AdvancedLegendary",CLASSFEATUREHEADERS,0),MATCH(($A1070 &amp; "Points"),CLASSNAMEHEADERS,0))),(IF("17"=(INDEX(ALLCLASSDATA,MATCH("AdvancedMaster",CLASSFEATUREHEADERS,0),MATCH($A1070,CLASSNAMEHEADERS,0))),(INDEX(ALLCLASSDATA,MATCH("AdvancedMaster",CLASSFEATUREHEADERS,0),MATCH(($A1070 &amp; "Points"),CLASSNAMEHEADERS,0))),(IF("17"=(INDEX(ALLCLASSDATA,MATCH("AdvancedExpert",CLASSFEATUREHEADERS,0),MATCH($A1070,CLASSNAMEHEADERS,0))),(INDEX(ALLCLASSDATA,MATCH("AdvancedExpert",CLASSFEATUREHEADERS,0),MATCH(($A1070 &amp; "Points"),CLASSNAMEHEADERS,0))),(IF("17"=(INDEX(ALLCLASSDATA,MATCH("AdvancedTrained",CLASSFEATUREHEADERS,0),MATCH($A1070,CLASSNAMEHEADERS,0))),(INDEX(ALLCLASSDATA,MATCH("AdvancedTrained",CLASSFEATUREHEADERS,0),MATCH(($A1070 &amp; "Points"),CLASSNAMEHEADERS,0))),"")))))))))}</f>
        <v>ADVANCEDL17</v>
      </c>
      <c r="Y1069" s="223"/>
      <c r="Z1069" s="223" t="str">
        <f t="array" ref="Z1069:Z1070">{"ADVANCEDL19";((IF("19"=(INDEX(ALLCLASSDATA,MATCH("AdvancedLegendary",CLASSFEATUREHEADERS,0),MATCH($A1070,CLASSNAMEHEADERS,0))),(INDEX(ALLCLASSDATA,MATCH("AdvancedLegendary",CLASSFEATUREHEADERS,0),MATCH(($A1070 &amp; "Points"),CLASSNAMEHEADERS,0))),(IF("19"=(INDEX(ALLCLASSDATA,MATCH("AdvancedMaster",CLASSFEATUREHEADERS,0),MATCH($A1070,CLASSNAMEHEADERS,0))),(INDEX(ALLCLASSDATA,MATCH("AdvancedMaster",CLASSFEATUREHEADERS,0),MATCH(($A1070 &amp; "Points"),CLASSNAMEHEADERS,0))),(IF("19"=(INDEX(ALLCLASSDATA,MATCH("AdvancedExpert",CLASSFEATUREHEADERS,0),MATCH($A1070,CLASSNAMEHEADERS,0))),(INDEX(ALLCLASSDATA,MATCH("AdvancedExpert",CLASSFEATUREHEADERS,0),MATCH(($A1070 &amp; "Points"),CLASSNAMEHEADERS,0))),(IF("19"=(INDEX(ALLCLASSDATA,MATCH("AdvancedTrained",CLASSFEATUREHEADERS,0),MATCH($A1070,CLASSNAMEHEADERS,0))),(INDEX(ALLCLASSDATA,MATCH("AdvancedTrained",CLASSFEATUREHEADERS,0),MATCH(($A1070 &amp; "Points"),CLASSNAMEHEADERS,0))),"")))))))))}</f>
        <v>ADVANCEDL19</v>
      </c>
      <c r="AA1069" s="223"/>
      <c r="AB1069" s="76" t="str">
        <f t="array" ref="AB1069:AB1070">{"ADVANCED TOTAL";(IF(COUNTBLANK(G1070:AA1070)=17,"L",(IF(COUNTBLANK(G1070:AA1070)=18,"M",(IF(COUNTBLANK(G1070:AA1070)=19,"E",(IF(COUNTBLANK(G1070:AA1070)=20,"T",""))))))))}</f>
        <v>ADVANCED TOTAL</v>
      </c>
      <c r="AC1069" s="76" t="str">
        <f t="array" ref="AC1069:AC1070">{"ADVANCED TOTAL";(sum(G1070:AA1070))}</f>
        <v>ADVANCED TOTAL</v>
      </c>
    </row>
    <row r="1070">
      <c r="A1070" s="48" t="s">
        <v>189</v>
      </c>
      <c r="B1070" s="48"/>
      <c r="C1070" s="48" t="s">
        <v>412</v>
      </c>
      <c r="D1070" s="97" t="s">
        <v>1634</v>
      </c>
      <c r="E1070" s="97" t="s">
        <v>602</v>
      </c>
      <c r="F1070" s="98" t="s">
        <v>603</v>
      </c>
      <c r="G1070" s="132" t="s">
        <v>603</v>
      </c>
      <c r="H1070" s="98" t="s">
        <v>603</v>
      </c>
      <c r="I1070" s="98"/>
      <c r="J1070" s="98" t="s">
        <v>603</v>
      </c>
      <c r="K1070" s="98"/>
      <c r="L1070" s="98" t="s">
        <v>603</v>
      </c>
      <c r="M1070" s="98"/>
      <c r="N1070" s="98" t="s">
        <v>603</v>
      </c>
      <c r="O1070" s="98"/>
      <c r="P1070" s="98" t="s">
        <v>603</v>
      </c>
      <c r="Q1070" s="98"/>
      <c r="R1070" s="98" t="s">
        <v>603</v>
      </c>
      <c r="S1070" s="98"/>
      <c r="T1070" s="98" t="s">
        <v>603</v>
      </c>
      <c r="U1070" s="98"/>
      <c r="V1070" s="98" t="s">
        <v>603</v>
      </c>
      <c r="W1070" s="98"/>
      <c r="X1070" s="98" t="s">
        <v>603</v>
      </c>
      <c r="Y1070" s="98"/>
      <c r="Z1070" s="98" t="s">
        <v>603</v>
      </c>
      <c r="AA1070" s="98"/>
      <c r="AB1070" s="5" t="s">
        <v>603</v>
      </c>
      <c r="AC1070" s="47">
        <v>0.0</v>
      </c>
    </row>
    <row r="1071" hidden="1">
      <c r="A1071" s="222" t="str">
        <f t="array" ref="A1071:A1072">{"FormulaRow34";(INDEX(CLASSLIST,A1004,1))}</f>
        <v>FormulaRow34</v>
      </c>
      <c r="B1071" s="77" t="s">
        <v>236</v>
      </c>
      <c r="C1071" s="222" t="str">
        <f t="array" ref="C1071:C1072">{"CLASSTYPE";((INDEX(ALLCLASSDATA,MATCH("ClassType",CLASSFEATUREHEADERS,0),MATCH($A1072,CLASSNAMEHEADERS,0))))}</f>
        <v>CLASSTYPE</v>
      </c>
      <c r="D1071" s="222" t="str">
        <f t="array" ref="D1071:D1072">{"DEFENSE";"Defense"}</f>
        <v>DEFENSE</v>
      </c>
      <c r="E1071" s="222" t="str">
        <f t="array" ref="E1071:E1072">{"ARMORSPECIAL";"ArmorAS"}</f>
        <v>ARMORSPECIAL</v>
      </c>
      <c r="F1071" s="223"/>
      <c r="G1071" s="223"/>
      <c r="H1071" s="223" t="str">
        <f t="array" ref="H1071:H1072">{"ARMORSPECIALL01";((IF("01"=INDEX(ALLCLASSDATA,MATCH("ArmorSpecialization",CLASSFEATUREHEADERS,0),MATCH($A1072,CLASSNAMEHEADERS,0)),ArmorAS,"")))}</f>
        <v>ARMORSPECIALL01</v>
      </c>
      <c r="I1071" s="223"/>
      <c r="J1071" s="223" t="str">
        <f t="array" ref="J1071:J1072">{"ARMORSPECIALL03";((IF("03"=INDEX(ALLCLASSDATA,MATCH("ArmorSpecialization",CLASSFEATUREHEADERS,0),MATCH($A1072,CLASSNAMEHEADERS,0)),ArmorAS,"")))}</f>
        <v>ARMORSPECIALL03</v>
      </c>
      <c r="K1071" s="223"/>
      <c r="L1071" s="223" t="str">
        <f t="array" ref="L1071:L1072">{"ARMORSPECIALL05";((IF("05"=INDEX(ALLCLASSDATA,MATCH("ArmorSpecialization",CLASSFEATUREHEADERS,0),MATCH($A1072,CLASSNAMEHEADERS,0)),ArmorAS,"")))}</f>
        <v>ARMORSPECIALL05</v>
      </c>
      <c r="M1071" s="223"/>
      <c r="N1071" s="223" t="str">
        <f t="array" ref="N1071:N1072">{"ARMORSPECIALL07";((IF("07"=INDEX(ALLCLASSDATA,MATCH("ArmorSpecialization",CLASSFEATUREHEADERS,0),MATCH($A1072,CLASSNAMEHEADERS,0)),ArmorAS,"")))}</f>
        <v>ARMORSPECIALL07</v>
      </c>
      <c r="O1071" s="223"/>
      <c r="P1071" s="223" t="str">
        <f t="array" ref="P1071:P1072">{"ARMORSPECIALL09";((IF("09"=INDEX(ALLCLASSDATA,MATCH("ArmorSpecialization",CLASSFEATUREHEADERS,0),MATCH($A1072,CLASSNAMEHEADERS,0)),ArmorAS,"")))}</f>
        <v>ARMORSPECIALL09</v>
      </c>
      <c r="Q1071" s="223"/>
      <c r="R1071" s="223" t="str">
        <f t="array" ref="R1071:R1072">{"ARMORSPECIALL11";((IF("11"=INDEX(ALLCLASSDATA,MATCH("ArmorSpecialization",CLASSFEATUREHEADERS,0),MATCH($A1072,CLASSNAMEHEADERS,0)),ArmorAS,"")))}</f>
        <v>ARMORSPECIALL11</v>
      </c>
      <c r="S1071" s="223"/>
      <c r="T1071" s="223" t="str">
        <f t="array" ref="T1071:T1072">{"ARMORSPECIALL13";((IF("13"=INDEX(ALLCLASSDATA,MATCH("ArmorSpecialization",CLASSFEATUREHEADERS,0),MATCH($A1072,CLASSNAMEHEADERS,0)),ArmorAS,"")))}</f>
        <v>ARMORSPECIALL13</v>
      </c>
      <c r="U1071" s="223"/>
      <c r="V1071" s="223" t="str">
        <f t="array" ref="V1071:V1072">{"ARMORSPECIALL15";((IF("15"=INDEX(ALLCLASSDATA,MATCH("ArmorSpecialization",CLASSFEATUREHEADERS,0),MATCH($A1072,CLASSNAMEHEADERS,0)),ArmorAS,"")))}</f>
        <v>ARMORSPECIALL15</v>
      </c>
      <c r="W1071" s="223"/>
      <c r="X1071" s="223" t="str">
        <f t="array" ref="X1071:X1072">{"ARMORSPECIALL17";((IF("17"=INDEX(ALLCLASSDATA,MATCH("ArmorSpecialization",CLASSFEATUREHEADERS,0),MATCH($A1072,CLASSNAMEHEADERS,0)),ArmorAS,"")))}</f>
        <v>ARMORSPECIALL17</v>
      </c>
      <c r="Y1071" s="223"/>
      <c r="Z1071" s="223" t="str">
        <f t="array" ref="Z1071:Z1072">{"ARMORSPECIALL19";((IF("19"=INDEX(ALLCLASSDATA,MATCH("ArmorSpecialization",CLASSFEATUREHEADERS,0),MATCH($A1072,CLASSNAMEHEADERS,0)),ArmorAS,"")))}</f>
        <v>ARMORSPECIALL19</v>
      </c>
      <c r="AA1071" s="223"/>
      <c r="AB1071" s="76"/>
      <c r="AC1071" s="76" t="str">
        <f t="array" ref="AC1071:AC1072">{"ARMORSPECIAL TOTAL";(sum(G1072:AA1072))}</f>
        <v>ARMORSPECIAL TOTAL</v>
      </c>
    </row>
    <row r="1072">
      <c r="A1072" s="48" t="s">
        <v>189</v>
      </c>
      <c r="B1072" s="48"/>
      <c r="C1072" s="48" t="s">
        <v>412</v>
      </c>
      <c r="D1072" s="48" t="s">
        <v>1900</v>
      </c>
      <c r="E1072" s="48" t="s">
        <v>51</v>
      </c>
      <c r="F1072" s="5"/>
      <c r="G1072" s="47"/>
      <c r="H1072" s="5" t="s">
        <v>603</v>
      </c>
      <c r="I1072" s="5"/>
      <c r="J1072" s="5" t="s">
        <v>603</v>
      </c>
      <c r="K1072" s="5"/>
      <c r="L1072" s="5" t="s">
        <v>603</v>
      </c>
      <c r="M1072" s="5"/>
      <c r="N1072" s="5" t="s">
        <v>603</v>
      </c>
      <c r="O1072" s="5"/>
      <c r="P1072" s="5" t="s">
        <v>603</v>
      </c>
      <c r="Q1072" s="5"/>
      <c r="R1072" s="5" t="s">
        <v>603</v>
      </c>
      <c r="S1072" s="5"/>
      <c r="T1072" s="5" t="s">
        <v>603</v>
      </c>
      <c r="U1072" s="5"/>
      <c r="V1072" s="5" t="s">
        <v>603</v>
      </c>
      <c r="W1072" s="5"/>
      <c r="X1072" s="5" t="s">
        <v>603</v>
      </c>
      <c r="Y1072" s="5"/>
      <c r="Z1072" s="5" t="s">
        <v>603</v>
      </c>
      <c r="AA1072" s="5"/>
      <c r="AB1072" s="5"/>
      <c r="AC1072" s="47">
        <v>0.0</v>
      </c>
    </row>
    <row r="1073" hidden="1">
      <c r="A1073" s="222" t="str">
        <f t="array" ref="A1073:A1074">{"FormulaRow35";(INDEX(CLASSLIST,A1004,1))}</f>
        <v>FormulaRow35</v>
      </c>
      <c r="B1073" s="77" t="s">
        <v>236</v>
      </c>
      <c r="C1073" s="222" t="str">
        <f t="array" ref="C1073:C1074">{"CLASSTYPE";((INDEX(ALLCLASSDATA,MATCH("ClassType",CLASSFEATUREHEADERS,0),MATCH($A1074,CLASSNAMEHEADERS,0))))}</f>
        <v>CLASSTYPE</v>
      </c>
      <c r="D1073" s="222" t="str">
        <f t="array" ref="D1073:D1074">{"DEFENSE";"Defense"}</f>
        <v>DEFENSE</v>
      </c>
      <c r="E1073" s="222" t="str">
        <f t="array" ref="E1073:E1074">{"UNARMORED";"Unarmored"}</f>
        <v>UNARMORED</v>
      </c>
      <c r="F1073" s="223" t="str">
        <f t="array" ref="F1073:F1074">{"UNARMOREDINITIAL";((IF(H1074=10,"T",(IF(H1074=50,"E","")))))}</f>
        <v>UNARMOREDINITIAL</v>
      </c>
      <c r="G1073" s="223" t="str">
        <f t="array" ref="G1073:G1074">{"UNARMOREDINITIALPTS";((IF("00"=(INDEX(ALLCLASSDATA,MATCH("UnarmoredLegendary",CLASSFEATUREHEADERS,0),MATCH($A1074,CLASSNAMEHEADERS,0))),(INDEX(ALLCLASSDATA,MATCH("UnarmoredLegendary",CLASSFEATUREHEADERS,0),MATCH(($A1074 &amp; "Points"),CLASSNAMEHEADERS,0))),(IF("00"=(INDEX(ALLCLASSDATA,MATCH("UnarmoredMaster",CLASSFEATUREHEADERS,0),MATCH($A1074,CLASSNAMEHEADERS,0))),(INDEX(ALLCLASSDATA,MATCH("UnarmoredMaster",CLASSFEATUREHEADERS,0),MATCH(($A1074 &amp; "Points"),CLASSNAMEHEADERS,0))),(IF("00"=(INDEX(ALLCLASSDATA,MATCH("UnarmoredExpert",CLASSFEATUREHEADERS,0),MATCH($A1074,CLASSNAMEHEADERS,0))),(INDEX(ALLCLASSDATA,MATCH("UnarmoredExpert",CLASSFEATUREHEADERS,0),MATCH(($A1074 &amp; "Points"),CLASSNAMEHEADERS,0))),(IF("00"=(INDEX(ALLCLASSDATA,MATCH("UnarmoredTrained",CLASSFEATUREHEADERS,0),MATCH($A1074,CLASSNAMEHEADERS,0))),(INDEX(ALLCLASSDATA,MATCH("UnarmoredTrained",CLASSFEATUREHEADERS,0),MATCH(($A1074 &amp; "Points"),CLASSNAMEHEADERS,0))),"")))))))))}</f>
        <v>UNARMOREDINITIALPTS</v>
      </c>
      <c r="H1073" s="223" t="str">
        <f t="array" ref="H1073:H1074">{"UNARMOREDL01";((IF("01"=(INDEX(ALLCLASSDATA,MATCH("UnarmoredLegendary",CLASSFEATUREHEADERS,0),MATCH($A1074,CLASSNAMEHEADERS,0))),(INDEX(ALLCLASSDATA,MATCH("UnarmoredLegendary",CLASSFEATUREHEADERS,0),MATCH(($A1074 &amp; "Points"),CLASSNAMEHEADERS,0))),(IF("01"=(INDEX(ALLCLASSDATA,MATCH("UnarmoredMaster",CLASSFEATUREHEADERS,0),MATCH($A1074,CLASSNAMEHEADERS,0))),(INDEX(ALLCLASSDATA,MATCH("UnarmoredMaster",CLASSFEATUREHEADERS,0),MATCH(($A1074 &amp; "Points"),CLASSNAMEHEADERS,0))),(IF("01"=(INDEX(ALLCLASSDATA,MATCH("UnarmoredExpert",CLASSFEATUREHEADERS,0),MATCH($A1074,CLASSNAMEHEADERS,0))),(INDEX(ALLCLASSDATA,MATCH("UnarmoredExpert",CLASSFEATUREHEADERS,0),MATCH(($A1074 &amp; "Points"),CLASSNAMEHEADERS,0))),(IF("01"=(INDEX(ALLCLASSDATA,MATCH("UnarmoredTrained",CLASSFEATUREHEADERS,0),MATCH($A1074,CLASSNAMEHEADERS,0))),(INDEX(ALLCLASSDATA,MATCH("UnarmoredTrained",CLASSFEATUREHEADERS,0),MATCH(($A1074 &amp; "Points"),CLASSNAMEHEADERS,0))),"")))))))))}</f>
        <v>UNARMOREDL01</v>
      </c>
      <c r="I1073" s="223"/>
      <c r="J1073" s="223" t="str">
        <f t="array" ref="J1073:J1074">{"UNARMOREDL03";((IF("03"=(INDEX(ALLCLASSDATA,MATCH("UnarmoredLegendary",CLASSFEATUREHEADERS,0),MATCH($A1074,CLASSNAMEHEADERS,0))),(INDEX(ALLCLASSDATA,MATCH("UnarmoredLegendary",CLASSFEATUREHEADERS,0),MATCH(($A1074 &amp; "Points"),CLASSNAMEHEADERS,0))),(IF("03"=(INDEX(ALLCLASSDATA,MATCH("UnarmoredMaster",CLASSFEATUREHEADERS,0),MATCH($A1074,CLASSNAMEHEADERS,0))),(INDEX(ALLCLASSDATA,MATCH("UnarmoredMaster",CLASSFEATUREHEADERS,0),MATCH(($A1074 &amp; "Points"),CLASSNAMEHEADERS,0))),(IF("03"=(INDEX(ALLCLASSDATA,MATCH("UnarmoredExpert",CLASSFEATUREHEADERS,0),MATCH($A1074,CLASSNAMEHEADERS,0))),(INDEX(ALLCLASSDATA,MATCH("UnarmoredExpert",CLASSFEATUREHEADERS,0),MATCH(($A1074 &amp; "Points"),CLASSNAMEHEADERS,0))),(IF("03"=(INDEX(ALLCLASSDATA,MATCH("UnarmoredTrained",CLASSFEATUREHEADERS,0),MATCH($A1074,CLASSNAMEHEADERS,0))),(INDEX(ALLCLASSDATA,MATCH("UnarmoredTrained",CLASSFEATUREHEADERS,0),MATCH(($A1074 &amp; "Points"),CLASSNAMEHEADERS,0))),"")))))))))}</f>
        <v>UNARMOREDL03</v>
      </c>
      <c r="K1073" s="223"/>
      <c r="L1073" s="223" t="str">
        <f t="array" ref="L1073:L1074">{"UNARMOREDL05";((IF("05"=(INDEX(ALLCLASSDATA,MATCH("UnarmoredLegendary",CLASSFEATUREHEADERS,0),MATCH($A1074,CLASSNAMEHEADERS,0))),(INDEX(ALLCLASSDATA,MATCH("UnarmoredLegendary",CLASSFEATUREHEADERS,0),MATCH(($A1074 &amp; "Points"),CLASSNAMEHEADERS,0))),(IF("05"=(INDEX(ALLCLASSDATA,MATCH("UnarmoredMaster",CLASSFEATUREHEADERS,0),MATCH($A1074,CLASSNAMEHEADERS,0))),(INDEX(ALLCLASSDATA,MATCH("UnarmoredMaster",CLASSFEATUREHEADERS,0),MATCH(($A1074 &amp; "Points"),CLASSNAMEHEADERS,0))),(IF("05"=(INDEX(ALLCLASSDATA,MATCH("UnarmoredExpert",CLASSFEATUREHEADERS,0),MATCH($A1074,CLASSNAMEHEADERS,0))),(INDEX(ALLCLASSDATA,MATCH("UnarmoredExpert",CLASSFEATUREHEADERS,0),MATCH(($A1074 &amp; "Points"),CLASSNAMEHEADERS,0))),(IF("05"=(INDEX(ALLCLASSDATA,MATCH("UnarmoredTrained",CLASSFEATUREHEADERS,0),MATCH($A1074,CLASSNAMEHEADERS,0))),(INDEX(ALLCLASSDATA,MATCH("UnarmoredTrained",CLASSFEATUREHEADERS,0),MATCH(($A1074 &amp; "Points"),CLASSNAMEHEADERS,0))),"")))))))))}</f>
        <v>UNARMOREDL05</v>
      </c>
      <c r="M1073" s="223"/>
      <c r="N1073" s="223" t="str">
        <f t="array" ref="N1073:N1074">{"UNARMOREDL07";((IF("07"=(INDEX(ALLCLASSDATA,MATCH("UnarmoredLegendary",CLASSFEATUREHEADERS,0),MATCH($A1074,CLASSNAMEHEADERS,0))),(INDEX(ALLCLASSDATA,MATCH("UnarmoredLegendary",CLASSFEATUREHEADERS,0),MATCH(($A1074 &amp; "Points"),CLASSNAMEHEADERS,0))),(IF("07"=(INDEX(ALLCLASSDATA,MATCH("UnarmoredMaster",CLASSFEATUREHEADERS,0),MATCH($A1074,CLASSNAMEHEADERS,0))),(INDEX(ALLCLASSDATA,MATCH("UnarmoredMaster",CLASSFEATUREHEADERS,0),MATCH(($A1074 &amp; "Points"),CLASSNAMEHEADERS,0))),(IF("07"=(INDEX(ALLCLASSDATA,MATCH("UnarmoredExpert",CLASSFEATUREHEADERS,0),MATCH($A1074,CLASSNAMEHEADERS,0))),(INDEX(ALLCLASSDATA,MATCH("UnarmoredExpert",CLASSFEATUREHEADERS,0),MATCH(($A1074 &amp; "Points"),CLASSNAMEHEADERS,0))),(IF("07"=(INDEX(ALLCLASSDATA,MATCH("UnarmoredTrained",CLASSFEATUREHEADERS,0),MATCH($A1074,CLASSNAMEHEADERS,0))),(INDEX(ALLCLASSDATA,MATCH("UnarmoredTrained",CLASSFEATUREHEADERS,0),MATCH(($A1074 &amp; "Points"),CLASSNAMEHEADERS,0))),"")))))))))}</f>
        <v>UNARMOREDL07</v>
      </c>
      <c r="O1073" s="223"/>
      <c r="P1073" s="223" t="str">
        <f t="array" ref="P1073:P1074">{"UNARMOREDL09";((IF("09"=(INDEX(ALLCLASSDATA,MATCH("UnarmoredLegendary",CLASSFEATUREHEADERS,0),MATCH($A1074,CLASSNAMEHEADERS,0))),(INDEX(ALLCLASSDATA,MATCH("UnarmoredLegendary",CLASSFEATUREHEADERS,0),MATCH(($A1074 &amp; "Points"),CLASSNAMEHEADERS,0))),(IF("09"=(INDEX(ALLCLASSDATA,MATCH("UnarmoredMaster",CLASSFEATUREHEADERS,0),MATCH($A1074,CLASSNAMEHEADERS,0))),(INDEX(ALLCLASSDATA,MATCH("UnarmoredMaster",CLASSFEATUREHEADERS,0),MATCH(($A1074 &amp; "Points"),CLASSNAMEHEADERS,0))),(IF("09"=(INDEX(ALLCLASSDATA,MATCH("UnarmoredExpert",CLASSFEATUREHEADERS,0),MATCH($A1074,CLASSNAMEHEADERS,0))),(INDEX(ALLCLASSDATA,MATCH("UnarmoredExpert",CLASSFEATUREHEADERS,0),MATCH(($A1074 &amp; "Points"),CLASSNAMEHEADERS,0))),(IF("09"=(INDEX(ALLCLASSDATA,MATCH("UnarmoredTrained",CLASSFEATUREHEADERS,0),MATCH($A1074,CLASSNAMEHEADERS,0))),(INDEX(ALLCLASSDATA,MATCH("UnarmoredTrained",CLASSFEATUREHEADERS,0),MATCH(($A1074 &amp; "Points"),CLASSNAMEHEADERS,0))),"")))))))))}</f>
        <v>UNARMOREDL09</v>
      </c>
      <c r="Q1073" s="223"/>
      <c r="R1073" s="223" t="str">
        <f t="array" ref="R1073:R1074">{"UNARMOREDL11";((IF("11"=(INDEX(ALLCLASSDATA,MATCH("UnarmoredLegendary",CLASSFEATUREHEADERS,0),MATCH($A1074,CLASSNAMEHEADERS,0))),(INDEX(ALLCLASSDATA,MATCH("UnarmoredLegendary",CLASSFEATUREHEADERS,0),MATCH(($A1074 &amp; "Points"),CLASSNAMEHEADERS,0))),(IF("11"=(INDEX(ALLCLASSDATA,MATCH("UnarmoredMaster",CLASSFEATUREHEADERS,0),MATCH($A1074,CLASSNAMEHEADERS,0))),(INDEX(ALLCLASSDATA,MATCH("UnarmoredMaster",CLASSFEATUREHEADERS,0),MATCH(($A1074 &amp; "Points"),CLASSNAMEHEADERS,0))),(IF("11"=(INDEX(ALLCLASSDATA,MATCH("UnarmoredExpert",CLASSFEATUREHEADERS,0),MATCH($A1074,CLASSNAMEHEADERS,0))),(INDEX(ALLCLASSDATA,MATCH("UnarmoredExpert",CLASSFEATUREHEADERS,0),MATCH(($A1074 &amp; "Points"),CLASSNAMEHEADERS,0))),(IF("11"=(INDEX(ALLCLASSDATA,MATCH("UnarmoredTrained",CLASSFEATUREHEADERS,0),MATCH($A1074,CLASSNAMEHEADERS,0))),(INDEX(ALLCLASSDATA,MATCH("UnarmoredTrained",CLASSFEATUREHEADERS,0),MATCH(($A1074 &amp; "Points"),CLASSNAMEHEADERS,0))),"")))))))))}</f>
        <v>UNARMOREDL11</v>
      </c>
      <c r="S1073" s="223"/>
      <c r="T1073" s="223" t="str">
        <f t="array" ref="T1073:T1074">{"UNARMOREDL13";((IF("13"=(INDEX(ALLCLASSDATA,MATCH("UnarmoredLegendary",CLASSFEATUREHEADERS,0),MATCH($A1074,CLASSNAMEHEADERS,0))),(INDEX(ALLCLASSDATA,MATCH("UnarmoredLegendary",CLASSFEATUREHEADERS,0),MATCH(($A1074 &amp; "Points"),CLASSNAMEHEADERS,0))),(IF("13"=(INDEX(ALLCLASSDATA,MATCH("UnarmoredMaster",CLASSFEATUREHEADERS,0),MATCH($A1074,CLASSNAMEHEADERS,0))),(INDEX(ALLCLASSDATA,MATCH("UnarmoredMaster",CLASSFEATUREHEADERS,0),MATCH(($A1074 &amp; "Points"),CLASSNAMEHEADERS,0))),(IF("13"=(INDEX(ALLCLASSDATA,MATCH("UnarmoredExpert",CLASSFEATUREHEADERS,0),MATCH($A1074,CLASSNAMEHEADERS,0))),(INDEX(ALLCLASSDATA,MATCH("UnarmoredExpert",CLASSFEATUREHEADERS,0),MATCH(($A1074 &amp; "Points"),CLASSNAMEHEADERS,0))),(IF("13"=(INDEX(ALLCLASSDATA,MATCH("UnarmoredTrained",CLASSFEATUREHEADERS,0),MATCH($A1074,CLASSNAMEHEADERS,0))),(INDEX(ALLCLASSDATA,MATCH("UnarmoredTrained",CLASSFEATUREHEADERS,0),MATCH(($A1074 &amp; "Points"),CLASSNAMEHEADERS,0))),"")))))))))}</f>
        <v>UNARMOREDL13</v>
      </c>
      <c r="U1073" s="223"/>
      <c r="V1073" s="223" t="str">
        <f t="array" ref="V1073:V1074">{"UNARMOREDL15";((IF("15"=(INDEX(ALLCLASSDATA,MATCH("UnarmoredLegendary",CLASSFEATUREHEADERS,0),MATCH($A1074,CLASSNAMEHEADERS,0))),(INDEX(ALLCLASSDATA,MATCH("UnarmoredLegendary",CLASSFEATUREHEADERS,0),MATCH(($A1074 &amp; "Points"),CLASSNAMEHEADERS,0))),(IF("15"=(INDEX(ALLCLASSDATA,MATCH("UnarmoredMaster",CLASSFEATUREHEADERS,0),MATCH($A1074,CLASSNAMEHEADERS,0))),(INDEX(ALLCLASSDATA,MATCH("UnarmoredMaster",CLASSFEATUREHEADERS,0),MATCH(($A1074 &amp; "Points"),CLASSNAMEHEADERS,0))),(IF("15"=(INDEX(ALLCLASSDATA,MATCH("UnarmoredExpert",CLASSFEATUREHEADERS,0),MATCH($A1074,CLASSNAMEHEADERS,0))),(INDEX(ALLCLASSDATA,MATCH("UnarmoredExpert",CLASSFEATUREHEADERS,0),MATCH(($A1074 &amp; "Points"),CLASSNAMEHEADERS,0))),(IF("15"=(INDEX(ALLCLASSDATA,MATCH("UnarmoredTrained",CLASSFEATUREHEADERS,0),MATCH($A1074,CLASSNAMEHEADERS,0))),(INDEX(ALLCLASSDATA,MATCH("UnarmoredTrained",CLASSFEATUREHEADERS,0),MATCH(($A1074 &amp; "Points"),CLASSNAMEHEADERS,0))),"")))))))))}</f>
        <v>UNARMOREDL15</v>
      </c>
      <c r="W1073" s="223"/>
      <c r="X1073" s="223" t="str">
        <f t="array" ref="X1073:X1074">{"UNARMOREDL17";((IF("17"=(INDEX(ALLCLASSDATA,MATCH("UnarmoredLegendary",CLASSFEATUREHEADERS,0),MATCH($A1074,CLASSNAMEHEADERS,0))),(INDEX(ALLCLASSDATA,MATCH("UnarmoredLegendary",CLASSFEATUREHEADERS,0),MATCH(($A1074 &amp; "Points"),CLASSNAMEHEADERS,0))),(IF("17"=(INDEX(ALLCLASSDATA,MATCH("UnarmoredMaster",CLASSFEATUREHEADERS,0),MATCH($A1074,CLASSNAMEHEADERS,0))),(INDEX(ALLCLASSDATA,MATCH("UnarmoredMaster",CLASSFEATUREHEADERS,0),MATCH(($A1074 &amp; "Points"),CLASSNAMEHEADERS,0))),(IF("17"=(INDEX(ALLCLASSDATA,MATCH("UnarmoredExpert",CLASSFEATUREHEADERS,0),MATCH($A1074,CLASSNAMEHEADERS,0))),(INDEX(ALLCLASSDATA,MATCH("UnarmoredExpert",CLASSFEATUREHEADERS,0),MATCH(($A1074 &amp; "Points"),CLASSNAMEHEADERS,0))),(IF("17"=(INDEX(ALLCLASSDATA,MATCH("UnarmoredTrained",CLASSFEATUREHEADERS,0),MATCH($A1074,CLASSNAMEHEADERS,0))),(INDEX(ALLCLASSDATA,MATCH("UnarmoredTrained",CLASSFEATUREHEADERS,0),MATCH(($A1074 &amp; "Points"),CLASSNAMEHEADERS,0))),"")))))))))}</f>
        <v>UNARMOREDL17</v>
      </c>
      <c r="Y1073" s="223"/>
      <c r="Z1073" s="223" t="str">
        <f t="array" ref="Z1073:Z1074">{"UNARMOREDL19";((IF("19"=(INDEX(ALLCLASSDATA,MATCH("UnarmoredLegendary",CLASSFEATUREHEADERS,0),MATCH($A1074,CLASSNAMEHEADERS,0))),(INDEX(ALLCLASSDATA,MATCH("UnarmoredLegendary",CLASSFEATUREHEADERS,0),MATCH(($A1074 &amp; "Points"),CLASSNAMEHEADERS,0))),(IF("19"=(INDEX(ALLCLASSDATA,MATCH("UnarmoredMaster",CLASSFEATUREHEADERS,0),MATCH($A1074,CLASSNAMEHEADERS,0))),(INDEX(ALLCLASSDATA,MATCH("UnarmoredMaster",CLASSFEATUREHEADERS,0),MATCH(($A1074 &amp; "Points"),CLASSNAMEHEADERS,0))),(IF("19"=(INDEX(ALLCLASSDATA,MATCH("UnarmoredExpert",CLASSFEATUREHEADERS,0),MATCH($A1074,CLASSNAMEHEADERS,0))),(INDEX(ALLCLASSDATA,MATCH("UnarmoredExpert",CLASSFEATUREHEADERS,0),MATCH(($A1074 &amp; "Points"),CLASSNAMEHEADERS,0))),(IF("19"=(INDEX(ALLCLASSDATA,MATCH("UnarmoredTrained",CLASSFEATUREHEADERS,0),MATCH($A1074,CLASSNAMEHEADERS,0))),(INDEX(ALLCLASSDATA,MATCH("UnarmoredTrained",CLASSFEATUREHEADERS,0),MATCH(($A1074 &amp; "Points"),CLASSNAMEHEADERS,0))),"")))))))))}</f>
        <v>UNARMOREDL19</v>
      </c>
      <c r="AA1073" s="223"/>
      <c r="AB1073" s="76" t="str">
        <f t="array" ref="AB1073:AB1074">{"UNARMORED TOTAL";(IF(COUNTBLANK(G1074:AA1074)=17,"L",(IF(COUNTBLANK(G1074:AA1074)=18,"M",(IF(COUNTBLANK(G1074:AA1074)=19,"E",(IF(COUNTBLANK(G1074:AA1074)=20,"T",""))))))))}</f>
        <v>UNARMORED TOTAL</v>
      </c>
      <c r="AC1073" s="76" t="str">
        <f t="array" ref="AC1073:AC1074">{"UNARMORED TOTAL";(sum(G1074:AA1074))}</f>
        <v>UNARMORED TOTAL</v>
      </c>
    </row>
    <row r="1074">
      <c r="A1074" s="48" t="s">
        <v>189</v>
      </c>
      <c r="B1074" s="48"/>
      <c r="C1074" s="48" t="s">
        <v>412</v>
      </c>
      <c r="D1074" s="48" t="s">
        <v>1900</v>
      </c>
      <c r="E1074" s="48" t="s">
        <v>78</v>
      </c>
      <c r="F1074" s="5" t="s">
        <v>435</v>
      </c>
      <c r="G1074" s="47" t="s">
        <v>603</v>
      </c>
      <c r="H1074" s="5">
        <v>10.0</v>
      </c>
      <c r="I1074" s="5"/>
      <c r="J1074" s="5" t="s">
        <v>603</v>
      </c>
      <c r="K1074" s="5"/>
      <c r="L1074" s="5" t="s">
        <v>603</v>
      </c>
      <c r="M1074" s="5"/>
      <c r="N1074" s="5" t="s">
        <v>603</v>
      </c>
      <c r="O1074" s="5"/>
      <c r="P1074" s="5" t="s">
        <v>603</v>
      </c>
      <c r="Q1074" s="5"/>
      <c r="R1074" s="5" t="s">
        <v>603</v>
      </c>
      <c r="S1074" s="5"/>
      <c r="T1074" s="5" t="s">
        <v>436</v>
      </c>
      <c r="U1074" s="5"/>
      <c r="V1074" s="5" t="s">
        <v>603</v>
      </c>
      <c r="W1074" s="5"/>
      <c r="X1074" s="5" t="s">
        <v>603</v>
      </c>
      <c r="Y1074" s="5"/>
      <c r="Z1074" s="5" t="s">
        <v>437</v>
      </c>
      <c r="AA1074" s="5"/>
      <c r="AB1074" s="5" t="s">
        <v>437</v>
      </c>
      <c r="AC1074" s="47">
        <v>10.0</v>
      </c>
    </row>
    <row r="1075" hidden="1">
      <c r="A1075" s="222" t="str">
        <f t="array" ref="A1075:A1076">{"FormulaRow36";(INDEX(CLASSLIST,A1004,1))}</f>
        <v>FormulaRow36</v>
      </c>
      <c r="B1075" s="77" t="s">
        <v>236</v>
      </c>
      <c r="C1075" s="222" t="str">
        <f t="array" ref="C1075:C1076">{"CLASSTYPE";((INDEX(ALLCLASSDATA,MATCH("ClassType",CLASSFEATUREHEADERS,0),MATCH($A1076,CLASSNAMEHEADERS,0))))}</f>
        <v>CLASSTYPE</v>
      </c>
      <c r="D1075" s="222" t="str">
        <f t="array" ref="D1075:D1076">{"DEFENSE";"Defense"}</f>
        <v>DEFENSE</v>
      </c>
      <c r="E1075" s="222" t="str">
        <f t="array" ref="E1075:E1076">{"LIGHT";"Light"}</f>
        <v>LIGHT</v>
      </c>
      <c r="F1075" s="223" t="str">
        <f t="array" ref="F1075:F1076">{"LIGHTINITIAL";((IF(H1076=10,"T",(IF(H1076=50,"E","")))))}</f>
        <v>LIGHTINITIAL</v>
      </c>
      <c r="G1075" s="223" t="str">
        <f t="array" ref="G1075:G1076">{"LIGHTINITIALPTS";((IF("00"=(INDEX(ALLCLASSDATA,MATCH("LightLegendary",CLASSFEATUREHEADERS,0),MATCH($A1076,CLASSNAMEHEADERS,0))),(INDEX(ALLCLASSDATA,MATCH("LightLegendary",CLASSFEATUREHEADERS,0),MATCH(($A1076 &amp; "Points"),CLASSNAMEHEADERS,0))),(IF("00"=(INDEX(ALLCLASSDATA,MATCH("LightMaster",CLASSFEATUREHEADERS,0),MATCH($A1076,CLASSNAMEHEADERS,0))),(INDEX(ALLCLASSDATA,MATCH("LightMaster",CLASSFEATUREHEADERS,0),MATCH(($A1076 &amp; "Points"),CLASSNAMEHEADERS,0))),(IF("00"=(INDEX(ALLCLASSDATA,MATCH("LightExpert",CLASSFEATUREHEADERS,0),MATCH($A1076,CLASSNAMEHEADERS,0))),(INDEX(ALLCLASSDATA,MATCH("LightExpert",CLASSFEATUREHEADERS,0),MATCH(($A1076 &amp; "Points"),CLASSNAMEHEADERS,0))),(IF("00"=(INDEX(ALLCLASSDATA,MATCH("LightTrained",CLASSFEATUREHEADERS,0),MATCH($A1076,CLASSNAMEHEADERS,0))),(INDEX(ALLCLASSDATA,MATCH("LightTrained",CLASSFEATUREHEADERS,0),MATCH(($A1076 &amp; "Points"),CLASSNAMEHEADERS,0))),"")))))))))}</f>
        <v>LIGHTINITIALPTS</v>
      </c>
      <c r="H1075" s="223" t="str">
        <f t="array" ref="H1075:H1076">{"LIGHTL01";((IF("01"=(INDEX(ALLCLASSDATA,MATCH("LightLegendary",CLASSFEATUREHEADERS,0),MATCH($A1076,CLASSNAMEHEADERS,0))),(INDEX(ALLCLASSDATA,MATCH("LightLegendary",CLASSFEATUREHEADERS,0),MATCH(($A1076 &amp; "Points"),CLASSNAMEHEADERS,0))),(IF("01"=(INDEX(ALLCLASSDATA,MATCH("LightMaster",CLASSFEATUREHEADERS,0),MATCH($A1076,CLASSNAMEHEADERS,0))),(INDEX(ALLCLASSDATA,MATCH("LightMaster",CLASSFEATUREHEADERS,0),MATCH(($A1076 &amp; "Points"),CLASSNAMEHEADERS,0))),(IF("01"=(INDEX(ALLCLASSDATA,MATCH("LightExpert",CLASSFEATUREHEADERS,0),MATCH($A1076,CLASSNAMEHEADERS,0))),(INDEX(ALLCLASSDATA,MATCH("LightExpert",CLASSFEATUREHEADERS,0),MATCH(($A1076 &amp; "Points"),CLASSNAMEHEADERS,0))),(IF("01"=(INDEX(ALLCLASSDATA,MATCH("LightTrained",CLASSFEATUREHEADERS,0),MATCH($A1076,CLASSNAMEHEADERS,0))),(INDEX(ALLCLASSDATA,MATCH("LightTrained",CLASSFEATUREHEADERS,0),MATCH(($A1076 &amp; "Points"),CLASSNAMEHEADERS,0))),"")))))))))}</f>
        <v>LIGHTL01</v>
      </c>
      <c r="I1075" s="223"/>
      <c r="J1075" s="223" t="str">
        <f t="array" ref="J1075:J1076">{"LIGHTL03";((IF("03"=(INDEX(ALLCLASSDATA,MATCH("LightLegendary",CLASSFEATUREHEADERS,0),MATCH($A1076,CLASSNAMEHEADERS,0))),(INDEX(ALLCLASSDATA,MATCH("LightLegendary",CLASSFEATUREHEADERS,0),MATCH(($A1076 &amp; "Points"),CLASSNAMEHEADERS,0))),(IF("03"=(INDEX(ALLCLASSDATA,MATCH("LightMaster",CLASSFEATUREHEADERS,0),MATCH($A1076,CLASSNAMEHEADERS,0))),(INDEX(ALLCLASSDATA,MATCH("LightMaster",CLASSFEATUREHEADERS,0),MATCH(($A1076 &amp; "Points"),CLASSNAMEHEADERS,0))),(IF("03"=(INDEX(ALLCLASSDATA,MATCH("LightExpert",CLASSFEATUREHEADERS,0),MATCH($A1076,CLASSNAMEHEADERS,0))),(INDEX(ALLCLASSDATA,MATCH("LightExpert",CLASSFEATUREHEADERS,0),MATCH(($A1076 &amp; "Points"),CLASSNAMEHEADERS,0))),(IF("03"=(INDEX(ALLCLASSDATA,MATCH("LightTrained",CLASSFEATUREHEADERS,0),MATCH($A1076,CLASSNAMEHEADERS,0))),(INDEX(ALLCLASSDATA,MATCH("LightTrained",CLASSFEATUREHEADERS,0),MATCH(($A1076 &amp; "Points"),CLASSNAMEHEADERS,0))),"")))))))))}</f>
        <v>LIGHTL03</v>
      </c>
      <c r="K1075" s="223"/>
      <c r="L1075" s="223" t="str">
        <f t="array" ref="L1075:L1076">{"LIGHTL05";((IF("05"=(INDEX(ALLCLASSDATA,MATCH("LightLegendary",CLASSFEATUREHEADERS,0),MATCH($A1076,CLASSNAMEHEADERS,0))),(INDEX(ALLCLASSDATA,MATCH("LightLegendary",CLASSFEATUREHEADERS,0),MATCH(($A1076 &amp; "Points"),CLASSNAMEHEADERS,0))),(IF("05"=(INDEX(ALLCLASSDATA,MATCH("LightMaster",CLASSFEATUREHEADERS,0),MATCH($A1076,CLASSNAMEHEADERS,0))),(INDEX(ALLCLASSDATA,MATCH("LightMaster",CLASSFEATUREHEADERS,0),MATCH(($A1076 &amp; "Points"),CLASSNAMEHEADERS,0))),(IF("05"=(INDEX(ALLCLASSDATA,MATCH("LightExpert",CLASSFEATUREHEADERS,0),MATCH($A1076,CLASSNAMEHEADERS,0))),(INDEX(ALLCLASSDATA,MATCH("LightExpert",CLASSFEATUREHEADERS,0),MATCH(($A1076 &amp; "Points"),CLASSNAMEHEADERS,0))),(IF("05"=(INDEX(ALLCLASSDATA,MATCH("LightTrained",CLASSFEATUREHEADERS,0),MATCH($A1076,CLASSNAMEHEADERS,0))),(INDEX(ALLCLASSDATA,MATCH("LightTrained",CLASSFEATUREHEADERS,0),MATCH(($A1076 &amp; "Points"),CLASSNAMEHEADERS,0))),"")))))))))}</f>
        <v>LIGHTL05</v>
      </c>
      <c r="M1075" s="223"/>
      <c r="N1075" s="223" t="str">
        <f t="array" ref="N1075:N1076">{"LIGHTL07";((IF("07"=(INDEX(ALLCLASSDATA,MATCH("LightLegendary",CLASSFEATUREHEADERS,0),MATCH($A1076,CLASSNAMEHEADERS,0))),(INDEX(ALLCLASSDATA,MATCH("LightLegendary",CLASSFEATUREHEADERS,0),MATCH(($A1076 &amp; "Points"),CLASSNAMEHEADERS,0))),(IF("07"=(INDEX(ALLCLASSDATA,MATCH("LightMaster",CLASSFEATUREHEADERS,0),MATCH($A1076,CLASSNAMEHEADERS,0))),(INDEX(ALLCLASSDATA,MATCH("LightMaster",CLASSFEATUREHEADERS,0),MATCH(($A1076 &amp; "Points"),CLASSNAMEHEADERS,0))),(IF("07"=(INDEX(ALLCLASSDATA,MATCH("LightExpert",CLASSFEATUREHEADERS,0),MATCH($A1076,CLASSNAMEHEADERS,0))),(INDEX(ALLCLASSDATA,MATCH("LightExpert",CLASSFEATUREHEADERS,0),MATCH(($A1076 &amp; "Points"),CLASSNAMEHEADERS,0))),(IF("07"=(INDEX(ALLCLASSDATA,MATCH("LightTrained",CLASSFEATUREHEADERS,0),MATCH($A1076,CLASSNAMEHEADERS,0))),(INDEX(ALLCLASSDATA,MATCH("LightTrained",CLASSFEATUREHEADERS,0),MATCH(($A1076 &amp; "Points"),CLASSNAMEHEADERS,0))),"")))))))))}</f>
        <v>LIGHTL07</v>
      </c>
      <c r="O1075" s="223"/>
      <c r="P1075" s="223" t="str">
        <f t="array" ref="P1075:P1076">{"LIGHTL09";((IF("09"=(INDEX(ALLCLASSDATA,MATCH("LightLegendary",CLASSFEATUREHEADERS,0),MATCH($A1076,CLASSNAMEHEADERS,0))),(INDEX(ALLCLASSDATA,MATCH("LightLegendary",CLASSFEATUREHEADERS,0),MATCH(($A1076 &amp; "Points"),CLASSNAMEHEADERS,0))),(IF("09"=(INDEX(ALLCLASSDATA,MATCH("LightMaster",CLASSFEATUREHEADERS,0),MATCH($A1076,CLASSNAMEHEADERS,0))),(INDEX(ALLCLASSDATA,MATCH("LightMaster",CLASSFEATUREHEADERS,0),MATCH(($A1076 &amp; "Points"),CLASSNAMEHEADERS,0))),(IF("09"=(INDEX(ALLCLASSDATA,MATCH("LightExpert",CLASSFEATUREHEADERS,0),MATCH($A1076,CLASSNAMEHEADERS,0))),(INDEX(ALLCLASSDATA,MATCH("LightExpert",CLASSFEATUREHEADERS,0),MATCH(($A1076 &amp; "Points"),CLASSNAMEHEADERS,0))),(IF("09"=(INDEX(ALLCLASSDATA,MATCH("LightTrained",CLASSFEATUREHEADERS,0),MATCH($A1076,CLASSNAMEHEADERS,0))),(INDEX(ALLCLASSDATA,MATCH("LightTrained",CLASSFEATUREHEADERS,0),MATCH(($A1076 &amp; "Points"),CLASSNAMEHEADERS,0))),"")))))))))}</f>
        <v>LIGHTL09</v>
      </c>
      <c r="Q1075" s="223"/>
      <c r="R1075" s="223" t="str">
        <f t="array" ref="R1075:R1076">{"LIGHTL11";((IF("11"=(INDEX(ALLCLASSDATA,MATCH("LightLegendary",CLASSFEATUREHEADERS,0),MATCH($A1076,CLASSNAMEHEADERS,0))),(INDEX(ALLCLASSDATA,MATCH("LightLegendary",CLASSFEATUREHEADERS,0),MATCH(($A1076 &amp; "Points"),CLASSNAMEHEADERS,0))),(IF("11"=(INDEX(ALLCLASSDATA,MATCH("LightMaster",CLASSFEATUREHEADERS,0),MATCH($A1076,CLASSNAMEHEADERS,0))),(INDEX(ALLCLASSDATA,MATCH("LightMaster",CLASSFEATUREHEADERS,0),MATCH(($A1076 &amp; "Points"),CLASSNAMEHEADERS,0))),(IF("11"=(INDEX(ALLCLASSDATA,MATCH("LightExpert",CLASSFEATUREHEADERS,0),MATCH($A1076,CLASSNAMEHEADERS,0))),(INDEX(ALLCLASSDATA,MATCH("LightExpert",CLASSFEATUREHEADERS,0),MATCH(($A1076 &amp; "Points"),CLASSNAMEHEADERS,0))),(IF("11"=(INDEX(ALLCLASSDATA,MATCH("LightTrained",CLASSFEATUREHEADERS,0),MATCH($A1076,CLASSNAMEHEADERS,0))),(INDEX(ALLCLASSDATA,MATCH("LightTrained",CLASSFEATUREHEADERS,0),MATCH(($A1076 &amp; "Points"),CLASSNAMEHEADERS,0))),"")))))))))}</f>
        <v>LIGHTL11</v>
      </c>
      <c r="S1075" s="223"/>
      <c r="T1075" s="223" t="str">
        <f t="array" ref="T1075:T1076">{"LIGHTL13";((IF("13"=(INDEX(ALLCLASSDATA,MATCH("LightLegendary",CLASSFEATUREHEADERS,0),MATCH($A1076,CLASSNAMEHEADERS,0))),(INDEX(ALLCLASSDATA,MATCH("LightLegendary",CLASSFEATUREHEADERS,0),MATCH(($A1076 &amp; "Points"),CLASSNAMEHEADERS,0))),(IF("13"=(INDEX(ALLCLASSDATA,MATCH("LightMaster",CLASSFEATUREHEADERS,0),MATCH($A1076,CLASSNAMEHEADERS,0))),(INDEX(ALLCLASSDATA,MATCH("LightMaster",CLASSFEATUREHEADERS,0),MATCH(($A1076 &amp; "Points"),CLASSNAMEHEADERS,0))),(IF("13"=(INDEX(ALLCLASSDATA,MATCH("LightExpert",CLASSFEATUREHEADERS,0),MATCH($A1076,CLASSNAMEHEADERS,0))),(INDEX(ALLCLASSDATA,MATCH("LightExpert",CLASSFEATUREHEADERS,0),MATCH(($A1076 &amp; "Points"),CLASSNAMEHEADERS,0))),(IF("13"=(INDEX(ALLCLASSDATA,MATCH("LightTrained",CLASSFEATUREHEADERS,0),MATCH($A1076,CLASSNAMEHEADERS,0))),(INDEX(ALLCLASSDATA,MATCH("LightTrained",CLASSFEATUREHEADERS,0),MATCH(($A1076 &amp; "Points"),CLASSNAMEHEADERS,0))),"")))))))))}</f>
        <v>LIGHTL13</v>
      </c>
      <c r="U1075" s="223"/>
      <c r="V1075" s="223" t="str">
        <f t="array" ref="V1075:V1076">{"LIGHTL15";((IF("15"=(INDEX(ALLCLASSDATA,MATCH("LightLegendary",CLASSFEATUREHEADERS,0),MATCH($A1076,CLASSNAMEHEADERS,0))),(INDEX(ALLCLASSDATA,MATCH("LightLegendary",CLASSFEATUREHEADERS,0),MATCH(($A1076 &amp; "Points"),CLASSNAMEHEADERS,0))),(IF("15"=(INDEX(ALLCLASSDATA,MATCH("LightMaster",CLASSFEATUREHEADERS,0),MATCH($A1076,CLASSNAMEHEADERS,0))),(INDEX(ALLCLASSDATA,MATCH("LightMaster",CLASSFEATUREHEADERS,0),MATCH(($A1076 &amp; "Points"),CLASSNAMEHEADERS,0))),(IF("15"=(INDEX(ALLCLASSDATA,MATCH("LightExpert",CLASSFEATUREHEADERS,0),MATCH($A1076,CLASSNAMEHEADERS,0))),(INDEX(ALLCLASSDATA,MATCH("LightExpert",CLASSFEATUREHEADERS,0),MATCH(($A1076 &amp; "Points"),CLASSNAMEHEADERS,0))),(IF("15"=(INDEX(ALLCLASSDATA,MATCH("LightTrained",CLASSFEATUREHEADERS,0),MATCH($A1076,CLASSNAMEHEADERS,0))),(INDEX(ALLCLASSDATA,MATCH("LightTrained",CLASSFEATUREHEADERS,0),MATCH(($A1076 &amp; "Points"),CLASSNAMEHEADERS,0))),"")))))))))}</f>
        <v>LIGHTL15</v>
      </c>
      <c r="W1075" s="223"/>
      <c r="X1075" s="223" t="str">
        <f t="array" ref="X1075:X1076">{"LIGHTL17";((IF("17"=(INDEX(ALLCLASSDATA,MATCH("LightLegendary",CLASSFEATUREHEADERS,0),MATCH($A1076,CLASSNAMEHEADERS,0))),(INDEX(ALLCLASSDATA,MATCH("LightLegendary",CLASSFEATUREHEADERS,0),MATCH(($A1076 &amp; "Points"),CLASSNAMEHEADERS,0))),(IF("17"=(INDEX(ALLCLASSDATA,MATCH("LightMaster",CLASSFEATUREHEADERS,0),MATCH($A1076,CLASSNAMEHEADERS,0))),(INDEX(ALLCLASSDATA,MATCH("LightMaster",CLASSFEATUREHEADERS,0),MATCH(($A1076 &amp; "Points"),CLASSNAMEHEADERS,0))),(IF("17"=(INDEX(ALLCLASSDATA,MATCH("LightExpert",CLASSFEATUREHEADERS,0),MATCH($A1076,CLASSNAMEHEADERS,0))),(INDEX(ALLCLASSDATA,MATCH("LightExpert",CLASSFEATUREHEADERS,0),MATCH(($A1076 &amp; "Points"),CLASSNAMEHEADERS,0))),(IF("17"=(INDEX(ALLCLASSDATA,MATCH("LightTrained",CLASSFEATUREHEADERS,0),MATCH($A1076,CLASSNAMEHEADERS,0))),(INDEX(ALLCLASSDATA,MATCH("LightTrained",CLASSFEATUREHEADERS,0),MATCH(($A1076 &amp; "Points"),CLASSNAMEHEADERS,0))),"")))))))))}</f>
        <v>LIGHTL17</v>
      </c>
      <c r="Y1075" s="223"/>
      <c r="Z1075" s="223" t="str">
        <f t="array" ref="Z1075:Z1076">{"LIGHTL19";((IF("19"=(INDEX(ALLCLASSDATA,MATCH("LightLegendary",CLASSFEATUREHEADERS,0),MATCH($A1076,CLASSNAMEHEADERS,0))),(INDEX(ALLCLASSDATA,MATCH("LightLegendary",CLASSFEATUREHEADERS,0),MATCH(($A1076 &amp; "Points"),CLASSNAMEHEADERS,0))),(IF("19"=(INDEX(ALLCLASSDATA,MATCH("LightMaster",CLASSFEATUREHEADERS,0),MATCH($A1076,CLASSNAMEHEADERS,0))),(INDEX(ALLCLASSDATA,MATCH("LightMaster",CLASSFEATUREHEADERS,0),MATCH(($A1076 &amp; "Points"),CLASSNAMEHEADERS,0))),(IF("19"=(INDEX(ALLCLASSDATA,MATCH("LightExpert",CLASSFEATUREHEADERS,0),MATCH($A1076,CLASSNAMEHEADERS,0))),(INDEX(ALLCLASSDATA,MATCH("LightExpert",CLASSFEATUREHEADERS,0),MATCH(($A1076 &amp; "Points"),CLASSNAMEHEADERS,0))),(IF("19"=(INDEX(ALLCLASSDATA,MATCH("LightTrained",CLASSFEATUREHEADERS,0),MATCH($A1076,CLASSNAMEHEADERS,0))),(INDEX(ALLCLASSDATA,MATCH("LightTrained",CLASSFEATUREHEADERS,0),MATCH(($A1076 &amp; "Points"),CLASSNAMEHEADERS,0))),"")))))))))}</f>
        <v>LIGHTL19</v>
      </c>
      <c r="AA1075" s="223"/>
      <c r="AB1075" s="76" t="str">
        <f t="array" ref="AB1075:AB1076">{"LIGHT TOTAL";(IF(COUNTBLANK(G1076:AA1076)=17,"L",(IF(COUNTBLANK(G1076:AA1076)=18,"M",(IF(COUNTBLANK(G1076:AA1076)=19,"E",(IF(COUNTBLANK(G1076:AA1076)=20,"T",""))))))))}</f>
        <v>LIGHT TOTAL</v>
      </c>
      <c r="AC1075" s="76" t="str">
        <f t="array" ref="AC1075:AC1076">{"LIGHT TOTAL";(sum(G1076:AA1076))}</f>
        <v>LIGHT TOTAL</v>
      </c>
    </row>
    <row r="1076">
      <c r="A1076" s="48" t="s">
        <v>189</v>
      </c>
      <c r="B1076" s="48"/>
      <c r="C1076" s="48" t="s">
        <v>412</v>
      </c>
      <c r="D1076" s="48" t="s">
        <v>1900</v>
      </c>
      <c r="E1076" s="48" t="s">
        <v>77</v>
      </c>
      <c r="F1076" s="5" t="s">
        <v>435</v>
      </c>
      <c r="G1076" s="47" t="s">
        <v>603</v>
      </c>
      <c r="H1076" s="5">
        <v>10.0</v>
      </c>
      <c r="I1076" s="5"/>
      <c r="J1076" s="5" t="s">
        <v>603</v>
      </c>
      <c r="K1076" s="5"/>
      <c r="L1076" s="5" t="s">
        <v>603</v>
      </c>
      <c r="M1076" s="5"/>
      <c r="N1076" s="5" t="s">
        <v>603</v>
      </c>
      <c r="O1076" s="5"/>
      <c r="P1076" s="5" t="s">
        <v>603</v>
      </c>
      <c r="Q1076" s="5"/>
      <c r="R1076" s="5" t="s">
        <v>603</v>
      </c>
      <c r="S1076" s="5"/>
      <c r="T1076" s="5">
        <v>50.0</v>
      </c>
      <c r="U1076" s="5"/>
      <c r="V1076" s="5" t="s">
        <v>603</v>
      </c>
      <c r="W1076" s="5"/>
      <c r="X1076" s="5" t="s">
        <v>603</v>
      </c>
      <c r="Y1076" s="5"/>
      <c r="Z1076" s="5">
        <v>110.0</v>
      </c>
      <c r="AA1076" s="5"/>
      <c r="AB1076" s="5" t="s">
        <v>437</v>
      </c>
      <c r="AC1076" s="47">
        <v>170.0</v>
      </c>
    </row>
    <row r="1077" hidden="1">
      <c r="A1077" s="222" t="str">
        <f t="array" ref="A1077:A1078">{"FormulaRow37";(INDEX(CLASSLIST,A1004,1))}</f>
        <v>FormulaRow37</v>
      </c>
      <c r="B1077" s="77" t="s">
        <v>236</v>
      </c>
      <c r="C1077" s="222" t="str">
        <f t="array" ref="C1077:C1078">{"CLASSTYPE";((INDEX(ALLCLASSDATA,MATCH("ClassType",CLASSFEATUREHEADERS,0),MATCH($A1078,CLASSNAMEHEADERS,0))))}</f>
        <v>CLASSTYPE</v>
      </c>
      <c r="D1077" s="222" t="str">
        <f t="array" ref="D1077:D1078">{"DEFENSE";"Defense"}</f>
        <v>DEFENSE</v>
      </c>
      <c r="E1077" s="222" t="str">
        <f t="array" ref="E1077:E1078">{"MEDIUM";"Medium"}</f>
        <v>MEDIUM</v>
      </c>
      <c r="F1077" s="223" t="str">
        <f t="array" ref="F1077:F1078">{"MEDIUMINITIAL";((IF(H1078=10,"T",(IF(H1078=50,"E","")))))}</f>
        <v>MEDIUMINITIAL</v>
      </c>
      <c r="G1077" s="223" t="str">
        <f t="array" ref="G1077:G1078">{"MEDIUMINITIALPTS";((IF("00"=(INDEX(ALLCLASSDATA,MATCH("MediumLegendary",CLASSFEATUREHEADERS,0),MATCH($A1078,CLASSNAMEHEADERS,0))),(INDEX(ALLCLASSDATA,MATCH("MediumLegendary",CLASSFEATUREHEADERS,0),MATCH(($A1078 &amp; "Points"),CLASSNAMEHEADERS,0))),(IF("00"=(INDEX(ALLCLASSDATA,MATCH("MediumMaster",CLASSFEATUREHEADERS,0),MATCH($A1078,CLASSNAMEHEADERS,0))),(INDEX(ALLCLASSDATA,MATCH("MediumMaster",CLASSFEATUREHEADERS,0),MATCH(($A1078 &amp; "Points"),CLASSNAMEHEADERS,0))),(IF("00"=(INDEX(ALLCLASSDATA,MATCH("MediumExpert",CLASSFEATUREHEADERS,0),MATCH($A1078,CLASSNAMEHEADERS,0))),(INDEX(ALLCLASSDATA,MATCH("MediumExpert",CLASSFEATUREHEADERS,0),MATCH(($A1078 &amp; "Points"),CLASSNAMEHEADERS,0))),(IF("00"=(INDEX(ALLCLASSDATA,MATCH("MediumTrained",CLASSFEATUREHEADERS,0),MATCH($A1078,CLASSNAMEHEADERS,0))),(INDEX(ALLCLASSDATA,MATCH("MediumTrained",CLASSFEATUREHEADERS,0),MATCH(($A1078 &amp; "Points"),CLASSNAMEHEADERS,0))),"")))))))))}</f>
        <v>MEDIUMINITIALPTS</v>
      </c>
      <c r="H1077" s="223" t="str">
        <f t="array" ref="H1077:H1078">{"MEDIUML01";((IF("01"=(INDEX(ALLCLASSDATA,MATCH("MediumLegendary",CLASSFEATUREHEADERS,0),MATCH($A1078,CLASSNAMEHEADERS,0))),(INDEX(ALLCLASSDATA,MATCH("MediumLegendary",CLASSFEATUREHEADERS,0),MATCH(($A1078 &amp; "Points"),CLASSNAMEHEADERS,0))),(IF("01"=(INDEX(ALLCLASSDATA,MATCH("MediumMaster",CLASSFEATUREHEADERS,0),MATCH($A1078,CLASSNAMEHEADERS,0))),(INDEX(ALLCLASSDATA,MATCH("MediumMaster",CLASSFEATUREHEADERS,0),MATCH(($A1078 &amp; "Points"),CLASSNAMEHEADERS,0))),(IF("01"=(INDEX(ALLCLASSDATA,MATCH("MediumExpert",CLASSFEATUREHEADERS,0),MATCH($A1078,CLASSNAMEHEADERS,0))),(INDEX(ALLCLASSDATA,MATCH("MediumExpert",CLASSFEATUREHEADERS,0),MATCH(($A1078 &amp; "Points"),CLASSNAMEHEADERS,0))),(IF("01"=(INDEX(ALLCLASSDATA,MATCH("MediumTrained",CLASSFEATUREHEADERS,0),MATCH($A1078,CLASSNAMEHEADERS,0))),(INDEX(ALLCLASSDATA,MATCH("MediumTrained",CLASSFEATUREHEADERS,0),MATCH(($A1078 &amp; "Points"),CLASSNAMEHEADERS,0))),"")))))))))}</f>
        <v>MEDIUML01</v>
      </c>
      <c r="I1077" s="223"/>
      <c r="J1077" s="223" t="str">
        <f t="array" ref="J1077:J1078">{"MEDIUML03";((IF("03"=(INDEX(ALLCLASSDATA,MATCH("MediumLegendary",CLASSFEATUREHEADERS,0),MATCH($A1078,CLASSNAMEHEADERS,0))),(INDEX(ALLCLASSDATA,MATCH("MediumLegendary",CLASSFEATUREHEADERS,0),MATCH(($A1078 &amp; "Points"),CLASSNAMEHEADERS,0))),(IF("03"=(INDEX(ALLCLASSDATA,MATCH("MediumMaster",CLASSFEATUREHEADERS,0),MATCH($A1078,CLASSNAMEHEADERS,0))),(INDEX(ALLCLASSDATA,MATCH("MediumMaster",CLASSFEATUREHEADERS,0),MATCH(($A1078 &amp; "Points"),CLASSNAMEHEADERS,0))),(IF("03"=(INDEX(ALLCLASSDATA,MATCH("MediumExpert",CLASSFEATUREHEADERS,0),MATCH($A1078,CLASSNAMEHEADERS,0))),(INDEX(ALLCLASSDATA,MATCH("MediumExpert",CLASSFEATUREHEADERS,0),MATCH(($A1078 &amp; "Points"),CLASSNAMEHEADERS,0))),(IF("03"=(INDEX(ALLCLASSDATA,MATCH("MediumTrained",CLASSFEATUREHEADERS,0),MATCH($A1078,CLASSNAMEHEADERS,0))),(INDEX(ALLCLASSDATA,MATCH("MediumTrained",CLASSFEATUREHEADERS,0),MATCH(($A1078 &amp; "Points"),CLASSNAMEHEADERS,0))),"")))))))))}</f>
        <v>MEDIUML03</v>
      </c>
      <c r="K1077" s="223"/>
      <c r="L1077" s="223" t="str">
        <f t="array" ref="L1077:L1078">{"MEDIUML05";((IF("05"=(INDEX(ALLCLASSDATA,MATCH("MediumLegendary",CLASSFEATUREHEADERS,0),MATCH($A1078,CLASSNAMEHEADERS,0))),(INDEX(ALLCLASSDATA,MATCH("MediumLegendary",CLASSFEATUREHEADERS,0),MATCH(($A1078 &amp; "Points"),CLASSNAMEHEADERS,0))),(IF("05"=(INDEX(ALLCLASSDATA,MATCH("MediumMaster",CLASSFEATUREHEADERS,0),MATCH($A1078,CLASSNAMEHEADERS,0))),(INDEX(ALLCLASSDATA,MATCH("MediumMaster",CLASSFEATUREHEADERS,0),MATCH(($A1078 &amp; "Points"),CLASSNAMEHEADERS,0))),(IF("05"=(INDEX(ALLCLASSDATA,MATCH("MediumExpert",CLASSFEATUREHEADERS,0),MATCH($A1078,CLASSNAMEHEADERS,0))),(INDEX(ALLCLASSDATA,MATCH("MediumExpert",CLASSFEATUREHEADERS,0),MATCH(($A1078 &amp; "Points"),CLASSNAMEHEADERS,0))),(IF("05"=(INDEX(ALLCLASSDATA,MATCH("MediumTrained",CLASSFEATUREHEADERS,0),MATCH($A1078,CLASSNAMEHEADERS,0))),(INDEX(ALLCLASSDATA,MATCH("MediumTrained",CLASSFEATUREHEADERS,0),MATCH(($A1078 &amp; "Points"),CLASSNAMEHEADERS,0))),"")))))))))}</f>
        <v>MEDIUML05</v>
      </c>
      <c r="M1077" s="223"/>
      <c r="N1077" s="223" t="str">
        <f t="array" ref="N1077:N1078">{"MEDIUML07";((IF("07"=(INDEX(ALLCLASSDATA,MATCH("MediumLegendary",CLASSFEATUREHEADERS,0),MATCH($A1078,CLASSNAMEHEADERS,0))),(INDEX(ALLCLASSDATA,MATCH("MediumLegendary",CLASSFEATUREHEADERS,0),MATCH(($A1078 &amp; "Points"),CLASSNAMEHEADERS,0))),(IF("07"=(INDEX(ALLCLASSDATA,MATCH("MediumMaster",CLASSFEATUREHEADERS,0),MATCH($A1078,CLASSNAMEHEADERS,0))),(INDEX(ALLCLASSDATA,MATCH("MediumMaster",CLASSFEATUREHEADERS,0),MATCH(($A1078 &amp; "Points"),CLASSNAMEHEADERS,0))),(IF("07"=(INDEX(ALLCLASSDATA,MATCH("MediumExpert",CLASSFEATUREHEADERS,0),MATCH($A1078,CLASSNAMEHEADERS,0))),(INDEX(ALLCLASSDATA,MATCH("MediumExpert",CLASSFEATUREHEADERS,0),MATCH(($A1078 &amp; "Points"),CLASSNAMEHEADERS,0))),(IF("07"=(INDEX(ALLCLASSDATA,MATCH("MediumTrained",CLASSFEATUREHEADERS,0),MATCH($A1078,CLASSNAMEHEADERS,0))),(INDEX(ALLCLASSDATA,MATCH("MediumTrained",CLASSFEATUREHEADERS,0),MATCH(($A1078 &amp; "Points"),CLASSNAMEHEADERS,0))),"")))))))))}</f>
        <v>MEDIUML07</v>
      </c>
      <c r="O1077" s="223"/>
      <c r="P1077" s="223" t="str">
        <f t="array" ref="P1077:P1078">{"MEDIUML09";((IF("09"=(INDEX(ALLCLASSDATA,MATCH("MediumLegendary",CLASSFEATUREHEADERS,0),MATCH($A1078,CLASSNAMEHEADERS,0))),(INDEX(ALLCLASSDATA,MATCH("MediumLegendary",CLASSFEATUREHEADERS,0),MATCH(($A1078 &amp; "Points"),CLASSNAMEHEADERS,0))),(IF("09"=(INDEX(ALLCLASSDATA,MATCH("MediumMaster",CLASSFEATUREHEADERS,0),MATCH($A1078,CLASSNAMEHEADERS,0))),(INDEX(ALLCLASSDATA,MATCH("MediumMaster",CLASSFEATUREHEADERS,0),MATCH(($A1078 &amp; "Points"),CLASSNAMEHEADERS,0))),(IF("09"=(INDEX(ALLCLASSDATA,MATCH("MediumExpert",CLASSFEATUREHEADERS,0),MATCH($A1078,CLASSNAMEHEADERS,0))),(INDEX(ALLCLASSDATA,MATCH("MediumExpert",CLASSFEATUREHEADERS,0),MATCH(($A1078 &amp; "Points"),CLASSNAMEHEADERS,0))),(IF("09"=(INDEX(ALLCLASSDATA,MATCH("MediumTrained",CLASSFEATUREHEADERS,0),MATCH($A1078,CLASSNAMEHEADERS,0))),(INDEX(ALLCLASSDATA,MATCH("MediumTrained",CLASSFEATUREHEADERS,0),MATCH(($A1078 &amp; "Points"),CLASSNAMEHEADERS,0))),"")))))))))}</f>
        <v>MEDIUML09</v>
      </c>
      <c r="Q1077" s="223"/>
      <c r="R1077" s="223" t="str">
        <f t="array" ref="R1077:R1078">{"MEDIUML11";((IF("11"=(INDEX(ALLCLASSDATA,MATCH("MediumLegendary",CLASSFEATUREHEADERS,0),MATCH($A1078,CLASSNAMEHEADERS,0))),(INDEX(ALLCLASSDATA,MATCH("MediumLegendary",CLASSFEATUREHEADERS,0),MATCH(($A1078 &amp; "Points"),CLASSNAMEHEADERS,0))),(IF("11"=(INDEX(ALLCLASSDATA,MATCH("MediumMaster",CLASSFEATUREHEADERS,0),MATCH($A1078,CLASSNAMEHEADERS,0))),(INDEX(ALLCLASSDATA,MATCH("MediumMaster",CLASSFEATUREHEADERS,0),MATCH(($A1078 &amp; "Points"),CLASSNAMEHEADERS,0))),(IF("11"=(INDEX(ALLCLASSDATA,MATCH("MediumExpert",CLASSFEATUREHEADERS,0),MATCH($A1078,CLASSNAMEHEADERS,0))),(INDEX(ALLCLASSDATA,MATCH("MediumExpert",CLASSFEATUREHEADERS,0),MATCH(($A1078 &amp; "Points"),CLASSNAMEHEADERS,0))),(IF("11"=(INDEX(ALLCLASSDATA,MATCH("MediumTrained",CLASSFEATUREHEADERS,0),MATCH($A1078,CLASSNAMEHEADERS,0))),(INDEX(ALLCLASSDATA,MATCH("MediumTrained",CLASSFEATUREHEADERS,0),MATCH(($A1078 &amp; "Points"),CLASSNAMEHEADERS,0))),"")))))))))}</f>
        <v>MEDIUML11</v>
      </c>
      <c r="S1077" s="223"/>
      <c r="T1077" s="223" t="str">
        <f t="array" ref="T1077:T1078">{"MEDIUML13";((IF("13"=(INDEX(ALLCLASSDATA,MATCH("MediumLegendary",CLASSFEATUREHEADERS,0),MATCH($A1078,CLASSNAMEHEADERS,0))),(INDEX(ALLCLASSDATA,MATCH("MediumLegendary",CLASSFEATUREHEADERS,0),MATCH(($A1078 &amp; "Points"),CLASSNAMEHEADERS,0))),(IF("13"=(INDEX(ALLCLASSDATA,MATCH("MediumMaster",CLASSFEATUREHEADERS,0),MATCH($A1078,CLASSNAMEHEADERS,0))),(INDEX(ALLCLASSDATA,MATCH("MediumMaster",CLASSFEATUREHEADERS,0),MATCH(($A1078 &amp; "Points"),CLASSNAMEHEADERS,0))),(IF("13"=(INDEX(ALLCLASSDATA,MATCH("MediumExpert",CLASSFEATUREHEADERS,0),MATCH($A1078,CLASSNAMEHEADERS,0))),(INDEX(ALLCLASSDATA,MATCH("MediumExpert",CLASSFEATUREHEADERS,0),MATCH(($A1078 &amp; "Points"),CLASSNAMEHEADERS,0))),(IF("13"=(INDEX(ALLCLASSDATA,MATCH("MediumTrained",CLASSFEATUREHEADERS,0),MATCH($A1078,CLASSNAMEHEADERS,0))),(INDEX(ALLCLASSDATA,MATCH("MediumTrained",CLASSFEATUREHEADERS,0),MATCH(($A1078 &amp; "Points"),CLASSNAMEHEADERS,0))),"")))))))))}</f>
        <v>MEDIUML13</v>
      </c>
      <c r="U1077" s="223"/>
      <c r="V1077" s="223" t="str">
        <f t="array" ref="V1077:V1078">{"MEDIUML15";((IF("15"=(INDEX(ALLCLASSDATA,MATCH("MediumLegendary",CLASSFEATUREHEADERS,0),MATCH($A1078,CLASSNAMEHEADERS,0))),(INDEX(ALLCLASSDATA,MATCH("MediumLegendary",CLASSFEATUREHEADERS,0),MATCH(($A1078 &amp; "Points"),CLASSNAMEHEADERS,0))),(IF("15"=(INDEX(ALLCLASSDATA,MATCH("MediumMaster",CLASSFEATUREHEADERS,0),MATCH($A1078,CLASSNAMEHEADERS,0))),(INDEX(ALLCLASSDATA,MATCH("MediumMaster",CLASSFEATUREHEADERS,0),MATCH(($A1078 &amp; "Points"),CLASSNAMEHEADERS,0))),(IF("15"=(INDEX(ALLCLASSDATA,MATCH("MediumExpert",CLASSFEATUREHEADERS,0),MATCH($A1078,CLASSNAMEHEADERS,0))),(INDEX(ALLCLASSDATA,MATCH("MediumExpert",CLASSFEATUREHEADERS,0),MATCH(($A1078 &amp; "Points"),CLASSNAMEHEADERS,0))),(IF("15"=(INDEX(ALLCLASSDATA,MATCH("MediumTrained",CLASSFEATUREHEADERS,0),MATCH($A1078,CLASSNAMEHEADERS,0))),(INDEX(ALLCLASSDATA,MATCH("MediumTrained",CLASSFEATUREHEADERS,0),MATCH(($A1078 &amp; "Points"),CLASSNAMEHEADERS,0))),"")))))))))}</f>
        <v>MEDIUML15</v>
      </c>
      <c r="W1077" s="223"/>
      <c r="X1077" s="223" t="str">
        <f t="array" ref="X1077:X1078">{"MEDIUML17";((IF("17"=(INDEX(ALLCLASSDATA,MATCH("MediumLegendary",CLASSFEATUREHEADERS,0),MATCH($A1078,CLASSNAMEHEADERS,0))),(INDEX(ALLCLASSDATA,MATCH("MediumLegendary",CLASSFEATUREHEADERS,0),MATCH(($A1078 &amp; "Points"),CLASSNAMEHEADERS,0))),(IF("17"=(INDEX(ALLCLASSDATA,MATCH("MediumMaster",CLASSFEATUREHEADERS,0),MATCH($A1078,CLASSNAMEHEADERS,0))),(INDEX(ALLCLASSDATA,MATCH("MediumMaster",CLASSFEATUREHEADERS,0),MATCH(($A1078 &amp; "Points"),CLASSNAMEHEADERS,0))),(IF("17"=(INDEX(ALLCLASSDATA,MATCH("MediumExpert",CLASSFEATUREHEADERS,0),MATCH($A1078,CLASSNAMEHEADERS,0))),(INDEX(ALLCLASSDATA,MATCH("MediumExpert",CLASSFEATUREHEADERS,0),MATCH(($A1078 &amp; "Points"),CLASSNAMEHEADERS,0))),(IF("17"=(INDEX(ALLCLASSDATA,MATCH("MediumTrained",CLASSFEATUREHEADERS,0),MATCH($A1078,CLASSNAMEHEADERS,0))),(INDEX(ALLCLASSDATA,MATCH("MediumTrained",CLASSFEATUREHEADERS,0),MATCH(($A1078 &amp; "Points"),CLASSNAMEHEADERS,0))),"")))))))))}</f>
        <v>MEDIUML17</v>
      </c>
      <c r="Y1077" s="223"/>
      <c r="Z1077" s="223" t="str">
        <f t="array" ref="Z1077:Z1078">{"MEDIUML19";((IF("19"=(INDEX(ALLCLASSDATA,MATCH("MediumLegendary",CLASSFEATUREHEADERS,0),MATCH($A1078,CLASSNAMEHEADERS,0))),(INDEX(ALLCLASSDATA,MATCH("MediumLegendary",CLASSFEATUREHEADERS,0),MATCH(($A1078 &amp; "Points"),CLASSNAMEHEADERS,0))),(IF("19"=(INDEX(ALLCLASSDATA,MATCH("MediumMaster",CLASSFEATUREHEADERS,0),MATCH($A1078,CLASSNAMEHEADERS,0))),(INDEX(ALLCLASSDATA,MATCH("MediumMaster",CLASSFEATUREHEADERS,0),MATCH(($A1078 &amp; "Points"),CLASSNAMEHEADERS,0))),(IF("19"=(INDEX(ALLCLASSDATA,MATCH("MediumExpert",CLASSFEATUREHEADERS,0),MATCH($A1078,CLASSNAMEHEADERS,0))),(INDEX(ALLCLASSDATA,MATCH("MediumExpert",CLASSFEATUREHEADERS,0),MATCH(($A1078 &amp; "Points"),CLASSNAMEHEADERS,0))),(IF("19"=(INDEX(ALLCLASSDATA,MATCH("MediumTrained",CLASSFEATUREHEADERS,0),MATCH($A1078,CLASSNAMEHEADERS,0))),(INDEX(ALLCLASSDATA,MATCH("MediumTrained",CLASSFEATUREHEADERS,0),MATCH(($A1078 &amp; "Points"),CLASSNAMEHEADERS,0))),"")))))))))}</f>
        <v>MEDIUML19</v>
      </c>
      <c r="AA1077" s="223"/>
      <c r="AB1077" s="76" t="str">
        <f t="array" ref="AB1077:AB1078">{"MEDIUM TOTAL";(IF(COUNTBLANK(G1078:AA1078)=17,"L",(IF(COUNTBLANK(G1078:AA1078)=18,"M",(IF(COUNTBLANK(G1078:AA1078)=19,"E",(IF(COUNTBLANK(G1078:AA1078)=20,"T",""))))))))}</f>
        <v>MEDIUM TOTAL</v>
      </c>
      <c r="AC1077" s="76" t="str">
        <f t="array" ref="AC1077:AC1078">{"MEDIUM TOTAL";(sum(G1078:AA1078))}</f>
        <v>MEDIUM TOTAL</v>
      </c>
    </row>
    <row r="1078">
      <c r="A1078" s="48" t="s">
        <v>189</v>
      </c>
      <c r="B1078" s="48"/>
      <c r="C1078" s="48" t="s">
        <v>412</v>
      </c>
      <c r="D1078" s="48" t="s">
        <v>1900</v>
      </c>
      <c r="E1078" s="48" t="s">
        <v>76</v>
      </c>
      <c r="F1078" s="5" t="s">
        <v>435</v>
      </c>
      <c r="G1078" s="47" t="s">
        <v>603</v>
      </c>
      <c r="H1078" s="5">
        <v>10.0</v>
      </c>
      <c r="I1078" s="5"/>
      <c r="J1078" s="5" t="s">
        <v>603</v>
      </c>
      <c r="K1078" s="5"/>
      <c r="L1078" s="5" t="s">
        <v>603</v>
      </c>
      <c r="M1078" s="5"/>
      <c r="N1078" s="5" t="s">
        <v>603</v>
      </c>
      <c r="O1078" s="5"/>
      <c r="P1078" s="5" t="s">
        <v>603</v>
      </c>
      <c r="Q1078" s="5"/>
      <c r="R1078" s="5" t="s">
        <v>603</v>
      </c>
      <c r="S1078" s="5"/>
      <c r="T1078" s="5" t="s">
        <v>436</v>
      </c>
      <c r="U1078" s="5"/>
      <c r="V1078" s="5" t="s">
        <v>603</v>
      </c>
      <c r="W1078" s="5"/>
      <c r="X1078" s="5" t="s">
        <v>603</v>
      </c>
      <c r="Y1078" s="5"/>
      <c r="Z1078" s="5" t="s">
        <v>437</v>
      </c>
      <c r="AA1078" s="5"/>
      <c r="AB1078" s="5" t="s">
        <v>437</v>
      </c>
      <c r="AC1078" s="47">
        <v>10.0</v>
      </c>
    </row>
    <row r="1079" hidden="1">
      <c r="A1079" s="222" t="str">
        <f t="array" ref="A1079:A1080">{"FormulaRow38";(INDEX(CLASSLIST,A1004,1))}</f>
        <v>FormulaRow38</v>
      </c>
      <c r="B1079" s="77" t="s">
        <v>236</v>
      </c>
      <c r="C1079" s="222" t="str">
        <f t="array" ref="C1079:C1080">{"CLASSTYPE";((INDEX(ALLCLASSDATA,MATCH("ClassType",CLASSFEATUREHEADERS,0),MATCH($A1080,CLASSNAMEHEADERS,0))))}</f>
        <v>CLASSTYPE</v>
      </c>
      <c r="D1079" s="222" t="str">
        <f t="array" ref="D1079:D1080">{"DEFENSE";"Defense"}</f>
        <v>DEFENSE</v>
      </c>
      <c r="E1079" s="222" t="str">
        <f t="array" ref="E1079:E1080">{"HEAVY";"Heavy"}</f>
        <v>HEAVY</v>
      </c>
      <c r="F1079" s="223" t="str">
        <f t="array" ref="F1079:F1080">{"HEAVYINITIAL";((IF(H1080=10,"T",(IF(H1080=50,"E","")))))}</f>
        <v>HEAVYINITIAL</v>
      </c>
      <c r="G1079" s="223" t="str">
        <f t="array" ref="G1079:G1080">{"HEAVYINITIALPTS";((IF("00"=(INDEX(ALLCLASSDATA,MATCH("HeavyLegendary",CLASSFEATUREHEADERS,0),MATCH($A1080,CLASSNAMEHEADERS,0))),(INDEX(ALLCLASSDATA,MATCH("HeavyLegendary",CLASSFEATUREHEADERS,0),MATCH(($A1080 &amp; "Points"),CLASSNAMEHEADERS,0))),(IF("00"=(INDEX(ALLCLASSDATA,MATCH("HeavyMaster",CLASSFEATUREHEADERS,0),MATCH($A1080,CLASSNAMEHEADERS,0))),(INDEX(ALLCLASSDATA,MATCH("HeavyMaster",CLASSFEATUREHEADERS,0),MATCH(($A1080 &amp; "Points"),CLASSNAMEHEADERS,0))),(IF("00"=(INDEX(ALLCLASSDATA,MATCH("HeavyExpert",CLASSFEATUREHEADERS,0),MATCH($A1080,CLASSNAMEHEADERS,0))),(INDEX(ALLCLASSDATA,MATCH("HeavyExpert",CLASSFEATUREHEADERS,0),MATCH(($A1080 &amp; "Points"),CLASSNAMEHEADERS,0))),(IF("00"=(INDEX(ALLCLASSDATA,MATCH("HeavyTrained",CLASSFEATUREHEADERS,0),MATCH($A1080,CLASSNAMEHEADERS,0))),(INDEX(ALLCLASSDATA,MATCH("HeavyTrained",CLASSFEATUREHEADERS,0),MATCH(($A1080 &amp; "Points"),CLASSNAMEHEADERS,0))),"")))))))))}</f>
        <v>HEAVYINITIALPTS</v>
      </c>
      <c r="H1079" s="223" t="str">
        <f t="array" ref="H1079:H1080">{"HEAVYL01";((IF("01"=(INDEX(ALLCLASSDATA,MATCH("HeavyLegendary",CLASSFEATUREHEADERS,0),MATCH($A1080,CLASSNAMEHEADERS,0))),(INDEX(ALLCLASSDATA,MATCH("HeavyLegendary",CLASSFEATUREHEADERS,0),MATCH(($A1080 &amp; "Points"),CLASSNAMEHEADERS,0))),(IF("01"=(INDEX(ALLCLASSDATA,MATCH("HeavyMaster",CLASSFEATUREHEADERS,0),MATCH($A1080,CLASSNAMEHEADERS,0))),(INDEX(ALLCLASSDATA,MATCH("HeavyMaster",CLASSFEATUREHEADERS,0),MATCH(($A1080 &amp; "Points"),CLASSNAMEHEADERS,0))),(IF("01"=(INDEX(ALLCLASSDATA,MATCH("HeavyExpert",CLASSFEATUREHEADERS,0),MATCH($A1080,CLASSNAMEHEADERS,0))),(INDEX(ALLCLASSDATA,MATCH("HeavyExpert",CLASSFEATUREHEADERS,0),MATCH(($A1080 &amp; "Points"),CLASSNAMEHEADERS,0))),(IF("01"=(INDEX(ALLCLASSDATA,MATCH("HeavyTrained",CLASSFEATUREHEADERS,0),MATCH($A1080,CLASSNAMEHEADERS,0))),(INDEX(ALLCLASSDATA,MATCH("HeavyTrained",CLASSFEATUREHEADERS,0),MATCH(($A1080 &amp; "Points"),CLASSNAMEHEADERS,0))),"")))))))))}</f>
        <v>HEAVYL01</v>
      </c>
      <c r="I1079" s="223"/>
      <c r="J1079" s="223" t="str">
        <f t="array" ref="J1079:J1080">{"HEAVYL03";((IF("03"=(INDEX(ALLCLASSDATA,MATCH("HeavyLegendary",CLASSFEATUREHEADERS,0),MATCH($A1080,CLASSNAMEHEADERS,0))),(INDEX(ALLCLASSDATA,MATCH("HeavyLegendary",CLASSFEATUREHEADERS,0),MATCH(($A1080 &amp; "Points"),CLASSNAMEHEADERS,0))),(IF("03"=(INDEX(ALLCLASSDATA,MATCH("HeavyMaster",CLASSFEATUREHEADERS,0),MATCH($A1080,CLASSNAMEHEADERS,0))),(INDEX(ALLCLASSDATA,MATCH("HeavyMaster",CLASSFEATUREHEADERS,0),MATCH(($A1080 &amp; "Points"),CLASSNAMEHEADERS,0))),(IF("03"=(INDEX(ALLCLASSDATA,MATCH("HeavyExpert",CLASSFEATUREHEADERS,0),MATCH($A1080,CLASSNAMEHEADERS,0))),(INDEX(ALLCLASSDATA,MATCH("HeavyExpert",CLASSFEATUREHEADERS,0),MATCH(($A1080 &amp; "Points"),CLASSNAMEHEADERS,0))),(IF("03"=(INDEX(ALLCLASSDATA,MATCH("HeavyTrained",CLASSFEATUREHEADERS,0),MATCH($A1080,CLASSNAMEHEADERS,0))),(INDEX(ALLCLASSDATA,MATCH("HeavyTrained",CLASSFEATUREHEADERS,0),MATCH(($A1080 &amp; "Points"),CLASSNAMEHEADERS,0))),"")))))))))}</f>
        <v>HEAVYL03</v>
      </c>
      <c r="K1079" s="223"/>
      <c r="L1079" s="223" t="str">
        <f t="array" ref="L1079:L1080">{"HEAVYL05";((IF("05"=(INDEX(ALLCLASSDATA,MATCH("HeavyLegendary",CLASSFEATUREHEADERS,0),MATCH($A1080,CLASSNAMEHEADERS,0))),(INDEX(ALLCLASSDATA,MATCH("HeavyLegendary",CLASSFEATUREHEADERS,0),MATCH(($A1080 &amp; "Points"),CLASSNAMEHEADERS,0))),(IF("05"=(INDEX(ALLCLASSDATA,MATCH("HeavyMaster",CLASSFEATUREHEADERS,0),MATCH($A1080,CLASSNAMEHEADERS,0))),(INDEX(ALLCLASSDATA,MATCH("HeavyMaster",CLASSFEATUREHEADERS,0),MATCH(($A1080 &amp; "Points"),CLASSNAMEHEADERS,0))),(IF("05"=(INDEX(ALLCLASSDATA,MATCH("HeavyExpert",CLASSFEATUREHEADERS,0),MATCH($A1080,CLASSNAMEHEADERS,0))),(INDEX(ALLCLASSDATA,MATCH("HeavyExpert",CLASSFEATUREHEADERS,0),MATCH(($A1080 &amp; "Points"),CLASSNAMEHEADERS,0))),(IF("05"=(INDEX(ALLCLASSDATA,MATCH("HeavyTrained",CLASSFEATUREHEADERS,0),MATCH($A1080,CLASSNAMEHEADERS,0))),(INDEX(ALLCLASSDATA,MATCH("HeavyTrained",CLASSFEATUREHEADERS,0),MATCH(($A1080 &amp; "Points"),CLASSNAMEHEADERS,0))),"")))))))))}</f>
        <v>HEAVYL05</v>
      </c>
      <c r="M1079" s="223"/>
      <c r="N1079" s="223" t="str">
        <f t="array" ref="N1079:N1080">{"HEAVYL07";((IF("07"=(INDEX(ALLCLASSDATA,MATCH("HeavyLegendary",CLASSFEATUREHEADERS,0),MATCH($A1080,CLASSNAMEHEADERS,0))),(INDEX(ALLCLASSDATA,MATCH("HeavyLegendary",CLASSFEATUREHEADERS,0),MATCH(($A1080 &amp; "Points"),CLASSNAMEHEADERS,0))),(IF("07"=(INDEX(ALLCLASSDATA,MATCH("HeavyMaster",CLASSFEATUREHEADERS,0),MATCH($A1080,CLASSNAMEHEADERS,0))),(INDEX(ALLCLASSDATA,MATCH("HeavyMaster",CLASSFEATUREHEADERS,0),MATCH(($A1080 &amp; "Points"),CLASSNAMEHEADERS,0))),(IF("07"=(INDEX(ALLCLASSDATA,MATCH("HeavyExpert",CLASSFEATUREHEADERS,0),MATCH($A1080,CLASSNAMEHEADERS,0))),(INDEX(ALLCLASSDATA,MATCH("HeavyExpert",CLASSFEATUREHEADERS,0),MATCH(($A1080 &amp; "Points"),CLASSNAMEHEADERS,0))),(IF("07"=(INDEX(ALLCLASSDATA,MATCH("HeavyTrained",CLASSFEATUREHEADERS,0),MATCH($A1080,CLASSNAMEHEADERS,0))),(INDEX(ALLCLASSDATA,MATCH("HeavyTrained",CLASSFEATUREHEADERS,0),MATCH(($A1080 &amp; "Points"),CLASSNAMEHEADERS,0))),"")))))))))}</f>
        <v>HEAVYL07</v>
      </c>
      <c r="O1079" s="223"/>
      <c r="P1079" s="223" t="str">
        <f t="array" ref="P1079:P1080">{"HEAVYL09";((IF("09"=(INDEX(ALLCLASSDATA,MATCH("HeavyLegendary",CLASSFEATUREHEADERS,0),MATCH($A1080,CLASSNAMEHEADERS,0))),(INDEX(ALLCLASSDATA,MATCH("HeavyLegendary",CLASSFEATUREHEADERS,0),MATCH(($A1080 &amp; "Points"),CLASSNAMEHEADERS,0))),(IF("09"=(INDEX(ALLCLASSDATA,MATCH("HeavyMaster",CLASSFEATUREHEADERS,0),MATCH($A1080,CLASSNAMEHEADERS,0))),(INDEX(ALLCLASSDATA,MATCH("HeavyMaster",CLASSFEATUREHEADERS,0),MATCH(($A1080 &amp; "Points"),CLASSNAMEHEADERS,0))),(IF("09"=(INDEX(ALLCLASSDATA,MATCH("HeavyExpert",CLASSFEATUREHEADERS,0),MATCH($A1080,CLASSNAMEHEADERS,0))),(INDEX(ALLCLASSDATA,MATCH("HeavyExpert",CLASSFEATUREHEADERS,0),MATCH(($A1080 &amp; "Points"),CLASSNAMEHEADERS,0))),(IF("09"=(INDEX(ALLCLASSDATA,MATCH("HeavyTrained",CLASSFEATUREHEADERS,0),MATCH($A1080,CLASSNAMEHEADERS,0))),(INDEX(ALLCLASSDATA,MATCH("HeavyTrained",CLASSFEATUREHEADERS,0),MATCH(($A1080 &amp; "Points"),CLASSNAMEHEADERS,0))),"")))))))))}</f>
        <v>HEAVYL09</v>
      </c>
      <c r="Q1079" s="223"/>
      <c r="R1079" s="223" t="str">
        <f t="array" ref="R1079:R1080">{"HEAVYL11";((IF("11"=(INDEX(ALLCLASSDATA,MATCH("HeavyLegendary",CLASSFEATUREHEADERS,0),MATCH($A1080,CLASSNAMEHEADERS,0))),(INDEX(ALLCLASSDATA,MATCH("HeavyLegendary",CLASSFEATUREHEADERS,0),MATCH(($A1080 &amp; "Points"),CLASSNAMEHEADERS,0))),(IF("11"=(INDEX(ALLCLASSDATA,MATCH("HeavyMaster",CLASSFEATUREHEADERS,0),MATCH($A1080,CLASSNAMEHEADERS,0))),(INDEX(ALLCLASSDATA,MATCH("HeavyMaster",CLASSFEATUREHEADERS,0),MATCH(($A1080 &amp; "Points"),CLASSNAMEHEADERS,0))),(IF("11"=(INDEX(ALLCLASSDATA,MATCH("HeavyExpert",CLASSFEATUREHEADERS,0),MATCH($A1080,CLASSNAMEHEADERS,0))),(INDEX(ALLCLASSDATA,MATCH("HeavyExpert",CLASSFEATUREHEADERS,0),MATCH(($A1080 &amp; "Points"),CLASSNAMEHEADERS,0))),(IF("11"=(INDEX(ALLCLASSDATA,MATCH("HeavyTrained",CLASSFEATUREHEADERS,0),MATCH($A1080,CLASSNAMEHEADERS,0))),(INDEX(ALLCLASSDATA,MATCH("HeavyTrained",CLASSFEATUREHEADERS,0),MATCH(($A1080 &amp; "Points"),CLASSNAMEHEADERS,0))),"")))))))))}</f>
        <v>HEAVYL11</v>
      </c>
      <c r="S1079" s="223"/>
      <c r="T1079" s="223" t="str">
        <f t="array" ref="T1079:T1080">{"HEAVYL13";((IF("13"=(INDEX(ALLCLASSDATA,MATCH("HeavyLegendary",CLASSFEATUREHEADERS,0),MATCH($A1080,CLASSNAMEHEADERS,0))),(INDEX(ALLCLASSDATA,MATCH("HeavyLegendary",CLASSFEATUREHEADERS,0),MATCH(($A1080 &amp; "Points"),CLASSNAMEHEADERS,0))),(IF("13"=(INDEX(ALLCLASSDATA,MATCH("HeavyMaster",CLASSFEATUREHEADERS,0),MATCH($A1080,CLASSNAMEHEADERS,0))),(INDEX(ALLCLASSDATA,MATCH("HeavyMaster",CLASSFEATUREHEADERS,0),MATCH(($A1080 &amp; "Points"),CLASSNAMEHEADERS,0))),(IF("13"=(INDEX(ALLCLASSDATA,MATCH("HeavyExpert",CLASSFEATUREHEADERS,0),MATCH($A1080,CLASSNAMEHEADERS,0))),(INDEX(ALLCLASSDATA,MATCH("HeavyExpert",CLASSFEATUREHEADERS,0),MATCH(($A1080 &amp; "Points"),CLASSNAMEHEADERS,0))),(IF("13"=(INDEX(ALLCLASSDATA,MATCH("HeavyTrained",CLASSFEATUREHEADERS,0),MATCH($A1080,CLASSNAMEHEADERS,0))),(INDEX(ALLCLASSDATA,MATCH("HeavyTrained",CLASSFEATUREHEADERS,0),MATCH(($A1080 &amp; "Points"),CLASSNAMEHEADERS,0))),"")))))))))}</f>
        <v>HEAVYL13</v>
      </c>
      <c r="U1079" s="223"/>
      <c r="V1079" s="223" t="str">
        <f t="array" ref="V1079:V1080">{"HEAVYL15";((IF("15"=(INDEX(ALLCLASSDATA,MATCH("HeavyLegendary",CLASSFEATUREHEADERS,0),MATCH($A1080,CLASSNAMEHEADERS,0))),(INDEX(ALLCLASSDATA,MATCH("HeavyLegendary",CLASSFEATUREHEADERS,0),MATCH(($A1080 &amp; "Points"),CLASSNAMEHEADERS,0))),(IF("15"=(INDEX(ALLCLASSDATA,MATCH("HeavyMaster",CLASSFEATUREHEADERS,0),MATCH($A1080,CLASSNAMEHEADERS,0))),(INDEX(ALLCLASSDATA,MATCH("HeavyMaster",CLASSFEATUREHEADERS,0),MATCH(($A1080 &amp; "Points"),CLASSNAMEHEADERS,0))),(IF("15"=(INDEX(ALLCLASSDATA,MATCH("HeavyExpert",CLASSFEATUREHEADERS,0),MATCH($A1080,CLASSNAMEHEADERS,0))),(INDEX(ALLCLASSDATA,MATCH("HeavyExpert",CLASSFEATUREHEADERS,0),MATCH(($A1080 &amp; "Points"),CLASSNAMEHEADERS,0))),(IF("15"=(INDEX(ALLCLASSDATA,MATCH("HeavyTrained",CLASSFEATUREHEADERS,0),MATCH($A1080,CLASSNAMEHEADERS,0))),(INDEX(ALLCLASSDATA,MATCH("HeavyTrained",CLASSFEATUREHEADERS,0),MATCH(($A1080 &amp; "Points"),CLASSNAMEHEADERS,0))),"")))))))))}</f>
        <v>HEAVYL15</v>
      </c>
      <c r="W1079" s="223"/>
      <c r="X1079" s="223" t="str">
        <f t="array" ref="X1079:X1080">{"HEAVYL17";((IF("17"=(INDEX(ALLCLASSDATA,MATCH("HeavyLegendary",CLASSFEATUREHEADERS,0),MATCH($A1080,CLASSNAMEHEADERS,0))),(INDEX(ALLCLASSDATA,MATCH("HeavyLegendary",CLASSFEATUREHEADERS,0),MATCH(($A1080 &amp; "Points"),CLASSNAMEHEADERS,0))),(IF("17"=(INDEX(ALLCLASSDATA,MATCH("HeavyMaster",CLASSFEATUREHEADERS,0),MATCH($A1080,CLASSNAMEHEADERS,0))),(INDEX(ALLCLASSDATA,MATCH("HeavyMaster",CLASSFEATUREHEADERS,0),MATCH(($A1080 &amp; "Points"),CLASSNAMEHEADERS,0))),(IF("17"=(INDEX(ALLCLASSDATA,MATCH("HeavyExpert",CLASSFEATUREHEADERS,0),MATCH($A1080,CLASSNAMEHEADERS,0))),(INDEX(ALLCLASSDATA,MATCH("HeavyExpert",CLASSFEATUREHEADERS,0),MATCH(($A1080 &amp; "Points"),CLASSNAMEHEADERS,0))),(IF("17"=(INDEX(ALLCLASSDATA,MATCH("HeavyTrained",CLASSFEATUREHEADERS,0),MATCH($A1080,CLASSNAMEHEADERS,0))),(INDEX(ALLCLASSDATA,MATCH("HeavyTrained",CLASSFEATUREHEADERS,0),MATCH(($A1080 &amp; "Points"),CLASSNAMEHEADERS,0))),"")))))))))}</f>
        <v>HEAVYL17</v>
      </c>
      <c r="Y1079" s="223"/>
      <c r="Z1079" s="223" t="str">
        <f t="array" ref="Z1079:Z1080">{"HEAVYL19";((IF("19"=(INDEX(ALLCLASSDATA,MATCH("HeavyLegendary",CLASSFEATUREHEADERS,0),MATCH($A1080,CLASSNAMEHEADERS,0))),(INDEX(ALLCLASSDATA,MATCH("HeavyLegendary",CLASSFEATUREHEADERS,0),MATCH(($A1080 &amp; "Points"),CLASSNAMEHEADERS,0))),(IF("19"=(INDEX(ALLCLASSDATA,MATCH("HeavyMaster",CLASSFEATUREHEADERS,0),MATCH($A1080,CLASSNAMEHEADERS,0))),(INDEX(ALLCLASSDATA,MATCH("HeavyMaster",CLASSFEATUREHEADERS,0),MATCH(($A1080 &amp; "Points"),CLASSNAMEHEADERS,0))),(IF("19"=(INDEX(ALLCLASSDATA,MATCH("HeavyExpert",CLASSFEATUREHEADERS,0),MATCH($A1080,CLASSNAMEHEADERS,0))),(INDEX(ALLCLASSDATA,MATCH("HeavyExpert",CLASSFEATUREHEADERS,0),MATCH(($A1080 &amp; "Points"),CLASSNAMEHEADERS,0))),(IF("19"=(INDEX(ALLCLASSDATA,MATCH("HeavyTrained",CLASSFEATUREHEADERS,0),MATCH($A1080,CLASSNAMEHEADERS,0))),(INDEX(ALLCLASSDATA,MATCH("HeavyTrained",CLASSFEATUREHEADERS,0),MATCH(($A1080 &amp; "Points"),CLASSNAMEHEADERS,0))),"")))))))))}</f>
        <v>HEAVYL19</v>
      </c>
      <c r="AA1079" s="223"/>
      <c r="AB1079" s="76" t="str">
        <f t="array" ref="AB1079:AB1080">{"HEAVY TOTAL";(IF(COUNTBLANK(G1080:AA1080)=17,"L",(IF(COUNTBLANK(G1080:AA1080)=18,"M",(IF(COUNTBLANK(G1080:AA1080)=19,"E",(IF(COUNTBLANK(G1080:AA1080)=20,"T",""))))))))}</f>
        <v>HEAVY TOTAL</v>
      </c>
      <c r="AC1079" s="76" t="str">
        <f t="array" ref="AC1079:AC1080">{"HEAVY TOTAL";(sum(G1080:AA1080))}</f>
        <v>HEAVY TOTAL</v>
      </c>
    </row>
    <row r="1080">
      <c r="A1080" s="48" t="s">
        <v>189</v>
      </c>
      <c r="B1080" s="48"/>
      <c r="C1080" s="48" t="s">
        <v>412</v>
      </c>
      <c r="D1080" s="97" t="s">
        <v>1900</v>
      </c>
      <c r="E1080" s="97" t="s">
        <v>533</v>
      </c>
      <c r="F1080" s="98" t="s">
        <v>603</v>
      </c>
      <c r="G1080" s="132" t="s">
        <v>603</v>
      </c>
      <c r="H1080" s="98" t="s">
        <v>603</v>
      </c>
      <c r="I1080" s="98"/>
      <c r="J1080" s="98" t="s">
        <v>603</v>
      </c>
      <c r="K1080" s="98"/>
      <c r="L1080" s="98" t="s">
        <v>603</v>
      </c>
      <c r="M1080" s="98"/>
      <c r="N1080" s="98" t="s">
        <v>603</v>
      </c>
      <c r="O1080" s="98"/>
      <c r="P1080" s="98" t="s">
        <v>603</v>
      </c>
      <c r="Q1080" s="98"/>
      <c r="R1080" s="98" t="s">
        <v>603</v>
      </c>
      <c r="S1080" s="98"/>
      <c r="T1080" s="98" t="s">
        <v>603</v>
      </c>
      <c r="U1080" s="98"/>
      <c r="V1080" s="98" t="s">
        <v>603</v>
      </c>
      <c r="W1080" s="98"/>
      <c r="X1080" s="98" t="s">
        <v>603</v>
      </c>
      <c r="Y1080" s="98"/>
      <c r="Z1080" s="98" t="s">
        <v>603</v>
      </c>
      <c r="AA1080" s="98"/>
      <c r="AB1080" s="5" t="s">
        <v>603</v>
      </c>
      <c r="AC1080" s="47">
        <v>0.0</v>
      </c>
    </row>
    <row r="1081" hidden="1">
      <c r="A1081" s="222" t="str">
        <f t="array" ref="A1081:A1082">{"FormulaRow39";(INDEX(CLASSLIST,A1004,1))}</f>
        <v>FormulaRow39</v>
      </c>
      <c r="B1081" s="77" t="s">
        <v>236</v>
      </c>
      <c r="C1081" s="222" t="str">
        <f t="array" ref="C1081:C1082">{"CLASSTYPE";((INDEX(ALLCLASSDATA,MATCH("ClassType",CLASSFEATUREHEADERS,0),MATCH($A1082,CLASSNAMEHEADERS,0))))}</f>
        <v>CLASSTYPE</v>
      </c>
      <c r="D1081" s="222" t="str">
        <f t="array" ref="D1081:D1082">{"SPELL/ALCHEMY";((IF(INDEX(ALLCLASSDATA,MATCH("CasterType",CLASSFEATUREHEADERS,0),MATCH(($A1082),CLASSNAMEHEADERS,0))="","",(IF(INDEX(ALLCLASSDATA,MATCH("CasterType",CLASSFEATUREHEADERS,0),MATCH(($A1082),CLASSNAMEHEADERS,0))="Alchemy","Alchemy","Spells")))))}</f>
        <v>SPELL/ALCHEMY</v>
      </c>
      <c r="E1081" s="222" t="str">
        <f t="array" ref="E1081:E1082">{"SPELLLIST";(IF(D1082="Spells",((INDEX(ALLCLASSDATA,MATCH("CasterType",CLASSFEATUREHEADERS,0),MATCH(($A1082),CLASSNAMEHEADERS,0))) &amp; ":" &amp; (INDEX(ALLCLASSDATA,MATCH("SpellList",CLASSFEATUREHEADERS,0),MATCH(($A1082),CLASSNAMEHEADERS,0)))),""))}</f>
        <v>SPELLLIST</v>
      </c>
      <c r="F1081" s="223" t="str">
        <f t="array" ref="F1081:F1082">{"SPL";(IF(D1082="Spells","SPL:",""))}</f>
        <v>SPL</v>
      </c>
      <c r="G1081" s="223" t="str">
        <f t="array" ref="G1081:G1082">{"CANTRIP/ALC";(IF(D1082="Spells","C",(IF(D1082="Alchemy","ALC:",""))))}</f>
        <v>CANTRIP/ALC</v>
      </c>
      <c r="H1081" s="223" t="str">
        <f t="array" ref="H1081:H1082">{"SPELL/ALC L01";(IF(D1082="Alchemy","L01",(IF(D1082="Spells","S01",""))))}</f>
        <v>SPELL/ALC L01</v>
      </c>
      <c r="I1081" s="223" t="str">
        <f t="array" ref="I1081:I1082">{"SPELL/ALC L02";(IF(D1082="Alchemy","L02",(IF(D1082="Spells","S01",""))))}</f>
        <v>SPELL/ALC L02</v>
      </c>
      <c r="J1081" s="223" t="str">
        <f t="array" ref="J1081:J1082">{"SPELL/ALC L03";(IF(D1082="Alchemy","L03",(IF(D1082="Spells","S02",""))))}</f>
        <v>SPELL/ALC L03</v>
      </c>
      <c r="K1081" s="223" t="str">
        <f t="array" ref="K1081:K1082">{"SPELL/ALC L04";(IF(D1082="Alchemy","L04",(IF(D1082="Spells","S02",""))))}</f>
        <v>SPELL/ALC L04</v>
      </c>
      <c r="L1081" s="223" t="str">
        <f t="array" ref="L1081:L1082">{"SPELL/ALC L05";(IF(D1082="Alchemy","L05",(IF(D1082="Spells","S03",""))))}</f>
        <v>SPELL/ALC L05</v>
      </c>
      <c r="M1081" s="223" t="str">
        <f t="array" ref="M1081:M1082">{"SPELL/ALC L06";(IF(D1082="Alchemy","L06",(IF(D1082="Spells","S03",""))))}</f>
        <v>SPELL/ALC L06</v>
      </c>
      <c r="N1081" s="223" t="str">
        <f t="array" ref="N1081:N1082">{"SPELL/ALC L07";(IF(D1082="Alchemy","L07",(IF(D1082="Spells","S04",""))))}</f>
        <v>SPELL/ALC L07</v>
      </c>
      <c r="O1081" s="223" t="str">
        <f t="array" ref="O1081:O1082">{"SPELL/ALC L08";(IF(D1082="Alchemy","L08",(IF(D1082="Spells","S04",""))))}</f>
        <v>SPELL/ALC L08</v>
      </c>
      <c r="P1081" s="223" t="str">
        <f t="array" ref="P1081:P1082">{"SPELL/ALC L09";(IF(D1082="Alchemy","L09",(IF(D1082="Spells","S05",""))))}</f>
        <v>SPELL/ALC L09</v>
      </c>
      <c r="Q1081" s="223" t="str">
        <f t="array" ref="Q1081:Q1082">{"SPELL/ALC L10";(IF(D1082="Alchemy","L10",(IF(D1082="Spells","S05",""))))}</f>
        <v>SPELL/ALC L10</v>
      </c>
      <c r="R1081" s="223" t="str">
        <f t="array" ref="R1081:R1082">{"SPELL/ALC L11";(IF(D1082="Alchemy","L11",(IF(D1082="Spells","S06",""))))}</f>
        <v>SPELL/ALC L11</v>
      </c>
      <c r="S1081" s="223" t="str">
        <f t="array" ref="S1081:S1082">{"SPELL/ALC L12";(IF(D1082="Alchemy","L12",(IF(D1082="Spells","S06",""))))}</f>
        <v>SPELL/ALC L12</v>
      </c>
      <c r="T1081" s="223" t="str">
        <f t="array" ref="T1081:T1082">{"SPELL/ALC L13";(IF(D1082="Alchemy","L13",(IF(D1082="Spells","S07",""))))}</f>
        <v>SPELL/ALC L13</v>
      </c>
      <c r="U1081" s="223" t="str">
        <f t="array" ref="U1081:U1082">{"SPELL/ALC L14";(IF(D1082="Alchemy","L14",(IF(D1082="Spells","S07",""))))}</f>
        <v>SPELL/ALC L14</v>
      </c>
      <c r="V1081" s="223" t="str">
        <f t="array" ref="V1081:V1082">{"SPELL/ALC L15";(IF(D1082="Alchemy","L15",(IF(D1082="Spells","S08",""))))}</f>
        <v>SPELL/ALC L15</v>
      </c>
      <c r="W1081" s="223" t="str">
        <f t="array" ref="W1081:W1082">{"SPELL/ALC L16";(IF(D1082="Alchemy","L16",(IF(D1082="Spells","S08",""))))}</f>
        <v>SPELL/ALC L16</v>
      </c>
      <c r="X1081" s="223" t="str">
        <f t="array" ref="X1081:X1082">{"SPELL/ALC L17";(IF(D1082="Alchemy","L17",(IF(D1082="Spells","S09",""))))}</f>
        <v>SPELL/ALC L17</v>
      </c>
      <c r="Y1081" s="223" t="str">
        <f t="array" ref="Y1081:Y1082">{"SPELL/ALC L18";(IF(D1082="Alchemy","L18",(IF(D1082="Spells","S09",""))))}</f>
        <v>SPELL/ALC L18</v>
      </c>
      <c r="Z1081" s="223" t="str">
        <f t="array" ref="Z1081:Z1082">{"SPELL/ALC L19";(IF(D1082="Alchemy","L19",(IF(D1082="Spells","S10",""))))}</f>
        <v>SPELL/ALC L19</v>
      </c>
      <c r="AA1081" s="223" t="str">
        <f t="array" ref="AA1081:AA1082">{"SPELL/ALC L20";(IF(D1082="Alchemy","L20",(IF(D1082="Spells","S10",""))))}</f>
        <v>SPELL/ALC L20</v>
      </c>
      <c r="AB1081" s="76"/>
      <c r="AC1081" s="76"/>
    </row>
    <row r="1082">
      <c r="A1082" s="48" t="s">
        <v>189</v>
      </c>
      <c r="B1082" s="48"/>
      <c r="C1082" s="48" t="s">
        <v>412</v>
      </c>
      <c r="D1082" s="48" t="s">
        <v>483</v>
      </c>
      <c r="E1082" s="48" t="s">
        <v>603</v>
      </c>
      <c r="F1082" s="278" t="s">
        <v>603</v>
      </c>
      <c r="G1082" s="114" t="s">
        <v>1937</v>
      </c>
      <c r="H1082" s="279" t="s">
        <v>36</v>
      </c>
      <c r="I1082" s="28" t="s">
        <v>1183</v>
      </c>
      <c r="J1082" s="28" t="s">
        <v>62</v>
      </c>
      <c r="K1082" s="28" t="s">
        <v>1239</v>
      </c>
      <c r="L1082" s="28" t="s">
        <v>70</v>
      </c>
      <c r="M1082" s="28" t="s">
        <v>1264</v>
      </c>
      <c r="N1082" s="28" t="s">
        <v>40</v>
      </c>
      <c r="O1082" s="28" t="s">
        <v>1290</v>
      </c>
      <c r="P1082" s="28" t="s">
        <v>38</v>
      </c>
      <c r="Q1082" s="28" t="s">
        <v>1315</v>
      </c>
      <c r="R1082" s="28" t="s">
        <v>27</v>
      </c>
      <c r="S1082" s="28" t="s">
        <v>1345</v>
      </c>
      <c r="T1082" s="28" t="s">
        <v>37</v>
      </c>
      <c r="U1082" s="28" t="s">
        <v>1354</v>
      </c>
      <c r="V1082" s="28" t="s">
        <v>50</v>
      </c>
      <c r="W1082" s="28" t="s">
        <v>1360</v>
      </c>
      <c r="X1082" s="28" t="s">
        <v>48</v>
      </c>
      <c r="Y1082" s="28" t="s">
        <v>1363</v>
      </c>
      <c r="Z1082" s="28" t="s">
        <v>81</v>
      </c>
      <c r="AA1082" s="28" t="s">
        <v>1366</v>
      </c>
      <c r="AB1082" s="5"/>
      <c r="AC1082" s="47"/>
    </row>
    <row r="1083" hidden="1">
      <c r="A1083" s="222" t="str">
        <f t="array" ref="A1083:A1084">{"FormulaRow40";(INDEX(CLASSLIST,A1004,1))}</f>
        <v>FormulaRow40</v>
      </c>
      <c r="B1083" s="77" t="s">
        <v>236</v>
      </c>
      <c r="C1083" s="222" t="str">
        <f t="array" ref="C1083:C1084">{"CLASSTYPE";((INDEX(ALLCLASSDATA,MATCH("ClassType",CLASSFEATUREHEADERS,0),MATCH($A1084,CLASSNAMEHEADERS,0))))}</f>
        <v>CLASSTYPE</v>
      </c>
      <c r="D1083" s="222" t="str">
        <f t="array" ref="D1083:D1084">{"SPELL/ALCHEMY";((IF(INDEX(ALLCLASSDATA,MATCH("CasterType",CLASSFEATUREHEADERS,0),MATCH(($A1084),CLASSNAMEHEADERS,0))="","",(IF(INDEX(ALLCLASSDATA,MATCH("CasterType",CLASSFEATUREHEADERS,0),MATCH(($A1084),CLASSNAMEHEADERS,0))="Alchemy","","Spells")))))}</f>
        <v>SPELL/ALCHEMY</v>
      </c>
      <c r="E1083" s="222" t="str">
        <f t="array" ref="E1083:E1084">{"SPELLLIST";(IF(D1084="Spells",((INDEX(ALLCLASSDATA,MATCH("CasterType",CLASSFEATUREHEADERS,0),MATCH(($A1084),CLASSNAMEHEADERS,0))) &amp; ":" &amp; (INDEX(ALLCLASSDATA,MATCH("SpellList",CLASSFEATUREHEADERS,0),MATCH(($A1084),CLASSNAMEHEADERS,0)))),""))}</f>
        <v>SPELLLIST</v>
      </c>
      <c r="F1083" s="222" t="str">
        <f t="array" ref="F1083:F1084">{"SLOTCOST";(IF(D1084="Spells","SlotCost:",""))}</f>
        <v>SLOTCOST</v>
      </c>
      <c r="G1083" s="222" t="str">
        <f t="array" ref="G1083:G1084">{"SLOTCOST CANTRIP";(INDEX(ALLCLASSDATA,MATCH("CantripSlots-L00",CLASSFEATUREHEADERS,0),MATCH(($A1084 &amp; "Points"),CLASSNAMEHEADERS,0)))}</f>
        <v>SLOTCOST CANTRIP</v>
      </c>
      <c r="H1083" s="222" t="str">
        <f t="array" ref="H1083:H1084">{"SLOTCOST L01";(INDEX(ALLCLASSDATA,MATCH("SPL01-L01",CLASSFEATUREHEADERS,0),MATCH(($A1084 &amp; "Points"),CLASSNAMEHEADERS,0)))}</f>
        <v>SLOTCOST L01</v>
      </c>
      <c r="I1083" s="222" t="str">
        <f t="array" ref="I1083:I1084">{"SLOTCOST L02";(INDEX(ALLCLASSDATA,MATCH("SPL01-L02",CLASSFEATUREHEADERS,0),MATCH(($A1084 &amp; "Points"),CLASSNAMEHEADERS,0)))}</f>
        <v>SLOTCOST L02</v>
      </c>
      <c r="J1083" s="222" t="str">
        <f t="array" ref="J1083:J1084">{"SLOTCOST L03";(INDEX(ALLCLASSDATA,MATCH("SPL02-L03",CLASSFEATUREHEADERS,0),MATCH(($A1084 &amp; "Points"),CLASSNAMEHEADERS,0)))}</f>
        <v>SLOTCOST L03</v>
      </c>
      <c r="K1083" s="222" t="str">
        <f t="array" ref="K1083:K1084">{"SLOTCOST L04";(INDEX(ALLCLASSDATA,MATCH("SPL02-L04",CLASSFEATUREHEADERS,0),MATCH(($A1084 &amp; "Points"),CLASSNAMEHEADERS,0)))}</f>
        <v>SLOTCOST L04</v>
      </c>
      <c r="L1083" s="222" t="str">
        <f t="array" ref="L1083:L1084">{"SLOTCOST L05";(INDEX(ALLCLASSDATA,MATCH("SPL03-L05",CLASSFEATUREHEADERS,0),MATCH(($A1084 &amp; "Points"),CLASSNAMEHEADERS,0)))}</f>
        <v>SLOTCOST L05</v>
      </c>
      <c r="M1083" s="222" t="str">
        <f t="array" ref="M1083:M1084">{"SLOTCOST L06";(INDEX(ALLCLASSDATA,MATCH("SPL03-L06",CLASSFEATUREHEADERS,0),MATCH(($A1084 &amp; "Points"),CLASSNAMEHEADERS,0)))}</f>
        <v>SLOTCOST L06</v>
      </c>
      <c r="N1083" s="222" t="str">
        <f t="array" ref="N1083:N1084">{"SLOTCOST L07";(INDEX(ALLCLASSDATA,MATCH("SPL04-L07",CLASSFEATUREHEADERS,0),MATCH(($A1084 &amp; "Points"),CLASSNAMEHEADERS,0)))}</f>
        <v>SLOTCOST L07</v>
      </c>
      <c r="O1083" s="222" t="str">
        <f t="array" ref="O1083:O1084">{"SLOTCOST L08";(INDEX(ALLCLASSDATA,MATCH("SPL04-L08",CLASSFEATUREHEADERS,0),MATCH(($A1084 &amp; "Points"),CLASSNAMEHEADERS,0)))}</f>
        <v>SLOTCOST L08</v>
      </c>
      <c r="P1083" s="222" t="str">
        <f t="array" ref="P1083:P1084">{"SLOTCOST L09";(INDEX(ALLCLASSDATA,MATCH("SPL05-L09",CLASSFEATUREHEADERS,0),MATCH(($A1084 &amp; "Points"),CLASSNAMEHEADERS,0)))}</f>
        <v>SLOTCOST L09</v>
      </c>
      <c r="Q1083" s="222" t="str">
        <f t="array" ref="Q1083:Q1084">{"SLOTCOST L10";(INDEX(ALLCLASSDATA,MATCH("SPL05-L10",CLASSFEATUREHEADERS,0),MATCH(($A1084 &amp; "Points"),CLASSNAMEHEADERS,0)))}</f>
        <v>SLOTCOST L10</v>
      </c>
      <c r="R1083" s="222" t="str">
        <f t="array" ref="R1083:R1084">{"SLOTCOST L11";(INDEX(ALLCLASSDATA,MATCH("SPL06-L11",CLASSFEATUREHEADERS,0),MATCH(($A1084 &amp; "Points"),CLASSNAMEHEADERS,0)))}</f>
        <v>SLOTCOST L11</v>
      </c>
      <c r="S1083" s="222" t="str">
        <f t="array" ref="S1083:S1084">{"SLOTCOST L12";(INDEX(ALLCLASSDATA,MATCH("SPL06-L12",CLASSFEATUREHEADERS,0),MATCH(($A1084 &amp; "Points"),CLASSNAMEHEADERS,0)))}</f>
        <v>SLOTCOST L12</v>
      </c>
      <c r="T1083" s="222" t="str">
        <f t="array" ref="T1083:T1084">{"SLOTCOST L13";(INDEX(ALLCLASSDATA,MATCH("SPL07-L13",CLASSFEATUREHEADERS,0),MATCH(($A1084 &amp; "Points"),CLASSNAMEHEADERS,0)))}</f>
        <v>SLOTCOST L13</v>
      </c>
      <c r="U1083" s="222" t="str">
        <f t="array" ref="U1083:U1084">{"SLOTCOST L14";(INDEX(ALLCLASSDATA,MATCH("SPL07-L14",CLASSFEATUREHEADERS,0),MATCH(($A1084 &amp; "Points"),CLASSNAMEHEADERS,0)))}</f>
        <v>SLOTCOST L14</v>
      </c>
      <c r="V1083" s="222" t="str">
        <f t="array" ref="V1083:V1084">{"SLOTCOST L15";(INDEX(ALLCLASSDATA,MATCH("SPL08-L15",CLASSFEATUREHEADERS,0),MATCH(($A1084 &amp; "Points"),CLASSNAMEHEADERS,0)))}</f>
        <v>SLOTCOST L15</v>
      </c>
      <c r="W1083" s="222" t="str">
        <f t="array" ref="W1083:W1084">{"SLOTCOST L16";(INDEX(ALLCLASSDATA,MATCH("SPL08-L16",CLASSFEATUREHEADERS,0),MATCH(($A1084 &amp; "Points"),CLASSNAMEHEADERS,0)))}</f>
        <v>SLOTCOST L16</v>
      </c>
      <c r="X1083" s="222" t="str">
        <f t="array" ref="X1083:X1084">{"SLOTCOST L17";(INDEX(ALLCLASSDATA,MATCH("SPL09-L17",CLASSFEATUREHEADERS,0),MATCH(($A1084 &amp; "Points"),CLASSNAMEHEADERS,0)))}</f>
        <v>SLOTCOST L17</v>
      </c>
      <c r="Y1083" s="222" t="str">
        <f t="array" ref="Y1083:Y1084">{"SLOTCOST L18";(INDEX(ALLCLASSDATA,MATCH("SPL09-L18",CLASSFEATUREHEADERS,0),MATCH(($A1084 &amp; "Points"),CLASSNAMEHEADERS,0)))}</f>
        <v>SLOTCOST L18</v>
      </c>
      <c r="Z1083" s="222" t="str">
        <f t="array" ref="Z1083:Z1084">{"SLOTCOST L19";(INDEX(ALLCLASSDATA,MATCH("SPL10-L19",CLASSFEATUREHEADERS,0),MATCH(($A1084 &amp; "Points"),CLASSNAMEHEADERS,0)))}</f>
        <v>SLOTCOST L19</v>
      </c>
      <c r="AA1083" s="222" t="str">
        <f t="array" ref="AA1083:AA1084">{"SLOTCOST L20";(INDEX(ALLCLASSDATA,MATCH("SPL10-L20",CLASSFEATUREHEADERS,0),MATCH(($A1084 &amp; "Points"),CLASSNAMEHEADERS,0)))}</f>
        <v>SLOTCOST L20</v>
      </c>
      <c r="AB1083" s="76"/>
      <c r="AC1083" s="76" t="str">
        <f t="array" ref="AC1083:AC1084">{"SLOT TOTAL";(sum(G1084:AA1084))}</f>
        <v>SLOT TOTAL</v>
      </c>
    </row>
    <row r="1084">
      <c r="A1084" s="48" t="s">
        <v>189</v>
      </c>
      <c r="B1084" s="48"/>
      <c r="C1084" s="48" t="s">
        <v>412</v>
      </c>
      <c r="D1084" s="48" t="s">
        <v>603</v>
      </c>
      <c r="E1084" s="48" t="s">
        <v>603</v>
      </c>
      <c r="F1084" s="278" t="s">
        <v>603</v>
      </c>
      <c r="G1084" s="47" t="s">
        <v>603</v>
      </c>
      <c r="H1084" s="5" t="s">
        <v>603</v>
      </c>
      <c r="I1084" s="5" t="s">
        <v>603</v>
      </c>
      <c r="J1084" s="5" t="s">
        <v>603</v>
      </c>
      <c r="K1084" s="5" t="s">
        <v>603</v>
      </c>
      <c r="L1084" s="5" t="s">
        <v>603</v>
      </c>
      <c r="M1084" s="48" t="s">
        <v>603</v>
      </c>
      <c r="N1084" s="5" t="s">
        <v>603</v>
      </c>
      <c r="O1084" s="5" t="s">
        <v>603</v>
      </c>
      <c r="P1084" s="5" t="s">
        <v>603</v>
      </c>
      <c r="Q1084" s="5" t="s">
        <v>603</v>
      </c>
      <c r="R1084" s="5" t="s">
        <v>603</v>
      </c>
      <c r="S1084" s="5" t="s">
        <v>603</v>
      </c>
      <c r="T1084" s="5" t="s">
        <v>603</v>
      </c>
      <c r="U1084" s="5" t="s">
        <v>603</v>
      </c>
      <c r="V1084" s="5" t="s">
        <v>603</v>
      </c>
      <c r="W1084" s="5" t="s">
        <v>603</v>
      </c>
      <c r="X1084" s="5" t="s">
        <v>603</v>
      </c>
      <c r="Y1084" s="5" t="s">
        <v>603</v>
      </c>
      <c r="Z1084" s="5" t="s">
        <v>603</v>
      </c>
      <c r="AA1084" s="5" t="s">
        <v>603</v>
      </c>
      <c r="AB1084" s="5"/>
      <c r="AC1084" s="47">
        <v>0.0</v>
      </c>
    </row>
    <row r="1085" hidden="1">
      <c r="A1085" s="222" t="str">
        <f t="array" ref="A1085:A1086">{"FormulaRow41";(INDEX(CLASSLIST,A1004,1))}</f>
        <v>FormulaRow41</v>
      </c>
      <c r="B1085" s="77" t="s">
        <v>236</v>
      </c>
      <c r="C1085" s="222" t="str">
        <f t="array" ref="C1085:C1086">{"CLASSTYPE";((INDEX(ALLCLASSDATA,MATCH("ClassType",CLASSFEATUREHEADERS,0),MATCH($A1086,CLASSNAMEHEADERS,0))))}</f>
        <v>CLASSTYPE</v>
      </c>
      <c r="D1085" s="222" t="str">
        <f t="array" ref="D1085:D1086">{"SPELL/ALCHEMY";((IF(INDEX(ALLCLASSDATA,MATCH("CasterType",CLASSFEATUREHEADERS,0),MATCH(($A1086),CLASSNAMEHEADERS,0))="","",(IF(INDEX(ALLCLASSDATA,MATCH("CasterType",CLASSFEATUREHEADERS,0),MATCH(($A1086),CLASSNAMEHEADERS,0))="Alchemy","Alchemy","Spells")))))}</f>
        <v>SPELL/ALCHEMY</v>
      </c>
      <c r="E1085" s="222" t="str">
        <f t="array" ref="E1085:E1086">{"SPELLLIST";(IF(D1086="Spells",((INDEX(ALLCLASSDATA,MATCH("CasterType",CLASSFEATUREHEADERS,0),MATCH(($A1086),CLASSNAMEHEADERS,0))) &amp; ":" &amp; (INDEX(ALLCLASSDATA,MATCH("SpellList",CLASSFEATUREHEADERS,0),MATCH(($A1086),CLASSNAMEHEADERS,0)))),""))}</f>
        <v>SPELLLIST</v>
      </c>
      <c r="F1085" s="223" t="str">
        <f t="array" ref="F1085:F1086">{"LEARNEDCOST";(IF(D1086="","","LearnCost:"))}</f>
        <v>LEARNEDCOST</v>
      </c>
      <c r="G1085" s="223" t="str">
        <f t="array" ref="G1085:G1086">{"LEARNED CANTRIPS";(INDEX(ALLCLASSDATA,MATCH("CantripsLearned-L00",CLASSFEATUREHEADERS,0),MATCH(($A1086 &amp; "Points"),CLASSNAMEHEADERS,0)))}</f>
        <v>LEARNED CANTRIPS</v>
      </c>
      <c r="H1085" s="223" t="str">
        <f t="array" ref="H1085:H1086">{"LEARNED L01";(INDEX(ALLCLASSDATA,MATCH("Learned-L01",CLASSFEATUREHEADERS,0),MATCH(($A1086 &amp; "Points"),CLASSNAMEHEADERS,0)))}</f>
        <v>LEARNED L01</v>
      </c>
      <c r="I1085" s="223" t="str">
        <f t="array" ref="I1085:I1086">{"LEARNED L02";(INDEX(ALLCLASSDATA,MATCH("Learned-L02",CLASSFEATUREHEADERS,0),MATCH(($A1086 &amp; "Points"),CLASSNAMEHEADERS,0)))}</f>
        <v>LEARNED L02</v>
      </c>
      <c r="J1085" s="223" t="str">
        <f t="array" ref="J1085:J1086">{"LEARNED L03";(INDEX(ALLCLASSDATA,MATCH("Learned-L03",CLASSFEATUREHEADERS,0),MATCH(($A1086 &amp; "Points"),CLASSNAMEHEADERS,0)))}</f>
        <v>LEARNED L03</v>
      </c>
      <c r="K1085" s="223" t="str">
        <f t="array" ref="K1085:K1086">{"LEARNED L04";(INDEX(ALLCLASSDATA,MATCH("Learned-L04",CLASSFEATUREHEADERS,0),MATCH(($A1086 &amp; "Points"),CLASSNAMEHEADERS,0)))}</f>
        <v>LEARNED L04</v>
      </c>
      <c r="L1085" s="223" t="str">
        <f t="array" ref="L1085:L1086">{"LEARNED L05";(INDEX(ALLCLASSDATA,MATCH("Learned-L05",CLASSFEATUREHEADERS,0),MATCH(($A1086 &amp; "Points"),CLASSNAMEHEADERS,0)))}</f>
        <v>LEARNED L05</v>
      </c>
      <c r="M1085" s="223" t="str">
        <f t="array" ref="M1085:M1086">{"LEARNED L06";(INDEX(ALLCLASSDATA,MATCH("Learned-L06",CLASSFEATUREHEADERS,0),MATCH(($A1086 &amp; "Points"),CLASSNAMEHEADERS,0)))}</f>
        <v>LEARNED L06</v>
      </c>
      <c r="N1085" s="223" t="str">
        <f t="array" ref="N1085:N1086">{"LEARNED L07";(INDEX(ALLCLASSDATA,MATCH("Learned-L07",CLASSFEATUREHEADERS,0),MATCH(($A1086 &amp; "Points"),CLASSNAMEHEADERS,0)))}</f>
        <v>LEARNED L07</v>
      </c>
      <c r="O1085" s="223" t="str">
        <f t="array" ref="O1085:O1086">{"LEARNED L08";(INDEX(ALLCLASSDATA,MATCH("Learned-L08",CLASSFEATUREHEADERS,0),MATCH(($A1086 &amp; "Points"),CLASSNAMEHEADERS,0)))}</f>
        <v>LEARNED L08</v>
      </c>
      <c r="P1085" s="223" t="str">
        <f t="array" ref="P1085:P1086">{"LEARNED L09";(INDEX(ALLCLASSDATA,MATCH("Learned-L09",CLASSFEATUREHEADERS,0),MATCH(($A1086 &amp; "Points"),CLASSNAMEHEADERS,0)))}</f>
        <v>LEARNED L09</v>
      </c>
      <c r="Q1085" s="223" t="str">
        <f t="array" ref="Q1085:Q1086">{"LEARNED L10";(INDEX(ALLCLASSDATA,MATCH("Learned-L10",CLASSFEATUREHEADERS,0),MATCH(($A1086 &amp; "Points"),CLASSNAMEHEADERS,0)))}</f>
        <v>LEARNED L10</v>
      </c>
      <c r="R1085" s="223" t="str">
        <f t="array" ref="R1085:R1086">{"LEARNED L11";(INDEX(ALLCLASSDATA,MATCH("Learned-L11",CLASSFEATUREHEADERS,0),MATCH(($A1086 &amp; "Points"),CLASSNAMEHEADERS,0)))}</f>
        <v>LEARNED L11</v>
      </c>
      <c r="S1085" s="223" t="str">
        <f t="array" ref="S1085:S1086">{"LEARNED L12";(INDEX(ALLCLASSDATA,MATCH("Learned-L12",CLASSFEATUREHEADERS,0),MATCH(($A1086 &amp; "Points"),CLASSNAMEHEADERS,0)))}</f>
        <v>LEARNED L12</v>
      </c>
      <c r="T1085" s="223" t="str">
        <f t="array" ref="T1085:T1086">{"LEARNED L13";(INDEX(ALLCLASSDATA,MATCH("Learned-L13",CLASSFEATUREHEADERS,0),MATCH(($A1086 &amp; "Points"),CLASSNAMEHEADERS,0)))}</f>
        <v>LEARNED L13</v>
      </c>
      <c r="U1085" s="223" t="str">
        <f t="array" ref="U1085:U1086">{"LEARNED L14";(INDEX(ALLCLASSDATA,MATCH("Learned-L14",CLASSFEATUREHEADERS,0),MATCH(($A1086 &amp; "Points"),CLASSNAMEHEADERS,0)))}</f>
        <v>LEARNED L14</v>
      </c>
      <c r="V1085" s="223" t="str">
        <f t="array" ref="V1085:V1086">{"LEARNED L15";(INDEX(ALLCLASSDATA,MATCH("Learned-L15",CLASSFEATUREHEADERS,0),MATCH(($A1086 &amp; "Points"),CLASSNAMEHEADERS,0)))}</f>
        <v>LEARNED L15</v>
      </c>
      <c r="W1085" s="223" t="str">
        <f t="array" ref="W1085:W1086">{"LEARNED L16";(INDEX(ALLCLASSDATA,MATCH("Learned-L16",CLASSFEATUREHEADERS,0),MATCH(($A1086 &amp; "Points"),CLASSNAMEHEADERS,0)))}</f>
        <v>LEARNED L16</v>
      </c>
      <c r="X1085" s="223" t="str">
        <f t="array" ref="X1085:X1086">{"LEARNED L17";(INDEX(ALLCLASSDATA,MATCH("Learned-L17",CLASSFEATUREHEADERS,0),MATCH(($A1086 &amp; "Points"),CLASSNAMEHEADERS,0)))}</f>
        <v>LEARNED L17</v>
      </c>
      <c r="Y1085" s="223" t="str">
        <f t="array" ref="Y1085:Y1086">{"LEARNED L18";(INDEX(ALLCLASSDATA,MATCH("Learned-L18",CLASSFEATUREHEADERS,0),MATCH(($A1086 &amp; "Points"),CLASSNAMEHEADERS,0)))}</f>
        <v>LEARNED L18</v>
      </c>
      <c r="Z1085" s="223" t="str">
        <f t="array" ref="Z1085:Z1086">{"LEARNED L19";(INDEX(ALLCLASSDATA,MATCH("Learned-L19",CLASSFEATUREHEADERS,0),MATCH(($A1086 &amp; "Points"),CLASSNAMEHEADERS,0)))}</f>
        <v>LEARNED L19</v>
      </c>
      <c r="AA1085" s="223" t="str">
        <f t="array" ref="AA1085:AA1086">{"LEARNED L20";(INDEX(ALLCLASSDATA,MATCH("Learned-L20",CLASSFEATUREHEADERS,0),MATCH(($A1086 &amp; "Points"),CLASSNAMEHEADERS,0)))}</f>
        <v>LEARNED L20</v>
      </c>
      <c r="AB1085" s="76"/>
      <c r="AC1085" s="76" t="str">
        <f t="array" ref="AC1085:AC1086">{"LEARNED TOTAL";(sum(G1086:AA1086))}</f>
        <v>LEARNED TOTAL</v>
      </c>
    </row>
    <row r="1086">
      <c r="A1086" s="48" t="s">
        <v>189</v>
      </c>
      <c r="B1086" s="48"/>
      <c r="C1086" s="48" t="s">
        <v>412</v>
      </c>
      <c r="D1086" s="48" t="s">
        <v>483</v>
      </c>
      <c r="E1086" s="48" t="s">
        <v>603</v>
      </c>
      <c r="F1086" s="278" t="s">
        <v>1906</v>
      </c>
      <c r="G1086" s="47" t="s">
        <v>603</v>
      </c>
      <c r="H1086" s="5">
        <v>40.0</v>
      </c>
      <c r="I1086" s="5">
        <v>10.0</v>
      </c>
      <c r="J1086" s="5">
        <v>10.0</v>
      </c>
      <c r="K1086" s="5">
        <v>10.0</v>
      </c>
      <c r="L1086" s="5">
        <v>10.0</v>
      </c>
      <c r="M1086" s="5">
        <v>10.0</v>
      </c>
      <c r="N1086" s="48">
        <v>20.0</v>
      </c>
      <c r="O1086" s="5">
        <v>10.0</v>
      </c>
      <c r="P1086" s="5">
        <v>10.0</v>
      </c>
      <c r="Q1086" s="5">
        <v>10.0</v>
      </c>
      <c r="R1086" s="5">
        <v>20.0</v>
      </c>
      <c r="S1086" s="5">
        <v>10.0</v>
      </c>
      <c r="T1086" s="5">
        <v>10.0</v>
      </c>
      <c r="U1086" s="5">
        <v>10.0</v>
      </c>
      <c r="V1086" s="5">
        <v>10.0</v>
      </c>
      <c r="W1086" s="5">
        <v>10.0</v>
      </c>
      <c r="X1086" s="5">
        <v>20.0</v>
      </c>
      <c r="Y1086" s="5">
        <v>10.0</v>
      </c>
      <c r="Z1086" s="5">
        <v>10.0</v>
      </c>
      <c r="AA1086" s="5">
        <v>10.0</v>
      </c>
      <c r="AB1086" s="5"/>
      <c r="AC1086" s="47">
        <v>260.0</v>
      </c>
    </row>
    <row r="1087" hidden="1">
      <c r="A1087" s="222" t="str">
        <f t="array" ref="A1087:A1088">{"FormulaRow42";(INDEX(CLASSLIST,A1004,1))}</f>
        <v>FormulaRow42</v>
      </c>
      <c r="B1087" s="77" t="s">
        <v>236</v>
      </c>
      <c r="C1087" s="222" t="str">
        <f t="array" ref="C1087:C1088">{"CLASSTYPE";((INDEX(ALLCLASSDATA,MATCH("ClassType",CLASSFEATUREHEADERS,0),MATCH($A1088,CLASSNAMEHEADERS,0))))}</f>
        <v>CLASSTYPE</v>
      </c>
      <c r="D1087" s="222" t="str">
        <f t="array" ref="D1087:D1088">{"SPELL/ALCHEMY";((IF(INDEX(ALLCLASSDATA,MATCH("CasterType",CLASSFEATUREHEADERS,0),MATCH(($A1088),CLASSNAMEHEADERS,0))="","",(IF(INDEX(ALLCLASSDATA,MATCH("CasterType",CLASSFEATUREHEADERS,0),MATCH(($A1088),CLASSNAMEHEADERS,0))="Alchemy","","Spells")))))}</f>
        <v>SPELL/ALCHEMY</v>
      </c>
      <c r="E1087" s="222" t="str">
        <f t="array" ref="E1087:E1088">{"SPELLLIST";(IF(D1088="Spells",((INDEX(ALLCLASSDATA,MATCH("CasterType",CLASSFEATUREHEADERS,0),MATCH(($A1088),CLASSNAMEHEADERS,0))) &amp; ":" &amp; (INDEX(ALLCLASSDATA,MATCH("SpellList",CLASSFEATUREHEADERS,0),MATCH(($A1088),CLASSNAMEHEADERS,0)))),""))}</f>
        <v>SPELLLIST</v>
      </c>
      <c r="F1087" s="223" t="str">
        <f t="array" ref="F1087:F1088">{"SLOT/LVL";(IF(D1082="Spells","Slot/LVL:",""))}</f>
        <v>SLOT/LVL</v>
      </c>
      <c r="G1087" s="223" t="str">
        <f t="array" ref="G1087:G1088">{"CANTRIPSLOTS";(INDEX(ALLCLASSDATA,MATCH("CantripSlots-L00",CLASSFEATUREHEADERS,0),MATCH($A1088,CLASSNAMEHEADERS,0)))}</f>
        <v>CANTRIPSLOTS</v>
      </c>
      <c r="H1087" s="223" t="str">
        <f t="array" ref="H1087:H1088">{"SPL01-L01";(INDEX(ALLCLASSDATA,MATCH("SPL01-L01",CLASSFEATUREHEADERS,0),MATCH($A1088,CLASSNAMEHEADERS,0)))}</f>
        <v>SPL01-L01</v>
      </c>
      <c r="I1087" s="223" t="str">
        <f t="array" ref="I1087:I1088">{"SPL01-L02";(INDEX(ALLCLASSDATA,MATCH("SPL01-L02",CLASSFEATUREHEADERS,0),MATCH($A1088,CLASSNAMEHEADERS,0)))}</f>
        <v>SPL01-L02</v>
      </c>
      <c r="J1087" s="223" t="str">
        <f t="array" ref="J1087:J1088">{"SPL02-L03";(INDEX(ALLCLASSDATA,MATCH("SPL02-L03",CLASSFEATUREHEADERS,0),MATCH($A1088,CLASSNAMEHEADERS,0)))}</f>
        <v>SPL02-L03</v>
      </c>
      <c r="K1087" s="223" t="str">
        <f t="array" ref="K1087:K1088">{"SPL02-L04";(INDEX(ALLCLASSDATA,MATCH("SPL02-L04",CLASSFEATUREHEADERS,0),MATCH($A1088,CLASSNAMEHEADERS,0)))}</f>
        <v>SPL02-L04</v>
      </c>
      <c r="L1087" s="223" t="str">
        <f t="array" ref="L1087:L1088">{"SPL03-L05";(INDEX(ALLCLASSDATA,MATCH("SPL03-L05",CLASSFEATUREHEADERS,0),MATCH($A1088,CLASSNAMEHEADERS,0)))}</f>
        <v>SPL03-L05</v>
      </c>
      <c r="M1087" s="223" t="str">
        <f t="array" ref="M1087:M1088">{"SPL03-L06";(INDEX(ALLCLASSDATA,MATCH("SPL03-L06",CLASSFEATUREHEADERS,0),MATCH($A1088,CLASSNAMEHEADERS,0)))}</f>
        <v>SPL03-L06</v>
      </c>
      <c r="N1087" s="223" t="str">
        <f t="array" ref="N1087:N1088">{"SPL04-L07";(INDEX(ALLCLASSDATA,MATCH("SPL04-L07",CLASSFEATUREHEADERS,0),MATCH($A1088,CLASSNAMEHEADERS,0)))}</f>
        <v>SPL04-L07</v>
      </c>
      <c r="O1087" s="223" t="str">
        <f t="array" ref="O1087:O1088">{"SPL04-L08";(INDEX(ALLCLASSDATA,MATCH("SPL04-L08",CLASSFEATUREHEADERS,0),MATCH($A1088,CLASSNAMEHEADERS,0)))}</f>
        <v>SPL04-L08</v>
      </c>
      <c r="P1087" s="223" t="str">
        <f t="array" ref="P1087:P1088">{"SPL05-L09";(INDEX(ALLCLASSDATA,MATCH("SPL05-L09",CLASSFEATUREHEADERS,0),MATCH($A1088,CLASSNAMEHEADERS,0)))}</f>
        <v>SPL05-L09</v>
      </c>
      <c r="Q1087" s="223" t="str">
        <f t="array" ref="Q1087:Q1088">{"SPL05-L10";(INDEX(ALLCLASSDATA,MATCH("SPL05-L10",CLASSFEATUREHEADERS,0),MATCH($A1088,CLASSNAMEHEADERS,0)))}</f>
        <v>SPL05-L10</v>
      </c>
      <c r="R1087" s="223" t="str">
        <f t="array" ref="R1087:R1088">{"SPL06-L11";(INDEX(ALLCLASSDATA,MATCH("SPL06-L11",CLASSFEATUREHEADERS,0),MATCH($A1088,CLASSNAMEHEADERS,0)))}</f>
        <v>SPL06-L11</v>
      </c>
      <c r="S1087" s="223" t="str">
        <f t="array" ref="S1087:S1088">{"SPL06-L12";(INDEX(ALLCLASSDATA,MATCH("SPL06-L12",CLASSFEATUREHEADERS,0),MATCH($A1088,CLASSNAMEHEADERS,0)))}</f>
        <v>SPL06-L12</v>
      </c>
      <c r="T1087" s="223" t="str">
        <f t="array" ref="T1087:T1088">{"SPL07-L13";(INDEX(ALLCLASSDATA,MATCH("SPL07-L13",CLASSFEATUREHEADERS,0),MATCH($A1088,CLASSNAMEHEADERS,0)))}</f>
        <v>SPL07-L13</v>
      </c>
      <c r="U1087" s="223" t="str">
        <f t="array" ref="U1087:U1088">{"SPL07-L14";(INDEX(ALLCLASSDATA,MATCH("SPL07-L14",CLASSFEATUREHEADERS,0),MATCH($A1088,CLASSNAMEHEADERS,0)))}</f>
        <v>SPL07-L14</v>
      </c>
      <c r="V1087" s="223" t="str">
        <f t="array" ref="V1087:V1088">{"SPL08-L15";(INDEX(ALLCLASSDATA,MATCH("SPL08-L15",CLASSFEATUREHEADERS,0),MATCH($A1088,CLASSNAMEHEADERS,0)))}</f>
        <v>SPL08-L15</v>
      </c>
      <c r="W1087" s="223" t="str">
        <f t="array" ref="W1087:W1088">{"SPL08-L16";(INDEX(ALLCLASSDATA,MATCH("SPL08-L16",CLASSFEATUREHEADERS,0),MATCH($A1088,CLASSNAMEHEADERS,0)))}</f>
        <v>SPL08-L16</v>
      </c>
      <c r="X1087" s="223" t="str">
        <f t="array" ref="X1087:X1088">{"SPL09-L17";(INDEX(ALLCLASSDATA,MATCH("SPL09-L17",CLASSFEATUREHEADERS,0),MATCH($A1088,CLASSNAMEHEADERS,0)))}</f>
        <v>SPL09-L17</v>
      </c>
      <c r="Y1087" s="223" t="str">
        <f t="array" ref="Y1087:Y1088">{"SPL09-L18";(INDEX(ALLCLASSDATA,MATCH("SPL09-L18",CLASSFEATUREHEADERS,0),MATCH($A1088,CLASSNAMEHEADERS,0)))}</f>
        <v>SPL09-L18</v>
      </c>
      <c r="Z1087" s="223" t="str">
        <f t="array" ref="Z1087:Z1088">{"SPL10-L19";(INDEX(ALLCLASSDATA,MATCH("SPL10-L19",CLASSFEATUREHEADERS,0),MATCH($A1088,CLASSNAMEHEADERS,0)))}</f>
        <v>SPL10-L19</v>
      </c>
      <c r="AA1087" s="223" t="str">
        <f t="array" ref="AA1087:AA1088">{"SPL10-L20";(INDEX(ALLCLASSDATA,MATCH("SPL10-L20",CLASSFEATUREHEADERS,0),MATCH($A1088,CLASSNAMEHEADERS,0)))}</f>
        <v>SPL10-L20</v>
      </c>
      <c r="AB1087" s="76"/>
      <c r="AC1087" s="76"/>
    </row>
    <row r="1088">
      <c r="A1088" s="48" t="s">
        <v>189</v>
      </c>
      <c r="B1088" s="48"/>
      <c r="C1088" s="48" t="s">
        <v>412</v>
      </c>
      <c r="D1088" s="48" t="s">
        <v>603</v>
      </c>
      <c r="E1088" s="48" t="s">
        <v>603</v>
      </c>
      <c r="F1088" s="278" t="s">
        <v>603</v>
      </c>
      <c r="G1088" s="280"/>
      <c r="H1088" s="50"/>
      <c r="I1088" s="50"/>
      <c r="J1088" s="50"/>
      <c r="K1088" s="50"/>
      <c r="L1088" s="50"/>
      <c r="M1088" s="50"/>
      <c r="N1088" s="50"/>
      <c r="O1088" s="50"/>
      <c r="P1088" s="50"/>
      <c r="Q1088" s="50"/>
      <c r="R1088" s="50"/>
      <c r="S1088" s="50"/>
      <c r="T1088" s="50"/>
      <c r="U1088" s="50"/>
      <c r="V1088" s="50"/>
      <c r="W1088" s="50"/>
      <c r="X1088" s="50"/>
      <c r="Y1088" s="50"/>
      <c r="Z1088" s="50"/>
      <c r="AA1088" s="50"/>
      <c r="AB1088" s="278"/>
      <c r="AC1088" s="47"/>
    </row>
    <row r="1089" hidden="1">
      <c r="A1089" s="222" t="str">
        <f t="array" ref="A1089:A1090">{"FormulaRow43";(INDEX(CLASSLIST,A1004,1))}</f>
        <v>FormulaRow43</v>
      </c>
      <c r="B1089" s="77" t="s">
        <v>236</v>
      </c>
      <c r="C1089" s="222" t="str">
        <f t="array" ref="C1089:C1090">{"CLASSTYPE";((INDEX(ALLCLASSDATA,MATCH("ClassType",CLASSFEATUREHEADERS,0),MATCH($A1090,CLASSNAMEHEADERS,0))))}</f>
        <v>CLASSTYPE</v>
      </c>
      <c r="D1089" s="222" t="str">
        <f t="array" ref="D1089:D1090">{"SPELL/ALCHEMY";((IF(INDEX(ALLCLASSDATA,MATCH("CasterType",CLASSFEATUREHEADERS,0),MATCH(($A1090),CLASSNAMEHEADERS,0))="","",(IF(INDEX(ALLCLASSDATA,MATCH("CasterType",CLASSFEATUREHEADERS,0),MATCH(($A1090),CLASSNAMEHEADERS,0))="Alchemy","Alchemy","Spells")))))}</f>
        <v>SPELL/ALCHEMY</v>
      </c>
      <c r="E1089" s="222" t="str">
        <f t="array" ref="E1089:E1090">{"SPELLLIST";(IF(D1090="Spells",((INDEX(ALLCLASSDATA,MATCH("CasterType",CLASSFEATUREHEADERS,0),MATCH(($A1090),CLASSNAMEHEADERS,0))) &amp; ":" &amp; (INDEX(ALLCLASSDATA,MATCH("SpellList",CLASSFEATUREHEADERS,0),MATCH(($A1090),CLASSNAMEHEADERS,0)))),""))}</f>
        <v>SPELLLIST</v>
      </c>
      <c r="F1089" s="223" t="str">
        <f t="array" ref="F1089:F1090">{"LEARNED/LVL";(IF(D1090="","","Learn/LVL:"))}</f>
        <v>LEARNED/LVL</v>
      </c>
      <c r="G1089" s="223" t="str">
        <f t="array" ref="G1089:G1090">{"LEARNEDCANTRIPS";(INDEX(ALLCLASSDATA,MATCH("CantripsLearned-L00",CLASSFEATUREHEADERS,0),MATCH($A1090,CLASSNAMEHEADERS,0)))}</f>
        <v>LEARNEDCANTRIPS</v>
      </c>
      <c r="H1089" s="223" t="str">
        <f t="array" ref="H1089:H1090">{"LEARNED L01";(INDEX(ALLCLASSDATA,MATCH("Learned-L01",CLASSFEATUREHEADERS,0),MATCH($A1090,CLASSNAMEHEADERS,0)))}</f>
        <v>LEARNED L01</v>
      </c>
      <c r="I1089" s="223" t="str">
        <f t="array" ref="I1089:I1090">{"LEARNED L02";(INDEX(ALLCLASSDATA,MATCH("Learned-L02",CLASSFEATUREHEADERS,0),MATCH($A1090,CLASSNAMEHEADERS,0)))}</f>
        <v>LEARNED L02</v>
      </c>
      <c r="J1089" s="223" t="str">
        <f t="array" ref="J1089:J1090">{"LEARNED L03";(INDEX(ALLCLASSDATA,MATCH("Learned-L03",CLASSFEATUREHEADERS,0),MATCH($A1090,CLASSNAMEHEADERS,0)))}</f>
        <v>LEARNED L03</v>
      </c>
      <c r="K1089" s="223" t="str">
        <f t="array" ref="K1089:K1090">{"LEARNED L04";(INDEX(ALLCLASSDATA,MATCH("Learned-L04",CLASSFEATUREHEADERS,0),MATCH($A1090,CLASSNAMEHEADERS,0)))}</f>
        <v>LEARNED L04</v>
      </c>
      <c r="L1089" s="223" t="str">
        <f t="array" ref="L1089:L1090">{"LEARNED L05";(INDEX(ALLCLASSDATA,MATCH("Learned-L05",CLASSFEATUREHEADERS,0),MATCH($A1090,CLASSNAMEHEADERS,0)))}</f>
        <v>LEARNED L05</v>
      </c>
      <c r="M1089" s="223" t="str">
        <f t="array" ref="M1089:M1090">{"LEARNED L06";(INDEX(ALLCLASSDATA,MATCH("Learned-L06",CLASSFEATUREHEADERS,0),MATCH($A1090,CLASSNAMEHEADERS,0)))}</f>
        <v>LEARNED L06</v>
      </c>
      <c r="N1089" s="223" t="str">
        <f t="array" ref="N1089:N1090">{"LEARNED L07";(INDEX(ALLCLASSDATA,MATCH("Learned-L07",CLASSFEATUREHEADERS,0),MATCH($A1090,CLASSNAMEHEADERS,0)))}</f>
        <v>LEARNED L07</v>
      </c>
      <c r="O1089" s="223" t="str">
        <f t="array" ref="O1089:O1090">{"LEARNED L08";(INDEX(ALLCLASSDATA,MATCH("Learned-L08",CLASSFEATUREHEADERS,0),MATCH($A1090,CLASSNAMEHEADERS,0)))}</f>
        <v>LEARNED L08</v>
      </c>
      <c r="P1089" s="223" t="str">
        <f t="array" ref="P1089:P1090">{"LEARNED L09";(INDEX(ALLCLASSDATA,MATCH("Learned-L09",CLASSFEATUREHEADERS,0),MATCH($A1090,CLASSNAMEHEADERS,0)))}</f>
        <v>LEARNED L09</v>
      </c>
      <c r="Q1089" s="223" t="str">
        <f t="array" ref="Q1089:Q1090">{"LEARNED L10";(INDEX(ALLCLASSDATA,MATCH("Learned-L10",CLASSFEATUREHEADERS,0),MATCH($A1090,CLASSNAMEHEADERS,0)))}</f>
        <v>LEARNED L10</v>
      </c>
      <c r="R1089" s="223" t="str">
        <f t="array" ref="R1089:R1090">{"LEARNED L11";(INDEX(ALLCLASSDATA,MATCH("Learned-L11",CLASSFEATUREHEADERS,0),MATCH($A1090,CLASSNAMEHEADERS,0)))}</f>
        <v>LEARNED L11</v>
      </c>
      <c r="S1089" s="223" t="str">
        <f t="array" ref="S1089:S1090">{"LEARNED L12";(INDEX(ALLCLASSDATA,MATCH("Learned-L12",CLASSFEATUREHEADERS,0),MATCH($A1090,CLASSNAMEHEADERS,0)))}</f>
        <v>LEARNED L12</v>
      </c>
      <c r="T1089" s="223" t="str">
        <f t="array" ref="T1089:T1090">{"LEARNED L13";(INDEX(ALLCLASSDATA,MATCH("Learned-L13",CLASSFEATUREHEADERS,0),MATCH($A1090,CLASSNAMEHEADERS,0)))}</f>
        <v>LEARNED L13</v>
      </c>
      <c r="U1089" s="223" t="str">
        <f t="array" ref="U1089:U1090">{"LEARNED L14";(INDEX(ALLCLASSDATA,MATCH("Learned-L14",CLASSFEATUREHEADERS,0),MATCH($A1090,CLASSNAMEHEADERS,0)))}</f>
        <v>LEARNED L14</v>
      </c>
      <c r="V1089" s="223" t="str">
        <f t="array" ref="V1089:V1090">{"LEARNED L15";(INDEX(ALLCLASSDATA,MATCH("Learned-L15",CLASSFEATUREHEADERS,0),MATCH($A1090,CLASSNAMEHEADERS,0)))}</f>
        <v>LEARNED L15</v>
      </c>
      <c r="W1089" s="223" t="str">
        <f t="array" ref="W1089:W1090">{"LEARNED L16";(INDEX(ALLCLASSDATA,MATCH("Learned-L16",CLASSFEATUREHEADERS,0),MATCH($A1090,CLASSNAMEHEADERS,0)))}</f>
        <v>LEARNED L16</v>
      </c>
      <c r="X1089" s="223" t="str">
        <f t="array" ref="X1089:X1090">{"LEARNED L17";(INDEX(ALLCLASSDATA,MATCH("Learned-L17",CLASSFEATUREHEADERS,0),MATCH($A1090,CLASSNAMEHEADERS,0)))}</f>
        <v>LEARNED L17</v>
      </c>
      <c r="Y1089" s="223" t="str">
        <f t="array" ref="Y1089:Y1090">{"LEARNED L18";(INDEX(ALLCLASSDATA,MATCH("Learned-L18",CLASSFEATUREHEADERS,0),MATCH($A1090,CLASSNAMEHEADERS,0)))}</f>
        <v>LEARNED L18</v>
      </c>
      <c r="Z1089" s="223" t="str">
        <f t="array" ref="Z1089:Z1090">{"LEARNED L19";(INDEX(ALLCLASSDATA,MATCH("Learned-L19",CLASSFEATUREHEADERS,0),MATCH($A1090,CLASSNAMEHEADERS,0)))}</f>
        <v>LEARNED L19</v>
      </c>
      <c r="AA1089" s="223" t="str">
        <f t="array" ref="AA1089:AA1090">{"LEARNED L20";(INDEX(ALLCLASSDATA,MATCH("Learned-L20",CLASSFEATUREHEADERS,0),MATCH($A1090,CLASSNAMEHEADERS,0)))}</f>
        <v>LEARNED L20</v>
      </c>
      <c r="AB1089" s="76"/>
      <c r="AC1089" s="76"/>
    </row>
    <row r="1090">
      <c r="A1090" s="48" t="s">
        <v>189</v>
      </c>
      <c r="B1090" s="48"/>
      <c r="C1090" s="48" t="s">
        <v>412</v>
      </c>
      <c r="D1090" s="48" t="s">
        <v>483</v>
      </c>
      <c r="E1090" s="48" t="s">
        <v>603</v>
      </c>
      <c r="F1090" s="278" t="s">
        <v>1909</v>
      </c>
      <c r="G1090" s="280"/>
      <c r="H1090" s="278" t="s">
        <v>1532</v>
      </c>
      <c r="I1090" s="278" t="s">
        <v>1538</v>
      </c>
      <c r="J1090" s="278" t="s">
        <v>1538</v>
      </c>
      <c r="K1090" s="278" t="s">
        <v>1538</v>
      </c>
      <c r="L1090" s="278" t="s">
        <v>1538</v>
      </c>
      <c r="M1090" s="278" t="s">
        <v>1538</v>
      </c>
      <c r="N1090" s="278" t="s">
        <v>1573</v>
      </c>
      <c r="O1090" s="50" t="s">
        <v>1538</v>
      </c>
      <c r="P1090" s="278" t="s">
        <v>1538</v>
      </c>
      <c r="Q1090" s="278" t="s">
        <v>1538</v>
      </c>
      <c r="R1090" s="278" t="s">
        <v>1573</v>
      </c>
      <c r="S1090" s="278" t="s">
        <v>1538</v>
      </c>
      <c r="T1090" s="278" t="s">
        <v>1538</v>
      </c>
      <c r="U1090" s="278" t="s">
        <v>1538</v>
      </c>
      <c r="V1090" s="278" t="s">
        <v>1538</v>
      </c>
      <c r="W1090" s="278" t="s">
        <v>1538</v>
      </c>
      <c r="X1090" s="278" t="s">
        <v>1573</v>
      </c>
      <c r="Y1090" s="278" t="s">
        <v>1538</v>
      </c>
      <c r="Z1090" s="278" t="s">
        <v>1538</v>
      </c>
      <c r="AA1090" s="278" t="s">
        <v>1538</v>
      </c>
      <c r="AB1090" s="278"/>
      <c r="AC1090" s="47"/>
    </row>
    <row r="1091" hidden="1">
      <c r="A1091" s="222" t="str">
        <f t="array" ref="A1091:A1092">{"FormulaRow44";(INDEX(CLASSLIST,A1004,1))}</f>
        <v>FormulaRow44</v>
      </c>
      <c r="B1091" s="77" t="s">
        <v>236</v>
      </c>
      <c r="C1091" s="222" t="str">
        <f t="array" ref="C1091:C1092">{"CLASSTYPE";((INDEX(ALLCLASSDATA,MATCH("ClassType",CLASSFEATUREHEADERS,0),MATCH($A1092,CLASSNAMEHEADERS,0))))}</f>
        <v>CLASSTYPE</v>
      </c>
      <c r="D1091" s="222" t="str">
        <f t="array" ref="D1091:D1092">{"SPELL/ALCHEMY";((IF(INDEX(ALLCLASSDATA,MATCH("CasterType",CLASSFEATUREHEADERS,0),MATCH(($A1092),CLASSNAMEHEADERS,0))="","",(IF(INDEX(ALLCLASSDATA,MATCH("CasterType",CLASSFEATUREHEADERS,0),MATCH(($A1092),CLASSNAMEHEADERS,0))="Alchemy","","Spells")))))}</f>
        <v>SPELL/ALCHEMY</v>
      </c>
      <c r="E1091" s="222" t="str">
        <f t="array" ref="E1091:E1092">{"SPELLLIST";(IF(D1092="Spells",((INDEX(ALLCLASSDATA,MATCH("CasterType",CLASSFEATUREHEADERS,0),MATCH(($A1092),CLASSNAMEHEADERS,0))) &amp; ":" &amp; (INDEX(ALLCLASSDATA,MATCH("SpellList",CLASSFEATUREHEADERS,0),MATCH(($A1092),CLASSNAMEHEADERS,0)))),""))}</f>
        <v>SPELLLIST</v>
      </c>
      <c r="F1091" s="223" t="str">
        <f t="array" ref="F1091:F1092">{"TOTALSLOTS";(IF(D1092="","","TotalSlots:"))}</f>
        <v>TOTALSLOTS</v>
      </c>
      <c r="G1091" s="223" t="str">
        <f t="array" ref="G1091:G1092">{"TOTALCANTRIPSLOTS";(G1088)}</f>
        <v>TOTALCANTRIPSLOTS</v>
      </c>
      <c r="H1091" s="223" t="str">
        <f t="array" ref="H1091:H1092">{"TOTALSLOTS L01";(H1088)}</f>
        <v>TOTALSLOTS L01</v>
      </c>
      <c r="I1091" s="223" t="str">
        <f t="array" ref="I1091:I1092">{"TOTALSLOTS L02";(H1092+I1088)}</f>
        <v>TOTALSLOTS L02</v>
      </c>
      <c r="J1091" s="223" t="str">
        <f t="array" ref="J1091:J1092">{"TOTALSLOTS L03";(I1092+J1088)}</f>
        <v>TOTALSLOTS L03</v>
      </c>
      <c r="K1091" s="223" t="str">
        <f t="array" ref="K1091:K1092">{"TOTALSLOTS L04";(J1092+K1088)}</f>
        <v>TOTALSLOTS L04</v>
      </c>
      <c r="L1091" s="223" t="str">
        <f t="array" ref="L1091:L1092">{"TOTALSLOTS L05";(K1092+L1088)}</f>
        <v>TOTALSLOTS L05</v>
      </c>
      <c r="M1091" s="223" t="str">
        <f t="array" ref="M1091:M1092">{"TOTALSLOTS L06";(L1092+M1088)}</f>
        <v>TOTALSLOTS L06</v>
      </c>
      <c r="N1091" s="223" t="str">
        <f t="array" ref="N1091:N1092">{"TOTALSLOTS L07";(M1092+N1088)}</f>
        <v>TOTALSLOTS L07</v>
      </c>
      <c r="O1091" s="223" t="str">
        <f t="array" ref="O1091:O1092">{"TOTALSLOTS L08";(N1092+O1088)}</f>
        <v>TOTALSLOTS L08</v>
      </c>
      <c r="P1091" s="223" t="str">
        <f t="array" ref="P1091:P1092">{"TOTALSLOTS L09";(O1092+P1088)}</f>
        <v>TOTALSLOTS L09</v>
      </c>
      <c r="Q1091" s="223" t="str">
        <f t="array" ref="Q1091:Q1092">{"TOTALSLOTS L10";(P1092+Q1088)}</f>
        <v>TOTALSLOTS L10</v>
      </c>
      <c r="R1091" s="223" t="str">
        <f t="array" ref="R1091:R1092">{"TOTALSLOTS L11";(Q1092+R1088)}</f>
        <v>TOTALSLOTS L11</v>
      </c>
      <c r="S1091" s="223" t="str">
        <f t="array" ref="S1091:S1092">{"TOTALSLOTS L12";(R1092+S1088)}</f>
        <v>TOTALSLOTS L12</v>
      </c>
      <c r="T1091" s="223" t="str">
        <f t="array" ref="T1091:T1092">{"TOTALSLOTS L13";(S1092+T1088)}</f>
        <v>TOTALSLOTS L13</v>
      </c>
      <c r="U1091" s="223" t="str">
        <f t="array" ref="U1091:U1092">{"TOTALSLOTS L14";(T1092+U1088)}</f>
        <v>TOTALSLOTS L14</v>
      </c>
      <c r="V1091" s="223" t="str">
        <f t="array" ref="V1091:V1092">{"TOTALSLOTS L15";(U1092+V1088)}</f>
        <v>TOTALSLOTS L15</v>
      </c>
      <c r="W1091" s="223" t="str">
        <f t="array" ref="W1091:W1092">{"TOTALSLOTS L16";(V1092+W1088)}</f>
        <v>TOTALSLOTS L16</v>
      </c>
      <c r="X1091" s="223" t="str">
        <f t="array" ref="X1091:X1092">{"TOTALSLOTS L17";(W1092+X1088)}</f>
        <v>TOTALSLOTS L17</v>
      </c>
      <c r="Y1091" s="223" t="str">
        <f t="array" ref="Y1091:Y1092">{"TOTALSLOTS L18";(X1092+Y1088)}</f>
        <v>TOTALSLOTS L18</v>
      </c>
      <c r="Z1091" s="223" t="str">
        <f t="array" ref="Z1091:Z1092">{"TOTALSLOTS L19";(Y1092+Z1088)}</f>
        <v>TOTALSLOTS L19</v>
      </c>
      <c r="AA1091" s="223" t="str">
        <f t="array" ref="AA1091:AA1092">{"TOTALSLOTS L20";(Z1092+AA1088)}</f>
        <v>TOTALSLOTS L20</v>
      </c>
      <c r="AB1091" s="76"/>
      <c r="AC1091" s="76"/>
    </row>
    <row r="1092">
      <c r="A1092" s="48" t="s">
        <v>189</v>
      </c>
      <c r="B1092" s="48"/>
      <c r="C1092" s="48" t="s">
        <v>412</v>
      </c>
      <c r="D1092" s="48" t="s">
        <v>603</v>
      </c>
      <c r="E1092" s="48" t="s">
        <v>603</v>
      </c>
      <c r="F1092" s="278" t="s">
        <v>603</v>
      </c>
      <c r="G1092" s="280"/>
      <c r="H1092" s="278"/>
      <c r="I1092" s="278">
        <v>0.0</v>
      </c>
      <c r="J1092" s="278">
        <v>0.0</v>
      </c>
      <c r="K1092" s="278">
        <v>0.0</v>
      </c>
      <c r="L1092" s="278">
        <v>0.0</v>
      </c>
      <c r="M1092" s="278">
        <v>0.0</v>
      </c>
      <c r="N1092" s="278">
        <v>0.0</v>
      </c>
      <c r="O1092" s="278">
        <v>0.0</v>
      </c>
      <c r="P1092" s="278">
        <v>0.0</v>
      </c>
      <c r="Q1092" s="278">
        <v>0.0</v>
      </c>
      <c r="R1092" s="278">
        <v>0.0</v>
      </c>
      <c r="S1092" s="278">
        <v>0.0</v>
      </c>
      <c r="T1092" s="278">
        <v>0.0</v>
      </c>
      <c r="U1092" s="278">
        <v>0.0</v>
      </c>
      <c r="V1092" s="278">
        <v>0.0</v>
      </c>
      <c r="W1092" s="278">
        <v>0.0</v>
      </c>
      <c r="X1092" s="278">
        <v>0.0</v>
      </c>
      <c r="Y1092" s="278">
        <v>0.0</v>
      </c>
      <c r="Z1092" s="278">
        <v>0.0</v>
      </c>
      <c r="AA1092" s="278">
        <v>0.0</v>
      </c>
      <c r="AB1092" s="5"/>
      <c r="AC1092" s="47"/>
    </row>
    <row r="1093" hidden="1">
      <c r="A1093" s="222" t="str">
        <f t="array" ref="A1093:A1094">{"FormulaRow45";(INDEX(CLASSLIST,A1004,1))}</f>
        <v>FormulaRow45</v>
      </c>
      <c r="B1093" s="77" t="s">
        <v>236</v>
      </c>
      <c r="C1093" s="222" t="str">
        <f t="array" ref="C1093:C1094">{"CLASSTYPE";((INDEX(ALLCLASSDATA,MATCH("ClassType",CLASSFEATUREHEADERS,0),MATCH($A1094,CLASSNAMEHEADERS,0))))}</f>
        <v>CLASSTYPE</v>
      </c>
      <c r="D1093" s="222" t="str">
        <f t="array" ref="D1093:D1094">{"SPELL/ALCHEMY";((IF(INDEX(ALLCLASSDATA,MATCH("CasterType",CLASSFEATUREHEADERS,0),MATCH(($A1094),CLASSNAMEHEADERS,0))="","",(IF(INDEX(ALLCLASSDATA,MATCH("CasterType",CLASSFEATUREHEADERS,0),MATCH(($A1094),CLASSNAMEHEADERS,0))="Alchemy","Alchemy","Spells")))))}</f>
        <v>SPELL/ALCHEMY</v>
      </c>
      <c r="E1093" s="222" t="str">
        <f t="array" ref="E1093:E1094">{"SPELLLIST";(IF(D1094="Spells",((INDEX(ALLCLASSDATA,MATCH("CasterType",CLASSFEATUREHEADERS,0),MATCH(($A1094),CLASSNAMEHEADERS,0))) &amp; ":" &amp; (INDEX(ALLCLASSDATA,MATCH("SpellList",CLASSFEATUREHEADERS,0),MATCH(($A1094),CLASSNAMEHEADERS,0)))),""))}</f>
        <v>SPELLLIST</v>
      </c>
      <c r="F1093" s="223" t="str">
        <f t="array" ref="F1093:F1094">{"TOTALLEARNED";(IF(D1094="","","TotalLearned:"))}</f>
        <v>TOTALLEARNED</v>
      </c>
      <c r="G1093" s="223" t="str">
        <f t="array" ref="G1093:G1094">{"TOTALCANTRIPSLEARNED";(G1090)}</f>
        <v>TOTALCANTRIPSLEARNED</v>
      </c>
      <c r="H1093" s="223" t="str">
        <f t="array" ref="H1093:H1094">{"TOTALLEARNED L01";(H1090)}</f>
        <v>TOTALLEARNED L01</v>
      </c>
      <c r="I1093" s="223" t="str">
        <f t="array" ref="I1093:I1094">{"TOTALLEARNED L02";(H1094+I1090)}</f>
        <v>TOTALLEARNED L02</v>
      </c>
      <c r="J1093" s="223" t="str">
        <f t="array" ref="J1093:J1094">{"TOTALLEARNED L03";(I1094+J1090)}</f>
        <v>TOTALLEARNED L03</v>
      </c>
      <c r="K1093" s="223" t="str">
        <f t="array" ref="K1093:K1094">{"TOTALLEARNED L04";(J1094+K1090)}</f>
        <v>TOTALLEARNED L04</v>
      </c>
      <c r="L1093" s="223" t="str">
        <f t="array" ref="L1093:L1094">{"TOTALLEARNED L05";(K1094+L1090)}</f>
        <v>TOTALLEARNED L05</v>
      </c>
      <c r="M1093" s="223" t="str">
        <f t="array" ref="M1093:M1094">{"TOTALLEARNED L06";(L1094+M1090)}</f>
        <v>TOTALLEARNED L06</v>
      </c>
      <c r="N1093" s="223" t="str">
        <f t="array" ref="N1093:N1094">{"TOTALLEARNED L07";(M1094+N1090)}</f>
        <v>TOTALLEARNED L07</v>
      </c>
      <c r="O1093" s="223" t="str">
        <f t="array" ref="O1093:O1094">{"TOTALLEARNED L08";(N1094+O1090)}</f>
        <v>TOTALLEARNED L08</v>
      </c>
      <c r="P1093" s="223" t="str">
        <f t="array" ref="P1093:P1094">{"TOTALLEARNED L09";(O1094+P1090)}</f>
        <v>TOTALLEARNED L09</v>
      </c>
      <c r="Q1093" s="223" t="str">
        <f t="array" ref="Q1093:Q1094">{"TOTALLEARNED L10";(P1094+Q1090)}</f>
        <v>TOTALLEARNED L10</v>
      </c>
      <c r="R1093" s="223" t="str">
        <f t="array" ref="R1093:R1094">{"TOTALLEARNED L11";(Q1094+R1090)}</f>
        <v>TOTALLEARNED L11</v>
      </c>
      <c r="S1093" s="223" t="str">
        <f t="array" ref="S1093:S1094">{"TOTALLEARNED L12";(R1094+S1090)}</f>
        <v>TOTALLEARNED L12</v>
      </c>
      <c r="T1093" s="223" t="str">
        <f t="array" ref="T1093:T1094">{"TOTALLEARNED L13";(S1094+T1090)}</f>
        <v>TOTALLEARNED L13</v>
      </c>
      <c r="U1093" s="223" t="str">
        <f t="array" ref="U1093:U1094">{"TOTALLEARNED L14";(T1094+U1090)}</f>
        <v>TOTALLEARNED L14</v>
      </c>
      <c r="V1093" s="223" t="str">
        <f t="array" ref="V1093:V1094">{"TOTALLEARNED L15";(U1094+V1090)}</f>
        <v>TOTALLEARNED L15</v>
      </c>
      <c r="W1093" s="223" t="str">
        <f t="array" ref="W1093:W1094">{"TOTALLEARNED L16";(V1094+W1090)}</f>
        <v>TOTALLEARNED L16</v>
      </c>
      <c r="X1093" s="223" t="str">
        <f t="array" ref="X1093:X1094">{"TOTALLEARNED L17";(W1094+X1090)}</f>
        <v>TOTALLEARNED L17</v>
      </c>
      <c r="Y1093" s="223" t="str">
        <f t="array" ref="Y1093:Y1094">{"TOTALLEARNED L18";(X1094+Y1090)}</f>
        <v>TOTALLEARNED L18</v>
      </c>
      <c r="Z1093" s="223" t="str">
        <f t="array" ref="Z1093:Z1094">{"TOTALLEARNED L19";(Y1094+Z1090)}</f>
        <v>TOTALLEARNED L19</v>
      </c>
      <c r="AA1093" s="223" t="str">
        <f t="array" ref="AA1093:AA1094">{"TOTALLEARNED L20";(Z1094+AA1090)}</f>
        <v>TOTALLEARNED L20</v>
      </c>
      <c r="AB1093" s="76"/>
      <c r="AC1093" s="76"/>
    </row>
    <row r="1094">
      <c r="A1094" s="97" t="s">
        <v>189</v>
      </c>
      <c r="B1094" s="97"/>
      <c r="C1094" s="97" t="s">
        <v>412</v>
      </c>
      <c r="D1094" s="97" t="s">
        <v>483</v>
      </c>
      <c r="E1094" s="97" t="s">
        <v>603</v>
      </c>
      <c r="F1094" s="281" t="s">
        <v>1911</v>
      </c>
      <c r="G1094" s="282"/>
      <c r="H1094" s="278" t="s">
        <v>1532</v>
      </c>
      <c r="I1094" s="278">
        <v>10.0</v>
      </c>
      <c r="J1094" s="278">
        <v>12.0</v>
      </c>
      <c r="K1094" s="278">
        <v>14.0</v>
      </c>
      <c r="L1094" s="278">
        <v>16.0</v>
      </c>
      <c r="M1094" s="278">
        <v>18.0</v>
      </c>
      <c r="N1094" s="278">
        <v>22.0</v>
      </c>
      <c r="O1094" s="278">
        <v>24.0</v>
      </c>
      <c r="P1094" s="278">
        <v>26.0</v>
      </c>
      <c r="Q1094" s="278">
        <v>28.0</v>
      </c>
      <c r="R1094" s="278">
        <v>32.0</v>
      </c>
      <c r="S1094" s="278">
        <v>34.0</v>
      </c>
      <c r="T1094" s="278">
        <v>36.0</v>
      </c>
      <c r="U1094" s="278">
        <v>38.0</v>
      </c>
      <c r="V1094" s="278">
        <v>40.0</v>
      </c>
      <c r="W1094" s="278">
        <v>42.0</v>
      </c>
      <c r="X1094" s="278">
        <v>46.0</v>
      </c>
      <c r="Y1094" s="278">
        <v>48.0</v>
      </c>
      <c r="Z1094" s="278">
        <v>50.0</v>
      </c>
      <c r="AA1094" s="278">
        <v>52.0</v>
      </c>
      <c r="AB1094" s="5"/>
      <c r="AC1094" s="47"/>
    </row>
    <row r="1095">
      <c r="A1095" s="55">
        <f>VLOOKUP($C1095, CLASSNUMBERFINDER, 2, false)</f>
        <v>13</v>
      </c>
      <c r="B1095" s="58"/>
      <c r="C1095" s="70" t="s">
        <v>195</v>
      </c>
      <c r="D1095" s="71"/>
      <c r="E1095" s="71"/>
      <c r="F1095" s="71"/>
      <c r="G1095" s="72"/>
      <c r="H1095" s="71"/>
      <c r="I1095" s="71"/>
      <c r="J1095" s="71"/>
      <c r="K1095" s="71"/>
      <c r="L1095" s="71"/>
      <c r="M1095" s="71"/>
      <c r="N1095" s="71"/>
      <c r="O1095" s="71"/>
      <c r="P1095" s="71"/>
      <c r="Q1095" s="71"/>
      <c r="R1095" s="71"/>
      <c r="S1095" s="71"/>
      <c r="T1095" s="71"/>
      <c r="U1095" s="71"/>
      <c r="V1095" s="71"/>
      <c r="W1095" s="71"/>
      <c r="X1095" s="71"/>
      <c r="Y1095" s="71"/>
      <c r="Z1095" s="71"/>
      <c r="AA1095" s="71"/>
      <c r="AB1095" s="71"/>
      <c r="AC1095" s="73"/>
    </row>
    <row r="1096" hidden="1">
      <c r="A1096" s="76" t="str">
        <f t="array" ref="A1096:A1097">{"FormulaRow01";(INDEX(CLASSLIST,A1095,1))}</f>
        <v>FormulaRow01</v>
      </c>
      <c r="B1096" s="77" t="s">
        <v>236</v>
      </c>
      <c r="C1096" s="76" t="str">
        <f t="array" ref="C1096:C1097">{"CLASSTYPE";(INDEX(ALLCLASSDATA,MATCH("ClassType",CLASSFEATUREHEADERS,0),MATCH($A1097,CLASSNAMEHEADERS,0)))}</f>
        <v>CLASSTYPE</v>
      </c>
      <c r="D1096" s="81" t="str">
        <f t="array" ref="D1096:D1097">{"TOTAL";("Total: " &amp; H1097+J1097+L1097+N1097+P1097+R1097+T1097+V1097+X1097+Z1097)}</f>
        <v>TOTAL</v>
      </c>
      <c r="E1096" s="81" t="str">
        <f t="array" ref="E1096:E1097">{"BALANCE";(IF((H1097+J1097+L1097+N1097+P1097+R1097+T1097+V1097+X1097+Z1097)=2100,"(balanced)",(IF((H1097+J1097+L1097+N1097+P1097+R1097+T1097+V1097+X1097+Z1097)&gt;2100,"OVERBUDGET: ","UNDERBUDGET: ")) &amp; (H1097+J1097+L1097+N1097+P1097+R1097+T1097+V1097+X1097+Z1097-2100)))}</f>
        <v>BALANCE</v>
      </c>
      <c r="F1096" s="81"/>
      <c r="G1096" s="81"/>
      <c r="H1096" s="81" t="str">
        <f t="array" ref="H1096:H1097">{"SUM LVL0/1/2";((SUMIF(F1098:I1177,"&lt;&gt;#REF!")+(SUMIF(J1098:AA1105,"&lt;&gt;#REF!"))))}</f>
        <v>SUM LVL0/1/2</v>
      </c>
      <c r="I1096" s="81"/>
      <c r="J1096" s="81" t="str">
        <f t="array" ref="J1096:J1097">{"SUM LVL3/4";(SUMIF(J1106:K1177,"&lt;&gt;#REF!"))}</f>
        <v>SUM LVL3/4</v>
      </c>
      <c r="K1096" s="81"/>
      <c r="L1096" s="81" t="str">
        <f t="array" ref="L1096:L1097">{"SUM LVL5/6";(SUMIF(L1106:M1177,"&lt;&gt;#REF!"))}</f>
        <v>SUM LVL5/6</v>
      </c>
      <c r="M1096" s="81"/>
      <c r="N1096" s="81" t="str">
        <f t="array" ref="N1096:N1097">{"SUM LVL7/8";(SUMIF(N1106:O1177,"&lt;&gt;#REF!"))}</f>
        <v>SUM LVL7/8</v>
      </c>
      <c r="O1096" s="81"/>
      <c r="P1096" s="81" t="str">
        <f t="array" ref="P1096:P1097">{"SUM LVL9/10";(SUMIF(P1106:Q1177,"&lt;&gt;#REF!"))}</f>
        <v>SUM LVL9/10</v>
      </c>
      <c r="Q1096" s="81"/>
      <c r="R1096" s="81" t="str">
        <f t="array" ref="R1096:R1097">{"SUM LVL11/12";(SUMIF(R1106:S1177,"&lt;&gt;#REF!"))}</f>
        <v>SUM LVL11/12</v>
      </c>
      <c r="S1096" s="81"/>
      <c r="T1096" s="81" t="str">
        <f t="array" ref="T1096:T1097">{"SUM LVL13/14";(SUMIF(T1106:U1177,"&lt;&gt;#REF!"))}</f>
        <v>SUM LVL13/14</v>
      </c>
      <c r="U1096" s="81"/>
      <c r="V1096" s="81" t="str">
        <f t="array" ref="V1096:V1097">{"SUM LVL15/16";(SUMIF(V1106:W1177,"&lt;&gt;#REF!"))}</f>
        <v>SUM LVL15/16</v>
      </c>
      <c r="W1096" s="81"/>
      <c r="X1096" s="81" t="str">
        <f t="array" ref="X1096:X1097">{"SUM LVL17/18";(SUMIF(X1106:Y1177,"&lt;&gt;#REF!"))}</f>
        <v>SUM LVL17/18</v>
      </c>
      <c r="Y1096" s="81"/>
      <c r="Z1096" s="81" t="str">
        <f t="array" ref="Z1096:Z1097">{"SUM LVL19/20";(SUMIF(Z1106:AA1177,"&lt;&gt;#REF!"))}</f>
        <v>SUM LVL19/20</v>
      </c>
      <c r="AA1096" s="81"/>
      <c r="AB1096" s="76"/>
      <c r="AC1096" s="76" t="str">
        <f t="array" ref="AC1096:AC1097">{"SUM ROWTOTALS";(SUMIF(AC1099:AC1185,"&lt;&gt;#REF!"))}</f>
        <v>SUM ROWTOTALS</v>
      </c>
    </row>
    <row r="1097">
      <c r="A1097" s="48" t="s">
        <v>195</v>
      </c>
      <c r="B1097" s="48"/>
      <c r="C1097" s="48" t="s">
        <v>417</v>
      </c>
      <c r="D1097" s="91" t="s">
        <v>416</v>
      </c>
      <c r="E1097" s="92" t="s">
        <v>419</v>
      </c>
      <c r="F1097" s="91"/>
      <c r="G1097" s="93"/>
      <c r="H1097" s="92">
        <v>510.0</v>
      </c>
      <c r="I1097" s="92"/>
      <c r="J1097" s="92">
        <v>120.0</v>
      </c>
      <c r="K1097" s="92"/>
      <c r="L1097" s="92">
        <v>50.0</v>
      </c>
      <c r="M1097" s="92"/>
      <c r="N1097" s="92">
        <v>140.0</v>
      </c>
      <c r="O1097" s="92"/>
      <c r="P1097" s="92">
        <v>100.0</v>
      </c>
      <c r="Q1097" s="92"/>
      <c r="R1097" s="92">
        <v>210.0</v>
      </c>
      <c r="S1097" s="92"/>
      <c r="T1097" s="92">
        <v>230.0</v>
      </c>
      <c r="U1097" s="92"/>
      <c r="V1097" s="92">
        <v>260.0</v>
      </c>
      <c r="W1097" s="92"/>
      <c r="X1097" s="92">
        <v>280.0</v>
      </c>
      <c r="Y1097" s="92"/>
      <c r="Z1097" s="92">
        <v>200.0</v>
      </c>
      <c r="AA1097" s="92"/>
      <c r="AB1097" s="5"/>
      <c r="AC1097" s="47">
        <v>2100.0</v>
      </c>
    </row>
    <row r="1098" hidden="1">
      <c r="A1098" s="76" t="str">
        <f t="array" ref="A1098:A1099">{"FormulaRow02";(INDEX(CLASSLIST,A1095,1))}</f>
        <v>FormulaRow02</v>
      </c>
      <c r="B1098" s="77" t="s">
        <v>236</v>
      </c>
      <c r="C1098" s="76" t="str">
        <f t="array" ref="C1098:C1099">{"CLASSTYPE";((INDEX(ALLCLASSDATA,MATCH("ClassType",CLASSFEATUREHEADERS,0),MATCH($A1099,CLASSNAMEHEADERS,0))))}</f>
        <v>CLASSTYPE</v>
      </c>
      <c r="D1098" s="81" t="str">
        <f t="array" ref="D1098:D1099">{"FEATURES";"Features"}</f>
        <v>FEATURES</v>
      </c>
      <c r="E1098" s="81" t="str">
        <f t="array" ref="E1098:E1099">{"INITIALFEATURES";"Initial Features"}</f>
        <v>INITIALFEATURES</v>
      </c>
      <c r="F1098" s="81" t="str">
        <f t="array" ref="F1098:F1099">{"KEY";"Key"}</f>
        <v>KEY</v>
      </c>
      <c r="G1098" s="81" t="str">
        <f t="array" ref="G1098:G1099">{"HP";"HP"}</f>
        <v>HP</v>
      </c>
      <c r="H1098" s="81" t="str">
        <f t="array" ref="H1098:H1099">{"CLASSFEATL01";"ClassFeatL01"}</f>
        <v>CLASSFEATL01</v>
      </c>
      <c r="I1098" s="81" t="str">
        <f t="array" ref="I1098:I1099">{"SHIELDBLOCKL01";"ShieldBlockL01"}</f>
        <v>SHIELDBLOCKL01</v>
      </c>
      <c r="J1098" s="81" t="str">
        <f t="array" ref="J1098:J1099">{"INITIALSKILLS";"InitialSkills"}</f>
        <v>INITIALSKILLS</v>
      </c>
      <c r="K1098" s="81" t="str">
        <f t="array" ref="K1098:K1099">{"SUBCLASSSKILLS";"SubclassSkills"}</f>
        <v>SUBCLASSSKILLS</v>
      </c>
      <c r="L1098" s="81" t="str">
        <f t="array" ref="L1098:L1099">{"GRANTEDSKILLS";"GrantedSkills"}</f>
        <v>GRANTEDSKILLS</v>
      </c>
      <c r="M1098" s="81"/>
      <c r="N1098" s="81"/>
      <c r="O1098" s="81"/>
      <c r="P1098" s="81" t="str">
        <f t="array" ref="P1098:P1099">{"FOCUSSPELLS";"FocusSpells:"}</f>
        <v>FOCUSSPELLS</v>
      </c>
      <c r="Q1098" s="81" t="str">
        <f t="array" ref="Q1098:Q1099">{"FOCUSSPELL1-L00";((INDEX(ALLCLASSDATA,MATCH("FocusSpell1-L00",CLASSFEATUREHEADERS,0),MATCH(($A1099),CLASSNAMEHEADERS,0))))}</f>
        <v>FOCUSSPELL1-L00</v>
      </c>
      <c r="R1098" s="81" t="str">
        <f t="array" ref="R1098:R1099">{"FOCUSSPELL2-L00";((INDEX(ALLCLASSDATA,MATCH("FocusSpell2-L00",CLASSFEATUREHEADERS,0),MATCH(($A1099),CLASSNAMEHEADERS,0))))}</f>
        <v>FOCUSSPELL2-L00</v>
      </c>
      <c r="S1098" s="81" t="str">
        <f t="array" ref="S1098:S1099">{"FOCUSSPELL3-L00";((INDEX(ALLCLASSDATA,MATCH("FocusSpell3-L00",CLASSFEATUREHEADERS,0),MATCH(($A1099),CLASSNAMEHEADERS,0))))}</f>
        <v>FOCUSSPELL3-L00</v>
      </c>
      <c r="T1098" s="81" t="str">
        <f t="array" ref="T1098:T1099">{"FOCUSSPELL4-L00";((INDEX(ALLCLASSDATA,MATCH("FocusSpell4-L00",CLASSFEATUREHEADERS,0),MATCH(($A1099),CLASSNAMEHEADERS,0))))}</f>
        <v>FOCUSSPELL4-L00</v>
      </c>
      <c r="U1098" s="81" t="str">
        <f t="array" ref="U1098:U1099">{"FOCUSSPELL5-L00";((INDEX(ALLCLASSDATA,MATCH("FocusSpell5-L00",CLASSFEATUREHEADERS,0),MATCH(($A1099),CLASSNAMEHEADERS,0))))}</f>
        <v>FOCUSSPELL5-L00</v>
      </c>
      <c r="V1098" s="81"/>
      <c r="W1098" s="81"/>
      <c r="X1098" s="81"/>
      <c r="Y1098" s="81"/>
      <c r="Z1098" s="81"/>
      <c r="AA1098" s="81"/>
      <c r="AB1098" s="76"/>
      <c r="AC1098" s="76"/>
    </row>
    <row r="1099">
      <c r="A1099" s="48" t="s">
        <v>195</v>
      </c>
      <c r="B1099" s="48"/>
      <c r="C1099" s="48" t="s">
        <v>417</v>
      </c>
      <c r="D1099" s="48" t="s">
        <v>467</v>
      </c>
      <c r="E1099" s="48" t="s">
        <v>468</v>
      </c>
      <c r="F1099" s="48" t="s">
        <v>469</v>
      </c>
      <c r="G1099" s="114" t="s">
        <v>15</v>
      </c>
      <c r="H1099" s="8" t="s">
        <v>451</v>
      </c>
      <c r="I1099" s="8" t="s">
        <v>463</v>
      </c>
      <c r="J1099" s="8" t="s">
        <v>473</v>
      </c>
      <c r="K1099" s="8" t="s">
        <v>474</v>
      </c>
      <c r="L1099" s="8" t="s">
        <v>475</v>
      </c>
      <c r="M1099" s="8"/>
      <c r="N1099" s="8"/>
      <c r="O1099" s="8"/>
      <c r="P1099" s="8" t="s">
        <v>476</v>
      </c>
      <c r="Q1099" s="116" t="s">
        <v>1596</v>
      </c>
      <c r="R1099" s="116" t="s">
        <v>1606</v>
      </c>
      <c r="S1099" s="116"/>
      <c r="T1099" s="116"/>
      <c r="U1099" s="116"/>
      <c r="V1099" s="8"/>
      <c r="W1099" s="8"/>
      <c r="X1099" s="8"/>
      <c r="Y1099" s="8"/>
      <c r="Z1099" s="5"/>
      <c r="AA1099" s="5"/>
      <c r="AB1099" s="5"/>
      <c r="AC1099" s="47"/>
    </row>
    <row r="1100" hidden="1">
      <c r="A1100" s="76" t="str">
        <f t="array" ref="A1100:A1101">{"FormulaRow03";(INDEX(CLASSLIST,A1095,1))}</f>
        <v>FormulaRow03</v>
      </c>
      <c r="B1100" s="77" t="s">
        <v>236</v>
      </c>
      <c r="C1100" s="76" t="str">
        <f t="array" ref="C1100:C1101">{"CLASSTYPE";((INDEX(ALLCLASSDATA,MATCH("ClassType",CLASSFEATUREHEADERS,0),MATCH($A1101,CLASSNAMEHEADERS,0))))}</f>
        <v>CLASSTYPE</v>
      </c>
      <c r="D1100" s="76" t="str">
        <f t="array" ref="D1100:D1101">{"FEATUREPTS";"FeaturesPts"}</f>
        <v>FEATUREPTS</v>
      </c>
      <c r="E1100" s="76" t="str">
        <f t="array" ref="E1100:E1101">{"INITIALFEATURES";"Initial Features"}</f>
        <v>INITIALFEATURES</v>
      </c>
      <c r="F1100" s="76" t="str">
        <f t="array" ref="F1100:F1101">{"KEYABILITY";((INDEX(ALLCLASSDATA,MATCH("KEYABILITY",CLASSFEATUREHEADERS,0),MATCH($A1101,CLASSNAMEHEADERS,0))))}</f>
        <v>KEYABILITY</v>
      </c>
      <c r="G1100" s="76" t="str">
        <f t="array" ref="G1100:G1101">{"HP";((INDEX(ALLCLASSDATA,MATCH("HP",CLASSFEATUREHEADERS,0),MATCH(($A1101 &amp; "Points"),CLASSNAMEHEADERS,0))))}</f>
        <v>HP</v>
      </c>
      <c r="H1100" s="76" t="str">
        <f t="array" ref="H1100:H1101">{"CLASSFEATL01";((INDEX(ALLCLASSDATA,MATCH("ClassFeatL01",CLASSFEATUREHEADERS,0),MATCH(($A1101 &amp; "Points"),CLASSNAMEHEADERS,0))))}</f>
        <v>CLASSFEATL01</v>
      </c>
      <c r="I1100" s="76" t="str">
        <f t="array" ref="I1100:I1101">{"SHIELDBLOCKL01";((INDEX(ALLCLASSDATA,MATCH("ShieldBlockL01",CLASSFEATUREHEADERS,0),MATCH(($A1101 &amp; "Points"),CLASSNAMEHEADERS,0))))}</f>
        <v>SHIELDBLOCKL01</v>
      </c>
      <c r="J1100" s="76" t="str">
        <f t="array" ref="J1100:J1101">{"INITIALSKILLINCREASES";((INDEX(ALLCLASSDATA,MATCH("InitialSkillIncreases",CLASSFEATUREHEADERS,0),MATCH(($A1101 &amp; "Points"),CLASSNAMEHEADERS,0))))}</f>
        <v>INITIALSKILLINCREASES</v>
      </c>
      <c r="K1100" s="76" t="str">
        <f t="array" ref="K1100:K1101">{"SUBCLASSSKILLINCREASES";((INDEX(ALLCLASSDATA,MATCH("SubclassSkillIncreases",CLASSFEATUREHEADERS,0),MATCH(($A1101 &amp; "Points"),CLASSNAMEHEADERS,0))))}</f>
        <v>SUBCLASSSKILLINCREASES</v>
      </c>
      <c r="L1100" s="76" t="str">
        <f t="array" ref="L1100:L1101">{"GRANTEDSKILLS";(((INDEX(ALLCLASSDATA,MATCH("SkillsGrantedTotal",CLASSFEATUREHEADERS,0),MATCH(($A1101 &amp; "Points"),CLASSNAMEHEADERS,0)))-(INDEX(ALLCLASSDATA,MATCH("InitialSkillIncreases",CLASSFEATUREHEADERS,0),MATCH(($A1101 &amp; "Points"),CLASSNAMEHEADERS,0)))-(INDEX(ALLCLASSDATA,MATCH("SubclassSkillIncreases",CLASSFEATUREHEADERS,0),MATCH(($A1101 &amp; "Points"),CLASSNAMEHEADERS,0)))))}</f>
        <v>GRANTEDSKILLS</v>
      </c>
      <c r="M1100" s="76"/>
      <c r="N1100" s="76"/>
      <c r="O1100" s="76"/>
      <c r="P1100" s="76"/>
      <c r="Q1100" s="76" t="str">
        <f t="array" ref="Q1100:Q1101">{"FOCUSSPELL1-L00";((INDEX(ALLCLASSDATA,MATCH("FocusSpell1-L00",CLASSFEATUREHEADERS,0),MATCH(($A1101 &amp; "Points"),CLASSNAMEHEADERS,0))))}</f>
        <v>FOCUSSPELL1-L00</v>
      </c>
      <c r="R1100" s="76" t="str">
        <f t="array" ref="R1100:R1101">{"FOCUSSPELL2-L00";((INDEX(ALLCLASSDATA,MATCH("FocusSpell2-L00",CLASSFEATUREHEADERS,0),MATCH(($A1101 &amp; "Points"),CLASSNAMEHEADERS,0))))}</f>
        <v>FOCUSSPELL2-L00</v>
      </c>
      <c r="S1100" s="76" t="str">
        <f t="array" ref="S1100:S1101">{"FOCUSSPELL3-L00";((INDEX(ALLCLASSDATA,MATCH("FocusSpell3-L00",CLASSFEATUREHEADERS,0),MATCH(($A1101 &amp; "Points"),CLASSNAMEHEADERS,0))))}</f>
        <v>FOCUSSPELL3-L00</v>
      </c>
      <c r="T1100" s="76" t="str">
        <f t="array" ref="T1100:T1101">{"FOCUSSPELL4-L00";((INDEX(ALLCLASSDATA,MATCH("FocusSpell4-L00",CLASSFEATUREHEADERS,0),MATCH(($A1101 &amp; "Points"),CLASSNAMEHEADERS,0))))}</f>
        <v>FOCUSSPELL4-L00</v>
      </c>
      <c r="U1100" s="76" t="str">
        <f t="array" ref="U1100:U1101">{"FOCUSSPELL5-L00";((INDEX(ALLCLASSDATA,MATCH("FocusSpell5-L00",CLASSFEATUREHEADERS,0),MATCH(($A1101 &amp; "Points"),CLASSNAMEHEADERS,0))))}</f>
        <v>FOCUSSPELL5-L00</v>
      </c>
      <c r="V1100" s="76"/>
      <c r="W1100" s="76"/>
      <c r="X1100" s="76"/>
      <c r="Y1100" s="76"/>
      <c r="Z1100" s="76"/>
      <c r="AA1100" s="76"/>
      <c r="AB1100" s="76"/>
      <c r="AC1100" s="76" t="str">
        <f t="array" ref="AC1100:AC1101">{"FEATUREPTS TOTAL";(sum(G1101:AA1101))}</f>
        <v>FEATUREPTS TOTAL</v>
      </c>
    </row>
    <row r="1101">
      <c r="A1101" s="48" t="s">
        <v>195</v>
      </c>
      <c r="B1101" s="48"/>
      <c r="C1101" s="48" t="s">
        <v>417</v>
      </c>
      <c r="D1101" s="97" t="s">
        <v>559</v>
      </c>
      <c r="E1101" s="97" t="s">
        <v>468</v>
      </c>
      <c r="F1101" s="97" t="s">
        <v>264</v>
      </c>
      <c r="G1101" s="132">
        <v>100.0</v>
      </c>
      <c r="H1101" s="98" t="s">
        <v>603</v>
      </c>
      <c r="I1101" s="98" t="s">
        <v>603</v>
      </c>
      <c r="J1101" s="98">
        <v>15.0</v>
      </c>
      <c r="K1101" s="98">
        <v>10.0</v>
      </c>
      <c r="L1101" s="98">
        <v>0.0</v>
      </c>
      <c r="M1101" s="98"/>
      <c r="N1101" s="98"/>
      <c r="O1101" s="98"/>
      <c r="P1101" s="98"/>
      <c r="Q1101" s="98">
        <v>10.0</v>
      </c>
      <c r="R1101" s="98">
        <v>5.0</v>
      </c>
      <c r="S1101" s="98"/>
      <c r="T1101" s="98"/>
      <c r="U1101" s="98"/>
      <c r="V1101" s="98"/>
      <c r="W1101" s="98"/>
      <c r="X1101" s="98"/>
      <c r="Y1101" s="98"/>
      <c r="Z1101" s="98"/>
      <c r="AA1101" s="98"/>
      <c r="AB1101" s="5"/>
      <c r="AC1101" s="47">
        <v>140.0</v>
      </c>
    </row>
    <row r="1102" hidden="1">
      <c r="A1102" s="76" t="str">
        <f t="array" ref="A1102:A1103">{"FormulaRow04";(INDEX(CLASSLIST,A1095,1))}</f>
        <v>FormulaRow04</v>
      </c>
      <c r="B1102" s="77" t="s">
        <v>236</v>
      </c>
      <c r="C1102" s="76" t="str">
        <f t="array" ref="C1102:C1103">{"CLASSTYPE";((INDEX(ALLCLASSDATA,MATCH("ClassType",CLASSFEATUREHEADERS,0),MATCH($A1103,CLASSNAMEHEADERS,0))))}</f>
        <v>CLASSTYPE</v>
      </c>
      <c r="D1102" s="81" t="str">
        <f t="array" ref="D1102:D1103">{"INITIALFEATURES";"InitialFeatures"}</f>
        <v>INITIALFEATURES</v>
      </c>
      <c r="E1102" s="81" t="str">
        <f t="array" ref="E1102:E1103">{"CLASS/SUBCLASSFEATURES";"Class/Subclass Features"}</f>
        <v>CLASS/SUBCLASSFEATURES</v>
      </c>
      <c r="F1102" s="81"/>
      <c r="G1102" s="136"/>
      <c r="H1102" s="81" t="str">
        <f t="array" ref="H1102:H1103">{"CLASSINITIALABILITY1-L00";((INDEX(ALLCLASSDATA,MATCH("ClassInitialAbility1-L00",CLASSFEATUREHEADERS,0),MATCH(($A1103),CLASSNAMEHEADERS,0))))}</f>
        <v>CLASSINITIALABILITY1-L00</v>
      </c>
      <c r="I1102" s="81" t="str">
        <f t="array" ref="I1102:I1103">{"CLASSINITIALABILITY2-L00";((INDEX(ALLCLASSDATA,MATCH("ClassInitialAbility2-L00",CLASSFEATUREHEADERS,0),MATCH(($A1103),CLASSNAMEHEADERS,0))))}</f>
        <v>CLASSINITIALABILITY2-L00</v>
      </c>
      <c r="J1102" s="81" t="str">
        <f t="array" ref="J1102:J1103">{"CLASSINITIALABILITY3-L00";((INDEX(ALLCLASSDATA,MATCH("ClassInitialAbility3-L00",CLASSFEATUREHEADERS,0),MATCH(($A1103),CLASSNAMEHEADERS,0))))}</f>
        <v>CLASSINITIALABILITY3-L00</v>
      </c>
      <c r="K1102" s="81" t="str">
        <f t="array" ref="K1102:K1103">{"CLASSINITIALABILITY4-L00";((INDEX(ALLCLASSDATA,MATCH("ClassInitialAbility4-L00",CLASSFEATUREHEADERS,0),MATCH(($A1103),CLASSNAMEHEADERS,0))))}</f>
        <v>CLASSINITIALABILITY4-L00</v>
      </c>
      <c r="L1102" s="81" t="str">
        <f t="array" ref="L1102:L1103">{"CLASSINITIALABILITY5-L00";((INDEX(ALLCLASSDATA,MATCH("ClassInitialAbility5-L00",CLASSFEATUREHEADERS,0),MATCH(($A1103),CLASSNAMEHEADERS,0))))}</f>
        <v>CLASSINITIALABILITY5-L00</v>
      </c>
      <c r="M1102" s="81" t="str">
        <f t="array" ref="M1102:M1103">{"CLASSINITIALABILITY6-L00";((INDEX(ALLCLASSDATA,MATCH("ClassInitialAbility6-L00",CLASSFEATUREHEADERS,0),MATCH(($A1103),CLASSNAMEHEADERS,0))))}</f>
        <v>CLASSINITIALABILITY6-L00</v>
      </c>
      <c r="N1102" s="81" t="str">
        <f t="array" ref="N1102:N1103">{"CLASSINITIALABILITY7-L00";((INDEX(ALLCLASSDATA,MATCH("ClassInitialAbility7-L00",CLASSFEATUREHEADERS,0),MATCH(($A1103),CLASSNAMEHEADERS,0))))}</f>
        <v>CLASSINITIALABILITY7-L00</v>
      </c>
      <c r="O1102" s="81" t="str">
        <f t="array" ref="O1102:O1103">{"CLASSINITIALABILITY8-L00";((INDEX(ALLCLASSDATA,MATCH("ClassInitialAbility8-L00",CLASSFEATUREHEADERS,0),MATCH(($A1103),CLASSNAMEHEADERS,0))))}</f>
        <v>CLASSINITIALABILITY8-L00</v>
      </c>
      <c r="P1102" s="81" t="str">
        <f t="array" ref="P1102:P1103">{"CLASSINITIALABILITY9-L00";((INDEX(ALLCLASSDATA,MATCH("ClassInitialAbility9-L00",CLASSFEATUREHEADERS,0),MATCH(($A1103),CLASSNAMEHEADERS,0))))}</f>
        <v>CLASSINITIALABILITY9-L00</v>
      </c>
      <c r="Q1102" s="81" t="str">
        <f t="array" ref="Q1102:Q1103">{"CLASSINITIALABILITY10-L00";((INDEX(ALLCLASSDATA,MATCH("ClassInitialAbility10-L00",CLASSFEATUREHEADERS,0),MATCH(($A1103),CLASSNAMEHEADERS,0))))}</f>
        <v>CLASSINITIALABILITY10-L00</v>
      </c>
      <c r="R1102" s="81" t="str">
        <f t="array" ref="R1102:R1103">{"SUBCLASSINITIAL1-L00";((INDEX(ALLCLASSDATA,MATCH("SubclassInitial1-L00",CLASSFEATUREHEADERS,0),MATCH(($A1103),CLASSNAMEHEADERS,0))))}</f>
        <v>SUBCLASSINITIAL1-L00</v>
      </c>
      <c r="S1102" s="81" t="str">
        <f t="array" ref="S1102:S1103">{"SUBCLASSINITIAL2-L00";((INDEX(ALLCLASSDATA,MATCH("SubclassInitial2-L00",CLASSFEATUREHEADERS,0),MATCH(($A1103),CLASSNAMEHEADERS,0))))}</f>
        <v>SUBCLASSINITIAL2-L00</v>
      </c>
      <c r="T1102" s="81" t="str">
        <f t="array" ref="T1102:T1103">{"SUBCLASSINITIAL3-L00";((INDEX(ALLCLASSDATA,MATCH("SubclassInitial3-L00",CLASSFEATUREHEADERS,0),MATCH(($A1103),CLASSNAMEHEADERS,0))))}</f>
        <v>SUBCLASSINITIAL3-L00</v>
      </c>
      <c r="U1102" s="81" t="str">
        <f t="array" ref="U1102:U1103">{"SUBCLASSINITIAL4-L00";((INDEX(ALLCLASSDATA,MATCH("SubclassInitial4-L00",CLASSFEATUREHEADERS,0),MATCH(($A1103),CLASSNAMEHEADERS,0))))}</f>
        <v>SUBCLASSINITIAL4-L00</v>
      </c>
      <c r="V1102" s="81" t="str">
        <f t="array" ref="V1102:V1103">{"SUBCLASSINITIAL5-L00";((INDEX(ALLCLASSDATA,MATCH("SubclassInitial5-L00",CLASSFEATUREHEADERS,0),MATCH(($A1103),CLASSNAMEHEADERS,0))))}</f>
        <v>SUBCLASSINITIAL5-L00</v>
      </c>
      <c r="W1102" s="81" t="str">
        <f t="array" ref="W1102:W1103">{"SUBCLASSINITIAL6-L00";((INDEX(ALLCLASSDATA,MATCH("SubclassInitial6-L00",CLASSFEATUREHEADERS,0),MATCH(($A1103),CLASSNAMEHEADERS,0))))}</f>
        <v>SUBCLASSINITIAL6-L00</v>
      </c>
      <c r="X1102" s="81" t="str">
        <f t="array" ref="X1102:X1103">{"SUBCLASSINITIAL7-L00";((INDEX(ALLCLASSDATA,MATCH("SubclassInitial7-L00",CLASSFEATUREHEADERS,0),MATCH(($A1103),CLASSNAMEHEADERS,0))))}</f>
        <v>SUBCLASSINITIAL7-L00</v>
      </c>
      <c r="Y1102" s="81" t="str">
        <f t="array" ref="Y1102:Y1103">{"SUBCLASSINITIAL8-L00";((INDEX(ALLCLASSDATA,MATCH("SubclassInitial8-L00",CLASSFEATUREHEADERS,0),MATCH(($A1103),CLASSNAMEHEADERS,0))))}</f>
        <v>SUBCLASSINITIAL8-L00</v>
      </c>
      <c r="Z1102" s="81" t="str">
        <f t="array" ref="Z1102:Z1103">{"SUBCLASSINITIAL9-L00";((INDEX(ALLCLASSDATA,MATCH("SubclassInitial9-L00",CLASSFEATUREHEADERS,0),MATCH(($A1103),CLASSNAMEHEADERS,0))))}</f>
        <v>SUBCLASSINITIAL9-L00</v>
      </c>
      <c r="AA1102" s="81" t="str">
        <f t="array" ref="AA1102:AA1103">{"SUBCLASSINITIAL10-L00";((INDEX(ALLCLASSDATA,MATCH("SubclassInitial10-L00",CLASSFEATUREHEADERS,0),MATCH(($A1103),CLASSNAMEHEADERS,0))))}</f>
        <v>SUBCLASSINITIAL10-L00</v>
      </c>
      <c r="AB1102" s="76"/>
      <c r="AC1102" s="76"/>
    </row>
    <row r="1103">
      <c r="A1103" s="48" t="s">
        <v>195</v>
      </c>
      <c r="B1103" s="48"/>
      <c r="C1103" s="48" t="s">
        <v>417</v>
      </c>
      <c r="D1103" s="48" t="s">
        <v>614</v>
      </c>
      <c r="E1103" s="48" t="s">
        <v>616</v>
      </c>
      <c r="F1103" s="48"/>
      <c r="G1103" s="47"/>
      <c r="H1103" s="5" t="s">
        <v>1622</v>
      </c>
      <c r="I1103" s="5" t="s">
        <v>1638</v>
      </c>
      <c r="J1103" s="5" t="s">
        <v>1307</v>
      </c>
      <c r="K1103" s="5" t="s">
        <v>1308</v>
      </c>
      <c r="L1103" s="5" t="s">
        <v>1309</v>
      </c>
      <c r="M1103" s="5" t="s">
        <v>1667</v>
      </c>
      <c r="N1103" s="5"/>
      <c r="O1103" s="5"/>
      <c r="P1103" s="5"/>
      <c r="Q1103" s="5"/>
      <c r="R1103" s="5" t="s">
        <v>1819</v>
      </c>
      <c r="S1103" s="5" t="s">
        <v>1833</v>
      </c>
      <c r="T1103" s="5" t="s">
        <v>1839</v>
      </c>
      <c r="U1103" s="5" t="s">
        <v>1842</v>
      </c>
      <c r="V1103" s="5" t="s">
        <v>1844</v>
      </c>
      <c r="W1103" s="5"/>
      <c r="X1103" s="5"/>
      <c r="Y1103" s="5"/>
      <c r="Z1103" s="5"/>
      <c r="AA1103" s="5"/>
      <c r="AB1103" s="5"/>
      <c r="AC1103" s="47"/>
    </row>
    <row r="1104" hidden="1">
      <c r="A1104" s="76" t="str">
        <f t="array" ref="A1104:A1105">{"FormulaRow05";(INDEX(CLASSLIST,A1095,1))}</f>
        <v>FormulaRow05</v>
      </c>
      <c r="B1104" s="77" t="s">
        <v>236</v>
      </c>
      <c r="C1104" s="76" t="str">
        <f t="array" ref="C1104:C1105">{"CLASSTYPE";((INDEX(ALLCLASSDATA,MATCH("ClassType",CLASSFEATUREHEADERS,0),MATCH($A1105,CLASSNAMEHEADERS,0))))}</f>
        <v>CLASSTYPE</v>
      </c>
      <c r="D1104" s="76" t="str">
        <f t="array" ref="D1104:D1105">{"INITIALFEATURESPTS";"InitialFeaturesPts"}</f>
        <v>INITIALFEATURESPTS</v>
      </c>
      <c r="E1104" s="76" t="str">
        <f t="array" ref="E1104:E1105">{"CLASS/SUBCLASSFEATURES";"Class/Subclass Features"}</f>
        <v>CLASS/SUBCLASSFEATURES</v>
      </c>
      <c r="F1104" s="76"/>
      <c r="G1104" s="76"/>
      <c r="H1104" s="76" t="str">
        <f t="array" ref="H1104:H1105">{"CLASSINITIALABILITY1-L00PTS";((INDEX(ALLCLASSDATA,MATCH("ClassInitialAbility1-L00",CLASSFEATUREHEADERS,0),MATCH(($A1105 &amp; "Points"),CLASSNAMEHEADERS,0))))}</f>
        <v>CLASSINITIALABILITY1-L00PTS</v>
      </c>
      <c r="I1104" s="76" t="str">
        <f t="array" ref="I1104:I1105">{"CLASSINITIALABILITY2-L00PTS";((INDEX(ALLCLASSDATA,MATCH("ClassInitialAbility2-L00",CLASSFEATUREHEADERS,0),MATCH(($A1105 &amp; "Points"),CLASSNAMEHEADERS,0))))}</f>
        <v>CLASSINITIALABILITY2-L00PTS</v>
      </c>
      <c r="J1104" s="76" t="str">
        <f t="array" ref="J1104:J1105">{"CLASSINITIALABILITY3-L00PTS";((INDEX(ALLCLASSDATA,MATCH("ClassInitialAbility3-L00",CLASSFEATUREHEADERS,0),MATCH(($A1105 &amp; "Points"),CLASSNAMEHEADERS,0))))}</f>
        <v>CLASSINITIALABILITY3-L00PTS</v>
      </c>
      <c r="K1104" s="76" t="str">
        <f t="array" ref="K1104:K1105">{"CLASSINITIALABILITY4-L00PTS";((INDEX(ALLCLASSDATA,MATCH("ClassInitialAbility4-L00",CLASSFEATUREHEADERS,0),MATCH(($A1105 &amp; "Points"),CLASSNAMEHEADERS,0))))}</f>
        <v>CLASSINITIALABILITY4-L00PTS</v>
      </c>
      <c r="L1104" s="76" t="str">
        <f t="array" ref="L1104:L1105">{"CLASSINITIALABILITY5-L00PTS";((INDEX(ALLCLASSDATA,MATCH("ClassInitialAbility5-L00",CLASSFEATUREHEADERS,0),MATCH(($A1105 &amp; "Points"),CLASSNAMEHEADERS,0))))}</f>
        <v>CLASSINITIALABILITY5-L00PTS</v>
      </c>
      <c r="M1104" s="76" t="str">
        <f t="array" ref="M1104:M1105">{"CLASSINITIALABILITY6-L00PTS";((INDEX(ALLCLASSDATA,MATCH("ClassInitialAbility6-L00",CLASSFEATUREHEADERS,0),MATCH(($A1105 &amp; "Points"),CLASSNAMEHEADERS,0))))}</f>
        <v>CLASSINITIALABILITY6-L00PTS</v>
      </c>
      <c r="N1104" s="76" t="str">
        <f t="array" ref="N1104:N1105">{"CLASSINITIALABILITY7-L00PTS";((INDEX(ALLCLASSDATA,MATCH("ClassInitialAbility7-L00",CLASSFEATUREHEADERS,0),MATCH(($A1105 &amp; "Points"),CLASSNAMEHEADERS,0))))}</f>
        <v>CLASSINITIALABILITY7-L00PTS</v>
      </c>
      <c r="O1104" s="76" t="str">
        <f t="array" ref="O1104:O1105">{"CLASSINITIALABILITY8-L00PTS";((INDEX(ALLCLASSDATA,MATCH("ClassInitialAbility8-L00",CLASSFEATUREHEADERS,0),MATCH(($A1105 &amp; "Points"),CLASSNAMEHEADERS,0))))}</f>
        <v>CLASSINITIALABILITY8-L00PTS</v>
      </c>
      <c r="P1104" s="76" t="str">
        <f t="array" ref="P1104:P1105">{"CLASSINITIALABILITY9-L00PTS";((INDEX(ALLCLASSDATA,MATCH("ClassInitialAbility9-L00",CLASSFEATUREHEADERS,0),MATCH(($A1105 &amp; "Points"),CLASSNAMEHEADERS,0))))}</f>
        <v>CLASSINITIALABILITY9-L00PTS</v>
      </c>
      <c r="Q1104" s="76" t="str">
        <f t="array" ref="Q1104:Q1105">{"CLASSINITIALABILITY10-L00PTS";((INDEX(ALLCLASSDATA,MATCH("ClassInitialAbility10-L00",CLASSFEATUREHEADERS,0),MATCH(($A1105 &amp; "Points"),CLASSNAMEHEADERS,0))))}</f>
        <v>CLASSINITIALABILITY10-L00PTS</v>
      </c>
      <c r="R1104" s="76" t="str">
        <f t="array" ref="R1104:R1105">{"SUBCLASSINITIAL1-L00PTS";((INDEX(ALLCLASSDATA,MATCH("SubclassInitial1-L00",CLASSFEATUREHEADERS,0),MATCH(($A1105 &amp; "Points"),CLASSNAMEHEADERS,0))))}</f>
        <v>SUBCLASSINITIAL1-L00PTS</v>
      </c>
      <c r="S1104" s="76" t="str">
        <f t="array" ref="S1104:S1105">{"SUBCLASSINITIAL2-L00PTS";((INDEX(ALLCLASSDATA,MATCH("SubclassInitial2-L00",CLASSFEATUREHEADERS,0),MATCH(($A1105 &amp; "Points"),CLASSNAMEHEADERS,0))))}</f>
        <v>SUBCLASSINITIAL2-L00PTS</v>
      </c>
      <c r="T1104" s="76" t="str">
        <f t="array" ref="T1104:T1105">{"SUBCLASSINITIAL3-L00PTS";((INDEX(ALLCLASSDATA,MATCH("SubclassInitial3-L00",CLASSFEATUREHEADERS,0),MATCH(($A1105 &amp; "Points"),CLASSNAMEHEADERS,0))))}</f>
        <v>SUBCLASSINITIAL3-L00PTS</v>
      </c>
      <c r="U1104" s="76" t="str">
        <f t="array" ref="U1104:U1105">{"SUBCLASSINITIAL4-L00PTS";((INDEX(ALLCLASSDATA,MATCH("SubclassInitial4-L00",CLASSFEATUREHEADERS,0),MATCH(($A1105 &amp; "Points"),CLASSNAMEHEADERS,0))))}</f>
        <v>SUBCLASSINITIAL4-L00PTS</v>
      </c>
      <c r="V1104" s="76" t="str">
        <f t="array" ref="V1104:V1105">{"SUBCLASSINITIAL5-L00PTS";((INDEX(ALLCLASSDATA,MATCH("SubclassInitial5-L00",CLASSFEATUREHEADERS,0),MATCH(($A1105 &amp; "Points"),CLASSNAMEHEADERS,0))))}</f>
        <v>SUBCLASSINITIAL5-L00PTS</v>
      </c>
      <c r="W1104" s="76" t="str">
        <f t="array" ref="W1104:W1105">{"SUBCLASSINITIAL6-L00PTS";((INDEX(ALLCLASSDATA,MATCH("SubclassInitial6-L00",CLASSFEATUREHEADERS,0),MATCH(($A1105 &amp; "Points"),CLASSNAMEHEADERS,0))))}</f>
        <v>SUBCLASSINITIAL6-L00PTS</v>
      </c>
      <c r="X1104" s="76" t="str">
        <f t="array" ref="X1104:X1105">{"SUBCLASSINITIAL7-L00PTS";((INDEX(ALLCLASSDATA,MATCH("SubclassInitial7-L00",CLASSFEATUREHEADERS,0),MATCH(($A1105 &amp; "Points"),CLASSNAMEHEADERS,0))))}</f>
        <v>SUBCLASSINITIAL7-L00PTS</v>
      </c>
      <c r="Y1104" s="76" t="str">
        <f t="array" ref="Y1104:Y1105">{"SUBCLASSINITIAL8-L00PTS";((INDEX(ALLCLASSDATA,MATCH("SubclassInitial8-L00",CLASSFEATUREHEADERS,0),MATCH(($A1105 &amp; "Points"),CLASSNAMEHEADERS,0))))}</f>
        <v>SUBCLASSINITIAL8-L00PTS</v>
      </c>
      <c r="Z1104" s="76" t="str">
        <f t="array" ref="Z1104:Z1105">{"SUBCLASSINITIAL9-L00PTS";((INDEX(ALLCLASSDATA,MATCH("SubclassInitial9-L00",CLASSFEATUREHEADERS,0),MATCH(($A1105 &amp; "Points"),CLASSNAMEHEADERS,0))))}</f>
        <v>SUBCLASSINITIAL9-L00PTS</v>
      </c>
      <c r="AA1104" s="76" t="str">
        <f t="array" ref="AA1104:AA1105">{"SUBCLASSINITIAL10-L00PTS";((INDEX(ALLCLASSDATA,MATCH("SubclassInitial10-L00",CLASSFEATUREHEADERS,0),MATCH(($A1105 &amp; "Points"),CLASSNAMEHEADERS,0))))}</f>
        <v>SUBCLASSINITIAL10-L00PTS</v>
      </c>
      <c r="AB1104" s="76"/>
      <c r="AC1104" s="76" t="str">
        <f t="array" ref="AC1104:AC1105">{"INITIALFEATUREPTS TOTAL";(sum(G1105:AA1105))}</f>
        <v>INITIALFEATUREPTS TOTAL</v>
      </c>
    </row>
    <row r="1105">
      <c r="A1105" s="48" t="s">
        <v>195</v>
      </c>
      <c r="B1105" s="48"/>
      <c r="C1105" s="48" t="s">
        <v>417</v>
      </c>
      <c r="D1105" s="97" t="s">
        <v>651</v>
      </c>
      <c r="E1105" s="97" t="s">
        <v>616</v>
      </c>
      <c r="F1105" s="97"/>
      <c r="G1105" s="132"/>
      <c r="H1105" s="98">
        <v>10.0</v>
      </c>
      <c r="I1105" s="98"/>
      <c r="J1105" s="97">
        <v>10.0</v>
      </c>
      <c r="K1105" s="98">
        <v>10.0</v>
      </c>
      <c r="L1105" s="97">
        <v>50.0</v>
      </c>
      <c r="M1105" s="98"/>
      <c r="N1105" s="98"/>
      <c r="O1105" s="98"/>
      <c r="P1105" s="98"/>
      <c r="Q1105" s="98"/>
      <c r="R1105" s="98">
        <v>30.0</v>
      </c>
      <c r="S1105" s="98">
        <v>10.0</v>
      </c>
      <c r="T1105" s="98"/>
      <c r="U1105" s="98">
        <v>10.0</v>
      </c>
      <c r="V1105" s="98">
        <v>10.0</v>
      </c>
      <c r="W1105" s="98"/>
      <c r="X1105" s="98"/>
      <c r="Y1105" s="98"/>
      <c r="Z1105" s="98"/>
      <c r="AA1105" s="98"/>
      <c r="AB1105" s="5"/>
      <c r="AC1105" s="47">
        <v>140.0</v>
      </c>
    </row>
    <row r="1106" hidden="1">
      <c r="A1106" s="76" t="str">
        <f t="array" ref="A1106:A1107">{"FormulaRow06";(INDEX(CLASSLIST,A1095,1))}</f>
        <v>FormulaRow06</v>
      </c>
      <c r="B1106" s="77" t="s">
        <v>236</v>
      </c>
      <c r="C1106" s="76" t="str">
        <f t="array" ref="C1106:C1107">{"CLASSTYPE";((INDEX(ALLCLASSDATA,MATCH("ClassType",CLASSFEATUREHEADERS,0),MATCH($A1107,CLASSNAMEHEADERS,0))))}</f>
        <v>CLASSTYPE</v>
      </c>
      <c r="D1106" s="81" t="str">
        <f t="array" ref="D1106:D1107">{"SKILLS";"Skills"}</f>
        <v>SKILLS</v>
      </c>
      <c r="E1106" s="81" t="str">
        <f t="array" ref="E1106:E1107">{"EXTRASKILLINCREASES";"Extra Skill Increases"}</f>
        <v>EXTRASKILLINCREASES</v>
      </c>
      <c r="F1106" s="81"/>
      <c r="G1106" s="81"/>
      <c r="H1106" s="81"/>
      <c r="I1106" s="81" t="str">
        <f t="array" ref="I1106:I1107">{"SKILLINCREASEEXTRA-L02";((INDEX(ALLCLASSDATA,MATCH("SkillIncreaseExtra-L02",CLASSFEATUREHEADERS,0),MATCH(($A1107 &amp; "Points"),CLASSNAMEHEADERS,0))))}</f>
        <v>SKILLINCREASEEXTRA-L02</v>
      </c>
      <c r="J1106" s="81" t="str">
        <f t="array" ref="J1106:J1107">{"SKILLINCREASEEXTRA-L03";((INDEX(ALLCLASSDATA,MATCH("SkillIncreaseExtra-L03",CLASSFEATUREHEADERS,0),MATCH(($A1107 &amp; "Points"),CLASSNAMEHEADERS,0))))}</f>
        <v>SKILLINCREASEEXTRA-L03</v>
      </c>
      <c r="K1106" s="81" t="str">
        <f t="array" ref="K1106:K1107">{"SKILLINCREASEEXTRA-L04";((INDEX(ALLCLASSDATA,MATCH("SkillIncreaseExtra-L04",CLASSFEATUREHEADERS,0),MATCH(($A1107 &amp; "Points"),CLASSNAMEHEADERS,0))))}</f>
        <v>SKILLINCREASEEXTRA-L04</v>
      </c>
      <c r="L1106" s="81" t="str">
        <f t="array" ref="L1106:L1107">{"SKILLINCREASEEXTRA-L05";((INDEX(ALLCLASSDATA,MATCH("SkillIncreaseExtra-L05",CLASSFEATUREHEADERS,0),MATCH(($A1107 &amp; "Points"),CLASSNAMEHEADERS,0))))}</f>
        <v>SKILLINCREASEEXTRA-L05</v>
      </c>
      <c r="M1106" s="81" t="str">
        <f t="array" ref="M1106:M1107">{"SKILLINCREASEEXTRA-L06";((INDEX(ALLCLASSDATA,MATCH("SkillIncreaseExtra-L06",CLASSFEATUREHEADERS,0),MATCH(($A1107 &amp; "Points"),CLASSNAMEHEADERS,0))))}</f>
        <v>SKILLINCREASEEXTRA-L06</v>
      </c>
      <c r="N1106" s="81" t="str">
        <f t="array" ref="N1106:N1107">{"SKILLINCREASEEXTRA-L07";((INDEX(ALLCLASSDATA,MATCH("SkillIncreaseExtra-L07",CLASSFEATUREHEADERS,0),MATCH(($A1107 &amp; "Points"),CLASSNAMEHEADERS,0))))}</f>
        <v>SKILLINCREASEEXTRA-L07</v>
      </c>
      <c r="O1106" s="81" t="str">
        <f t="array" ref="O1106:O1107">{"SKILLINCREASEEXTRA-L08";((INDEX(ALLCLASSDATA,MATCH("SkillIncreaseExtra-L08",CLASSFEATUREHEADERS,0),MATCH(($A1107 &amp; "Points"),CLASSNAMEHEADERS,0))))}</f>
        <v>SKILLINCREASEEXTRA-L08</v>
      </c>
      <c r="P1106" s="81" t="str">
        <f t="array" ref="P1106:P1107">{"SKILLINCREASEEXTRA-L09";((INDEX(ALLCLASSDATA,MATCH("SkillIncreaseExtra-L09",CLASSFEATUREHEADERS,0),MATCH(($A1107 &amp; "Points"),CLASSNAMEHEADERS,0))))}</f>
        <v>SKILLINCREASEEXTRA-L09</v>
      </c>
      <c r="Q1106" s="81" t="str">
        <f t="array" ref="Q1106:Q1107">{"SKILLINCREASEEXTRA-L10";((INDEX(ALLCLASSDATA,MATCH("SkillIncreaseExtra-L10",CLASSFEATUREHEADERS,0),MATCH(($A1107 &amp; "Points"),CLASSNAMEHEADERS,0))))}</f>
        <v>SKILLINCREASEEXTRA-L10</v>
      </c>
      <c r="R1106" s="81" t="str">
        <f t="array" ref="R1106:R1107">{"SKILLINCREASEEXTRA-L11";((INDEX(ALLCLASSDATA,MATCH("SkillIncreaseExtra-L11",CLASSFEATUREHEADERS,0),MATCH(($A1107 &amp; "Points"),CLASSNAMEHEADERS,0))))}</f>
        <v>SKILLINCREASEEXTRA-L11</v>
      </c>
      <c r="S1106" s="81" t="str">
        <f t="array" ref="S1106:S1107">{"SKILLINCREASEEXTRA-L12";((INDEX(ALLCLASSDATA,MATCH("SkillIncreaseExtra-L12",CLASSFEATUREHEADERS,0),MATCH(($A1107 &amp; "Points"),CLASSNAMEHEADERS,0))))}</f>
        <v>SKILLINCREASEEXTRA-L12</v>
      </c>
      <c r="T1106" s="81" t="str">
        <f t="array" ref="T1106:T1107">{"SKILLINCREASEEXTRA-L13";((INDEX(ALLCLASSDATA,MATCH("SkillIncreaseExtra-L13",CLASSFEATUREHEADERS,0),MATCH(($A1107 &amp; "Points"),CLASSNAMEHEADERS,0))))}</f>
        <v>SKILLINCREASEEXTRA-L13</v>
      </c>
      <c r="U1106" s="81" t="str">
        <f t="array" ref="U1106:U1107">{"SKILLINCREASEEXTRA-L14";((INDEX(ALLCLASSDATA,MATCH("SkillIncreaseExtra-L14",CLASSFEATUREHEADERS,0),MATCH(($A1107 &amp; "Points"),CLASSNAMEHEADERS,0))))}</f>
        <v>SKILLINCREASEEXTRA-L14</v>
      </c>
      <c r="V1106" s="81" t="str">
        <f t="array" ref="V1106:V1107">{"SKILLINCREASEEXTRA-L15";((INDEX(ALLCLASSDATA,MATCH("SkillIncreaseExtra-L15",CLASSFEATUREHEADERS,0),MATCH(($A1107 &amp; "Points"),CLASSNAMEHEADERS,0))))}</f>
        <v>SKILLINCREASEEXTRA-L15</v>
      </c>
      <c r="W1106" s="81" t="str">
        <f t="array" ref="W1106:W1107">{"SKILLINCREASEEXTRA-L16";((INDEX(ALLCLASSDATA,MATCH("SkillIncreaseExtra-L16",CLASSFEATUREHEADERS,0),MATCH(($A1107 &amp; "Points"),CLASSNAMEHEADERS,0))))}</f>
        <v>SKILLINCREASEEXTRA-L16</v>
      </c>
      <c r="X1106" s="81" t="str">
        <f t="array" ref="X1106:X1107">{"SKILLINCREASEEXTRA-L17";((INDEX(ALLCLASSDATA,MATCH("SkillIncreaseExtra-L17",CLASSFEATUREHEADERS,0),MATCH(($A1107 &amp; "Points"),CLASSNAMEHEADERS,0))))}</f>
        <v>SKILLINCREASEEXTRA-L17</v>
      </c>
      <c r="Y1106" s="81" t="str">
        <f t="array" ref="Y1106:Y1107">{"SKILLINCREASEEXTRA-L18";((INDEX(ALLCLASSDATA,MATCH("SkillIncreaseExtra-L18",CLASSFEATUREHEADERS,0),MATCH(($A1107 &amp; "Points"),CLASSNAMEHEADERS,0))))}</f>
        <v>SKILLINCREASEEXTRA-L18</v>
      </c>
      <c r="Z1106" s="81" t="str">
        <f t="array" ref="Z1106:Z1107">{"SKILLINCREASEEXTRA-L19";((INDEX(ALLCLASSDATA,MATCH("SkillIncreaseExtra-L19",CLASSFEATUREHEADERS,0),MATCH(($A1107 &amp; "Points"),CLASSNAMEHEADERS,0))))}</f>
        <v>SKILLINCREASEEXTRA-L19</v>
      </c>
      <c r="AA1106" s="81" t="str">
        <f t="array" ref="AA1106:AA1107">{"SKILLINCREASEEXTRA-L20";((INDEX(ALLCLASSDATA,MATCH("SkillIncreaseExtra-L20",CLASSFEATUREHEADERS,0),MATCH(($A1107 &amp; "Points"),CLASSNAMEHEADERS,0))))}</f>
        <v>SKILLINCREASEEXTRA-L20</v>
      </c>
      <c r="AB1106" s="76"/>
      <c r="AC1106" s="76" t="str">
        <f t="array" ref="AC1106:AC1107">{"SKILLINCREASE TOTAL";(sum(G1107:AA1107))}</f>
        <v>SKILLINCREASE TOTAL</v>
      </c>
    </row>
    <row r="1107">
      <c r="A1107" s="48" t="s">
        <v>195</v>
      </c>
      <c r="B1107" s="48"/>
      <c r="C1107" s="48" t="s">
        <v>417</v>
      </c>
      <c r="D1107" s="48" t="s">
        <v>659</v>
      </c>
      <c r="E1107" s="48" t="s">
        <v>661</v>
      </c>
      <c r="F1107" s="48"/>
      <c r="G1107" s="47"/>
      <c r="H1107" s="5"/>
      <c r="I1107" s="5" t="s">
        <v>603</v>
      </c>
      <c r="J1107" s="5" t="s">
        <v>603</v>
      </c>
      <c r="K1107" s="5" t="s">
        <v>603</v>
      </c>
      <c r="L1107" s="48" t="s">
        <v>603</v>
      </c>
      <c r="M1107" s="5" t="s">
        <v>603</v>
      </c>
      <c r="N1107" s="5" t="s">
        <v>603</v>
      </c>
      <c r="O1107" s="5" t="s">
        <v>603</v>
      </c>
      <c r="P1107" s="5" t="s">
        <v>603</v>
      </c>
      <c r="Q1107" s="5" t="s">
        <v>603</v>
      </c>
      <c r="R1107" s="5" t="s">
        <v>603</v>
      </c>
      <c r="S1107" s="5" t="s">
        <v>603</v>
      </c>
      <c r="T1107" s="5" t="s">
        <v>603</v>
      </c>
      <c r="U1107" s="5" t="s">
        <v>603</v>
      </c>
      <c r="V1107" s="5" t="s">
        <v>603</v>
      </c>
      <c r="W1107" s="5" t="s">
        <v>603</v>
      </c>
      <c r="X1107" s="5" t="s">
        <v>603</v>
      </c>
      <c r="Y1107" s="5" t="s">
        <v>603</v>
      </c>
      <c r="Z1107" s="5" t="s">
        <v>603</v>
      </c>
      <c r="AA1107" s="5" t="s">
        <v>603</v>
      </c>
      <c r="AB1107" s="5"/>
      <c r="AC1107" s="47">
        <v>0.0</v>
      </c>
    </row>
    <row r="1108" hidden="1">
      <c r="A1108" s="76" t="str">
        <f t="array" ref="A1108:A1109">{"FormulaRow07";(INDEX(CLASSLIST,A1095,1))}</f>
        <v>FormulaRow07</v>
      </c>
      <c r="B1108" s="77" t="s">
        <v>236</v>
      </c>
      <c r="C1108" s="76" t="str">
        <f t="array" ref="C1108:C1109">{"CLASSTYPE";((INDEX(ALLCLASSDATA,MATCH("ClassType",CLASSFEATUREHEADERS,0),MATCH($A1109,CLASSNAMEHEADERS,0))))}</f>
        <v>CLASSTYPE</v>
      </c>
      <c r="D1108" s="76" t="str">
        <f t="array" ref="D1108:D1109">{"SKILLS";"Skills"}</f>
        <v>SKILLS</v>
      </c>
      <c r="E1108" s="76" t="str">
        <f t="array" ref="E1108:E1109">{"EXTRASKILLFEATS";"Extra Skill Feats"}</f>
        <v>EXTRASKILLFEATS</v>
      </c>
      <c r="F1108" s="76"/>
      <c r="G1108" s="76"/>
      <c r="H1108" s="76" t="str">
        <f t="array" ref="H1108:H1109">{"SKILLFEATEXTRA-L01";((INDEX(ALLCLASSDATA,MATCH("SkillFeatExtra-L01",CLASSFEATUREHEADERS,0),MATCH(($A1109 &amp; "Points"),CLASSNAMEHEADERS,0))))}</f>
        <v>SKILLFEATEXTRA-L01</v>
      </c>
      <c r="I1108" s="76" t="str">
        <f t="array" ref="I1108:I1109">{"SKILLFEATEXTRA-L02";((INDEX(ALLCLASSDATA,MATCH("SkillFeatExtra-L02",CLASSFEATUREHEADERS,0),MATCH(($A1109 &amp; "Points"),CLASSNAMEHEADERS,0))))}</f>
        <v>SKILLFEATEXTRA-L02</v>
      </c>
      <c r="J1108" s="76" t="str">
        <f t="array" ref="J1108:J1109">{"SKILLFEATEXTRA-L03";((INDEX(ALLCLASSDATA,MATCH("SkillFeatExtra-L03",CLASSFEATUREHEADERS,0),MATCH(($A1109 &amp; "Points"),CLASSNAMEHEADERS,0))))}</f>
        <v>SKILLFEATEXTRA-L03</v>
      </c>
      <c r="K1108" s="76" t="str">
        <f t="array" ref="K1108:K1109">{"SKILLFEATEXTRA-L04";((INDEX(ALLCLASSDATA,MATCH("SkillFeatExtra-L04",CLASSFEATUREHEADERS,0),MATCH(($A1109 &amp; "Points"),CLASSNAMEHEADERS,0))))}</f>
        <v>SKILLFEATEXTRA-L04</v>
      </c>
      <c r="L1108" s="76" t="str">
        <f t="array" ref="L1108:L1109">{"SKILLFEATEXTRA-L05";((INDEX(ALLCLASSDATA,MATCH("SkillFeatExtra-L05",CLASSFEATUREHEADERS,0),MATCH(($A1109 &amp; "Points"),CLASSNAMEHEADERS,0))))}</f>
        <v>SKILLFEATEXTRA-L05</v>
      </c>
      <c r="M1108" s="76" t="str">
        <f t="array" ref="M1108:M1109">{"SKILLFEATEXTRA-L06";((INDEX(ALLCLASSDATA,MATCH("SkillFeatExtra-L06",CLASSFEATUREHEADERS,0),MATCH(($A1109 &amp; "Points"),CLASSNAMEHEADERS,0))))}</f>
        <v>SKILLFEATEXTRA-L06</v>
      </c>
      <c r="N1108" s="76" t="str">
        <f t="array" ref="N1108:N1109">{"SKILLFEATEXTRA-L07";((INDEX(ALLCLASSDATA,MATCH("SkillFeatExtra-L07",CLASSFEATUREHEADERS,0),MATCH(($A1109 &amp; "Points"),CLASSNAMEHEADERS,0))))}</f>
        <v>SKILLFEATEXTRA-L07</v>
      </c>
      <c r="O1108" s="76" t="str">
        <f t="array" ref="O1108:O1109">{"SKILLFEATEXTRA-L08";((INDEX(ALLCLASSDATA,MATCH("SkillFeatExtra-L08",CLASSFEATUREHEADERS,0),MATCH(($A1109 &amp; "Points"),CLASSNAMEHEADERS,0))))}</f>
        <v>SKILLFEATEXTRA-L08</v>
      </c>
      <c r="P1108" s="76" t="str">
        <f t="array" ref="P1108:P1109">{"SKILLFEATEXTRA-L09";((INDEX(ALLCLASSDATA,MATCH("SkillFeatExtra-L09",CLASSFEATUREHEADERS,0),MATCH(($A1109 &amp; "Points"),CLASSNAMEHEADERS,0))))}</f>
        <v>SKILLFEATEXTRA-L09</v>
      </c>
      <c r="Q1108" s="76" t="str">
        <f t="array" ref="Q1108:Q1109">{"SKILLFEATEXTRA-L10";((INDEX(ALLCLASSDATA,MATCH("SkillFeatExtra-L10",CLASSFEATUREHEADERS,0),MATCH(($A1109 &amp; "Points"),CLASSNAMEHEADERS,0))))}</f>
        <v>SKILLFEATEXTRA-L10</v>
      </c>
      <c r="R1108" s="76" t="str">
        <f t="array" ref="R1108:R1109">{"SKILLFEATEXTRA-L11";((INDEX(ALLCLASSDATA,MATCH("SkillFeatExtra-L11",CLASSFEATUREHEADERS,0),MATCH(($A1109 &amp; "Points"),CLASSNAMEHEADERS,0))))}</f>
        <v>SKILLFEATEXTRA-L11</v>
      </c>
      <c r="S1108" s="76" t="str">
        <f t="array" ref="S1108:S1109">{"SKILLFEATEXTRA-L12";((INDEX(ALLCLASSDATA,MATCH("SkillFeatExtra-L12",CLASSFEATUREHEADERS,0),MATCH(($A1109 &amp; "Points"),CLASSNAMEHEADERS,0))))}</f>
        <v>SKILLFEATEXTRA-L12</v>
      </c>
      <c r="T1108" s="76" t="str">
        <f t="array" ref="T1108:T1109">{"SKILLFEATEXTRA-L13";((INDEX(ALLCLASSDATA,MATCH("SkillFeatExtra-L13",CLASSFEATUREHEADERS,0),MATCH(($A1109 &amp; "Points"),CLASSNAMEHEADERS,0))))}</f>
        <v>SKILLFEATEXTRA-L13</v>
      </c>
      <c r="U1108" s="76" t="str">
        <f t="array" ref="U1108:U1109">{"SKILLFEATEXTRA-L14";((INDEX(ALLCLASSDATA,MATCH("SkillFeatExtra-L14",CLASSFEATUREHEADERS,0),MATCH(($A1109 &amp; "Points"),CLASSNAMEHEADERS,0))))}</f>
        <v>SKILLFEATEXTRA-L14</v>
      </c>
      <c r="V1108" s="76" t="str">
        <f t="array" ref="V1108:V1109">{"SKILLFEATEXTRA-L15";((INDEX(ALLCLASSDATA,MATCH("SkillFeatExtra-L15",CLASSFEATUREHEADERS,0),MATCH(($A1109 &amp; "Points"),CLASSNAMEHEADERS,0))))}</f>
        <v>SKILLFEATEXTRA-L15</v>
      </c>
      <c r="W1108" s="76" t="str">
        <f t="array" ref="W1108:W1109">{"SKILLFEATEXTRA-L16";((INDEX(ALLCLASSDATA,MATCH("SkillFeatExtra-L16",CLASSFEATUREHEADERS,0),MATCH(($A1109 &amp; "Points"),CLASSNAMEHEADERS,0))))}</f>
        <v>SKILLFEATEXTRA-L16</v>
      </c>
      <c r="X1108" s="76" t="str">
        <f t="array" ref="X1108:X1109">{"SKILLFEATEXTRA-L17";((INDEX(ALLCLASSDATA,MATCH("SkillFeatExtra-L17",CLASSFEATUREHEADERS,0),MATCH(($A1109 &amp; "Points"),CLASSNAMEHEADERS,0))))}</f>
        <v>SKILLFEATEXTRA-L17</v>
      </c>
      <c r="Y1108" s="76" t="str">
        <f t="array" ref="Y1108:Y1109">{"SKILLFEATEXTRA-L18";((INDEX(ALLCLASSDATA,MATCH("SkillFeatExtra-L18",CLASSFEATUREHEADERS,0),MATCH(($A1109 &amp; "Points"),CLASSNAMEHEADERS,0))))}</f>
        <v>SKILLFEATEXTRA-L18</v>
      </c>
      <c r="Z1108" s="76" t="str">
        <f t="array" ref="Z1108:Z1109">{"SKILLFEATEXTRA-L19";((INDEX(ALLCLASSDATA,MATCH("SkillFeatExtra-L19",CLASSFEATUREHEADERS,0),MATCH(($A1109 &amp; "Points"),CLASSNAMEHEADERS,0))))}</f>
        <v>SKILLFEATEXTRA-L19</v>
      </c>
      <c r="AA1108" s="76" t="str">
        <f t="array" ref="AA1108:AA1109">{"SKILLFEATEXTRA-L20";((INDEX(ALLCLASSDATA,MATCH("SkillFeatExtra-L20",CLASSFEATUREHEADERS,0),MATCH(($A1109 &amp; "Points"),CLASSNAMEHEADERS,0))))}</f>
        <v>SKILLFEATEXTRA-L20</v>
      </c>
      <c r="AB1108" s="76"/>
      <c r="AC1108" s="76" t="str">
        <f t="array" ref="AC1108:AC1109">{"SKILLFEAT TOTAL";(sum(G1109:AA1109))}</f>
        <v>SKILLFEAT TOTAL</v>
      </c>
    </row>
    <row r="1109">
      <c r="A1109" s="48" t="s">
        <v>195</v>
      </c>
      <c r="B1109" s="48"/>
      <c r="C1109" s="48" t="s">
        <v>417</v>
      </c>
      <c r="D1109" s="97" t="s">
        <v>659</v>
      </c>
      <c r="E1109" s="97" t="s">
        <v>722</v>
      </c>
      <c r="F1109" s="97"/>
      <c r="G1109" s="132"/>
      <c r="H1109" s="98" t="s">
        <v>603</v>
      </c>
      <c r="I1109" s="98" t="s">
        <v>603</v>
      </c>
      <c r="J1109" s="97" t="s">
        <v>603</v>
      </c>
      <c r="K1109" s="98" t="s">
        <v>603</v>
      </c>
      <c r="L1109" s="97" t="s">
        <v>603</v>
      </c>
      <c r="M1109" s="98" t="s">
        <v>603</v>
      </c>
      <c r="N1109" s="98" t="s">
        <v>603</v>
      </c>
      <c r="O1109" s="98" t="s">
        <v>603</v>
      </c>
      <c r="P1109" s="98" t="s">
        <v>603</v>
      </c>
      <c r="Q1109" s="98" t="s">
        <v>603</v>
      </c>
      <c r="R1109" s="98" t="s">
        <v>603</v>
      </c>
      <c r="S1109" s="98" t="s">
        <v>603</v>
      </c>
      <c r="T1109" s="98" t="s">
        <v>603</v>
      </c>
      <c r="U1109" s="98" t="s">
        <v>603</v>
      </c>
      <c r="V1109" s="98" t="s">
        <v>603</v>
      </c>
      <c r="W1109" s="98" t="s">
        <v>603</v>
      </c>
      <c r="X1109" s="98" t="s">
        <v>603</v>
      </c>
      <c r="Y1109" s="98" t="s">
        <v>603</v>
      </c>
      <c r="Z1109" s="98" t="s">
        <v>603</v>
      </c>
      <c r="AA1109" s="98" t="s">
        <v>603</v>
      </c>
      <c r="AB1109" s="5"/>
      <c r="AC1109" s="47">
        <v>0.0</v>
      </c>
    </row>
    <row r="1110" hidden="1">
      <c r="A1110" s="76" t="str">
        <f t="array" ref="A1110:A1111">{"FormulaRow08";(INDEX(CLASSLIST,A1095,1))}</f>
        <v>FormulaRow08</v>
      </c>
      <c r="B1110" s="77" t="s">
        <v>236</v>
      </c>
      <c r="C1110" s="76" t="str">
        <f t="array" ref="C1110:C1111">{"CLASSTYPE";((INDEX(ALLCLASSDATA,MATCH("ClassType",CLASSFEATUREHEADERS,0),MATCH($A1111,CLASSNAMEHEADERS,0))))}</f>
        <v>CLASSTYPE</v>
      </c>
      <c r="D1110" s="81" t="str">
        <f t="array" ref="D1110:D1111">{"CLASSABILITY";"ClassAbility"}</f>
        <v>CLASSABILITY</v>
      </c>
      <c r="E1110" s="81" t="str">
        <f t="array" ref="E1110:E1111">{"CLASSABILITY1";"ClassAbility1"}</f>
        <v>CLASSABILITY1</v>
      </c>
      <c r="F1110" s="81"/>
      <c r="G1110" s="81"/>
      <c r="H1110" s="81"/>
      <c r="I1110" s="81"/>
      <c r="J1110" s="81" t="str">
        <f t="array" ref="J1110:J1111">{"CLASSABILITY1-L03";((INDEX(ALLCLASSDATA,MATCH("ClassAbility1-L03",CLASSFEATUREHEADERS,0),MATCH(($A1111),CLASSNAMEHEADERS,0))))}</f>
        <v>CLASSABILITY1-L03</v>
      </c>
      <c r="K1110" s="81"/>
      <c r="L1110" s="81" t="str">
        <f t="array" ref="L1110:L1111">{"CLASSABILITY1-L05";((INDEX(ALLCLASSDATA,MATCH("ClassAbility1-L05",CLASSFEATUREHEADERS,0),MATCH(($A1111),CLASSNAMEHEADERS,0))))}</f>
        <v>CLASSABILITY1-L05</v>
      </c>
      <c r="M1110" s="81"/>
      <c r="N1110" s="81" t="str">
        <f t="array" ref="N1110:N1111">{"CLASSABILITY1-L07";((INDEX(ALLCLASSDATA,MATCH("ClassAbility1-L07",CLASSFEATUREHEADERS,0),MATCH(($A1111),CLASSNAMEHEADERS,0))))}</f>
        <v>CLASSABILITY1-L07</v>
      </c>
      <c r="O1110" s="81"/>
      <c r="P1110" s="81" t="str">
        <f t="array" ref="P1110:P1111">{"CLASSABILITY1-L09";((INDEX(ALLCLASSDATA,MATCH("ClassAbility1-L09",CLASSFEATUREHEADERS,0),MATCH(($A1111),CLASSNAMEHEADERS,0))))}</f>
        <v>CLASSABILITY1-L09</v>
      </c>
      <c r="Q1110" s="81"/>
      <c r="R1110" s="81" t="str">
        <f t="array" ref="R1110:R1111">{"CLASSABILITY1-L11";((INDEX(ALLCLASSDATA,MATCH("ClassAbility1-L11",CLASSFEATUREHEADERS,0),MATCH(($A1111),CLASSNAMEHEADERS,0))))}</f>
        <v>CLASSABILITY1-L11</v>
      </c>
      <c r="S1110" s="81"/>
      <c r="T1110" s="81" t="str">
        <f t="array" ref="T1110:T1111">{"CLASSABILITY1-L13";((INDEX(ALLCLASSDATA,MATCH("ClassAbility1-L13",CLASSFEATUREHEADERS,0),MATCH(($A1111),CLASSNAMEHEADERS,0))))}</f>
        <v>CLASSABILITY1-L13</v>
      </c>
      <c r="U1110" s="81"/>
      <c r="V1110" s="81" t="str">
        <f t="array" ref="V1110:V1111">{"CLASSABILITY1-L15";((INDEX(ALLCLASSDATA,MATCH("ClassAbility1-L15",CLASSFEATUREHEADERS,0),MATCH(($A1111),CLASSNAMEHEADERS,0))))}</f>
        <v>CLASSABILITY1-L15</v>
      </c>
      <c r="W1110" s="81"/>
      <c r="X1110" s="81" t="str">
        <f t="array" ref="X1110:X1111">{"CLASSABILITY1-L17";((INDEX(ALLCLASSDATA,MATCH("ClassAbility1-L17",CLASSFEATUREHEADERS,0),MATCH(($A1111),CLASSNAMEHEADERS,0))))}</f>
        <v>CLASSABILITY1-L17</v>
      </c>
      <c r="Y1110" s="81"/>
      <c r="Z1110" s="81" t="str">
        <f t="array" ref="Z1110:Z1111">{"CLASSABILITY1-L19";((INDEX(ALLCLASSDATA,MATCH("ClassAbility1-L19",CLASSFEATUREHEADERS,0),MATCH(($A1111),CLASSNAMEHEADERS,0))))}</f>
        <v>CLASSABILITY1-L19</v>
      </c>
      <c r="AA1110" s="81"/>
      <c r="AB1110" s="76"/>
      <c r="AC1110" s="76"/>
    </row>
    <row r="1111">
      <c r="A1111" s="48" t="s">
        <v>195</v>
      </c>
      <c r="B1111" s="48"/>
      <c r="C1111" s="48" t="s">
        <v>417</v>
      </c>
      <c r="D1111" s="48" t="s">
        <v>825</v>
      </c>
      <c r="E1111" s="48" t="s">
        <v>826</v>
      </c>
      <c r="F1111" s="5"/>
      <c r="G1111" s="47"/>
      <c r="H1111" s="5"/>
      <c r="I1111" s="5"/>
      <c r="J1111" s="5" t="s">
        <v>1297</v>
      </c>
      <c r="K1111" s="5"/>
      <c r="L1111" s="5"/>
      <c r="M1111" s="5"/>
      <c r="N1111" s="5"/>
      <c r="O1111" s="5"/>
      <c r="P1111" s="5" t="s">
        <v>350</v>
      </c>
      <c r="Q1111" s="5"/>
      <c r="R1111" s="5" t="s">
        <v>1734</v>
      </c>
      <c r="S1111" s="5"/>
      <c r="T1111" s="5" t="s">
        <v>369</v>
      </c>
      <c r="U1111" s="5"/>
      <c r="V1111" s="5" t="s">
        <v>1762</v>
      </c>
      <c r="W1111" s="5"/>
      <c r="X1111" s="5" t="s">
        <v>353</v>
      </c>
      <c r="Y1111" s="5"/>
      <c r="Z1111" s="5" t="s">
        <v>1300</v>
      </c>
      <c r="AA1111" s="5"/>
      <c r="AB1111" s="5"/>
      <c r="AC1111" s="47"/>
    </row>
    <row r="1112" hidden="1">
      <c r="A1112" s="76" t="str">
        <f t="array" ref="A1112:A1113">{"FormulaRow09";(INDEX(CLASSLIST,A1095,1))}</f>
        <v>FormulaRow09</v>
      </c>
      <c r="B1112" s="77" t="s">
        <v>236</v>
      </c>
      <c r="C1112" s="76" t="str">
        <f t="array" ref="C1112:C1113">{"CLASSTYPE";((INDEX(ALLCLASSDATA,MATCH("ClassType",CLASSFEATUREHEADERS,0),MATCH($A1113,CLASSNAMEHEADERS,0))))}</f>
        <v>CLASSTYPE</v>
      </c>
      <c r="D1112" s="76" t="str">
        <f t="array" ref="D1112:D1113">{"CLASSABILITYPTS";"ClassAbilityPts"}</f>
        <v>CLASSABILITYPTS</v>
      </c>
      <c r="E1112" s="76" t="str">
        <f t="array" ref="E1112:E1113">{"CLASSABILITY1";"ClassAbility1"}</f>
        <v>CLASSABILITY1</v>
      </c>
      <c r="F1112" s="76"/>
      <c r="G1112" s="76"/>
      <c r="H1112" s="76"/>
      <c r="I1112" s="76"/>
      <c r="J1112" s="76" t="str">
        <f t="array" ref="J1112:J1113">{"CLASSABILITY1-L03PTS";((INDEX(ALLCLASSDATA,MATCH("ClassAbility1-L03",CLASSFEATUREHEADERS,0),MATCH(($A1113 &amp; "Points"),CLASSNAMEHEADERS,0))))}</f>
        <v>CLASSABILITY1-L03PTS</v>
      </c>
      <c r="K1112" s="76"/>
      <c r="L1112" s="76" t="str">
        <f t="array" ref="L1112:L1113">{"CLASSABILITY1-L05PTS";((INDEX(ALLCLASSDATA,MATCH("ClassAbility1-L05",CLASSFEATUREHEADERS,0),MATCH(($A1113 &amp; "Points"),CLASSNAMEHEADERS,0))))}</f>
        <v>CLASSABILITY1-L05PTS</v>
      </c>
      <c r="M1112" s="76"/>
      <c r="N1112" s="76" t="str">
        <f t="array" ref="N1112:N1113">{"CLASSABILITY1-L07PTS";((INDEX(ALLCLASSDATA,MATCH("ClassAbility1-L07",CLASSFEATUREHEADERS,0),MATCH(($A1113 &amp; "Points"),CLASSNAMEHEADERS,0))))}</f>
        <v>CLASSABILITY1-L07PTS</v>
      </c>
      <c r="O1112" s="76"/>
      <c r="P1112" s="76" t="str">
        <f t="array" ref="P1112:P1113">{"CLASSABILITY1-L09PTS";((INDEX(ALLCLASSDATA,MATCH("ClassAbility1-L09",CLASSFEATUREHEADERS,0),MATCH(($A1113 &amp; "Points"),CLASSNAMEHEADERS,0))))}</f>
        <v>CLASSABILITY1-L09PTS</v>
      </c>
      <c r="Q1112" s="76"/>
      <c r="R1112" s="76" t="str">
        <f t="array" ref="R1112:R1113">{"CLASSABILITY1-L11PTS";((INDEX(ALLCLASSDATA,MATCH("ClassAbility1-L11",CLASSFEATUREHEADERS,0),MATCH(($A1113 &amp; "Points"),CLASSNAMEHEADERS,0))))}</f>
        <v>CLASSABILITY1-L11PTS</v>
      </c>
      <c r="S1112" s="76"/>
      <c r="T1112" s="76" t="str">
        <f t="array" ref="T1112:T1113">{"CLASSABILITY1-L13PTS";((INDEX(ALLCLASSDATA,MATCH("ClassAbility1-L13",CLASSFEATUREHEADERS,0),MATCH(($A1113 &amp; "Points"),CLASSNAMEHEADERS,0))))}</f>
        <v>CLASSABILITY1-L13PTS</v>
      </c>
      <c r="U1112" s="76"/>
      <c r="V1112" s="76" t="str">
        <f t="array" ref="V1112:V1113">{"CLASSABILITY1-L15PTS";((INDEX(ALLCLASSDATA,MATCH("ClassAbility1-L15",CLASSFEATUREHEADERS,0),MATCH(($A1113 &amp; "Points"),CLASSNAMEHEADERS,0))))}</f>
        <v>CLASSABILITY1-L15PTS</v>
      </c>
      <c r="W1112" s="76"/>
      <c r="X1112" s="76" t="str">
        <f t="array" ref="X1112:X1113">{"CLASSABILITY1-L17PTS";((INDEX(ALLCLASSDATA,MATCH("ClassAbility1-L17",CLASSFEATUREHEADERS,0),MATCH(($A1113 &amp; "Points"),CLASSNAMEHEADERS,0))))}</f>
        <v>CLASSABILITY1-L17PTS</v>
      </c>
      <c r="Y1112" s="76"/>
      <c r="Z1112" s="76" t="str">
        <f t="array" ref="Z1112:Z1113">{"CLASSABILITY1-L19PTS";((INDEX(ALLCLASSDATA,MATCH("ClassAbility1-L19",CLASSFEATUREHEADERS,0),MATCH(($A1113 &amp; "Points"),CLASSNAMEHEADERS,0))))}</f>
        <v>CLASSABILITY1-L19PTS</v>
      </c>
      <c r="AA1112" s="76"/>
      <c r="AB1112" s="76"/>
      <c r="AC1112" s="76" t="str">
        <f t="array" ref="AC1112:AC1113">{"CLASSABILITY1 TOTAL";(sum(G1113:AA1113))}</f>
        <v>CLASSABILITY1 TOTAL</v>
      </c>
    </row>
    <row r="1113">
      <c r="A1113" s="48" t="s">
        <v>195</v>
      </c>
      <c r="B1113" s="48"/>
      <c r="C1113" s="48" t="s">
        <v>417</v>
      </c>
      <c r="D1113" s="48" t="s">
        <v>930</v>
      </c>
      <c r="E1113" s="48" t="s">
        <v>826</v>
      </c>
      <c r="F1113" s="5"/>
      <c r="G1113" s="5"/>
      <c r="H1113" s="5"/>
      <c r="I1113" s="5"/>
      <c r="J1113" s="48">
        <v>30.0</v>
      </c>
      <c r="K1113" s="5"/>
      <c r="L1113" s="5"/>
      <c r="M1113" s="5"/>
      <c r="N1113" s="5"/>
      <c r="O1113" s="5"/>
      <c r="P1113" s="5"/>
      <c r="Q1113" s="5"/>
      <c r="R1113" s="5"/>
      <c r="S1113" s="5"/>
      <c r="T1113" s="5"/>
      <c r="U1113" s="5"/>
      <c r="V1113" s="5"/>
      <c r="W1113" s="5"/>
      <c r="X1113" s="5"/>
      <c r="Y1113" s="5"/>
      <c r="Z1113" s="5">
        <v>90.0</v>
      </c>
      <c r="AA1113" s="5"/>
      <c r="AB1113" s="5"/>
      <c r="AC1113" s="47">
        <v>120.0</v>
      </c>
    </row>
    <row r="1114" hidden="1">
      <c r="A1114" s="76" t="str">
        <f t="array" ref="A1114:A1115">{"FormulaRow10";(INDEX(CLASSLIST,A1095,1))}</f>
        <v>FormulaRow10</v>
      </c>
      <c r="B1114" s="77" t="s">
        <v>236</v>
      </c>
      <c r="C1114" s="76" t="str">
        <f t="array" ref="C1114:C1115">{"CLASSTYPE";((INDEX(ALLCLASSDATA,MATCH("ClassType",CLASSFEATUREHEADERS,0),MATCH($A1115,CLASSNAMEHEADERS,0))))}</f>
        <v>CLASSTYPE</v>
      </c>
      <c r="D1114" s="76" t="str">
        <f t="array" ref="D1114:D1115">{"CLASSABILITY";"ClassAbility"}</f>
        <v>CLASSABILITY</v>
      </c>
      <c r="E1114" s="76" t="str">
        <f t="array" ref="E1114:E1115">{"CLASSABILITY2";"ClassAbility2"}</f>
        <v>CLASSABILITY2</v>
      </c>
      <c r="F1114" s="76"/>
      <c r="G1114" s="76"/>
      <c r="H1114" s="76"/>
      <c r="I1114" s="76"/>
      <c r="J1114" s="76" t="str">
        <f t="array" ref="J1114:J1115">{"CLASSABILITY2-L03";((INDEX(ALLCLASSDATA,MATCH("ClassAbility2-L03",CLASSFEATUREHEADERS,0),MATCH(($A1115),CLASSNAMEHEADERS,0))))}</f>
        <v>CLASSABILITY2-L03</v>
      </c>
      <c r="K1114" s="76"/>
      <c r="L1114" s="76" t="str">
        <f t="array" ref="L1114:L1115">{"CLASSABILITY2-L05";((INDEX(ALLCLASSDATA,MATCH("ClassAbility2-L05",CLASSFEATUREHEADERS,0),MATCH(($A1115),CLASSNAMEHEADERS,0))))}</f>
        <v>CLASSABILITY2-L05</v>
      </c>
      <c r="M1114" s="76"/>
      <c r="N1114" s="76" t="str">
        <f t="array" ref="N1114:N1115">{"CLASSABILITY2-L07";((INDEX(ALLCLASSDATA,MATCH("ClassAbility2-L07",CLASSFEATUREHEADERS,0),MATCH(($A1115),CLASSNAMEHEADERS,0))))}</f>
        <v>CLASSABILITY2-L07</v>
      </c>
      <c r="O1114" s="76"/>
      <c r="P1114" s="76" t="str">
        <f t="array" ref="P1114:P1115">{"CLASSABILITY2-L09";((INDEX(ALLCLASSDATA,MATCH("ClassAbility2-L09",CLASSFEATUREHEADERS,0),MATCH(($A1115),CLASSNAMEHEADERS,0))))}</f>
        <v>CLASSABILITY2-L09</v>
      </c>
      <c r="Q1114" s="76"/>
      <c r="R1114" s="76" t="str">
        <f t="array" ref="R1114:R1115">{"CLASSABILITY2-L11";((INDEX(ALLCLASSDATA,MATCH("ClassAbility2-L11",CLASSFEATUREHEADERS,0),MATCH(($A1115),CLASSNAMEHEADERS,0))))}</f>
        <v>CLASSABILITY2-L11</v>
      </c>
      <c r="S1114" s="76"/>
      <c r="T1114" s="76" t="str">
        <f t="array" ref="T1114:T1115">{"CLASSABILITY2-L13";((INDEX(ALLCLASSDATA,MATCH("ClassAbility2-L13",CLASSFEATUREHEADERS,0),MATCH(($A1115),CLASSNAMEHEADERS,0))))}</f>
        <v>CLASSABILITY2-L13</v>
      </c>
      <c r="U1114" s="76"/>
      <c r="V1114" s="76" t="str">
        <f t="array" ref="V1114:V1115">{"CLASSABILITY2-L15";((INDEX(ALLCLASSDATA,MATCH("ClassAbility2-L15",CLASSFEATUREHEADERS,0),MATCH(($A1115),CLASSNAMEHEADERS,0))))}</f>
        <v>CLASSABILITY2-L15</v>
      </c>
      <c r="W1114" s="76"/>
      <c r="X1114" s="76" t="str">
        <f t="array" ref="X1114:X1115">{"CLASSABILITY2-L17";((INDEX(ALLCLASSDATA,MATCH("ClassAbility2-L17",CLASSFEATUREHEADERS,0),MATCH(($A1115),CLASSNAMEHEADERS,0))))}</f>
        <v>CLASSABILITY2-L17</v>
      </c>
      <c r="Y1114" s="76"/>
      <c r="Z1114" s="76" t="str">
        <f t="array" ref="Z1114:Z1115">{"CLASSABILITY2-L19";((INDEX(ALLCLASSDATA,MATCH("ClassAbility2-L19",CLASSFEATUREHEADERS,0),MATCH(($A1115),CLASSNAMEHEADERS,0))))}</f>
        <v>CLASSABILITY2-L19</v>
      </c>
      <c r="AA1114" s="76"/>
      <c r="AB1114" s="76"/>
      <c r="AC1114" s="76"/>
    </row>
    <row r="1115">
      <c r="A1115" s="48" t="s">
        <v>195</v>
      </c>
      <c r="B1115" s="48"/>
      <c r="C1115" s="48" t="s">
        <v>417</v>
      </c>
      <c r="D1115" s="48" t="s">
        <v>825</v>
      </c>
      <c r="E1115" s="48" t="s">
        <v>1007</v>
      </c>
      <c r="F1115" s="48"/>
      <c r="G1115" s="47"/>
      <c r="H1115" s="5"/>
      <c r="I1115" s="5"/>
      <c r="J1115" s="5" t="s">
        <v>1685</v>
      </c>
      <c r="K1115" s="5"/>
      <c r="L1115" s="5"/>
      <c r="M1115" s="5"/>
      <c r="N1115" s="5"/>
      <c r="O1115" s="5"/>
      <c r="P1115" s="5" t="s">
        <v>1726</v>
      </c>
      <c r="Q1115" s="5"/>
      <c r="R1115" s="5"/>
      <c r="S1115" s="5"/>
      <c r="T1115" s="5" t="s">
        <v>1756</v>
      </c>
      <c r="U1115" s="5"/>
      <c r="V1115" s="5"/>
      <c r="W1115" s="5"/>
      <c r="X1115" s="5"/>
      <c r="Y1115" s="5"/>
      <c r="Z1115" s="5"/>
      <c r="AA1115" s="5"/>
      <c r="AB1115" s="5"/>
      <c r="AC1115" s="47"/>
    </row>
    <row r="1116" hidden="1">
      <c r="A1116" s="76" t="str">
        <f t="array" ref="A1116:A1117">{"FormulaRow11";(INDEX(CLASSLIST,A1095,1))}</f>
        <v>FormulaRow11</v>
      </c>
      <c r="B1116" s="77" t="s">
        <v>236</v>
      </c>
      <c r="C1116" s="76" t="str">
        <f t="array" ref="C1116:C1117">{"CLASSTYPE";((INDEX(ALLCLASSDATA,MATCH("ClassType",CLASSFEATUREHEADERS,0),MATCH($A1117,CLASSNAMEHEADERS,0))))}</f>
        <v>CLASSTYPE</v>
      </c>
      <c r="D1116" s="76" t="str">
        <f t="array" ref="D1116:D1117">{"CLASSABILITYPTS";"ClassAbilityPts"}</f>
        <v>CLASSABILITYPTS</v>
      </c>
      <c r="E1116" s="76" t="str">
        <f t="array" ref="E1116:E1117">{"CLASSABILITY2";"ClassAbility2"}</f>
        <v>CLASSABILITY2</v>
      </c>
      <c r="F1116" s="76"/>
      <c r="G1116" s="76"/>
      <c r="H1116" s="76"/>
      <c r="I1116" s="76"/>
      <c r="J1116" s="76" t="str">
        <f t="array" ref="J1116:J1117">{"CLASSABILITY2-L03PTS";((INDEX(ALLCLASSDATA,MATCH("ClassAbility2-L03",CLASSFEATUREHEADERS,0),MATCH(($A1117 &amp; "Points"),CLASSNAMEHEADERS,0))))}</f>
        <v>CLASSABILITY2-L03PTS</v>
      </c>
      <c r="K1116" s="76"/>
      <c r="L1116" s="76" t="str">
        <f t="array" ref="L1116:L1117">{"CLASSABILITY2-L05PTS";((INDEX(ALLCLASSDATA,MATCH("ClassAbility2-L05",CLASSFEATUREHEADERS,0),MATCH(($A1117 &amp; "Points"),CLASSNAMEHEADERS,0))))}</f>
        <v>CLASSABILITY2-L05PTS</v>
      </c>
      <c r="M1116" s="76"/>
      <c r="N1116" s="76" t="str">
        <f t="array" ref="N1116:N1117">{"CLASSABILITY2-L07PTS";((INDEX(ALLCLASSDATA,MATCH("ClassAbility2-L07",CLASSFEATUREHEADERS,0),MATCH(($A1117 &amp; "Points"),CLASSNAMEHEADERS,0))))}</f>
        <v>CLASSABILITY2-L07PTS</v>
      </c>
      <c r="O1116" s="76"/>
      <c r="P1116" s="76" t="str">
        <f t="array" ref="P1116:P1117">{"CLASSABILITY2-L09PTS";((INDEX(ALLCLASSDATA,MATCH("ClassAbility2-L09",CLASSFEATUREHEADERS,0),MATCH(($A1117 &amp; "Points"),CLASSNAMEHEADERS,0))))}</f>
        <v>CLASSABILITY2-L09PTS</v>
      </c>
      <c r="Q1116" s="76"/>
      <c r="R1116" s="76" t="str">
        <f t="array" ref="R1116:R1117">{"CLASSABILITY2-L11PTS";((INDEX(ALLCLASSDATA,MATCH("ClassAbility2-L11",CLASSFEATUREHEADERS,0),MATCH(($A1117 &amp; "Points"),CLASSNAMEHEADERS,0))))}</f>
        <v>CLASSABILITY2-L11PTS</v>
      </c>
      <c r="S1116" s="76"/>
      <c r="T1116" s="76" t="str">
        <f t="array" ref="T1116:T1117">{"CLASSABILITY2-L13PTS";((INDEX(ALLCLASSDATA,MATCH("ClassAbility2-L13",CLASSFEATUREHEADERS,0),MATCH(($A1117 &amp; "Points"),CLASSNAMEHEADERS,0))))}</f>
        <v>CLASSABILITY2-L13PTS</v>
      </c>
      <c r="U1116" s="76"/>
      <c r="V1116" s="76" t="str">
        <f t="array" ref="V1116:V1117">{"CLASSABILITY2-L15PTS";((INDEX(ALLCLASSDATA,MATCH("ClassAbility2-L15",CLASSFEATUREHEADERS,0),MATCH(($A1117 &amp; "Points"),CLASSNAMEHEADERS,0))))}</f>
        <v>CLASSABILITY2-L15PTS</v>
      </c>
      <c r="W1116" s="76"/>
      <c r="X1116" s="76" t="str">
        <f t="array" ref="X1116:X1117">{"CLASSABILITY2-L17PTS";((INDEX(ALLCLASSDATA,MATCH("ClassAbility2-L17",CLASSFEATUREHEADERS,0),MATCH(($A1117 &amp; "Points"),CLASSNAMEHEADERS,0))))}</f>
        <v>CLASSABILITY2-L17PTS</v>
      </c>
      <c r="Y1116" s="76"/>
      <c r="Z1116" s="76" t="str">
        <f t="array" ref="Z1116:Z1117">{"CLASSABILITY2-L19PTS";((INDEX(ALLCLASSDATA,MATCH("ClassAbility2-L19",CLASSFEATUREHEADERS,0),MATCH(($A1117 &amp; "Points"),CLASSNAMEHEADERS,0))))}</f>
        <v>CLASSABILITY2-L19PTS</v>
      </c>
      <c r="AA1116" s="76"/>
      <c r="AB1116" s="76"/>
      <c r="AC1116" s="76" t="str">
        <f t="array" ref="AC1116:AC1117">{"CLASSABILITY2 TOTAL";(sum(G1117:AA1117))}</f>
        <v>CLASSABILITY2 TOTAL</v>
      </c>
    </row>
    <row r="1117">
      <c r="A1117" s="48" t="s">
        <v>195</v>
      </c>
      <c r="B1117" s="48"/>
      <c r="C1117" s="48" t="s">
        <v>417</v>
      </c>
      <c r="D1117" s="48" t="s">
        <v>930</v>
      </c>
      <c r="E1117" s="48" t="s">
        <v>1007</v>
      </c>
      <c r="F1117" s="48"/>
      <c r="G1117" s="47"/>
      <c r="H1117" s="5"/>
      <c r="I1117" s="5"/>
      <c r="J1117" s="5"/>
      <c r="K1117" s="5"/>
      <c r="L1117" s="5"/>
      <c r="M1117" s="5"/>
      <c r="N1117" s="5"/>
      <c r="O1117" s="5"/>
      <c r="P1117" s="5"/>
      <c r="Q1117" s="5"/>
      <c r="R1117" s="5"/>
      <c r="S1117" s="5"/>
      <c r="T1117" s="5"/>
      <c r="U1117" s="5"/>
      <c r="V1117" s="5"/>
      <c r="W1117" s="5"/>
      <c r="X1117" s="5"/>
      <c r="Y1117" s="5"/>
      <c r="Z1117" s="5"/>
      <c r="AA1117" s="5"/>
      <c r="AB1117" s="5"/>
      <c r="AC1117" s="47">
        <v>0.0</v>
      </c>
    </row>
    <row r="1118" hidden="1">
      <c r="A1118" s="76" t="str">
        <f t="array" ref="A1118:A1119">{"FormulaRow12";(INDEX(CLASSLIST,A1095,1))}</f>
        <v>FormulaRow12</v>
      </c>
      <c r="B1118" s="77" t="s">
        <v>236</v>
      </c>
      <c r="C1118" s="76" t="str">
        <f t="array" ref="C1118:C1119">{"CLASSTYPE";((INDEX(ALLCLASSDATA,MATCH("ClassType",CLASSFEATUREHEADERS,0),MATCH($A1119,CLASSNAMEHEADERS,0))))}</f>
        <v>CLASSTYPE</v>
      </c>
      <c r="D1118" s="76" t="str">
        <f t="array" ref="D1118:D1119">{"CLASSABILITY";"ClassAbility"}</f>
        <v>CLASSABILITY</v>
      </c>
      <c r="E1118" s="76" t="str">
        <f t="array" ref="E1118:E1119">{"CLASSABILITY3";"ClassAbility3"}</f>
        <v>CLASSABILITY3</v>
      </c>
      <c r="F1118" s="76"/>
      <c r="G1118" s="76"/>
      <c r="H1118" s="76"/>
      <c r="I1118" s="76"/>
      <c r="J1118" s="76" t="str">
        <f t="array" ref="J1118:J1119">{"CLASSABILITY3-L03";((INDEX(ALLCLASSDATA,MATCH("ClassAbility3-L03",CLASSFEATUREHEADERS,0),MATCH(($A1119),CLASSNAMEHEADERS,0))))}</f>
        <v>CLASSABILITY3-L03</v>
      </c>
      <c r="K1118" s="76"/>
      <c r="L1118" s="76" t="str">
        <f t="array" ref="L1118:L1119">{"CLASSABILITY3-L05";((INDEX(ALLCLASSDATA,MATCH("ClassAbility3-L05",CLASSFEATUREHEADERS,0),MATCH(($A1119),CLASSNAMEHEADERS,0))))}</f>
        <v>CLASSABILITY3-L05</v>
      </c>
      <c r="M1118" s="76"/>
      <c r="N1118" s="76" t="str">
        <f t="array" ref="N1118:N1119">{"CLASSABILITY3-L07";((INDEX(ALLCLASSDATA,MATCH("ClassAbility3-L07",CLASSFEATUREHEADERS,0),MATCH(($A1119),CLASSNAMEHEADERS,0))))}</f>
        <v>CLASSABILITY3-L07</v>
      </c>
      <c r="O1118" s="76"/>
      <c r="P1118" s="76" t="str">
        <f t="array" ref="P1118:P1119">{"CLASSABILITY3-L09";((INDEX(ALLCLASSDATA,MATCH("ClassAbility3-L09",CLASSFEATUREHEADERS,0),MATCH(($A1119),CLASSNAMEHEADERS,0))))}</f>
        <v>CLASSABILITY3-L09</v>
      </c>
      <c r="Q1118" s="76"/>
      <c r="R1118" s="76" t="str">
        <f t="array" ref="R1118:R1119">{"CLASSABILITY3-L11";((INDEX(ALLCLASSDATA,MATCH("ClassAbility3-L11",CLASSFEATUREHEADERS,0),MATCH(($A1119),CLASSNAMEHEADERS,0))))}</f>
        <v>CLASSABILITY3-L11</v>
      </c>
      <c r="S1118" s="76"/>
      <c r="T1118" s="76" t="str">
        <f t="array" ref="T1118:T1119">{"CLASSABILITY3-L13";((INDEX(ALLCLASSDATA,MATCH("ClassAbility3-L13",CLASSFEATUREHEADERS,0),MATCH(($A1119),CLASSNAMEHEADERS,0))))}</f>
        <v>CLASSABILITY3-L13</v>
      </c>
      <c r="U1118" s="76"/>
      <c r="V1118" s="76" t="str">
        <f t="array" ref="V1118:V1119">{"CLASSABILITY3-L15";((INDEX(ALLCLASSDATA,MATCH("ClassAbility3-L15",CLASSFEATUREHEADERS,0),MATCH(($A1119),CLASSNAMEHEADERS,0))))}</f>
        <v>CLASSABILITY3-L15</v>
      </c>
      <c r="W1118" s="76"/>
      <c r="X1118" s="76" t="str">
        <f t="array" ref="X1118:X1119">{"CLASSABILITY3-L17";((INDEX(ALLCLASSDATA,MATCH("ClassAbility3-L17",CLASSFEATUREHEADERS,0),MATCH(($A1119),CLASSNAMEHEADERS,0))))}</f>
        <v>CLASSABILITY3-L17</v>
      </c>
      <c r="Y1118" s="76"/>
      <c r="Z1118" s="76" t="str">
        <f t="array" ref="Z1118:Z1119">{"CLASSABILITY3-L19";((INDEX(ALLCLASSDATA,MATCH("ClassAbility3-L19",CLASSFEATUREHEADERS,0),MATCH(($A1119),CLASSNAMEHEADERS,0))))}</f>
        <v>CLASSABILITY3-L19</v>
      </c>
      <c r="AA1118" s="76"/>
      <c r="AB1118" s="76"/>
      <c r="AC1118" s="76"/>
    </row>
    <row r="1119">
      <c r="A1119" s="48" t="s">
        <v>195</v>
      </c>
      <c r="B1119" s="48"/>
      <c r="C1119" s="48" t="s">
        <v>417</v>
      </c>
      <c r="D1119" s="48" t="s">
        <v>825</v>
      </c>
      <c r="E1119" s="48" t="s">
        <v>1144</v>
      </c>
      <c r="F1119" s="48"/>
      <c r="G1119" s="47"/>
      <c r="H1119" s="5"/>
      <c r="I1119" s="5"/>
      <c r="J1119" s="5"/>
      <c r="K1119" s="5"/>
      <c r="L1119" s="5"/>
      <c r="M1119" s="5"/>
      <c r="N1119" s="5"/>
      <c r="O1119" s="5"/>
      <c r="P1119" s="5"/>
      <c r="Q1119" s="5"/>
      <c r="R1119" s="5" t="s">
        <v>1745</v>
      </c>
      <c r="S1119" s="5"/>
      <c r="T1119" s="5"/>
      <c r="U1119" s="5"/>
      <c r="V1119" s="5"/>
      <c r="W1119" s="5"/>
      <c r="X1119" s="5"/>
      <c r="Y1119" s="5"/>
      <c r="Z1119" s="5"/>
      <c r="AA1119" s="5"/>
      <c r="AB1119" s="5"/>
      <c r="AC1119" s="47"/>
    </row>
    <row r="1120" hidden="1">
      <c r="A1120" s="76" t="str">
        <f t="array" ref="A1120:A1121">{"FormulaRow13";(INDEX(CLASSLIST,A1095,1))}</f>
        <v>FormulaRow13</v>
      </c>
      <c r="B1120" s="77" t="s">
        <v>236</v>
      </c>
      <c r="C1120" s="76" t="str">
        <f t="array" ref="C1120:C1121">{"CLASSTYPE";((INDEX(ALLCLASSDATA,MATCH("ClassType",CLASSFEATUREHEADERS,0),MATCH($A1121,CLASSNAMEHEADERS,0))))}</f>
        <v>CLASSTYPE</v>
      </c>
      <c r="D1120" s="76" t="str">
        <f t="array" ref="D1120:D1121">{"CLASSABILITYPTS";"ClassAbilityPts"}</f>
        <v>CLASSABILITYPTS</v>
      </c>
      <c r="E1120" s="76" t="str">
        <f t="array" ref="E1120:E1121">{"CLASSABILITY3";"ClassAbility3"}</f>
        <v>CLASSABILITY3</v>
      </c>
      <c r="F1120" s="76"/>
      <c r="G1120" s="76"/>
      <c r="H1120" s="76"/>
      <c r="I1120" s="76"/>
      <c r="J1120" s="76" t="str">
        <f t="array" ref="J1120:J1121">{"CLASSABILITY3-L03PTS";((INDEX(ALLCLASSDATA,MATCH("ClassAbility3-L03",CLASSFEATUREHEADERS,0),MATCH(($A1121 &amp; "Points"),CLASSNAMEHEADERS,0))))}</f>
        <v>CLASSABILITY3-L03PTS</v>
      </c>
      <c r="K1120" s="76"/>
      <c r="L1120" s="76" t="str">
        <f t="array" ref="L1120:L1121">{"CLASSABILITY3-L05PTS";((INDEX(ALLCLASSDATA,MATCH("ClassAbility3-L05",CLASSFEATUREHEADERS,0),MATCH(($A1121 &amp; "Points"),CLASSNAMEHEADERS,0))))}</f>
        <v>CLASSABILITY3-L05PTS</v>
      </c>
      <c r="M1120" s="76"/>
      <c r="N1120" s="76" t="str">
        <f t="array" ref="N1120:N1121">{"CLASSABILITY3-L07PTS";((INDEX(ALLCLASSDATA,MATCH("ClassAbility3-L07",CLASSFEATUREHEADERS,0),MATCH(($A1121 &amp; "Points"),CLASSNAMEHEADERS,0))))}</f>
        <v>CLASSABILITY3-L07PTS</v>
      </c>
      <c r="O1120" s="76"/>
      <c r="P1120" s="76" t="str">
        <f t="array" ref="P1120:P1121">{"CLASSABILITY3-L09PTS";((INDEX(ALLCLASSDATA,MATCH("ClassAbility3-L09",CLASSFEATUREHEADERS,0),MATCH(($A1121 &amp; "Points"),CLASSNAMEHEADERS,0))))}</f>
        <v>CLASSABILITY3-L09PTS</v>
      </c>
      <c r="Q1120" s="76"/>
      <c r="R1120" s="76" t="str">
        <f t="array" ref="R1120:R1121">{"CLASSABILITY3-L11PTS";((INDEX(ALLCLASSDATA,MATCH("ClassAbility3-L11",CLASSFEATUREHEADERS,0),MATCH(($A1121 &amp; "Points"),CLASSNAMEHEADERS,0))))}</f>
        <v>CLASSABILITY3-L11PTS</v>
      </c>
      <c r="S1120" s="76"/>
      <c r="T1120" s="76" t="str">
        <f t="array" ref="T1120:T1121">{"CLASSABILITY3-L13PTS";((INDEX(ALLCLASSDATA,MATCH("ClassAbility3-L13",CLASSFEATUREHEADERS,0),MATCH(($A1121 &amp; "Points"),CLASSNAMEHEADERS,0))))}</f>
        <v>CLASSABILITY3-L13PTS</v>
      </c>
      <c r="U1120" s="76"/>
      <c r="V1120" s="76" t="str">
        <f t="array" ref="V1120:V1121">{"CLASSABILITY3-L15PTS";((INDEX(ALLCLASSDATA,MATCH("ClassAbility3-L15",CLASSFEATUREHEADERS,0),MATCH(($A1121 &amp; "Points"),CLASSNAMEHEADERS,0))))}</f>
        <v>CLASSABILITY3-L15PTS</v>
      </c>
      <c r="W1120" s="76"/>
      <c r="X1120" s="76" t="str">
        <f t="array" ref="X1120:X1121">{"CLASSABILITY3-L17PTS";((INDEX(ALLCLASSDATA,MATCH("ClassAbility3-L17",CLASSFEATUREHEADERS,0),MATCH(($A1121 &amp; "Points"),CLASSNAMEHEADERS,0))))}</f>
        <v>CLASSABILITY3-L17PTS</v>
      </c>
      <c r="Y1120" s="76"/>
      <c r="Z1120" s="76" t="str">
        <f t="array" ref="Z1120:Z1121">{"CLASSABILITY3-L19PTS";((INDEX(ALLCLASSDATA,MATCH("ClassAbility3-L19",CLASSFEATUREHEADERS,0),MATCH(($A1121 &amp; "Points"),CLASSNAMEHEADERS,0))))}</f>
        <v>CLASSABILITY3-L19PTS</v>
      </c>
      <c r="AA1120" s="76"/>
      <c r="AB1120" s="76"/>
      <c r="AC1120" s="76" t="str">
        <f t="array" ref="AC1120:AC1121">{"CLASSABILITY3 TOTAL";(sum(G1121:AA1121))}</f>
        <v>CLASSABILITY3 TOTAL</v>
      </c>
    </row>
    <row r="1121">
      <c r="A1121" s="48" t="s">
        <v>195</v>
      </c>
      <c r="B1121" s="48"/>
      <c r="C1121" s="48" t="s">
        <v>417</v>
      </c>
      <c r="D1121" s="48" t="s">
        <v>930</v>
      </c>
      <c r="E1121" s="48" t="s">
        <v>1144</v>
      </c>
      <c r="F1121" s="48"/>
      <c r="G1121" s="47"/>
      <c r="H1121" s="5"/>
      <c r="I1121" s="5"/>
      <c r="J1121" s="5"/>
      <c r="K1121" s="5"/>
      <c r="L1121" s="5"/>
      <c r="M1121" s="5"/>
      <c r="N1121" s="5"/>
      <c r="O1121" s="5"/>
      <c r="P1121" s="5"/>
      <c r="Q1121" s="5"/>
      <c r="R1121" s="5"/>
      <c r="S1121" s="5"/>
      <c r="T1121" s="5"/>
      <c r="U1121" s="5"/>
      <c r="V1121" s="5"/>
      <c r="W1121" s="5"/>
      <c r="X1121" s="5"/>
      <c r="Y1121" s="5"/>
      <c r="Z1121" s="5"/>
      <c r="AA1121" s="5"/>
      <c r="AB1121" s="5"/>
      <c r="AC1121" s="47">
        <v>0.0</v>
      </c>
    </row>
    <row r="1122" hidden="1">
      <c r="A1122" s="76" t="str">
        <f t="array" ref="A1122:A1123">{"FormulaRow14";(INDEX(CLASSLIST,A1095,1))}</f>
        <v>FormulaRow14</v>
      </c>
      <c r="B1122" s="77" t="s">
        <v>236</v>
      </c>
      <c r="C1122" s="76" t="str">
        <f t="array" ref="C1122:C1123">{"CLASSTYPE";((INDEX(ALLCLASSDATA,MATCH("ClassType",CLASSFEATUREHEADERS,0),MATCH($A1123,CLASSNAMEHEADERS,0))))}</f>
        <v>CLASSTYPE</v>
      </c>
      <c r="D1122" s="76" t="str">
        <f t="array" ref="D1122:D1123">{"CLASSABILITY";"ClassAbility"}</f>
        <v>CLASSABILITY</v>
      </c>
      <c r="E1122" s="76" t="str">
        <f t="array" ref="E1122:E1123">{"CLASSABILITY4";"ClassAbility4"}</f>
        <v>CLASSABILITY4</v>
      </c>
      <c r="F1122" s="76"/>
      <c r="G1122" s="76"/>
      <c r="H1122" s="76"/>
      <c r="I1122" s="76"/>
      <c r="J1122" s="76" t="str">
        <f t="array" ref="J1122:J1123">{"CLASSABILITY4-L03";((INDEX(ALLCLASSDATA,MATCH("ClassAbility4-L03",CLASSFEATUREHEADERS,0),MATCH(($A1123),CLASSNAMEHEADERS,0))))}</f>
        <v>CLASSABILITY4-L03</v>
      </c>
      <c r="K1122" s="76"/>
      <c r="L1122" s="76" t="str">
        <f t="array" ref="L1122:L1123">{"CLASSABILITY4-L05";((INDEX(ALLCLASSDATA,MATCH("ClassAbility4-L05",CLASSFEATUREHEADERS,0),MATCH(($A1123),CLASSNAMEHEADERS,0))))}</f>
        <v>CLASSABILITY4-L05</v>
      </c>
      <c r="M1122" s="76"/>
      <c r="N1122" s="76" t="str">
        <f t="array" ref="N1122:N1123">{"CLASSABILITY4-L07";((INDEX(ALLCLASSDATA,MATCH("ClassAbility4-L07",CLASSFEATUREHEADERS,0),MATCH(($A1123),CLASSNAMEHEADERS,0))))}</f>
        <v>CLASSABILITY4-L07</v>
      </c>
      <c r="O1122" s="76"/>
      <c r="P1122" s="76" t="str">
        <f t="array" ref="P1122:P1123">{"CLASSABILITY4-L09";((INDEX(ALLCLASSDATA,MATCH("ClassAbility4-L09",CLASSFEATUREHEADERS,0),MATCH(($A1123),CLASSNAMEHEADERS,0))))}</f>
        <v>CLASSABILITY4-L09</v>
      </c>
      <c r="Q1122" s="76"/>
      <c r="R1122" s="76" t="str">
        <f t="array" ref="R1122:R1123">{"CLASSABILITY4-L11";((INDEX(ALLCLASSDATA,MATCH("ClassAbility4-L11",CLASSFEATUREHEADERS,0),MATCH(($A1123),CLASSNAMEHEADERS,0))))}</f>
        <v>CLASSABILITY4-L11</v>
      </c>
      <c r="S1122" s="76"/>
      <c r="T1122" s="76" t="str">
        <f t="array" ref="T1122:T1123">{"CLASSABILITY4-L13";((INDEX(ALLCLASSDATA,MATCH("ClassAbility4-L13",CLASSFEATUREHEADERS,0),MATCH(($A1123),CLASSNAMEHEADERS,0))))}</f>
        <v>CLASSABILITY4-L13</v>
      </c>
      <c r="U1122" s="76"/>
      <c r="V1122" s="76" t="str">
        <f t="array" ref="V1122:V1123">{"CLASSABILITY4-L15";((INDEX(ALLCLASSDATA,MATCH("ClassAbility4-L15",CLASSFEATUREHEADERS,0),MATCH(($A1123),CLASSNAMEHEADERS,0))))}</f>
        <v>CLASSABILITY4-L15</v>
      </c>
      <c r="W1122" s="76"/>
      <c r="X1122" s="76" t="str">
        <f t="array" ref="X1122:X1123">{"CLASSABILITY4-L17";((INDEX(ALLCLASSDATA,MATCH("ClassAbility4-L17",CLASSFEATUREHEADERS,0),MATCH(($A1123),CLASSNAMEHEADERS,0))))}</f>
        <v>CLASSABILITY4-L17</v>
      </c>
      <c r="Y1122" s="76"/>
      <c r="Z1122" s="76" t="str">
        <f t="array" ref="Z1122:Z1123">{"CLASSABILITY4-L19";((INDEX(ALLCLASSDATA,MATCH("ClassAbility4-L19",CLASSFEATUREHEADERS,0),MATCH(($A1123),CLASSNAMEHEADERS,0))))}</f>
        <v>CLASSABILITY4-L19</v>
      </c>
      <c r="AA1122" s="76"/>
      <c r="AB1122" s="76"/>
      <c r="AC1122" s="76"/>
    </row>
    <row r="1123">
      <c r="A1123" s="48" t="s">
        <v>195</v>
      </c>
      <c r="B1123" s="48"/>
      <c r="C1123" s="48" t="s">
        <v>417</v>
      </c>
      <c r="D1123" s="48" t="s">
        <v>825</v>
      </c>
      <c r="E1123" s="48" t="s">
        <v>1273</v>
      </c>
      <c r="F1123" s="48"/>
      <c r="G1123" s="47"/>
      <c r="H1123" s="5"/>
      <c r="I1123" s="5"/>
      <c r="J1123" s="5"/>
      <c r="K1123" s="5"/>
      <c r="L1123" s="5"/>
      <c r="M1123" s="5"/>
      <c r="N1123" s="5"/>
      <c r="O1123" s="5"/>
      <c r="P1123" s="5"/>
      <c r="Q1123" s="5"/>
      <c r="R1123" s="5"/>
      <c r="S1123" s="5"/>
      <c r="T1123" s="5"/>
      <c r="U1123" s="5"/>
      <c r="V1123" s="5"/>
      <c r="W1123" s="5"/>
      <c r="X1123" s="5"/>
      <c r="Y1123" s="5"/>
      <c r="Z1123" s="5"/>
      <c r="AA1123" s="5"/>
      <c r="AB1123" s="5"/>
      <c r="AC1123" s="47"/>
    </row>
    <row r="1124" hidden="1">
      <c r="A1124" s="76" t="str">
        <f t="array" ref="A1124:A1125">{"FormulaRow15";(INDEX(CLASSLIST,A1095,1))}</f>
        <v>FormulaRow15</v>
      </c>
      <c r="B1124" s="77" t="s">
        <v>236</v>
      </c>
      <c r="C1124" s="76" t="str">
        <f t="array" ref="C1124:C1125">{"CLASSTYPE";((INDEX(ALLCLASSDATA,MATCH("ClassType",CLASSFEATUREHEADERS,0),MATCH($A1125,CLASSNAMEHEADERS,0))))}</f>
        <v>CLASSTYPE</v>
      </c>
      <c r="D1124" s="76" t="str">
        <f t="array" ref="D1124:D1125">{"CLASSABILITYPTS";"ClassAbilityPts"}</f>
        <v>CLASSABILITYPTS</v>
      </c>
      <c r="E1124" s="76" t="str">
        <f t="array" ref="E1124:E1125">{"CLASSABILITY4";"ClassAbility4"}</f>
        <v>CLASSABILITY4</v>
      </c>
      <c r="F1124" s="76"/>
      <c r="G1124" s="76"/>
      <c r="H1124" s="76"/>
      <c r="I1124" s="76"/>
      <c r="J1124" s="76" t="str">
        <f t="array" ref="J1124:J1125">{"CLASSABILITY4-L03PTS";((INDEX(ALLCLASSDATA,MATCH("ClassAbility4-L03",CLASSFEATUREHEADERS,0),MATCH(($A1125 &amp; "Points"),CLASSNAMEHEADERS,0))))}</f>
        <v>CLASSABILITY4-L03PTS</v>
      </c>
      <c r="K1124" s="76"/>
      <c r="L1124" s="76" t="str">
        <f t="array" ref="L1124:L1125">{"CLASSABILITY4-L05PTS";((INDEX(ALLCLASSDATA,MATCH("ClassAbility4-L05",CLASSFEATUREHEADERS,0),MATCH(($A1125 &amp; "Points"),CLASSNAMEHEADERS,0))))}</f>
        <v>CLASSABILITY4-L05PTS</v>
      </c>
      <c r="M1124" s="76"/>
      <c r="N1124" s="76" t="str">
        <f t="array" ref="N1124:N1125">{"CLASSABILITY4-L07PTS";((INDEX(ALLCLASSDATA,MATCH("ClassAbility4-L07",CLASSFEATUREHEADERS,0),MATCH(($A1125 &amp; "Points"),CLASSNAMEHEADERS,0))))}</f>
        <v>CLASSABILITY4-L07PTS</v>
      </c>
      <c r="O1124" s="76"/>
      <c r="P1124" s="76" t="str">
        <f t="array" ref="P1124:P1125">{"CLASSABILITY4-L09PTS";((INDEX(ALLCLASSDATA,MATCH("ClassAbility4-L09",CLASSFEATUREHEADERS,0),MATCH(($A1125 &amp; "Points"),CLASSNAMEHEADERS,0))))}</f>
        <v>CLASSABILITY4-L09PTS</v>
      </c>
      <c r="Q1124" s="76"/>
      <c r="R1124" s="76" t="str">
        <f t="array" ref="R1124:R1125">{"CLASSABILITY4-L11PTS";((INDEX(ALLCLASSDATA,MATCH("ClassAbility4-L11",CLASSFEATUREHEADERS,0),MATCH(($A1125 &amp; "Points"),CLASSNAMEHEADERS,0))))}</f>
        <v>CLASSABILITY4-L11PTS</v>
      </c>
      <c r="S1124" s="76"/>
      <c r="T1124" s="76" t="str">
        <f t="array" ref="T1124:T1125">{"CLASSABILITY4-L13PTS";((INDEX(ALLCLASSDATA,MATCH("ClassAbility4-L13",CLASSFEATUREHEADERS,0),MATCH(($A1125 &amp; "Points"),CLASSNAMEHEADERS,0))))}</f>
        <v>CLASSABILITY4-L13PTS</v>
      </c>
      <c r="U1124" s="76"/>
      <c r="V1124" s="76" t="str">
        <f t="array" ref="V1124:V1125">{"CLASSABILITY4-L15PTS";((INDEX(ALLCLASSDATA,MATCH("ClassAbility4-L15",CLASSFEATUREHEADERS,0),MATCH(($A1125 &amp; "Points"),CLASSNAMEHEADERS,0))))}</f>
        <v>CLASSABILITY4-L15PTS</v>
      </c>
      <c r="W1124" s="76"/>
      <c r="X1124" s="76" t="str">
        <f t="array" ref="X1124:X1125">{"CLASSABILITY4-L17PTS";((INDEX(ALLCLASSDATA,MATCH("ClassAbility4-L17",CLASSFEATUREHEADERS,0),MATCH(($A1125 &amp; "Points"),CLASSNAMEHEADERS,0))))}</f>
        <v>CLASSABILITY4-L17PTS</v>
      </c>
      <c r="Y1124" s="76"/>
      <c r="Z1124" s="76" t="str">
        <f t="array" ref="Z1124:Z1125">{"CLASSABILITY4-L19PTS";((INDEX(ALLCLASSDATA,MATCH("ClassAbility4-L19",CLASSFEATUREHEADERS,0),MATCH(($A1125 &amp; "Points"),CLASSNAMEHEADERS,0))))}</f>
        <v>CLASSABILITY4-L19PTS</v>
      </c>
      <c r="AA1124" s="76"/>
      <c r="AB1124" s="76"/>
      <c r="AC1124" s="76" t="str">
        <f t="array" ref="AC1124:AC1125">{"CLASSABILITY4 TOTAL";(sum(G1125:AA1125))}</f>
        <v>CLASSABILITY4 TOTAL</v>
      </c>
    </row>
    <row r="1125">
      <c r="A1125" s="48" t="s">
        <v>195</v>
      </c>
      <c r="B1125" s="48"/>
      <c r="C1125" s="48" t="s">
        <v>417</v>
      </c>
      <c r="D1125" s="48" t="s">
        <v>930</v>
      </c>
      <c r="E1125" s="48" t="s">
        <v>1273</v>
      </c>
      <c r="F1125" s="48"/>
      <c r="G1125" s="47"/>
      <c r="H1125" s="5"/>
      <c r="I1125" s="5"/>
      <c r="J1125" s="5"/>
      <c r="K1125" s="5"/>
      <c r="L1125" s="5"/>
      <c r="M1125" s="5"/>
      <c r="N1125" s="5"/>
      <c r="O1125" s="5"/>
      <c r="P1125" s="5"/>
      <c r="Q1125" s="5"/>
      <c r="R1125" s="5"/>
      <c r="S1125" s="5"/>
      <c r="T1125" s="5"/>
      <c r="U1125" s="5"/>
      <c r="V1125" s="5"/>
      <c r="W1125" s="5"/>
      <c r="X1125" s="5"/>
      <c r="Y1125" s="5"/>
      <c r="Z1125" s="5"/>
      <c r="AA1125" s="5"/>
      <c r="AB1125" s="5"/>
      <c r="AC1125" s="47">
        <v>0.0</v>
      </c>
    </row>
    <row r="1126" hidden="1">
      <c r="A1126" s="76" t="str">
        <f t="array" ref="A1126:A1127">{"FormulaRow16";(INDEX(CLASSLIST,A1095,1))}</f>
        <v>FormulaRow16</v>
      </c>
      <c r="B1126" s="77" t="s">
        <v>236</v>
      </c>
      <c r="C1126" s="76" t="str">
        <f t="array" ref="C1126:C1127">{"CLASSTYPE";((INDEX(ALLCLASSDATA,MATCH("ClassType",CLASSFEATUREHEADERS,0),MATCH($A1127,CLASSNAMEHEADERS,0))))}</f>
        <v>CLASSTYPE</v>
      </c>
      <c r="D1126" s="76" t="str">
        <f t="array" ref="D1126:D1127">{"CLASSABILITY";"ClassAbility"}</f>
        <v>CLASSABILITY</v>
      </c>
      <c r="E1126" s="76" t="str">
        <f t="array" ref="E1126:E1127">{"SUBCLASSABILITY1";"SubclassAbility1"}</f>
        <v>SUBCLASSABILITY1</v>
      </c>
      <c r="F1126" s="76"/>
      <c r="G1126" s="76"/>
      <c r="H1126" s="76"/>
      <c r="I1126" s="76"/>
      <c r="J1126" s="76" t="str">
        <f t="array" ref="J1126:J1127">{"SUBCLASSABILITY1-L03";((INDEX(ALLCLASSDATA,MATCH("SubclassAbility1-L03",CLASSFEATUREHEADERS,0),MATCH(($A1127),CLASSNAMEHEADERS,0))))}</f>
        <v>SUBCLASSABILITY1-L03</v>
      </c>
      <c r="K1126" s="76"/>
      <c r="L1126" s="76" t="str">
        <f t="array" ref="L1126:L1127">{"SUBCLASSABILITY1-L05";((INDEX(ALLCLASSDATA,MATCH("SubclassAbility1-L05",CLASSFEATUREHEADERS,0),MATCH(($A1127),CLASSNAMEHEADERS,0))))}</f>
        <v>SUBCLASSABILITY1-L05</v>
      </c>
      <c r="M1126" s="76"/>
      <c r="N1126" s="76" t="str">
        <f t="array" ref="N1126:N1127">{"SUBCLASSABILITY1-L07";((INDEX(ALLCLASSDATA,MATCH("SubclassAbility1-L07",CLASSFEATUREHEADERS,0),MATCH(($A1127),CLASSNAMEHEADERS,0))))}</f>
        <v>SUBCLASSABILITY1-L07</v>
      </c>
      <c r="O1126" s="76"/>
      <c r="P1126" s="76" t="str">
        <f t="array" ref="P1126:P1127">{"SUBCLASSABILITY1-L09";((INDEX(ALLCLASSDATA,MATCH("SubclassAbility1-L09",CLASSFEATUREHEADERS,0),MATCH(($A1127),CLASSNAMEHEADERS,0))))}</f>
        <v>SUBCLASSABILITY1-L09</v>
      </c>
      <c r="Q1126" s="76"/>
      <c r="R1126" s="76" t="str">
        <f t="array" ref="R1126:R1127">{"SUBCLASSABILITY1-L11";((INDEX(ALLCLASSDATA,MATCH("SubclassAbility1-L11",CLASSFEATUREHEADERS,0),MATCH(($A1127),CLASSNAMEHEADERS,0))))}</f>
        <v>SUBCLASSABILITY1-L11</v>
      </c>
      <c r="S1126" s="76"/>
      <c r="T1126" s="76" t="str">
        <f t="array" ref="T1126:T1127">{"SUBCLASSABILITY1-L13";((INDEX(ALLCLASSDATA,MATCH("SubclassAbility1-L13",CLASSFEATUREHEADERS,0),MATCH(($A1127),CLASSNAMEHEADERS,0))))}</f>
        <v>SUBCLASSABILITY1-L13</v>
      </c>
      <c r="U1126" s="76"/>
      <c r="V1126" s="76" t="str">
        <f t="array" ref="V1126:V1127">{"SUBCLASSABILITY1-L15";((INDEX(ALLCLASSDATA,MATCH("SubclassAbility1-L15",CLASSFEATUREHEADERS,0),MATCH(($A1127),CLASSNAMEHEADERS,0))))}</f>
        <v>SUBCLASSABILITY1-L15</v>
      </c>
      <c r="W1126" s="76"/>
      <c r="X1126" s="76" t="str">
        <f t="array" ref="X1126:X1127">{"SUBCLASSABILITY1-L17";((INDEX(ALLCLASSDATA,MATCH("SubclassAbility1-L17",CLASSFEATUREHEADERS,0),MATCH(($A1127),CLASSNAMEHEADERS,0))))}</f>
        <v>SUBCLASSABILITY1-L17</v>
      </c>
      <c r="Y1126" s="76"/>
      <c r="Z1126" s="76" t="str">
        <f t="array" ref="Z1126:Z1127">{"SUBCLASSABILITY1-L19";((INDEX(ALLCLASSDATA,MATCH("SubclassAbility1-L19",CLASSFEATUREHEADERS,0),MATCH(($A1127),CLASSNAMEHEADERS,0))))}</f>
        <v>SUBCLASSABILITY1-L19</v>
      </c>
      <c r="AA1126" s="76"/>
      <c r="AB1126" s="76"/>
      <c r="AC1126" s="76"/>
    </row>
    <row r="1127">
      <c r="A1127" s="48" t="s">
        <v>195</v>
      </c>
      <c r="B1127" s="48"/>
      <c r="C1127" s="48" t="s">
        <v>417</v>
      </c>
      <c r="D1127" s="48" t="s">
        <v>825</v>
      </c>
      <c r="E1127" s="28" t="s">
        <v>1355</v>
      </c>
      <c r="F1127" s="5"/>
      <c r="G1127" s="47"/>
      <c r="H1127" s="5"/>
      <c r="I1127" s="5"/>
      <c r="J1127" s="5"/>
      <c r="K1127" s="5"/>
      <c r="L1127" s="5" t="s">
        <v>1857</v>
      </c>
      <c r="M1127" s="5"/>
      <c r="N1127" s="5" t="s">
        <v>1298</v>
      </c>
      <c r="O1127" s="5"/>
      <c r="P1127" s="5"/>
      <c r="Q1127" s="5"/>
      <c r="R1127" s="5" t="s">
        <v>1874</v>
      </c>
      <c r="S1127" s="5"/>
      <c r="T1127" s="5" t="s">
        <v>1878</v>
      </c>
      <c r="U1127" s="5"/>
      <c r="V1127" s="5" t="s">
        <v>1883</v>
      </c>
      <c r="W1127" s="5"/>
      <c r="X1127" s="5" t="s">
        <v>1299</v>
      </c>
      <c r="Y1127" s="5"/>
      <c r="Z1127" s="5" t="s">
        <v>1891</v>
      </c>
      <c r="AA1127" s="5"/>
      <c r="AB1127" s="5"/>
      <c r="AC1127" s="47"/>
    </row>
    <row r="1128" hidden="1">
      <c r="A1128" s="76" t="str">
        <f t="array" ref="A1128:A1129">{"FormulaRow17";(INDEX(CLASSLIST,A1095,1))}</f>
        <v>FormulaRow17</v>
      </c>
      <c r="B1128" s="77" t="s">
        <v>236</v>
      </c>
      <c r="C1128" s="76" t="str">
        <f t="array" ref="C1128:C1129">{"CLASSTYPE";((INDEX(ALLCLASSDATA,MATCH("ClassType",CLASSFEATUREHEADERS,0),MATCH($A1129,CLASSNAMEHEADERS,0))))}</f>
        <v>CLASSTYPE</v>
      </c>
      <c r="D1128" s="76" t="str">
        <f t="array" ref="D1128:D1129">{"CLASSABILITYPTS";"ClassAbilityPts"}</f>
        <v>CLASSABILITYPTS</v>
      </c>
      <c r="E1128" s="76" t="str">
        <f t="array" ref="E1128:E1129">{"SUBCLASSABILITY1";"SubclassAbility1"}</f>
        <v>SUBCLASSABILITY1</v>
      </c>
      <c r="F1128" s="76"/>
      <c r="G1128" s="76"/>
      <c r="H1128" s="76"/>
      <c r="I1128" s="76"/>
      <c r="J1128" s="76" t="str">
        <f t="array" ref="J1128:J1129">{"SUBCLASSABILITY1-L03PTS";((INDEX(ALLCLASSDATA,MATCH("SubclassAbility1-L03",CLASSFEATUREHEADERS,0),MATCH(($A1129 &amp; "Points"),CLASSNAMEHEADERS,0))))}</f>
        <v>SUBCLASSABILITY1-L03PTS</v>
      </c>
      <c r="K1128" s="76"/>
      <c r="L1128" s="76" t="str">
        <f t="array" ref="L1128:L1129">{"SUBCLASSABILITY1-L05PTS";((INDEX(ALLCLASSDATA,MATCH("SubclassAbility1-L05",CLASSFEATUREHEADERS,0),MATCH(($A1129 &amp; "Points"),CLASSNAMEHEADERS,0))))}</f>
        <v>SUBCLASSABILITY1-L05PTS</v>
      </c>
      <c r="M1128" s="76"/>
      <c r="N1128" s="76" t="str">
        <f t="array" ref="N1128:N1129">{"SUBCLASSABILITY1-L07PTS";((INDEX(ALLCLASSDATA,MATCH("SubclassAbility1-L07",CLASSFEATUREHEADERS,0),MATCH(($A1129 &amp; "Points"),CLASSNAMEHEADERS,0))))}</f>
        <v>SUBCLASSABILITY1-L07PTS</v>
      </c>
      <c r="O1128" s="76"/>
      <c r="P1128" s="76" t="str">
        <f t="array" ref="P1128:P1129">{"SUBCLASSABILITY1-L09PTS";((INDEX(ALLCLASSDATA,MATCH("SubclassAbility1-L09",CLASSFEATUREHEADERS,0),MATCH(($A1129 &amp; "Points"),CLASSNAMEHEADERS,0))))}</f>
        <v>SUBCLASSABILITY1-L09PTS</v>
      </c>
      <c r="Q1128" s="76"/>
      <c r="R1128" s="76" t="str">
        <f t="array" ref="R1128:R1129">{"SUBCLASSABILITY1-L11PTS";((INDEX(ALLCLASSDATA,MATCH("SubclassAbility1-L11",CLASSFEATUREHEADERS,0),MATCH(($A1129 &amp; "Points"),CLASSNAMEHEADERS,0))))}</f>
        <v>SUBCLASSABILITY1-L11PTS</v>
      </c>
      <c r="S1128" s="76"/>
      <c r="T1128" s="76" t="str">
        <f t="array" ref="T1128:T1129">{"SUBCLASSABILITY1-L13PTS";((INDEX(ALLCLASSDATA,MATCH("SubclassAbility1-L13",CLASSFEATUREHEADERS,0),MATCH(($A1129 &amp; "Points"),CLASSNAMEHEADERS,0))))}</f>
        <v>SUBCLASSABILITY1-L13PTS</v>
      </c>
      <c r="U1128" s="76"/>
      <c r="V1128" s="76" t="str">
        <f t="array" ref="V1128:V1129">{"SUBCLASSABILITY1-L15PTS";((INDEX(ALLCLASSDATA,MATCH("SubclassAbility1-L15",CLASSFEATUREHEADERS,0),MATCH(($A1129 &amp; "Points"),CLASSNAMEHEADERS,0))))}</f>
        <v>SUBCLASSABILITY1-L15PTS</v>
      </c>
      <c r="W1128" s="76"/>
      <c r="X1128" s="76" t="str">
        <f t="array" ref="X1128:X1129">{"SUBCLASSABILITY1-L17PTS";((INDEX(ALLCLASSDATA,MATCH("SubclassAbility1-L17",CLASSFEATUREHEADERS,0),MATCH(($A1129 &amp; "Points"),CLASSNAMEHEADERS,0))))}</f>
        <v>SUBCLASSABILITY1-L17PTS</v>
      </c>
      <c r="Y1128" s="76"/>
      <c r="Z1128" s="76" t="str">
        <f t="array" ref="Z1128:Z1129">{"SUBCLASSABILITY1-L19PTS";((INDEX(ALLCLASSDATA,MATCH("SubclassAbility1-L19",CLASSFEATUREHEADERS,0),MATCH(($A1129 &amp; "Points"),CLASSNAMEHEADERS,0))))}</f>
        <v>SUBCLASSABILITY1-L19PTS</v>
      </c>
      <c r="AA1128" s="76"/>
      <c r="AB1128" s="76"/>
      <c r="AC1128" s="76" t="str">
        <f t="array" ref="AC1128:AC1129">{"SUBCLASSABILITY1 TOTAL";(sum(G1129:AA1129))}</f>
        <v>SUBCLASSABILITY1 TOTAL</v>
      </c>
    </row>
    <row r="1129">
      <c r="A1129" s="48" t="s">
        <v>195</v>
      </c>
      <c r="B1129" s="48"/>
      <c r="C1129" s="48" t="s">
        <v>417</v>
      </c>
      <c r="D1129" s="48" t="s">
        <v>930</v>
      </c>
      <c r="E1129" s="28" t="s">
        <v>1355</v>
      </c>
      <c r="F1129" s="5"/>
      <c r="G1129" s="47"/>
      <c r="H1129" s="5"/>
      <c r="I1129" s="5"/>
      <c r="J1129" s="5"/>
      <c r="K1129" s="5"/>
      <c r="L1129" s="5">
        <v>50.0</v>
      </c>
      <c r="M1129" s="5"/>
      <c r="N1129" s="5">
        <v>70.0</v>
      </c>
      <c r="O1129" s="5"/>
      <c r="P1129" s="5"/>
      <c r="Q1129" s="5"/>
      <c r="R1129" s="5">
        <v>50.0</v>
      </c>
      <c r="S1129" s="5"/>
      <c r="T1129" s="5">
        <v>110.0</v>
      </c>
      <c r="U1129" s="5"/>
      <c r="V1129" s="5">
        <v>150.0</v>
      </c>
      <c r="W1129" s="5"/>
      <c r="X1129" s="5">
        <v>170.0</v>
      </c>
      <c r="Y1129" s="5"/>
      <c r="Z1129" s="5">
        <v>110.0</v>
      </c>
      <c r="AA1129" s="5"/>
      <c r="AB1129" s="5"/>
      <c r="AC1129" s="47">
        <v>710.0</v>
      </c>
    </row>
    <row r="1130" hidden="1">
      <c r="A1130" s="76" t="str">
        <f t="array" ref="A1130:A1131">{"FormulaRow18";(INDEX(CLASSLIST,A1095,1))}</f>
        <v>FormulaRow18</v>
      </c>
      <c r="B1130" s="77" t="s">
        <v>236</v>
      </c>
      <c r="C1130" s="76" t="str">
        <f t="array" ref="C1130:C1131">{"CLASSTYPE";((INDEX(ALLCLASSDATA,MATCH("ClassType",CLASSFEATUREHEADERS,0),MATCH($A1131,CLASSNAMEHEADERS,0))))}</f>
        <v>CLASSTYPE</v>
      </c>
      <c r="D1130" s="76" t="str">
        <f t="array" ref="D1130:D1131">{"CLASSABILITY";"ClassAbility"}</f>
        <v>CLASSABILITY</v>
      </c>
      <c r="E1130" s="76" t="str">
        <f t="array" ref="E1130:E1131">{"SUBCLASSABILITY2";"SubclassAbility2"}</f>
        <v>SUBCLASSABILITY2</v>
      </c>
      <c r="F1130" s="76"/>
      <c r="G1130" s="76"/>
      <c r="H1130" s="76"/>
      <c r="I1130" s="76"/>
      <c r="J1130" s="76" t="str">
        <f t="array" ref="J1130:J1131">{"SUBCLASSABILITY2-L03";((INDEX(ALLCLASSDATA,MATCH("SubclassAbility2-L03",CLASSFEATUREHEADERS,0),MATCH(($A1131),CLASSNAMEHEADERS,0))))}</f>
        <v>SUBCLASSABILITY2-L03</v>
      </c>
      <c r="K1130" s="76"/>
      <c r="L1130" s="76" t="str">
        <f t="array" ref="L1130:L1131">{"SUBCLASSABILITY2-L05";((INDEX(ALLCLASSDATA,MATCH("SubclassAbility2-L05",CLASSFEATUREHEADERS,0),MATCH(($A1131),CLASSNAMEHEADERS,0))))}</f>
        <v>SUBCLASSABILITY2-L05</v>
      </c>
      <c r="M1130" s="76"/>
      <c r="N1130" s="76" t="str">
        <f t="array" ref="N1130:N1131">{"SUBCLASSABILITY2-L07";((INDEX(ALLCLASSDATA,MATCH("SubclassAbility2-L07",CLASSFEATUREHEADERS,0),MATCH(($A1131),CLASSNAMEHEADERS,0))))}</f>
        <v>SUBCLASSABILITY2-L07</v>
      </c>
      <c r="O1130" s="76"/>
      <c r="P1130" s="76" t="str">
        <f t="array" ref="P1130:P1131">{"SUBCLASSABILITY2-L09";((INDEX(ALLCLASSDATA,MATCH("SubclassAbility2-L09",CLASSFEATUREHEADERS,0),MATCH(($A1131),CLASSNAMEHEADERS,0))))}</f>
        <v>SUBCLASSABILITY2-L09</v>
      </c>
      <c r="Q1130" s="76"/>
      <c r="R1130" s="76" t="str">
        <f t="array" ref="R1130:R1131">{"SUBCLASSABILITY2-L11";((INDEX(ALLCLASSDATA,MATCH("SubclassAbility2-L11",CLASSFEATUREHEADERS,0),MATCH(($A1131),CLASSNAMEHEADERS,0))))}</f>
        <v>SUBCLASSABILITY2-L11</v>
      </c>
      <c r="S1130" s="76"/>
      <c r="T1130" s="76" t="str">
        <f t="array" ref="T1130:T1131">{"SUBCLASSABILITY2-L13";((INDEX(ALLCLASSDATA,MATCH("SubclassAbility2-L13",CLASSFEATUREHEADERS,0),MATCH(($A1131),CLASSNAMEHEADERS,0))))}</f>
        <v>SUBCLASSABILITY2-L13</v>
      </c>
      <c r="U1130" s="76"/>
      <c r="V1130" s="76" t="str">
        <f t="array" ref="V1130:V1131">{"SUBCLASSABILITY2-L15";((INDEX(ALLCLASSDATA,MATCH("SubclassAbility2-L15",CLASSFEATUREHEADERS,0),MATCH(($A1131),CLASSNAMEHEADERS,0))))}</f>
        <v>SUBCLASSABILITY2-L15</v>
      </c>
      <c r="W1130" s="76"/>
      <c r="X1130" s="76" t="str">
        <f t="array" ref="X1130:X1131">{"SUBCLASSABILITY2-L17";((INDEX(ALLCLASSDATA,MATCH("SubclassAbility2-L17",CLASSFEATUREHEADERS,0),MATCH(($A1131),CLASSNAMEHEADERS,0))))}</f>
        <v>SUBCLASSABILITY2-L17</v>
      </c>
      <c r="Y1130" s="76"/>
      <c r="Z1130" s="76" t="str">
        <f t="array" ref="Z1130:Z1131">{"SUBCLASSABILITY2-L19";((INDEX(ALLCLASSDATA,MATCH("SubclassAbility2-L19",CLASSFEATUREHEADERS,0),MATCH(($A1131),CLASSNAMEHEADERS,0))))}</f>
        <v>SUBCLASSABILITY2-L19</v>
      </c>
      <c r="AA1130" s="76"/>
      <c r="AB1130" s="76"/>
      <c r="AC1130" s="76"/>
    </row>
    <row r="1131">
      <c r="A1131" s="48" t="s">
        <v>195</v>
      </c>
      <c r="B1131" s="48"/>
      <c r="C1131" s="48" t="s">
        <v>417</v>
      </c>
      <c r="D1131" s="48" t="s">
        <v>825</v>
      </c>
      <c r="E1131" s="28" t="s">
        <v>1370</v>
      </c>
      <c r="F1131" s="5"/>
      <c r="G1131" s="47"/>
      <c r="H1131" s="5"/>
      <c r="I1131" s="5"/>
      <c r="J1131" s="5"/>
      <c r="K1131" s="5"/>
      <c r="L1131" s="5"/>
      <c r="M1131" s="5"/>
      <c r="N1131" s="5" t="s">
        <v>1866</v>
      </c>
      <c r="O1131" s="5"/>
      <c r="P1131" s="5"/>
      <c r="Q1131" s="5"/>
      <c r="R1131" s="5"/>
      <c r="S1131" s="5"/>
      <c r="T1131" s="5"/>
      <c r="U1131" s="5"/>
      <c r="V1131" s="5"/>
      <c r="W1131" s="5"/>
      <c r="X1131" s="5"/>
      <c r="Y1131" s="5"/>
      <c r="Z1131" s="5"/>
      <c r="AA1131" s="5"/>
      <c r="AB1131" s="5"/>
      <c r="AC1131" s="47"/>
    </row>
    <row r="1132" hidden="1">
      <c r="A1132" s="76" t="str">
        <f t="array" ref="A1132:A1133">{"FormulaRow19";(INDEX(CLASSLIST,A1095,1))}</f>
        <v>FormulaRow19</v>
      </c>
      <c r="B1132" s="77" t="s">
        <v>236</v>
      </c>
      <c r="C1132" s="76" t="str">
        <f t="array" ref="C1132:C1133">{"CLASSTYPE";((INDEX(ALLCLASSDATA,MATCH("ClassType",CLASSFEATUREHEADERS,0),MATCH($A1133,CLASSNAMEHEADERS,0))))}</f>
        <v>CLASSTYPE</v>
      </c>
      <c r="D1132" s="76" t="str">
        <f t="array" ref="D1132:D1133">{"CLASSABILITYPTS";"ClassAbilityPts"}</f>
        <v>CLASSABILITYPTS</v>
      </c>
      <c r="E1132" s="76" t="str">
        <f t="array" ref="E1132:E1133">{"SUBCLASSABILITY2";"SubclassAbility2"}</f>
        <v>SUBCLASSABILITY2</v>
      </c>
      <c r="F1132" s="76"/>
      <c r="G1132" s="76"/>
      <c r="H1132" s="76"/>
      <c r="I1132" s="76"/>
      <c r="J1132" s="76" t="str">
        <f t="array" ref="J1132:J1133">{"SUBCLASSABILITY2-L03PTS";((INDEX(ALLCLASSDATA,MATCH("SubclassAbility2-L03",CLASSFEATUREHEADERS,0),MATCH(($A1133 &amp; "Points"),CLASSNAMEHEADERS,0))))}</f>
        <v>SUBCLASSABILITY2-L03PTS</v>
      </c>
      <c r="K1132" s="76"/>
      <c r="L1132" s="76" t="str">
        <f t="array" ref="L1132:L1133">{"SUBCLASSABILITY2-L05PTS";((INDEX(ALLCLASSDATA,MATCH("SubclassAbility2-L05",CLASSFEATUREHEADERS,0),MATCH(($A1133 &amp; "Points"),CLASSNAMEHEADERS,0))))}</f>
        <v>SUBCLASSABILITY2-L05PTS</v>
      </c>
      <c r="M1132" s="76"/>
      <c r="N1132" s="76" t="str">
        <f t="array" ref="N1132:N1133">{"SUBCLASSABILITY2-L07PTS";((INDEX(ALLCLASSDATA,MATCH("SubclassAbility2-L07",CLASSFEATUREHEADERS,0),MATCH(($A1133 &amp; "Points"),CLASSNAMEHEADERS,0))))}</f>
        <v>SUBCLASSABILITY2-L07PTS</v>
      </c>
      <c r="O1132" s="76"/>
      <c r="P1132" s="76" t="str">
        <f t="array" ref="P1132:P1133">{"SUBCLASSABILITY2-L09PTS";((INDEX(ALLCLASSDATA,MATCH("SubclassAbility2-L09",CLASSFEATUREHEADERS,0),MATCH(($A1133 &amp; "Points"),CLASSNAMEHEADERS,0))))}</f>
        <v>SUBCLASSABILITY2-L09PTS</v>
      </c>
      <c r="Q1132" s="76"/>
      <c r="R1132" s="76" t="str">
        <f t="array" ref="R1132:R1133">{"SUBCLASSABILITY2-L11PTS";((INDEX(ALLCLASSDATA,MATCH("SubclassAbility2-L11",CLASSFEATUREHEADERS,0),MATCH(($A1133 &amp; "Points"),CLASSNAMEHEADERS,0))))}</f>
        <v>SUBCLASSABILITY2-L11PTS</v>
      </c>
      <c r="S1132" s="76"/>
      <c r="T1132" s="76" t="str">
        <f t="array" ref="T1132:T1133">{"SUBCLASSABILITY2-L13PTS";((INDEX(ALLCLASSDATA,MATCH("SubclassAbility2-L13",CLASSFEATUREHEADERS,0),MATCH(($A1133 &amp; "Points"),CLASSNAMEHEADERS,0))))}</f>
        <v>SUBCLASSABILITY2-L13PTS</v>
      </c>
      <c r="U1132" s="76"/>
      <c r="V1132" s="76" t="str">
        <f t="array" ref="V1132:V1133">{"SUBCLASSABILITY2-L15PTS";((INDEX(ALLCLASSDATA,MATCH("SubclassAbility2-L15",CLASSFEATUREHEADERS,0),MATCH(($A1133 &amp; "Points"),CLASSNAMEHEADERS,0))))}</f>
        <v>SUBCLASSABILITY2-L15PTS</v>
      </c>
      <c r="W1132" s="76"/>
      <c r="X1132" s="76" t="str">
        <f t="array" ref="X1132:X1133">{"SUBCLASSABILITY2-L17PTS";((INDEX(ALLCLASSDATA,MATCH("SubclassAbility2-L17",CLASSFEATUREHEADERS,0),MATCH(($A1133 &amp; "Points"),CLASSNAMEHEADERS,0))))}</f>
        <v>SUBCLASSABILITY2-L17PTS</v>
      </c>
      <c r="Y1132" s="76"/>
      <c r="Z1132" s="76" t="str">
        <f t="array" ref="Z1132:Z1133">{"SUBCLASSABILITY2-L19PTS";((INDEX(ALLCLASSDATA,MATCH("SubclassAbility2-L19",CLASSFEATUREHEADERS,0),MATCH(($A1133 &amp; "Points"),CLASSNAMEHEADERS,0))))}</f>
        <v>SUBCLASSABILITY2-L19PTS</v>
      </c>
      <c r="AA1132" s="76"/>
      <c r="AB1132" s="76"/>
      <c r="AC1132" s="76" t="str">
        <f t="array" ref="AC1132:AC1133">{"SUBCLASSABILITY2 TOTAL";(sum(G1133:AA1133))}</f>
        <v>SUBCLASSABILITY2 TOTAL</v>
      </c>
    </row>
    <row r="1133">
      <c r="A1133" s="48" t="s">
        <v>195</v>
      </c>
      <c r="B1133" s="48"/>
      <c r="C1133" s="48" t="s">
        <v>417</v>
      </c>
      <c r="D1133" s="97" t="s">
        <v>930</v>
      </c>
      <c r="E1133" s="215" t="s">
        <v>1370</v>
      </c>
      <c r="F1133" s="98"/>
      <c r="G1133" s="132"/>
      <c r="H1133" s="98"/>
      <c r="I1133" s="98"/>
      <c r="J1133" s="98"/>
      <c r="K1133" s="98"/>
      <c r="L1133" s="98"/>
      <c r="M1133" s="98"/>
      <c r="N1133" s="98">
        <v>70.0</v>
      </c>
      <c r="O1133" s="98"/>
      <c r="P1133" s="98"/>
      <c r="Q1133" s="98"/>
      <c r="R1133" s="98"/>
      <c r="S1133" s="98"/>
      <c r="T1133" s="98"/>
      <c r="U1133" s="98"/>
      <c r="V1133" s="98"/>
      <c r="W1133" s="98"/>
      <c r="X1133" s="98"/>
      <c r="Y1133" s="98"/>
      <c r="Z1133" s="98"/>
      <c r="AA1133" s="98"/>
      <c r="AB1133" s="5"/>
      <c r="AC1133" s="47">
        <v>70.0</v>
      </c>
    </row>
    <row r="1134" hidden="1">
      <c r="A1134" s="76" t="str">
        <f t="array" ref="A1134:A1135">{"FormulaRow20";(INDEX(CLASSLIST,A1095,1))}</f>
        <v>FormulaRow20</v>
      </c>
      <c r="B1134" s="77" t="s">
        <v>236</v>
      </c>
      <c r="C1134" s="76" t="str">
        <f t="array" ref="C1134:C1135">{"CLASSTYPE";((INDEX(ALLCLASSDATA,MATCH("ClassType",CLASSFEATUREHEADERS,0),MATCH($A1135,CLASSNAMEHEADERS,0))))}</f>
        <v>CLASSTYPE</v>
      </c>
      <c r="D1134" s="81" t="str">
        <f t="array" ref="D1134:D1135">{"DC";"DC"}</f>
        <v>DC</v>
      </c>
      <c r="E1134" s="81" t="str">
        <f t="array" ref="E1134:E1135">{"CLASSDC";"ClassDC"}</f>
        <v>CLASSDC</v>
      </c>
      <c r="F1134" s="81" t="str">
        <f t="array" ref="F1134:F1135">{"CLASSDCINITIAL";((IF(H1135=10,"T",(IF(H1135=50,"E","")))))}</f>
        <v>CLASSDCINITIAL</v>
      </c>
      <c r="G1134" s="81" t="str">
        <f t="array" ref="G1134:G1135">{"CLASSDCINITIALPTS";((IF("00"=(INDEX(ALLCLASSDATA,MATCH("ClassDCLegendary",CLASSFEATUREHEADERS,0),MATCH($A1135,CLASSNAMEHEADERS,0))),(INDEX(ALLCLASSDATA,MATCH("ClassDCLegendary",CLASSFEATUREHEADERS,0),MATCH(($A1135 &amp; "Points"),CLASSNAMEHEADERS,0))),(IF("00"=(INDEX(ALLCLASSDATA,MATCH("ClassDCMaster",CLASSFEATUREHEADERS,0),MATCH($A1135,CLASSNAMEHEADERS,0))),(INDEX(ALLCLASSDATA,MATCH("ClassDCMaster",CLASSFEATUREHEADERS,0),MATCH(($A1135 &amp; "Points"),CLASSNAMEHEADERS,0))),(IF("00"=(INDEX(ALLCLASSDATA,MATCH("ClassDCExpert",CLASSFEATUREHEADERS,0),MATCH($A1135,CLASSNAMEHEADERS,0))),(INDEX(ALLCLASSDATA,MATCH("ClassDCExpert",CLASSFEATUREHEADERS,0),MATCH(($A1135 &amp; "Points"),CLASSNAMEHEADERS,0))),(IF("00"=(INDEX(ALLCLASSDATA,MATCH("ClassDCTrained",CLASSFEATUREHEADERS,0),MATCH($A1135,CLASSNAMEHEADERS,0))),(INDEX(ALLCLASSDATA,MATCH("ClassDCTrained",CLASSFEATUREHEADERS,0),MATCH(($A1135 &amp; "Points"),CLASSNAMEHEADERS,0))),"")))))))))}</f>
        <v>CLASSDCINITIALPTS</v>
      </c>
      <c r="H1134" s="81" t="str">
        <f t="array" ref="H1134:H1135">{"CLASSDCL01";((IF("01"=(INDEX(ALLCLASSDATA,MATCH("ClassDCLegendary",CLASSFEATUREHEADERS,0),MATCH($A1135,CLASSNAMEHEADERS,0))),(INDEX(ALLCLASSDATA,MATCH("ClassDCLegendary",CLASSFEATUREHEADERS,0),MATCH(($A1135 &amp; "Points"),CLASSNAMEHEADERS,0))),(IF("01"=(INDEX(ALLCLASSDATA,MATCH("ClassDCMaster",CLASSFEATUREHEADERS,0),MATCH($A1135,CLASSNAMEHEADERS,0))),(INDEX(ALLCLASSDATA,MATCH("ClassDCMaster",CLASSFEATUREHEADERS,0),MATCH(($A1135 &amp; "Points"),CLASSNAMEHEADERS,0))),(IF("01"=(INDEX(ALLCLASSDATA,MATCH("ClassDCExpert",CLASSFEATUREHEADERS,0),MATCH($A1135,CLASSNAMEHEADERS,0))),(INDEX(ALLCLASSDATA,MATCH("ClassDCExpert",CLASSFEATUREHEADERS,0),MATCH(($A1135 &amp; "Points"),CLASSNAMEHEADERS,0))),(IF("01"=(INDEX(ALLCLASSDATA,MATCH("ClassDCTrained",CLASSFEATUREHEADERS,0),MATCH($A1135,CLASSNAMEHEADERS,0))),(INDEX(ALLCLASSDATA,MATCH("ClassDCTrained",CLASSFEATUREHEADERS,0),MATCH(($A1135 &amp; "Points"),CLASSNAMEHEADERS,0))),"")))))))))}</f>
        <v>CLASSDCL01</v>
      </c>
      <c r="I1134" s="81"/>
      <c r="J1134" s="81" t="str">
        <f t="array" ref="J1134:J1135">{"CLASSDCL03";((IF("03"=(INDEX(ALLCLASSDATA,MATCH("ClassDCLegendary",CLASSFEATUREHEADERS,0),MATCH($A1135,CLASSNAMEHEADERS,0))),(INDEX(ALLCLASSDATA,MATCH("ClassDCLegendary",CLASSFEATUREHEADERS,0),MATCH(($A1135 &amp; "Points"),CLASSNAMEHEADERS,0))),(IF("03"=(INDEX(ALLCLASSDATA,MATCH("ClassDCMaster",CLASSFEATUREHEADERS,0),MATCH($A1135,CLASSNAMEHEADERS,0))),(INDEX(ALLCLASSDATA,MATCH("ClassDCMaster",CLASSFEATUREHEADERS,0),MATCH(($A1135 &amp; "Points"),CLASSNAMEHEADERS,0))),(IF("03"=(INDEX(ALLCLASSDATA,MATCH("ClassDCExpert",CLASSFEATUREHEADERS,0),MATCH($A1135,CLASSNAMEHEADERS,0))),(INDEX(ALLCLASSDATA,MATCH("ClassDCExpert",CLASSFEATUREHEADERS,0),MATCH(($A1135 &amp; "Points"),CLASSNAMEHEADERS,0))),(IF("03"=(INDEX(ALLCLASSDATA,MATCH("ClassDCTrained",CLASSFEATUREHEADERS,0),MATCH($A1135,CLASSNAMEHEADERS,0))),(INDEX(ALLCLASSDATA,MATCH("ClassDCTrained",CLASSFEATUREHEADERS,0),MATCH(($A1135 &amp; "Points"),CLASSNAMEHEADERS,0))),"")))))))))}</f>
        <v>CLASSDCL03</v>
      </c>
      <c r="K1134" s="81"/>
      <c r="L1134" s="81" t="str">
        <f t="array" ref="L1134:L1135">{"CLASSDCL05";((IF("05"=(INDEX(ALLCLASSDATA,MATCH("ClassDCLegendary",CLASSFEATUREHEADERS,0),MATCH($A1135,CLASSNAMEHEADERS,0))),(INDEX(ALLCLASSDATA,MATCH("ClassDCLegendary",CLASSFEATUREHEADERS,0),MATCH(($A1135 &amp; "Points"),CLASSNAMEHEADERS,0))),(IF("05"=(INDEX(ALLCLASSDATA,MATCH("ClassDCMaster",CLASSFEATUREHEADERS,0),MATCH($A1135,CLASSNAMEHEADERS,0))),(INDEX(ALLCLASSDATA,MATCH("ClassDCMaster",CLASSFEATUREHEADERS,0),MATCH(($A1135 &amp; "Points"),CLASSNAMEHEADERS,0))),(IF("05"=(INDEX(ALLCLASSDATA,MATCH("ClassDCExpert",CLASSFEATUREHEADERS,0),MATCH($A1135,CLASSNAMEHEADERS,0))),(INDEX(ALLCLASSDATA,MATCH("ClassDCExpert",CLASSFEATUREHEADERS,0),MATCH(($A1135 &amp; "Points"),CLASSNAMEHEADERS,0))),(IF("05"=(INDEX(ALLCLASSDATA,MATCH("ClassDCTrained",CLASSFEATUREHEADERS,0),MATCH($A1135,CLASSNAMEHEADERS,0))),(INDEX(ALLCLASSDATA,MATCH("ClassDCTrained",CLASSFEATUREHEADERS,0),MATCH(($A1135 &amp; "Points"),CLASSNAMEHEADERS,0))),"")))))))))}</f>
        <v>CLASSDCL05</v>
      </c>
      <c r="M1134" s="81"/>
      <c r="N1134" s="81" t="str">
        <f t="array" ref="N1134:N1135">{"CLASSDCL07";((IF("07"=(INDEX(ALLCLASSDATA,MATCH("ClassDCLegendary",CLASSFEATUREHEADERS,0),MATCH($A1135,CLASSNAMEHEADERS,0))),(INDEX(ALLCLASSDATA,MATCH("ClassDCLegendary",CLASSFEATUREHEADERS,0),MATCH(($A1135 &amp; "Points"),CLASSNAMEHEADERS,0))),(IF("07"=(INDEX(ALLCLASSDATA,MATCH("ClassDCMaster",CLASSFEATUREHEADERS,0),MATCH($A1135,CLASSNAMEHEADERS,0))),(INDEX(ALLCLASSDATA,MATCH("ClassDCMaster",CLASSFEATUREHEADERS,0),MATCH(($A1135 &amp; "Points"),CLASSNAMEHEADERS,0))),(IF("07"=(INDEX(ALLCLASSDATA,MATCH("ClassDCExpert",CLASSFEATUREHEADERS,0),MATCH($A1135,CLASSNAMEHEADERS,0))),(INDEX(ALLCLASSDATA,MATCH("ClassDCExpert",CLASSFEATUREHEADERS,0),MATCH(($A1135 &amp; "Points"),CLASSNAMEHEADERS,0))),(IF("07"=(INDEX(ALLCLASSDATA,MATCH("ClassDCTrained",CLASSFEATUREHEADERS,0),MATCH($A1135,CLASSNAMEHEADERS,0))),(INDEX(ALLCLASSDATA,MATCH("ClassDCTrained",CLASSFEATUREHEADERS,0),MATCH(($A1135 &amp; "Points"),CLASSNAMEHEADERS,0))),"")))))))))}</f>
        <v>CLASSDCL07</v>
      </c>
      <c r="O1134" s="81"/>
      <c r="P1134" s="81" t="str">
        <f t="array" ref="P1134:P1135">{"CLASSDCL09";((IF("09"=(INDEX(ALLCLASSDATA,MATCH("ClassDCLegendary",CLASSFEATUREHEADERS,0),MATCH($A1135,CLASSNAMEHEADERS,0))),(INDEX(ALLCLASSDATA,MATCH("ClassDCLegendary",CLASSFEATUREHEADERS,0),MATCH(($A1135 &amp; "Points"),CLASSNAMEHEADERS,0))),(IF("09"=(INDEX(ALLCLASSDATA,MATCH("ClassDCMaster",CLASSFEATUREHEADERS,0),MATCH($A1135,CLASSNAMEHEADERS,0))),(INDEX(ALLCLASSDATA,MATCH("ClassDCMaster",CLASSFEATUREHEADERS,0),MATCH(($A1135 &amp; "Points"),CLASSNAMEHEADERS,0))),(IF("09"=(INDEX(ALLCLASSDATA,MATCH("ClassDCExpert",CLASSFEATUREHEADERS,0),MATCH($A1135,CLASSNAMEHEADERS,0))),(INDEX(ALLCLASSDATA,MATCH("ClassDCExpert",CLASSFEATUREHEADERS,0),MATCH(($A1135 &amp; "Points"),CLASSNAMEHEADERS,0))),(IF("09"=(INDEX(ALLCLASSDATA,MATCH("ClassDCTrained",CLASSFEATUREHEADERS,0),MATCH($A1135,CLASSNAMEHEADERS,0))),(INDEX(ALLCLASSDATA,MATCH("ClassDCTrained",CLASSFEATUREHEADERS,0),MATCH(($A1135 &amp; "Points"),CLASSNAMEHEADERS,0))),"")))))))))}</f>
        <v>CLASSDCL09</v>
      </c>
      <c r="Q1134" s="81"/>
      <c r="R1134" s="81" t="str">
        <f t="array" ref="R1134:R1135">{"CLASSDCL11";((IF("11"=(INDEX(ALLCLASSDATA,MATCH("ClassDCLegendary",CLASSFEATUREHEADERS,0),MATCH($A1135,CLASSNAMEHEADERS,0))),(INDEX(ALLCLASSDATA,MATCH("ClassDCLegendary",CLASSFEATUREHEADERS,0),MATCH(($A1135 &amp; "Points"),CLASSNAMEHEADERS,0))),(IF("11"=(INDEX(ALLCLASSDATA,MATCH("ClassDCMaster",CLASSFEATUREHEADERS,0),MATCH($A1135,CLASSNAMEHEADERS,0))),(INDEX(ALLCLASSDATA,MATCH("ClassDCMaster",CLASSFEATUREHEADERS,0),MATCH(($A1135 &amp; "Points"),CLASSNAMEHEADERS,0))),(IF("11"=(INDEX(ALLCLASSDATA,MATCH("ClassDCExpert",CLASSFEATUREHEADERS,0),MATCH($A1135,CLASSNAMEHEADERS,0))),(INDEX(ALLCLASSDATA,MATCH("ClassDCExpert",CLASSFEATUREHEADERS,0),MATCH(($A1135 &amp; "Points"),CLASSNAMEHEADERS,0))),(IF("11"=(INDEX(ALLCLASSDATA,MATCH("ClassDCTrained",CLASSFEATUREHEADERS,0),MATCH($A1135,CLASSNAMEHEADERS,0))),(INDEX(ALLCLASSDATA,MATCH("ClassDCTrained",CLASSFEATUREHEADERS,0),MATCH(($A1135 &amp; "Points"),CLASSNAMEHEADERS,0))),"")))))))))}</f>
        <v>CLASSDCL11</v>
      </c>
      <c r="S1134" s="81"/>
      <c r="T1134" s="81" t="str">
        <f t="array" ref="T1134:T1135">{"CLASSDCL13";((IF("13"=(INDEX(ALLCLASSDATA,MATCH("ClassDCLegendary",CLASSFEATUREHEADERS,0),MATCH($A1135,CLASSNAMEHEADERS,0))),(INDEX(ALLCLASSDATA,MATCH("ClassDCLegendary",CLASSFEATUREHEADERS,0),MATCH(($A1135 &amp; "Points"),CLASSNAMEHEADERS,0))),(IF("13"=(INDEX(ALLCLASSDATA,MATCH("ClassDCMaster",CLASSFEATUREHEADERS,0),MATCH($A1135,CLASSNAMEHEADERS,0))),(INDEX(ALLCLASSDATA,MATCH("ClassDCMaster",CLASSFEATUREHEADERS,0),MATCH(($A1135 &amp; "Points"),CLASSNAMEHEADERS,0))),(IF("13"=(INDEX(ALLCLASSDATA,MATCH("ClassDCExpert",CLASSFEATUREHEADERS,0),MATCH($A1135,CLASSNAMEHEADERS,0))),(INDEX(ALLCLASSDATA,MATCH("ClassDCExpert",CLASSFEATUREHEADERS,0),MATCH(($A1135 &amp; "Points"),CLASSNAMEHEADERS,0))),(IF("13"=(INDEX(ALLCLASSDATA,MATCH("ClassDCTrained",CLASSFEATUREHEADERS,0),MATCH($A1135,CLASSNAMEHEADERS,0))),(INDEX(ALLCLASSDATA,MATCH("ClassDCTrained",CLASSFEATUREHEADERS,0),MATCH(($A1135 &amp; "Points"),CLASSNAMEHEADERS,0))),"")))))))))}</f>
        <v>CLASSDCL13</v>
      </c>
      <c r="U1134" s="81"/>
      <c r="V1134" s="81" t="str">
        <f t="array" ref="V1134:V1135">{"CLASSDCL15";((IF("15"=(INDEX(ALLCLASSDATA,MATCH("ClassDCLegendary",CLASSFEATUREHEADERS,0),MATCH($A1135,CLASSNAMEHEADERS,0))),(INDEX(ALLCLASSDATA,MATCH("ClassDCLegendary",CLASSFEATUREHEADERS,0),MATCH(($A1135 &amp; "Points"),CLASSNAMEHEADERS,0))),(IF("15"=(INDEX(ALLCLASSDATA,MATCH("ClassDCMaster",CLASSFEATUREHEADERS,0),MATCH($A1135,CLASSNAMEHEADERS,0))),(INDEX(ALLCLASSDATA,MATCH("ClassDCMaster",CLASSFEATUREHEADERS,0),MATCH(($A1135 &amp; "Points"),CLASSNAMEHEADERS,0))),(IF("15"=(INDEX(ALLCLASSDATA,MATCH("ClassDCExpert",CLASSFEATUREHEADERS,0),MATCH($A1135,CLASSNAMEHEADERS,0))),(INDEX(ALLCLASSDATA,MATCH("ClassDCExpert",CLASSFEATUREHEADERS,0),MATCH(($A1135 &amp; "Points"),CLASSNAMEHEADERS,0))),(IF("15"=(INDEX(ALLCLASSDATA,MATCH("ClassDCTrained",CLASSFEATUREHEADERS,0),MATCH($A1135,CLASSNAMEHEADERS,0))),(INDEX(ALLCLASSDATA,MATCH("ClassDCTrained",CLASSFEATUREHEADERS,0),MATCH(($A1135 &amp; "Points"),CLASSNAMEHEADERS,0))),"")))))))))}</f>
        <v>CLASSDCL15</v>
      </c>
      <c r="W1134" s="81"/>
      <c r="X1134" s="81" t="str">
        <f t="array" ref="X1134:X1135">{"CLASSDCL17";((IF("17"=(INDEX(ALLCLASSDATA,MATCH("ClassDCLegendary",CLASSFEATUREHEADERS,0),MATCH($A1135,CLASSNAMEHEADERS,0))),(INDEX(ALLCLASSDATA,MATCH("ClassDCLegendary",CLASSFEATUREHEADERS,0),MATCH(($A1135 &amp; "Points"),CLASSNAMEHEADERS,0))),(IF("17"=(INDEX(ALLCLASSDATA,MATCH("ClassDCMaster",CLASSFEATUREHEADERS,0),MATCH($A1135,CLASSNAMEHEADERS,0))),(INDEX(ALLCLASSDATA,MATCH("ClassDCMaster",CLASSFEATUREHEADERS,0),MATCH(($A1135 &amp; "Points"),CLASSNAMEHEADERS,0))),(IF("17"=(INDEX(ALLCLASSDATA,MATCH("ClassDCExpert",CLASSFEATUREHEADERS,0),MATCH($A1135,CLASSNAMEHEADERS,0))),(INDEX(ALLCLASSDATA,MATCH("ClassDCExpert",CLASSFEATUREHEADERS,0),MATCH(($A1135 &amp; "Points"),CLASSNAMEHEADERS,0))),(IF("17"=(INDEX(ALLCLASSDATA,MATCH("ClassDCTrained",CLASSFEATUREHEADERS,0),MATCH($A1135,CLASSNAMEHEADERS,0))),(INDEX(ALLCLASSDATA,MATCH("ClassDCTrained",CLASSFEATUREHEADERS,0),MATCH(($A1135 &amp; "Points"),CLASSNAMEHEADERS,0))),"")))))))))}</f>
        <v>CLASSDCL17</v>
      </c>
      <c r="Y1134" s="81"/>
      <c r="Z1134" s="81" t="str">
        <f t="array" ref="Z1134:Z1135">{"CLASSDCL19";((IF("19"=(INDEX(ALLCLASSDATA,MATCH("ClassDCLegendary",CLASSFEATUREHEADERS,0),MATCH($A1135,CLASSNAMEHEADERS,0))),(INDEX(ALLCLASSDATA,MATCH("ClassDCLegendary",CLASSFEATUREHEADERS,0),MATCH(($A1135 &amp; "Points"),CLASSNAMEHEADERS,0))),(IF("19"=(INDEX(ALLCLASSDATA,MATCH("ClassDCMaster",CLASSFEATUREHEADERS,0),MATCH($A1135,CLASSNAMEHEADERS,0))),(INDEX(ALLCLASSDATA,MATCH("ClassDCMaster",CLASSFEATUREHEADERS,0),MATCH(($A1135 &amp; "Points"),CLASSNAMEHEADERS,0))),(IF("19"=(INDEX(ALLCLASSDATA,MATCH("ClassDCExpert",CLASSFEATUREHEADERS,0),MATCH($A1135,CLASSNAMEHEADERS,0))),(INDEX(ALLCLASSDATA,MATCH("ClassDCExpert",CLASSFEATUREHEADERS,0),MATCH(($A1135 &amp; "Points"),CLASSNAMEHEADERS,0))),(IF("19"=(INDEX(ALLCLASSDATA,MATCH("ClassDCTrained",CLASSFEATUREHEADERS,0),MATCH($A1135,CLASSNAMEHEADERS,0))),(INDEX(ALLCLASSDATA,MATCH("ClassDCTrained",CLASSFEATUREHEADERS,0),MATCH(($A1135 &amp; "Points"),CLASSNAMEHEADERS,0))),"")))))))))}</f>
        <v>CLASSDCL19</v>
      </c>
      <c r="AA1134" s="81"/>
      <c r="AB1134" s="76" t="str">
        <f t="array" ref="AB1134:AB1135">{"CLASSDC TOTAL";(IF(COUNTBLANK(G1135:AA1135)=17,"L",(IF(COUNTBLANK(G1135:AA1135)=18,"M",(IF(COUNTBLANK(G1135:AA1135)=19,"E",(IF(COUNTBLANK(G1135:AA1135)=20,"T",""))))))))}</f>
        <v>CLASSDC TOTAL</v>
      </c>
      <c r="AC1134" s="76" t="str">
        <f t="array" ref="AC1134:AC1135">{"CLASSDC TOTAL";(sum(G1135:AA1135))}</f>
        <v>CLASSDC TOTAL</v>
      </c>
    </row>
    <row r="1135">
      <c r="A1135" s="48" t="s">
        <v>195</v>
      </c>
      <c r="B1135" s="48"/>
      <c r="C1135" s="48" t="s">
        <v>417</v>
      </c>
      <c r="D1135" s="48" t="s">
        <v>1465</v>
      </c>
      <c r="E1135" s="48" t="s">
        <v>1466</v>
      </c>
      <c r="F1135" s="5" t="s">
        <v>603</v>
      </c>
      <c r="G1135" s="47" t="s">
        <v>603</v>
      </c>
      <c r="H1135" s="5" t="s">
        <v>603</v>
      </c>
      <c r="I1135" s="5"/>
      <c r="J1135" s="5" t="s">
        <v>603</v>
      </c>
      <c r="K1135" s="5"/>
      <c r="L1135" s="5" t="s">
        <v>603</v>
      </c>
      <c r="M1135" s="5"/>
      <c r="N1135" s="5" t="s">
        <v>603</v>
      </c>
      <c r="O1135" s="5"/>
      <c r="P1135" s="5" t="s">
        <v>603</v>
      </c>
      <c r="Q1135" s="5"/>
      <c r="R1135" s="5" t="s">
        <v>603</v>
      </c>
      <c r="S1135" s="5"/>
      <c r="T1135" s="5" t="s">
        <v>603</v>
      </c>
      <c r="U1135" s="5"/>
      <c r="V1135" s="5" t="s">
        <v>603</v>
      </c>
      <c r="W1135" s="5"/>
      <c r="X1135" s="5" t="s">
        <v>603</v>
      </c>
      <c r="Y1135" s="5"/>
      <c r="Z1135" s="5" t="s">
        <v>603</v>
      </c>
      <c r="AA1135" s="5"/>
      <c r="AB1135" s="5" t="s">
        <v>603</v>
      </c>
      <c r="AC1135" s="47">
        <v>0.0</v>
      </c>
    </row>
    <row r="1136" hidden="1">
      <c r="A1136" s="222" t="str">
        <f t="array" ref="A1136:A1137">{"FormulaRow21";(INDEX(CLASSLIST,A1095,1))}</f>
        <v>FormulaRow21</v>
      </c>
      <c r="B1136" s="77" t="s">
        <v>236</v>
      </c>
      <c r="C1136" s="222" t="str">
        <f t="array" ref="C1136:C1137">{"CLASSTYPE";((INDEX(ALLCLASSDATA,MATCH("ClassType",CLASSFEATUREHEADERS,0),MATCH($A1137,CLASSNAMEHEADERS,0))))}</f>
        <v>CLASSTYPE</v>
      </c>
      <c r="D1136" s="222" t="str">
        <f t="array" ref="D1136:D1137">{"DC";"DC"}</f>
        <v>DC</v>
      </c>
      <c r="E1136" s="222" t="str">
        <f t="array" ref="E1136:E1137">{"SPELLDC";"SpellDC"}</f>
        <v>SPELLDC</v>
      </c>
      <c r="F1136" s="223" t="str">
        <f t="array" ref="F1136:F1137">{"SPELLDCINITIAL";((IF(H1137=10,"T",(IF(H1137=50,"E","")))))}</f>
        <v>SPELLDCINITIAL</v>
      </c>
      <c r="G1136" s="223" t="str">
        <f t="array" ref="G1136:G1137">{"SPELLDCINITIALPTS";((IF("00"=(INDEX(ALLCLASSDATA,MATCH("SpellDCLegendary",CLASSFEATUREHEADERS,0),MATCH($A1137,CLASSNAMEHEADERS,0))),(INDEX(ALLCLASSDATA,MATCH("SpellDCLegendary",CLASSFEATUREHEADERS,0),MATCH(($A1137 &amp; "Points"),CLASSNAMEHEADERS,0))),(IF("00"=(INDEX(ALLCLASSDATA,MATCH("SpellDCMaster",CLASSFEATUREHEADERS,0),MATCH($A1137,CLASSNAMEHEADERS,0))),(INDEX(ALLCLASSDATA,MATCH("SpellDCMaster",CLASSFEATUREHEADERS,0),MATCH(($A1137 &amp; "Points"),CLASSNAMEHEADERS,0))),(IF("00"=(INDEX(ALLCLASSDATA,MATCH("SpellDCExpert",CLASSFEATUREHEADERS,0),MATCH($A1137,CLASSNAMEHEADERS,0))),(INDEX(ALLCLASSDATA,MATCH("SpellDCExpert",CLASSFEATUREHEADERS,0),MATCH(($A1137 &amp; "Points"),CLASSNAMEHEADERS,0))),(IF("00"=(INDEX(ALLCLASSDATA,MATCH("SpellDCTrained",CLASSFEATUREHEADERS,0),MATCH($A1137,CLASSNAMEHEADERS,0))),(INDEX(ALLCLASSDATA,MATCH("SpellDCTrained",CLASSFEATUREHEADERS,0),MATCH(($A1137 &amp; "Points"),CLASSNAMEHEADERS,0))),"")))))))))}</f>
        <v>SPELLDCINITIALPTS</v>
      </c>
      <c r="H1136" s="223" t="str">
        <f t="array" ref="H1136:H1137">{"SPELLDCL01";((IF("01"=(INDEX(ALLCLASSDATA,MATCH("SpellDCLegendary",CLASSFEATUREHEADERS,0),MATCH($A1137,CLASSNAMEHEADERS,0))),(INDEX(ALLCLASSDATA,MATCH("SpellDCLegendary",CLASSFEATUREHEADERS,0),MATCH(($A1137 &amp; "Points"),CLASSNAMEHEADERS,0))),(IF("01"=(INDEX(ALLCLASSDATA,MATCH("SpellDCMaster",CLASSFEATUREHEADERS,0),MATCH($A1137,CLASSNAMEHEADERS,0))),(INDEX(ALLCLASSDATA,MATCH("SpellDCMaster",CLASSFEATUREHEADERS,0),MATCH(($A1137 &amp; "Points"),CLASSNAMEHEADERS,0))),(IF("01"=(INDEX(ALLCLASSDATA,MATCH("SpellDCExpert",CLASSFEATUREHEADERS,0),MATCH($A1137,CLASSNAMEHEADERS,0))),(INDEX(ALLCLASSDATA,MATCH("SpellDCExpert",CLASSFEATUREHEADERS,0),MATCH(($A1137 &amp; "Points"),CLASSNAMEHEADERS,0))),(IF("01"=(INDEX(ALLCLASSDATA,MATCH("SpellDCTrained",CLASSFEATUREHEADERS,0),MATCH($A1137,CLASSNAMEHEADERS,0))),(INDEX(ALLCLASSDATA,MATCH("SpellDCTrained",CLASSFEATUREHEADERS,0),MATCH(($A1137 &amp; "Points"),CLASSNAMEHEADERS,0))),"")))))))))}</f>
        <v>SPELLDCL01</v>
      </c>
      <c r="I1136" s="223"/>
      <c r="J1136" s="223" t="str">
        <f t="array" ref="J1136:J1137">{"SPELLDCL03";((IF("03"=(INDEX(ALLCLASSDATA,MATCH("SpellDCLegendary",CLASSFEATUREHEADERS,0),MATCH($A1137,CLASSNAMEHEADERS,0))),(INDEX(ALLCLASSDATA,MATCH("SpellDCLegendary",CLASSFEATUREHEADERS,0),MATCH(($A1137 &amp; "Points"),CLASSNAMEHEADERS,0))),(IF("03"=(INDEX(ALLCLASSDATA,MATCH("SpellDCMaster",CLASSFEATUREHEADERS,0),MATCH($A1137,CLASSNAMEHEADERS,0))),(INDEX(ALLCLASSDATA,MATCH("SpellDCMaster",CLASSFEATUREHEADERS,0),MATCH(($A1137 &amp; "Points"),CLASSNAMEHEADERS,0))),(IF("03"=(INDEX(ALLCLASSDATA,MATCH("SpellDCExpert",CLASSFEATUREHEADERS,0),MATCH($A1137,CLASSNAMEHEADERS,0))),(INDEX(ALLCLASSDATA,MATCH("SpellDCExpert",CLASSFEATUREHEADERS,0),MATCH(($A1137 &amp; "Points"),CLASSNAMEHEADERS,0))),(IF("03"=(INDEX(ALLCLASSDATA,MATCH("SpellDCTrained",CLASSFEATUREHEADERS,0),MATCH($A1137,CLASSNAMEHEADERS,0))),(INDEX(ALLCLASSDATA,MATCH("SpellDCTrained",CLASSFEATUREHEADERS,0),MATCH(($A1137 &amp; "Points"),CLASSNAMEHEADERS,0))),"")))))))))}</f>
        <v>SPELLDCL03</v>
      </c>
      <c r="K1136" s="223"/>
      <c r="L1136" s="223" t="str">
        <f t="array" ref="L1136:L1137">{"SPELLDCL05";((IF("05"=(INDEX(ALLCLASSDATA,MATCH("SpellDCLegendary",CLASSFEATUREHEADERS,0),MATCH($A1137,CLASSNAMEHEADERS,0))),(INDEX(ALLCLASSDATA,MATCH("SpellDCLegendary",CLASSFEATUREHEADERS,0),MATCH(($A1137 &amp; "Points"),CLASSNAMEHEADERS,0))),(IF("05"=(INDEX(ALLCLASSDATA,MATCH("SpellDCMaster",CLASSFEATUREHEADERS,0),MATCH($A1137,CLASSNAMEHEADERS,0))),(INDEX(ALLCLASSDATA,MATCH("SpellDCMaster",CLASSFEATUREHEADERS,0),MATCH(($A1137 &amp; "Points"),CLASSNAMEHEADERS,0))),(IF("05"=(INDEX(ALLCLASSDATA,MATCH("SpellDCExpert",CLASSFEATUREHEADERS,0),MATCH($A1137,CLASSNAMEHEADERS,0))),(INDEX(ALLCLASSDATA,MATCH("SpellDCExpert",CLASSFEATUREHEADERS,0),MATCH(($A1137 &amp; "Points"),CLASSNAMEHEADERS,0))),(IF("05"=(INDEX(ALLCLASSDATA,MATCH("SpellDCTrained",CLASSFEATUREHEADERS,0),MATCH($A1137,CLASSNAMEHEADERS,0))),(INDEX(ALLCLASSDATA,MATCH("SpellDCTrained",CLASSFEATUREHEADERS,0),MATCH(($A1137 &amp; "Points"),CLASSNAMEHEADERS,0))),"")))))))))}</f>
        <v>SPELLDCL05</v>
      </c>
      <c r="M1136" s="223"/>
      <c r="N1136" s="223" t="str">
        <f t="array" ref="N1136:N1137">{"SPELLDCL07";((IF("07"=(INDEX(ALLCLASSDATA,MATCH("SpellDCLegendary",CLASSFEATUREHEADERS,0),MATCH($A1137,CLASSNAMEHEADERS,0))),(INDEX(ALLCLASSDATA,MATCH("SpellDCLegendary",CLASSFEATUREHEADERS,0),MATCH(($A1137 &amp; "Points"),CLASSNAMEHEADERS,0))),(IF("07"=(INDEX(ALLCLASSDATA,MATCH("SpellDCMaster",CLASSFEATUREHEADERS,0),MATCH($A1137,CLASSNAMEHEADERS,0))),(INDEX(ALLCLASSDATA,MATCH("SpellDCMaster",CLASSFEATUREHEADERS,0),MATCH(($A1137 &amp; "Points"),CLASSNAMEHEADERS,0))),(IF("07"=(INDEX(ALLCLASSDATA,MATCH("SpellDCExpert",CLASSFEATUREHEADERS,0),MATCH($A1137,CLASSNAMEHEADERS,0))),(INDEX(ALLCLASSDATA,MATCH("SpellDCExpert",CLASSFEATUREHEADERS,0),MATCH(($A1137 &amp; "Points"),CLASSNAMEHEADERS,0))),(IF("07"=(INDEX(ALLCLASSDATA,MATCH("SpellDCTrained",CLASSFEATUREHEADERS,0),MATCH($A1137,CLASSNAMEHEADERS,0))),(INDEX(ALLCLASSDATA,MATCH("SpellDCTrained",CLASSFEATUREHEADERS,0),MATCH(($A1137 &amp; "Points"),CLASSNAMEHEADERS,0))),"")))))))))}</f>
        <v>SPELLDCL07</v>
      </c>
      <c r="O1136" s="223"/>
      <c r="P1136" s="223" t="str">
        <f t="array" ref="P1136:P1137">{"SPELLDCL09";((IF("09"=(INDEX(ALLCLASSDATA,MATCH("SpellDCLegendary",CLASSFEATUREHEADERS,0),MATCH($A1137,CLASSNAMEHEADERS,0))),(INDEX(ALLCLASSDATA,MATCH("SpellDCLegendary",CLASSFEATUREHEADERS,0),MATCH(($A1137 &amp; "Points"),CLASSNAMEHEADERS,0))),(IF("09"=(INDEX(ALLCLASSDATA,MATCH("SpellDCMaster",CLASSFEATUREHEADERS,0),MATCH($A1137,CLASSNAMEHEADERS,0))),(INDEX(ALLCLASSDATA,MATCH("SpellDCMaster",CLASSFEATUREHEADERS,0),MATCH(($A1137 &amp; "Points"),CLASSNAMEHEADERS,0))),(IF("09"=(INDEX(ALLCLASSDATA,MATCH("SpellDCExpert",CLASSFEATUREHEADERS,0),MATCH($A1137,CLASSNAMEHEADERS,0))),(INDEX(ALLCLASSDATA,MATCH("SpellDCExpert",CLASSFEATUREHEADERS,0),MATCH(($A1137 &amp; "Points"),CLASSNAMEHEADERS,0))),(IF("09"=(INDEX(ALLCLASSDATA,MATCH("SpellDCTrained",CLASSFEATUREHEADERS,0),MATCH($A1137,CLASSNAMEHEADERS,0))),(INDEX(ALLCLASSDATA,MATCH("SpellDCTrained",CLASSFEATUREHEADERS,0),MATCH(($A1137 &amp; "Points"),CLASSNAMEHEADERS,0))),"")))))))))}</f>
        <v>SPELLDCL09</v>
      </c>
      <c r="Q1136" s="223"/>
      <c r="R1136" s="223" t="str">
        <f t="array" ref="R1136:R1137">{"SPELLDCL11";((IF("11"=(INDEX(ALLCLASSDATA,MATCH("SpellDCLegendary",CLASSFEATUREHEADERS,0),MATCH($A1137,CLASSNAMEHEADERS,0))),(INDEX(ALLCLASSDATA,MATCH("SpellDCLegendary",CLASSFEATUREHEADERS,0),MATCH(($A1137 &amp; "Points"),CLASSNAMEHEADERS,0))),(IF("11"=(INDEX(ALLCLASSDATA,MATCH("SpellDCMaster",CLASSFEATUREHEADERS,0),MATCH($A1137,CLASSNAMEHEADERS,0))),(INDEX(ALLCLASSDATA,MATCH("SpellDCMaster",CLASSFEATUREHEADERS,0),MATCH(($A1137 &amp; "Points"),CLASSNAMEHEADERS,0))),(IF("11"=(INDEX(ALLCLASSDATA,MATCH("SpellDCExpert",CLASSFEATUREHEADERS,0),MATCH($A1137,CLASSNAMEHEADERS,0))),(INDEX(ALLCLASSDATA,MATCH("SpellDCExpert",CLASSFEATUREHEADERS,0),MATCH(($A1137 &amp; "Points"),CLASSNAMEHEADERS,0))),(IF("11"=(INDEX(ALLCLASSDATA,MATCH("SpellDCTrained",CLASSFEATUREHEADERS,0),MATCH($A1137,CLASSNAMEHEADERS,0))),(INDEX(ALLCLASSDATA,MATCH("SpellDCTrained",CLASSFEATUREHEADERS,0),MATCH(($A1137 &amp; "Points"),CLASSNAMEHEADERS,0))),"")))))))))}</f>
        <v>SPELLDCL11</v>
      </c>
      <c r="S1136" s="223"/>
      <c r="T1136" s="223" t="str">
        <f t="array" ref="T1136:T1137">{"SPELLDCL13";((IF("13"=(INDEX(ALLCLASSDATA,MATCH("SpellDCLegendary",CLASSFEATUREHEADERS,0),MATCH($A1137,CLASSNAMEHEADERS,0))),(INDEX(ALLCLASSDATA,MATCH("SpellDCLegendary",CLASSFEATUREHEADERS,0),MATCH(($A1137 &amp; "Points"),CLASSNAMEHEADERS,0))),(IF("13"=(INDEX(ALLCLASSDATA,MATCH("SpellDCMaster",CLASSFEATUREHEADERS,0),MATCH($A1137,CLASSNAMEHEADERS,0))),(INDEX(ALLCLASSDATA,MATCH("SpellDCMaster",CLASSFEATUREHEADERS,0),MATCH(($A1137 &amp; "Points"),CLASSNAMEHEADERS,0))),(IF("13"=(INDEX(ALLCLASSDATA,MATCH("SpellDCExpert",CLASSFEATUREHEADERS,0),MATCH($A1137,CLASSNAMEHEADERS,0))),(INDEX(ALLCLASSDATA,MATCH("SpellDCExpert",CLASSFEATUREHEADERS,0),MATCH(($A1137 &amp; "Points"),CLASSNAMEHEADERS,0))),(IF("13"=(INDEX(ALLCLASSDATA,MATCH("SpellDCTrained",CLASSFEATUREHEADERS,0),MATCH($A1137,CLASSNAMEHEADERS,0))),(INDEX(ALLCLASSDATA,MATCH("SpellDCTrained",CLASSFEATUREHEADERS,0),MATCH(($A1137 &amp; "Points"),CLASSNAMEHEADERS,0))),"")))))))))}</f>
        <v>SPELLDCL13</v>
      </c>
      <c r="U1136" s="223"/>
      <c r="V1136" s="223" t="str">
        <f t="array" ref="V1136:V1137">{"SPELLDCL15";((IF("15"=(INDEX(ALLCLASSDATA,MATCH("SpellDCLegendary",CLASSFEATUREHEADERS,0),MATCH($A1137,CLASSNAMEHEADERS,0))),(INDEX(ALLCLASSDATA,MATCH("SpellDCLegendary",CLASSFEATUREHEADERS,0),MATCH(($A1137 &amp; "Points"),CLASSNAMEHEADERS,0))),(IF("15"=(INDEX(ALLCLASSDATA,MATCH("SpellDCMaster",CLASSFEATUREHEADERS,0),MATCH($A1137,CLASSNAMEHEADERS,0))),(INDEX(ALLCLASSDATA,MATCH("SpellDCMaster",CLASSFEATUREHEADERS,0),MATCH(($A1137 &amp; "Points"),CLASSNAMEHEADERS,0))),(IF("15"=(INDEX(ALLCLASSDATA,MATCH("SpellDCExpert",CLASSFEATUREHEADERS,0),MATCH($A1137,CLASSNAMEHEADERS,0))),(INDEX(ALLCLASSDATA,MATCH("SpellDCExpert",CLASSFEATUREHEADERS,0),MATCH(($A1137 &amp; "Points"),CLASSNAMEHEADERS,0))),(IF("15"=(INDEX(ALLCLASSDATA,MATCH("SpellDCTrained",CLASSFEATUREHEADERS,0),MATCH($A1137,CLASSNAMEHEADERS,0))),(INDEX(ALLCLASSDATA,MATCH("SpellDCTrained",CLASSFEATUREHEADERS,0),MATCH(($A1137 &amp; "Points"),CLASSNAMEHEADERS,0))),"")))))))))}</f>
        <v>SPELLDCL15</v>
      </c>
      <c r="W1136" s="223"/>
      <c r="X1136" s="223" t="str">
        <f t="array" ref="X1136:X1137">{"SPELLDCL17";((IF("17"=(INDEX(ALLCLASSDATA,MATCH("SpellDCLegendary",CLASSFEATUREHEADERS,0),MATCH($A1137,CLASSNAMEHEADERS,0))),(INDEX(ALLCLASSDATA,MATCH("SpellDCLegendary",CLASSFEATUREHEADERS,0),MATCH(($A1137 &amp; "Points"),CLASSNAMEHEADERS,0))),(IF("17"=(INDEX(ALLCLASSDATA,MATCH("SpellDCMaster",CLASSFEATUREHEADERS,0),MATCH($A1137,CLASSNAMEHEADERS,0))),(INDEX(ALLCLASSDATA,MATCH("SpellDCMaster",CLASSFEATUREHEADERS,0),MATCH(($A1137 &amp; "Points"),CLASSNAMEHEADERS,0))),(IF("17"=(INDEX(ALLCLASSDATA,MATCH("SpellDCExpert",CLASSFEATUREHEADERS,0),MATCH($A1137,CLASSNAMEHEADERS,0))),(INDEX(ALLCLASSDATA,MATCH("SpellDCExpert",CLASSFEATUREHEADERS,0),MATCH(($A1137 &amp; "Points"),CLASSNAMEHEADERS,0))),(IF("17"=(INDEX(ALLCLASSDATA,MATCH("SpellDCTrained",CLASSFEATUREHEADERS,0),MATCH($A1137,CLASSNAMEHEADERS,0))),(INDEX(ALLCLASSDATA,MATCH("SpellDCTrained",CLASSFEATUREHEADERS,0),MATCH(($A1137 &amp; "Points"),CLASSNAMEHEADERS,0))),"")))))))))}</f>
        <v>SPELLDCL17</v>
      </c>
      <c r="Y1136" s="223"/>
      <c r="Z1136" s="223" t="str">
        <f t="array" ref="Z1136:Z1137">{"SPELLDCL19";((IF("19"=(INDEX(ALLCLASSDATA,MATCH("SpellDCLegendary",CLASSFEATUREHEADERS,0),MATCH($A1137,CLASSNAMEHEADERS,0))),(INDEX(ALLCLASSDATA,MATCH("SpellDCLegendary",CLASSFEATUREHEADERS,0),MATCH(($A1137 &amp; "Points"),CLASSNAMEHEADERS,0))),(IF("19"=(INDEX(ALLCLASSDATA,MATCH("SpellDCMaster",CLASSFEATUREHEADERS,0),MATCH($A1137,CLASSNAMEHEADERS,0))),(INDEX(ALLCLASSDATA,MATCH("SpellDCMaster",CLASSFEATUREHEADERS,0),MATCH(($A1137 &amp; "Points"),CLASSNAMEHEADERS,0))),(IF("19"=(INDEX(ALLCLASSDATA,MATCH("SpellDCExpert",CLASSFEATUREHEADERS,0),MATCH($A1137,CLASSNAMEHEADERS,0))),(INDEX(ALLCLASSDATA,MATCH("SpellDCExpert",CLASSFEATUREHEADERS,0),MATCH(($A1137 &amp; "Points"),CLASSNAMEHEADERS,0))),(IF("19"=(INDEX(ALLCLASSDATA,MATCH("SpellDCTrained",CLASSFEATUREHEADERS,0),MATCH($A1137,CLASSNAMEHEADERS,0))),(INDEX(ALLCLASSDATA,MATCH("SpellDCTrained",CLASSFEATUREHEADERS,0),MATCH(($A1137 &amp; "Points"),CLASSNAMEHEADERS,0))),"")))))))))}</f>
        <v>SPELLDCL19</v>
      </c>
      <c r="AA1136" s="223"/>
      <c r="AB1136" s="76" t="str">
        <f t="array" ref="AB1136:AB1137">{"SPELLDC TOTAL";(IF(COUNTBLANK(G1137:AA1137)=17,"L",(IF(COUNTBLANK(G1137:AA1137)=18,"M",(IF(COUNTBLANK(G1137:AA1137)=19,"E",(IF(COUNTBLANK(G1137:AA1137)=20,"T",""))))))))}</f>
        <v>SPELLDC TOTAL</v>
      </c>
      <c r="AC1136" s="76" t="str">
        <f t="array" ref="AC1136:AC1137">{"SPELLDC TOTAL";(sum(G1137:AA1137))}</f>
        <v>SPELLDC TOTAL</v>
      </c>
    </row>
    <row r="1137">
      <c r="A1137" s="48" t="s">
        <v>195</v>
      </c>
      <c r="B1137" s="48"/>
      <c r="C1137" s="48" t="s">
        <v>417</v>
      </c>
      <c r="D1137" s="97" t="s">
        <v>1465</v>
      </c>
      <c r="E1137" s="97" t="s">
        <v>1485</v>
      </c>
      <c r="F1137" s="98" t="s">
        <v>435</v>
      </c>
      <c r="G1137" s="132" t="s">
        <v>603</v>
      </c>
      <c r="H1137" s="98">
        <v>10.0</v>
      </c>
      <c r="I1137" s="98"/>
      <c r="J1137" s="98" t="s">
        <v>603</v>
      </c>
      <c r="K1137" s="98"/>
      <c r="L1137" s="98" t="s">
        <v>603</v>
      </c>
      <c r="M1137" s="98"/>
      <c r="N1137" s="98" t="s">
        <v>603</v>
      </c>
      <c r="O1137" s="98"/>
      <c r="P1137" s="98">
        <v>50.0</v>
      </c>
      <c r="Q1137" s="98"/>
      <c r="R1137" s="98" t="s">
        <v>603</v>
      </c>
      <c r="S1137" s="98"/>
      <c r="T1137" s="98" t="s">
        <v>603</v>
      </c>
      <c r="U1137" s="98"/>
      <c r="V1137" s="98" t="s">
        <v>603</v>
      </c>
      <c r="W1137" s="98"/>
      <c r="X1137" s="98">
        <v>110.0</v>
      </c>
      <c r="Y1137" s="98"/>
      <c r="Z1137" s="98" t="s">
        <v>603</v>
      </c>
      <c r="AA1137" s="98"/>
      <c r="AB1137" s="5" t="s">
        <v>437</v>
      </c>
      <c r="AC1137" s="47">
        <v>170.0</v>
      </c>
    </row>
    <row r="1138" hidden="1">
      <c r="A1138" s="222" t="str">
        <f t="array" ref="A1138:A1139">{"FormulaRow22";(INDEX(CLASSLIST,A1095,1))}</f>
        <v>FormulaRow22</v>
      </c>
      <c r="B1138" s="77" t="s">
        <v>236</v>
      </c>
      <c r="C1138" s="222" t="str">
        <f t="array" ref="C1138:C1139">{"CLASSTYPE";((INDEX(ALLCLASSDATA,MATCH("ClassType",CLASSFEATUREHEADERS,0),MATCH($A1139,CLASSNAMEHEADERS,0))))}</f>
        <v>CLASSTYPE</v>
      </c>
      <c r="D1138" s="228" t="str">
        <f t="shared" ref="D1138:E1138" si="13">{"PERCEPTION";"Perception"}</f>
        <v>PERCEPTION</v>
      </c>
      <c r="E1138" s="228" t="str">
        <f t="shared" si="13"/>
        <v>PERCEPTION</v>
      </c>
      <c r="F1138" s="230" t="str">
        <f t="array" ref="F1138:F1139">{"PERCEPTIONINITIAL";((IF(H1139=10,"T",(IF(H1139=50,"E","")))))}</f>
        <v>PERCEPTIONINITIAL</v>
      </c>
      <c r="G1138" s="230" t="str">
        <f t="array" ref="G1138:G1139">{"PERCEPTIONINITIALPTS";((IF("00"=(INDEX(ALLCLASSDATA,MATCH("PerceptionLegendary",CLASSFEATUREHEADERS,0),MATCH($A1139,CLASSNAMEHEADERS,0))),(INDEX(ALLCLASSDATA,MATCH("PerceptionLegendary",CLASSFEATUREHEADERS,0),MATCH(($A1139 &amp; "Points"),CLASSNAMEHEADERS,0))),(IF("00"=(INDEX(ALLCLASSDATA,MATCH("PerceptionMaster",CLASSFEATUREHEADERS,0),MATCH($A1139,CLASSNAMEHEADERS,0))),(INDEX(ALLCLASSDATA,MATCH("PerceptionMaster",CLASSFEATUREHEADERS,0),MATCH(($A1139 &amp; "Points"),CLASSNAMEHEADERS,0))),(IF("00"=(INDEX(ALLCLASSDATA,MATCH("PerceptionExpert",CLASSFEATUREHEADERS,0),MATCH($A1139,CLASSNAMEHEADERS,0))),(INDEX(ALLCLASSDATA,MATCH("PerceptionExpert",CLASSFEATUREHEADERS,0),MATCH(($A1139 &amp; "Points"),CLASSNAMEHEADERS,0))),(IF("00"=(INDEX(ALLCLASSDATA,MATCH("PerceptionTrained",CLASSFEATUREHEADERS,0),MATCH($A1139,CLASSNAMEHEADERS,0))),(INDEX(ALLCLASSDATA,MATCH("PerceptionTrained",CLASSFEATUREHEADERS,0),MATCH(($A1139 &amp; "Points"),CLASSNAMEHEADERS,0))),"")))))))))}</f>
        <v>PERCEPTIONINITIALPTS</v>
      </c>
      <c r="H1138" s="230" t="str">
        <f t="array" ref="H1138:H1139">{"PERCEPTIONL01";((IF("01"=(INDEX(ALLCLASSDATA,MATCH("PerceptionLegendary",CLASSFEATUREHEADERS,0),MATCH($A1139,CLASSNAMEHEADERS,0))),(INDEX(ALLCLASSDATA,MATCH("PerceptionLegendary",CLASSFEATUREHEADERS,0),MATCH(($A1139 &amp; "Points"),CLASSNAMEHEADERS,0))),(IF("01"=(INDEX(ALLCLASSDATA,MATCH("PerceptionMaster",CLASSFEATUREHEADERS,0),MATCH($A1139,CLASSNAMEHEADERS,0))),(INDEX(ALLCLASSDATA,MATCH("PerceptionMaster",CLASSFEATUREHEADERS,0),MATCH(($A1139 &amp; "Points"),CLASSNAMEHEADERS,0))),(IF("01"=(INDEX(ALLCLASSDATA,MATCH("PerceptionExpert",CLASSFEATUREHEADERS,0),MATCH($A1139,CLASSNAMEHEADERS,0))),(INDEX(ALLCLASSDATA,MATCH("PerceptionExpert",CLASSFEATUREHEADERS,0),MATCH(($A1139 &amp; "Points"),CLASSNAMEHEADERS,0))),(IF("01"=(INDEX(ALLCLASSDATA,MATCH("PerceptionTrained",CLASSFEATUREHEADERS,0),MATCH($A1139,CLASSNAMEHEADERS,0))),(INDEX(ALLCLASSDATA,MATCH("PerceptionTrained",CLASSFEATUREHEADERS,0),MATCH(($A1139 &amp; "Points"),CLASSNAMEHEADERS,0))),"")))))))))}</f>
        <v>PERCEPTIONL01</v>
      </c>
      <c r="I1138" s="230"/>
      <c r="J1138" s="230" t="str">
        <f t="array" ref="J1138:J1139">{"PERCEPTIONL03";((IF("03"=(INDEX(ALLCLASSDATA,MATCH("PerceptionLegendary",CLASSFEATUREHEADERS,0),MATCH($A1139,CLASSNAMEHEADERS,0))),(INDEX(ALLCLASSDATA,MATCH("PerceptionLegendary",CLASSFEATUREHEADERS,0),MATCH(($A1139 &amp; "Points"),CLASSNAMEHEADERS,0))),(IF("03"=(INDEX(ALLCLASSDATA,MATCH("PerceptionMaster",CLASSFEATUREHEADERS,0),MATCH($A1139,CLASSNAMEHEADERS,0))),(INDEX(ALLCLASSDATA,MATCH("PerceptionMaster",CLASSFEATUREHEADERS,0),MATCH(($A1139 &amp; "Points"),CLASSNAMEHEADERS,0))),(IF("03"=(INDEX(ALLCLASSDATA,MATCH("PerceptionExpert",CLASSFEATUREHEADERS,0),MATCH($A1139,CLASSNAMEHEADERS,0))),(INDEX(ALLCLASSDATA,MATCH("PerceptionExpert",CLASSFEATUREHEADERS,0),MATCH(($A1139 &amp; "Points"),CLASSNAMEHEADERS,0))),(IF("03"=(INDEX(ALLCLASSDATA,MATCH("PerceptionTrained",CLASSFEATUREHEADERS,0),MATCH($A1139,CLASSNAMEHEADERS,0))),(INDEX(ALLCLASSDATA,MATCH("PerceptionTrained",CLASSFEATUREHEADERS,0),MATCH(($A1139 &amp; "Points"),CLASSNAMEHEADERS,0))),"")))))))))}</f>
        <v>PERCEPTIONL03</v>
      </c>
      <c r="K1138" s="230"/>
      <c r="L1138" s="230" t="str">
        <f t="array" ref="L1138:L1139">{"PERCEPTIONL05";((IF("05"=(INDEX(ALLCLASSDATA,MATCH("PerceptionLegendary",CLASSFEATUREHEADERS,0),MATCH($A1139,CLASSNAMEHEADERS,0))),(INDEX(ALLCLASSDATA,MATCH("PerceptionLegendary",CLASSFEATUREHEADERS,0),MATCH(($A1139 &amp; "Points"),CLASSNAMEHEADERS,0))),(IF("05"=(INDEX(ALLCLASSDATA,MATCH("PerceptionMaster",CLASSFEATUREHEADERS,0),MATCH($A1139,CLASSNAMEHEADERS,0))),(INDEX(ALLCLASSDATA,MATCH("PerceptionMaster",CLASSFEATUREHEADERS,0),MATCH(($A1139 &amp; "Points"),CLASSNAMEHEADERS,0))),(IF("05"=(INDEX(ALLCLASSDATA,MATCH("PerceptionExpert",CLASSFEATUREHEADERS,0),MATCH($A1139,CLASSNAMEHEADERS,0))),(INDEX(ALLCLASSDATA,MATCH("PerceptionExpert",CLASSFEATUREHEADERS,0),MATCH(($A1139 &amp; "Points"),CLASSNAMEHEADERS,0))),(IF("05"=(INDEX(ALLCLASSDATA,MATCH("PerceptionTrained",CLASSFEATUREHEADERS,0),MATCH($A1139,CLASSNAMEHEADERS,0))),(INDEX(ALLCLASSDATA,MATCH("PerceptionTrained",CLASSFEATUREHEADERS,0),MATCH(($A1139 &amp; "Points"),CLASSNAMEHEADERS,0))),"")))))))))}</f>
        <v>PERCEPTIONL05</v>
      </c>
      <c r="M1138" s="230"/>
      <c r="N1138" s="230" t="str">
        <f t="array" ref="N1138:N1139">{"PERCEPTIONL07";((IF("07"=(INDEX(ALLCLASSDATA,MATCH("PerceptionLegendary",CLASSFEATUREHEADERS,0),MATCH($A1139,CLASSNAMEHEADERS,0))),(INDEX(ALLCLASSDATA,MATCH("PerceptionLegendary",CLASSFEATUREHEADERS,0),MATCH(($A1139 &amp; "Points"),CLASSNAMEHEADERS,0))),(IF("07"=(INDEX(ALLCLASSDATA,MATCH("PerceptionMaster",CLASSFEATUREHEADERS,0),MATCH($A1139,CLASSNAMEHEADERS,0))),(INDEX(ALLCLASSDATA,MATCH("PerceptionMaster",CLASSFEATUREHEADERS,0),MATCH(($A1139 &amp; "Points"),CLASSNAMEHEADERS,0))),(IF("07"=(INDEX(ALLCLASSDATA,MATCH("PerceptionExpert",CLASSFEATUREHEADERS,0),MATCH($A1139,CLASSNAMEHEADERS,0))),(INDEX(ALLCLASSDATA,MATCH("PerceptionExpert",CLASSFEATUREHEADERS,0),MATCH(($A1139 &amp; "Points"),CLASSNAMEHEADERS,0))),(IF("07"=(INDEX(ALLCLASSDATA,MATCH("PerceptionTrained",CLASSFEATUREHEADERS,0),MATCH($A1139,CLASSNAMEHEADERS,0))),(INDEX(ALLCLASSDATA,MATCH("PerceptionTrained",CLASSFEATUREHEADERS,0),MATCH(($A1139 &amp; "Points"),CLASSNAMEHEADERS,0))),"")))))))))}</f>
        <v>PERCEPTIONL07</v>
      </c>
      <c r="O1138" s="230"/>
      <c r="P1138" s="230" t="str">
        <f t="array" ref="P1138:P1139">{"PERCEPTIONL09";((IF("09"=(INDEX(ALLCLASSDATA,MATCH("PerceptionLegendary",CLASSFEATUREHEADERS,0),MATCH($A1139,CLASSNAMEHEADERS,0))),(INDEX(ALLCLASSDATA,MATCH("PerceptionLegendary",CLASSFEATUREHEADERS,0),MATCH(($A1139 &amp; "Points"),CLASSNAMEHEADERS,0))),(IF("09"=(INDEX(ALLCLASSDATA,MATCH("PerceptionMaster",CLASSFEATUREHEADERS,0),MATCH($A1139,CLASSNAMEHEADERS,0))),(INDEX(ALLCLASSDATA,MATCH("PerceptionMaster",CLASSFEATUREHEADERS,0),MATCH(($A1139 &amp; "Points"),CLASSNAMEHEADERS,0))),(IF("09"=(INDEX(ALLCLASSDATA,MATCH("PerceptionExpert",CLASSFEATUREHEADERS,0),MATCH($A1139,CLASSNAMEHEADERS,0))),(INDEX(ALLCLASSDATA,MATCH("PerceptionExpert",CLASSFEATUREHEADERS,0),MATCH(($A1139 &amp; "Points"),CLASSNAMEHEADERS,0))),(IF("09"=(INDEX(ALLCLASSDATA,MATCH("PerceptionTrained",CLASSFEATUREHEADERS,0),MATCH($A1139,CLASSNAMEHEADERS,0))),(INDEX(ALLCLASSDATA,MATCH("PerceptionTrained",CLASSFEATUREHEADERS,0),MATCH(($A1139 &amp; "Points"),CLASSNAMEHEADERS,0))),"")))))))))}</f>
        <v>PERCEPTIONL09</v>
      </c>
      <c r="Q1138" s="230"/>
      <c r="R1138" s="230" t="str">
        <f t="array" ref="R1138:R1139">{"PERCEPTIONL11";((IF("11"=(INDEX(ALLCLASSDATA,MATCH("PerceptionLegendary",CLASSFEATUREHEADERS,0),MATCH($A1139,CLASSNAMEHEADERS,0))),(INDEX(ALLCLASSDATA,MATCH("PerceptionLegendary",CLASSFEATUREHEADERS,0),MATCH(($A1139 &amp; "Points"),CLASSNAMEHEADERS,0))),(IF("11"=(INDEX(ALLCLASSDATA,MATCH("PerceptionMaster",CLASSFEATUREHEADERS,0),MATCH($A1139,CLASSNAMEHEADERS,0))),(INDEX(ALLCLASSDATA,MATCH("PerceptionMaster",CLASSFEATUREHEADERS,0),MATCH(($A1139 &amp; "Points"),CLASSNAMEHEADERS,0))),(IF("11"=(INDEX(ALLCLASSDATA,MATCH("PerceptionExpert",CLASSFEATUREHEADERS,0),MATCH($A1139,CLASSNAMEHEADERS,0))),(INDEX(ALLCLASSDATA,MATCH("PerceptionExpert",CLASSFEATUREHEADERS,0),MATCH(($A1139 &amp; "Points"),CLASSNAMEHEADERS,0))),(IF("11"=(INDEX(ALLCLASSDATA,MATCH("PerceptionTrained",CLASSFEATUREHEADERS,0),MATCH($A1139,CLASSNAMEHEADERS,0))),(INDEX(ALLCLASSDATA,MATCH("PerceptionTrained",CLASSFEATUREHEADERS,0),MATCH(($A1139 &amp; "Points"),CLASSNAMEHEADERS,0))),"")))))))))}</f>
        <v>PERCEPTIONL11</v>
      </c>
      <c r="S1138" s="230"/>
      <c r="T1138" s="230" t="str">
        <f t="array" ref="T1138:T1139">{"PERCEPTIONL13";((IF("13"=(INDEX(ALLCLASSDATA,MATCH("PerceptionLegendary",CLASSFEATUREHEADERS,0),MATCH($A1139,CLASSNAMEHEADERS,0))),(INDEX(ALLCLASSDATA,MATCH("PerceptionLegendary",CLASSFEATUREHEADERS,0),MATCH(($A1139 &amp; "Points"),CLASSNAMEHEADERS,0))),(IF("13"=(INDEX(ALLCLASSDATA,MATCH("PerceptionMaster",CLASSFEATUREHEADERS,0),MATCH($A1139,CLASSNAMEHEADERS,0))),(INDEX(ALLCLASSDATA,MATCH("PerceptionMaster",CLASSFEATUREHEADERS,0),MATCH(($A1139 &amp; "Points"),CLASSNAMEHEADERS,0))),(IF("13"=(INDEX(ALLCLASSDATA,MATCH("PerceptionExpert",CLASSFEATUREHEADERS,0),MATCH($A1139,CLASSNAMEHEADERS,0))),(INDEX(ALLCLASSDATA,MATCH("PerceptionExpert",CLASSFEATUREHEADERS,0),MATCH(($A1139 &amp; "Points"),CLASSNAMEHEADERS,0))),(IF("13"=(INDEX(ALLCLASSDATA,MATCH("PerceptionTrained",CLASSFEATUREHEADERS,0),MATCH($A1139,CLASSNAMEHEADERS,0))),(INDEX(ALLCLASSDATA,MATCH("PerceptionTrained",CLASSFEATUREHEADERS,0),MATCH(($A1139 &amp; "Points"),CLASSNAMEHEADERS,0))),"")))))))))}</f>
        <v>PERCEPTIONL13</v>
      </c>
      <c r="U1138" s="230"/>
      <c r="V1138" s="230" t="str">
        <f t="array" ref="V1138:V1139">{"PERCEPTIONL15";((IF("15"=(INDEX(ALLCLASSDATA,MATCH("PerceptionLegendary",CLASSFEATUREHEADERS,0),MATCH($A1139,CLASSNAMEHEADERS,0))),(INDEX(ALLCLASSDATA,MATCH("PerceptionLegendary",CLASSFEATUREHEADERS,0),MATCH(($A1139 &amp; "Points"),CLASSNAMEHEADERS,0))),(IF("15"=(INDEX(ALLCLASSDATA,MATCH("PerceptionMaster",CLASSFEATUREHEADERS,0),MATCH($A1139,CLASSNAMEHEADERS,0))),(INDEX(ALLCLASSDATA,MATCH("PerceptionMaster",CLASSFEATUREHEADERS,0),MATCH(($A1139 &amp; "Points"),CLASSNAMEHEADERS,0))),(IF("15"=(INDEX(ALLCLASSDATA,MATCH("PerceptionExpert",CLASSFEATUREHEADERS,0),MATCH($A1139,CLASSNAMEHEADERS,0))),(INDEX(ALLCLASSDATA,MATCH("PerceptionExpert",CLASSFEATUREHEADERS,0),MATCH(($A1139 &amp; "Points"),CLASSNAMEHEADERS,0))),(IF("15"=(INDEX(ALLCLASSDATA,MATCH("PerceptionTrained",CLASSFEATUREHEADERS,0),MATCH($A1139,CLASSNAMEHEADERS,0))),(INDEX(ALLCLASSDATA,MATCH("PerceptionTrained",CLASSFEATUREHEADERS,0),MATCH(($A1139 &amp; "Points"),CLASSNAMEHEADERS,0))),"")))))))))}</f>
        <v>PERCEPTIONL15</v>
      </c>
      <c r="W1138" s="230"/>
      <c r="X1138" s="230" t="str">
        <f t="array" ref="X1138:X1139">{"PERCEPTIONL17";((IF("17"=(INDEX(ALLCLASSDATA,MATCH("PerceptionLegendary",CLASSFEATUREHEADERS,0),MATCH($A1139,CLASSNAMEHEADERS,0))),(INDEX(ALLCLASSDATA,MATCH("PerceptionLegendary",CLASSFEATUREHEADERS,0),MATCH(($A1139 &amp; "Points"),CLASSNAMEHEADERS,0))),(IF("17"=(INDEX(ALLCLASSDATA,MATCH("PerceptionMaster",CLASSFEATUREHEADERS,0),MATCH($A1139,CLASSNAMEHEADERS,0))),(INDEX(ALLCLASSDATA,MATCH("PerceptionMaster",CLASSFEATUREHEADERS,0),MATCH(($A1139 &amp; "Points"),CLASSNAMEHEADERS,0))),(IF("17"=(INDEX(ALLCLASSDATA,MATCH("PerceptionExpert",CLASSFEATUREHEADERS,0),MATCH($A1139,CLASSNAMEHEADERS,0))),(INDEX(ALLCLASSDATA,MATCH("PerceptionExpert",CLASSFEATUREHEADERS,0),MATCH(($A1139 &amp; "Points"),CLASSNAMEHEADERS,0))),(IF("17"=(INDEX(ALLCLASSDATA,MATCH("PerceptionTrained",CLASSFEATUREHEADERS,0),MATCH($A1139,CLASSNAMEHEADERS,0))),(INDEX(ALLCLASSDATA,MATCH("PerceptionTrained",CLASSFEATUREHEADERS,0),MATCH(($A1139 &amp; "Points"),CLASSNAMEHEADERS,0))),"")))))))))}</f>
        <v>PERCEPTIONL17</v>
      </c>
      <c r="Y1138" s="230"/>
      <c r="Z1138" s="230" t="str">
        <f t="array" ref="Z1138:Z1139">{"PERCEPTIONL19";((IF("19"=(INDEX(ALLCLASSDATA,MATCH("PerceptionLegendary",CLASSFEATUREHEADERS,0),MATCH($A1139,CLASSNAMEHEADERS,0))),(INDEX(ALLCLASSDATA,MATCH("PerceptionLegendary",CLASSFEATUREHEADERS,0),MATCH(($A1139 &amp; "Points"),CLASSNAMEHEADERS,0))),(IF("19"=(INDEX(ALLCLASSDATA,MATCH("PerceptionMaster",CLASSFEATUREHEADERS,0),MATCH($A1139,CLASSNAMEHEADERS,0))),(INDEX(ALLCLASSDATA,MATCH("PerceptionMaster",CLASSFEATUREHEADERS,0),MATCH(($A1139 &amp; "Points"),CLASSNAMEHEADERS,0))),(IF("19"=(INDEX(ALLCLASSDATA,MATCH("PerceptionExpert",CLASSFEATUREHEADERS,0),MATCH($A1139,CLASSNAMEHEADERS,0))),(INDEX(ALLCLASSDATA,MATCH("PerceptionExpert",CLASSFEATUREHEADERS,0),MATCH(($A1139 &amp; "Points"),CLASSNAMEHEADERS,0))),(IF("19"=(INDEX(ALLCLASSDATA,MATCH("PerceptionTrained",CLASSFEATUREHEADERS,0),MATCH($A1139,CLASSNAMEHEADERS,0))),(INDEX(ALLCLASSDATA,MATCH("PerceptionTrained",CLASSFEATUREHEADERS,0),MATCH(($A1139 &amp; "Points"),CLASSNAMEHEADERS,0))),"")))))))))}</f>
        <v>PERCEPTIONL19</v>
      </c>
      <c r="AA1138" s="230"/>
      <c r="AB1138" s="76" t="str">
        <f t="array" ref="AB1138:AB1139">{"PERCEPTION TOTAL";(IF(COUNTBLANK(G1139:AA1139)=17,"L",(IF(COUNTBLANK(G1139:AA1139)=18,"M",(IF(COUNTBLANK(G1139:AA1139)=19,"E",(IF(COUNTBLANK(G1139:AA1139)=20,"T",""))))))))}</f>
        <v>PERCEPTION TOTAL</v>
      </c>
      <c r="AC1138" s="76" t="str">
        <f t="array" ref="AC1138:AC1139">{"PERCEPTION TOTAL";(sum(G1139:AA1139))}</f>
        <v>PERCEPTION TOTAL</v>
      </c>
    </row>
    <row r="1139">
      <c r="A1139" s="48" t="s">
        <v>195</v>
      </c>
      <c r="B1139" s="48"/>
      <c r="C1139" s="48" t="s">
        <v>417</v>
      </c>
      <c r="D1139" s="97" t="s">
        <v>637</v>
      </c>
      <c r="E1139" s="97" t="s">
        <v>637</v>
      </c>
      <c r="F1139" s="98" t="s">
        <v>435</v>
      </c>
      <c r="G1139" s="132" t="s">
        <v>603</v>
      </c>
      <c r="H1139" s="98">
        <v>10.0</v>
      </c>
      <c r="I1139" s="98"/>
      <c r="J1139" s="98">
        <v>50.0</v>
      </c>
      <c r="K1139" s="98"/>
      <c r="L1139" s="98" t="s">
        <v>603</v>
      </c>
      <c r="M1139" s="98"/>
      <c r="N1139" s="98" t="s">
        <v>603</v>
      </c>
      <c r="O1139" s="98"/>
      <c r="P1139" s="98" t="s">
        <v>603</v>
      </c>
      <c r="Q1139" s="98"/>
      <c r="R1139" s="98" t="s">
        <v>603</v>
      </c>
      <c r="S1139" s="98"/>
      <c r="T1139" s="98" t="s">
        <v>603</v>
      </c>
      <c r="U1139" s="98"/>
      <c r="V1139" s="98" t="s">
        <v>603</v>
      </c>
      <c r="W1139" s="98"/>
      <c r="X1139" s="98" t="s">
        <v>603</v>
      </c>
      <c r="Y1139" s="98"/>
      <c r="Z1139" s="98" t="s">
        <v>603</v>
      </c>
      <c r="AA1139" s="98"/>
      <c r="AB1139" s="5" t="s">
        <v>436</v>
      </c>
      <c r="AC1139" s="47">
        <v>60.0</v>
      </c>
    </row>
    <row r="1140" hidden="1">
      <c r="A1140" s="222" t="str">
        <f t="array" ref="A1140:A1141">{"FormulaRow23";(INDEX(CLASSLIST,A1095,1))}</f>
        <v>FormulaRow23</v>
      </c>
      <c r="B1140" s="77" t="s">
        <v>236</v>
      </c>
      <c r="C1140" s="222" t="str">
        <f t="array" ref="C1140:C1141">{"CLASSTYPE";((INDEX(ALLCLASSDATA,MATCH("ClassType",CLASSFEATUREHEADERS,0),MATCH($A1141,CLASSNAMEHEADERS,0))))}</f>
        <v>CLASSTYPE</v>
      </c>
      <c r="D1140" s="228" t="str">
        <f t="array" ref="D1140:D1141">{"SAVES";"Saves"}</f>
        <v>SAVES</v>
      </c>
      <c r="E1140" s="228" t="str">
        <f t="array" ref="E1140:E1141">{"FORTITUDESAVE";"FortitudeSave"}</f>
        <v>FORTITUDESAVE</v>
      </c>
      <c r="F1140" s="230" t="str">
        <f t="array" ref="F1140:F1141">{"FORTITUDEINITIAL";((IF(H1141=10,"T",(IF(H1141=50,"E","")))))}</f>
        <v>FORTITUDEINITIAL</v>
      </c>
      <c r="G1140" s="230" t="str">
        <f t="array" ref="G1140:G1141">{"FORTITUDEINITIALPTS";((IF("00"=(INDEX(ALLCLASSDATA,MATCH("FortitudeSaveLegendary",CLASSFEATUREHEADERS,0),MATCH($A1141,CLASSNAMEHEADERS,0))),(INDEX(ALLCLASSDATA,MATCH("FortitudeSaveLegendary",CLASSFEATUREHEADERS,0),MATCH(($A1141 &amp; "Points"),CLASSNAMEHEADERS,0))),(IF("00"=(INDEX(ALLCLASSDATA,MATCH("FortitudeSaveMaster",CLASSFEATUREHEADERS,0),MATCH($A1141,CLASSNAMEHEADERS,0))),(INDEX(ALLCLASSDATA,MATCH("FortitudeSaveMaster",CLASSFEATUREHEADERS,0),MATCH(($A1141 &amp; "Points"),CLASSNAMEHEADERS,0))),(IF("00"=(INDEX(ALLCLASSDATA,MATCH("FortitudeSaveExpert",CLASSFEATUREHEADERS,0),MATCH($A1141,CLASSNAMEHEADERS,0))),(INDEX(ALLCLASSDATA,MATCH("FortitudeSaveExpert",CLASSFEATUREHEADERS,0),MATCH(($A1141 &amp; "Points"),CLASSNAMEHEADERS,0))),(IF("00"=(INDEX(ALLCLASSDATA,MATCH("FortitudeSaveTrained",CLASSFEATUREHEADERS,0),MATCH($A1141,CLASSNAMEHEADERS,0))),(INDEX(ALLCLASSDATA,MATCH("FortitudeSaveTrained",CLASSFEATUREHEADERS,0),MATCH(($A1141 &amp; "Points"),CLASSNAMEHEADERS,0))),"")))))))))}</f>
        <v>FORTITUDEINITIALPTS</v>
      </c>
      <c r="H1140" s="230" t="str">
        <f t="array" ref="H1140:H1141">{"FORTITUDEL01";((IF("01"=(INDEX(ALLCLASSDATA,MATCH("FortitudeSaveLegendary",CLASSFEATUREHEADERS,0),MATCH($A1141,CLASSNAMEHEADERS,0))),(INDEX(ALLCLASSDATA,MATCH("FortitudeSaveLegendary",CLASSFEATUREHEADERS,0),MATCH(($A1141 &amp; "Points"),CLASSNAMEHEADERS,0))),(IF("01"=(INDEX(ALLCLASSDATA,MATCH("FortitudeSaveMaster",CLASSFEATUREHEADERS,0),MATCH($A1141,CLASSNAMEHEADERS,0))),(INDEX(ALLCLASSDATA,MATCH("FortitudeSaveMaster",CLASSFEATUREHEADERS,0),MATCH(($A1141 &amp; "Points"),CLASSNAMEHEADERS,0))),(IF("01"=(INDEX(ALLCLASSDATA,MATCH("FortitudeSaveExpert",CLASSFEATUREHEADERS,0),MATCH($A1141,CLASSNAMEHEADERS,0))),(INDEX(ALLCLASSDATA,MATCH("FortitudeSaveExpert",CLASSFEATUREHEADERS,0),MATCH(($A1141 &amp; "Points"),CLASSNAMEHEADERS,0))),(IF("01"=(INDEX(ALLCLASSDATA,MATCH("FortitudeSaveTrained",CLASSFEATUREHEADERS,0),MATCH($A1141,CLASSNAMEHEADERS,0))),(INDEX(ALLCLASSDATA,MATCH("FortitudeSaveTrained",CLASSFEATUREHEADERS,0),MATCH(($A1141 &amp; "Points"),CLASSNAMEHEADERS,0))),"")))))))))}</f>
        <v>FORTITUDEL01</v>
      </c>
      <c r="I1140" s="230"/>
      <c r="J1140" s="230" t="str">
        <f t="array" ref="J1140:J1141">{"FORTITUDEL03";((IF("03"=(INDEX(ALLCLASSDATA,MATCH("FortitudeSaveLegendary",CLASSFEATUREHEADERS,0),MATCH($A1141,CLASSNAMEHEADERS,0))),(INDEX(ALLCLASSDATA,MATCH("FortitudeSaveLegendary",CLASSFEATUREHEADERS,0),MATCH(($A1141 &amp; "Points"),CLASSNAMEHEADERS,0))),(IF("03"=(INDEX(ALLCLASSDATA,MATCH("FortitudeSaveMaster",CLASSFEATUREHEADERS,0),MATCH($A1141,CLASSNAMEHEADERS,0))),(INDEX(ALLCLASSDATA,MATCH("FortitudeSaveMaster",CLASSFEATUREHEADERS,0),MATCH(($A1141 &amp; "Points"),CLASSNAMEHEADERS,0))),(IF("03"=(INDEX(ALLCLASSDATA,MATCH("FortitudeSaveExpert",CLASSFEATUREHEADERS,0),MATCH($A1141,CLASSNAMEHEADERS,0))),(INDEX(ALLCLASSDATA,MATCH("FortitudeSaveExpert",CLASSFEATUREHEADERS,0),MATCH(($A1141 &amp; "Points"),CLASSNAMEHEADERS,0))),(IF("03"=(INDEX(ALLCLASSDATA,MATCH("FortitudeSaveTrained",CLASSFEATUREHEADERS,0),MATCH($A1141,CLASSNAMEHEADERS,0))),(INDEX(ALLCLASSDATA,MATCH("FortitudeSaveTrained",CLASSFEATUREHEADERS,0),MATCH(($A1141 &amp; "Points"),CLASSNAMEHEADERS,0))),"")))))))))}</f>
        <v>FORTITUDEL03</v>
      </c>
      <c r="K1140" s="230"/>
      <c r="L1140" s="230" t="str">
        <f t="array" ref="L1140:L1141">{"FORTITUDEL05";((IF("05"=(INDEX(ALLCLASSDATA,MATCH("FortitudeSaveLegendary",CLASSFEATUREHEADERS,0),MATCH($A1141,CLASSNAMEHEADERS,0))),(INDEX(ALLCLASSDATA,MATCH("FortitudeSaveLegendary",CLASSFEATUREHEADERS,0),MATCH(($A1141 &amp; "Points"),CLASSNAMEHEADERS,0))),(IF("05"=(INDEX(ALLCLASSDATA,MATCH("FortitudeSaveMaster",CLASSFEATUREHEADERS,0),MATCH($A1141,CLASSNAMEHEADERS,0))),(INDEX(ALLCLASSDATA,MATCH("FortitudeSaveMaster",CLASSFEATUREHEADERS,0),MATCH(($A1141 &amp; "Points"),CLASSNAMEHEADERS,0))),(IF("05"=(INDEX(ALLCLASSDATA,MATCH("FortitudeSaveExpert",CLASSFEATUREHEADERS,0),MATCH($A1141,CLASSNAMEHEADERS,0))),(INDEX(ALLCLASSDATA,MATCH("FortitudeSaveExpert",CLASSFEATUREHEADERS,0),MATCH(($A1141 &amp; "Points"),CLASSNAMEHEADERS,0))),(IF("05"=(INDEX(ALLCLASSDATA,MATCH("FortitudeSaveTrained",CLASSFEATUREHEADERS,0),MATCH($A1141,CLASSNAMEHEADERS,0))),(INDEX(ALLCLASSDATA,MATCH("FortitudeSaveTrained",CLASSFEATUREHEADERS,0),MATCH(($A1141 &amp; "Points"),CLASSNAMEHEADERS,0))),"")))))))))}</f>
        <v>FORTITUDEL05</v>
      </c>
      <c r="M1140" s="230"/>
      <c r="N1140" s="230" t="str">
        <f t="array" ref="N1140:N1141">{"FORTITUDEL07";((IF("07"=(INDEX(ALLCLASSDATA,MATCH("FortitudeSaveLegendary",CLASSFEATUREHEADERS,0),MATCH($A1141,CLASSNAMEHEADERS,0))),(INDEX(ALLCLASSDATA,MATCH("FortitudeSaveLegendary",CLASSFEATUREHEADERS,0),MATCH(($A1141 &amp; "Points"),CLASSNAMEHEADERS,0))),(IF("07"=(INDEX(ALLCLASSDATA,MATCH("FortitudeSaveMaster",CLASSFEATUREHEADERS,0),MATCH($A1141,CLASSNAMEHEADERS,0))),(INDEX(ALLCLASSDATA,MATCH("FortitudeSaveMaster",CLASSFEATUREHEADERS,0),MATCH(($A1141 &amp; "Points"),CLASSNAMEHEADERS,0))),(IF("07"=(INDEX(ALLCLASSDATA,MATCH("FortitudeSaveExpert",CLASSFEATUREHEADERS,0),MATCH($A1141,CLASSNAMEHEADERS,0))),(INDEX(ALLCLASSDATA,MATCH("FortitudeSaveExpert",CLASSFEATUREHEADERS,0),MATCH(($A1141 &amp; "Points"),CLASSNAMEHEADERS,0))),(IF("07"=(INDEX(ALLCLASSDATA,MATCH("FortitudeSaveTrained",CLASSFEATUREHEADERS,0),MATCH($A1141,CLASSNAMEHEADERS,0))),(INDEX(ALLCLASSDATA,MATCH("FortitudeSaveTrained",CLASSFEATUREHEADERS,0),MATCH(($A1141 &amp; "Points"),CLASSNAMEHEADERS,0))),"")))))))))}</f>
        <v>FORTITUDEL07</v>
      </c>
      <c r="O1140" s="230"/>
      <c r="P1140" s="230" t="str">
        <f t="array" ref="P1140:P1141">{"FORTITUDEL09";((IF("09"=(INDEX(ALLCLASSDATA,MATCH("FortitudeSaveLegendary",CLASSFEATUREHEADERS,0),MATCH($A1141,CLASSNAMEHEADERS,0))),(INDEX(ALLCLASSDATA,MATCH("FortitudeSaveLegendary",CLASSFEATUREHEADERS,0),MATCH(($A1141 &amp; "Points"),CLASSNAMEHEADERS,0))),(IF("09"=(INDEX(ALLCLASSDATA,MATCH("FortitudeSaveMaster",CLASSFEATUREHEADERS,0),MATCH($A1141,CLASSNAMEHEADERS,0))),(INDEX(ALLCLASSDATA,MATCH("FortitudeSaveMaster",CLASSFEATUREHEADERS,0),MATCH(($A1141 &amp; "Points"),CLASSNAMEHEADERS,0))),(IF("09"=(INDEX(ALLCLASSDATA,MATCH("FortitudeSaveExpert",CLASSFEATUREHEADERS,0),MATCH($A1141,CLASSNAMEHEADERS,0))),(INDEX(ALLCLASSDATA,MATCH("FortitudeSaveExpert",CLASSFEATUREHEADERS,0),MATCH(($A1141 &amp; "Points"),CLASSNAMEHEADERS,0))),(IF("09"=(INDEX(ALLCLASSDATA,MATCH("FortitudeSaveTrained",CLASSFEATUREHEADERS,0),MATCH($A1141,CLASSNAMEHEADERS,0))),(INDEX(ALLCLASSDATA,MATCH("FortitudeSaveTrained",CLASSFEATUREHEADERS,0),MATCH(($A1141 &amp; "Points"),CLASSNAMEHEADERS,0))),"")))))))))}</f>
        <v>FORTITUDEL09</v>
      </c>
      <c r="Q1140" s="230"/>
      <c r="R1140" s="230" t="str">
        <f t="array" ref="R1140:R1141">{"FORTITUDEL11";((IF("11"=(INDEX(ALLCLASSDATA,MATCH("FortitudeSaveLegendary",CLASSFEATUREHEADERS,0),MATCH($A1141,CLASSNAMEHEADERS,0))),(INDEX(ALLCLASSDATA,MATCH("FortitudeSaveLegendary",CLASSFEATUREHEADERS,0),MATCH(($A1141 &amp; "Points"),CLASSNAMEHEADERS,0))),(IF("11"=(INDEX(ALLCLASSDATA,MATCH("FortitudeSaveMaster",CLASSFEATUREHEADERS,0),MATCH($A1141,CLASSNAMEHEADERS,0))),(INDEX(ALLCLASSDATA,MATCH("FortitudeSaveMaster",CLASSFEATUREHEADERS,0),MATCH(($A1141 &amp; "Points"),CLASSNAMEHEADERS,0))),(IF("11"=(INDEX(ALLCLASSDATA,MATCH("FortitudeSaveExpert",CLASSFEATUREHEADERS,0),MATCH($A1141,CLASSNAMEHEADERS,0))),(INDEX(ALLCLASSDATA,MATCH("FortitudeSaveExpert",CLASSFEATUREHEADERS,0),MATCH(($A1141 &amp; "Points"),CLASSNAMEHEADERS,0))),(IF("11"=(INDEX(ALLCLASSDATA,MATCH("FortitudeSaveTrained",CLASSFEATUREHEADERS,0),MATCH($A1141,CLASSNAMEHEADERS,0))),(INDEX(ALLCLASSDATA,MATCH("FortitudeSaveTrained",CLASSFEATUREHEADERS,0),MATCH(($A1141 &amp; "Points"),CLASSNAMEHEADERS,0))),"")))))))))}</f>
        <v>FORTITUDEL11</v>
      </c>
      <c r="S1140" s="230"/>
      <c r="T1140" s="230" t="str">
        <f t="array" ref="T1140:T1141">{"FORTITUDEL13";((IF("13"=(INDEX(ALLCLASSDATA,MATCH("FortitudeSaveLegendary",CLASSFEATUREHEADERS,0),MATCH($A1141,CLASSNAMEHEADERS,0))),(INDEX(ALLCLASSDATA,MATCH("FortitudeSaveLegendary",CLASSFEATUREHEADERS,0),MATCH(($A1141 &amp; "Points"),CLASSNAMEHEADERS,0))),(IF("13"=(INDEX(ALLCLASSDATA,MATCH("FortitudeSaveMaster",CLASSFEATUREHEADERS,0),MATCH($A1141,CLASSNAMEHEADERS,0))),(INDEX(ALLCLASSDATA,MATCH("FortitudeSaveMaster",CLASSFEATUREHEADERS,0),MATCH(($A1141 &amp; "Points"),CLASSNAMEHEADERS,0))),(IF("13"=(INDEX(ALLCLASSDATA,MATCH("FortitudeSaveExpert",CLASSFEATUREHEADERS,0),MATCH($A1141,CLASSNAMEHEADERS,0))),(INDEX(ALLCLASSDATA,MATCH("FortitudeSaveExpert",CLASSFEATUREHEADERS,0),MATCH(($A1141 &amp; "Points"),CLASSNAMEHEADERS,0))),(IF("13"=(INDEX(ALLCLASSDATA,MATCH("FortitudeSaveTrained",CLASSFEATUREHEADERS,0),MATCH($A1141,CLASSNAMEHEADERS,0))),(INDEX(ALLCLASSDATA,MATCH("FortitudeSaveTrained",CLASSFEATUREHEADERS,0),MATCH(($A1141 &amp; "Points"),CLASSNAMEHEADERS,0))),"")))))))))}</f>
        <v>FORTITUDEL13</v>
      </c>
      <c r="U1140" s="230"/>
      <c r="V1140" s="230" t="str">
        <f t="array" ref="V1140:V1141">{"FORTITUDEL15";((IF("15"=(INDEX(ALLCLASSDATA,MATCH("FortitudeSaveLegendary",CLASSFEATUREHEADERS,0),MATCH($A1141,CLASSNAMEHEADERS,0))),(INDEX(ALLCLASSDATA,MATCH("FortitudeSaveLegendary",CLASSFEATUREHEADERS,0),MATCH(($A1141 &amp; "Points"),CLASSNAMEHEADERS,0))),(IF("15"=(INDEX(ALLCLASSDATA,MATCH("FortitudeSaveMaster",CLASSFEATUREHEADERS,0),MATCH($A1141,CLASSNAMEHEADERS,0))),(INDEX(ALLCLASSDATA,MATCH("FortitudeSaveMaster",CLASSFEATUREHEADERS,0),MATCH(($A1141 &amp; "Points"),CLASSNAMEHEADERS,0))),(IF("15"=(INDEX(ALLCLASSDATA,MATCH("FortitudeSaveExpert",CLASSFEATUREHEADERS,0),MATCH($A1141,CLASSNAMEHEADERS,0))),(INDEX(ALLCLASSDATA,MATCH("FortitudeSaveExpert",CLASSFEATUREHEADERS,0),MATCH(($A1141 &amp; "Points"),CLASSNAMEHEADERS,0))),(IF("15"=(INDEX(ALLCLASSDATA,MATCH("FortitudeSaveTrained",CLASSFEATUREHEADERS,0),MATCH($A1141,CLASSNAMEHEADERS,0))),(INDEX(ALLCLASSDATA,MATCH("FortitudeSaveTrained",CLASSFEATUREHEADERS,0),MATCH(($A1141 &amp; "Points"),CLASSNAMEHEADERS,0))),"")))))))))}</f>
        <v>FORTITUDEL15</v>
      </c>
      <c r="W1140" s="230"/>
      <c r="X1140" s="230" t="str">
        <f t="array" ref="X1140:X1141">{"FORTITUDEL17";((IF("17"=(INDEX(ALLCLASSDATA,MATCH("FortitudeSaveLegendary",CLASSFEATUREHEADERS,0),MATCH($A1141,CLASSNAMEHEADERS,0))),(INDEX(ALLCLASSDATA,MATCH("FortitudeSaveLegendary",CLASSFEATUREHEADERS,0),MATCH(($A1141 &amp; "Points"),CLASSNAMEHEADERS,0))),(IF("17"=(INDEX(ALLCLASSDATA,MATCH("FortitudeSaveMaster",CLASSFEATUREHEADERS,0),MATCH($A1141,CLASSNAMEHEADERS,0))),(INDEX(ALLCLASSDATA,MATCH("FortitudeSaveMaster",CLASSFEATUREHEADERS,0),MATCH(($A1141 &amp; "Points"),CLASSNAMEHEADERS,0))),(IF("17"=(INDEX(ALLCLASSDATA,MATCH("FortitudeSaveExpert",CLASSFEATUREHEADERS,0),MATCH($A1141,CLASSNAMEHEADERS,0))),(INDEX(ALLCLASSDATA,MATCH("FortitudeSaveExpert",CLASSFEATUREHEADERS,0),MATCH(($A1141 &amp; "Points"),CLASSNAMEHEADERS,0))),(IF("17"=(INDEX(ALLCLASSDATA,MATCH("FortitudeSaveTrained",CLASSFEATUREHEADERS,0),MATCH($A1141,CLASSNAMEHEADERS,0))),(INDEX(ALLCLASSDATA,MATCH("FortitudeSaveTrained",CLASSFEATUREHEADERS,0),MATCH(($A1141 &amp; "Points"),CLASSNAMEHEADERS,0))),"")))))))))}</f>
        <v>FORTITUDEL17</v>
      </c>
      <c r="Y1140" s="230"/>
      <c r="Z1140" s="230" t="str">
        <f t="array" ref="Z1140:Z1141">{"FORTITUDEL19";((IF("19"=(INDEX(ALLCLASSDATA,MATCH("FortitudeSaveLegendary",CLASSFEATUREHEADERS,0),MATCH($A1141,CLASSNAMEHEADERS,0))),(INDEX(ALLCLASSDATA,MATCH("FortitudeSaveLegendary",CLASSFEATUREHEADERS,0),MATCH(($A1141 &amp; "Points"),CLASSNAMEHEADERS,0))),(IF("19"=(INDEX(ALLCLASSDATA,MATCH("FortitudeSaveMaster",CLASSFEATUREHEADERS,0),MATCH($A1141,CLASSNAMEHEADERS,0))),(INDEX(ALLCLASSDATA,MATCH("FortitudeSaveMaster",CLASSFEATUREHEADERS,0),MATCH(($A1141 &amp; "Points"),CLASSNAMEHEADERS,0))),(IF("19"=(INDEX(ALLCLASSDATA,MATCH("FortitudeSaveExpert",CLASSFEATUREHEADERS,0),MATCH($A1141,CLASSNAMEHEADERS,0))),(INDEX(ALLCLASSDATA,MATCH("FortitudeSaveExpert",CLASSFEATUREHEADERS,0),MATCH(($A1141 &amp; "Points"),CLASSNAMEHEADERS,0))),(IF("19"=(INDEX(ALLCLASSDATA,MATCH("FortitudeSaveTrained",CLASSFEATUREHEADERS,0),MATCH($A1141,CLASSNAMEHEADERS,0))),(INDEX(ALLCLASSDATA,MATCH("FortitudeSaveTrained",CLASSFEATUREHEADERS,0),MATCH(($A1141 &amp; "Points"),CLASSNAMEHEADERS,0))),"")))))))))}</f>
        <v>FORTITUDEL19</v>
      </c>
      <c r="AA1140" s="230"/>
      <c r="AB1140" s="76" t="str">
        <f t="array" ref="AB1140:AB1141">{"FORTITUDE TOTAL";(IF(COUNTBLANK(G1141:AA1141)=17,"L",(IF(COUNTBLANK(G1141:AA1141)=18,"M",(IF(COUNTBLANK(G1141:AA1141)=19,"E",(IF(COUNTBLANK(G1141:AA1141)=20,"T",""))))))))}</f>
        <v>FORTITUDE TOTAL</v>
      </c>
      <c r="AC1140" s="76" t="str">
        <f t="array" ref="AC1140:AC1141">{"FORTITUDE TOTAL";(sum(G1141:AA1141))}</f>
        <v>FORTITUDE TOTAL</v>
      </c>
    </row>
    <row r="1141">
      <c r="A1141" s="48" t="s">
        <v>195</v>
      </c>
      <c r="B1141" s="48"/>
      <c r="C1141" s="48" t="s">
        <v>417</v>
      </c>
      <c r="D1141" s="48" t="s">
        <v>1549</v>
      </c>
      <c r="E1141" s="48" t="s">
        <v>1550</v>
      </c>
      <c r="F1141" s="5" t="s">
        <v>436</v>
      </c>
      <c r="G1141" s="47">
        <v>10.0</v>
      </c>
      <c r="H1141" s="5">
        <v>50.0</v>
      </c>
      <c r="I1141" s="5"/>
      <c r="J1141" s="5" t="s">
        <v>603</v>
      </c>
      <c r="K1141" s="5"/>
      <c r="L1141" s="5" t="s">
        <v>603</v>
      </c>
      <c r="M1141" s="5"/>
      <c r="N1141" s="5" t="s">
        <v>603</v>
      </c>
      <c r="O1141" s="5"/>
      <c r="P1141" s="5" t="s">
        <v>603</v>
      </c>
      <c r="Q1141" s="5"/>
      <c r="R1141" s="5">
        <v>110.0</v>
      </c>
      <c r="S1141" s="5"/>
      <c r="T1141" s="5" t="s">
        <v>603</v>
      </c>
      <c r="U1141" s="5"/>
      <c r="V1141" s="5" t="s">
        <v>603</v>
      </c>
      <c r="W1141" s="5"/>
      <c r="X1141" s="5" t="s">
        <v>603</v>
      </c>
      <c r="Y1141" s="5"/>
      <c r="Z1141" s="5" t="s">
        <v>603</v>
      </c>
      <c r="AA1141" s="5"/>
      <c r="AB1141" s="5" t="s">
        <v>437</v>
      </c>
      <c r="AC1141" s="47">
        <v>170.0</v>
      </c>
    </row>
    <row r="1142" hidden="1">
      <c r="A1142" s="222" t="str">
        <f t="array" ref="A1142:A1143">{"FormulaRow24";(INDEX(CLASSLIST,A1095,1))}</f>
        <v>FormulaRow24</v>
      </c>
      <c r="B1142" s="77" t="s">
        <v>236</v>
      </c>
      <c r="C1142" s="222" t="str">
        <f t="array" ref="C1142:C1143">{"CLASSTYPE";((INDEX(ALLCLASSDATA,MATCH("ClassType",CLASSFEATUREHEADERS,0),MATCH($A1143,CLASSNAMEHEADERS,0))))}</f>
        <v>CLASSTYPE</v>
      </c>
      <c r="D1142" s="222" t="str">
        <f t="array" ref="D1142:D1143">{"SAVES";"Saves"}</f>
        <v>SAVES</v>
      </c>
      <c r="E1142" s="222" t="str">
        <f t="array" ref="E1142:E1143">{"REFLEXSAVE";"ReflexSave"}</f>
        <v>REFLEXSAVE</v>
      </c>
      <c r="F1142" s="223" t="str">
        <f t="array" ref="F1142:F1143">{"REFLEXINITIAL";((IF(H1143=10,"T",(IF(H1143=50,"E","")))))}</f>
        <v>REFLEXINITIAL</v>
      </c>
      <c r="G1142" s="223" t="str">
        <f t="array" ref="G1142:G1143">{"REFLEXINITIALPTS";((IF("00"=(INDEX(ALLCLASSDATA,MATCH("ReflexSaveLegendary",CLASSFEATUREHEADERS,0),MATCH($A1143,CLASSNAMEHEADERS,0))),(INDEX(ALLCLASSDATA,MATCH("ReflexSaveLegendary",CLASSFEATUREHEADERS,0),MATCH(($A1143 &amp; "Points"),CLASSNAMEHEADERS,0))),(IF("00"=(INDEX(ALLCLASSDATA,MATCH("ReflexSaveMaster",CLASSFEATUREHEADERS,0),MATCH($A1143,CLASSNAMEHEADERS,0))),(INDEX(ALLCLASSDATA,MATCH("ReflexSaveMaster",CLASSFEATUREHEADERS,0),MATCH(($A1143 &amp; "Points"),CLASSNAMEHEADERS,0))),(IF("00"=(INDEX(ALLCLASSDATA,MATCH("ReflexSaveExpert",CLASSFEATUREHEADERS,0),MATCH($A1143,CLASSNAMEHEADERS,0))),(INDEX(ALLCLASSDATA,MATCH("ReflexSaveExpert",CLASSFEATUREHEADERS,0),MATCH(($A1143 &amp; "Points"),CLASSNAMEHEADERS,0))),(IF("00"=(INDEX(ALLCLASSDATA,MATCH("ReflexSaveTrained",CLASSFEATUREHEADERS,0),MATCH($A1143,CLASSNAMEHEADERS,0))),(INDEX(ALLCLASSDATA,MATCH("ReflexSaveTrained",CLASSFEATUREHEADERS,0),MATCH(($A1143 &amp; "Points"),CLASSNAMEHEADERS,0))),"")))))))))}</f>
        <v>REFLEXINITIALPTS</v>
      </c>
      <c r="H1142" s="223" t="str">
        <f t="array" ref="H1142:H1143">{"REFLEXL01";((IF("01"=(INDEX(ALLCLASSDATA,MATCH("ReflexSaveLegendary",CLASSFEATUREHEADERS,0),MATCH($A1143,CLASSNAMEHEADERS,0))),(INDEX(ALLCLASSDATA,MATCH("ReflexSaveLegendary",CLASSFEATUREHEADERS,0),MATCH(($A1143 &amp; "Points"),CLASSNAMEHEADERS,0))),(IF("01"=(INDEX(ALLCLASSDATA,MATCH("ReflexSaveMaster",CLASSFEATUREHEADERS,0),MATCH($A1143,CLASSNAMEHEADERS,0))),(INDEX(ALLCLASSDATA,MATCH("ReflexSaveMaster",CLASSFEATUREHEADERS,0),MATCH(($A1143 &amp; "Points"),CLASSNAMEHEADERS,0))),(IF("01"=(INDEX(ALLCLASSDATA,MATCH("ReflexSaveExpert",CLASSFEATUREHEADERS,0),MATCH($A1143,CLASSNAMEHEADERS,0))),(INDEX(ALLCLASSDATA,MATCH("ReflexSaveExpert",CLASSFEATUREHEADERS,0),MATCH(($A1143 &amp; "Points"),CLASSNAMEHEADERS,0))),(IF("01"=(INDEX(ALLCLASSDATA,MATCH("ReflexSaveTrained",CLASSFEATUREHEADERS,0),MATCH($A1143,CLASSNAMEHEADERS,0))),(INDEX(ALLCLASSDATA,MATCH("ReflexSaveTrained",CLASSFEATUREHEADERS,0),MATCH(($A1143 &amp; "Points"),CLASSNAMEHEADERS,0))),"")))))))))}</f>
        <v>REFLEXL01</v>
      </c>
      <c r="I1142" s="223"/>
      <c r="J1142" s="223" t="str">
        <f t="array" ref="J1142:J1143">{"REFLEXL03";((IF("03"=(INDEX(ALLCLASSDATA,MATCH("ReflexSaveLegendary",CLASSFEATUREHEADERS,0),MATCH($A1143,CLASSNAMEHEADERS,0))),(INDEX(ALLCLASSDATA,MATCH("ReflexSaveLegendary",CLASSFEATUREHEADERS,0),MATCH(($A1143 &amp; "Points"),CLASSNAMEHEADERS,0))),(IF("03"=(INDEX(ALLCLASSDATA,MATCH("ReflexSaveMaster",CLASSFEATUREHEADERS,0),MATCH($A1143,CLASSNAMEHEADERS,0))),(INDEX(ALLCLASSDATA,MATCH("ReflexSaveMaster",CLASSFEATUREHEADERS,0),MATCH(($A1143 &amp; "Points"),CLASSNAMEHEADERS,0))),(IF("03"=(INDEX(ALLCLASSDATA,MATCH("ReflexSaveExpert",CLASSFEATUREHEADERS,0),MATCH($A1143,CLASSNAMEHEADERS,0))),(INDEX(ALLCLASSDATA,MATCH("ReflexSaveExpert",CLASSFEATUREHEADERS,0),MATCH(($A1143 &amp; "Points"),CLASSNAMEHEADERS,0))),(IF("03"=(INDEX(ALLCLASSDATA,MATCH("ReflexSaveTrained",CLASSFEATUREHEADERS,0),MATCH($A1143,CLASSNAMEHEADERS,0))),(INDEX(ALLCLASSDATA,MATCH("ReflexSaveTrained",CLASSFEATUREHEADERS,0),MATCH(($A1143 &amp; "Points"),CLASSNAMEHEADERS,0))),"")))))))))}</f>
        <v>REFLEXL03</v>
      </c>
      <c r="K1142" s="223"/>
      <c r="L1142" s="223" t="str">
        <f t="array" ref="L1142:L1143">{"REFLEXL05";((IF("05"=(INDEX(ALLCLASSDATA,MATCH("ReflexSaveLegendary",CLASSFEATUREHEADERS,0),MATCH($A1143,CLASSNAMEHEADERS,0))),(INDEX(ALLCLASSDATA,MATCH("ReflexSaveLegendary",CLASSFEATUREHEADERS,0),MATCH(($A1143 &amp; "Points"),CLASSNAMEHEADERS,0))),(IF("05"=(INDEX(ALLCLASSDATA,MATCH("ReflexSaveMaster",CLASSFEATUREHEADERS,0),MATCH($A1143,CLASSNAMEHEADERS,0))),(INDEX(ALLCLASSDATA,MATCH("ReflexSaveMaster",CLASSFEATUREHEADERS,0),MATCH(($A1143 &amp; "Points"),CLASSNAMEHEADERS,0))),(IF("05"=(INDEX(ALLCLASSDATA,MATCH("ReflexSaveExpert",CLASSFEATUREHEADERS,0),MATCH($A1143,CLASSNAMEHEADERS,0))),(INDEX(ALLCLASSDATA,MATCH("ReflexSaveExpert",CLASSFEATUREHEADERS,0),MATCH(($A1143 &amp; "Points"),CLASSNAMEHEADERS,0))),(IF("05"=(INDEX(ALLCLASSDATA,MATCH("ReflexSaveTrained",CLASSFEATUREHEADERS,0),MATCH($A1143,CLASSNAMEHEADERS,0))),(INDEX(ALLCLASSDATA,MATCH("ReflexSaveTrained",CLASSFEATUREHEADERS,0),MATCH(($A1143 &amp; "Points"),CLASSNAMEHEADERS,0))),"")))))))))}</f>
        <v>REFLEXL05</v>
      </c>
      <c r="M1142" s="223"/>
      <c r="N1142" s="223" t="str">
        <f t="array" ref="N1142:N1143">{"REFLEXL07";((IF("07"=(INDEX(ALLCLASSDATA,MATCH("ReflexSaveLegendary",CLASSFEATUREHEADERS,0),MATCH($A1143,CLASSNAMEHEADERS,0))),(INDEX(ALLCLASSDATA,MATCH("ReflexSaveLegendary",CLASSFEATUREHEADERS,0),MATCH(($A1143 &amp; "Points"),CLASSNAMEHEADERS,0))),(IF("07"=(INDEX(ALLCLASSDATA,MATCH("ReflexSaveMaster",CLASSFEATUREHEADERS,0),MATCH($A1143,CLASSNAMEHEADERS,0))),(INDEX(ALLCLASSDATA,MATCH("ReflexSaveMaster",CLASSFEATUREHEADERS,0),MATCH(($A1143 &amp; "Points"),CLASSNAMEHEADERS,0))),(IF("07"=(INDEX(ALLCLASSDATA,MATCH("ReflexSaveExpert",CLASSFEATUREHEADERS,0),MATCH($A1143,CLASSNAMEHEADERS,0))),(INDEX(ALLCLASSDATA,MATCH("ReflexSaveExpert",CLASSFEATUREHEADERS,0),MATCH(($A1143 &amp; "Points"),CLASSNAMEHEADERS,0))),(IF("07"=(INDEX(ALLCLASSDATA,MATCH("ReflexSaveTrained",CLASSFEATUREHEADERS,0),MATCH($A1143,CLASSNAMEHEADERS,0))),(INDEX(ALLCLASSDATA,MATCH("ReflexSaveTrained",CLASSFEATUREHEADERS,0),MATCH(($A1143 &amp; "Points"),CLASSNAMEHEADERS,0))),"")))))))))}</f>
        <v>REFLEXL07</v>
      </c>
      <c r="O1142" s="223"/>
      <c r="P1142" s="223" t="str">
        <f t="array" ref="P1142:P1143">{"REFLEXL09";((IF("09"=(INDEX(ALLCLASSDATA,MATCH("ReflexSaveLegendary",CLASSFEATUREHEADERS,0),MATCH($A1143,CLASSNAMEHEADERS,0))),(INDEX(ALLCLASSDATA,MATCH("ReflexSaveLegendary",CLASSFEATUREHEADERS,0),MATCH(($A1143 &amp; "Points"),CLASSNAMEHEADERS,0))),(IF("09"=(INDEX(ALLCLASSDATA,MATCH("ReflexSaveMaster",CLASSFEATUREHEADERS,0),MATCH($A1143,CLASSNAMEHEADERS,0))),(INDEX(ALLCLASSDATA,MATCH("ReflexSaveMaster",CLASSFEATUREHEADERS,0),MATCH(($A1143 &amp; "Points"),CLASSNAMEHEADERS,0))),(IF("09"=(INDEX(ALLCLASSDATA,MATCH("ReflexSaveExpert",CLASSFEATUREHEADERS,0),MATCH($A1143,CLASSNAMEHEADERS,0))),(INDEX(ALLCLASSDATA,MATCH("ReflexSaveExpert",CLASSFEATUREHEADERS,0),MATCH(($A1143 &amp; "Points"),CLASSNAMEHEADERS,0))),(IF("09"=(INDEX(ALLCLASSDATA,MATCH("ReflexSaveTrained",CLASSFEATUREHEADERS,0),MATCH($A1143,CLASSNAMEHEADERS,0))),(INDEX(ALLCLASSDATA,MATCH("ReflexSaveTrained",CLASSFEATUREHEADERS,0),MATCH(($A1143 &amp; "Points"),CLASSNAMEHEADERS,0))),"")))))))))}</f>
        <v>REFLEXL09</v>
      </c>
      <c r="Q1142" s="223"/>
      <c r="R1142" s="223" t="str">
        <f t="array" ref="R1142:R1143">{"REFLEXL11";((IF("11"=(INDEX(ALLCLASSDATA,MATCH("ReflexSaveLegendary",CLASSFEATUREHEADERS,0),MATCH($A1143,CLASSNAMEHEADERS,0))),(INDEX(ALLCLASSDATA,MATCH("ReflexSaveLegendary",CLASSFEATUREHEADERS,0),MATCH(($A1143 &amp; "Points"),CLASSNAMEHEADERS,0))),(IF("11"=(INDEX(ALLCLASSDATA,MATCH("ReflexSaveMaster",CLASSFEATUREHEADERS,0),MATCH($A1143,CLASSNAMEHEADERS,0))),(INDEX(ALLCLASSDATA,MATCH("ReflexSaveMaster",CLASSFEATUREHEADERS,0),MATCH(($A1143 &amp; "Points"),CLASSNAMEHEADERS,0))),(IF("11"=(INDEX(ALLCLASSDATA,MATCH("ReflexSaveExpert",CLASSFEATUREHEADERS,0),MATCH($A1143,CLASSNAMEHEADERS,0))),(INDEX(ALLCLASSDATA,MATCH("ReflexSaveExpert",CLASSFEATUREHEADERS,0),MATCH(($A1143 &amp; "Points"),CLASSNAMEHEADERS,0))),(IF("11"=(INDEX(ALLCLASSDATA,MATCH("ReflexSaveTrained",CLASSFEATUREHEADERS,0),MATCH($A1143,CLASSNAMEHEADERS,0))),(INDEX(ALLCLASSDATA,MATCH("ReflexSaveTrained",CLASSFEATUREHEADERS,0),MATCH(($A1143 &amp; "Points"),CLASSNAMEHEADERS,0))),"")))))))))}</f>
        <v>REFLEXL11</v>
      </c>
      <c r="S1142" s="223"/>
      <c r="T1142" s="223" t="str">
        <f t="array" ref="T1142:T1143">{"REFLEXL13";((IF("13"=(INDEX(ALLCLASSDATA,MATCH("ReflexSaveLegendary",CLASSFEATUREHEADERS,0),MATCH($A1143,CLASSNAMEHEADERS,0))),(INDEX(ALLCLASSDATA,MATCH("ReflexSaveLegendary",CLASSFEATUREHEADERS,0),MATCH(($A1143 &amp; "Points"),CLASSNAMEHEADERS,0))),(IF("13"=(INDEX(ALLCLASSDATA,MATCH("ReflexSaveMaster",CLASSFEATUREHEADERS,0),MATCH($A1143,CLASSNAMEHEADERS,0))),(INDEX(ALLCLASSDATA,MATCH("ReflexSaveMaster",CLASSFEATUREHEADERS,0),MATCH(($A1143 &amp; "Points"),CLASSNAMEHEADERS,0))),(IF("13"=(INDEX(ALLCLASSDATA,MATCH("ReflexSaveExpert",CLASSFEATUREHEADERS,0),MATCH($A1143,CLASSNAMEHEADERS,0))),(INDEX(ALLCLASSDATA,MATCH("ReflexSaveExpert",CLASSFEATUREHEADERS,0),MATCH(($A1143 &amp; "Points"),CLASSNAMEHEADERS,0))),(IF("13"=(INDEX(ALLCLASSDATA,MATCH("ReflexSaveTrained",CLASSFEATUREHEADERS,0),MATCH($A1143,CLASSNAMEHEADERS,0))),(INDEX(ALLCLASSDATA,MATCH("ReflexSaveTrained",CLASSFEATUREHEADERS,0),MATCH(($A1143 &amp; "Points"),CLASSNAMEHEADERS,0))),"")))))))))}</f>
        <v>REFLEXL13</v>
      </c>
      <c r="U1142" s="223"/>
      <c r="V1142" s="223" t="str">
        <f t="array" ref="V1142:V1143">{"REFLEXL15";((IF("15"=(INDEX(ALLCLASSDATA,MATCH("ReflexSaveLegendary",CLASSFEATUREHEADERS,0),MATCH($A1143,CLASSNAMEHEADERS,0))),(INDEX(ALLCLASSDATA,MATCH("ReflexSaveLegendary",CLASSFEATUREHEADERS,0),MATCH(($A1143 &amp; "Points"),CLASSNAMEHEADERS,0))),(IF("15"=(INDEX(ALLCLASSDATA,MATCH("ReflexSaveMaster",CLASSFEATUREHEADERS,0),MATCH($A1143,CLASSNAMEHEADERS,0))),(INDEX(ALLCLASSDATA,MATCH("ReflexSaveMaster",CLASSFEATUREHEADERS,0),MATCH(($A1143 &amp; "Points"),CLASSNAMEHEADERS,0))),(IF("15"=(INDEX(ALLCLASSDATA,MATCH("ReflexSaveExpert",CLASSFEATUREHEADERS,0),MATCH($A1143,CLASSNAMEHEADERS,0))),(INDEX(ALLCLASSDATA,MATCH("ReflexSaveExpert",CLASSFEATUREHEADERS,0),MATCH(($A1143 &amp; "Points"),CLASSNAMEHEADERS,0))),(IF("15"=(INDEX(ALLCLASSDATA,MATCH("ReflexSaveTrained",CLASSFEATUREHEADERS,0),MATCH($A1143,CLASSNAMEHEADERS,0))),(INDEX(ALLCLASSDATA,MATCH("ReflexSaveTrained",CLASSFEATUREHEADERS,0),MATCH(($A1143 &amp; "Points"),CLASSNAMEHEADERS,0))),"")))))))))}</f>
        <v>REFLEXL15</v>
      </c>
      <c r="W1142" s="223"/>
      <c r="X1142" s="223" t="str">
        <f t="array" ref="X1142:X1143">{"REFLEXL17";((IF("17"=(INDEX(ALLCLASSDATA,MATCH("ReflexSaveLegendary",CLASSFEATUREHEADERS,0),MATCH($A1143,CLASSNAMEHEADERS,0))),(INDEX(ALLCLASSDATA,MATCH("ReflexSaveLegendary",CLASSFEATUREHEADERS,0),MATCH(($A1143 &amp; "Points"),CLASSNAMEHEADERS,0))),(IF("17"=(INDEX(ALLCLASSDATA,MATCH("ReflexSaveMaster",CLASSFEATUREHEADERS,0),MATCH($A1143,CLASSNAMEHEADERS,0))),(INDEX(ALLCLASSDATA,MATCH("ReflexSaveMaster",CLASSFEATUREHEADERS,0),MATCH(($A1143 &amp; "Points"),CLASSNAMEHEADERS,0))),(IF("17"=(INDEX(ALLCLASSDATA,MATCH("ReflexSaveExpert",CLASSFEATUREHEADERS,0),MATCH($A1143,CLASSNAMEHEADERS,0))),(INDEX(ALLCLASSDATA,MATCH("ReflexSaveExpert",CLASSFEATUREHEADERS,0),MATCH(($A1143 &amp; "Points"),CLASSNAMEHEADERS,0))),(IF("17"=(INDEX(ALLCLASSDATA,MATCH("ReflexSaveTrained",CLASSFEATUREHEADERS,0),MATCH($A1143,CLASSNAMEHEADERS,0))),(INDEX(ALLCLASSDATA,MATCH("ReflexSaveTrained",CLASSFEATUREHEADERS,0),MATCH(($A1143 &amp; "Points"),CLASSNAMEHEADERS,0))),"")))))))))}</f>
        <v>REFLEXL17</v>
      </c>
      <c r="Y1142" s="223"/>
      <c r="Z1142" s="223" t="str">
        <f t="array" ref="Z1142:Z1143">{"REFLEXL19";((IF("19"=(INDEX(ALLCLASSDATA,MATCH("ReflexSaveLegendary",CLASSFEATUREHEADERS,0),MATCH($A1143,CLASSNAMEHEADERS,0))),(INDEX(ALLCLASSDATA,MATCH("ReflexSaveLegendary",CLASSFEATUREHEADERS,0),MATCH(($A1143 &amp; "Points"),CLASSNAMEHEADERS,0))),(IF("19"=(INDEX(ALLCLASSDATA,MATCH("ReflexSaveMaster",CLASSFEATUREHEADERS,0),MATCH($A1143,CLASSNAMEHEADERS,0))),(INDEX(ALLCLASSDATA,MATCH("ReflexSaveMaster",CLASSFEATUREHEADERS,0),MATCH(($A1143 &amp; "Points"),CLASSNAMEHEADERS,0))),(IF("19"=(INDEX(ALLCLASSDATA,MATCH("ReflexSaveExpert",CLASSFEATUREHEADERS,0),MATCH($A1143,CLASSNAMEHEADERS,0))),(INDEX(ALLCLASSDATA,MATCH("ReflexSaveExpert",CLASSFEATUREHEADERS,0),MATCH(($A1143 &amp; "Points"),CLASSNAMEHEADERS,0))),(IF("19"=(INDEX(ALLCLASSDATA,MATCH("ReflexSaveTrained",CLASSFEATUREHEADERS,0),MATCH($A1143,CLASSNAMEHEADERS,0))),(INDEX(ALLCLASSDATA,MATCH("ReflexSaveTrained",CLASSFEATUREHEADERS,0),MATCH(($A1143 &amp; "Points"),CLASSNAMEHEADERS,0))),"")))))))))}</f>
        <v>REFLEXL19</v>
      </c>
      <c r="AA1142" s="223"/>
      <c r="AB1142" s="76" t="str">
        <f t="array" ref="AB1142:AB1143">{"REFLEX TOTAL";(IF(COUNTBLANK(G1143:AA1143)=17,"L",(IF(COUNTBLANK(G1143:AA1143)=18,"M",(IF(COUNTBLANK(G1143:AA1143)=19,"E",(IF(COUNTBLANK(G1143:AA1143)=20,"T",""))))))))}</f>
        <v>REFLEX TOTAL</v>
      </c>
      <c r="AC1142" s="76" t="str">
        <f t="array" ref="AC1142:AC1143">{"REFLEX TOTAL";(sum(G1143:AA1143))}</f>
        <v>REFLEX TOTAL</v>
      </c>
    </row>
    <row r="1143">
      <c r="A1143" s="48" t="s">
        <v>195</v>
      </c>
      <c r="B1143" s="48"/>
      <c r="C1143" s="48" t="s">
        <v>417</v>
      </c>
      <c r="D1143" s="48" t="s">
        <v>1549</v>
      </c>
      <c r="E1143" s="48" t="s">
        <v>1572</v>
      </c>
      <c r="F1143" s="5" t="s">
        <v>435</v>
      </c>
      <c r="G1143" s="47" t="s">
        <v>603</v>
      </c>
      <c r="H1143" s="5">
        <v>10.0</v>
      </c>
      <c r="I1143" s="5"/>
      <c r="J1143" s="5" t="s">
        <v>603</v>
      </c>
      <c r="K1143" s="5"/>
      <c r="L1143" s="5" t="s">
        <v>603</v>
      </c>
      <c r="M1143" s="5"/>
      <c r="N1143" s="5" t="s">
        <v>603</v>
      </c>
      <c r="O1143" s="5"/>
      <c r="P1143" s="5">
        <v>50.0</v>
      </c>
      <c r="Q1143" s="5"/>
      <c r="R1143" s="5" t="s">
        <v>603</v>
      </c>
      <c r="S1143" s="5"/>
      <c r="T1143" s="5" t="s">
        <v>603</v>
      </c>
      <c r="U1143" s="5"/>
      <c r="V1143" s="5" t="s">
        <v>603</v>
      </c>
      <c r="W1143" s="5"/>
      <c r="X1143" s="5" t="s">
        <v>603</v>
      </c>
      <c r="Y1143" s="5"/>
      <c r="Z1143" s="5" t="s">
        <v>603</v>
      </c>
      <c r="AA1143" s="5"/>
      <c r="AB1143" s="5" t="s">
        <v>436</v>
      </c>
      <c r="AC1143" s="47">
        <v>60.0</v>
      </c>
    </row>
    <row r="1144" hidden="1">
      <c r="A1144" s="222" t="str">
        <f t="array" ref="A1144:A1145">{"FormulaRow25";(INDEX(CLASSLIST,A1095,1))}</f>
        <v>FormulaRow25</v>
      </c>
      <c r="B1144" s="77" t="s">
        <v>236</v>
      </c>
      <c r="C1144" s="222" t="str">
        <f t="array" ref="C1144:C1145">{"CLASSTYPE";((INDEX(ALLCLASSDATA,MATCH("ClassType",CLASSFEATUREHEADERS,0),MATCH($A1145,CLASSNAMEHEADERS,0))))}</f>
        <v>CLASSTYPE</v>
      </c>
      <c r="D1144" s="222" t="str">
        <f t="array" ref="D1144:D1145">{"SAVES";"Saves"}</f>
        <v>SAVES</v>
      </c>
      <c r="E1144" s="222" t="str">
        <f t="array" ref="E1144:E1145">{"WILLSAVE";"WillSave"}</f>
        <v>WILLSAVE</v>
      </c>
      <c r="F1144" s="223" t="str">
        <f t="array" ref="F1144:F1145">{"WILLINITIAL";((IF(H1145=10,"T",(IF(H1145=50,"E","")))))}</f>
        <v>WILLINITIAL</v>
      </c>
      <c r="G1144" s="223" t="str">
        <f t="array" ref="G1144:G1145">{"WILLINITIALPTS";((IF("00"=(INDEX(ALLCLASSDATA,MATCH("WillSaveLegendary",CLASSFEATUREHEADERS,0),MATCH($A1145,CLASSNAMEHEADERS,0))),(INDEX(ALLCLASSDATA,MATCH("WillSaveLegendary",CLASSFEATUREHEADERS,0),MATCH(($A1145 &amp; "Points"),CLASSNAMEHEADERS,0))),(IF("00"=(INDEX(ALLCLASSDATA,MATCH("WillSaveMaster",CLASSFEATUREHEADERS,0),MATCH($A1145,CLASSNAMEHEADERS,0))),(INDEX(ALLCLASSDATA,MATCH("WillSaveMaster",CLASSFEATUREHEADERS,0),MATCH(($A1145 &amp; "Points"),CLASSNAMEHEADERS,0))),(IF("00"=(INDEX(ALLCLASSDATA,MATCH("WillSaveExpert",CLASSFEATUREHEADERS,0),MATCH($A1145,CLASSNAMEHEADERS,0))),(INDEX(ALLCLASSDATA,MATCH("WillSaveExpert",CLASSFEATUREHEADERS,0),MATCH(($A1145 &amp; "Points"),CLASSNAMEHEADERS,0))),(IF("00"=(INDEX(ALLCLASSDATA,MATCH("WillSaveTrained",CLASSFEATUREHEADERS,0),MATCH($A1145,CLASSNAMEHEADERS,0))),(INDEX(ALLCLASSDATA,MATCH("WillSaveTrained",CLASSFEATUREHEADERS,0),MATCH(($A1145 &amp; "Points"),CLASSNAMEHEADERS,0))),"")))))))))}</f>
        <v>WILLINITIALPTS</v>
      </c>
      <c r="H1144" s="223" t="str">
        <f t="array" ref="H1144:H1145">{"WILLL01";((IF("01"=(INDEX(ALLCLASSDATA,MATCH("WillSaveLegendary",CLASSFEATUREHEADERS,0),MATCH($A1145,CLASSNAMEHEADERS,0))),(INDEX(ALLCLASSDATA,MATCH("WillSaveLegendary",CLASSFEATUREHEADERS,0),MATCH(($A1145 &amp; "Points"),CLASSNAMEHEADERS,0))),(IF("01"=(INDEX(ALLCLASSDATA,MATCH("WillSaveMaster",CLASSFEATUREHEADERS,0),MATCH($A1145,CLASSNAMEHEADERS,0))),(INDEX(ALLCLASSDATA,MATCH("WillSaveMaster",CLASSFEATUREHEADERS,0),MATCH(($A1145 &amp; "Points"),CLASSNAMEHEADERS,0))),(IF("01"=(INDEX(ALLCLASSDATA,MATCH("WillSaveExpert",CLASSFEATUREHEADERS,0),MATCH($A1145,CLASSNAMEHEADERS,0))),(INDEX(ALLCLASSDATA,MATCH("WillSaveExpert",CLASSFEATUREHEADERS,0),MATCH(($A1145 &amp; "Points"),CLASSNAMEHEADERS,0))),(IF("01"=(INDEX(ALLCLASSDATA,MATCH("WillSaveTrained",CLASSFEATUREHEADERS,0),MATCH($A1145,CLASSNAMEHEADERS,0))),(INDEX(ALLCLASSDATA,MATCH("WillSaveTrained",CLASSFEATUREHEADERS,0),MATCH(($A1145 &amp; "Points"),CLASSNAMEHEADERS,0))),"")))))))))}</f>
        <v>WILLL01</v>
      </c>
      <c r="I1144" s="223"/>
      <c r="J1144" s="223" t="str">
        <f t="array" ref="J1144:J1145">{"WILLL03";((IF("03"=(INDEX(ALLCLASSDATA,MATCH("WillSaveLegendary",CLASSFEATUREHEADERS,0),MATCH($A1145,CLASSNAMEHEADERS,0))),(INDEX(ALLCLASSDATA,MATCH("WillSaveLegendary",CLASSFEATUREHEADERS,0),MATCH(($A1145 &amp; "Points"),CLASSNAMEHEADERS,0))),(IF("03"=(INDEX(ALLCLASSDATA,MATCH("WillSaveMaster",CLASSFEATUREHEADERS,0),MATCH($A1145,CLASSNAMEHEADERS,0))),(INDEX(ALLCLASSDATA,MATCH("WillSaveMaster",CLASSFEATUREHEADERS,0),MATCH(($A1145 &amp; "Points"),CLASSNAMEHEADERS,0))),(IF("03"=(INDEX(ALLCLASSDATA,MATCH("WillSaveExpert",CLASSFEATUREHEADERS,0),MATCH($A1145,CLASSNAMEHEADERS,0))),(INDEX(ALLCLASSDATA,MATCH("WillSaveExpert",CLASSFEATUREHEADERS,0),MATCH(($A1145 &amp; "Points"),CLASSNAMEHEADERS,0))),(IF("03"=(INDEX(ALLCLASSDATA,MATCH("WillSaveTrained",CLASSFEATUREHEADERS,0),MATCH($A1145,CLASSNAMEHEADERS,0))),(INDEX(ALLCLASSDATA,MATCH("WillSaveTrained",CLASSFEATUREHEADERS,0),MATCH(($A1145 &amp; "Points"),CLASSNAMEHEADERS,0))),"")))))))))}</f>
        <v>WILLL03</v>
      </c>
      <c r="K1144" s="223"/>
      <c r="L1144" s="223" t="str">
        <f t="array" ref="L1144:L1145">{"WILLL05";((IF("05"=(INDEX(ALLCLASSDATA,MATCH("WillSaveLegendary",CLASSFEATUREHEADERS,0),MATCH($A1145,CLASSNAMEHEADERS,0))),(INDEX(ALLCLASSDATA,MATCH("WillSaveLegendary",CLASSFEATUREHEADERS,0),MATCH(($A1145 &amp; "Points"),CLASSNAMEHEADERS,0))),(IF("05"=(INDEX(ALLCLASSDATA,MATCH("WillSaveMaster",CLASSFEATUREHEADERS,0),MATCH($A1145,CLASSNAMEHEADERS,0))),(INDEX(ALLCLASSDATA,MATCH("WillSaveMaster",CLASSFEATUREHEADERS,0),MATCH(($A1145 &amp; "Points"),CLASSNAMEHEADERS,0))),(IF("05"=(INDEX(ALLCLASSDATA,MATCH("WillSaveExpert",CLASSFEATUREHEADERS,0),MATCH($A1145,CLASSNAMEHEADERS,0))),(INDEX(ALLCLASSDATA,MATCH("WillSaveExpert",CLASSFEATUREHEADERS,0),MATCH(($A1145 &amp; "Points"),CLASSNAMEHEADERS,0))),(IF("05"=(INDEX(ALLCLASSDATA,MATCH("WillSaveTrained",CLASSFEATUREHEADERS,0),MATCH($A1145,CLASSNAMEHEADERS,0))),(INDEX(ALLCLASSDATA,MATCH("WillSaveTrained",CLASSFEATUREHEADERS,0),MATCH(($A1145 &amp; "Points"),CLASSNAMEHEADERS,0))),"")))))))))}</f>
        <v>WILLL05</v>
      </c>
      <c r="M1144" s="223"/>
      <c r="N1144" s="223" t="str">
        <f t="array" ref="N1144:N1145">{"WILLL07";((IF("07"=(INDEX(ALLCLASSDATA,MATCH("WillSaveLegendary",CLASSFEATUREHEADERS,0),MATCH($A1145,CLASSNAMEHEADERS,0))),(INDEX(ALLCLASSDATA,MATCH("WillSaveLegendary",CLASSFEATUREHEADERS,0),MATCH(($A1145 &amp; "Points"),CLASSNAMEHEADERS,0))),(IF("07"=(INDEX(ALLCLASSDATA,MATCH("WillSaveMaster",CLASSFEATUREHEADERS,0),MATCH($A1145,CLASSNAMEHEADERS,0))),(INDEX(ALLCLASSDATA,MATCH("WillSaveMaster",CLASSFEATUREHEADERS,0),MATCH(($A1145 &amp; "Points"),CLASSNAMEHEADERS,0))),(IF("07"=(INDEX(ALLCLASSDATA,MATCH("WillSaveExpert",CLASSFEATUREHEADERS,0),MATCH($A1145,CLASSNAMEHEADERS,0))),(INDEX(ALLCLASSDATA,MATCH("WillSaveExpert",CLASSFEATUREHEADERS,0),MATCH(($A1145 &amp; "Points"),CLASSNAMEHEADERS,0))),(IF("07"=(INDEX(ALLCLASSDATA,MATCH("WillSaveTrained",CLASSFEATUREHEADERS,0),MATCH($A1145,CLASSNAMEHEADERS,0))),(INDEX(ALLCLASSDATA,MATCH("WillSaveTrained",CLASSFEATUREHEADERS,0),MATCH(($A1145 &amp; "Points"),CLASSNAMEHEADERS,0))),"")))))))))}</f>
        <v>WILLL07</v>
      </c>
      <c r="O1144" s="223"/>
      <c r="P1144" s="223" t="str">
        <f t="array" ref="P1144:P1145">{"WILLL09";((IF("09"=(INDEX(ALLCLASSDATA,MATCH("WillSaveLegendary",CLASSFEATUREHEADERS,0),MATCH($A1145,CLASSNAMEHEADERS,0))),(INDEX(ALLCLASSDATA,MATCH("WillSaveLegendary",CLASSFEATUREHEADERS,0),MATCH(($A1145 &amp; "Points"),CLASSNAMEHEADERS,0))),(IF("09"=(INDEX(ALLCLASSDATA,MATCH("WillSaveMaster",CLASSFEATUREHEADERS,0),MATCH($A1145,CLASSNAMEHEADERS,0))),(INDEX(ALLCLASSDATA,MATCH("WillSaveMaster",CLASSFEATUREHEADERS,0),MATCH(($A1145 &amp; "Points"),CLASSNAMEHEADERS,0))),(IF("09"=(INDEX(ALLCLASSDATA,MATCH("WillSaveExpert",CLASSFEATUREHEADERS,0),MATCH($A1145,CLASSNAMEHEADERS,0))),(INDEX(ALLCLASSDATA,MATCH("WillSaveExpert",CLASSFEATUREHEADERS,0),MATCH(($A1145 &amp; "Points"),CLASSNAMEHEADERS,0))),(IF("09"=(INDEX(ALLCLASSDATA,MATCH("WillSaveTrained",CLASSFEATUREHEADERS,0),MATCH($A1145,CLASSNAMEHEADERS,0))),(INDEX(ALLCLASSDATA,MATCH("WillSaveTrained",CLASSFEATUREHEADERS,0),MATCH(($A1145 &amp; "Points"),CLASSNAMEHEADERS,0))),"")))))))))}</f>
        <v>WILLL09</v>
      </c>
      <c r="Q1144" s="223"/>
      <c r="R1144" s="223" t="str">
        <f t="array" ref="R1144:R1145">{"WILLL11";((IF("11"=(INDEX(ALLCLASSDATA,MATCH("WillSaveLegendary",CLASSFEATUREHEADERS,0),MATCH($A1145,CLASSNAMEHEADERS,0))),(INDEX(ALLCLASSDATA,MATCH("WillSaveLegendary",CLASSFEATUREHEADERS,0),MATCH(($A1145 &amp; "Points"),CLASSNAMEHEADERS,0))),(IF("11"=(INDEX(ALLCLASSDATA,MATCH("WillSaveMaster",CLASSFEATUREHEADERS,0),MATCH($A1145,CLASSNAMEHEADERS,0))),(INDEX(ALLCLASSDATA,MATCH("WillSaveMaster",CLASSFEATUREHEADERS,0),MATCH(($A1145 &amp; "Points"),CLASSNAMEHEADERS,0))),(IF("11"=(INDEX(ALLCLASSDATA,MATCH("WillSaveExpert",CLASSFEATUREHEADERS,0),MATCH($A1145,CLASSNAMEHEADERS,0))),(INDEX(ALLCLASSDATA,MATCH("WillSaveExpert",CLASSFEATUREHEADERS,0),MATCH(($A1145 &amp; "Points"),CLASSNAMEHEADERS,0))),(IF("11"=(INDEX(ALLCLASSDATA,MATCH("WillSaveTrained",CLASSFEATUREHEADERS,0),MATCH($A1145,CLASSNAMEHEADERS,0))),(INDEX(ALLCLASSDATA,MATCH("WillSaveTrained",CLASSFEATUREHEADERS,0),MATCH(($A1145 &amp; "Points"),CLASSNAMEHEADERS,0))),"")))))))))}</f>
        <v>WILLL11</v>
      </c>
      <c r="S1144" s="223"/>
      <c r="T1144" s="223" t="str">
        <f t="array" ref="T1144:T1145">{"WILLL13";((IF("13"=(INDEX(ALLCLASSDATA,MATCH("WillSaveLegendary",CLASSFEATUREHEADERS,0),MATCH($A1145,CLASSNAMEHEADERS,0))),(INDEX(ALLCLASSDATA,MATCH("WillSaveLegendary",CLASSFEATUREHEADERS,0),MATCH(($A1145 &amp; "Points"),CLASSNAMEHEADERS,0))),(IF("13"=(INDEX(ALLCLASSDATA,MATCH("WillSaveMaster",CLASSFEATUREHEADERS,0),MATCH($A1145,CLASSNAMEHEADERS,0))),(INDEX(ALLCLASSDATA,MATCH("WillSaveMaster",CLASSFEATUREHEADERS,0),MATCH(($A1145 &amp; "Points"),CLASSNAMEHEADERS,0))),(IF("13"=(INDEX(ALLCLASSDATA,MATCH("WillSaveExpert",CLASSFEATUREHEADERS,0),MATCH($A1145,CLASSNAMEHEADERS,0))),(INDEX(ALLCLASSDATA,MATCH("WillSaveExpert",CLASSFEATUREHEADERS,0),MATCH(($A1145 &amp; "Points"),CLASSNAMEHEADERS,0))),(IF("13"=(INDEX(ALLCLASSDATA,MATCH("WillSaveTrained",CLASSFEATUREHEADERS,0),MATCH($A1145,CLASSNAMEHEADERS,0))),(INDEX(ALLCLASSDATA,MATCH("WillSaveTrained",CLASSFEATUREHEADERS,0),MATCH(($A1145 &amp; "Points"),CLASSNAMEHEADERS,0))),"")))))))))}</f>
        <v>WILLL13</v>
      </c>
      <c r="U1144" s="223"/>
      <c r="V1144" s="223" t="str">
        <f t="array" ref="V1144:V1145">{"WILLL15";((IF("15"=(INDEX(ALLCLASSDATA,MATCH("WillSaveLegendary",CLASSFEATUREHEADERS,0),MATCH($A1145,CLASSNAMEHEADERS,0))),(INDEX(ALLCLASSDATA,MATCH("WillSaveLegendary",CLASSFEATUREHEADERS,0),MATCH(($A1145 &amp; "Points"),CLASSNAMEHEADERS,0))),(IF("15"=(INDEX(ALLCLASSDATA,MATCH("WillSaveMaster",CLASSFEATUREHEADERS,0),MATCH($A1145,CLASSNAMEHEADERS,0))),(INDEX(ALLCLASSDATA,MATCH("WillSaveMaster",CLASSFEATUREHEADERS,0),MATCH(($A1145 &amp; "Points"),CLASSNAMEHEADERS,0))),(IF("15"=(INDEX(ALLCLASSDATA,MATCH("WillSaveExpert",CLASSFEATUREHEADERS,0),MATCH($A1145,CLASSNAMEHEADERS,0))),(INDEX(ALLCLASSDATA,MATCH("WillSaveExpert",CLASSFEATUREHEADERS,0),MATCH(($A1145 &amp; "Points"),CLASSNAMEHEADERS,0))),(IF("15"=(INDEX(ALLCLASSDATA,MATCH("WillSaveTrained",CLASSFEATUREHEADERS,0),MATCH($A1145,CLASSNAMEHEADERS,0))),(INDEX(ALLCLASSDATA,MATCH("WillSaveTrained",CLASSFEATUREHEADERS,0),MATCH(($A1145 &amp; "Points"),CLASSNAMEHEADERS,0))),"")))))))))}</f>
        <v>WILLL15</v>
      </c>
      <c r="W1144" s="223"/>
      <c r="X1144" s="223" t="str">
        <f t="array" ref="X1144:X1145">{"WILLL17";((IF("17"=(INDEX(ALLCLASSDATA,MATCH("WillSaveLegendary",CLASSFEATUREHEADERS,0),MATCH($A1145,CLASSNAMEHEADERS,0))),(INDEX(ALLCLASSDATA,MATCH("WillSaveLegendary",CLASSFEATUREHEADERS,0),MATCH(($A1145 &amp; "Points"),CLASSNAMEHEADERS,0))),(IF("17"=(INDEX(ALLCLASSDATA,MATCH("WillSaveMaster",CLASSFEATUREHEADERS,0),MATCH($A1145,CLASSNAMEHEADERS,0))),(INDEX(ALLCLASSDATA,MATCH("WillSaveMaster",CLASSFEATUREHEADERS,0),MATCH(($A1145 &amp; "Points"),CLASSNAMEHEADERS,0))),(IF("17"=(INDEX(ALLCLASSDATA,MATCH("WillSaveExpert",CLASSFEATUREHEADERS,0),MATCH($A1145,CLASSNAMEHEADERS,0))),(INDEX(ALLCLASSDATA,MATCH("WillSaveExpert",CLASSFEATUREHEADERS,0),MATCH(($A1145 &amp; "Points"),CLASSNAMEHEADERS,0))),(IF("17"=(INDEX(ALLCLASSDATA,MATCH("WillSaveTrained",CLASSFEATUREHEADERS,0),MATCH($A1145,CLASSNAMEHEADERS,0))),(INDEX(ALLCLASSDATA,MATCH("WillSaveTrained",CLASSFEATUREHEADERS,0),MATCH(($A1145 &amp; "Points"),CLASSNAMEHEADERS,0))),"")))))))))}</f>
        <v>WILLL17</v>
      </c>
      <c r="Y1144" s="223"/>
      <c r="Z1144" s="223" t="str">
        <f t="array" ref="Z1144:Z1145">{"WILLL19";((IF("19"=(INDEX(ALLCLASSDATA,MATCH("WillSaveLegendary",CLASSFEATUREHEADERS,0),MATCH($A1145,CLASSNAMEHEADERS,0))),(INDEX(ALLCLASSDATA,MATCH("WillSaveLegendary",CLASSFEATUREHEADERS,0),MATCH(($A1145 &amp; "Points"),CLASSNAMEHEADERS,0))),(IF("19"=(INDEX(ALLCLASSDATA,MATCH("WillSaveMaster",CLASSFEATUREHEADERS,0),MATCH($A1145,CLASSNAMEHEADERS,0))),(INDEX(ALLCLASSDATA,MATCH("WillSaveMaster",CLASSFEATUREHEADERS,0),MATCH(($A1145 &amp; "Points"),CLASSNAMEHEADERS,0))),(IF("19"=(INDEX(ALLCLASSDATA,MATCH("WillSaveExpert",CLASSFEATUREHEADERS,0),MATCH($A1145,CLASSNAMEHEADERS,0))),(INDEX(ALLCLASSDATA,MATCH("WillSaveExpert",CLASSFEATUREHEADERS,0),MATCH(($A1145 &amp; "Points"),CLASSNAMEHEADERS,0))),(IF("19"=(INDEX(ALLCLASSDATA,MATCH("WillSaveTrained",CLASSFEATUREHEADERS,0),MATCH($A1145,CLASSNAMEHEADERS,0))),(INDEX(ALLCLASSDATA,MATCH("WillSaveTrained",CLASSFEATUREHEADERS,0),MATCH(($A1145 &amp; "Points"),CLASSNAMEHEADERS,0))),"")))))))))}</f>
        <v>WILLL19</v>
      </c>
      <c r="AA1144" s="223"/>
      <c r="AB1144" s="76" t="str">
        <f t="array" ref="AB1144:AB1145">{"WILL TOTAL";(IF(COUNTBLANK(G1145:AA1145)=17,"L",(IF(COUNTBLANK(G1145:AA1145)=18,"M",(IF(COUNTBLANK(G1145:AA1145)=19,"E",(IF(COUNTBLANK(G1145:AA1145)=20,"T",""))))))))}</f>
        <v>WILL TOTAL</v>
      </c>
      <c r="AC1144" s="76" t="str">
        <f t="array" ref="AC1144:AC1145">{"WILL TOTAL";(sum(G1145:AA1145))}</f>
        <v>WILL TOTAL</v>
      </c>
    </row>
    <row r="1145">
      <c r="A1145" s="48" t="s">
        <v>195</v>
      </c>
      <c r="B1145" s="48"/>
      <c r="C1145" s="48" t="s">
        <v>417</v>
      </c>
      <c r="D1145" s="97" t="s">
        <v>1549</v>
      </c>
      <c r="E1145" s="97" t="s">
        <v>1591</v>
      </c>
      <c r="F1145" s="98" t="s">
        <v>436</v>
      </c>
      <c r="G1145" s="132">
        <v>10.0</v>
      </c>
      <c r="H1145" s="98">
        <v>50.0</v>
      </c>
      <c r="I1145" s="98"/>
      <c r="J1145" s="98" t="s">
        <v>603</v>
      </c>
      <c r="K1145" s="98"/>
      <c r="L1145" s="98" t="s">
        <v>603</v>
      </c>
      <c r="M1145" s="97"/>
      <c r="N1145" s="98" t="s">
        <v>603</v>
      </c>
      <c r="O1145" s="98"/>
      <c r="P1145" s="98" t="s">
        <v>603</v>
      </c>
      <c r="Q1145" s="97"/>
      <c r="R1145" s="98" t="s">
        <v>603</v>
      </c>
      <c r="S1145" s="98"/>
      <c r="T1145" s="98" t="s">
        <v>603</v>
      </c>
      <c r="U1145" s="98"/>
      <c r="V1145" s="98">
        <v>110.0</v>
      </c>
      <c r="W1145" s="98"/>
      <c r="X1145" s="98" t="s">
        <v>603</v>
      </c>
      <c r="Y1145" s="98"/>
      <c r="Z1145" s="98" t="s">
        <v>603</v>
      </c>
      <c r="AA1145" s="98"/>
      <c r="AB1145" s="5" t="s">
        <v>437</v>
      </c>
      <c r="AC1145" s="47">
        <v>170.0</v>
      </c>
    </row>
    <row r="1146" hidden="1">
      <c r="A1146" s="222" t="str">
        <f t="array" ref="A1146:A1147">{"FormulaRow26";(INDEX(CLASSLIST,A1095,1))}</f>
        <v>FormulaRow26</v>
      </c>
      <c r="B1146" s="77" t="s">
        <v>236</v>
      </c>
      <c r="C1146" s="222" t="str">
        <f t="array" ref="C1146:C1147">{"CLASSTYPE";((INDEX(ALLCLASSDATA,MATCH("ClassType",CLASSFEATUREHEADERS,0),MATCH($A1147,CLASSNAMEHEADERS,0))))}</f>
        <v>CLASSTYPE</v>
      </c>
      <c r="D1146" s="228" t="str">
        <f t="array" ref="D1146:D1147">{"ATTACK";"Attack"}</f>
        <v>ATTACK</v>
      </c>
      <c r="E1146" s="228" t="str">
        <f t="array" ref="E1146:E1147">{"WEAPONSPECIAL";"WeaponCS/WS/GWS"}</f>
        <v>WEAPONSPECIAL</v>
      </c>
      <c r="F1146" s="230"/>
      <c r="G1146" s="230"/>
      <c r="H1146" s="230" t="str">
        <f t="array" ref="H1146:H1147">{"WEAPONSPECIALL01";((IF("01"=INDEX(ALLCLASSDATA,MATCH("WeaponGreaterSpecialization",CLASSFEATUREHEADERS,0),MATCH($A1147,CLASSNAMEHEADERS,0)),WeaponGWS,(IF("01"=INDEX(ALLCLASSDATA,MATCH("WeaponSpecialization",CLASSFEATUREHEADERS,0),MATCH($A1147,CLASSNAMEHEADERS,0)),WeaponWS,(IF("01"=INDEX(ALLCLASSDATA,MATCH("WeaponCriticalSpecialization",CLASSFEATUREHEADERS,0),MATCH($A1147,CLASSNAMEHEADERS,0)),WeaponCS,"")))))))}</f>
        <v>WEAPONSPECIALL01</v>
      </c>
      <c r="I1146" s="230"/>
      <c r="J1146" s="230" t="str">
        <f t="array" ref="J1146:J1147">{"WEAPONSPECIALL03";((IF("03"=INDEX(ALLCLASSDATA,MATCH("WeaponGreaterSpecialization",CLASSFEATUREHEADERS,0),MATCH($A1147,CLASSNAMEHEADERS,0)),WeaponGWS,(IF("03"=INDEX(ALLCLASSDATA,MATCH("WeaponSpecialization",CLASSFEATUREHEADERS,0),MATCH($A1147,CLASSNAMEHEADERS,0)),WeaponWS,(IF("03"=INDEX(ALLCLASSDATA,MATCH("WeaponCriticalSpecialization",CLASSFEATUREHEADERS,0),MATCH($A1147,CLASSNAMEHEADERS,0)),WeaponCS,"")))))))}</f>
        <v>WEAPONSPECIALL03</v>
      </c>
      <c r="K1146" s="230"/>
      <c r="L1146" s="230" t="str">
        <f t="array" ref="L1146:L1147">{"WEAPONSPECIALL05";((IF("05"=INDEX(ALLCLASSDATA,MATCH("WeaponGreaterSpecialization",CLASSFEATUREHEADERS,0),MATCH($A1147,CLASSNAMEHEADERS,0)),WeaponGWS,(IF("05"=INDEX(ALLCLASSDATA,MATCH("WeaponSpecialization",CLASSFEATUREHEADERS,0),MATCH($A1147,CLASSNAMEHEADERS,0)),WeaponWS,(IF("05"=INDEX(ALLCLASSDATA,MATCH("WeaponCriticalSpecialization",CLASSFEATUREHEADERS,0),MATCH($A1147,CLASSNAMEHEADERS,0)),WeaponCS,"")))))))}</f>
        <v>WEAPONSPECIALL05</v>
      </c>
      <c r="M1146" s="230"/>
      <c r="N1146" s="230" t="str">
        <f t="array" ref="N1146:N1147">{"WEAPONSPECIALL07";((IF("07"=INDEX(ALLCLASSDATA,MATCH("WeaponGreaterSpecialization",CLASSFEATUREHEADERS,0),MATCH($A1147,CLASSNAMEHEADERS,0)),WeaponGWS,(IF("07"=INDEX(ALLCLASSDATA,MATCH("WeaponSpecialization",CLASSFEATUREHEADERS,0),MATCH($A1147,CLASSNAMEHEADERS,0)),WeaponWS,(IF("07"=INDEX(ALLCLASSDATA,MATCH("WeaponCriticalSpecialization",CLASSFEATUREHEADERS,0),MATCH($A1147,CLASSNAMEHEADERS,0)),WeaponCS,"")))))))}</f>
        <v>WEAPONSPECIALL07</v>
      </c>
      <c r="O1146" s="230"/>
      <c r="P1146" s="230" t="str">
        <f t="array" ref="P1146:P1147">{"WEAPONSPECIALL09";((IF("09"=INDEX(ALLCLASSDATA,MATCH("WeaponGreaterSpecialization",CLASSFEATUREHEADERS,0),MATCH($A1147,CLASSNAMEHEADERS,0)),WeaponGWS,(IF("09"=INDEX(ALLCLASSDATA,MATCH("WeaponSpecialization",CLASSFEATUREHEADERS,0),MATCH($A1147,CLASSNAMEHEADERS,0)),WeaponWS,(IF("09"=INDEX(ALLCLASSDATA,MATCH("WeaponCriticalSpecialization",CLASSFEATUREHEADERS,0),MATCH($A1147,CLASSNAMEHEADERS,0)),WeaponCS,"")))))))}</f>
        <v>WEAPONSPECIALL09</v>
      </c>
      <c r="Q1146" s="230"/>
      <c r="R1146" s="230" t="str">
        <f t="array" ref="R1146:R1147">{"WEAPONSPECIALL11";((IF("11"=INDEX(ALLCLASSDATA,MATCH("WeaponGreaterSpecialization",CLASSFEATUREHEADERS,0),MATCH($A1147,CLASSNAMEHEADERS,0)),WeaponGWS,(IF("11"=INDEX(ALLCLASSDATA,MATCH("WeaponSpecialization",CLASSFEATUREHEADERS,0),MATCH($A1147,CLASSNAMEHEADERS,0)),WeaponWS,(IF("11"=INDEX(ALLCLASSDATA,MATCH("WeaponCriticalSpecialization",CLASSFEATUREHEADERS,0),MATCH($A1147,CLASSNAMEHEADERS,0)),WeaponCS,"")))))))}</f>
        <v>WEAPONSPECIALL11</v>
      </c>
      <c r="S1146" s="230"/>
      <c r="T1146" s="230" t="str">
        <f t="array" ref="T1146:T1147">{"WEAPONSPECIALL13";((IF("13"=INDEX(ALLCLASSDATA,MATCH("WeaponGreaterSpecialization",CLASSFEATUREHEADERS,0),MATCH($A1147,CLASSNAMEHEADERS,0)),WeaponGWS,(IF("13"=INDEX(ALLCLASSDATA,MATCH("WeaponSpecialization",CLASSFEATUREHEADERS,0),MATCH($A1147,CLASSNAMEHEADERS,0)),WeaponWS,(IF("13"=INDEX(ALLCLASSDATA,MATCH("WeaponCriticalSpecialization",CLASSFEATUREHEADERS,0),MATCH($A1147,CLASSNAMEHEADERS,0)),WeaponCS,"")))))))}</f>
        <v>WEAPONSPECIALL13</v>
      </c>
      <c r="U1146" s="230"/>
      <c r="V1146" s="230" t="str">
        <f t="array" ref="V1146:V1147">{"WEAPONSPECIALL15";((IF("15"=INDEX(ALLCLASSDATA,MATCH("WeaponGreaterSpecialization",CLASSFEATUREHEADERS,0),MATCH($A1147,CLASSNAMEHEADERS,0)),WeaponGWS,(IF("15"=INDEX(ALLCLASSDATA,MATCH("WeaponSpecialization",CLASSFEATUREHEADERS,0),MATCH($A1147,CLASSNAMEHEADERS,0)),WeaponWS,(IF("15"=INDEX(ALLCLASSDATA,MATCH("WeaponCriticalSpecialization",CLASSFEATUREHEADERS,0),MATCH($A1147,CLASSNAMEHEADERS,0)),WeaponCS,"")))))))}</f>
        <v>WEAPONSPECIALL15</v>
      </c>
      <c r="W1146" s="230"/>
      <c r="X1146" s="230" t="str">
        <f t="array" ref="X1146:X1147">{"WEAPONSPECIALL17";((IF("17"=INDEX(ALLCLASSDATA,MATCH("WeaponGreaterSpecialization",CLASSFEATUREHEADERS,0),MATCH($A1147,CLASSNAMEHEADERS,0)),WeaponGWS,(IF("17"=INDEX(ALLCLASSDATA,MATCH("WeaponSpecialization",CLASSFEATUREHEADERS,0),MATCH($A1147,CLASSNAMEHEADERS,0)),WeaponWS,(IF("17"=INDEX(ALLCLASSDATA,MATCH("WeaponCriticalSpecialization",CLASSFEATUREHEADERS,0),MATCH($A1147,CLASSNAMEHEADERS,0)),WeaponCS,"")))))))}</f>
        <v>WEAPONSPECIALL17</v>
      </c>
      <c r="Y1146" s="230"/>
      <c r="Z1146" s="230" t="str">
        <f t="array" ref="Z1146:Z1147">{"WEAPONSPECIALL19";((IF("19"=INDEX(ALLCLASSDATA,MATCH("WeaponGreaterSpecialization",CLASSFEATUREHEADERS,0),MATCH($A1147,CLASSNAMEHEADERS,0)),WeaponGWS,(IF("19"=INDEX(ALLCLASSDATA,MATCH("WeaponSpecialization",CLASSFEATUREHEADERS,0),MATCH($A1147,CLASSNAMEHEADERS,0)),WeaponWS,(IF("19"=INDEX(ALLCLASSDATA,MATCH("WeaponCriticalSpecialization",CLASSFEATUREHEADERS,0),MATCH($A1147,CLASSNAMEHEADERS,0)),WeaponCS,"")))))))}</f>
        <v>WEAPONSPECIALL19</v>
      </c>
      <c r="AA1146" s="230"/>
      <c r="AB1146" s="76"/>
      <c r="AC1146" s="76" t="str">
        <f t="array" ref="AC1146:AC1147">{"WEAPONSPECIAL TOTAL";(sum(G1147:AA1147))}</f>
        <v>WEAPONSPECIAL TOTAL</v>
      </c>
    </row>
    <row r="1147">
      <c r="A1147" s="48" t="s">
        <v>195</v>
      </c>
      <c r="B1147" s="48"/>
      <c r="C1147" s="48" t="s">
        <v>417</v>
      </c>
      <c r="D1147" s="48" t="s">
        <v>1634</v>
      </c>
      <c r="E1147" s="48" t="s">
        <v>1635</v>
      </c>
      <c r="F1147" s="5"/>
      <c r="G1147" s="47"/>
      <c r="H1147" s="5" t="s">
        <v>603</v>
      </c>
      <c r="I1147" s="5"/>
      <c r="J1147" s="5" t="s">
        <v>603</v>
      </c>
      <c r="K1147" s="5"/>
      <c r="L1147" s="5" t="s">
        <v>603</v>
      </c>
      <c r="M1147" s="5"/>
      <c r="N1147" s="5" t="s">
        <v>603</v>
      </c>
      <c r="O1147" s="5"/>
      <c r="P1147" s="5" t="s">
        <v>603</v>
      </c>
      <c r="Q1147" s="5"/>
      <c r="R1147" s="5" t="s">
        <v>603</v>
      </c>
      <c r="S1147" s="5"/>
      <c r="T1147" s="5">
        <v>70.0</v>
      </c>
      <c r="U1147" s="5"/>
      <c r="V1147" s="5" t="s">
        <v>603</v>
      </c>
      <c r="W1147" s="5"/>
      <c r="X1147" s="5" t="s">
        <v>603</v>
      </c>
      <c r="Y1147" s="5"/>
      <c r="Z1147" s="5" t="s">
        <v>603</v>
      </c>
      <c r="AA1147" s="5"/>
      <c r="AB1147" s="5"/>
      <c r="AC1147" s="47">
        <v>70.0</v>
      </c>
    </row>
    <row r="1148" hidden="1">
      <c r="A1148" s="222" t="str">
        <f t="array" ref="A1148:A1149">{"FormulaRow27";(INDEX(CLASSLIST,A1095,1))}</f>
        <v>FormulaRow27</v>
      </c>
      <c r="B1148" s="77" t="s">
        <v>236</v>
      </c>
      <c r="C1148" s="222" t="str">
        <f t="array" ref="C1148:C1149">{"CLASSTYPE";((INDEX(ALLCLASSDATA,MATCH("ClassType",CLASSFEATUREHEADERS,0),MATCH($A1149,CLASSNAMEHEADERS,0))))}</f>
        <v>CLASSTYPE</v>
      </c>
      <c r="D1148" s="222" t="str">
        <f t="array" ref="D1148:D1149">{"ATTACK";"Attack"}</f>
        <v>ATTACK</v>
      </c>
      <c r="E1148" s="222" t="str">
        <f t="array" ref="E1148:E1149">{"UNARMED";"Unarmed"}</f>
        <v>UNARMED</v>
      </c>
      <c r="F1148" s="223" t="str">
        <f t="array" ref="F1148:F1149">{"UNARMEDINITIAL";((IF(H1149=10,"T",(IF(H1149=50,"E","")))))}</f>
        <v>UNARMEDINITIAL</v>
      </c>
      <c r="G1148" s="223" t="str">
        <f t="array" ref="G1148:G1149">{"UNARMEDINITIALPTS";((IF("00"=(INDEX(ALLCLASSDATA,MATCH("UnarmedLegendary",CLASSFEATUREHEADERS,0),MATCH($A1149,CLASSNAMEHEADERS,0))),(INDEX(ALLCLASSDATA,MATCH("UnarmedLegendary",CLASSFEATUREHEADERS,0),MATCH(($A1149 &amp; "Points"),CLASSNAMEHEADERS,0))),(IF("00"=(INDEX(ALLCLASSDATA,MATCH("UnarmedMaster",CLASSFEATUREHEADERS,0),MATCH($A1149,CLASSNAMEHEADERS,0))),(INDEX(ALLCLASSDATA,MATCH("UnarmedMaster",CLASSFEATUREHEADERS,0),MATCH(($A1149 &amp; "Points"),CLASSNAMEHEADERS,0))),(IF("00"=(INDEX(ALLCLASSDATA,MATCH("UnarmedExpert",CLASSFEATUREHEADERS,0),MATCH($A1149,CLASSNAMEHEADERS,0))),(INDEX(ALLCLASSDATA,MATCH("UnarmedExpert",CLASSFEATUREHEADERS,0),MATCH(($A1149 &amp; "Points"),CLASSNAMEHEADERS,0))),(IF("00"=(INDEX(ALLCLASSDATA,MATCH("UnarmedTrained",CLASSFEATUREHEADERS,0),MATCH($A1149,CLASSNAMEHEADERS,0))),(INDEX(ALLCLASSDATA,MATCH("UnarmedTrained",CLASSFEATUREHEADERS,0),MATCH(($A1149 &amp; "Points"),CLASSNAMEHEADERS,0))),"")))))))))}</f>
        <v>UNARMEDINITIALPTS</v>
      </c>
      <c r="H1148" s="223" t="str">
        <f t="array" ref="H1148:H1149">{"UNARMEDL01";((IF("01"=(INDEX(ALLCLASSDATA,MATCH("UnarmedLegendary",CLASSFEATUREHEADERS,0),MATCH($A1149,CLASSNAMEHEADERS,0))),(INDEX(ALLCLASSDATA,MATCH("UnarmedLegendary",CLASSFEATUREHEADERS,0),MATCH(($A1149 &amp; "Points"),CLASSNAMEHEADERS,0))),(IF("01"=(INDEX(ALLCLASSDATA,MATCH("UnarmedMaster",CLASSFEATUREHEADERS,0),MATCH($A1149,CLASSNAMEHEADERS,0))),(INDEX(ALLCLASSDATA,MATCH("UnarmedMaster",CLASSFEATUREHEADERS,0),MATCH(($A1149 &amp; "Points"),CLASSNAMEHEADERS,0))),(IF("01"=(INDEX(ALLCLASSDATA,MATCH("UnarmedExpert",CLASSFEATUREHEADERS,0),MATCH($A1149,CLASSNAMEHEADERS,0))),(INDEX(ALLCLASSDATA,MATCH("UnarmedExpert",CLASSFEATUREHEADERS,0),MATCH(($A1149 &amp; "Points"),CLASSNAMEHEADERS,0))),(IF("01"=(INDEX(ALLCLASSDATA,MATCH("UnarmedTrained",CLASSFEATUREHEADERS,0),MATCH($A1149,CLASSNAMEHEADERS,0))),(INDEX(ALLCLASSDATA,MATCH("UnarmedTrained",CLASSFEATUREHEADERS,0),MATCH(($A1149 &amp; "Points"),CLASSNAMEHEADERS,0))),"")))))))))}</f>
        <v>UNARMEDL01</v>
      </c>
      <c r="I1148" s="223"/>
      <c r="J1148" s="223" t="str">
        <f t="array" ref="J1148:J1149">{"UNARMEDL03";((IF("03"=(INDEX(ALLCLASSDATA,MATCH("UnarmedLegendary",CLASSFEATUREHEADERS,0),MATCH($A1149,CLASSNAMEHEADERS,0))),(INDEX(ALLCLASSDATA,MATCH("UnarmedLegendary",CLASSFEATUREHEADERS,0),MATCH(($A1149 &amp; "Points"),CLASSNAMEHEADERS,0))),(IF("03"=(INDEX(ALLCLASSDATA,MATCH("UnarmedMaster",CLASSFEATUREHEADERS,0),MATCH($A1149,CLASSNAMEHEADERS,0))),(INDEX(ALLCLASSDATA,MATCH("UnarmedMaster",CLASSFEATUREHEADERS,0),MATCH(($A1149 &amp; "Points"),CLASSNAMEHEADERS,0))),(IF("03"=(INDEX(ALLCLASSDATA,MATCH("UnarmedExpert",CLASSFEATUREHEADERS,0),MATCH($A1149,CLASSNAMEHEADERS,0))),(INDEX(ALLCLASSDATA,MATCH("UnarmedExpert",CLASSFEATUREHEADERS,0),MATCH(($A1149 &amp; "Points"),CLASSNAMEHEADERS,0))),(IF("03"=(INDEX(ALLCLASSDATA,MATCH("UnarmedTrained",CLASSFEATUREHEADERS,0),MATCH($A1149,CLASSNAMEHEADERS,0))),(INDEX(ALLCLASSDATA,MATCH("UnarmedTrained",CLASSFEATUREHEADERS,0),MATCH(($A1149 &amp; "Points"),CLASSNAMEHEADERS,0))),"")))))))))}</f>
        <v>UNARMEDL03</v>
      </c>
      <c r="K1148" s="223"/>
      <c r="L1148" s="223" t="str">
        <f t="array" ref="L1148:L1149">{"UNARMEDL05";((IF("05"=(INDEX(ALLCLASSDATA,MATCH("UnarmedLegendary",CLASSFEATUREHEADERS,0),MATCH($A1149,CLASSNAMEHEADERS,0))),(INDEX(ALLCLASSDATA,MATCH("UnarmedLegendary",CLASSFEATUREHEADERS,0),MATCH(($A1149 &amp; "Points"),CLASSNAMEHEADERS,0))),(IF("05"=(INDEX(ALLCLASSDATA,MATCH("UnarmedMaster",CLASSFEATUREHEADERS,0),MATCH($A1149,CLASSNAMEHEADERS,0))),(INDEX(ALLCLASSDATA,MATCH("UnarmedMaster",CLASSFEATUREHEADERS,0),MATCH(($A1149 &amp; "Points"),CLASSNAMEHEADERS,0))),(IF("05"=(INDEX(ALLCLASSDATA,MATCH("UnarmedExpert",CLASSFEATUREHEADERS,0),MATCH($A1149,CLASSNAMEHEADERS,0))),(INDEX(ALLCLASSDATA,MATCH("UnarmedExpert",CLASSFEATUREHEADERS,0),MATCH(($A1149 &amp; "Points"),CLASSNAMEHEADERS,0))),(IF("05"=(INDEX(ALLCLASSDATA,MATCH("UnarmedTrained",CLASSFEATUREHEADERS,0),MATCH($A1149,CLASSNAMEHEADERS,0))),(INDEX(ALLCLASSDATA,MATCH("UnarmedTrained",CLASSFEATUREHEADERS,0),MATCH(($A1149 &amp; "Points"),CLASSNAMEHEADERS,0))),"")))))))))}</f>
        <v>UNARMEDL05</v>
      </c>
      <c r="M1148" s="223"/>
      <c r="N1148" s="223" t="str">
        <f t="array" ref="N1148:N1149">{"UNARMEDL07";((IF("07"=(INDEX(ALLCLASSDATA,MATCH("UnarmedLegendary",CLASSFEATUREHEADERS,0),MATCH($A1149,CLASSNAMEHEADERS,0))),(INDEX(ALLCLASSDATA,MATCH("UnarmedLegendary",CLASSFEATUREHEADERS,0),MATCH(($A1149 &amp; "Points"),CLASSNAMEHEADERS,0))),(IF("07"=(INDEX(ALLCLASSDATA,MATCH("UnarmedMaster",CLASSFEATUREHEADERS,0),MATCH($A1149,CLASSNAMEHEADERS,0))),(INDEX(ALLCLASSDATA,MATCH("UnarmedMaster",CLASSFEATUREHEADERS,0),MATCH(($A1149 &amp; "Points"),CLASSNAMEHEADERS,0))),(IF("07"=(INDEX(ALLCLASSDATA,MATCH("UnarmedExpert",CLASSFEATUREHEADERS,0),MATCH($A1149,CLASSNAMEHEADERS,0))),(INDEX(ALLCLASSDATA,MATCH("UnarmedExpert",CLASSFEATUREHEADERS,0),MATCH(($A1149 &amp; "Points"),CLASSNAMEHEADERS,0))),(IF("07"=(INDEX(ALLCLASSDATA,MATCH("UnarmedTrained",CLASSFEATUREHEADERS,0),MATCH($A1149,CLASSNAMEHEADERS,0))),(INDEX(ALLCLASSDATA,MATCH("UnarmedTrained",CLASSFEATUREHEADERS,0),MATCH(($A1149 &amp; "Points"),CLASSNAMEHEADERS,0))),"")))))))))}</f>
        <v>UNARMEDL07</v>
      </c>
      <c r="O1148" s="223"/>
      <c r="P1148" s="223" t="str">
        <f t="array" ref="P1148:P1149">{"UNARMEDL09";((IF("09"=(INDEX(ALLCLASSDATA,MATCH("UnarmedLegendary",CLASSFEATUREHEADERS,0),MATCH($A1149,CLASSNAMEHEADERS,0))),(INDEX(ALLCLASSDATA,MATCH("UnarmedLegendary",CLASSFEATUREHEADERS,0),MATCH(($A1149 &amp; "Points"),CLASSNAMEHEADERS,0))),(IF("09"=(INDEX(ALLCLASSDATA,MATCH("UnarmedMaster",CLASSFEATUREHEADERS,0),MATCH($A1149,CLASSNAMEHEADERS,0))),(INDEX(ALLCLASSDATA,MATCH("UnarmedMaster",CLASSFEATUREHEADERS,0),MATCH(($A1149 &amp; "Points"),CLASSNAMEHEADERS,0))),(IF("09"=(INDEX(ALLCLASSDATA,MATCH("UnarmedExpert",CLASSFEATUREHEADERS,0),MATCH($A1149,CLASSNAMEHEADERS,0))),(INDEX(ALLCLASSDATA,MATCH("UnarmedExpert",CLASSFEATUREHEADERS,0),MATCH(($A1149 &amp; "Points"),CLASSNAMEHEADERS,0))),(IF("09"=(INDEX(ALLCLASSDATA,MATCH("UnarmedTrained",CLASSFEATUREHEADERS,0),MATCH($A1149,CLASSNAMEHEADERS,0))),(INDEX(ALLCLASSDATA,MATCH("UnarmedTrained",CLASSFEATUREHEADERS,0),MATCH(($A1149 &amp; "Points"),CLASSNAMEHEADERS,0))),"")))))))))}</f>
        <v>UNARMEDL09</v>
      </c>
      <c r="Q1148" s="223"/>
      <c r="R1148" s="223" t="str">
        <f t="array" ref="R1148:R1149">{"UNARMEDL11";((IF("11"=(INDEX(ALLCLASSDATA,MATCH("UnarmedLegendary",CLASSFEATUREHEADERS,0),MATCH($A1149,CLASSNAMEHEADERS,0))),(INDEX(ALLCLASSDATA,MATCH("UnarmedLegendary",CLASSFEATUREHEADERS,0),MATCH(($A1149 &amp; "Points"),CLASSNAMEHEADERS,0))),(IF("11"=(INDEX(ALLCLASSDATA,MATCH("UnarmedMaster",CLASSFEATUREHEADERS,0),MATCH($A1149,CLASSNAMEHEADERS,0))),(INDEX(ALLCLASSDATA,MATCH("UnarmedMaster",CLASSFEATUREHEADERS,0),MATCH(($A1149 &amp; "Points"),CLASSNAMEHEADERS,0))),(IF("11"=(INDEX(ALLCLASSDATA,MATCH("UnarmedExpert",CLASSFEATUREHEADERS,0),MATCH($A1149,CLASSNAMEHEADERS,0))),(INDEX(ALLCLASSDATA,MATCH("UnarmedExpert",CLASSFEATUREHEADERS,0),MATCH(($A1149 &amp; "Points"),CLASSNAMEHEADERS,0))),(IF("11"=(INDEX(ALLCLASSDATA,MATCH("UnarmedTrained",CLASSFEATUREHEADERS,0),MATCH($A1149,CLASSNAMEHEADERS,0))),(INDEX(ALLCLASSDATA,MATCH("UnarmedTrained",CLASSFEATUREHEADERS,0),MATCH(($A1149 &amp; "Points"),CLASSNAMEHEADERS,0))),"")))))))))}</f>
        <v>UNARMEDL11</v>
      </c>
      <c r="S1148" s="223"/>
      <c r="T1148" s="223" t="str">
        <f t="array" ref="T1148:T1149">{"UNARMEDL13";((IF("13"=(INDEX(ALLCLASSDATA,MATCH("UnarmedLegendary",CLASSFEATUREHEADERS,0),MATCH($A1149,CLASSNAMEHEADERS,0))),(INDEX(ALLCLASSDATA,MATCH("UnarmedLegendary",CLASSFEATUREHEADERS,0),MATCH(($A1149 &amp; "Points"),CLASSNAMEHEADERS,0))),(IF("13"=(INDEX(ALLCLASSDATA,MATCH("UnarmedMaster",CLASSFEATUREHEADERS,0),MATCH($A1149,CLASSNAMEHEADERS,0))),(INDEX(ALLCLASSDATA,MATCH("UnarmedMaster",CLASSFEATUREHEADERS,0),MATCH(($A1149 &amp; "Points"),CLASSNAMEHEADERS,0))),(IF("13"=(INDEX(ALLCLASSDATA,MATCH("UnarmedExpert",CLASSFEATUREHEADERS,0),MATCH($A1149,CLASSNAMEHEADERS,0))),(INDEX(ALLCLASSDATA,MATCH("UnarmedExpert",CLASSFEATUREHEADERS,0),MATCH(($A1149 &amp; "Points"),CLASSNAMEHEADERS,0))),(IF("13"=(INDEX(ALLCLASSDATA,MATCH("UnarmedTrained",CLASSFEATUREHEADERS,0),MATCH($A1149,CLASSNAMEHEADERS,0))),(INDEX(ALLCLASSDATA,MATCH("UnarmedTrained",CLASSFEATUREHEADERS,0),MATCH(($A1149 &amp; "Points"),CLASSNAMEHEADERS,0))),"")))))))))}</f>
        <v>UNARMEDL13</v>
      </c>
      <c r="U1148" s="223"/>
      <c r="V1148" s="223" t="str">
        <f t="array" ref="V1148:V1149">{"UNARMEDL15";((IF("15"=(INDEX(ALLCLASSDATA,MATCH("UnarmedLegendary",CLASSFEATUREHEADERS,0),MATCH($A1149,CLASSNAMEHEADERS,0))),(INDEX(ALLCLASSDATA,MATCH("UnarmedLegendary",CLASSFEATUREHEADERS,0),MATCH(($A1149 &amp; "Points"),CLASSNAMEHEADERS,0))),(IF("15"=(INDEX(ALLCLASSDATA,MATCH("UnarmedMaster",CLASSFEATUREHEADERS,0),MATCH($A1149,CLASSNAMEHEADERS,0))),(INDEX(ALLCLASSDATA,MATCH("UnarmedMaster",CLASSFEATUREHEADERS,0),MATCH(($A1149 &amp; "Points"),CLASSNAMEHEADERS,0))),(IF("15"=(INDEX(ALLCLASSDATA,MATCH("UnarmedExpert",CLASSFEATUREHEADERS,0),MATCH($A1149,CLASSNAMEHEADERS,0))),(INDEX(ALLCLASSDATA,MATCH("UnarmedExpert",CLASSFEATUREHEADERS,0),MATCH(($A1149 &amp; "Points"),CLASSNAMEHEADERS,0))),(IF("15"=(INDEX(ALLCLASSDATA,MATCH("UnarmedTrained",CLASSFEATUREHEADERS,0),MATCH($A1149,CLASSNAMEHEADERS,0))),(INDEX(ALLCLASSDATA,MATCH("UnarmedTrained",CLASSFEATUREHEADERS,0),MATCH(($A1149 &amp; "Points"),CLASSNAMEHEADERS,0))),"")))))))))}</f>
        <v>UNARMEDL15</v>
      </c>
      <c r="W1148" s="223"/>
      <c r="X1148" s="223" t="str">
        <f t="array" ref="X1148:X1149">{"UNARMEDL17";((IF("17"=(INDEX(ALLCLASSDATA,MATCH("UnarmedLegendary",CLASSFEATUREHEADERS,0),MATCH($A1149,CLASSNAMEHEADERS,0))),(INDEX(ALLCLASSDATA,MATCH("UnarmedLegendary",CLASSFEATUREHEADERS,0),MATCH(($A1149 &amp; "Points"),CLASSNAMEHEADERS,0))),(IF("17"=(INDEX(ALLCLASSDATA,MATCH("UnarmedMaster",CLASSFEATUREHEADERS,0),MATCH($A1149,CLASSNAMEHEADERS,0))),(INDEX(ALLCLASSDATA,MATCH("UnarmedMaster",CLASSFEATUREHEADERS,0),MATCH(($A1149 &amp; "Points"),CLASSNAMEHEADERS,0))),(IF("17"=(INDEX(ALLCLASSDATA,MATCH("UnarmedExpert",CLASSFEATUREHEADERS,0),MATCH($A1149,CLASSNAMEHEADERS,0))),(INDEX(ALLCLASSDATA,MATCH("UnarmedExpert",CLASSFEATUREHEADERS,0),MATCH(($A1149 &amp; "Points"),CLASSNAMEHEADERS,0))),(IF("17"=(INDEX(ALLCLASSDATA,MATCH("UnarmedTrained",CLASSFEATUREHEADERS,0),MATCH($A1149,CLASSNAMEHEADERS,0))),(INDEX(ALLCLASSDATA,MATCH("UnarmedTrained",CLASSFEATUREHEADERS,0),MATCH(($A1149 &amp; "Points"),CLASSNAMEHEADERS,0))),"")))))))))}</f>
        <v>UNARMEDL17</v>
      </c>
      <c r="Y1148" s="223"/>
      <c r="Z1148" s="223" t="str">
        <f t="array" ref="Z1148:Z1149">{"UNARMEDL19";((IF("19"=(INDEX(ALLCLASSDATA,MATCH("UnarmedLegendary",CLASSFEATUREHEADERS,0),MATCH($A1149,CLASSNAMEHEADERS,0))),(INDEX(ALLCLASSDATA,MATCH("UnarmedLegendary",CLASSFEATUREHEADERS,0),MATCH(($A1149 &amp; "Points"),CLASSNAMEHEADERS,0))),(IF("19"=(INDEX(ALLCLASSDATA,MATCH("UnarmedMaster",CLASSFEATUREHEADERS,0),MATCH($A1149,CLASSNAMEHEADERS,0))),(INDEX(ALLCLASSDATA,MATCH("UnarmedMaster",CLASSFEATUREHEADERS,0),MATCH(($A1149 &amp; "Points"),CLASSNAMEHEADERS,0))),(IF("19"=(INDEX(ALLCLASSDATA,MATCH("UnarmedExpert",CLASSFEATUREHEADERS,0),MATCH($A1149,CLASSNAMEHEADERS,0))),(INDEX(ALLCLASSDATA,MATCH("UnarmedExpert",CLASSFEATUREHEADERS,0),MATCH(($A1149 &amp; "Points"),CLASSNAMEHEADERS,0))),(IF("19"=(INDEX(ALLCLASSDATA,MATCH("UnarmedTrained",CLASSFEATUREHEADERS,0),MATCH($A1149,CLASSNAMEHEADERS,0))),(INDEX(ALLCLASSDATA,MATCH("UnarmedTrained",CLASSFEATUREHEADERS,0),MATCH(($A1149 &amp; "Points"),CLASSNAMEHEADERS,0))),"")))))))))}</f>
        <v>UNARMEDL19</v>
      </c>
      <c r="AA1148" s="223"/>
      <c r="AB1148" s="76" t="str">
        <f t="array" ref="AB1148:AB1149">{"UNARMED TOTAL";(IF(COUNTBLANK(G1149:AA1149)=17,"L",(IF(COUNTBLANK(G1149:AA1149)=18,"M",(IF(COUNTBLANK(G1149:AA1149)=19,"E",(IF(COUNTBLANK(G1149:AA1149)=20,"T",""))))))))}</f>
        <v>UNARMED TOTAL</v>
      </c>
      <c r="AC1148" s="76" t="str">
        <f t="array" ref="AC1148:AC1149">{"UNARMED TOTAL";(sum(G1149:AA1149))}</f>
        <v>UNARMED TOTAL</v>
      </c>
    </row>
    <row r="1149">
      <c r="A1149" s="48" t="s">
        <v>195</v>
      </c>
      <c r="B1149" s="48"/>
      <c r="C1149" s="48" t="s">
        <v>417</v>
      </c>
      <c r="D1149" s="48" t="s">
        <v>1634</v>
      </c>
      <c r="E1149" s="48" t="s">
        <v>257</v>
      </c>
      <c r="F1149" s="5" t="s">
        <v>435</v>
      </c>
      <c r="G1149" s="47" t="s">
        <v>603</v>
      </c>
      <c r="H1149" s="5">
        <v>10.0</v>
      </c>
      <c r="I1149" s="5"/>
      <c r="J1149" s="5" t="s">
        <v>603</v>
      </c>
      <c r="K1149" s="5"/>
      <c r="L1149" s="5" t="s">
        <v>603</v>
      </c>
      <c r="M1149" s="5"/>
      <c r="N1149" s="5" t="s">
        <v>603</v>
      </c>
      <c r="O1149" s="5"/>
      <c r="P1149" s="5" t="s">
        <v>603</v>
      </c>
      <c r="Q1149" s="5"/>
      <c r="R1149" s="5" t="s">
        <v>436</v>
      </c>
      <c r="S1149" s="5"/>
      <c r="T1149" s="5" t="s">
        <v>603</v>
      </c>
      <c r="U1149" s="5"/>
      <c r="V1149" s="5" t="s">
        <v>603</v>
      </c>
      <c r="W1149" s="5"/>
      <c r="X1149" s="5" t="s">
        <v>603</v>
      </c>
      <c r="Y1149" s="5"/>
      <c r="Z1149" s="5" t="s">
        <v>603</v>
      </c>
      <c r="AA1149" s="5"/>
      <c r="AB1149" s="5" t="s">
        <v>436</v>
      </c>
      <c r="AC1149" s="47">
        <v>10.0</v>
      </c>
    </row>
    <row r="1150" hidden="1">
      <c r="A1150" s="222" t="str">
        <f t="array" ref="A1150:A1151">{"FormulaRow28";(INDEX(CLASSLIST,A1095,1))}</f>
        <v>FormulaRow28</v>
      </c>
      <c r="B1150" s="77" t="s">
        <v>236</v>
      </c>
      <c r="C1150" s="222" t="str">
        <f t="array" ref="C1150:C1151">{"CLASSTYPE";((INDEX(ALLCLASSDATA,MATCH("ClassType",CLASSFEATUREHEADERS,0),MATCH($A1151,CLASSNAMEHEADERS,0))))}</f>
        <v>CLASSTYPE</v>
      </c>
      <c r="D1150" s="222" t="str">
        <f t="array" ref="D1150:D1151">{"ATTACK";"Attack"}</f>
        <v>ATTACK</v>
      </c>
      <c r="E1150" s="222" t="str">
        <f t="array" ref="E1150:E1151">{"SIMPLELIMITED";"SimpleLimited"}</f>
        <v>SIMPLELIMITED</v>
      </c>
      <c r="F1150" s="223" t="str">
        <f t="array" ref="F1150:F1151">{"SIMPLELIMITEDINITIAL";((IF(H1151=10,"T",(IF(H1151=50,"E","")))))}</f>
        <v>SIMPLELIMITEDINITIAL</v>
      </c>
      <c r="G1150" s="223" t="str">
        <f t="array" ref="G1150:G1151">{"SIMPLELIMITEDINITIALPTS";((IF("00"=(INDEX(ALLCLASSDATA,MATCH("SimpleLimitedLegendary",CLASSFEATUREHEADERS,0),MATCH($A1151,CLASSNAMEHEADERS,0))),(INDEX(ALLCLASSDATA,MATCH("SimpleLimitedLegendary",CLASSFEATUREHEADERS,0),MATCH(($A1151 &amp; "Points"),CLASSNAMEHEADERS,0))),(IF("00"=(INDEX(ALLCLASSDATA,MATCH("SimpleLimitedMaster",CLASSFEATUREHEADERS,0),MATCH($A1151,CLASSNAMEHEADERS,0))),(INDEX(ALLCLASSDATA,MATCH("SimpleLimitedMaster",CLASSFEATUREHEADERS,0),MATCH(($A1151 &amp; "Points"),CLASSNAMEHEADERS,0))),(IF("00"=(INDEX(ALLCLASSDATA,MATCH("SimpleLimitedExpert",CLASSFEATUREHEADERS,0),MATCH($A1151,CLASSNAMEHEADERS,0))),(INDEX(ALLCLASSDATA,MATCH("SimpleLimitedExpert",CLASSFEATUREHEADERS,0),MATCH(($A1151 &amp; "Points"),CLASSNAMEHEADERS,0))),(IF("00"=(INDEX(ALLCLASSDATA,MATCH("SimpleLimitedTrained",CLASSFEATUREHEADERS,0),MATCH($A1151,CLASSNAMEHEADERS,0))),(INDEX(ALLCLASSDATA,MATCH("SimpleLimitedTrained",CLASSFEATUREHEADERS,0),MATCH(($A1151 &amp; "Points"),CLASSNAMEHEADERS,0))),"")))))))))}</f>
        <v>SIMPLELIMITEDINITIALPTS</v>
      </c>
      <c r="H1150" s="223" t="str">
        <f t="array" ref="H1150:H1151">{"SIMPLELIMITEDL01";((IF("01"=(INDEX(ALLCLASSDATA,MATCH("SimpleLimitedLegendary",CLASSFEATUREHEADERS,0),MATCH($A1151,CLASSNAMEHEADERS,0))),(INDEX(ALLCLASSDATA,MATCH("SimpleLimitedLegendary",CLASSFEATUREHEADERS,0),MATCH(($A1151 &amp; "Points"),CLASSNAMEHEADERS,0))),(IF("01"=(INDEX(ALLCLASSDATA,MATCH("SimpleLimitedMaster",CLASSFEATUREHEADERS,0),MATCH($A1151,CLASSNAMEHEADERS,0))),(INDEX(ALLCLASSDATA,MATCH("SimpleLimitedMaster",CLASSFEATUREHEADERS,0),MATCH(($A1151 &amp; "Points"),CLASSNAMEHEADERS,0))),(IF("01"=(INDEX(ALLCLASSDATA,MATCH("SimpleLimitedExpert",CLASSFEATUREHEADERS,0),MATCH($A1151,CLASSNAMEHEADERS,0))),(INDEX(ALLCLASSDATA,MATCH("SimpleLimitedExpert",CLASSFEATUREHEADERS,0),MATCH(($A1151 &amp; "Points"),CLASSNAMEHEADERS,0))),(IF("01"=(INDEX(ALLCLASSDATA,MATCH("SimpleLimitedTrained",CLASSFEATUREHEADERS,0),MATCH($A1151,CLASSNAMEHEADERS,0))),(INDEX(ALLCLASSDATA,MATCH("SimpleLimitedTrained",CLASSFEATUREHEADERS,0),MATCH(($A1151 &amp; "Points"),CLASSNAMEHEADERS,0))),"")))))))))}</f>
        <v>SIMPLELIMITEDL01</v>
      </c>
      <c r="I1150" s="223"/>
      <c r="J1150" s="223" t="str">
        <f t="array" ref="J1150:J1151">{"SIMPLELIMITEDL03";((IF("03"=(INDEX(ALLCLASSDATA,MATCH("SimpleLimitedLegendary",CLASSFEATUREHEADERS,0),MATCH($A1151,CLASSNAMEHEADERS,0))),(INDEX(ALLCLASSDATA,MATCH("SimpleLimitedLegendary",CLASSFEATUREHEADERS,0),MATCH(($A1151 &amp; "Points"),CLASSNAMEHEADERS,0))),(IF("03"=(INDEX(ALLCLASSDATA,MATCH("SimpleLimitedMaster",CLASSFEATUREHEADERS,0),MATCH($A1151,CLASSNAMEHEADERS,0))),(INDEX(ALLCLASSDATA,MATCH("SimpleLimitedMaster",CLASSFEATUREHEADERS,0),MATCH(($A1151 &amp; "Points"),CLASSNAMEHEADERS,0))),(IF("03"=(INDEX(ALLCLASSDATA,MATCH("SimpleLimitedExpert",CLASSFEATUREHEADERS,0),MATCH($A1151,CLASSNAMEHEADERS,0))),(INDEX(ALLCLASSDATA,MATCH("SimpleLimitedExpert",CLASSFEATUREHEADERS,0),MATCH(($A1151 &amp; "Points"),CLASSNAMEHEADERS,0))),(IF("03"=(INDEX(ALLCLASSDATA,MATCH("SimpleLimitedTrained",CLASSFEATUREHEADERS,0),MATCH($A1151,CLASSNAMEHEADERS,0))),(INDEX(ALLCLASSDATA,MATCH("SimpleLimitedTrained",CLASSFEATUREHEADERS,0),MATCH(($A1151 &amp; "Points"),CLASSNAMEHEADERS,0))),"")))))))))}</f>
        <v>SIMPLELIMITEDL03</v>
      </c>
      <c r="K1150" s="223"/>
      <c r="L1150" s="223" t="str">
        <f t="array" ref="L1150:L1151">{"SIMPLELIMITEDL05";((IF("05"=(INDEX(ALLCLASSDATA,MATCH("SimpleLimitedLegendary",CLASSFEATUREHEADERS,0),MATCH($A1151,CLASSNAMEHEADERS,0))),(INDEX(ALLCLASSDATA,MATCH("SimpleLimitedLegendary",CLASSFEATUREHEADERS,0),MATCH(($A1151 &amp; "Points"),CLASSNAMEHEADERS,0))),(IF("05"=(INDEX(ALLCLASSDATA,MATCH("SimpleLimitedMaster",CLASSFEATUREHEADERS,0),MATCH($A1151,CLASSNAMEHEADERS,0))),(INDEX(ALLCLASSDATA,MATCH("SimpleLimitedMaster",CLASSFEATUREHEADERS,0),MATCH(($A1151 &amp; "Points"),CLASSNAMEHEADERS,0))),(IF("05"=(INDEX(ALLCLASSDATA,MATCH("SimpleLimitedExpert",CLASSFEATUREHEADERS,0),MATCH($A1151,CLASSNAMEHEADERS,0))),(INDEX(ALLCLASSDATA,MATCH("SimpleLimitedExpert",CLASSFEATUREHEADERS,0),MATCH(($A1151 &amp; "Points"),CLASSNAMEHEADERS,0))),(IF("05"=(INDEX(ALLCLASSDATA,MATCH("SimpleLimitedTrained",CLASSFEATUREHEADERS,0),MATCH($A1151,CLASSNAMEHEADERS,0))),(INDEX(ALLCLASSDATA,MATCH("SimpleLimitedTrained",CLASSFEATUREHEADERS,0),MATCH(($A1151 &amp; "Points"),CLASSNAMEHEADERS,0))),"")))))))))}</f>
        <v>SIMPLELIMITEDL05</v>
      </c>
      <c r="M1150" s="223"/>
      <c r="N1150" s="223" t="str">
        <f t="array" ref="N1150:N1151">{"SIMPLELIMITEDL07";((IF("07"=(INDEX(ALLCLASSDATA,MATCH("SimpleLimitedLegendary",CLASSFEATUREHEADERS,0),MATCH($A1151,CLASSNAMEHEADERS,0))),(INDEX(ALLCLASSDATA,MATCH("SimpleLimitedLegendary",CLASSFEATUREHEADERS,0),MATCH(($A1151 &amp; "Points"),CLASSNAMEHEADERS,0))),(IF("07"=(INDEX(ALLCLASSDATA,MATCH("SimpleLimitedMaster",CLASSFEATUREHEADERS,0),MATCH($A1151,CLASSNAMEHEADERS,0))),(INDEX(ALLCLASSDATA,MATCH("SimpleLimitedMaster",CLASSFEATUREHEADERS,0),MATCH(($A1151 &amp; "Points"),CLASSNAMEHEADERS,0))),(IF("07"=(INDEX(ALLCLASSDATA,MATCH("SimpleLimitedExpert",CLASSFEATUREHEADERS,0),MATCH($A1151,CLASSNAMEHEADERS,0))),(INDEX(ALLCLASSDATA,MATCH("SimpleLimitedExpert",CLASSFEATUREHEADERS,0),MATCH(($A1151 &amp; "Points"),CLASSNAMEHEADERS,0))),(IF("07"=(INDEX(ALLCLASSDATA,MATCH("SimpleLimitedTrained",CLASSFEATUREHEADERS,0),MATCH($A1151,CLASSNAMEHEADERS,0))),(INDEX(ALLCLASSDATA,MATCH("SimpleLimitedTrained",CLASSFEATUREHEADERS,0),MATCH(($A1151 &amp; "Points"),CLASSNAMEHEADERS,0))),"")))))))))}</f>
        <v>SIMPLELIMITEDL07</v>
      </c>
      <c r="O1150" s="223"/>
      <c r="P1150" s="223" t="str">
        <f t="array" ref="P1150:P1151">{"SIMPLELIMITEDL09";((IF("09"=(INDEX(ALLCLASSDATA,MATCH("SimpleLimitedLegendary",CLASSFEATUREHEADERS,0),MATCH($A1151,CLASSNAMEHEADERS,0))),(INDEX(ALLCLASSDATA,MATCH("SimpleLimitedLegendary",CLASSFEATUREHEADERS,0),MATCH(($A1151 &amp; "Points"),CLASSNAMEHEADERS,0))),(IF("09"=(INDEX(ALLCLASSDATA,MATCH("SimpleLimitedMaster",CLASSFEATUREHEADERS,0),MATCH($A1151,CLASSNAMEHEADERS,0))),(INDEX(ALLCLASSDATA,MATCH("SimpleLimitedMaster",CLASSFEATUREHEADERS,0),MATCH(($A1151 &amp; "Points"),CLASSNAMEHEADERS,0))),(IF("09"=(INDEX(ALLCLASSDATA,MATCH("SimpleLimitedExpert",CLASSFEATUREHEADERS,0),MATCH($A1151,CLASSNAMEHEADERS,0))),(INDEX(ALLCLASSDATA,MATCH("SimpleLimitedExpert",CLASSFEATUREHEADERS,0),MATCH(($A1151 &amp; "Points"),CLASSNAMEHEADERS,0))),(IF("09"=(INDEX(ALLCLASSDATA,MATCH("SimpleLimitedTrained",CLASSFEATUREHEADERS,0),MATCH($A1151,CLASSNAMEHEADERS,0))),(INDEX(ALLCLASSDATA,MATCH("SimpleLimitedTrained",CLASSFEATUREHEADERS,0),MATCH(($A1151 &amp; "Points"),CLASSNAMEHEADERS,0))),"")))))))))}</f>
        <v>SIMPLELIMITEDL09</v>
      </c>
      <c r="Q1150" s="223"/>
      <c r="R1150" s="223" t="str">
        <f t="array" ref="R1150:R1151">{"SIMPLELIMITEDL11";((IF("11"=(INDEX(ALLCLASSDATA,MATCH("SimpleLimitedLegendary",CLASSFEATUREHEADERS,0),MATCH($A1151,CLASSNAMEHEADERS,0))),(INDEX(ALLCLASSDATA,MATCH("SimpleLimitedLegendary",CLASSFEATUREHEADERS,0),MATCH(($A1151 &amp; "Points"),CLASSNAMEHEADERS,0))),(IF("11"=(INDEX(ALLCLASSDATA,MATCH("SimpleLimitedMaster",CLASSFEATUREHEADERS,0),MATCH($A1151,CLASSNAMEHEADERS,0))),(INDEX(ALLCLASSDATA,MATCH("SimpleLimitedMaster",CLASSFEATUREHEADERS,0),MATCH(($A1151 &amp; "Points"),CLASSNAMEHEADERS,0))),(IF("11"=(INDEX(ALLCLASSDATA,MATCH("SimpleLimitedExpert",CLASSFEATUREHEADERS,0),MATCH($A1151,CLASSNAMEHEADERS,0))),(INDEX(ALLCLASSDATA,MATCH("SimpleLimitedExpert",CLASSFEATUREHEADERS,0),MATCH(($A1151 &amp; "Points"),CLASSNAMEHEADERS,0))),(IF("11"=(INDEX(ALLCLASSDATA,MATCH("SimpleLimitedTrained",CLASSFEATUREHEADERS,0),MATCH($A1151,CLASSNAMEHEADERS,0))),(INDEX(ALLCLASSDATA,MATCH("SimpleLimitedTrained",CLASSFEATUREHEADERS,0),MATCH(($A1151 &amp; "Points"),CLASSNAMEHEADERS,0))),"")))))))))}</f>
        <v>SIMPLELIMITEDL11</v>
      </c>
      <c r="S1150" s="223"/>
      <c r="T1150" s="223" t="str">
        <f t="array" ref="T1150:T1151">{"SIMPLELIMITEDL13";((IF("13"=(INDEX(ALLCLASSDATA,MATCH("SimpleLimitedLegendary",CLASSFEATUREHEADERS,0),MATCH($A1151,CLASSNAMEHEADERS,0))),(INDEX(ALLCLASSDATA,MATCH("SimpleLimitedLegendary",CLASSFEATUREHEADERS,0),MATCH(($A1151 &amp; "Points"),CLASSNAMEHEADERS,0))),(IF("13"=(INDEX(ALLCLASSDATA,MATCH("SimpleLimitedMaster",CLASSFEATUREHEADERS,0),MATCH($A1151,CLASSNAMEHEADERS,0))),(INDEX(ALLCLASSDATA,MATCH("SimpleLimitedMaster",CLASSFEATUREHEADERS,0),MATCH(($A1151 &amp; "Points"),CLASSNAMEHEADERS,0))),(IF("13"=(INDEX(ALLCLASSDATA,MATCH("SimpleLimitedExpert",CLASSFEATUREHEADERS,0),MATCH($A1151,CLASSNAMEHEADERS,0))),(INDEX(ALLCLASSDATA,MATCH("SimpleLimitedExpert",CLASSFEATUREHEADERS,0),MATCH(($A1151 &amp; "Points"),CLASSNAMEHEADERS,0))),(IF("13"=(INDEX(ALLCLASSDATA,MATCH("SimpleLimitedTrained",CLASSFEATUREHEADERS,0),MATCH($A1151,CLASSNAMEHEADERS,0))),(INDEX(ALLCLASSDATA,MATCH("SimpleLimitedTrained",CLASSFEATUREHEADERS,0),MATCH(($A1151 &amp; "Points"),CLASSNAMEHEADERS,0))),"")))))))))}</f>
        <v>SIMPLELIMITEDL13</v>
      </c>
      <c r="U1150" s="223"/>
      <c r="V1150" s="223" t="str">
        <f t="array" ref="V1150:V1151">{"SIMPLELIMITEDL15";((IF("15"=(INDEX(ALLCLASSDATA,MATCH("SimpleLimitedLegendary",CLASSFEATUREHEADERS,0),MATCH($A1151,CLASSNAMEHEADERS,0))),(INDEX(ALLCLASSDATA,MATCH("SimpleLimitedLegendary",CLASSFEATUREHEADERS,0),MATCH(($A1151 &amp; "Points"),CLASSNAMEHEADERS,0))),(IF("15"=(INDEX(ALLCLASSDATA,MATCH("SimpleLimitedMaster",CLASSFEATUREHEADERS,0),MATCH($A1151,CLASSNAMEHEADERS,0))),(INDEX(ALLCLASSDATA,MATCH("SimpleLimitedMaster",CLASSFEATUREHEADERS,0),MATCH(($A1151 &amp; "Points"),CLASSNAMEHEADERS,0))),(IF("15"=(INDEX(ALLCLASSDATA,MATCH("SimpleLimitedExpert",CLASSFEATUREHEADERS,0),MATCH($A1151,CLASSNAMEHEADERS,0))),(INDEX(ALLCLASSDATA,MATCH("SimpleLimitedExpert",CLASSFEATUREHEADERS,0),MATCH(($A1151 &amp; "Points"),CLASSNAMEHEADERS,0))),(IF("15"=(INDEX(ALLCLASSDATA,MATCH("SimpleLimitedTrained",CLASSFEATUREHEADERS,0),MATCH($A1151,CLASSNAMEHEADERS,0))),(INDEX(ALLCLASSDATA,MATCH("SimpleLimitedTrained",CLASSFEATUREHEADERS,0),MATCH(($A1151 &amp; "Points"),CLASSNAMEHEADERS,0))),"")))))))))}</f>
        <v>SIMPLELIMITEDL15</v>
      </c>
      <c r="W1150" s="223"/>
      <c r="X1150" s="223" t="str">
        <f t="array" ref="X1150:X1151">{"SIMPLELIMITEDL17";((IF("17"=(INDEX(ALLCLASSDATA,MATCH("SimpleLimitedLegendary",CLASSFEATUREHEADERS,0),MATCH($A1151,CLASSNAMEHEADERS,0))),(INDEX(ALLCLASSDATA,MATCH("SimpleLimitedLegendary",CLASSFEATUREHEADERS,0),MATCH(($A1151 &amp; "Points"),CLASSNAMEHEADERS,0))),(IF("17"=(INDEX(ALLCLASSDATA,MATCH("SimpleLimitedMaster",CLASSFEATUREHEADERS,0),MATCH($A1151,CLASSNAMEHEADERS,0))),(INDEX(ALLCLASSDATA,MATCH("SimpleLimitedMaster",CLASSFEATUREHEADERS,0),MATCH(($A1151 &amp; "Points"),CLASSNAMEHEADERS,0))),(IF("17"=(INDEX(ALLCLASSDATA,MATCH("SimpleLimitedExpert",CLASSFEATUREHEADERS,0),MATCH($A1151,CLASSNAMEHEADERS,0))),(INDEX(ALLCLASSDATA,MATCH("SimpleLimitedExpert",CLASSFEATUREHEADERS,0),MATCH(($A1151 &amp; "Points"),CLASSNAMEHEADERS,0))),(IF("17"=(INDEX(ALLCLASSDATA,MATCH("SimpleLimitedTrained",CLASSFEATUREHEADERS,0),MATCH($A1151,CLASSNAMEHEADERS,0))),(INDEX(ALLCLASSDATA,MATCH("SimpleLimitedTrained",CLASSFEATUREHEADERS,0),MATCH(($A1151 &amp; "Points"),CLASSNAMEHEADERS,0))),"")))))))))}</f>
        <v>SIMPLELIMITEDL17</v>
      </c>
      <c r="Y1150" s="223"/>
      <c r="Z1150" s="223" t="str">
        <f t="array" ref="Z1150:Z1151">{"SIMPLELIMITEDL19";((IF("19"=(INDEX(ALLCLASSDATA,MATCH("SimpleLimitedLegendary",CLASSFEATUREHEADERS,0),MATCH($A1151,CLASSNAMEHEADERS,0))),(INDEX(ALLCLASSDATA,MATCH("SimpleLimitedLegendary",CLASSFEATUREHEADERS,0),MATCH(($A1151 &amp; "Points"),CLASSNAMEHEADERS,0))),(IF("19"=(INDEX(ALLCLASSDATA,MATCH("SimpleLimitedMaster",CLASSFEATUREHEADERS,0),MATCH($A1151,CLASSNAMEHEADERS,0))),(INDEX(ALLCLASSDATA,MATCH("SimpleLimitedMaster",CLASSFEATUREHEADERS,0),MATCH(($A1151 &amp; "Points"),CLASSNAMEHEADERS,0))),(IF("19"=(INDEX(ALLCLASSDATA,MATCH("SimpleLimitedExpert",CLASSFEATUREHEADERS,0),MATCH($A1151,CLASSNAMEHEADERS,0))),(INDEX(ALLCLASSDATA,MATCH("SimpleLimitedExpert",CLASSFEATUREHEADERS,0),MATCH(($A1151 &amp; "Points"),CLASSNAMEHEADERS,0))),(IF("19"=(INDEX(ALLCLASSDATA,MATCH("SimpleLimitedTrained",CLASSFEATUREHEADERS,0),MATCH($A1151,CLASSNAMEHEADERS,0))),(INDEX(ALLCLASSDATA,MATCH("SimpleLimitedTrained",CLASSFEATUREHEADERS,0),MATCH(($A1151 &amp; "Points"),CLASSNAMEHEADERS,0))),"")))))))))}</f>
        <v>SIMPLELIMITEDL19</v>
      </c>
      <c r="AA1150" s="223"/>
      <c r="AB1150" s="76" t="str">
        <f t="array" ref="AB1150:AB1151">{"SIMPLELIMITED TOTAL";(IF(COUNTBLANK(G1151:AA1151)=17,"L",(IF(COUNTBLANK(G1151:AA1151)=18,"M",(IF(COUNTBLANK(G1151:AA1151)=19,"E",(IF(COUNTBLANK(G1151:AA1151)=20,"T",""))))))))}</f>
        <v>SIMPLELIMITED TOTAL</v>
      </c>
      <c r="AC1150" s="76" t="str">
        <f t="array" ref="AC1150:AC1151">{"SIMPLELIMITED TOTAL";(sum(G1151:AA1151))}</f>
        <v>SIMPLELIMITED TOTAL</v>
      </c>
    </row>
    <row r="1151">
      <c r="A1151" s="48" t="s">
        <v>195</v>
      </c>
      <c r="B1151" s="48"/>
      <c r="C1151" s="48" t="s">
        <v>417</v>
      </c>
      <c r="D1151" s="48" t="s">
        <v>1634</v>
      </c>
      <c r="E1151" s="48" t="s">
        <v>599</v>
      </c>
      <c r="F1151" s="5" t="s">
        <v>603</v>
      </c>
      <c r="G1151" s="47" t="s">
        <v>603</v>
      </c>
      <c r="H1151" s="5" t="s">
        <v>603</v>
      </c>
      <c r="I1151" s="5"/>
      <c r="J1151" s="5" t="s">
        <v>603</v>
      </c>
      <c r="K1151" s="5"/>
      <c r="L1151" s="5" t="s">
        <v>603</v>
      </c>
      <c r="M1151" s="5"/>
      <c r="N1151" s="5" t="s">
        <v>603</v>
      </c>
      <c r="O1151" s="5"/>
      <c r="P1151" s="5" t="s">
        <v>603</v>
      </c>
      <c r="Q1151" s="5"/>
      <c r="R1151" s="5" t="s">
        <v>603</v>
      </c>
      <c r="S1151" s="5"/>
      <c r="T1151" s="5" t="s">
        <v>603</v>
      </c>
      <c r="U1151" s="5"/>
      <c r="V1151" s="5" t="s">
        <v>603</v>
      </c>
      <c r="W1151" s="5"/>
      <c r="X1151" s="5" t="s">
        <v>603</v>
      </c>
      <c r="Y1151" s="5"/>
      <c r="Z1151" s="5" t="s">
        <v>603</v>
      </c>
      <c r="AA1151" s="5"/>
      <c r="AB1151" s="5" t="s">
        <v>603</v>
      </c>
      <c r="AC1151" s="47">
        <v>0.0</v>
      </c>
    </row>
    <row r="1152" hidden="1">
      <c r="A1152" s="222" t="str">
        <f t="array" ref="A1152:A1153">{"FormulaRow29";(INDEX(CLASSLIST,A1095,1))}</f>
        <v>FormulaRow29</v>
      </c>
      <c r="B1152" s="77" t="s">
        <v>236</v>
      </c>
      <c r="C1152" s="222" t="str">
        <f t="array" ref="C1152:C1153">{"CLASSTYPE";((INDEX(ALLCLASSDATA,MATCH("ClassType",CLASSFEATUREHEADERS,0),MATCH($A1153,CLASSNAMEHEADERS,0))))}</f>
        <v>CLASSTYPE</v>
      </c>
      <c r="D1152" s="222" t="str">
        <f t="array" ref="D1152:D1153">{"ATTACK";"Attack"}</f>
        <v>ATTACK</v>
      </c>
      <c r="E1152" s="222" t="str">
        <f t="array" ref="E1152:E1153">{"SIMPLE";"Simple"}</f>
        <v>SIMPLE</v>
      </c>
      <c r="F1152" s="223" t="str">
        <f t="array" ref="F1152:F1153">{"SIMPLEINITIAL";((IF(H1153=10,"T",(IF(H1153=50,"E","")))))}</f>
        <v>SIMPLEINITIAL</v>
      </c>
      <c r="G1152" s="223" t="str">
        <f t="array" ref="G1152:G1153">{"SIMPLEINITIALPTS";((IF("00"=(INDEX(ALLCLASSDATA,MATCH("SimpleLegendary",CLASSFEATUREHEADERS,0),MATCH($A1153,CLASSNAMEHEADERS,0))),(INDEX(ALLCLASSDATA,MATCH("SimpleLegendary",CLASSFEATUREHEADERS,0),MATCH(($A1153 &amp; "Points"),CLASSNAMEHEADERS,0))),(IF("00"=(INDEX(ALLCLASSDATA,MATCH("SimpleMaster",CLASSFEATUREHEADERS,0),MATCH($A1153,CLASSNAMEHEADERS,0))),(INDEX(ALLCLASSDATA,MATCH("SimpleMaster",CLASSFEATUREHEADERS,0),MATCH(($A1153 &amp; "Points"),CLASSNAMEHEADERS,0))),(IF("00"=(INDEX(ALLCLASSDATA,MATCH("SimpleExpert",CLASSFEATUREHEADERS,0),MATCH($A1153,CLASSNAMEHEADERS,0))),(INDEX(ALLCLASSDATA,MATCH("SimpleExpert",CLASSFEATUREHEADERS,0),MATCH(($A1153 &amp; "Points"),CLASSNAMEHEADERS,0))),(IF("00"=(INDEX(ALLCLASSDATA,MATCH("SimpleTrained",CLASSFEATUREHEADERS,0),MATCH($A1153,CLASSNAMEHEADERS,0))),(INDEX(ALLCLASSDATA,MATCH("SimpleTrained",CLASSFEATUREHEADERS,0),MATCH(($A1153 &amp; "Points"),CLASSNAMEHEADERS,0))),"")))))))))}</f>
        <v>SIMPLEINITIALPTS</v>
      </c>
      <c r="H1152" s="223" t="str">
        <f t="array" ref="H1152:H1153">{"SIMPLEL01";((IF("01"=(INDEX(ALLCLASSDATA,MATCH("SimpleLegendary",CLASSFEATUREHEADERS,0),MATCH($A1153,CLASSNAMEHEADERS,0))),(INDEX(ALLCLASSDATA,MATCH("SimpleLegendary",CLASSFEATUREHEADERS,0),MATCH(($A1153 &amp; "Points"),CLASSNAMEHEADERS,0))),(IF("01"=(INDEX(ALLCLASSDATA,MATCH("SimpleMaster",CLASSFEATUREHEADERS,0),MATCH($A1153,CLASSNAMEHEADERS,0))),(INDEX(ALLCLASSDATA,MATCH("SimpleMaster",CLASSFEATUREHEADERS,0),MATCH(($A1153 &amp; "Points"),CLASSNAMEHEADERS,0))),(IF("01"=(INDEX(ALLCLASSDATA,MATCH("SimpleExpert",CLASSFEATUREHEADERS,0),MATCH($A1153,CLASSNAMEHEADERS,0))),(INDEX(ALLCLASSDATA,MATCH("SimpleExpert",CLASSFEATUREHEADERS,0),MATCH(($A1153 &amp; "Points"),CLASSNAMEHEADERS,0))),(IF("01"=(INDEX(ALLCLASSDATA,MATCH("SimpleTrained",CLASSFEATUREHEADERS,0),MATCH($A1153,CLASSNAMEHEADERS,0))),(INDEX(ALLCLASSDATA,MATCH("SimpleTrained",CLASSFEATUREHEADERS,0),MATCH(($A1153 &amp; "Points"),CLASSNAMEHEADERS,0))),"")))))))))}</f>
        <v>SIMPLEL01</v>
      </c>
      <c r="I1152" s="223"/>
      <c r="J1152" s="223" t="str">
        <f t="array" ref="J1152:J1153">{"SIMPLEL03";((IF("03"=(INDEX(ALLCLASSDATA,MATCH("SimpleLegendary",CLASSFEATUREHEADERS,0),MATCH($A1153,CLASSNAMEHEADERS,0))),(INDEX(ALLCLASSDATA,MATCH("SimpleLegendary",CLASSFEATUREHEADERS,0),MATCH(($A1153 &amp; "Points"),CLASSNAMEHEADERS,0))),(IF("03"=(INDEX(ALLCLASSDATA,MATCH("SimpleMaster",CLASSFEATUREHEADERS,0),MATCH($A1153,CLASSNAMEHEADERS,0))),(INDEX(ALLCLASSDATA,MATCH("SimpleMaster",CLASSFEATUREHEADERS,0),MATCH(($A1153 &amp; "Points"),CLASSNAMEHEADERS,0))),(IF("03"=(INDEX(ALLCLASSDATA,MATCH("SimpleExpert",CLASSFEATUREHEADERS,0),MATCH($A1153,CLASSNAMEHEADERS,0))),(INDEX(ALLCLASSDATA,MATCH("SimpleExpert",CLASSFEATUREHEADERS,0),MATCH(($A1153 &amp; "Points"),CLASSNAMEHEADERS,0))),(IF("03"=(INDEX(ALLCLASSDATA,MATCH("SimpleTrained",CLASSFEATUREHEADERS,0),MATCH($A1153,CLASSNAMEHEADERS,0))),(INDEX(ALLCLASSDATA,MATCH("SimpleTrained",CLASSFEATUREHEADERS,0),MATCH(($A1153 &amp; "Points"),CLASSNAMEHEADERS,0))),"")))))))))}</f>
        <v>SIMPLEL03</v>
      </c>
      <c r="K1152" s="223"/>
      <c r="L1152" s="223" t="str">
        <f t="array" ref="L1152:L1153">{"SIMPLEL05";((IF("05"=(INDEX(ALLCLASSDATA,MATCH("SimpleLegendary",CLASSFEATUREHEADERS,0),MATCH($A1153,CLASSNAMEHEADERS,0))),(INDEX(ALLCLASSDATA,MATCH("SimpleLegendary",CLASSFEATUREHEADERS,0),MATCH(($A1153 &amp; "Points"),CLASSNAMEHEADERS,0))),(IF("05"=(INDEX(ALLCLASSDATA,MATCH("SimpleMaster",CLASSFEATUREHEADERS,0),MATCH($A1153,CLASSNAMEHEADERS,0))),(INDEX(ALLCLASSDATA,MATCH("SimpleMaster",CLASSFEATUREHEADERS,0),MATCH(($A1153 &amp; "Points"),CLASSNAMEHEADERS,0))),(IF("05"=(INDEX(ALLCLASSDATA,MATCH("SimpleExpert",CLASSFEATUREHEADERS,0),MATCH($A1153,CLASSNAMEHEADERS,0))),(INDEX(ALLCLASSDATA,MATCH("SimpleExpert",CLASSFEATUREHEADERS,0),MATCH(($A1153 &amp; "Points"),CLASSNAMEHEADERS,0))),(IF("05"=(INDEX(ALLCLASSDATA,MATCH("SimpleTrained",CLASSFEATUREHEADERS,0),MATCH($A1153,CLASSNAMEHEADERS,0))),(INDEX(ALLCLASSDATA,MATCH("SimpleTrained",CLASSFEATUREHEADERS,0),MATCH(($A1153 &amp; "Points"),CLASSNAMEHEADERS,0))),"")))))))))}</f>
        <v>SIMPLEL05</v>
      </c>
      <c r="M1152" s="223"/>
      <c r="N1152" s="223" t="str">
        <f t="array" ref="N1152:N1153">{"SIMPLEL07";((IF("07"=(INDEX(ALLCLASSDATA,MATCH("SimpleLegendary",CLASSFEATUREHEADERS,0),MATCH($A1153,CLASSNAMEHEADERS,0))),(INDEX(ALLCLASSDATA,MATCH("SimpleLegendary",CLASSFEATUREHEADERS,0),MATCH(($A1153 &amp; "Points"),CLASSNAMEHEADERS,0))),(IF("07"=(INDEX(ALLCLASSDATA,MATCH("SimpleMaster",CLASSFEATUREHEADERS,0),MATCH($A1153,CLASSNAMEHEADERS,0))),(INDEX(ALLCLASSDATA,MATCH("SimpleMaster",CLASSFEATUREHEADERS,0),MATCH(($A1153 &amp; "Points"),CLASSNAMEHEADERS,0))),(IF("07"=(INDEX(ALLCLASSDATA,MATCH("SimpleExpert",CLASSFEATUREHEADERS,0),MATCH($A1153,CLASSNAMEHEADERS,0))),(INDEX(ALLCLASSDATA,MATCH("SimpleExpert",CLASSFEATUREHEADERS,0),MATCH(($A1153 &amp; "Points"),CLASSNAMEHEADERS,0))),(IF("07"=(INDEX(ALLCLASSDATA,MATCH("SimpleTrained",CLASSFEATUREHEADERS,0),MATCH($A1153,CLASSNAMEHEADERS,0))),(INDEX(ALLCLASSDATA,MATCH("SimpleTrained",CLASSFEATUREHEADERS,0),MATCH(($A1153 &amp; "Points"),CLASSNAMEHEADERS,0))),"")))))))))}</f>
        <v>SIMPLEL07</v>
      </c>
      <c r="O1152" s="223"/>
      <c r="P1152" s="223" t="str">
        <f t="array" ref="P1152:P1153">{"SIMPLEL09";((IF("09"=(INDEX(ALLCLASSDATA,MATCH("SimpleLegendary",CLASSFEATUREHEADERS,0),MATCH($A1153,CLASSNAMEHEADERS,0))),(INDEX(ALLCLASSDATA,MATCH("SimpleLegendary",CLASSFEATUREHEADERS,0),MATCH(($A1153 &amp; "Points"),CLASSNAMEHEADERS,0))),(IF("09"=(INDEX(ALLCLASSDATA,MATCH("SimpleMaster",CLASSFEATUREHEADERS,0),MATCH($A1153,CLASSNAMEHEADERS,0))),(INDEX(ALLCLASSDATA,MATCH("SimpleMaster",CLASSFEATUREHEADERS,0),MATCH(($A1153 &amp; "Points"),CLASSNAMEHEADERS,0))),(IF("09"=(INDEX(ALLCLASSDATA,MATCH("SimpleExpert",CLASSFEATUREHEADERS,0),MATCH($A1153,CLASSNAMEHEADERS,0))),(INDEX(ALLCLASSDATA,MATCH("SimpleExpert",CLASSFEATUREHEADERS,0),MATCH(($A1153 &amp; "Points"),CLASSNAMEHEADERS,0))),(IF("09"=(INDEX(ALLCLASSDATA,MATCH("SimpleTrained",CLASSFEATUREHEADERS,0),MATCH($A1153,CLASSNAMEHEADERS,0))),(INDEX(ALLCLASSDATA,MATCH("SimpleTrained",CLASSFEATUREHEADERS,0),MATCH(($A1153 &amp; "Points"),CLASSNAMEHEADERS,0))),"")))))))))}</f>
        <v>SIMPLEL09</v>
      </c>
      <c r="Q1152" s="223"/>
      <c r="R1152" s="223" t="str">
        <f t="array" ref="R1152:R1153">{"SIMPLEL11";((IF("11"=(INDEX(ALLCLASSDATA,MATCH("SimpleLegendary",CLASSFEATUREHEADERS,0),MATCH($A1153,CLASSNAMEHEADERS,0))),(INDEX(ALLCLASSDATA,MATCH("SimpleLegendary",CLASSFEATUREHEADERS,0),MATCH(($A1153 &amp; "Points"),CLASSNAMEHEADERS,0))),(IF("11"=(INDEX(ALLCLASSDATA,MATCH("SimpleMaster",CLASSFEATUREHEADERS,0),MATCH($A1153,CLASSNAMEHEADERS,0))),(INDEX(ALLCLASSDATA,MATCH("SimpleMaster",CLASSFEATUREHEADERS,0),MATCH(($A1153 &amp; "Points"),CLASSNAMEHEADERS,0))),(IF("11"=(INDEX(ALLCLASSDATA,MATCH("SimpleExpert",CLASSFEATUREHEADERS,0),MATCH($A1153,CLASSNAMEHEADERS,0))),(INDEX(ALLCLASSDATA,MATCH("SimpleExpert",CLASSFEATUREHEADERS,0),MATCH(($A1153 &amp; "Points"),CLASSNAMEHEADERS,0))),(IF("11"=(INDEX(ALLCLASSDATA,MATCH("SimpleTrained",CLASSFEATUREHEADERS,0),MATCH($A1153,CLASSNAMEHEADERS,0))),(INDEX(ALLCLASSDATA,MATCH("SimpleTrained",CLASSFEATUREHEADERS,0),MATCH(($A1153 &amp; "Points"),CLASSNAMEHEADERS,0))),"")))))))))}</f>
        <v>SIMPLEL11</v>
      </c>
      <c r="S1152" s="223"/>
      <c r="T1152" s="223" t="str">
        <f t="array" ref="T1152:T1153">{"SIMPLEL13";((IF("13"=(INDEX(ALLCLASSDATA,MATCH("SimpleLegendary",CLASSFEATUREHEADERS,0),MATCH($A1153,CLASSNAMEHEADERS,0))),(INDEX(ALLCLASSDATA,MATCH("SimpleLegendary",CLASSFEATUREHEADERS,0),MATCH(($A1153 &amp; "Points"),CLASSNAMEHEADERS,0))),(IF("13"=(INDEX(ALLCLASSDATA,MATCH("SimpleMaster",CLASSFEATUREHEADERS,0),MATCH($A1153,CLASSNAMEHEADERS,0))),(INDEX(ALLCLASSDATA,MATCH("SimpleMaster",CLASSFEATUREHEADERS,0),MATCH(($A1153 &amp; "Points"),CLASSNAMEHEADERS,0))),(IF("13"=(INDEX(ALLCLASSDATA,MATCH("SimpleExpert",CLASSFEATUREHEADERS,0),MATCH($A1153,CLASSNAMEHEADERS,0))),(INDEX(ALLCLASSDATA,MATCH("SimpleExpert",CLASSFEATUREHEADERS,0),MATCH(($A1153 &amp; "Points"),CLASSNAMEHEADERS,0))),(IF("13"=(INDEX(ALLCLASSDATA,MATCH("SimpleTrained",CLASSFEATUREHEADERS,0),MATCH($A1153,CLASSNAMEHEADERS,0))),(INDEX(ALLCLASSDATA,MATCH("SimpleTrained",CLASSFEATUREHEADERS,0),MATCH(($A1153 &amp; "Points"),CLASSNAMEHEADERS,0))),"")))))))))}</f>
        <v>SIMPLEL13</v>
      </c>
      <c r="U1152" s="223"/>
      <c r="V1152" s="223" t="str">
        <f t="array" ref="V1152:V1153">{"SIMPLEL15";((IF("15"=(INDEX(ALLCLASSDATA,MATCH("SimpleLegendary",CLASSFEATUREHEADERS,0),MATCH($A1153,CLASSNAMEHEADERS,0))),(INDEX(ALLCLASSDATA,MATCH("SimpleLegendary",CLASSFEATUREHEADERS,0),MATCH(($A1153 &amp; "Points"),CLASSNAMEHEADERS,0))),(IF("15"=(INDEX(ALLCLASSDATA,MATCH("SimpleMaster",CLASSFEATUREHEADERS,0),MATCH($A1153,CLASSNAMEHEADERS,0))),(INDEX(ALLCLASSDATA,MATCH("SimpleMaster",CLASSFEATUREHEADERS,0),MATCH(($A1153 &amp; "Points"),CLASSNAMEHEADERS,0))),(IF("15"=(INDEX(ALLCLASSDATA,MATCH("SimpleExpert",CLASSFEATUREHEADERS,0),MATCH($A1153,CLASSNAMEHEADERS,0))),(INDEX(ALLCLASSDATA,MATCH("SimpleExpert",CLASSFEATUREHEADERS,0),MATCH(($A1153 &amp; "Points"),CLASSNAMEHEADERS,0))),(IF("15"=(INDEX(ALLCLASSDATA,MATCH("SimpleTrained",CLASSFEATUREHEADERS,0),MATCH($A1153,CLASSNAMEHEADERS,0))),(INDEX(ALLCLASSDATA,MATCH("SimpleTrained",CLASSFEATUREHEADERS,0),MATCH(($A1153 &amp; "Points"),CLASSNAMEHEADERS,0))),"")))))))))}</f>
        <v>SIMPLEL15</v>
      </c>
      <c r="W1152" s="223"/>
      <c r="X1152" s="223" t="str">
        <f t="array" ref="X1152:X1153">{"SIMPLEL17";((IF("17"=(INDEX(ALLCLASSDATA,MATCH("SimpleLegendary",CLASSFEATUREHEADERS,0),MATCH($A1153,CLASSNAMEHEADERS,0))),(INDEX(ALLCLASSDATA,MATCH("SimpleLegendary",CLASSFEATUREHEADERS,0),MATCH(($A1153 &amp; "Points"),CLASSNAMEHEADERS,0))),(IF("17"=(INDEX(ALLCLASSDATA,MATCH("SimpleMaster",CLASSFEATUREHEADERS,0),MATCH($A1153,CLASSNAMEHEADERS,0))),(INDEX(ALLCLASSDATA,MATCH("SimpleMaster",CLASSFEATUREHEADERS,0),MATCH(($A1153 &amp; "Points"),CLASSNAMEHEADERS,0))),(IF("17"=(INDEX(ALLCLASSDATA,MATCH("SimpleExpert",CLASSFEATUREHEADERS,0),MATCH($A1153,CLASSNAMEHEADERS,0))),(INDEX(ALLCLASSDATA,MATCH("SimpleExpert",CLASSFEATUREHEADERS,0),MATCH(($A1153 &amp; "Points"),CLASSNAMEHEADERS,0))),(IF("17"=(INDEX(ALLCLASSDATA,MATCH("SimpleTrained",CLASSFEATUREHEADERS,0),MATCH($A1153,CLASSNAMEHEADERS,0))),(INDEX(ALLCLASSDATA,MATCH("SimpleTrained",CLASSFEATUREHEADERS,0),MATCH(($A1153 &amp; "Points"),CLASSNAMEHEADERS,0))),"")))))))))}</f>
        <v>SIMPLEL17</v>
      </c>
      <c r="Y1152" s="223"/>
      <c r="Z1152" s="223" t="str">
        <f t="array" ref="Z1152:Z1153">{"SIMPLEL19";((IF("19"=(INDEX(ALLCLASSDATA,MATCH("SimpleLegendary",CLASSFEATUREHEADERS,0),MATCH($A1153,CLASSNAMEHEADERS,0))),(INDEX(ALLCLASSDATA,MATCH("SimpleLegendary",CLASSFEATUREHEADERS,0),MATCH(($A1153 &amp; "Points"),CLASSNAMEHEADERS,0))),(IF("19"=(INDEX(ALLCLASSDATA,MATCH("SimpleMaster",CLASSFEATUREHEADERS,0),MATCH($A1153,CLASSNAMEHEADERS,0))),(INDEX(ALLCLASSDATA,MATCH("SimpleMaster",CLASSFEATUREHEADERS,0),MATCH(($A1153 &amp; "Points"),CLASSNAMEHEADERS,0))),(IF("19"=(INDEX(ALLCLASSDATA,MATCH("SimpleExpert",CLASSFEATUREHEADERS,0),MATCH($A1153,CLASSNAMEHEADERS,0))),(INDEX(ALLCLASSDATA,MATCH("SimpleExpert",CLASSFEATUREHEADERS,0),MATCH(($A1153 &amp; "Points"),CLASSNAMEHEADERS,0))),(IF("19"=(INDEX(ALLCLASSDATA,MATCH("SimpleTrained",CLASSFEATUREHEADERS,0),MATCH($A1153,CLASSNAMEHEADERS,0))),(INDEX(ALLCLASSDATA,MATCH("SimpleTrained",CLASSFEATUREHEADERS,0),MATCH(($A1153 &amp; "Points"),CLASSNAMEHEADERS,0))),"")))))))))}</f>
        <v>SIMPLEL19</v>
      </c>
      <c r="AA1152" s="223"/>
      <c r="AB1152" s="76" t="str">
        <f t="array" ref="AB1152:AB1153">{"SIMPLE TOTAL";(IF(COUNTBLANK(G1153:AA1153)=17,"L",(IF(COUNTBLANK(G1153:AA1153)=18,"M",(IF(COUNTBLANK(G1153:AA1153)=19,"E",(IF(COUNTBLANK(G1153:AA1153)=20,"T",""))))))))}</f>
        <v>SIMPLE TOTAL</v>
      </c>
      <c r="AC1152" s="76" t="str">
        <f t="array" ref="AC1152:AC1153">{"SIMPLE TOTAL";(sum(G1153:AA1153))}</f>
        <v>SIMPLE TOTAL</v>
      </c>
    </row>
    <row r="1153">
      <c r="A1153" s="48" t="s">
        <v>195</v>
      </c>
      <c r="B1153" s="48"/>
      <c r="C1153" s="48" t="s">
        <v>417</v>
      </c>
      <c r="D1153" s="48" t="s">
        <v>1634</v>
      </c>
      <c r="E1153" s="48" t="s">
        <v>68</v>
      </c>
      <c r="F1153" s="5" t="s">
        <v>435</v>
      </c>
      <c r="G1153" s="47" t="s">
        <v>603</v>
      </c>
      <c r="H1153" s="5">
        <v>10.0</v>
      </c>
      <c r="I1153" s="5"/>
      <c r="J1153" s="5" t="s">
        <v>603</v>
      </c>
      <c r="K1153" s="5"/>
      <c r="L1153" s="5" t="s">
        <v>603</v>
      </c>
      <c r="M1153" s="5"/>
      <c r="N1153" s="5" t="s">
        <v>603</v>
      </c>
      <c r="O1153" s="5"/>
      <c r="P1153" s="5" t="s">
        <v>603</v>
      </c>
      <c r="Q1153" s="5"/>
      <c r="R1153" s="5">
        <v>50.0</v>
      </c>
      <c r="S1153" s="5"/>
      <c r="T1153" s="5" t="s">
        <v>603</v>
      </c>
      <c r="U1153" s="5"/>
      <c r="V1153" s="5" t="s">
        <v>603</v>
      </c>
      <c r="W1153" s="5"/>
      <c r="X1153" s="5" t="s">
        <v>603</v>
      </c>
      <c r="Y1153" s="5"/>
      <c r="Z1153" s="5" t="s">
        <v>603</v>
      </c>
      <c r="AA1153" s="5"/>
      <c r="AB1153" s="5" t="s">
        <v>436</v>
      </c>
      <c r="AC1153" s="47">
        <v>60.0</v>
      </c>
    </row>
    <row r="1154" hidden="1">
      <c r="A1154" s="222" t="str">
        <f t="array" ref="A1154:A1155">{"FormulaRow30";(INDEX(CLASSLIST,A1095,1))}</f>
        <v>FormulaRow30</v>
      </c>
      <c r="B1154" s="77" t="s">
        <v>236</v>
      </c>
      <c r="C1154" s="222" t="str">
        <f t="array" ref="C1154:C1155">{"CLASSTYPE";((INDEX(ALLCLASSDATA,MATCH("ClassType",CLASSFEATUREHEADERS,0),MATCH($A1155,CLASSNAMEHEADERS,0))))}</f>
        <v>CLASSTYPE</v>
      </c>
      <c r="D1154" s="222" t="str">
        <f t="array" ref="D1154:D1155">{"ATTACK";"Attack"}</f>
        <v>ATTACK</v>
      </c>
      <c r="E1154" s="222" t="str">
        <f t="array" ref="E1154:E1155">{"MARTIALLIMITED";"MartialLimited"}</f>
        <v>MARTIALLIMITED</v>
      </c>
      <c r="F1154" s="223" t="str">
        <f t="array" ref="F1154:F1155">{"MARTIALLIMITEDINITIAL";((IF(H1155=10,"T",(IF(H1155=50,"E","")))))}</f>
        <v>MARTIALLIMITEDINITIAL</v>
      </c>
      <c r="G1154" s="223" t="str">
        <f t="array" ref="G1154:G1155">{"MARTIALLIMITEDINITIALPTS";((IF("00"=(INDEX(ALLCLASSDATA,MATCH("MartialLimitedLegendary",CLASSFEATUREHEADERS,0),MATCH($A1155,CLASSNAMEHEADERS,0))),(INDEX(ALLCLASSDATA,MATCH("MartialLimitedLegendary",CLASSFEATUREHEADERS,0),MATCH(($A1155 &amp; "Points"),CLASSNAMEHEADERS,0))),(IF("00"=(INDEX(ALLCLASSDATA,MATCH("MartialLimitedMaster",CLASSFEATUREHEADERS,0),MATCH($A1155,CLASSNAMEHEADERS,0))),(INDEX(ALLCLASSDATA,MATCH("MartialLimitedMaster",CLASSFEATUREHEADERS,0),MATCH(($A1155 &amp; "Points"),CLASSNAMEHEADERS,0))),(IF("00"=(INDEX(ALLCLASSDATA,MATCH("MartialLimitedExpert",CLASSFEATUREHEADERS,0),MATCH($A1155,CLASSNAMEHEADERS,0))),(INDEX(ALLCLASSDATA,MATCH("MartialLimitedExpert",CLASSFEATUREHEADERS,0),MATCH(($A1155 &amp; "Points"),CLASSNAMEHEADERS,0))),(IF("00"=(INDEX(ALLCLASSDATA,MATCH("MartialLimitedTrained",CLASSFEATUREHEADERS,0),MATCH($A1155,CLASSNAMEHEADERS,0))),(INDEX(ALLCLASSDATA,MATCH("MartialLimitedTrained",CLASSFEATUREHEADERS,0),MATCH(($A1155 &amp; "Points"),CLASSNAMEHEADERS,0))),"")))))))))}</f>
        <v>MARTIALLIMITEDINITIALPTS</v>
      </c>
      <c r="H1154" s="223" t="str">
        <f t="array" ref="H1154:H1155">{"MARTIALLIMITEDL01";((IF("01"=(INDEX(ALLCLASSDATA,MATCH("MartialLimitedLegendary",CLASSFEATUREHEADERS,0),MATCH($A1155,CLASSNAMEHEADERS,0))),(INDEX(ALLCLASSDATA,MATCH("MartialLimitedLegendary",CLASSFEATUREHEADERS,0),MATCH(($A1155 &amp; "Points"),CLASSNAMEHEADERS,0))),(IF("01"=(INDEX(ALLCLASSDATA,MATCH("MartialLimitedMaster",CLASSFEATUREHEADERS,0),MATCH($A1155,CLASSNAMEHEADERS,0))),(INDEX(ALLCLASSDATA,MATCH("MartialLimitedMaster",CLASSFEATUREHEADERS,0),MATCH(($A1155 &amp; "Points"),CLASSNAMEHEADERS,0))),(IF("01"=(INDEX(ALLCLASSDATA,MATCH("MartialLimitedExpert",CLASSFEATUREHEADERS,0),MATCH($A1155,CLASSNAMEHEADERS,0))),(INDEX(ALLCLASSDATA,MATCH("MartialLimitedExpert",CLASSFEATUREHEADERS,0),MATCH(($A1155 &amp; "Points"),CLASSNAMEHEADERS,0))),(IF("01"=(INDEX(ALLCLASSDATA,MATCH("MartialLimitedTrained",CLASSFEATUREHEADERS,0),MATCH($A1155,CLASSNAMEHEADERS,0))),(INDEX(ALLCLASSDATA,MATCH("MartialLimitedTrained",CLASSFEATUREHEADERS,0),MATCH(($A1155 &amp; "Points"),CLASSNAMEHEADERS,0))),"")))))))))}</f>
        <v>MARTIALLIMITEDL01</v>
      </c>
      <c r="I1154" s="223"/>
      <c r="J1154" s="223" t="str">
        <f t="array" ref="J1154:J1155">{"MARTIALLIMITEDL03";((IF("03"=(INDEX(ALLCLASSDATA,MATCH("MartialLimitedLegendary",CLASSFEATUREHEADERS,0),MATCH($A1155,CLASSNAMEHEADERS,0))),(INDEX(ALLCLASSDATA,MATCH("MartialLimitedLegendary",CLASSFEATUREHEADERS,0),MATCH(($A1155 &amp; "Points"),CLASSNAMEHEADERS,0))),(IF("03"=(INDEX(ALLCLASSDATA,MATCH("MartialLimitedMaster",CLASSFEATUREHEADERS,0),MATCH($A1155,CLASSNAMEHEADERS,0))),(INDEX(ALLCLASSDATA,MATCH("MartialLimitedMaster",CLASSFEATUREHEADERS,0),MATCH(($A1155 &amp; "Points"),CLASSNAMEHEADERS,0))),(IF("03"=(INDEX(ALLCLASSDATA,MATCH("MartialLimitedExpert",CLASSFEATUREHEADERS,0),MATCH($A1155,CLASSNAMEHEADERS,0))),(INDEX(ALLCLASSDATA,MATCH("MartialLimitedExpert",CLASSFEATUREHEADERS,0),MATCH(($A1155 &amp; "Points"),CLASSNAMEHEADERS,0))),(IF("03"=(INDEX(ALLCLASSDATA,MATCH("MartialLimitedTrained",CLASSFEATUREHEADERS,0),MATCH($A1155,CLASSNAMEHEADERS,0))),(INDEX(ALLCLASSDATA,MATCH("MartialLimitedTrained",CLASSFEATUREHEADERS,0),MATCH(($A1155 &amp; "Points"),CLASSNAMEHEADERS,0))),"")))))))))}</f>
        <v>MARTIALLIMITEDL03</v>
      </c>
      <c r="K1154" s="223"/>
      <c r="L1154" s="223" t="str">
        <f t="array" ref="L1154:L1155">{"MARTIALLIMITEDL05";((IF("05"=(INDEX(ALLCLASSDATA,MATCH("MartialLimitedLegendary",CLASSFEATUREHEADERS,0),MATCH($A1155,CLASSNAMEHEADERS,0))),(INDEX(ALLCLASSDATA,MATCH("MartialLimitedLegendary",CLASSFEATUREHEADERS,0),MATCH(($A1155 &amp; "Points"),CLASSNAMEHEADERS,0))),(IF("05"=(INDEX(ALLCLASSDATA,MATCH("MartialLimitedMaster",CLASSFEATUREHEADERS,0),MATCH($A1155,CLASSNAMEHEADERS,0))),(INDEX(ALLCLASSDATA,MATCH("MartialLimitedMaster",CLASSFEATUREHEADERS,0),MATCH(($A1155 &amp; "Points"),CLASSNAMEHEADERS,0))),(IF("05"=(INDEX(ALLCLASSDATA,MATCH("MartialLimitedExpert",CLASSFEATUREHEADERS,0),MATCH($A1155,CLASSNAMEHEADERS,0))),(INDEX(ALLCLASSDATA,MATCH("MartialLimitedExpert",CLASSFEATUREHEADERS,0),MATCH(($A1155 &amp; "Points"),CLASSNAMEHEADERS,0))),(IF("05"=(INDEX(ALLCLASSDATA,MATCH("MartialLimitedTrained",CLASSFEATUREHEADERS,0),MATCH($A1155,CLASSNAMEHEADERS,0))),(INDEX(ALLCLASSDATA,MATCH("MartialLimitedTrained",CLASSFEATUREHEADERS,0),MATCH(($A1155 &amp; "Points"),CLASSNAMEHEADERS,0))),"")))))))))}</f>
        <v>MARTIALLIMITEDL05</v>
      </c>
      <c r="M1154" s="223"/>
      <c r="N1154" s="223" t="str">
        <f t="array" ref="N1154:N1155">{"MARTIALLIMITEDL07";((IF("07"=(INDEX(ALLCLASSDATA,MATCH("MartialLimitedLegendary",CLASSFEATUREHEADERS,0),MATCH($A1155,CLASSNAMEHEADERS,0))),(INDEX(ALLCLASSDATA,MATCH("MartialLimitedLegendary",CLASSFEATUREHEADERS,0),MATCH(($A1155 &amp; "Points"),CLASSNAMEHEADERS,0))),(IF("07"=(INDEX(ALLCLASSDATA,MATCH("MartialLimitedMaster",CLASSFEATUREHEADERS,0),MATCH($A1155,CLASSNAMEHEADERS,0))),(INDEX(ALLCLASSDATA,MATCH("MartialLimitedMaster",CLASSFEATUREHEADERS,0),MATCH(($A1155 &amp; "Points"),CLASSNAMEHEADERS,0))),(IF("07"=(INDEX(ALLCLASSDATA,MATCH("MartialLimitedExpert",CLASSFEATUREHEADERS,0),MATCH($A1155,CLASSNAMEHEADERS,0))),(INDEX(ALLCLASSDATA,MATCH("MartialLimitedExpert",CLASSFEATUREHEADERS,0),MATCH(($A1155 &amp; "Points"),CLASSNAMEHEADERS,0))),(IF("07"=(INDEX(ALLCLASSDATA,MATCH("MartialLimitedTrained",CLASSFEATUREHEADERS,0),MATCH($A1155,CLASSNAMEHEADERS,0))),(INDEX(ALLCLASSDATA,MATCH("MartialLimitedTrained",CLASSFEATUREHEADERS,0),MATCH(($A1155 &amp; "Points"),CLASSNAMEHEADERS,0))),"")))))))))}</f>
        <v>MARTIALLIMITEDL07</v>
      </c>
      <c r="O1154" s="223"/>
      <c r="P1154" s="223" t="str">
        <f t="array" ref="P1154:P1155">{"MARTIALLIMITEDL09";((IF("09"=(INDEX(ALLCLASSDATA,MATCH("MartialLimitedLegendary",CLASSFEATUREHEADERS,0),MATCH($A1155,CLASSNAMEHEADERS,0))),(INDEX(ALLCLASSDATA,MATCH("MartialLimitedLegendary",CLASSFEATUREHEADERS,0),MATCH(($A1155 &amp; "Points"),CLASSNAMEHEADERS,0))),(IF("09"=(INDEX(ALLCLASSDATA,MATCH("MartialLimitedMaster",CLASSFEATUREHEADERS,0),MATCH($A1155,CLASSNAMEHEADERS,0))),(INDEX(ALLCLASSDATA,MATCH("MartialLimitedMaster",CLASSFEATUREHEADERS,0),MATCH(($A1155 &amp; "Points"),CLASSNAMEHEADERS,0))),(IF("09"=(INDEX(ALLCLASSDATA,MATCH("MartialLimitedExpert",CLASSFEATUREHEADERS,0),MATCH($A1155,CLASSNAMEHEADERS,0))),(INDEX(ALLCLASSDATA,MATCH("MartialLimitedExpert",CLASSFEATUREHEADERS,0),MATCH(($A1155 &amp; "Points"),CLASSNAMEHEADERS,0))),(IF("09"=(INDEX(ALLCLASSDATA,MATCH("MartialLimitedTrained",CLASSFEATUREHEADERS,0),MATCH($A1155,CLASSNAMEHEADERS,0))),(INDEX(ALLCLASSDATA,MATCH("MartialLimitedTrained",CLASSFEATUREHEADERS,0),MATCH(($A1155 &amp; "Points"),CLASSNAMEHEADERS,0))),"")))))))))}</f>
        <v>MARTIALLIMITEDL09</v>
      </c>
      <c r="Q1154" s="223"/>
      <c r="R1154" s="223" t="str">
        <f t="array" ref="R1154:R1155">{"MARTIALLIMITEDL11";((IF("11"=(INDEX(ALLCLASSDATA,MATCH("MartialLimitedLegendary",CLASSFEATUREHEADERS,0),MATCH($A1155,CLASSNAMEHEADERS,0))),(INDEX(ALLCLASSDATA,MATCH("MartialLimitedLegendary",CLASSFEATUREHEADERS,0),MATCH(($A1155 &amp; "Points"),CLASSNAMEHEADERS,0))),(IF("11"=(INDEX(ALLCLASSDATA,MATCH("MartialLimitedMaster",CLASSFEATUREHEADERS,0),MATCH($A1155,CLASSNAMEHEADERS,0))),(INDEX(ALLCLASSDATA,MATCH("MartialLimitedMaster",CLASSFEATUREHEADERS,0),MATCH(($A1155 &amp; "Points"),CLASSNAMEHEADERS,0))),(IF("11"=(INDEX(ALLCLASSDATA,MATCH("MartialLimitedExpert",CLASSFEATUREHEADERS,0),MATCH($A1155,CLASSNAMEHEADERS,0))),(INDEX(ALLCLASSDATA,MATCH("MartialLimitedExpert",CLASSFEATUREHEADERS,0),MATCH(($A1155 &amp; "Points"),CLASSNAMEHEADERS,0))),(IF("11"=(INDEX(ALLCLASSDATA,MATCH("MartialLimitedTrained",CLASSFEATUREHEADERS,0),MATCH($A1155,CLASSNAMEHEADERS,0))),(INDEX(ALLCLASSDATA,MATCH("MartialLimitedTrained",CLASSFEATUREHEADERS,0),MATCH(($A1155 &amp; "Points"),CLASSNAMEHEADERS,0))),"")))))))))}</f>
        <v>MARTIALLIMITEDL11</v>
      </c>
      <c r="S1154" s="223"/>
      <c r="T1154" s="223" t="str">
        <f t="array" ref="T1154:T1155">{"MARTIALLIMITEDL13";((IF("13"=(INDEX(ALLCLASSDATA,MATCH("MartialLimitedLegendary",CLASSFEATUREHEADERS,0),MATCH($A1155,CLASSNAMEHEADERS,0))),(INDEX(ALLCLASSDATA,MATCH("MartialLimitedLegendary",CLASSFEATUREHEADERS,0),MATCH(($A1155 &amp; "Points"),CLASSNAMEHEADERS,0))),(IF("13"=(INDEX(ALLCLASSDATA,MATCH("MartialLimitedMaster",CLASSFEATUREHEADERS,0),MATCH($A1155,CLASSNAMEHEADERS,0))),(INDEX(ALLCLASSDATA,MATCH("MartialLimitedMaster",CLASSFEATUREHEADERS,0),MATCH(($A1155 &amp; "Points"),CLASSNAMEHEADERS,0))),(IF("13"=(INDEX(ALLCLASSDATA,MATCH("MartialLimitedExpert",CLASSFEATUREHEADERS,0),MATCH($A1155,CLASSNAMEHEADERS,0))),(INDEX(ALLCLASSDATA,MATCH("MartialLimitedExpert",CLASSFEATUREHEADERS,0),MATCH(($A1155 &amp; "Points"),CLASSNAMEHEADERS,0))),(IF("13"=(INDEX(ALLCLASSDATA,MATCH("MartialLimitedTrained",CLASSFEATUREHEADERS,0),MATCH($A1155,CLASSNAMEHEADERS,0))),(INDEX(ALLCLASSDATA,MATCH("MartialLimitedTrained",CLASSFEATUREHEADERS,0),MATCH(($A1155 &amp; "Points"),CLASSNAMEHEADERS,0))),"")))))))))}</f>
        <v>MARTIALLIMITEDL13</v>
      </c>
      <c r="U1154" s="223"/>
      <c r="V1154" s="223" t="str">
        <f t="array" ref="V1154:V1155">{"MARTIALLIMITEDL15";((IF("15"=(INDEX(ALLCLASSDATA,MATCH("MartialLimitedLegendary",CLASSFEATUREHEADERS,0),MATCH($A1155,CLASSNAMEHEADERS,0))),(INDEX(ALLCLASSDATA,MATCH("MartialLimitedLegendary",CLASSFEATUREHEADERS,0),MATCH(($A1155 &amp; "Points"),CLASSNAMEHEADERS,0))),(IF("15"=(INDEX(ALLCLASSDATA,MATCH("MartialLimitedMaster",CLASSFEATUREHEADERS,0),MATCH($A1155,CLASSNAMEHEADERS,0))),(INDEX(ALLCLASSDATA,MATCH("MartialLimitedMaster",CLASSFEATUREHEADERS,0),MATCH(($A1155 &amp; "Points"),CLASSNAMEHEADERS,0))),(IF("15"=(INDEX(ALLCLASSDATA,MATCH("MartialLimitedExpert",CLASSFEATUREHEADERS,0),MATCH($A1155,CLASSNAMEHEADERS,0))),(INDEX(ALLCLASSDATA,MATCH("MartialLimitedExpert",CLASSFEATUREHEADERS,0),MATCH(($A1155 &amp; "Points"),CLASSNAMEHEADERS,0))),(IF("15"=(INDEX(ALLCLASSDATA,MATCH("MartialLimitedTrained",CLASSFEATUREHEADERS,0),MATCH($A1155,CLASSNAMEHEADERS,0))),(INDEX(ALLCLASSDATA,MATCH("MartialLimitedTrained",CLASSFEATUREHEADERS,0),MATCH(($A1155 &amp; "Points"),CLASSNAMEHEADERS,0))),"")))))))))}</f>
        <v>MARTIALLIMITEDL15</v>
      </c>
      <c r="W1154" s="223"/>
      <c r="X1154" s="223" t="str">
        <f t="array" ref="X1154:X1155">{"MARTIALLIMITEDL17";((IF("17"=(INDEX(ALLCLASSDATA,MATCH("MartialLimitedLegendary",CLASSFEATUREHEADERS,0),MATCH($A1155,CLASSNAMEHEADERS,0))),(INDEX(ALLCLASSDATA,MATCH("MartialLimitedLegendary",CLASSFEATUREHEADERS,0),MATCH(($A1155 &amp; "Points"),CLASSNAMEHEADERS,0))),(IF("17"=(INDEX(ALLCLASSDATA,MATCH("MartialLimitedMaster",CLASSFEATUREHEADERS,0),MATCH($A1155,CLASSNAMEHEADERS,0))),(INDEX(ALLCLASSDATA,MATCH("MartialLimitedMaster",CLASSFEATUREHEADERS,0),MATCH(($A1155 &amp; "Points"),CLASSNAMEHEADERS,0))),(IF("17"=(INDEX(ALLCLASSDATA,MATCH("MartialLimitedExpert",CLASSFEATUREHEADERS,0),MATCH($A1155,CLASSNAMEHEADERS,0))),(INDEX(ALLCLASSDATA,MATCH("MartialLimitedExpert",CLASSFEATUREHEADERS,0),MATCH(($A1155 &amp; "Points"),CLASSNAMEHEADERS,0))),(IF("17"=(INDEX(ALLCLASSDATA,MATCH("MartialLimitedTrained",CLASSFEATUREHEADERS,0),MATCH($A1155,CLASSNAMEHEADERS,0))),(INDEX(ALLCLASSDATA,MATCH("MartialLimitedTrained",CLASSFEATUREHEADERS,0),MATCH(($A1155 &amp; "Points"),CLASSNAMEHEADERS,0))),"")))))))))}</f>
        <v>MARTIALLIMITEDL17</v>
      </c>
      <c r="Y1154" s="223"/>
      <c r="Z1154" s="223" t="str">
        <f t="array" ref="Z1154:Z1155">{"MARTIALLIMITEDL19";((IF("19"=(INDEX(ALLCLASSDATA,MATCH("MartialLimitedLegendary",CLASSFEATUREHEADERS,0),MATCH($A1155,CLASSNAMEHEADERS,0))),(INDEX(ALLCLASSDATA,MATCH("MartialLimitedLegendary",CLASSFEATUREHEADERS,0),MATCH(($A1155 &amp; "Points"),CLASSNAMEHEADERS,0))),(IF("19"=(INDEX(ALLCLASSDATA,MATCH("MartialLimitedMaster",CLASSFEATUREHEADERS,0),MATCH($A1155,CLASSNAMEHEADERS,0))),(INDEX(ALLCLASSDATA,MATCH("MartialLimitedMaster",CLASSFEATUREHEADERS,0),MATCH(($A1155 &amp; "Points"),CLASSNAMEHEADERS,0))),(IF("19"=(INDEX(ALLCLASSDATA,MATCH("MartialLimitedExpert",CLASSFEATUREHEADERS,0),MATCH($A1155,CLASSNAMEHEADERS,0))),(INDEX(ALLCLASSDATA,MATCH("MartialLimitedExpert",CLASSFEATUREHEADERS,0),MATCH(($A1155 &amp; "Points"),CLASSNAMEHEADERS,0))),(IF("19"=(INDEX(ALLCLASSDATA,MATCH("MartialLimitedTrained",CLASSFEATUREHEADERS,0),MATCH($A1155,CLASSNAMEHEADERS,0))),(INDEX(ALLCLASSDATA,MATCH("MartialLimitedTrained",CLASSFEATUREHEADERS,0),MATCH(($A1155 &amp; "Points"),CLASSNAMEHEADERS,0))),"")))))))))}</f>
        <v>MARTIALLIMITEDL19</v>
      </c>
      <c r="AA1154" s="223"/>
      <c r="AB1154" s="76" t="str">
        <f t="array" ref="AB1154:AB1155">{"MARTIALLIMITED TOTAL";(IF(COUNTBLANK(G1155:AA1155)=17,"L",(IF(COUNTBLANK(G1155:AA1155)=18,"M",(IF(COUNTBLANK(G1155:AA1155)=19,"E",(IF(COUNTBLANK(G1155:AA1155)=20,"T",""))))))))}</f>
        <v>MARTIALLIMITED TOTAL</v>
      </c>
      <c r="AC1154" s="76" t="str">
        <f t="array" ref="AC1154:AC1155">{"MARTIALLIMITED TOTAL";(sum(G1155:AA1155))}</f>
        <v>MARTIALLIMITED TOTAL</v>
      </c>
    </row>
    <row r="1155">
      <c r="A1155" s="48" t="s">
        <v>195</v>
      </c>
      <c r="B1155" s="48"/>
      <c r="C1155" s="48" t="s">
        <v>417</v>
      </c>
      <c r="D1155" s="48" t="s">
        <v>1634</v>
      </c>
      <c r="E1155" s="48" t="s">
        <v>600</v>
      </c>
      <c r="F1155" s="5" t="s">
        <v>603</v>
      </c>
      <c r="G1155" s="47" t="s">
        <v>603</v>
      </c>
      <c r="H1155" s="5" t="s">
        <v>603</v>
      </c>
      <c r="I1155" s="5"/>
      <c r="J1155" s="5" t="s">
        <v>603</v>
      </c>
      <c r="K1155" s="5"/>
      <c r="L1155" s="5" t="s">
        <v>603</v>
      </c>
      <c r="M1155" s="5"/>
      <c r="N1155" s="5" t="s">
        <v>603</v>
      </c>
      <c r="O1155" s="5"/>
      <c r="P1155" s="5" t="s">
        <v>603</v>
      </c>
      <c r="Q1155" s="5"/>
      <c r="R1155" s="5" t="s">
        <v>603</v>
      </c>
      <c r="S1155" s="5"/>
      <c r="T1155" s="5" t="s">
        <v>603</v>
      </c>
      <c r="U1155" s="5"/>
      <c r="V1155" s="5" t="s">
        <v>603</v>
      </c>
      <c r="W1155" s="5"/>
      <c r="X1155" s="5" t="s">
        <v>603</v>
      </c>
      <c r="Y1155" s="5"/>
      <c r="Z1155" s="5" t="s">
        <v>603</v>
      </c>
      <c r="AA1155" s="5"/>
      <c r="AB1155" s="5" t="s">
        <v>603</v>
      </c>
      <c r="AC1155" s="47">
        <v>0.0</v>
      </c>
    </row>
    <row r="1156" hidden="1">
      <c r="A1156" s="222" t="str">
        <f t="array" ref="A1156:A1157">{"FormulaRow31";(INDEX(CLASSLIST,A1095,1))}</f>
        <v>FormulaRow31</v>
      </c>
      <c r="B1156" s="77" t="s">
        <v>236</v>
      </c>
      <c r="C1156" s="222" t="str">
        <f t="array" ref="C1156:C1157">{"CLASSTYPE";((INDEX(ALLCLASSDATA,MATCH("ClassType",CLASSFEATUREHEADERS,0),MATCH($A1157,CLASSNAMEHEADERS,0))))}</f>
        <v>CLASSTYPE</v>
      </c>
      <c r="D1156" s="222" t="str">
        <f t="array" ref="D1156:D1157">{"ATTACK";"Attack"}</f>
        <v>ATTACK</v>
      </c>
      <c r="E1156" s="222" t="str">
        <f t="array" ref="E1156:E1157">{"MARTIAL";"Martial"}</f>
        <v>MARTIAL</v>
      </c>
      <c r="F1156" s="223" t="str">
        <f t="array" ref="F1156:F1157">{"MARTIALINITIAL";((IF(H1157=10,"T",(IF(H1157=50,"E","")))))}</f>
        <v>MARTIALINITIAL</v>
      </c>
      <c r="G1156" s="223" t="str">
        <f t="array" ref="G1156:G1157">{"MARTIALINITIALPTS";((IF("00"=(INDEX(ALLCLASSDATA,MATCH("MartialLegendary",CLASSFEATUREHEADERS,0),MATCH($A1157,CLASSNAMEHEADERS,0))),(INDEX(ALLCLASSDATA,MATCH("MartialLegendary",CLASSFEATUREHEADERS,0),MATCH(($A1157 &amp; "Points"),CLASSNAMEHEADERS,0))),(IF("00"=(INDEX(ALLCLASSDATA,MATCH("MartialMaster",CLASSFEATUREHEADERS,0),MATCH($A1157,CLASSNAMEHEADERS,0))),(INDEX(ALLCLASSDATA,MATCH("MartialMaster",CLASSFEATUREHEADERS,0),MATCH(($A1157 &amp; "Points"),CLASSNAMEHEADERS,0))),(IF("00"=(INDEX(ALLCLASSDATA,MATCH("MartialExpert",CLASSFEATUREHEADERS,0),MATCH($A1157,CLASSNAMEHEADERS,0))),(INDEX(ALLCLASSDATA,MATCH("MartialExpert",CLASSFEATUREHEADERS,0),MATCH(($A1157 &amp; "Points"),CLASSNAMEHEADERS,0))),(IF("00"=(INDEX(ALLCLASSDATA,MATCH("MartialTrained",CLASSFEATUREHEADERS,0),MATCH($A1157,CLASSNAMEHEADERS,0))),(INDEX(ALLCLASSDATA,MATCH("MartialTrained",CLASSFEATUREHEADERS,0),MATCH(($A1157 &amp; "Points"),CLASSNAMEHEADERS,0))),"")))))))))}</f>
        <v>MARTIALINITIALPTS</v>
      </c>
      <c r="H1156" s="223" t="str">
        <f t="array" ref="H1156:H1157">{"MARTIALL01";((IF("01"=(INDEX(ALLCLASSDATA,MATCH("MartialLegendary",CLASSFEATUREHEADERS,0),MATCH($A1157,CLASSNAMEHEADERS,0))),(INDEX(ALLCLASSDATA,MATCH("MartialLegendary",CLASSFEATUREHEADERS,0),MATCH(($A1157 &amp; "Points"),CLASSNAMEHEADERS,0))),(IF("01"=(INDEX(ALLCLASSDATA,MATCH("MartialMaster",CLASSFEATUREHEADERS,0),MATCH($A1157,CLASSNAMEHEADERS,0))),(INDEX(ALLCLASSDATA,MATCH("MartialMaster",CLASSFEATUREHEADERS,0),MATCH(($A1157 &amp; "Points"),CLASSNAMEHEADERS,0))),(IF("01"=(INDEX(ALLCLASSDATA,MATCH("MartialExpert",CLASSFEATUREHEADERS,0),MATCH($A1157,CLASSNAMEHEADERS,0))),(INDEX(ALLCLASSDATA,MATCH("MartialExpert",CLASSFEATUREHEADERS,0),MATCH(($A1157 &amp; "Points"),CLASSNAMEHEADERS,0))),(IF("01"=(INDEX(ALLCLASSDATA,MATCH("MartialTrained",CLASSFEATUREHEADERS,0),MATCH($A1157,CLASSNAMEHEADERS,0))),(INDEX(ALLCLASSDATA,MATCH("MartialTrained",CLASSFEATUREHEADERS,0),MATCH(($A1157 &amp; "Points"),CLASSNAMEHEADERS,0))),"")))))))))}</f>
        <v>MARTIALL01</v>
      </c>
      <c r="I1156" s="223"/>
      <c r="J1156" s="223" t="str">
        <f t="array" ref="J1156:J1157">{"MARTIALL03";((IF("03"=(INDEX(ALLCLASSDATA,MATCH("MartialLegendary",CLASSFEATUREHEADERS,0),MATCH($A1157,CLASSNAMEHEADERS,0))),(INDEX(ALLCLASSDATA,MATCH("MartialLegendary",CLASSFEATUREHEADERS,0),MATCH(($A1157 &amp; "Points"),CLASSNAMEHEADERS,0))),(IF("03"=(INDEX(ALLCLASSDATA,MATCH("MartialMaster",CLASSFEATUREHEADERS,0),MATCH($A1157,CLASSNAMEHEADERS,0))),(INDEX(ALLCLASSDATA,MATCH("MartialMaster",CLASSFEATUREHEADERS,0),MATCH(($A1157 &amp; "Points"),CLASSNAMEHEADERS,0))),(IF("03"=(INDEX(ALLCLASSDATA,MATCH("MartialExpert",CLASSFEATUREHEADERS,0),MATCH($A1157,CLASSNAMEHEADERS,0))),(INDEX(ALLCLASSDATA,MATCH("MartialExpert",CLASSFEATUREHEADERS,0),MATCH(($A1157 &amp; "Points"),CLASSNAMEHEADERS,0))),(IF("03"=(INDEX(ALLCLASSDATA,MATCH("MartialTrained",CLASSFEATUREHEADERS,0),MATCH($A1157,CLASSNAMEHEADERS,0))),(INDEX(ALLCLASSDATA,MATCH("MartialTrained",CLASSFEATUREHEADERS,0),MATCH(($A1157 &amp; "Points"),CLASSNAMEHEADERS,0))),"")))))))))}</f>
        <v>MARTIALL03</v>
      </c>
      <c r="K1156" s="223"/>
      <c r="L1156" s="223" t="str">
        <f t="array" ref="L1156:L1157">{"MARTIALL05";((IF("05"=(INDEX(ALLCLASSDATA,MATCH("MartialLegendary",CLASSFEATUREHEADERS,0),MATCH($A1157,CLASSNAMEHEADERS,0))),(INDEX(ALLCLASSDATA,MATCH("MartialLegendary",CLASSFEATUREHEADERS,0),MATCH(($A1157 &amp; "Points"),CLASSNAMEHEADERS,0))),(IF("05"=(INDEX(ALLCLASSDATA,MATCH("MartialMaster",CLASSFEATUREHEADERS,0),MATCH($A1157,CLASSNAMEHEADERS,0))),(INDEX(ALLCLASSDATA,MATCH("MartialMaster",CLASSFEATUREHEADERS,0),MATCH(($A1157 &amp; "Points"),CLASSNAMEHEADERS,0))),(IF("05"=(INDEX(ALLCLASSDATA,MATCH("MartialExpert",CLASSFEATUREHEADERS,0),MATCH($A1157,CLASSNAMEHEADERS,0))),(INDEX(ALLCLASSDATA,MATCH("MartialExpert",CLASSFEATUREHEADERS,0),MATCH(($A1157 &amp; "Points"),CLASSNAMEHEADERS,0))),(IF("05"=(INDEX(ALLCLASSDATA,MATCH("MartialTrained",CLASSFEATUREHEADERS,0),MATCH($A1157,CLASSNAMEHEADERS,0))),(INDEX(ALLCLASSDATA,MATCH("MartialTrained",CLASSFEATUREHEADERS,0),MATCH(($A1157 &amp; "Points"),CLASSNAMEHEADERS,0))),"")))))))))}</f>
        <v>MARTIALL05</v>
      </c>
      <c r="M1156" s="223"/>
      <c r="N1156" s="223" t="str">
        <f t="array" ref="N1156:N1157">{"MARTIALL07";((IF("07"=(INDEX(ALLCLASSDATA,MATCH("MartialLegendary",CLASSFEATUREHEADERS,0),MATCH($A1157,CLASSNAMEHEADERS,0))),(INDEX(ALLCLASSDATA,MATCH("MartialLegendary",CLASSFEATUREHEADERS,0),MATCH(($A1157 &amp; "Points"),CLASSNAMEHEADERS,0))),(IF("07"=(INDEX(ALLCLASSDATA,MATCH("MartialMaster",CLASSFEATUREHEADERS,0),MATCH($A1157,CLASSNAMEHEADERS,0))),(INDEX(ALLCLASSDATA,MATCH("MartialMaster",CLASSFEATUREHEADERS,0),MATCH(($A1157 &amp; "Points"),CLASSNAMEHEADERS,0))),(IF("07"=(INDEX(ALLCLASSDATA,MATCH("MartialExpert",CLASSFEATUREHEADERS,0),MATCH($A1157,CLASSNAMEHEADERS,0))),(INDEX(ALLCLASSDATA,MATCH("MartialExpert",CLASSFEATUREHEADERS,0),MATCH(($A1157 &amp; "Points"),CLASSNAMEHEADERS,0))),(IF("07"=(INDEX(ALLCLASSDATA,MATCH("MartialTrained",CLASSFEATUREHEADERS,0),MATCH($A1157,CLASSNAMEHEADERS,0))),(INDEX(ALLCLASSDATA,MATCH("MartialTrained",CLASSFEATUREHEADERS,0),MATCH(($A1157 &amp; "Points"),CLASSNAMEHEADERS,0))),"")))))))))}</f>
        <v>MARTIALL07</v>
      </c>
      <c r="O1156" s="223"/>
      <c r="P1156" s="223" t="str">
        <f t="array" ref="P1156:P1157">{"MARTIALL09";((IF("09"=(INDEX(ALLCLASSDATA,MATCH("MartialLegendary",CLASSFEATUREHEADERS,0),MATCH($A1157,CLASSNAMEHEADERS,0))),(INDEX(ALLCLASSDATA,MATCH("MartialLegendary",CLASSFEATUREHEADERS,0),MATCH(($A1157 &amp; "Points"),CLASSNAMEHEADERS,0))),(IF("09"=(INDEX(ALLCLASSDATA,MATCH("MartialMaster",CLASSFEATUREHEADERS,0),MATCH($A1157,CLASSNAMEHEADERS,0))),(INDEX(ALLCLASSDATA,MATCH("MartialMaster",CLASSFEATUREHEADERS,0),MATCH(($A1157 &amp; "Points"),CLASSNAMEHEADERS,0))),(IF("09"=(INDEX(ALLCLASSDATA,MATCH("MartialExpert",CLASSFEATUREHEADERS,0),MATCH($A1157,CLASSNAMEHEADERS,0))),(INDEX(ALLCLASSDATA,MATCH("MartialExpert",CLASSFEATUREHEADERS,0),MATCH(($A1157 &amp; "Points"),CLASSNAMEHEADERS,0))),(IF("09"=(INDEX(ALLCLASSDATA,MATCH("MartialTrained",CLASSFEATUREHEADERS,0),MATCH($A1157,CLASSNAMEHEADERS,0))),(INDEX(ALLCLASSDATA,MATCH("MartialTrained",CLASSFEATUREHEADERS,0),MATCH(($A1157 &amp; "Points"),CLASSNAMEHEADERS,0))),"")))))))))}</f>
        <v>MARTIALL09</v>
      </c>
      <c r="Q1156" s="223"/>
      <c r="R1156" s="223" t="str">
        <f t="array" ref="R1156:R1157">{"MARTIALL11";((IF("11"=(INDEX(ALLCLASSDATA,MATCH("MartialLegendary",CLASSFEATUREHEADERS,0),MATCH($A1157,CLASSNAMEHEADERS,0))),(INDEX(ALLCLASSDATA,MATCH("MartialLegendary",CLASSFEATUREHEADERS,0),MATCH(($A1157 &amp; "Points"),CLASSNAMEHEADERS,0))),(IF("11"=(INDEX(ALLCLASSDATA,MATCH("MartialMaster",CLASSFEATUREHEADERS,0),MATCH($A1157,CLASSNAMEHEADERS,0))),(INDEX(ALLCLASSDATA,MATCH("MartialMaster",CLASSFEATUREHEADERS,0),MATCH(($A1157 &amp; "Points"),CLASSNAMEHEADERS,0))),(IF("11"=(INDEX(ALLCLASSDATA,MATCH("MartialExpert",CLASSFEATUREHEADERS,0),MATCH($A1157,CLASSNAMEHEADERS,0))),(INDEX(ALLCLASSDATA,MATCH("MartialExpert",CLASSFEATUREHEADERS,0),MATCH(($A1157 &amp; "Points"),CLASSNAMEHEADERS,0))),(IF("11"=(INDEX(ALLCLASSDATA,MATCH("MartialTrained",CLASSFEATUREHEADERS,0),MATCH($A1157,CLASSNAMEHEADERS,0))),(INDEX(ALLCLASSDATA,MATCH("MartialTrained",CLASSFEATUREHEADERS,0),MATCH(($A1157 &amp; "Points"),CLASSNAMEHEADERS,0))),"")))))))))}</f>
        <v>MARTIALL11</v>
      </c>
      <c r="S1156" s="223"/>
      <c r="T1156" s="223" t="str">
        <f t="array" ref="T1156:T1157">{"MARTIALL13";((IF("13"=(INDEX(ALLCLASSDATA,MATCH("MartialLegendary",CLASSFEATUREHEADERS,0),MATCH($A1157,CLASSNAMEHEADERS,0))),(INDEX(ALLCLASSDATA,MATCH("MartialLegendary",CLASSFEATUREHEADERS,0),MATCH(($A1157 &amp; "Points"),CLASSNAMEHEADERS,0))),(IF("13"=(INDEX(ALLCLASSDATA,MATCH("MartialMaster",CLASSFEATUREHEADERS,0),MATCH($A1157,CLASSNAMEHEADERS,0))),(INDEX(ALLCLASSDATA,MATCH("MartialMaster",CLASSFEATUREHEADERS,0),MATCH(($A1157 &amp; "Points"),CLASSNAMEHEADERS,0))),(IF("13"=(INDEX(ALLCLASSDATA,MATCH("MartialExpert",CLASSFEATUREHEADERS,0),MATCH($A1157,CLASSNAMEHEADERS,0))),(INDEX(ALLCLASSDATA,MATCH("MartialExpert",CLASSFEATUREHEADERS,0),MATCH(($A1157 &amp; "Points"),CLASSNAMEHEADERS,0))),(IF("13"=(INDEX(ALLCLASSDATA,MATCH("MartialTrained",CLASSFEATUREHEADERS,0),MATCH($A1157,CLASSNAMEHEADERS,0))),(INDEX(ALLCLASSDATA,MATCH("MartialTrained",CLASSFEATUREHEADERS,0),MATCH(($A1157 &amp; "Points"),CLASSNAMEHEADERS,0))),"")))))))))}</f>
        <v>MARTIALL13</v>
      </c>
      <c r="U1156" s="223"/>
      <c r="V1156" s="223" t="str">
        <f t="array" ref="V1156:V1157">{"MARTIALL15";((IF("15"=(INDEX(ALLCLASSDATA,MATCH("MartialLegendary",CLASSFEATUREHEADERS,0),MATCH($A1157,CLASSNAMEHEADERS,0))),(INDEX(ALLCLASSDATA,MATCH("MartialLegendary",CLASSFEATUREHEADERS,0),MATCH(($A1157 &amp; "Points"),CLASSNAMEHEADERS,0))),(IF("15"=(INDEX(ALLCLASSDATA,MATCH("MartialMaster",CLASSFEATUREHEADERS,0),MATCH($A1157,CLASSNAMEHEADERS,0))),(INDEX(ALLCLASSDATA,MATCH("MartialMaster",CLASSFEATUREHEADERS,0),MATCH(($A1157 &amp; "Points"),CLASSNAMEHEADERS,0))),(IF("15"=(INDEX(ALLCLASSDATA,MATCH("MartialExpert",CLASSFEATUREHEADERS,0),MATCH($A1157,CLASSNAMEHEADERS,0))),(INDEX(ALLCLASSDATA,MATCH("MartialExpert",CLASSFEATUREHEADERS,0),MATCH(($A1157 &amp; "Points"),CLASSNAMEHEADERS,0))),(IF("15"=(INDEX(ALLCLASSDATA,MATCH("MartialTrained",CLASSFEATUREHEADERS,0),MATCH($A1157,CLASSNAMEHEADERS,0))),(INDEX(ALLCLASSDATA,MATCH("MartialTrained",CLASSFEATUREHEADERS,0),MATCH(($A1157 &amp; "Points"),CLASSNAMEHEADERS,0))),"")))))))))}</f>
        <v>MARTIALL15</v>
      </c>
      <c r="W1156" s="223"/>
      <c r="X1156" s="223" t="str">
        <f t="array" ref="X1156:X1157">{"MARTIALL17";((IF("17"=(INDEX(ALLCLASSDATA,MATCH("MartialLegendary",CLASSFEATUREHEADERS,0),MATCH($A1157,CLASSNAMEHEADERS,0))),(INDEX(ALLCLASSDATA,MATCH("MartialLegendary",CLASSFEATUREHEADERS,0),MATCH(($A1157 &amp; "Points"),CLASSNAMEHEADERS,0))),(IF("17"=(INDEX(ALLCLASSDATA,MATCH("MartialMaster",CLASSFEATUREHEADERS,0),MATCH($A1157,CLASSNAMEHEADERS,0))),(INDEX(ALLCLASSDATA,MATCH("MartialMaster",CLASSFEATUREHEADERS,0),MATCH(($A1157 &amp; "Points"),CLASSNAMEHEADERS,0))),(IF("17"=(INDEX(ALLCLASSDATA,MATCH("MartialExpert",CLASSFEATUREHEADERS,0),MATCH($A1157,CLASSNAMEHEADERS,0))),(INDEX(ALLCLASSDATA,MATCH("MartialExpert",CLASSFEATUREHEADERS,0),MATCH(($A1157 &amp; "Points"),CLASSNAMEHEADERS,0))),(IF("17"=(INDEX(ALLCLASSDATA,MATCH("MartialTrained",CLASSFEATUREHEADERS,0),MATCH($A1157,CLASSNAMEHEADERS,0))),(INDEX(ALLCLASSDATA,MATCH("MartialTrained",CLASSFEATUREHEADERS,0),MATCH(($A1157 &amp; "Points"),CLASSNAMEHEADERS,0))),"")))))))))}</f>
        <v>MARTIALL17</v>
      </c>
      <c r="Y1156" s="223"/>
      <c r="Z1156" s="223" t="str">
        <f t="array" ref="Z1156:Z1157">{"MARTIALL19";((IF("19"=(INDEX(ALLCLASSDATA,MATCH("MartialLegendary",CLASSFEATUREHEADERS,0),MATCH($A1157,CLASSNAMEHEADERS,0))),(INDEX(ALLCLASSDATA,MATCH("MartialLegendary",CLASSFEATUREHEADERS,0),MATCH(($A1157 &amp; "Points"),CLASSNAMEHEADERS,0))),(IF("19"=(INDEX(ALLCLASSDATA,MATCH("MartialMaster",CLASSFEATUREHEADERS,0),MATCH($A1157,CLASSNAMEHEADERS,0))),(INDEX(ALLCLASSDATA,MATCH("MartialMaster",CLASSFEATUREHEADERS,0),MATCH(($A1157 &amp; "Points"),CLASSNAMEHEADERS,0))),(IF("19"=(INDEX(ALLCLASSDATA,MATCH("MartialExpert",CLASSFEATUREHEADERS,0),MATCH($A1157,CLASSNAMEHEADERS,0))),(INDEX(ALLCLASSDATA,MATCH("MartialExpert",CLASSFEATUREHEADERS,0),MATCH(($A1157 &amp; "Points"),CLASSNAMEHEADERS,0))),(IF("19"=(INDEX(ALLCLASSDATA,MATCH("MartialTrained",CLASSFEATUREHEADERS,0),MATCH($A1157,CLASSNAMEHEADERS,0))),(INDEX(ALLCLASSDATA,MATCH("MartialTrained",CLASSFEATUREHEADERS,0),MATCH(($A1157 &amp; "Points"),CLASSNAMEHEADERS,0))),"")))))))))}</f>
        <v>MARTIALL19</v>
      </c>
      <c r="AA1156" s="223"/>
      <c r="AB1156" s="76" t="str">
        <f t="array" ref="AB1156:AB1157">{"MARTIAL TOTAL";(IF(COUNTBLANK(G1157:AA1157)=17,"L",(IF(COUNTBLANK(G1157:AA1157)=18,"M",(IF(COUNTBLANK(G1157:AA1157)=19,"E",(IF(COUNTBLANK(G1157:AA1157)=20,"T",""))))))))}</f>
        <v>MARTIAL TOTAL</v>
      </c>
      <c r="AC1156" s="76" t="str">
        <f t="array" ref="AC1156:AC1157">{"MARTIAL TOTAL";(sum(G1157:AA1157))}</f>
        <v>MARTIAL TOTAL</v>
      </c>
    </row>
    <row r="1157">
      <c r="A1157" s="48" t="s">
        <v>195</v>
      </c>
      <c r="B1157" s="48"/>
      <c r="C1157" s="48" t="s">
        <v>417</v>
      </c>
      <c r="D1157" s="48" t="s">
        <v>1634</v>
      </c>
      <c r="E1157" s="48" t="s">
        <v>6</v>
      </c>
      <c r="F1157" s="5" t="s">
        <v>603</v>
      </c>
      <c r="G1157" s="47" t="s">
        <v>603</v>
      </c>
      <c r="H1157" s="5" t="s">
        <v>603</v>
      </c>
      <c r="I1157" s="5"/>
      <c r="J1157" s="5" t="s">
        <v>603</v>
      </c>
      <c r="K1157" s="5"/>
      <c r="L1157" s="5" t="s">
        <v>603</v>
      </c>
      <c r="M1157" s="5"/>
      <c r="N1157" s="5" t="s">
        <v>603</v>
      </c>
      <c r="O1157" s="5"/>
      <c r="P1157" s="5" t="s">
        <v>603</v>
      </c>
      <c r="Q1157" s="48"/>
      <c r="R1157" s="5" t="s">
        <v>603</v>
      </c>
      <c r="S1157" s="5"/>
      <c r="T1157" s="5" t="s">
        <v>603</v>
      </c>
      <c r="U1157" s="5"/>
      <c r="V1157" s="5" t="s">
        <v>603</v>
      </c>
      <c r="W1157" s="5"/>
      <c r="X1157" s="5" t="s">
        <v>603</v>
      </c>
      <c r="Y1157" s="5"/>
      <c r="Z1157" s="5" t="s">
        <v>603</v>
      </c>
      <c r="AA1157" s="5"/>
      <c r="AB1157" s="5" t="s">
        <v>603</v>
      </c>
      <c r="AC1157" s="47">
        <v>0.0</v>
      </c>
    </row>
    <row r="1158" hidden="1">
      <c r="A1158" s="222" t="str">
        <f t="array" ref="A1158:A1159">{"FormulaRow32";(INDEX(CLASSLIST,A1095,1))}</f>
        <v>FormulaRow32</v>
      </c>
      <c r="B1158" s="77" t="s">
        <v>236</v>
      </c>
      <c r="C1158" s="222" t="str">
        <f t="array" ref="C1158:C1159">{"CLASSTYPE";((INDEX(ALLCLASSDATA,MATCH("ClassType",CLASSFEATUREHEADERS,0),MATCH($A1159,CLASSNAMEHEADERS,0))))}</f>
        <v>CLASSTYPE</v>
      </c>
      <c r="D1158" s="222" t="str">
        <f t="array" ref="D1158:D1159">{"ATTACK";"Attack"}</f>
        <v>ATTACK</v>
      </c>
      <c r="E1158" s="222" t="str">
        <f t="array" ref="E1158:E1159">{"ADVANCEDGROUP";"AdvancedGroup"}</f>
        <v>ADVANCEDGROUP</v>
      </c>
      <c r="F1158" s="223" t="str">
        <f t="array" ref="F1158:F1159">{"ADVANCEDGROUPINITIAL";((IF(H1159=10,"T",(IF(H1159=50,"E","")))))}</f>
        <v>ADVANCEDGROUPINITIAL</v>
      </c>
      <c r="G1158" s="223" t="str">
        <f t="array" ref="G1158:G1159">{"ADVANCEDGROUPINITIALPTS";((IF("00"=(INDEX(ALLCLASSDATA,MATCH("AdvancedGroupLegendary",CLASSFEATUREHEADERS,0),MATCH($A1159,CLASSNAMEHEADERS,0))),(INDEX(ALLCLASSDATA,MATCH("AdvancedGroupLegendary",CLASSFEATUREHEADERS,0),MATCH(($A1159 &amp; "Points"),CLASSNAMEHEADERS,0))),(IF("00"=(INDEX(ALLCLASSDATA,MATCH("AdvancedGroupMaster",CLASSFEATUREHEADERS,0),MATCH($A1159,CLASSNAMEHEADERS,0))),(INDEX(ALLCLASSDATA,MATCH("AdvancedGroupMaster",CLASSFEATUREHEADERS,0),MATCH(($A1159 &amp; "Points"),CLASSNAMEHEADERS,0))),(IF("00"=(INDEX(ALLCLASSDATA,MATCH("AdvancedGroupExpert",CLASSFEATUREHEADERS,0),MATCH($A1159,CLASSNAMEHEADERS,0))),(INDEX(ALLCLASSDATA,MATCH("AdvancedGroupExpert",CLASSFEATUREHEADERS,0),MATCH(($A1159 &amp; "Points"),CLASSNAMEHEADERS,0))),(IF("00"=(INDEX(ALLCLASSDATA,MATCH("AdvancedGroupTrained",CLASSFEATUREHEADERS,0),MATCH($A1159,CLASSNAMEHEADERS,0))),(INDEX(ALLCLASSDATA,MATCH("AdvancedGroupTrained",CLASSFEATUREHEADERS,0),MATCH(($A1159 &amp; "Points"),CLASSNAMEHEADERS,0))),"")))))))))}</f>
        <v>ADVANCEDGROUPINITIALPTS</v>
      </c>
      <c r="H1158" s="223" t="str">
        <f t="array" ref="H1158:H1159">{"ADVANCEDGROUPL01";((IF("01"=(INDEX(ALLCLASSDATA,MATCH("AdvancedGroupLegendary",CLASSFEATUREHEADERS,0),MATCH($A1159,CLASSNAMEHEADERS,0))),(INDEX(ALLCLASSDATA,MATCH("AdvancedGroupLegendary",CLASSFEATUREHEADERS,0),MATCH(($A1159 &amp; "Points"),CLASSNAMEHEADERS,0))),(IF("01"=(INDEX(ALLCLASSDATA,MATCH("AdvancedGroupMaster",CLASSFEATUREHEADERS,0),MATCH($A1159,CLASSNAMEHEADERS,0))),(INDEX(ALLCLASSDATA,MATCH("AdvancedGroupMaster",CLASSFEATUREHEADERS,0),MATCH(($A1159 &amp; "Points"),CLASSNAMEHEADERS,0))),(IF("01"=(INDEX(ALLCLASSDATA,MATCH("AdvancedGroupExpert",CLASSFEATUREHEADERS,0),MATCH($A1159,CLASSNAMEHEADERS,0))),(INDEX(ALLCLASSDATA,MATCH("AdvancedGroupExpert",CLASSFEATUREHEADERS,0),MATCH(($A1159 &amp; "Points"),CLASSNAMEHEADERS,0))),(IF("01"=(INDEX(ALLCLASSDATA,MATCH("AdvancedGroupTrained",CLASSFEATUREHEADERS,0),MATCH($A1159,CLASSNAMEHEADERS,0))),(INDEX(ALLCLASSDATA,MATCH("AdvancedGroupTrained",CLASSFEATUREHEADERS,0),MATCH(($A1159 &amp; "Points"),CLASSNAMEHEADERS,0))),"")))))))))}</f>
        <v>ADVANCEDGROUPL01</v>
      </c>
      <c r="I1158" s="223"/>
      <c r="J1158" s="223" t="str">
        <f t="array" ref="J1158:J1159">{"ADVANCEDGROUPL03";((IF("03"=(INDEX(ALLCLASSDATA,MATCH("AdvancedGroupLegendary",CLASSFEATUREHEADERS,0),MATCH($A1159,CLASSNAMEHEADERS,0))),(INDEX(ALLCLASSDATA,MATCH("AdvancedGroupLegendary",CLASSFEATUREHEADERS,0),MATCH(($A1159 &amp; "Points"),CLASSNAMEHEADERS,0))),(IF("03"=(INDEX(ALLCLASSDATA,MATCH("AdvancedGroupMaster",CLASSFEATUREHEADERS,0),MATCH($A1159,CLASSNAMEHEADERS,0))),(INDEX(ALLCLASSDATA,MATCH("AdvancedGroupMaster",CLASSFEATUREHEADERS,0),MATCH(($A1159 &amp; "Points"),CLASSNAMEHEADERS,0))),(IF("03"=(INDEX(ALLCLASSDATA,MATCH("AdvancedGroupExpert",CLASSFEATUREHEADERS,0),MATCH($A1159,CLASSNAMEHEADERS,0))),(INDEX(ALLCLASSDATA,MATCH("AdvancedGroupExpert",CLASSFEATUREHEADERS,0),MATCH(($A1159 &amp; "Points"),CLASSNAMEHEADERS,0))),(IF("03"=(INDEX(ALLCLASSDATA,MATCH("AdvancedGroupTrained",CLASSFEATUREHEADERS,0),MATCH($A1159,CLASSNAMEHEADERS,0))),(INDEX(ALLCLASSDATA,MATCH("AdvancedGroupTrained",CLASSFEATUREHEADERS,0),MATCH(($A1159 &amp; "Points"),CLASSNAMEHEADERS,0))),"")))))))))}</f>
        <v>ADVANCEDGROUPL03</v>
      </c>
      <c r="K1158" s="223"/>
      <c r="L1158" s="223" t="str">
        <f t="array" ref="L1158:L1159">{"ADVANCEDGROUPL05";((IF("05"=(INDEX(ALLCLASSDATA,MATCH("AdvancedGroupLegendary",CLASSFEATUREHEADERS,0),MATCH($A1159,CLASSNAMEHEADERS,0))),(INDEX(ALLCLASSDATA,MATCH("AdvancedGroupLegendary",CLASSFEATUREHEADERS,0),MATCH(($A1159 &amp; "Points"),CLASSNAMEHEADERS,0))),(IF("05"=(INDEX(ALLCLASSDATA,MATCH("AdvancedGroupMaster",CLASSFEATUREHEADERS,0),MATCH($A1159,CLASSNAMEHEADERS,0))),(INDEX(ALLCLASSDATA,MATCH("AdvancedGroupMaster",CLASSFEATUREHEADERS,0),MATCH(($A1159 &amp; "Points"),CLASSNAMEHEADERS,0))),(IF("05"=(INDEX(ALLCLASSDATA,MATCH("AdvancedGroupExpert",CLASSFEATUREHEADERS,0),MATCH($A1159,CLASSNAMEHEADERS,0))),(INDEX(ALLCLASSDATA,MATCH("AdvancedGroupExpert",CLASSFEATUREHEADERS,0),MATCH(($A1159 &amp; "Points"),CLASSNAMEHEADERS,0))),(IF("05"=(INDEX(ALLCLASSDATA,MATCH("AdvancedGroupTrained",CLASSFEATUREHEADERS,0),MATCH($A1159,CLASSNAMEHEADERS,0))),(INDEX(ALLCLASSDATA,MATCH("AdvancedGroupTrained",CLASSFEATUREHEADERS,0),MATCH(($A1159 &amp; "Points"),CLASSNAMEHEADERS,0))),"")))))))))}</f>
        <v>ADVANCEDGROUPL05</v>
      </c>
      <c r="M1158" s="223"/>
      <c r="N1158" s="223" t="str">
        <f t="array" ref="N1158:N1159">{"ADVANCEDGROUPL07";((IF("07"=(INDEX(ALLCLASSDATA,MATCH("AdvancedGroupLegendary",CLASSFEATUREHEADERS,0),MATCH($A1159,CLASSNAMEHEADERS,0))),(INDEX(ALLCLASSDATA,MATCH("AdvancedGroupLegendary",CLASSFEATUREHEADERS,0),MATCH(($A1159 &amp; "Points"),CLASSNAMEHEADERS,0))),(IF("07"=(INDEX(ALLCLASSDATA,MATCH("AdvancedGroupMaster",CLASSFEATUREHEADERS,0),MATCH($A1159,CLASSNAMEHEADERS,0))),(INDEX(ALLCLASSDATA,MATCH("AdvancedGroupMaster",CLASSFEATUREHEADERS,0),MATCH(($A1159 &amp; "Points"),CLASSNAMEHEADERS,0))),(IF("07"=(INDEX(ALLCLASSDATA,MATCH("AdvancedGroupExpert",CLASSFEATUREHEADERS,0),MATCH($A1159,CLASSNAMEHEADERS,0))),(INDEX(ALLCLASSDATA,MATCH("AdvancedGroupExpert",CLASSFEATUREHEADERS,0),MATCH(($A1159 &amp; "Points"),CLASSNAMEHEADERS,0))),(IF("07"=(INDEX(ALLCLASSDATA,MATCH("AdvancedGroupTrained",CLASSFEATUREHEADERS,0),MATCH($A1159,CLASSNAMEHEADERS,0))),(INDEX(ALLCLASSDATA,MATCH("AdvancedGroupTrained",CLASSFEATUREHEADERS,0),MATCH(($A1159 &amp; "Points"),CLASSNAMEHEADERS,0))),"")))))))))}</f>
        <v>ADVANCEDGROUPL07</v>
      </c>
      <c r="O1158" s="223"/>
      <c r="P1158" s="223" t="str">
        <f t="array" ref="P1158:P1159">{"ADVANCEDGROUPL09";((IF("09"=(INDEX(ALLCLASSDATA,MATCH("AdvancedGroupLegendary",CLASSFEATUREHEADERS,0),MATCH($A1159,CLASSNAMEHEADERS,0))),(INDEX(ALLCLASSDATA,MATCH("AdvancedGroupLegendary",CLASSFEATUREHEADERS,0),MATCH(($A1159 &amp; "Points"),CLASSNAMEHEADERS,0))),(IF("09"=(INDEX(ALLCLASSDATA,MATCH("AdvancedGroupMaster",CLASSFEATUREHEADERS,0),MATCH($A1159,CLASSNAMEHEADERS,0))),(INDEX(ALLCLASSDATA,MATCH("AdvancedGroupMaster",CLASSFEATUREHEADERS,0),MATCH(($A1159 &amp; "Points"),CLASSNAMEHEADERS,0))),(IF("09"=(INDEX(ALLCLASSDATA,MATCH("AdvancedGroupExpert",CLASSFEATUREHEADERS,0),MATCH($A1159,CLASSNAMEHEADERS,0))),(INDEX(ALLCLASSDATA,MATCH("AdvancedGroupExpert",CLASSFEATUREHEADERS,0),MATCH(($A1159 &amp; "Points"),CLASSNAMEHEADERS,0))),(IF("09"=(INDEX(ALLCLASSDATA,MATCH("AdvancedGroupTrained",CLASSFEATUREHEADERS,0),MATCH($A1159,CLASSNAMEHEADERS,0))),(INDEX(ALLCLASSDATA,MATCH("AdvancedGroupTrained",CLASSFEATUREHEADERS,0),MATCH(($A1159 &amp; "Points"),CLASSNAMEHEADERS,0))),"")))))))))}</f>
        <v>ADVANCEDGROUPL09</v>
      </c>
      <c r="Q1158" s="223"/>
      <c r="R1158" s="223" t="str">
        <f t="array" ref="R1158:R1159">{"ADVANCEDGROUPL11";((IF("11"=(INDEX(ALLCLASSDATA,MATCH("AdvancedGroupLegendary",CLASSFEATUREHEADERS,0),MATCH($A1159,CLASSNAMEHEADERS,0))),(INDEX(ALLCLASSDATA,MATCH("AdvancedGroupLegendary",CLASSFEATUREHEADERS,0),MATCH(($A1159 &amp; "Points"),CLASSNAMEHEADERS,0))),(IF("11"=(INDEX(ALLCLASSDATA,MATCH("AdvancedGroupMaster",CLASSFEATUREHEADERS,0),MATCH($A1159,CLASSNAMEHEADERS,0))),(INDEX(ALLCLASSDATA,MATCH("AdvancedGroupMaster",CLASSFEATUREHEADERS,0),MATCH(($A1159 &amp; "Points"),CLASSNAMEHEADERS,0))),(IF("11"=(INDEX(ALLCLASSDATA,MATCH("AdvancedGroupExpert",CLASSFEATUREHEADERS,0),MATCH($A1159,CLASSNAMEHEADERS,0))),(INDEX(ALLCLASSDATA,MATCH("AdvancedGroupExpert",CLASSFEATUREHEADERS,0),MATCH(($A1159 &amp; "Points"),CLASSNAMEHEADERS,0))),(IF("11"=(INDEX(ALLCLASSDATA,MATCH("AdvancedGroupTrained",CLASSFEATUREHEADERS,0),MATCH($A1159,CLASSNAMEHEADERS,0))),(INDEX(ALLCLASSDATA,MATCH("AdvancedGroupTrained",CLASSFEATUREHEADERS,0),MATCH(($A1159 &amp; "Points"),CLASSNAMEHEADERS,0))),"")))))))))}</f>
        <v>ADVANCEDGROUPL11</v>
      </c>
      <c r="S1158" s="223"/>
      <c r="T1158" s="223" t="str">
        <f t="array" ref="T1158:T1159">{"ADVANCEDGROUPL13";((IF("13"=(INDEX(ALLCLASSDATA,MATCH("AdvancedGroupLegendary",CLASSFEATUREHEADERS,0),MATCH($A1159,CLASSNAMEHEADERS,0))),(INDEX(ALLCLASSDATA,MATCH("AdvancedGroupLegendary",CLASSFEATUREHEADERS,0),MATCH(($A1159 &amp; "Points"),CLASSNAMEHEADERS,0))),(IF("13"=(INDEX(ALLCLASSDATA,MATCH("AdvancedGroupMaster",CLASSFEATUREHEADERS,0),MATCH($A1159,CLASSNAMEHEADERS,0))),(INDEX(ALLCLASSDATA,MATCH("AdvancedGroupMaster",CLASSFEATUREHEADERS,0),MATCH(($A1159 &amp; "Points"),CLASSNAMEHEADERS,0))),(IF("13"=(INDEX(ALLCLASSDATA,MATCH("AdvancedGroupExpert",CLASSFEATUREHEADERS,0),MATCH($A1159,CLASSNAMEHEADERS,0))),(INDEX(ALLCLASSDATA,MATCH("AdvancedGroupExpert",CLASSFEATUREHEADERS,0),MATCH(($A1159 &amp; "Points"),CLASSNAMEHEADERS,0))),(IF("13"=(INDEX(ALLCLASSDATA,MATCH("AdvancedGroupTrained",CLASSFEATUREHEADERS,0),MATCH($A1159,CLASSNAMEHEADERS,0))),(INDEX(ALLCLASSDATA,MATCH("AdvancedGroupTrained",CLASSFEATUREHEADERS,0),MATCH(($A1159 &amp; "Points"),CLASSNAMEHEADERS,0))),"")))))))))}</f>
        <v>ADVANCEDGROUPL13</v>
      </c>
      <c r="U1158" s="223"/>
      <c r="V1158" s="223" t="str">
        <f t="array" ref="V1158:V1159">{"ADVANCEDGROUPL15";((IF("15"=(INDEX(ALLCLASSDATA,MATCH("AdvancedGroupLegendary",CLASSFEATUREHEADERS,0),MATCH($A1159,CLASSNAMEHEADERS,0))),(INDEX(ALLCLASSDATA,MATCH("AdvancedGroupLegendary",CLASSFEATUREHEADERS,0),MATCH(($A1159 &amp; "Points"),CLASSNAMEHEADERS,0))),(IF("15"=(INDEX(ALLCLASSDATA,MATCH("AdvancedGroupMaster",CLASSFEATUREHEADERS,0),MATCH($A1159,CLASSNAMEHEADERS,0))),(INDEX(ALLCLASSDATA,MATCH("AdvancedGroupMaster",CLASSFEATUREHEADERS,0),MATCH(($A1159 &amp; "Points"),CLASSNAMEHEADERS,0))),(IF("15"=(INDEX(ALLCLASSDATA,MATCH("AdvancedGroupExpert",CLASSFEATUREHEADERS,0),MATCH($A1159,CLASSNAMEHEADERS,0))),(INDEX(ALLCLASSDATA,MATCH("AdvancedGroupExpert",CLASSFEATUREHEADERS,0),MATCH(($A1159 &amp; "Points"),CLASSNAMEHEADERS,0))),(IF("15"=(INDEX(ALLCLASSDATA,MATCH("AdvancedGroupTrained",CLASSFEATUREHEADERS,0),MATCH($A1159,CLASSNAMEHEADERS,0))),(INDEX(ALLCLASSDATA,MATCH("AdvancedGroupTrained",CLASSFEATUREHEADERS,0),MATCH(($A1159 &amp; "Points"),CLASSNAMEHEADERS,0))),"")))))))))}</f>
        <v>ADVANCEDGROUPL15</v>
      </c>
      <c r="W1158" s="223"/>
      <c r="X1158" s="223" t="str">
        <f t="array" ref="X1158:X1159">{"ADVANCEDGROUPL17";((IF("17"=(INDEX(ALLCLASSDATA,MATCH("AdvancedGroupLegendary",CLASSFEATUREHEADERS,0),MATCH($A1159,CLASSNAMEHEADERS,0))),(INDEX(ALLCLASSDATA,MATCH("AdvancedGroupLegendary",CLASSFEATUREHEADERS,0),MATCH(($A1159 &amp; "Points"),CLASSNAMEHEADERS,0))),(IF("17"=(INDEX(ALLCLASSDATA,MATCH("AdvancedGroupMaster",CLASSFEATUREHEADERS,0),MATCH($A1159,CLASSNAMEHEADERS,0))),(INDEX(ALLCLASSDATA,MATCH("AdvancedGroupMaster",CLASSFEATUREHEADERS,0),MATCH(($A1159 &amp; "Points"),CLASSNAMEHEADERS,0))),(IF("17"=(INDEX(ALLCLASSDATA,MATCH("AdvancedGroupExpert",CLASSFEATUREHEADERS,0),MATCH($A1159,CLASSNAMEHEADERS,0))),(INDEX(ALLCLASSDATA,MATCH("AdvancedGroupExpert",CLASSFEATUREHEADERS,0),MATCH(($A1159 &amp; "Points"),CLASSNAMEHEADERS,0))),(IF("17"=(INDEX(ALLCLASSDATA,MATCH("AdvancedGroupTrained",CLASSFEATUREHEADERS,0),MATCH($A1159,CLASSNAMEHEADERS,0))),(INDEX(ALLCLASSDATA,MATCH("AdvancedGroupTrained",CLASSFEATUREHEADERS,0),MATCH(($A1159 &amp; "Points"),CLASSNAMEHEADERS,0))),"")))))))))}</f>
        <v>ADVANCEDGROUPL17</v>
      </c>
      <c r="Y1158" s="223"/>
      <c r="Z1158" s="223" t="str">
        <f t="array" ref="Z1158:Z1159">{"ADVANCEDGROUPL19";((IF("19"=(INDEX(ALLCLASSDATA,MATCH("AdvancedGroupLegendary",CLASSFEATUREHEADERS,0),MATCH($A1159,CLASSNAMEHEADERS,0))),(INDEX(ALLCLASSDATA,MATCH("AdvancedGroupLegendary",CLASSFEATUREHEADERS,0),MATCH(($A1159 &amp; "Points"),CLASSNAMEHEADERS,0))),(IF("19"=(INDEX(ALLCLASSDATA,MATCH("AdvancedGroupMaster",CLASSFEATUREHEADERS,0),MATCH($A1159,CLASSNAMEHEADERS,0))),(INDEX(ALLCLASSDATA,MATCH("AdvancedGroupMaster",CLASSFEATUREHEADERS,0),MATCH(($A1159 &amp; "Points"),CLASSNAMEHEADERS,0))),(IF("19"=(INDEX(ALLCLASSDATA,MATCH("AdvancedGroupExpert",CLASSFEATUREHEADERS,0),MATCH($A1159,CLASSNAMEHEADERS,0))),(INDEX(ALLCLASSDATA,MATCH("AdvancedGroupExpert",CLASSFEATUREHEADERS,0),MATCH(($A1159 &amp; "Points"),CLASSNAMEHEADERS,0))),(IF("19"=(INDEX(ALLCLASSDATA,MATCH("AdvancedGroupTrained",CLASSFEATUREHEADERS,0),MATCH($A1159,CLASSNAMEHEADERS,0))),(INDEX(ALLCLASSDATA,MATCH("AdvancedGroupTrained",CLASSFEATUREHEADERS,0),MATCH(($A1159 &amp; "Points"),CLASSNAMEHEADERS,0))),"")))))))))}</f>
        <v>ADVANCEDGROUPL19</v>
      </c>
      <c r="AA1158" s="223"/>
      <c r="AB1158" s="76" t="str">
        <f t="array" ref="AB1158:AB1159">{"ADVANCEDGROUP TOTAL";(IF(COUNTBLANK(G1159:AA1159)=17,"L",(IF(COUNTBLANK(G1159:AA1159)=18,"M",(IF(COUNTBLANK(G1159:AA1159)=19,"E",(IF(COUNTBLANK(G1159:AA1159)=20,"T",""))))))))}</f>
        <v>ADVANCEDGROUP TOTAL</v>
      </c>
      <c r="AC1158" s="76" t="str">
        <f t="array" ref="AC1158:AC1159">{"ADVANCEDGROUP TOTAL";(sum(G1159:AA1159))}</f>
        <v>ADVANCEDGROUP TOTAL</v>
      </c>
    </row>
    <row r="1159">
      <c r="A1159" s="48" t="s">
        <v>195</v>
      </c>
      <c r="B1159" s="48"/>
      <c r="C1159" s="48" t="s">
        <v>417</v>
      </c>
      <c r="D1159" s="48" t="s">
        <v>1634</v>
      </c>
      <c r="E1159" s="48" t="s">
        <v>601</v>
      </c>
      <c r="F1159" s="5" t="s">
        <v>603</v>
      </c>
      <c r="G1159" s="47" t="s">
        <v>603</v>
      </c>
      <c r="H1159" s="5" t="s">
        <v>603</v>
      </c>
      <c r="I1159" s="5"/>
      <c r="J1159" s="5" t="s">
        <v>603</v>
      </c>
      <c r="K1159" s="5"/>
      <c r="L1159" s="5" t="s">
        <v>603</v>
      </c>
      <c r="M1159" s="5"/>
      <c r="N1159" s="5" t="s">
        <v>603</v>
      </c>
      <c r="O1159" s="5"/>
      <c r="P1159" s="5" t="s">
        <v>603</v>
      </c>
      <c r="Q1159" s="5"/>
      <c r="R1159" s="5" t="s">
        <v>603</v>
      </c>
      <c r="S1159" s="5"/>
      <c r="T1159" s="5" t="s">
        <v>603</v>
      </c>
      <c r="U1159" s="5"/>
      <c r="V1159" s="5" t="s">
        <v>603</v>
      </c>
      <c r="W1159" s="5"/>
      <c r="X1159" s="5" t="s">
        <v>603</v>
      </c>
      <c r="Y1159" s="5"/>
      <c r="Z1159" s="5" t="s">
        <v>603</v>
      </c>
      <c r="AA1159" s="5"/>
      <c r="AB1159" s="5" t="s">
        <v>603</v>
      </c>
      <c r="AC1159" s="47">
        <v>0.0</v>
      </c>
    </row>
    <row r="1160" hidden="1">
      <c r="A1160" s="222" t="str">
        <f t="array" ref="A1160:A1161">{"FormulaRow33";(INDEX(CLASSLIST,A1095,1))}</f>
        <v>FormulaRow33</v>
      </c>
      <c r="B1160" s="77" t="s">
        <v>236</v>
      </c>
      <c r="C1160" s="222" t="str">
        <f t="array" ref="C1160:C1161">{"CLASSTYPE";((INDEX(ALLCLASSDATA,MATCH("ClassType",CLASSFEATUREHEADERS,0),MATCH($A1161,CLASSNAMEHEADERS,0))))}</f>
        <v>CLASSTYPE</v>
      </c>
      <c r="D1160" s="222" t="str">
        <f t="array" ref="D1160:D1161">{"ATTACK";"Attack"}</f>
        <v>ATTACK</v>
      </c>
      <c r="E1160" s="222" t="str">
        <f t="array" ref="E1160:E1161">{"ADVANCED";"Advanced"}</f>
        <v>ADVANCED</v>
      </c>
      <c r="F1160" s="223" t="str">
        <f t="array" ref="F1160:F1161">{"ADVANCEDINITIAL";((IF(H1161=10,"T",(IF(H1161=50,"E","")))))}</f>
        <v>ADVANCEDINITIAL</v>
      </c>
      <c r="G1160" s="223" t="str">
        <f t="array" ref="G1160:G1161">{"ADVANCEDINITIALPTS";((IF("00"=(INDEX(ALLCLASSDATA,MATCH("AdvancedLegendary",CLASSFEATUREHEADERS,0),MATCH($A1161,CLASSNAMEHEADERS,0))),(INDEX(ALLCLASSDATA,MATCH("AdvancedLegendary",CLASSFEATUREHEADERS,0),MATCH(($A1161 &amp; "Points"),CLASSNAMEHEADERS,0))),(IF("00"=(INDEX(ALLCLASSDATA,MATCH("AdvancedMaster",CLASSFEATUREHEADERS,0),MATCH($A1161,CLASSNAMEHEADERS,0))),(INDEX(ALLCLASSDATA,MATCH("AdvancedMaster",CLASSFEATUREHEADERS,0),MATCH(($A1161 &amp; "Points"),CLASSNAMEHEADERS,0))),(IF("00"=(INDEX(ALLCLASSDATA,MATCH("AdvancedExpert",CLASSFEATUREHEADERS,0),MATCH($A1161,CLASSNAMEHEADERS,0))),(INDEX(ALLCLASSDATA,MATCH("AdvancedExpert",CLASSFEATUREHEADERS,0),MATCH(($A1161 &amp; "Points"),CLASSNAMEHEADERS,0))),(IF("00"=(INDEX(ALLCLASSDATA,MATCH("AdvancedTrained",CLASSFEATUREHEADERS,0),MATCH($A1161,CLASSNAMEHEADERS,0))),(INDEX(ALLCLASSDATA,MATCH("AdvancedTrained",CLASSFEATUREHEADERS,0),MATCH(($A1161 &amp; "Points"),CLASSNAMEHEADERS,0))),"")))))))))}</f>
        <v>ADVANCEDINITIALPTS</v>
      </c>
      <c r="H1160" s="223" t="str">
        <f t="array" ref="H1160:H1161">{"ADVANCEDL01";((IF("01"=(INDEX(ALLCLASSDATA,MATCH("AdvancedLegendary",CLASSFEATUREHEADERS,0),MATCH($A1161,CLASSNAMEHEADERS,0))),(INDEX(ALLCLASSDATA,MATCH("AdvancedLegendary",CLASSFEATUREHEADERS,0),MATCH(($A1161 &amp; "Points"),CLASSNAMEHEADERS,0))),(IF("01"=(INDEX(ALLCLASSDATA,MATCH("AdvancedMaster",CLASSFEATUREHEADERS,0),MATCH($A1161,CLASSNAMEHEADERS,0))),(INDEX(ALLCLASSDATA,MATCH("AdvancedMaster",CLASSFEATUREHEADERS,0),MATCH(($A1161 &amp; "Points"),CLASSNAMEHEADERS,0))),(IF("01"=(INDEX(ALLCLASSDATA,MATCH("AdvancedExpert",CLASSFEATUREHEADERS,0),MATCH($A1161,CLASSNAMEHEADERS,0))),(INDEX(ALLCLASSDATA,MATCH("AdvancedExpert",CLASSFEATUREHEADERS,0),MATCH(($A1161 &amp; "Points"),CLASSNAMEHEADERS,0))),(IF("01"=(INDEX(ALLCLASSDATA,MATCH("AdvancedTrained",CLASSFEATUREHEADERS,0),MATCH($A1161,CLASSNAMEHEADERS,0))),(INDEX(ALLCLASSDATA,MATCH("AdvancedTrained",CLASSFEATUREHEADERS,0),MATCH(($A1161 &amp; "Points"),CLASSNAMEHEADERS,0))),"")))))))))}</f>
        <v>ADVANCEDL01</v>
      </c>
      <c r="I1160" s="223"/>
      <c r="J1160" s="223" t="str">
        <f t="array" ref="J1160:J1161">{"ADVANCEDL03";((IF("03"=(INDEX(ALLCLASSDATA,MATCH("AdvancedLegendary",CLASSFEATUREHEADERS,0),MATCH($A1161,CLASSNAMEHEADERS,0))),(INDEX(ALLCLASSDATA,MATCH("AdvancedLegendary",CLASSFEATUREHEADERS,0),MATCH(($A1161 &amp; "Points"),CLASSNAMEHEADERS,0))),(IF("03"=(INDEX(ALLCLASSDATA,MATCH("AdvancedMaster",CLASSFEATUREHEADERS,0),MATCH($A1161,CLASSNAMEHEADERS,0))),(INDEX(ALLCLASSDATA,MATCH("AdvancedMaster",CLASSFEATUREHEADERS,0),MATCH(($A1161 &amp; "Points"),CLASSNAMEHEADERS,0))),(IF("03"=(INDEX(ALLCLASSDATA,MATCH("AdvancedExpert",CLASSFEATUREHEADERS,0),MATCH($A1161,CLASSNAMEHEADERS,0))),(INDEX(ALLCLASSDATA,MATCH("AdvancedExpert",CLASSFEATUREHEADERS,0),MATCH(($A1161 &amp; "Points"),CLASSNAMEHEADERS,0))),(IF("03"=(INDEX(ALLCLASSDATA,MATCH("AdvancedTrained",CLASSFEATUREHEADERS,0),MATCH($A1161,CLASSNAMEHEADERS,0))),(INDEX(ALLCLASSDATA,MATCH("AdvancedTrained",CLASSFEATUREHEADERS,0),MATCH(($A1161 &amp; "Points"),CLASSNAMEHEADERS,0))),"")))))))))}</f>
        <v>ADVANCEDL03</v>
      </c>
      <c r="K1160" s="223"/>
      <c r="L1160" s="223" t="str">
        <f t="array" ref="L1160:L1161">{"ADVANCEDL05";((IF("05"=(INDEX(ALLCLASSDATA,MATCH("AdvancedLegendary",CLASSFEATUREHEADERS,0),MATCH($A1161,CLASSNAMEHEADERS,0))),(INDEX(ALLCLASSDATA,MATCH("AdvancedLegendary",CLASSFEATUREHEADERS,0),MATCH(($A1161 &amp; "Points"),CLASSNAMEHEADERS,0))),(IF("05"=(INDEX(ALLCLASSDATA,MATCH("AdvancedMaster",CLASSFEATUREHEADERS,0),MATCH($A1161,CLASSNAMEHEADERS,0))),(INDEX(ALLCLASSDATA,MATCH("AdvancedMaster",CLASSFEATUREHEADERS,0),MATCH(($A1161 &amp; "Points"),CLASSNAMEHEADERS,0))),(IF("05"=(INDEX(ALLCLASSDATA,MATCH("AdvancedExpert",CLASSFEATUREHEADERS,0),MATCH($A1161,CLASSNAMEHEADERS,0))),(INDEX(ALLCLASSDATA,MATCH("AdvancedExpert",CLASSFEATUREHEADERS,0),MATCH(($A1161 &amp; "Points"),CLASSNAMEHEADERS,0))),(IF("05"=(INDEX(ALLCLASSDATA,MATCH("AdvancedTrained",CLASSFEATUREHEADERS,0),MATCH($A1161,CLASSNAMEHEADERS,0))),(INDEX(ALLCLASSDATA,MATCH("AdvancedTrained",CLASSFEATUREHEADERS,0),MATCH(($A1161 &amp; "Points"),CLASSNAMEHEADERS,0))),"")))))))))}</f>
        <v>ADVANCEDL05</v>
      </c>
      <c r="M1160" s="223"/>
      <c r="N1160" s="223" t="str">
        <f t="array" ref="N1160:N1161">{"ADVANCEDL07";((IF("07"=(INDEX(ALLCLASSDATA,MATCH("AdvancedLegendary",CLASSFEATUREHEADERS,0),MATCH($A1161,CLASSNAMEHEADERS,0))),(INDEX(ALLCLASSDATA,MATCH("AdvancedLegendary",CLASSFEATUREHEADERS,0),MATCH(($A1161 &amp; "Points"),CLASSNAMEHEADERS,0))),(IF("07"=(INDEX(ALLCLASSDATA,MATCH("AdvancedMaster",CLASSFEATUREHEADERS,0),MATCH($A1161,CLASSNAMEHEADERS,0))),(INDEX(ALLCLASSDATA,MATCH("AdvancedMaster",CLASSFEATUREHEADERS,0),MATCH(($A1161 &amp; "Points"),CLASSNAMEHEADERS,0))),(IF("07"=(INDEX(ALLCLASSDATA,MATCH("AdvancedExpert",CLASSFEATUREHEADERS,0),MATCH($A1161,CLASSNAMEHEADERS,0))),(INDEX(ALLCLASSDATA,MATCH("AdvancedExpert",CLASSFEATUREHEADERS,0),MATCH(($A1161 &amp; "Points"),CLASSNAMEHEADERS,0))),(IF("07"=(INDEX(ALLCLASSDATA,MATCH("AdvancedTrained",CLASSFEATUREHEADERS,0),MATCH($A1161,CLASSNAMEHEADERS,0))),(INDEX(ALLCLASSDATA,MATCH("AdvancedTrained",CLASSFEATUREHEADERS,0),MATCH(($A1161 &amp; "Points"),CLASSNAMEHEADERS,0))),"")))))))))}</f>
        <v>ADVANCEDL07</v>
      </c>
      <c r="O1160" s="223"/>
      <c r="P1160" s="223" t="str">
        <f t="array" ref="P1160:P1161">{"ADVANCEDL09";((IF("09"=(INDEX(ALLCLASSDATA,MATCH("AdvancedLegendary",CLASSFEATUREHEADERS,0),MATCH($A1161,CLASSNAMEHEADERS,0))),(INDEX(ALLCLASSDATA,MATCH("AdvancedLegendary",CLASSFEATUREHEADERS,0),MATCH(($A1161 &amp; "Points"),CLASSNAMEHEADERS,0))),(IF("09"=(INDEX(ALLCLASSDATA,MATCH("AdvancedMaster",CLASSFEATUREHEADERS,0),MATCH($A1161,CLASSNAMEHEADERS,0))),(INDEX(ALLCLASSDATA,MATCH("AdvancedMaster",CLASSFEATUREHEADERS,0),MATCH(($A1161 &amp; "Points"),CLASSNAMEHEADERS,0))),(IF("09"=(INDEX(ALLCLASSDATA,MATCH("AdvancedExpert",CLASSFEATUREHEADERS,0),MATCH($A1161,CLASSNAMEHEADERS,0))),(INDEX(ALLCLASSDATA,MATCH("AdvancedExpert",CLASSFEATUREHEADERS,0),MATCH(($A1161 &amp; "Points"),CLASSNAMEHEADERS,0))),(IF("09"=(INDEX(ALLCLASSDATA,MATCH("AdvancedTrained",CLASSFEATUREHEADERS,0),MATCH($A1161,CLASSNAMEHEADERS,0))),(INDEX(ALLCLASSDATA,MATCH("AdvancedTrained",CLASSFEATUREHEADERS,0),MATCH(($A1161 &amp; "Points"),CLASSNAMEHEADERS,0))),"")))))))))}</f>
        <v>ADVANCEDL09</v>
      </c>
      <c r="Q1160" s="223"/>
      <c r="R1160" s="223" t="str">
        <f t="array" ref="R1160:R1161">{"ADVANCEDL11";((IF("11"=(INDEX(ALLCLASSDATA,MATCH("AdvancedLegendary",CLASSFEATUREHEADERS,0),MATCH($A1161,CLASSNAMEHEADERS,0))),(INDEX(ALLCLASSDATA,MATCH("AdvancedLegendary",CLASSFEATUREHEADERS,0),MATCH(($A1161 &amp; "Points"),CLASSNAMEHEADERS,0))),(IF("11"=(INDEX(ALLCLASSDATA,MATCH("AdvancedMaster",CLASSFEATUREHEADERS,0),MATCH($A1161,CLASSNAMEHEADERS,0))),(INDEX(ALLCLASSDATA,MATCH("AdvancedMaster",CLASSFEATUREHEADERS,0),MATCH(($A1161 &amp; "Points"),CLASSNAMEHEADERS,0))),(IF("11"=(INDEX(ALLCLASSDATA,MATCH("AdvancedExpert",CLASSFEATUREHEADERS,0),MATCH($A1161,CLASSNAMEHEADERS,0))),(INDEX(ALLCLASSDATA,MATCH("AdvancedExpert",CLASSFEATUREHEADERS,0),MATCH(($A1161 &amp; "Points"),CLASSNAMEHEADERS,0))),(IF("11"=(INDEX(ALLCLASSDATA,MATCH("AdvancedTrained",CLASSFEATUREHEADERS,0),MATCH($A1161,CLASSNAMEHEADERS,0))),(INDEX(ALLCLASSDATA,MATCH("AdvancedTrained",CLASSFEATUREHEADERS,0),MATCH(($A1161 &amp; "Points"),CLASSNAMEHEADERS,0))),"")))))))))}</f>
        <v>ADVANCEDL11</v>
      </c>
      <c r="S1160" s="223"/>
      <c r="T1160" s="223" t="str">
        <f t="array" ref="T1160:T1161">{"ADVANCEDL13";((IF("13"=(INDEX(ALLCLASSDATA,MATCH("AdvancedLegendary",CLASSFEATUREHEADERS,0),MATCH($A1161,CLASSNAMEHEADERS,0))),(INDEX(ALLCLASSDATA,MATCH("AdvancedLegendary",CLASSFEATUREHEADERS,0),MATCH(($A1161 &amp; "Points"),CLASSNAMEHEADERS,0))),(IF("13"=(INDEX(ALLCLASSDATA,MATCH("AdvancedMaster",CLASSFEATUREHEADERS,0),MATCH($A1161,CLASSNAMEHEADERS,0))),(INDEX(ALLCLASSDATA,MATCH("AdvancedMaster",CLASSFEATUREHEADERS,0),MATCH(($A1161 &amp; "Points"),CLASSNAMEHEADERS,0))),(IF("13"=(INDEX(ALLCLASSDATA,MATCH("AdvancedExpert",CLASSFEATUREHEADERS,0),MATCH($A1161,CLASSNAMEHEADERS,0))),(INDEX(ALLCLASSDATA,MATCH("AdvancedExpert",CLASSFEATUREHEADERS,0),MATCH(($A1161 &amp; "Points"),CLASSNAMEHEADERS,0))),(IF("13"=(INDEX(ALLCLASSDATA,MATCH("AdvancedTrained",CLASSFEATUREHEADERS,0),MATCH($A1161,CLASSNAMEHEADERS,0))),(INDEX(ALLCLASSDATA,MATCH("AdvancedTrained",CLASSFEATUREHEADERS,0),MATCH(($A1161 &amp; "Points"),CLASSNAMEHEADERS,0))),"")))))))))}</f>
        <v>ADVANCEDL13</v>
      </c>
      <c r="U1160" s="223"/>
      <c r="V1160" s="223" t="str">
        <f t="array" ref="V1160:V1161">{"ADVANCEDL15";((IF("15"=(INDEX(ALLCLASSDATA,MATCH("AdvancedLegendary",CLASSFEATUREHEADERS,0),MATCH($A1161,CLASSNAMEHEADERS,0))),(INDEX(ALLCLASSDATA,MATCH("AdvancedLegendary",CLASSFEATUREHEADERS,0),MATCH(($A1161 &amp; "Points"),CLASSNAMEHEADERS,0))),(IF("15"=(INDEX(ALLCLASSDATA,MATCH("AdvancedMaster",CLASSFEATUREHEADERS,0),MATCH($A1161,CLASSNAMEHEADERS,0))),(INDEX(ALLCLASSDATA,MATCH("AdvancedMaster",CLASSFEATUREHEADERS,0),MATCH(($A1161 &amp; "Points"),CLASSNAMEHEADERS,0))),(IF("15"=(INDEX(ALLCLASSDATA,MATCH("AdvancedExpert",CLASSFEATUREHEADERS,0),MATCH($A1161,CLASSNAMEHEADERS,0))),(INDEX(ALLCLASSDATA,MATCH("AdvancedExpert",CLASSFEATUREHEADERS,0),MATCH(($A1161 &amp; "Points"),CLASSNAMEHEADERS,0))),(IF("15"=(INDEX(ALLCLASSDATA,MATCH("AdvancedTrained",CLASSFEATUREHEADERS,0),MATCH($A1161,CLASSNAMEHEADERS,0))),(INDEX(ALLCLASSDATA,MATCH("AdvancedTrained",CLASSFEATUREHEADERS,0),MATCH(($A1161 &amp; "Points"),CLASSNAMEHEADERS,0))),"")))))))))}</f>
        <v>ADVANCEDL15</v>
      </c>
      <c r="W1160" s="223"/>
      <c r="X1160" s="223" t="str">
        <f t="array" ref="X1160:X1161">{"ADVANCEDL17";((IF("17"=(INDEX(ALLCLASSDATA,MATCH("AdvancedLegendary",CLASSFEATUREHEADERS,0),MATCH($A1161,CLASSNAMEHEADERS,0))),(INDEX(ALLCLASSDATA,MATCH("AdvancedLegendary",CLASSFEATUREHEADERS,0),MATCH(($A1161 &amp; "Points"),CLASSNAMEHEADERS,0))),(IF("17"=(INDEX(ALLCLASSDATA,MATCH("AdvancedMaster",CLASSFEATUREHEADERS,0),MATCH($A1161,CLASSNAMEHEADERS,0))),(INDEX(ALLCLASSDATA,MATCH("AdvancedMaster",CLASSFEATUREHEADERS,0),MATCH(($A1161 &amp; "Points"),CLASSNAMEHEADERS,0))),(IF("17"=(INDEX(ALLCLASSDATA,MATCH("AdvancedExpert",CLASSFEATUREHEADERS,0),MATCH($A1161,CLASSNAMEHEADERS,0))),(INDEX(ALLCLASSDATA,MATCH("AdvancedExpert",CLASSFEATUREHEADERS,0),MATCH(($A1161 &amp; "Points"),CLASSNAMEHEADERS,0))),(IF("17"=(INDEX(ALLCLASSDATA,MATCH("AdvancedTrained",CLASSFEATUREHEADERS,0),MATCH($A1161,CLASSNAMEHEADERS,0))),(INDEX(ALLCLASSDATA,MATCH("AdvancedTrained",CLASSFEATUREHEADERS,0),MATCH(($A1161 &amp; "Points"),CLASSNAMEHEADERS,0))),"")))))))))}</f>
        <v>ADVANCEDL17</v>
      </c>
      <c r="Y1160" s="223"/>
      <c r="Z1160" s="223" t="str">
        <f t="array" ref="Z1160:Z1161">{"ADVANCEDL19";((IF("19"=(INDEX(ALLCLASSDATA,MATCH("AdvancedLegendary",CLASSFEATUREHEADERS,0),MATCH($A1161,CLASSNAMEHEADERS,0))),(INDEX(ALLCLASSDATA,MATCH("AdvancedLegendary",CLASSFEATUREHEADERS,0),MATCH(($A1161 &amp; "Points"),CLASSNAMEHEADERS,0))),(IF("19"=(INDEX(ALLCLASSDATA,MATCH("AdvancedMaster",CLASSFEATUREHEADERS,0),MATCH($A1161,CLASSNAMEHEADERS,0))),(INDEX(ALLCLASSDATA,MATCH("AdvancedMaster",CLASSFEATUREHEADERS,0),MATCH(($A1161 &amp; "Points"),CLASSNAMEHEADERS,0))),(IF("19"=(INDEX(ALLCLASSDATA,MATCH("AdvancedExpert",CLASSFEATUREHEADERS,0),MATCH($A1161,CLASSNAMEHEADERS,0))),(INDEX(ALLCLASSDATA,MATCH("AdvancedExpert",CLASSFEATUREHEADERS,0),MATCH(($A1161 &amp; "Points"),CLASSNAMEHEADERS,0))),(IF("19"=(INDEX(ALLCLASSDATA,MATCH("AdvancedTrained",CLASSFEATUREHEADERS,0),MATCH($A1161,CLASSNAMEHEADERS,0))),(INDEX(ALLCLASSDATA,MATCH("AdvancedTrained",CLASSFEATUREHEADERS,0),MATCH(($A1161 &amp; "Points"),CLASSNAMEHEADERS,0))),"")))))))))}</f>
        <v>ADVANCEDL19</v>
      </c>
      <c r="AA1160" s="223"/>
      <c r="AB1160" s="76" t="str">
        <f t="array" ref="AB1160:AB1161">{"ADVANCED TOTAL";(IF(COUNTBLANK(G1161:AA1161)=17,"L",(IF(COUNTBLANK(G1161:AA1161)=18,"M",(IF(COUNTBLANK(G1161:AA1161)=19,"E",(IF(COUNTBLANK(G1161:AA1161)=20,"T",""))))))))}</f>
        <v>ADVANCED TOTAL</v>
      </c>
      <c r="AC1160" s="76" t="str">
        <f t="array" ref="AC1160:AC1161">{"ADVANCED TOTAL";(sum(G1161:AA1161))}</f>
        <v>ADVANCED TOTAL</v>
      </c>
    </row>
    <row r="1161">
      <c r="A1161" s="48" t="s">
        <v>195</v>
      </c>
      <c r="B1161" s="48"/>
      <c r="C1161" s="48" t="s">
        <v>417</v>
      </c>
      <c r="D1161" s="97" t="s">
        <v>1634</v>
      </c>
      <c r="E1161" s="97" t="s">
        <v>602</v>
      </c>
      <c r="F1161" s="98" t="s">
        <v>603</v>
      </c>
      <c r="G1161" s="132" t="s">
        <v>603</v>
      </c>
      <c r="H1161" s="98" t="s">
        <v>603</v>
      </c>
      <c r="I1161" s="98"/>
      <c r="J1161" s="98" t="s">
        <v>603</v>
      </c>
      <c r="K1161" s="98"/>
      <c r="L1161" s="98" t="s">
        <v>603</v>
      </c>
      <c r="M1161" s="98"/>
      <c r="N1161" s="98" t="s">
        <v>603</v>
      </c>
      <c r="O1161" s="98"/>
      <c r="P1161" s="98" t="s">
        <v>603</v>
      </c>
      <c r="Q1161" s="98"/>
      <c r="R1161" s="98" t="s">
        <v>603</v>
      </c>
      <c r="S1161" s="98"/>
      <c r="T1161" s="98" t="s">
        <v>603</v>
      </c>
      <c r="U1161" s="98"/>
      <c r="V1161" s="98" t="s">
        <v>603</v>
      </c>
      <c r="W1161" s="98"/>
      <c r="X1161" s="98" t="s">
        <v>603</v>
      </c>
      <c r="Y1161" s="98"/>
      <c r="Z1161" s="98" t="s">
        <v>603</v>
      </c>
      <c r="AA1161" s="98"/>
      <c r="AB1161" s="5" t="s">
        <v>603</v>
      </c>
      <c r="AC1161" s="47">
        <v>0.0</v>
      </c>
    </row>
    <row r="1162" hidden="1">
      <c r="A1162" s="222" t="str">
        <f t="array" ref="A1162:A1163">{"FormulaRow34";(INDEX(CLASSLIST,A1095,1))}</f>
        <v>FormulaRow34</v>
      </c>
      <c r="B1162" s="77" t="s">
        <v>236</v>
      </c>
      <c r="C1162" s="222" t="str">
        <f t="array" ref="C1162:C1163">{"CLASSTYPE";((INDEX(ALLCLASSDATA,MATCH("ClassType",CLASSFEATUREHEADERS,0),MATCH($A1163,CLASSNAMEHEADERS,0))))}</f>
        <v>CLASSTYPE</v>
      </c>
      <c r="D1162" s="222" t="str">
        <f t="array" ref="D1162:D1163">{"DEFENSE";"Defense"}</f>
        <v>DEFENSE</v>
      </c>
      <c r="E1162" s="222" t="str">
        <f t="array" ref="E1162:E1163">{"ARMORSPECIAL";"ArmorAS"}</f>
        <v>ARMORSPECIAL</v>
      </c>
      <c r="F1162" s="223"/>
      <c r="G1162" s="223"/>
      <c r="H1162" s="223" t="str">
        <f t="array" ref="H1162:H1163">{"ARMORSPECIALL01";((IF("01"=INDEX(ALLCLASSDATA,MATCH("ArmorSpecialization",CLASSFEATUREHEADERS,0),MATCH($A1163,CLASSNAMEHEADERS,0)),ArmorAS,"")))}</f>
        <v>ARMORSPECIALL01</v>
      </c>
      <c r="I1162" s="223"/>
      <c r="J1162" s="223" t="str">
        <f t="array" ref="J1162:J1163">{"ARMORSPECIALL03";((IF("03"=INDEX(ALLCLASSDATA,MATCH("ArmorSpecialization",CLASSFEATUREHEADERS,0),MATCH($A1163,CLASSNAMEHEADERS,0)),ArmorAS,"")))}</f>
        <v>ARMORSPECIALL03</v>
      </c>
      <c r="K1162" s="223"/>
      <c r="L1162" s="223" t="str">
        <f t="array" ref="L1162:L1163">{"ARMORSPECIALL05";((IF("05"=INDEX(ALLCLASSDATA,MATCH("ArmorSpecialization",CLASSFEATUREHEADERS,0),MATCH($A1163,CLASSNAMEHEADERS,0)),ArmorAS,"")))}</f>
        <v>ARMORSPECIALL05</v>
      </c>
      <c r="M1162" s="223"/>
      <c r="N1162" s="223" t="str">
        <f t="array" ref="N1162:N1163">{"ARMORSPECIALL07";((IF("07"=INDEX(ALLCLASSDATA,MATCH("ArmorSpecialization",CLASSFEATUREHEADERS,0),MATCH($A1163,CLASSNAMEHEADERS,0)),ArmorAS,"")))}</f>
        <v>ARMORSPECIALL07</v>
      </c>
      <c r="O1162" s="223"/>
      <c r="P1162" s="223" t="str">
        <f t="array" ref="P1162:P1163">{"ARMORSPECIALL09";((IF("09"=INDEX(ALLCLASSDATA,MATCH("ArmorSpecialization",CLASSFEATUREHEADERS,0),MATCH($A1163,CLASSNAMEHEADERS,0)),ArmorAS,"")))}</f>
        <v>ARMORSPECIALL09</v>
      </c>
      <c r="Q1162" s="223"/>
      <c r="R1162" s="223" t="str">
        <f t="array" ref="R1162:R1163">{"ARMORSPECIALL11";((IF("11"=INDEX(ALLCLASSDATA,MATCH("ArmorSpecialization",CLASSFEATUREHEADERS,0),MATCH($A1163,CLASSNAMEHEADERS,0)),ArmorAS,"")))}</f>
        <v>ARMORSPECIALL11</v>
      </c>
      <c r="S1162" s="223"/>
      <c r="T1162" s="223" t="str">
        <f t="array" ref="T1162:T1163">{"ARMORSPECIALL13";((IF("13"=INDEX(ALLCLASSDATA,MATCH("ArmorSpecialization",CLASSFEATUREHEADERS,0),MATCH($A1163,CLASSNAMEHEADERS,0)),ArmorAS,"")))}</f>
        <v>ARMORSPECIALL13</v>
      </c>
      <c r="U1162" s="223"/>
      <c r="V1162" s="223" t="str">
        <f t="array" ref="V1162:V1163">{"ARMORSPECIALL15";((IF("15"=INDEX(ALLCLASSDATA,MATCH("ArmorSpecialization",CLASSFEATUREHEADERS,0),MATCH($A1163,CLASSNAMEHEADERS,0)),ArmorAS,"")))}</f>
        <v>ARMORSPECIALL15</v>
      </c>
      <c r="W1162" s="223"/>
      <c r="X1162" s="223" t="str">
        <f t="array" ref="X1162:X1163">{"ARMORSPECIALL17";((IF("17"=INDEX(ALLCLASSDATA,MATCH("ArmorSpecialization",CLASSFEATUREHEADERS,0),MATCH($A1163,CLASSNAMEHEADERS,0)),ArmorAS,"")))}</f>
        <v>ARMORSPECIALL17</v>
      </c>
      <c r="Y1162" s="223"/>
      <c r="Z1162" s="223" t="str">
        <f t="array" ref="Z1162:Z1163">{"ARMORSPECIALL19";((IF("19"=INDEX(ALLCLASSDATA,MATCH("ArmorSpecialization",CLASSFEATUREHEADERS,0),MATCH($A1163,CLASSNAMEHEADERS,0)),ArmorAS,"")))}</f>
        <v>ARMORSPECIALL19</v>
      </c>
      <c r="AA1162" s="223"/>
      <c r="AB1162" s="76"/>
      <c r="AC1162" s="76" t="str">
        <f t="array" ref="AC1162:AC1163">{"ARMORSPECIAL TOTAL";(sum(G1163:AA1163))}</f>
        <v>ARMORSPECIAL TOTAL</v>
      </c>
    </row>
    <row r="1163">
      <c r="A1163" s="48" t="s">
        <v>195</v>
      </c>
      <c r="B1163" s="48"/>
      <c r="C1163" s="48" t="s">
        <v>417</v>
      </c>
      <c r="D1163" s="48" t="s">
        <v>1900</v>
      </c>
      <c r="E1163" s="48" t="s">
        <v>51</v>
      </c>
      <c r="F1163" s="5"/>
      <c r="G1163" s="47"/>
      <c r="H1163" s="5" t="s">
        <v>603</v>
      </c>
      <c r="I1163" s="5"/>
      <c r="J1163" s="5" t="s">
        <v>603</v>
      </c>
      <c r="K1163" s="5"/>
      <c r="L1163" s="5" t="s">
        <v>603</v>
      </c>
      <c r="M1163" s="5"/>
      <c r="N1163" s="5" t="s">
        <v>603</v>
      </c>
      <c r="O1163" s="5"/>
      <c r="P1163" s="5" t="s">
        <v>603</v>
      </c>
      <c r="Q1163" s="5"/>
      <c r="R1163" s="5" t="s">
        <v>603</v>
      </c>
      <c r="S1163" s="5"/>
      <c r="T1163" s="5" t="s">
        <v>603</v>
      </c>
      <c r="U1163" s="5"/>
      <c r="V1163" s="5" t="s">
        <v>603</v>
      </c>
      <c r="W1163" s="5"/>
      <c r="X1163" s="5" t="s">
        <v>603</v>
      </c>
      <c r="Y1163" s="5"/>
      <c r="Z1163" s="5" t="s">
        <v>603</v>
      </c>
      <c r="AA1163" s="5"/>
      <c r="AB1163" s="5"/>
      <c r="AC1163" s="47">
        <v>0.0</v>
      </c>
    </row>
    <row r="1164" hidden="1">
      <c r="A1164" s="222" t="str">
        <f t="array" ref="A1164:A1165">{"FormulaRow35";(INDEX(CLASSLIST,A1095,1))}</f>
        <v>FormulaRow35</v>
      </c>
      <c r="B1164" s="77" t="s">
        <v>236</v>
      </c>
      <c r="C1164" s="222" t="str">
        <f t="array" ref="C1164:C1165">{"CLASSTYPE";((INDEX(ALLCLASSDATA,MATCH("ClassType",CLASSFEATUREHEADERS,0),MATCH($A1165,CLASSNAMEHEADERS,0))))}</f>
        <v>CLASSTYPE</v>
      </c>
      <c r="D1164" s="222" t="str">
        <f t="array" ref="D1164:D1165">{"DEFENSE";"Defense"}</f>
        <v>DEFENSE</v>
      </c>
      <c r="E1164" s="222" t="str">
        <f t="array" ref="E1164:E1165">{"UNARMORED";"Unarmored"}</f>
        <v>UNARMORED</v>
      </c>
      <c r="F1164" s="223" t="str">
        <f t="array" ref="F1164:F1165">{"UNARMOREDINITIAL";((IF(H1165=10,"T",(IF(H1165=50,"E","")))))}</f>
        <v>UNARMOREDINITIAL</v>
      </c>
      <c r="G1164" s="223" t="str">
        <f t="array" ref="G1164:G1165">{"UNARMOREDINITIALPTS";((IF("00"=(INDEX(ALLCLASSDATA,MATCH("UnarmoredLegendary",CLASSFEATUREHEADERS,0),MATCH($A1165,CLASSNAMEHEADERS,0))),(INDEX(ALLCLASSDATA,MATCH("UnarmoredLegendary",CLASSFEATUREHEADERS,0),MATCH(($A1165 &amp; "Points"),CLASSNAMEHEADERS,0))),(IF("00"=(INDEX(ALLCLASSDATA,MATCH("UnarmoredMaster",CLASSFEATUREHEADERS,0),MATCH($A1165,CLASSNAMEHEADERS,0))),(INDEX(ALLCLASSDATA,MATCH("UnarmoredMaster",CLASSFEATUREHEADERS,0),MATCH(($A1165 &amp; "Points"),CLASSNAMEHEADERS,0))),(IF("00"=(INDEX(ALLCLASSDATA,MATCH("UnarmoredExpert",CLASSFEATUREHEADERS,0),MATCH($A1165,CLASSNAMEHEADERS,0))),(INDEX(ALLCLASSDATA,MATCH("UnarmoredExpert",CLASSFEATUREHEADERS,0),MATCH(($A1165 &amp; "Points"),CLASSNAMEHEADERS,0))),(IF("00"=(INDEX(ALLCLASSDATA,MATCH("UnarmoredTrained",CLASSFEATUREHEADERS,0),MATCH($A1165,CLASSNAMEHEADERS,0))),(INDEX(ALLCLASSDATA,MATCH("UnarmoredTrained",CLASSFEATUREHEADERS,0),MATCH(($A1165 &amp; "Points"),CLASSNAMEHEADERS,0))),"")))))))))}</f>
        <v>UNARMOREDINITIALPTS</v>
      </c>
      <c r="H1164" s="223" t="str">
        <f t="array" ref="H1164:H1165">{"UNARMOREDL01";((IF("01"=(INDEX(ALLCLASSDATA,MATCH("UnarmoredLegendary",CLASSFEATUREHEADERS,0),MATCH($A1165,CLASSNAMEHEADERS,0))),(INDEX(ALLCLASSDATA,MATCH("UnarmoredLegendary",CLASSFEATUREHEADERS,0),MATCH(($A1165 &amp; "Points"),CLASSNAMEHEADERS,0))),(IF("01"=(INDEX(ALLCLASSDATA,MATCH("UnarmoredMaster",CLASSFEATUREHEADERS,0),MATCH($A1165,CLASSNAMEHEADERS,0))),(INDEX(ALLCLASSDATA,MATCH("UnarmoredMaster",CLASSFEATUREHEADERS,0),MATCH(($A1165 &amp; "Points"),CLASSNAMEHEADERS,0))),(IF("01"=(INDEX(ALLCLASSDATA,MATCH("UnarmoredExpert",CLASSFEATUREHEADERS,0),MATCH($A1165,CLASSNAMEHEADERS,0))),(INDEX(ALLCLASSDATA,MATCH("UnarmoredExpert",CLASSFEATUREHEADERS,0),MATCH(($A1165 &amp; "Points"),CLASSNAMEHEADERS,0))),(IF("01"=(INDEX(ALLCLASSDATA,MATCH("UnarmoredTrained",CLASSFEATUREHEADERS,0),MATCH($A1165,CLASSNAMEHEADERS,0))),(INDEX(ALLCLASSDATA,MATCH("UnarmoredTrained",CLASSFEATUREHEADERS,0),MATCH(($A1165 &amp; "Points"),CLASSNAMEHEADERS,0))),"")))))))))}</f>
        <v>UNARMOREDL01</v>
      </c>
      <c r="I1164" s="223"/>
      <c r="J1164" s="223" t="str">
        <f t="array" ref="J1164:J1165">{"UNARMOREDL03";((IF("03"=(INDEX(ALLCLASSDATA,MATCH("UnarmoredLegendary",CLASSFEATUREHEADERS,0),MATCH($A1165,CLASSNAMEHEADERS,0))),(INDEX(ALLCLASSDATA,MATCH("UnarmoredLegendary",CLASSFEATUREHEADERS,0),MATCH(($A1165 &amp; "Points"),CLASSNAMEHEADERS,0))),(IF("03"=(INDEX(ALLCLASSDATA,MATCH("UnarmoredMaster",CLASSFEATUREHEADERS,0),MATCH($A1165,CLASSNAMEHEADERS,0))),(INDEX(ALLCLASSDATA,MATCH("UnarmoredMaster",CLASSFEATUREHEADERS,0),MATCH(($A1165 &amp; "Points"),CLASSNAMEHEADERS,0))),(IF("03"=(INDEX(ALLCLASSDATA,MATCH("UnarmoredExpert",CLASSFEATUREHEADERS,0),MATCH($A1165,CLASSNAMEHEADERS,0))),(INDEX(ALLCLASSDATA,MATCH("UnarmoredExpert",CLASSFEATUREHEADERS,0),MATCH(($A1165 &amp; "Points"),CLASSNAMEHEADERS,0))),(IF("03"=(INDEX(ALLCLASSDATA,MATCH("UnarmoredTrained",CLASSFEATUREHEADERS,0),MATCH($A1165,CLASSNAMEHEADERS,0))),(INDEX(ALLCLASSDATA,MATCH("UnarmoredTrained",CLASSFEATUREHEADERS,0),MATCH(($A1165 &amp; "Points"),CLASSNAMEHEADERS,0))),"")))))))))}</f>
        <v>UNARMOREDL03</v>
      </c>
      <c r="K1164" s="223"/>
      <c r="L1164" s="223" t="str">
        <f t="array" ref="L1164:L1165">{"UNARMOREDL05";((IF("05"=(INDEX(ALLCLASSDATA,MATCH("UnarmoredLegendary",CLASSFEATUREHEADERS,0),MATCH($A1165,CLASSNAMEHEADERS,0))),(INDEX(ALLCLASSDATA,MATCH("UnarmoredLegendary",CLASSFEATUREHEADERS,0),MATCH(($A1165 &amp; "Points"),CLASSNAMEHEADERS,0))),(IF("05"=(INDEX(ALLCLASSDATA,MATCH("UnarmoredMaster",CLASSFEATUREHEADERS,0),MATCH($A1165,CLASSNAMEHEADERS,0))),(INDEX(ALLCLASSDATA,MATCH("UnarmoredMaster",CLASSFEATUREHEADERS,0),MATCH(($A1165 &amp; "Points"),CLASSNAMEHEADERS,0))),(IF("05"=(INDEX(ALLCLASSDATA,MATCH("UnarmoredExpert",CLASSFEATUREHEADERS,0),MATCH($A1165,CLASSNAMEHEADERS,0))),(INDEX(ALLCLASSDATA,MATCH("UnarmoredExpert",CLASSFEATUREHEADERS,0),MATCH(($A1165 &amp; "Points"),CLASSNAMEHEADERS,0))),(IF("05"=(INDEX(ALLCLASSDATA,MATCH("UnarmoredTrained",CLASSFEATUREHEADERS,0),MATCH($A1165,CLASSNAMEHEADERS,0))),(INDEX(ALLCLASSDATA,MATCH("UnarmoredTrained",CLASSFEATUREHEADERS,0),MATCH(($A1165 &amp; "Points"),CLASSNAMEHEADERS,0))),"")))))))))}</f>
        <v>UNARMOREDL05</v>
      </c>
      <c r="M1164" s="223"/>
      <c r="N1164" s="223" t="str">
        <f t="array" ref="N1164:N1165">{"UNARMOREDL07";((IF("07"=(INDEX(ALLCLASSDATA,MATCH("UnarmoredLegendary",CLASSFEATUREHEADERS,0),MATCH($A1165,CLASSNAMEHEADERS,0))),(INDEX(ALLCLASSDATA,MATCH("UnarmoredLegendary",CLASSFEATUREHEADERS,0),MATCH(($A1165 &amp; "Points"),CLASSNAMEHEADERS,0))),(IF("07"=(INDEX(ALLCLASSDATA,MATCH("UnarmoredMaster",CLASSFEATUREHEADERS,0),MATCH($A1165,CLASSNAMEHEADERS,0))),(INDEX(ALLCLASSDATA,MATCH("UnarmoredMaster",CLASSFEATUREHEADERS,0),MATCH(($A1165 &amp; "Points"),CLASSNAMEHEADERS,0))),(IF("07"=(INDEX(ALLCLASSDATA,MATCH("UnarmoredExpert",CLASSFEATUREHEADERS,0),MATCH($A1165,CLASSNAMEHEADERS,0))),(INDEX(ALLCLASSDATA,MATCH("UnarmoredExpert",CLASSFEATUREHEADERS,0),MATCH(($A1165 &amp; "Points"),CLASSNAMEHEADERS,0))),(IF("07"=(INDEX(ALLCLASSDATA,MATCH("UnarmoredTrained",CLASSFEATUREHEADERS,0),MATCH($A1165,CLASSNAMEHEADERS,0))),(INDEX(ALLCLASSDATA,MATCH("UnarmoredTrained",CLASSFEATUREHEADERS,0),MATCH(($A1165 &amp; "Points"),CLASSNAMEHEADERS,0))),"")))))))))}</f>
        <v>UNARMOREDL07</v>
      </c>
      <c r="O1164" s="223"/>
      <c r="P1164" s="223" t="str">
        <f t="array" ref="P1164:P1165">{"UNARMOREDL09";((IF("09"=(INDEX(ALLCLASSDATA,MATCH("UnarmoredLegendary",CLASSFEATUREHEADERS,0),MATCH($A1165,CLASSNAMEHEADERS,0))),(INDEX(ALLCLASSDATA,MATCH("UnarmoredLegendary",CLASSFEATUREHEADERS,0),MATCH(($A1165 &amp; "Points"),CLASSNAMEHEADERS,0))),(IF("09"=(INDEX(ALLCLASSDATA,MATCH("UnarmoredMaster",CLASSFEATUREHEADERS,0),MATCH($A1165,CLASSNAMEHEADERS,0))),(INDEX(ALLCLASSDATA,MATCH("UnarmoredMaster",CLASSFEATUREHEADERS,0),MATCH(($A1165 &amp; "Points"),CLASSNAMEHEADERS,0))),(IF("09"=(INDEX(ALLCLASSDATA,MATCH("UnarmoredExpert",CLASSFEATUREHEADERS,0),MATCH($A1165,CLASSNAMEHEADERS,0))),(INDEX(ALLCLASSDATA,MATCH("UnarmoredExpert",CLASSFEATUREHEADERS,0),MATCH(($A1165 &amp; "Points"),CLASSNAMEHEADERS,0))),(IF("09"=(INDEX(ALLCLASSDATA,MATCH("UnarmoredTrained",CLASSFEATUREHEADERS,0),MATCH($A1165,CLASSNAMEHEADERS,0))),(INDEX(ALLCLASSDATA,MATCH("UnarmoredTrained",CLASSFEATUREHEADERS,0),MATCH(($A1165 &amp; "Points"),CLASSNAMEHEADERS,0))),"")))))))))}</f>
        <v>UNARMOREDL09</v>
      </c>
      <c r="Q1164" s="223"/>
      <c r="R1164" s="223" t="str">
        <f t="array" ref="R1164:R1165">{"UNARMOREDL11";((IF("11"=(INDEX(ALLCLASSDATA,MATCH("UnarmoredLegendary",CLASSFEATUREHEADERS,0),MATCH($A1165,CLASSNAMEHEADERS,0))),(INDEX(ALLCLASSDATA,MATCH("UnarmoredLegendary",CLASSFEATUREHEADERS,0),MATCH(($A1165 &amp; "Points"),CLASSNAMEHEADERS,0))),(IF("11"=(INDEX(ALLCLASSDATA,MATCH("UnarmoredMaster",CLASSFEATUREHEADERS,0),MATCH($A1165,CLASSNAMEHEADERS,0))),(INDEX(ALLCLASSDATA,MATCH("UnarmoredMaster",CLASSFEATUREHEADERS,0),MATCH(($A1165 &amp; "Points"),CLASSNAMEHEADERS,0))),(IF("11"=(INDEX(ALLCLASSDATA,MATCH("UnarmoredExpert",CLASSFEATUREHEADERS,0),MATCH($A1165,CLASSNAMEHEADERS,0))),(INDEX(ALLCLASSDATA,MATCH("UnarmoredExpert",CLASSFEATUREHEADERS,0),MATCH(($A1165 &amp; "Points"),CLASSNAMEHEADERS,0))),(IF("11"=(INDEX(ALLCLASSDATA,MATCH("UnarmoredTrained",CLASSFEATUREHEADERS,0),MATCH($A1165,CLASSNAMEHEADERS,0))),(INDEX(ALLCLASSDATA,MATCH("UnarmoredTrained",CLASSFEATUREHEADERS,0),MATCH(($A1165 &amp; "Points"),CLASSNAMEHEADERS,0))),"")))))))))}</f>
        <v>UNARMOREDL11</v>
      </c>
      <c r="S1164" s="223"/>
      <c r="T1164" s="223" t="str">
        <f t="array" ref="T1164:T1165">{"UNARMOREDL13";((IF("13"=(INDEX(ALLCLASSDATA,MATCH("UnarmoredLegendary",CLASSFEATUREHEADERS,0),MATCH($A1165,CLASSNAMEHEADERS,0))),(INDEX(ALLCLASSDATA,MATCH("UnarmoredLegendary",CLASSFEATUREHEADERS,0),MATCH(($A1165 &amp; "Points"),CLASSNAMEHEADERS,0))),(IF("13"=(INDEX(ALLCLASSDATA,MATCH("UnarmoredMaster",CLASSFEATUREHEADERS,0),MATCH($A1165,CLASSNAMEHEADERS,0))),(INDEX(ALLCLASSDATA,MATCH("UnarmoredMaster",CLASSFEATUREHEADERS,0),MATCH(($A1165 &amp; "Points"),CLASSNAMEHEADERS,0))),(IF("13"=(INDEX(ALLCLASSDATA,MATCH("UnarmoredExpert",CLASSFEATUREHEADERS,0),MATCH($A1165,CLASSNAMEHEADERS,0))),(INDEX(ALLCLASSDATA,MATCH("UnarmoredExpert",CLASSFEATUREHEADERS,0),MATCH(($A1165 &amp; "Points"),CLASSNAMEHEADERS,0))),(IF("13"=(INDEX(ALLCLASSDATA,MATCH("UnarmoredTrained",CLASSFEATUREHEADERS,0),MATCH($A1165,CLASSNAMEHEADERS,0))),(INDEX(ALLCLASSDATA,MATCH("UnarmoredTrained",CLASSFEATUREHEADERS,0),MATCH(($A1165 &amp; "Points"),CLASSNAMEHEADERS,0))),"")))))))))}</f>
        <v>UNARMOREDL13</v>
      </c>
      <c r="U1164" s="223"/>
      <c r="V1164" s="223" t="str">
        <f t="array" ref="V1164:V1165">{"UNARMOREDL15";((IF("15"=(INDEX(ALLCLASSDATA,MATCH("UnarmoredLegendary",CLASSFEATUREHEADERS,0),MATCH($A1165,CLASSNAMEHEADERS,0))),(INDEX(ALLCLASSDATA,MATCH("UnarmoredLegendary",CLASSFEATUREHEADERS,0),MATCH(($A1165 &amp; "Points"),CLASSNAMEHEADERS,0))),(IF("15"=(INDEX(ALLCLASSDATA,MATCH("UnarmoredMaster",CLASSFEATUREHEADERS,0),MATCH($A1165,CLASSNAMEHEADERS,0))),(INDEX(ALLCLASSDATA,MATCH("UnarmoredMaster",CLASSFEATUREHEADERS,0),MATCH(($A1165 &amp; "Points"),CLASSNAMEHEADERS,0))),(IF("15"=(INDEX(ALLCLASSDATA,MATCH("UnarmoredExpert",CLASSFEATUREHEADERS,0),MATCH($A1165,CLASSNAMEHEADERS,0))),(INDEX(ALLCLASSDATA,MATCH("UnarmoredExpert",CLASSFEATUREHEADERS,0),MATCH(($A1165 &amp; "Points"),CLASSNAMEHEADERS,0))),(IF("15"=(INDEX(ALLCLASSDATA,MATCH("UnarmoredTrained",CLASSFEATUREHEADERS,0),MATCH($A1165,CLASSNAMEHEADERS,0))),(INDEX(ALLCLASSDATA,MATCH("UnarmoredTrained",CLASSFEATUREHEADERS,0),MATCH(($A1165 &amp; "Points"),CLASSNAMEHEADERS,0))),"")))))))))}</f>
        <v>UNARMOREDL15</v>
      </c>
      <c r="W1164" s="223"/>
      <c r="X1164" s="223" t="str">
        <f t="array" ref="X1164:X1165">{"UNARMOREDL17";((IF("17"=(INDEX(ALLCLASSDATA,MATCH("UnarmoredLegendary",CLASSFEATUREHEADERS,0),MATCH($A1165,CLASSNAMEHEADERS,0))),(INDEX(ALLCLASSDATA,MATCH("UnarmoredLegendary",CLASSFEATUREHEADERS,0),MATCH(($A1165 &amp; "Points"),CLASSNAMEHEADERS,0))),(IF("17"=(INDEX(ALLCLASSDATA,MATCH("UnarmoredMaster",CLASSFEATUREHEADERS,0),MATCH($A1165,CLASSNAMEHEADERS,0))),(INDEX(ALLCLASSDATA,MATCH("UnarmoredMaster",CLASSFEATUREHEADERS,0),MATCH(($A1165 &amp; "Points"),CLASSNAMEHEADERS,0))),(IF("17"=(INDEX(ALLCLASSDATA,MATCH("UnarmoredExpert",CLASSFEATUREHEADERS,0),MATCH($A1165,CLASSNAMEHEADERS,0))),(INDEX(ALLCLASSDATA,MATCH("UnarmoredExpert",CLASSFEATUREHEADERS,0),MATCH(($A1165 &amp; "Points"),CLASSNAMEHEADERS,0))),(IF("17"=(INDEX(ALLCLASSDATA,MATCH("UnarmoredTrained",CLASSFEATUREHEADERS,0),MATCH($A1165,CLASSNAMEHEADERS,0))),(INDEX(ALLCLASSDATA,MATCH("UnarmoredTrained",CLASSFEATUREHEADERS,0),MATCH(($A1165 &amp; "Points"),CLASSNAMEHEADERS,0))),"")))))))))}</f>
        <v>UNARMOREDL17</v>
      </c>
      <c r="Y1164" s="223"/>
      <c r="Z1164" s="223" t="str">
        <f t="array" ref="Z1164:Z1165">{"UNARMOREDL19";((IF("19"=(INDEX(ALLCLASSDATA,MATCH("UnarmoredLegendary",CLASSFEATUREHEADERS,0),MATCH($A1165,CLASSNAMEHEADERS,0))),(INDEX(ALLCLASSDATA,MATCH("UnarmoredLegendary",CLASSFEATUREHEADERS,0),MATCH(($A1165 &amp; "Points"),CLASSNAMEHEADERS,0))),(IF("19"=(INDEX(ALLCLASSDATA,MATCH("UnarmoredMaster",CLASSFEATUREHEADERS,0),MATCH($A1165,CLASSNAMEHEADERS,0))),(INDEX(ALLCLASSDATA,MATCH("UnarmoredMaster",CLASSFEATUREHEADERS,0),MATCH(($A1165 &amp; "Points"),CLASSNAMEHEADERS,0))),(IF("19"=(INDEX(ALLCLASSDATA,MATCH("UnarmoredExpert",CLASSFEATUREHEADERS,0),MATCH($A1165,CLASSNAMEHEADERS,0))),(INDEX(ALLCLASSDATA,MATCH("UnarmoredExpert",CLASSFEATUREHEADERS,0),MATCH(($A1165 &amp; "Points"),CLASSNAMEHEADERS,0))),(IF("19"=(INDEX(ALLCLASSDATA,MATCH("UnarmoredTrained",CLASSFEATUREHEADERS,0),MATCH($A1165,CLASSNAMEHEADERS,0))),(INDEX(ALLCLASSDATA,MATCH("UnarmoredTrained",CLASSFEATUREHEADERS,0),MATCH(($A1165 &amp; "Points"),CLASSNAMEHEADERS,0))),"")))))))))}</f>
        <v>UNARMOREDL19</v>
      </c>
      <c r="AA1164" s="223"/>
      <c r="AB1164" s="76" t="str">
        <f t="array" ref="AB1164:AB1165">{"UNARMORED TOTAL";(IF(COUNTBLANK(G1165:AA1165)=17,"L",(IF(COUNTBLANK(G1165:AA1165)=18,"M",(IF(COUNTBLANK(G1165:AA1165)=19,"E",(IF(COUNTBLANK(G1165:AA1165)=20,"T",""))))))))}</f>
        <v>UNARMORED TOTAL</v>
      </c>
      <c r="AC1164" s="76" t="str">
        <f t="array" ref="AC1164:AC1165">{"UNARMORED TOTAL";(sum(G1165:AA1165))}</f>
        <v>UNARMORED TOTAL</v>
      </c>
    </row>
    <row r="1165">
      <c r="A1165" s="48" t="s">
        <v>195</v>
      </c>
      <c r="B1165" s="48"/>
      <c r="C1165" s="48" t="s">
        <v>417</v>
      </c>
      <c r="D1165" s="48" t="s">
        <v>1900</v>
      </c>
      <c r="E1165" s="48" t="s">
        <v>78</v>
      </c>
      <c r="F1165" s="5" t="s">
        <v>435</v>
      </c>
      <c r="G1165" s="47" t="s">
        <v>603</v>
      </c>
      <c r="H1165" s="5">
        <v>10.0</v>
      </c>
      <c r="I1165" s="5"/>
      <c r="J1165" s="5" t="s">
        <v>603</v>
      </c>
      <c r="K1165" s="5"/>
      <c r="L1165" s="5" t="s">
        <v>603</v>
      </c>
      <c r="M1165" s="5"/>
      <c r="N1165" s="5" t="s">
        <v>603</v>
      </c>
      <c r="O1165" s="5"/>
      <c r="P1165" s="5" t="s">
        <v>603</v>
      </c>
      <c r="Q1165" s="5"/>
      <c r="R1165" s="5" t="s">
        <v>603</v>
      </c>
      <c r="S1165" s="5"/>
      <c r="T1165" s="5">
        <v>50.0</v>
      </c>
      <c r="U1165" s="5"/>
      <c r="V1165" s="5" t="s">
        <v>603</v>
      </c>
      <c r="W1165" s="5"/>
      <c r="X1165" s="5" t="s">
        <v>603</v>
      </c>
      <c r="Y1165" s="5"/>
      <c r="Z1165" s="5" t="s">
        <v>603</v>
      </c>
      <c r="AA1165" s="5"/>
      <c r="AB1165" s="5" t="s">
        <v>436</v>
      </c>
      <c r="AC1165" s="47">
        <v>60.0</v>
      </c>
    </row>
    <row r="1166" hidden="1">
      <c r="A1166" s="222" t="str">
        <f t="array" ref="A1166:A1167">{"FormulaRow36";(INDEX(CLASSLIST,A1095,1))}</f>
        <v>FormulaRow36</v>
      </c>
      <c r="B1166" s="77" t="s">
        <v>236</v>
      </c>
      <c r="C1166" s="222" t="str">
        <f t="array" ref="C1166:C1167">{"CLASSTYPE";((INDEX(ALLCLASSDATA,MATCH("ClassType",CLASSFEATUREHEADERS,0),MATCH($A1167,CLASSNAMEHEADERS,0))))}</f>
        <v>CLASSTYPE</v>
      </c>
      <c r="D1166" s="222" t="str">
        <f t="array" ref="D1166:D1167">{"DEFENSE";"Defense"}</f>
        <v>DEFENSE</v>
      </c>
      <c r="E1166" s="222" t="str">
        <f t="array" ref="E1166:E1167">{"LIGHT";"Light"}</f>
        <v>LIGHT</v>
      </c>
      <c r="F1166" s="223" t="str">
        <f t="array" ref="F1166:F1167">{"LIGHTINITIAL";((IF(H1167=10,"T",(IF(H1167=50,"E","")))))}</f>
        <v>LIGHTINITIAL</v>
      </c>
      <c r="G1166" s="223" t="str">
        <f t="array" ref="G1166:G1167">{"LIGHTINITIALPTS";((IF("00"=(INDEX(ALLCLASSDATA,MATCH("LightLegendary",CLASSFEATUREHEADERS,0),MATCH($A1167,CLASSNAMEHEADERS,0))),(INDEX(ALLCLASSDATA,MATCH("LightLegendary",CLASSFEATUREHEADERS,0),MATCH(($A1167 &amp; "Points"),CLASSNAMEHEADERS,0))),(IF("00"=(INDEX(ALLCLASSDATA,MATCH("LightMaster",CLASSFEATUREHEADERS,0),MATCH($A1167,CLASSNAMEHEADERS,0))),(INDEX(ALLCLASSDATA,MATCH("LightMaster",CLASSFEATUREHEADERS,0),MATCH(($A1167 &amp; "Points"),CLASSNAMEHEADERS,0))),(IF("00"=(INDEX(ALLCLASSDATA,MATCH("LightExpert",CLASSFEATUREHEADERS,0),MATCH($A1167,CLASSNAMEHEADERS,0))),(INDEX(ALLCLASSDATA,MATCH("LightExpert",CLASSFEATUREHEADERS,0),MATCH(($A1167 &amp; "Points"),CLASSNAMEHEADERS,0))),(IF("00"=(INDEX(ALLCLASSDATA,MATCH("LightTrained",CLASSFEATUREHEADERS,0),MATCH($A1167,CLASSNAMEHEADERS,0))),(INDEX(ALLCLASSDATA,MATCH("LightTrained",CLASSFEATUREHEADERS,0),MATCH(($A1167 &amp; "Points"),CLASSNAMEHEADERS,0))),"")))))))))}</f>
        <v>LIGHTINITIALPTS</v>
      </c>
      <c r="H1166" s="223" t="str">
        <f t="array" ref="H1166:H1167">{"LIGHTL01";((IF("01"=(INDEX(ALLCLASSDATA,MATCH("LightLegendary",CLASSFEATUREHEADERS,0),MATCH($A1167,CLASSNAMEHEADERS,0))),(INDEX(ALLCLASSDATA,MATCH("LightLegendary",CLASSFEATUREHEADERS,0),MATCH(($A1167 &amp; "Points"),CLASSNAMEHEADERS,0))),(IF("01"=(INDEX(ALLCLASSDATA,MATCH("LightMaster",CLASSFEATUREHEADERS,0),MATCH($A1167,CLASSNAMEHEADERS,0))),(INDEX(ALLCLASSDATA,MATCH("LightMaster",CLASSFEATUREHEADERS,0),MATCH(($A1167 &amp; "Points"),CLASSNAMEHEADERS,0))),(IF("01"=(INDEX(ALLCLASSDATA,MATCH("LightExpert",CLASSFEATUREHEADERS,0),MATCH($A1167,CLASSNAMEHEADERS,0))),(INDEX(ALLCLASSDATA,MATCH("LightExpert",CLASSFEATUREHEADERS,0),MATCH(($A1167 &amp; "Points"),CLASSNAMEHEADERS,0))),(IF("01"=(INDEX(ALLCLASSDATA,MATCH("LightTrained",CLASSFEATUREHEADERS,0),MATCH($A1167,CLASSNAMEHEADERS,0))),(INDEX(ALLCLASSDATA,MATCH("LightTrained",CLASSFEATUREHEADERS,0),MATCH(($A1167 &amp; "Points"),CLASSNAMEHEADERS,0))),"")))))))))}</f>
        <v>LIGHTL01</v>
      </c>
      <c r="I1166" s="223"/>
      <c r="J1166" s="223" t="str">
        <f t="array" ref="J1166:J1167">{"LIGHTL03";((IF("03"=(INDEX(ALLCLASSDATA,MATCH("LightLegendary",CLASSFEATUREHEADERS,0),MATCH($A1167,CLASSNAMEHEADERS,0))),(INDEX(ALLCLASSDATA,MATCH("LightLegendary",CLASSFEATUREHEADERS,0),MATCH(($A1167 &amp; "Points"),CLASSNAMEHEADERS,0))),(IF("03"=(INDEX(ALLCLASSDATA,MATCH("LightMaster",CLASSFEATUREHEADERS,0),MATCH($A1167,CLASSNAMEHEADERS,0))),(INDEX(ALLCLASSDATA,MATCH("LightMaster",CLASSFEATUREHEADERS,0),MATCH(($A1167 &amp; "Points"),CLASSNAMEHEADERS,0))),(IF("03"=(INDEX(ALLCLASSDATA,MATCH("LightExpert",CLASSFEATUREHEADERS,0),MATCH($A1167,CLASSNAMEHEADERS,0))),(INDEX(ALLCLASSDATA,MATCH("LightExpert",CLASSFEATUREHEADERS,0),MATCH(($A1167 &amp; "Points"),CLASSNAMEHEADERS,0))),(IF("03"=(INDEX(ALLCLASSDATA,MATCH("LightTrained",CLASSFEATUREHEADERS,0),MATCH($A1167,CLASSNAMEHEADERS,0))),(INDEX(ALLCLASSDATA,MATCH("LightTrained",CLASSFEATUREHEADERS,0),MATCH(($A1167 &amp; "Points"),CLASSNAMEHEADERS,0))),"")))))))))}</f>
        <v>LIGHTL03</v>
      </c>
      <c r="K1166" s="223"/>
      <c r="L1166" s="223" t="str">
        <f t="array" ref="L1166:L1167">{"LIGHTL05";((IF("05"=(INDEX(ALLCLASSDATA,MATCH("LightLegendary",CLASSFEATUREHEADERS,0),MATCH($A1167,CLASSNAMEHEADERS,0))),(INDEX(ALLCLASSDATA,MATCH("LightLegendary",CLASSFEATUREHEADERS,0),MATCH(($A1167 &amp; "Points"),CLASSNAMEHEADERS,0))),(IF("05"=(INDEX(ALLCLASSDATA,MATCH("LightMaster",CLASSFEATUREHEADERS,0),MATCH($A1167,CLASSNAMEHEADERS,0))),(INDEX(ALLCLASSDATA,MATCH("LightMaster",CLASSFEATUREHEADERS,0),MATCH(($A1167 &amp; "Points"),CLASSNAMEHEADERS,0))),(IF("05"=(INDEX(ALLCLASSDATA,MATCH("LightExpert",CLASSFEATUREHEADERS,0),MATCH($A1167,CLASSNAMEHEADERS,0))),(INDEX(ALLCLASSDATA,MATCH("LightExpert",CLASSFEATUREHEADERS,0),MATCH(($A1167 &amp; "Points"),CLASSNAMEHEADERS,0))),(IF("05"=(INDEX(ALLCLASSDATA,MATCH("LightTrained",CLASSFEATUREHEADERS,0),MATCH($A1167,CLASSNAMEHEADERS,0))),(INDEX(ALLCLASSDATA,MATCH("LightTrained",CLASSFEATUREHEADERS,0),MATCH(($A1167 &amp; "Points"),CLASSNAMEHEADERS,0))),"")))))))))}</f>
        <v>LIGHTL05</v>
      </c>
      <c r="M1166" s="223"/>
      <c r="N1166" s="223" t="str">
        <f t="array" ref="N1166:N1167">{"LIGHTL07";((IF("07"=(INDEX(ALLCLASSDATA,MATCH("LightLegendary",CLASSFEATUREHEADERS,0),MATCH($A1167,CLASSNAMEHEADERS,0))),(INDEX(ALLCLASSDATA,MATCH("LightLegendary",CLASSFEATUREHEADERS,0),MATCH(($A1167 &amp; "Points"),CLASSNAMEHEADERS,0))),(IF("07"=(INDEX(ALLCLASSDATA,MATCH("LightMaster",CLASSFEATUREHEADERS,0),MATCH($A1167,CLASSNAMEHEADERS,0))),(INDEX(ALLCLASSDATA,MATCH("LightMaster",CLASSFEATUREHEADERS,0),MATCH(($A1167 &amp; "Points"),CLASSNAMEHEADERS,0))),(IF("07"=(INDEX(ALLCLASSDATA,MATCH("LightExpert",CLASSFEATUREHEADERS,0),MATCH($A1167,CLASSNAMEHEADERS,0))),(INDEX(ALLCLASSDATA,MATCH("LightExpert",CLASSFEATUREHEADERS,0),MATCH(($A1167 &amp; "Points"),CLASSNAMEHEADERS,0))),(IF("07"=(INDEX(ALLCLASSDATA,MATCH("LightTrained",CLASSFEATUREHEADERS,0),MATCH($A1167,CLASSNAMEHEADERS,0))),(INDEX(ALLCLASSDATA,MATCH("LightTrained",CLASSFEATUREHEADERS,0),MATCH(($A1167 &amp; "Points"),CLASSNAMEHEADERS,0))),"")))))))))}</f>
        <v>LIGHTL07</v>
      </c>
      <c r="O1166" s="223"/>
      <c r="P1166" s="223" t="str">
        <f t="array" ref="P1166:P1167">{"LIGHTL09";((IF("09"=(INDEX(ALLCLASSDATA,MATCH("LightLegendary",CLASSFEATUREHEADERS,0),MATCH($A1167,CLASSNAMEHEADERS,0))),(INDEX(ALLCLASSDATA,MATCH("LightLegendary",CLASSFEATUREHEADERS,0),MATCH(($A1167 &amp; "Points"),CLASSNAMEHEADERS,0))),(IF("09"=(INDEX(ALLCLASSDATA,MATCH("LightMaster",CLASSFEATUREHEADERS,0),MATCH($A1167,CLASSNAMEHEADERS,0))),(INDEX(ALLCLASSDATA,MATCH("LightMaster",CLASSFEATUREHEADERS,0),MATCH(($A1167 &amp; "Points"),CLASSNAMEHEADERS,0))),(IF("09"=(INDEX(ALLCLASSDATA,MATCH("LightExpert",CLASSFEATUREHEADERS,0),MATCH($A1167,CLASSNAMEHEADERS,0))),(INDEX(ALLCLASSDATA,MATCH("LightExpert",CLASSFEATUREHEADERS,0),MATCH(($A1167 &amp; "Points"),CLASSNAMEHEADERS,0))),(IF("09"=(INDEX(ALLCLASSDATA,MATCH("LightTrained",CLASSFEATUREHEADERS,0),MATCH($A1167,CLASSNAMEHEADERS,0))),(INDEX(ALLCLASSDATA,MATCH("LightTrained",CLASSFEATUREHEADERS,0),MATCH(($A1167 &amp; "Points"),CLASSNAMEHEADERS,0))),"")))))))))}</f>
        <v>LIGHTL09</v>
      </c>
      <c r="Q1166" s="223"/>
      <c r="R1166" s="223" t="str">
        <f t="array" ref="R1166:R1167">{"LIGHTL11";((IF("11"=(INDEX(ALLCLASSDATA,MATCH("LightLegendary",CLASSFEATUREHEADERS,0),MATCH($A1167,CLASSNAMEHEADERS,0))),(INDEX(ALLCLASSDATA,MATCH("LightLegendary",CLASSFEATUREHEADERS,0),MATCH(($A1167 &amp; "Points"),CLASSNAMEHEADERS,0))),(IF("11"=(INDEX(ALLCLASSDATA,MATCH("LightMaster",CLASSFEATUREHEADERS,0),MATCH($A1167,CLASSNAMEHEADERS,0))),(INDEX(ALLCLASSDATA,MATCH("LightMaster",CLASSFEATUREHEADERS,0),MATCH(($A1167 &amp; "Points"),CLASSNAMEHEADERS,0))),(IF("11"=(INDEX(ALLCLASSDATA,MATCH("LightExpert",CLASSFEATUREHEADERS,0),MATCH($A1167,CLASSNAMEHEADERS,0))),(INDEX(ALLCLASSDATA,MATCH("LightExpert",CLASSFEATUREHEADERS,0),MATCH(($A1167 &amp; "Points"),CLASSNAMEHEADERS,0))),(IF("11"=(INDEX(ALLCLASSDATA,MATCH("LightTrained",CLASSFEATUREHEADERS,0),MATCH($A1167,CLASSNAMEHEADERS,0))),(INDEX(ALLCLASSDATA,MATCH("LightTrained",CLASSFEATUREHEADERS,0),MATCH(($A1167 &amp; "Points"),CLASSNAMEHEADERS,0))),"")))))))))}</f>
        <v>LIGHTL11</v>
      </c>
      <c r="S1166" s="223"/>
      <c r="T1166" s="223" t="str">
        <f t="array" ref="T1166:T1167">{"LIGHTL13";((IF("13"=(INDEX(ALLCLASSDATA,MATCH("LightLegendary",CLASSFEATUREHEADERS,0),MATCH($A1167,CLASSNAMEHEADERS,0))),(INDEX(ALLCLASSDATA,MATCH("LightLegendary",CLASSFEATUREHEADERS,0),MATCH(($A1167 &amp; "Points"),CLASSNAMEHEADERS,0))),(IF("13"=(INDEX(ALLCLASSDATA,MATCH("LightMaster",CLASSFEATUREHEADERS,0),MATCH($A1167,CLASSNAMEHEADERS,0))),(INDEX(ALLCLASSDATA,MATCH("LightMaster",CLASSFEATUREHEADERS,0),MATCH(($A1167 &amp; "Points"),CLASSNAMEHEADERS,0))),(IF("13"=(INDEX(ALLCLASSDATA,MATCH("LightExpert",CLASSFEATUREHEADERS,0),MATCH($A1167,CLASSNAMEHEADERS,0))),(INDEX(ALLCLASSDATA,MATCH("LightExpert",CLASSFEATUREHEADERS,0),MATCH(($A1167 &amp; "Points"),CLASSNAMEHEADERS,0))),(IF("13"=(INDEX(ALLCLASSDATA,MATCH("LightTrained",CLASSFEATUREHEADERS,0),MATCH($A1167,CLASSNAMEHEADERS,0))),(INDEX(ALLCLASSDATA,MATCH("LightTrained",CLASSFEATUREHEADERS,0),MATCH(($A1167 &amp; "Points"),CLASSNAMEHEADERS,0))),"")))))))))}</f>
        <v>LIGHTL13</v>
      </c>
      <c r="U1166" s="223"/>
      <c r="V1166" s="223" t="str">
        <f t="array" ref="V1166:V1167">{"LIGHTL15";((IF("15"=(INDEX(ALLCLASSDATA,MATCH("LightLegendary",CLASSFEATUREHEADERS,0),MATCH($A1167,CLASSNAMEHEADERS,0))),(INDEX(ALLCLASSDATA,MATCH("LightLegendary",CLASSFEATUREHEADERS,0),MATCH(($A1167 &amp; "Points"),CLASSNAMEHEADERS,0))),(IF("15"=(INDEX(ALLCLASSDATA,MATCH("LightMaster",CLASSFEATUREHEADERS,0),MATCH($A1167,CLASSNAMEHEADERS,0))),(INDEX(ALLCLASSDATA,MATCH("LightMaster",CLASSFEATUREHEADERS,0),MATCH(($A1167 &amp; "Points"),CLASSNAMEHEADERS,0))),(IF("15"=(INDEX(ALLCLASSDATA,MATCH("LightExpert",CLASSFEATUREHEADERS,0),MATCH($A1167,CLASSNAMEHEADERS,0))),(INDEX(ALLCLASSDATA,MATCH("LightExpert",CLASSFEATUREHEADERS,0),MATCH(($A1167 &amp; "Points"),CLASSNAMEHEADERS,0))),(IF("15"=(INDEX(ALLCLASSDATA,MATCH("LightTrained",CLASSFEATUREHEADERS,0),MATCH($A1167,CLASSNAMEHEADERS,0))),(INDEX(ALLCLASSDATA,MATCH("LightTrained",CLASSFEATUREHEADERS,0),MATCH(($A1167 &amp; "Points"),CLASSNAMEHEADERS,0))),"")))))))))}</f>
        <v>LIGHTL15</v>
      </c>
      <c r="W1166" s="223"/>
      <c r="X1166" s="223" t="str">
        <f t="array" ref="X1166:X1167">{"LIGHTL17";((IF("17"=(INDEX(ALLCLASSDATA,MATCH("LightLegendary",CLASSFEATUREHEADERS,0),MATCH($A1167,CLASSNAMEHEADERS,0))),(INDEX(ALLCLASSDATA,MATCH("LightLegendary",CLASSFEATUREHEADERS,0),MATCH(($A1167 &amp; "Points"),CLASSNAMEHEADERS,0))),(IF("17"=(INDEX(ALLCLASSDATA,MATCH("LightMaster",CLASSFEATUREHEADERS,0),MATCH($A1167,CLASSNAMEHEADERS,0))),(INDEX(ALLCLASSDATA,MATCH("LightMaster",CLASSFEATUREHEADERS,0),MATCH(($A1167 &amp; "Points"),CLASSNAMEHEADERS,0))),(IF("17"=(INDEX(ALLCLASSDATA,MATCH("LightExpert",CLASSFEATUREHEADERS,0),MATCH($A1167,CLASSNAMEHEADERS,0))),(INDEX(ALLCLASSDATA,MATCH("LightExpert",CLASSFEATUREHEADERS,0),MATCH(($A1167 &amp; "Points"),CLASSNAMEHEADERS,0))),(IF("17"=(INDEX(ALLCLASSDATA,MATCH("LightTrained",CLASSFEATUREHEADERS,0),MATCH($A1167,CLASSNAMEHEADERS,0))),(INDEX(ALLCLASSDATA,MATCH("LightTrained",CLASSFEATUREHEADERS,0),MATCH(($A1167 &amp; "Points"),CLASSNAMEHEADERS,0))),"")))))))))}</f>
        <v>LIGHTL17</v>
      </c>
      <c r="Y1166" s="223"/>
      <c r="Z1166" s="223" t="str">
        <f t="array" ref="Z1166:Z1167">{"LIGHTL19";((IF("19"=(INDEX(ALLCLASSDATA,MATCH("LightLegendary",CLASSFEATUREHEADERS,0),MATCH($A1167,CLASSNAMEHEADERS,0))),(INDEX(ALLCLASSDATA,MATCH("LightLegendary",CLASSFEATUREHEADERS,0),MATCH(($A1167 &amp; "Points"),CLASSNAMEHEADERS,0))),(IF("19"=(INDEX(ALLCLASSDATA,MATCH("LightMaster",CLASSFEATUREHEADERS,0),MATCH($A1167,CLASSNAMEHEADERS,0))),(INDEX(ALLCLASSDATA,MATCH("LightMaster",CLASSFEATUREHEADERS,0),MATCH(($A1167 &amp; "Points"),CLASSNAMEHEADERS,0))),(IF("19"=(INDEX(ALLCLASSDATA,MATCH("LightExpert",CLASSFEATUREHEADERS,0),MATCH($A1167,CLASSNAMEHEADERS,0))),(INDEX(ALLCLASSDATA,MATCH("LightExpert",CLASSFEATUREHEADERS,0),MATCH(($A1167 &amp; "Points"),CLASSNAMEHEADERS,0))),(IF("19"=(INDEX(ALLCLASSDATA,MATCH("LightTrained",CLASSFEATUREHEADERS,0),MATCH($A1167,CLASSNAMEHEADERS,0))),(INDEX(ALLCLASSDATA,MATCH("LightTrained",CLASSFEATUREHEADERS,0),MATCH(($A1167 &amp; "Points"),CLASSNAMEHEADERS,0))),"")))))))))}</f>
        <v>LIGHTL19</v>
      </c>
      <c r="AA1166" s="223"/>
      <c r="AB1166" s="76" t="str">
        <f t="array" ref="AB1166:AB1167">{"LIGHT TOTAL";(IF(COUNTBLANK(G1167:AA1167)=17,"L",(IF(COUNTBLANK(G1167:AA1167)=18,"M",(IF(COUNTBLANK(G1167:AA1167)=19,"E",(IF(COUNTBLANK(G1167:AA1167)=20,"T",""))))))))}</f>
        <v>LIGHT TOTAL</v>
      </c>
      <c r="AC1166" s="76" t="str">
        <f t="array" ref="AC1166:AC1167">{"LIGHT TOTAL";(sum(G1167:AA1167))}</f>
        <v>LIGHT TOTAL</v>
      </c>
    </row>
    <row r="1167">
      <c r="A1167" s="48" t="s">
        <v>195</v>
      </c>
      <c r="B1167" s="48"/>
      <c r="C1167" s="48" t="s">
        <v>417</v>
      </c>
      <c r="D1167" s="48" t="s">
        <v>1900</v>
      </c>
      <c r="E1167" s="48" t="s">
        <v>77</v>
      </c>
      <c r="F1167" s="5" t="s">
        <v>603</v>
      </c>
      <c r="G1167" s="47" t="s">
        <v>603</v>
      </c>
      <c r="H1167" s="5" t="s">
        <v>603</v>
      </c>
      <c r="I1167" s="5"/>
      <c r="J1167" s="5" t="s">
        <v>603</v>
      </c>
      <c r="K1167" s="5"/>
      <c r="L1167" s="5" t="s">
        <v>603</v>
      </c>
      <c r="M1167" s="5"/>
      <c r="N1167" s="5" t="s">
        <v>603</v>
      </c>
      <c r="O1167" s="5"/>
      <c r="P1167" s="5" t="s">
        <v>603</v>
      </c>
      <c r="Q1167" s="5"/>
      <c r="R1167" s="5" t="s">
        <v>603</v>
      </c>
      <c r="S1167" s="5"/>
      <c r="T1167" s="5" t="s">
        <v>603</v>
      </c>
      <c r="U1167" s="5"/>
      <c r="V1167" s="5" t="s">
        <v>603</v>
      </c>
      <c r="W1167" s="5"/>
      <c r="X1167" s="5" t="s">
        <v>603</v>
      </c>
      <c r="Y1167" s="5"/>
      <c r="Z1167" s="5" t="s">
        <v>603</v>
      </c>
      <c r="AA1167" s="5"/>
      <c r="AB1167" s="5" t="s">
        <v>603</v>
      </c>
      <c r="AC1167" s="47">
        <v>0.0</v>
      </c>
    </row>
    <row r="1168" hidden="1">
      <c r="A1168" s="222" t="str">
        <f t="array" ref="A1168:A1169">{"FormulaRow37";(INDEX(CLASSLIST,A1095,1))}</f>
        <v>FormulaRow37</v>
      </c>
      <c r="B1168" s="77" t="s">
        <v>236</v>
      </c>
      <c r="C1168" s="222" t="str">
        <f t="array" ref="C1168:C1169">{"CLASSTYPE";((INDEX(ALLCLASSDATA,MATCH("ClassType",CLASSFEATUREHEADERS,0),MATCH($A1169,CLASSNAMEHEADERS,0))))}</f>
        <v>CLASSTYPE</v>
      </c>
      <c r="D1168" s="222" t="str">
        <f t="array" ref="D1168:D1169">{"DEFENSE";"Defense"}</f>
        <v>DEFENSE</v>
      </c>
      <c r="E1168" s="222" t="str">
        <f t="array" ref="E1168:E1169">{"MEDIUM";"Medium"}</f>
        <v>MEDIUM</v>
      </c>
      <c r="F1168" s="223" t="str">
        <f t="array" ref="F1168:F1169">{"MEDIUMINITIAL";((IF(H1169=10,"T",(IF(H1169=50,"E","")))))}</f>
        <v>MEDIUMINITIAL</v>
      </c>
      <c r="G1168" s="223" t="str">
        <f t="array" ref="G1168:G1169">{"MEDIUMINITIALPTS";((IF("00"=(INDEX(ALLCLASSDATA,MATCH("MediumLegendary",CLASSFEATUREHEADERS,0),MATCH($A1169,CLASSNAMEHEADERS,0))),(INDEX(ALLCLASSDATA,MATCH("MediumLegendary",CLASSFEATUREHEADERS,0),MATCH(($A1169 &amp; "Points"),CLASSNAMEHEADERS,0))),(IF("00"=(INDEX(ALLCLASSDATA,MATCH("MediumMaster",CLASSFEATUREHEADERS,0),MATCH($A1169,CLASSNAMEHEADERS,0))),(INDEX(ALLCLASSDATA,MATCH("MediumMaster",CLASSFEATUREHEADERS,0),MATCH(($A1169 &amp; "Points"),CLASSNAMEHEADERS,0))),(IF("00"=(INDEX(ALLCLASSDATA,MATCH("MediumExpert",CLASSFEATUREHEADERS,0),MATCH($A1169,CLASSNAMEHEADERS,0))),(INDEX(ALLCLASSDATA,MATCH("MediumExpert",CLASSFEATUREHEADERS,0),MATCH(($A1169 &amp; "Points"),CLASSNAMEHEADERS,0))),(IF("00"=(INDEX(ALLCLASSDATA,MATCH("MediumTrained",CLASSFEATUREHEADERS,0),MATCH($A1169,CLASSNAMEHEADERS,0))),(INDEX(ALLCLASSDATA,MATCH("MediumTrained",CLASSFEATUREHEADERS,0),MATCH(($A1169 &amp; "Points"),CLASSNAMEHEADERS,0))),"")))))))))}</f>
        <v>MEDIUMINITIALPTS</v>
      </c>
      <c r="H1168" s="223" t="str">
        <f t="array" ref="H1168:H1169">{"MEDIUML01";((IF("01"=(INDEX(ALLCLASSDATA,MATCH("MediumLegendary",CLASSFEATUREHEADERS,0),MATCH($A1169,CLASSNAMEHEADERS,0))),(INDEX(ALLCLASSDATA,MATCH("MediumLegendary",CLASSFEATUREHEADERS,0),MATCH(($A1169 &amp; "Points"),CLASSNAMEHEADERS,0))),(IF("01"=(INDEX(ALLCLASSDATA,MATCH("MediumMaster",CLASSFEATUREHEADERS,0),MATCH($A1169,CLASSNAMEHEADERS,0))),(INDEX(ALLCLASSDATA,MATCH("MediumMaster",CLASSFEATUREHEADERS,0),MATCH(($A1169 &amp; "Points"),CLASSNAMEHEADERS,0))),(IF("01"=(INDEX(ALLCLASSDATA,MATCH("MediumExpert",CLASSFEATUREHEADERS,0),MATCH($A1169,CLASSNAMEHEADERS,0))),(INDEX(ALLCLASSDATA,MATCH("MediumExpert",CLASSFEATUREHEADERS,0),MATCH(($A1169 &amp; "Points"),CLASSNAMEHEADERS,0))),(IF("01"=(INDEX(ALLCLASSDATA,MATCH("MediumTrained",CLASSFEATUREHEADERS,0),MATCH($A1169,CLASSNAMEHEADERS,0))),(INDEX(ALLCLASSDATA,MATCH("MediumTrained",CLASSFEATUREHEADERS,0),MATCH(($A1169 &amp; "Points"),CLASSNAMEHEADERS,0))),"")))))))))}</f>
        <v>MEDIUML01</v>
      </c>
      <c r="I1168" s="223"/>
      <c r="J1168" s="223" t="str">
        <f t="array" ref="J1168:J1169">{"MEDIUML03";((IF("03"=(INDEX(ALLCLASSDATA,MATCH("MediumLegendary",CLASSFEATUREHEADERS,0),MATCH($A1169,CLASSNAMEHEADERS,0))),(INDEX(ALLCLASSDATA,MATCH("MediumLegendary",CLASSFEATUREHEADERS,0),MATCH(($A1169 &amp; "Points"),CLASSNAMEHEADERS,0))),(IF("03"=(INDEX(ALLCLASSDATA,MATCH("MediumMaster",CLASSFEATUREHEADERS,0),MATCH($A1169,CLASSNAMEHEADERS,0))),(INDEX(ALLCLASSDATA,MATCH("MediumMaster",CLASSFEATUREHEADERS,0),MATCH(($A1169 &amp; "Points"),CLASSNAMEHEADERS,0))),(IF("03"=(INDEX(ALLCLASSDATA,MATCH("MediumExpert",CLASSFEATUREHEADERS,0),MATCH($A1169,CLASSNAMEHEADERS,0))),(INDEX(ALLCLASSDATA,MATCH("MediumExpert",CLASSFEATUREHEADERS,0),MATCH(($A1169 &amp; "Points"),CLASSNAMEHEADERS,0))),(IF("03"=(INDEX(ALLCLASSDATA,MATCH("MediumTrained",CLASSFEATUREHEADERS,0),MATCH($A1169,CLASSNAMEHEADERS,0))),(INDEX(ALLCLASSDATA,MATCH("MediumTrained",CLASSFEATUREHEADERS,0),MATCH(($A1169 &amp; "Points"),CLASSNAMEHEADERS,0))),"")))))))))}</f>
        <v>MEDIUML03</v>
      </c>
      <c r="K1168" s="223"/>
      <c r="L1168" s="223" t="str">
        <f t="array" ref="L1168:L1169">{"MEDIUML05";((IF("05"=(INDEX(ALLCLASSDATA,MATCH("MediumLegendary",CLASSFEATUREHEADERS,0),MATCH($A1169,CLASSNAMEHEADERS,0))),(INDEX(ALLCLASSDATA,MATCH("MediumLegendary",CLASSFEATUREHEADERS,0),MATCH(($A1169 &amp; "Points"),CLASSNAMEHEADERS,0))),(IF("05"=(INDEX(ALLCLASSDATA,MATCH("MediumMaster",CLASSFEATUREHEADERS,0),MATCH($A1169,CLASSNAMEHEADERS,0))),(INDEX(ALLCLASSDATA,MATCH("MediumMaster",CLASSFEATUREHEADERS,0),MATCH(($A1169 &amp; "Points"),CLASSNAMEHEADERS,0))),(IF("05"=(INDEX(ALLCLASSDATA,MATCH("MediumExpert",CLASSFEATUREHEADERS,0),MATCH($A1169,CLASSNAMEHEADERS,0))),(INDEX(ALLCLASSDATA,MATCH("MediumExpert",CLASSFEATUREHEADERS,0),MATCH(($A1169 &amp; "Points"),CLASSNAMEHEADERS,0))),(IF("05"=(INDEX(ALLCLASSDATA,MATCH("MediumTrained",CLASSFEATUREHEADERS,0),MATCH($A1169,CLASSNAMEHEADERS,0))),(INDEX(ALLCLASSDATA,MATCH("MediumTrained",CLASSFEATUREHEADERS,0),MATCH(($A1169 &amp; "Points"),CLASSNAMEHEADERS,0))),"")))))))))}</f>
        <v>MEDIUML05</v>
      </c>
      <c r="M1168" s="223"/>
      <c r="N1168" s="223" t="str">
        <f t="array" ref="N1168:N1169">{"MEDIUML07";((IF("07"=(INDEX(ALLCLASSDATA,MATCH("MediumLegendary",CLASSFEATUREHEADERS,0),MATCH($A1169,CLASSNAMEHEADERS,0))),(INDEX(ALLCLASSDATA,MATCH("MediumLegendary",CLASSFEATUREHEADERS,0),MATCH(($A1169 &amp; "Points"),CLASSNAMEHEADERS,0))),(IF("07"=(INDEX(ALLCLASSDATA,MATCH("MediumMaster",CLASSFEATUREHEADERS,0),MATCH($A1169,CLASSNAMEHEADERS,0))),(INDEX(ALLCLASSDATA,MATCH("MediumMaster",CLASSFEATUREHEADERS,0),MATCH(($A1169 &amp; "Points"),CLASSNAMEHEADERS,0))),(IF("07"=(INDEX(ALLCLASSDATA,MATCH("MediumExpert",CLASSFEATUREHEADERS,0),MATCH($A1169,CLASSNAMEHEADERS,0))),(INDEX(ALLCLASSDATA,MATCH("MediumExpert",CLASSFEATUREHEADERS,0),MATCH(($A1169 &amp; "Points"),CLASSNAMEHEADERS,0))),(IF("07"=(INDEX(ALLCLASSDATA,MATCH("MediumTrained",CLASSFEATUREHEADERS,0),MATCH($A1169,CLASSNAMEHEADERS,0))),(INDEX(ALLCLASSDATA,MATCH("MediumTrained",CLASSFEATUREHEADERS,0),MATCH(($A1169 &amp; "Points"),CLASSNAMEHEADERS,0))),"")))))))))}</f>
        <v>MEDIUML07</v>
      </c>
      <c r="O1168" s="223"/>
      <c r="P1168" s="223" t="str">
        <f t="array" ref="P1168:P1169">{"MEDIUML09";((IF("09"=(INDEX(ALLCLASSDATA,MATCH("MediumLegendary",CLASSFEATUREHEADERS,0),MATCH($A1169,CLASSNAMEHEADERS,0))),(INDEX(ALLCLASSDATA,MATCH("MediumLegendary",CLASSFEATUREHEADERS,0),MATCH(($A1169 &amp; "Points"),CLASSNAMEHEADERS,0))),(IF("09"=(INDEX(ALLCLASSDATA,MATCH("MediumMaster",CLASSFEATUREHEADERS,0),MATCH($A1169,CLASSNAMEHEADERS,0))),(INDEX(ALLCLASSDATA,MATCH("MediumMaster",CLASSFEATUREHEADERS,0),MATCH(($A1169 &amp; "Points"),CLASSNAMEHEADERS,0))),(IF("09"=(INDEX(ALLCLASSDATA,MATCH("MediumExpert",CLASSFEATUREHEADERS,0),MATCH($A1169,CLASSNAMEHEADERS,0))),(INDEX(ALLCLASSDATA,MATCH("MediumExpert",CLASSFEATUREHEADERS,0),MATCH(($A1169 &amp; "Points"),CLASSNAMEHEADERS,0))),(IF("09"=(INDEX(ALLCLASSDATA,MATCH("MediumTrained",CLASSFEATUREHEADERS,0),MATCH($A1169,CLASSNAMEHEADERS,0))),(INDEX(ALLCLASSDATA,MATCH("MediumTrained",CLASSFEATUREHEADERS,0),MATCH(($A1169 &amp; "Points"),CLASSNAMEHEADERS,0))),"")))))))))}</f>
        <v>MEDIUML09</v>
      </c>
      <c r="Q1168" s="223"/>
      <c r="R1168" s="223" t="str">
        <f t="array" ref="R1168:R1169">{"MEDIUML11";((IF("11"=(INDEX(ALLCLASSDATA,MATCH("MediumLegendary",CLASSFEATUREHEADERS,0),MATCH($A1169,CLASSNAMEHEADERS,0))),(INDEX(ALLCLASSDATA,MATCH("MediumLegendary",CLASSFEATUREHEADERS,0),MATCH(($A1169 &amp; "Points"),CLASSNAMEHEADERS,0))),(IF("11"=(INDEX(ALLCLASSDATA,MATCH("MediumMaster",CLASSFEATUREHEADERS,0),MATCH($A1169,CLASSNAMEHEADERS,0))),(INDEX(ALLCLASSDATA,MATCH("MediumMaster",CLASSFEATUREHEADERS,0),MATCH(($A1169 &amp; "Points"),CLASSNAMEHEADERS,0))),(IF("11"=(INDEX(ALLCLASSDATA,MATCH("MediumExpert",CLASSFEATUREHEADERS,0),MATCH($A1169,CLASSNAMEHEADERS,0))),(INDEX(ALLCLASSDATA,MATCH("MediumExpert",CLASSFEATUREHEADERS,0),MATCH(($A1169 &amp; "Points"),CLASSNAMEHEADERS,0))),(IF("11"=(INDEX(ALLCLASSDATA,MATCH("MediumTrained",CLASSFEATUREHEADERS,0),MATCH($A1169,CLASSNAMEHEADERS,0))),(INDEX(ALLCLASSDATA,MATCH("MediumTrained",CLASSFEATUREHEADERS,0),MATCH(($A1169 &amp; "Points"),CLASSNAMEHEADERS,0))),"")))))))))}</f>
        <v>MEDIUML11</v>
      </c>
      <c r="S1168" s="223"/>
      <c r="T1168" s="223" t="str">
        <f t="array" ref="T1168:T1169">{"MEDIUML13";((IF("13"=(INDEX(ALLCLASSDATA,MATCH("MediumLegendary",CLASSFEATUREHEADERS,0),MATCH($A1169,CLASSNAMEHEADERS,0))),(INDEX(ALLCLASSDATA,MATCH("MediumLegendary",CLASSFEATUREHEADERS,0),MATCH(($A1169 &amp; "Points"),CLASSNAMEHEADERS,0))),(IF("13"=(INDEX(ALLCLASSDATA,MATCH("MediumMaster",CLASSFEATUREHEADERS,0),MATCH($A1169,CLASSNAMEHEADERS,0))),(INDEX(ALLCLASSDATA,MATCH("MediumMaster",CLASSFEATUREHEADERS,0),MATCH(($A1169 &amp; "Points"),CLASSNAMEHEADERS,0))),(IF("13"=(INDEX(ALLCLASSDATA,MATCH("MediumExpert",CLASSFEATUREHEADERS,0),MATCH($A1169,CLASSNAMEHEADERS,0))),(INDEX(ALLCLASSDATA,MATCH("MediumExpert",CLASSFEATUREHEADERS,0),MATCH(($A1169 &amp; "Points"),CLASSNAMEHEADERS,0))),(IF("13"=(INDEX(ALLCLASSDATA,MATCH("MediumTrained",CLASSFEATUREHEADERS,0),MATCH($A1169,CLASSNAMEHEADERS,0))),(INDEX(ALLCLASSDATA,MATCH("MediumTrained",CLASSFEATUREHEADERS,0),MATCH(($A1169 &amp; "Points"),CLASSNAMEHEADERS,0))),"")))))))))}</f>
        <v>MEDIUML13</v>
      </c>
      <c r="U1168" s="223"/>
      <c r="V1168" s="223" t="str">
        <f t="array" ref="V1168:V1169">{"MEDIUML15";((IF("15"=(INDEX(ALLCLASSDATA,MATCH("MediumLegendary",CLASSFEATUREHEADERS,0),MATCH($A1169,CLASSNAMEHEADERS,0))),(INDEX(ALLCLASSDATA,MATCH("MediumLegendary",CLASSFEATUREHEADERS,0),MATCH(($A1169 &amp; "Points"),CLASSNAMEHEADERS,0))),(IF("15"=(INDEX(ALLCLASSDATA,MATCH("MediumMaster",CLASSFEATUREHEADERS,0),MATCH($A1169,CLASSNAMEHEADERS,0))),(INDEX(ALLCLASSDATA,MATCH("MediumMaster",CLASSFEATUREHEADERS,0),MATCH(($A1169 &amp; "Points"),CLASSNAMEHEADERS,0))),(IF("15"=(INDEX(ALLCLASSDATA,MATCH("MediumExpert",CLASSFEATUREHEADERS,0),MATCH($A1169,CLASSNAMEHEADERS,0))),(INDEX(ALLCLASSDATA,MATCH("MediumExpert",CLASSFEATUREHEADERS,0),MATCH(($A1169 &amp; "Points"),CLASSNAMEHEADERS,0))),(IF("15"=(INDEX(ALLCLASSDATA,MATCH("MediumTrained",CLASSFEATUREHEADERS,0),MATCH($A1169,CLASSNAMEHEADERS,0))),(INDEX(ALLCLASSDATA,MATCH("MediumTrained",CLASSFEATUREHEADERS,0),MATCH(($A1169 &amp; "Points"),CLASSNAMEHEADERS,0))),"")))))))))}</f>
        <v>MEDIUML15</v>
      </c>
      <c r="W1168" s="223"/>
      <c r="X1168" s="223" t="str">
        <f t="array" ref="X1168:X1169">{"MEDIUML17";((IF("17"=(INDEX(ALLCLASSDATA,MATCH("MediumLegendary",CLASSFEATUREHEADERS,0),MATCH($A1169,CLASSNAMEHEADERS,0))),(INDEX(ALLCLASSDATA,MATCH("MediumLegendary",CLASSFEATUREHEADERS,0),MATCH(($A1169 &amp; "Points"),CLASSNAMEHEADERS,0))),(IF("17"=(INDEX(ALLCLASSDATA,MATCH("MediumMaster",CLASSFEATUREHEADERS,0),MATCH($A1169,CLASSNAMEHEADERS,0))),(INDEX(ALLCLASSDATA,MATCH("MediumMaster",CLASSFEATUREHEADERS,0),MATCH(($A1169 &amp; "Points"),CLASSNAMEHEADERS,0))),(IF("17"=(INDEX(ALLCLASSDATA,MATCH("MediumExpert",CLASSFEATUREHEADERS,0),MATCH($A1169,CLASSNAMEHEADERS,0))),(INDEX(ALLCLASSDATA,MATCH("MediumExpert",CLASSFEATUREHEADERS,0),MATCH(($A1169 &amp; "Points"),CLASSNAMEHEADERS,0))),(IF("17"=(INDEX(ALLCLASSDATA,MATCH("MediumTrained",CLASSFEATUREHEADERS,0),MATCH($A1169,CLASSNAMEHEADERS,0))),(INDEX(ALLCLASSDATA,MATCH("MediumTrained",CLASSFEATUREHEADERS,0),MATCH(($A1169 &amp; "Points"),CLASSNAMEHEADERS,0))),"")))))))))}</f>
        <v>MEDIUML17</v>
      </c>
      <c r="Y1168" s="223"/>
      <c r="Z1168" s="223" t="str">
        <f t="array" ref="Z1168:Z1169">{"MEDIUML19";((IF("19"=(INDEX(ALLCLASSDATA,MATCH("MediumLegendary",CLASSFEATUREHEADERS,0),MATCH($A1169,CLASSNAMEHEADERS,0))),(INDEX(ALLCLASSDATA,MATCH("MediumLegendary",CLASSFEATUREHEADERS,0),MATCH(($A1169 &amp; "Points"),CLASSNAMEHEADERS,0))),(IF("19"=(INDEX(ALLCLASSDATA,MATCH("MediumMaster",CLASSFEATUREHEADERS,0),MATCH($A1169,CLASSNAMEHEADERS,0))),(INDEX(ALLCLASSDATA,MATCH("MediumMaster",CLASSFEATUREHEADERS,0),MATCH(($A1169 &amp; "Points"),CLASSNAMEHEADERS,0))),(IF("19"=(INDEX(ALLCLASSDATA,MATCH("MediumExpert",CLASSFEATUREHEADERS,0),MATCH($A1169,CLASSNAMEHEADERS,0))),(INDEX(ALLCLASSDATA,MATCH("MediumExpert",CLASSFEATUREHEADERS,0),MATCH(($A1169 &amp; "Points"),CLASSNAMEHEADERS,0))),(IF("19"=(INDEX(ALLCLASSDATA,MATCH("MediumTrained",CLASSFEATUREHEADERS,0),MATCH($A1169,CLASSNAMEHEADERS,0))),(INDEX(ALLCLASSDATA,MATCH("MediumTrained",CLASSFEATUREHEADERS,0),MATCH(($A1169 &amp; "Points"),CLASSNAMEHEADERS,0))),"")))))))))}</f>
        <v>MEDIUML19</v>
      </c>
      <c r="AA1168" s="223"/>
      <c r="AB1168" s="76" t="str">
        <f t="array" ref="AB1168:AB1169">{"MEDIUM TOTAL";(IF(COUNTBLANK(G1169:AA1169)=17,"L",(IF(COUNTBLANK(G1169:AA1169)=18,"M",(IF(COUNTBLANK(G1169:AA1169)=19,"E",(IF(COUNTBLANK(G1169:AA1169)=20,"T",""))))))))}</f>
        <v>MEDIUM TOTAL</v>
      </c>
      <c r="AC1168" s="76" t="str">
        <f t="array" ref="AC1168:AC1169">{"MEDIUM TOTAL";(sum(G1169:AA1169))}</f>
        <v>MEDIUM TOTAL</v>
      </c>
    </row>
    <row r="1169">
      <c r="A1169" s="48" t="s">
        <v>195</v>
      </c>
      <c r="B1169" s="48"/>
      <c r="C1169" s="48" t="s">
        <v>417</v>
      </c>
      <c r="D1169" s="48" t="s">
        <v>1900</v>
      </c>
      <c r="E1169" s="48" t="s">
        <v>76</v>
      </c>
      <c r="F1169" s="5" t="s">
        <v>603</v>
      </c>
      <c r="G1169" s="47" t="s">
        <v>603</v>
      </c>
      <c r="H1169" s="5" t="s">
        <v>603</v>
      </c>
      <c r="I1169" s="5"/>
      <c r="J1169" s="5" t="s">
        <v>603</v>
      </c>
      <c r="K1169" s="5"/>
      <c r="L1169" s="5" t="s">
        <v>603</v>
      </c>
      <c r="M1169" s="5"/>
      <c r="N1169" s="5" t="s">
        <v>603</v>
      </c>
      <c r="O1169" s="5"/>
      <c r="P1169" s="5" t="s">
        <v>603</v>
      </c>
      <c r="Q1169" s="5"/>
      <c r="R1169" s="5" t="s">
        <v>603</v>
      </c>
      <c r="S1169" s="5"/>
      <c r="T1169" s="5" t="s">
        <v>603</v>
      </c>
      <c r="U1169" s="5"/>
      <c r="V1169" s="5" t="s">
        <v>603</v>
      </c>
      <c r="W1169" s="5"/>
      <c r="X1169" s="5" t="s">
        <v>603</v>
      </c>
      <c r="Y1169" s="5"/>
      <c r="Z1169" s="5" t="s">
        <v>603</v>
      </c>
      <c r="AA1169" s="5"/>
      <c r="AB1169" s="5" t="s">
        <v>603</v>
      </c>
      <c r="AC1169" s="47">
        <v>0.0</v>
      </c>
    </row>
    <row r="1170" hidden="1">
      <c r="A1170" s="222" t="str">
        <f t="array" ref="A1170:A1171">{"FormulaRow38";(INDEX(CLASSLIST,A1095,1))}</f>
        <v>FormulaRow38</v>
      </c>
      <c r="B1170" s="77" t="s">
        <v>236</v>
      </c>
      <c r="C1170" s="222" t="str">
        <f t="array" ref="C1170:C1171">{"CLASSTYPE";((INDEX(ALLCLASSDATA,MATCH("ClassType",CLASSFEATUREHEADERS,0),MATCH($A1171,CLASSNAMEHEADERS,0))))}</f>
        <v>CLASSTYPE</v>
      </c>
      <c r="D1170" s="222" t="str">
        <f t="array" ref="D1170:D1171">{"DEFENSE";"Defense"}</f>
        <v>DEFENSE</v>
      </c>
      <c r="E1170" s="222" t="str">
        <f t="array" ref="E1170:E1171">{"HEAVY";"Heavy"}</f>
        <v>HEAVY</v>
      </c>
      <c r="F1170" s="223" t="str">
        <f t="array" ref="F1170:F1171">{"HEAVYINITIAL";((IF(H1171=10,"T",(IF(H1171=50,"E","")))))}</f>
        <v>HEAVYINITIAL</v>
      </c>
      <c r="G1170" s="223" t="str">
        <f t="array" ref="G1170:G1171">{"HEAVYINITIALPTS";((IF("00"=(INDEX(ALLCLASSDATA,MATCH("HeavyLegendary",CLASSFEATUREHEADERS,0),MATCH($A1171,CLASSNAMEHEADERS,0))),(INDEX(ALLCLASSDATA,MATCH("HeavyLegendary",CLASSFEATUREHEADERS,0),MATCH(($A1171 &amp; "Points"),CLASSNAMEHEADERS,0))),(IF("00"=(INDEX(ALLCLASSDATA,MATCH("HeavyMaster",CLASSFEATUREHEADERS,0),MATCH($A1171,CLASSNAMEHEADERS,0))),(INDEX(ALLCLASSDATA,MATCH("HeavyMaster",CLASSFEATUREHEADERS,0),MATCH(($A1171 &amp; "Points"),CLASSNAMEHEADERS,0))),(IF("00"=(INDEX(ALLCLASSDATA,MATCH("HeavyExpert",CLASSFEATUREHEADERS,0),MATCH($A1171,CLASSNAMEHEADERS,0))),(INDEX(ALLCLASSDATA,MATCH("HeavyExpert",CLASSFEATUREHEADERS,0),MATCH(($A1171 &amp; "Points"),CLASSNAMEHEADERS,0))),(IF("00"=(INDEX(ALLCLASSDATA,MATCH("HeavyTrained",CLASSFEATUREHEADERS,0),MATCH($A1171,CLASSNAMEHEADERS,0))),(INDEX(ALLCLASSDATA,MATCH("HeavyTrained",CLASSFEATUREHEADERS,0),MATCH(($A1171 &amp; "Points"),CLASSNAMEHEADERS,0))),"")))))))))}</f>
        <v>HEAVYINITIALPTS</v>
      </c>
      <c r="H1170" s="223" t="str">
        <f t="array" ref="H1170:H1171">{"HEAVYL01";((IF("01"=(INDEX(ALLCLASSDATA,MATCH("HeavyLegendary",CLASSFEATUREHEADERS,0),MATCH($A1171,CLASSNAMEHEADERS,0))),(INDEX(ALLCLASSDATA,MATCH("HeavyLegendary",CLASSFEATUREHEADERS,0),MATCH(($A1171 &amp; "Points"),CLASSNAMEHEADERS,0))),(IF("01"=(INDEX(ALLCLASSDATA,MATCH("HeavyMaster",CLASSFEATUREHEADERS,0),MATCH($A1171,CLASSNAMEHEADERS,0))),(INDEX(ALLCLASSDATA,MATCH("HeavyMaster",CLASSFEATUREHEADERS,0),MATCH(($A1171 &amp; "Points"),CLASSNAMEHEADERS,0))),(IF("01"=(INDEX(ALLCLASSDATA,MATCH("HeavyExpert",CLASSFEATUREHEADERS,0),MATCH($A1171,CLASSNAMEHEADERS,0))),(INDEX(ALLCLASSDATA,MATCH("HeavyExpert",CLASSFEATUREHEADERS,0),MATCH(($A1171 &amp; "Points"),CLASSNAMEHEADERS,0))),(IF("01"=(INDEX(ALLCLASSDATA,MATCH("HeavyTrained",CLASSFEATUREHEADERS,0),MATCH($A1171,CLASSNAMEHEADERS,0))),(INDEX(ALLCLASSDATA,MATCH("HeavyTrained",CLASSFEATUREHEADERS,0),MATCH(($A1171 &amp; "Points"),CLASSNAMEHEADERS,0))),"")))))))))}</f>
        <v>HEAVYL01</v>
      </c>
      <c r="I1170" s="223"/>
      <c r="J1170" s="223" t="str">
        <f t="array" ref="J1170:J1171">{"HEAVYL03";((IF("03"=(INDEX(ALLCLASSDATA,MATCH("HeavyLegendary",CLASSFEATUREHEADERS,0),MATCH($A1171,CLASSNAMEHEADERS,0))),(INDEX(ALLCLASSDATA,MATCH("HeavyLegendary",CLASSFEATUREHEADERS,0),MATCH(($A1171 &amp; "Points"),CLASSNAMEHEADERS,0))),(IF("03"=(INDEX(ALLCLASSDATA,MATCH("HeavyMaster",CLASSFEATUREHEADERS,0),MATCH($A1171,CLASSNAMEHEADERS,0))),(INDEX(ALLCLASSDATA,MATCH("HeavyMaster",CLASSFEATUREHEADERS,0),MATCH(($A1171 &amp; "Points"),CLASSNAMEHEADERS,0))),(IF("03"=(INDEX(ALLCLASSDATA,MATCH("HeavyExpert",CLASSFEATUREHEADERS,0),MATCH($A1171,CLASSNAMEHEADERS,0))),(INDEX(ALLCLASSDATA,MATCH("HeavyExpert",CLASSFEATUREHEADERS,0),MATCH(($A1171 &amp; "Points"),CLASSNAMEHEADERS,0))),(IF("03"=(INDEX(ALLCLASSDATA,MATCH("HeavyTrained",CLASSFEATUREHEADERS,0),MATCH($A1171,CLASSNAMEHEADERS,0))),(INDEX(ALLCLASSDATA,MATCH("HeavyTrained",CLASSFEATUREHEADERS,0),MATCH(($A1171 &amp; "Points"),CLASSNAMEHEADERS,0))),"")))))))))}</f>
        <v>HEAVYL03</v>
      </c>
      <c r="K1170" s="223"/>
      <c r="L1170" s="223" t="str">
        <f t="array" ref="L1170:L1171">{"HEAVYL05";((IF("05"=(INDEX(ALLCLASSDATA,MATCH("HeavyLegendary",CLASSFEATUREHEADERS,0),MATCH($A1171,CLASSNAMEHEADERS,0))),(INDEX(ALLCLASSDATA,MATCH("HeavyLegendary",CLASSFEATUREHEADERS,0),MATCH(($A1171 &amp; "Points"),CLASSNAMEHEADERS,0))),(IF("05"=(INDEX(ALLCLASSDATA,MATCH("HeavyMaster",CLASSFEATUREHEADERS,0),MATCH($A1171,CLASSNAMEHEADERS,0))),(INDEX(ALLCLASSDATA,MATCH("HeavyMaster",CLASSFEATUREHEADERS,0),MATCH(($A1171 &amp; "Points"),CLASSNAMEHEADERS,0))),(IF("05"=(INDEX(ALLCLASSDATA,MATCH("HeavyExpert",CLASSFEATUREHEADERS,0),MATCH($A1171,CLASSNAMEHEADERS,0))),(INDEX(ALLCLASSDATA,MATCH("HeavyExpert",CLASSFEATUREHEADERS,0),MATCH(($A1171 &amp; "Points"),CLASSNAMEHEADERS,0))),(IF("05"=(INDEX(ALLCLASSDATA,MATCH("HeavyTrained",CLASSFEATUREHEADERS,0),MATCH($A1171,CLASSNAMEHEADERS,0))),(INDEX(ALLCLASSDATA,MATCH("HeavyTrained",CLASSFEATUREHEADERS,0),MATCH(($A1171 &amp; "Points"),CLASSNAMEHEADERS,0))),"")))))))))}</f>
        <v>HEAVYL05</v>
      </c>
      <c r="M1170" s="223"/>
      <c r="N1170" s="223" t="str">
        <f t="array" ref="N1170:N1171">{"HEAVYL07";((IF("07"=(INDEX(ALLCLASSDATA,MATCH("HeavyLegendary",CLASSFEATUREHEADERS,0),MATCH($A1171,CLASSNAMEHEADERS,0))),(INDEX(ALLCLASSDATA,MATCH("HeavyLegendary",CLASSFEATUREHEADERS,0),MATCH(($A1171 &amp; "Points"),CLASSNAMEHEADERS,0))),(IF("07"=(INDEX(ALLCLASSDATA,MATCH("HeavyMaster",CLASSFEATUREHEADERS,0),MATCH($A1171,CLASSNAMEHEADERS,0))),(INDEX(ALLCLASSDATA,MATCH("HeavyMaster",CLASSFEATUREHEADERS,0),MATCH(($A1171 &amp; "Points"),CLASSNAMEHEADERS,0))),(IF("07"=(INDEX(ALLCLASSDATA,MATCH("HeavyExpert",CLASSFEATUREHEADERS,0),MATCH($A1171,CLASSNAMEHEADERS,0))),(INDEX(ALLCLASSDATA,MATCH("HeavyExpert",CLASSFEATUREHEADERS,0),MATCH(($A1171 &amp; "Points"),CLASSNAMEHEADERS,0))),(IF("07"=(INDEX(ALLCLASSDATA,MATCH("HeavyTrained",CLASSFEATUREHEADERS,0),MATCH($A1171,CLASSNAMEHEADERS,0))),(INDEX(ALLCLASSDATA,MATCH("HeavyTrained",CLASSFEATUREHEADERS,0),MATCH(($A1171 &amp; "Points"),CLASSNAMEHEADERS,0))),"")))))))))}</f>
        <v>HEAVYL07</v>
      </c>
      <c r="O1170" s="223"/>
      <c r="P1170" s="223" t="str">
        <f t="array" ref="P1170:P1171">{"HEAVYL09";((IF("09"=(INDEX(ALLCLASSDATA,MATCH("HeavyLegendary",CLASSFEATUREHEADERS,0),MATCH($A1171,CLASSNAMEHEADERS,0))),(INDEX(ALLCLASSDATA,MATCH("HeavyLegendary",CLASSFEATUREHEADERS,0),MATCH(($A1171 &amp; "Points"),CLASSNAMEHEADERS,0))),(IF("09"=(INDEX(ALLCLASSDATA,MATCH("HeavyMaster",CLASSFEATUREHEADERS,0),MATCH($A1171,CLASSNAMEHEADERS,0))),(INDEX(ALLCLASSDATA,MATCH("HeavyMaster",CLASSFEATUREHEADERS,0),MATCH(($A1171 &amp; "Points"),CLASSNAMEHEADERS,0))),(IF("09"=(INDEX(ALLCLASSDATA,MATCH("HeavyExpert",CLASSFEATUREHEADERS,0),MATCH($A1171,CLASSNAMEHEADERS,0))),(INDEX(ALLCLASSDATA,MATCH("HeavyExpert",CLASSFEATUREHEADERS,0),MATCH(($A1171 &amp; "Points"),CLASSNAMEHEADERS,0))),(IF("09"=(INDEX(ALLCLASSDATA,MATCH("HeavyTrained",CLASSFEATUREHEADERS,0),MATCH($A1171,CLASSNAMEHEADERS,0))),(INDEX(ALLCLASSDATA,MATCH("HeavyTrained",CLASSFEATUREHEADERS,0),MATCH(($A1171 &amp; "Points"),CLASSNAMEHEADERS,0))),"")))))))))}</f>
        <v>HEAVYL09</v>
      </c>
      <c r="Q1170" s="223"/>
      <c r="R1170" s="223" t="str">
        <f t="array" ref="R1170:R1171">{"HEAVYL11";((IF("11"=(INDEX(ALLCLASSDATA,MATCH("HeavyLegendary",CLASSFEATUREHEADERS,0),MATCH($A1171,CLASSNAMEHEADERS,0))),(INDEX(ALLCLASSDATA,MATCH("HeavyLegendary",CLASSFEATUREHEADERS,0),MATCH(($A1171 &amp; "Points"),CLASSNAMEHEADERS,0))),(IF("11"=(INDEX(ALLCLASSDATA,MATCH("HeavyMaster",CLASSFEATUREHEADERS,0),MATCH($A1171,CLASSNAMEHEADERS,0))),(INDEX(ALLCLASSDATA,MATCH("HeavyMaster",CLASSFEATUREHEADERS,0),MATCH(($A1171 &amp; "Points"),CLASSNAMEHEADERS,0))),(IF("11"=(INDEX(ALLCLASSDATA,MATCH("HeavyExpert",CLASSFEATUREHEADERS,0),MATCH($A1171,CLASSNAMEHEADERS,0))),(INDEX(ALLCLASSDATA,MATCH("HeavyExpert",CLASSFEATUREHEADERS,0),MATCH(($A1171 &amp; "Points"),CLASSNAMEHEADERS,0))),(IF("11"=(INDEX(ALLCLASSDATA,MATCH("HeavyTrained",CLASSFEATUREHEADERS,0),MATCH($A1171,CLASSNAMEHEADERS,0))),(INDEX(ALLCLASSDATA,MATCH("HeavyTrained",CLASSFEATUREHEADERS,0),MATCH(($A1171 &amp; "Points"),CLASSNAMEHEADERS,0))),"")))))))))}</f>
        <v>HEAVYL11</v>
      </c>
      <c r="S1170" s="223"/>
      <c r="T1170" s="223" t="str">
        <f t="array" ref="T1170:T1171">{"HEAVYL13";((IF("13"=(INDEX(ALLCLASSDATA,MATCH("HeavyLegendary",CLASSFEATUREHEADERS,0),MATCH($A1171,CLASSNAMEHEADERS,0))),(INDEX(ALLCLASSDATA,MATCH("HeavyLegendary",CLASSFEATUREHEADERS,0),MATCH(($A1171 &amp; "Points"),CLASSNAMEHEADERS,0))),(IF("13"=(INDEX(ALLCLASSDATA,MATCH("HeavyMaster",CLASSFEATUREHEADERS,0),MATCH($A1171,CLASSNAMEHEADERS,0))),(INDEX(ALLCLASSDATA,MATCH("HeavyMaster",CLASSFEATUREHEADERS,0),MATCH(($A1171 &amp; "Points"),CLASSNAMEHEADERS,0))),(IF("13"=(INDEX(ALLCLASSDATA,MATCH("HeavyExpert",CLASSFEATUREHEADERS,0),MATCH($A1171,CLASSNAMEHEADERS,0))),(INDEX(ALLCLASSDATA,MATCH("HeavyExpert",CLASSFEATUREHEADERS,0),MATCH(($A1171 &amp; "Points"),CLASSNAMEHEADERS,0))),(IF("13"=(INDEX(ALLCLASSDATA,MATCH("HeavyTrained",CLASSFEATUREHEADERS,0),MATCH($A1171,CLASSNAMEHEADERS,0))),(INDEX(ALLCLASSDATA,MATCH("HeavyTrained",CLASSFEATUREHEADERS,0),MATCH(($A1171 &amp; "Points"),CLASSNAMEHEADERS,0))),"")))))))))}</f>
        <v>HEAVYL13</v>
      </c>
      <c r="U1170" s="223"/>
      <c r="V1170" s="223" t="str">
        <f t="array" ref="V1170:V1171">{"HEAVYL15";((IF("15"=(INDEX(ALLCLASSDATA,MATCH("HeavyLegendary",CLASSFEATUREHEADERS,0),MATCH($A1171,CLASSNAMEHEADERS,0))),(INDEX(ALLCLASSDATA,MATCH("HeavyLegendary",CLASSFEATUREHEADERS,0),MATCH(($A1171 &amp; "Points"),CLASSNAMEHEADERS,0))),(IF("15"=(INDEX(ALLCLASSDATA,MATCH("HeavyMaster",CLASSFEATUREHEADERS,0),MATCH($A1171,CLASSNAMEHEADERS,0))),(INDEX(ALLCLASSDATA,MATCH("HeavyMaster",CLASSFEATUREHEADERS,0),MATCH(($A1171 &amp; "Points"),CLASSNAMEHEADERS,0))),(IF("15"=(INDEX(ALLCLASSDATA,MATCH("HeavyExpert",CLASSFEATUREHEADERS,0),MATCH($A1171,CLASSNAMEHEADERS,0))),(INDEX(ALLCLASSDATA,MATCH("HeavyExpert",CLASSFEATUREHEADERS,0),MATCH(($A1171 &amp; "Points"),CLASSNAMEHEADERS,0))),(IF("15"=(INDEX(ALLCLASSDATA,MATCH("HeavyTrained",CLASSFEATUREHEADERS,0),MATCH($A1171,CLASSNAMEHEADERS,0))),(INDEX(ALLCLASSDATA,MATCH("HeavyTrained",CLASSFEATUREHEADERS,0),MATCH(($A1171 &amp; "Points"),CLASSNAMEHEADERS,0))),"")))))))))}</f>
        <v>HEAVYL15</v>
      </c>
      <c r="W1170" s="223"/>
      <c r="X1170" s="223" t="str">
        <f t="array" ref="X1170:X1171">{"HEAVYL17";((IF("17"=(INDEX(ALLCLASSDATA,MATCH("HeavyLegendary",CLASSFEATUREHEADERS,0),MATCH($A1171,CLASSNAMEHEADERS,0))),(INDEX(ALLCLASSDATA,MATCH("HeavyLegendary",CLASSFEATUREHEADERS,0),MATCH(($A1171 &amp; "Points"),CLASSNAMEHEADERS,0))),(IF("17"=(INDEX(ALLCLASSDATA,MATCH("HeavyMaster",CLASSFEATUREHEADERS,0),MATCH($A1171,CLASSNAMEHEADERS,0))),(INDEX(ALLCLASSDATA,MATCH("HeavyMaster",CLASSFEATUREHEADERS,0),MATCH(($A1171 &amp; "Points"),CLASSNAMEHEADERS,0))),(IF("17"=(INDEX(ALLCLASSDATA,MATCH("HeavyExpert",CLASSFEATUREHEADERS,0),MATCH($A1171,CLASSNAMEHEADERS,0))),(INDEX(ALLCLASSDATA,MATCH("HeavyExpert",CLASSFEATUREHEADERS,0),MATCH(($A1171 &amp; "Points"),CLASSNAMEHEADERS,0))),(IF("17"=(INDEX(ALLCLASSDATA,MATCH("HeavyTrained",CLASSFEATUREHEADERS,0),MATCH($A1171,CLASSNAMEHEADERS,0))),(INDEX(ALLCLASSDATA,MATCH("HeavyTrained",CLASSFEATUREHEADERS,0),MATCH(($A1171 &amp; "Points"),CLASSNAMEHEADERS,0))),"")))))))))}</f>
        <v>HEAVYL17</v>
      </c>
      <c r="Y1170" s="223"/>
      <c r="Z1170" s="223" t="str">
        <f t="array" ref="Z1170:Z1171">{"HEAVYL19";((IF("19"=(INDEX(ALLCLASSDATA,MATCH("HeavyLegendary",CLASSFEATUREHEADERS,0),MATCH($A1171,CLASSNAMEHEADERS,0))),(INDEX(ALLCLASSDATA,MATCH("HeavyLegendary",CLASSFEATUREHEADERS,0),MATCH(($A1171 &amp; "Points"),CLASSNAMEHEADERS,0))),(IF("19"=(INDEX(ALLCLASSDATA,MATCH("HeavyMaster",CLASSFEATUREHEADERS,0),MATCH($A1171,CLASSNAMEHEADERS,0))),(INDEX(ALLCLASSDATA,MATCH("HeavyMaster",CLASSFEATUREHEADERS,0),MATCH(($A1171 &amp; "Points"),CLASSNAMEHEADERS,0))),(IF("19"=(INDEX(ALLCLASSDATA,MATCH("HeavyExpert",CLASSFEATUREHEADERS,0),MATCH($A1171,CLASSNAMEHEADERS,0))),(INDEX(ALLCLASSDATA,MATCH("HeavyExpert",CLASSFEATUREHEADERS,0),MATCH(($A1171 &amp; "Points"),CLASSNAMEHEADERS,0))),(IF("19"=(INDEX(ALLCLASSDATA,MATCH("HeavyTrained",CLASSFEATUREHEADERS,0),MATCH($A1171,CLASSNAMEHEADERS,0))),(INDEX(ALLCLASSDATA,MATCH("HeavyTrained",CLASSFEATUREHEADERS,0),MATCH(($A1171 &amp; "Points"),CLASSNAMEHEADERS,0))),"")))))))))}</f>
        <v>HEAVYL19</v>
      </c>
      <c r="AA1170" s="223"/>
      <c r="AB1170" s="76" t="str">
        <f t="array" ref="AB1170:AB1171">{"HEAVY TOTAL";(IF(COUNTBLANK(G1171:AA1171)=17,"L",(IF(COUNTBLANK(G1171:AA1171)=18,"M",(IF(COUNTBLANK(G1171:AA1171)=19,"E",(IF(COUNTBLANK(G1171:AA1171)=20,"T",""))))))))}</f>
        <v>HEAVY TOTAL</v>
      </c>
      <c r="AC1170" s="76" t="str">
        <f t="array" ref="AC1170:AC1171">{"HEAVY TOTAL";(sum(G1171:AA1171))}</f>
        <v>HEAVY TOTAL</v>
      </c>
    </row>
    <row r="1171">
      <c r="A1171" s="48" t="s">
        <v>195</v>
      </c>
      <c r="B1171" s="48"/>
      <c r="C1171" s="48" t="s">
        <v>417</v>
      </c>
      <c r="D1171" s="97" t="s">
        <v>1900</v>
      </c>
      <c r="E1171" s="97" t="s">
        <v>533</v>
      </c>
      <c r="F1171" s="98" t="s">
        <v>603</v>
      </c>
      <c r="G1171" s="132" t="s">
        <v>603</v>
      </c>
      <c r="H1171" s="98" t="s">
        <v>603</v>
      </c>
      <c r="I1171" s="98"/>
      <c r="J1171" s="98" t="s">
        <v>603</v>
      </c>
      <c r="K1171" s="98"/>
      <c r="L1171" s="98" t="s">
        <v>603</v>
      </c>
      <c r="M1171" s="98"/>
      <c r="N1171" s="98" t="s">
        <v>603</v>
      </c>
      <c r="O1171" s="98"/>
      <c r="P1171" s="98" t="s">
        <v>603</v>
      </c>
      <c r="Q1171" s="98"/>
      <c r="R1171" s="98" t="s">
        <v>603</v>
      </c>
      <c r="S1171" s="98"/>
      <c r="T1171" s="98" t="s">
        <v>603</v>
      </c>
      <c r="U1171" s="98"/>
      <c r="V1171" s="98" t="s">
        <v>603</v>
      </c>
      <c r="W1171" s="98"/>
      <c r="X1171" s="98" t="s">
        <v>603</v>
      </c>
      <c r="Y1171" s="98"/>
      <c r="Z1171" s="98" t="s">
        <v>603</v>
      </c>
      <c r="AA1171" s="98"/>
      <c r="AB1171" s="5" t="s">
        <v>603</v>
      </c>
      <c r="AC1171" s="47">
        <v>0.0</v>
      </c>
    </row>
    <row r="1172" hidden="1">
      <c r="A1172" s="222" t="str">
        <f t="array" ref="A1172:A1173">{"FormulaRow39";(INDEX(CLASSLIST,A1095,1))}</f>
        <v>FormulaRow39</v>
      </c>
      <c r="B1172" s="77" t="s">
        <v>236</v>
      </c>
      <c r="C1172" s="222" t="str">
        <f t="array" ref="C1172:C1173">{"CLASSTYPE";((INDEX(ALLCLASSDATA,MATCH("ClassType",CLASSFEATUREHEADERS,0),MATCH($A1173,CLASSNAMEHEADERS,0))))}</f>
        <v>CLASSTYPE</v>
      </c>
      <c r="D1172" s="222" t="str">
        <f t="array" ref="D1172:D1173">{"SPELL/ALCHEMY";((IF(INDEX(ALLCLASSDATA,MATCH("CasterType",CLASSFEATUREHEADERS,0),MATCH(($A1173),CLASSNAMEHEADERS,0))="","",(IF(INDEX(ALLCLASSDATA,MATCH("CasterType",CLASSFEATUREHEADERS,0),MATCH(($A1173),CLASSNAMEHEADERS,0))="Alchemy","Alchemy","Spells")))))}</f>
        <v>SPELL/ALCHEMY</v>
      </c>
      <c r="E1172" s="222" t="str">
        <f t="array" ref="E1172:E1173">{"SPELLLIST";(IF(D1173="Spells",((INDEX(ALLCLASSDATA,MATCH("CasterType",CLASSFEATUREHEADERS,0),MATCH(($A1173),CLASSNAMEHEADERS,0))) &amp; ":" &amp; (INDEX(ALLCLASSDATA,MATCH("SpellList",CLASSFEATUREHEADERS,0),MATCH(($A1173),CLASSNAMEHEADERS,0)))),""))}</f>
        <v>SPELLLIST</v>
      </c>
      <c r="F1172" s="223" t="str">
        <f t="array" ref="F1172:F1173">{"SPL";(IF(D1173="Spells","SPL:",""))}</f>
        <v>SPL</v>
      </c>
      <c r="G1172" s="223" t="str">
        <f t="array" ref="G1172:G1173">{"CANTRIP/ALC";(IF(D1173="Spells","C",(IF(D1173="Alchemy","ALC:",""))))}</f>
        <v>CANTRIP/ALC</v>
      </c>
      <c r="H1172" s="223" t="str">
        <f t="array" ref="H1172:H1173">{"SPELL/ALC L01";(IF(D1173="Alchemy","L01",(IF(D1173="Spells","S01",""))))}</f>
        <v>SPELL/ALC L01</v>
      </c>
      <c r="I1172" s="223" t="str">
        <f t="array" ref="I1172:I1173">{"SPELL/ALC L02";(IF(D1173="Alchemy","L02",(IF(D1173="Spells","S01",""))))}</f>
        <v>SPELL/ALC L02</v>
      </c>
      <c r="J1172" s="223" t="str">
        <f t="array" ref="J1172:J1173">{"SPELL/ALC L03";(IF(D1173="Alchemy","L03",(IF(D1173="Spells","S02",""))))}</f>
        <v>SPELL/ALC L03</v>
      </c>
      <c r="K1172" s="223" t="str">
        <f t="array" ref="K1172:K1173">{"SPELL/ALC L04";(IF(D1173="Alchemy","L04",(IF(D1173="Spells","S02",""))))}</f>
        <v>SPELL/ALC L04</v>
      </c>
      <c r="L1172" s="223" t="str">
        <f t="array" ref="L1172:L1173">{"SPELL/ALC L05";(IF(D1173="Alchemy","L05",(IF(D1173="Spells","S03",""))))}</f>
        <v>SPELL/ALC L05</v>
      </c>
      <c r="M1172" s="223" t="str">
        <f t="array" ref="M1172:M1173">{"SPELL/ALC L06";(IF(D1173="Alchemy","L06",(IF(D1173="Spells","S03",""))))}</f>
        <v>SPELL/ALC L06</v>
      </c>
      <c r="N1172" s="223" t="str">
        <f t="array" ref="N1172:N1173">{"SPELL/ALC L07";(IF(D1173="Alchemy","L07",(IF(D1173="Spells","S04",""))))}</f>
        <v>SPELL/ALC L07</v>
      </c>
      <c r="O1172" s="223" t="str">
        <f t="array" ref="O1172:O1173">{"SPELL/ALC L08";(IF(D1173="Alchemy","L08",(IF(D1173="Spells","S04",""))))}</f>
        <v>SPELL/ALC L08</v>
      </c>
      <c r="P1172" s="223" t="str">
        <f t="array" ref="P1172:P1173">{"SPELL/ALC L09";(IF(D1173="Alchemy","L09",(IF(D1173="Spells","S05",""))))}</f>
        <v>SPELL/ALC L09</v>
      </c>
      <c r="Q1172" s="223" t="str">
        <f t="array" ref="Q1172:Q1173">{"SPELL/ALC L10";(IF(D1173="Alchemy","L10",(IF(D1173="Spells","S05",""))))}</f>
        <v>SPELL/ALC L10</v>
      </c>
      <c r="R1172" s="223" t="str">
        <f t="array" ref="R1172:R1173">{"SPELL/ALC L11";(IF(D1173="Alchemy","L11",(IF(D1173="Spells","S06",""))))}</f>
        <v>SPELL/ALC L11</v>
      </c>
      <c r="S1172" s="223" t="str">
        <f t="array" ref="S1172:S1173">{"SPELL/ALC L12";(IF(D1173="Alchemy","L12",(IF(D1173="Spells","S06",""))))}</f>
        <v>SPELL/ALC L12</v>
      </c>
      <c r="T1172" s="223" t="str">
        <f t="array" ref="T1172:T1173">{"SPELL/ALC L13";(IF(D1173="Alchemy","L13",(IF(D1173="Spells","S07",""))))}</f>
        <v>SPELL/ALC L13</v>
      </c>
      <c r="U1172" s="223" t="str">
        <f t="array" ref="U1172:U1173">{"SPELL/ALC L14";(IF(D1173="Alchemy","L14",(IF(D1173="Spells","S07",""))))}</f>
        <v>SPELL/ALC L14</v>
      </c>
      <c r="V1172" s="223" t="str">
        <f t="array" ref="V1172:V1173">{"SPELL/ALC L15";(IF(D1173="Alchemy","L15",(IF(D1173="Spells","S08",""))))}</f>
        <v>SPELL/ALC L15</v>
      </c>
      <c r="W1172" s="223" t="str">
        <f t="array" ref="W1172:W1173">{"SPELL/ALC L16";(IF(D1173="Alchemy","L16",(IF(D1173="Spells","S08",""))))}</f>
        <v>SPELL/ALC L16</v>
      </c>
      <c r="X1172" s="223" t="str">
        <f t="array" ref="X1172:X1173">{"SPELL/ALC L17";(IF(D1173="Alchemy","L17",(IF(D1173="Spells","S09",""))))}</f>
        <v>SPELL/ALC L17</v>
      </c>
      <c r="Y1172" s="223" t="str">
        <f t="array" ref="Y1172:Y1173">{"SPELL/ALC L18";(IF(D1173="Alchemy","L18",(IF(D1173="Spells","S09",""))))}</f>
        <v>SPELL/ALC L18</v>
      </c>
      <c r="Z1172" s="223" t="str">
        <f t="array" ref="Z1172:Z1173">{"SPELL/ALC L19";(IF(D1173="Alchemy","L19",(IF(D1173="Spells","S10",""))))}</f>
        <v>SPELL/ALC L19</v>
      </c>
      <c r="AA1172" s="223" t="str">
        <f t="array" ref="AA1172:AA1173">{"SPELL/ALC L20";(IF(D1173="Alchemy","L20",(IF(D1173="Spells","S10",""))))}</f>
        <v>SPELL/ALC L20</v>
      </c>
      <c r="AB1172" s="76"/>
      <c r="AC1172" s="76"/>
    </row>
    <row r="1173">
      <c r="A1173" s="48" t="s">
        <v>195</v>
      </c>
      <c r="B1173" s="48"/>
      <c r="C1173" s="48" t="s">
        <v>417</v>
      </c>
      <c r="D1173" s="48" t="s">
        <v>1901</v>
      </c>
      <c r="E1173" s="48" t="s">
        <v>1927</v>
      </c>
      <c r="F1173" s="278" t="s">
        <v>1903</v>
      </c>
      <c r="G1173" s="114" t="s">
        <v>653</v>
      </c>
      <c r="H1173" s="279" t="s">
        <v>1536</v>
      </c>
      <c r="I1173" s="28" t="s">
        <v>1536</v>
      </c>
      <c r="J1173" s="28" t="s">
        <v>1542</v>
      </c>
      <c r="K1173" s="28" t="s">
        <v>1542</v>
      </c>
      <c r="L1173" s="28" t="s">
        <v>1545</v>
      </c>
      <c r="M1173" s="28" t="s">
        <v>1545</v>
      </c>
      <c r="N1173" s="28" t="s">
        <v>1548</v>
      </c>
      <c r="O1173" s="28" t="s">
        <v>1548</v>
      </c>
      <c r="P1173" s="28" t="s">
        <v>1553</v>
      </c>
      <c r="Q1173" s="28" t="s">
        <v>1553</v>
      </c>
      <c r="R1173" s="28" t="s">
        <v>1556</v>
      </c>
      <c r="S1173" s="28" t="s">
        <v>1556</v>
      </c>
      <c r="T1173" s="28" t="s">
        <v>1559</v>
      </c>
      <c r="U1173" s="28" t="s">
        <v>1559</v>
      </c>
      <c r="V1173" s="28" t="s">
        <v>1562</v>
      </c>
      <c r="W1173" s="28" t="s">
        <v>1562</v>
      </c>
      <c r="X1173" s="28" t="s">
        <v>1565</v>
      </c>
      <c r="Y1173" s="28" t="s">
        <v>1565</v>
      </c>
      <c r="Z1173" s="28" t="s">
        <v>1568</v>
      </c>
      <c r="AA1173" s="28" t="s">
        <v>1568</v>
      </c>
      <c r="AB1173" s="5"/>
      <c r="AC1173" s="47"/>
    </row>
    <row r="1174" hidden="1">
      <c r="A1174" s="222" t="str">
        <f t="array" ref="A1174:A1175">{"FormulaRow40";(INDEX(CLASSLIST,A1095,1))}</f>
        <v>FormulaRow40</v>
      </c>
      <c r="B1174" s="77" t="s">
        <v>236</v>
      </c>
      <c r="C1174" s="222" t="str">
        <f t="array" ref="C1174:C1175">{"CLASSTYPE";((INDEX(ALLCLASSDATA,MATCH("ClassType",CLASSFEATUREHEADERS,0),MATCH($A1175,CLASSNAMEHEADERS,0))))}</f>
        <v>CLASSTYPE</v>
      </c>
      <c r="D1174" s="222" t="str">
        <f t="array" ref="D1174:D1175">{"SPELL/ALCHEMY";((IF(INDEX(ALLCLASSDATA,MATCH("CasterType",CLASSFEATUREHEADERS,0),MATCH(($A1175),CLASSNAMEHEADERS,0))="","",(IF(INDEX(ALLCLASSDATA,MATCH("CasterType",CLASSFEATUREHEADERS,0),MATCH(($A1175),CLASSNAMEHEADERS,0))="Alchemy","","Spells")))))}</f>
        <v>SPELL/ALCHEMY</v>
      </c>
      <c r="E1174" s="222" t="str">
        <f t="array" ref="E1174:E1175">{"SPELLLIST";(IF(D1175="Spells",((INDEX(ALLCLASSDATA,MATCH("CasterType",CLASSFEATUREHEADERS,0),MATCH(($A1175),CLASSNAMEHEADERS,0))) &amp; ":" &amp; (INDEX(ALLCLASSDATA,MATCH("SpellList",CLASSFEATUREHEADERS,0),MATCH(($A1175),CLASSNAMEHEADERS,0)))),""))}</f>
        <v>SPELLLIST</v>
      </c>
      <c r="F1174" s="222" t="str">
        <f t="array" ref="F1174:F1175">{"SLOTCOST";(IF(D1175="Spells","SlotCost:",""))}</f>
        <v>SLOTCOST</v>
      </c>
      <c r="G1174" s="222" t="str">
        <f t="array" ref="G1174:G1175">{"SLOTCOST CANTRIP";(INDEX(ALLCLASSDATA,MATCH("CantripSlots-L00",CLASSFEATUREHEADERS,0),MATCH(($A1175 &amp; "Points"),CLASSNAMEHEADERS,0)))}</f>
        <v>SLOTCOST CANTRIP</v>
      </c>
      <c r="H1174" s="222" t="str">
        <f t="array" ref="H1174:H1175">{"SLOTCOST L01";(INDEX(ALLCLASSDATA,MATCH("SPL01-L01",CLASSFEATUREHEADERS,0),MATCH(($A1175 &amp; "Points"),CLASSNAMEHEADERS,0)))}</f>
        <v>SLOTCOST L01</v>
      </c>
      <c r="I1174" s="222" t="str">
        <f t="array" ref="I1174:I1175">{"SLOTCOST L02";(INDEX(ALLCLASSDATA,MATCH("SPL01-L02",CLASSFEATUREHEADERS,0),MATCH(($A1175 &amp; "Points"),CLASSNAMEHEADERS,0)))}</f>
        <v>SLOTCOST L02</v>
      </c>
      <c r="J1174" s="222" t="str">
        <f t="array" ref="J1174:J1175">{"SLOTCOST L03";(INDEX(ALLCLASSDATA,MATCH("SPL02-L03",CLASSFEATUREHEADERS,0),MATCH(($A1175 &amp; "Points"),CLASSNAMEHEADERS,0)))}</f>
        <v>SLOTCOST L03</v>
      </c>
      <c r="K1174" s="222" t="str">
        <f t="array" ref="K1174:K1175">{"SLOTCOST L04";(INDEX(ALLCLASSDATA,MATCH("SPL02-L04",CLASSFEATUREHEADERS,0),MATCH(($A1175 &amp; "Points"),CLASSNAMEHEADERS,0)))}</f>
        <v>SLOTCOST L04</v>
      </c>
      <c r="L1174" s="222" t="str">
        <f t="array" ref="L1174:L1175">{"SLOTCOST L05";(INDEX(ALLCLASSDATA,MATCH("SPL03-L05",CLASSFEATUREHEADERS,0),MATCH(($A1175 &amp; "Points"),CLASSNAMEHEADERS,0)))}</f>
        <v>SLOTCOST L05</v>
      </c>
      <c r="M1174" s="222" t="str">
        <f t="array" ref="M1174:M1175">{"SLOTCOST L06";(INDEX(ALLCLASSDATA,MATCH("SPL03-L06",CLASSFEATUREHEADERS,0),MATCH(($A1175 &amp; "Points"),CLASSNAMEHEADERS,0)))}</f>
        <v>SLOTCOST L06</v>
      </c>
      <c r="N1174" s="222" t="str">
        <f t="array" ref="N1174:N1175">{"SLOTCOST L07";(INDEX(ALLCLASSDATA,MATCH("SPL04-L07",CLASSFEATUREHEADERS,0),MATCH(($A1175 &amp; "Points"),CLASSNAMEHEADERS,0)))}</f>
        <v>SLOTCOST L07</v>
      </c>
      <c r="O1174" s="222" t="str">
        <f t="array" ref="O1174:O1175">{"SLOTCOST L08";(INDEX(ALLCLASSDATA,MATCH("SPL04-L08",CLASSFEATUREHEADERS,0),MATCH(($A1175 &amp; "Points"),CLASSNAMEHEADERS,0)))}</f>
        <v>SLOTCOST L08</v>
      </c>
      <c r="P1174" s="222" t="str">
        <f t="array" ref="P1174:P1175">{"SLOTCOST L09";(INDEX(ALLCLASSDATA,MATCH("SPL05-L09",CLASSFEATUREHEADERS,0),MATCH(($A1175 &amp; "Points"),CLASSNAMEHEADERS,0)))}</f>
        <v>SLOTCOST L09</v>
      </c>
      <c r="Q1174" s="222" t="str">
        <f t="array" ref="Q1174:Q1175">{"SLOTCOST L10";(INDEX(ALLCLASSDATA,MATCH("SPL05-L10",CLASSFEATUREHEADERS,0),MATCH(($A1175 &amp; "Points"),CLASSNAMEHEADERS,0)))}</f>
        <v>SLOTCOST L10</v>
      </c>
      <c r="R1174" s="222" t="str">
        <f t="array" ref="R1174:R1175">{"SLOTCOST L11";(INDEX(ALLCLASSDATA,MATCH("SPL06-L11",CLASSFEATUREHEADERS,0),MATCH(($A1175 &amp; "Points"),CLASSNAMEHEADERS,0)))}</f>
        <v>SLOTCOST L11</v>
      </c>
      <c r="S1174" s="222" t="str">
        <f t="array" ref="S1174:S1175">{"SLOTCOST L12";(INDEX(ALLCLASSDATA,MATCH("SPL06-L12",CLASSFEATUREHEADERS,0),MATCH(($A1175 &amp; "Points"),CLASSNAMEHEADERS,0)))}</f>
        <v>SLOTCOST L12</v>
      </c>
      <c r="T1174" s="222" t="str">
        <f t="array" ref="T1174:T1175">{"SLOTCOST L13";(INDEX(ALLCLASSDATA,MATCH("SPL07-L13",CLASSFEATUREHEADERS,0),MATCH(($A1175 &amp; "Points"),CLASSNAMEHEADERS,0)))}</f>
        <v>SLOTCOST L13</v>
      </c>
      <c r="U1174" s="222" t="str">
        <f t="array" ref="U1174:U1175">{"SLOTCOST L14";(INDEX(ALLCLASSDATA,MATCH("SPL07-L14",CLASSFEATUREHEADERS,0),MATCH(($A1175 &amp; "Points"),CLASSNAMEHEADERS,0)))}</f>
        <v>SLOTCOST L14</v>
      </c>
      <c r="V1174" s="222" t="str">
        <f t="array" ref="V1174:V1175">{"SLOTCOST L15";(INDEX(ALLCLASSDATA,MATCH("SPL08-L15",CLASSFEATUREHEADERS,0),MATCH(($A1175 &amp; "Points"),CLASSNAMEHEADERS,0)))}</f>
        <v>SLOTCOST L15</v>
      </c>
      <c r="W1174" s="222" t="str">
        <f t="array" ref="W1174:W1175">{"SLOTCOST L16";(INDEX(ALLCLASSDATA,MATCH("SPL08-L16",CLASSFEATUREHEADERS,0),MATCH(($A1175 &amp; "Points"),CLASSNAMEHEADERS,0)))}</f>
        <v>SLOTCOST L16</v>
      </c>
      <c r="X1174" s="222" t="str">
        <f t="array" ref="X1174:X1175">{"SLOTCOST L17";(INDEX(ALLCLASSDATA,MATCH("SPL09-L17",CLASSFEATUREHEADERS,0),MATCH(($A1175 &amp; "Points"),CLASSNAMEHEADERS,0)))}</f>
        <v>SLOTCOST L17</v>
      </c>
      <c r="Y1174" s="222" t="str">
        <f t="array" ref="Y1174:Y1175">{"SLOTCOST L18";(INDEX(ALLCLASSDATA,MATCH("SPL09-L18",CLASSFEATUREHEADERS,0),MATCH(($A1175 &amp; "Points"),CLASSNAMEHEADERS,0)))}</f>
        <v>SLOTCOST L18</v>
      </c>
      <c r="Z1174" s="222" t="str">
        <f t="array" ref="Z1174:Z1175">{"SLOTCOST L19";(INDEX(ALLCLASSDATA,MATCH("SPL10-L19",CLASSFEATUREHEADERS,0),MATCH(($A1175 &amp; "Points"),CLASSNAMEHEADERS,0)))}</f>
        <v>SLOTCOST L19</v>
      </c>
      <c r="AA1174" s="222" t="str">
        <f t="array" ref="AA1174:AA1175">{"SLOTCOST L20";(INDEX(ALLCLASSDATA,MATCH("SPL10-L20",CLASSFEATUREHEADERS,0),MATCH(($A1175 &amp; "Points"),CLASSNAMEHEADERS,0)))}</f>
        <v>SLOTCOST L20</v>
      </c>
      <c r="AB1174" s="76"/>
      <c r="AC1174" s="76" t="str">
        <f t="array" ref="AC1174:AC1175">{"SLOT TOTAL";(sum(G1175:AA1175))}</f>
        <v>SLOT TOTAL</v>
      </c>
    </row>
    <row r="1175">
      <c r="A1175" s="48" t="s">
        <v>195</v>
      </c>
      <c r="B1175" s="48"/>
      <c r="C1175" s="48" t="s">
        <v>417</v>
      </c>
      <c r="D1175" s="48" t="s">
        <v>1901</v>
      </c>
      <c r="E1175" s="48" t="s">
        <v>1927</v>
      </c>
      <c r="F1175" s="278" t="s">
        <v>1904</v>
      </c>
      <c r="G1175" s="47"/>
      <c r="H1175" s="5">
        <v>10.0</v>
      </c>
      <c r="I1175" s="5">
        <v>10.0</v>
      </c>
      <c r="J1175" s="5">
        <v>10.0</v>
      </c>
      <c r="K1175" s="5">
        <v>10.0</v>
      </c>
      <c r="L1175" s="5" t="s">
        <v>603</v>
      </c>
      <c r="M1175" s="48" t="s">
        <v>603</v>
      </c>
      <c r="N1175" s="5" t="s">
        <v>603</v>
      </c>
      <c r="O1175" s="5" t="s">
        <v>603</v>
      </c>
      <c r="P1175" s="5" t="s">
        <v>603</v>
      </c>
      <c r="Q1175" s="5" t="s">
        <v>603</v>
      </c>
      <c r="R1175" s="5" t="s">
        <v>603</v>
      </c>
      <c r="S1175" s="5" t="s">
        <v>603</v>
      </c>
      <c r="T1175" s="5" t="s">
        <v>603</v>
      </c>
      <c r="U1175" s="5" t="s">
        <v>603</v>
      </c>
      <c r="V1175" s="5" t="s">
        <v>603</v>
      </c>
      <c r="W1175" s="5" t="s">
        <v>603</v>
      </c>
      <c r="X1175" s="5" t="s">
        <v>603</v>
      </c>
      <c r="Y1175" s="5" t="s">
        <v>603</v>
      </c>
      <c r="Z1175" s="5" t="s">
        <v>603</v>
      </c>
      <c r="AA1175" s="5" t="s">
        <v>603</v>
      </c>
      <c r="AB1175" s="5"/>
      <c r="AC1175" s="47">
        <v>40.0</v>
      </c>
    </row>
    <row r="1176" hidden="1">
      <c r="A1176" s="222" t="str">
        <f t="array" ref="A1176:A1177">{"FormulaRow41";(INDEX(CLASSLIST,A1095,1))}</f>
        <v>FormulaRow41</v>
      </c>
      <c r="B1176" s="77" t="s">
        <v>236</v>
      </c>
      <c r="C1176" s="222" t="str">
        <f t="array" ref="C1176:C1177">{"CLASSTYPE";((INDEX(ALLCLASSDATA,MATCH("ClassType",CLASSFEATUREHEADERS,0),MATCH($A1177,CLASSNAMEHEADERS,0))))}</f>
        <v>CLASSTYPE</v>
      </c>
      <c r="D1176" s="222" t="str">
        <f t="array" ref="D1176:D1177">{"SPELL/ALCHEMY";((IF(INDEX(ALLCLASSDATA,MATCH("CasterType",CLASSFEATUREHEADERS,0),MATCH(($A1177),CLASSNAMEHEADERS,0))="","",(IF(INDEX(ALLCLASSDATA,MATCH("CasterType",CLASSFEATUREHEADERS,0),MATCH(($A1177),CLASSNAMEHEADERS,0))="Alchemy","Alchemy","Spells")))))}</f>
        <v>SPELL/ALCHEMY</v>
      </c>
      <c r="E1176" s="222" t="str">
        <f t="array" ref="E1176:E1177">{"SPELLLIST";(IF(D1177="Spells",((INDEX(ALLCLASSDATA,MATCH("CasterType",CLASSFEATUREHEADERS,0),MATCH(($A1177),CLASSNAMEHEADERS,0))) &amp; ":" &amp; (INDEX(ALLCLASSDATA,MATCH("SpellList",CLASSFEATUREHEADERS,0),MATCH(($A1177),CLASSNAMEHEADERS,0)))),""))}</f>
        <v>SPELLLIST</v>
      </c>
      <c r="F1176" s="223" t="str">
        <f t="array" ref="F1176:F1177">{"LEARNEDCOST";(IF(D1177="","","LearnCost:"))}</f>
        <v>LEARNEDCOST</v>
      </c>
      <c r="G1176" s="223" t="str">
        <f t="array" ref="G1176:G1177">{"LEARNED CANTRIPS";(INDEX(ALLCLASSDATA,MATCH("CantripsLearned-L00",CLASSFEATUREHEADERS,0),MATCH(($A1177 &amp; "Points"),CLASSNAMEHEADERS,0)))}</f>
        <v>LEARNED CANTRIPS</v>
      </c>
      <c r="H1176" s="223" t="str">
        <f t="array" ref="H1176:H1177">{"LEARNED L01";(INDEX(ALLCLASSDATA,MATCH("Learned-L01",CLASSFEATUREHEADERS,0),MATCH(($A1177 &amp; "Points"),CLASSNAMEHEADERS,0)))}</f>
        <v>LEARNED L01</v>
      </c>
      <c r="I1176" s="223" t="str">
        <f t="array" ref="I1176:I1177">{"LEARNED L02";(INDEX(ALLCLASSDATA,MATCH("Learned-L02",CLASSFEATUREHEADERS,0),MATCH(($A1177 &amp; "Points"),CLASSNAMEHEADERS,0)))}</f>
        <v>LEARNED L02</v>
      </c>
      <c r="J1176" s="223" t="str">
        <f t="array" ref="J1176:J1177">{"LEARNED L03";(INDEX(ALLCLASSDATA,MATCH("Learned-L03",CLASSFEATUREHEADERS,0),MATCH(($A1177 &amp; "Points"),CLASSNAMEHEADERS,0)))}</f>
        <v>LEARNED L03</v>
      </c>
      <c r="K1176" s="223" t="str">
        <f t="array" ref="K1176:K1177">{"LEARNED L04";(INDEX(ALLCLASSDATA,MATCH("Learned-L04",CLASSFEATUREHEADERS,0),MATCH(($A1177 &amp; "Points"),CLASSNAMEHEADERS,0)))}</f>
        <v>LEARNED L04</v>
      </c>
      <c r="L1176" s="223" t="str">
        <f t="array" ref="L1176:L1177">{"LEARNED L05";(INDEX(ALLCLASSDATA,MATCH("Learned-L05",CLASSFEATUREHEADERS,0),MATCH(($A1177 &amp; "Points"),CLASSNAMEHEADERS,0)))}</f>
        <v>LEARNED L05</v>
      </c>
      <c r="M1176" s="223" t="str">
        <f t="array" ref="M1176:M1177">{"LEARNED L06";(INDEX(ALLCLASSDATA,MATCH("Learned-L06",CLASSFEATUREHEADERS,0),MATCH(($A1177 &amp; "Points"),CLASSNAMEHEADERS,0)))}</f>
        <v>LEARNED L06</v>
      </c>
      <c r="N1176" s="223" t="str">
        <f t="array" ref="N1176:N1177">{"LEARNED L07";(INDEX(ALLCLASSDATA,MATCH("Learned-L07",CLASSFEATUREHEADERS,0),MATCH(($A1177 &amp; "Points"),CLASSNAMEHEADERS,0)))}</f>
        <v>LEARNED L07</v>
      </c>
      <c r="O1176" s="223" t="str">
        <f t="array" ref="O1176:O1177">{"LEARNED L08";(INDEX(ALLCLASSDATA,MATCH("Learned-L08",CLASSFEATUREHEADERS,0),MATCH(($A1177 &amp; "Points"),CLASSNAMEHEADERS,0)))}</f>
        <v>LEARNED L08</v>
      </c>
      <c r="P1176" s="223" t="str">
        <f t="array" ref="P1176:P1177">{"LEARNED L09";(INDEX(ALLCLASSDATA,MATCH("Learned-L09",CLASSFEATUREHEADERS,0),MATCH(($A1177 &amp; "Points"),CLASSNAMEHEADERS,0)))}</f>
        <v>LEARNED L09</v>
      </c>
      <c r="Q1176" s="223" t="str">
        <f t="array" ref="Q1176:Q1177">{"LEARNED L10";(INDEX(ALLCLASSDATA,MATCH("Learned-L10",CLASSFEATUREHEADERS,0),MATCH(($A1177 &amp; "Points"),CLASSNAMEHEADERS,0)))}</f>
        <v>LEARNED L10</v>
      </c>
      <c r="R1176" s="223" t="str">
        <f t="array" ref="R1176:R1177">{"LEARNED L11";(INDEX(ALLCLASSDATA,MATCH("Learned-L11",CLASSFEATUREHEADERS,0),MATCH(($A1177 &amp; "Points"),CLASSNAMEHEADERS,0)))}</f>
        <v>LEARNED L11</v>
      </c>
      <c r="S1176" s="223" t="str">
        <f t="array" ref="S1176:S1177">{"LEARNED L12";(INDEX(ALLCLASSDATA,MATCH("Learned-L12",CLASSFEATUREHEADERS,0),MATCH(($A1177 &amp; "Points"),CLASSNAMEHEADERS,0)))}</f>
        <v>LEARNED L12</v>
      </c>
      <c r="T1176" s="223" t="str">
        <f t="array" ref="T1176:T1177">{"LEARNED L13";(INDEX(ALLCLASSDATA,MATCH("Learned-L13",CLASSFEATUREHEADERS,0),MATCH(($A1177 &amp; "Points"),CLASSNAMEHEADERS,0)))}</f>
        <v>LEARNED L13</v>
      </c>
      <c r="U1176" s="223" t="str">
        <f t="array" ref="U1176:U1177">{"LEARNED L14";(INDEX(ALLCLASSDATA,MATCH("Learned-L14",CLASSFEATUREHEADERS,0),MATCH(($A1177 &amp; "Points"),CLASSNAMEHEADERS,0)))}</f>
        <v>LEARNED L14</v>
      </c>
      <c r="V1176" s="223" t="str">
        <f t="array" ref="V1176:V1177">{"LEARNED L15";(INDEX(ALLCLASSDATA,MATCH("Learned-L15",CLASSFEATUREHEADERS,0),MATCH(($A1177 &amp; "Points"),CLASSNAMEHEADERS,0)))}</f>
        <v>LEARNED L15</v>
      </c>
      <c r="W1176" s="223" t="str">
        <f t="array" ref="W1176:W1177">{"LEARNED L16";(INDEX(ALLCLASSDATA,MATCH("Learned-L16",CLASSFEATUREHEADERS,0),MATCH(($A1177 &amp; "Points"),CLASSNAMEHEADERS,0)))}</f>
        <v>LEARNED L16</v>
      </c>
      <c r="X1176" s="223" t="str">
        <f t="array" ref="X1176:X1177">{"LEARNED L17";(INDEX(ALLCLASSDATA,MATCH("Learned-L17",CLASSFEATUREHEADERS,0),MATCH(($A1177 &amp; "Points"),CLASSNAMEHEADERS,0)))}</f>
        <v>LEARNED L17</v>
      </c>
      <c r="Y1176" s="223" t="str">
        <f t="array" ref="Y1176:Y1177">{"LEARNED L18";(INDEX(ALLCLASSDATA,MATCH("Learned-L18",CLASSFEATUREHEADERS,0),MATCH(($A1177 &amp; "Points"),CLASSNAMEHEADERS,0)))}</f>
        <v>LEARNED L18</v>
      </c>
      <c r="Z1176" s="223" t="str">
        <f t="array" ref="Z1176:Z1177">{"LEARNED L19";(INDEX(ALLCLASSDATA,MATCH("Learned-L19",CLASSFEATUREHEADERS,0),MATCH(($A1177 &amp; "Points"),CLASSNAMEHEADERS,0)))}</f>
        <v>LEARNED L19</v>
      </c>
      <c r="AA1176" s="223" t="str">
        <f t="array" ref="AA1176:AA1177">{"LEARNED L20";(INDEX(ALLCLASSDATA,MATCH("Learned-L20",CLASSFEATUREHEADERS,0),MATCH(($A1177 &amp; "Points"),CLASSNAMEHEADERS,0)))}</f>
        <v>LEARNED L20</v>
      </c>
      <c r="AB1176" s="76"/>
      <c r="AC1176" s="76" t="str">
        <f t="array" ref="AC1176:AC1177">{"LEARNED TOTAL";(sum(G1177:AA1177))}</f>
        <v>LEARNED TOTAL</v>
      </c>
    </row>
    <row r="1177">
      <c r="A1177" s="48" t="s">
        <v>195</v>
      </c>
      <c r="B1177" s="48"/>
      <c r="C1177" s="48" t="s">
        <v>417</v>
      </c>
      <c r="D1177" s="48" t="s">
        <v>1901</v>
      </c>
      <c r="E1177" s="48" t="s">
        <v>1927</v>
      </c>
      <c r="F1177" s="278" t="s">
        <v>1906</v>
      </c>
      <c r="G1177" s="47">
        <v>0.0</v>
      </c>
      <c r="H1177" s="5">
        <v>20.0</v>
      </c>
      <c r="I1177" s="5">
        <v>10.0</v>
      </c>
      <c r="J1177" s="5">
        <v>10.0</v>
      </c>
      <c r="K1177" s="5">
        <v>10.0</v>
      </c>
      <c r="L1177" s="5" t="s">
        <v>603</v>
      </c>
      <c r="M1177" s="5" t="s">
        <v>603</v>
      </c>
      <c r="N1177" s="48" t="s">
        <v>603</v>
      </c>
      <c r="O1177" s="5" t="s">
        <v>603</v>
      </c>
      <c r="P1177" s="5" t="s">
        <v>603</v>
      </c>
      <c r="Q1177" s="5" t="s">
        <v>603</v>
      </c>
      <c r="R1177" s="5" t="s">
        <v>603</v>
      </c>
      <c r="S1177" s="5" t="s">
        <v>603</v>
      </c>
      <c r="T1177" s="5" t="s">
        <v>603</v>
      </c>
      <c r="U1177" s="5" t="s">
        <v>603</v>
      </c>
      <c r="V1177" s="5" t="s">
        <v>603</v>
      </c>
      <c r="W1177" s="5" t="s">
        <v>603</v>
      </c>
      <c r="X1177" s="5" t="s">
        <v>603</v>
      </c>
      <c r="Y1177" s="5" t="s">
        <v>603</v>
      </c>
      <c r="Z1177" s="5" t="s">
        <v>603</v>
      </c>
      <c r="AA1177" s="5" t="s">
        <v>603</v>
      </c>
      <c r="AB1177" s="5"/>
      <c r="AC1177" s="47">
        <v>50.0</v>
      </c>
    </row>
    <row r="1178" hidden="1">
      <c r="A1178" s="222" t="str">
        <f t="array" ref="A1178:A1179">{"FormulaRow42";(INDEX(CLASSLIST,A1095,1))}</f>
        <v>FormulaRow42</v>
      </c>
      <c r="B1178" s="77" t="s">
        <v>236</v>
      </c>
      <c r="C1178" s="222" t="str">
        <f t="array" ref="C1178:C1179">{"CLASSTYPE";((INDEX(ALLCLASSDATA,MATCH("ClassType",CLASSFEATUREHEADERS,0),MATCH($A1179,CLASSNAMEHEADERS,0))))}</f>
        <v>CLASSTYPE</v>
      </c>
      <c r="D1178" s="222" t="str">
        <f t="array" ref="D1178:D1179">{"SPELL/ALCHEMY";((IF(INDEX(ALLCLASSDATA,MATCH("CasterType",CLASSFEATUREHEADERS,0),MATCH(($A1179),CLASSNAMEHEADERS,0))="","",(IF(INDEX(ALLCLASSDATA,MATCH("CasterType",CLASSFEATUREHEADERS,0),MATCH(($A1179),CLASSNAMEHEADERS,0))="Alchemy","","Spells")))))}</f>
        <v>SPELL/ALCHEMY</v>
      </c>
      <c r="E1178" s="222" t="str">
        <f t="array" ref="E1178:E1179">{"SPELLLIST";(IF(D1179="Spells",((INDEX(ALLCLASSDATA,MATCH("CasterType",CLASSFEATUREHEADERS,0),MATCH(($A1179),CLASSNAMEHEADERS,0))) &amp; ":" &amp; (INDEX(ALLCLASSDATA,MATCH("SpellList",CLASSFEATUREHEADERS,0),MATCH(($A1179),CLASSNAMEHEADERS,0)))),""))}</f>
        <v>SPELLLIST</v>
      </c>
      <c r="F1178" s="223" t="str">
        <f t="array" ref="F1178:F1179">{"SLOT/LVL";(IF(D1173="Spells","Slot/LVL:",""))}</f>
        <v>SLOT/LVL</v>
      </c>
      <c r="G1178" s="223" t="str">
        <f t="array" ref="G1178:G1179">{"CANTRIPSLOTS";(INDEX(ALLCLASSDATA,MATCH("CantripSlots-L00",CLASSFEATUREHEADERS,0),MATCH($A1179,CLASSNAMEHEADERS,0)))}</f>
        <v>CANTRIPSLOTS</v>
      </c>
      <c r="H1178" s="223" t="str">
        <f t="array" ref="H1178:H1179">{"SPL01-L01";(INDEX(ALLCLASSDATA,MATCH("SPL01-L01",CLASSFEATUREHEADERS,0),MATCH($A1179,CLASSNAMEHEADERS,0)))}</f>
        <v>SPL01-L01</v>
      </c>
      <c r="I1178" s="223" t="str">
        <f t="array" ref="I1178:I1179">{"SPL01-L02";(INDEX(ALLCLASSDATA,MATCH("SPL01-L02",CLASSFEATUREHEADERS,0),MATCH($A1179,CLASSNAMEHEADERS,0)))}</f>
        <v>SPL01-L02</v>
      </c>
      <c r="J1178" s="223" t="str">
        <f t="array" ref="J1178:J1179">{"SPL02-L03";(INDEX(ALLCLASSDATA,MATCH("SPL02-L03",CLASSFEATUREHEADERS,0),MATCH($A1179,CLASSNAMEHEADERS,0)))}</f>
        <v>SPL02-L03</v>
      </c>
      <c r="K1178" s="223" t="str">
        <f t="array" ref="K1178:K1179">{"SPL02-L04";(INDEX(ALLCLASSDATA,MATCH("SPL02-L04",CLASSFEATUREHEADERS,0),MATCH($A1179,CLASSNAMEHEADERS,0)))}</f>
        <v>SPL02-L04</v>
      </c>
      <c r="L1178" s="223" t="str">
        <f t="array" ref="L1178:L1179">{"SPL03-L05";(INDEX(ALLCLASSDATA,MATCH("SPL03-L05",CLASSFEATUREHEADERS,0),MATCH($A1179,CLASSNAMEHEADERS,0)))}</f>
        <v>SPL03-L05</v>
      </c>
      <c r="M1178" s="223" t="str">
        <f t="array" ref="M1178:M1179">{"SPL03-L06";(INDEX(ALLCLASSDATA,MATCH("SPL03-L06",CLASSFEATUREHEADERS,0),MATCH($A1179,CLASSNAMEHEADERS,0)))}</f>
        <v>SPL03-L06</v>
      </c>
      <c r="N1178" s="223" t="str">
        <f t="array" ref="N1178:N1179">{"SPL04-L07";(INDEX(ALLCLASSDATA,MATCH("SPL04-L07",CLASSFEATUREHEADERS,0),MATCH($A1179,CLASSNAMEHEADERS,0)))}</f>
        <v>SPL04-L07</v>
      </c>
      <c r="O1178" s="223" t="str">
        <f t="array" ref="O1178:O1179">{"SPL04-L08";(INDEX(ALLCLASSDATA,MATCH("SPL04-L08",CLASSFEATUREHEADERS,0),MATCH($A1179,CLASSNAMEHEADERS,0)))}</f>
        <v>SPL04-L08</v>
      </c>
      <c r="P1178" s="223" t="str">
        <f t="array" ref="P1178:P1179">{"SPL05-L09";(INDEX(ALLCLASSDATA,MATCH("SPL05-L09",CLASSFEATUREHEADERS,0),MATCH($A1179,CLASSNAMEHEADERS,0)))}</f>
        <v>SPL05-L09</v>
      </c>
      <c r="Q1178" s="223" t="str">
        <f t="array" ref="Q1178:Q1179">{"SPL05-L10";(INDEX(ALLCLASSDATA,MATCH("SPL05-L10",CLASSFEATUREHEADERS,0),MATCH($A1179,CLASSNAMEHEADERS,0)))}</f>
        <v>SPL05-L10</v>
      </c>
      <c r="R1178" s="223" t="str">
        <f t="array" ref="R1178:R1179">{"SPL06-L11";(INDEX(ALLCLASSDATA,MATCH("SPL06-L11",CLASSFEATUREHEADERS,0),MATCH($A1179,CLASSNAMEHEADERS,0)))}</f>
        <v>SPL06-L11</v>
      </c>
      <c r="S1178" s="223" t="str">
        <f t="array" ref="S1178:S1179">{"SPL06-L12";(INDEX(ALLCLASSDATA,MATCH("SPL06-L12",CLASSFEATUREHEADERS,0),MATCH($A1179,CLASSNAMEHEADERS,0)))}</f>
        <v>SPL06-L12</v>
      </c>
      <c r="T1178" s="223" t="str">
        <f t="array" ref="T1178:T1179">{"SPL07-L13";(INDEX(ALLCLASSDATA,MATCH("SPL07-L13",CLASSFEATUREHEADERS,0),MATCH($A1179,CLASSNAMEHEADERS,0)))}</f>
        <v>SPL07-L13</v>
      </c>
      <c r="U1178" s="223" t="str">
        <f t="array" ref="U1178:U1179">{"SPL07-L14";(INDEX(ALLCLASSDATA,MATCH("SPL07-L14",CLASSFEATUREHEADERS,0),MATCH($A1179,CLASSNAMEHEADERS,0)))}</f>
        <v>SPL07-L14</v>
      </c>
      <c r="V1178" s="223" t="str">
        <f t="array" ref="V1178:V1179">{"SPL08-L15";(INDEX(ALLCLASSDATA,MATCH("SPL08-L15",CLASSFEATUREHEADERS,0),MATCH($A1179,CLASSNAMEHEADERS,0)))}</f>
        <v>SPL08-L15</v>
      </c>
      <c r="W1178" s="223" t="str">
        <f t="array" ref="W1178:W1179">{"SPL08-L16";(INDEX(ALLCLASSDATA,MATCH("SPL08-L16",CLASSFEATUREHEADERS,0),MATCH($A1179,CLASSNAMEHEADERS,0)))}</f>
        <v>SPL08-L16</v>
      </c>
      <c r="X1178" s="223" t="str">
        <f t="array" ref="X1178:X1179">{"SPL09-L17";(INDEX(ALLCLASSDATA,MATCH("SPL09-L17",CLASSFEATUREHEADERS,0),MATCH($A1179,CLASSNAMEHEADERS,0)))}</f>
        <v>SPL09-L17</v>
      </c>
      <c r="Y1178" s="223" t="str">
        <f t="array" ref="Y1178:Y1179">{"SPL09-L18";(INDEX(ALLCLASSDATA,MATCH("SPL09-L18",CLASSFEATUREHEADERS,0),MATCH($A1179,CLASSNAMEHEADERS,0)))}</f>
        <v>SPL09-L18</v>
      </c>
      <c r="Z1178" s="223" t="str">
        <f t="array" ref="Z1178:Z1179">{"SPL10-L19";(INDEX(ALLCLASSDATA,MATCH("SPL10-L19",CLASSFEATUREHEADERS,0),MATCH($A1179,CLASSNAMEHEADERS,0)))}</f>
        <v>SPL10-L19</v>
      </c>
      <c r="AA1178" s="223" t="str">
        <f t="array" ref="AA1178:AA1179">{"SPL10-L20";(INDEX(ALLCLASSDATA,MATCH("SPL10-L20",CLASSFEATUREHEADERS,0),MATCH($A1179,CLASSNAMEHEADERS,0)))}</f>
        <v>SPL10-L20</v>
      </c>
      <c r="AB1178" s="76"/>
      <c r="AC1178" s="76"/>
    </row>
    <row r="1179">
      <c r="A1179" s="48" t="s">
        <v>195</v>
      </c>
      <c r="B1179" s="48"/>
      <c r="C1179" s="48" t="s">
        <v>417</v>
      </c>
      <c r="D1179" s="48" t="s">
        <v>1901</v>
      </c>
      <c r="E1179" s="48" t="s">
        <v>1927</v>
      </c>
      <c r="F1179" s="278" t="s">
        <v>1907</v>
      </c>
      <c r="G1179" s="280"/>
      <c r="H1179" s="50" t="s">
        <v>1537</v>
      </c>
      <c r="I1179" s="50" t="s">
        <v>1537</v>
      </c>
      <c r="J1179" s="50" t="s">
        <v>1537</v>
      </c>
      <c r="K1179" s="50" t="s">
        <v>1537</v>
      </c>
      <c r="L1179" s="50"/>
      <c r="M1179" s="50"/>
      <c r="N1179" s="50"/>
      <c r="O1179" s="50"/>
      <c r="P1179" s="50"/>
      <c r="Q1179" s="50"/>
      <c r="R1179" s="50"/>
      <c r="S1179" s="50"/>
      <c r="T1179" s="50"/>
      <c r="U1179" s="50"/>
      <c r="V1179" s="50"/>
      <c r="W1179" s="50"/>
      <c r="X1179" s="50"/>
      <c r="Y1179" s="50"/>
      <c r="Z1179" s="50"/>
      <c r="AA1179" s="50"/>
      <c r="AB1179" s="278"/>
      <c r="AC1179" s="47"/>
    </row>
    <row r="1180" hidden="1">
      <c r="A1180" s="222" t="str">
        <f t="array" ref="A1180:A1181">{"FormulaRow43";(INDEX(CLASSLIST,A1095,1))}</f>
        <v>FormulaRow43</v>
      </c>
      <c r="B1180" s="77" t="s">
        <v>236</v>
      </c>
      <c r="C1180" s="222" t="str">
        <f t="array" ref="C1180:C1181">{"CLASSTYPE";((INDEX(ALLCLASSDATA,MATCH("ClassType",CLASSFEATUREHEADERS,0),MATCH($A1181,CLASSNAMEHEADERS,0))))}</f>
        <v>CLASSTYPE</v>
      </c>
      <c r="D1180" s="222" t="str">
        <f t="array" ref="D1180:D1181">{"SPELL/ALCHEMY";((IF(INDEX(ALLCLASSDATA,MATCH("CasterType",CLASSFEATUREHEADERS,0),MATCH(($A1181),CLASSNAMEHEADERS,0))="","",(IF(INDEX(ALLCLASSDATA,MATCH("CasterType",CLASSFEATUREHEADERS,0),MATCH(($A1181),CLASSNAMEHEADERS,0))="Alchemy","Alchemy","Spells")))))}</f>
        <v>SPELL/ALCHEMY</v>
      </c>
      <c r="E1180" s="222" t="str">
        <f t="array" ref="E1180:E1181">{"SPELLLIST";(IF(D1181="Spells",((INDEX(ALLCLASSDATA,MATCH("CasterType",CLASSFEATUREHEADERS,0),MATCH(($A1181),CLASSNAMEHEADERS,0))) &amp; ":" &amp; (INDEX(ALLCLASSDATA,MATCH("SpellList",CLASSFEATUREHEADERS,0),MATCH(($A1181),CLASSNAMEHEADERS,0)))),""))}</f>
        <v>SPELLLIST</v>
      </c>
      <c r="F1180" s="223" t="str">
        <f t="array" ref="F1180:F1181">{"LEARNED/LVL";(IF(D1181="","","Learn/LVL:"))}</f>
        <v>LEARNED/LVL</v>
      </c>
      <c r="G1180" s="223" t="str">
        <f t="array" ref="G1180:G1181">{"LEARNEDCANTRIPS";(INDEX(ALLCLASSDATA,MATCH("CantripsLearned-L00",CLASSFEATUREHEADERS,0),MATCH($A1181,CLASSNAMEHEADERS,0)))}</f>
        <v>LEARNEDCANTRIPS</v>
      </c>
      <c r="H1180" s="223" t="str">
        <f t="array" ref="H1180:H1181">{"LEARNED L01";(INDEX(ALLCLASSDATA,MATCH("Learned-L01",CLASSFEATUREHEADERS,0),MATCH($A1181,CLASSNAMEHEADERS,0)))}</f>
        <v>LEARNED L01</v>
      </c>
      <c r="I1180" s="223" t="str">
        <f t="array" ref="I1180:I1181">{"LEARNED L02";(INDEX(ALLCLASSDATA,MATCH("Learned-L02",CLASSFEATUREHEADERS,0),MATCH($A1181,CLASSNAMEHEADERS,0)))}</f>
        <v>LEARNED L02</v>
      </c>
      <c r="J1180" s="223" t="str">
        <f t="array" ref="J1180:J1181">{"LEARNED L03";(INDEX(ALLCLASSDATA,MATCH("Learned-L03",CLASSFEATUREHEADERS,0),MATCH($A1181,CLASSNAMEHEADERS,0)))}</f>
        <v>LEARNED L03</v>
      </c>
      <c r="K1180" s="223" t="str">
        <f t="array" ref="K1180:K1181">{"LEARNED L04";(INDEX(ALLCLASSDATA,MATCH("Learned-L04",CLASSFEATUREHEADERS,0),MATCH($A1181,CLASSNAMEHEADERS,0)))}</f>
        <v>LEARNED L04</v>
      </c>
      <c r="L1180" s="223" t="str">
        <f t="array" ref="L1180:L1181">{"LEARNED L05";(INDEX(ALLCLASSDATA,MATCH("Learned-L05",CLASSFEATUREHEADERS,0),MATCH($A1181,CLASSNAMEHEADERS,0)))}</f>
        <v>LEARNED L05</v>
      </c>
      <c r="M1180" s="223" t="str">
        <f t="array" ref="M1180:M1181">{"LEARNED L06";(INDEX(ALLCLASSDATA,MATCH("Learned-L06",CLASSFEATUREHEADERS,0),MATCH($A1181,CLASSNAMEHEADERS,0)))}</f>
        <v>LEARNED L06</v>
      </c>
      <c r="N1180" s="223" t="str">
        <f t="array" ref="N1180:N1181">{"LEARNED L07";(INDEX(ALLCLASSDATA,MATCH("Learned-L07",CLASSFEATUREHEADERS,0),MATCH($A1181,CLASSNAMEHEADERS,0)))}</f>
        <v>LEARNED L07</v>
      </c>
      <c r="O1180" s="223" t="str">
        <f t="array" ref="O1180:O1181">{"LEARNED L08";(INDEX(ALLCLASSDATA,MATCH("Learned-L08",CLASSFEATUREHEADERS,0),MATCH($A1181,CLASSNAMEHEADERS,0)))}</f>
        <v>LEARNED L08</v>
      </c>
      <c r="P1180" s="223" t="str">
        <f t="array" ref="P1180:P1181">{"LEARNED L09";(INDEX(ALLCLASSDATA,MATCH("Learned-L09",CLASSFEATUREHEADERS,0),MATCH($A1181,CLASSNAMEHEADERS,0)))}</f>
        <v>LEARNED L09</v>
      </c>
      <c r="Q1180" s="223" t="str">
        <f t="array" ref="Q1180:Q1181">{"LEARNED L10";(INDEX(ALLCLASSDATA,MATCH("Learned-L10",CLASSFEATUREHEADERS,0),MATCH($A1181,CLASSNAMEHEADERS,0)))}</f>
        <v>LEARNED L10</v>
      </c>
      <c r="R1180" s="223" t="str">
        <f t="array" ref="R1180:R1181">{"LEARNED L11";(INDEX(ALLCLASSDATA,MATCH("Learned-L11",CLASSFEATUREHEADERS,0),MATCH($A1181,CLASSNAMEHEADERS,0)))}</f>
        <v>LEARNED L11</v>
      </c>
      <c r="S1180" s="223" t="str">
        <f t="array" ref="S1180:S1181">{"LEARNED L12";(INDEX(ALLCLASSDATA,MATCH("Learned-L12",CLASSFEATUREHEADERS,0),MATCH($A1181,CLASSNAMEHEADERS,0)))}</f>
        <v>LEARNED L12</v>
      </c>
      <c r="T1180" s="223" t="str">
        <f t="array" ref="T1180:T1181">{"LEARNED L13";(INDEX(ALLCLASSDATA,MATCH("Learned-L13",CLASSFEATUREHEADERS,0),MATCH($A1181,CLASSNAMEHEADERS,0)))}</f>
        <v>LEARNED L13</v>
      </c>
      <c r="U1180" s="223" t="str">
        <f t="array" ref="U1180:U1181">{"LEARNED L14";(INDEX(ALLCLASSDATA,MATCH("Learned-L14",CLASSFEATUREHEADERS,0),MATCH($A1181,CLASSNAMEHEADERS,0)))}</f>
        <v>LEARNED L14</v>
      </c>
      <c r="V1180" s="223" t="str">
        <f t="array" ref="V1180:V1181">{"LEARNED L15";(INDEX(ALLCLASSDATA,MATCH("Learned-L15",CLASSFEATUREHEADERS,0),MATCH($A1181,CLASSNAMEHEADERS,0)))}</f>
        <v>LEARNED L15</v>
      </c>
      <c r="W1180" s="223" t="str">
        <f t="array" ref="W1180:W1181">{"LEARNED L16";(INDEX(ALLCLASSDATA,MATCH("Learned-L16",CLASSFEATUREHEADERS,0),MATCH($A1181,CLASSNAMEHEADERS,0)))}</f>
        <v>LEARNED L16</v>
      </c>
      <c r="X1180" s="223" t="str">
        <f t="array" ref="X1180:X1181">{"LEARNED L17";(INDEX(ALLCLASSDATA,MATCH("Learned-L17",CLASSFEATUREHEADERS,0),MATCH($A1181,CLASSNAMEHEADERS,0)))}</f>
        <v>LEARNED L17</v>
      </c>
      <c r="Y1180" s="223" t="str">
        <f t="array" ref="Y1180:Y1181">{"LEARNED L18";(INDEX(ALLCLASSDATA,MATCH("Learned-L18",CLASSFEATUREHEADERS,0),MATCH($A1181,CLASSNAMEHEADERS,0)))}</f>
        <v>LEARNED L18</v>
      </c>
      <c r="Z1180" s="223" t="str">
        <f t="array" ref="Z1180:Z1181">{"LEARNED L19";(INDEX(ALLCLASSDATA,MATCH("Learned-L19",CLASSFEATUREHEADERS,0),MATCH($A1181,CLASSNAMEHEADERS,0)))}</f>
        <v>LEARNED L19</v>
      </c>
      <c r="AA1180" s="223" t="str">
        <f t="array" ref="AA1180:AA1181">{"LEARNED L20";(INDEX(ALLCLASSDATA,MATCH("Learned-L20",CLASSFEATUREHEADERS,0),MATCH($A1181,CLASSNAMEHEADERS,0)))}</f>
        <v>LEARNED L20</v>
      </c>
      <c r="AB1180" s="76"/>
      <c r="AC1180" s="76"/>
    </row>
    <row r="1181">
      <c r="A1181" s="48" t="s">
        <v>195</v>
      </c>
      <c r="B1181" s="48"/>
      <c r="C1181" s="48" t="s">
        <v>417</v>
      </c>
      <c r="D1181" s="48" t="s">
        <v>1901</v>
      </c>
      <c r="E1181" s="48" t="s">
        <v>1927</v>
      </c>
      <c r="F1181" s="278" t="s">
        <v>1909</v>
      </c>
      <c r="G1181" s="280" t="s">
        <v>1530</v>
      </c>
      <c r="H1181" s="278" t="s">
        <v>1538</v>
      </c>
      <c r="I1181" s="278" t="s">
        <v>1537</v>
      </c>
      <c r="J1181" s="278" t="s">
        <v>1537</v>
      </c>
      <c r="K1181" s="278" t="s">
        <v>1537</v>
      </c>
      <c r="L1181" s="278"/>
      <c r="M1181" s="278"/>
      <c r="N1181" s="278"/>
      <c r="O1181" s="50"/>
      <c r="P1181" s="278"/>
      <c r="Q1181" s="278"/>
      <c r="R1181" s="278"/>
      <c r="S1181" s="278"/>
      <c r="T1181" s="278"/>
      <c r="U1181" s="278"/>
      <c r="V1181" s="278"/>
      <c r="W1181" s="278"/>
      <c r="X1181" s="278"/>
      <c r="Y1181" s="278"/>
      <c r="Z1181" s="278"/>
      <c r="AA1181" s="278"/>
      <c r="AB1181" s="278"/>
      <c r="AC1181" s="47"/>
    </row>
    <row r="1182" hidden="1">
      <c r="A1182" s="222" t="str">
        <f t="array" ref="A1182:A1183">{"FormulaRow44";(INDEX(CLASSLIST,A1095,1))}</f>
        <v>FormulaRow44</v>
      </c>
      <c r="B1182" s="77" t="s">
        <v>236</v>
      </c>
      <c r="C1182" s="222" t="str">
        <f t="array" ref="C1182:C1183">{"CLASSTYPE";((INDEX(ALLCLASSDATA,MATCH("ClassType",CLASSFEATUREHEADERS,0),MATCH($A1183,CLASSNAMEHEADERS,0))))}</f>
        <v>CLASSTYPE</v>
      </c>
      <c r="D1182" s="222" t="str">
        <f t="array" ref="D1182:D1183">{"SPELL/ALCHEMY";((IF(INDEX(ALLCLASSDATA,MATCH("CasterType",CLASSFEATUREHEADERS,0),MATCH(($A1183),CLASSNAMEHEADERS,0))="","",(IF(INDEX(ALLCLASSDATA,MATCH("CasterType",CLASSFEATUREHEADERS,0),MATCH(($A1183),CLASSNAMEHEADERS,0))="Alchemy","","Spells")))))}</f>
        <v>SPELL/ALCHEMY</v>
      </c>
      <c r="E1182" s="222" t="str">
        <f t="array" ref="E1182:E1183">{"SPELLLIST";(IF(D1183="Spells",((INDEX(ALLCLASSDATA,MATCH("CasterType",CLASSFEATUREHEADERS,0),MATCH(($A1183),CLASSNAMEHEADERS,0))) &amp; ":" &amp; (INDEX(ALLCLASSDATA,MATCH("SpellList",CLASSFEATUREHEADERS,0),MATCH(($A1183),CLASSNAMEHEADERS,0)))),""))}</f>
        <v>SPELLLIST</v>
      </c>
      <c r="F1182" s="223" t="str">
        <f t="array" ref="F1182:F1183">{"TOTALSLOTS";(IF(D1183="","","TotalSlots:"))}</f>
        <v>TOTALSLOTS</v>
      </c>
      <c r="G1182" s="223" t="str">
        <f t="array" ref="G1182:G1183">{"TOTALCANTRIPSLOTS";(G1179)}</f>
        <v>TOTALCANTRIPSLOTS</v>
      </c>
      <c r="H1182" s="223" t="str">
        <f t="array" ref="H1182:H1183">{"TOTALSLOTS L01";(H1179)}</f>
        <v>TOTALSLOTS L01</v>
      </c>
      <c r="I1182" s="223" t="str">
        <f t="array" ref="I1182:I1183">{"TOTALSLOTS L02";(H1183+I1179)}</f>
        <v>TOTALSLOTS L02</v>
      </c>
      <c r="J1182" s="223" t="str">
        <f t="array" ref="J1182:J1183">{"TOTALSLOTS L03";(I1183+J1179)}</f>
        <v>TOTALSLOTS L03</v>
      </c>
      <c r="K1182" s="223" t="str">
        <f t="array" ref="K1182:K1183">{"TOTALSLOTS L04";(J1183+K1179)}</f>
        <v>TOTALSLOTS L04</v>
      </c>
      <c r="L1182" s="223" t="str">
        <f t="array" ref="L1182:L1183">{"TOTALSLOTS L05";(K1183+L1179)}</f>
        <v>TOTALSLOTS L05</v>
      </c>
      <c r="M1182" s="223" t="str">
        <f t="array" ref="M1182:M1183">{"TOTALSLOTS L06";(L1183+M1179)}</f>
        <v>TOTALSLOTS L06</v>
      </c>
      <c r="N1182" s="223" t="str">
        <f t="array" ref="N1182:N1183">{"TOTALSLOTS L07";(M1183+N1179)}</f>
        <v>TOTALSLOTS L07</v>
      </c>
      <c r="O1182" s="223" t="str">
        <f t="array" ref="O1182:O1183">{"TOTALSLOTS L08";(N1183+O1179)}</f>
        <v>TOTALSLOTS L08</v>
      </c>
      <c r="P1182" s="223" t="str">
        <f t="array" ref="P1182:P1183">{"TOTALSLOTS L09";(O1183+P1179)}</f>
        <v>TOTALSLOTS L09</v>
      </c>
      <c r="Q1182" s="223" t="str">
        <f t="array" ref="Q1182:Q1183">{"TOTALSLOTS L10";(P1183+Q1179)}</f>
        <v>TOTALSLOTS L10</v>
      </c>
      <c r="R1182" s="223" t="str">
        <f t="array" ref="R1182:R1183">{"TOTALSLOTS L11";(Q1183+R1179)}</f>
        <v>TOTALSLOTS L11</v>
      </c>
      <c r="S1182" s="223" t="str">
        <f t="array" ref="S1182:S1183">{"TOTALSLOTS L12";(R1183+S1179)}</f>
        <v>TOTALSLOTS L12</v>
      </c>
      <c r="T1182" s="223" t="str">
        <f t="array" ref="T1182:T1183">{"TOTALSLOTS L13";(S1183+T1179)}</f>
        <v>TOTALSLOTS L13</v>
      </c>
      <c r="U1182" s="223" t="str">
        <f t="array" ref="U1182:U1183">{"TOTALSLOTS L14";(T1183+U1179)}</f>
        <v>TOTALSLOTS L14</v>
      </c>
      <c r="V1182" s="223" t="str">
        <f t="array" ref="V1182:V1183">{"TOTALSLOTS L15";(U1183+V1179)}</f>
        <v>TOTALSLOTS L15</v>
      </c>
      <c r="W1182" s="223" t="str">
        <f t="array" ref="W1182:W1183">{"TOTALSLOTS L16";(V1183+W1179)}</f>
        <v>TOTALSLOTS L16</v>
      </c>
      <c r="X1182" s="223" t="str">
        <f t="array" ref="X1182:X1183">{"TOTALSLOTS L17";(W1183+X1179)}</f>
        <v>TOTALSLOTS L17</v>
      </c>
      <c r="Y1182" s="223" t="str">
        <f t="array" ref="Y1182:Y1183">{"TOTALSLOTS L18";(X1183+Y1179)}</f>
        <v>TOTALSLOTS L18</v>
      </c>
      <c r="Z1182" s="223" t="str">
        <f t="array" ref="Z1182:Z1183">{"TOTALSLOTS L19";(Y1183+Z1179)}</f>
        <v>TOTALSLOTS L19</v>
      </c>
      <c r="AA1182" s="223" t="str">
        <f t="array" ref="AA1182:AA1183">{"TOTALSLOTS L20";(Z1183+AA1179)}</f>
        <v>TOTALSLOTS L20</v>
      </c>
      <c r="AB1182" s="76"/>
      <c r="AC1182" s="76"/>
    </row>
    <row r="1183">
      <c r="A1183" s="48" t="s">
        <v>195</v>
      </c>
      <c r="B1183" s="48"/>
      <c r="C1183" s="48" t="s">
        <v>417</v>
      </c>
      <c r="D1183" s="48" t="s">
        <v>1901</v>
      </c>
      <c r="E1183" s="48" t="s">
        <v>1927</v>
      </c>
      <c r="F1183" s="278" t="s">
        <v>1910</v>
      </c>
      <c r="G1183" s="280"/>
      <c r="H1183" s="278" t="s">
        <v>1537</v>
      </c>
      <c r="I1183" s="278">
        <v>2.0</v>
      </c>
      <c r="J1183" s="278">
        <v>3.0</v>
      </c>
      <c r="K1183" s="278">
        <v>4.0</v>
      </c>
      <c r="L1183" s="278">
        <v>4.0</v>
      </c>
      <c r="M1183" s="278">
        <v>4.0</v>
      </c>
      <c r="N1183" s="278">
        <v>4.0</v>
      </c>
      <c r="O1183" s="278">
        <v>4.0</v>
      </c>
      <c r="P1183" s="278">
        <v>4.0</v>
      </c>
      <c r="Q1183" s="278">
        <v>4.0</v>
      </c>
      <c r="R1183" s="278">
        <v>4.0</v>
      </c>
      <c r="S1183" s="278">
        <v>4.0</v>
      </c>
      <c r="T1183" s="278">
        <v>4.0</v>
      </c>
      <c r="U1183" s="278">
        <v>4.0</v>
      </c>
      <c r="V1183" s="278">
        <v>4.0</v>
      </c>
      <c r="W1183" s="278">
        <v>4.0</v>
      </c>
      <c r="X1183" s="278">
        <v>4.0</v>
      </c>
      <c r="Y1183" s="278">
        <v>4.0</v>
      </c>
      <c r="Z1183" s="278">
        <v>4.0</v>
      </c>
      <c r="AA1183" s="278">
        <v>4.0</v>
      </c>
      <c r="AB1183" s="5"/>
      <c r="AC1183" s="47"/>
    </row>
    <row r="1184" hidden="1">
      <c r="A1184" s="222" t="str">
        <f t="array" ref="A1184:A1185">{"FormulaRow45";(INDEX(CLASSLIST,A1095,1))}</f>
        <v>FormulaRow45</v>
      </c>
      <c r="B1184" s="77" t="s">
        <v>236</v>
      </c>
      <c r="C1184" s="222" t="str">
        <f t="array" ref="C1184:C1185">{"CLASSTYPE";((INDEX(ALLCLASSDATA,MATCH("ClassType",CLASSFEATUREHEADERS,0),MATCH($A1185,CLASSNAMEHEADERS,0))))}</f>
        <v>CLASSTYPE</v>
      </c>
      <c r="D1184" s="222" t="str">
        <f t="array" ref="D1184:D1185">{"SPELL/ALCHEMY";((IF(INDEX(ALLCLASSDATA,MATCH("CasterType",CLASSFEATUREHEADERS,0),MATCH(($A1185),CLASSNAMEHEADERS,0))="","",(IF(INDEX(ALLCLASSDATA,MATCH("CasterType",CLASSFEATUREHEADERS,0),MATCH(($A1185),CLASSNAMEHEADERS,0))="Alchemy","Alchemy","Spells")))))}</f>
        <v>SPELL/ALCHEMY</v>
      </c>
      <c r="E1184" s="222" t="str">
        <f t="array" ref="E1184:E1185">{"SPELLLIST";(IF(D1185="Spells",((INDEX(ALLCLASSDATA,MATCH("CasterType",CLASSFEATUREHEADERS,0),MATCH(($A1185),CLASSNAMEHEADERS,0))) &amp; ":" &amp; (INDEX(ALLCLASSDATA,MATCH("SpellList",CLASSFEATUREHEADERS,0),MATCH(($A1185),CLASSNAMEHEADERS,0)))),""))}</f>
        <v>SPELLLIST</v>
      </c>
      <c r="F1184" s="223" t="str">
        <f t="array" ref="F1184:F1185">{"TOTALLEARNED";(IF(D1185="","","TotalLearned:"))}</f>
        <v>TOTALLEARNED</v>
      </c>
      <c r="G1184" s="223" t="str">
        <f t="array" ref="G1184:G1185">{"TOTALCANTRIPSLEARNED";(G1181)}</f>
        <v>TOTALCANTRIPSLEARNED</v>
      </c>
      <c r="H1184" s="223" t="str">
        <f t="array" ref="H1184:H1185">{"TOTALLEARNED L01";(H1181)}</f>
        <v>TOTALLEARNED L01</v>
      </c>
      <c r="I1184" s="223" t="str">
        <f t="array" ref="I1184:I1185">{"TOTALLEARNED L02";(H1185+I1181)}</f>
        <v>TOTALLEARNED L02</v>
      </c>
      <c r="J1184" s="223" t="str">
        <f t="array" ref="J1184:J1185">{"TOTALLEARNED L03";(I1185+J1181)}</f>
        <v>TOTALLEARNED L03</v>
      </c>
      <c r="K1184" s="223" t="str">
        <f t="array" ref="K1184:K1185">{"TOTALLEARNED L04";(J1185+K1181)}</f>
        <v>TOTALLEARNED L04</v>
      </c>
      <c r="L1184" s="223" t="str">
        <f t="array" ref="L1184:L1185">{"TOTALLEARNED L05";(K1185+L1181)}</f>
        <v>TOTALLEARNED L05</v>
      </c>
      <c r="M1184" s="223" t="str">
        <f t="array" ref="M1184:M1185">{"TOTALLEARNED L06";(L1185+M1181)}</f>
        <v>TOTALLEARNED L06</v>
      </c>
      <c r="N1184" s="223" t="str">
        <f t="array" ref="N1184:N1185">{"TOTALLEARNED L07";(M1185+N1181)}</f>
        <v>TOTALLEARNED L07</v>
      </c>
      <c r="O1184" s="223" t="str">
        <f t="array" ref="O1184:O1185">{"TOTALLEARNED L08";(N1185+O1181)}</f>
        <v>TOTALLEARNED L08</v>
      </c>
      <c r="P1184" s="223" t="str">
        <f t="array" ref="P1184:P1185">{"TOTALLEARNED L09";(O1185+P1181)}</f>
        <v>TOTALLEARNED L09</v>
      </c>
      <c r="Q1184" s="223" t="str">
        <f t="array" ref="Q1184:Q1185">{"TOTALLEARNED L10";(P1185+Q1181)}</f>
        <v>TOTALLEARNED L10</v>
      </c>
      <c r="R1184" s="223" t="str">
        <f t="array" ref="R1184:R1185">{"TOTALLEARNED L11";(Q1185+R1181)}</f>
        <v>TOTALLEARNED L11</v>
      </c>
      <c r="S1184" s="223" t="str">
        <f t="array" ref="S1184:S1185">{"TOTALLEARNED L12";(R1185+S1181)}</f>
        <v>TOTALLEARNED L12</v>
      </c>
      <c r="T1184" s="223" t="str">
        <f t="array" ref="T1184:T1185">{"TOTALLEARNED L13";(S1185+T1181)}</f>
        <v>TOTALLEARNED L13</v>
      </c>
      <c r="U1184" s="223" t="str">
        <f t="array" ref="U1184:U1185">{"TOTALLEARNED L14";(T1185+U1181)}</f>
        <v>TOTALLEARNED L14</v>
      </c>
      <c r="V1184" s="223" t="str">
        <f t="array" ref="V1184:V1185">{"TOTALLEARNED L15";(U1185+V1181)}</f>
        <v>TOTALLEARNED L15</v>
      </c>
      <c r="W1184" s="223" t="str">
        <f t="array" ref="W1184:W1185">{"TOTALLEARNED L16";(V1185+W1181)}</f>
        <v>TOTALLEARNED L16</v>
      </c>
      <c r="X1184" s="223" t="str">
        <f t="array" ref="X1184:X1185">{"TOTALLEARNED L17";(W1185+X1181)}</f>
        <v>TOTALLEARNED L17</v>
      </c>
      <c r="Y1184" s="223" t="str">
        <f t="array" ref="Y1184:Y1185">{"TOTALLEARNED L18";(X1185+Y1181)}</f>
        <v>TOTALLEARNED L18</v>
      </c>
      <c r="Z1184" s="223" t="str">
        <f t="array" ref="Z1184:Z1185">{"TOTALLEARNED L19";(Y1185+Z1181)}</f>
        <v>TOTALLEARNED L19</v>
      </c>
      <c r="AA1184" s="223" t="str">
        <f t="array" ref="AA1184:AA1185">{"TOTALLEARNED L20";(Z1185+AA1181)}</f>
        <v>TOTALLEARNED L20</v>
      </c>
      <c r="AB1184" s="76"/>
      <c r="AC1184" s="76"/>
    </row>
    <row r="1185">
      <c r="A1185" s="97" t="s">
        <v>195</v>
      </c>
      <c r="B1185" s="97"/>
      <c r="C1185" s="97" t="s">
        <v>417</v>
      </c>
      <c r="D1185" s="97" t="s">
        <v>1901</v>
      </c>
      <c r="E1185" s="97" t="s">
        <v>1927</v>
      </c>
      <c r="F1185" s="281" t="s">
        <v>1911</v>
      </c>
      <c r="G1185" s="282" t="s">
        <v>1530</v>
      </c>
      <c r="H1185" s="278" t="s">
        <v>1538</v>
      </c>
      <c r="I1185" s="278">
        <v>3.0</v>
      </c>
      <c r="J1185" s="278">
        <v>4.0</v>
      </c>
      <c r="K1185" s="278">
        <v>5.0</v>
      </c>
      <c r="L1185" s="278">
        <v>5.0</v>
      </c>
      <c r="M1185" s="278">
        <v>5.0</v>
      </c>
      <c r="N1185" s="278">
        <v>5.0</v>
      </c>
      <c r="O1185" s="278">
        <v>5.0</v>
      </c>
      <c r="P1185" s="278">
        <v>5.0</v>
      </c>
      <c r="Q1185" s="278">
        <v>5.0</v>
      </c>
      <c r="R1185" s="278">
        <v>5.0</v>
      </c>
      <c r="S1185" s="278">
        <v>5.0</v>
      </c>
      <c r="T1185" s="278">
        <v>5.0</v>
      </c>
      <c r="U1185" s="278">
        <v>5.0</v>
      </c>
      <c r="V1185" s="278">
        <v>5.0</v>
      </c>
      <c r="W1185" s="278">
        <v>5.0</v>
      </c>
      <c r="X1185" s="278">
        <v>5.0</v>
      </c>
      <c r="Y1185" s="278">
        <v>5.0</v>
      </c>
      <c r="Z1185" s="278">
        <v>5.0</v>
      </c>
      <c r="AA1185" s="278">
        <v>5.0</v>
      </c>
      <c r="AB1185" s="5"/>
      <c r="AC1185" s="47"/>
    </row>
    <row r="1186">
      <c r="A1186" s="55">
        <f>VLOOKUP($C1186, CLASSNUMBERFINDER, 2, false)</f>
        <v>14</v>
      </c>
      <c r="B1186" s="58"/>
      <c r="C1186" s="70" t="s">
        <v>199</v>
      </c>
      <c r="D1186" s="71"/>
      <c r="E1186" s="71"/>
      <c r="F1186" s="71"/>
      <c r="G1186" s="72"/>
      <c r="H1186" s="71"/>
      <c r="I1186" s="71"/>
      <c r="J1186" s="71"/>
      <c r="K1186" s="71"/>
      <c r="L1186" s="71"/>
      <c r="M1186" s="71"/>
      <c r="N1186" s="71"/>
      <c r="O1186" s="71"/>
      <c r="P1186" s="71"/>
      <c r="Q1186" s="71"/>
      <c r="R1186" s="71"/>
      <c r="S1186" s="71"/>
      <c r="T1186" s="71"/>
      <c r="U1186" s="71"/>
      <c r="V1186" s="71"/>
      <c r="W1186" s="71"/>
      <c r="X1186" s="71"/>
      <c r="Y1186" s="71"/>
      <c r="Z1186" s="71"/>
      <c r="AA1186" s="71"/>
      <c r="AB1186" s="71"/>
      <c r="AC1186" s="73"/>
    </row>
    <row r="1187" hidden="1">
      <c r="A1187" s="76" t="str">
        <f t="array" ref="A1187:A1188">{"FormulaRow01";(INDEX(CLASSLIST,A1186,1))}</f>
        <v>FormulaRow01</v>
      </c>
      <c r="B1187" s="77" t="s">
        <v>236</v>
      </c>
      <c r="C1187" s="76" t="str">
        <f t="array" ref="C1187:C1188">{"CLASSTYPE";(INDEX(ALLCLASSDATA,MATCH("ClassType",CLASSFEATUREHEADERS,0),MATCH($A1188,CLASSNAMEHEADERS,0)))}</f>
        <v>CLASSTYPE</v>
      </c>
      <c r="D1187" s="81" t="str">
        <f t="array" ref="D1187:D1188">{"TOTAL";("Total: " &amp; H1188+J1188+L1188+N1188+P1188+R1188+T1188+V1188+X1188+Z1188)}</f>
        <v>TOTAL</v>
      </c>
      <c r="E1187" s="81" t="str">
        <f t="array" ref="E1187:E1188">{"BALANCE";(IF((H1188+J1188+L1188+N1188+P1188+R1188+T1188+V1188+X1188+Z1188)=2100,"(balanced)",(IF((H1188+J1188+L1188+N1188+P1188+R1188+T1188+V1188+X1188+Z1188)&gt;2100,"OVERBUDGET: ","UNDERBUDGET: ")) &amp; (H1188+J1188+L1188+N1188+P1188+R1188+T1188+V1188+X1188+Z1188-2100)))}</f>
        <v>BALANCE</v>
      </c>
      <c r="F1187" s="81"/>
      <c r="G1187" s="81"/>
      <c r="H1187" s="81" t="str">
        <f t="array" ref="H1187:H1188">{"SUM LVL0/1/2";((SUMIF(F1189:I1268,"&lt;&gt;#REF!")+(SUMIF(J1189:AA1196,"&lt;&gt;#REF!"))))}</f>
        <v>SUM LVL0/1/2</v>
      </c>
      <c r="I1187" s="81"/>
      <c r="J1187" s="81" t="str">
        <f t="array" ref="J1187:J1188">{"SUM LVL3/4";(SUMIF(J1197:K1268,"&lt;&gt;#REF!"))}</f>
        <v>SUM LVL3/4</v>
      </c>
      <c r="K1187" s="81"/>
      <c r="L1187" s="81" t="str">
        <f t="array" ref="L1187:L1188">{"SUM LVL5/6";(SUMIF(L1197:M1268,"&lt;&gt;#REF!"))}</f>
        <v>SUM LVL5/6</v>
      </c>
      <c r="M1187" s="81"/>
      <c r="N1187" s="81" t="str">
        <f t="array" ref="N1187:N1188">{"SUM LVL7/8";(SUMIF(N1197:O1268,"&lt;&gt;#REF!"))}</f>
        <v>SUM LVL7/8</v>
      </c>
      <c r="O1187" s="81"/>
      <c r="P1187" s="81" t="str">
        <f t="array" ref="P1187:P1188">{"SUM LVL9/10";(SUMIF(P1197:Q1268,"&lt;&gt;#REF!"))}</f>
        <v>SUM LVL9/10</v>
      </c>
      <c r="Q1187" s="81"/>
      <c r="R1187" s="81" t="str">
        <f t="array" ref="R1187:R1188">{"SUM LVL11/12";(SUMIF(R1197:S1268,"&lt;&gt;#REF!"))}</f>
        <v>SUM LVL11/12</v>
      </c>
      <c r="S1187" s="81"/>
      <c r="T1187" s="81" t="str">
        <f t="array" ref="T1187:T1188">{"SUM LVL13/14";(SUMIF(T1197:U1268,"&lt;&gt;#REF!"))}</f>
        <v>SUM LVL13/14</v>
      </c>
      <c r="U1187" s="81"/>
      <c r="V1187" s="81" t="str">
        <f t="array" ref="V1187:V1188">{"SUM LVL15/16";(SUMIF(V1197:W1268,"&lt;&gt;#REF!"))}</f>
        <v>SUM LVL15/16</v>
      </c>
      <c r="W1187" s="81"/>
      <c r="X1187" s="81" t="str">
        <f t="array" ref="X1187:X1188">{"SUM LVL17/18";(SUMIF(X1197:Y1268,"&lt;&gt;#REF!"))}</f>
        <v>SUM LVL17/18</v>
      </c>
      <c r="Y1187" s="81"/>
      <c r="Z1187" s="81" t="str">
        <f t="array" ref="Z1187:Z1188">{"SUM LVL19/20";(SUMIF(Z1197:AA1268,"&lt;&gt;#REF!"))}</f>
        <v>SUM LVL19/20</v>
      </c>
      <c r="AA1187" s="81"/>
      <c r="AB1187" s="76"/>
      <c r="AC1187" s="76" t="str">
        <f t="array" ref="AC1187:AC1188">{"SUM ROWTOTALS";(SUMIF(AC1190:AC1276,"&lt;&gt;#REF!"))}</f>
        <v>SUM ROWTOTALS</v>
      </c>
    </row>
    <row r="1188">
      <c r="A1188" s="48" t="s">
        <v>199</v>
      </c>
      <c r="B1188" s="48"/>
      <c r="C1188" s="48" t="s">
        <v>417</v>
      </c>
      <c r="D1188" s="91" t="s">
        <v>416</v>
      </c>
      <c r="E1188" s="92" t="s">
        <v>419</v>
      </c>
      <c r="F1188" s="91"/>
      <c r="G1188" s="93"/>
      <c r="H1188" s="92">
        <v>490.0</v>
      </c>
      <c r="I1188" s="92"/>
      <c r="J1188" s="92">
        <v>60.0</v>
      </c>
      <c r="K1188" s="92"/>
      <c r="L1188" s="92">
        <v>140.0</v>
      </c>
      <c r="M1188" s="92"/>
      <c r="N1188" s="92">
        <v>170.0</v>
      </c>
      <c r="O1188" s="92"/>
      <c r="P1188" s="92">
        <v>250.0</v>
      </c>
      <c r="Q1188" s="92"/>
      <c r="R1188" s="92">
        <v>110.0</v>
      </c>
      <c r="S1188" s="92"/>
      <c r="T1188" s="92">
        <v>170.0</v>
      </c>
      <c r="U1188" s="92"/>
      <c r="V1188" s="92">
        <v>300.0</v>
      </c>
      <c r="W1188" s="92"/>
      <c r="X1188" s="92">
        <v>260.0</v>
      </c>
      <c r="Y1188" s="92"/>
      <c r="Z1188" s="92">
        <v>150.0</v>
      </c>
      <c r="AA1188" s="92"/>
      <c r="AB1188" s="5"/>
      <c r="AC1188" s="47">
        <v>2100.0</v>
      </c>
    </row>
    <row r="1189" hidden="1">
      <c r="A1189" s="76" t="str">
        <f t="array" ref="A1189:A1190">{"FormulaRow02";(INDEX(CLASSLIST,A1186,1))}</f>
        <v>FormulaRow02</v>
      </c>
      <c r="B1189" s="77" t="s">
        <v>236</v>
      </c>
      <c r="C1189" s="76" t="str">
        <f t="array" ref="C1189:C1190">{"CLASSTYPE";((INDEX(ALLCLASSDATA,MATCH("ClassType",CLASSFEATUREHEADERS,0),MATCH($A1190,CLASSNAMEHEADERS,0))))}</f>
        <v>CLASSTYPE</v>
      </c>
      <c r="D1189" s="81" t="str">
        <f t="array" ref="D1189:D1190">{"FEATURES";"Features"}</f>
        <v>FEATURES</v>
      </c>
      <c r="E1189" s="81" t="str">
        <f t="array" ref="E1189:E1190">{"INITIALFEATURES";"Initial Features"}</f>
        <v>INITIALFEATURES</v>
      </c>
      <c r="F1189" s="81" t="str">
        <f t="array" ref="F1189:F1190">{"KEY";"Key"}</f>
        <v>KEY</v>
      </c>
      <c r="G1189" s="81" t="str">
        <f t="array" ref="G1189:G1190">{"HP";"HP"}</f>
        <v>HP</v>
      </c>
      <c r="H1189" s="81" t="str">
        <f t="array" ref="H1189:H1190">{"CLASSFEATL01";"ClassFeatL01"}</f>
        <v>CLASSFEATL01</v>
      </c>
      <c r="I1189" s="81" t="str">
        <f t="array" ref="I1189:I1190">{"SHIELDBLOCKL01";"ShieldBlockL01"}</f>
        <v>SHIELDBLOCKL01</v>
      </c>
      <c r="J1189" s="81" t="str">
        <f t="array" ref="J1189:J1190">{"INITIALSKILLS";"InitialSkills"}</f>
        <v>INITIALSKILLS</v>
      </c>
      <c r="K1189" s="81" t="str">
        <f t="array" ref="K1189:K1190">{"SUBCLASSSKILLS";"SubclassSkills"}</f>
        <v>SUBCLASSSKILLS</v>
      </c>
      <c r="L1189" s="81" t="str">
        <f t="array" ref="L1189:L1190">{"GRANTEDSKILLS";"GrantedSkills"}</f>
        <v>GRANTEDSKILLS</v>
      </c>
      <c r="M1189" s="81"/>
      <c r="N1189" s="81"/>
      <c r="O1189" s="81"/>
      <c r="P1189" s="81" t="str">
        <f t="array" ref="P1189:P1190">{"FOCUSSPELLS";"FocusSpells:"}</f>
        <v>FOCUSSPELLS</v>
      </c>
      <c r="Q1189" s="81" t="str">
        <f t="array" ref="Q1189:Q1190">{"FOCUSSPELL1-L00";((INDEX(ALLCLASSDATA,MATCH("FocusSpell1-L00",CLASSFEATUREHEADERS,0),MATCH(($A1190),CLASSNAMEHEADERS,0))))}</f>
        <v>FOCUSSPELL1-L00</v>
      </c>
      <c r="R1189" s="81" t="str">
        <f t="array" ref="R1189:R1190">{"FOCUSSPELL2-L00";((INDEX(ALLCLASSDATA,MATCH("FocusSpell2-L00",CLASSFEATUREHEADERS,0),MATCH(($A1190),CLASSNAMEHEADERS,0))))}</f>
        <v>FOCUSSPELL2-L00</v>
      </c>
      <c r="S1189" s="81" t="str">
        <f t="array" ref="S1189:S1190">{"FOCUSSPELL3-L00";((INDEX(ALLCLASSDATA,MATCH("FocusSpell3-L00",CLASSFEATUREHEADERS,0),MATCH(($A1190),CLASSNAMEHEADERS,0))))}</f>
        <v>FOCUSSPELL3-L00</v>
      </c>
      <c r="T1189" s="81" t="str">
        <f t="array" ref="T1189:T1190">{"FOCUSSPELL4-L00";((INDEX(ALLCLASSDATA,MATCH("FocusSpell4-L00",CLASSFEATUREHEADERS,0),MATCH(($A1190),CLASSNAMEHEADERS,0))))}</f>
        <v>FOCUSSPELL4-L00</v>
      </c>
      <c r="U1189" s="81" t="str">
        <f t="array" ref="U1189:U1190">{"FOCUSSPELL5-L00";((INDEX(ALLCLASSDATA,MATCH("FocusSpell5-L00",CLASSFEATUREHEADERS,0),MATCH(($A1190),CLASSNAMEHEADERS,0))))}</f>
        <v>FOCUSSPELL5-L00</v>
      </c>
      <c r="V1189" s="81"/>
      <c r="W1189" s="81"/>
      <c r="X1189" s="81"/>
      <c r="Y1189" s="81"/>
      <c r="Z1189" s="81"/>
      <c r="AA1189" s="81"/>
      <c r="AB1189" s="76"/>
      <c r="AC1189" s="76"/>
    </row>
    <row r="1190">
      <c r="A1190" s="48" t="s">
        <v>199</v>
      </c>
      <c r="B1190" s="48"/>
      <c r="C1190" s="48" t="s">
        <v>417</v>
      </c>
      <c r="D1190" s="48" t="s">
        <v>467</v>
      </c>
      <c r="E1190" s="48" t="s">
        <v>468</v>
      </c>
      <c r="F1190" s="48" t="s">
        <v>469</v>
      </c>
      <c r="G1190" s="114" t="s">
        <v>15</v>
      </c>
      <c r="H1190" s="8" t="s">
        <v>451</v>
      </c>
      <c r="I1190" s="8" t="s">
        <v>463</v>
      </c>
      <c r="J1190" s="8" t="s">
        <v>473</v>
      </c>
      <c r="K1190" s="8" t="s">
        <v>474</v>
      </c>
      <c r="L1190" s="8" t="s">
        <v>475</v>
      </c>
      <c r="M1190" s="8"/>
      <c r="N1190" s="8"/>
      <c r="O1190" s="8"/>
      <c r="P1190" s="8" t="s">
        <v>476</v>
      </c>
      <c r="Q1190" s="116" t="s">
        <v>1597</v>
      </c>
      <c r="R1190" s="116"/>
      <c r="S1190" s="116"/>
      <c r="T1190" s="116"/>
      <c r="U1190" s="116"/>
      <c r="V1190" s="8"/>
      <c r="W1190" s="8"/>
      <c r="X1190" s="8"/>
      <c r="Y1190" s="8"/>
      <c r="Z1190" s="5"/>
      <c r="AA1190" s="5"/>
      <c r="AB1190" s="5"/>
      <c r="AC1190" s="47"/>
    </row>
    <row r="1191" hidden="1">
      <c r="A1191" s="76" t="str">
        <f t="array" ref="A1191:A1192">{"FormulaRow03";(INDEX(CLASSLIST,A1186,1))}</f>
        <v>FormulaRow03</v>
      </c>
      <c r="B1191" s="77" t="s">
        <v>236</v>
      </c>
      <c r="C1191" s="76" t="str">
        <f t="array" ref="C1191:C1192">{"CLASSTYPE";((INDEX(ALLCLASSDATA,MATCH("ClassType",CLASSFEATUREHEADERS,0),MATCH($A1192,CLASSNAMEHEADERS,0))))}</f>
        <v>CLASSTYPE</v>
      </c>
      <c r="D1191" s="76" t="str">
        <f t="array" ref="D1191:D1192">{"FEATUREPTS";"FeaturesPts"}</f>
        <v>FEATUREPTS</v>
      </c>
      <c r="E1191" s="76" t="str">
        <f t="array" ref="E1191:E1192">{"INITIALFEATURES";"Initial Features"}</f>
        <v>INITIALFEATURES</v>
      </c>
      <c r="F1191" s="76" t="str">
        <f t="array" ref="F1191:F1192">{"KEYABILITY";((INDEX(ALLCLASSDATA,MATCH("KEYABILITY",CLASSFEATUREHEADERS,0),MATCH($A1192,CLASSNAMEHEADERS,0))))}</f>
        <v>KEYABILITY</v>
      </c>
      <c r="G1191" s="76" t="str">
        <f t="array" ref="G1191:G1192">{"HP";((INDEX(ALLCLASSDATA,MATCH("HP",CLASSFEATUREHEADERS,0),MATCH(($A1192 &amp; "Points"),CLASSNAMEHEADERS,0))))}</f>
        <v>HP</v>
      </c>
      <c r="H1191" s="76" t="str">
        <f t="array" ref="H1191:H1192">{"CLASSFEATL01";((INDEX(ALLCLASSDATA,MATCH("ClassFeatL01",CLASSFEATUREHEADERS,0),MATCH(($A1192 &amp; "Points"),CLASSNAMEHEADERS,0))))}</f>
        <v>CLASSFEATL01</v>
      </c>
      <c r="I1191" s="76" t="str">
        <f t="array" ref="I1191:I1192">{"SHIELDBLOCKL01";((INDEX(ALLCLASSDATA,MATCH("ShieldBlockL01",CLASSFEATUREHEADERS,0),MATCH(($A1192 &amp; "Points"),CLASSNAMEHEADERS,0))))}</f>
        <v>SHIELDBLOCKL01</v>
      </c>
      <c r="J1191" s="76" t="str">
        <f t="array" ref="J1191:J1192">{"INITIALSKILLINCREASES";((INDEX(ALLCLASSDATA,MATCH("InitialSkillIncreases",CLASSFEATUREHEADERS,0),MATCH(($A1192 &amp; "Points"),CLASSNAMEHEADERS,0))))}</f>
        <v>INITIALSKILLINCREASES</v>
      </c>
      <c r="K1191" s="76" t="str">
        <f t="array" ref="K1191:K1192">{"SUBCLASSSKILLINCREASES";((INDEX(ALLCLASSDATA,MATCH("SubclassSkillIncreases",CLASSFEATUREHEADERS,0),MATCH(($A1192 &amp; "Points"),CLASSNAMEHEADERS,0))))}</f>
        <v>SUBCLASSSKILLINCREASES</v>
      </c>
      <c r="L1191" s="76" t="str">
        <f t="array" ref="L1191:L1192">{"GRANTEDSKILLS";(((INDEX(ALLCLASSDATA,MATCH("SkillsGrantedTotal",CLASSFEATUREHEADERS,0),MATCH(($A1192 &amp; "Points"),CLASSNAMEHEADERS,0)))-(INDEX(ALLCLASSDATA,MATCH("InitialSkillIncreases",CLASSFEATUREHEADERS,0),MATCH(($A1192 &amp; "Points"),CLASSNAMEHEADERS,0)))-(INDEX(ALLCLASSDATA,MATCH("SubclassSkillIncreases",CLASSFEATUREHEADERS,0),MATCH(($A1192 &amp; "Points"),CLASSNAMEHEADERS,0)))))}</f>
        <v>GRANTEDSKILLS</v>
      </c>
      <c r="M1191" s="76"/>
      <c r="N1191" s="76"/>
      <c r="O1191" s="76"/>
      <c r="P1191" s="76"/>
      <c r="Q1191" s="76" t="str">
        <f t="array" ref="Q1191:Q1192">{"FOCUSSPELL1-L00";((INDEX(ALLCLASSDATA,MATCH("FocusSpell1-L00",CLASSFEATUREHEADERS,0),MATCH(($A1192 &amp; "Points"),CLASSNAMEHEADERS,0))))}</f>
        <v>FOCUSSPELL1-L00</v>
      </c>
      <c r="R1191" s="76" t="str">
        <f t="array" ref="R1191:R1192">{"FOCUSSPELL2-L00";((INDEX(ALLCLASSDATA,MATCH("FocusSpell2-L00",CLASSFEATUREHEADERS,0),MATCH(($A1192 &amp; "Points"),CLASSNAMEHEADERS,0))))}</f>
        <v>FOCUSSPELL2-L00</v>
      </c>
      <c r="S1191" s="76" t="str">
        <f t="array" ref="S1191:S1192">{"FOCUSSPELL3-L00";((INDEX(ALLCLASSDATA,MATCH("FocusSpell3-L00",CLASSFEATUREHEADERS,0),MATCH(($A1192 &amp; "Points"),CLASSNAMEHEADERS,0))))}</f>
        <v>FOCUSSPELL3-L00</v>
      </c>
      <c r="T1191" s="76" t="str">
        <f t="array" ref="T1191:T1192">{"FOCUSSPELL4-L00";((INDEX(ALLCLASSDATA,MATCH("FocusSpell4-L00",CLASSFEATUREHEADERS,0),MATCH(($A1192 &amp; "Points"),CLASSNAMEHEADERS,0))))}</f>
        <v>FOCUSSPELL4-L00</v>
      </c>
      <c r="U1191" s="76" t="str">
        <f t="array" ref="U1191:U1192">{"FOCUSSPELL5-L00";((INDEX(ALLCLASSDATA,MATCH("FocusSpell5-L00",CLASSFEATUREHEADERS,0),MATCH(($A1192 &amp; "Points"),CLASSNAMEHEADERS,0))))}</f>
        <v>FOCUSSPELL5-L00</v>
      </c>
      <c r="V1191" s="76"/>
      <c r="W1191" s="76"/>
      <c r="X1191" s="76"/>
      <c r="Y1191" s="76"/>
      <c r="Z1191" s="76"/>
      <c r="AA1191" s="76"/>
      <c r="AB1191" s="76"/>
      <c r="AC1191" s="76" t="str">
        <f t="array" ref="AC1191:AC1192">{"FEATUREPTS TOTAL";(sum(G1192:AA1192))}</f>
        <v>FEATUREPTS TOTAL</v>
      </c>
    </row>
    <row r="1192">
      <c r="A1192" s="48" t="s">
        <v>199</v>
      </c>
      <c r="B1192" s="48"/>
      <c r="C1192" s="48" t="s">
        <v>417</v>
      </c>
      <c r="D1192" s="97" t="s">
        <v>559</v>
      </c>
      <c r="E1192" s="97" t="s">
        <v>468</v>
      </c>
      <c r="F1192" s="97" t="s">
        <v>421</v>
      </c>
      <c r="G1192" s="132">
        <v>80.0</v>
      </c>
      <c r="H1192" s="98" t="s">
        <v>603</v>
      </c>
      <c r="I1192" s="98" t="s">
        <v>603</v>
      </c>
      <c r="J1192" s="98">
        <v>10.0</v>
      </c>
      <c r="K1192" s="98"/>
      <c r="L1192" s="98">
        <v>5.0</v>
      </c>
      <c r="M1192" s="98"/>
      <c r="N1192" s="98"/>
      <c r="O1192" s="98"/>
      <c r="P1192" s="98"/>
      <c r="Q1192" s="98">
        <v>10.0</v>
      </c>
      <c r="R1192" s="98"/>
      <c r="S1192" s="98"/>
      <c r="T1192" s="98"/>
      <c r="U1192" s="98"/>
      <c r="V1192" s="98"/>
      <c r="W1192" s="98"/>
      <c r="X1192" s="98"/>
      <c r="Y1192" s="98"/>
      <c r="Z1192" s="98"/>
      <c r="AA1192" s="98"/>
      <c r="AB1192" s="5"/>
      <c r="AC1192" s="47">
        <v>105.0</v>
      </c>
    </row>
    <row r="1193" hidden="1">
      <c r="A1193" s="76" t="str">
        <f t="array" ref="A1193:A1194">{"FormulaRow04";(INDEX(CLASSLIST,A1186,1))}</f>
        <v>FormulaRow04</v>
      </c>
      <c r="B1193" s="77" t="s">
        <v>236</v>
      </c>
      <c r="C1193" s="76" t="str">
        <f t="array" ref="C1193:C1194">{"CLASSTYPE";((INDEX(ALLCLASSDATA,MATCH("ClassType",CLASSFEATUREHEADERS,0),MATCH($A1194,CLASSNAMEHEADERS,0))))}</f>
        <v>CLASSTYPE</v>
      </c>
      <c r="D1193" s="81" t="str">
        <f t="array" ref="D1193:D1194">{"INITIALFEATURES";"InitialFeatures"}</f>
        <v>INITIALFEATURES</v>
      </c>
      <c r="E1193" s="81" t="str">
        <f t="array" ref="E1193:E1194">{"CLASS/SUBCLASSFEATURES";"Class/Subclass Features"}</f>
        <v>CLASS/SUBCLASSFEATURES</v>
      </c>
      <c r="F1193" s="81"/>
      <c r="G1193" s="136"/>
      <c r="H1193" s="81" t="str">
        <f t="array" ref="H1193:H1194">{"CLASSINITIALABILITY1-L00";((INDEX(ALLCLASSDATA,MATCH("ClassInitialAbility1-L00",CLASSFEATUREHEADERS,0),MATCH(($A1194),CLASSNAMEHEADERS,0))))}</f>
        <v>CLASSINITIALABILITY1-L00</v>
      </c>
      <c r="I1193" s="81" t="str">
        <f t="array" ref="I1193:I1194">{"CLASSINITIALABILITY2-L00";((INDEX(ALLCLASSDATA,MATCH("ClassInitialAbility2-L00",CLASSFEATUREHEADERS,0),MATCH(($A1194),CLASSNAMEHEADERS,0))))}</f>
        <v>CLASSINITIALABILITY2-L00</v>
      </c>
      <c r="J1193" s="81" t="str">
        <f t="array" ref="J1193:J1194">{"CLASSINITIALABILITY3-L00";((INDEX(ALLCLASSDATA,MATCH("ClassInitialAbility3-L00",CLASSFEATUREHEADERS,0),MATCH(($A1194),CLASSNAMEHEADERS,0))))}</f>
        <v>CLASSINITIALABILITY3-L00</v>
      </c>
      <c r="K1193" s="81" t="str">
        <f t="array" ref="K1193:K1194">{"CLASSINITIALABILITY4-L00";((INDEX(ALLCLASSDATA,MATCH("ClassInitialAbility4-L00",CLASSFEATUREHEADERS,0),MATCH(($A1194),CLASSNAMEHEADERS,0))))}</f>
        <v>CLASSINITIALABILITY4-L00</v>
      </c>
      <c r="L1193" s="81" t="str">
        <f t="array" ref="L1193:L1194">{"CLASSINITIALABILITY5-L00";((INDEX(ALLCLASSDATA,MATCH("ClassInitialAbility5-L00",CLASSFEATUREHEADERS,0),MATCH(($A1194),CLASSNAMEHEADERS,0))))}</f>
        <v>CLASSINITIALABILITY5-L00</v>
      </c>
      <c r="M1193" s="81" t="str">
        <f t="array" ref="M1193:M1194">{"CLASSINITIALABILITY6-L00";((INDEX(ALLCLASSDATA,MATCH("ClassInitialAbility6-L00",CLASSFEATUREHEADERS,0),MATCH(($A1194),CLASSNAMEHEADERS,0))))}</f>
        <v>CLASSINITIALABILITY6-L00</v>
      </c>
      <c r="N1193" s="81" t="str">
        <f t="array" ref="N1193:N1194">{"CLASSINITIALABILITY7-L00";((INDEX(ALLCLASSDATA,MATCH("ClassInitialAbility7-L00",CLASSFEATUREHEADERS,0),MATCH(($A1194),CLASSNAMEHEADERS,0))))}</f>
        <v>CLASSINITIALABILITY7-L00</v>
      </c>
      <c r="O1193" s="81" t="str">
        <f t="array" ref="O1193:O1194">{"CLASSINITIALABILITY8-L00";((INDEX(ALLCLASSDATA,MATCH("ClassInitialAbility8-L00",CLASSFEATUREHEADERS,0),MATCH(($A1194),CLASSNAMEHEADERS,0))))}</f>
        <v>CLASSINITIALABILITY8-L00</v>
      </c>
      <c r="P1193" s="81" t="str">
        <f t="array" ref="P1193:P1194">{"CLASSINITIALABILITY9-L00";((INDEX(ALLCLASSDATA,MATCH("ClassInitialAbility9-L00",CLASSFEATUREHEADERS,0),MATCH(($A1194),CLASSNAMEHEADERS,0))))}</f>
        <v>CLASSINITIALABILITY9-L00</v>
      </c>
      <c r="Q1193" s="81" t="str">
        <f t="array" ref="Q1193:Q1194">{"CLASSINITIALABILITY10-L00";((INDEX(ALLCLASSDATA,MATCH("ClassInitialAbility10-L00",CLASSFEATUREHEADERS,0),MATCH(($A1194),CLASSNAMEHEADERS,0))))}</f>
        <v>CLASSINITIALABILITY10-L00</v>
      </c>
      <c r="R1193" s="81" t="str">
        <f t="array" ref="R1193:R1194">{"SUBCLASSINITIAL1-L00";((INDEX(ALLCLASSDATA,MATCH("SubclassInitial1-L00",CLASSFEATUREHEADERS,0),MATCH(($A1194),CLASSNAMEHEADERS,0))))}</f>
        <v>SUBCLASSINITIAL1-L00</v>
      </c>
      <c r="S1193" s="81" t="str">
        <f t="array" ref="S1193:S1194">{"SUBCLASSINITIAL2-L00";((INDEX(ALLCLASSDATA,MATCH("SubclassInitial2-L00",CLASSFEATUREHEADERS,0),MATCH(($A1194),CLASSNAMEHEADERS,0))))}</f>
        <v>SUBCLASSINITIAL2-L00</v>
      </c>
      <c r="T1193" s="81" t="str">
        <f t="array" ref="T1193:T1194">{"SUBCLASSINITIAL3-L00";((INDEX(ALLCLASSDATA,MATCH("SubclassInitial3-L00",CLASSFEATUREHEADERS,0),MATCH(($A1194),CLASSNAMEHEADERS,0))))}</f>
        <v>SUBCLASSINITIAL3-L00</v>
      </c>
      <c r="U1193" s="81" t="str">
        <f t="array" ref="U1193:U1194">{"SUBCLASSINITIAL4-L00";((INDEX(ALLCLASSDATA,MATCH("SubclassInitial4-L00",CLASSFEATUREHEADERS,0),MATCH(($A1194),CLASSNAMEHEADERS,0))))}</f>
        <v>SUBCLASSINITIAL4-L00</v>
      </c>
      <c r="V1193" s="81" t="str">
        <f t="array" ref="V1193:V1194">{"SUBCLASSINITIAL5-L00";((INDEX(ALLCLASSDATA,MATCH("SubclassInitial5-L00",CLASSFEATUREHEADERS,0),MATCH(($A1194),CLASSNAMEHEADERS,0))))}</f>
        <v>SUBCLASSINITIAL5-L00</v>
      </c>
      <c r="W1193" s="81" t="str">
        <f t="array" ref="W1193:W1194">{"SUBCLASSINITIAL6-L00";((INDEX(ALLCLASSDATA,MATCH("SubclassInitial6-L00",CLASSFEATUREHEADERS,0),MATCH(($A1194),CLASSNAMEHEADERS,0))))}</f>
        <v>SUBCLASSINITIAL6-L00</v>
      </c>
      <c r="X1193" s="81" t="str">
        <f t="array" ref="X1193:X1194">{"SUBCLASSINITIAL7-L00";((INDEX(ALLCLASSDATA,MATCH("SubclassInitial7-L00",CLASSFEATUREHEADERS,0),MATCH(($A1194),CLASSNAMEHEADERS,0))))}</f>
        <v>SUBCLASSINITIAL7-L00</v>
      </c>
      <c r="Y1193" s="81" t="str">
        <f t="array" ref="Y1193:Y1194">{"SUBCLASSINITIAL8-L00";((INDEX(ALLCLASSDATA,MATCH("SubclassInitial8-L00",CLASSFEATUREHEADERS,0),MATCH(($A1194),CLASSNAMEHEADERS,0))))}</f>
        <v>SUBCLASSINITIAL8-L00</v>
      </c>
      <c r="Z1193" s="81" t="str">
        <f t="array" ref="Z1193:Z1194">{"SUBCLASSINITIAL9-L00";((INDEX(ALLCLASSDATA,MATCH("SubclassInitial9-L00",CLASSFEATUREHEADERS,0),MATCH(($A1194),CLASSNAMEHEADERS,0))))}</f>
        <v>SUBCLASSINITIAL9-L00</v>
      </c>
      <c r="AA1193" s="81" t="str">
        <f t="array" ref="AA1193:AA1194">{"SUBCLASSINITIAL10-L00";((INDEX(ALLCLASSDATA,MATCH("SubclassInitial10-L00",CLASSFEATUREHEADERS,0),MATCH(($A1194),CLASSNAMEHEADERS,0))))}</f>
        <v>SUBCLASSINITIAL10-L00</v>
      </c>
      <c r="AB1193" s="76"/>
      <c r="AC1193" s="76"/>
    </row>
    <row r="1194">
      <c r="A1194" s="48" t="s">
        <v>199</v>
      </c>
      <c r="B1194" s="48"/>
      <c r="C1194" s="48" t="s">
        <v>417</v>
      </c>
      <c r="D1194" s="48" t="s">
        <v>614</v>
      </c>
      <c r="E1194" s="48" t="s">
        <v>616</v>
      </c>
      <c r="F1194" s="48"/>
      <c r="G1194" s="47"/>
      <c r="H1194" s="5" t="s">
        <v>1623</v>
      </c>
      <c r="I1194" s="5" t="s">
        <v>1639</v>
      </c>
      <c r="J1194" s="5" t="s">
        <v>1648</v>
      </c>
      <c r="K1194" s="5" t="s">
        <v>1658</v>
      </c>
      <c r="L1194" s="5" t="s">
        <v>1140</v>
      </c>
      <c r="M1194" s="5"/>
      <c r="N1194" s="5"/>
      <c r="O1194" s="5"/>
      <c r="P1194" s="5"/>
      <c r="Q1194" s="5"/>
      <c r="R1194" s="5" t="s">
        <v>1820</v>
      </c>
      <c r="S1194" s="5"/>
      <c r="T1194" s="5"/>
      <c r="U1194" s="5"/>
      <c r="V1194" s="5"/>
      <c r="W1194" s="5"/>
      <c r="X1194" s="5"/>
      <c r="Y1194" s="5"/>
      <c r="Z1194" s="5"/>
      <c r="AA1194" s="5"/>
      <c r="AB1194" s="5"/>
      <c r="AC1194" s="47"/>
    </row>
    <row r="1195" hidden="1">
      <c r="A1195" s="76" t="str">
        <f t="array" ref="A1195:A1196">{"FormulaRow05";(INDEX(CLASSLIST,A1186,1))}</f>
        <v>FormulaRow05</v>
      </c>
      <c r="B1195" s="77" t="s">
        <v>236</v>
      </c>
      <c r="C1195" s="76" t="str">
        <f t="array" ref="C1195:C1196">{"CLASSTYPE";((INDEX(ALLCLASSDATA,MATCH("ClassType",CLASSFEATUREHEADERS,0),MATCH($A1196,CLASSNAMEHEADERS,0))))}</f>
        <v>CLASSTYPE</v>
      </c>
      <c r="D1195" s="76" t="str">
        <f t="array" ref="D1195:D1196">{"INITIALFEATURESPTS";"InitialFeaturesPts"}</f>
        <v>INITIALFEATURESPTS</v>
      </c>
      <c r="E1195" s="76" t="str">
        <f t="array" ref="E1195:E1196">{"CLASS/SUBCLASSFEATURES";"Class/Subclass Features"}</f>
        <v>CLASS/SUBCLASSFEATURES</v>
      </c>
      <c r="F1195" s="76"/>
      <c r="G1195" s="76"/>
      <c r="H1195" s="76" t="str">
        <f t="array" ref="H1195:H1196">{"CLASSINITIALABILITY1-L00PTS";((INDEX(ALLCLASSDATA,MATCH("ClassInitialAbility1-L00",CLASSFEATUREHEADERS,0),MATCH(($A1196 &amp; "Points"),CLASSNAMEHEADERS,0))))}</f>
        <v>CLASSINITIALABILITY1-L00PTS</v>
      </c>
      <c r="I1195" s="76" t="str">
        <f t="array" ref="I1195:I1196">{"CLASSINITIALABILITY2-L00PTS";((INDEX(ALLCLASSDATA,MATCH("ClassInitialAbility2-L00",CLASSFEATUREHEADERS,0),MATCH(($A1196 &amp; "Points"),CLASSNAMEHEADERS,0))))}</f>
        <v>CLASSINITIALABILITY2-L00PTS</v>
      </c>
      <c r="J1195" s="76" t="str">
        <f t="array" ref="J1195:J1196">{"CLASSINITIALABILITY3-L00PTS";((INDEX(ALLCLASSDATA,MATCH("ClassInitialAbility3-L00",CLASSFEATUREHEADERS,0),MATCH(($A1196 &amp; "Points"),CLASSNAMEHEADERS,0))))}</f>
        <v>CLASSINITIALABILITY3-L00PTS</v>
      </c>
      <c r="K1195" s="76" t="str">
        <f t="array" ref="K1195:K1196">{"CLASSINITIALABILITY4-L00PTS";((INDEX(ALLCLASSDATA,MATCH("ClassInitialAbility4-L00",CLASSFEATUREHEADERS,0),MATCH(($A1196 &amp; "Points"),CLASSNAMEHEADERS,0))))}</f>
        <v>CLASSINITIALABILITY4-L00PTS</v>
      </c>
      <c r="L1195" s="76" t="str">
        <f t="array" ref="L1195:L1196">{"CLASSINITIALABILITY5-L00PTS";((INDEX(ALLCLASSDATA,MATCH("ClassInitialAbility5-L00",CLASSFEATUREHEADERS,0),MATCH(($A1196 &amp; "Points"),CLASSNAMEHEADERS,0))))}</f>
        <v>CLASSINITIALABILITY5-L00PTS</v>
      </c>
      <c r="M1195" s="76" t="str">
        <f t="array" ref="M1195:M1196">{"CLASSINITIALABILITY6-L00PTS";((INDEX(ALLCLASSDATA,MATCH("ClassInitialAbility6-L00",CLASSFEATUREHEADERS,0),MATCH(($A1196 &amp; "Points"),CLASSNAMEHEADERS,0))))}</f>
        <v>CLASSINITIALABILITY6-L00PTS</v>
      </c>
      <c r="N1195" s="76" t="str">
        <f t="array" ref="N1195:N1196">{"CLASSINITIALABILITY7-L00PTS";((INDEX(ALLCLASSDATA,MATCH("ClassInitialAbility7-L00",CLASSFEATUREHEADERS,0),MATCH(($A1196 &amp; "Points"),CLASSNAMEHEADERS,0))))}</f>
        <v>CLASSINITIALABILITY7-L00PTS</v>
      </c>
      <c r="O1195" s="76" t="str">
        <f t="array" ref="O1195:O1196">{"CLASSINITIALABILITY8-L00PTS";((INDEX(ALLCLASSDATA,MATCH("ClassInitialAbility8-L00",CLASSFEATUREHEADERS,0),MATCH(($A1196 &amp; "Points"),CLASSNAMEHEADERS,0))))}</f>
        <v>CLASSINITIALABILITY8-L00PTS</v>
      </c>
      <c r="P1195" s="76" t="str">
        <f t="array" ref="P1195:P1196">{"CLASSINITIALABILITY9-L00PTS";((INDEX(ALLCLASSDATA,MATCH("ClassInitialAbility9-L00",CLASSFEATUREHEADERS,0),MATCH(($A1196 &amp; "Points"),CLASSNAMEHEADERS,0))))}</f>
        <v>CLASSINITIALABILITY9-L00PTS</v>
      </c>
      <c r="Q1195" s="76" t="str">
        <f t="array" ref="Q1195:Q1196">{"CLASSINITIALABILITY10-L00PTS";((INDEX(ALLCLASSDATA,MATCH("ClassInitialAbility10-L00",CLASSFEATUREHEADERS,0),MATCH(($A1196 &amp; "Points"),CLASSNAMEHEADERS,0))))}</f>
        <v>CLASSINITIALABILITY10-L00PTS</v>
      </c>
      <c r="R1195" s="76" t="str">
        <f t="array" ref="R1195:R1196">{"SUBCLASSINITIAL1-L00PTS";((INDEX(ALLCLASSDATA,MATCH("SubclassInitial1-L00",CLASSFEATUREHEADERS,0),MATCH(($A1196 &amp; "Points"),CLASSNAMEHEADERS,0))))}</f>
        <v>SUBCLASSINITIAL1-L00PTS</v>
      </c>
      <c r="S1195" s="76" t="str">
        <f t="array" ref="S1195:S1196">{"SUBCLASSINITIAL2-L00PTS";((INDEX(ALLCLASSDATA,MATCH("SubclassInitial2-L00",CLASSFEATUREHEADERS,0),MATCH(($A1196 &amp; "Points"),CLASSNAMEHEADERS,0))))}</f>
        <v>SUBCLASSINITIAL2-L00PTS</v>
      </c>
      <c r="T1195" s="76" t="str">
        <f t="array" ref="T1195:T1196">{"SUBCLASSINITIAL3-L00PTS";((INDEX(ALLCLASSDATA,MATCH("SubclassInitial3-L00",CLASSFEATUREHEADERS,0),MATCH(($A1196 &amp; "Points"),CLASSNAMEHEADERS,0))))}</f>
        <v>SUBCLASSINITIAL3-L00PTS</v>
      </c>
      <c r="U1195" s="76" t="str">
        <f t="array" ref="U1195:U1196">{"SUBCLASSINITIAL4-L00PTS";((INDEX(ALLCLASSDATA,MATCH("SubclassInitial4-L00",CLASSFEATUREHEADERS,0),MATCH(($A1196 &amp; "Points"),CLASSNAMEHEADERS,0))))}</f>
        <v>SUBCLASSINITIAL4-L00PTS</v>
      </c>
      <c r="V1195" s="76" t="str">
        <f t="array" ref="V1195:V1196">{"SUBCLASSINITIAL5-L00PTS";((INDEX(ALLCLASSDATA,MATCH("SubclassInitial5-L00",CLASSFEATUREHEADERS,0),MATCH(($A1196 &amp; "Points"),CLASSNAMEHEADERS,0))))}</f>
        <v>SUBCLASSINITIAL5-L00PTS</v>
      </c>
      <c r="W1195" s="76" t="str">
        <f t="array" ref="W1195:W1196">{"SUBCLASSINITIAL6-L00PTS";((INDEX(ALLCLASSDATA,MATCH("SubclassInitial6-L00",CLASSFEATUREHEADERS,0),MATCH(($A1196 &amp; "Points"),CLASSNAMEHEADERS,0))))}</f>
        <v>SUBCLASSINITIAL6-L00PTS</v>
      </c>
      <c r="X1195" s="76" t="str">
        <f t="array" ref="X1195:X1196">{"SUBCLASSINITIAL7-L00PTS";((INDEX(ALLCLASSDATA,MATCH("SubclassInitial7-L00",CLASSFEATUREHEADERS,0),MATCH(($A1196 &amp; "Points"),CLASSNAMEHEADERS,0))))}</f>
        <v>SUBCLASSINITIAL7-L00PTS</v>
      </c>
      <c r="Y1195" s="76" t="str">
        <f t="array" ref="Y1195:Y1196">{"SUBCLASSINITIAL8-L00PTS";((INDEX(ALLCLASSDATA,MATCH("SubclassInitial8-L00",CLASSFEATUREHEADERS,0),MATCH(($A1196 &amp; "Points"),CLASSNAMEHEADERS,0))))}</f>
        <v>SUBCLASSINITIAL8-L00PTS</v>
      </c>
      <c r="Z1195" s="76" t="str">
        <f t="array" ref="Z1195:Z1196">{"SUBCLASSINITIAL9-L00PTS";((INDEX(ALLCLASSDATA,MATCH("SubclassInitial9-L00",CLASSFEATUREHEADERS,0),MATCH(($A1196 &amp; "Points"),CLASSNAMEHEADERS,0))))}</f>
        <v>SUBCLASSINITIAL9-L00PTS</v>
      </c>
      <c r="AA1195" s="76" t="str">
        <f t="array" ref="AA1195:AA1196">{"SUBCLASSINITIAL10-L00PTS";((INDEX(ALLCLASSDATA,MATCH("SubclassInitial10-L00",CLASSFEATUREHEADERS,0),MATCH(($A1196 &amp; "Points"),CLASSNAMEHEADERS,0))))}</f>
        <v>SUBCLASSINITIAL10-L00PTS</v>
      </c>
      <c r="AB1195" s="76"/>
      <c r="AC1195" s="76" t="str">
        <f t="array" ref="AC1195:AC1196">{"INITIALFEATUREPTS TOTAL";(sum(G1196:AA1196))}</f>
        <v>INITIALFEATUREPTS TOTAL</v>
      </c>
    </row>
    <row r="1196">
      <c r="A1196" s="48" t="s">
        <v>199</v>
      </c>
      <c r="B1196" s="48"/>
      <c r="C1196" s="48" t="s">
        <v>417</v>
      </c>
      <c r="D1196" s="97" t="s">
        <v>651</v>
      </c>
      <c r="E1196" s="97" t="s">
        <v>616</v>
      </c>
      <c r="F1196" s="97"/>
      <c r="G1196" s="132"/>
      <c r="H1196" s="98">
        <v>10.0</v>
      </c>
      <c r="I1196" s="98"/>
      <c r="J1196" s="97">
        <v>30.0</v>
      </c>
      <c r="K1196" s="98"/>
      <c r="L1196" s="97">
        <v>30.0</v>
      </c>
      <c r="M1196" s="98"/>
      <c r="N1196" s="98"/>
      <c r="O1196" s="98"/>
      <c r="P1196" s="98"/>
      <c r="Q1196" s="98"/>
      <c r="R1196" s="98">
        <v>10.0</v>
      </c>
      <c r="S1196" s="98"/>
      <c r="T1196" s="98"/>
      <c r="U1196" s="98"/>
      <c r="V1196" s="98"/>
      <c r="W1196" s="98"/>
      <c r="X1196" s="98"/>
      <c r="Y1196" s="98"/>
      <c r="Z1196" s="98"/>
      <c r="AA1196" s="98"/>
      <c r="AB1196" s="5"/>
      <c r="AC1196" s="47">
        <v>80.0</v>
      </c>
    </row>
    <row r="1197" hidden="1">
      <c r="A1197" s="76" t="str">
        <f t="array" ref="A1197:A1198">{"FormulaRow06";(INDEX(CLASSLIST,A1186,1))}</f>
        <v>FormulaRow06</v>
      </c>
      <c r="B1197" s="77" t="s">
        <v>236</v>
      </c>
      <c r="C1197" s="76" t="str">
        <f t="array" ref="C1197:C1198">{"CLASSTYPE";((INDEX(ALLCLASSDATA,MATCH("ClassType",CLASSFEATUREHEADERS,0),MATCH($A1198,CLASSNAMEHEADERS,0))))}</f>
        <v>CLASSTYPE</v>
      </c>
      <c r="D1197" s="81" t="str">
        <f t="array" ref="D1197:D1198">{"SKILLS";"Skills"}</f>
        <v>SKILLS</v>
      </c>
      <c r="E1197" s="81" t="str">
        <f t="array" ref="E1197:E1198">{"EXTRASKILLINCREASES";"Extra Skill Increases"}</f>
        <v>EXTRASKILLINCREASES</v>
      </c>
      <c r="F1197" s="81"/>
      <c r="G1197" s="81"/>
      <c r="H1197" s="81"/>
      <c r="I1197" s="81" t="str">
        <f t="array" ref="I1197:I1198">{"SKILLINCREASEEXTRA-L02";((INDEX(ALLCLASSDATA,MATCH("SkillIncreaseExtra-L02",CLASSFEATUREHEADERS,0),MATCH(($A1198 &amp; "Points"),CLASSNAMEHEADERS,0))))}</f>
        <v>SKILLINCREASEEXTRA-L02</v>
      </c>
      <c r="J1197" s="81" t="str">
        <f t="array" ref="J1197:J1198">{"SKILLINCREASEEXTRA-L03";((INDEX(ALLCLASSDATA,MATCH("SkillIncreaseExtra-L03",CLASSFEATUREHEADERS,0),MATCH(($A1198 &amp; "Points"),CLASSNAMEHEADERS,0))))}</f>
        <v>SKILLINCREASEEXTRA-L03</v>
      </c>
      <c r="K1197" s="81" t="str">
        <f t="array" ref="K1197:K1198">{"SKILLINCREASEEXTRA-L04";((INDEX(ALLCLASSDATA,MATCH("SkillIncreaseExtra-L04",CLASSFEATUREHEADERS,0),MATCH(($A1198 &amp; "Points"),CLASSNAMEHEADERS,0))))}</f>
        <v>SKILLINCREASEEXTRA-L04</v>
      </c>
      <c r="L1197" s="81" t="str">
        <f t="array" ref="L1197:L1198">{"SKILLINCREASEEXTRA-L05";((INDEX(ALLCLASSDATA,MATCH("SkillIncreaseExtra-L05",CLASSFEATUREHEADERS,0),MATCH(($A1198 &amp; "Points"),CLASSNAMEHEADERS,0))))}</f>
        <v>SKILLINCREASEEXTRA-L05</v>
      </c>
      <c r="M1197" s="81" t="str">
        <f t="array" ref="M1197:M1198">{"SKILLINCREASEEXTRA-L06";((INDEX(ALLCLASSDATA,MATCH("SkillIncreaseExtra-L06",CLASSFEATUREHEADERS,0),MATCH(($A1198 &amp; "Points"),CLASSNAMEHEADERS,0))))}</f>
        <v>SKILLINCREASEEXTRA-L06</v>
      </c>
      <c r="N1197" s="81" t="str">
        <f t="array" ref="N1197:N1198">{"SKILLINCREASEEXTRA-L07";((INDEX(ALLCLASSDATA,MATCH("SkillIncreaseExtra-L07",CLASSFEATUREHEADERS,0),MATCH(($A1198 &amp; "Points"),CLASSNAMEHEADERS,0))))}</f>
        <v>SKILLINCREASEEXTRA-L07</v>
      </c>
      <c r="O1197" s="81" t="str">
        <f t="array" ref="O1197:O1198">{"SKILLINCREASEEXTRA-L08";((INDEX(ALLCLASSDATA,MATCH("SkillIncreaseExtra-L08",CLASSFEATUREHEADERS,0),MATCH(($A1198 &amp; "Points"),CLASSNAMEHEADERS,0))))}</f>
        <v>SKILLINCREASEEXTRA-L08</v>
      </c>
      <c r="P1197" s="81" t="str">
        <f t="array" ref="P1197:P1198">{"SKILLINCREASEEXTRA-L09";((INDEX(ALLCLASSDATA,MATCH("SkillIncreaseExtra-L09",CLASSFEATUREHEADERS,0),MATCH(($A1198 &amp; "Points"),CLASSNAMEHEADERS,0))))}</f>
        <v>SKILLINCREASEEXTRA-L09</v>
      </c>
      <c r="Q1197" s="81" t="str">
        <f t="array" ref="Q1197:Q1198">{"SKILLINCREASEEXTRA-L10";((INDEX(ALLCLASSDATA,MATCH("SkillIncreaseExtra-L10",CLASSFEATUREHEADERS,0),MATCH(($A1198 &amp; "Points"),CLASSNAMEHEADERS,0))))}</f>
        <v>SKILLINCREASEEXTRA-L10</v>
      </c>
      <c r="R1197" s="81" t="str">
        <f t="array" ref="R1197:R1198">{"SKILLINCREASEEXTRA-L11";((INDEX(ALLCLASSDATA,MATCH("SkillIncreaseExtra-L11",CLASSFEATUREHEADERS,0),MATCH(($A1198 &amp; "Points"),CLASSNAMEHEADERS,0))))}</f>
        <v>SKILLINCREASEEXTRA-L11</v>
      </c>
      <c r="S1197" s="81" t="str">
        <f t="array" ref="S1197:S1198">{"SKILLINCREASEEXTRA-L12";((INDEX(ALLCLASSDATA,MATCH("SkillIncreaseExtra-L12",CLASSFEATUREHEADERS,0),MATCH(($A1198 &amp; "Points"),CLASSNAMEHEADERS,0))))}</f>
        <v>SKILLINCREASEEXTRA-L12</v>
      </c>
      <c r="T1197" s="81" t="str">
        <f t="array" ref="T1197:T1198">{"SKILLINCREASEEXTRA-L13";((INDEX(ALLCLASSDATA,MATCH("SkillIncreaseExtra-L13",CLASSFEATUREHEADERS,0),MATCH(($A1198 &amp; "Points"),CLASSNAMEHEADERS,0))))}</f>
        <v>SKILLINCREASEEXTRA-L13</v>
      </c>
      <c r="U1197" s="81" t="str">
        <f t="array" ref="U1197:U1198">{"SKILLINCREASEEXTRA-L14";((INDEX(ALLCLASSDATA,MATCH("SkillIncreaseExtra-L14",CLASSFEATUREHEADERS,0),MATCH(($A1198 &amp; "Points"),CLASSNAMEHEADERS,0))))}</f>
        <v>SKILLINCREASEEXTRA-L14</v>
      </c>
      <c r="V1197" s="81" t="str">
        <f t="array" ref="V1197:V1198">{"SKILLINCREASEEXTRA-L15";((INDEX(ALLCLASSDATA,MATCH("SkillIncreaseExtra-L15",CLASSFEATUREHEADERS,0),MATCH(($A1198 &amp; "Points"),CLASSNAMEHEADERS,0))))}</f>
        <v>SKILLINCREASEEXTRA-L15</v>
      </c>
      <c r="W1197" s="81" t="str">
        <f t="array" ref="W1197:W1198">{"SKILLINCREASEEXTRA-L16";((INDEX(ALLCLASSDATA,MATCH("SkillIncreaseExtra-L16",CLASSFEATUREHEADERS,0),MATCH(($A1198 &amp; "Points"),CLASSNAMEHEADERS,0))))}</f>
        <v>SKILLINCREASEEXTRA-L16</v>
      </c>
      <c r="X1197" s="81" t="str">
        <f t="array" ref="X1197:X1198">{"SKILLINCREASEEXTRA-L17";((INDEX(ALLCLASSDATA,MATCH("SkillIncreaseExtra-L17",CLASSFEATUREHEADERS,0),MATCH(($A1198 &amp; "Points"),CLASSNAMEHEADERS,0))))}</f>
        <v>SKILLINCREASEEXTRA-L17</v>
      </c>
      <c r="Y1197" s="81" t="str">
        <f t="array" ref="Y1197:Y1198">{"SKILLINCREASEEXTRA-L18";((INDEX(ALLCLASSDATA,MATCH("SkillIncreaseExtra-L18",CLASSFEATUREHEADERS,0),MATCH(($A1198 &amp; "Points"),CLASSNAMEHEADERS,0))))}</f>
        <v>SKILLINCREASEEXTRA-L18</v>
      </c>
      <c r="Z1197" s="81" t="str">
        <f t="array" ref="Z1197:Z1198">{"SKILLINCREASEEXTRA-L19";((INDEX(ALLCLASSDATA,MATCH("SkillIncreaseExtra-L19",CLASSFEATUREHEADERS,0),MATCH(($A1198 &amp; "Points"),CLASSNAMEHEADERS,0))))}</f>
        <v>SKILLINCREASEEXTRA-L19</v>
      </c>
      <c r="AA1197" s="81" t="str">
        <f t="array" ref="AA1197:AA1198">{"SKILLINCREASEEXTRA-L20";((INDEX(ALLCLASSDATA,MATCH("SkillIncreaseExtra-L20",CLASSFEATUREHEADERS,0),MATCH(($A1198 &amp; "Points"),CLASSNAMEHEADERS,0))))}</f>
        <v>SKILLINCREASEEXTRA-L20</v>
      </c>
      <c r="AB1197" s="76"/>
      <c r="AC1197" s="76" t="str">
        <f t="array" ref="AC1197:AC1198">{"SKILLINCREASE TOTAL";(sum(G1198:AA1198))}</f>
        <v>SKILLINCREASE TOTAL</v>
      </c>
    </row>
    <row r="1198">
      <c r="A1198" s="48" t="s">
        <v>199</v>
      </c>
      <c r="B1198" s="48"/>
      <c r="C1198" s="48" t="s">
        <v>417</v>
      </c>
      <c r="D1198" s="48" t="s">
        <v>659</v>
      </c>
      <c r="E1198" s="48" t="s">
        <v>661</v>
      </c>
      <c r="F1198" s="48"/>
      <c r="G1198" s="47"/>
      <c r="H1198" s="5"/>
      <c r="I1198" s="5" t="s">
        <v>603</v>
      </c>
      <c r="J1198" s="5" t="s">
        <v>603</v>
      </c>
      <c r="K1198" s="5" t="s">
        <v>603</v>
      </c>
      <c r="L1198" s="48" t="s">
        <v>603</v>
      </c>
      <c r="M1198" s="5" t="s">
        <v>603</v>
      </c>
      <c r="N1198" s="5" t="s">
        <v>603</v>
      </c>
      <c r="O1198" s="5" t="s">
        <v>603</v>
      </c>
      <c r="P1198" s="5" t="s">
        <v>603</v>
      </c>
      <c r="Q1198" s="5" t="s">
        <v>603</v>
      </c>
      <c r="R1198" s="5" t="s">
        <v>603</v>
      </c>
      <c r="S1198" s="5" t="s">
        <v>603</v>
      </c>
      <c r="T1198" s="5" t="s">
        <v>603</v>
      </c>
      <c r="U1198" s="5" t="s">
        <v>603</v>
      </c>
      <c r="V1198" s="5" t="s">
        <v>603</v>
      </c>
      <c r="W1198" s="5" t="s">
        <v>603</v>
      </c>
      <c r="X1198" s="5" t="s">
        <v>603</v>
      </c>
      <c r="Y1198" s="5" t="s">
        <v>603</v>
      </c>
      <c r="Z1198" s="5" t="s">
        <v>603</v>
      </c>
      <c r="AA1198" s="5" t="s">
        <v>603</v>
      </c>
      <c r="AB1198" s="5"/>
      <c r="AC1198" s="47">
        <v>0.0</v>
      </c>
    </row>
    <row r="1199" hidden="1">
      <c r="A1199" s="76" t="str">
        <f t="array" ref="A1199:A1200">{"FormulaRow07";(INDEX(CLASSLIST,A1186,1))}</f>
        <v>FormulaRow07</v>
      </c>
      <c r="B1199" s="77" t="s">
        <v>236</v>
      </c>
      <c r="C1199" s="76" t="str">
        <f t="array" ref="C1199:C1200">{"CLASSTYPE";((INDEX(ALLCLASSDATA,MATCH("ClassType",CLASSFEATUREHEADERS,0),MATCH($A1200,CLASSNAMEHEADERS,0))))}</f>
        <v>CLASSTYPE</v>
      </c>
      <c r="D1199" s="76" t="str">
        <f t="array" ref="D1199:D1200">{"SKILLS";"Skills"}</f>
        <v>SKILLS</v>
      </c>
      <c r="E1199" s="76" t="str">
        <f t="array" ref="E1199:E1200">{"EXTRASKILLFEATS";"Extra Skill Feats"}</f>
        <v>EXTRASKILLFEATS</v>
      </c>
      <c r="F1199" s="76"/>
      <c r="G1199" s="76"/>
      <c r="H1199" s="76" t="str">
        <f t="array" ref="H1199:H1200">{"SKILLFEATEXTRA-L01";((INDEX(ALLCLASSDATA,MATCH("SkillFeatExtra-L01",CLASSFEATUREHEADERS,0),MATCH(($A1200 &amp; "Points"),CLASSNAMEHEADERS,0))))}</f>
        <v>SKILLFEATEXTRA-L01</v>
      </c>
      <c r="I1199" s="76" t="str">
        <f t="array" ref="I1199:I1200">{"SKILLFEATEXTRA-L02";((INDEX(ALLCLASSDATA,MATCH("SkillFeatExtra-L02",CLASSFEATUREHEADERS,0),MATCH(($A1200 &amp; "Points"),CLASSNAMEHEADERS,0))))}</f>
        <v>SKILLFEATEXTRA-L02</v>
      </c>
      <c r="J1199" s="76" t="str">
        <f t="array" ref="J1199:J1200">{"SKILLFEATEXTRA-L03";((INDEX(ALLCLASSDATA,MATCH("SkillFeatExtra-L03",CLASSFEATUREHEADERS,0),MATCH(($A1200 &amp; "Points"),CLASSNAMEHEADERS,0))))}</f>
        <v>SKILLFEATEXTRA-L03</v>
      </c>
      <c r="K1199" s="76" t="str">
        <f t="array" ref="K1199:K1200">{"SKILLFEATEXTRA-L04";((INDEX(ALLCLASSDATA,MATCH("SkillFeatExtra-L04",CLASSFEATUREHEADERS,0),MATCH(($A1200 &amp; "Points"),CLASSNAMEHEADERS,0))))}</f>
        <v>SKILLFEATEXTRA-L04</v>
      </c>
      <c r="L1199" s="76" t="str">
        <f t="array" ref="L1199:L1200">{"SKILLFEATEXTRA-L05";((INDEX(ALLCLASSDATA,MATCH("SkillFeatExtra-L05",CLASSFEATUREHEADERS,0),MATCH(($A1200 &amp; "Points"),CLASSNAMEHEADERS,0))))}</f>
        <v>SKILLFEATEXTRA-L05</v>
      </c>
      <c r="M1199" s="76" t="str">
        <f t="array" ref="M1199:M1200">{"SKILLFEATEXTRA-L06";((INDEX(ALLCLASSDATA,MATCH("SkillFeatExtra-L06",CLASSFEATUREHEADERS,0),MATCH(($A1200 &amp; "Points"),CLASSNAMEHEADERS,0))))}</f>
        <v>SKILLFEATEXTRA-L06</v>
      </c>
      <c r="N1199" s="76" t="str">
        <f t="array" ref="N1199:N1200">{"SKILLFEATEXTRA-L07";((INDEX(ALLCLASSDATA,MATCH("SkillFeatExtra-L07",CLASSFEATUREHEADERS,0),MATCH(($A1200 &amp; "Points"),CLASSNAMEHEADERS,0))))}</f>
        <v>SKILLFEATEXTRA-L07</v>
      </c>
      <c r="O1199" s="76" t="str">
        <f t="array" ref="O1199:O1200">{"SKILLFEATEXTRA-L08";((INDEX(ALLCLASSDATA,MATCH("SkillFeatExtra-L08",CLASSFEATUREHEADERS,0),MATCH(($A1200 &amp; "Points"),CLASSNAMEHEADERS,0))))}</f>
        <v>SKILLFEATEXTRA-L08</v>
      </c>
      <c r="P1199" s="76" t="str">
        <f t="array" ref="P1199:P1200">{"SKILLFEATEXTRA-L09";((INDEX(ALLCLASSDATA,MATCH("SkillFeatExtra-L09",CLASSFEATUREHEADERS,0),MATCH(($A1200 &amp; "Points"),CLASSNAMEHEADERS,0))))}</f>
        <v>SKILLFEATEXTRA-L09</v>
      </c>
      <c r="Q1199" s="76" t="str">
        <f t="array" ref="Q1199:Q1200">{"SKILLFEATEXTRA-L10";((INDEX(ALLCLASSDATA,MATCH("SkillFeatExtra-L10",CLASSFEATUREHEADERS,0),MATCH(($A1200 &amp; "Points"),CLASSNAMEHEADERS,0))))}</f>
        <v>SKILLFEATEXTRA-L10</v>
      </c>
      <c r="R1199" s="76" t="str">
        <f t="array" ref="R1199:R1200">{"SKILLFEATEXTRA-L11";((INDEX(ALLCLASSDATA,MATCH("SkillFeatExtra-L11",CLASSFEATUREHEADERS,0),MATCH(($A1200 &amp; "Points"),CLASSNAMEHEADERS,0))))}</f>
        <v>SKILLFEATEXTRA-L11</v>
      </c>
      <c r="S1199" s="76" t="str">
        <f t="array" ref="S1199:S1200">{"SKILLFEATEXTRA-L12";((INDEX(ALLCLASSDATA,MATCH("SkillFeatExtra-L12",CLASSFEATUREHEADERS,0),MATCH(($A1200 &amp; "Points"),CLASSNAMEHEADERS,0))))}</f>
        <v>SKILLFEATEXTRA-L12</v>
      </c>
      <c r="T1199" s="76" t="str">
        <f t="array" ref="T1199:T1200">{"SKILLFEATEXTRA-L13";((INDEX(ALLCLASSDATA,MATCH("SkillFeatExtra-L13",CLASSFEATUREHEADERS,0),MATCH(($A1200 &amp; "Points"),CLASSNAMEHEADERS,0))))}</f>
        <v>SKILLFEATEXTRA-L13</v>
      </c>
      <c r="U1199" s="76" t="str">
        <f t="array" ref="U1199:U1200">{"SKILLFEATEXTRA-L14";((INDEX(ALLCLASSDATA,MATCH("SkillFeatExtra-L14",CLASSFEATUREHEADERS,0),MATCH(($A1200 &amp; "Points"),CLASSNAMEHEADERS,0))))}</f>
        <v>SKILLFEATEXTRA-L14</v>
      </c>
      <c r="V1199" s="76" t="str">
        <f t="array" ref="V1199:V1200">{"SKILLFEATEXTRA-L15";((INDEX(ALLCLASSDATA,MATCH("SkillFeatExtra-L15",CLASSFEATUREHEADERS,0),MATCH(($A1200 &amp; "Points"),CLASSNAMEHEADERS,0))))}</f>
        <v>SKILLFEATEXTRA-L15</v>
      </c>
      <c r="W1199" s="76" t="str">
        <f t="array" ref="W1199:W1200">{"SKILLFEATEXTRA-L16";((INDEX(ALLCLASSDATA,MATCH("SkillFeatExtra-L16",CLASSFEATUREHEADERS,0),MATCH(($A1200 &amp; "Points"),CLASSNAMEHEADERS,0))))}</f>
        <v>SKILLFEATEXTRA-L16</v>
      </c>
      <c r="X1199" s="76" t="str">
        <f t="array" ref="X1199:X1200">{"SKILLFEATEXTRA-L17";((INDEX(ALLCLASSDATA,MATCH("SkillFeatExtra-L17",CLASSFEATUREHEADERS,0),MATCH(($A1200 &amp; "Points"),CLASSNAMEHEADERS,0))))}</f>
        <v>SKILLFEATEXTRA-L17</v>
      </c>
      <c r="Y1199" s="76" t="str">
        <f t="array" ref="Y1199:Y1200">{"SKILLFEATEXTRA-L18";((INDEX(ALLCLASSDATA,MATCH("SkillFeatExtra-L18",CLASSFEATUREHEADERS,0),MATCH(($A1200 &amp; "Points"),CLASSNAMEHEADERS,0))))}</f>
        <v>SKILLFEATEXTRA-L18</v>
      </c>
      <c r="Z1199" s="76" t="str">
        <f t="array" ref="Z1199:Z1200">{"SKILLFEATEXTRA-L19";((INDEX(ALLCLASSDATA,MATCH("SkillFeatExtra-L19",CLASSFEATUREHEADERS,0),MATCH(($A1200 &amp; "Points"),CLASSNAMEHEADERS,0))))}</f>
        <v>SKILLFEATEXTRA-L19</v>
      </c>
      <c r="AA1199" s="76" t="str">
        <f t="array" ref="AA1199:AA1200">{"SKILLFEATEXTRA-L20";((INDEX(ALLCLASSDATA,MATCH("SkillFeatExtra-L20",CLASSFEATUREHEADERS,0),MATCH(($A1200 &amp; "Points"),CLASSNAMEHEADERS,0))))}</f>
        <v>SKILLFEATEXTRA-L20</v>
      </c>
      <c r="AB1199" s="76"/>
      <c r="AC1199" s="76" t="str">
        <f t="array" ref="AC1199:AC1200">{"SKILLFEAT TOTAL";(sum(G1200:AA1200))}</f>
        <v>SKILLFEAT TOTAL</v>
      </c>
    </row>
    <row r="1200">
      <c r="A1200" s="48" t="s">
        <v>199</v>
      </c>
      <c r="B1200" s="48"/>
      <c r="C1200" s="48" t="s">
        <v>417</v>
      </c>
      <c r="D1200" s="97" t="s">
        <v>659</v>
      </c>
      <c r="E1200" s="97" t="s">
        <v>722</v>
      </c>
      <c r="F1200" s="97"/>
      <c r="G1200" s="132"/>
      <c r="H1200" s="98" t="s">
        <v>603</v>
      </c>
      <c r="I1200" s="98" t="s">
        <v>603</v>
      </c>
      <c r="J1200" s="97" t="s">
        <v>603</v>
      </c>
      <c r="K1200" s="98" t="s">
        <v>603</v>
      </c>
      <c r="L1200" s="97" t="s">
        <v>603</v>
      </c>
      <c r="M1200" s="98" t="s">
        <v>603</v>
      </c>
      <c r="N1200" s="98" t="s">
        <v>603</v>
      </c>
      <c r="O1200" s="98" t="s">
        <v>603</v>
      </c>
      <c r="P1200" s="98" t="s">
        <v>603</v>
      </c>
      <c r="Q1200" s="98" t="s">
        <v>603</v>
      </c>
      <c r="R1200" s="98" t="s">
        <v>603</v>
      </c>
      <c r="S1200" s="98" t="s">
        <v>603</v>
      </c>
      <c r="T1200" s="98" t="s">
        <v>603</v>
      </c>
      <c r="U1200" s="98" t="s">
        <v>603</v>
      </c>
      <c r="V1200" s="98" t="s">
        <v>603</v>
      </c>
      <c r="W1200" s="98" t="s">
        <v>603</v>
      </c>
      <c r="X1200" s="98" t="s">
        <v>603</v>
      </c>
      <c r="Y1200" s="98" t="s">
        <v>603</v>
      </c>
      <c r="Z1200" s="98" t="s">
        <v>603</v>
      </c>
      <c r="AA1200" s="98" t="s">
        <v>603</v>
      </c>
      <c r="AB1200" s="5"/>
      <c r="AC1200" s="47">
        <v>0.0</v>
      </c>
    </row>
    <row r="1201" hidden="1">
      <c r="A1201" s="76" t="str">
        <f t="array" ref="A1201:A1202">{"FormulaRow08";(INDEX(CLASSLIST,A1186,1))}</f>
        <v>FormulaRow08</v>
      </c>
      <c r="B1201" s="77" t="s">
        <v>236</v>
      </c>
      <c r="C1201" s="76" t="str">
        <f t="array" ref="C1201:C1202">{"CLASSTYPE";((INDEX(ALLCLASSDATA,MATCH("ClassType",CLASSFEATUREHEADERS,0),MATCH($A1202,CLASSNAMEHEADERS,0))))}</f>
        <v>CLASSTYPE</v>
      </c>
      <c r="D1201" s="81" t="str">
        <f t="array" ref="D1201:D1202">{"CLASSABILITY";"ClassAbility"}</f>
        <v>CLASSABILITY</v>
      </c>
      <c r="E1201" s="81" t="str">
        <f t="array" ref="E1201:E1202">{"CLASSABILITY1";"ClassAbility1"}</f>
        <v>CLASSABILITY1</v>
      </c>
      <c r="F1201" s="81"/>
      <c r="G1201" s="81"/>
      <c r="H1201" s="81"/>
      <c r="I1201" s="81"/>
      <c r="J1201" s="81" t="str">
        <f t="array" ref="J1201:J1202">{"CLASSABILITY1-L03";((INDEX(ALLCLASSDATA,MATCH("ClassAbility1-L03",CLASSFEATUREHEADERS,0),MATCH(($A1202),CLASSNAMEHEADERS,0))))}</f>
        <v>CLASSABILITY1-L03</v>
      </c>
      <c r="K1201" s="81"/>
      <c r="L1201" s="81" t="str">
        <f t="array" ref="L1201:L1202">{"CLASSABILITY1-L05";((INDEX(ALLCLASSDATA,MATCH("ClassAbility1-L05",CLASSFEATUREHEADERS,0),MATCH(($A1202),CLASSNAMEHEADERS,0))))}</f>
        <v>CLASSABILITY1-L05</v>
      </c>
      <c r="M1201" s="81"/>
      <c r="N1201" s="81" t="str">
        <f t="array" ref="N1201:N1202">{"CLASSABILITY1-L07";((INDEX(ALLCLASSDATA,MATCH("ClassAbility1-L07",CLASSFEATUREHEADERS,0),MATCH(($A1202),CLASSNAMEHEADERS,0))))}</f>
        <v>CLASSABILITY1-L07</v>
      </c>
      <c r="O1201" s="81"/>
      <c r="P1201" s="81" t="str">
        <f t="array" ref="P1201:P1202">{"CLASSABILITY1-L09";((INDEX(ALLCLASSDATA,MATCH("ClassAbility1-L09",CLASSFEATUREHEADERS,0),MATCH(($A1202),CLASSNAMEHEADERS,0))))}</f>
        <v>CLASSABILITY1-L09</v>
      </c>
      <c r="Q1201" s="81"/>
      <c r="R1201" s="81" t="str">
        <f t="array" ref="R1201:R1202">{"CLASSABILITY1-L11";((INDEX(ALLCLASSDATA,MATCH("ClassAbility1-L11",CLASSFEATUREHEADERS,0),MATCH(($A1202),CLASSNAMEHEADERS,0))))}</f>
        <v>CLASSABILITY1-L11</v>
      </c>
      <c r="S1201" s="81"/>
      <c r="T1201" s="81" t="str">
        <f t="array" ref="T1201:T1202">{"CLASSABILITY1-L13";((INDEX(ALLCLASSDATA,MATCH("ClassAbility1-L13",CLASSFEATUREHEADERS,0),MATCH(($A1202),CLASSNAMEHEADERS,0))))}</f>
        <v>CLASSABILITY1-L13</v>
      </c>
      <c r="U1201" s="81"/>
      <c r="V1201" s="81" t="str">
        <f t="array" ref="V1201:V1202">{"CLASSABILITY1-L15";((INDEX(ALLCLASSDATA,MATCH("ClassAbility1-L15",CLASSFEATUREHEADERS,0),MATCH(($A1202),CLASSNAMEHEADERS,0))))}</f>
        <v>CLASSABILITY1-L15</v>
      </c>
      <c r="W1201" s="81"/>
      <c r="X1201" s="81" t="str">
        <f t="array" ref="X1201:X1202">{"CLASSABILITY1-L17";((INDEX(ALLCLASSDATA,MATCH("ClassAbility1-L17",CLASSFEATUREHEADERS,0),MATCH(($A1202),CLASSNAMEHEADERS,0))))}</f>
        <v>CLASSABILITY1-L17</v>
      </c>
      <c r="Y1201" s="81"/>
      <c r="Z1201" s="81" t="str">
        <f t="array" ref="Z1201:Z1202">{"CLASSABILITY1-L19";((INDEX(ALLCLASSDATA,MATCH("ClassAbility1-L19",CLASSFEATUREHEADERS,0),MATCH(($A1202),CLASSNAMEHEADERS,0))))}</f>
        <v>CLASSABILITY1-L19</v>
      </c>
      <c r="AA1201" s="81"/>
      <c r="AB1201" s="76"/>
      <c r="AC1201" s="76"/>
    </row>
    <row r="1202">
      <c r="A1202" s="48" t="s">
        <v>199</v>
      </c>
      <c r="B1202" s="48"/>
      <c r="C1202" s="48" t="s">
        <v>417</v>
      </c>
      <c r="D1202" s="48" t="s">
        <v>825</v>
      </c>
      <c r="E1202" s="48" t="s">
        <v>826</v>
      </c>
      <c r="F1202" s="5"/>
      <c r="G1202" s="47"/>
      <c r="H1202" s="5"/>
      <c r="I1202" s="5"/>
      <c r="J1202" s="5"/>
      <c r="K1202" s="5"/>
      <c r="L1202" s="5" t="s">
        <v>359</v>
      </c>
      <c r="M1202" s="5"/>
      <c r="N1202" s="5" t="s">
        <v>369</v>
      </c>
      <c r="O1202" s="5"/>
      <c r="P1202" s="5" t="s">
        <v>350</v>
      </c>
      <c r="Q1202" s="5"/>
      <c r="R1202" s="5" t="s">
        <v>1731</v>
      </c>
      <c r="S1202" s="5"/>
      <c r="T1202" s="5" t="s">
        <v>362</v>
      </c>
      <c r="U1202" s="5"/>
      <c r="V1202" s="5" t="s">
        <v>371</v>
      </c>
      <c r="W1202" s="5"/>
      <c r="X1202" s="5" t="s">
        <v>353</v>
      </c>
      <c r="Y1202" s="5"/>
      <c r="Z1202" s="5" t="s">
        <v>1135</v>
      </c>
      <c r="AA1202" s="5"/>
      <c r="AB1202" s="5"/>
      <c r="AC1202" s="47"/>
    </row>
    <row r="1203" hidden="1">
      <c r="A1203" s="76" t="str">
        <f t="array" ref="A1203:A1204">{"FormulaRow09";(INDEX(CLASSLIST,A1186,1))}</f>
        <v>FormulaRow09</v>
      </c>
      <c r="B1203" s="77" t="s">
        <v>236</v>
      </c>
      <c r="C1203" s="76" t="str">
        <f t="array" ref="C1203:C1204">{"CLASSTYPE";((INDEX(ALLCLASSDATA,MATCH("ClassType",CLASSFEATUREHEADERS,0),MATCH($A1204,CLASSNAMEHEADERS,0))))}</f>
        <v>CLASSTYPE</v>
      </c>
      <c r="D1203" s="76" t="str">
        <f t="array" ref="D1203:D1204">{"CLASSABILITYPTS";"ClassAbilityPts"}</f>
        <v>CLASSABILITYPTS</v>
      </c>
      <c r="E1203" s="76" t="str">
        <f t="array" ref="E1203:E1204">{"CLASSABILITY1";"ClassAbility1"}</f>
        <v>CLASSABILITY1</v>
      </c>
      <c r="F1203" s="76"/>
      <c r="G1203" s="76"/>
      <c r="H1203" s="76"/>
      <c r="I1203" s="76"/>
      <c r="J1203" s="76" t="str">
        <f t="array" ref="J1203:J1204">{"CLASSABILITY1-L03PTS";((INDEX(ALLCLASSDATA,MATCH("ClassAbility1-L03",CLASSFEATUREHEADERS,0),MATCH(($A1204 &amp; "Points"),CLASSNAMEHEADERS,0))))}</f>
        <v>CLASSABILITY1-L03PTS</v>
      </c>
      <c r="K1203" s="76"/>
      <c r="L1203" s="76" t="str">
        <f t="array" ref="L1203:L1204">{"CLASSABILITY1-L05PTS";((INDEX(ALLCLASSDATA,MATCH("ClassAbility1-L05",CLASSFEATUREHEADERS,0),MATCH(($A1204 &amp; "Points"),CLASSNAMEHEADERS,0))))}</f>
        <v>CLASSABILITY1-L05PTS</v>
      </c>
      <c r="M1203" s="76"/>
      <c r="N1203" s="76" t="str">
        <f t="array" ref="N1203:N1204">{"CLASSABILITY1-L07PTS";((INDEX(ALLCLASSDATA,MATCH("ClassAbility1-L07",CLASSFEATUREHEADERS,0),MATCH(($A1204 &amp; "Points"),CLASSNAMEHEADERS,0))))}</f>
        <v>CLASSABILITY1-L07PTS</v>
      </c>
      <c r="O1203" s="76"/>
      <c r="P1203" s="76" t="str">
        <f t="array" ref="P1203:P1204">{"CLASSABILITY1-L09PTS";((INDEX(ALLCLASSDATA,MATCH("ClassAbility1-L09",CLASSFEATUREHEADERS,0),MATCH(($A1204 &amp; "Points"),CLASSNAMEHEADERS,0))))}</f>
        <v>CLASSABILITY1-L09PTS</v>
      </c>
      <c r="Q1203" s="76"/>
      <c r="R1203" s="76" t="str">
        <f t="array" ref="R1203:R1204">{"CLASSABILITY1-L11PTS";((INDEX(ALLCLASSDATA,MATCH("ClassAbility1-L11",CLASSFEATUREHEADERS,0),MATCH(($A1204 &amp; "Points"),CLASSNAMEHEADERS,0))))}</f>
        <v>CLASSABILITY1-L11PTS</v>
      </c>
      <c r="S1203" s="76"/>
      <c r="T1203" s="76" t="str">
        <f t="array" ref="T1203:T1204">{"CLASSABILITY1-L13PTS";((INDEX(ALLCLASSDATA,MATCH("ClassAbility1-L13",CLASSFEATUREHEADERS,0),MATCH(($A1204 &amp; "Points"),CLASSNAMEHEADERS,0))))}</f>
        <v>CLASSABILITY1-L13PTS</v>
      </c>
      <c r="U1203" s="76"/>
      <c r="V1203" s="76" t="str">
        <f t="array" ref="V1203:V1204">{"CLASSABILITY1-L15PTS";((INDEX(ALLCLASSDATA,MATCH("ClassAbility1-L15",CLASSFEATUREHEADERS,0),MATCH(($A1204 &amp; "Points"),CLASSNAMEHEADERS,0))))}</f>
        <v>CLASSABILITY1-L15PTS</v>
      </c>
      <c r="W1203" s="76"/>
      <c r="X1203" s="76" t="str">
        <f t="array" ref="X1203:X1204">{"CLASSABILITY1-L17PTS";((INDEX(ALLCLASSDATA,MATCH("ClassAbility1-L17",CLASSFEATUREHEADERS,0),MATCH(($A1204 &amp; "Points"),CLASSNAMEHEADERS,0))))}</f>
        <v>CLASSABILITY1-L17PTS</v>
      </c>
      <c r="Y1203" s="76"/>
      <c r="Z1203" s="76" t="str">
        <f t="array" ref="Z1203:Z1204">{"CLASSABILITY1-L19PTS";((INDEX(ALLCLASSDATA,MATCH("ClassAbility1-L19",CLASSFEATUREHEADERS,0),MATCH(($A1204 &amp; "Points"),CLASSNAMEHEADERS,0))))}</f>
        <v>CLASSABILITY1-L19PTS</v>
      </c>
      <c r="AA1203" s="76"/>
      <c r="AB1203" s="76"/>
      <c r="AC1203" s="76" t="str">
        <f t="array" ref="AC1203:AC1204">{"CLASSABILITY1 TOTAL";(sum(G1204:AA1204))}</f>
        <v>CLASSABILITY1 TOTAL</v>
      </c>
    </row>
    <row r="1204">
      <c r="A1204" s="48" t="s">
        <v>199</v>
      </c>
      <c r="B1204" s="48"/>
      <c r="C1204" s="48" t="s">
        <v>417</v>
      </c>
      <c r="D1204" s="48" t="s">
        <v>930</v>
      </c>
      <c r="E1204" s="48" t="s">
        <v>826</v>
      </c>
      <c r="F1204" s="5"/>
      <c r="G1204" s="5"/>
      <c r="H1204" s="5"/>
      <c r="I1204" s="5"/>
      <c r="J1204" s="48"/>
      <c r="K1204" s="5"/>
      <c r="L1204" s="5"/>
      <c r="M1204" s="5"/>
      <c r="N1204" s="5"/>
      <c r="O1204" s="5"/>
      <c r="P1204" s="5"/>
      <c r="Q1204" s="5"/>
      <c r="R1204" s="5"/>
      <c r="S1204" s="5"/>
      <c r="T1204" s="5"/>
      <c r="U1204" s="5"/>
      <c r="V1204" s="5"/>
      <c r="W1204" s="5"/>
      <c r="X1204" s="5"/>
      <c r="Y1204" s="5"/>
      <c r="Z1204" s="5">
        <v>110.0</v>
      </c>
      <c r="AA1204" s="5"/>
      <c r="AB1204" s="5"/>
      <c r="AC1204" s="47">
        <v>110.0</v>
      </c>
    </row>
    <row r="1205" hidden="1">
      <c r="A1205" s="76" t="str">
        <f t="array" ref="A1205:A1206">{"FormulaRow10";(INDEX(CLASSLIST,A1186,1))}</f>
        <v>FormulaRow10</v>
      </c>
      <c r="B1205" s="77" t="s">
        <v>236</v>
      </c>
      <c r="C1205" s="76" t="str">
        <f t="array" ref="C1205:C1206">{"CLASSTYPE";((INDEX(ALLCLASSDATA,MATCH("ClassType",CLASSFEATUREHEADERS,0),MATCH($A1206,CLASSNAMEHEADERS,0))))}</f>
        <v>CLASSTYPE</v>
      </c>
      <c r="D1205" s="76" t="str">
        <f t="array" ref="D1205:D1206">{"CLASSABILITY";"ClassAbility"}</f>
        <v>CLASSABILITY</v>
      </c>
      <c r="E1205" s="76" t="str">
        <f t="array" ref="E1205:E1206">{"CLASSABILITY2";"ClassAbility2"}</f>
        <v>CLASSABILITY2</v>
      </c>
      <c r="F1205" s="76"/>
      <c r="G1205" s="76"/>
      <c r="H1205" s="76"/>
      <c r="I1205" s="76"/>
      <c r="J1205" s="76" t="str">
        <f t="array" ref="J1205:J1206">{"CLASSABILITY2-L03";((INDEX(ALLCLASSDATA,MATCH("ClassAbility2-L03",CLASSFEATUREHEADERS,0),MATCH(($A1206),CLASSNAMEHEADERS,0))))}</f>
        <v>CLASSABILITY2-L03</v>
      </c>
      <c r="K1205" s="76"/>
      <c r="L1205" s="76" t="str">
        <f t="array" ref="L1205:L1206">{"CLASSABILITY2-L05";((INDEX(ALLCLASSDATA,MATCH("ClassAbility2-L05",CLASSFEATUREHEADERS,0),MATCH(($A1206),CLASSNAMEHEADERS,0))))}</f>
        <v>CLASSABILITY2-L05</v>
      </c>
      <c r="M1205" s="76"/>
      <c r="N1205" s="76" t="str">
        <f t="array" ref="N1205:N1206">{"CLASSABILITY2-L07";((INDEX(ALLCLASSDATA,MATCH("ClassAbility2-L07",CLASSFEATUREHEADERS,0),MATCH(($A1206),CLASSNAMEHEADERS,0))))}</f>
        <v>CLASSABILITY2-L07</v>
      </c>
      <c r="O1205" s="76"/>
      <c r="P1205" s="76" t="str">
        <f t="array" ref="P1205:P1206">{"CLASSABILITY2-L09";((INDEX(ALLCLASSDATA,MATCH("ClassAbility2-L09",CLASSFEATUREHEADERS,0),MATCH(($A1206),CLASSNAMEHEADERS,0))))}</f>
        <v>CLASSABILITY2-L09</v>
      </c>
      <c r="Q1205" s="76"/>
      <c r="R1205" s="76" t="str">
        <f t="array" ref="R1205:R1206">{"CLASSABILITY2-L11";((INDEX(ALLCLASSDATA,MATCH("ClassAbility2-L11",CLASSFEATUREHEADERS,0),MATCH(($A1206),CLASSNAMEHEADERS,0))))}</f>
        <v>CLASSABILITY2-L11</v>
      </c>
      <c r="S1205" s="76"/>
      <c r="T1205" s="76" t="str">
        <f t="array" ref="T1205:T1206">{"CLASSABILITY2-L13";((INDEX(ALLCLASSDATA,MATCH("ClassAbility2-L13",CLASSFEATUREHEADERS,0),MATCH(($A1206),CLASSNAMEHEADERS,0))))}</f>
        <v>CLASSABILITY2-L13</v>
      </c>
      <c r="U1205" s="76"/>
      <c r="V1205" s="76" t="str">
        <f t="array" ref="V1205:V1206">{"CLASSABILITY2-L15";((INDEX(ALLCLASSDATA,MATCH("ClassAbility2-L15",CLASSFEATUREHEADERS,0),MATCH(($A1206),CLASSNAMEHEADERS,0))))}</f>
        <v>CLASSABILITY2-L15</v>
      </c>
      <c r="W1205" s="76"/>
      <c r="X1205" s="76" t="str">
        <f t="array" ref="X1205:X1206">{"CLASSABILITY2-L17";((INDEX(ALLCLASSDATA,MATCH("ClassAbility2-L17",CLASSFEATUREHEADERS,0),MATCH(($A1206),CLASSNAMEHEADERS,0))))}</f>
        <v>CLASSABILITY2-L17</v>
      </c>
      <c r="Y1205" s="76"/>
      <c r="Z1205" s="76" t="str">
        <f t="array" ref="Z1205:Z1206">{"CLASSABILITY2-L19";((INDEX(ALLCLASSDATA,MATCH("ClassAbility2-L19",CLASSFEATUREHEADERS,0),MATCH(($A1206),CLASSNAMEHEADERS,0))))}</f>
        <v>CLASSABILITY2-L19</v>
      </c>
      <c r="AA1205" s="76"/>
      <c r="AB1205" s="76"/>
      <c r="AC1205" s="76"/>
    </row>
    <row r="1206">
      <c r="A1206" s="48" t="s">
        <v>199</v>
      </c>
      <c r="B1206" s="48"/>
      <c r="C1206" s="48" t="s">
        <v>417</v>
      </c>
      <c r="D1206" s="48" t="s">
        <v>825</v>
      </c>
      <c r="E1206" s="48" t="s">
        <v>1007</v>
      </c>
      <c r="F1206" s="48"/>
      <c r="G1206" s="47"/>
      <c r="H1206" s="5"/>
      <c r="I1206" s="5"/>
      <c r="J1206" s="5"/>
      <c r="K1206" s="5"/>
      <c r="L1206" s="5" t="s">
        <v>323</v>
      </c>
      <c r="M1206" s="5"/>
      <c r="N1206" s="5"/>
      <c r="O1206" s="5"/>
      <c r="P1206" s="5" t="s">
        <v>305</v>
      </c>
      <c r="Q1206" s="5"/>
      <c r="R1206" s="5"/>
      <c r="S1206" s="5"/>
      <c r="T1206" s="5"/>
      <c r="U1206" s="5"/>
      <c r="V1206" s="5" t="s">
        <v>317</v>
      </c>
      <c r="W1206" s="5"/>
      <c r="X1206" s="5" t="s">
        <v>1782</v>
      </c>
      <c r="Y1206" s="5"/>
      <c r="Z1206" s="5"/>
      <c r="AA1206" s="5"/>
      <c r="AB1206" s="5"/>
      <c r="AC1206" s="47"/>
    </row>
    <row r="1207" hidden="1">
      <c r="A1207" s="76" t="str">
        <f t="array" ref="A1207:A1208">{"FormulaRow11";(INDEX(CLASSLIST,A1186,1))}</f>
        <v>FormulaRow11</v>
      </c>
      <c r="B1207" s="77" t="s">
        <v>236</v>
      </c>
      <c r="C1207" s="76" t="str">
        <f t="array" ref="C1207:C1208">{"CLASSTYPE";((INDEX(ALLCLASSDATA,MATCH("ClassType",CLASSFEATUREHEADERS,0),MATCH($A1208,CLASSNAMEHEADERS,0))))}</f>
        <v>CLASSTYPE</v>
      </c>
      <c r="D1207" s="76" t="str">
        <f t="array" ref="D1207:D1208">{"CLASSABILITYPTS";"ClassAbilityPts"}</f>
        <v>CLASSABILITYPTS</v>
      </c>
      <c r="E1207" s="76" t="str">
        <f t="array" ref="E1207:E1208">{"CLASSABILITY2";"ClassAbility2"}</f>
        <v>CLASSABILITY2</v>
      </c>
      <c r="F1207" s="76"/>
      <c r="G1207" s="76"/>
      <c r="H1207" s="76"/>
      <c r="I1207" s="76"/>
      <c r="J1207" s="76" t="str">
        <f t="array" ref="J1207:J1208">{"CLASSABILITY2-L03PTS";((INDEX(ALLCLASSDATA,MATCH("ClassAbility2-L03",CLASSFEATUREHEADERS,0),MATCH(($A1208 &amp; "Points"),CLASSNAMEHEADERS,0))))}</f>
        <v>CLASSABILITY2-L03PTS</v>
      </c>
      <c r="K1207" s="76"/>
      <c r="L1207" s="76" t="str">
        <f t="array" ref="L1207:L1208">{"CLASSABILITY2-L05PTS";((INDEX(ALLCLASSDATA,MATCH("ClassAbility2-L05",CLASSFEATUREHEADERS,0),MATCH(($A1208 &amp; "Points"),CLASSNAMEHEADERS,0))))}</f>
        <v>CLASSABILITY2-L05PTS</v>
      </c>
      <c r="M1207" s="76"/>
      <c r="N1207" s="76" t="str">
        <f t="array" ref="N1207:N1208">{"CLASSABILITY2-L07PTS";((INDEX(ALLCLASSDATA,MATCH("ClassAbility2-L07",CLASSFEATUREHEADERS,0),MATCH(($A1208 &amp; "Points"),CLASSNAMEHEADERS,0))))}</f>
        <v>CLASSABILITY2-L07PTS</v>
      </c>
      <c r="O1207" s="76"/>
      <c r="P1207" s="76" t="str">
        <f t="array" ref="P1207:P1208">{"CLASSABILITY2-L09PTS";((INDEX(ALLCLASSDATA,MATCH("ClassAbility2-L09",CLASSFEATUREHEADERS,0),MATCH(($A1208 &amp; "Points"),CLASSNAMEHEADERS,0))))}</f>
        <v>CLASSABILITY2-L09PTS</v>
      </c>
      <c r="Q1207" s="76"/>
      <c r="R1207" s="76" t="str">
        <f t="array" ref="R1207:R1208">{"CLASSABILITY2-L11PTS";((INDEX(ALLCLASSDATA,MATCH("ClassAbility2-L11",CLASSFEATUREHEADERS,0),MATCH(($A1208 &amp; "Points"),CLASSNAMEHEADERS,0))))}</f>
        <v>CLASSABILITY2-L11PTS</v>
      </c>
      <c r="S1207" s="76"/>
      <c r="T1207" s="76" t="str">
        <f t="array" ref="T1207:T1208">{"CLASSABILITY2-L13PTS";((INDEX(ALLCLASSDATA,MATCH("ClassAbility2-L13",CLASSFEATUREHEADERS,0),MATCH(($A1208 &amp; "Points"),CLASSNAMEHEADERS,0))))}</f>
        <v>CLASSABILITY2-L13PTS</v>
      </c>
      <c r="U1207" s="76"/>
      <c r="V1207" s="76" t="str">
        <f t="array" ref="V1207:V1208">{"CLASSABILITY2-L15PTS";((INDEX(ALLCLASSDATA,MATCH("ClassAbility2-L15",CLASSFEATUREHEADERS,0),MATCH(($A1208 &amp; "Points"),CLASSNAMEHEADERS,0))))}</f>
        <v>CLASSABILITY2-L15PTS</v>
      </c>
      <c r="W1207" s="76"/>
      <c r="X1207" s="76" t="str">
        <f t="array" ref="X1207:X1208">{"CLASSABILITY2-L17PTS";((INDEX(ALLCLASSDATA,MATCH("ClassAbility2-L17",CLASSFEATUREHEADERS,0),MATCH(($A1208 &amp; "Points"),CLASSNAMEHEADERS,0))))}</f>
        <v>CLASSABILITY2-L17PTS</v>
      </c>
      <c r="Y1207" s="76"/>
      <c r="Z1207" s="76" t="str">
        <f t="array" ref="Z1207:Z1208">{"CLASSABILITY2-L19PTS";((INDEX(ALLCLASSDATA,MATCH("ClassAbility2-L19",CLASSFEATUREHEADERS,0),MATCH(($A1208 &amp; "Points"),CLASSNAMEHEADERS,0))))}</f>
        <v>CLASSABILITY2-L19PTS</v>
      </c>
      <c r="AA1207" s="76"/>
      <c r="AB1207" s="76"/>
      <c r="AC1207" s="76" t="str">
        <f t="array" ref="AC1207:AC1208">{"CLASSABILITY2 TOTAL";(sum(G1208:AA1208))}</f>
        <v>CLASSABILITY2 TOTAL</v>
      </c>
    </row>
    <row r="1208">
      <c r="A1208" s="48" t="s">
        <v>199</v>
      </c>
      <c r="B1208" s="48"/>
      <c r="C1208" s="48" t="s">
        <v>417</v>
      </c>
      <c r="D1208" s="48" t="s">
        <v>930</v>
      </c>
      <c r="E1208" s="48" t="s">
        <v>1007</v>
      </c>
      <c r="F1208" s="48"/>
      <c r="G1208" s="47"/>
      <c r="H1208" s="5"/>
      <c r="I1208" s="5"/>
      <c r="J1208" s="5"/>
      <c r="K1208" s="5"/>
      <c r="L1208" s="5"/>
      <c r="M1208" s="5"/>
      <c r="N1208" s="5"/>
      <c r="O1208" s="5"/>
      <c r="P1208" s="5"/>
      <c r="Q1208" s="5"/>
      <c r="R1208" s="5"/>
      <c r="S1208" s="5"/>
      <c r="T1208" s="5"/>
      <c r="U1208" s="5"/>
      <c r="V1208" s="5"/>
      <c r="W1208" s="5"/>
      <c r="X1208" s="5"/>
      <c r="Y1208" s="5"/>
      <c r="Z1208" s="5"/>
      <c r="AA1208" s="5"/>
      <c r="AB1208" s="5"/>
      <c r="AC1208" s="47">
        <v>0.0</v>
      </c>
    </row>
    <row r="1209" hidden="1">
      <c r="A1209" s="76" t="str">
        <f t="array" ref="A1209:A1210">{"FormulaRow12";(INDEX(CLASSLIST,A1186,1))}</f>
        <v>FormulaRow12</v>
      </c>
      <c r="B1209" s="77" t="s">
        <v>236</v>
      </c>
      <c r="C1209" s="76" t="str">
        <f t="array" ref="C1209:C1210">{"CLASSTYPE";((INDEX(ALLCLASSDATA,MATCH("ClassType",CLASSFEATUREHEADERS,0),MATCH($A1210,CLASSNAMEHEADERS,0))))}</f>
        <v>CLASSTYPE</v>
      </c>
      <c r="D1209" s="76" t="str">
        <f t="array" ref="D1209:D1210">{"CLASSABILITY";"ClassAbility"}</f>
        <v>CLASSABILITY</v>
      </c>
      <c r="E1209" s="76" t="str">
        <f t="array" ref="E1209:E1210">{"CLASSABILITY3";"ClassAbility3"}</f>
        <v>CLASSABILITY3</v>
      </c>
      <c r="F1209" s="76"/>
      <c r="G1209" s="76"/>
      <c r="H1209" s="76"/>
      <c r="I1209" s="76"/>
      <c r="J1209" s="76" t="str">
        <f t="array" ref="J1209:J1210">{"CLASSABILITY3-L03";((INDEX(ALLCLASSDATA,MATCH("ClassAbility3-L03",CLASSFEATUREHEADERS,0),MATCH(($A1210),CLASSNAMEHEADERS,0))))}</f>
        <v>CLASSABILITY3-L03</v>
      </c>
      <c r="K1209" s="76"/>
      <c r="L1209" s="76" t="str">
        <f t="array" ref="L1209:L1210">{"CLASSABILITY3-L05";((INDEX(ALLCLASSDATA,MATCH("ClassAbility3-L05",CLASSFEATUREHEADERS,0),MATCH(($A1210),CLASSNAMEHEADERS,0))))}</f>
        <v>CLASSABILITY3-L05</v>
      </c>
      <c r="M1209" s="76"/>
      <c r="N1209" s="76" t="str">
        <f t="array" ref="N1209:N1210">{"CLASSABILITY3-L07";((INDEX(ALLCLASSDATA,MATCH("ClassAbility3-L07",CLASSFEATUREHEADERS,0),MATCH(($A1210),CLASSNAMEHEADERS,0))))}</f>
        <v>CLASSABILITY3-L07</v>
      </c>
      <c r="O1209" s="76"/>
      <c r="P1209" s="76" t="str">
        <f t="array" ref="P1209:P1210">{"CLASSABILITY3-L09";((INDEX(ALLCLASSDATA,MATCH("ClassAbility3-L09",CLASSFEATUREHEADERS,0),MATCH(($A1210),CLASSNAMEHEADERS,0))))}</f>
        <v>CLASSABILITY3-L09</v>
      </c>
      <c r="Q1209" s="76"/>
      <c r="R1209" s="76" t="str">
        <f t="array" ref="R1209:R1210">{"CLASSABILITY3-L11";((INDEX(ALLCLASSDATA,MATCH("ClassAbility3-L11",CLASSFEATUREHEADERS,0),MATCH(($A1210),CLASSNAMEHEADERS,0))))}</f>
        <v>CLASSABILITY3-L11</v>
      </c>
      <c r="S1209" s="76"/>
      <c r="T1209" s="76" t="str">
        <f t="array" ref="T1209:T1210">{"CLASSABILITY3-L13";((INDEX(ALLCLASSDATA,MATCH("ClassAbility3-L13",CLASSFEATUREHEADERS,0),MATCH(($A1210),CLASSNAMEHEADERS,0))))}</f>
        <v>CLASSABILITY3-L13</v>
      </c>
      <c r="U1209" s="76"/>
      <c r="V1209" s="76" t="str">
        <f t="array" ref="V1209:V1210">{"CLASSABILITY3-L15";((INDEX(ALLCLASSDATA,MATCH("ClassAbility3-L15",CLASSFEATUREHEADERS,0),MATCH(($A1210),CLASSNAMEHEADERS,0))))}</f>
        <v>CLASSABILITY3-L15</v>
      </c>
      <c r="W1209" s="76"/>
      <c r="X1209" s="76" t="str">
        <f t="array" ref="X1209:X1210">{"CLASSABILITY3-L17";((INDEX(ALLCLASSDATA,MATCH("ClassAbility3-L17",CLASSFEATUREHEADERS,0),MATCH(($A1210),CLASSNAMEHEADERS,0))))}</f>
        <v>CLASSABILITY3-L17</v>
      </c>
      <c r="Y1209" s="76"/>
      <c r="Z1209" s="76" t="str">
        <f t="array" ref="Z1209:Z1210">{"CLASSABILITY3-L19";((INDEX(ALLCLASSDATA,MATCH("ClassAbility3-L19",CLASSFEATUREHEADERS,0),MATCH(($A1210),CLASSNAMEHEADERS,0))))}</f>
        <v>CLASSABILITY3-L19</v>
      </c>
      <c r="AA1209" s="76"/>
      <c r="AB1209" s="76"/>
      <c r="AC1209" s="76"/>
    </row>
    <row r="1210">
      <c r="A1210" s="48" t="s">
        <v>199</v>
      </c>
      <c r="B1210" s="48"/>
      <c r="C1210" s="48" t="s">
        <v>417</v>
      </c>
      <c r="D1210" s="48" t="s">
        <v>825</v>
      </c>
      <c r="E1210" s="48" t="s">
        <v>1144</v>
      </c>
      <c r="F1210" s="48"/>
      <c r="G1210" s="47"/>
      <c r="H1210" s="5"/>
      <c r="I1210" s="5"/>
      <c r="J1210" s="5"/>
      <c r="K1210" s="5"/>
      <c r="L1210" s="5"/>
      <c r="M1210" s="5"/>
      <c r="N1210" s="5"/>
      <c r="O1210" s="5"/>
      <c r="P1210" s="5" t="s">
        <v>335</v>
      </c>
      <c r="Q1210" s="5"/>
      <c r="R1210" s="5"/>
      <c r="S1210" s="5"/>
      <c r="T1210" s="5"/>
      <c r="U1210" s="5"/>
      <c r="V1210" s="5"/>
      <c r="W1210" s="5"/>
      <c r="X1210" s="5"/>
      <c r="Y1210" s="5"/>
      <c r="Z1210" s="5"/>
      <c r="AA1210" s="5"/>
      <c r="AB1210" s="5"/>
      <c r="AC1210" s="47"/>
    </row>
    <row r="1211" hidden="1">
      <c r="A1211" s="76" t="str">
        <f t="array" ref="A1211:A1212">{"FormulaRow13";(INDEX(CLASSLIST,A1186,1))}</f>
        <v>FormulaRow13</v>
      </c>
      <c r="B1211" s="77" t="s">
        <v>236</v>
      </c>
      <c r="C1211" s="76" t="str">
        <f t="array" ref="C1211:C1212">{"CLASSTYPE";((INDEX(ALLCLASSDATA,MATCH("ClassType",CLASSFEATUREHEADERS,0),MATCH($A1212,CLASSNAMEHEADERS,0))))}</f>
        <v>CLASSTYPE</v>
      </c>
      <c r="D1211" s="76" t="str">
        <f t="array" ref="D1211:D1212">{"CLASSABILITYPTS";"ClassAbilityPts"}</f>
        <v>CLASSABILITYPTS</v>
      </c>
      <c r="E1211" s="76" t="str">
        <f t="array" ref="E1211:E1212">{"CLASSABILITY3";"ClassAbility3"}</f>
        <v>CLASSABILITY3</v>
      </c>
      <c r="F1211" s="76"/>
      <c r="G1211" s="76"/>
      <c r="H1211" s="76"/>
      <c r="I1211" s="76"/>
      <c r="J1211" s="76" t="str">
        <f t="array" ref="J1211:J1212">{"CLASSABILITY3-L03PTS";((INDEX(ALLCLASSDATA,MATCH("ClassAbility3-L03",CLASSFEATUREHEADERS,0),MATCH(($A1212 &amp; "Points"),CLASSNAMEHEADERS,0))))}</f>
        <v>CLASSABILITY3-L03PTS</v>
      </c>
      <c r="K1211" s="76"/>
      <c r="L1211" s="76" t="str">
        <f t="array" ref="L1211:L1212">{"CLASSABILITY3-L05PTS";((INDEX(ALLCLASSDATA,MATCH("ClassAbility3-L05",CLASSFEATUREHEADERS,0),MATCH(($A1212 &amp; "Points"),CLASSNAMEHEADERS,0))))}</f>
        <v>CLASSABILITY3-L05PTS</v>
      </c>
      <c r="M1211" s="76"/>
      <c r="N1211" s="76" t="str">
        <f t="array" ref="N1211:N1212">{"CLASSABILITY3-L07PTS";((INDEX(ALLCLASSDATA,MATCH("ClassAbility3-L07",CLASSFEATUREHEADERS,0),MATCH(($A1212 &amp; "Points"),CLASSNAMEHEADERS,0))))}</f>
        <v>CLASSABILITY3-L07PTS</v>
      </c>
      <c r="O1211" s="76"/>
      <c r="P1211" s="76" t="str">
        <f t="array" ref="P1211:P1212">{"CLASSABILITY3-L09PTS";((INDEX(ALLCLASSDATA,MATCH("ClassAbility3-L09",CLASSFEATUREHEADERS,0),MATCH(($A1212 &amp; "Points"),CLASSNAMEHEADERS,0))))}</f>
        <v>CLASSABILITY3-L09PTS</v>
      </c>
      <c r="Q1211" s="76"/>
      <c r="R1211" s="76" t="str">
        <f t="array" ref="R1211:R1212">{"CLASSABILITY3-L11PTS";((INDEX(ALLCLASSDATA,MATCH("ClassAbility3-L11",CLASSFEATUREHEADERS,0),MATCH(($A1212 &amp; "Points"),CLASSNAMEHEADERS,0))))}</f>
        <v>CLASSABILITY3-L11PTS</v>
      </c>
      <c r="S1211" s="76"/>
      <c r="T1211" s="76" t="str">
        <f t="array" ref="T1211:T1212">{"CLASSABILITY3-L13PTS";((INDEX(ALLCLASSDATA,MATCH("ClassAbility3-L13",CLASSFEATUREHEADERS,0),MATCH(($A1212 &amp; "Points"),CLASSNAMEHEADERS,0))))}</f>
        <v>CLASSABILITY3-L13PTS</v>
      </c>
      <c r="U1211" s="76"/>
      <c r="V1211" s="76" t="str">
        <f t="array" ref="V1211:V1212">{"CLASSABILITY3-L15PTS";((INDEX(ALLCLASSDATA,MATCH("ClassAbility3-L15",CLASSFEATUREHEADERS,0),MATCH(($A1212 &amp; "Points"),CLASSNAMEHEADERS,0))))}</f>
        <v>CLASSABILITY3-L15PTS</v>
      </c>
      <c r="W1211" s="76"/>
      <c r="X1211" s="76" t="str">
        <f t="array" ref="X1211:X1212">{"CLASSABILITY3-L17PTS";((INDEX(ALLCLASSDATA,MATCH("ClassAbility3-L17",CLASSFEATUREHEADERS,0),MATCH(($A1212 &amp; "Points"),CLASSNAMEHEADERS,0))))}</f>
        <v>CLASSABILITY3-L17PTS</v>
      </c>
      <c r="Y1211" s="76"/>
      <c r="Z1211" s="76" t="str">
        <f t="array" ref="Z1211:Z1212">{"CLASSABILITY3-L19PTS";((INDEX(ALLCLASSDATA,MATCH("ClassAbility3-L19",CLASSFEATUREHEADERS,0),MATCH(($A1212 &amp; "Points"),CLASSNAMEHEADERS,0))))}</f>
        <v>CLASSABILITY3-L19PTS</v>
      </c>
      <c r="AA1211" s="76"/>
      <c r="AB1211" s="76"/>
      <c r="AC1211" s="76" t="str">
        <f t="array" ref="AC1211:AC1212">{"CLASSABILITY3 TOTAL";(sum(G1212:AA1212))}</f>
        <v>CLASSABILITY3 TOTAL</v>
      </c>
    </row>
    <row r="1212">
      <c r="A1212" s="48" t="s">
        <v>199</v>
      </c>
      <c r="B1212" s="48"/>
      <c r="C1212" s="48" t="s">
        <v>417</v>
      </c>
      <c r="D1212" s="48" t="s">
        <v>930</v>
      </c>
      <c r="E1212" s="48" t="s">
        <v>1144</v>
      </c>
      <c r="F1212" s="48"/>
      <c r="G1212" s="47"/>
      <c r="H1212" s="5"/>
      <c r="I1212" s="5"/>
      <c r="J1212" s="5"/>
      <c r="K1212" s="5"/>
      <c r="L1212" s="5"/>
      <c r="M1212" s="5"/>
      <c r="N1212" s="5"/>
      <c r="O1212" s="5"/>
      <c r="P1212" s="5"/>
      <c r="Q1212" s="5"/>
      <c r="R1212" s="5"/>
      <c r="S1212" s="5"/>
      <c r="T1212" s="5"/>
      <c r="U1212" s="5"/>
      <c r="V1212" s="5"/>
      <c r="W1212" s="5"/>
      <c r="X1212" s="5"/>
      <c r="Y1212" s="5"/>
      <c r="Z1212" s="5"/>
      <c r="AA1212" s="5"/>
      <c r="AB1212" s="5"/>
      <c r="AC1212" s="47">
        <v>0.0</v>
      </c>
    </row>
    <row r="1213" hidden="1">
      <c r="A1213" s="76" t="str">
        <f t="array" ref="A1213:A1214">{"FormulaRow14";(INDEX(CLASSLIST,A1186,1))}</f>
        <v>FormulaRow14</v>
      </c>
      <c r="B1213" s="77" t="s">
        <v>236</v>
      </c>
      <c r="C1213" s="76" t="str">
        <f t="array" ref="C1213:C1214">{"CLASSTYPE";((INDEX(ALLCLASSDATA,MATCH("ClassType",CLASSFEATUREHEADERS,0),MATCH($A1214,CLASSNAMEHEADERS,0))))}</f>
        <v>CLASSTYPE</v>
      </c>
      <c r="D1213" s="76" t="str">
        <f t="array" ref="D1213:D1214">{"CLASSABILITY";"ClassAbility"}</f>
        <v>CLASSABILITY</v>
      </c>
      <c r="E1213" s="76" t="str">
        <f t="array" ref="E1213:E1214">{"CLASSABILITY4";"ClassAbility4"}</f>
        <v>CLASSABILITY4</v>
      </c>
      <c r="F1213" s="76"/>
      <c r="G1213" s="76"/>
      <c r="H1213" s="76"/>
      <c r="I1213" s="76"/>
      <c r="J1213" s="76" t="str">
        <f t="array" ref="J1213:J1214">{"CLASSABILITY4-L03";((INDEX(ALLCLASSDATA,MATCH("ClassAbility4-L03",CLASSFEATUREHEADERS,0),MATCH(($A1214),CLASSNAMEHEADERS,0))))}</f>
        <v>CLASSABILITY4-L03</v>
      </c>
      <c r="K1213" s="76"/>
      <c r="L1213" s="76" t="str">
        <f t="array" ref="L1213:L1214">{"CLASSABILITY4-L05";((INDEX(ALLCLASSDATA,MATCH("ClassAbility4-L05",CLASSFEATUREHEADERS,0),MATCH(($A1214),CLASSNAMEHEADERS,0))))}</f>
        <v>CLASSABILITY4-L05</v>
      </c>
      <c r="M1213" s="76"/>
      <c r="N1213" s="76" t="str">
        <f t="array" ref="N1213:N1214">{"CLASSABILITY4-L07";((INDEX(ALLCLASSDATA,MATCH("ClassAbility4-L07",CLASSFEATUREHEADERS,0),MATCH(($A1214),CLASSNAMEHEADERS,0))))}</f>
        <v>CLASSABILITY4-L07</v>
      </c>
      <c r="O1213" s="76"/>
      <c r="P1213" s="76" t="str">
        <f t="array" ref="P1213:P1214">{"CLASSABILITY4-L09";((INDEX(ALLCLASSDATA,MATCH("ClassAbility4-L09",CLASSFEATUREHEADERS,0),MATCH(($A1214),CLASSNAMEHEADERS,0))))}</f>
        <v>CLASSABILITY4-L09</v>
      </c>
      <c r="Q1213" s="76"/>
      <c r="R1213" s="76" t="str">
        <f t="array" ref="R1213:R1214">{"CLASSABILITY4-L11";((INDEX(ALLCLASSDATA,MATCH("ClassAbility4-L11",CLASSFEATUREHEADERS,0),MATCH(($A1214),CLASSNAMEHEADERS,0))))}</f>
        <v>CLASSABILITY4-L11</v>
      </c>
      <c r="S1213" s="76"/>
      <c r="T1213" s="76" t="str">
        <f t="array" ref="T1213:T1214">{"CLASSABILITY4-L13";((INDEX(ALLCLASSDATA,MATCH("ClassAbility4-L13",CLASSFEATUREHEADERS,0),MATCH(($A1214),CLASSNAMEHEADERS,0))))}</f>
        <v>CLASSABILITY4-L13</v>
      </c>
      <c r="U1213" s="76"/>
      <c r="V1213" s="76" t="str">
        <f t="array" ref="V1213:V1214">{"CLASSABILITY4-L15";((INDEX(ALLCLASSDATA,MATCH("ClassAbility4-L15",CLASSFEATUREHEADERS,0),MATCH(($A1214),CLASSNAMEHEADERS,0))))}</f>
        <v>CLASSABILITY4-L15</v>
      </c>
      <c r="W1213" s="76"/>
      <c r="X1213" s="76" t="str">
        <f t="array" ref="X1213:X1214">{"CLASSABILITY4-L17";((INDEX(ALLCLASSDATA,MATCH("ClassAbility4-L17",CLASSFEATUREHEADERS,0),MATCH(($A1214),CLASSNAMEHEADERS,0))))}</f>
        <v>CLASSABILITY4-L17</v>
      </c>
      <c r="Y1213" s="76"/>
      <c r="Z1213" s="76" t="str">
        <f t="array" ref="Z1213:Z1214">{"CLASSABILITY4-L19";((INDEX(ALLCLASSDATA,MATCH("ClassAbility4-L19",CLASSFEATUREHEADERS,0),MATCH(($A1214),CLASSNAMEHEADERS,0))))}</f>
        <v>CLASSABILITY4-L19</v>
      </c>
      <c r="AA1213" s="76"/>
      <c r="AB1213" s="76"/>
      <c r="AC1213" s="76"/>
    </row>
    <row r="1214">
      <c r="A1214" s="48" t="s">
        <v>199</v>
      </c>
      <c r="B1214" s="48"/>
      <c r="C1214" s="48" t="s">
        <v>417</v>
      </c>
      <c r="D1214" s="48" t="s">
        <v>825</v>
      </c>
      <c r="E1214" s="48" t="s">
        <v>1273</v>
      </c>
      <c r="F1214" s="48"/>
      <c r="G1214" s="47"/>
      <c r="H1214" s="5"/>
      <c r="I1214" s="5"/>
      <c r="J1214" s="5"/>
      <c r="K1214" s="5"/>
      <c r="L1214" s="5"/>
      <c r="M1214" s="5"/>
      <c r="N1214" s="5"/>
      <c r="O1214" s="5"/>
      <c r="P1214" s="5"/>
      <c r="Q1214" s="5"/>
      <c r="R1214" s="5"/>
      <c r="S1214" s="5"/>
      <c r="T1214" s="5"/>
      <c r="U1214" s="5"/>
      <c r="V1214" s="5"/>
      <c r="W1214" s="5"/>
      <c r="X1214" s="5"/>
      <c r="Y1214" s="5"/>
      <c r="Z1214" s="5"/>
      <c r="AA1214" s="5"/>
      <c r="AB1214" s="5"/>
      <c r="AC1214" s="47"/>
    </row>
    <row r="1215" hidden="1">
      <c r="A1215" s="76" t="str">
        <f t="array" ref="A1215:A1216">{"FormulaRow15";(INDEX(CLASSLIST,A1186,1))}</f>
        <v>FormulaRow15</v>
      </c>
      <c r="B1215" s="77" t="s">
        <v>236</v>
      </c>
      <c r="C1215" s="76" t="str">
        <f t="array" ref="C1215:C1216">{"CLASSTYPE";((INDEX(ALLCLASSDATA,MATCH("ClassType",CLASSFEATUREHEADERS,0),MATCH($A1216,CLASSNAMEHEADERS,0))))}</f>
        <v>CLASSTYPE</v>
      </c>
      <c r="D1215" s="76" t="str">
        <f t="array" ref="D1215:D1216">{"CLASSABILITYPTS";"ClassAbilityPts"}</f>
        <v>CLASSABILITYPTS</v>
      </c>
      <c r="E1215" s="76" t="str">
        <f t="array" ref="E1215:E1216">{"CLASSABILITY4";"ClassAbility4"}</f>
        <v>CLASSABILITY4</v>
      </c>
      <c r="F1215" s="76"/>
      <c r="G1215" s="76"/>
      <c r="H1215" s="76"/>
      <c r="I1215" s="76"/>
      <c r="J1215" s="76" t="str">
        <f t="array" ref="J1215:J1216">{"CLASSABILITY4-L03PTS";((INDEX(ALLCLASSDATA,MATCH("ClassAbility4-L03",CLASSFEATUREHEADERS,0),MATCH(($A1216 &amp; "Points"),CLASSNAMEHEADERS,0))))}</f>
        <v>CLASSABILITY4-L03PTS</v>
      </c>
      <c r="K1215" s="76"/>
      <c r="L1215" s="76" t="str">
        <f t="array" ref="L1215:L1216">{"CLASSABILITY4-L05PTS";((INDEX(ALLCLASSDATA,MATCH("ClassAbility4-L05",CLASSFEATUREHEADERS,0),MATCH(($A1216 &amp; "Points"),CLASSNAMEHEADERS,0))))}</f>
        <v>CLASSABILITY4-L05PTS</v>
      </c>
      <c r="M1215" s="76"/>
      <c r="N1215" s="76" t="str">
        <f t="array" ref="N1215:N1216">{"CLASSABILITY4-L07PTS";((INDEX(ALLCLASSDATA,MATCH("ClassAbility4-L07",CLASSFEATUREHEADERS,0),MATCH(($A1216 &amp; "Points"),CLASSNAMEHEADERS,0))))}</f>
        <v>CLASSABILITY4-L07PTS</v>
      </c>
      <c r="O1215" s="76"/>
      <c r="P1215" s="76" t="str">
        <f t="array" ref="P1215:P1216">{"CLASSABILITY4-L09PTS";((INDEX(ALLCLASSDATA,MATCH("ClassAbility4-L09",CLASSFEATUREHEADERS,0),MATCH(($A1216 &amp; "Points"),CLASSNAMEHEADERS,0))))}</f>
        <v>CLASSABILITY4-L09PTS</v>
      </c>
      <c r="Q1215" s="76"/>
      <c r="R1215" s="76" t="str">
        <f t="array" ref="R1215:R1216">{"CLASSABILITY4-L11PTS";((INDEX(ALLCLASSDATA,MATCH("ClassAbility4-L11",CLASSFEATUREHEADERS,0),MATCH(($A1216 &amp; "Points"),CLASSNAMEHEADERS,0))))}</f>
        <v>CLASSABILITY4-L11PTS</v>
      </c>
      <c r="S1215" s="76"/>
      <c r="T1215" s="76" t="str">
        <f t="array" ref="T1215:T1216">{"CLASSABILITY4-L13PTS";((INDEX(ALLCLASSDATA,MATCH("ClassAbility4-L13",CLASSFEATUREHEADERS,0),MATCH(($A1216 &amp; "Points"),CLASSNAMEHEADERS,0))))}</f>
        <v>CLASSABILITY4-L13PTS</v>
      </c>
      <c r="U1215" s="76"/>
      <c r="V1215" s="76" t="str">
        <f t="array" ref="V1215:V1216">{"CLASSABILITY4-L15PTS";((INDEX(ALLCLASSDATA,MATCH("ClassAbility4-L15",CLASSFEATUREHEADERS,0),MATCH(($A1216 &amp; "Points"),CLASSNAMEHEADERS,0))))}</f>
        <v>CLASSABILITY4-L15PTS</v>
      </c>
      <c r="W1215" s="76"/>
      <c r="X1215" s="76" t="str">
        <f t="array" ref="X1215:X1216">{"CLASSABILITY4-L17PTS";((INDEX(ALLCLASSDATA,MATCH("ClassAbility4-L17",CLASSFEATUREHEADERS,0),MATCH(($A1216 &amp; "Points"),CLASSNAMEHEADERS,0))))}</f>
        <v>CLASSABILITY4-L17PTS</v>
      </c>
      <c r="Y1215" s="76"/>
      <c r="Z1215" s="76" t="str">
        <f t="array" ref="Z1215:Z1216">{"CLASSABILITY4-L19PTS";((INDEX(ALLCLASSDATA,MATCH("ClassAbility4-L19",CLASSFEATUREHEADERS,0),MATCH(($A1216 &amp; "Points"),CLASSNAMEHEADERS,0))))}</f>
        <v>CLASSABILITY4-L19PTS</v>
      </c>
      <c r="AA1215" s="76"/>
      <c r="AB1215" s="76"/>
      <c r="AC1215" s="76" t="str">
        <f t="array" ref="AC1215:AC1216">{"CLASSABILITY4 TOTAL";(sum(G1216:AA1216))}</f>
        <v>CLASSABILITY4 TOTAL</v>
      </c>
    </row>
    <row r="1216">
      <c r="A1216" s="48" t="s">
        <v>199</v>
      </c>
      <c r="B1216" s="48"/>
      <c r="C1216" s="48" t="s">
        <v>417</v>
      </c>
      <c r="D1216" s="48" t="s">
        <v>930</v>
      </c>
      <c r="E1216" s="48" t="s">
        <v>1273</v>
      </c>
      <c r="F1216" s="48"/>
      <c r="G1216" s="47"/>
      <c r="H1216" s="5"/>
      <c r="I1216" s="5"/>
      <c r="J1216" s="5"/>
      <c r="K1216" s="5"/>
      <c r="L1216" s="5"/>
      <c r="M1216" s="5"/>
      <c r="N1216" s="5"/>
      <c r="O1216" s="5"/>
      <c r="P1216" s="5"/>
      <c r="Q1216" s="5"/>
      <c r="R1216" s="5"/>
      <c r="S1216" s="5"/>
      <c r="T1216" s="5"/>
      <c r="U1216" s="5"/>
      <c r="V1216" s="5"/>
      <c r="W1216" s="5"/>
      <c r="X1216" s="5"/>
      <c r="Y1216" s="5"/>
      <c r="Z1216" s="5"/>
      <c r="AA1216" s="5"/>
      <c r="AB1216" s="5"/>
      <c r="AC1216" s="47">
        <v>0.0</v>
      </c>
    </row>
    <row r="1217" hidden="1">
      <c r="A1217" s="76" t="str">
        <f t="array" ref="A1217:A1218">{"FormulaRow16";(INDEX(CLASSLIST,A1186,1))}</f>
        <v>FormulaRow16</v>
      </c>
      <c r="B1217" s="77" t="s">
        <v>236</v>
      </c>
      <c r="C1217" s="76" t="str">
        <f t="array" ref="C1217:C1218">{"CLASSTYPE";((INDEX(ALLCLASSDATA,MATCH("ClassType",CLASSFEATUREHEADERS,0),MATCH($A1218,CLASSNAMEHEADERS,0))))}</f>
        <v>CLASSTYPE</v>
      </c>
      <c r="D1217" s="76" t="str">
        <f t="array" ref="D1217:D1218">{"CLASSABILITY";"ClassAbility"}</f>
        <v>CLASSABILITY</v>
      </c>
      <c r="E1217" s="76" t="str">
        <f t="array" ref="E1217:E1218">{"SUBCLASSABILITY1";"SubclassAbility1"}</f>
        <v>SUBCLASSABILITY1</v>
      </c>
      <c r="F1217" s="76"/>
      <c r="G1217" s="76"/>
      <c r="H1217" s="76"/>
      <c r="I1217" s="76"/>
      <c r="J1217" s="76" t="str">
        <f t="array" ref="J1217:J1218">{"SUBCLASSABILITY1-L03";((INDEX(ALLCLASSDATA,MATCH("SubclassAbility1-L03",CLASSFEATUREHEADERS,0),MATCH(($A1218),CLASSNAMEHEADERS,0))))}</f>
        <v>SUBCLASSABILITY1-L03</v>
      </c>
      <c r="K1217" s="76"/>
      <c r="L1217" s="76" t="str">
        <f t="array" ref="L1217:L1218">{"SUBCLASSABILITY1-L05";((INDEX(ALLCLASSDATA,MATCH("SubclassAbility1-L05",CLASSFEATUREHEADERS,0),MATCH(($A1218),CLASSNAMEHEADERS,0))))}</f>
        <v>SUBCLASSABILITY1-L05</v>
      </c>
      <c r="M1217" s="76"/>
      <c r="N1217" s="76" t="str">
        <f t="array" ref="N1217:N1218">{"SUBCLASSABILITY1-L07";((INDEX(ALLCLASSDATA,MATCH("SubclassAbility1-L07",CLASSFEATUREHEADERS,0),MATCH(($A1218),CLASSNAMEHEADERS,0))))}</f>
        <v>SUBCLASSABILITY1-L07</v>
      </c>
      <c r="O1217" s="76"/>
      <c r="P1217" s="76" t="str">
        <f t="array" ref="P1217:P1218">{"SUBCLASSABILITY1-L09";((INDEX(ALLCLASSDATA,MATCH("SubclassAbility1-L09",CLASSFEATUREHEADERS,0),MATCH(($A1218),CLASSNAMEHEADERS,0))))}</f>
        <v>SUBCLASSABILITY1-L09</v>
      </c>
      <c r="Q1217" s="76"/>
      <c r="R1217" s="76" t="str">
        <f t="array" ref="R1217:R1218">{"SUBCLASSABILITY1-L11";((INDEX(ALLCLASSDATA,MATCH("SubclassAbility1-L11",CLASSFEATUREHEADERS,0),MATCH(($A1218),CLASSNAMEHEADERS,0))))}</f>
        <v>SUBCLASSABILITY1-L11</v>
      </c>
      <c r="S1217" s="76"/>
      <c r="T1217" s="76" t="str">
        <f t="array" ref="T1217:T1218">{"SUBCLASSABILITY1-L13";((INDEX(ALLCLASSDATA,MATCH("SubclassAbility1-L13",CLASSFEATUREHEADERS,0),MATCH(($A1218),CLASSNAMEHEADERS,0))))}</f>
        <v>SUBCLASSABILITY1-L13</v>
      </c>
      <c r="U1217" s="76"/>
      <c r="V1217" s="76" t="str">
        <f t="array" ref="V1217:V1218">{"SUBCLASSABILITY1-L15";((INDEX(ALLCLASSDATA,MATCH("SubclassAbility1-L15",CLASSFEATUREHEADERS,0),MATCH(($A1218),CLASSNAMEHEADERS,0))))}</f>
        <v>SUBCLASSABILITY1-L15</v>
      </c>
      <c r="W1217" s="76"/>
      <c r="X1217" s="76" t="str">
        <f t="array" ref="X1217:X1218">{"SUBCLASSABILITY1-L17";((INDEX(ALLCLASSDATA,MATCH("SubclassAbility1-L17",CLASSFEATUREHEADERS,0),MATCH(($A1218),CLASSNAMEHEADERS,0))))}</f>
        <v>SUBCLASSABILITY1-L17</v>
      </c>
      <c r="Y1217" s="76"/>
      <c r="Z1217" s="76" t="str">
        <f t="array" ref="Z1217:Z1218">{"SUBCLASSABILITY1-L19";((INDEX(ALLCLASSDATA,MATCH("SubclassAbility1-L19",CLASSFEATUREHEADERS,0),MATCH(($A1218),CLASSNAMEHEADERS,0))))}</f>
        <v>SUBCLASSABILITY1-L19</v>
      </c>
      <c r="AA1217" s="76"/>
      <c r="AB1217" s="76"/>
      <c r="AC1217" s="76"/>
    </row>
    <row r="1218">
      <c r="A1218" s="48" t="s">
        <v>199</v>
      </c>
      <c r="B1218" s="48"/>
      <c r="C1218" s="48" t="s">
        <v>417</v>
      </c>
      <c r="D1218" s="48" t="s">
        <v>825</v>
      </c>
      <c r="E1218" s="28" t="s">
        <v>1355</v>
      </c>
      <c r="F1218" s="5"/>
      <c r="G1218" s="47"/>
      <c r="H1218" s="5"/>
      <c r="I1218" s="5"/>
      <c r="J1218" s="5"/>
      <c r="K1218" s="5"/>
      <c r="L1218" s="5"/>
      <c r="M1218" s="5"/>
      <c r="N1218" s="5" t="s">
        <v>1864</v>
      </c>
      <c r="O1218" s="5"/>
      <c r="P1218" s="5"/>
      <c r="Q1218" s="5"/>
      <c r="R1218" s="5"/>
      <c r="S1218" s="5"/>
      <c r="T1218" s="5"/>
      <c r="U1218" s="5"/>
      <c r="V1218" s="5"/>
      <c r="W1218" s="5"/>
      <c r="X1218" s="5"/>
      <c r="Y1218" s="5"/>
      <c r="Z1218" s="5"/>
      <c r="AA1218" s="5"/>
      <c r="AB1218" s="5"/>
      <c r="AC1218" s="47"/>
    </row>
    <row r="1219" hidden="1">
      <c r="A1219" s="76" t="str">
        <f t="array" ref="A1219:A1220">{"FormulaRow17";(INDEX(CLASSLIST,A1186,1))}</f>
        <v>FormulaRow17</v>
      </c>
      <c r="B1219" s="77" t="s">
        <v>236</v>
      </c>
      <c r="C1219" s="76" t="str">
        <f t="array" ref="C1219:C1220">{"CLASSTYPE";((INDEX(ALLCLASSDATA,MATCH("ClassType",CLASSFEATUREHEADERS,0),MATCH($A1220,CLASSNAMEHEADERS,0))))}</f>
        <v>CLASSTYPE</v>
      </c>
      <c r="D1219" s="76" t="str">
        <f t="array" ref="D1219:D1220">{"CLASSABILITYPTS";"ClassAbilityPts"}</f>
        <v>CLASSABILITYPTS</v>
      </c>
      <c r="E1219" s="76" t="str">
        <f t="array" ref="E1219:E1220">{"SUBCLASSABILITY1";"SubclassAbility1"}</f>
        <v>SUBCLASSABILITY1</v>
      </c>
      <c r="F1219" s="76"/>
      <c r="G1219" s="76"/>
      <c r="H1219" s="76"/>
      <c r="I1219" s="76"/>
      <c r="J1219" s="76" t="str">
        <f t="array" ref="J1219:J1220">{"SUBCLASSABILITY1-L03PTS";((INDEX(ALLCLASSDATA,MATCH("SubclassAbility1-L03",CLASSFEATUREHEADERS,0),MATCH(($A1220 &amp; "Points"),CLASSNAMEHEADERS,0))))}</f>
        <v>SUBCLASSABILITY1-L03PTS</v>
      </c>
      <c r="K1219" s="76"/>
      <c r="L1219" s="76" t="str">
        <f t="array" ref="L1219:L1220">{"SUBCLASSABILITY1-L05PTS";((INDEX(ALLCLASSDATA,MATCH("SubclassAbility1-L05",CLASSFEATUREHEADERS,0),MATCH(($A1220 &amp; "Points"),CLASSNAMEHEADERS,0))))}</f>
        <v>SUBCLASSABILITY1-L05PTS</v>
      </c>
      <c r="M1219" s="76"/>
      <c r="N1219" s="76" t="str">
        <f t="array" ref="N1219:N1220">{"SUBCLASSABILITY1-L07PTS";((INDEX(ALLCLASSDATA,MATCH("SubclassAbility1-L07",CLASSFEATUREHEADERS,0),MATCH(($A1220 &amp; "Points"),CLASSNAMEHEADERS,0))))}</f>
        <v>SUBCLASSABILITY1-L07PTS</v>
      </c>
      <c r="O1219" s="76"/>
      <c r="P1219" s="76" t="str">
        <f t="array" ref="P1219:P1220">{"SUBCLASSABILITY1-L09PTS";((INDEX(ALLCLASSDATA,MATCH("SubclassAbility1-L09",CLASSFEATUREHEADERS,0),MATCH(($A1220 &amp; "Points"),CLASSNAMEHEADERS,0))))}</f>
        <v>SUBCLASSABILITY1-L09PTS</v>
      </c>
      <c r="Q1219" s="76"/>
      <c r="R1219" s="76" t="str">
        <f t="array" ref="R1219:R1220">{"SUBCLASSABILITY1-L11PTS";((INDEX(ALLCLASSDATA,MATCH("SubclassAbility1-L11",CLASSFEATUREHEADERS,0),MATCH(($A1220 &amp; "Points"),CLASSNAMEHEADERS,0))))}</f>
        <v>SUBCLASSABILITY1-L11PTS</v>
      </c>
      <c r="S1219" s="76"/>
      <c r="T1219" s="76" t="str">
        <f t="array" ref="T1219:T1220">{"SUBCLASSABILITY1-L13PTS";((INDEX(ALLCLASSDATA,MATCH("SubclassAbility1-L13",CLASSFEATUREHEADERS,0),MATCH(($A1220 &amp; "Points"),CLASSNAMEHEADERS,0))))}</f>
        <v>SUBCLASSABILITY1-L13PTS</v>
      </c>
      <c r="U1219" s="76"/>
      <c r="V1219" s="76" t="str">
        <f t="array" ref="V1219:V1220">{"SUBCLASSABILITY1-L15PTS";((INDEX(ALLCLASSDATA,MATCH("SubclassAbility1-L15",CLASSFEATUREHEADERS,0),MATCH(($A1220 &amp; "Points"),CLASSNAMEHEADERS,0))))}</f>
        <v>SUBCLASSABILITY1-L15PTS</v>
      </c>
      <c r="W1219" s="76"/>
      <c r="X1219" s="76" t="str">
        <f t="array" ref="X1219:X1220">{"SUBCLASSABILITY1-L17PTS";((INDEX(ALLCLASSDATA,MATCH("SubclassAbility1-L17",CLASSFEATUREHEADERS,0),MATCH(($A1220 &amp; "Points"),CLASSNAMEHEADERS,0))))}</f>
        <v>SUBCLASSABILITY1-L17PTS</v>
      </c>
      <c r="Y1219" s="76"/>
      <c r="Z1219" s="76" t="str">
        <f t="array" ref="Z1219:Z1220">{"SUBCLASSABILITY1-L19PTS";((INDEX(ALLCLASSDATA,MATCH("SubclassAbility1-L19",CLASSFEATUREHEADERS,0),MATCH(($A1220 &amp; "Points"),CLASSNAMEHEADERS,0))))}</f>
        <v>SUBCLASSABILITY1-L19PTS</v>
      </c>
      <c r="AA1219" s="76"/>
      <c r="AB1219" s="76"/>
      <c r="AC1219" s="76" t="str">
        <f t="array" ref="AC1219:AC1220">{"SUBCLASSABILITY1 TOTAL";(sum(G1220:AA1220))}</f>
        <v>SUBCLASSABILITY1 TOTAL</v>
      </c>
    </row>
    <row r="1220">
      <c r="A1220" s="48" t="s">
        <v>199</v>
      </c>
      <c r="B1220" s="48"/>
      <c r="C1220" s="48" t="s">
        <v>417</v>
      </c>
      <c r="D1220" s="48" t="s">
        <v>930</v>
      </c>
      <c r="E1220" s="28" t="s">
        <v>1355</v>
      </c>
      <c r="F1220" s="5"/>
      <c r="G1220" s="47"/>
      <c r="H1220" s="5"/>
      <c r="I1220" s="5"/>
      <c r="J1220" s="5"/>
      <c r="K1220" s="5"/>
      <c r="L1220" s="5"/>
      <c r="M1220" s="5"/>
      <c r="N1220" s="5"/>
      <c r="O1220" s="5"/>
      <c r="P1220" s="5"/>
      <c r="Q1220" s="5"/>
      <c r="R1220" s="5"/>
      <c r="S1220" s="5"/>
      <c r="T1220" s="5"/>
      <c r="U1220" s="5"/>
      <c r="V1220" s="5"/>
      <c r="W1220" s="5"/>
      <c r="X1220" s="5"/>
      <c r="Y1220" s="5"/>
      <c r="Z1220" s="5"/>
      <c r="AA1220" s="5"/>
      <c r="AB1220" s="5"/>
      <c r="AC1220" s="47">
        <v>0.0</v>
      </c>
    </row>
    <row r="1221" hidden="1">
      <c r="A1221" s="76" t="str">
        <f t="array" ref="A1221:A1222">{"FormulaRow18";(INDEX(CLASSLIST,A1186,1))}</f>
        <v>FormulaRow18</v>
      </c>
      <c r="B1221" s="77" t="s">
        <v>236</v>
      </c>
      <c r="C1221" s="76" t="str">
        <f t="array" ref="C1221:C1222">{"CLASSTYPE";((INDEX(ALLCLASSDATA,MATCH("ClassType",CLASSFEATUREHEADERS,0),MATCH($A1222,CLASSNAMEHEADERS,0))))}</f>
        <v>CLASSTYPE</v>
      </c>
      <c r="D1221" s="76" t="str">
        <f t="array" ref="D1221:D1222">{"CLASSABILITY";"ClassAbility"}</f>
        <v>CLASSABILITY</v>
      </c>
      <c r="E1221" s="76" t="str">
        <f t="array" ref="E1221:E1222">{"SUBCLASSABILITY2";"SubclassAbility2"}</f>
        <v>SUBCLASSABILITY2</v>
      </c>
      <c r="F1221" s="76"/>
      <c r="G1221" s="76"/>
      <c r="H1221" s="76"/>
      <c r="I1221" s="76"/>
      <c r="J1221" s="76" t="str">
        <f t="array" ref="J1221:J1222">{"SUBCLASSABILITY2-L03";((INDEX(ALLCLASSDATA,MATCH("SubclassAbility2-L03",CLASSFEATUREHEADERS,0),MATCH(($A1222),CLASSNAMEHEADERS,0))))}</f>
        <v>SUBCLASSABILITY2-L03</v>
      </c>
      <c r="K1221" s="76"/>
      <c r="L1221" s="76" t="str">
        <f t="array" ref="L1221:L1222">{"SUBCLASSABILITY2-L05";((INDEX(ALLCLASSDATA,MATCH("SubclassAbility2-L05",CLASSFEATUREHEADERS,0),MATCH(($A1222),CLASSNAMEHEADERS,0))))}</f>
        <v>SUBCLASSABILITY2-L05</v>
      </c>
      <c r="M1221" s="76"/>
      <c r="N1221" s="76" t="str">
        <f t="array" ref="N1221:N1222">{"SUBCLASSABILITY2-L07";((INDEX(ALLCLASSDATA,MATCH("SubclassAbility2-L07",CLASSFEATUREHEADERS,0),MATCH(($A1222),CLASSNAMEHEADERS,0))))}</f>
        <v>SUBCLASSABILITY2-L07</v>
      </c>
      <c r="O1221" s="76"/>
      <c r="P1221" s="76" t="str">
        <f t="array" ref="P1221:P1222">{"SUBCLASSABILITY2-L09";((INDEX(ALLCLASSDATA,MATCH("SubclassAbility2-L09",CLASSFEATUREHEADERS,0),MATCH(($A1222),CLASSNAMEHEADERS,0))))}</f>
        <v>SUBCLASSABILITY2-L09</v>
      </c>
      <c r="Q1221" s="76"/>
      <c r="R1221" s="76" t="str">
        <f t="array" ref="R1221:R1222">{"SUBCLASSABILITY2-L11";((INDEX(ALLCLASSDATA,MATCH("SubclassAbility2-L11",CLASSFEATUREHEADERS,0),MATCH(($A1222),CLASSNAMEHEADERS,0))))}</f>
        <v>SUBCLASSABILITY2-L11</v>
      </c>
      <c r="S1221" s="76"/>
      <c r="T1221" s="76" t="str">
        <f t="array" ref="T1221:T1222">{"SUBCLASSABILITY2-L13";((INDEX(ALLCLASSDATA,MATCH("SubclassAbility2-L13",CLASSFEATUREHEADERS,0),MATCH(($A1222),CLASSNAMEHEADERS,0))))}</f>
        <v>SUBCLASSABILITY2-L13</v>
      </c>
      <c r="U1221" s="76"/>
      <c r="V1221" s="76" t="str">
        <f t="array" ref="V1221:V1222">{"SUBCLASSABILITY2-L15";((INDEX(ALLCLASSDATA,MATCH("SubclassAbility2-L15",CLASSFEATUREHEADERS,0),MATCH(($A1222),CLASSNAMEHEADERS,0))))}</f>
        <v>SUBCLASSABILITY2-L15</v>
      </c>
      <c r="W1221" s="76"/>
      <c r="X1221" s="76" t="str">
        <f t="array" ref="X1221:X1222">{"SUBCLASSABILITY2-L17";((INDEX(ALLCLASSDATA,MATCH("SubclassAbility2-L17",CLASSFEATUREHEADERS,0),MATCH(($A1222),CLASSNAMEHEADERS,0))))}</f>
        <v>SUBCLASSABILITY2-L17</v>
      </c>
      <c r="Y1221" s="76"/>
      <c r="Z1221" s="76" t="str">
        <f t="array" ref="Z1221:Z1222">{"SUBCLASSABILITY2-L19";((INDEX(ALLCLASSDATA,MATCH("SubclassAbility2-L19",CLASSFEATUREHEADERS,0),MATCH(($A1222),CLASSNAMEHEADERS,0))))}</f>
        <v>SUBCLASSABILITY2-L19</v>
      </c>
      <c r="AA1221" s="76"/>
      <c r="AB1221" s="76"/>
      <c r="AC1221" s="76"/>
    </row>
    <row r="1222">
      <c r="A1222" s="48" t="s">
        <v>199</v>
      </c>
      <c r="B1222" s="48"/>
      <c r="C1222" s="48" t="s">
        <v>417</v>
      </c>
      <c r="D1222" s="48" t="s">
        <v>825</v>
      </c>
      <c r="E1222" s="28" t="s">
        <v>1370</v>
      </c>
      <c r="F1222" s="5"/>
      <c r="G1222" s="47"/>
      <c r="H1222" s="5"/>
      <c r="I1222" s="5"/>
      <c r="J1222" s="5"/>
      <c r="K1222" s="5"/>
      <c r="L1222" s="5"/>
      <c r="M1222" s="5"/>
      <c r="N1222" s="5"/>
      <c r="O1222" s="5"/>
      <c r="P1222" s="5"/>
      <c r="Q1222" s="5"/>
      <c r="R1222" s="5"/>
      <c r="S1222" s="5"/>
      <c r="T1222" s="5"/>
      <c r="U1222" s="5"/>
      <c r="V1222" s="5"/>
      <c r="W1222" s="5"/>
      <c r="X1222" s="5"/>
      <c r="Y1222" s="5"/>
      <c r="Z1222" s="5"/>
      <c r="AA1222" s="5"/>
      <c r="AB1222" s="5"/>
      <c r="AC1222" s="47"/>
    </row>
    <row r="1223" hidden="1">
      <c r="A1223" s="76" t="str">
        <f t="array" ref="A1223:A1224">{"FormulaRow19";(INDEX(CLASSLIST,A1186,1))}</f>
        <v>FormulaRow19</v>
      </c>
      <c r="B1223" s="77" t="s">
        <v>236</v>
      </c>
      <c r="C1223" s="76" t="str">
        <f t="array" ref="C1223:C1224">{"CLASSTYPE";((INDEX(ALLCLASSDATA,MATCH("ClassType",CLASSFEATUREHEADERS,0),MATCH($A1224,CLASSNAMEHEADERS,0))))}</f>
        <v>CLASSTYPE</v>
      </c>
      <c r="D1223" s="76" t="str">
        <f t="array" ref="D1223:D1224">{"CLASSABILITYPTS";"ClassAbilityPts"}</f>
        <v>CLASSABILITYPTS</v>
      </c>
      <c r="E1223" s="76" t="str">
        <f t="array" ref="E1223:E1224">{"SUBCLASSABILITY2";"SubclassAbility2"}</f>
        <v>SUBCLASSABILITY2</v>
      </c>
      <c r="F1223" s="76"/>
      <c r="G1223" s="76"/>
      <c r="H1223" s="76"/>
      <c r="I1223" s="76"/>
      <c r="J1223" s="76" t="str">
        <f t="array" ref="J1223:J1224">{"SUBCLASSABILITY2-L03PTS";((INDEX(ALLCLASSDATA,MATCH("SubclassAbility2-L03",CLASSFEATUREHEADERS,0),MATCH(($A1224 &amp; "Points"),CLASSNAMEHEADERS,0))))}</f>
        <v>SUBCLASSABILITY2-L03PTS</v>
      </c>
      <c r="K1223" s="76"/>
      <c r="L1223" s="76" t="str">
        <f t="array" ref="L1223:L1224">{"SUBCLASSABILITY2-L05PTS";((INDEX(ALLCLASSDATA,MATCH("SubclassAbility2-L05",CLASSFEATUREHEADERS,0),MATCH(($A1224 &amp; "Points"),CLASSNAMEHEADERS,0))))}</f>
        <v>SUBCLASSABILITY2-L05PTS</v>
      </c>
      <c r="M1223" s="76"/>
      <c r="N1223" s="76" t="str">
        <f t="array" ref="N1223:N1224">{"SUBCLASSABILITY2-L07PTS";((INDEX(ALLCLASSDATA,MATCH("SubclassAbility2-L07",CLASSFEATUREHEADERS,0),MATCH(($A1224 &amp; "Points"),CLASSNAMEHEADERS,0))))}</f>
        <v>SUBCLASSABILITY2-L07PTS</v>
      </c>
      <c r="O1223" s="76"/>
      <c r="P1223" s="76" t="str">
        <f t="array" ref="P1223:P1224">{"SUBCLASSABILITY2-L09PTS";((INDEX(ALLCLASSDATA,MATCH("SubclassAbility2-L09",CLASSFEATUREHEADERS,0),MATCH(($A1224 &amp; "Points"),CLASSNAMEHEADERS,0))))}</f>
        <v>SUBCLASSABILITY2-L09PTS</v>
      </c>
      <c r="Q1223" s="76"/>
      <c r="R1223" s="76" t="str">
        <f t="array" ref="R1223:R1224">{"SUBCLASSABILITY2-L11PTS";((INDEX(ALLCLASSDATA,MATCH("SubclassAbility2-L11",CLASSFEATUREHEADERS,0),MATCH(($A1224 &amp; "Points"),CLASSNAMEHEADERS,0))))}</f>
        <v>SUBCLASSABILITY2-L11PTS</v>
      </c>
      <c r="S1223" s="76"/>
      <c r="T1223" s="76" t="str">
        <f t="array" ref="T1223:T1224">{"SUBCLASSABILITY2-L13PTS";((INDEX(ALLCLASSDATA,MATCH("SubclassAbility2-L13",CLASSFEATUREHEADERS,0),MATCH(($A1224 &amp; "Points"),CLASSNAMEHEADERS,0))))}</f>
        <v>SUBCLASSABILITY2-L13PTS</v>
      </c>
      <c r="U1223" s="76"/>
      <c r="V1223" s="76" t="str">
        <f t="array" ref="V1223:V1224">{"SUBCLASSABILITY2-L15PTS";((INDEX(ALLCLASSDATA,MATCH("SubclassAbility2-L15",CLASSFEATUREHEADERS,0),MATCH(($A1224 &amp; "Points"),CLASSNAMEHEADERS,0))))}</f>
        <v>SUBCLASSABILITY2-L15PTS</v>
      </c>
      <c r="W1223" s="76"/>
      <c r="X1223" s="76" t="str">
        <f t="array" ref="X1223:X1224">{"SUBCLASSABILITY2-L17PTS";((INDEX(ALLCLASSDATA,MATCH("SubclassAbility2-L17",CLASSFEATUREHEADERS,0),MATCH(($A1224 &amp; "Points"),CLASSNAMEHEADERS,0))))}</f>
        <v>SUBCLASSABILITY2-L17PTS</v>
      </c>
      <c r="Y1223" s="76"/>
      <c r="Z1223" s="76" t="str">
        <f t="array" ref="Z1223:Z1224">{"SUBCLASSABILITY2-L19PTS";((INDEX(ALLCLASSDATA,MATCH("SubclassAbility2-L19",CLASSFEATUREHEADERS,0),MATCH(($A1224 &amp; "Points"),CLASSNAMEHEADERS,0))))}</f>
        <v>SUBCLASSABILITY2-L19PTS</v>
      </c>
      <c r="AA1223" s="76"/>
      <c r="AB1223" s="76"/>
      <c r="AC1223" s="76" t="str">
        <f t="array" ref="AC1223:AC1224">{"SUBCLASSABILITY2 TOTAL";(sum(G1224:AA1224))}</f>
        <v>SUBCLASSABILITY2 TOTAL</v>
      </c>
    </row>
    <row r="1224">
      <c r="A1224" s="48" t="s">
        <v>199</v>
      </c>
      <c r="B1224" s="48"/>
      <c r="C1224" s="48" t="s">
        <v>417</v>
      </c>
      <c r="D1224" s="97" t="s">
        <v>930</v>
      </c>
      <c r="E1224" s="215" t="s">
        <v>1370</v>
      </c>
      <c r="F1224" s="98"/>
      <c r="G1224" s="132"/>
      <c r="H1224" s="98"/>
      <c r="I1224" s="98"/>
      <c r="J1224" s="98"/>
      <c r="K1224" s="98"/>
      <c r="L1224" s="98"/>
      <c r="M1224" s="98"/>
      <c r="N1224" s="98"/>
      <c r="O1224" s="98"/>
      <c r="P1224" s="98"/>
      <c r="Q1224" s="98"/>
      <c r="R1224" s="98"/>
      <c r="S1224" s="98"/>
      <c r="T1224" s="98"/>
      <c r="U1224" s="98"/>
      <c r="V1224" s="98"/>
      <c r="W1224" s="98"/>
      <c r="X1224" s="98"/>
      <c r="Y1224" s="98"/>
      <c r="Z1224" s="98"/>
      <c r="AA1224" s="98"/>
      <c r="AB1224" s="5"/>
      <c r="AC1224" s="47">
        <v>0.0</v>
      </c>
    </row>
    <row r="1225" hidden="1">
      <c r="A1225" s="76" t="str">
        <f t="array" ref="A1225:A1226">{"FormulaRow20";(INDEX(CLASSLIST,A1186,1))}</f>
        <v>FormulaRow20</v>
      </c>
      <c r="B1225" s="77" t="s">
        <v>236</v>
      </c>
      <c r="C1225" s="76" t="str">
        <f t="array" ref="C1225:C1226">{"CLASSTYPE";((INDEX(ALLCLASSDATA,MATCH("ClassType",CLASSFEATUREHEADERS,0),MATCH($A1226,CLASSNAMEHEADERS,0))))}</f>
        <v>CLASSTYPE</v>
      </c>
      <c r="D1225" s="81" t="str">
        <f t="array" ref="D1225:D1226">{"DC";"DC"}</f>
        <v>DC</v>
      </c>
      <c r="E1225" s="81" t="str">
        <f t="array" ref="E1225:E1226">{"CLASSDC";"ClassDC"}</f>
        <v>CLASSDC</v>
      </c>
      <c r="F1225" s="81" t="str">
        <f t="array" ref="F1225:F1226">{"CLASSDCINITIAL";((IF(H1226=10,"T",(IF(H1226=50,"E","")))))}</f>
        <v>CLASSDCINITIAL</v>
      </c>
      <c r="G1225" s="81" t="str">
        <f t="array" ref="G1225:G1226">{"CLASSDCINITIALPTS";((IF("00"=(INDEX(ALLCLASSDATA,MATCH("ClassDCLegendary",CLASSFEATUREHEADERS,0),MATCH($A1226,CLASSNAMEHEADERS,0))),(INDEX(ALLCLASSDATA,MATCH("ClassDCLegendary",CLASSFEATUREHEADERS,0),MATCH(($A1226 &amp; "Points"),CLASSNAMEHEADERS,0))),(IF("00"=(INDEX(ALLCLASSDATA,MATCH("ClassDCMaster",CLASSFEATUREHEADERS,0),MATCH($A1226,CLASSNAMEHEADERS,0))),(INDEX(ALLCLASSDATA,MATCH("ClassDCMaster",CLASSFEATUREHEADERS,0),MATCH(($A1226 &amp; "Points"),CLASSNAMEHEADERS,0))),(IF("00"=(INDEX(ALLCLASSDATA,MATCH("ClassDCExpert",CLASSFEATUREHEADERS,0),MATCH($A1226,CLASSNAMEHEADERS,0))),(INDEX(ALLCLASSDATA,MATCH("ClassDCExpert",CLASSFEATUREHEADERS,0),MATCH(($A1226 &amp; "Points"),CLASSNAMEHEADERS,0))),(IF("00"=(INDEX(ALLCLASSDATA,MATCH("ClassDCTrained",CLASSFEATUREHEADERS,0),MATCH($A1226,CLASSNAMEHEADERS,0))),(INDEX(ALLCLASSDATA,MATCH("ClassDCTrained",CLASSFEATUREHEADERS,0),MATCH(($A1226 &amp; "Points"),CLASSNAMEHEADERS,0))),"")))))))))}</f>
        <v>CLASSDCINITIALPTS</v>
      </c>
      <c r="H1225" s="81" t="str">
        <f t="array" ref="H1225:H1226">{"CLASSDCL01";((IF("01"=(INDEX(ALLCLASSDATA,MATCH("ClassDCLegendary",CLASSFEATUREHEADERS,0),MATCH($A1226,CLASSNAMEHEADERS,0))),(INDEX(ALLCLASSDATA,MATCH("ClassDCLegendary",CLASSFEATUREHEADERS,0),MATCH(($A1226 &amp; "Points"),CLASSNAMEHEADERS,0))),(IF("01"=(INDEX(ALLCLASSDATA,MATCH("ClassDCMaster",CLASSFEATUREHEADERS,0),MATCH($A1226,CLASSNAMEHEADERS,0))),(INDEX(ALLCLASSDATA,MATCH("ClassDCMaster",CLASSFEATUREHEADERS,0),MATCH(($A1226 &amp; "Points"),CLASSNAMEHEADERS,0))),(IF("01"=(INDEX(ALLCLASSDATA,MATCH("ClassDCExpert",CLASSFEATUREHEADERS,0),MATCH($A1226,CLASSNAMEHEADERS,0))),(INDEX(ALLCLASSDATA,MATCH("ClassDCExpert",CLASSFEATUREHEADERS,0),MATCH(($A1226 &amp; "Points"),CLASSNAMEHEADERS,0))),(IF("01"=(INDEX(ALLCLASSDATA,MATCH("ClassDCTrained",CLASSFEATUREHEADERS,0),MATCH($A1226,CLASSNAMEHEADERS,0))),(INDEX(ALLCLASSDATA,MATCH("ClassDCTrained",CLASSFEATUREHEADERS,0),MATCH(($A1226 &amp; "Points"),CLASSNAMEHEADERS,0))),"")))))))))}</f>
        <v>CLASSDCL01</v>
      </c>
      <c r="I1225" s="81"/>
      <c r="J1225" s="81" t="str">
        <f t="array" ref="J1225:J1226">{"CLASSDCL03";((IF("03"=(INDEX(ALLCLASSDATA,MATCH("ClassDCLegendary",CLASSFEATUREHEADERS,0),MATCH($A1226,CLASSNAMEHEADERS,0))),(INDEX(ALLCLASSDATA,MATCH("ClassDCLegendary",CLASSFEATUREHEADERS,0),MATCH(($A1226 &amp; "Points"),CLASSNAMEHEADERS,0))),(IF("03"=(INDEX(ALLCLASSDATA,MATCH("ClassDCMaster",CLASSFEATUREHEADERS,0),MATCH($A1226,CLASSNAMEHEADERS,0))),(INDEX(ALLCLASSDATA,MATCH("ClassDCMaster",CLASSFEATUREHEADERS,0),MATCH(($A1226 &amp; "Points"),CLASSNAMEHEADERS,0))),(IF("03"=(INDEX(ALLCLASSDATA,MATCH("ClassDCExpert",CLASSFEATUREHEADERS,0),MATCH($A1226,CLASSNAMEHEADERS,0))),(INDEX(ALLCLASSDATA,MATCH("ClassDCExpert",CLASSFEATUREHEADERS,0),MATCH(($A1226 &amp; "Points"),CLASSNAMEHEADERS,0))),(IF("03"=(INDEX(ALLCLASSDATA,MATCH("ClassDCTrained",CLASSFEATUREHEADERS,0),MATCH($A1226,CLASSNAMEHEADERS,0))),(INDEX(ALLCLASSDATA,MATCH("ClassDCTrained",CLASSFEATUREHEADERS,0),MATCH(($A1226 &amp; "Points"),CLASSNAMEHEADERS,0))),"")))))))))}</f>
        <v>CLASSDCL03</v>
      </c>
      <c r="K1225" s="81"/>
      <c r="L1225" s="81" t="str">
        <f t="array" ref="L1225:L1226">{"CLASSDCL05";((IF("05"=(INDEX(ALLCLASSDATA,MATCH("ClassDCLegendary",CLASSFEATUREHEADERS,0),MATCH($A1226,CLASSNAMEHEADERS,0))),(INDEX(ALLCLASSDATA,MATCH("ClassDCLegendary",CLASSFEATUREHEADERS,0),MATCH(($A1226 &amp; "Points"),CLASSNAMEHEADERS,0))),(IF("05"=(INDEX(ALLCLASSDATA,MATCH("ClassDCMaster",CLASSFEATUREHEADERS,0),MATCH($A1226,CLASSNAMEHEADERS,0))),(INDEX(ALLCLASSDATA,MATCH("ClassDCMaster",CLASSFEATUREHEADERS,0),MATCH(($A1226 &amp; "Points"),CLASSNAMEHEADERS,0))),(IF("05"=(INDEX(ALLCLASSDATA,MATCH("ClassDCExpert",CLASSFEATUREHEADERS,0),MATCH($A1226,CLASSNAMEHEADERS,0))),(INDEX(ALLCLASSDATA,MATCH("ClassDCExpert",CLASSFEATUREHEADERS,0),MATCH(($A1226 &amp; "Points"),CLASSNAMEHEADERS,0))),(IF("05"=(INDEX(ALLCLASSDATA,MATCH("ClassDCTrained",CLASSFEATUREHEADERS,0),MATCH($A1226,CLASSNAMEHEADERS,0))),(INDEX(ALLCLASSDATA,MATCH("ClassDCTrained",CLASSFEATUREHEADERS,0),MATCH(($A1226 &amp; "Points"),CLASSNAMEHEADERS,0))),"")))))))))}</f>
        <v>CLASSDCL05</v>
      </c>
      <c r="M1225" s="81"/>
      <c r="N1225" s="81" t="str">
        <f t="array" ref="N1225:N1226">{"CLASSDCL07";((IF("07"=(INDEX(ALLCLASSDATA,MATCH("ClassDCLegendary",CLASSFEATUREHEADERS,0),MATCH($A1226,CLASSNAMEHEADERS,0))),(INDEX(ALLCLASSDATA,MATCH("ClassDCLegendary",CLASSFEATUREHEADERS,0),MATCH(($A1226 &amp; "Points"),CLASSNAMEHEADERS,0))),(IF("07"=(INDEX(ALLCLASSDATA,MATCH("ClassDCMaster",CLASSFEATUREHEADERS,0),MATCH($A1226,CLASSNAMEHEADERS,0))),(INDEX(ALLCLASSDATA,MATCH("ClassDCMaster",CLASSFEATUREHEADERS,0),MATCH(($A1226 &amp; "Points"),CLASSNAMEHEADERS,0))),(IF("07"=(INDEX(ALLCLASSDATA,MATCH("ClassDCExpert",CLASSFEATUREHEADERS,0),MATCH($A1226,CLASSNAMEHEADERS,0))),(INDEX(ALLCLASSDATA,MATCH("ClassDCExpert",CLASSFEATUREHEADERS,0),MATCH(($A1226 &amp; "Points"),CLASSNAMEHEADERS,0))),(IF("07"=(INDEX(ALLCLASSDATA,MATCH("ClassDCTrained",CLASSFEATUREHEADERS,0),MATCH($A1226,CLASSNAMEHEADERS,0))),(INDEX(ALLCLASSDATA,MATCH("ClassDCTrained",CLASSFEATUREHEADERS,0),MATCH(($A1226 &amp; "Points"),CLASSNAMEHEADERS,0))),"")))))))))}</f>
        <v>CLASSDCL07</v>
      </c>
      <c r="O1225" s="81"/>
      <c r="P1225" s="81" t="str">
        <f t="array" ref="P1225:P1226">{"CLASSDCL09";((IF("09"=(INDEX(ALLCLASSDATA,MATCH("ClassDCLegendary",CLASSFEATUREHEADERS,0),MATCH($A1226,CLASSNAMEHEADERS,0))),(INDEX(ALLCLASSDATA,MATCH("ClassDCLegendary",CLASSFEATUREHEADERS,0),MATCH(($A1226 &amp; "Points"),CLASSNAMEHEADERS,0))),(IF("09"=(INDEX(ALLCLASSDATA,MATCH("ClassDCMaster",CLASSFEATUREHEADERS,0),MATCH($A1226,CLASSNAMEHEADERS,0))),(INDEX(ALLCLASSDATA,MATCH("ClassDCMaster",CLASSFEATUREHEADERS,0),MATCH(($A1226 &amp; "Points"),CLASSNAMEHEADERS,0))),(IF("09"=(INDEX(ALLCLASSDATA,MATCH("ClassDCExpert",CLASSFEATUREHEADERS,0),MATCH($A1226,CLASSNAMEHEADERS,0))),(INDEX(ALLCLASSDATA,MATCH("ClassDCExpert",CLASSFEATUREHEADERS,0),MATCH(($A1226 &amp; "Points"),CLASSNAMEHEADERS,0))),(IF("09"=(INDEX(ALLCLASSDATA,MATCH("ClassDCTrained",CLASSFEATUREHEADERS,0),MATCH($A1226,CLASSNAMEHEADERS,0))),(INDEX(ALLCLASSDATA,MATCH("ClassDCTrained",CLASSFEATUREHEADERS,0),MATCH(($A1226 &amp; "Points"),CLASSNAMEHEADERS,0))),"")))))))))}</f>
        <v>CLASSDCL09</v>
      </c>
      <c r="Q1225" s="81"/>
      <c r="R1225" s="81" t="str">
        <f t="array" ref="R1225:R1226">{"CLASSDCL11";((IF("11"=(INDEX(ALLCLASSDATA,MATCH("ClassDCLegendary",CLASSFEATUREHEADERS,0),MATCH($A1226,CLASSNAMEHEADERS,0))),(INDEX(ALLCLASSDATA,MATCH("ClassDCLegendary",CLASSFEATUREHEADERS,0),MATCH(($A1226 &amp; "Points"),CLASSNAMEHEADERS,0))),(IF("11"=(INDEX(ALLCLASSDATA,MATCH("ClassDCMaster",CLASSFEATUREHEADERS,0),MATCH($A1226,CLASSNAMEHEADERS,0))),(INDEX(ALLCLASSDATA,MATCH("ClassDCMaster",CLASSFEATUREHEADERS,0),MATCH(($A1226 &amp; "Points"),CLASSNAMEHEADERS,0))),(IF("11"=(INDEX(ALLCLASSDATA,MATCH("ClassDCExpert",CLASSFEATUREHEADERS,0),MATCH($A1226,CLASSNAMEHEADERS,0))),(INDEX(ALLCLASSDATA,MATCH("ClassDCExpert",CLASSFEATUREHEADERS,0),MATCH(($A1226 &amp; "Points"),CLASSNAMEHEADERS,0))),(IF("11"=(INDEX(ALLCLASSDATA,MATCH("ClassDCTrained",CLASSFEATUREHEADERS,0),MATCH($A1226,CLASSNAMEHEADERS,0))),(INDEX(ALLCLASSDATA,MATCH("ClassDCTrained",CLASSFEATUREHEADERS,0),MATCH(($A1226 &amp; "Points"),CLASSNAMEHEADERS,0))),"")))))))))}</f>
        <v>CLASSDCL11</v>
      </c>
      <c r="S1225" s="81"/>
      <c r="T1225" s="81" t="str">
        <f t="array" ref="T1225:T1226">{"CLASSDCL13";((IF("13"=(INDEX(ALLCLASSDATA,MATCH("ClassDCLegendary",CLASSFEATUREHEADERS,0),MATCH($A1226,CLASSNAMEHEADERS,0))),(INDEX(ALLCLASSDATA,MATCH("ClassDCLegendary",CLASSFEATUREHEADERS,0),MATCH(($A1226 &amp; "Points"),CLASSNAMEHEADERS,0))),(IF("13"=(INDEX(ALLCLASSDATA,MATCH("ClassDCMaster",CLASSFEATUREHEADERS,0),MATCH($A1226,CLASSNAMEHEADERS,0))),(INDEX(ALLCLASSDATA,MATCH("ClassDCMaster",CLASSFEATUREHEADERS,0),MATCH(($A1226 &amp; "Points"),CLASSNAMEHEADERS,0))),(IF("13"=(INDEX(ALLCLASSDATA,MATCH("ClassDCExpert",CLASSFEATUREHEADERS,0),MATCH($A1226,CLASSNAMEHEADERS,0))),(INDEX(ALLCLASSDATA,MATCH("ClassDCExpert",CLASSFEATUREHEADERS,0),MATCH(($A1226 &amp; "Points"),CLASSNAMEHEADERS,0))),(IF("13"=(INDEX(ALLCLASSDATA,MATCH("ClassDCTrained",CLASSFEATUREHEADERS,0),MATCH($A1226,CLASSNAMEHEADERS,0))),(INDEX(ALLCLASSDATA,MATCH("ClassDCTrained",CLASSFEATUREHEADERS,0),MATCH(($A1226 &amp; "Points"),CLASSNAMEHEADERS,0))),"")))))))))}</f>
        <v>CLASSDCL13</v>
      </c>
      <c r="U1225" s="81"/>
      <c r="V1225" s="81" t="str">
        <f t="array" ref="V1225:V1226">{"CLASSDCL15";((IF("15"=(INDEX(ALLCLASSDATA,MATCH("ClassDCLegendary",CLASSFEATUREHEADERS,0),MATCH($A1226,CLASSNAMEHEADERS,0))),(INDEX(ALLCLASSDATA,MATCH("ClassDCLegendary",CLASSFEATUREHEADERS,0),MATCH(($A1226 &amp; "Points"),CLASSNAMEHEADERS,0))),(IF("15"=(INDEX(ALLCLASSDATA,MATCH("ClassDCMaster",CLASSFEATUREHEADERS,0),MATCH($A1226,CLASSNAMEHEADERS,0))),(INDEX(ALLCLASSDATA,MATCH("ClassDCMaster",CLASSFEATUREHEADERS,0),MATCH(($A1226 &amp; "Points"),CLASSNAMEHEADERS,0))),(IF("15"=(INDEX(ALLCLASSDATA,MATCH("ClassDCExpert",CLASSFEATUREHEADERS,0),MATCH($A1226,CLASSNAMEHEADERS,0))),(INDEX(ALLCLASSDATA,MATCH("ClassDCExpert",CLASSFEATUREHEADERS,0),MATCH(($A1226 &amp; "Points"),CLASSNAMEHEADERS,0))),(IF("15"=(INDEX(ALLCLASSDATA,MATCH("ClassDCTrained",CLASSFEATUREHEADERS,0),MATCH($A1226,CLASSNAMEHEADERS,0))),(INDEX(ALLCLASSDATA,MATCH("ClassDCTrained",CLASSFEATUREHEADERS,0),MATCH(($A1226 &amp; "Points"),CLASSNAMEHEADERS,0))),"")))))))))}</f>
        <v>CLASSDCL15</v>
      </c>
      <c r="W1225" s="81"/>
      <c r="X1225" s="81" t="str">
        <f t="array" ref="X1225:X1226">{"CLASSDCL17";((IF("17"=(INDEX(ALLCLASSDATA,MATCH("ClassDCLegendary",CLASSFEATUREHEADERS,0),MATCH($A1226,CLASSNAMEHEADERS,0))),(INDEX(ALLCLASSDATA,MATCH("ClassDCLegendary",CLASSFEATUREHEADERS,0),MATCH(($A1226 &amp; "Points"),CLASSNAMEHEADERS,0))),(IF("17"=(INDEX(ALLCLASSDATA,MATCH("ClassDCMaster",CLASSFEATUREHEADERS,0),MATCH($A1226,CLASSNAMEHEADERS,0))),(INDEX(ALLCLASSDATA,MATCH("ClassDCMaster",CLASSFEATUREHEADERS,0),MATCH(($A1226 &amp; "Points"),CLASSNAMEHEADERS,0))),(IF("17"=(INDEX(ALLCLASSDATA,MATCH("ClassDCExpert",CLASSFEATUREHEADERS,0),MATCH($A1226,CLASSNAMEHEADERS,0))),(INDEX(ALLCLASSDATA,MATCH("ClassDCExpert",CLASSFEATUREHEADERS,0),MATCH(($A1226 &amp; "Points"),CLASSNAMEHEADERS,0))),(IF("17"=(INDEX(ALLCLASSDATA,MATCH("ClassDCTrained",CLASSFEATUREHEADERS,0),MATCH($A1226,CLASSNAMEHEADERS,0))),(INDEX(ALLCLASSDATA,MATCH("ClassDCTrained",CLASSFEATUREHEADERS,0),MATCH(($A1226 &amp; "Points"),CLASSNAMEHEADERS,0))),"")))))))))}</f>
        <v>CLASSDCL17</v>
      </c>
      <c r="Y1225" s="81"/>
      <c r="Z1225" s="81" t="str">
        <f t="array" ref="Z1225:Z1226">{"CLASSDCL19";((IF("19"=(INDEX(ALLCLASSDATA,MATCH("ClassDCLegendary",CLASSFEATUREHEADERS,0),MATCH($A1226,CLASSNAMEHEADERS,0))),(INDEX(ALLCLASSDATA,MATCH("ClassDCLegendary",CLASSFEATUREHEADERS,0),MATCH(($A1226 &amp; "Points"),CLASSNAMEHEADERS,0))),(IF("19"=(INDEX(ALLCLASSDATA,MATCH("ClassDCMaster",CLASSFEATUREHEADERS,0),MATCH($A1226,CLASSNAMEHEADERS,0))),(INDEX(ALLCLASSDATA,MATCH("ClassDCMaster",CLASSFEATUREHEADERS,0),MATCH(($A1226 &amp; "Points"),CLASSNAMEHEADERS,0))),(IF("19"=(INDEX(ALLCLASSDATA,MATCH("ClassDCExpert",CLASSFEATUREHEADERS,0),MATCH($A1226,CLASSNAMEHEADERS,0))),(INDEX(ALLCLASSDATA,MATCH("ClassDCExpert",CLASSFEATUREHEADERS,0),MATCH(($A1226 &amp; "Points"),CLASSNAMEHEADERS,0))),(IF("19"=(INDEX(ALLCLASSDATA,MATCH("ClassDCTrained",CLASSFEATUREHEADERS,0),MATCH($A1226,CLASSNAMEHEADERS,0))),(INDEX(ALLCLASSDATA,MATCH("ClassDCTrained",CLASSFEATUREHEADERS,0),MATCH(($A1226 &amp; "Points"),CLASSNAMEHEADERS,0))),"")))))))))}</f>
        <v>CLASSDCL19</v>
      </c>
      <c r="AA1225" s="81"/>
      <c r="AB1225" s="76" t="str">
        <f t="array" ref="AB1225:AB1226">{"CLASSDC TOTAL";(IF(COUNTBLANK(G1226:AA1226)=17,"L",(IF(COUNTBLANK(G1226:AA1226)=18,"M",(IF(COUNTBLANK(G1226:AA1226)=19,"E",(IF(COUNTBLANK(G1226:AA1226)=20,"T",""))))))))}</f>
        <v>CLASSDC TOTAL</v>
      </c>
      <c r="AC1225" s="76" t="str">
        <f t="array" ref="AC1225:AC1226">{"CLASSDC TOTAL";(sum(G1226:AA1226))}</f>
        <v>CLASSDC TOTAL</v>
      </c>
    </row>
    <row r="1226">
      <c r="A1226" s="48" t="s">
        <v>199</v>
      </c>
      <c r="B1226" s="48"/>
      <c r="C1226" s="48" t="s">
        <v>417</v>
      </c>
      <c r="D1226" s="48" t="s">
        <v>1465</v>
      </c>
      <c r="E1226" s="48" t="s">
        <v>1466</v>
      </c>
      <c r="F1226" s="5" t="s">
        <v>603</v>
      </c>
      <c r="G1226" s="47" t="s">
        <v>603</v>
      </c>
      <c r="H1226" s="5" t="s">
        <v>603</v>
      </c>
      <c r="I1226" s="5"/>
      <c r="J1226" s="5" t="s">
        <v>603</v>
      </c>
      <c r="K1226" s="5"/>
      <c r="L1226" s="5" t="s">
        <v>603</v>
      </c>
      <c r="M1226" s="5"/>
      <c r="N1226" s="5" t="s">
        <v>603</v>
      </c>
      <c r="O1226" s="5"/>
      <c r="P1226" s="5" t="s">
        <v>603</v>
      </c>
      <c r="Q1226" s="5"/>
      <c r="R1226" s="5" t="s">
        <v>603</v>
      </c>
      <c r="S1226" s="5"/>
      <c r="T1226" s="5" t="s">
        <v>603</v>
      </c>
      <c r="U1226" s="5"/>
      <c r="V1226" s="5" t="s">
        <v>603</v>
      </c>
      <c r="W1226" s="5"/>
      <c r="X1226" s="5" t="s">
        <v>603</v>
      </c>
      <c r="Y1226" s="5"/>
      <c r="Z1226" s="5" t="s">
        <v>603</v>
      </c>
      <c r="AA1226" s="5"/>
      <c r="AB1226" s="5" t="s">
        <v>603</v>
      </c>
      <c r="AC1226" s="47">
        <v>0.0</v>
      </c>
    </row>
    <row r="1227" hidden="1">
      <c r="A1227" s="222" t="str">
        <f t="array" ref="A1227:A1228">{"FormulaRow21";(INDEX(CLASSLIST,A1186,1))}</f>
        <v>FormulaRow21</v>
      </c>
      <c r="B1227" s="77" t="s">
        <v>236</v>
      </c>
      <c r="C1227" s="222" t="str">
        <f t="array" ref="C1227:C1228">{"CLASSTYPE";((INDEX(ALLCLASSDATA,MATCH("ClassType",CLASSFEATUREHEADERS,0),MATCH($A1228,CLASSNAMEHEADERS,0))))}</f>
        <v>CLASSTYPE</v>
      </c>
      <c r="D1227" s="222" t="str">
        <f t="array" ref="D1227:D1228">{"DC";"DC"}</f>
        <v>DC</v>
      </c>
      <c r="E1227" s="222" t="str">
        <f t="array" ref="E1227:E1228">{"SPELLDC";"SpellDC"}</f>
        <v>SPELLDC</v>
      </c>
      <c r="F1227" s="223" t="str">
        <f t="array" ref="F1227:F1228">{"SPELLDCINITIAL";((IF(H1228=10,"T",(IF(H1228=50,"E","")))))}</f>
        <v>SPELLDCINITIAL</v>
      </c>
      <c r="G1227" s="223" t="str">
        <f t="array" ref="G1227:G1228">{"SPELLDCINITIALPTS";((IF("00"=(INDEX(ALLCLASSDATA,MATCH("SpellDCLegendary",CLASSFEATUREHEADERS,0),MATCH($A1228,CLASSNAMEHEADERS,0))),(INDEX(ALLCLASSDATA,MATCH("SpellDCLegendary",CLASSFEATUREHEADERS,0),MATCH(($A1228 &amp; "Points"),CLASSNAMEHEADERS,0))),(IF("00"=(INDEX(ALLCLASSDATA,MATCH("SpellDCMaster",CLASSFEATUREHEADERS,0),MATCH($A1228,CLASSNAMEHEADERS,0))),(INDEX(ALLCLASSDATA,MATCH("SpellDCMaster",CLASSFEATUREHEADERS,0),MATCH(($A1228 &amp; "Points"),CLASSNAMEHEADERS,0))),(IF("00"=(INDEX(ALLCLASSDATA,MATCH("SpellDCExpert",CLASSFEATUREHEADERS,0),MATCH($A1228,CLASSNAMEHEADERS,0))),(INDEX(ALLCLASSDATA,MATCH("SpellDCExpert",CLASSFEATUREHEADERS,0),MATCH(($A1228 &amp; "Points"),CLASSNAMEHEADERS,0))),(IF("00"=(INDEX(ALLCLASSDATA,MATCH("SpellDCTrained",CLASSFEATUREHEADERS,0),MATCH($A1228,CLASSNAMEHEADERS,0))),(INDEX(ALLCLASSDATA,MATCH("SpellDCTrained",CLASSFEATUREHEADERS,0),MATCH(($A1228 &amp; "Points"),CLASSNAMEHEADERS,0))),"")))))))))}</f>
        <v>SPELLDCINITIALPTS</v>
      </c>
      <c r="H1227" s="223" t="str">
        <f t="array" ref="H1227:H1228">{"SPELLDCL01";((IF("01"=(INDEX(ALLCLASSDATA,MATCH("SpellDCLegendary",CLASSFEATUREHEADERS,0),MATCH($A1228,CLASSNAMEHEADERS,0))),(INDEX(ALLCLASSDATA,MATCH("SpellDCLegendary",CLASSFEATUREHEADERS,0),MATCH(($A1228 &amp; "Points"),CLASSNAMEHEADERS,0))),(IF("01"=(INDEX(ALLCLASSDATA,MATCH("SpellDCMaster",CLASSFEATUREHEADERS,0),MATCH($A1228,CLASSNAMEHEADERS,0))),(INDEX(ALLCLASSDATA,MATCH("SpellDCMaster",CLASSFEATUREHEADERS,0),MATCH(($A1228 &amp; "Points"),CLASSNAMEHEADERS,0))),(IF("01"=(INDEX(ALLCLASSDATA,MATCH("SpellDCExpert",CLASSFEATUREHEADERS,0),MATCH($A1228,CLASSNAMEHEADERS,0))),(INDEX(ALLCLASSDATA,MATCH("SpellDCExpert",CLASSFEATUREHEADERS,0),MATCH(($A1228 &amp; "Points"),CLASSNAMEHEADERS,0))),(IF("01"=(INDEX(ALLCLASSDATA,MATCH("SpellDCTrained",CLASSFEATUREHEADERS,0),MATCH($A1228,CLASSNAMEHEADERS,0))),(INDEX(ALLCLASSDATA,MATCH("SpellDCTrained",CLASSFEATUREHEADERS,0),MATCH(($A1228 &amp; "Points"),CLASSNAMEHEADERS,0))),"")))))))))}</f>
        <v>SPELLDCL01</v>
      </c>
      <c r="I1227" s="223"/>
      <c r="J1227" s="223" t="str">
        <f t="array" ref="J1227:J1228">{"SPELLDCL03";((IF("03"=(INDEX(ALLCLASSDATA,MATCH("SpellDCLegendary",CLASSFEATUREHEADERS,0),MATCH($A1228,CLASSNAMEHEADERS,0))),(INDEX(ALLCLASSDATA,MATCH("SpellDCLegendary",CLASSFEATUREHEADERS,0),MATCH(($A1228 &amp; "Points"),CLASSNAMEHEADERS,0))),(IF("03"=(INDEX(ALLCLASSDATA,MATCH("SpellDCMaster",CLASSFEATUREHEADERS,0),MATCH($A1228,CLASSNAMEHEADERS,0))),(INDEX(ALLCLASSDATA,MATCH("SpellDCMaster",CLASSFEATUREHEADERS,0),MATCH(($A1228 &amp; "Points"),CLASSNAMEHEADERS,0))),(IF("03"=(INDEX(ALLCLASSDATA,MATCH("SpellDCExpert",CLASSFEATUREHEADERS,0),MATCH($A1228,CLASSNAMEHEADERS,0))),(INDEX(ALLCLASSDATA,MATCH("SpellDCExpert",CLASSFEATUREHEADERS,0),MATCH(($A1228 &amp; "Points"),CLASSNAMEHEADERS,0))),(IF("03"=(INDEX(ALLCLASSDATA,MATCH("SpellDCTrained",CLASSFEATUREHEADERS,0),MATCH($A1228,CLASSNAMEHEADERS,0))),(INDEX(ALLCLASSDATA,MATCH("SpellDCTrained",CLASSFEATUREHEADERS,0),MATCH(($A1228 &amp; "Points"),CLASSNAMEHEADERS,0))),"")))))))))}</f>
        <v>SPELLDCL03</v>
      </c>
      <c r="K1227" s="223"/>
      <c r="L1227" s="223" t="str">
        <f t="array" ref="L1227:L1228">{"SPELLDCL05";((IF("05"=(INDEX(ALLCLASSDATA,MATCH("SpellDCLegendary",CLASSFEATUREHEADERS,0),MATCH($A1228,CLASSNAMEHEADERS,0))),(INDEX(ALLCLASSDATA,MATCH("SpellDCLegendary",CLASSFEATUREHEADERS,0),MATCH(($A1228 &amp; "Points"),CLASSNAMEHEADERS,0))),(IF("05"=(INDEX(ALLCLASSDATA,MATCH("SpellDCMaster",CLASSFEATUREHEADERS,0),MATCH($A1228,CLASSNAMEHEADERS,0))),(INDEX(ALLCLASSDATA,MATCH("SpellDCMaster",CLASSFEATUREHEADERS,0),MATCH(($A1228 &amp; "Points"),CLASSNAMEHEADERS,0))),(IF("05"=(INDEX(ALLCLASSDATA,MATCH("SpellDCExpert",CLASSFEATUREHEADERS,0),MATCH($A1228,CLASSNAMEHEADERS,0))),(INDEX(ALLCLASSDATA,MATCH("SpellDCExpert",CLASSFEATUREHEADERS,0),MATCH(($A1228 &amp; "Points"),CLASSNAMEHEADERS,0))),(IF("05"=(INDEX(ALLCLASSDATA,MATCH("SpellDCTrained",CLASSFEATUREHEADERS,0),MATCH($A1228,CLASSNAMEHEADERS,0))),(INDEX(ALLCLASSDATA,MATCH("SpellDCTrained",CLASSFEATUREHEADERS,0),MATCH(($A1228 &amp; "Points"),CLASSNAMEHEADERS,0))),"")))))))))}</f>
        <v>SPELLDCL05</v>
      </c>
      <c r="M1227" s="223"/>
      <c r="N1227" s="223" t="str">
        <f t="array" ref="N1227:N1228">{"SPELLDCL07";((IF("07"=(INDEX(ALLCLASSDATA,MATCH("SpellDCLegendary",CLASSFEATUREHEADERS,0),MATCH($A1228,CLASSNAMEHEADERS,0))),(INDEX(ALLCLASSDATA,MATCH("SpellDCLegendary",CLASSFEATUREHEADERS,0),MATCH(($A1228 &amp; "Points"),CLASSNAMEHEADERS,0))),(IF("07"=(INDEX(ALLCLASSDATA,MATCH("SpellDCMaster",CLASSFEATUREHEADERS,0),MATCH($A1228,CLASSNAMEHEADERS,0))),(INDEX(ALLCLASSDATA,MATCH("SpellDCMaster",CLASSFEATUREHEADERS,0),MATCH(($A1228 &amp; "Points"),CLASSNAMEHEADERS,0))),(IF("07"=(INDEX(ALLCLASSDATA,MATCH("SpellDCExpert",CLASSFEATUREHEADERS,0),MATCH($A1228,CLASSNAMEHEADERS,0))),(INDEX(ALLCLASSDATA,MATCH("SpellDCExpert",CLASSFEATUREHEADERS,0),MATCH(($A1228 &amp; "Points"),CLASSNAMEHEADERS,0))),(IF("07"=(INDEX(ALLCLASSDATA,MATCH("SpellDCTrained",CLASSFEATUREHEADERS,0),MATCH($A1228,CLASSNAMEHEADERS,0))),(INDEX(ALLCLASSDATA,MATCH("SpellDCTrained",CLASSFEATUREHEADERS,0),MATCH(($A1228 &amp; "Points"),CLASSNAMEHEADERS,0))),"")))))))))}</f>
        <v>SPELLDCL07</v>
      </c>
      <c r="O1227" s="223"/>
      <c r="P1227" s="223" t="str">
        <f t="array" ref="P1227:P1228">{"SPELLDCL09";((IF("09"=(INDEX(ALLCLASSDATA,MATCH("SpellDCLegendary",CLASSFEATUREHEADERS,0),MATCH($A1228,CLASSNAMEHEADERS,0))),(INDEX(ALLCLASSDATA,MATCH("SpellDCLegendary",CLASSFEATUREHEADERS,0),MATCH(($A1228 &amp; "Points"),CLASSNAMEHEADERS,0))),(IF("09"=(INDEX(ALLCLASSDATA,MATCH("SpellDCMaster",CLASSFEATUREHEADERS,0),MATCH($A1228,CLASSNAMEHEADERS,0))),(INDEX(ALLCLASSDATA,MATCH("SpellDCMaster",CLASSFEATUREHEADERS,0),MATCH(($A1228 &amp; "Points"),CLASSNAMEHEADERS,0))),(IF("09"=(INDEX(ALLCLASSDATA,MATCH("SpellDCExpert",CLASSFEATUREHEADERS,0),MATCH($A1228,CLASSNAMEHEADERS,0))),(INDEX(ALLCLASSDATA,MATCH("SpellDCExpert",CLASSFEATUREHEADERS,0),MATCH(($A1228 &amp; "Points"),CLASSNAMEHEADERS,0))),(IF("09"=(INDEX(ALLCLASSDATA,MATCH("SpellDCTrained",CLASSFEATUREHEADERS,0),MATCH($A1228,CLASSNAMEHEADERS,0))),(INDEX(ALLCLASSDATA,MATCH("SpellDCTrained",CLASSFEATUREHEADERS,0),MATCH(($A1228 &amp; "Points"),CLASSNAMEHEADERS,0))),"")))))))))}</f>
        <v>SPELLDCL09</v>
      </c>
      <c r="Q1227" s="223"/>
      <c r="R1227" s="223" t="str">
        <f t="array" ref="R1227:R1228">{"SPELLDCL11";((IF("11"=(INDEX(ALLCLASSDATA,MATCH("SpellDCLegendary",CLASSFEATUREHEADERS,0),MATCH($A1228,CLASSNAMEHEADERS,0))),(INDEX(ALLCLASSDATA,MATCH("SpellDCLegendary",CLASSFEATUREHEADERS,0),MATCH(($A1228 &amp; "Points"),CLASSNAMEHEADERS,0))),(IF("11"=(INDEX(ALLCLASSDATA,MATCH("SpellDCMaster",CLASSFEATUREHEADERS,0),MATCH($A1228,CLASSNAMEHEADERS,0))),(INDEX(ALLCLASSDATA,MATCH("SpellDCMaster",CLASSFEATUREHEADERS,0),MATCH(($A1228 &amp; "Points"),CLASSNAMEHEADERS,0))),(IF("11"=(INDEX(ALLCLASSDATA,MATCH("SpellDCExpert",CLASSFEATUREHEADERS,0),MATCH($A1228,CLASSNAMEHEADERS,0))),(INDEX(ALLCLASSDATA,MATCH("SpellDCExpert",CLASSFEATUREHEADERS,0),MATCH(($A1228 &amp; "Points"),CLASSNAMEHEADERS,0))),(IF("11"=(INDEX(ALLCLASSDATA,MATCH("SpellDCTrained",CLASSFEATUREHEADERS,0),MATCH($A1228,CLASSNAMEHEADERS,0))),(INDEX(ALLCLASSDATA,MATCH("SpellDCTrained",CLASSFEATUREHEADERS,0),MATCH(($A1228 &amp; "Points"),CLASSNAMEHEADERS,0))),"")))))))))}</f>
        <v>SPELLDCL11</v>
      </c>
      <c r="S1227" s="223"/>
      <c r="T1227" s="223" t="str">
        <f t="array" ref="T1227:T1228">{"SPELLDCL13";((IF("13"=(INDEX(ALLCLASSDATA,MATCH("SpellDCLegendary",CLASSFEATUREHEADERS,0),MATCH($A1228,CLASSNAMEHEADERS,0))),(INDEX(ALLCLASSDATA,MATCH("SpellDCLegendary",CLASSFEATUREHEADERS,0),MATCH(($A1228 &amp; "Points"),CLASSNAMEHEADERS,0))),(IF("13"=(INDEX(ALLCLASSDATA,MATCH("SpellDCMaster",CLASSFEATUREHEADERS,0),MATCH($A1228,CLASSNAMEHEADERS,0))),(INDEX(ALLCLASSDATA,MATCH("SpellDCMaster",CLASSFEATUREHEADERS,0),MATCH(($A1228 &amp; "Points"),CLASSNAMEHEADERS,0))),(IF("13"=(INDEX(ALLCLASSDATA,MATCH("SpellDCExpert",CLASSFEATUREHEADERS,0),MATCH($A1228,CLASSNAMEHEADERS,0))),(INDEX(ALLCLASSDATA,MATCH("SpellDCExpert",CLASSFEATUREHEADERS,0),MATCH(($A1228 &amp; "Points"),CLASSNAMEHEADERS,0))),(IF("13"=(INDEX(ALLCLASSDATA,MATCH("SpellDCTrained",CLASSFEATUREHEADERS,0),MATCH($A1228,CLASSNAMEHEADERS,0))),(INDEX(ALLCLASSDATA,MATCH("SpellDCTrained",CLASSFEATUREHEADERS,0),MATCH(($A1228 &amp; "Points"),CLASSNAMEHEADERS,0))),"")))))))))}</f>
        <v>SPELLDCL13</v>
      </c>
      <c r="U1227" s="223"/>
      <c r="V1227" s="223" t="str">
        <f t="array" ref="V1227:V1228">{"SPELLDCL15";((IF("15"=(INDEX(ALLCLASSDATA,MATCH("SpellDCLegendary",CLASSFEATUREHEADERS,0),MATCH($A1228,CLASSNAMEHEADERS,0))),(INDEX(ALLCLASSDATA,MATCH("SpellDCLegendary",CLASSFEATUREHEADERS,0),MATCH(($A1228 &amp; "Points"),CLASSNAMEHEADERS,0))),(IF("15"=(INDEX(ALLCLASSDATA,MATCH("SpellDCMaster",CLASSFEATUREHEADERS,0),MATCH($A1228,CLASSNAMEHEADERS,0))),(INDEX(ALLCLASSDATA,MATCH("SpellDCMaster",CLASSFEATUREHEADERS,0),MATCH(($A1228 &amp; "Points"),CLASSNAMEHEADERS,0))),(IF("15"=(INDEX(ALLCLASSDATA,MATCH("SpellDCExpert",CLASSFEATUREHEADERS,0),MATCH($A1228,CLASSNAMEHEADERS,0))),(INDEX(ALLCLASSDATA,MATCH("SpellDCExpert",CLASSFEATUREHEADERS,0),MATCH(($A1228 &amp; "Points"),CLASSNAMEHEADERS,0))),(IF("15"=(INDEX(ALLCLASSDATA,MATCH("SpellDCTrained",CLASSFEATUREHEADERS,0),MATCH($A1228,CLASSNAMEHEADERS,0))),(INDEX(ALLCLASSDATA,MATCH("SpellDCTrained",CLASSFEATUREHEADERS,0),MATCH(($A1228 &amp; "Points"),CLASSNAMEHEADERS,0))),"")))))))))}</f>
        <v>SPELLDCL15</v>
      </c>
      <c r="W1227" s="223"/>
      <c r="X1227" s="223" t="str">
        <f t="array" ref="X1227:X1228">{"SPELLDCL17";((IF("17"=(INDEX(ALLCLASSDATA,MATCH("SpellDCLegendary",CLASSFEATUREHEADERS,0),MATCH($A1228,CLASSNAMEHEADERS,0))),(INDEX(ALLCLASSDATA,MATCH("SpellDCLegendary",CLASSFEATUREHEADERS,0),MATCH(($A1228 &amp; "Points"),CLASSNAMEHEADERS,0))),(IF("17"=(INDEX(ALLCLASSDATA,MATCH("SpellDCMaster",CLASSFEATUREHEADERS,0),MATCH($A1228,CLASSNAMEHEADERS,0))),(INDEX(ALLCLASSDATA,MATCH("SpellDCMaster",CLASSFEATUREHEADERS,0),MATCH(($A1228 &amp; "Points"),CLASSNAMEHEADERS,0))),(IF("17"=(INDEX(ALLCLASSDATA,MATCH("SpellDCExpert",CLASSFEATUREHEADERS,0),MATCH($A1228,CLASSNAMEHEADERS,0))),(INDEX(ALLCLASSDATA,MATCH("SpellDCExpert",CLASSFEATUREHEADERS,0),MATCH(($A1228 &amp; "Points"),CLASSNAMEHEADERS,0))),(IF("17"=(INDEX(ALLCLASSDATA,MATCH("SpellDCTrained",CLASSFEATUREHEADERS,0),MATCH($A1228,CLASSNAMEHEADERS,0))),(INDEX(ALLCLASSDATA,MATCH("SpellDCTrained",CLASSFEATUREHEADERS,0),MATCH(($A1228 &amp; "Points"),CLASSNAMEHEADERS,0))),"")))))))))}</f>
        <v>SPELLDCL17</v>
      </c>
      <c r="Y1227" s="223"/>
      <c r="Z1227" s="223" t="str">
        <f t="array" ref="Z1227:Z1228">{"SPELLDCL19";((IF("19"=(INDEX(ALLCLASSDATA,MATCH("SpellDCLegendary",CLASSFEATUREHEADERS,0),MATCH($A1228,CLASSNAMEHEADERS,0))),(INDEX(ALLCLASSDATA,MATCH("SpellDCLegendary",CLASSFEATUREHEADERS,0),MATCH(($A1228 &amp; "Points"),CLASSNAMEHEADERS,0))),(IF("19"=(INDEX(ALLCLASSDATA,MATCH("SpellDCMaster",CLASSFEATUREHEADERS,0),MATCH($A1228,CLASSNAMEHEADERS,0))),(INDEX(ALLCLASSDATA,MATCH("SpellDCMaster",CLASSFEATUREHEADERS,0),MATCH(($A1228 &amp; "Points"),CLASSNAMEHEADERS,0))),(IF("19"=(INDEX(ALLCLASSDATA,MATCH("SpellDCExpert",CLASSFEATUREHEADERS,0),MATCH($A1228,CLASSNAMEHEADERS,0))),(INDEX(ALLCLASSDATA,MATCH("SpellDCExpert",CLASSFEATUREHEADERS,0),MATCH(($A1228 &amp; "Points"),CLASSNAMEHEADERS,0))),(IF("19"=(INDEX(ALLCLASSDATA,MATCH("SpellDCTrained",CLASSFEATUREHEADERS,0),MATCH($A1228,CLASSNAMEHEADERS,0))),(INDEX(ALLCLASSDATA,MATCH("SpellDCTrained",CLASSFEATUREHEADERS,0),MATCH(($A1228 &amp; "Points"),CLASSNAMEHEADERS,0))),"")))))))))}</f>
        <v>SPELLDCL19</v>
      </c>
      <c r="AA1227" s="223"/>
      <c r="AB1227" s="76" t="str">
        <f t="array" ref="AB1227:AB1228">{"SPELLDC TOTAL";(IF(COUNTBLANK(G1228:AA1228)=17,"L",(IF(COUNTBLANK(G1228:AA1228)=18,"M",(IF(COUNTBLANK(G1228:AA1228)=19,"E",(IF(COUNTBLANK(G1228:AA1228)=20,"T",""))))))))}</f>
        <v>SPELLDC TOTAL</v>
      </c>
      <c r="AC1227" s="76" t="str">
        <f t="array" ref="AC1227:AC1228">{"SPELLDC TOTAL";(sum(G1228:AA1228))}</f>
        <v>SPELLDC TOTAL</v>
      </c>
    </row>
    <row r="1228">
      <c r="A1228" s="48" t="s">
        <v>199</v>
      </c>
      <c r="B1228" s="48"/>
      <c r="C1228" s="48" t="s">
        <v>417</v>
      </c>
      <c r="D1228" s="97" t="s">
        <v>1465</v>
      </c>
      <c r="E1228" s="97" t="s">
        <v>1485</v>
      </c>
      <c r="F1228" s="98" t="s">
        <v>435</v>
      </c>
      <c r="G1228" s="132" t="s">
        <v>603</v>
      </c>
      <c r="H1228" s="98">
        <v>10.0</v>
      </c>
      <c r="I1228" s="98"/>
      <c r="J1228" s="98" t="s">
        <v>603</v>
      </c>
      <c r="K1228" s="98"/>
      <c r="L1228" s="98" t="s">
        <v>603</v>
      </c>
      <c r="M1228" s="98"/>
      <c r="N1228" s="98" t="s">
        <v>603</v>
      </c>
      <c r="O1228" s="98"/>
      <c r="P1228" s="98">
        <v>50.0</v>
      </c>
      <c r="Q1228" s="98"/>
      <c r="R1228" s="98" t="s">
        <v>603</v>
      </c>
      <c r="S1228" s="98"/>
      <c r="T1228" s="98" t="s">
        <v>603</v>
      </c>
      <c r="U1228" s="98"/>
      <c r="V1228" s="98" t="s">
        <v>603</v>
      </c>
      <c r="W1228" s="98"/>
      <c r="X1228" s="98">
        <v>110.0</v>
      </c>
      <c r="Y1228" s="98"/>
      <c r="Z1228" s="98" t="s">
        <v>603</v>
      </c>
      <c r="AA1228" s="98"/>
      <c r="AB1228" s="5" t="s">
        <v>437</v>
      </c>
      <c r="AC1228" s="47">
        <v>170.0</v>
      </c>
    </row>
    <row r="1229" hidden="1">
      <c r="A1229" s="222" t="str">
        <f t="array" ref="A1229:A1230">{"FormulaRow22";(INDEX(CLASSLIST,A1186,1))}</f>
        <v>FormulaRow22</v>
      </c>
      <c r="B1229" s="77" t="s">
        <v>236</v>
      </c>
      <c r="C1229" s="222" t="str">
        <f t="array" ref="C1229:C1230">{"CLASSTYPE";((INDEX(ALLCLASSDATA,MATCH("ClassType",CLASSFEATUREHEADERS,0),MATCH($A1230,CLASSNAMEHEADERS,0))))}</f>
        <v>CLASSTYPE</v>
      </c>
      <c r="D1229" s="228" t="str">
        <f t="shared" ref="D1229:E1229" si="14">{"PERCEPTION";"Perception"}</f>
        <v>PERCEPTION</v>
      </c>
      <c r="E1229" s="228" t="str">
        <f t="shared" si="14"/>
        <v>PERCEPTION</v>
      </c>
      <c r="F1229" s="230" t="str">
        <f t="array" ref="F1229:F1230">{"PERCEPTIONINITIAL";((IF(H1230=10,"T",(IF(H1230=50,"E","")))))}</f>
        <v>PERCEPTIONINITIAL</v>
      </c>
      <c r="G1229" s="230" t="str">
        <f t="array" ref="G1229:G1230">{"PERCEPTIONINITIALPTS";((IF("00"=(INDEX(ALLCLASSDATA,MATCH("PerceptionLegendary",CLASSFEATUREHEADERS,0),MATCH($A1230,CLASSNAMEHEADERS,0))),(INDEX(ALLCLASSDATA,MATCH("PerceptionLegendary",CLASSFEATUREHEADERS,0),MATCH(($A1230 &amp; "Points"),CLASSNAMEHEADERS,0))),(IF("00"=(INDEX(ALLCLASSDATA,MATCH("PerceptionMaster",CLASSFEATUREHEADERS,0),MATCH($A1230,CLASSNAMEHEADERS,0))),(INDEX(ALLCLASSDATA,MATCH("PerceptionMaster",CLASSFEATUREHEADERS,0),MATCH(($A1230 &amp; "Points"),CLASSNAMEHEADERS,0))),(IF("00"=(INDEX(ALLCLASSDATA,MATCH("PerceptionExpert",CLASSFEATUREHEADERS,0),MATCH($A1230,CLASSNAMEHEADERS,0))),(INDEX(ALLCLASSDATA,MATCH("PerceptionExpert",CLASSFEATUREHEADERS,0),MATCH(($A1230 &amp; "Points"),CLASSNAMEHEADERS,0))),(IF("00"=(INDEX(ALLCLASSDATA,MATCH("PerceptionTrained",CLASSFEATUREHEADERS,0),MATCH($A1230,CLASSNAMEHEADERS,0))),(INDEX(ALLCLASSDATA,MATCH("PerceptionTrained",CLASSFEATUREHEADERS,0),MATCH(($A1230 &amp; "Points"),CLASSNAMEHEADERS,0))),"")))))))))}</f>
        <v>PERCEPTIONINITIALPTS</v>
      </c>
      <c r="H1229" s="230" t="str">
        <f t="array" ref="H1229:H1230">{"PERCEPTIONL01";((IF("01"=(INDEX(ALLCLASSDATA,MATCH("PerceptionLegendary",CLASSFEATUREHEADERS,0),MATCH($A1230,CLASSNAMEHEADERS,0))),(INDEX(ALLCLASSDATA,MATCH("PerceptionLegendary",CLASSFEATUREHEADERS,0),MATCH(($A1230 &amp; "Points"),CLASSNAMEHEADERS,0))),(IF("01"=(INDEX(ALLCLASSDATA,MATCH("PerceptionMaster",CLASSFEATUREHEADERS,0),MATCH($A1230,CLASSNAMEHEADERS,0))),(INDEX(ALLCLASSDATA,MATCH("PerceptionMaster",CLASSFEATUREHEADERS,0),MATCH(($A1230 &amp; "Points"),CLASSNAMEHEADERS,0))),(IF("01"=(INDEX(ALLCLASSDATA,MATCH("PerceptionExpert",CLASSFEATUREHEADERS,0),MATCH($A1230,CLASSNAMEHEADERS,0))),(INDEX(ALLCLASSDATA,MATCH("PerceptionExpert",CLASSFEATUREHEADERS,0),MATCH(($A1230 &amp; "Points"),CLASSNAMEHEADERS,0))),(IF("01"=(INDEX(ALLCLASSDATA,MATCH("PerceptionTrained",CLASSFEATUREHEADERS,0),MATCH($A1230,CLASSNAMEHEADERS,0))),(INDEX(ALLCLASSDATA,MATCH("PerceptionTrained",CLASSFEATUREHEADERS,0),MATCH(($A1230 &amp; "Points"),CLASSNAMEHEADERS,0))),"")))))))))}</f>
        <v>PERCEPTIONL01</v>
      </c>
      <c r="I1229" s="230"/>
      <c r="J1229" s="230" t="str">
        <f t="array" ref="J1229:J1230">{"PERCEPTIONL03";((IF("03"=(INDEX(ALLCLASSDATA,MATCH("PerceptionLegendary",CLASSFEATUREHEADERS,0),MATCH($A1230,CLASSNAMEHEADERS,0))),(INDEX(ALLCLASSDATA,MATCH("PerceptionLegendary",CLASSFEATUREHEADERS,0),MATCH(($A1230 &amp; "Points"),CLASSNAMEHEADERS,0))),(IF("03"=(INDEX(ALLCLASSDATA,MATCH("PerceptionMaster",CLASSFEATUREHEADERS,0),MATCH($A1230,CLASSNAMEHEADERS,0))),(INDEX(ALLCLASSDATA,MATCH("PerceptionMaster",CLASSFEATUREHEADERS,0),MATCH(($A1230 &amp; "Points"),CLASSNAMEHEADERS,0))),(IF("03"=(INDEX(ALLCLASSDATA,MATCH("PerceptionExpert",CLASSFEATUREHEADERS,0),MATCH($A1230,CLASSNAMEHEADERS,0))),(INDEX(ALLCLASSDATA,MATCH("PerceptionExpert",CLASSFEATUREHEADERS,0),MATCH(($A1230 &amp; "Points"),CLASSNAMEHEADERS,0))),(IF("03"=(INDEX(ALLCLASSDATA,MATCH("PerceptionTrained",CLASSFEATUREHEADERS,0),MATCH($A1230,CLASSNAMEHEADERS,0))),(INDEX(ALLCLASSDATA,MATCH("PerceptionTrained",CLASSFEATUREHEADERS,0),MATCH(($A1230 &amp; "Points"),CLASSNAMEHEADERS,0))),"")))))))))}</f>
        <v>PERCEPTIONL03</v>
      </c>
      <c r="K1229" s="230"/>
      <c r="L1229" s="230" t="str">
        <f t="array" ref="L1229:L1230">{"PERCEPTIONL05";((IF("05"=(INDEX(ALLCLASSDATA,MATCH("PerceptionLegendary",CLASSFEATUREHEADERS,0),MATCH($A1230,CLASSNAMEHEADERS,0))),(INDEX(ALLCLASSDATA,MATCH("PerceptionLegendary",CLASSFEATUREHEADERS,0),MATCH(($A1230 &amp; "Points"),CLASSNAMEHEADERS,0))),(IF("05"=(INDEX(ALLCLASSDATA,MATCH("PerceptionMaster",CLASSFEATUREHEADERS,0),MATCH($A1230,CLASSNAMEHEADERS,0))),(INDEX(ALLCLASSDATA,MATCH("PerceptionMaster",CLASSFEATUREHEADERS,0),MATCH(($A1230 &amp; "Points"),CLASSNAMEHEADERS,0))),(IF("05"=(INDEX(ALLCLASSDATA,MATCH("PerceptionExpert",CLASSFEATUREHEADERS,0),MATCH($A1230,CLASSNAMEHEADERS,0))),(INDEX(ALLCLASSDATA,MATCH("PerceptionExpert",CLASSFEATUREHEADERS,0),MATCH(($A1230 &amp; "Points"),CLASSNAMEHEADERS,0))),(IF("05"=(INDEX(ALLCLASSDATA,MATCH("PerceptionTrained",CLASSFEATUREHEADERS,0),MATCH($A1230,CLASSNAMEHEADERS,0))),(INDEX(ALLCLASSDATA,MATCH("PerceptionTrained",CLASSFEATUREHEADERS,0),MATCH(($A1230 &amp; "Points"),CLASSNAMEHEADERS,0))),"")))))))))}</f>
        <v>PERCEPTIONL05</v>
      </c>
      <c r="M1229" s="230"/>
      <c r="N1229" s="230" t="str">
        <f t="array" ref="N1229:N1230">{"PERCEPTIONL07";((IF("07"=(INDEX(ALLCLASSDATA,MATCH("PerceptionLegendary",CLASSFEATUREHEADERS,0),MATCH($A1230,CLASSNAMEHEADERS,0))),(INDEX(ALLCLASSDATA,MATCH("PerceptionLegendary",CLASSFEATUREHEADERS,0),MATCH(($A1230 &amp; "Points"),CLASSNAMEHEADERS,0))),(IF("07"=(INDEX(ALLCLASSDATA,MATCH("PerceptionMaster",CLASSFEATUREHEADERS,0),MATCH($A1230,CLASSNAMEHEADERS,0))),(INDEX(ALLCLASSDATA,MATCH("PerceptionMaster",CLASSFEATUREHEADERS,0),MATCH(($A1230 &amp; "Points"),CLASSNAMEHEADERS,0))),(IF("07"=(INDEX(ALLCLASSDATA,MATCH("PerceptionExpert",CLASSFEATUREHEADERS,0),MATCH($A1230,CLASSNAMEHEADERS,0))),(INDEX(ALLCLASSDATA,MATCH("PerceptionExpert",CLASSFEATUREHEADERS,0),MATCH(($A1230 &amp; "Points"),CLASSNAMEHEADERS,0))),(IF("07"=(INDEX(ALLCLASSDATA,MATCH("PerceptionTrained",CLASSFEATUREHEADERS,0),MATCH($A1230,CLASSNAMEHEADERS,0))),(INDEX(ALLCLASSDATA,MATCH("PerceptionTrained",CLASSFEATUREHEADERS,0),MATCH(($A1230 &amp; "Points"),CLASSNAMEHEADERS,0))),"")))))))))}</f>
        <v>PERCEPTIONL07</v>
      </c>
      <c r="O1229" s="230"/>
      <c r="P1229" s="230" t="str">
        <f t="array" ref="P1229:P1230">{"PERCEPTIONL09";((IF("09"=(INDEX(ALLCLASSDATA,MATCH("PerceptionLegendary",CLASSFEATUREHEADERS,0),MATCH($A1230,CLASSNAMEHEADERS,0))),(INDEX(ALLCLASSDATA,MATCH("PerceptionLegendary",CLASSFEATUREHEADERS,0),MATCH(($A1230 &amp; "Points"),CLASSNAMEHEADERS,0))),(IF("09"=(INDEX(ALLCLASSDATA,MATCH("PerceptionMaster",CLASSFEATUREHEADERS,0),MATCH($A1230,CLASSNAMEHEADERS,0))),(INDEX(ALLCLASSDATA,MATCH("PerceptionMaster",CLASSFEATUREHEADERS,0),MATCH(($A1230 &amp; "Points"),CLASSNAMEHEADERS,0))),(IF("09"=(INDEX(ALLCLASSDATA,MATCH("PerceptionExpert",CLASSFEATUREHEADERS,0),MATCH($A1230,CLASSNAMEHEADERS,0))),(INDEX(ALLCLASSDATA,MATCH("PerceptionExpert",CLASSFEATUREHEADERS,0),MATCH(($A1230 &amp; "Points"),CLASSNAMEHEADERS,0))),(IF("09"=(INDEX(ALLCLASSDATA,MATCH("PerceptionTrained",CLASSFEATUREHEADERS,0),MATCH($A1230,CLASSNAMEHEADERS,0))),(INDEX(ALLCLASSDATA,MATCH("PerceptionTrained",CLASSFEATUREHEADERS,0),MATCH(($A1230 &amp; "Points"),CLASSNAMEHEADERS,0))),"")))))))))}</f>
        <v>PERCEPTIONL09</v>
      </c>
      <c r="Q1229" s="230"/>
      <c r="R1229" s="230" t="str">
        <f t="array" ref="R1229:R1230">{"PERCEPTIONL11";((IF("11"=(INDEX(ALLCLASSDATA,MATCH("PerceptionLegendary",CLASSFEATUREHEADERS,0),MATCH($A1230,CLASSNAMEHEADERS,0))),(INDEX(ALLCLASSDATA,MATCH("PerceptionLegendary",CLASSFEATUREHEADERS,0),MATCH(($A1230 &amp; "Points"),CLASSNAMEHEADERS,0))),(IF("11"=(INDEX(ALLCLASSDATA,MATCH("PerceptionMaster",CLASSFEATUREHEADERS,0),MATCH($A1230,CLASSNAMEHEADERS,0))),(INDEX(ALLCLASSDATA,MATCH("PerceptionMaster",CLASSFEATUREHEADERS,0),MATCH(($A1230 &amp; "Points"),CLASSNAMEHEADERS,0))),(IF("11"=(INDEX(ALLCLASSDATA,MATCH("PerceptionExpert",CLASSFEATUREHEADERS,0),MATCH($A1230,CLASSNAMEHEADERS,0))),(INDEX(ALLCLASSDATA,MATCH("PerceptionExpert",CLASSFEATUREHEADERS,0),MATCH(($A1230 &amp; "Points"),CLASSNAMEHEADERS,0))),(IF("11"=(INDEX(ALLCLASSDATA,MATCH("PerceptionTrained",CLASSFEATUREHEADERS,0),MATCH($A1230,CLASSNAMEHEADERS,0))),(INDEX(ALLCLASSDATA,MATCH("PerceptionTrained",CLASSFEATUREHEADERS,0),MATCH(($A1230 &amp; "Points"),CLASSNAMEHEADERS,0))),"")))))))))}</f>
        <v>PERCEPTIONL11</v>
      </c>
      <c r="S1229" s="230"/>
      <c r="T1229" s="230" t="str">
        <f t="array" ref="T1229:T1230">{"PERCEPTIONL13";((IF("13"=(INDEX(ALLCLASSDATA,MATCH("PerceptionLegendary",CLASSFEATUREHEADERS,0),MATCH($A1230,CLASSNAMEHEADERS,0))),(INDEX(ALLCLASSDATA,MATCH("PerceptionLegendary",CLASSFEATUREHEADERS,0),MATCH(($A1230 &amp; "Points"),CLASSNAMEHEADERS,0))),(IF("13"=(INDEX(ALLCLASSDATA,MATCH("PerceptionMaster",CLASSFEATUREHEADERS,0),MATCH($A1230,CLASSNAMEHEADERS,0))),(INDEX(ALLCLASSDATA,MATCH("PerceptionMaster",CLASSFEATUREHEADERS,0),MATCH(($A1230 &amp; "Points"),CLASSNAMEHEADERS,0))),(IF("13"=(INDEX(ALLCLASSDATA,MATCH("PerceptionExpert",CLASSFEATUREHEADERS,0),MATCH($A1230,CLASSNAMEHEADERS,0))),(INDEX(ALLCLASSDATA,MATCH("PerceptionExpert",CLASSFEATUREHEADERS,0),MATCH(($A1230 &amp; "Points"),CLASSNAMEHEADERS,0))),(IF("13"=(INDEX(ALLCLASSDATA,MATCH("PerceptionTrained",CLASSFEATUREHEADERS,0),MATCH($A1230,CLASSNAMEHEADERS,0))),(INDEX(ALLCLASSDATA,MATCH("PerceptionTrained",CLASSFEATUREHEADERS,0),MATCH(($A1230 &amp; "Points"),CLASSNAMEHEADERS,0))),"")))))))))}</f>
        <v>PERCEPTIONL13</v>
      </c>
      <c r="U1229" s="230"/>
      <c r="V1229" s="230" t="str">
        <f t="array" ref="V1229:V1230">{"PERCEPTIONL15";((IF("15"=(INDEX(ALLCLASSDATA,MATCH("PerceptionLegendary",CLASSFEATUREHEADERS,0),MATCH($A1230,CLASSNAMEHEADERS,0))),(INDEX(ALLCLASSDATA,MATCH("PerceptionLegendary",CLASSFEATUREHEADERS,0),MATCH(($A1230 &amp; "Points"),CLASSNAMEHEADERS,0))),(IF("15"=(INDEX(ALLCLASSDATA,MATCH("PerceptionMaster",CLASSFEATUREHEADERS,0),MATCH($A1230,CLASSNAMEHEADERS,0))),(INDEX(ALLCLASSDATA,MATCH("PerceptionMaster",CLASSFEATUREHEADERS,0),MATCH(($A1230 &amp; "Points"),CLASSNAMEHEADERS,0))),(IF("15"=(INDEX(ALLCLASSDATA,MATCH("PerceptionExpert",CLASSFEATUREHEADERS,0),MATCH($A1230,CLASSNAMEHEADERS,0))),(INDEX(ALLCLASSDATA,MATCH("PerceptionExpert",CLASSFEATUREHEADERS,0),MATCH(($A1230 &amp; "Points"),CLASSNAMEHEADERS,0))),(IF("15"=(INDEX(ALLCLASSDATA,MATCH("PerceptionTrained",CLASSFEATUREHEADERS,0),MATCH($A1230,CLASSNAMEHEADERS,0))),(INDEX(ALLCLASSDATA,MATCH("PerceptionTrained",CLASSFEATUREHEADERS,0),MATCH(($A1230 &amp; "Points"),CLASSNAMEHEADERS,0))),"")))))))))}</f>
        <v>PERCEPTIONL15</v>
      </c>
      <c r="W1229" s="230"/>
      <c r="X1229" s="230" t="str">
        <f t="array" ref="X1229:X1230">{"PERCEPTIONL17";((IF("17"=(INDEX(ALLCLASSDATA,MATCH("PerceptionLegendary",CLASSFEATUREHEADERS,0),MATCH($A1230,CLASSNAMEHEADERS,0))),(INDEX(ALLCLASSDATA,MATCH("PerceptionLegendary",CLASSFEATUREHEADERS,0),MATCH(($A1230 &amp; "Points"),CLASSNAMEHEADERS,0))),(IF("17"=(INDEX(ALLCLASSDATA,MATCH("PerceptionMaster",CLASSFEATUREHEADERS,0),MATCH($A1230,CLASSNAMEHEADERS,0))),(INDEX(ALLCLASSDATA,MATCH("PerceptionMaster",CLASSFEATUREHEADERS,0),MATCH(($A1230 &amp; "Points"),CLASSNAMEHEADERS,0))),(IF("17"=(INDEX(ALLCLASSDATA,MATCH("PerceptionExpert",CLASSFEATUREHEADERS,0),MATCH($A1230,CLASSNAMEHEADERS,0))),(INDEX(ALLCLASSDATA,MATCH("PerceptionExpert",CLASSFEATUREHEADERS,0),MATCH(($A1230 &amp; "Points"),CLASSNAMEHEADERS,0))),(IF("17"=(INDEX(ALLCLASSDATA,MATCH("PerceptionTrained",CLASSFEATUREHEADERS,0),MATCH($A1230,CLASSNAMEHEADERS,0))),(INDEX(ALLCLASSDATA,MATCH("PerceptionTrained",CLASSFEATUREHEADERS,0),MATCH(($A1230 &amp; "Points"),CLASSNAMEHEADERS,0))),"")))))))))}</f>
        <v>PERCEPTIONL17</v>
      </c>
      <c r="Y1229" s="230"/>
      <c r="Z1229" s="230" t="str">
        <f t="array" ref="Z1229:Z1230">{"PERCEPTIONL19";((IF("19"=(INDEX(ALLCLASSDATA,MATCH("PerceptionLegendary",CLASSFEATUREHEADERS,0),MATCH($A1230,CLASSNAMEHEADERS,0))),(INDEX(ALLCLASSDATA,MATCH("PerceptionLegendary",CLASSFEATUREHEADERS,0),MATCH(($A1230 &amp; "Points"),CLASSNAMEHEADERS,0))),(IF("19"=(INDEX(ALLCLASSDATA,MATCH("PerceptionMaster",CLASSFEATUREHEADERS,0),MATCH($A1230,CLASSNAMEHEADERS,0))),(INDEX(ALLCLASSDATA,MATCH("PerceptionMaster",CLASSFEATUREHEADERS,0),MATCH(($A1230 &amp; "Points"),CLASSNAMEHEADERS,0))),(IF("19"=(INDEX(ALLCLASSDATA,MATCH("PerceptionExpert",CLASSFEATUREHEADERS,0),MATCH($A1230,CLASSNAMEHEADERS,0))),(INDEX(ALLCLASSDATA,MATCH("PerceptionExpert",CLASSFEATUREHEADERS,0),MATCH(($A1230 &amp; "Points"),CLASSNAMEHEADERS,0))),(IF("19"=(INDEX(ALLCLASSDATA,MATCH("PerceptionTrained",CLASSFEATUREHEADERS,0),MATCH($A1230,CLASSNAMEHEADERS,0))),(INDEX(ALLCLASSDATA,MATCH("PerceptionTrained",CLASSFEATUREHEADERS,0),MATCH(($A1230 &amp; "Points"),CLASSNAMEHEADERS,0))),"")))))))))}</f>
        <v>PERCEPTIONL19</v>
      </c>
      <c r="AA1229" s="230"/>
      <c r="AB1229" s="76" t="str">
        <f t="array" ref="AB1229:AB1230">{"PERCEPTION TOTAL";(IF(COUNTBLANK(G1230:AA1230)=17,"L",(IF(COUNTBLANK(G1230:AA1230)=18,"M",(IF(COUNTBLANK(G1230:AA1230)=19,"E",(IF(COUNTBLANK(G1230:AA1230)=20,"T",""))))))))}</f>
        <v>PERCEPTION TOTAL</v>
      </c>
      <c r="AC1229" s="76" t="str">
        <f t="array" ref="AC1229:AC1230">{"PERCEPTION TOTAL";(sum(G1230:AA1230))}</f>
        <v>PERCEPTION TOTAL</v>
      </c>
    </row>
    <row r="1230">
      <c r="A1230" s="48" t="s">
        <v>199</v>
      </c>
      <c r="B1230" s="48"/>
      <c r="C1230" s="48" t="s">
        <v>417</v>
      </c>
      <c r="D1230" s="97" t="s">
        <v>637</v>
      </c>
      <c r="E1230" s="97" t="s">
        <v>637</v>
      </c>
      <c r="F1230" s="98" t="s">
        <v>435</v>
      </c>
      <c r="G1230" s="132" t="s">
        <v>603</v>
      </c>
      <c r="H1230" s="98">
        <v>10.0</v>
      </c>
      <c r="I1230" s="98"/>
      <c r="J1230" s="98" t="s">
        <v>603</v>
      </c>
      <c r="K1230" s="98"/>
      <c r="L1230" s="98" t="s">
        <v>603</v>
      </c>
      <c r="M1230" s="98"/>
      <c r="N1230" s="98" t="s">
        <v>603</v>
      </c>
      <c r="O1230" s="98"/>
      <c r="P1230" s="98">
        <v>50.0</v>
      </c>
      <c r="Q1230" s="98"/>
      <c r="R1230" s="98" t="s">
        <v>603</v>
      </c>
      <c r="S1230" s="98"/>
      <c r="T1230" s="98" t="s">
        <v>603</v>
      </c>
      <c r="U1230" s="98"/>
      <c r="V1230" s="98" t="s">
        <v>603</v>
      </c>
      <c r="W1230" s="98"/>
      <c r="X1230" s="98" t="s">
        <v>603</v>
      </c>
      <c r="Y1230" s="98"/>
      <c r="Z1230" s="98" t="s">
        <v>603</v>
      </c>
      <c r="AA1230" s="98"/>
      <c r="AB1230" s="5" t="s">
        <v>436</v>
      </c>
      <c r="AC1230" s="47">
        <v>60.0</v>
      </c>
    </row>
    <row r="1231" hidden="1">
      <c r="A1231" s="222" t="str">
        <f t="array" ref="A1231:A1232">{"FormulaRow23";(INDEX(CLASSLIST,A1186,1))}</f>
        <v>FormulaRow23</v>
      </c>
      <c r="B1231" s="77" t="s">
        <v>236</v>
      </c>
      <c r="C1231" s="222" t="str">
        <f t="array" ref="C1231:C1232">{"CLASSTYPE";((INDEX(ALLCLASSDATA,MATCH("ClassType",CLASSFEATUREHEADERS,0),MATCH($A1232,CLASSNAMEHEADERS,0))))}</f>
        <v>CLASSTYPE</v>
      </c>
      <c r="D1231" s="228" t="str">
        <f t="array" ref="D1231:D1232">{"SAVES";"Saves"}</f>
        <v>SAVES</v>
      </c>
      <c r="E1231" s="228" t="str">
        <f t="array" ref="E1231:E1232">{"FORTITUDESAVE";"FortitudeSave"}</f>
        <v>FORTITUDESAVE</v>
      </c>
      <c r="F1231" s="230" t="str">
        <f t="array" ref="F1231:F1232">{"FORTITUDEINITIAL";((IF(H1232=10,"T",(IF(H1232=50,"E","")))))}</f>
        <v>FORTITUDEINITIAL</v>
      </c>
      <c r="G1231" s="230" t="str">
        <f t="array" ref="G1231:G1232">{"FORTITUDEINITIALPTS";((IF("00"=(INDEX(ALLCLASSDATA,MATCH("FortitudeSaveLegendary",CLASSFEATUREHEADERS,0),MATCH($A1232,CLASSNAMEHEADERS,0))),(INDEX(ALLCLASSDATA,MATCH("FortitudeSaveLegendary",CLASSFEATUREHEADERS,0),MATCH(($A1232 &amp; "Points"),CLASSNAMEHEADERS,0))),(IF("00"=(INDEX(ALLCLASSDATA,MATCH("FortitudeSaveMaster",CLASSFEATUREHEADERS,0),MATCH($A1232,CLASSNAMEHEADERS,0))),(INDEX(ALLCLASSDATA,MATCH("FortitudeSaveMaster",CLASSFEATUREHEADERS,0),MATCH(($A1232 &amp; "Points"),CLASSNAMEHEADERS,0))),(IF("00"=(INDEX(ALLCLASSDATA,MATCH("FortitudeSaveExpert",CLASSFEATUREHEADERS,0),MATCH($A1232,CLASSNAMEHEADERS,0))),(INDEX(ALLCLASSDATA,MATCH("FortitudeSaveExpert",CLASSFEATUREHEADERS,0),MATCH(($A1232 &amp; "Points"),CLASSNAMEHEADERS,0))),(IF("00"=(INDEX(ALLCLASSDATA,MATCH("FortitudeSaveTrained",CLASSFEATUREHEADERS,0),MATCH($A1232,CLASSNAMEHEADERS,0))),(INDEX(ALLCLASSDATA,MATCH("FortitudeSaveTrained",CLASSFEATUREHEADERS,0),MATCH(($A1232 &amp; "Points"),CLASSNAMEHEADERS,0))),"")))))))))}</f>
        <v>FORTITUDEINITIALPTS</v>
      </c>
      <c r="H1231" s="230" t="str">
        <f t="array" ref="H1231:H1232">{"FORTITUDEL01";((IF("01"=(INDEX(ALLCLASSDATA,MATCH("FortitudeSaveLegendary",CLASSFEATUREHEADERS,0),MATCH($A1232,CLASSNAMEHEADERS,0))),(INDEX(ALLCLASSDATA,MATCH("FortitudeSaveLegendary",CLASSFEATUREHEADERS,0),MATCH(($A1232 &amp; "Points"),CLASSNAMEHEADERS,0))),(IF("01"=(INDEX(ALLCLASSDATA,MATCH("FortitudeSaveMaster",CLASSFEATUREHEADERS,0),MATCH($A1232,CLASSNAMEHEADERS,0))),(INDEX(ALLCLASSDATA,MATCH("FortitudeSaveMaster",CLASSFEATUREHEADERS,0),MATCH(($A1232 &amp; "Points"),CLASSNAMEHEADERS,0))),(IF("01"=(INDEX(ALLCLASSDATA,MATCH("FortitudeSaveExpert",CLASSFEATUREHEADERS,0),MATCH($A1232,CLASSNAMEHEADERS,0))),(INDEX(ALLCLASSDATA,MATCH("FortitudeSaveExpert",CLASSFEATUREHEADERS,0),MATCH(($A1232 &amp; "Points"),CLASSNAMEHEADERS,0))),(IF("01"=(INDEX(ALLCLASSDATA,MATCH("FortitudeSaveTrained",CLASSFEATUREHEADERS,0),MATCH($A1232,CLASSNAMEHEADERS,0))),(INDEX(ALLCLASSDATA,MATCH("FortitudeSaveTrained",CLASSFEATUREHEADERS,0),MATCH(($A1232 &amp; "Points"),CLASSNAMEHEADERS,0))),"")))))))))}</f>
        <v>FORTITUDEL01</v>
      </c>
      <c r="I1231" s="230"/>
      <c r="J1231" s="230" t="str">
        <f t="array" ref="J1231:J1232">{"FORTITUDEL03";((IF("03"=(INDEX(ALLCLASSDATA,MATCH("FortitudeSaveLegendary",CLASSFEATUREHEADERS,0),MATCH($A1232,CLASSNAMEHEADERS,0))),(INDEX(ALLCLASSDATA,MATCH("FortitudeSaveLegendary",CLASSFEATUREHEADERS,0),MATCH(($A1232 &amp; "Points"),CLASSNAMEHEADERS,0))),(IF("03"=(INDEX(ALLCLASSDATA,MATCH("FortitudeSaveMaster",CLASSFEATUREHEADERS,0),MATCH($A1232,CLASSNAMEHEADERS,0))),(INDEX(ALLCLASSDATA,MATCH("FortitudeSaveMaster",CLASSFEATUREHEADERS,0),MATCH(($A1232 &amp; "Points"),CLASSNAMEHEADERS,0))),(IF("03"=(INDEX(ALLCLASSDATA,MATCH("FortitudeSaveExpert",CLASSFEATUREHEADERS,0),MATCH($A1232,CLASSNAMEHEADERS,0))),(INDEX(ALLCLASSDATA,MATCH("FortitudeSaveExpert",CLASSFEATUREHEADERS,0),MATCH(($A1232 &amp; "Points"),CLASSNAMEHEADERS,0))),(IF("03"=(INDEX(ALLCLASSDATA,MATCH("FortitudeSaveTrained",CLASSFEATUREHEADERS,0),MATCH($A1232,CLASSNAMEHEADERS,0))),(INDEX(ALLCLASSDATA,MATCH("FortitudeSaveTrained",CLASSFEATUREHEADERS,0),MATCH(($A1232 &amp; "Points"),CLASSNAMEHEADERS,0))),"")))))))))}</f>
        <v>FORTITUDEL03</v>
      </c>
      <c r="K1231" s="230"/>
      <c r="L1231" s="230" t="str">
        <f t="array" ref="L1231:L1232">{"FORTITUDEL05";((IF("05"=(INDEX(ALLCLASSDATA,MATCH("FortitudeSaveLegendary",CLASSFEATUREHEADERS,0),MATCH($A1232,CLASSNAMEHEADERS,0))),(INDEX(ALLCLASSDATA,MATCH("FortitudeSaveLegendary",CLASSFEATUREHEADERS,0),MATCH(($A1232 &amp; "Points"),CLASSNAMEHEADERS,0))),(IF("05"=(INDEX(ALLCLASSDATA,MATCH("FortitudeSaveMaster",CLASSFEATUREHEADERS,0),MATCH($A1232,CLASSNAMEHEADERS,0))),(INDEX(ALLCLASSDATA,MATCH("FortitudeSaveMaster",CLASSFEATUREHEADERS,0),MATCH(($A1232 &amp; "Points"),CLASSNAMEHEADERS,0))),(IF("05"=(INDEX(ALLCLASSDATA,MATCH("FortitudeSaveExpert",CLASSFEATUREHEADERS,0),MATCH($A1232,CLASSNAMEHEADERS,0))),(INDEX(ALLCLASSDATA,MATCH("FortitudeSaveExpert",CLASSFEATUREHEADERS,0),MATCH(($A1232 &amp; "Points"),CLASSNAMEHEADERS,0))),(IF("05"=(INDEX(ALLCLASSDATA,MATCH("FortitudeSaveTrained",CLASSFEATUREHEADERS,0),MATCH($A1232,CLASSNAMEHEADERS,0))),(INDEX(ALLCLASSDATA,MATCH("FortitudeSaveTrained",CLASSFEATUREHEADERS,0),MATCH(($A1232 &amp; "Points"),CLASSNAMEHEADERS,0))),"")))))))))}</f>
        <v>FORTITUDEL05</v>
      </c>
      <c r="M1231" s="230"/>
      <c r="N1231" s="230" t="str">
        <f t="array" ref="N1231:N1232">{"FORTITUDEL07";((IF("07"=(INDEX(ALLCLASSDATA,MATCH("FortitudeSaveLegendary",CLASSFEATUREHEADERS,0),MATCH($A1232,CLASSNAMEHEADERS,0))),(INDEX(ALLCLASSDATA,MATCH("FortitudeSaveLegendary",CLASSFEATUREHEADERS,0),MATCH(($A1232 &amp; "Points"),CLASSNAMEHEADERS,0))),(IF("07"=(INDEX(ALLCLASSDATA,MATCH("FortitudeSaveMaster",CLASSFEATUREHEADERS,0),MATCH($A1232,CLASSNAMEHEADERS,0))),(INDEX(ALLCLASSDATA,MATCH("FortitudeSaveMaster",CLASSFEATUREHEADERS,0),MATCH(($A1232 &amp; "Points"),CLASSNAMEHEADERS,0))),(IF("07"=(INDEX(ALLCLASSDATA,MATCH("FortitudeSaveExpert",CLASSFEATUREHEADERS,0),MATCH($A1232,CLASSNAMEHEADERS,0))),(INDEX(ALLCLASSDATA,MATCH("FortitudeSaveExpert",CLASSFEATUREHEADERS,0),MATCH(($A1232 &amp; "Points"),CLASSNAMEHEADERS,0))),(IF("07"=(INDEX(ALLCLASSDATA,MATCH("FortitudeSaveTrained",CLASSFEATUREHEADERS,0),MATCH($A1232,CLASSNAMEHEADERS,0))),(INDEX(ALLCLASSDATA,MATCH("FortitudeSaveTrained",CLASSFEATUREHEADERS,0),MATCH(($A1232 &amp; "Points"),CLASSNAMEHEADERS,0))),"")))))))))}</f>
        <v>FORTITUDEL07</v>
      </c>
      <c r="O1231" s="230"/>
      <c r="P1231" s="230" t="str">
        <f t="array" ref="P1231:P1232">{"FORTITUDEL09";((IF("09"=(INDEX(ALLCLASSDATA,MATCH("FortitudeSaveLegendary",CLASSFEATUREHEADERS,0),MATCH($A1232,CLASSNAMEHEADERS,0))),(INDEX(ALLCLASSDATA,MATCH("FortitudeSaveLegendary",CLASSFEATUREHEADERS,0),MATCH(($A1232 &amp; "Points"),CLASSNAMEHEADERS,0))),(IF("09"=(INDEX(ALLCLASSDATA,MATCH("FortitudeSaveMaster",CLASSFEATUREHEADERS,0),MATCH($A1232,CLASSNAMEHEADERS,0))),(INDEX(ALLCLASSDATA,MATCH("FortitudeSaveMaster",CLASSFEATUREHEADERS,0),MATCH(($A1232 &amp; "Points"),CLASSNAMEHEADERS,0))),(IF("09"=(INDEX(ALLCLASSDATA,MATCH("FortitudeSaveExpert",CLASSFEATUREHEADERS,0),MATCH($A1232,CLASSNAMEHEADERS,0))),(INDEX(ALLCLASSDATA,MATCH("FortitudeSaveExpert",CLASSFEATUREHEADERS,0),MATCH(($A1232 &amp; "Points"),CLASSNAMEHEADERS,0))),(IF("09"=(INDEX(ALLCLASSDATA,MATCH("FortitudeSaveTrained",CLASSFEATUREHEADERS,0),MATCH($A1232,CLASSNAMEHEADERS,0))),(INDEX(ALLCLASSDATA,MATCH("FortitudeSaveTrained",CLASSFEATUREHEADERS,0),MATCH(($A1232 &amp; "Points"),CLASSNAMEHEADERS,0))),"")))))))))}</f>
        <v>FORTITUDEL09</v>
      </c>
      <c r="Q1231" s="230"/>
      <c r="R1231" s="230" t="str">
        <f t="array" ref="R1231:R1232">{"FORTITUDEL11";((IF("11"=(INDEX(ALLCLASSDATA,MATCH("FortitudeSaveLegendary",CLASSFEATUREHEADERS,0),MATCH($A1232,CLASSNAMEHEADERS,0))),(INDEX(ALLCLASSDATA,MATCH("FortitudeSaveLegendary",CLASSFEATUREHEADERS,0),MATCH(($A1232 &amp; "Points"),CLASSNAMEHEADERS,0))),(IF("11"=(INDEX(ALLCLASSDATA,MATCH("FortitudeSaveMaster",CLASSFEATUREHEADERS,0),MATCH($A1232,CLASSNAMEHEADERS,0))),(INDEX(ALLCLASSDATA,MATCH("FortitudeSaveMaster",CLASSFEATUREHEADERS,0),MATCH(($A1232 &amp; "Points"),CLASSNAMEHEADERS,0))),(IF("11"=(INDEX(ALLCLASSDATA,MATCH("FortitudeSaveExpert",CLASSFEATUREHEADERS,0),MATCH($A1232,CLASSNAMEHEADERS,0))),(INDEX(ALLCLASSDATA,MATCH("FortitudeSaveExpert",CLASSFEATUREHEADERS,0),MATCH(($A1232 &amp; "Points"),CLASSNAMEHEADERS,0))),(IF("11"=(INDEX(ALLCLASSDATA,MATCH("FortitudeSaveTrained",CLASSFEATUREHEADERS,0),MATCH($A1232,CLASSNAMEHEADERS,0))),(INDEX(ALLCLASSDATA,MATCH("FortitudeSaveTrained",CLASSFEATUREHEADERS,0),MATCH(($A1232 &amp; "Points"),CLASSNAMEHEADERS,0))),"")))))))))}</f>
        <v>FORTITUDEL11</v>
      </c>
      <c r="S1231" s="230"/>
      <c r="T1231" s="230" t="str">
        <f t="array" ref="T1231:T1232">{"FORTITUDEL13";((IF("13"=(INDEX(ALLCLASSDATA,MATCH("FortitudeSaveLegendary",CLASSFEATUREHEADERS,0),MATCH($A1232,CLASSNAMEHEADERS,0))),(INDEX(ALLCLASSDATA,MATCH("FortitudeSaveLegendary",CLASSFEATUREHEADERS,0),MATCH(($A1232 &amp; "Points"),CLASSNAMEHEADERS,0))),(IF("13"=(INDEX(ALLCLASSDATA,MATCH("FortitudeSaveMaster",CLASSFEATUREHEADERS,0),MATCH($A1232,CLASSNAMEHEADERS,0))),(INDEX(ALLCLASSDATA,MATCH("FortitudeSaveMaster",CLASSFEATUREHEADERS,0),MATCH(($A1232 &amp; "Points"),CLASSNAMEHEADERS,0))),(IF("13"=(INDEX(ALLCLASSDATA,MATCH("FortitudeSaveExpert",CLASSFEATUREHEADERS,0),MATCH($A1232,CLASSNAMEHEADERS,0))),(INDEX(ALLCLASSDATA,MATCH("FortitudeSaveExpert",CLASSFEATUREHEADERS,0),MATCH(($A1232 &amp; "Points"),CLASSNAMEHEADERS,0))),(IF("13"=(INDEX(ALLCLASSDATA,MATCH("FortitudeSaveTrained",CLASSFEATUREHEADERS,0),MATCH($A1232,CLASSNAMEHEADERS,0))),(INDEX(ALLCLASSDATA,MATCH("FortitudeSaveTrained",CLASSFEATUREHEADERS,0),MATCH(($A1232 &amp; "Points"),CLASSNAMEHEADERS,0))),"")))))))))}</f>
        <v>FORTITUDEL13</v>
      </c>
      <c r="U1231" s="230"/>
      <c r="V1231" s="230" t="str">
        <f t="array" ref="V1231:V1232">{"FORTITUDEL15";((IF("15"=(INDEX(ALLCLASSDATA,MATCH("FortitudeSaveLegendary",CLASSFEATUREHEADERS,0),MATCH($A1232,CLASSNAMEHEADERS,0))),(INDEX(ALLCLASSDATA,MATCH("FortitudeSaveLegendary",CLASSFEATUREHEADERS,0),MATCH(($A1232 &amp; "Points"),CLASSNAMEHEADERS,0))),(IF("15"=(INDEX(ALLCLASSDATA,MATCH("FortitudeSaveMaster",CLASSFEATUREHEADERS,0),MATCH($A1232,CLASSNAMEHEADERS,0))),(INDEX(ALLCLASSDATA,MATCH("FortitudeSaveMaster",CLASSFEATUREHEADERS,0),MATCH(($A1232 &amp; "Points"),CLASSNAMEHEADERS,0))),(IF("15"=(INDEX(ALLCLASSDATA,MATCH("FortitudeSaveExpert",CLASSFEATUREHEADERS,0),MATCH($A1232,CLASSNAMEHEADERS,0))),(INDEX(ALLCLASSDATA,MATCH("FortitudeSaveExpert",CLASSFEATUREHEADERS,0),MATCH(($A1232 &amp; "Points"),CLASSNAMEHEADERS,0))),(IF("15"=(INDEX(ALLCLASSDATA,MATCH("FortitudeSaveTrained",CLASSFEATUREHEADERS,0),MATCH($A1232,CLASSNAMEHEADERS,0))),(INDEX(ALLCLASSDATA,MATCH("FortitudeSaveTrained",CLASSFEATUREHEADERS,0),MATCH(($A1232 &amp; "Points"),CLASSNAMEHEADERS,0))),"")))))))))}</f>
        <v>FORTITUDEL15</v>
      </c>
      <c r="W1231" s="230"/>
      <c r="X1231" s="230" t="str">
        <f t="array" ref="X1231:X1232">{"FORTITUDEL17";((IF("17"=(INDEX(ALLCLASSDATA,MATCH("FortitudeSaveLegendary",CLASSFEATUREHEADERS,0),MATCH($A1232,CLASSNAMEHEADERS,0))),(INDEX(ALLCLASSDATA,MATCH("FortitudeSaveLegendary",CLASSFEATUREHEADERS,0),MATCH(($A1232 &amp; "Points"),CLASSNAMEHEADERS,0))),(IF("17"=(INDEX(ALLCLASSDATA,MATCH("FortitudeSaveMaster",CLASSFEATUREHEADERS,0),MATCH($A1232,CLASSNAMEHEADERS,0))),(INDEX(ALLCLASSDATA,MATCH("FortitudeSaveMaster",CLASSFEATUREHEADERS,0),MATCH(($A1232 &amp; "Points"),CLASSNAMEHEADERS,0))),(IF("17"=(INDEX(ALLCLASSDATA,MATCH("FortitudeSaveExpert",CLASSFEATUREHEADERS,0),MATCH($A1232,CLASSNAMEHEADERS,0))),(INDEX(ALLCLASSDATA,MATCH("FortitudeSaveExpert",CLASSFEATUREHEADERS,0),MATCH(($A1232 &amp; "Points"),CLASSNAMEHEADERS,0))),(IF("17"=(INDEX(ALLCLASSDATA,MATCH("FortitudeSaveTrained",CLASSFEATUREHEADERS,0),MATCH($A1232,CLASSNAMEHEADERS,0))),(INDEX(ALLCLASSDATA,MATCH("FortitudeSaveTrained",CLASSFEATUREHEADERS,0),MATCH(($A1232 &amp; "Points"),CLASSNAMEHEADERS,0))),"")))))))))}</f>
        <v>FORTITUDEL17</v>
      </c>
      <c r="Y1231" s="230"/>
      <c r="Z1231" s="230" t="str">
        <f t="array" ref="Z1231:Z1232">{"FORTITUDEL19";((IF("19"=(INDEX(ALLCLASSDATA,MATCH("FortitudeSaveLegendary",CLASSFEATUREHEADERS,0),MATCH($A1232,CLASSNAMEHEADERS,0))),(INDEX(ALLCLASSDATA,MATCH("FortitudeSaveLegendary",CLASSFEATUREHEADERS,0),MATCH(($A1232 &amp; "Points"),CLASSNAMEHEADERS,0))),(IF("19"=(INDEX(ALLCLASSDATA,MATCH("FortitudeSaveMaster",CLASSFEATUREHEADERS,0),MATCH($A1232,CLASSNAMEHEADERS,0))),(INDEX(ALLCLASSDATA,MATCH("FortitudeSaveMaster",CLASSFEATUREHEADERS,0),MATCH(($A1232 &amp; "Points"),CLASSNAMEHEADERS,0))),(IF("19"=(INDEX(ALLCLASSDATA,MATCH("FortitudeSaveExpert",CLASSFEATUREHEADERS,0),MATCH($A1232,CLASSNAMEHEADERS,0))),(INDEX(ALLCLASSDATA,MATCH("FortitudeSaveExpert",CLASSFEATUREHEADERS,0),MATCH(($A1232 &amp; "Points"),CLASSNAMEHEADERS,0))),(IF("19"=(INDEX(ALLCLASSDATA,MATCH("FortitudeSaveTrained",CLASSFEATUREHEADERS,0),MATCH($A1232,CLASSNAMEHEADERS,0))),(INDEX(ALLCLASSDATA,MATCH("FortitudeSaveTrained",CLASSFEATUREHEADERS,0),MATCH(($A1232 &amp; "Points"),CLASSNAMEHEADERS,0))),"")))))))))}</f>
        <v>FORTITUDEL19</v>
      </c>
      <c r="AA1231" s="230"/>
      <c r="AB1231" s="76" t="str">
        <f t="array" ref="AB1231:AB1232">{"FORTITUDE TOTAL";(IF(COUNTBLANK(G1232:AA1232)=17,"L",(IF(COUNTBLANK(G1232:AA1232)=18,"M",(IF(COUNTBLANK(G1232:AA1232)=19,"E",(IF(COUNTBLANK(G1232:AA1232)=20,"T",""))))))))}</f>
        <v>FORTITUDE TOTAL</v>
      </c>
      <c r="AC1231" s="76" t="str">
        <f t="array" ref="AC1231:AC1232">{"FORTITUDE TOTAL";(sum(G1232:AA1232))}</f>
        <v>FORTITUDE TOTAL</v>
      </c>
    </row>
    <row r="1232">
      <c r="A1232" s="48" t="s">
        <v>199</v>
      </c>
      <c r="B1232" s="48"/>
      <c r="C1232" s="48" t="s">
        <v>417</v>
      </c>
      <c r="D1232" s="48" t="s">
        <v>1549</v>
      </c>
      <c r="E1232" s="48" t="s">
        <v>1550</v>
      </c>
      <c r="F1232" s="5" t="s">
        <v>436</v>
      </c>
      <c r="G1232" s="47">
        <v>10.0</v>
      </c>
      <c r="H1232" s="5">
        <v>50.0</v>
      </c>
      <c r="I1232" s="5"/>
      <c r="J1232" s="5" t="s">
        <v>603</v>
      </c>
      <c r="K1232" s="5"/>
      <c r="L1232" s="5" t="s">
        <v>603</v>
      </c>
      <c r="M1232" s="5"/>
      <c r="N1232" s="5" t="s">
        <v>603</v>
      </c>
      <c r="O1232" s="5"/>
      <c r="P1232" s="5" t="s">
        <v>603</v>
      </c>
      <c r="Q1232" s="5"/>
      <c r="R1232" s="5" t="s">
        <v>603</v>
      </c>
      <c r="S1232" s="5"/>
      <c r="T1232" s="5" t="s">
        <v>603</v>
      </c>
      <c r="U1232" s="5"/>
      <c r="V1232" s="5">
        <v>110.0</v>
      </c>
      <c r="W1232" s="5"/>
      <c r="X1232" s="5" t="s">
        <v>603</v>
      </c>
      <c r="Y1232" s="5"/>
      <c r="Z1232" s="5" t="s">
        <v>603</v>
      </c>
      <c r="AA1232" s="5"/>
      <c r="AB1232" s="5" t="s">
        <v>437</v>
      </c>
      <c r="AC1232" s="47">
        <v>170.0</v>
      </c>
    </row>
    <row r="1233" hidden="1">
      <c r="A1233" s="222" t="str">
        <f t="array" ref="A1233:A1234">{"FormulaRow24";(INDEX(CLASSLIST,A1186,1))}</f>
        <v>FormulaRow24</v>
      </c>
      <c r="B1233" s="77" t="s">
        <v>236</v>
      </c>
      <c r="C1233" s="222" t="str">
        <f t="array" ref="C1233:C1234">{"CLASSTYPE";((INDEX(ALLCLASSDATA,MATCH("ClassType",CLASSFEATUREHEADERS,0),MATCH($A1234,CLASSNAMEHEADERS,0))))}</f>
        <v>CLASSTYPE</v>
      </c>
      <c r="D1233" s="222" t="str">
        <f t="array" ref="D1233:D1234">{"SAVES";"Saves"}</f>
        <v>SAVES</v>
      </c>
      <c r="E1233" s="222" t="str">
        <f t="array" ref="E1233:E1234">{"REFLEXSAVE";"ReflexSave"}</f>
        <v>REFLEXSAVE</v>
      </c>
      <c r="F1233" s="223" t="str">
        <f t="array" ref="F1233:F1234">{"REFLEXINITIAL";((IF(H1234=10,"T",(IF(H1234=50,"E","")))))}</f>
        <v>REFLEXINITIAL</v>
      </c>
      <c r="G1233" s="223" t="str">
        <f t="array" ref="G1233:G1234">{"REFLEXINITIALPTS";((IF("00"=(INDEX(ALLCLASSDATA,MATCH("ReflexSaveLegendary",CLASSFEATUREHEADERS,0),MATCH($A1234,CLASSNAMEHEADERS,0))),(INDEX(ALLCLASSDATA,MATCH("ReflexSaveLegendary",CLASSFEATUREHEADERS,0),MATCH(($A1234 &amp; "Points"),CLASSNAMEHEADERS,0))),(IF("00"=(INDEX(ALLCLASSDATA,MATCH("ReflexSaveMaster",CLASSFEATUREHEADERS,0),MATCH($A1234,CLASSNAMEHEADERS,0))),(INDEX(ALLCLASSDATA,MATCH("ReflexSaveMaster",CLASSFEATUREHEADERS,0),MATCH(($A1234 &amp; "Points"),CLASSNAMEHEADERS,0))),(IF("00"=(INDEX(ALLCLASSDATA,MATCH("ReflexSaveExpert",CLASSFEATUREHEADERS,0),MATCH($A1234,CLASSNAMEHEADERS,0))),(INDEX(ALLCLASSDATA,MATCH("ReflexSaveExpert",CLASSFEATUREHEADERS,0),MATCH(($A1234 &amp; "Points"),CLASSNAMEHEADERS,0))),(IF("00"=(INDEX(ALLCLASSDATA,MATCH("ReflexSaveTrained",CLASSFEATUREHEADERS,0),MATCH($A1234,CLASSNAMEHEADERS,0))),(INDEX(ALLCLASSDATA,MATCH("ReflexSaveTrained",CLASSFEATUREHEADERS,0),MATCH(($A1234 &amp; "Points"),CLASSNAMEHEADERS,0))),"")))))))))}</f>
        <v>REFLEXINITIALPTS</v>
      </c>
      <c r="H1233" s="223" t="str">
        <f t="array" ref="H1233:H1234">{"REFLEXL01";((IF("01"=(INDEX(ALLCLASSDATA,MATCH("ReflexSaveLegendary",CLASSFEATUREHEADERS,0),MATCH($A1234,CLASSNAMEHEADERS,0))),(INDEX(ALLCLASSDATA,MATCH("ReflexSaveLegendary",CLASSFEATUREHEADERS,0),MATCH(($A1234 &amp; "Points"),CLASSNAMEHEADERS,0))),(IF("01"=(INDEX(ALLCLASSDATA,MATCH("ReflexSaveMaster",CLASSFEATUREHEADERS,0),MATCH($A1234,CLASSNAMEHEADERS,0))),(INDEX(ALLCLASSDATA,MATCH("ReflexSaveMaster",CLASSFEATUREHEADERS,0),MATCH(($A1234 &amp; "Points"),CLASSNAMEHEADERS,0))),(IF("01"=(INDEX(ALLCLASSDATA,MATCH("ReflexSaveExpert",CLASSFEATUREHEADERS,0),MATCH($A1234,CLASSNAMEHEADERS,0))),(INDEX(ALLCLASSDATA,MATCH("ReflexSaveExpert",CLASSFEATUREHEADERS,0),MATCH(($A1234 &amp; "Points"),CLASSNAMEHEADERS,0))),(IF("01"=(INDEX(ALLCLASSDATA,MATCH("ReflexSaveTrained",CLASSFEATUREHEADERS,0),MATCH($A1234,CLASSNAMEHEADERS,0))),(INDEX(ALLCLASSDATA,MATCH("ReflexSaveTrained",CLASSFEATUREHEADERS,0),MATCH(($A1234 &amp; "Points"),CLASSNAMEHEADERS,0))),"")))))))))}</f>
        <v>REFLEXL01</v>
      </c>
      <c r="I1233" s="223"/>
      <c r="J1233" s="223" t="str">
        <f t="array" ref="J1233:J1234">{"REFLEXL03";((IF("03"=(INDEX(ALLCLASSDATA,MATCH("ReflexSaveLegendary",CLASSFEATUREHEADERS,0),MATCH($A1234,CLASSNAMEHEADERS,0))),(INDEX(ALLCLASSDATA,MATCH("ReflexSaveLegendary",CLASSFEATUREHEADERS,0),MATCH(($A1234 &amp; "Points"),CLASSNAMEHEADERS,0))),(IF("03"=(INDEX(ALLCLASSDATA,MATCH("ReflexSaveMaster",CLASSFEATUREHEADERS,0),MATCH($A1234,CLASSNAMEHEADERS,0))),(INDEX(ALLCLASSDATA,MATCH("ReflexSaveMaster",CLASSFEATUREHEADERS,0),MATCH(($A1234 &amp; "Points"),CLASSNAMEHEADERS,0))),(IF("03"=(INDEX(ALLCLASSDATA,MATCH("ReflexSaveExpert",CLASSFEATUREHEADERS,0),MATCH($A1234,CLASSNAMEHEADERS,0))),(INDEX(ALLCLASSDATA,MATCH("ReflexSaveExpert",CLASSFEATUREHEADERS,0),MATCH(($A1234 &amp; "Points"),CLASSNAMEHEADERS,0))),(IF("03"=(INDEX(ALLCLASSDATA,MATCH("ReflexSaveTrained",CLASSFEATUREHEADERS,0),MATCH($A1234,CLASSNAMEHEADERS,0))),(INDEX(ALLCLASSDATA,MATCH("ReflexSaveTrained",CLASSFEATUREHEADERS,0),MATCH(($A1234 &amp; "Points"),CLASSNAMEHEADERS,0))),"")))))))))}</f>
        <v>REFLEXL03</v>
      </c>
      <c r="K1233" s="223"/>
      <c r="L1233" s="223" t="str">
        <f t="array" ref="L1233:L1234">{"REFLEXL05";((IF("05"=(INDEX(ALLCLASSDATA,MATCH("ReflexSaveLegendary",CLASSFEATUREHEADERS,0),MATCH($A1234,CLASSNAMEHEADERS,0))),(INDEX(ALLCLASSDATA,MATCH("ReflexSaveLegendary",CLASSFEATUREHEADERS,0),MATCH(($A1234 &amp; "Points"),CLASSNAMEHEADERS,0))),(IF("05"=(INDEX(ALLCLASSDATA,MATCH("ReflexSaveMaster",CLASSFEATUREHEADERS,0),MATCH($A1234,CLASSNAMEHEADERS,0))),(INDEX(ALLCLASSDATA,MATCH("ReflexSaveMaster",CLASSFEATUREHEADERS,0),MATCH(($A1234 &amp; "Points"),CLASSNAMEHEADERS,0))),(IF("05"=(INDEX(ALLCLASSDATA,MATCH("ReflexSaveExpert",CLASSFEATUREHEADERS,0),MATCH($A1234,CLASSNAMEHEADERS,0))),(INDEX(ALLCLASSDATA,MATCH("ReflexSaveExpert",CLASSFEATUREHEADERS,0),MATCH(($A1234 &amp; "Points"),CLASSNAMEHEADERS,0))),(IF("05"=(INDEX(ALLCLASSDATA,MATCH("ReflexSaveTrained",CLASSFEATUREHEADERS,0),MATCH($A1234,CLASSNAMEHEADERS,0))),(INDEX(ALLCLASSDATA,MATCH("ReflexSaveTrained",CLASSFEATUREHEADERS,0),MATCH(($A1234 &amp; "Points"),CLASSNAMEHEADERS,0))),"")))))))))}</f>
        <v>REFLEXL05</v>
      </c>
      <c r="M1233" s="223"/>
      <c r="N1233" s="223" t="str">
        <f t="array" ref="N1233:N1234">{"REFLEXL07";((IF("07"=(INDEX(ALLCLASSDATA,MATCH("ReflexSaveLegendary",CLASSFEATUREHEADERS,0),MATCH($A1234,CLASSNAMEHEADERS,0))),(INDEX(ALLCLASSDATA,MATCH("ReflexSaveLegendary",CLASSFEATUREHEADERS,0),MATCH(($A1234 &amp; "Points"),CLASSNAMEHEADERS,0))),(IF("07"=(INDEX(ALLCLASSDATA,MATCH("ReflexSaveMaster",CLASSFEATUREHEADERS,0),MATCH($A1234,CLASSNAMEHEADERS,0))),(INDEX(ALLCLASSDATA,MATCH("ReflexSaveMaster",CLASSFEATUREHEADERS,0),MATCH(($A1234 &amp; "Points"),CLASSNAMEHEADERS,0))),(IF("07"=(INDEX(ALLCLASSDATA,MATCH("ReflexSaveExpert",CLASSFEATUREHEADERS,0),MATCH($A1234,CLASSNAMEHEADERS,0))),(INDEX(ALLCLASSDATA,MATCH("ReflexSaveExpert",CLASSFEATUREHEADERS,0),MATCH(($A1234 &amp; "Points"),CLASSNAMEHEADERS,0))),(IF("07"=(INDEX(ALLCLASSDATA,MATCH("ReflexSaveTrained",CLASSFEATUREHEADERS,0),MATCH($A1234,CLASSNAMEHEADERS,0))),(INDEX(ALLCLASSDATA,MATCH("ReflexSaveTrained",CLASSFEATUREHEADERS,0),MATCH(($A1234 &amp; "Points"),CLASSNAMEHEADERS,0))),"")))))))))}</f>
        <v>REFLEXL07</v>
      </c>
      <c r="O1233" s="223"/>
      <c r="P1233" s="223" t="str">
        <f t="array" ref="P1233:P1234">{"REFLEXL09";((IF("09"=(INDEX(ALLCLASSDATA,MATCH("ReflexSaveLegendary",CLASSFEATUREHEADERS,0),MATCH($A1234,CLASSNAMEHEADERS,0))),(INDEX(ALLCLASSDATA,MATCH("ReflexSaveLegendary",CLASSFEATUREHEADERS,0),MATCH(($A1234 &amp; "Points"),CLASSNAMEHEADERS,0))),(IF("09"=(INDEX(ALLCLASSDATA,MATCH("ReflexSaveMaster",CLASSFEATUREHEADERS,0),MATCH($A1234,CLASSNAMEHEADERS,0))),(INDEX(ALLCLASSDATA,MATCH("ReflexSaveMaster",CLASSFEATUREHEADERS,0),MATCH(($A1234 &amp; "Points"),CLASSNAMEHEADERS,0))),(IF("09"=(INDEX(ALLCLASSDATA,MATCH("ReflexSaveExpert",CLASSFEATUREHEADERS,0),MATCH($A1234,CLASSNAMEHEADERS,0))),(INDEX(ALLCLASSDATA,MATCH("ReflexSaveExpert",CLASSFEATUREHEADERS,0),MATCH(($A1234 &amp; "Points"),CLASSNAMEHEADERS,0))),(IF("09"=(INDEX(ALLCLASSDATA,MATCH("ReflexSaveTrained",CLASSFEATUREHEADERS,0),MATCH($A1234,CLASSNAMEHEADERS,0))),(INDEX(ALLCLASSDATA,MATCH("ReflexSaveTrained",CLASSFEATUREHEADERS,0),MATCH(($A1234 &amp; "Points"),CLASSNAMEHEADERS,0))),"")))))))))}</f>
        <v>REFLEXL09</v>
      </c>
      <c r="Q1233" s="223"/>
      <c r="R1233" s="223" t="str">
        <f t="array" ref="R1233:R1234">{"REFLEXL11";((IF("11"=(INDEX(ALLCLASSDATA,MATCH("ReflexSaveLegendary",CLASSFEATUREHEADERS,0),MATCH($A1234,CLASSNAMEHEADERS,0))),(INDEX(ALLCLASSDATA,MATCH("ReflexSaveLegendary",CLASSFEATUREHEADERS,0),MATCH(($A1234 &amp; "Points"),CLASSNAMEHEADERS,0))),(IF("11"=(INDEX(ALLCLASSDATA,MATCH("ReflexSaveMaster",CLASSFEATUREHEADERS,0),MATCH($A1234,CLASSNAMEHEADERS,0))),(INDEX(ALLCLASSDATA,MATCH("ReflexSaveMaster",CLASSFEATUREHEADERS,0),MATCH(($A1234 &amp; "Points"),CLASSNAMEHEADERS,0))),(IF("11"=(INDEX(ALLCLASSDATA,MATCH("ReflexSaveExpert",CLASSFEATUREHEADERS,0),MATCH($A1234,CLASSNAMEHEADERS,0))),(INDEX(ALLCLASSDATA,MATCH("ReflexSaveExpert",CLASSFEATUREHEADERS,0),MATCH(($A1234 &amp; "Points"),CLASSNAMEHEADERS,0))),(IF("11"=(INDEX(ALLCLASSDATA,MATCH("ReflexSaveTrained",CLASSFEATUREHEADERS,0),MATCH($A1234,CLASSNAMEHEADERS,0))),(INDEX(ALLCLASSDATA,MATCH("ReflexSaveTrained",CLASSFEATUREHEADERS,0),MATCH(($A1234 &amp; "Points"),CLASSNAMEHEADERS,0))),"")))))))))}</f>
        <v>REFLEXL11</v>
      </c>
      <c r="S1233" s="223"/>
      <c r="T1233" s="223" t="str">
        <f t="array" ref="T1233:T1234">{"REFLEXL13";((IF("13"=(INDEX(ALLCLASSDATA,MATCH("ReflexSaveLegendary",CLASSFEATUREHEADERS,0),MATCH($A1234,CLASSNAMEHEADERS,0))),(INDEX(ALLCLASSDATA,MATCH("ReflexSaveLegendary",CLASSFEATUREHEADERS,0),MATCH(($A1234 &amp; "Points"),CLASSNAMEHEADERS,0))),(IF("13"=(INDEX(ALLCLASSDATA,MATCH("ReflexSaveMaster",CLASSFEATUREHEADERS,0),MATCH($A1234,CLASSNAMEHEADERS,0))),(INDEX(ALLCLASSDATA,MATCH("ReflexSaveMaster",CLASSFEATUREHEADERS,0),MATCH(($A1234 &amp; "Points"),CLASSNAMEHEADERS,0))),(IF("13"=(INDEX(ALLCLASSDATA,MATCH("ReflexSaveExpert",CLASSFEATUREHEADERS,0),MATCH($A1234,CLASSNAMEHEADERS,0))),(INDEX(ALLCLASSDATA,MATCH("ReflexSaveExpert",CLASSFEATUREHEADERS,0),MATCH(($A1234 &amp; "Points"),CLASSNAMEHEADERS,0))),(IF("13"=(INDEX(ALLCLASSDATA,MATCH("ReflexSaveTrained",CLASSFEATUREHEADERS,0),MATCH($A1234,CLASSNAMEHEADERS,0))),(INDEX(ALLCLASSDATA,MATCH("ReflexSaveTrained",CLASSFEATUREHEADERS,0),MATCH(($A1234 &amp; "Points"),CLASSNAMEHEADERS,0))),"")))))))))}</f>
        <v>REFLEXL13</v>
      </c>
      <c r="U1233" s="223"/>
      <c r="V1233" s="223" t="str">
        <f t="array" ref="V1233:V1234">{"REFLEXL15";((IF("15"=(INDEX(ALLCLASSDATA,MATCH("ReflexSaveLegendary",CLASSFEATUREHEADERS,0),MATCH($A1234,CLASSNAMEHEADERS,0))),(INDEX(ALLCLASSDATA,MATCH("ReflexSaveLegendary",CLASSFEATUREHEADERS,0),MATCH(($A1234 &amp; "Points"),CLASSNAMEHEADERS,0))),(IF("15"=(INDEX(ALLCLASSDATA,MATCH("ReflexSaveMaster",CLASSFEATUREHEADERS,0),MATCH($A1234,CLASSNAMEHEADERS,0))),(INDEX(ALLCLASSDATA,MATCH("ReflexSaveMaster",CLASSFEATUREHEADERS,0),MATCH(($A1234 &amp; "Points"),CLASSNAMEHEADERS,0))),(IF("15"=(INDEX(ALLCLASSDATA,MATCH("ReflexSaveExpert",CLASSFEATUREHEADERS,0),MATCH($A1234,CLASSNAMEHEADERS,0))),(INDEX(ALLCLASSDATA,MATCH("ReflexSaveExpert",CLASSFEATUREHEADERS,0),MATCH(($A1234 &amp; "Points"),CLASSNAMEHEADERS,0))),(IF("15"=(INDEX(ALLCLASSDATA,MATCH("ReflexSaveTrained",CLASSFEATUREHEADERS,0),MATCH($A1234,CLASSNAMEHEADERS,0))),(INDEX(ALLCLASSDATA,MATCH("ReflexSaveTrained",CLASSFEATUREHEADERS,0),MATCH(($A1234 &amp; "Points"),CLASSNAMEHEADERS,0))),"")))))))))}</f>
        <v>REFLEXL15</v>
      </c>
      <c r="W1233" s="223"/>
      <c r="X1233" s="223" t="str">
        <f t="array" ref="X1233:X1234">{"REFLEXL17";((IF("17"=(INDEX(ALLCLASSDATA,MATCH("ReflexSaveLegendary",CLASSFEATUREHEADERS,0),MATCH($A1234,CLASSNAMEHEADERS,0))),(INDEX(ALLCLASSDATA,MATCH("ReflexSaveLegendary",CLASSFEATUREHEADERS,0),MATCH(($A1234 &amp; "Points"),CLASSNAMEHEADERS,0))),(IF("17"=(INDEX(ALLCLASSDATA,MATCH("ReflexSaveMaster",CLASSFEATUREHEADERS,0),MATCH($A1234,CLASSNAMEHEADERS,0))),(INDEX(ALLCLASSDATA,MATCH("ReflexSaveMaster",CLASSFEATUREHEADERS,0),MATCH(($A1234 &amp; "Points"),CLASSNAMEHEADERS,0))),(IF("17"=(INDEX(ALLCLASSDATA,MATCH("ReflexSaveExpert",CLASSFEATUREHEADERS,0),MATCH($A1234,CLASSNAMEHEADERS,0))),(INDEX(ALLCLASSDATA,MATCH("ReflexSaveExpert",CLASSFEATUREHEADERS,0),MATCH(($A1234 &amp; "Points"),CLASSNAMEHEADERS,0))),(IF("17"=(INDEX(ALLCLASSDATA,MATCH("ReflexSaveTrained",CLASSFEATUREHEADERS,0),MATCH($A1234,CLASSNAMEHEADERS,0))),(INDEX(ALLCLASSDATA,MATCH("ReflexSaveTrained",CLASSFEATUREHEADERS,0),MATCH(($A1234 &amp; "Points"),CLASSNAMEHEADERS,0))),"")))))))))}</f>
        <v>REFLEXL17</v>
      </c>
      <c r="Y1233" s="223"/>
      <c r="Z1233" s="223" t="str">
        <f t="array" ref="Z1233:Z1234">{"REFLEXL19";((IF("19"=(INDEX(ALLCLASSDATA,MATCH("ReflexSaveLegendary",CLASSFEATUREHEADERS,0),MATCH($A1234,CLASSNAMEHEADERS,0))),(INDEX(ALLCLASSDATA,MATCH("ReflexSaveLegendary",CLASSFEATUREHEADERS,0),MATCH(($A1234 &amp; "Points"),CLASSNAMEHEADERS,0))),(IF("19"=(INDEX(ALLCLASSDATA,MATCH("ReflexSaveMaster",CLASSFEATUREHEADERS,0),MATCH($A1234,CLASSNAMEHEADERS,0))),(INDEX(ALLCLASSDATA,MATCH("ReflexSaveMaster",CLASSFEATUREHEADERS,0),MATCH(($A1234 &amp; "Points"),CLASSNAMEHEADERS,0))),(IF("19"=(INDEX(ALLCLASSDATA,MATCH("ReflexSaveExpert",CLASSFEATUREHEADERS,0),MATCH($A1234,CLASSNAMEHEADERS,0))),(INDEX(ALLCLASSDATA,MATCH("ReflexSaveExpert",CLASSFEATUREHEADERS,0),MATCH(($A1234 &amp; "Points"),CLASSNAMEHEADERS,0))),(IF("19"=(INDEX(ALLCLASSDATA,MATCH("ReflexSaveTrained",CLASSFEATUREHEADERS,0),MATCH($A1234,CLASSNAMEHEADERS,0))),(INDEX(ALLCLASSDATA,MATCH("ReflexSaveTrained",CLASSFEATUREHEADERS,0),MATCH(($A1234 &amp; "Points"),CLASSNAMEHEADERS,0))),"")))))))))}</f>
        <v>REFLEXL19</v>
      </c>
      <c r="AA1233" s="223"/>
      <c r="AB1233" s="76" t="str">
        <f t="array" ref="AB1233:AB1234">{"REFLEX TOTAL";(IF(COUNTBLANK(G1234:AA1234)=17,"L",(IF(COUNTBLANK(G1234:AA1234)=18,"M",(IF(COUNTBLANK(G1234:AA1234)=19,"E",(IF(COUNTBLANK(G1234:AA1234)=20,"T",""))))))))}</f>
        <v>REFLEX TOTAL</v>
      </c>
      <c r="AC1233" s="76" t="str">
        <f t="array" ref="AC1233:AC1234">{"REFLEX TOTAL";(sum(G1234:AA1234))}</f>
        <v>REFLEX TOTAL</v>
      </c>
    </row>
    <row r="1234">
      <c r="A1234" s="48" t="s">
        <v>199</v>
      </c>
      <c r="B1234" s="48"/>
      <c r="C1234" s="48" t="s">
        <v>417</v>
      </c>
      <c r="D1234" s="48" t="s">
        <v>1549</v>
      </c>
      <c r="E1234" s="48" t="s">
        <v>1572</v>
      </c>
      <c r="F1234" s="5" t="s">
        <v>435</v>
      </c>
      <c r="G1234" s="47" t="s">
        <v>603</v>
      </c>
      <c r="H1234" s="5">
        <v>10.0</v>
      </c>
      <c r="I1234" s="5"/>
      <c r="J1234" s="5" t="s">
        <v>603</v>
      </c>
      <c r="K1234" s="5"/>
      <c r="L1234" s="5">
        <v>50.0</v>
      </c>
      <c r="M1234" s="5"/>
      <c r="N1234" s="5" t="s">
        <v>603</v>
      </c>
      <c r="O1234" s="5"/>
      <c r="P1234" s="5" t="s">
        <v>603</v>
      </c>
      <c r="Q1234" s="5"/>
      <c r="R1234" s="5" t="s">
        <v>603</v>
      </c>
      <c r="S1234" s="5"/>
      <c r="T1234" s="5" t="s">
        <v>603</v>
      </c>
      <c r="U1234" s="5"/>
      <c r="V1234" s="5" t="s">
        <v>603</v>
      </c>
      <c r="W1234" s="5"/>
      <c r="X1234" s="5" t="s">
        <v>603</v>
      </c>
      <c r="Y1234" s="5"/>
      <c r="Z1234" s="5" t="s">
        <v>603</v>
      </c>
      <c r="AA1234" s="5"/>
      <c r="AB1234" s="5" t="s">
        <v>436</v>
      </c>
      <c r="AC1234" s="47">
        <v>60.0</v>
      </c>
    </row>
    <row r="1235" hidden="1">
      <c r="A1235" s="222" t="str">
        <f t="array" ref="A1235:A1236">{"FormulaRow25";(INDEX(CLASSLIST,A1186,1))}</f>
        <v>FormulaRow25</v>
      </c>
      <c r="B1235" s="77" t="s">
        <v>236</v>
      </c>
      <c r="C1235" s="222" t="str">
        <f t="array" ref="C1235:C1236">{"CLASSTYPE";((INDEX(ALLCLASSDATA,MATCH("ClassType",CLASSFEATUREHEADERS,0),MATCH($A1236,CLASSNAMEHEADERS,0))))}</f>
        <v>CLASSTYPE</v>
      </c>
      <c r="D1235" s="222" t="str">
        <f t="array" ref="D1235:D1236">{"SAVES";"Saves"}</f>
        <v>SAVES</v>
      </c>
      <c r="E1235" s="222" t="str">
        <f t="array" ref="E1235:E1236">{"WILLSAVE";"WillSave"}</f>
        <v>WILLSAVE</v>
      </c>
      <c r="F1235" s="223" t="str">
        <f t="array" ref="F1235:F1236">{"WILLINITIAL";((IF(H1236=10,"T",(IF(H1236=50,"E","")))))}</f>
        <v>WILLINITIAL</v>
      </c>
      <c r="G1235" s="223" t="str">
        <f t="array" ref="G1235:G1236">{"WILLINITIALPTS";((IF("00"=(INDEX(ALLCLASSDATA,MATCH("WillSaveLegendary",CLASSFEATUREHEADERS,0),MATCH($A1236,CLASSNAMEHEADERS,0))),(INDEX(ALLCLASSDATA,MATCH("WillSaveLegendary",CLASSFEATUREHEADERS,0),MATCH(($A1236 &amp; "Points"),CLASSNAMEHEADERS,0))),(IF("00"=(INDEX(ALLCLASSDATA,MATCH("WillSaveMaster",CLASSFEATUREHEADERS,0),MATCH($A1236,CLASSNAMEHEADERS,0))),(INDEX(ALLCLASSDATA,MATCH("WillSaveMaster",CLASSFEATUREHEADERS,0),MATCH(($A1236 &amp; "Points"),CLASSNAMEHEADERS,0))),(IF("00"=(INDEX(ALLCLASSDATA,MATCH("WillSaveExpert",CLASSFEATUREHEADERS,0),MATCH($A1236,CLASSNAMEHEADERS,0))),(INDEX(ALLCLASSDATA,MATCH("WillSaveExpert",CLASSFEATUREHEADERS,0),MATCH(($A1236 &amp; "Points"),CLASSNAMEHEADERS,0))),(IF("00"=(INDEX(ALLCLASSDATA,MATCH("WillSaveTrained",CLASSFEATUREHEADERS,0),MATCH($A1236,CLASSNAMEHEADERS,0))),(INDEX(ALLCLASSDATA,MATCH("WillSaveTrained",CLASSFEATUREHEADERS,0),MATCH(($A1236 &amp; "Points"),CLASSNAMEHEADERS,0))),"")))))))))}</f>
        <v>WILLINITIALPTS</v>
      </c>
      <c r="H1235" s="223" t="str">
        <f t="array" ref="H1235:H1236">{"WILLL01";((IF("01"=(INDEX(ALLCLASSDATA,MATCH("WillSaveLegendary",CLASSFEATUREHEADERS,0),MATCH($A1236,CLASSNAMEHEADERS,0))),(INDEX(ALLCLASSDATA,MATCH("WillSaveLegendary",CLASSFEATUREHEADERS,0),MATCH(($A1236 &amp; "Points"),CLASSNAMEHEADERS,0))),(IF("01"=(INDEX(ALLCLASSDATA,MATCH("WillSaveMaster",CLASSFEATUREHEADERS,0),MATCH($A1236,CLASSNAMEHEADERS,0))),(INDEX(ALLCLASSDATA,MATCH("WillSaveMaster",CLASSFEATUREHEADERS,0),MATCH(($A1236 &amp; "Points"),CLASSNAMEHEADERS,0))),(IF("01"=(INDEX(ALLCLASSDATA,MATCH("WillSaveExpert",CLASSFEATUREHEADERS,0),MATCH($A1236,CLASSNAMEHEADERS,0))),(INDEX(ALLCLASSDATA,MATCH("WillSaveExpert",CLASSFEATUREHEADERS,0),MATCH(($A1236 &amp; "Points"),CLASSNAMEHEADERS,0))),(IF("01"=(INDEX(ALLCLASSDATA,MATCH("WillSaveTrained",CLASSFEATUREHEADERS,0),MATCH($A1236,CLASSNAMEHEADERS,0))),(INDEX(ALLCLASSDATA,MATCH("WillSaveTrained",CLASSFEATUREHEADERS,0),MATCH(($A1236 &amp; "Points"),CLASSNAMEHEADERS,0))),"")))))))))}</f>
        <v>WILLL01</v>
      </c>
      <c r="I1235" s="223"/>
      <c r="J1235" s="223" t="str">
        <f t="array" ref="J1235:J1236">{"WILLL03";((IF("03"=(INDEX(ALLCLASSDATA,MATCH("WillSaveLegendary",CLASSFEATUREHEADERS,0),MATCH($A1236,CLASSNAMEHEADERS,0))),(INDEX(ALLCLASSDATA,MATCH("WillSaveLegendary",CLASSFEATUREHEADERS,0),MATCH(($A1236 &amp; "Points"),CLASSNAMEHEADERS,0))),(IF("03"=(INDEX(ALLCLASSDATA,MATCH("WillSaveMaster",CLASSFEATUREHEADERS,0),MATCH($A1236,CLASSNAMEHEADERS,0))),(INDEX(ALLCLASSDATA,MATCH("WillSaveMaster",CLASSFEATUREHEADERS,0),MATCH(($A1236 &amp; "Points"),CLASSNAMEHEADERS,0))),(IF("03"=(INDEX(ALLCLASSDATA,MATCH("WillSaveExpert",CLASSFEATUREHEADERS,0),MATCH($A1236,CLASSNAMEHEADERS,0))),(INDEX(ALLCLASSDATA,MATCH("WillSaveExpert",CLASSFEATUREHEADERS,0),MATCH(($A1236 &amp; "Points"),CLASSNAMEHEADERS,0))),(IF("03"=(INDEX(ALLCLASSDATA,MATCH("WillSaveTrained",CLASSFEATUREHEADERS,0),MATCH($A1236,CLASSNAMEHEADERS,0))),(INDEX(ALLCLASSDATA,MATCH("WillSaveTrained",CLASSFEATUREHEADERS,0),MATCH(($A1236 &amp; "Points"),CLASSNAMEHEADERS,0))),"")))))))))}</f>
        <v>WILLL03</v>
      </c>
      <c r="K1235" s="223"/>
      <c r="L1235" s="223" t="str">
        <f t="array" ref="L1235:L1236">{"WILLL05";((IF("05"=(INDEX(ALLCLASSDATA,MATCH("WillSaveLegendary",CLASSFEATUREHEADERS,0),MATCH($A1236,CLASSNAMEHEADERS,0))),(INDEX(ALLCLASSDATA,MATCH("WillSaveLegendary",CLASSFEATUREHEADERS,0),MATCH(($A1236 &amp; "Points"),CLASSNAMEHEADERS,0))),(IF("05"=(INDEX(ALLCLASSDATA,MATCH("WillSaveMaster",CLASSFEATUREHEADERS,0),MATCH($A1236,CLASSNAMEHEADERS,0))),(INDEX(ALLCLASSDATA,MATCH("WillSaveMaster",CLASSFEATUREHEADERS,0),MATCH(($A1236 &amp; "Points"),CLASSNAMEHEADERS,0))),(IF("05"=(INDEX(ALLCLASSDATA,MATCH("WillSaveExpert",CLASSFEATUREHEADERS,0),MATCH($A1236,CLASSNAMEHEADERS,0))),(INDEX(ALLCLASSDATA,MATCH("WillSaveExpert",CLASSFEATUREHEADERS,0),MATCH(($A1236 &amp; "Points"),CLASSNAMEHEADERS,0))),(IF("05"=(INDEX(ALLCLASSDATA,MATCH("WillSaveTrained",CLASSFEATUREHEADERS,0),MATCH($A1236,CLASSNAMEHEADERS,0))),(INDEX(ALLCLASSDATA,MATCH("WillSaveTrained",CLASSFEATUREHEADERS,0),MATCH(($A1236 &amp; "Points"),CLASSNAMEHEADERS,0))),"")))))))))}</f>
        <v>WILLL05</v>
      </c>
      <c r="M1235" s="223"/>
      <c r="N1235" s="223" t="str">
        <f t="array" ref="N1235:N1236">{"WILLL07";((IF("07"=(INDEX(ALLCLASSDATA,MATCH("WillSaveLegendary",CLASSFEATUREHEADERS,0),MATCH($A1236,CLASSNAMEHEADERS,0))),(INDEX(ALLCLASSDATA,MATCH("WillSaveLegendary",CLASSFEATUREHEADERS,0),MATCH(($A1236 &amp; "Points"),CLASSNAMEHEADERS,0))),(IF("07"=(INDEX(ALLCLASSDATA,MATCH("WillSaveMaster",CLASSFEATUREHEADERS,0),MATCH($A1236,CLASSNAMEHEADERS,0))),(INDEX(ALLCLASSDATA,MATCH("WillSaveMaster",CLASSFEATUREHEADERS,0),MATCH(($A1236 &amp; "Points"),CLASSNAMEHEADERS,0))),(IF("07"=(INDEX(ALLCLASSDATA,MATCH("WillSaveExpert",CLASSFEATUREHEADERS,0),MATCH($A1236,CLASSNAMEHEADERS,0))),(INDEX(ALLCLASSDATA,MATCH("WillSaveExpert",CLASSFEATUREHEADERS,0),MATCH(($A1236 &amp; "Points"),CLASSNAMEHEADERS,0))),(IF("07"=(INDEX(ALLCLASSDATA,MATCH("WillSaveTrained",CLASSFEATUREHEADERS,0),MATCH($A1236,CLASSNAMEHEADERS,0))),(INDEX(ALLCLASSDATA,MATCH("WillSaveTrained",CLASSFEATUREHEADERS,0),MATCH(($A1236 &amp; "Points"),CLASSNAMEHEADERS,0))),"")))))))))}</f>
        <v>WILLL07</v>
      </c>
      <c r="O1235" s="223"/>
      <c r="P1235" s="223" t="str">
        <f t="array" ref="P1235:P1236">{"WILLL09";((IF("09"=(INDEX(ALLCLASSDATA,MATCH("WillSaveLegendary",CLASSFEATUREHEADERS,0),MATCH($A1236,CLASSNAMEHEADERS,0))),(INDEX(ALLCLASSDATA,MATCH("WillSaveLegendary",CLASSFEATUREHEADERS,0),MATCH(($A1236 &amp; "Points"),CLASSNAMEHEADERS,0))),(IF("09"=(INDEX(ALLCLASSDATA,MATCH("WillSaveMaster",CLASSFEATUREHEADERS,0),MATCH($A1236,CLASSNAMEHEADERS,0))),(INDEX(ALLCLASSDATA,MATCH("WillSaveMaster",CLASSFEATUREHEADERS,0),MATCH(($A1236 &amp; "Points"),CLASSNAMEHEADERS,0))),(IF("09"=(INDEX(ALLCLASSDATA,MATCH("WillSaveExpert",CLASSFEATUREHEADERS,0),MATCH($A1236,CLASSNAMEHEADERS,0))),(INDEX(ALLCLASSDATA,MATCH("WillSaveExpert",CLASSFEATUREHEADERS,0),MATCH(($A1236 &amp; "Points"),CLASSNAMEHEADERS,0))),(IF("09"=(INDEX(ALLCLASSDATA,MATCH("WillSaveTrained",CLASSFEATUREHEADERS,0),MATCH($A1236,CLASSNAMEHEADERS,0))),(INDEX(ALLCLASSDATA,MATCH("WillSaveTrained",CLASSFEATUREHEADERS,0),MATCH(($A1236 &amp; "Points"),CLASSNAMEHEADERS,0))),"")))))))))}</f>
        <v>WILLL09</v>
      </c>
      <c r="Q1235" s="223"/>
      <c r="R1235" s="223" t="str">
        <f t="array" ref="R1235:R1236">{"WILLL11";((IF("11"=(INDEX(ALLCLASSDATA,MATCH("WillSaveLegendary",CLASSFEATUREHEADERS,0),MATCH($A1236,CLASSNAMEHEADERS,0))),(INDEX(ALLCLASSDATA,MATCH("WillSaveLegendary",CLASSFEATUREHEADERS,0),MATCH(($A1236 &amp; "Points"),CLASSNAMEHEADERS,0))),(IF("11"=(INDEX(ALLCLASSDATA,MATCH("WillSaveMaster",CLASSFEATUREHEADERS,0),MATCH($A1236,CLASSNAMEHEADERS,0))),(INDEX(ALLCLASSDATA,MATCH("WillSaveMaster",CLASSFEATUREHEADERS,0),MATCH(($A1236 &amp; "Points"),CLASSNAMEHEADERS,0))),(IF("11"=(INDEX(ALLCLASSDATA,MATCH("WillSaveExpert",CLASSFEATUREHEADERS,0),MATCH($A1236,CLASSNAMEHEADERS,0))),(INDEX(ALLCLASSDATA,MATCH("WillSaveExpert",CLASSFEATUREHEADERS,0),MATCH(($A1236 &amp; "Points"),CLASSNAMEHEADERS,0))),(IF("11"=(INDEX(ALLCLASSDATA,MATCH("WillSaveTrained",CLASSFEATUREHEADERS,0),MATCH($A1236,CLASSNAMEHEADERS,0))),(INDEX(ALLCLASSDATA,MATCH("WillSaveTrained",CLASSFEATUREHEADERS,0),MATCH(($A1236 &amp; "Points"),CLASSNAMEHEADERS,0))),"")))))))))}</f>
        <v>WILLL11</v>
      </c>
      <c r="S1235" s="223"/>
      <c r="T1235" s="223" t="str">
        <f t="array" ref="T1235:T1236">{"WILLL13";((IF("13"=(INDEX(ALLCLASSDATA,MATCH("WillSaveLegendary",CLASSFEATUREHEADERS,0),MATCH($A1236,CLASSNAMEHEADERS,0))),(INDEX(ALLCLASSDATA,MATCH("WillSaveLegendary",CLASSFEATUREHEADERS,0),MATCH(($A1236 &amp; "Points"),CLASSNAMEHEADERS,0))),(IF("13"=(INDEX(ALLCLASSDATA,MATCH("WillSaveMaster",CLASSFEATUREHEADERS,0),MATCH($A1236,CLASSNAMEHEADERS,0))),(INDEX(ALLCLASSDATA,MATCH("WillSaveMaster",CLASSFEATUREHEADERS,0),MATCH(($A1236 &amp; "Points"),CLASSNAMEHEADERS,0))),(IF("13"=(INDEX(ALLCLASSDATA,MATCH("WillSaveExpert",CLASSFEATUREHEADERS,0),MATCH($A1236,CLASSNAMEHEADERS,0))),(INDEX(ALLCLASSDATA,MATCH("WillSaveExpert",CLASSFEATUREHEADERS,0),MATCH(($A1236 &amp; "Points"),CLASSNAMEHEADERS,0))),(IF("13"=(INDEX(ALLCLASSDATA,MATCH("WillSaveTrained",CLASSFEATUREHEADERS,0),MATCH($A1236,CLASSNAMEHEADERS,0))),(INDEX(ALLCLASSDATA,MATCH("WillSaveTrained",CLASSFEATUREHEADERS,0),MATCH(($A1236 &amp; "Points"),CLASSNAMEHEADERS,0))),"")))))))))}</f>
        <v>WILLL13</v>
      </c>
      <c r="U1235" s="223"/>
      <c r="V1235" s="223" t="str">
        <f t="array" ref="V1235:V1236">{"WILLL15";((IF("15"=(INDEX(ALLCLASSDATA,MATCH("WillSaveLegendary",CLASSFEATUREHEADERS,0),MATCH($A1236,CLASSNAMEHEADERS,0))),(INDEX(ALLCLASSDATA,MATCH("WillSaveLegendary",CLASSFEATUREHEADERS,0),MATCH(($A1236 &amp; "Points"),CLASSNAMEHEADERS,0))),(IF("15"=(INDEX(ALLCLASSDATA,MATCH("WillSaveMaster",CLASSFEATUREHEADERS,0),MATCH($A1236,CLASSNAMEHEADERS,0))),(INDEX(ALLCLASSDATA,MATCH("WillSaveMaster",CLASSFEATUREHEADERS,0),MATCH(($A1236 &amp; "Points"),CLASSNAMEHEADERS,0))),(IF("15"=(INDEX(ALLCLASSDATA,MATCH("WillSaveExpert",CLASSFEATUREHEADERS,0),MATCH($A1236,CLASSNAMEHEADERS,0))),(INDEX(ALLCLASSDATA,MATCH("WillSaveExpert",CLASSFEATUREHEADERS,0),MATCH(($A1236 &amp; "Points"),CLASSNAMEHEADERS,0))),(IF("15"=(INDEX(ALLCLASSDATA,MATCH("WillSaveTrained",CLASSFEATUREHEADERS,0),MATCH($A1236,CLASSNAMEHEADERS,0))),(INDEX(ALLCLASSDATA,MATCH("WillSaveTrained",CLASSFEATUREHEADERS,0),MATCH(($A1236 &amp; "Points"),CLASSNAMEHEADERS,0))),"")))))))))}</f>
        <v>WILLL15</v>
      </c>
      <c r="W1235" s="223"/>
      <c r="X1235" s="223" t="str">
        <f t="array" ref="X1235:X1236">{"WILLL17";((IF("17"=(INDEX(ALLCLASSDATA,MATCH("WillSaveLegendary",CLASSFEATUREHEADERS,0),MATCH($A1236,CLASSNAMEHEADERS,0))),(INDEX(ALLCLASSDATA,MATCH("WillSaveLegendary",CLASSFEATUREHEADERS,0),MATCH(($A1236 &amp; "Points"),CLASSNAMEHEADERS,0))),(IF("17"=(INDEX(ALLCLASSDATA,MATCH("WillSaveMaster",CLASSFEATUREHEADERS,0),MATCH($A1236,CLASSNAMEHEADERS,0))),(INDEX(ALLCLASSDATA,MATCH("WillSaveMaster",CLASSFEATUREHEADERS,0),MATCH(($A1236 &amp; "Points"),CLASSNAMEHEADERS,0))),(IF("17"=(INDEX(ALLCLASSDATA,MATCH("WillSaveExpert",CLASSFEATUREHEADERS,0),MATCH($A1236,CLASSNAMEHEADERS,0))),(INDEX(ALLCLASSDATA,MATCH("WillSaveExpert",CLASSFEATUREHEADERS,0),MATCH(($A1236 &amp; "Points"),CLASSNAMEHEADERS,0))),(IF("17"=(INDEX(ALLCLASSDATA,MATCH("WillSaveTrained",CLASSFEATUREHEADERS,0),MATCH($A1236,CLASSNAMEHEADERS,0))),(INDEX(ALLCLASSDATA,MATCH("WillSaveTrained",CLASSFEATUREHEADERS,0),MATCH(($A1236 &amp; "Points"),CLASSNAMEHEADERS,0))),"")))))))))}</f>
        <v>WILLL17</v>
      </c>
      <c r="Y1235" s="223"/>
      <c r="Z1235" s="223" t="str">
        <f t="array" ref="Z1235:Z1236">{"WILLL19";((IF("19"=(INDEX(ALLCLASSDATA,MATCH("WillSaveLegendary",CLASSFEATUREHEADERS,0),MATCH($A1236,CLASSNAMEHEADERS,0))),(INDEX(ALLCLASSDATA,MATCH("WillSaveLegendary",CLASSFEATUREHEADERS,0),MATCH(($A1236 &amp; "Points"),CLASSNAMEHEADERS,0))),(IF("19"=(INDEX(ALLCLASSDATA,MATCH("WillSaveMaster",CLASSFEATUREHEADERS,0),MATCH($A1236,CLASSNAMEHEADERS,0))),(INDEX(ALLCLASSDATA,MATCH("WillSaveMaster",CLASSFEATUREHEADERS,0),MATCH(($A1236 &amp; "Points"),CLASSNAMEHEADERS,0))),(IF("19"=(INDEX(ALLCLASSDATA,MATCH("WillSaveExpert",CLASSFEATUREHEADERS,0),MATCH($A1236,CLASSNAMEHEADERS,0))),(INDEX(ALLCLASSDATA,MATCH("WillSaveExpert",CLASSFEATUREHEADERS,0),MATCH(($A1236 &amp; "Points"),CLASSNAMEHEADERS,0))),(IF("19"=(INDEX(ALLCLASSDATA,MATCH("WillSaveTrained",CLASSFEATUREHEADERS,0),MATCH($A1236,CLASSNAMEHEADERS,0))),(INDEX(ALLCLASSDATA,MATCH("WillSaveTrained",CLASSFEATUREHEADERS,0),MATCH(($A1236 &amp; "Points"),CLASSNAMEHEADERS,0))),"")))))))))}</f>
        <v>WILLL19</v>
      </c>
      <c r="AA1235" s="223"/>
      <c r="AB1235" s="76" t="str">
        <f t="array" ref="AB1235:AB1236">{"WILL TOTAL";(IF(COUNTBLANK(G1236:AA1236)=17,"L",(IF(COUNTBLANK(G1236:AA1236)=18,"M",(IF(COUNTBLANK(G1236:AA1236)=19,"E",(IF(COUNTBLANK(G1236:AA1236)=20,"T",""))))))))}</f>
        <v>WILL TOTAL</v>
      </c>
      <c r="AC1235" s="76" t="str">
        <f t="array" ref="AC1235:AC1236">{"WILL TOTAL";(sum(G1236:AA1236))}</f>
        <v>WILL TOTAL</v>
      </c>
    </row>
    <row r="1236">
      <c r="A1236" s="48" t="s">
        <v>199</v>
      </c>
      <c r="B1236" s="48"/>
      <c r="C1236" s="48" t="s">
        <v>417</v>
      </c>
      <c r="D1236" s="97" t="s">
        <v>1549</v>
      </c>
      <c r="E1236" s="97" t="s">
        <v>1591</v>
      </c>
      <c r="F1236" s="98" t="s">
        <v>436</v>
      </c>
      <c r="G1236" s="132">
        <v>10.0</v>
      </c>
      <c r="H1236" s="98">
        <v>50.0</v>
      </c>
      <c r="I1236" s="98"/>
      <c r="J1236" s="98" t="s">
        <v>603</v>
      </c>
      <c r="K1236" s="98"/>
      <c r="L1236" s="98" t="s">
        <v>603</v>
      </c>
      <c r="M1236" s="97"/>
      <c r="N1236" s="98" t="s">
        <v>603</v>
      </c>
      <c r="O1236" s="98"/>
      <c r="P1236" s="98">
        <v>110.0</v>
      </c>
      <c r="Q1236" s="97"/>
      <c r="R1236" s="98" t="s">
        <v>603</v>
      </c>
      <c r="S1236" s="98"/>
      <c r="T1236" s="98" t="s">
        <v>603</v>
      </c>
      <c r="U1236" s="98"/>
      <c r="V1236" s="98" t="s">
        <v>603</v>
      </c>
      <c r="W1236" s="98"/>
      <c r="X1236" s="98" t="s">
        <v>603</v>
      </c>
      <c r="Y1236" s="98"/>
      <c r="Z1236" s="98" t="s">
        <v>603</v>
      </c>
      <c r="AA1236" s="98"/>
      <c r="AB1236" s="5" t="s">
        <v>437</v>
      </c>
      <c r="AC1236" s="47">
        <v>170.0</v>
      </c>
    </row>
    <row r="1237" hidden="1">
      <c r="A1237" s="222" t="str">
        <f t="array" ref="A1237:A1238">{"FormulaRow26";(INDEX(CLASSLIST,A1186,1))}</f>
        <v>FormulaRow26</v>
      </c>
      <c r="B1237" s="77" t="s">
        <v>236</v>
      </c>
      <c r="C1237" s="222" t="str">
        <f t="array" ref="C1237:C1238">{"CLASSTYPE";((INDEX(ALLCLASSDATA,MATCH("ClassType",CLASSFEATUREHEADERS,0),MATCH($A1238,CLASSNAMEHEADERS,0))))}</f>
        <v>CLASSTYPE</v>
      </c>
      <c r="D1237" s="228" t="str">
        <f t="array" ref="D1237:D1238">{"ATTACK";"Attack"}</f>
        <v>ATTACK</v>
      </c>
      <c r="E1237" s="228" t="str">
        <f t="array" ref="E1237:E1238">{"WEAPONSPECIAL";"WeaponCS/WS/GWS"}</f>
        <v>WEAPONSPECIAL</v>
      </c>
      <c r="F1237" s="230"/>
      <c r="G1237" s="230"/>
      <c r="H1237" s="230" t="str">
        <f t="array" ref="H1237:H1238">{"WEAPONSPECIALL01";((IF("01"=INDEX(ALLCLASSDATA,MATCH("WeaponGreaterSpecialization",CLASSFEATUREHEADERS,0),MATCH($A1238,CLASSNAMEHEADERS,0)),WeaponGWS,(IF("01"=INDEX(ALLCLASSDATA,MATCH("WeaponSpecialization",CLASSFEATUREHEADERS,0),MATCH($A1238,CLASSNAMEHEADERS,0)),WeaponWS,(IF("01"=INDEX(ALLCLASSDATA,MATCH("WeaponCriticalSpecialization",CLASSFEATUREHEADERS,0),MATCH($A1238,CLASSNAMEHEADERS,0)),WeaponCS,"")))))))}</f>
        <v>WEAPONSPECIALL01</v>
      </c>
      <c r="I1237" s="230"/>
      <c r="J1237" s="230" t="str">
        <f t="array" ref="J1237:J1238">{"WEAPONSPECIALL03";((IF("03"=INDEX(ALLCLASSDATA,MATCH("WeaponGreaterSpecialization",CLASSFEATUREHEADERS,0),MATCH($A1238,CLASSNAMEHEADERS,0)),WeaponGWS,(IF("03"=INDEX(ALLCLASSDATA,MATCH("WeaponSpecialization",CLASSFEATUREHEADERS,0),MATCH($A1238,CLASSNAMEHEADERS,0)),WeaponWS,(IF("03"=INDEX(ALLCLASSDATA,MATCH("WeaponCriticalSpecialization",CLASSFEATUREHEADERS,0),MATCH($A1238,CLASSNAMEHEADERS,0)),WeaponCS,"")))))))}</f>
        <v>WEAPONSPECIALL03</v>
      </c>
      <c r="K1237" s="230"/>
      <c r="L1237" s="230" t="str">
        <f t="array" ref="L1237:L1238">{"WEAPONSPECIALL05";((IF("05"=INDEX(ALLCLASSDATA,MATCH("WeaponGreaterSpecialization",CLASSFEATUREHEADERS,0),MATCH($A1238,CLASSNAMEHEADERS,0)),WeaponGWS,(IF("05"=INDEX(ALLCLASSDATA,MATCH("WeaponSpecialization",CLASSFEATUREHEADERS,0),MATCH($A1238,CLASSNAMEHEADERS,0)),WeaponWS,(IF("05"=INDEX(ALLCLASSDATA,MATCH("WeaponCriticalSpecialization",CLASSFEATUREHEADERS,0),MATCH($A1238,CLASSNAMEHEADERS,0)),WeaponCS,"")))))))}</f>
        <v>WEAPONSPECIALL05</v>
      </c>
      <c r="M1237" s="230"/>
      <c r="N1237" s="230" t="str">
        <f t="array" ref="N1237:N1238">{"WEAPONSPECIALL07";((IF("07"=INDEX(ALLCLASSDATA,MATCH("WeaponGreaterSpecialization",CLASSFEATUREHEADERS,0),MATCH($A1238,CLASSNAMEHEADERS,0)),WeaponGWS,(IF("07"=INDEX(ALLCLASSDATA,MATCH("WeaponSpecialization",CLASSFEATUREHEADERS,0),MATCH($A1238,CLASSNAMEHEADERS,0)),WeaponWS,(IF("07"=INDEX(ALLCLASSDATA,MATCH("WeaponCriticalSpecialization",CLASSFEATUREHEADERS,0),MATCH($A1238,CLASSNAMEHEADERS,0)),WeaponCS,"")))))))}</f>
        <v>WEAPONSPECIALL07</v>
      </c>
      <c r="O1237" s="230"/>
      <c r="P1237" s="230" t="str">
        <f t="array" ref="P1237:P1238">{"WEAPONSPECIALL09";((IF("09"=INDEX(ALLCLASSDATA,MATCH("WeaponGreaterSpecialization",CLASSFEATUREHEADERS,0),MATCH($A1238,CLASSNAMEHEADERS,0)),WeaponGWS,(IF("09"=INDEX(ALLCLASSDATA,MATCH("WeaponSpecialization",CLASSFEATUREHEADERS,0),MATCH($A1238,CLASSNAMEHEADERS,0)),WeaponWS,(IF("09"=INDEX(ALLCLASSDATA,MATCH("WeaponCriticalSpecialization",CLASSFEATUREHEADERS,0),MATCH($A1238,CLASSNAMEHEADERS,0)),WeaponCS,"")))))))}</f>
        <v>WEAPONSPECIALL09</v>
      </c>
      <c r="Q1237" s="230"/>
      <c r="R1237" s="230" t="str">
        <f t="array" ref="R1237:R1238">{"WEAPONSPECIALL11";((IF("11"=INDEX(ALLCLASSDATA,MATCH("WeaponGreaterSpecialization",CLASSFEATUREHEADERS,0),MATCH($A1238,CLASSNAMEHEADERS,0)),WeaponGWS,(IF("11"=INDEX(ALLCLASSDATA,MATCH("WeaponSpecialization",CLASSFEATUREHEADERS,0),MATCH($A1238,CLASSNAMEHEADERS,0)),WeaponWS,(IF("11"=INDEX(ALLCLASSDATA,MATCH("WeaponCriticalSpecialization",CLASSFEATUREHEADERS,0),MATCH($A1238,CLASSNAMEHEADERS,0)),WeaponCS,"")))))))}</f>
        <v>WEAPONSPECIALL11</v>
      </c>
      <c r="S1237" s="230"/>
      <c r="T1237" s="230" t="str">
        <f t="array" ref="T1237:T1238">{"WEAPONSPECIALL13";((IF("13"=INDEX(ALLCLASSDATA,MATCH("WeaponGreaterSpecialization",CLASSFEATUREHEADERS,0),MATCH($A1238,CLASSNAMEHEADERS,0)),WeaponGWS,(IF("13"=INDEX(ALLCLASSDATA,MATCH("WeaponSpecialization",CLASSFEATUREHEADERS,0),MATCH($A1238,CLASSNAMEHEADERS,0)),WeaponWS,(IF("13"=INDEX(ALLCLASSDATA,MATCH("WeaponCriticalSpecialization",CLASSFEATUREHEADERS,0),MATCH($A1238,CLASSNAMEHEADERS,0)),WeaponCS,"")))))))}</f>
        <v>WEAPONSPECIALL13</v>
      </c>
      <c r="U1237" s="230"/>
      <c r="V1237" s="230" t="str">
        <f t="array" ref="V1237:V1238">{"WEAPONSPECIALL15";((IF("15"=INDEX(ALLCLASSDATA,MATCH("WeaponGreaterSpecialization",CLASSFEATUREHEADERS,0),MATCH($A1238,CLASSNAMEHEADERS,0)),WeaponGWS,(IF("15"=INDEX(ALLCLASSDATA,MATCH("WeaponSpecialization",CLASSFEATUREHEADERS,0),MATCH($A1238,CLASSNAMEHEADERS,0)),WeaponWS,(IF("15"=INDEX(ALLCLASSDATA,MATCH("WeaponCriticalSpecialization",CLASSFEATUREHEADERS,0),MATCH($A1238,CLASSNAMEHEADERS,0)),WeaponCS,"")))))))}</f>
        <v>WEAPONSPECIALL15</v>
      </c>
      <c r="W1237" s="230"/>
      <c r="X1237" s="230" t="str">
        <f t="array" ref="X1237:X1238">{"WEAPONSPECIALL17";((IF("17"=INDEX(ALLCLASSDATA,MATCH("WeaponGreaterSpecialization",CLASSFEATUREHEADERS,0),MATCH($A1238,CLASSNAMEHEADERS,0)),WeaponGWS,(IF("17"=INDEX(ALLCLASSDATA,MATCH("WeaponSpecialization",CLASSFEATUREHEADERS,0),MATCH($A1238,CLASSNAMEHEADERS,0)),WeaponWS,(IF("17"=INDEX(ALLCLASSDATA,MATCH("WeaponCriticalSpecialization",CLASSFEATUREHEADERS,0),MATCH($A1238,CLASSNAMEHEADERS,0)),WeaponCS,"")))))))}</f>
        <v>WEAPONSPECIALL17</v>
      </c>
      <c r="Y1237" s="230"/>
      <c r="Z1237" s="230" t="str">
        <f t="array" ref="Z1237:Z1238">{"WEAPONSPECIALL19";((IF("19"=INDEX(ALLCLASSDATA,MATCH("WeaponGreaterSpecialization",CLASSFEATUREHEADERS,0),MATCH($A1238,CLASSNAMEHEADERS,0)),WeaponGWS,(IF("19"=INDEX(ALLCLASSDATA,MATCH("WeaponSpecialization",CLASSFEATUREHEADERS,0),MATCH($A1238,CLASSNAMEHEADERS,0)),WeaponWS,(IF("19"=INDEX(ALLCLASSDATA,MATCH("WeaponCriticalSpecialization",CLASSFEATUREHEADERS,0),MATCH($A1238,CLASSNAMEHEADERS,0)),WeaponCS,"")))))))}</f>
        <v>WEAPONSPECIALL19</v>
      </c>
      <c r="AA1237" s="230"/>
      <c r="AB1237" s="76"/>
      <c r="AC1237" s="76" t="str">
        <f t="array" ref="AC1237:AC1238">{"WEAPONSPECIAL TOTAL";(sum(G1238:AA1238))}</f>
        <v>WEAPONSPECIAL TOTAL</v>
      </c>
    </row>
    <row r="1238">
      <c r="A1238" s="48" t="s">
        <v>199</v>
      </c>
      <c r="B1238" s="48"/>
      <c r="C1238" s="48" t="s">
        <v>417</v>
      </c>
      <c r="D1238" s="48" t="s">
        <v>1634</v>
      </c>
      <c r="E1238" s="48" t="s">
        <v>1635</v>
      </c>
      <c r="F1238" s="5"/>
      <c r="G1238" s="47"/>
      <c r="H1238" s="5" t="s">
        <v>603</v>
      </c>
      <c r="I1238" s="5"/>
      <c r="J1238" s="5" t="s">
        <v>603</v>
      </c>
      <c r="K1238" s="5"/>
      <c r="L1238" s="5" t="s">
        <v>603</v>
      </c>
      <c r="M1238" s="5"/>
      <c r="N1238" s="5">
        <v>70.0</v>
      </c>
      <c r="O1238" s="5"/>
      <c r="P1238" s="5" t="s">
        <v>603</v>
      </c>
      <c r="Q1238" s="5"/>
      <c r="R1238" s="5" t="s">
        <v>603</v>
      </c>
      <c r="S1238" s="5"/>
      <c r="T1238" s="5" t="s">
        <v>603</v>
      </c>
      <c r="U1238" s="5"/>
      <c r="V1238" s="5">
        <v>150.0</v>
      </c>
      <c r="W1238" s="5"/>
      <c r="X1238" s="5" t="s">
        <v>603</v>
      </c>
      <c r="Y1238" s="5"/>
      <c r="Z1238" s="5" t="s">
        <v>603</v>
      </c>
      <c r="AA1238" s="5"/>
      <c r="AB1238" s="5"/>
      <c r="AC1238" s="47">
        <v>220.0</v>
      </c>
    </row>
    <row r="1239" hidden="1">
      <c r="A1239" s="222" t="str">
        <f t="array" ref="A1239:A1240">{"FormulaRow27";(INDEX(CLASSLIST,A1186,1))}</f>
        <v>FormulaRow27</v>
      </c>
      <c r="B1239" s="77" t="s">
        <v>236</v>
      </c>
      <c r="C1239" s="222" t="str">
        <f t="array" ref="C1239:C1240">{"CLASSTYPE";((INDEX(ALLCLASSDATA,MATCH("ClassType",CLASSFEATUREHEADERS,0),MATCH($A1240,CLASSNAMEHEADERS,0))))}</f>
        <v>CLASSTYPE</v>
      </c>
      <c r="D1239" s="222" t="str">
        <f t="array" ref="D1239:D1240">{"ATTACK";"Attack"}</f>
        <v>ATTACK</v>
      </c>
      <c r="E1239" s="222" t="str">
        <f t="array" ref="E1239:E1240">{"UNARMED";"Unarmed"}</f>
        <v>UNARMED</v>
      </c>
      <c r="F1239" s="223" t="str">
        <f t="array" ref="F1239:F1240">{"UNARMEDINITIAL";((IF(H1240=10,"T",(IF(H1240=50,"E","")))))}</f>
        <v>UNARMEDINITIAL</v>
      </c>
      <c r="G1239" s="223" t="str">
        <f t="array" ref="G1239:G1240">{"UNARMEDINITIALPTS";((IF("00"=(INDEX(ALLCLASSDATA,MATCH("UnarmedLegendary",CLASSFEATUREHEADERS,0),MATCH($A1240,CLASSNAMEHEADERS,0))),(INDEX(ALLCLASSDATA,MATCH("UnarmedLegendary",CLASSFEATUREHEADERS,0),MATCH(($A1240 &amp; "Points"),CLASSNAMEHEADERS,0))),(IF("00"=(INDEX(ALLCLASSDATA,MATCH("UnarmedMaster",CLASSFEATUREHEADERS,0),MATCH($A1240,CLASSNAMEHEADERS,0))),(INDEX(ALLCLASSDATA,MATCH("UnarmedMaster",CLASSFEATUREHEADERS,0),MATCH(($A1240 &amp; "Points"),CLASSNAMEHEADERS,0))),(IF("00"=(INDEX(ALLCLASSDATA,MATCH("UnarmedExpert",CLASSFEATUREHEADERS,0),MATCH($A1240,CLASSNAMEHEADERS,0))),(INDEX(ALLCLASSDATA,MATCH("UnarmedExpert",CLASSFEATUREHEADERS,0),MATCH(($A1240 &amp; "Points"),CLASSNAMEHEADERS,0))),(IF("00"=(INDEX(ALLCLASSDATA,MATCH("UnarmedTrained",CLASSFEATUREHEADERS,0),MATCH($A1240,CLASSNAMEHEADERS,0))),(INDEX(ALLCLASSDATA,MATCH("UnarmedTrained",CLASSFEATUREHEADERS,0),MATCH(($A1240 &amp; "Points"),CLASSNAMEHEADERS,0))),"")))))))))}</f>
        <v>UNARMEDINITIALPTS</v>
      </c>
      <c r="H1239" s="223" t="str">
        <f t="array" ref="H1239:H1240">{"UNARMEDL01";((IF("01"=(INDEX(ALLCLASSDATA,MATCH("UnarmedLegendary",CLASSFEATUREHEADERS,0),MATCH($A1240,CLASSNAMEHEADERS,0))),(INDEX(ALLCLASSDATA,MATCH("UnarmedLegendary",CLASSFEATUREHEADERS,0),MATCH(($A1240 &amp; "Points"),CLASSNAMEHEADERS,0))),(IF("01"=(INDEX(ALLCLASSDATA,MATCH("UnarmedMaster",CLASSFEATUREHEADERS,0),MATCH($A1240,CLASSNAMEHEADERS,0))),(INDEX(ALLCLASSDATA,MATCH("UnarmedMaster",CLASSFEATUREHEADERS,0),MATCH(($A1240 &amp; "Points"),CLASSNAMEHEADERS,0))),(IF("01"=(INDEX(ALLCLASSDATA,MATCH("UnarmedExpert",CLASSFEATUREHEADERS,0),MATCH($A1240,CLASSNAMEHEADERS,0))),(INDEX(ALLCLASSDATA,MATCH("UnarmedExpert",CLASSFEATUREHEADERS,0),MATCH(($A1240 &amp; "Points"),CLASSNAMEHEADERS,0))),(IF("01"=(INDEX(ALLCLASSDATA,MATCH("UnarmedTrained",CLASSFEATUREHEADERS,0),MATCH($A1240,CLASSNAMEHEADERS,0))),(INDEX(ALLCLASSDATA,MATCH("UnarmedTrained",CLASSFEATUREHEADERS,0),MATCH(($A1240 &amp; "Points"),CLASSNAMEHEADERS,0))),"")))))))))}</f>
        <v>UNARMEDL01</v>
      </c>
      <c r="I1239" s="223"/>
      <c r="J1239" s="223" t="str">
        <f t="array" ref="J1239:J1240">{"UNARMEDL03";((IF("03"=(INDEX(ALLCLASSDATA,MATCH("UnarmedLegendary",CLASSFEATUREHEADERS,0),MATCH($A1240,CLASSNAMEHEADERS,0))),(INDEX(ALLCLASSDATA,MATCH("UnarmedLegendary",CLASSFEATUREHEADERS,0),MATCH(($A1240 &amp; "Points"),CLASSNAMEHEADERS,0))),(IF("03"=(INDEX(ALLCLASSDATA,MATCH("UnarmedMaster",CLASSFEATUREHEADERS,0),MATCH($A1240,CLASSNAMEHEADERS,0))),(INDEX(ALLCLASSDATA,MATCH("UnarmedMaster",CLASSFEATUREHEADERS,0),MATCH(($A1240 &amp; "Points"),CLASSNAMEHEADERS,0))),(IF("03"=(INDEX(ALLCLASSDATA,MATCH("UnarmedExpert",CLASSFEATUREHEADERS,0),MATCH($A1240,CLASSNAMEHEADERS,0))),(INDEX(ALLCLASSDATA,MATCH("UnarmedExpert",CLASSFEATUREHEADERS,0),MATCH(($A1240 &amp; "Points"),CLASSNAMEHEADERS,0))),(IF("03"=(INDEX(ALLCLASSDATA,MATCH("UnarmedTrained",CLASSFEATUREHEADERS,0),MATCH($A1240,CLASSNAMEHEADERS,0))),(INDEX(ALLCLASSDATA,MATCH("UnarmedTrained",CLASSFEATUREHEADERS,0),MATCH(($A1240 &amp; "Points"),CLASSNAMEHEADERS,0))),"")))))))))}</f>
        <v>UNARMEDL03</v>
      </c>
      <c r="K1239" s="223"/>
      <c r="L1239" s="223" t="str">
        <f t="array" ref="L1239:L1240">{"UNARMEDL05";((IF("05"=(INDEX(ALLCLASSDATA,MATCH("UnarmedLegendary",CLASSFEATUREHEADERS,0),MATCH($A1240,CLASSNAMEHEADERS,0))),(INDEX(ALLCLASSDATA,MATCH("UnarmedLegendary",CLASSFEATUREHEADERS,0),MATCH(($A1240 &amp; "Points"),CLASSNAMEHEADERS,0))),(IF("05"=(INDEX(ALLCLASSDATA,MATCH("UnarmedMaster",CLASSFEATUREHEADERS,0),MATCH($A1240,CLASSNAMEHEADERS,0))),(INDEX(ALLCLASSDATA,MATCH("UnarmedMaster",CLASSFEATUREHEADERS,0),MATCH(($A1240 &amp; "Points"),CLASSNAMEHEADERS,0))),(IF("05"=(INDEX(ALLCLASSDATA,MATCH("UnarmedExpert",CLASSFEATUREHEADERS,0),MATCH($A1240,CLASSNAMEHEADERS,0))),(INDEX(ALLCLASSDATA,MATCH("UnarmedExpert",CLASSFEATUREHEADERS,0),MATCH(($A1240 &amp; "Points"),CLASSNAMEHEADERS,0))),(IF("05"=(INDEX(ALLCLASSDATA,MATCH("UnarmedTrained",CLASSFEATUREHEADERS,0),MATCH($A1240,CLASSNAMEHEADERS,0))),(INDEX(ALLCLASSDATA,MATCH("UnarmedTrained",CLASSFEATUREHEADERS,0),MATCH(($A1240 &amp; "Points"),CLASSNAMEHEADERS,0))),"")))))))))}</f>
        <v>UNARMEDL05</v>
      </c>
      <c r="M1239" s="223"/>
      <c r="N1239" s="223" t="str">
        <f t="array" ref="N1239:N1240">{"UNARMEDL07";((IF("07"=(INDEX(ALLCLASSDATA,MATCH("UnarmedLegendary",CLASSFEATUREHEADERS,0),MATCH($A1240,CLASSNAMEHEADERS,0))),(INDEX(ALLCLASSDATA,MATCH("UnarmedLegendary",CLASSFEATUREHEADERS,0),MATCH(($A1240 &amp; "Points"),CLASSNAMEHEADERS,0))),(IF("07"=(INDEX(ALLCLASSDATA,MATCH("UnarmedMaster",CLASSFEATUREHEADERS,0),MATCH($A1240,CLASSNAMEHEADERS,0))),(INDEX(ALLCLASSDATA,MATCH("UnarmedMaster",CLASSFEATUREHEADERS,0),MATCH(($A1240 &amp; "Points"),CLASSNAMEHEADERS,0))),(IF("07"=(INDEX(ALLCLASSDATA,MATCH("UnarmedExpert",CLASSFEATUREHEADERS,0),MATCH($A1240,CLASSNAMEHEADERS,0))),(INDEX(ALLCLASSDATA,MATCH("UnarmedExpert",CLASSFEATUREHEADERS,0),MATCH(($A1240 &amp; "Points"),CLASSNAMEHEADERS,0))),(IF("07"=(INDEX(ALLCLASSDATA,MATCH("UnarmedTrained",CLASSFEATUREHEADERS,0),MATCH($A1240,CLASSNAMEHEADERS,0))),(INDEX(ALLCLASSDATA,MATCH("UnarmedTrained",CLASSFEATUREHEADERS,0),MATCH(($A1240 &amp; "Points"),CLASSNAMEHEADERS,0))),"")))))))))}</f>
        <v>UNARMEDL07</v>
      </c>
      <c r="O1239" s="223"/>
      <c r="P1239" s="223" t="str">
        <f t="array" ref="P1239:P1240">{"UNARMEDL09";((IF("09"=(INDEX(ALLCLASSDATA,MATCH("UnarmedLegendary",CLASSFEATUREHEADERS,0),MATCH($A1240,CLASSNAMEHEADERS,0))),(INDEX(ALLCLASSDATA,MATCH("UnarmedLegendary",CLASSFEATUREHEADERS,0),MATCH(($A1240 &amp; "Points"),CLASSNAMEHEADERS,0))),(IF("09"=(INDEX(ALLCLASSDATA,MATCH("UnarmedMaster",CLASSFEATUREHEADERS,0),MATCH($A1240,CLASSNAMEHEADERS,0))),(INDEX(ALLCLASSDATA,MATCH("UnarmedMaster",CLASSFEATUREHEADERS,0),MATCH(($A1240 &amp; "Points"),CLASSNAMEHEADERS,0))),(IF("09"=(INDEX(ALLCLASSDATA,MATCH("UnarmedExpert",CLASSFEATUREHEADERS,0),MATCH($A1240,CLASSNAMEHEADERS,0))),(INDEX(ALLCLASSDATA,MATCH("UnarmedExpert",CLASSFEATUREHEADERS,0),MATCH(($A1240 &amp; "Points"),CLASSNAMEHEADERS,0))),(IF("09"=(INDEX(ALLCLASSDATA,MATCH("UnarmedTrained",CLASSFEATUREHEADERS,0),MATCH($A1240,CLASSNAMEHEADERS,0))),(INDEX(ALLCLASSDATA,MATCH("UnarmedTrained",CLASSFEATUREHEADERS,0),MATCH(($A1240 &amp; "Points"),CLASSNAMEHEADERS,0))),"")))))))))}</f>
        <v>UNARMEDL09</v>
      </c>
      <c r="Q1239" s="223"/>
      <c r="R1239" s="223" t="str">
        <f t="array" ref="R1239:R1240">{"UNARMEDL11";((IF("11"=(INDEX(ALLCLASSDATA,MATCH("UnarmedLegendary",CLASSFEATUREHEADERS,0),MATCH($A1240,CLASSNAMEHEADERS,0))),(INDEX(ALLCLASSDATA,MATCH("UnarmedLegendary",CLASSFEATUREHEADERS,0),MATCH(($A1240 &amp; "Points"),CLASSNAMEHEADERS,0))),(IF("11"=(INDEX(ALLCLASSDATA,MATCH("UnarmedMaster",CLASSFEATUREHEADERS,0),MATCH($A1240,CLASSNAMEHEADERS,0))),(INDEX(ALLCLASSDATA,MATCH("UnarmedMaster",CLASSFEATUREHEADERS,0),MATCH(($A1240 &amp; "Points"),CLASSNAMEHEADERS,0))),(IF("11"=(INDEX(ALLCLASSDATA,MATCH("UnarmedExpert",CLASSFEATUREHEADERS,0),MATCH($A1240,CLASSNAMEHEADERS,0))),(INDEX(ALLCLASSDATA,MATCH("UnarmedExpert",CLASSFEATUREHEADERS,0),MATCH(($A1240 &amp; "Points"),CLASSNAMEHEADERS,0))),(IF("11"=(INDEX(ALLCLASSDATA,MATCH("UnarmedTrained",CLASSFEATUREHEADERS,0),MATCH($A1240,CLASSNAMEHEADERS,0))),(INDEX(ALLCLASSDATA,MATCH("UnarmedTrained",CLASSFEATUREHEADERS,0),MATCH(($A1240 &amp; "Points"),CLASSNAMEHEADERS,0))),"")))))))))}</f>
        <v>UNARMEDL11</v>
      </c>
      <c r="S1239" s="223"/>
      <c r="T1239" s="223" t="str">
        <f t="array" ref="T1239:T1240">{"UNARMEDL13";((IF("13"=(INDEX(ALLCLASSDATA,MATCH("UnarmedLegendary",CLASSFEATUREHEADERS,0),MATCH($A1240,CLASSNAMEHEADERS,0))),(INDEX(ALLCLASSDATA,MATCH("UnarmedLegendary",CLASSFEATUREHEADERS,0),MATCH(($A1240 &amp; "Points"),CLASSNAMEHEADERS,0))),(IF("13"=(INDEX(ALLCLASSDATA,MATCH("UnarmedMaster",CLASSFEATUREHEADERS,0),MATCH($A1240,CLASSNAMEHEADERS,0))),(INDEX(ALLCLASSDATA,MATCH("UnarmedMaster",CLASSFEATUREHEADERS,0),MATCH(($A1240 &amp; "Points"),CLASSNAMEHEADERS,0))),(IF("13"=(INDEX(ALLCLASSDATA,MATCH("UnarmedExpert",CLASSFEATUREHEADERS,0),MATCH($A1240,CLASSNAMEHEADERS,0))),(INDEX(ALLCLASSDATA,MATCH("UnarmedExpert",CLASSFEATUREHEADERS,0),MATCH(($A1240 &amp; "Points"),CLASSNAMEHEADERS,0))),(IF("13"=(INDEX(ALLCLASSDATA,MATCH("UnarmedTrained",CLASSFEATUREHEADERS,0),MATCH($A1240,CLASSNAMEHEADERS,0))),(INDEX(ALLCLASSDATA,MATCH("UnarmedTrained",CLASSFEATUREHEADERS,0),MATCH(($A1240 &amp; "Points"),CLASSNAMEHEADERS,0))),"")))))))))}</f>
        <v>UNARMEDL13</v>
      </c>
      <c r="U1239" s="223"/>
      <c r="V1239" s="223" t="str">
        <f t="array" ref="V1239:V1240">{"UNARMEDL15";((IF("15"=(INDEX(ALLCLASSDATA,MATCH("UnarmedLegendary",CLASSFEATUREHEADERS,0),MATCH($A1240,CLASSNAMEHEADERS,0))),(INDEX(ALLCLASSDATA,MATCH("UnarmedLegendary",CLASSFEATUREHEADERS,0),MATCH(($A1240 &amp; "Points"),CLASSNAMEHEADERS,0))),(IF("15"=(INDEX(ALLCLASSDATA,MATCH("UnarmedMaster",CLASSFEATUREHEADERS,0),MATCH($A1240,CLASSNAMEHEADERS,0))),(INDEX(ALLCLASSDATA,MATCH("UnarmedMaster",CLASSFEATUREHEADERS,0),MATCH(($A1240 &amp; "Points"),CLASSNAMEHEADERS,0))),(IF("15"=(INDEX(ALLCLASSDATA,MATCH("UnarmedExpert",CLASSFEATUREHEADERS,0),MATCH($A1240,CLASSNAMEHEADERS,0))),(INDEX(ALLCLASSDATA,MATCH("UnarmedExpert",CLASSFEATUREHEADERS,0),MATCH(($A1240 &amp; "Points"),CLASSNAMEHEADERS,0))),(IF("15"=(INDEX(ALLCLASSDATA,MATCH("UnarmedTrained",CLASSFEATUREHEADERS,0),MATCH($A1240,CLASSNAMEHEADERS,0))),(INDEX(ALLCLASSDATA,MATCH("UnarmedTrained",CLASSFEATUREHEADERS,0),MATCH(($A1240 &amp; "Points"),CLASSNAMEHEADERS,0))),"")))))))))}</f>
        <v>UNARMEDL15</v>
      </c>
      <c r="W1239" s="223"/>
      <c r="X1239" s="223" t="str">
        <f t="array" ref="X1239:X1240">{"UNARMEDL17";((IF("17"=(INDEX(ALLCLASSDATA,MATCH("UnarmedLegendary",CLASSFEATUREHEADERS,0),MATCH($A1240,CLASSNAMEHEADERS,0))),(INDEX(ALLCLASSDATA,MATCH("UnarmedLegendary",CLASSFEATUREHEADERS,0),MATCH(($A1240 &amp; "Points"),CLASSNAMEHEADERS,0))),(IF("17"=(INDEX(ALLCLASSDATA,MATCH("UnarmedMaster",CLASSFEATUREHEADERS,0),MATCH($A1240,CLASSNAMEHEADERS,0))),(INDEX(ALLCLASSDATA,MATCH("UnarmedMaster",CLASSFEATUREHEADERS,0),MATCH(($A1240 &amp; "Points"),CLASSNAMEHEADERS,0))),(IF("17"=(INDEX(ALLCLASSDATA,MATCH("UnarmedExpert",CLASSFEATUREHEADERS,0),MATCH($A1240,CLASSNAMEHEADERS,0))),(INDEX(ALLCLASSDATA,MATCH("UnarmedExpert",CLASSFEATUREHEADERS,0),MATCH(($A1240 &amp; "Points"),CLASSNAMEHEADERS,0))),(IF("17"=(INDEX(ALLCLASSDATA,MATCH("UnarmedTrained",CLASSFEATUREHEADERS,0),MATCH($A1240,CLASSNAMEHEADERS,0))),(INDEX(ALLCLASSDATA,MATCH("UnarmedTrained",CLASSFEATUREHEADERS,0),MATCH(($A1240 &amp; "Points"),CLASSNAMEHEADERS,0))),"")))))))))}</f>
        <v>UNARMEDL17</v>
      </c>
      <c r="Y1239" s="223"/>
      <c r="Z1239" s="223" t="str">
        <f t="array" ref="Z1239:Z1240">{"UNARMEDL19";((IF("19"=(INDEX(ALLCLASSDATA,MATCH("UnarmedLegendary",CLASSFEATUREHEADERS,0),MATCH($A1240,CLASSNAMEHEADERS,0))),(INDEX(ALLCLASSDATA,MATCH("UnarmedLegendary",CLASSFEATUREHEADERS,0),MATCH(($A1240 &amp; "Points"),CLASSNAMEHEADERS,0))),(IF("19"=(INDEX(ALLCLASSDATA,MATCH("UnarmedMaster",CLASSFEATUREHEADERS,0),MATCH($A1240,CLASSNAMEHEADERS,0))),(INDEX(ALLCLASSDATA,MATCH("UnarmedMaster",CLASSFEATUREHEADERS,0),MATCH(($A1240 &amp; "Points"),CLASSNAMEHEADERS,0))),(IF("19"=(INDEX(ALLCLASSDATA,MATCH("UnarmedExpert",CLASSFEATUREHEADERS,0),MATCH($A1240,CLASSNAMEHEADERS,0))),(INDEX(ALLCLASSDATA,MATCH("UnarmedExpert",CLASSFEATUREHEADERS,0),MATCH(($A1240 &amp; "Points"),CLASSNAMEHEADERS,0))),(IF("19"=(INDEX(ALLCLASSDATA,MATCH("UnarmedTrained",CLASSFEATUREHEADERS,0),MATCH($A1240,CLASSNAMEHEADERS,0))),(INDEX(ALLCLASSDATA,MATCH("UnarmedTrained",CLASSFEATUREHEADERS,0),MATCH(($A1240 &amp; "Points"),CLASSNAMEHEADERS,0))),"")))))))))}</f>
        <v>UNARMEDL19</v>
      </c>
      <c r="AA1239" s="223"/>
      <c r="AB1239" s="76" t="str">
        <f t="array" ref="AB1239:AB1240">{"UNARMED TOTAL";(IF(COUNTBLANK(G1240:AA1240)=17,"L",(IF(COUNTBLANK(G1240:AA1240)=18,"M",(IF(COUNTBLANK(G1240:AA1240)=19,"E",(IF(COUNTBLANK(G1240:AA1240)=20,"T",""))))))))}</f>
        <v>UNARMED TOTAL</v>
      </c>
      <c r="AC1239" s="76" t="str">
        <f t="array" ref="AC1239:AC1240">{"UNARMED TOTAL";(sum(G1240:AA1240))}</f>
        <v>UNARMED TOTAL</v>
      </c>
    </row>
    <row r="1240">
      <c r="A1240" s="48" t="s">
        <v>199</v>
      </c>
      <c r="B1240" s="48"/>
      <c r="C1240" s="48" t="s">
        <v>417</v>
      </c>
      <c r="D1240" s="48" t="s">
        <v>1634</v>
      </c>
      <c r="E1240" s="48" t="s">
        <v>257</v>
      </c>
      <c r="F1240" s="5" t="s">
        <v>435</v>
      </c>
      <c r="G1240" s="47" t="s">
        <v>603</v>
      </c>
      <c r="H1240" s="5">
        <v>10.0</v>
      </c>
      <c r="I1240" s="5"/>
      <c r="J1240" s="5" t="s">
        <v>603</v>
      </c>
      <c r="K1240" s="5"/>
      <c r="L1240" s="5" t="s">
        <v>436</v>
      </c>
      <c r="M1240" s="5"/>
      <c r="N1240" s="5" t="s">
        <v>603</v>
      </c>
      <c r="O1240" s="5"/>
      <c r="P1240" s="5" t="s">
        <v>603</v>
      </c>
      <c r="Q1240" s="5"/>
      <c r="R1240" s="5" t="s">
        <v>603</v>
      </c>
      <c r="S1240" s="5"/>
      <c r="T1240" s="5" t="s">
        <v>437</v>
      </c>
      <c r="U1240" s="5"/>
      <c r="V1240" s="5" t="s">
        <v>603</v>
      </c>
      <c r="W1240" s="5"/>
      <c r="X1240" s="5" t="s">
        <v>603</v>
      </c>
      <c r="Y1240" s="5"/>
      <c r="Z1240" s="5" t="s">
        <v>603</v>
      </c>
      <c r="AA1240" s="5"/>
      <c r="AB1240" s="5" t="s">
        <v>437</v>
      </c>
      <c r="AC1240" s="47">
        <v>10.0</v>
      </c>
    </row>
    <row r="1241" hidden="1">
      <c r="A1241" s="222" t="str">
        <f t="array" ref="A1241:A1242">{"FormulaRow28";(INDEX(CLASSLIST,A1186,1))}</f>
        <v>FormulaRow28</v>
      </c>
      <c r="B1241" s="77" t="s">
        <v>236</v>
      </c>
      <c r="C1241" s="222" t="str">
        <f t="array" ref="C1241:C1242">{"CLASSTYPE";((INDEX(ALLCLASSDATA,MATCH("ClassType",CLASSFEATUREHEADERS,0),MATCH($A1242,CLASSNAMEHEADERS,0))))}</f>
        <v>CLASSTYPE</v>
      </c>
      <c r="D1241" s="222" t="str">
        <f t="array" ref="D1241:D1242">{"ATTACK";"Attack"}</f>
        <v>ATTACK</v>
      </c>
      <c r="E1241" s="222" t="str">
        <f t="array" ref="E1241:E1242">{"SIMPLELIMITED";"SimpleLimited"}</f>
        <v>SIMPLELIMITED</v>
      </c>
      <c r="F1241" s="223" t="str">
        <f t="array" ref="F1241:F1242">{"SIMPLELIMITEDINITIAL";((IF(H1242=10,"T",(IF(H1242=50,"E","")))))}</f>
        <v>SIMPLELIMITEDINITIAL</v>
      </c>
      <c r="G1241" s="223" t="str">
        <f t="array" ref="G1241:G1242">{"SIMPLELIMITEDINITIALPTS";((IF("00"=(INDEX(ALLCLASSDATA,MATCH("SimpleLimitedLegendary",CLASSFEATUREHEADERS,0),MATCH($A1242,CLASSNAMEHEADERS,0))),(INDEX(ALLCLASSDATA,MATCH("SimpleLimitedLegendary",CLASSFEATUREHEADERS,0),MATCH(($A1242 &amp; "Points"),CLASSNAMEHEADERS,0))),(IF("00"=(INDEX(ALLCLASSDATA,MATCH("SimpleLimitedMaster",CLASSFEATUREHEADERS,0),MATCH($A1242,CLASSNAMEHEADERS,0))),(INDEX(ALLCLASSDATA,MATCH("SimpleLimitedMaster",CLASSFEATUREHEADERS,0),MATCH(($A1242 &amp; "Points"),CLASSNAMEHEADERS,0))),(IF("00"=(INDEX(ALLCLASSDATA,MATCH("SimpleLimitedExpert",CLASSFEATUREHEADERS,0),MATCH($A1242,CLASSNAMEHEADERS,0))),(INDEX(ALLCLASSDATA,MATCH("SimpleLimitedExpert",CLASSFEATUREHEADERS,0),MATCH(($A1242 &amp; "Points"),CLASSNAMEHEADERS,0))),(IF("00"=(INDEX(ALLCLASSDATA,MATCH("SimpleLimitedTrained",CLASSFEATUREHEADERS,0),MATCH($A1242,CLASSNAMEHEADERS,0))),(INDEX(ALLCLASSDATA,MATCH("SimpleLimitedTrained",CLASSFEATUREHEADERS,0),MATCH(($A1242 &amp; "Points"),CLASSNAMEHEADERS,0))),"")))))))))}</f>
        <v>SIMPLELIMITEDINITIALPTS</v>
      </c>
      <c r="H1241" s="223" t="str">
        <f t="array" ref="H1241:H1242">{"SIMPLELIMITEDL01";((IF("01"=(INDEX(ALLCLASSDATA,MATCH("SimpleLimitedLegendary",CLASSFEATUREHEADERS,0),MATCH($A1242,CLASSNAMEHEADERS,0))),(INDEX(ALLCLASSDATA,MATCH("SimpleLimitedLegendary",CLASSFEATUREHEADERS,0),MATCH(($A1242 &amp; "Points"),CLASSNAMEHEADERS,0))),(IF("01"=(INDEX(ALLCLASSDATA,MATCH("SimpleLimitedMaster",CLASSFEATUREHEADERS,0),MATCH($A1242,CLASSNAMEHEADERS,0))),(INDEX(ALLCLASSDATA,MATCH("SimpleLimitedMaster",CLASSFEATUREHEADERS,0),MATCH(($A1242 &amp; "Points"),CLASSNAMEHEADERS,0))),(IF("01"=(INDEX(ALLCLASSDATA,MATCH("SimpleLimitedExpert",CLASSFEATUREHEADERS,0),MATCH($A1242,CLASSNAMEHEADERS,0))),(INDEX(ALLCLASSDATA,MATCH("SimpleLimitedExpert",CLASSFEATUREHEADERS,0),MATCH(($A1242 &amp; "Points"),CLASSNAMEHEADERS,0))),(IF("01"=(INDEX(ALLCLASSDATA,MATCH("SimpleLimitedTrained",CLASSFEATUREHEADERS,0),MATCH($A1242,CLASSNAMEHEADERS,0))),(INDEX(ALLCLASSDATA,MATCH("SimpleLimitedTrained",CLASSFEATUREHEADERS,0),MATCH(($A1242 &amp; "Points"),CLASSNAMEHEADERS,0))),"")))))))))}</f>
        <v>SIMPLELIMITEDL01</v>
      </c>
      <c r="I1241" s="223"/>
      <c r="J1241" s="223" t="str">
        <f t="array" ref="J1241:J1242">{"SIMPLELIMITEDL03";((IF("03"=(INDEX(ALLCLASSDATA,MATCH("SimpleLimitedLegendary",CLASSFEATUREHEADERS,0),MATCH($A1242,CLASSNAMEHEADERS,0))),(INDEX(ALLCLASSDATA,MATCH("SimpleLimitedLegendary",CLASSFEATUREHEADERS,0),MATCH(($A1242 &amp; "Points"),CLASSNAMEHEADERS,0))),(IF("03"=(INDEX(ALLCLASSDATA,MATCH("SimpleLimitedMaster",CLASSFEATUREHEADERS,0),MATCH($A1242,CLASSNAMEHEADERS,0))),(INDEX(ALLCLASSDATA,MATCH("SimpleLimitedMaster",CLASSFEATUREHEADERS,0),MATCH(($A1242 &amp; "Points"),CLASSNAMEHEADERS,0))),(IF("03"=(INDEX(ALLCLASSDATA,MATCH("SimpleLimitedExpert",CLASSFEATUREHEADERS,0),MATCH($A1242,CLASSNAMEHEADERS,0))),(INDEX(ALLCLASSDATA,MATCH("SimpleLimitedExpert",CLASSFEATUREHEADERS,0),MATCH(($A1242 &amp; "Points"),CLASSNAMEHEADERS,0))),(IF("03"=(INDEX(ALLCLASSDATA,MATCH("SimpleLimitedTrained",CLASSFEATUREHEADERS,0),MATCH($A1242,CLASSNAMEHEADERS,0))),(INDEX(ALLCLASSDATA,MATCH("SimpleLimitedTrained",CLASSFEATUREHEADERS,0),MATCH(($A1242 &amp; "Points"),CLASSNAMEHEADERS,0))),"")))))))))}</f>
        <v>SIMPLELIMITEDL03</v>
      </c>
      <c r="K1241" s="223"/>
      <c r="L1241" s="223" t="str">
        <f t="array" ref="L1241:L1242">{"SIMPLELIMITEDL05";((IF("05"=(INDEX(ALLCLASSDATA,MATCH("SimpleLimitedLegendary",CLASSFEATUREHEADERS,0),MATCH($A1242,CLASSNAMEHEADERS,0))),(INDEX(ALLCLASSDATA,MATCH("SimpleLimitedLegendary",CLASSFEATUREHEADERS,0),MATCH(($A1242 &amp; "Points"),CLASSNAMEHEADERS,0))),(IF("05"=(INDEX(ALLCLASSDATA,MATCH("SimpleLimitedMaster",CLASSFEATUREHEADERS,0),MATCH($A1242,CLASSNAMEHEADERS,0))),(INDEX(ALLCLASSDATA,MATCH("SimpleLimitedMaster",CLASSFEATUREHEADERS,0),MATCH(($A1242 &amp; "Points"),CLASSNAMEHEADERS,0))),(IF("05"=(INDEX(ALLCLASSDATA,MATCH("SimpleLimitedExpert",CLASSFEATUREHEADERS,0),MATCH($A1242,CLASSNAMEHEADERS,0))),(INDEX(ALLCLASSDATA,MATCH("SimpleLimitedExpert",CLASSFEATUREHEADERS,0),MATCH(($A1242 &amp; "Points"),CLASSNAMEHEADERS,0))),(IF("05"=(INDEX(ALLCLASSDATA,MATCH("SimpleLimitedTrained",CLASSFEATUREHEADERS,0),MATCH($A1242,CLASSNAMEHEADERS,0))),(INDEX(ALLCLASSDATA,MATCH("SimpleLimitedTrained",CLASSFEATUREHEADERS,0),MATCH(($A1242 &amp; "Points"),CLASSNAMEHEADERS,0))),"")))))))))}</f>
        <v>SIMPLELIMITEDL05</v>
      </c>
      <c r="M1241" s="223"/>
      <c r="N1241" s="223" t="str">
        <f t="array" ref="N1241:N1242">{"SIMPLELIMITEDL07";((IF("07"=(INDEX(ALLCLASSDATA,MATCH("SimpleLimitedLegendary",CLASSFEATUREHEADERS,0),MATCH($A1242,CLASSNAMEHEADERS,0))),(INDEX(ALLCLASSDATA,MATCH("SimpleLimitedLegendary",CLASSFEATUREHEADERS,0),MATCH(($A1242 &amp; "Points"),CLASSNAMEHEADERS,0))),(IF("07"=(INDEX(ALLCLASSDATA,MATCH("SimpleLimitedMaster",CLASSFEATUREHEADERS,0),MATCH($A1242,CLASSNAMEHEADERS,0))),(INDEX(ALLCLASSDATA,MATCH("SimpleLimitedMaster",CLASSFEATUREHEADERS,0),MATCH(($A1242 &amp; "Points"),CLASSNAMEHEADERS,0))),(IF("07"=(INDEX(ALLCLASSDATA,MATCH("SimpleLimitedExpert",CLASSFEATUREHEADERS,0),MATCH($A1242,CLASSNAMEHEADERS,0))),(INDEX(ALLCLASSDATA,MATCH("SimpleLimitedExpert",CLASSFEATUREHEADERS,0),MATCH(($A1242 &amp; "Points"),CLASSNAMEHEADERS,0))),(IF("07"=(INDEX(ALLCLASSDATA,MATCH("SimpleLimitedTrained",CLASSFEATUREHEADERS,0),MATCH($A1242,CLASSNAMEHEADERS,0))),(INDEX(ALLCLASSDATA,MATCH("SimpleLimitedTrained",CLASSFEATUREHEADERS,0),MATCH(($A1242 &amp; "Points"),CLASSNAMEHEADERS,0))),"")))))))))}</f>
        <v>SIMPLELIMITEDL07</v>
      </c>
      <c r="O1241" s="223"/>
      <c r="P1241" s="223" t="str">
        <f t="array" ref="P1241:P1242">{"SIMPLELIMITEDL09";((IF("09"=(INDEX(ALLCLASSDATA,MATCH("SimpleLimitedLegendary",CLASSFEATUREHEADERS,0),MATCH($A1242,CLASSNAMEHEADERS,0))),(INDEX(ALLCLASSDATA,MATCH("SimpleLimitedLegendary",CLASSFEATUREHEADERS,0),MATCH(($A1242 &amp; "Points"),CLASSNAMEHEADERS,0))),(IF("09"=(INDEX(ALLCLASSDATA,MATCH("SimpleLimitedMaster",CLASSFEATUREHEADERS,0),MATCH($A1242,CLASSNAMEHEADERS,0))),(INDEX(ALLCLASSDATA,MATCH("SimpleLimitedMaster",CLASSFEATUREHEADERS,0),MATCH(($A1242 &amp; "Points"),CLASSNAMEHEADERS,0))),(IF("09"=(INDEX(ALLCLASSDATA,MATCH("SimpleLimitedExpert",CLASSFEATUREHEADERS,0),MATCH($A1242,CLASSNAMEHEADERS,0))),(INDEX(ALLCLASSDATA,MATCH("SimpleLimitedExpert",CLASSFEATUREHEADERS,0),MATCH(($A1242 &amp; "Points"),CLASSNAMEHEADERS,0))),(IF("09"=(INDEX(ALLCLASSDATA,MATCH("SimpleLimitedTrained",CLASSFEATUREHEADERS,0),MATCH($A1242,CLASSNAMEHEADERS,0))),(INDEX(ALLCLASSDATA,MATCH("SimpleLimitedTrained",CLASSFEATUREHEADERS,0),MATCH(($A1242 &amp; "Points"),CLASSNAMEHEADERS,0))),"")))))))))}</f>
        <v>SIMPLELIMITEDL09</v>
      </c>
      <c r="Q1241" s="223"/>
      <c r="R1241" s="223" t="str">
        <f t="array" ref="R1241:R1242">{"SIMPLELIMITEDL11";((IF("11"=(INDEX(ALLCLASSDATA,MATCH("SimpleLimitedLegendary",CLASSFEATUREHEADERS,0),MATCH($A1242,CLASSNAMEHEADERS,0))),(INDEX(ALLCLASSDATA,MATCH("SimpleLimitedLegendary",CLASSFEATUREHEADERS,0),MATCH(($A1242 &amp; "Points"),CLASSNAMEHEADERS,0))),(IF("11"=(INDEX(ALLCLASSDATA,MATCH("SimpleLimitedMaster",CLASSFEATUREHEADERS,0),MATCH($A1242,CLASSNAMEHEADERS,0))),(INDEX(ALLCLASSDATA,MATCH("SimpleLimitedMaster",CLASSFEATUREHEADERS,0),MATCH(($A1242 &amp; "Points"),CLASSNAMEHEADERS,0))),(IF("11"=(INDEX(ALLCLASSDATA,MATCH("SimpleLimitedExpert",CLASSFEATUREHEADERS,0),MATCH($A1242,CLASSNAMEHEADERS,0))),(INDEX(ALLCLASSDATA,MATCH("SimpleLimitedExpert",CLASSFEATUREHEADERS,0),MATCH(($A1242 &amp; "Points"),CLASSNAMEHEADERS,0))),(IF("11"=(INDEX(ALLCLASSDATA,MATCH("SimpleLimitedTrained",CLASSFEATUREHEADERS,0),MATCH($A1242,CLASSNAMEHEADERS,0))),(INDEX(ALLCLASSDATA,MATCH("SimpleLimitedTrained",CLASSFEATUREHEADERS,0),MATCH(($A1242 &amp; "Points"),CLASSNAMEHEADERS,0))),"")))))))))}</f>
        <v>SIMPLELIMITEDL11</v>
      </c>
      <c r="S1241" s="223"/>
      <c r="T1241" s="223" t="str">
        <f t="array" ref="T1241:T1242">{"SIMPLELIMITEDL13";((IF("13"=(INDEX(ALLCLASSDATA,MATCH("SimpleLimitedLegendary",CLASSFEATUREHEADERS,0),MATCH($A1242,CLASSNAMEHEADERS,0))),(INDEX(ALLCLASSDATA,MATCH("SimpleLimitedLegendary",CLASSFEATUREHEADERS,0),MATCH(($A1242 &amp; "Points"),CLASSNAMEHEADERS,0))),(IF("13"=(INDEX(ALLCLASSDATA,MATCH("SimpleLimitedMaster",CLASSFEATUREHEADERS,0),MATCH($A1242,CLASSNAMEHEADERS,0))),(INDEX(ALLCLASSDATA,MATCH("SimpleLimitedMaster",CLASSFEATUREHEADERS,0),MATCH(($A1242 &amp; "Points"),CLASSNAMEHEADERS,0))),(IF("13"=(INDEX(ALLCLASSDATA,MATCH("SimpleLimitedExpert",CLASSFEATUREHEADERS,0),MATCH($A1242,CLASSNAMEHEADERS,0))),(INDEX(ALLCLASSDATA,MATCH("SimpleLimitedExpert",CLASSFEATUREHEADERS,0),MATCH(($A1242 &amp; "Points"),CLASSNAMEHEADERS,0))),(IF("13"=(INDEX(ALLCLASSDATA,MATCH("SimpleLimitedTrained",CLASSFEATUREHEADERS,0),MATCH($A1242,CLASSNAMEHEADERS,0))),(INDEX(ALLCLASSDATA,MATCH("SimpleLimitedTrained",CLASSFEATUREHEADERS,0),MATCH(($A1242 &amp; "Points"),CLASSNAMEHEADERS,0))),"")))))))))}</f>
        <v>SIMPLELIMITEDL13</v>
      </c>
      <c r="U1241" s="223"/>
      <c r="V1241" s="223" t="str">
        <f t="array" ref="V1241:V1242">{"SIMPLELIMITEDL15";((IF("15"=(INDEX(ALLCLASSDATA,MATCH("SimpleLimitedLegendary",CLASSFEATUREHEADERS,0),MATCH($A1242,CLASSNAMEHEADERS,0))),(INDEX(ALLCLASSDATA,MATCH("SimpleLimitedLegendary",CLASSFEATUREHEADERS,0),MATCH(($A1242 &amp; "Points"),CLASSNAMEHEADERS,0))),(IF("15"=(INDEX(ALLCLASSDATA,MATCH("SimpleLimitedMaster",CLASSFEATUREHEADERS,0),MATCH($A1242,CLASSNAMEHEADERS,0))),(INDEX(ALLCLASSDATA,MATCH("SimpleLimitedMaster",CLASSFEATUREHEADERS,0),MATCH(($A1242 &amp; "Points"),CLASSNAMEHEADERS,0))),(IF("15"=(INDEX(ALLCLASSDATA,MATCH("SimpleLimitedExpert",CLASSFEATUREHEADERS,0),MATCH($A1242,CLASSNAMEHEADERS,0))),(INDEX(ALLCLASSDATA,MATCH("SimpleLimitedExpert",CLASSFEATUREHEADERS,0),MATCH(($A1242 &amp; "Points"),CLASSNAMEHEADERS,0))),(IF("15"=(INDEX(ALLCLASSDATA,MATCH("SimpleLimitedTrained",CLASSFEATUREHEADERS,0),MATCH($A1242,CLASSNAMEHEADERS,0))),(INDEX(ALLCLASSDATA,MATCH("SimpleLimitedTrained",CLASSFEATUREHEADERS,0),MATCH(($A1242 &amp; "Points"),CLASSNAMEHEADERS,0))),"")))))))))}</f>
        <v>SIMPLELIMITEDL15</v>
      </c>
      <c r="W1241" s="223"/>
      <c r="X1241" s="223" t="str">
        <f t="array" ref="X1241:X1242">{"SIMPLELIMITEDL17";((IF("17"=(INDEX(ALLCLASSDATA,MATCH("SimpleLimitedLegendary",CLASSFEATUREHEADERS,0),MATCH($A1242,CLASSNAMEHEADERS,0))),(INDEX(ALLCLASSDATA,MATCH("SimpleLimitedLegendary",CLASSFEATUREHEADERS,0),MATCH(($A1242 &amp; "Points"),CLASSNAMEHEADERS,0))),(IF("17"=(INDEX(ALLCLASSDATA,MATCH("SimpleLimitedMaster",CLASSFEATUREHEADERS,0),MATCH($A1242,CLASSNAMEHEADERS,0))),(INDEX(ALLCLASSDATA,MATCH("SimpleLimitedMaster",CLASSFEATUREHEADERS,0),MATCH(($A1242 &amp; "Points"),CLASSNAMEHEADERS,0))),(IF("17"=(INDEX(ALLCLASSDATA,MATCH("SimpleLimitedExpert",CLASSFEATUREHEADERS,0),MATCH($A1242,CLASSNAMEHEADERS,0))),(INDEX(ALLCLASSDATA,MATCH("SimpleLimitedExpert",CLASSFEATUREHEADERS,0),MATCH(($A1242 &amp; "Points"),CLASSNAMEHEADERS,0))),(IF("17"=(INDEX(ALLCLASSDATA,MATCH("SimpleLimitedTrained",CLASSFEATUREHEADERS,0),MATCH($A1242,CLASSNAMEHEADERS,0))),(INDEX(ALLCLASSDATA,MATCH("SimpleLimitedTrained",CLASSFEATUREHEADERS,0),MATCH(($A1242 &amp; "Points"),CLASSNAMEHEADERS,0))),"")))))))))}</f>
        <v>SIMPLELIMITEDL17</v>
      </c>
      <c r="Y1241" s="223"/>
      <c r="Z1241" s="223" t="str">
        <f t="array" ref="Z1241:Z1242">{"SIMPLELIMITEDL19";((IF("19"=(INDEX(ALLCLASSDATA,MATCH("SimpleLimitedLegendary",CLASSFEATUREHEADERS,0),MATCH($A1242,CLASSNAMEHEADERS,0))),(INDEX(ALLCLASSDATA,MATCH("SimpleLimitedLegendary",CLASSFEATUREHEADERS,0),MATCH(($A1242 &amp; "Points"),CLASSNAMEHEADERS,0))),(IF("19"=(INDEX(ALLCLASSDATA,MATCH("SimpleLimitedMaster",CLASSFEATUREHEADERS,0),MATCH($A1242,CLASSNAMEHEADERS,0))),(INDEX(ALLCLASSDATA,MATCH("SimpleLimitedMaster",CLASSFEATUREHEADERS,0),MATCH(($A1242 &amp; "Points"),CLASSNAMEHEADERS,0))),(IF("19"=(INDEX(ALLCLASSDATA,MATCH("SimpleLimitedExpert",CLASSFEATUREHEADERS,0),MATCH($A1242,CLASSNAMEHEADERS,0))),(INDEX(ALLCLASSDATA,MATCH("SimpleLimitedExpert",CLASSFEATUREHEADERS,0),MATCH(($A1242 &amp; "Points"),CLASSNAMEHEADERS,0))),(IF("19"=(INDEX(ALLCLASSDATA,MATCH("SimpleLimitedTrained",CLASSFEATUREHEADERS,0),MATCH($A1242,CLASSNAMEHEADERS,0))),(INDEX(ALLCLASSDATA,MATCH("SimpleLimitedTrained",CLASSFEATUREHEADERS,0),MATCH(($A1242 &amp; "Points"),CLASSNAMEHEADERS,0))),"")))))))))}</f>
        <v>SIMPLELIMITEDL19</v>
      </c>
      <c r="AA1241" s="223"/>
      <c r="AB1241" s="76" t="str">
        <f t="array" ref="AB1241:AB1242">{"SIMPLELIMITED TOTAL";(IF(COUNTBLANK(G1242:AA1242)=17,"L",(IF(COUNTBLANK(G1242:AA1242)=18,"M",(IF(COUNTBLANK(G1242:AA1242)=19,"E",(IF(COUNTBLANK(G1242:AA1242)=20,"T",""))))))))}</f>
        <v>SIMPLELIMITED TOTAL</v>
      </c>
      <c r="AC1241" s="76" t="str">
        <f t="array" ref="AC1241:AC1242">{"SIMPLELIMITED TOTAL";(sum(G1242:AA1242))}</f>
        <v>SIMPLELIMITED TOTAL</v>
      </c>
    </row>
    <row r="1242">
      <c r="A1242" s="48" t="s">
        <v>199</v>
      </c>
      <c r="B1242" s="48"/>
      <c r="C1242" s="48" t="s">
        <v>417</v>
      </c>
      <c r="D1242" s="48" t="s">
        <v>1634</v>
      </c>
      <c r="E1242" s="48" t="s">
        <v>599</v>
      </c>
      <c r="F1242" s="5" t="s">
        <v>603</v>
      </c>
      <c r="G1242" s="47" t="s">
        <v>603</v>
      </c>
      <c r="H1242" s="5" t="s">
        <v>603</v>
      </c>
      <c r="I1242" s="5"/>
      <c r="J1242" s="5" t="s">
        <v>603</v>
      </c>
      <c r="K1242" s="5"/>
      <c r="L1242" s="5" t="s">
        <v>603</v>
      </c>
      <c r="M1242" s="5"/>
      <c r="N1242" s="5" t="s">
        <v>603</v>
      </c>
      <c r="O1242" s="5"/>
      <c r="P1242" s="5" t="s">
        <v>603</v>
      </c>
      <c r="Q1242" s="5"/>
      <c r="R1242" s="5" t="s">
        <v>603</v>
      </c>
      <c r="S1242" s="5"/>
      <c r="T1242" s="5" t="s">
        <v>603</v>
      </c>
      <c r="U1242" s="5"/>
      <c r="V1242" s="5" t="s">
        <v>603</v>
      </c>
      <c r="W1242" s="5"/>
      <c r="X1242" s="5" t="s">
        <v>603</v>
      </c>
      <c r="Y1242" s="5"/>
      <c r="Z1242" s="5" t="s">
        <v>603</v>
      </c>
      <c r="AA1242" s="5"/>
      <c r="AB1242" s="5" t="s">
        <v>603</v>
      </c>
      <c r="AC1242" s="47">
        <v>0.0</v>
      </c>
    </row>
    <row r="1243" hidden="1">
      <c r="A1243" s="222" t="str">
        <f t="array" ref="A1243:A1244">{"FormulaRow29";(INDEX(CLASSLIST,A1186,1))}</f>
        <v>FormulaRow29</v>
      </c>
      <c r="B1243" s="77" t="s">
        <v>236</v>
      </c>
      <c r="C1243" s="222" t="str">
        <f t="array" ref="C1243:C1244">{"CLASSTYPE";((INDEX(ALLCLASSDATA,MATCH("ClassType",CLASSFEATUREHEADERS,0),MATCH($A1244,CLASSNAMEHEADERS,0))))}</f>
        <v>CLASSTYPE</v>
      </c>
      <c r="D1243" s="222" t="str">
        <f t="array" ref="D1243:D1244">{"ATTACK";"Attack"}</f>
        <v>ATTACK</v>
      </c>
      <c r="E1243" s="222" t="str">
        <f t="array" ref="E1243:E1244">{"SIMPLE";"Simple"}</f>
        <v>SIMPLE</v>
      </c>
      <c r="F1243" s="223" t="str">
        <f t="array" ref="F1243:F1244">{"SIMPLEINITIAL";((IF(H1244=10,"T",(IF(H1244=50,"E","")))))}</f>
        <v>SIMPLEINITIAL</v>
      </c>
      <c r="G1243" s="223" t="str">
        <f t="array" ref="G1243:G1244">{"SIMPLEINITIALPTS";((IF("00"=(INDEX(ALLCLASSDATA,MATCH("SimpleLegendary",CLASSFEATUREHEADERS,0),MATCH($A1244,CLASSNAMEHEADERS,0))),(INDEX(ALLCLASSDATA,MATCH("SimpleLegendary",CLASSFEATUREHEADERS,0),MATCH(($A1244 &amp; "Points"),CLASSNAMEHEADERS,0))),(IF("00"=(INDEX(ALLCLASSDATA,MATCH("SimpleMaster",CLASSFEATUREHEADERS,0),MATCH($A1244,CLASSNAMEHEADERS,0))),(INDEX(ALLCLASSDATA,MATCH("SimpleMaster",CLASSFEATUREHEADERS,0),MATCH(($A1244 &amp; "Points"),CLASSNAMEHEADERS,0))),(IF("00"=(INDEX(ALLCLASSDATA,MATCH("SimpleExpert",CLASSFEATUREHEADERS,0),MATCH($A1244,CLASSNAMEHEADERS,0))),(INDEX(ALLCLASSDATA,MATCH("SimpleExpert",CLASSFEATUREHEADERS,0),MATCH(($A1244 &amp; "Points"),CLASSNAMEHEADERS,0))),(IF("00"=(INDEX(ALLCLASSDATA,MATCH("SimpleTrained",CLASSFEATUREHEADERS,0),MATCH($A1244,CLASSNAMEHEADERS,0))),(INDEX(ALLCLASSDATA,MATCH("SimpleTrained",CLASSFEATUREHEADERS,0),MATCH(($A1244 &amp; "Points"),CLASSNAMEHEADERS,0))),"")))))))))}</f>
        <v>SIMPLEINITIALPTS</v>
      </c>
      <c r="H1243" s="223" t="str">
        <f t="array" ref="H1243:H1244">{"SIMPLEL01";((IF("01"=(INDEX(ALLCLASSDATA,MATCH("SimpleLegendary",CLASSFEATUREHEADERS,0),MATCH($A1244,CLASSNAMEHEADERS,0))),(INDEX(ALLCLASSDATA,MATCH("SimpleLegendary",CLASSFEATUREHEADERS,0),MATCH(($A1244 &amp; "Points"),CLASSNAMEHEADERS,0))),(IF("01"=(INDEX(ALLCLASSDATA,MATCH("SimpleMaster",CLASSFEATUREHEADERS,0),MATCH($A1244,CLASSNAMEHEADERS,0))),(INDEX(ALLCLASSDATA,MATCH("SimpleMaster",CLASSFEATUREHEADERS,0),MATCH(($A1244 &amp; "Points"),CLASSNAMEHEADERS,0))),(IF("01"=(INDEX(ALLCLASSDATA,MATCH("SimpleExpert",CLASSFEATUREHEADERS,0),MATCH($A1244,CLASSNAMEHEADERS,0))),(INDEX(ALLCLASSDATA,MATCH("SimpleExpert",CLASSFEATUREHEADERS,0),MATCH(($A1244 &amp; "Points"),CLASSNAMEHEADERS,0))),(IF("01"=(INDEX(ALLCLASSDATA,MATCH("SimpleTrained",CLASSFEATUREHEADERS,0),MATCH($A1244,CLASSNAMEHEADERS,0))),(INDEX(ALLCLASSDATA,MATCH("SimpleTrained",CLASSFEATUREHEADERS,0),MATCH(($A1244 &amp; "Points"),CLASSNAMEHEADERS,0))),"")))))))))}</f>
        <v>SIMPLEL01</v>
      </c>
      <c r="I1243" s="223"/>
      <c r="J1243" s="223" t="str">
        <f t="array" ref="J1243:J1244">{"SIMPLEL03";((IF("03"=(INDEX(ALLCLASSDATA,MATCH("SimpleLegendary",CLASSFEATUREHEADERS,0),MATCH($A1244,CLASSNAMEHEADERS,0))),(INDEX(ALLCLASSDATA,MATCH("SimpleLegendary",CLASSFEATUREHEADERS,0),MATCH(($A1244 &amp; "Points"),CLASSNAMEHEADERS,0))),(IF("03"=(INDEX(ALLCLASSDATA,MATCH("SimpleMaster",CLASSFEATUREHEADERS,0),MATCH($A1244,CLASSNAMEHEADERS,0))),(INDEX(ALLCLASSDATA,MATCH("SimpleMaster",CLASSFEATUREHEADERS,0),MATCH(($A1244 &amp; "Points"),CLASSNAMEHEADERS,0))),(IF("03"=(INDEX(ALLCLASSDATA,MATCH("SimpleExpert",CLASSFEATUREHEADERS,0),MATCH($A1244,CLASSNAMEHEADERS,0))),(INDEX(ALLCLASSDATA,MATCH("SimpleExpert",CLASSFEATUREHEADERS,0),MATCH(($A1244 &amp; "Points"),CLASSNAMEHEADERS,0))),(IF("03"=(INDEX(ALLCLASSDATA,MATCH("SimpleTrained",CLASSFEATUREHEADERS,0),MATCH($A1244,CLASSNAMEHEADERS,0))),(INDEX(ALLCLASSDATA,MATCH("SimpleTrained",CLASSFEATUREHEADERS,0),MATCH(($A1244 &amp; "Points"),CLASSNAMEHEADERS,0))),"")))))))))}</f>
        <v>SIMPLEL03</v>
      </c>
      <c r="K1243" s="223"/>
      <c r="L1243" s="223" t="str">
        <f t="array" ref="L1243:L1244">{"SIMPLEL05";((IF("05"=(INDEX(ALLCLASSDATA,MATCH("SimpleLegendary",CLASSFEATUREHEADERS,0),MATCH($A1244,CLASSNAMEHEADERS,0))),(INDEX(ALLCLASSDATA,MATCH("SimpleLegendary",CLASSFEATUREHEADERS,0),MATCH(($A1244 &amp; "Points"),CLASSNAMEHEADERS,0))),(IF("05"=(INDEX(ALLCLASSDATA,MATCH("SimpleMaster",CLASSFEATUREHEADERS,0),MATCH($A1244,CLASSNAMEHEADERS,0))),(INDEX(ALLCLASSDATA,MATCH("SimpleMaster",CLASSFEATUREHEADERS,0),MATCH(($A1244 &amp; "Points"),CLASSNAMEHEADERS,0))),(IF("05"=(INDEX(ALLCLASSDATA,MATCH("SimpleExpert",CLASSFEATUREHEADERS,0),MATCH($A1244,CLASSNAMEHEADERS,0))),(INDEX(ALLCLASSDATA,MATCH("SimpleExpert",CLASSFEATUREHEADERS,0),MATCH(($A1244 &amp; "Points"),CLASSNAMEHEADERS,0))),(IF("05"=(INDEX(ALLCLASSDATA,MATCH("SimpleTrained",CLASSFEATUREHEADERS,0),MATCH($A1244,CLASSNAMEHEADERS,0))),(INDEX(ALLCLASSDATA,MATCH("SimpleTrained",CLASSFEATUREHEADERS,0),MATCH(($A1244 &amp; "Points"),CLASSNAMEHEADERS,0))),"")))))))))}</f>
        <v>SIMPLEL05</v>
      </c>
      <c r="M1243" s="223"/>
      <c r="N1243" s="223" t="str">
        <f t="array" ref="N1243:N1244">{"SIMPLEL07";((IF("07"=(INDEX(ALLCLASSDATA,MATCH("SimpleLegendary",CLASSFEATUREHEADERS,0),MATCH($A1244,CLASSNAMEHEADERS,0))),(INDEX(ALLCLASSDATA,MATCH("SimpleLegendary",CLASSFEATUREHEADERS,0),MATCH(($A1244 &amp; "Points"),CLASSNAMEHEADERS,0))),(IF("07"=(INDEX(ALLCLASSDATA,MATCH("SimpleMaster",CLASSFEATUREHEADERS,0),MATCH($A1244,CLASSNAMEHEADERS,0))),(INDEX(ALLCLASSDATA,MATCH("SimpleMaster",CLASSFEATUREHEADERS,0),MATCH(($A1244 &amp; "Points"),CLASSNAMEHEADERS,0))),(IF("07"=(INDEX(ALLCLASSDATA,MATCH("SimpleExpert",CLASSFEATUREHEADERS,0),MATCH($A1244,CLASSNAMEHEADERS,0))),(INDEX(ALLCLASSDATA,MATCH("SimpleExpert",CLASSFEATUREHEADERS,0),MATCH(($A1244 &amp; "Points"),CLASSNAMEHEADERS,0))),(IF("07"=(INDEX(ALLCLASSDATA,MATCH("SimpleTrained",CLASSFEATUREHEADERS,0),MATCH($A1244,CLASSNAMEHEADERS,0))),(INDEX(ALLCLASSDATA,MATCH("SimpleTrained",CLASSFEATUREHEADERS,0),MATCH(($A1244 &amp; "Points"),CLASSNAMEHEADERS,0))),"")))))))))}</f>
        <v>SIMPLEL07</v>
      </c>
      <c r="O1243" s="223"/>
      <c r="P1243" s="223" t="str">
        <f t="array" ref="P1243:P1244">{"SIMPLEL09";((IF("09"=(INDEX(ALLCLASSDATA,MATCH("SimpleLegendary",CLASSFEATUREHEADERS,0),MATCH($A1244,CLASSNAMEHEADERS,0))),(INDEX(ALLCLASSDATA,MATCH("SimpleLegendary",CLASSFEATUREHEADERS,0),MATCH(($A1244 &amp; "Points"),CLASSNAMEHEADERS,0))),(IF("09"=(INDEX(ALLCLASSDATA,MATCH("SimpleMaster",CLASSFEATUREHEADERS,0),MATCH($A1244,CLASSNAMEHEADERS,0))),(INDEX(ALLCLASSDATA,MATCH("SimpleMaster",CLASSFEATUREHEADERS,0),MATCH(($A1244 &amp; "Points"),CLASSNAMEHEADERS,0))),(IF("09"=(INDEX(ALLCLASSDATA,MATCH("SimpleExpert",CLASSFEATUREHEADERS,0),MATCH($A1244,CLASSNAMEHEADERS,0))),(INDEX(ALLCLASSDATA,MATCH("SimpleExpert",CLASSFEATUREHEADERS,0),MATCH(($A1244 &amp; "Points"),CLASSNAMEHEADERS,0))),(IF("09"=(INDEX(ALLCLASSDATA,MATCH("SimpleTrained",CLASSFEATUREHEADERS,0),MATCH($A1244,CLASSNAMEHEADERS,0))),(INDEX(ALLCLASSDATA,MATCH("SimpleTrained",CLASSFEATUREHEADERS,0),MATCH(($A1244 &amp; "Points"),CLASSNAMEHEADERS,0))),"")))))))))}</f>
        <v>SIMPLEL09</v>
      </c>
      <c r="Q1243" s="223"/>
      <c r="R1243" s="223" t="str">
        <f t="array" ref="R1243:R1244">{"SIMPLEL11";((IF("11"=(INDEX(ALLCLASSDATA,MATCH("SimpleLegendary",CLASSFEATUREHEADERS,0),MATCH($A1244,CLASSNAMEHEADERS,0))),(INDEX(ALLCLASSDATA,MATCH("SimpleLegendary",CLASSFEATUREHEADERS,0),MATCH(($A1244 &amp; "Points"),CLASSNAMEHEADERS,0))),(IF("11"=(INDEX(ALLCLASSDATA,MATCH("SimpleMaster",CLASSFEATUREHEADERS,0),MATCH($A1244,CLASSNAMEHEADERS,0))),(INDEX(ALLCLASSDATA,MATCH("SimpleMaster",CLASSFEATUREHEADERS,0),MATCH(($A1244 &amp; "Points"),CLASSNAMEHEADERS,0))),(IF("11"=(INDEX(ALLCLASSDATA,MATCH("SimpleExpert",CLASSFEATUREHEADERS,0),MATCH($A1244,CLASSNAMEHEADERS,0))),(INDEX(ALLCLASSDATA,MATCH("SimpleExpert",CLASSFEATUREHEADERS,0),MATCH(($A1244 &amp; "Points"),CLASSNAMEHEADERS,0))),(IF("11"=(INDEX(ALLCLASSDATA,MATCH("SimpleTrained",CLASSFEATUREHEADERS,0),MATCH($A1244,CLASSNAMEHEADERS,0))),(INDEX(ALLCLASSDATA,MATCH("SimpleTrained",CLASSFEATUREHEADERS,0),MATCH(($A1244 &amp; "Points"),CLASSNAMEHEADERS,0))),"")))))))))}</f>
        <v>SIMPLEL11</v>
      </c>
      <c r="S1243" s="223"/>
      <c r="T1243" s="223" t="str">
        <f t="array" ref="T1243:T1244">{"SIMPLEL13";((IF("13"=(INDEX(ALLCLASSDATA,MATCH("SimpleLegendary",CLASSFEATUREHEADERS,0),MATCH($A1244,CLASSNAMEHEADERS,0))),(INDEX(ALLCLASSDATA,MATCH("SimpleLegendary",CLASSFEATUREHEADERS,0),MATCH(($A1244 &amp; "Points"),CLASSNAMEHEADERS,0))),(IF("13"=(INDEX(ALLCLASSDATA,MATCH("SimpleMaster",CLASSFEATUREHEADERS,0),MATCH($A1244,CLASSNAMEHEADERS,0))),(INDEX(ALLCLASSDATA,MATCH("SimpleMaster",CLASSFEATUREHEADERS,0),MATCH(($A1244 &amp; "Points"),CLASSNAMEHEADERS,0))),(IF("13"=(INDEX(ALLCLASSDATA,MATCH("SimpleExpert",CLASSFEATUREHEADERS,0),MATCH($A1244,CLASSNAMEHEADERS,0))),(INDEX(ALLCLASSDATA,MATCH("SimpleExpert",CLASSFEATUREHEADERS,0),MATCH(($A1244 &amp; "Points"),CLASSNAMEHEADERS,0))),(IF("13"=(INDEX(ALLCLASSDATA,MATCH("SimpleTrained",CLASSFEATUREHEADERS,0),MATCH($A1244,CLASSNAMEHEADERS,0))),(INDEX(ALLCLASSDATA,MATCH("SimpleTrained",CLASSFEATUREHEADERS,0),MATCH(($A1244 &amp; "Points"),CLASSNAMEHEADERS,0))),"")))))))))}</f>
        <v>SIMPLEL13</v>
      </c>
      <c r="U1243" s="223"/>
      <c r="V1243" s="223" t="str">
        <f t="array" ref="V1243:V1244">{"SIMPLEL15";((IF("15"=(INDEX(ALLCLASSDATA,MATCH("SimpleLegendary",CLASSFEATUREHEADERS,0),MATCH($A1244,CLASSNAMEHEADERS,0))),(INDEX(ALLCLASSDATA,MATCH("SimpleLegendary",CLASSFEATUREHEADERS,0),MATCH(($A1244 &amp; "Points"),CLASSNAMEHEADERS,0))),(IF("15"=(INDEX(ALLCLASSDATA,MATCH("SimpleMaster",CLASSFEATUREHEADERS,0),MATCH($A1244,CLASSNAMEHEADERS,0))),(INDEX(ALLCLASSDATA,MATCH("SimpleMaster",CLASSFEATUREHEADERS,0),MATCH(($A1244 &amp; "Points"),CLASSNAMEHEADERS,0))),(IF("15"=(INDEX(ALLCLASSDATA,MATCH("SimpleExpert",CLASSFEATUREHEADERS,0),MATCH($A1244,CLASSNAMEHEADERS,0))),(INDEX(ALLCLASSDATA,MATCH("SimpleExpert",CLASSFEATUREHEADERS,0),MATCH(($A1244 &amp; "Points"),CLASSNAMEHEADERS,0))),(IF("15"=(INDEX(ALLCLASSDATA,MATCH("SimpleTrained",CLASSFEATUREHEADERS,0),MATCH($A1244,CLASSNAMEHEADERS,0))),(INDEX(ALLCLASSDATA,MATCH("SimpleTrained",CLASSFEATUREHEADERS,0),MATCH(($A1244 &amp; "Points"),CLASSNAMEHEADERS,0))),"")))))))))}</f>
        <v>SIMPLEL15</v>
      </c>
      <c r="W1243" s="223"/>
      <c r="X1243" s="223" t="str">
        <f t="array" ref="X1243:X1244">{"SIMPLEL17";((IF("17"=(INDEX(ALLCLASSDATA,MATCH("SimpleLegendary",CLASSFEATUREHEADERS,0),MATCH($A1244,CLASSNAMEHEADERS,0))),(INDEX(ALLCLASSDATA,MATCH("SimpleLegendary",CLASSFEATUREHEADERS,0),MATCH(($A1244 &amp; "Points"),CLASSNAMEHEADERS,0))),(IF("17"=(INDEX(ALLCLASSDATA,MATCH("SimpleMaster",CLASSFEATUREHEADERS,0),MATCH($A1244,CLASSNAMEHEADERS,0))),(INDEX(ALLCLASSDATA,MATCH("SimpleMaster",CLASSFEATUREHEADERS,0),MATCH(($A1244 &amp; "Points"),CLASSNAMEHEADERS,0))),(IF("17"=(INDEX(ALLCLASSDATA,MATCH("SimpleExpert",CLASSFEATUREHEADERS,0),MATCH($A1244,CLASSNAMEHEADERS,0))),(INDEX(ALLCLASSDATA,MATCH("SimpleExpert",CLASSFEATUREHEADERS,0),MATCH(($A1244 &amp; "Points"),CLASSNAMEHEADERS,0))),(IF("17"=(INDEX(ALLCLASSDATA,MATCH("SimpleTrained",CLASSFEATUREHEADERS,0),MATCH($A1244,CLASSNAMEHEADERS,0))),(INDEX(ALLCLASSDATA,MATCH("SimpleTrained",CLASSFEATUREHEADERS,0),MATCH(($A1244 &amp; "Points"),CLASSNAMEHEADERS,0))),"")))))))))}</f>
        <v>SIMPLEL17</v>
      </c>
      <c r="Y1243" s="223"/>
      <c r="Z1243" s="223" t="str">
        <f t="array" ref="Z1243:Z1244">{"SIMPLEL19";((IF("19"=(INDEX(ALLCLASSDATA,MATCH("SimpleLegendary",CLASSFEATUREHEADERS,0),MATCH($A1244,CLASSNAMEHEADERS,0))),(INDEX(ALLCLASSDATA,MATCH("SimpleLegendary",CLASSFEATUREHEADERS,0),MATCH(($A1244 &amp; "Points"),CLASSNAMEHEADERS,0))),(IF("19"=(INDEX(ALLCLASSDATA,MATCH("SimpleMaster",CLASSFEATUREHEADERS,0),MATCH($A1244,CLASSNAMEHEADERS,0))),(INDEX(ALLCLASSDATA,MATCH("SimpleMaster",CLASSFEATUREHEADERS,0),MATCH(($A1244 &amp; "Points"),CLASSNAMEHEADERS,0))),(IF("19"=(INDEX(ALLCLASSDATA,MATCH("SimpleExpert",CLASSFEATUREHEADERS,0),MATCH($A1244,CLASSNAMEHEADERS,0))),(INDEX(ALLCLASSDATA,MATCH("SimpleExpert",CLASSFEATUREHEADERS,0),MATCH(($A1244 &amp; "Points"),CLASSNAMEHEADERS,0))),(IF("19"=(INDEX(ALLCLASSDATA,MATCH("SimpleTrained",CLASSFEATUREHEADERS,0),MATCH($A1244,CLASSNAMEHEADERS,0))),(INDEX(ALLCLASSDATA,MATCH("SimpleTrained",CLASSFEATUREHEADERS,0),MATCH(($A1244 &amp; "Points"),CLASSNAMEHEADERS,0))),"")))))))))}</f>
        <v>SIMPLEL19</v>
      </c>
      <c r="AA1243" s="223"/>
      <c r="AB1243" s="76" t="str">
        <f t="array" ref="AB1243:AB1244">{"SIMPLE TOTAL";(IF(COUNTBLANK(G1244:AA1244)=17,"L",(IF(COUNTBLANK(G1244:AA1244)=18,"M",(IF(COUNTBLANK(G1244:AA1244)=19,"E",(IF(COUNTBLANK(G1244:AA1244)=20,"T",""))))))))}</f>
        <v>SIMPLE TOTAL</v>
      </c>
      <c r="AC1243" s="76" t="str">
        <f t="array" ref="AC1243:AC1244">{"SIMPLE TOTAL";(sum(G1244:AA1244))}</f>
        <v>SIMPLE TOTAL</v>
      </c>
    </row>
    <row r="1244">
      <c r="A1244" s="48" t="s">
        <v>199</v>
      </c>
      <c r="B1244" s="48"/>
      <c r="C1244" s="48" t="s">
        <v>417</v>
      </c>
      <c r="D1244" s="48" t="s">
        <v>1634</v>
      </c>
      <c r="E1244" s="48" t="s">
        <v>68</v>
      </c>
      <c r="F1244" s="5" t="s">
        <v>435</v>
      </c>
      <c r="G1244" s="47" t="s">
        <v>603</v>
      </c>
      <c r="H1244" s="5">
        <v>10.0</v>
      </c>
      <c r="I1244" s="5"/>
      <c r="J1244" s="5" t="s">
        <v>603</v>
      </c>
      <c r="K1244" s="5"/>
      <c r="L1244" s="5" t="s">
        <v>436</v>
      </c>
      <c r="M1244" s="5"/>
      <c r="N1244" s="5" t="s">
        <v>603</v>
      </c>
      <c r="O1244" s="5"/>
      <c r="P1244" s="5" t="s">
        <v>603</v>
      </c>
      <c r="Q1244" s="5"/>
      <c r="R1244" s="5" t="s">
        <v>603</v>
      </c>
      <c r="S1244" s="5"/>
      <c r="T1244" s="5" t="s">
        <v>437</v>
      </c>
      <c r="U1244" s="5"/>
      <c r="V1244" s="5" t="s">
        <v>603</v>
      </c>
      <c r="W1244" s="5"/>
      <c r="X1244" s="5" t="s">
        <v>603</v>
      </c>
      <c r="Y1244" s="5"/>
      <c r="Z1244" s="5" t="s">
        <v>603</v>
      </c>
      <c r="AA1244" s="5"/>
      <c r="AB1244" s="5" t="s">
        <v>437</v>
      </c>
      <c r="AC1244" s="47">
        <v>10.0</v>
      </c>
    </row>
    <row r="1245" hidden="1">
      <c r="A1245" s="222" t="str">
        <f t="array" ref="A1245:A1246">{"FormulaRow30";(INDEX(CLASSLIST,A1186,1))}</f>
        <v>FormulaRow30</v>
      </c>
      <c r="B1245" s="77" t="s">
        <v>236</v>
      </c>
      <c r="C1245" s="222" t="str">
        <f t="array" ref="C1245:C1246">{"CLASSTYPE";((INDEX(ALLCLASSDATA,MATCH("ClassType",CLASSFEATUREHEADERS,0),MATCH($A1246,CLASSNAMEHEADERS,0))))}</f>
        <v>CLASSTYPE</v>
      </c>
      <c r="D1245" s="222" t="str">
        <f t="array" ref="D1245:D1246">{"ATTACK";"Attack"}</f>
        <v>ATTACK</v>
      </c>
      <c r="E1245" s="222" t="str">
        <f t="array" ref="E1245:E1246">{"MARTIALLIMITED";"MartialLimited"}</f>
        <v>MARTIALLIMITED</v>
      </c>
      <c r="F1245" s="223" t="str">
        <f t="array" ref="F1245:F1246">{"MARTIALLIMITEDINITIAL";((IF(H1246=10,"T",(IF(H1246=50,"E","")))))}</f>
        <v>MARTIALLIMITEDINITIAL</v>
      </c>
      <c r="G1245" s="223" t="str">
        <f t="array" ref="G1245:G1246">{"MARTIALLIMITEDINITIALPTS";((IF("00"=(INDEX(ALLCLASSDATA,MATCH("MartialLimitedLegendary",CLASSFEATUREHEADERS,0),MATCH($A1246,CLASSNAMEHEADERS,0))),(INDEX(ALLCLASSDATA,MATCH("MartialLimitedLegendary",CLASSFEATUREHEADERS,0),MATCH(($A1246 &amp; "Points"),CLASSNAMEHEADERS,0))),(IF("00"=(INDEX(ALLCLASSDATA,MATCH("MartialLimitedMaster",CLASSFEATUREHEADERS,0),MATCH($A1246,CLASSNAMEHEADERS,0))),(INDEX(ALLCLASSDATA,MATCH("MartialLimitedMaster",CLASSFEATUREHEADERS,0),MATCH(($A1246 &amp; "Points"),CLASSNAMEHEADERS,0))),(IF("00"=(INDEX(ALLCLASSDATA,MATCH("MartialLimitedExpert",CLASSFEATUREHEADERS,0),MATCH($A1246,CLASSNAMEHEADERS,0))),(INDEX(ALLCLASSDATA,MATCH("MartialLimitedExpert",CLASSFEATUREHEADERS,0),MATCH(($A1246 &amp; "Points"),CLASSNAMEHEADERS,0))),(IF("00"=(INDEX(ALLCLASSDATA,MATCH("MartialLimitedTrained",CLASSFEATUREHEADERS,0),MATCH($A1246,CLASSNAMEHEADERS,0))),(INDEX(ALLCLASSDATA,MATCH("MartialLimitedTrained",CLASSFEATUREHEADERS,0),MATCH(($A1246 &amp; "Points"),CLASSNAMEHEADERS,0))),"")))))))))}</f>
        <v>MARTIALLIMITEDINITIALPTS</v>
      </c>
      <c r="H1245" s="223" t="str">
        <f t="array" ref="H1245:H1246">{"MARTIALLIMITEDL01";((IF("01"=(INDEX(ALLCLASSDATA,MATCH("MartialLimitedLegendary",CLASSFEATUREHEADERS,0),MATCH($A1246,CLASSNAMEHEADERS,0))),(INDEX(ALLCLASSDATA,MATCH("MartialLimitedLegendary",CLASSFEATUREHEADERS,0),MATCH(($A1246 &amp; "Points"),CLASSNAMEHEADERS,0))),(IF("01"=(INDEX(ALLCLASSDATA,MATCH("MartialLimitedMaster",CLASSFEATUREHEADERS,0),MATCH($A1246,CLASSNAMEHEADERS,0))),(INDEX(ALLCLASSDATA,MATCH("MartialLimitedMaster",CLASSFEATUREHEADERS,0),MATCH(($A1246 &amp; "Points"),CLASSNAMEHEADERS,0))),(IF("01"=(INDEX(ALLCLASSDATA,MATCH("MartialLimitedExpert",CLASSFEATUREHEADERS,0),MATCH($A1246,CLASSNAMEHEADERS,0))),(INDEX(ALLCLASSDATA,MATCH("MartialLimitedExpert",CLASSFEATUREHEADERS,0),MATCH(($A1246 &amp; "Points"),CLASSNAMEHEADERS,0))),(IF("01"=(INDEX(ALLCLASSDATA,MATCH("MartialLimitedTrained",CLASSFEATUREHEADERS,0),MATCH($A1246,CLASSNAMEHEADERS,0))),(INDEX(ALLCLASSDATA,MATCH("MartialLimitedTrained",CLASSFEATUREHEADERS,0),MATCH(($A1246 &amp; "Points"),CLASSNAMEHEADERS,0))),"")))))))))}</f>
        <v>MARTIALLIMITEDL01</v>
      </c>
      <c r="I1245" s="223"/>
      <c r="J1245" s="223" t="str">
        <f t="array" ref="J1245:J1246">{"MARTIALLIMITEDL03";((IF("03"=(INDEX(ALLCLASSDATA,MATCH("MartialLimitedLegendary",CLASSFEATUREHEADERS,0),MATCH($A1246,CLASSNAMEHEADERS,0))),(INDEX(ALLCLASSDATA,MATCH("MartialLimitedLegendary",CLASSFEATUREHEADERS,0),MATCH(($A1246 &amp; "Points"),CLASSNAMEHEADERS,0))),(IF("03"=(INDEX(ALLCLASSDATA,MATCH("MartialLimitedMaster",CLASSFEATUREHEADERS,0),MATCH($A1246,CLASSNAMEHEADERS,0))),(INDEX(ALLCLASSDATA,MATCH("MartialLimitedMaster",CLASSFEATUREHEADERS,0),MATCH(($A1246 &amp; "Points"),CLASSNAMEHEADERS,0))),(IF("03"=(INDEX(ALLCLASSDATA,MATCH("MartialLimitedExpert",CLASSFEATUREHEADERS,0),MATCH($A1246,CLASSNAMEHEADERS,0))),(INDEX(ALLCLASSDATA,MATCH("MartialLimitedExpert",CLASSFEATUREHEADERS,0),MATCH(($A1246 &amp; "Points"),CLASSNAMEHEADERS,0))),(IF("03"=(INDEX(ALLCLASSDATA,MATCH("MartialLimitedTrained",CLASSFEATUREHEADERS,0),MATCH($A1246,CLASSNAMEHEADERS,0))),(INDEX(ALLCLASSDATA,MATCH("MartialLimitedTrained",CLASSFEATUREHEADERS,0),MATCH(($A1246 &amp; "Points"),CLASSNAMEHEADERS,0))),"")))))))))}</f>
        <v>MARTIALLIMITEDL03</v>
      </c>
      <c r="K1245" s="223"/>
      <c r="L1245" s="223" t="str">
        <f t="array" ref="L1245:L1246">{"MARTIALLIMITEDL05";((IF("05"=(INDEX(ALLCLASSDATA,MATCH("MartialLimitedLegendary",CLASSFEATUREHEADERS,0),MATCH($A1246,CLASSNAMEHEADERS,0))),(INDEX(ALLCLASSDATA,MATCH("MartialLimitedLegendary",CLASSFEATUREHEADERS,0),MATCH(($A1246 &amp; "Points"),CLASSNAMEHEADERS,0))),(IF("05"=(INDEX(ALLCLASSDATA,MATCH("MartialLimitedMaster",CLASSFEATUREHEADERS,0),MATCH($A1246,CLASSNAMEHEADERS,0))),(INDEX(ALLCLASSDATA,MATCH("MartialLimitedMaster",CLASSFEATUREHEADERS,0),MATCH(($A1246 &amp; "Points"),CLASSNAMEHEADERS,0))),(IF("05"=(INDEX(ALLCLASSDATA,MATCH("MartialLimitedExpert",CLASSFEATUREHEADERS,0),MATCH($A1246,CLASSNAMEHEADERS,0))),(INDEX(ALLCLASSDATA,MATCH("MartialLimitedExpert",CLASSFEATUREHEADERS,0),MATCH(($A1246 &amp; "Points"),CLASSNAMEHEADERS,0))),(IF("05"=(INDEX(ALLCLASSDATA,MATCH("MartialLimitedTrained",CLASSFEATUREHEADERS,0),MATCH($A1246,CLASSNAMEHEADERS,0))),(INDEX(ALLCLASSDATA,MATCH("MartialLimitedTrained",CLASSFEATUREHEADERS,0),MATCH(($A1246 &amp; "Points"),CLASSNAMEHEADERS,0))),"")))))))))}</f>
        <v>MARTIALLIMITEDL05</v>
      </c>
      <c r="M1245" s="223"/>
      <c r="N1245" s="223" t="str">
        <f t="array" ref="N1245:N1246">{"MARTIALLIMITEDL07";((IF("07"=(INDEX(ALLCLASSDATA,MATCH("MartialLimitedLegendary",CLASSFEATUREHEADERS,0),MATCH($A1246,CLASSNAMEHEADERS,0))),(INDEX(ALLCLASSDATA,MATCH("MartialLimitedLegendary",CLASSFEATUREHEADERS,0),MATCH(($A1246 &amp; "Points"),CLASSNAMEHEADERS,0))),(IF("07"=(INDEX(ALLCLASSDATA,MATCH("MartialLimitedMaster",CLASSFEATUREHEADERS,0),MATCH($A1246,CLASSNAMEHEADERS,0))),(INDEX(ALLCLASSDATA,MATCH("MartialLimitedMaster",CLASSFEATUREHEADERS,0),MATCH(($A1246 &amp; "Points"),CLASSNAMEHEADERS,0))),(IF("07"=(INDEX(ALLCLASSDATA,MATCH("MartialLimitedExpert",CLASSFEATUREHEADERS,0),MATCH($A1246,CLASSNAMEHEADERS,0))),(INDEX(ALLCLASSDATA,MATCH("MartialLimitedExpert",CLASSFEATUREHEADERS,0),MATCH(($A1246 &amp; "Points"),CLASSNAMEHEADERS,0))),(IF("07"=(INDEX(ALLCLASSDATA,MATCH("MartialLimitedTrained",CLASSFEATUREHEADERS,0),MATCH($A1246,CLASSNAMEHEADERS,0))),(INDEX(ALLCLASSDATA,MATCH("MartialLimitedTrained",CLASSFEATUREHEADERS,0),MATCH(($A1246 &amp; "Points"),CLASSNAMEHEADERS,0))),"")))))))))}</f>
        <v>MARTIALLIMITEDL07</v>
      </c>
      <c r="O1245" s="223"/>
      <c r="P1245" s="223" t="str">
        <f t="array" ref="P1245:P1246">{"MARTIALLIMITEDL09";((IF("09"=(INDEX(ALLCLASSDATA,MATCH("MartialLimitedLegendary",CLASSFEATUREHEADERS,0),MATCH($A1246,CLASSNAMEHEADERS,0))),(INDEX(ALLCLASSDATA,MATCH("MartialLimitedLegendary",CLASSFEATUREHEADERS,0),MATCH(($A1246 &amp; "Points"),CLASSNAMEHEADERS,0))),(IF("09"=(INDEX(ALLCLASSDATA,MATCH("MartialLimitedMaster",CLASSFEATUREHEADERS,0),MATCH($A1246,CLASSNAMEHEADERS,0))),(INDEX(ALLCLASSDATA,MATCH("MartialLimitedMaster",CLASSFEATUREHEADERS,0),MATCH(($A1246 &amp; "Points"),CLASSNAMEHEADERS,0))),(IF("09"=(INDEX(ALLCLASSDATA,MATCH("MartialLimitedExpert",CLASSFEATUREHEADERS,0),MATCH($A1246,CLASSNAMEHEADERS,0))),(INDEX(ALLCLASSDATA,MATCH("MartialLimitedExpert",CLASSFEATUREHEADERS,0),MATCH(($A1246 &amp; "Points"),CLASSNAMEHEADERS,0))),(IF("09"=(INDEX(ALLCLASSDATA,MATCH("MartialLimitedTrained",CLASSFEATUREHEADERS,0),MATCH($A1246,CLASSNAMEHEADERS,0))),(INDEX(ALLCLASSDATA,MATCH("MartialLimitedTrained",CLASSFEATUREHEADERS,0),MATCH(($A1246 &amp; "Points"),CLASSNAMEHEADERS,0))),"")))))))))}</f>
        <v>MARTIALLIMITEDL09</v>
      </c>
      <c r="Q1245" s="223"/>
      <c r="R1245" s="223" t="str">
        <f t="array" ref="R1245:R1246">{"MARTIALLIMITEDL11";((IF("11"=(INDEX(ALLCLASSDATA,MATCH("MartialLimitedLegendary",CLASSFEATUREHEADERS,0),MATCH($A1246,CLASSNAMEHEADERS,0))),(INDEX(ALLCLASSDATA,MATCH("MartialLimitedLegendary",CLASSFEATUREHEADERS,0),MATCH(($A1246 &amp; "Points"),CLASSNAMEHEADERS,0))),(IF("11"=(INDEX(ALLCLASSDATA,MATCH("MartialLimitedMaster",CLASSFEATUREHEADERS,0),MATCH($A1246,CLASSNAMEHEADERS,0))),(INDEX(ALLCLASSDATA,MATCH("MartialLimitedMaster",CLASSFEATUREHEADERS,0),MATCH(($A1246 &amp; "Points"),CLASSNAMEHEADERS,0))),(IF("11"=(INDEX(ALLCLASSDATA,MATCH("MartialLimitedExpert",CLASSFEATUREHEADERS,0),MATCH($A1246,CLASSNAMEHEADERS,0))),(INDEX(ALLCLASSDATA,MATCH("MartialLimitedExpert",CLASSFEATUREHEADERS,0),MATCH(($A1246 &amp; "Points"),CLASSNAMEHEADERS,0))),(IF("11"=(INDEX(ALLCLASSDATA,MATCH("MartialLimitedTrained",CLASSFEATUREHEADERS,0),MATCH($A1246,CLASSNAMEHEADERS,0))),(INDEX(ALLCLASSDATA,MATCH("MartialLimitedTrained",CLASSFEATUREHEADERS,0),MATCH(($A1246 &amp; "Points"),CLASSNAMEHEADERS,0))),"")))))))))}</f>
        <v>MARTIALLIMITEDL11</v>
      </c>
      <c r="S1245" s="223"/>
      <c r="T1245" s="223" t="str">
        <f t="array" ref="T1245:T1246">{"MARTIALLIMITEDL13";((IF("13"=(INDEX(ALLCLASSDATA,MATCH("MartialLimitedLegendary",CLASSFEATUREHEADERS,0),MATCH($A1246,CLASSNAMEHEADERS,0))),(INDEX(ALLCLASSDATA,MATCH("MartialLimitedLegendary",CLASSFEATUREHEADERS,0),MATCH(($A1246 &amp; "Points"),CLASSNAMEHEADERS,0))),(IF("13"=(INDEX(ALLCLASSDATA,MATCH("MartialLimitedMaster",CLASSFEATUREHEADERS,0),MATCH($A1246,CLASSNAMEHEADERS,0))),(INDEX(ALLCLASSDATA,MATCH("MartialLimitedMaster",CLASSFEATUREHEADERS,0),MATCH(($A1246 &amp; "Points"),CLASSNAMEHEADERS,0))),(IF("13"=(INDEX(ALLCLASSDATA,MATCH("MartialLimitedExpert",CLASSFEATUREHEADERS,0),MATCH($A1246,CLASSNAMEHEADERS,0))),(INDEX(ALLCLASSDATA,MATCH("MartialLimitedExpert",CLASSFEATUREHEADERS,0),MATCH(($A1246 &amp; "Points"),CLASSNAMEHEADERS,0))),(IF("13"=(INDEX(ALLCLASSDATA,MATCH("MartialLimitedTrained",CLASSFEATUREHEADERS,0),MATCH($A1246,CLASSNAMEHEADERS,0))),(INDEX(ALLCLASSDATA,MATCH("MartialLimitedTrained",CLASSFEATUREHEADERS,0),MATCH(($A1246 &amp; "Points"),CLASSNAMEHEADERS,0))),"")))))))))}</f>
        <v>MARTIALLIMITEDL13</v>
      </c>
      <c r="U1245" s="223"/>
      <c r="V1245" s="223" t="str">
        <f t="array" ref="V1245:V1246">{"MARTIALLIMITEDL15";((IF("15"=(INDEX(ALLCLASSDATA,MATCH("MartialLimitedLegendary",CLASSFEATUREHEADERS,0),MATCH($A1246,CLASSNAMEHEADERS,0))),(INDEX(ALLCLASSDATA,MATCH("MartialLimitedLegendary",CLASSFEATUREHEADERS,0),MATCH(($A1246 &amp; "Points"),CLASSNAMEHEADERS,0))),(IF("15"=(INDEX(ALLCLASSDATA,MATCH("MartialLimitedMaster",CLASSFEATUREHEADERS,0),MATCH($A1246,CLASSNAMEHEADERS,0))),(INDEX(ALLCLASSDATA,MATCH("MartialLimitedMaster",CLASSFEATUREHEADERS,0),MATCH(($A1246 &amp; "Points"),CLASSNAMEHEADERS,0))),(IF("15"=(INDEX(ALLCLASSDATA,MATCH("MartialLimitedExpert",CLASSFEATUREHEADERS,0),MATCH($A1246,CLASSNAMEHEADERS,0))),(INDEX(ALLCLASSDATA,MATCH("MartialLimitedExpert",CLASSFEATUREHEADERS,0),MATCH(($A1246 &amp; "Points"),CLASSNAMEHEADERS,0))),(IF("15"=(INDEX(ALLCLASSDATA,MATCH("MartialLimitedTrained",CLASSFEATUREHEADERS,0),MATCH($A1246,CLASSNAMEHEADERS,0))),(INDEX(ALLCLASSDATA,MATCH("MartialLimitedTrained",CLASSFEATUREHEADERS,0),MATCH(($A1246 &amp; "Points"),CLASSNAMEHEADERS,0))),"")))))))))}</f>
        <v>MARTIALLIMITEDL15</v>
      </c>
      <c r="W1245" s="223"/>
      <c r="X1245" s="223" t="str">
        <f t="array" ref="X1245:X1246">{"MARTIALLIMITEDL17";((IF("17"=(INDEX(ALLCLASSDATA,MATCH("MartialLimitedLegendary",CLASSFEATUREHEADERS,0),MATCH($A1246,CLASSNAMEHEADERS,0))),(INDEX(ALLCLASSDATA,MATCH("MartialLimitedLegendary",CLASSFEATUREHEADERS,0),MATCH(($A1246 &amp; "Points"),CLASSNAMEHEADERS,0))),(IF("17"=(INDEX(ALLCLASSDATA,MATCH("MartialLimitedMaster",CLASSFEATUREHEADERS,0),MATCH($A1246,CLASSNAMEHEADERS,0))),(INDEX(ALLCLASSDATA,MATCH("MartialLimitedMaster",CLASSFEATUREHEADERS,0),MATCH(($A1246 &amp; "Points"),CLASSNAMEHEADERS,0))),(IF("17"=(INDEX(ALLCLASSDATA,MATCH("MartialLimitedExpert",CLASSFEATUREHEADERS,0),MATCH($A1246,CLASSNAMEHEADERS,0))),(INDEX(ALLCLASSDATA,MATCH("MartialLimitedExpert",CLASSFEATUREHEADERS,0),MATCH(($A1246 &amp; "Points"),CLASSNAMEHEADERS,0))),(IF("17"=(INDEX(ALLCLASSDATA,MATCH("MartialLimitedTrained",CLASSFEATUREHEADERS,0),MATCH($A1246,CLASSNAMEHEADERS,0))),(INDEX(ALLCLASSDATA,MATCH("MartialLimitedTrained",CLASSFEATUREHEADERS,0),MATCH(($A1246 &amp; "Points"),CLASSNAMEHEADERS,0))),"")))))))))}</f>
        <v>MARTIALLIMITEDL17</v>
      </c>
      <c r="Y1245" s="223"/>
      <c r="Z1245" s="223" t="str">
        <f t="array" ref="Z1245:Z1246">{"MARTIALLIMITEDL19";((IF("19"=(INDEX(ALLCLASSDATA,MATCH("MartialLimitedLegendary",CLASSFEATUREHEADERS,0),MATCH($A1246,CLASSNAMEHEADERS,0))),(INDEX(ALLCLASSDATA,MATCH("MartialLimitedLegendary",CLASSFEATUREHEADERS,0),MATCH(($A1246 &amp; "Points"),CLASSNAMEHEADERS,0))),(IF("19"=(INDEX(ALLCLASSDATA,MATCH("MartialLimitedMaster",CLASSFEATUREHEADERS,0),MATCH($A1246,CLASSNAMEHEADERS,0))),(INDEX(ALLCLASSDATA,MATCH("MartialLimitedMaster",CLASSFEATUREHEADERS,0),MATCH(($A1246 &amp; "Points"),CLASSNAMEHEADERS,0))),(IF("19"=(INDEX(ALLCLASSDATA,MATCH("MartialLimitedExpert",CLASSFEATUREHEADERS,0),MATCH($A1246,CLASSNAMEHEADERS,0))),(INDEX(ALLCLASSDATA,MATCH("MartialLimitedExpert",CLASSFEATUREHEADERS,0),MATCH(($A1246 &amp; "Points"),CLASSNAMEHEADERS,0))),(IF("19"=(INDEX(ALLCLASSDATA,MATCH("MartialLimitedTrained",CLASSFEATUREHEADERS,0),MATCH($A1246,CLASSNAMEHEADERS,0))),(INDEX(ALLCLASSDATA,MATCH("MartialLimitedTrained",CLASSFEATUREHEADERS,0),MATCH(($A1246 &amp; "Points"),CLASSNAMEHEADERS,0))),"")))))))))}</f>
        <v>MARTIALLIMITEDL19</v>
      </c>
      <c r="AA1245" s="223"/>
      <c r="AB1245" s="76" t="str">
        <f t="array" ref="AB1245:AB1246">{"MARTIALLIMITED TOTAL";(IF(COUNTBLANK(G1246:AA1246)=17,"L",(IF(COUNTBLANK(G1246:AA1246)=18,"M",(IF(COUNTBLANK(G1246:AA1246)=19,"E",(IF(COUNTBLANK(G1246:AA1246)=20,"T",""))))))))}</f>
        <v>MARTIALLIMITED TOTAL</v>
      </c>
      <c r="AC1245" s="76" t="str">
        <f t="array" ref="AC1245:AC1246">{"MARTIALLIMITED TOTAL";(sum(G1246:AA1246))}</f>
        <v>MARTIALLIMITED TOTAL</v>
      </c>
    </row>
    <row r="1246">
      <c r="A1246" s="48" t="s">
        <v>199</v>
      </c>
      <c r="B1246" s="48"/>
      <c r="C1246" s="48" t="s">
        <v>417</v>
      </c>
      <c r="D1246" s="48" t="s">
        <v>1634</v>
      </c>
      <c r="E1246" s="48" t="s">
        <v>600</v>
      </c>
      <c r="F1246" s="5" t="s">
        <v>603</v>
      </c>
      <c r="G1246" s="47" t="s">
        <v>603</v>
      </c>
      <c r="H1246" s="5" t="s">
        <v>603</v>
      </c>
      <c r="I1246" s="5"/>
      <c r="J1246" s="5" t="s">
        <v>603</v>
      </c>
      <c r="K1246" s="5"/>
      <c r="L1246" s="5" t="s">
        <v>603</v>
      </c>
      <c r="M1246" s="5"/>
      <c r="N1246" s="5" t="s">
        <v>603</v>
      </c>
      <c r="O1246" s="5"/>
      <c r="P1246" s="5" t="s">
        <v>603</v>
      </c>
      <c r="Q1246" s="5"/>
      <c r="R1246" s="5" t="s">
        <v>603</v>
      </c>
      <c r="S1246" s="5"/>
      <c r="T1246" s="5" t="s">
        <v>603</v>
      </c>
      <c r="U1246" s="5"/>
      <c r="V1246" s="5" t="s">
        <v>603</v>
      </c>
      <c r="W1246" s="5"/>
      <c r="X1246" s="5" t="s">
        <v>603</v>
      </c>
      <c r="Y1246" s="5"/>
      <c r="Z1246" s="5" t="s">
        <v>603</v>
      </c>
      <c r="AA1246" s="5"/>
      <c r="AB1246" s="5" t="s">
        <v>603</v>
      </c>
      <c r="AC1246" s="47">
        <v>0.0</v>
      </c>
    </row>
    <row r="1247" hidden="1">
      <c r="A1247" s="222" t="str">
        <f t="array" ref="A1247:A1248">{"FormulaRow31";(INDEX(CLASSLIST,A1186,1))}</f>
        <v>FormulaRow31</v>
      </c>
      <c r="B1247" s="77" t="s">
        <v>236</v>
      </c>
      <c r="C1247" s="222" t="str">
        <f t="array" ref="C1247:C1248">{"CLASSTYPE";((INDEX(ALLCLASSDATA,MATCH("ClassType",CLASSFEATUREHEADERS,0),MATCH($A1248,CLASSNAMEHEADERS,0))))}</f>
        <v>CLASSTYPE</v>
      </c>
      <c r="D1247" s="222" t="str">
        <f t="array" ref="D1247:D1248">{"ATTACK";"Attack"}</f>
        <v>ATTACK</v>
      </c>
      <c r="E1247" s="222" t="str">
        <f t="array" ref="E1247:E1248">{"MARTIAL";"Martial"}</f>
        <v>MARTIAL</v>
      </c>
      <c r="F1247" s="223" t="str">
        <f t="array" ref="F1247:F1248">{"MARTIALINITIAL";((IF(H1248=10,"T",(IF(H1248=50,"E","")))))}</f>
        <v>MARTIALINITIAL</v>
      </c>
      <c r="G1247" s="223" t="str">
        <f t="array" ref="G1247:G1248">{"MARTIALINITIALPTS";((IF("00"=(INDEX(ALLCLASSDATA,MATCH("MartialLegendary",CLASSFEATUREHEADERS,0),MATCH($A1248,CLASSNAMEHEADERS,0))),(INDEX(ALLCLASSDATA,MATCH("MartialLegendary",CLASSFEATUREHEADERS,0),MATCH(($A1248 &amp; "Points"),CLASSNAMEHEADERS,0))),(IF("00"=(INDEX(ALLCLASSDATA,MATCH("MartialMaster",CLASSFEATUREHEADERS,0),MATCH($A1248,CLASSNAMEHEADERS,0))),(INDEX(ALLCLASSDATA,MATCH("MartialMaster",CLASSFEATUREHEADERS,0),MATCH(($A1248 &amp; "Points"),CLASSNAMEHEADERS,0))),(IF("00"=(INDEX(ALLCLASSDATA,MATCH("MartialExpert",CLASSFEATUREHEADERS,0),MATCH($A1248,CLASSNAMEHEADERS,0))),(INDEX(ALLCLASSDATA,MATCH("MartialExpert",CLASSFEATUREHEADERS,0),MATCH(($A1248 &amp; "Points"),CLASSNAMEHEADERS,0))),(IF("00"=(INDEX(ALLCLASSDATA,MATCH("MartialTrained",CLASSFEATUREHEADERS,0),MATCH($A1248,CLASSNAMEHEADERS,0))),(INDEX(ALLCLASSDATA,MATCH("MartialTrained",CLASSFEATUREHEADERS,0),MATCH(($A1248 &amp; "Points"),CLASSNAMEHEADERS,0))),"")))))))))}</f>
        <v>MARTIALINITIALPTS</v>
      </c>
      <c r="H1247" s="223" t="str">
        <f t="array" ref="H1247:H1248">{"MARTIALL01";((IF("01"=(INDEX(ALLCLASSDATA,MATCH("MartialLegendary",CLASSFEATUREHEADERS,0),MATCH($A1248,CLASSNAMEHEADERS,0))),(INDEX(ALLCLASSDATA,MATCH("MartialLegendary",CLASSFEATUREHEADERS,0),MATCH(($A1248 &amp; "Points"),CLASSNAMEHEADERS,0))),(IF("01"=(INDEX(ALLCLASSDATA,MATCH("MartialMaster",CLASSFEATUREHEADERS,0),MATCH($A1248,CLASSNAMEHEADERS,0))),(INDEX(ALLCLASSDATA,MATCH("MartialMaster",CLASSFEATUREHEADERS,0),MATCH(($A1248 &amp; "Points"),CLASSNAMEHEADERS,0))),(IF("01"=(INDEX(ALLCLASSDATA,MATCH("MartialExpert",CLASSFEATUREHEADERS,0),MATCH($A1248,CLASSNAMEHEADERS,0))),(INDEX(ALLCLASSDATA,MATCH("MartialExpert",CLASSFEATUREHEADERS,0),MATCH(($A1248 &amp; "Points"),CLASSNAMEHEADERS,0))),(IF("01"=(INDEX(ALLCLASSDATA,MATCH("MartialTrained",CLASSFEATUREHEADERS,0),MATCH($A1248,CLASSNAMEHEADERS,0))),(INDEX(ALLCLASSDATA,MATCH("MartialTrained",CLASSFEATUREHEADERS,0),MATCH(($A1248 &amp; "Points"),CLASSNAMEHEADERS,0))),"")))))))))}</f>
        <v>MARTIALL01</v>
      </c>
      <c r="I1247" s="223"/>
      <c r="J1247" s="223" t="str">
        <f t="array" ref="J1247:J1248">{"MARTIALL03";((IF("03"=(INDEX(ALLCLASSDATA,MATCH("MartialLegendary",CLASSFEATUREHEADERS,0),MATCH($A1248,CLASSNAMEHEADERS,0))),(INDEX(ALLCLASSDATA,MATCH("MartialLegendary",CLASSFEATUREHEADERS,0),MATCH(($A1248 &amp; "Points"),CLASSNAMEHEADERS,0))),(IF("03"=(INDEX(ALLCLASSDATA,MATCH("MartialMaster",CLASSFEATUREHEADERS,0),MATCH($A1248,CLASSNAMEHEADERS,0))),(INDEX(ALLCLASSDATA,MATCH("MartialMaster",CLASSFEATUREHEADERS,0),MATCH(($A1248 &amp; "Points"),CLASSNAMEHEADERS,0))),(IF("03"=(INDEX(ALLCLASSDATA,MATCH("MartialExpert",CLASSFEATUREHEADERS,0),MATCH($A1248,CLASSNAMEHEADERS,0))),(INDEX(ALLCLASSDATA,MATCH("MartialExpert",CLASSFEATUREHEADERS,0),MATCH(($A1248 &amp; "Points"),CLASSNAMEHEADERS,0))),(IF("03"=(INDEX(ALLCLASSDATA,MATCH("MartialTrained",CLASSFEATUREHEADERS,0),MATCH($A1248,CLASSNAMEHEADERS,0))),(INDEX(ALLCLASSDATA,MATCH("MartialTrained",CLASSFEATUREHEADERS,0),MATCH(($A1248 &amp; "Points"),CLASSNAMEHEADERS,0))),"")))))))))}</f>
        <v>MARTIALL03</v>
      </c>
      <c r="K1247" s="223"/>
      <c r="L1247" s="223" t="str">
        <f t="array" ref="L1247:L1248">{"MARTIALL05";((IF("05"=(INDEX(ALLCLASSDATA,MATCH("MartialLegendary",CLASSFEATUREHEADERS,0),MATCH($A1248,CLASSNAMEHEADERS,0))),(INDEX(ALLCLASSDATA,MATCH("MartialLegendary",CLASSFEATUREHEADERS,0),MATCH(($A1248 &amp; "Points"),CLASSNAMEHEADERS,0))),(IF("05"=(INDEX(ALLCLASSDATA,MATCH("MartialMaster",CLASSFEATUREHEADERS,0),MATCH($A1248,CLASSNAMEHEADERS,0))),(INDEX(ALLCLASSDATA,MATCH("MartialMaster",CLASSFEATUREHEADERS,0),MATCH(($A1248 &amp; "Points"),CLASSNAMEHEADERS,0))),(IF("05"=(INDEX(ALLCLASSDATA,MATCH("MartialExpert",CLASSFEATUREHEADERS,0),MATCH($A1248,CLASSNAMEHEADERS,0))),(INDEX(ALLCLASSDATA,MATCH("MartialExpert",CLASSFEATUREHEADERS,0),MATCH(($A1248 &amp; "Points"),CLASSNAMEHEADERS,0))),(IF("05"=(INDEX(ALLCLASSDATA,MATCH("MartialTrained",CLASSFEATUREHEADERS,0),MATCH($A1248,CLASSNAMEHEADERS,0))),(INDEX(ALLCLASSDATA,MATCH("MartialTrained",CLASSFEATUREHEADERS,0),MATCH(($A1248 &amp; "Points"),CLASSNAMEHEADERS,0))),"")))))))))}</f>
        <v>MARTIALL05</v>
      </c>
      <c r="M1247" s="223"/>
      <c r="N1247" s="223" t="str">
        <f t="array" ref="N1247:N1248">{"MARTIALL07";((IF("07"=(INDEX(ALLCLASSDATA,MATCH("MartialLegendary",CLASSFEATUREHEADERS,0),MATCH($A1248,CLASSNAMEHEADERS,0))),(INDEX(ALLCLASSDATA,MATCH("MartialLegendary",CLASSFEATUREHEADERS,0),MATCH(($A1248 &amp; "Points"),CLASSNAMEHEADERS,0))),(IF("07"=(INDEX(ALLCLASSDATA,MATCH("MartialMaster",CLASSFEATUREHEADERS,0),MATCH($A1248,CLASSNAMEHEADERS,0))),(INDEX(ALLCLASSDATA,MATCH("MartialMaster",CLASSFEATUREHEADERS,0),MATCH(($A1248 &amp; "Points"),CLASSNAMEHEADERS,0))),(IF("07"=(INDEX(ALLCLASSDATA,MATCH("MartialExpert",CLASSFEATUREHEADERS,0),MATCH($A1248,CLASSNAMEHEADERS,0))),(INDEX(ALLCLASSDATA,MATCH("MartialExpert",CLASSFEATUREHEADERS,0),MATCH(($A1248 &amp; "Points"),CLASSNAMEHEADERS,0))),(IF("07"=(INDEX(ALLCLASSDATA,MATCH("MartialTrained",CLASSFEATUREHEADERS,0),MATCH($A1248,CLASSNAMEHEADERS,0))),(INDEX(ALLCLASSDATA,MATCH("MartialTrained",CLASSFEATUREHEADERS,0),MATCH(($A1248 &amp; "Points"),CLASSNAMEHEADERS,0))),"")))))))))}</f>
        <v>MARTIALL07</v>
      </c>
      <c r="O1247" s="223"/>
      <c r="P1247" s="223" t="str">
        <f t="array" ref="P1247:P1248">{"MARTIALL09";((IF("09"=(INDEX(ALLCLASSDATA,MATCH("MartialLegendary",CLASSFEATUREHEADERS,0),MATCH($A1248,CLASSNAMEHEADERS,0))),(INDEX(ALLCLASSDATA,MATCH("MartialLegendary",CLASSFEATUREHEADERS,0),MATCH(($A1248 &amp; "Points"),CLASSNAMEHEADERS,0))),(IF("09"=(INDEX(ALLCLASSDATA,MATCH("MartialMaster",CLASSFEATUREHEADERS,0),MATCH($A1248,CLASSNAMEHEADERS,0))),(INDEX(ALLCLASSDATA,MATCH("MartialMaster",CLASSFEATUREHEADERS,0),MATCH(($A1248 &amp; "Points"),CLASSNAMEHEADERS,0))),(IF("09"=(INDEX(ALLCLASSDATA,MATCH("MartialExpert",CLASSFEATUREHEADERS,0),MATCH($A1248,CLASSNAMEHEADERS,0))),(INDEX(ALLCLASSDATA,MATCH("MartialExpert",CLASSFEATUREHEADERS,0),MATCH(($A1248 &amp; "Points"),CLASSNAMEHEADERS,0))),(IF("09"=(INDEX(ALLCLASSDATA,MATCH("MartialTrained",CLASSFEATUREHEADERS,0),MATCH($A1248,CLASSNAMEHEADERS,0))),(INDEX(ALLCLASSDATA,MATCH("MartialTrained",CLASSFEATUREHEADERS,0),MATCH(($A1248 &amp; "Points"),CLASSNAMEHEADERS,0))),"")))))))))}</f>
        <v>MARTIALL09</v>
      </c>
      <c r="Q1247" s="223"/>
      <c r="R1247" s="223" t="str">
        <f t="array" ref="R1247:R1248">{"MARTIALL11";((IF("11"=(INDEX(ALLCLASSDATA,MATCH("MartialLegendary",CLASSFEATUREHEADERS,0),MATCH($A1248,CLASSNAMEHEADERS,0))),(INDEX(ALLCLASSDATA,MATCH("MartialLegendary",CLASSFEATUREHEADERS,0),MATCH(($A1248 &amp; "Points"),CLASSNAMEHEADERS,0))),(IF("11"=(INDEX(ALLCLASSDATA,MATCH("MartialMaster",CLASSFEATUREHEADERS,0),MATCH($A1248,CLASSNAMEHEADERS,0))),(INDEX(ALLCLASSDATA,MATCH("MartialMaster",CLASSFEATUREHEADERS,0),MATCH(($A1248 &amp; "Points"),CLASSNAMEHEADERS,0))),(IF("11"=(INDEX(ALLCLASSDATA,MATCH("MartialExpert",CLASSFEATUREHEADERS,0),MATCH($A1248,CLASSNAMEHEADERS,0))),(INDEX(ALLCLASSDATA,MATCH("MartialExpert",CLASSFEATUREHEADERS,0),MATCH(($A1248 &amp; "Points"),CLASSNAMEHEADERS,0))),(IF("11"=(INDEX(ALLCLASSDATA,MATCH("MartialTrained",CLASSFEATUREHEADERS,0),MATCH($A1248,CLASSNAMEHEADERS,0))),(INDEX(ALLCLASSDATA,MATCH("MartialTrained",CLASSFEATUREHEADERS,0),MATCH(($A1248 &amp; "Points"),CLASSNAMEHEADERS,0))),"")))))))))}</f>
        <v>MARTIALL11</v>
      </c>
      <c r="S1247" s="223"/>
      <c r="T1247" s="223" t="str">
        <f t="array" ref="T1247:T1248">{"MARTIALL13";((IF("13"=(INDEX(ALLCLASSDATA,MATCH("MartialLegendary",CLASSFEATUREHEADERS,0),MATCH($A1248,CLASSNAMEHEADERS,0))),(INDEX(ALLCLASSDATA,MATCH("MartialLegendary",CLASSFEATUREHEADERS,0),MATCH(($A1248 &amp; "Points"),CLASSNAMEHEADERS,0))),(IF("13"=(INDEX(ALLCLASSDATA,MATCH("MartialMaster",CLASSFEATUREHEADERS,0),MATCH($A1248,CLASSNAMEHEADERS,0))),(INDEX(ALLCLASSDATA,MATCH("MartialMaster",CLASSFEATUREHEADERS,0),MATCH(($A1248 &amp; "Points"),CLASSNAMEHEADERS,0))),(IF("13"=(INDEX(ALLCLASSDATA,MATCH("MartialExpert",CLASSFEATUREHEADERS,0),MATCH($A1248,CLASSNAMEHEADERS,0))),(INDEX(ALLCLASSDATA,MATCH("MartialExpert",CLASSFEATUREHEADERS,0),MATCH(($A1248 &amp; "Points"),CLASSNAMEHEADERS,0))),(IF("13"=(INDEX(ALLCLASSDATA,MATCH("MartialTrained",CLASSFEATUREHEADERS,0),MATCH($A1248,CLASSNAMEHEADERS,0))),(INDEX(ALLCLASSDATA,MATCH("MartialTrained",CLASSFEATUREHEADERS,0),MATCH(($A1248 &amp; "Points"),CLASSNAMEHEADERS,0))),"")))))))))}</f>
        <v>MARTIALL13</v>
      </c>
      <c r="U1247" s="223"/>
      <c r="V1247" s="223" t="str">
        <f t="array" ref="V1247:V1248">{"MARTIALL15";((IF("15"=(INDEX(ALLCLASSDATA,MATCH("MartialLegendary",CLASSFEATUREHEADERS,0),MATCH($A1248,CLASSNAMEHEADERS,0))),(INDEX(ALLCLASSDATA,MATCH("MartialLegendary",CLASSFEATUREHEADERS,0),MATCH(($A1248 &amp; "Points"),CLASSNAMEHEADERS,0))),(IF("15"=(INDEX(ALLCLASSDATA,MATCH("MartialMaster",CLASSFEATUREHEADERS,0),MATCH($A1248,CLASSNAMEHEADERS,0))),(INDEX(ALLCLASSDATA,MATCH("MartialMaster",CLASSFEATUREHEADERS,0),MATCH(($A1248 &amp; "Points"),CLASSNAMEHEADERS,0))),(IF("15"=(INDEX(ALLCLASSDATA,MATCH("MartialExpert",CLASSFEATUREHEADERS,0),MATCH($A1248,CLASSNAMEHEADERS,0))),(INDEX(ALLCLASSDATA,MATCH("MartialExpert",CLASSFEATUREHEADERS,0),MATCH(($A1248 &amp; "Points"),CLASSNAMEHEADERS,0))),(IF("15"=(INDEX(ALLCLASSDATA,MATCH("MartialTrained",CLASSFEATUREHEADERS,0),MATCH($A1248,CLASSNAMEHEADERS,0))),(INDEX(ALLCLASSDATA,MATCH("MartialTrained",CLASSFEATUREHEADERS,0),MATCH(($A1248 &amp; "Points"),CLASSNAMEHEADERS,0))),"")))))))))}</f>
        <v>MARTIALL15</v>
      </c>
      <c r="W1247" s="223"/>
      <c r="X1247" s="223" t="str">
        <f t="array" ref="X1247:X1248">{"MARTIALL17";((IF("17"=(INDEX(ALLCLASSDATA,MATCH("MartialLegendary",CLASSFEATUREHEADERS,0),MATCH($A1248,CLASSNAMEHEADERS,0))),(INDEX(ALLCLASSDATA,MATCH("MartialLegendary",CLASSFEATUREHEADERS,0),MATCH(($A1248 &amp; "Points"),CLASSNAMEHEADERS,0))),(IF("17"=(INDEX(ALLCLASSDATA,MATCH("MartialMaster",CLASSFEATUREHEADERS,0),MATCH($A1248,CLASSNAMEHEADERS,0))),(INDEX(ALLCLASSDATA,MATCH("MartialMaster",CLASSFEATUREHEADERS,0),MATCH(($A1248 &amp; "Points"),CLASSNAMEHEADERS,0))),(IF("17"=(INDEX(ALLCLASSDATA,MATCH("MartialExpert",CLASSFEATUREHEADERS,0),MATCH($A1248,CLASSNAMEHEADERS,0))),(INDEX(ALLCLASSDATA,MATCH("MartialExpert",CLASSFEATUREHEADERS,0),MATCH(($A1248 &amp; "Points"),CLASSNAMEHEADERS,0))),(IF("17"=(INDEX(ALLCLASSDATA,MATCH("MartialTrained",CLASSFEATUREHEADERS,0),MATCH($A1248,CLASSNAMEHEADERS,0))),(INDEX(ALLCLASSDATA,MATCH("MartialTrained",CLASSFEATUREHEADERS,0),MATCH(($A1248 &amp; "Points"),CLASSNAMEHEADERS,0))),"")))))))))}</f>
        <v>MARTIALL17</v>
      </c>
      <c r="Y1247" s="223"/>
      <c r="Z1247" s="223" t="str">
        <f t="array" ref="Z1247:Z1248">{"MARTIALL19";((IF("19"=(INDEX(ALLCLASSDATA,MATCH("MartialLegendary",CLASSFEATUREHEADERS,0),MATCH($A1248,CLASSNAMEHEADERS,0))),(INDEX(ALLCLASSDATA,MATCH("MartialLegendary",CLASSFEATUREHEADERS,0),MATCH(($A1248 &amp; "Points"),CLASSNAMEHEADERS,0))),(IF("19"=(INDEX(ALLCLASSDATA,MATCH("MartialMaster",CLASSFEATUREHEADERS,0),MATCH($A1248,CLASSNAMEHEADERS,0))),(INDEX(ALLCLASSDATA,MATCH("MartialMaster",CLASSFEATUREHEADERS,0),MATCH(($A1248 &amp; "Points"),CLASSNAMEHEADERS,0))),(IF("19"=(INDEX(ALLCLASSDATA,MATCH("MartialExpert",CLASSFEATUREHEADERS,0),MATCH($A1248,CLASSNAMEHEADERS,0))),(INDEX(ALLCLASSDATA,MATCH("MartialExpert",CLASSFEATUREHEADERS,0),MATCH(($A1248 &amp; "Points"),CLASSNAMEHEADERS,0))),(IF("19"=(INDEX(ALLCLASSDATA,MATCH("MartialTrained",CLASSFEATUREHEADERS,0),MATCH($A1248,CLASSNAMEHEADERS,0))),(INDEX(ALLCLASSDATA,MATCH("MartialTrained",CLASSFEATUREHEADERS,0),MATCH(($A1248 &amp; "Points"),CLASSNAMEHEADERS,0))),"")))))))))}</f>
        <v>MARTIALL19</v>
      </c>
      <c r="AA1247" s="223"/>
      <c r="AB1247" s="76" t="str">
        <f t="array" ref="AB1247:AB1248">{"MARTIAL TOTAL";(IF(COUNTBLANK(G1248:AA1248)=17,"L",(IF(COUNTBLANK(G1248:AA1248)=18,"M",(IF(COUNTBLANK(G1248:AA1248)=19,"E",(IF(COUNTBLANK(G1248:AA1248)=20,"T",""))))))))}</f>
        <v>MARTIAL TOTAL</v>
      </c>
      <c r="AC1247" s="76" t="str">
        <f t="array" ref="AC1247:AC1248">{"MARTIAL TOTAL";(sum(G1248:AA1248))}</f>
        <v>MARTIAL TOTAL</v>
      </c>
    </row>
    <row r="1248">
      <c r="A1248" s="48" t="s">
        <v>199</v>
      </c>
      <c r="B1248" s="48"/>
      <c r="C1248" s="48" t="s">
        <v>417</v>
      </c>
      <c r="D1248" s="48" t="s">
        <v>1634</v>
      </c>
      <c r="E1248" s="48" t="s">
        <v>6</v>
      </c>
      <c r="F1248" s="5" t="s">
        <v>435</v>
      </c>
      <c r="G1248" s="47" t="s">
        <v>603</v>
      </c>
      <c r="H1248" s="5">
        <v>10.0</v>
      </c>
      <c r="I1248" s="5"/>
      <c r="J1248" s="5" t="s">
        <v>603</v>
      </c>
      <c r="K1248" s="5"/>
      <c r="L1248" s="5">
        <v>50.0</v>
      </c>
      <c r="M1248" s="5"/>
      <c r="N1248" s="5" t="s">
        <v>603</v>
      </c>
      <c r="O1248" s="5"/>
      <c r="P1248" s="5" t="s">
        <v>603</v>
      </c>
      <c r="Q1248" s="48"/>
      <c r="R1248" s="5" t="s">
        <v>603</v>
      </c>
      <c r="S1248" s="5"/>
      <c r="T1248" s="5">
        <v>110.0</v>
      </c>
      <c r="U1248" s="5"/>
      <c r="V1248" s="5" t="s">
        <v>603</v>
      </c>
      <c r="W1248" s="5"/>
      <c r="X1248" s="5" t="s">
        <v>603</v>
      </c>
      <c r="Y1248" s="5"/>
      <c r="Z1248" s="5" t="s">
        <v>603</v>
      </c>
      <c r="AA1248" s="5"/>
      <c r="AB1248" s="5" t="s">
        <v>437</v>
      </c>
      <c r="AC1248" s="47">
        <v>170.0</v>
      </c>
    </row>
    <row r="1249" hidden="1">
      <c r="A1249" s="222" t="str">
        <f t="array" ref="A1249:A1250">{"FormulaRow32";(INDEX(CLASSLIST,A1186,1))}</f>
        <v>FormulaRow32</v>
      </c>
      <c r="B1249" s="77" t="s">
        <v>236</v>
      </c>
      <c r="C1249" s="222" t="str">
        <f t="array" ref="C1249:C1250">{"CLASSTYPE";((INDEX(ALLCLASSDATA,MATCH("ClassType",CLASSFEATUREHEADERS,0),MATCH($A1250,CLASSNAMEHEADERS,0))))}</f>
        <v>CLASSTYPE</v>
      </c>
      <c r="D1249" s="222" t="str">
        <f t="array" ref="D1249:D1250">{"ATTACK";"Attack"}</f>
        <v>ATTACK</v>
      </c>
      <c r="E1249" s="222" t="str">
        <f t="array" ref="E1249:E1250">{"ADVANCEDGROUP";"AdvancedGroup"}</f>
        <v>ADVANCEDGROUP</v>
      </c>
      <c r="F1249" s="223" t="str">
        <f t="array" ref="F1249:F1250">{"ADVANCEDGROUPINITIAL";((IF(H1250=10,"T",(IF(H1250=50,"E","")))))}</f>
        <v>ADVANCEDGROUPINITIAL</v>
      </c>
      <c r="G1249" s="223" t="str">
        <f t="array" ref="G1249:G1250">{"ADVANCEDGROUPINITIALPTS";((IF("00"=(INDEX(ALLCLASSDATA,MATCH("AdvancedGroupLegendary",CLASSFEATUREHEADERS,0),MATCH($A1250,CLASSNAMEHEADERS,0))),(INDEX(ALLCLASSDATA,MATCH("AdvancedGroupLegendary",CLASSFEATUREHEADERS,0),MATCH(($A1250 &amp; "Points"),CLASSNAMEHEADERS,0))),(IF("00"=(INDEX(ALLCLASSDATA,MATCH("AdvancedGroupMaster",CLASSFEATUREHEADERS,0),MATCH($A1250,CLASSNAMEHEADERS,0))),(INDEX(ALLCLASSDATA,MATCH("AdvancedGroupMaster",CLASSFEATUREHEADERS,0),MATCH(($A1250 &amp; "Points"),CLASSNAMEHEADERS,0))),(IF("00"=(INDEX(ALLCLASSDATA,MATCH("AdvancedGroupExpert",CLASSFEATUREHEADERS,0),MATCH($A1250,CLASSNAMEHEADERS,0))),(INDEX(ALLCLASSDATA,MATCH("AdvancedGroupExpert",CLASSFEATUREHEADERS,0),MATCH(($A1250 &amp; "Points"),CLASSNAMEHEADERS,0))),(IF("00"=(INDEX(ALLCLASSDATA,MATCH("AdvancedGroupTrained",CLASSFEATUREHEADERS,0),MATCH($A1250,CLASSNAMEHEADERS,0))),(INDEX(ALLCLASSDATA,MATCH("AdvancedGroupTrained",CLASSFEATUREHEADERS,0),MATCH(($A1250 &amp; "Points"),CLASSNAMEHEADERS,0))),"")))))))))}</f>
        <v>ADVANCEDGROUPINITIALPTS</v>
      </c>
      <c r="H1249" s="223" t="str">
        <f t="array" ref="H1249:H1250">{"ADVANCEDGROUPL01";((IF("01"=(INDEX(ALLCLASSDATA,MATCH("AdvancedGroupLegendary",CLASSFEATUREHEADERS,0),MATCH($A1250,CLASSNAMEHEADERS,0))),(INDEX(ALLCLASSDATA,MATCH("AdvancedGroupLegendary",CLASSFEATUREHEADERS,0),MATCH(($A1250 &amp; "Points"),CLASSNAMEHEADERS,0))),(IF("01"=(INDEX(ALLCLASSDATA,MATCH("AdvancedGroupMaster",CLASSFEATUREHEADERS,0),MATCH($A1250,CLASSNAMEHEADERS,0))),(INDEX(ALLCLASSDATA,MATCH("AdvancedGroupMaster",CLASSFEATUREHEADERS,0),MATCH(($A1250 &amp; "Points"),CLASSNAMEHEADERS,0))),(IF("01"=(INDEX(ALLCLASSDATA,MATCH("AdvancedGroupExpert",CLASSFEATUREHEADERS,0),MATCH($A1250,CLASSNAMEHEADERS,0))),(INDEX(ALLCLASSDATA,MATCH("AdvancedGroupExpert",CLASSFEATUREHEADERS,0),MATCH(($A1250 &amp; "Points"),CLASSNAMEHEADERS,0))),(IF("01"=(INDEX(ALLCLASSDATA,MATCH("AdvancedGroupTrained",CLASSFEATUREHEADERS,0),MATCH($A1250,CLASSNAMEHEADERS,0))),(INDEX(ALLCLASSDATA,MATCH("AdvancedGroupTrained",CLASSFEATUREHEADERS,0),MATCH(($A1250 &amp; "Points"),CLASSNAMEHEADERS,0))),"")))))))))}</f>
        <v>ADVANCEDGROUPL01</v>
      </c>
      <c r="I1249" s="223"/>
      <c r="J1249" s="223" t="str">
        <f t="array" ref="J1249:J1250">{"ADVANCEDGROUPL03";((IF("03"=(INDEX(ALLCLASSDATA,MATCH("AdvancedGroupLegendary",CLASSFEATUREHEADERS,0),MATCH($A1250,CLASSNAMEHEADERS,0))),(INDEX(ALLCLASSDATA,MATCH("AdvancedGroupLegendary",CLASSFEATUREHEADERS,0),MATCH(($A1250 &amp; "Points"),CLASSNAMEHEADERS,0))),(IF("03"=(INDEX(ALLCLASSDATA,MATCH("AdvancedGroupMaster",CLASSFEATUREHEADERS,0),MATCH($A1250,CLASSNAMEHEADERS,0))),(INDEX(ALLCLASSDATA,MATCH("AdvancedGroupMaster",CLASSFEATUREHEADERS,0),MATCH(($A1250 &amp; "Points"),CLASSNAMEHEADERS,0))),(IF("03"=(INDEX(ALLCLASSDATA,MATCH("AdvancedGroupExpert",CLASSFEATUREHEADERS,0),MATCH($A1250,CLASSNAMEHEADERS,0))),(INDEX(ALLCLASSDATA,MATCH("AdvancedGroupExpert",CLASSFEATUREHEADERS,0),MATCH(($A1250 &amp; "Points"),CLASSNAMEHEADERS,0))),(IF("03"=(INDEX(ALLCLASSDATA,MATCH("AdvancedGroupTrained",CLASSFEATUREHEADERS,0),MATCH($A1250,CLASSNAMEHEADERS,0))),(INDEX(ALLCLASSDATA,MATCH("AdvancedGroupTrained",CLASSFEATUREHEADERS,0),MATCH(($A1250 &amp; "Points"),CLASSNAMEHEADERS,0))),"")))))))))}</f>
        <v>ADVANCEDGROUPL03</v>
      </c>
      <c r="K1249" s="223"/>
      <c r="L1249" s="223" t="str">
        <f t="array" ref="L1249:L1250">{"ADVANCEDGROUPL05";((IF("05"=(INDEX(ALLCLASSDATA,MATCH("AdvancedGroupLegendary",CLASSFEATUREHEADERS,0),MATCH($A1250,CLASSNAMEHEADERS,0))),(INDEX(ALLCLASSDATA,MATCH("AdvancedGroupLegendary",CLASSFEATUREHEADERS,0),MATCH(($A1250 &amp; "Points"),CLASSNAMEHEADERS,0))),(IF("05"=(INDEX(ALLCLASSDATA,MATCH("AdvancedGroupMaster",CLASSFEATUREHEADERS,0),MATCH($A1250,CLASSNAMEHEADERS,0))),(INDEX(ALLCLASSDATA,MATCH("AdvancedGroupMaster",CLASSFEATUREHEADERS,0),MATCH(($A1250 &amp; "Points"),CLASSNAMEHEADERS,0))),(IF("05"=(INDEX(ALLCLASSDATA,MATCH("AdvancedGroupExpert",CLASSFEATUREHEADERS,0),MATCH($A1250,CLASSNAMEHEADERS,0))),(INDEX(ALLCLASSDATA,MATCH("AdvancedGroupExpert",CLASSFEATUREHEADERS,0),MATCH(($A1250 &amp; "Points"),CLASSNAMEHEADERS,0))),(IF("05"=(INDEX(ALLCLASSDATA,MATCH("AdvancedGroupTrained",CLASSFEATUREHEADERS,0),MATCH($A1250,CLASSNAMEHEADERS,0))),(INDEX(ALLCLASSDATA,MATCH("AdvancedGroupTrained",CLASSFEATUREHEADERS,0),MATCH(($A1250 &amp; "Points"),CLASSNAMEHEADERS,0))),"")))))))))}</f>
        <v>ADVANCEDGROUPL05</v>
      </c>
      <c r="M1249" s="223"/>
      <c r="N1249" s="223" t="str">
        <f t="array" ref="N1249:N1250">{"ADVANCEDGROUPL07";((IF("07"=(INDEX(ALLCLASSDATA,MATCH("AdvancedGroupLegendary",CLASSFEATUREHEADERS,0),MATCH($A1250,CLASSNAMEHEADERS,0))),(INDEX(ALLCLASSDATA,MATCH("AdvancedGroupLegendary",CLASSFEATUREHEADERS,0),MATCH(($A1250 &amp; "Points"),CLASSNAMEHEADERS,0))),(IF("07"=(INDEX(ALLCLASSDATA,MATCH("AdvancedGroupMaster",CLASSFEATUREHEADERS,0),MATCH($A1250,CLASSNAMEHEADERS,0))),(INDEX(ALLCLASSDATA,MATCH("AdvancedGroupMaster",CLASSFEATUREHEADERS,0),MATCH(($A1250 &amp; "Points"),CLASSNAMEHEADERS,0))),(IF("07"=(INDEX(ALLCLASSDATA,MATCH("AdvancedGroupExpert",CLASSFEATUREHEADERS,0),MATCH($A1250,CLASSNAMEHEADERS,0))),(INDEX(ALLCLASSDATA,MATCH("AdvancedGroupExpert",CLASSFEATUREHEADERS,0),MATCH(($A1250 &amp; "Points"),CLASSNAMEHEADERS,0))),(IF("07"=(INDEX(ALLCLASSDATA,MATCH("AdvancedGroupTrained",CLASSFEATUREHEADERS,0),MATCH($A1250,CLASSNAMEHEADERS,0))),(INDEX(ALLCLASSDATA,MATCH("AdvancedGroupTrained",CLASSFEATUREHEADERS,0),MATCH(($A1250 &amp; "Points"),CLASSNAMEHEADERS,0))),"")))))))))}</f>
        <v>ADVANCEDGROUPL07</v>
      </c>
      <c r="O1249" s="223"/>
      <c r="P1249" s="223" t="str">
        <f t="array" ref="P1249:P1250">{"ADVANCEDGROUPL09";((IF("09"=(INDEX(ALLCLASSDATA,MATCH("AdvancedGroupLegendary",CLASSFEATUREHEADERS,0),MATCH($A1250,CLASSNAMEHEADERS,0))),(INDEX(ALLCLASSDATA,MATCH("AdvancedGroupLegendary",CLASSFEATUREHEADERS,0),MATCH(($A1250 &amp; "Points"),CLASSNAMEHEADERS,0))),(IF("09"=(INDEX(ALLCLASSDATA,MATCH("AdvancedGroupMaster",CLASSFEATUREHEADERS,0),MATCH($A1250,CLASSNAMEHEADERS,0))),(INDEX(ALLCLASSDATA,MATCH("AdvancedGroupMaster",CLASSFEATUREHEADERS,0),MATCH(($A1250 &amp; "Points"),CLASSNAMEHEADERS,0))),(IF("09"=(INDEX(ALLCLASSDATA,MATCH("AdvancedGroupExpert",CLASSFEATUREHEADERS,0),MATCH($A1250,CLASSNAMEHEADERS,0))),(INDEX(ALLCLASSDATA,MATCH("AdvancedGroupExpert",CLASSFEATUREHEADERS,0),MATCH(($A1250 &amp; "Points"),CLASSNAMEHEADERS,0))),(IF("09"=(INDEX(ALLCLASSDATA,MATCH("AdvancedGroupTrained",CLASSFEATUREHEADERS,0),MATCH($A1250,CLASSNAMEHEADERS,0))),(INDEX(ALLCLASSDATA,MATCH("AdvancedGroupTrained",CLASSFEATUREHEADERS,0),MATCH(($A1250 &amp; "Points"),CLASSNAMEHEADERS,0))),"")))))))))}</f>
        <v>ADVANCEDGROUPL09</v>
      </c>
      <c r="Q1249" s="223"/>
      <c r="R1249" s="223" t="str">
        <f t="array" ref="R1249:R1250">{"ADVANCEDGROUPL11";((IF("11"=(INDEX(ALLCLASSDATA,MATCH("AdvancedGroupLegendary",CLASSFEATUREHEADERS,0),MATCH($A1250,CLASSNAMEHEADERS,0))),(INDEX(ALLCLASSDATA,MATCH("AdvancedGroupLegendary",CLASSFEATUREHEADERS,0),MATCH(($A1250 &amp; "Points"),CLASSNAMEHEADERS,0))),(IF("11"=(INDEX(ALLCLASSDATA,MATCH("AdvancedGroupMaster",CLASSFEATUREHEADERS,0),MATCH($A1250,CLASSNAMEHEADERS,0))),(INDEX(ALLCLASSDATA,MATCH("AdvancedGroupMaster",CLASSFEATUREHEADERS,0),MATCH(($A1250 &amp; "Points"),CLASSNAMEHEADERS,0))),(IF("11"=(INDEX(ALLCLASSDATA,MATCH("AdvancedGroupExpert",CLASSFEATUREHEADERS,0),MATCH($A1250,CLASSNAMEHEADERS,0))),(INDEX(ALLCLASSDATA,MATCH("AdvancedGroupExpert",CLASSFEATUREHEADERS,0),MATCH(($A1250 &amp; "Points"),CLASSNAMEHEADERS,0))),(IF("11"=(INDEX(ALLCLASSDATA,MATCH("AdvancedGroupTrained",CLASSFEATUREHEADERS,0),MATCH($A1250,CLASSNAMEHEADERS,0))),(INDEX(ALLCLASSDATA,MATCH("AdvancedGroupTrained",CLASSFEATUREHEADERS,0),MATCH(($A1250 &amp; "Points"),CLASSNAMEHEADERS,0))),"")))))))))}</f>
        <v>ADVANCEDGROUPL11</v>
      </c>
      <c r="S1249" s="223"/>
      <c r="T1249" s="223" t="str">
        <f t="array" ref="T1249:T1250">{"ADVANCEDGROUPL13";((IF("13"=(INDEX(ALLCLASSDATA,MATCH("AdvancedGroupLegendary",CLASSFEATUREHEADERS,0),MATCH($A1250,CLASSNAMEHEADERS,0))),(INDEX(ALLCLASSDATA,MATCH("AdvancedGroupLegendary",CLASSFEATUREHEADERS,0),MATCH(($A1250 &amp; "Points"),CLASSNAMEHEADERS,0))),(IF("13"=(INDEX(ALLCLASSDATA,MATCH("AdvancedGroupMaster",CLASSFEATUREHEADERS,0),MATCH($A1250,CLASSNAMEHEADERS,0))),(INDEX(ALLCLASSDATA,MATCH("AdvancedGroupMaster",CLASSFEATUREHEADERS,0),MATCH(($A1250 &amp; "Points"),CLASSNAMEHEADERS,0))),(IF("13"=(INDEX(ALLCLASSDATA,MATCH("AdvancedGroupExpert",CLASSFEATUREHEADERS,0),MATCH($A1250,CLASSNAMEHEADERS,0))),(INDEX(ALLCLASSDATA,MATCH("AdvancedGroupExpert",CLASSFEATUREHEADERS,0),MATCH(($A1250 &amp; "Points"),CLASSNAMEHEADERS,0))),(IF("13"=(INDEX(ALLCLASSDATA,MATCH("AdvancedGroupTrained",CLASSFEATUREHEADERS,0),MATCH($A1250,CLASSNAMEHEADERS,0))),(INDEX(ALLCLASSDATA,MATCH("AdvancedGroupTrained",CLASSFEATUREHEADERS,0),MATCH(($A1250 &amp; "Points"),CLASSNAMEHEADERS,0))),"")))))))))}</f>
        <v>ADVANCEDGROUPL13</v>
      </c>
      <c r="U1249" s="223"/>
      <c r="V1249" s="223" t="str">
        <f t="array" ref="V1249:V1250">{"ADVANCEDGROUPL15";((IF("15"=(INDEX(ALLCLASSDATA,MATCH("AdvancedGroupLegendary",CLASSFEATUREHEADERS,0),MATCH($A1250,CLASSNAMEHEADERS,0))),(INDEX(ALLCLASSDATA,MATCH("AdvancedGroupLegendary",CLASSFEATUREHEADERS,0),MATCH(($A1250 &amp; "Points"),CLASSNAMEHEADERS,0))),(IF("15"=(INDEX(ALLCLASSDATA,MATCH("AdvancedGroupMaster",CLASSFEATUREHEADERS,0),MATCH($A1250,CLASSNAMEHEADERS,0))),(INDEX(ALLCLASSDATA,MATCH("AdvancedGroupMaster",CLASSFEATUREHEADERS,0),MATCH(($A1250 &amp; "Points"),CLASSNAMEHEADERS,0))),(IF("15"=(INDEX(ALLCLASSDATA,MATCH("AdvancedGroupExpert",CLASSFEATUREHEADERS,0),MATCH($A1250,CLASSNAMEHEADERS,0))),(INDEX(ALLCLASSDATA,MATCH("AdvancedGroupExpert",CLASSFEATUREHEADERS,0),MATCH(($A1250 &amp; "Points"),CLASSNAMEHEADERS,0))),(IF("15"=(INDEX(ALLCLASSDATA,MATCH("AdvancedGroupTrained",CLASSFEATUREHEADERS,0),MATCH($A1250,CLASSNAMEHEADERS,0))),(INDEX(ALLCLASSDATA,MATCH("AdvancedGroupTrained",CLASSFEATUREHEADERS,0),MATCH(($A1250 &amp; "Points"),CLASSNAMEHEADERS,0))),"")))))))))}</f>
        <v>ADVANCEDGROUPL15</v>
      </c>
      <c r="W1249" s="223"/>
      <c r="X1249" s="223" t="str">
        <f t="array" ref="X1249:X1250">{"ADVANCEDGROUPL17";((IF("17"=(INDEX(ALLCLASSDATA,MATCH("AdvancedGroupLegendary",CLASSFEATUREHEADERS,0),MATCH($A1250,CLASSNAMEHEADERS,0))),(INDEX(ALLCLASSDATA,MATCH("AdvancedGroupLegendary",CLASSFEATUREHEADERS,0),MATCH(($A1250 &amp; "Points"),CLASSNAMEHEADERS,0))),(IF("17"=(INDEX(ALLCLASSDATA,MATCH("AdvancedGroupMaster",CLASSFEATUREHEADERS,0),MATCH($A1250,CLASSNAMEHEADERS,0))),(INDEX(ALLCLASSDATA,MATCH("AdvancedGroupMaster",CLASSFEATUREHEADERS,0),MATCH(($A1250 &amp; "Points"),CLASSNAMEHEADERS,0))),(IF("17"=(INDEX(ALLCLASSDATA,MATCH("AdvancedGroupExpert",CLASSFEATUREHEADERS,0),MATCH($A1250,CLASSNAMEHEADERS,0))),(INDEX(ALLCLASSDATA,MATCH("AdvancedGroupExpert",CLASSFEATUREHEADERS,0),MATCH(($A1250 &amp; "Points"),CLASSNAMEHEADERS,0))),(IF("17"=(INDEX(ALLCLASSDATA,MATCH("AdvancedGroupTrained",CLASSFEATUREHEADERS,0),MATCH($A1250,CLASSNAMEHEADERS,0))),(INDEX(ALLCLASSDATA,MATCH("AdvancedGroupTrained",CLASSFEATUREHEADERS,0),MATCH(($A1250 &amp; "Points"),CLASSNAMEHEADERS,0))),"")))))))))}</f>
        <v>ADVANCEDGROUPL17</v>
      </c>
      <c r="Y1249" s="223"/>
      <c r="Z1249" s="223" t="str">
        <f t="array" ref="Z1249:Z1250">{"ADVANCEDGROUPL19";((IF("19"=(INDEX(ALLCLASSDATA,MATCH("AdvancedGroupLegendary",CLASSFEATUREHEADERS,0),MATCH($A1250,CLASSNAMEHEADERS,0))),(INDEX(ALLCLASSDATA,MATCH("AdvancedGroupLegendary",CLASSFEATUREHEADERS,0),MATCH(($A1250 &amp; "Points"),CLASSNAMEHEADERS,0))),(IF("19"=(INDEX(ALLCLASSDATA,MATCH("AdvancedGroupMaster",CLASSFEATUREHEADERS,0),MATCH($A1250,CLASSNAMEHEADERS,0))),(INDEX(ALLCLASSDATA,MATCH("AdvancedGroupMaster",CLASSFEATUREHEADERS,0),MATCH(($A1250 &amp; "Points"),CLASSNAMEHEADERS,0))),(IF("19"=(INDEX(ALLCLASSDATA,MATCH("AdvancedGroupExpert",CLASSFEATUREHEADERS,0),MATCH($A1250,CLASSNAMEHEADERS,0))),(INDEX(ALLCLASSDATA,MATCH("AdvancedGroupExpert",CLASSFEATUREHEADERS,0),MATCH(($A1250 &amp; "Points"),CLASSNAMEHEADERS,0))),(IF("19"=(INDEX(ALLCLASSDATA,MATCH("AdvancedGroupTrained",CLASSFEATUREHEADERS,0),MATCH($A1250,CLASSNAMEHEADERS,0))),(INDEX(ALLCLASSDATA,MATCH("AdvancedGroupTrained",CLASSFEATUREHEADERS,0),MATCH(($A1250 &amp; "Points"),CLASSNAMEHEADERS,0))),"")))))))))}</f>
        <v>ADVANCEDGROUPL19</v>
      </c>
      <c r="AA1249" s="223"/>
      <c r="AB1249" s="76" t="str">
        <f t="array" ref="AB1249:AB1250">{"ADVANCEDGROUP TOTAL";(IF(COUNTBLANK(G1250:AA1250)=17,"L",(IF(COUNTBLANK(G1250:AA1250)=18,"M",(IF(COUNTBLANK(G1250:AA1250)=19,"E",(IF(COUNTBLANK(G1250:AA1250)=20,"T",""))))))))}</f>
        <v>ADVANCEDGROUP TOTAL</v>
      </c>
      <c r="AC1249" s="76" t="str">
        <f t="array" ref="AC1249:AC1250">{"ADVANCEDGROUP TOTAL";(sum(G1250:AA1250))}</f>
        <v>ADVANCEDGROUP TOTAL</v>
      </c>
    </row>
    <row r="1250">
      <c r="A1250" s="48" t="s">
        <v>199</v>
      </c>
      <c r="B1250" s="48"/>
      <c r="C1250" s="48" t="s">
        <v>417</v>
      </c>
      <c r="D1250" s="48" t="s">
        <v>1634</v>
      </c>
      <c r="E1250" s="48" t="s">
        <v>601</v>
      </c>
      <c r="F1250" s="5" t="s">
        <v>603</v>
      </c>
      <c r="G1250" s="47" t="s">
        <v>603</v>
      </c>
      <c r="H1250" s="5" t="s">
        <v>603</v>
      </c>
      <c r="I1250" s="5"/>
      <c r="J1250" s="5" t="s">
        <v>603</v>
      </c>
      <c r="K1250" s="5"/>
      <c r="L1250" s="5" t="s">
        <v>603</v>
      </c>
      <c r="M1250" s="5"/>
      <c r="N1250" s="5" t="s">
        <v>603</v>
      </c>
      <c r="O1250" s="5"/>
      <c r="P1250" s="5" t="s">
        <v>603</v>
      </c>
      <c r="Q1250" s="5"/>
      <c r="R1250" s="5" t="s">
        <v>603</v>
      </c>
      <c r="S1250" s="5"/>
      <c r="T1250" s="5" t="s">
        <v>603</v>
      </c>
      <c r="U1250" s="5"/>
      <c r="V1250" s="5" t="s">
        <v>603</v>
      </c>
      <c r="W1250" s="5"/>
      <c r="X1250" s="5" t="s">
        <v>603</v>
      </c>
      <c r="Y1250" s="5"/>
      <c r="Z1250" s="5" t="s">
        <v>603</v>
      </c>
      <c r="AA1250" s="5"/>
      <c r="AB1250" s="5" t="s">
        <v>603</v>
      </c>
      <c r="AC1250" s="47">
        <v>0.0</v>
      </c>
    </row>
    <row r="1251" hidden="1">
      <c r="A1251" s="222" t="str">
        <f t="array" ref="A1251:A1252">{"FormulaRow33";(INDEX(CLASSLIST,A1186,1))}</f>
        <v>FormulaRow33</v>
      </c>
      <c r="B1251" s="77" t="s">
        <v>236</v>
      </c>
      <c r="C1251" s="222" t="str">
        <f t="array" ref="C1251:C1252">{"CLASSTYPE";((INDEX(ALLCLASSDATA,MATCH("ClassType",CLASSFEATUREHEADERS,0),MATCH($A1252,CLASSNAMEHEADERS,0))))}</f>
        <v>CLASSTYPE</v>
      </c>
      <c r="D1251" s="222" t="str">
        <f t="array" ref="D1251:D1252">{"ATTACK";"Attack"}</f>
        <v>ATTACK</v>
      </c>
      <c r="E1251" s="222" t="str">
        <f t="array" ref="E1251:E1252">{"ADVANCED";"Advanced"}</f>
        <v>ADVANCED</v>
      </c>
      <c r="F1251" s="223" t="str">
        <f t="array" ref="F1251:F1252">{"ADVANCEDINITIAL";((IF(H1252=10,"T",(IF(H1252=50,"E","")))))}</f>
        <v>ADVANCEDINITIAL</v>
      </c>
      <c r="G1251" s="223" t="str">
        <f t="array" ref="G1251:G1252">{"ADVANCEDINITIALPTS";((IF("00"=(INDEX(ALLCLASSDATA,MATCH("AdvancedLegendary",CLASSFEATUREHEADERS,0),MATCH($A1252,CLASSNAMEHEADERS,0))),(INDEX(ALLCLASSDATA,MATCH("AdvancedLegendary",CLASSFEATUREHEADERS,0),MATCH(($A1252 &amp; "Points"),CLASSNAMEHEADERS,0))),(IF("00"=(INDEX(ALLCLASSDATA,MATCH("AdvancedMaster",CLASSFEATUREHEADERS,0),MATCH($A1252,CLASSNAMEHEADERS,0))),(INDEX(ALLCLASSDATA,MATCH("AdvancedMaster",CLASSFEATUREHEADERS,0),MATCH(($A1252 &amp; "Points"),CLASSNAMEHEADERS,0))),(IF("00"=(INDEX(ALLCLASSDATA,MATCH("AdvancedExpert",CLASSFEATUREHEADERS,0),MATCH($A1252,CLASSNAMEHEADERS,0))),(INDEX(ALLCLASSDATA,MATCH("AdvancedExpert",CLASSFEATUREHEADERS,0),MATCH(($A1252 &amp; "Points"),CLASSNAMEHEADERS,0))),(IF("00"=(INDEX(ALLCLASSDATA,MATCH("AdvancedTrained",CLASSFEATUREHEADERS,0),MATCH($A1252,CLASSNAMEHEADERS,0))),(INDEX(ALLCLASSDATA,MATCH("AdvancedTrained",CLASSFEATUREHEADERS,0),MATCH(($A1252 &amp; "Points"),CLASSNAMEHEADERS,0))),"")))))))))}</f>
        <v>ADVANCEDINITIALPTS</v>
      </c>
      <c r="H1251" s="223" t="str">
        <f t="array" ref="H1251:H1252">{"ADVANCEDL01";((IF("01"=(INDEX(ALLCLASSDATA,MATCH("AdvancedLegendary",CLASSFEATUREHEADERS,0),MATCH($A1252,CLASSNAMEHEADERS,0))),(INDEX(ALLCLASSDATA,MATCH("AdvancedLegendary",CLASSFEATUREHEADERS,0),MATCH(($A1252 &amp; "Points"),CLASSNAMEHEADERS,0))),(IF("01"=(INDEX(ALLCLASSDATA,MATCH("AdvancedMaster",CLASSFEATUREHEADERS,0),MATCH($A1252,CLASSNAMEHEADERS,0))),(INDEX(ALLCLASSDATA,MATCH("AdvancedMaster",CLASSFEATUREHEADERS,0),MATCH(($A1252 &amp; "Points"),CLASSNAMEHEADERS,0))),(IF("01"=(INDEX(ALLCLASSDATA,MATCH("AdvancedExpert",CLASSFEATUREHEADERS,0),MATCH($A1252,CLASSNAMEHEADERS,0))),(INDEX(ALLCLASSDATA,MATCH("AdvancedExpert",CLASSFEATUREHEADERS,0),MATCH(($A1252 &amp; "Points"),CLASSNAMEHEADERS,0))),(IF("01"=(INDEX(ALLCLASSDATA,MATCH("AdvancedTrained",CLASSFEATUREHEADERS,0),MATCH($A1252,CLASSNAMEHEADERS,0))),(INDEX(ALLCLASSDATA,MATCH("AdvancedTrained",CLASSFEATUREHEADERS,0),MATCH(($A1252 &amp; "Points"),CLASSNAMEHEADERS,0))),"")))))))))}</f>
        <v>ADVANCEDL01</v>
      </c>
      <c r="I1251" s="223"/>
      <c r="J1251" s="223" t="str">
        <f t="array" ref="J1251:J1252">{"ADVANCEDL03";((IF("03"=(INDEX(ALLCLASSDATA,MATCH("AdvancedLegendary",CLASSFEATUREHEADERS,0),MATCH($A1252,CLASSNAMEHEADERS,0))),(INDEX(ALLCLASSDATA,MATCH("AdvancedLegendary",CLASSFEATUREHEADERS,0),MATCH(($A1252 &amp; "Points"),CLASSNAMEHEADERS,0))),(IF("03"=(INDEX(ALLCLASSDATA,MATCH("AdvancedMaster",CLASSFEATUREHEADERS,0),MATCH($A1252,CLASSNAMEHEADERS,0))),(INDEX(ALLCLASSDATA,MATCH("AdvancedMaster",CLASSFEATUREHEADERS,0),MATCH(($A1252 &amp; "Points"),CLASSNAMEHEADERS,0))),(IF("03"=(INDEX(ALLCLASSDATA,MATCH("AdvancedExpert",CLASSFEATUREHEADERS,0),MATCH($A1252,CLASSNAMEHEADERS,0))),(INDEX(ALLCLASSDATA,MATCH("AdvancedExpert",CLASSFEATUREHEADERS,0),MATCH(($A1252 &amp; "Points"),CLASSNAMEHEADERS,0))),(IF("03"=(INDEX(ALLCLASSDATA,MATCH("AdvancedTrained",CLASSFEATUREHEADERS,0),MATCH($A1252,CLASSNAMEHEADERS,0))),(INDEX(ALLCLASSDATA,MATCH("AdvancedTrained",CLASSFEATUREHEADERS,0),MATCH(($A1252 &amp; "Points"),CLASSNAMEHEADERS,0))),"")))))))))}</f>
        <v>ADVANCEDL03</v>
      </c>
      <c r="K1251" s="223"/>
      <c r="L1251" s="223" t="str">
        <f t="array" ref="L1251:L1252">{"ADVANCEDL05";((IF("05"=(INDEX(ALLCLASSDATA,MATCH("AdvancedLegendary",CLASSFEATUREHEADERS,0),MATCH($A1252,CLASSNAMEHEADERS,0))),(INDEX(ALLCLASSDATA,MATCH("AdvancedLegendary",CLASSFEATUREHEADERS,0),MATCH(($A1252 &amp; "Points"),CLASSNAMEHEADERS,0))),(IF("05"=(INDEX(ALLCLASSDATA,MATCH("AdvancedMaster",CLASSFEATUREHEADERS,0),MATCH($A1252,CLASSNAMEHEADERS,0))),(INDEX(ALLCLASSDATA,MATCH("AdvancedMaster",CLASSFEATUREHEADERS,0),MATCH(($A1252 &amp; "Points"),CLASSNAMEHEADERS,0))),(IF("05"=(INDEX(ALLCLASSDATA,MATCH("AdvancedExpert",CLASSFEATUREHEADERS,0),MATCH($A1252,CLASSNAMEHEADERS,0))),(INDEX(ALLCLASSDATA,MATCH("AdvancedExpert",CLASSFEATUREHEADERS,0),MATCH(($A1252 &amp; "Points"),CLASSNAMEHEADERS,0))),(IF("05"=(INDEX(ALLCLASSDATA,MATCH("AdvancedTrained",CLASSFEATUREHEADERS,0),MATCH($A1252,CLASSNAMEHEADERS,0))),(INDEX(ALLCLASSDATA,MATCH("AdvancedTrained",CLASSFEATUREHEADERS,0),MATCH(($A1252 &amp; "Points"),CLASSNAMEHEADERS,0))),"")))))))))}</f>
        <v>ADVANCEDL05</v>
      </c>
      <c r="M1251" s="223"/>
      <c r="N1251" s="223" t="str">
        <f t="array" ref="N1251:N1252">{"ADVANCEDL07";((IF("07"=(INDEX(ALLCLASSDATA,MATCH("AdvancedLegendary",CLASSFEATUREHEADERS,0),MATCH($A1252,CLASSNAMEHEADERS,0))),(INDEX(ALLCLASSDATA,MATCH("AdvancedLegendary",CLASSFEATUREHEADERS,0),MATCH(($A1252 &amp; "Points"),CLASSNAMEHEADERS,0))),(IF("07"=(INDEX(ALLCLASSDATA,MATCH("AdvancedMaster",CLASSFEATUREHEADERS,0),MATCH($A1252,CLASSNAMEHEADERS,0))),(INDEX(ALLCLASSDATA,MATCH("AdvancedMaster",CLASSFEATUREHEADERS,0),MATCH(($A1252 &amp; "Points"),CLASSNAMEHEADERS,0))),(IF("07"=(INDEX(ALLCLASSDATA,MATCH("AdvancedExpert",CLASSFEATUREHEADERS,0),MATCH($A1252,CLASSNAMEHEADERS,0))),(INDEX(ALLCLASSDATA,MATCH("AdvancedExpert",CLASSFEATUREHEADERS,0),MATCH(($A1252 &amp; "Points"),CLASSNAMEHEADERS,0))),(IF("07"=(INDEX(ALLCLASSDATA,MATCH("AdvancedTrained",CLASSFEATUREHEADERS,0),MATCH($A1252,CLASSNAMEHEADERS,0))),(INDEX(ALLCLASSDATA,MATCH("AdvancedTrained",CLASSFEATUREHEADERS,0),MATCH(($A1252 &amp; "Points"),CLASSNAMEHEADERS,0))),"")))))))))}</f>
        <v>ADVANCEDL07</v>
      </c>
      <c r="O1251" s="223"/>
      <c r="P1251" s="223" t="str">
        <f t="array" ref="P1251:P1252">{"ADVANCEDL09";((IF("09"=(INDEX(ALLCLASSDATA,MATCH("AdvancedLegendary",CLASSFEATUREHEADERS,0),MATCH($A1252,CLASSNAMEHEADERS,0))),(INDEX(ALLCLASSDATA,MATCH("AdvancedLegendary",CLASSFEATUREHEADERS,0),MATCH(($A1252 &amp; "Points"),CLASSNAMEHEADERS,0))),(IF("09"=(INDEX(ALLCLASSDATA,MATCH("AdvancedMaster",CLASSFEATUREHEADERS,0),MATCH($A1252,CLASSNAMEHEADERS,0))),(INDEX(ALLCLASSDATA,MATCH("AdvancedMaster",CLASSFEATUREHEADERS,0),MATCH(($A1252 &amp; "Points"),CLASSNAMEHEADERS,0))),(IF("09"=(INDEX(ALLCLASSDATA,MATCH("AdvancedExpert",CLASSFEATUREHEADERS,0),MATCH($A1252,CLASSNAMEHEADERS,0))),(INDEX(ALLCLASSDATA,MATCH("AdvancedExpert",CLASSFEATUREHEADERS,0),MATCH(($A1252 &amp; "Points"),CLASSNAMEHEADERS,0))),(IF("09"=(INDEX(ALLCLASSDATA,MATCH("AdvancedTrained",CLASSFEATUREHEADERS,0),MATCH($A1252,CLASSNAMEHEADERS,0))),(INDEX(ALLCLASSDATA,MATCH("AdvancedTrained",CLASSFEATUREHEADERS,0),MATCH(($A1252 &amp; "Points"),CLASSNAMEHEADERS,0))),"")))))))))}</f>
        <v>ADVANCEDL09</v>
      </c>
      <c r="Q1251" s="223"/>
      <c r="R1251" s="223" t="str">
        <f t="array" ref="R1251:R1252">{"ADVANCEDL11";((IF("11"=(INDEX(ALLCLASSDATA,MATCH("AdvancedLegendary",CLASSFEATUREHEADERS,0),MATCH($A1252,CLASSNAMEHEADERS,0))),(INDEX(ALLCLASSDATA,MATCH("AdvancedLegendary",CLASSFEATUREHEADERS,0),MATCH(($A1252 &amp; "Points"),CLASSNAMEHEADERS,0))),(IF("11"=(INDEX(ALLCLASSDATA,MATCH("AdvancedMaster",CLASSFEATUREHEADERS,0),MATCH($A1252,CLASSNAMEHEADERS,0))),(INDEX(ALLCLASSDATA,MATCH("AdvancedMaster",CLASSFEATUREHEADERS,0),MATCH(($A1252 &amp; "Points"),CLASSNAMEHEADERS,0))),(IF("11"=(INDEX(ALLCLASSDATA,MATCH("AdvancedExpert",CLASSFEATUREHEADERS,0),MATCH($A1252,CLASSNAMEHEADERS,0))),(INDEX(ALLCLASSDATA,MATCH("AdvancedExpert",CLASSFEATUREHEADERS,0),MATCH(($A1252 &amp; "Points"),CLASSNAMEHEADERS,0))),(IF("11"=(INDEX(ALLCLASSDATA,MATCH("AdvancedTrained",CLASSFEATUREHEADERS,0),MATCH($A1252,CLASSNAMEHEADERS,0))),(INDEX(ALLCLASSDATA,MATCH("AdvancedTrained",CLASSFEATUREHEADERS,0),MATCH(($A1252 &amp; "Points"),CLASSNAMEHEADERS,0))),"")))))))))}</f>
        <v>ADVANCEDL11</v>
      </c>
      <c r="S1251" s="223"/>
      <c r="T1251" s="223" t="str">
        <f t="array" ref="T1251:T1252">{"ADVANCEDL13";((IF("13"=(INDEX(ALLCLASSDATA,MATCH("AdvancedLegendary",CLASSFEATUREHEADERS,0),MATCH($A1252,CLASSNAMEHEADERS,0))),(INDEX(ALLCLASSDATA,MATCH("AdvancedLegendary",CLASSFEATUREHEADERS,0),MATCH(($A1252 &amp; "Points"),CLASSNAMEHEADERS,0))),(IF("13"=(INDEX(ALLCLASSDATA,MATCH("AdvancedMaster",CLASSFEATUREHEADERS,0),MATCH($A1252,CLASSNAMEHEADERS,0))),(INDEX(ALLCLASSDATA,MATCH("AdvancedMaster",CLASSFEATUREHEADERS,0),MATCH(($A1252 &amp; "Points"),CLASSNAMEHEADERS,0))),(IF("13"=(INDEX(ALLCLASSDATA,MATCH("AdvancedExpert",CLASSFEATUREHEADERS,0),MATCH($A1252,CLASSNAMEHEADERS,0))),(INDEX(ALLCLASSDATA,MATCH("AdvancedExpert",CLASSFEATUREHEADERS,0),MATCH(($A1252 &amp; "Points"),CLASSNAMEHEADERS,0))),(IF("13"=(INDEX(ALLCLASSDATA,MATCH("AdvancedTrained",CLASSFEATUREHEADERS,0),MATCH($A1252,CLASSNAMEHEADERS,0))),(INDEX(ALLCLASSDATA,MATCH("AdvancedTrained",CLASSFEATUREHEADERS,0),MATCH(($A1252 &amp; "Points"),CLASSNAMEHEADERS,0))),"")))))))))}</f>
        <v>ADVANCEDL13</v>
      </c>
      <c r="U1251" s="223"/>
      <c r="V1251" s="223" t="str">
        <f t="array" ref="V1251:V1252">{"ADVANCEDL15";((IF("15"=(INDEX(ALLCLASSDATA,MATCH("AdvancedLegendary",CLASSFEATUREHEADERS,0),MATCH($A1252,CLASSNAMEHEADERS,0))),(INDEX(ALLCLASSDATA,MATCH("AdvancedLegendary",CLASSFEATUREHEADERS,0),MATCH(($A1252 &amp; "Points"),CLASSNAMEHEADERS,0))),(IF("15"=(INDEX(ALLCLASSDATA,MATCH("AdvancedMaster",CLASSFEATUREHEADERS,0),MATCH($A1252,CLASSNAMEHEADERS,0))),(INDEX(ALLCLASSDATA,MATCH("AdvancedMaster",CLASSFEATUREHEADERS,0),MATCH(($A1252 &amp; "Points"),CLASSNAMEHEADERS,0))),(IF("15"=(INDEX(ALLCLASSDATA,MATCH("AdvancedExpert",CLASSFEATUREHEADERS,0),MATCH($A1252,CLASSNAMEHEADERS,0))),(INDEX(ALLCLASSDATA,MATCH("AdvancedExpert",CLASSFEATUREHEADERS,0),MATCH(($A1252 &amp; "Points"),CLASSNAMEHEADERS,0))),(IF("15"=(INDEX(ALLCLASSDATA,MATCH("AdvancedTrained",CLASSFEATUREHEADERS,0),MATCH($A1252,CLASSNAMEHEADERS,0))),(INDEX(ALLCLASSDATA,MATCH("AdvancedTrained",CLASSFEATUREHEADERS,0),MATCH(($A1252 &amp; "Points"),CLASSNAMEHEADERS,0))),"")))))))))}</f>
        <v>ADVANCEDL15</v>
      </c>
      <c r="W1251" s="223"/>
      <c r="X1251" s="223" t="str">
        <f t="array" ref="X1251:X1252">{"ADVANCEDL17";((IF("17"=(INDEX(ALLCLASSDATA,MATCH("AdvancedLegendary",CLASSFEATUREHEADERS,0),MATCH($A1252,CLASSNAMEHEADERS,0))),(INDEX(ALLCLASSDATA,MATCH("AdvancedLegendary",CLASSFEATUREHEADERS,0),MATCH(($A1252 &amp; "Points"),CLASSNAMEHEADERS,0))),(IF("17"=(INDEX(ALLCLASSDATA,MATCH("AdvancedMaster",CLASSFEATUREHEADERS,0),MATCH($A1252,CLASSNAMEHEADERS,0))),(INDEX(ALLCLASSDATA,MATCH("AdvancedMaster",CLASSFEATUREHEADERS,0),MATCH(($A1252 &amp; "Points"),CLASSNAMEHEADERS,0))),(IF("17"=(INDEX(ALLCLASSDATA,MATCH("AdvancedExpert",CLASSFEATUREHEADERS,0),MATCH($A1252,CLASSNAMEHEADERS,0))),(INDEX(ALLCLASSDATA,MATCH("AdvancedExpert",CLASSFEATUREHEADERS,0),MATCH(($A1252 &amp; "Points"),CLASSNAMEHEADERS,0))),(IF("17"=(INDEX(ALLCLASSDATA,MATCH("AdvancedTrained",CLASSFEATUREHEADERS,0),MATCH($A1252,CLASSNAMEHEADERS,0))),(INDEX(ALLCLASSDATA,MATCH("AdvancedTrained",CLASSFEATUREHEADERS,0),MATCH(($A1252 &amp; "Points"),CLASSNAMEHEADERS,0))),"")))))))))}</f>
        <v>ADVANCEDL17</v>
      </c>
      <c r="Y1251" s="223"/>
      <c r="Z1251" s="223" t="str">
        <f t="array" ref="Z1251:Z1252">{"ADVANCEDL19";((IF("19"=(INDEX(ALLCLASSDATA,MATCH("AdvancedLegendary",CLASSFEATUREHEADERS,0),MATCH($A1252,CLASSNAMEHEADERS,0))),(INDEX(ALLCLASSDATA,MATCH("AdvancedLegendary",CLASSFEATUREHEADERS,0),MATCH(($A1252 &amp; "Points"),CLASSNAMEHEADERS,0))),(IF("19"=(INDEX(ALLCLASSDATA,MATCH("AdvancedMaster",CLASSFEATUREHEADERS,0),MATCH($A1252,CLASSNAMEHEADERS,0))),(INDEX(ALLCLASSDATA,MATCH("AdvancedMaster",CLASSFEATUREHEADERS,0),MATCH(($A1252 &amp; "Points"),CLASSNAMEHEADERS,0))),(IF("19"=(INDEX(ALLCLASSDATA,MATCH("AdvancedExpert",CLASSFEATUREHEADERS,0),MATCH($A1252,CLASSNAMEHEADERS,0))),(INDEX(ALLCLASSDATA,MATCH("AdvancedExpert",CLASSFEATUREHEADERS,0),MATCH(($A1252 &amp; "Points"),CLASSNAMEHEADERS,0))),(IF("19"=(INDEX(ALLCLASSDATA,MATCH("AdvancedTrained",CLASSFEATUREHEADERS,0),MATCH($A1252,CLASSNAMEHEADERS,0))),(INDEX(ALLCLASSDATA,MATCH("AdvancedTrained",CLASSFEATUREHEADERS,0),MATCH(($A1252 &amp; "Points"),CLASSNAMEHEADERS,0))),"")))))))))}</f>
        <v>ADVANCEDL19</v>
      </c>
      <c r="AA1251" s="223"/>
      <c r="AB1251" s="76" t="str">
        <f t="array" ref="AB1251:AB1252">{"ADVANCED TOTAL";(IF(COUNTBLANK(G1252:AA1252)=17,"L",(IF(COUNTBLANK(G1252:AA1252)=18,"M",(IF(COUNTBLANK(G1252:AA1252)=19,"E",(IF(COUNTBLANK(G1252:AA1252)=20,"T",""))))))))}</f>
        <v>ADVANCED TOTAL</v>
      </c>
      <c r="AC1251" s="76" t="str">
        <f t="array" ref="AC1251:AC1252">{"ADVANCED TOTAL";(sum(G1252:AA1252))}</f>
        <v>ADVANCED TOTAL</v>
      </c>
    </row>
    <row r="1252">
      <c r="A1252" s="48" t="s">
        <v>199</v>
      </c>
      <c r="B1252" s="48"/>
      <c r="C1252" s="48" t="s">
        <v>417</v>
      </c>
      <c r="D1252" s="97" t="s">
        <v>1634</v>
      </c>
      <c r="E1252" s="97" t="s">
        <v>602</v>
      </c>
      <c r="F1252" s="98" t="s">
        <v>603</v>
      </c>
      <c r="G1252" s="132" t="s">
        <v>603</v>
      </c>
      <c r="H1252" s="98" t="s">
        <v>603</v>
      </c>
      <c r="I1252" s="98"/>
      <c r="J1252" s="98" t="s">
        <v>603</v>
      </c>
      <c r="K1252" s="98"/>
      <c r="L1252" s="98" t="s">
        <v>603</v>
      </c>
      <c r="M1252" s="98"/>
      <c r="N1252" s="98" t="s">
        <v>603</v>
      </c>
      <c r="O1252" s="98"/>
      <c r="P1252" s="98" t="s">
        <v>603</v>
      </c>
      <c r="Q1252" s="98"/>
      <c r="R1252" s="98" t="s">
        <v>603</v>
      </c>
      <c r="S1252" s="98"/>
      <c r="T1252" s="98" t="s">
        <v>603</v>
      </c>
      <c r="U1252" s="98"/>
      <c r="V1252" s="98" t="s">
        <v>603</v>
      </c>
      <c r="W1252" s="98"/>
      <c r="X1252" s="98" t="s">
        <v>603</v>
      </c>
      <c r="Y1252" s="98"/>
      <c r="Z1252" s="98" t="s">
        <v>603</v>
      </c>
      <c r="AA1252" s="98"/>
      <c r="AB1252" s="5" t="s">
        <v>603</v>
      </c>
      <c r="AC1252" s="47">
        <v>0.0</v>
      </c>
    </row>
    <row r="1253" hidden="1">
      <c r="A1253" s="222" t="str">
        <f t="array" ref="A1253:A1254">{"FormulaRow34";(INDEX(CLASSLIST,A1186,1))}</f>
        <v>FormulaRow34</v>
      </c>
      <c r="B1253" s="77" t="s">
        <v>236</v>
      </c>
      <c r="C1253" s="222" t="str">
        <f t="array" ref="C1253:C1254">{"CLASSTYPE";((INDEX(ALLCLASSDATA,MATCH("ClassType",CLASSFEATUREHEADERS,0),MATCH($A1254,CLASSNAMEHEADERS,0))))}</f>
        <v>CLASSTYPE</v>
      </c>
      <c r="D1253" s="222" t="str">
        <f t="array" ref="D1253:D1254">{"DEFENSE";"Defense"}</f>
        <v>DEFENSE</v>
      </c>
      <c r="E1253" s="222" t="str">
        <f t="array" ref="E1253:E1254">{"ARMORSPECIAL";"ArmorAS"}</f>
        <v>ARMORSPECIAL</v>
      </c>
      <c r="F1253" s="223"/>
      <c r="G1253" s="223"/>
      <c r="H1253" s="223" t="str">
        <f t="array" ref="H1253:H1254">{"ARMORSPECIALL01";((IF("01"=INDEX(ALLCLASSDATA,MATCH("ArmorSpecialization",CLASSFEATUREHEADERS,0),MATCH($A1254,CLASSNAMEHEADERS,0)),ArmorAS,"")))}</f>
        <v>ARMORSPECIALL01</v>
      </c>
      <c r="I1253" s="223"/>
      <c r="J1253" s="223" t="str">
        <f t="array" ref="J1253:J1254">{"ARMORSPECIALL03";((IF("03"=INDEX(ALLCLASSDATA,MATCH("ArmorSpecialization",CLASSFEATUREHEADERS,0),MATCH($A1254,CLASSNAMEHEADERS,0)),ArmorAS,"")))}</f>
        <v>ARMORSPECIALL03</v>
      </c>
      <c r="K1253" s="223"/>
      <c r="L1253" s="223" t="str">
        <f t="array" ref="L1253:L1254">{"ARMORSPECIALL05";((IF("05"=INDEX(ALLCLASSDATA,MATCH("ArmorSpecialization",CLASSFEATUREHEADERS,0),MATCH($A1254,CLASSNAMEHEADERS,0)),ArmorAS,"")))}</f>
        <v>ARMORSPECIALL05</v>
      </c>
      <c r="M1253" s="223"/>
      <c r="N1253" s="223" t="str">
        <f t="array" ref="N1253:N1254">{"ARMORSPECIALL07";((IF("07"=INDEX(ALLCLASSDATA,MATCH("ArmorSpecialization",CLASSFEATUREHEADERS,0),MATCH($A1254,CLASSNAMEHEADERS,0)),ArmorAS,"")))}</f>
        <v>ARMORSPECIALL07</v>
      </c>
      <c r="O1253" s="223"/>
      <c r="P1253" s="223" t="str">
        <f t="array" ref="P1253:P1254">{"ARMORSPECIALL09";((IF("09"=INDEX(ALLCLASSDATA,MATCH("ArmorSpecialization",CLASSFEATUREHEADERS,0),MATCH($A1254,CLASSNAMEHEADERS,0)),ArmorAS,"")))}</f>
        <v>ARMORSPECIALL09</v>
      </c>
      <c r="Q1253" s="223"/>
      <c r="R1253" s="223" t="str">
        <f t="array" ref="R1253:R1254">{"ARMORSPECIALL11";((IF("11"=INDEX(ALLCLASSDATA,MATCH("ArmorSpecialization",CLASSFEATUREHEADERS,0),MATCH($A1254,CLASSNAMEHEADERS,0)),ArmorAS,"")))}</f>
        <v>ARMORSPECIALL11</v>
      </c>
      <c r="S1253" s="223"/>
      <c r="T1253" s="223" t="str">
        <f t="array" ref="T1253:T1254">{"ARMORSPECIALL13";((IF("13"=INDEX(ALLCLASSDATA,MATCH("ArmorSpecialization",CLASSFEATUREHEADERS,0),MATCH($A1254,CLASSNAMEHEADERS,0)),ArmorAS,"")))}</f>
        <v>ARMORSPECIALL13</v>
      </c>
      <c r="U1253" s="223"/>
      <c r="V1253" s="223" t="str">
        <f t="array" ref="V1253:V1254">{"ARMORSPECIALL15";((IF("15"=INDEX(ALLCLASSDATA,MATCH("ArmorSpecialization",CLASSFEATUREHEADERS,0),MATCH($A1254,CLASSNAMEHEADERS,0)),ArmorAS,"")))}</f>
        <v>ARMORSPECIALL15</v>
      </c>
      <c r="W1253" s="223"/>
      <c r="X1253" s="223" t="str">
        <f t="array" ref="X1253:X1254">{"ARMORSPECIALL17";((IF("17"=INDEX(ALLCLASSDATA,MATCH("ArmorSpecialization",CLASSFEATUREHEADERS,0),MATCH($A1254,CLASSNAMEHEADERS,0)),ArmorAS,"")))}</f>
        <v>ARMORSPECIALL17</v>
      </c>
      <c r="Y1253" s="223"/>
      <c r="Z1253" s="223" t="str">
        <f t="array" ref="Z1253:Z1254">{"ARMORSPECIALL19";((IF("19"=INDEX(ALLCLASSDATA,MATCH("ArmorSpecialization",CLASSFEATUREHEADERS,0),MATCH($A1254,CLASSNAMEHEADERS,0)),ArmorAS,"")))}</f>
        <v>ARMORSPECIALL19</v>
      </c>
      <c r="AA1253" s="223"/>
      <c r="AB1253" s="76"/>
      <c r="AC1253" s="76" t="str">
        <f t="array" ref="AC1253:AC1254">{"ARMORSPECIAL TOTAL";(sum(G1254:AA1254))}</f>
        <v>ARMORSPECIAL TOTAL</v>
      </c>
    </row>
    <row r="1254">
      <c r="A1254" s="48" t="s">
        <v>199</v>
      </c>
      <c r="B1254" s="48"/>
      <c r="C1254" s="48" t="s">
        <v>417</v>
      </c>
      <c r="D1254" s="48" t="s">
        <v>1900</v>
      </c>
      <c r="E1254" s="48" t="s">
        <v>51</v>
      </c>
      <c r="F1254" s="5"/>
      <c r="G1254" s="47"/>
      <c r="H1254" s="5" t="s">
        <v>603</v>
      </c>
      <c r="I1254" s="5"/>
      <c r="J1254" s="5" t="s">
        <v>603</v>
      </c>
      <c r="K1254" s="5"/>
      <c r="L1254" s="5" t="s">
        <v>603</v>
      </c>
      <c r="M1254" s="5"/>
      <c r="N1254" s="5" t="s">
        <v>603</v>
      </c>
      <c r="O1254" s="5"/>
      <c r="P1254" s="5" t="s">
        <v>603</v>
      </c>
      <c r="Q1254" s="5"/>
      <c r="R1254" s="5" t="s">
        <v>603</v>
      </c>
      <c r="S1254" s="5"/>
      <c r="T1254" s="5" t="s">
        <v>603</v>
      </c>
      <c r="U1254" s="5"/>
      <c r="V1254" s="5" t="s">
        <v>603</v>
      </c>
      <c r="W1254" s="5"/>
      <c r="X1254" s="5" t="s">
        <v>603</v>
      </c>
      <c r="Y1254" s="5"/>
      <c r="Z1254" s="5" t="s">
        <v>603</v>
      </c>
      <c r="AA1254" s="5"/>
      <c r="AB1254" s="5"/>
      <c r="AC1254" s="47">
        <v>0.0</v>
      </c>
    </row>
    <row r="1255" hidden="1">
      <c r="A1255" s="222" t="str">
        <f t="array" ref="A1255:A1256">{"FormulaRow35";(INDEX(CLASSLIST,A1186,1))}</f>
        <v>FormulaRow35</v>
      </c>
      <c r="B1255" s="77" t="s">
        <v>236</v>
      </c>
      <c r="C1255" s="222" t="str">
        <f t="array" ref="C1255:C1256">{"CLASSTYPE";((INDEX(ALLCLASSDATA,MATCH("ClassType",CLASSFEATUREHEADERS,0),MATCH($A1256,CLASSNAMEHEADERS,0))))}</f>
        <v>CLASSTYPE</v>
      </c>
      <c r="D1255" s="222" t="str">
        <f t="array" ref="D1255:D1256">{"DEFENSE";"Defense"}</f>
        <v>DEFENSE</v>
      </c>
      <c r="E1255" s="222" t="str">
        <f t="array" ref="E1255:E1256">{"UNARMORED";"Unarmored"}</f>
        <v>UNARMORED</v>
      </c>
      <c r="F1255" s="223" t="str">
        <f t="array" ref="F1255:F1256">{"UNARMOREDINITIAL";((IF(H1256=10,"T",(IF(H1256=50,"E","")))))}</f>
        <v>UNARMOREDINITIAL</v>
      </c>
      <c r="G1255" s="223" t="str">
        <f t="array" ref="G1255:G1256">{"UNARMOREDINITIALPTS";((IF("00"=(INDEX(ALLCLASSDATA,MATCH("UnarmoredLegendary",CLASSFEATUREHEADERS,0),MATCH($A1256,CLASSNAMEHEADERS,0))),(INDEX(ALLCLASSDATA,MATCH("UnarmoredLegendary",CLASSFEATUREHEADERS,0),MATCH(($A1256 &amp; "Points"),CLASSNAMEHEADERS,0))),(IF("00"=(INDEX(ALLCLASSDATA,MATCH("UnarmoredMaster",CLASSFEATUREHEADERS,0),MATCH($A1256,CLASSNAMEHEADERS,0))),(INDEX(ALLCLASSDATA,MATCH("UnarmoredMaster",CLASSFEATUREHEADERS,0),MATCH(($A1256 &amp; "Points"),CLASSNAMEHEADERS,0))),(IF("00"=(INDEX(ALLCLASSDATA,MATCH("UnarmoredExpert",CLASSFEATUREHEADERS,0),MATCH($A1256,CLASSNAMEHEADERS,0))),(INDEX(ALLCLASSDATA,MATCH("UnarmoredExpert",CLASSFEATUREHEADERS,0),MATCH(($A1256 &amp; "Points"),CLASSNAMEHEADERS,0))),(IF("00"=(INDEX(ALLCLASSDATA,MATCH("UnarmoredTrained",CLASSFEATUREHEADERS,0),MATCH($A1256,CLASSNAMEHEADERS,0))),(INDEX(ALLCLASSDATA,MATCH("UnarmoredTrained",CLASSFEATUREHEADERS,0),MATCH(($A1256 &amp; "Points"),CLASSNAMEHEADERS,0))),"")))))))))}</f>
        <v>UNARMOREDINITIALPTS</v>
      </c>
      <c r="H1255" s="223" t="str">
        <f t="array" ref="H1255:H1256">{"UNARMOREDL01";((IF("01"=(INDEX(ALLCLASSDATA,MATCH("UnarmoredLegendary",CLASSFEATUREHEADERS,0),MATCH($A1256,CLASSNAMEHEADERS,0))),(INDEX(ALLCLASSDATA,MATCH("UnarmoredLegendary",CLASSFEATUREHEADERS,0),MATCH(($A1256 &amp; "Points"),CLASSNAMEHEADERS,0))),(IF("01"=(INDEX(ALLCLASSDATA,MATCH("UnarmoredMaster",CLASSFEATUREHEADERS,0),MATCH($A1256,CLASSNAMEHEADERS,0))),(INDEX(ALLCLASSDATA,MATCH("UnarmoredMaster",CLASSFEATUREHEADERS,0),MATCH(($A1256 &amp; "Points"),CLASSNAMEHEADERS,0))),(IF("01"=(INDEX(ALLCLASSDATA,MATCH("UnarmoredExpert",CLASSFEATUREHEADERS,0),MATCH($A1256,CLASSNAMEHEADERS,0))),(INDEX(ALLCLASSDATA,MATCH("UnarmoredExpert",CLASSFEATUREHEADERS,0),MATCH(($A1256 &amp; "Points"),CLASSNAMEHEADERS,0))),(IF("01"=(INDEX(ALLCLASSDATA,MATCH("UnarmoredTrained",CLASSFEATUREHEADERS,0),MATCH($A1256,CLASSNAMEHEADERS,0))),(INDEX(ALLCLASSDATA,MATCH("UnarmoredTrained",CLASSFEATUREHEADERS,0),MATCH(($A1256 &amp; "Points"),CLASSNAMEHEADERS,0))),"")))))))))}</f>
        <v>UNARMOREDL01</v>
      </c>
      <c r="I1255" s="223"/>
      <c r="J1255" s="223" t="str">
        <f t="array" ref="J1255:J1256">{"UNARMOREDL03";((IF("03"=(INDEX(ALLCLASSDATA,MATCH("UnarmoredLegendary",CLASSFEATUREHEADERS,0),MATCH($A1256,CLASSNAMEHEADERS,0))),(INDEX(ALLCLASSDATA,MATCH("UnarmoredLegendary",CLASSFEATUREHEADERS,0),MATCH(($A1256 &amp; "Points"),CLASSNAMEHEADERS,0))),(IF("03"=(INDEX(ALLCLASSDATA,MATCH("UnarmoredMaster",CLASSFEATUREHEADERS,0),MATCH($A1256,CLASSNAMEHEADERS,0))),(INDEX(ALLCLASSDATA,MATCH("UnarmoredMaster",CLASSFEATUREHEADERS,0),MATCH(($A1256 &amp; "Points"),CLASSNAMEHEADERS,0))),(IF("03"=(INDEX(ALLCLASSDATA,MATCH("UnarmoredExpert",CLASSFEATUREHEADERS,0),MATCH($A1256,CLASSNAMEHEADERS,0))),(INDEX(ALLCLASSDATA,MATCH("UnarmoredExpert",CLASSFEATUREHEADERS,0),MATCH(($A1256 &amp; "Points"),CLASSNAMEHEADERS,0))),(IF("03"=(INDEX(ALLCLASSDATA,MATCH("UnarmoredTrained",CLASSFEATUREHEADERS,0),MATCH($A1256,CLASSNAMEHEADERS,0))),(INDEX(ALLCLASSDATA,MATCH("UnarmoredTrained",CLASSFEATUREHEADERS,0),MATCH(($A1256 &amp; "Points"),CLASSNAMEHEADERS,0))),"")))))))))}</f>
        <v>UNARMOREDL03</v>
      </c>
      <c r="K1255" s="223"/>
      <c r="L1255" s="223" t="str">
        <f t="array" ref="L1255:L1256">{"UNARMOREDL05";((IF("05"=(INDEX(ALLCLASSDATA,MATCH("UnarmoredLegendary",CLASSFEATUREHEADERS,0),MATCH($A1256,CLASSNAMEHEADERS,0))),(INDEX(ALLCLASSDATA,MATCH("UnarmoredLegendary",CLASSFEATUREHEADERS,0),MATCH(($A1256 &amp; "Points"),CLASSNAMEHEADERS,0))),(IF("05"=(INDEX(ALLCLASSDATA,MATCH("UnarmoredMaster",CLASSFEATUREHEADERS,0),MATCH($A1256,CLASSNAMEHEADERS,0))),(INDEX(ALLCLASSDATA,MATCH("UnarmoredMaster",CLASSFEATUREHEADERS,0),MATCH(($A1256 &amp; "Points"),CLASSNAMEHEADERS,0))),(IF("05"=(INDEX(ALLCLASSDATA,MATCH("UnarmoredExpert",CLASSFEATUREHEADERS,0),MATCH($A1256,CLASSNAMEHEADERS,0))),(INDEX(ALLCLASSDATA,MATCH("UnarmoredExpert",CLASSFEATUREHEADERS,0),MATCH(($A1256 &amp; "Points"),CLASSNAMEHEADERS,0))),(IF("05"=(INDEX(ALLCLASSDATA,MATCH("UnarmoredTrained",CLASSFEATUREHEADERS,0),MATCH($A1256,CLASSNAMEHEADERS,0))),(INDEX(ALLCLASSDATA,MATCH("UnarmoredTrained",CLASSFEATUREHEADERS,0),MATCH(($A1256 &amp; "Points"),CLASSNAMEHEADERS,0))),"")))))))))}</f>
        <v>UNARMOREDL05</v>
      </c>
      <c r="M1255" s="223"/>
      <c r="N1255" s="223" t="str">
        <f t="array" ref="N1255:N1256">{"UNARMOREDL07";((IF("07"=(INDEX(ALLCLASSDATA,MATCH("UnarmoredLegendary",CLASSFEATUREHEADERS,0),MATCH($A1256,CLASSNAMEHEADERS,0))),(INDEX(ALLCLASSDATA,MATCH("UnarmoredLegendary",CLASSFEATUREHEADERS,0),MATCH(($A1256 &amp; "Points"),CLASSNAMEHEADERS,0))),(IF("07"=(INDEX(ALLCLASSDATA,MATCH("UnarmoredMaster",CLASSFEATUREHEADERS,0),MATCH($A1256,CLASSNAMEHEADERS,0))),(INDEX(ALLCLASSDATA,MATCH("UnarmoredMaster",CLASSFEATUREHEADERS,0),MATCH(($A1256 &amp; "Points"),CLASSNAMEHEADERS,0))),(IF("07"=(INDEX(ALLCLASSDATA,MATCH("UnarmoredExpert",CLASSFEATUREHEADERS,0),MATCH($A1256,CLASSNAMEHEADERS,0))),(INDEX(ALLCLASSDATA,MATCH("UnarmoredExpert",CLASSFEATUREHEADERS,0),MATCH(($A1256 &amp; "Points"),CLASSNAMEHEADERS,0))),(IF("07"=(INDEX(ALLCLASSDATA,MATCH("UnarmoredTrained",CLASSFEATUREHEADERS,0),MATCH($A1256,CLASSNAMEHEADERS,0))),(INDEX(ALLCLASSDATA,MATCH("UnarmoredTrained",CLASSFEATUREHEADERS,0),MATCH(($A1256 &amp; "Points"),CLASSNAMEHEADERS,0))),"")))))))))}</f>
        <v>UNARMOREDL07</v>
      </c>
      <c r="O1255" s="223"/>
      <c r="P1255" s="223" t="str">
        <f t="array" ref="P1255:P1256">{"UNARMOREDL09";((IF("09"=(INDEX(ALLCLASSDATA,MATCH("UnarmoredLegendary",CLASSFEATUREHEADERS,0),MATCH($A1256,CLASSNAMEHEADERS,0))),(INDEX(ALLCLASSDATA,MATCH("UnarmoredLegendary",CLASSFEATUREHEADERS,0),MATCH(($A1256 &amp; "Points"),CLASSNAMEHEADERS,0))),(IF("09"=(INDEX(ALLCLASSDATA,MATCH("UnarmoredMaster",CLASSFEATUREHEADERS,0),MATCH($A1256,CLASSNAMEHEADERS,0))),(INDEX(ALLCLASSDATA,MATCH("UnarmoredMaster",CLASSFEATUREHEADERS,0),MATCH(($A1256 &amp; "Points"),CLASSNAMEHEADERS,0))),(IF("09"=(INDEX(ALLCLASSDATA,MATCH("UnarmoredExpert",CLASSFEATUREHEADERS,0),MATCH($A1256,CLASSNAMEHEADERS,0))),(INDEX(ALLCLASSDATA,MATCH("UnarmoredExpert",CLASSFEATUREHEADERS,0),MATCH(($A1256 &amp; "Points"),CLASSNAMEHEADERS,0))),(IF("09"=(INDEX(ALLCLASSDATA,MATCH("UnarmoredTrained",CLASSFEATUREHEADERS,0),MATCH($A1256,CLASSNAMEHEADERS,0))),(INDEX(ALLCLASSDATA,MATCH("UnarmoredTrained",CLASSFEATUREHEADERS,0),MATCH(($A1256 &amp; "Points"),CLASSNAMEHEADERS,0))),"")))))))))}</f>
        <v>UNARMOREDL09</v>
      </c>
      <c r="Q1255" s="223"/>
      <c r="R1255" s="223" t="str">
        <f t="array" ref="R1255:R1256">{"UNARMOREDL11";((IF("11"=(INDEX(ALLCLASSDATA,MATCH("UnarmoredLegendary",CLASSFEATUREHEADERS,0),MATCH($A1256,CLASSNAMEHEADERS,0))),(INDEX(ALLCLASSDATA,MATCH("UnarmoredLegendary",CLASSFEATUREHEADERS,0),MATCH(($A1256 &amp; "Points"),CLASSNAMEHEADERS,0))),(IF("11"=(INDEX(ALLCLASSDATA,MATCH("UnarmoredMaster",CLASSFEATUREHEADERS,0),MATCH($A1256,CLASSNAMEHEADERS,0))),(INDEX(ALLCLASSDATA,MATCH("UnarmoredMaster",CLASSFEATUREHEADERS,0),MATCH(($A1256 &amp; "Points"),CLASSNAMEHEADERS,0))),(IF("11"=(INDEX(ALLCLASSDATA,MATCH("UnarmoredExpert",CLASSFEATUREHEADERS,0),MATCH($A1256,CLASSNAMEHEADERS,0))),(INDEX(ALLCLASSDATA,MATCH("UnarmoredExpert",CLASSFEATUREHEADERS,0),MATCH(($A1256 &amp; "Points"),CLASSNAMEHEADERS,0))),(IF("11"=(INDEX(ALLCLASSDATA,MATCH("UnarmoredTrained",CLASSFEATUREHEADERS,0),MATCH($A1256,CLASSNAMEHEADERS,0))),(INDEX(ALLCLASSDATA,MATCH("UnarmoredTrained",CLASSFEATUREHEADERS,0),MATCH(($A1256 &amp; "Points"),CLASSNAMEHEADERS,0))),"")))))))))}</f>
        <v>UNARMOREDL11</v>
      </c>
      <c r="S1255" s="223"/>
      <c r="T1255" s="223" t="str">
        <f t="array" ref="T1255:T1256">{"UNARMOREDL13";((IF("13"=(INDEX(ALLCLASSDATA,MATCH("UnarmoredLegendary",CLASSFEATUREHEADERS,0),MATCH($A1256,CLASSNAMEHEADERS,0))),(INDEX(ALLCLASSDATA,MATCH("UnarmoredLegendary",CLASSFEATUREHEADERS,0),MATCH(($A1256 &amp; "Points"),CLASSNAMEHEADERS,0))),(IF("13"=(INDEX(ALLCLASSDATA,MATCH("UnarmoredMaster",CLASSFEATUREHEADERS,0),MATCH($A1256,CLASSNAMEHEADERS,0))),(INDEX(ALLCLASSDATA,MATCH("UnarmoredMaster",CLASSFEATUREHEADERS,0),MATCH(($A1256 &amp; "Points"),CLASSNAMEHEADERS,0))),(IF("13"=(INDEX(ALLCLASSDATA,MATCH("UnarmoredExpert",CLASSFEATUREHEADERS,0),MATCH($A1256,CLASSNAMEHEADERS,0))),(INDEX(ALLCLASSDATA,MATCH("UnarmoredExpert",CLASSFEATUREHEADERS,0),MATCH(($A1256 &amp; "Points"),CLASSNAMEHEADERS,0))),(IF("13"=(INDEX(ALLCLASSDATA,MATCH("UnarmoredTrained",CLASSFEATUREHEADERS,0),MATCH($A1256,CLASSNAMEHEADERS,0))),(INDEX(ALLCLASSDATA,MATCH("UnarmoredTrained",CLASSFEATUREHEADERS,0),MATCH(($A1256 &amp; "Points"),CLASSNAMEHEADERS,0))),"")))))))))}</f>
        <v>UNARMOREDL13</v>
      </c>
      <c r="U1255" s="223"/>
      <c r="V1255" s="223" t="str">
        <f t="array" ref="V1255:V1256">{"UNARMOREDL15";((IF("15"=(INDEX(ALLCLASSDATA,MATCH("UnarmoredLegendary",CLASSFEATUREHEADERS,0),MATCH($A1256,CLASSNAMEHEADERS,0))),(INDEX(ALLCLASSDATA,MATCH("UnarmoredLegendary",CLASSFEATUREHEADERS,0),MATCH(($A1256 &amp; "Points"),CLASSNAMEHEADERS,0))),(IF("15"=(INDEX(ALLCLASSDATA,MATCH("UnarmoredMaster",CLASSFEATUREHEADERS,0),MATCH($A1256,CLASSNAMEHEADERS,0))),(INDEX(ALLCLASSDATA,MATCH("UnarmoredMaster",CLASSFEATUREHEADERS,0),MATCH(($A1256 &amp; "Points"),CLASSNAMEHEADERS,0))),(IF("15"=(INDEX(ALLCLASSDATA,MATCH("UnarmoredExpert",CLASSFEATUREHEADERS,0),MATCH($A1256,CLASSNAMEHEADERS,0))),(INDEX(ALLCLASSDATA,MATCH("UnarmoredExpert",CLASSFEATUREHEADERS,0),MATCH(($A1256 &amp; "Points"),CLASSNAMEHEADERS,0))),(IF("15"=(INDEX(ALLCLASSDATA,MATCH("UnarmoredTrained",CLASSFEATUREHEADERS,0),MATCH($A1256,CLASSNAMEHEADERS,0))),(INDEX(ALLCLASSDATA,MATCH("UnarmoredTrained",CLASSFEATUREHEADERS,0),MATCH(($A1256 &amp; "Points"),CLASSNAMEHEADERS,0))),"")))))))))}</f>
        <v>UNARMOREDL15</v>
      </c>
      <c r="W1255" s="223"/>
      <c r="X1255" s="223" t="str">
        <f t="array" ref="X1255:X1256">{"UNARMOREDL17";((IF("17"=(INDEX(ALLCLASSDATA,MATCH("UnarmoredLegendary",CLASSFEATUREHEADERS,0),MATCH($A1256,CLASSNAMEHEADERS,0))),(INDEX(ALLCLASSDATA,MATCH("UnarmoredLegendary",CLASSFEATUREHEADERS,0),MATCH(($A1256 &amp; "Points"),CLASSNAMEHEADERS,0))),(IF("17"=(INDEX(ALLCLASSDATA,MATCH("UnarmoredMaster",CLASSFEATUREHEADERS,0),MATCH($A1256,CLASSNAMEHEADERS,0))),(INDEX(ALLCLASSDATA,MATCH("UnarmoredMaster",CLASSFEATUREHEADERS,0),MATCH(($A1256 &amp; "Points"),CLASSNAMEHEADERS,0))),(IF("17"=(INDEX(ALLCLASSDATA,MATCH("UnarmoredExpert",CLASSFEATUREHEADERS,0),MATCH($A1256,CLASSNAMEHEADERS,0))),(INDEX(ALLCLASSDATA,MATCH("UnarmoredExpert",CLASSFEATUREHEADERS,0),MATCH(($A1256 &amp; "Points"),CLASSNAMEHEADERS,0))),(IF("17"=(INDEX(ALLCLASSDATA,MATCH("UnarmoredTrained",CLASSFEATUREHEADERS,0),MATCH($A1256,CLASSNAMEHEADERS,0))),(INDEX(ALLCLASSDATA,MATCH("UnarmoredTrained",CLASSFEATUREHEADERS,0),MATCH(($A1256 &amp; "Points"),CLASSNAMEHEADERS,0))),"")))))))))}</f>
        <v>UNARMOREDL17</v>
      </c>
      <c r="Y1255" s="223"/>
      <c r="Z1255" s="223" t="str">
        <f t="array" ref="Z1255:Z1256">{"UNARMOREDL19";((IF("19"=(INDEX(ALLCLASSDATA,MATCH("UnarmoredLegendary",CLASSFEATUREHEADERS,0),MATCH($A1256,CLASSNAMEHEADERS,0))),(INDEX(ALLCLASSDATA,MATCH("UnarmoredLegendary",CLASSFEATUREHEADERS,0),MATCH(($A1256 &amp; "Points"),CLASSNAMEHEADERS,0))),(IF("19"=(INDEX(ALLCLASSDATA,MATCH("UnarmoredMaster",CLASSFEATUREHEADERS,0),MATCH($A1256,CLASSNAMEHEADERS,0))),(INDEX(ALLCLASSDATA,MATCH("UnarmoredMaster",CLASSFEATUREHEADERS,0),MATCH(($A1256 &amp; "Points"),CLASSNAMEHEADERS,0))),(IF("19"=(INDEX(ALLCLASSDATA,MATCH("UnarmoredExpert",CLASSFEATUREHEADERS,0),MATCH($A1256,CLASSNAMEHEADERS,0))),(INDEX(ALLCLASSDATA,MATCH("UnarmoredExpert",CLASSFEATUREHEADERS,0),MATCH(($A1256 &amp; "Points"),CLASSNAMEHEADERS,0))),(IF("19"=(INDEX(ALLCLASSDATA,MATCH("UnarmoredTrained",CLASSFEATUREHEADERS,0),MATCH($A1256,CLASSNAMEHEADERS,0))),(INDEX(ALLCLASSDATA,MATCH("UnarmoredTrained",CLASSFEATUREHEADERS,0),MATCH(($A1256 &amp; "Points"),CLASSNAMEHEADERS,0))),"")))))))))}</f>
        <v>UNARMOREDL19</v>
      </c>
      <c r="AA1255" s="223"/>
      <c r="AB1255" s="76" t="str">
        <f t="array" ref="AB1255:AB1256">{"UNARMORED TOTAL";(IF(COUNTBLANK(G1256:AA1256)=17,"L",(IF(COUNTBLANK(G1256:AA1256)=18,"M",(IF(COUNTBLANK(G1256:AA1256)=19,"E",(IF(COUNTBLANK(G1256:AA1256)=20,"T",""))))))))}</f>
        <v>UNARMORED TOTAL</v>
      </c>
      <c r="AC1255" s="76" t="str">
        <f t="array" ref="AC1255:AC1256">{"UNARMORED TOTAL";(sum(G1256:AA1256))}</f>
        <v>UNARMORED TOTAL</v>
      </c>
    </row>
    <row r="1256">
      <c r="A1256" s="48" t="s">
        <v>199</v>
      </c>
      <c r="B1256" s="48"/>
      <c r="C1256" s="48" t="s">
        <v>417</v>
      </c>
      <c r="D1256" s="48" t="s">
        <v>1900</v>
      </c>
      <c r="E1256" s="48" t="s">
        <v>78</v>
      </c>
      <c r="F1256" s="5" t="s">
        <v>435</v>
      </c>
      <c r="G1256" s="47" t="s">
        <v>603</v>
      </c>
      <c r="H1256" s="5">
        <v>10.0</v>
      </c>
      <c r="I1256" s="5"/>
      <c r="J1256" s="5" t="s">
        <v>603</v>
      </c>
      <c r="K1256" s="5"/>
      <c r="L1256" s="5" t="s">
        <v>603</v>
      </c>
      <c r="M1256" s="5"/>
      <c r="N1256" s="5" t="s">
        <v>603</v>
      </c>
      <c r="O1256" s="5"/>
      <c r="P1256" s="5" t="s">
        <v>603</v>
      </c>
      <c r="Q1256" s="5"/>
      <c r="R1256" s="5" t="s">
        <v>436</v>
      </c>
      <c r="S1256" s="5"/>
      <c r="T1256" s="5" t="s">
        <v>603</v>
      </c>
      <c r="U1256" s="5"/>
      <c r="V1256" s="5" t="s">
        <v>603</v>
      </c>
      <c r="W1256" s="5"/>
      <c r="X1256" s="5" t="s">
        <v>437</v>
      </c>
      <c r="Y1256" s="5"/>
      <c r="Z1256" s="5" t="s">
        <v>603</v>
      </c>
      <c r="AA1256" s="5"/>
      <c r="AB1256" s="5" t="s">
        <v>437</v>
      </c>
      <c r="AC1256" s="47">
        <v>10.0</v>
      </c>
    </row>
    <row r="1257" hidden="1">
      <c r="A1257" s="222" t="str">
        <f t="array" ref="A1257:A1258">{"FormulaRow36";(INDEX(CLASSLIST,A1186,1))}</f>
        <v>FormulaRow36</v>
      </c>
      <c r="B1257" s="77" t="s">
        <v>236</v>
      </c>
      <c r="C1257" s="222" t="str">
        <f t="array" ref="C1257:C1258">{"CLASSTYPE";((INDEX(ALLCLASSDATA,MATCH("ClassType",CLASSFEATUREHEADERS,0),MATCH($A1258,CLASSNAMEHEADERS,0))))}</f>
        <v>CLASSTYPE</v>
      </c>
      <c r="D1257" s="222" t="str">
        <f t="array" ref="D1257:D1258">{"DEFENSE";"Defense"}</f>
        <v>DEFENSE</v>
      </c>
      <c r="E1257" s="222" t="str">
        <f t="array" ref="E1257:E1258">{"LIGHT";"Light"}</f>
        <v>LIGHT</v>
      </c>
      <c r="F1257" s="223" t="str">
        <f t="array" ref="F1257:F1258">{"LIGHTINITIAL";((IF(H1258=10,"T",(IF(H1258=50,"E","")))))}</f>
        <v>LIGHTINITIAL</v>
      </c>
      <c r="G1257" s="223" t="str">
        <f t="array" ref="G1257:G1258">{"LIGHTINITIALPTS";((IF("00"=(INDEX(ALLCLASSDATA,MATCH("LightLegendary",CLASSFEATUREHEADERS,0),MATCH($A1258,CLASSNAMEHEADERS,0))),(INDEX(ALLCLASSDATA,MATCH("LightLegendary",CLASSFEATUREHEADERS,0),MATCH(($A1258 &amp; "Points"),CLASSNAMEHEADERS,0))),(IF("00"=(INDEX(ALLCLASSDATA,MATCH("LightMaster",CLASSFEATUREHEADERS,0),MATCH($A1258,CLASSNAMEHEADERS,0))),(INDEX(ALLCLASSDATA,MATCH("LightMaster",CLASSFEATUREHEADERS,0),MATCH(($A1258 &amp; "Points"),CLASSNAMEHEADERS,0))),(IF("00"=(INDEX(ALLCLASSDATA,MATCH("LightExpert",CLASSFEATUREHEADERS,0),MATCH($A1258,CLASSNAMEHEADERS,0))),(INDEX(ALLCLASSDATA,MATCH("LightExpert",CLASSFEATUREHEADERS,0),MATCH(($A1258 &amp; "Points"),CLASSNAMEHEADERS,0))),(IF("00"=(INDEX(ALLCLASSDATA,MATCH("LightTrained",CLASSFEATUREHEADERS,0),MATCH($A1258,CLASSNAMEHEADERS,0))),(INDEX(ALLCLASSDATA,MATCH("LightTrained",CLASSFEATUREHEADERS,0),MATCH(($A1258 &amp; "Points"),CLASSNAMEHEADERS,0))),"")))))))))}</f>
        <v>LIGHTINITIALPTS</v>
      </c>
      <c r="H1257" s="223" t="str">
        <f t="array" ref="H1257:H1258">{"LIGHTL01";((IF("01"=(INDEX(ALLCLASSDATA,MATCH("LightLegendary",CLASSFEATUREHEADERS,0),MATCH($A1258,CLASSNAMEHEADERS,0))),(INDEX(ALLCLASSDATA,MATCH("LightLegendary",CLASSFEATUREHEADERS,0),MATCH(($A1258 &amp; "Points"),CLASSNAMEHEADERS,0))),(IF("01"=(INDEX(ALLCLASSDATA,MATCH("LightMaster",CLASSFEATUREHEADERS,0),MATCH($A1258,CLASSNAMEHEADERS,0))),(INDEX(ALLCLASSDATA,MATCH("LightMaster",CLASSFEATUREHEADERS,0),MATCH(($A1258 &amp; "Points"),CLASSNAMEHEADERS,0))),(IF("01"=(INDEX(ALLCLASSDATA,MATCH("LightExpert",CLASSFEATUREHEADERS,0),MATCH($A1258,CLASSNAMEHEADERS,0))),(INDEX(ALLCLASSDATA,MATCH("LightExpert",CLASSFEATUREHEADERS,0),MATCH(($A1258 &amp; "Points"),CLASSNAMEHEADERS,0))),(IF("01"=(INDEX(ALLCLASSDATA,MATCH("LightTrained",CLASSFEATUREHEADERS,0),MATCH($A1258,CLASSNAMEHEADERS,0))),(INDEX(ALLCLASSDATA,MATCH("LightTrained",CLASSFEATUREHEADERS,0),MATCH(($A1258 &amp; "Points"),CLASSNAMEHEADERS,0))),"")))))))))}</f>
        <v>LIGHTL01</v>
      </c>
      <c r="I1257" s="223"/>
      <c r="J1257" s="223" t="str">
        <f t="array" ref="J1257:J1258">{"LIGHTL03";((IF("03"=(INDEX(ALLCLASSDATA,MATCH("LightLegendary",CLASSFEATUREHEADERS,0),MATCH($A1258,CLASSNAMEHEADERS,0))),(INDEX(ALLCLASSDATA,MATCH("LightLegendary",CLASSFEATUREHEADERS,0),MATCH(($A1258 &amp; "Points"),CLASSNAMEHEADERS,0))),(IF("03"=(INDEX(ALLCLASSDATA,MATCH("LightMaster",CLASSFEATUREHEADERS,0),MATCH($A1258,CLASSNAMEHEADERS,0))),(INDEX(ALLCLASSDATA,MATCH("LightMaster",CLASSFEATUREHEADERS,0),MATCH(($A1258 &amp; "Points"),CLASSNAMEHEADERS,0))),(IF("03"=(INDEX(ALLCLASSDATA,MATCH("LightExpert",CLASSFEATUREHEADERS,0),MATCH($A1258,CLASSNAMEHEADERS,0))),(INDEX(ALLCLASSDATA,MATCH("LightExpert",CLASSFEATUREHEADERS,0),MATCH(($A1258 &amp; "Points"),CLASSNAMEHEADERS,0))),(IF("03"=(INDEX(ALLCLASSDATA,MATCH("LightTrained",CLASSFEATUREHEADERS,0),MATCH($A1258,CLASSNAMEHEADERS,0))),(INDEX(ALLCLASSDATA,MATCH("LightTrained",CLASSFEATUREHEADERS,0),MATCH(($A1258 &amp; "Points"),CLASSNAMEHEADERS,0))),"")))))))))}</f>
        <v>LIGHTL03</v>
      </c>
      <c r="K1257" s="223"/>
      <c r="L1257" s="223" t="str">
        <f t="array" ref="L1257:L1258">{"LIGHTL05";((IF("05"=(INDEX(ALLCLASSDATA,MATCH("LightLegendary",CLASSFEATUREHEADERS,0),MATCH($A1258,CLASSNAMEHEADERS,0))),(INDEX(ALLCLASSDATA,MATCH("LightLegendary",CLASSFEATUREHEADERS,0),MATCH(($A1258 &amp; "Points"),CLASSNAMEHEADERS,0))),(IF("05"=(INDEX(ALLCLASSDATA,MATCH("LightMaster",CLASSFEATUREHEADERS,0),MATCH($A1258,CLASSNAMEHEADERS,0))),(INDEX(ALLCLASSDATA,MATCH("LightMaster",CLASSFEATUREHEADERS,0),MATCH(($A1258 &amp; "Points"),CLASSNAMEHEADERS,0))),(IF("05"=(INDEX(ALLCLASSDATA,MATCH("LightExpert",CLASSFEATUREHEADERS,0),MATCH($A1258,CLASSNAMEHEADERS,0))),(INDEX(ALLCLASSDATA,MATCH("LightExpert",CLASSFEATUREHEADERS,0),MATCH(($A1258 &amp; "Points"),CLASSNAMEHEADERS,0))),(IF("05"=(INDEX(ALLCLASSDATA,MATCH("LightTrained",CLASSFEATUREHEADERS,0),MATCH($A1258,CLASSNAMEHEADERS,0))),(INDEX(ALLCLASSDATA,MATCH("LightTrained",CLASSFEATUREHEADERS,0),MATCH(($A1258 &amp; "Points"),CLASSNAMEHEADERS,0))),"")))))))))}</f>
        <v>LIGHTL05</v>
      </c>
      <c r="M1257" s="223"/>
      <c r="N1257" s="223" t="str">
        <f t="array" ref="N1257:N1258">{"LIGHTL07";((IF("07"=(INDEX(ALLCLASSDATA,MATCH("LightLegendary",CLASSFEATUREHEADERS,0),MATCH($A1258,CLASSNAMEHEADERS,0))),(INDEX(ALLCLASSDATA,MATCH("LightLegendary",CLASSFEATUREHEADERS,0),MATCH(($A1258 &amp; "Points"),CLASSNAMEHEADERS,0))),(IF("07"=(INDEX(ALLCLASSDATA,MATCH("LightMaster",CLASSFEATUREHEADERS,0),MATCH($A1258,CLASSNAMEHEADERS,0))),(INDEX(ALLCLASSDATA,MATCH("LightMaster",CLASSFEATUREHEADERS,0),MATCH(($A1258 &amp; "Points"),CLASSNAMEHEADERS,0))),(IF("07"=(INDEX(ALLCLASSDATA,MATCH("LightExpert",CLASSFEATUREHEADERS,0),MATCH($A1258,CLASSNAMEHEADERS,0))),(INDEX(ALLCLASSDATA,MATCH("LightExpert",CLASSFEATUREHEADERS,0),MATCH(($A1258 &amp; "Points"),CLASSNAMEHEADERS,0))),(IF("07"=(INDEX(ALLCLASSDATA,MATCH("LightTrained",CLASSFEATUREHEADERS,0),MATCH($A1258,CLASSNAMEHEADERS,0))),(INDEX(ALLCLASSDATA,MATCH("LightTrained",CLASSFEATUREHEADERS,0),MATCH(($A1258 &amp; "Points"),CLASSNAMEHEADERS,0))),"")))))))))}</f>
        <v>LIGHTL07</v>
      </c>
      <c r="O1257" s="223"/>
      <c r="P1257" s="223" t="str">
        <f t="array" ref="P1257:P1258">{"LIGHTL09";((IF("09"=(INDEX(ALLCLASSDATA,MATCH("LightLegendary",CLASSFEATUREHEADERS,0),MATCH($A1258,CLASSNAMEHEADERS,0))),(INDEX(ALLCLASSDATA,MATCH("LightLegendary",CLASSFEATUREHEADERS,0),MATCH(($A1258 &amp; "Points"),CLASSNAMEHEADERS,0))),(IF("09"=(INDEX(ALLCLASSDATA,MATCH("LightMaster",CLASSFEATUREHEADERS,0),MATCH($A1258,CLASSNAMEHEADERS,0))),(INDEX(ALLCLASSDATA,MATCH("LightMaster",CLASSFEATUREHEADERS,0),MATCH(($A1258 &amp; "Points"),CLASSNAMEHEADERS,0))),(IF("09"=(INDEX(ALLCLASSDATA,MATCH("LightExpert",CLASSFEATUREHEADERS,0),MATCH($A1258,CLASSNAMEHEADERS,0))),(INDEX(ALLCLASSDATA,MATCH("LightExpert",CLASSFEATUREHEADERS,0),MATCH(($A1258 &amp; "Points"),CLASSNAMEHEADERS,0))),(IF("09"=(INDEX(ALLCLASSDATA,MATCH("LightTrained",CLASSFEATUREHEADERS,0),MATCH($A1258,CLASSNAMEHEADERS,0))),(INDEX(ALLCLASSDATA,MATCH("LightTrained",CLASSFEATUREHEADERS,0),MATCH(($A1258 &amp; "Points"),CLASSNAMEHEADERS,0))),"")))))))))}</f>
        <v>LIGHTL09</v>
      </c>
      <c r="Q1257" s="223"/>
      <c r="R1257" s="223" t="str">
        <f t="array" ref="R1257:R1258">{"LIGHTL11";((IF("11"=(INDEX(ALLCLASSDATA,MATCH("LightLegendary",CLASSFEATUREHEADERS,0),MATCH($A1258,CLASSNAMEHEADERS,0))),(INDEX(ALLCLASSDATA,MATCH("LightLegendary",CLASSFEATUREHEADERS,0),MATCH(($A1258 &amp; "Points"),CLASSNAMEHEADERS,0))),(IF("11"=(INDEX(ALLCLASSDATA,MATCH("LightMaster",CLASSFEATUREHEADERS,0),MATCH($A1258,CLASSNAMEHEADERS,0))),(INDEX(ALLCLASSDATA,MATCH("LightMaster",CLASSFEATUREHEADERS,0),MATCH(($A1258 &amp; "Points"),CLASSNAMEHEADERS,0))),(IF("11"=(INDEX(ALLCLASSDATA,MATCH("LightExpert",CLASSFEATUREHEADERS,0),MATCH($A1258,CLASSNAMEHEADERS,0))),(INDEX(ALLCLASSDATA,MATCH("LightExpert",CLASSFEATUREHEADERS,0),MATCH(($A1258 &amp; "Points"),CLASSNAMEHEADERS,0))),(IF("11"=(INDEX(ALLCLASSDATA,MATCH("LightTrained",CLASSFEATUREHEADERS,0),MATCH($A1258,CLASSNAMEHEADERS,0))),(INDEX(ALLCLASSDATA,MATCH("LightTrained",CLASSFEATUREHEADERS,0),MATCH(($A1258 &amp; "Points"),CLASSNAMEHEADERS,0))),"")))))))))}</f>
        <v>LIGHTL11</v>
      </c>
      <c r="S1257" s="223"/>
      <c r="T1257" s="223" t="str">
        <f t="array" ref="T1257:T1258">{"LIGHTL13";((IF("13"=(INDEX(ALLCLASSDATA,MATCH("LightLegendary",CLASSFEATUREHEADERS,0),MATCH($A1258,CLASSNAMEHEADERS,0))),(INDEX(ALLCLASSDATA,MATCH("LightLegendary",CLASSFEATUREHEADERS,0),MATCH(($A1258 &amp; "Points"),CLASSNAMEHEADERS,0))),(IF("13"=(INDEX(ALLCLASSDATA,MATCH("LightMaster",CLASSFEATUREHEADERS,0),MATCH($A1258,CLASSNAMEHEADERS,0))),(INDEX(ALLCLASSDATA,MATCH("LightMaster",CLASSFEATUREHEADERS,0),MATCH(($A1258 &amp; "Points"),CLASSNAMEHEADERS,0))),(IF("13"=(INDEX(ALLCLASSDATA,MATCH("LightExpert",CLASSFEATUREHEADERS,0),MATCH($A1258,CLASSNAMEHEADERS,0))),(INDEX(ALLCLASSDATA,MATCH("LightExpert",CLASSFEATUREHEADERS,0),MATCH(($A1258 &amp; "Points"),CLASSNAMEHEADERS,0))),(IF("13"=(INDEX(ALLCLASSDATA,MATCH("LightTrained",CLASSFEATUREHEADERS,0),MATCH($A1258,CLASSNAMEHEADERS,0))),(INDEX(ALLCLASSDATA,MATCH("LightTrained",CLASSFEATUREHEADERS,0),MATCH(($A1258 &amp; "Points"),CLASSNAMEHEADERS,0))),"")))))))))}</f>
        <v>LIGHTL13</v>
      </c>
      <c r="U1257" s="223"/>
      <c r="V1257" s="223" t="str">
        <f t="array" ref="V1257:V1258">{"LIGHTL15";((IF("15"=(INDEX(ALLCLASSDATA,MATCH("LightLegendary",CLASSFEATUREHEADERS,0),MATCH($A1258,CLASSNAMEHEADERS,0))),(INDEX(ALLCLASSDATA,MATCH("LightLegendary",CLASSFEATUREHEADERS,0),MATCH(($A1258 &amp; "Points"),CLASSNAMEHEADERS,0))),(IF("15"=(INDEX(ALLCLASSDATA,MATCH("LightMaster",CLASSFEATUREHEADERS,0),MATCH($A1258,CLASSNAMEHEADERS,0))),(INDEX(ALLCLASSDATA,MATCH("LightMaster",CLASSFEATUREHEADERS,0),MATCH(($A1258 &amp; "Points"),CLASSNAMEHEADERS,0))),(IF("15"=(INDEX(ALLCLASSDATA,MATCH("LightExpert",CLASSFEATUREHEADERS,0),MATCH($A1258,CLASSNAMEHEADERS,0))),(INDEX(ALLCLASSDATA,MATCH("LightExpert",CLASSFEATUREHEADERS,0),MATCH(($A1258 &amp; "Points"),CLASSNAMEHEADERS,0))),(IF("15"=(INDEX(ALLCLASSDATA,MATCH("LightTrained",CLASSFEATUREHEADERS,0),MATCH($A1258,CLASSNAMEHEADERS,0))),(INDEX(ALLCLASSDATA,MATCH("LightTrained",CLASSFEATUREHEADERS,0),MATCH(($A1258 &amp; "Points"),CLASSNAMEHEADERS,0))),"")))))))))}</f>
        <v>LIGHTL15</v>
      </c>
      <c r="W1257" s="223"/>
      <c r="X1257" s="223" t="str">
        <f t="array" ref="X1257:X1258">{"LIGHTL17";((IF("17"=(INDEX(ALLCLASSDATA,MATCH("LightLegendary",CLASSFEATUREHEADERS,0),MATCH($A1258,CLASSNAMEHEADERS,0))),(INDEX(ALLCLASSDATA,MATCH("LightLegendary",CLASSFEATUREHEADERS,0),MATCH(($A1258 &amp; "Points"),CLASSNAMEHEADERS,0))),(IF("17"=(INDEX(ALLCLASSDATA,MATCH("LightMaster",CLASSFEATUREHEADERS,0),MATCH($A1258,CLASSNAMEHEADERS,0))),(INDEX(ALLCLASSDATA,MATCH("LightMaster",CLASSFEATUREHEADERS,0),MATCH(($A1258 &amp; "Points"),CLASSNAMEHEADERS,0))),(IF("17"=(INDEX(ALLCLASSDATA,MATCH("LightExpert",CLASSFEATUREHEADERS,0),MATCH($A1258,CLASSNAMEHEADERS,0))),(INDEX(ALLCLASSDATA,MATCH("LightExpert",CLASSFEATUREHEADERS,0),MATCH(($A1258 &amp; "Points"),CLASSNAMEHEADERS,0))),(IF("17"=(INDEX(ALLCLASSDATA,MATCH("LightTrained",CLASSFEATUREHEADERS,0),MATCH($A1258,CLASSNAMEHEADERS,0))),(INDEX(ALLCLASSDATA,MATCH("LightTrained",CLASSFEATUREHEADERS,0),MATCH(($A1258 &amp; "Points"),CLASSNAMEHEADERS,0))),"")))))))))}</f>
        <v>LIGHTL17</v>
      </c>
      <c r="Y1257" s="223"/>
      <c r="Z1257" s="223" t="str">
        <f t="array" ref="Z1257:Z1258">{"LIGHTL19";((IF("19"=(INDEX(ALLCLASSDATA,MATCH("LightLegendary",CLASSFEATUREHEADERS,0),MATCH($A1258,CLASSNAMEHEADERS,0))),(INDEX(ALLCLASSDATA,MATCH("LightLegendary",CLASSFEATUREHEADERS,0),MATCH(($A1258 &amp; "Points"),CLASSNAMEHEADERS,0))),(IF("19"=(INDEX(ALLCLASSDATA,MATCH("LightMaster",CLASSFEATUREHEADERS,0),MATCH($A1258,CLASSNAMEHEADERS,0))),(INDEX(ALLCLASSDATA,MATCH("LightMaster",CLASSFEATUREHEADERS,0),MATCH(($A1258 &amp; "Points"),CLASSNAMEHEADERS,0))),(IF("19"=(INDEX(ALLCLASSDATA,MATCH("LightExpert",CLASSFEATUREHEADERS,0),MATCH($A1258,CLASSNAMEHEADERS,0))),(INDEX(ALLCLASSDATA,MATCH("LightExpert",CLASSFEATUREHEADERS,0),MATCH(($A1258 &amp; "Points"),CLASSNAMEHEADERS,0))),(IF("19"=(INDEX(ALLCLASSDATA,MATCH("LightTrained",CLASSFEATUREHEADERS,0),MATCH($A1258,CLASSNAMEHEADERS,0))),(INDEX(ALLCLASSDATA,MATCH("LightTrained",CLASSFEATUREHEADERS,0),MATCH(($A1258 &amp; "Points"),CLASSNAMEHEADERS,0))),"")))))))))}</f>
        <v>LIGHTL19</v>
      </c>
      <c r="AA1257" s="223"/>
      <c r="AB1257" s="76" t="str">
        <f t="array" ref="AB1257:AB1258">{"LIGHT TOTAL";(IF(COUNTBLANK(G1258:AA1258)=17,"L",(IF(COUNTBLANK(G1258:AA1258)=18,"M",(IF(COUNTBLANK(G1258:AA1258)=19,"E",(IF(COUNTBLANK(G1258:AA1258)=20,"T",""))))))))}</f>
        <v>LIGHT TOTAL</v>
      </c>
      <c r="AC1257" s="76" t="str">
        <f t="array" ref="AC1257:AC1258">{"LIGHT TOTAL";(sum(G1258:AA1258))}</f>
        <v>LIGHT TOTAL</v>
      </c>
    </row>
    <row r="1258">
      <c r="A1258" s="48" t="s">
        <v>199</v>
      </c>
      <c r="B1258" s="48"/>
      <c r="C1258" s="48" t="s">
        <v>417</v>
      </c>
      <c r="D1258" s="48" t="s">
        <v>1900</v>
      </c>
      <c r="E1258" s="48" t="s">
        <v>77</v>
      </c>
      <c r="F1258" s="5" t="s">
        <v>435</v>
      </c>
      <c r="G1258" s="47" t="s">
        <v>603</v>
      </c>
      <c r="H1258" s="48">
        <v>10.0</v>
      </c>
      <c r="I1258" s="5"/>
      <c r="J1258" s="5" t="s">
        <v>603</v>
      </c>
      <c r="K1258" s="5"/>
      <c r="L1258" s="5" t="s">
        <v>603</v>
      </c>
      <c r="M1258" s="5"/>
      <c r="N1258" s="5" t="s">
        <v>603</v>
      </c>
      <c r="O1258" s="5"/>
      <c r="P1258" s="5" t="s">
        <v>603</v>
      </c>
      <c r="Q1258" s="5"/>
      <c r="R1258" s="5" t="s">
        <v>436</v>
      </c>
      <c r="S1258" s="5"/>
      <c r="T1258" s="5" t="s">
        <v>603</v>
      </c>
      <c r="U1258" s="5"/>
      <c r="V1258" s="5" t="s">
        <v>603</v>
      </c>
      <c r="W1258" s="5"/>
      <c r="X1258" s="5" t="s">
        <v>437</v>
      </c>
      <c r="Y1258" s="5"/>
      <c r="Z1258" s="5" t="s">
        <v>603</v>
      </c>
      <c r="AA1258" s="5"/>
      <c r="AB1258" s="5" t="s">
        <v>437</v>
      </c>
      <c r="AC1258" s="47">
        <v>10.0</v>
      </c>
    </row>
    <row r="1259" hidden="1">
      <c r="A1259" s="222" t="str">
        <f t="array" ref="A1259:A1260">{"FormulaRow37";(INDEX(CLASSLIST,A1186,1))}</f>
        <v>FormulaRow37</v>
      </c>
      <c r="B1259" s="77" t="s">
        <v>236</v>
      </c>
      <c r="C1259" s="222" t="str">
        <f t="array" ref="C1259:C1260">{"CLASSTYPE";((INDEX(ALLCLASSDATA,MATCH("ClassType",CLASSFEATUREHEADERS,0),MATCH($A1260,CLASSNAMEHEADERS,0))))}</f>
        <v>CLASSTYPE</v>
      </c>
      <c r="D1259" s="222" t="str">
        <f t="array" ref="D1259:D1260">{"DEFENSE";"Defense"}</f>
        <v>DEFENSE</v>
      </c>
      <c r="E1259" s="222" t="str">
        <f t="array" ref="E1259:E1260">{"MEDIUM";"Medium"}</f>
        <v>MEDIUM</v>
      </c>
      <c r="F1259" s="223" t="str">
        <f t="array" ref="F1259:F1260">{"MEDIUMINITIAL";((IF(H1260=10,"T",(IF(H1260=50,"E","")))))}</f>
        <v>MEDIUMINITIAL</v>
      </c>
      <c r="G1259" s="223" t="str">
        <f t="array" ref="G1259:G1260">{"MEDIUMINITIALPTS";((IF("00"=(INDEX(ALLCLASSDATA,MATCH("MediumLegendary",CLASSFEATUREHEADERS,0),MATCH($A1260,CLASSNAMEHEADERS,0))),(INDEX(ALLCLASSDATA,MATCH("MediumLegendary",CLASSFEATUREHEADERS,0),MATCH(($A1260 &amp; "Points"),CLASSNAMEHEADERS,0))),(IF("00"=(INDEX(ALLCLASSDATA,MATCH("MediumMaster",CLASSFEATUREHEADERS,0),MATCH($A1260,CLASSNAMEHEADERS,0))),(INDEX(ALLCLASSDATA,MATCH("MediumMaster",CLASSFEATUREHEADERS,0),MATCH(($A1260 &amp; "Points"),CLASSNAMEHEADERS,0))),(IF("00"=(INDEX(ALLCLASSDATA,MATCH("MediumExpert",CLASSFEATUREHEADERS,0),MATCH($A1260,CLASSNAMEHEADERS,0))),(INDEX(ALLCLASSDATA,MATCH("MediumExpert",CLASSFEATUREHEADERS,0),MATCH(($A1260 &amp; "Points"),CLASSNAMEHEADERS,0))),(IF("00"=(INDEX(ALLCLASSDATA,MATCH("MediumTrained",CLASSFEATUREHEADERS,0),MATCH($A1260,CLASSNAMEHEADERS,0))),(INDEX(ALLCLASSDATA,MATCH("MediumTrained",CLASSFEATUREHEADERS,0),MATCH(($A1260 &amp; "Points"),CLASSNAMEHEADERS,0))),"")))))))))}</f>
        <v>MEDIUMINITIALPTS</v>
      </c>
      <c r="H1259" s="223" t="str">
        <f t="array" ref="H1259:H1260">{"MEDIUML01";((IF("01"=(INDEX(ALLCLASSDATA,MATCH("MediumLegendary",CLASSFEATUREHEADERS,0),MATCH($A1260,CLASSNAMEHEADERS,0))),(INDEX(ALLCLASSDATA,MATCH("MediumLegendary",CLASSFEATUREHEADERS,0),MATCH(($A1260 &amp; "Points"),CLASSNAMEHEADERS,0))),(IF("01"=(INDEX(ALLCLASSDATA,MATCH("MediumMaster",CLASSFEATUREHEADERS,0),MATCH($A1260,CLASSNAMEHEADERS,0))),(INDEX(ALLCLASSDATA,MATCH("MediumMaster",CLASSFEATUREHEADERS,0),MATCH(($A1260 &amp; "Points"),CLASSNAMEHEADERS,0))),(IF("01"=(INDEX(ALLCLASSDATA,MATCH("MediumExpert",CLASSFEATUREHEADERS,0),MATCH($A1260,CLASSNAMEHEADERS,0))),(INDEX(ALLCLASSDATA,MATCH("MediumExpert",CLASSFEATUREHEADERS,0),MATCH(($A1260 &amp; "Points"),CLASSNAMEHEADERS,0))),(IF("01"=(INDEX(ALLCLASSDATA,MATCH("MediumTrained",CLASSFEATUREHEADERS,0),MATCH($A1260,CLASSNAMEHEADERS,0))),(INDEX(ALLCLASSDATA,MATCH("MediumTrained",CLASSFEATUREHEADERS,0),MATCH(($A1260 &amp; "Points"),CLASSNAMEHEADERS,0))),"")))))))))}</f>
        <v>MEDIUML01</v>
      </c>
      <c r="I1259" s="223"/>
      <c r="J1259" s="223" t="str">
        <f t="array" ref="J1259:J1260">{"MEDIUML03";((IF("03"=(INDEX(ALLCLASSDATA,MATCH("MediumLegendary",CLASSFEATUREHEADERS,0),MATCH($A1260,CLASSNAMEHEADERS,0))),(INDEX(ALLCLASSDATA,MATCH("MediumLegendary",CLASSFEATUREHEADERS,0),MATCH(($A1260 &amp; "Points"),CLASSNAMEHEADERS,0))),(IF("03"=(INDEX(ALLCLASSDATA,MATCH("MediumMaster",CLASSFEATUREHEADERS,0),MATCH($A1260,CLASSNAMEHEADERS,0))),(INDEX(ALLCLASSDATA,MATCH("MediumMaster",CLASSFEATUREHEADERS,0),MATCH(($A1260 &amp; "Points"),CLASSNAMEHEADERS,0))),(IF("03"=(INDEX(ALLCLASSDATA,MATCH("MediumExpert",CLASSFEATUREHEADERS,0),MATCH($A1260,CLASSNAMEHEADERS,0))),(INDEX(ALLCLASSDATA,MATCH("MediumExpert",CLASSFEATUREHEADERS,0),MATCH(($A1260 &amp; "Points"),CLASSNAMEHEADERS,0))),(IF("03"=(INDEX(ALLCLASSDATA,MATCH("MediumTrained",CLASSFEATUREHEADERS,0),MATCH($A1260,CLASSNAMEHEADERS,0))),(INDEX(ALLCLASSDATA,MATCH("MediumTrained",CLASSFEATUREHEADERS,0),MATCH(($A1260 &amp; "Points"),CLASSNAMEHEADERS,0))),"")))))))))}</f>
        <v>MEDIUML03</v>
      </c>
      <c r="K1259" s="223"/>
      <c r="L1259" s="223" t="str">
        <f t="array" ref="L1259:L1260">{"MEDIUML05";((IF("05"=(INDEX(ALLCLASSDATA,MATCH("MediumLegendary",CLASSFEATUREHEADERS,0),MATCH($A1260,CLASSNAMEHEADERS,0))),(INDEX(ALLCLASSDATA,MATCH("MediumLegendary",CLASSFEATUREHEADERS,0),MATCH(($A1260 &amp; "Points"),CLASSNAMEHEADERS,0))),(IF("05"=(INDEX(ALLCLASSDATA,MATCH("MediumMaster",CLASSFEATUREHEADERS,0),MATCH($A1260,CLASSNAMEHEADERS,0))),(INDEX(ALLCLASSDATA,MATCH("MediumMaster",CLASSFEATUREHEADERS,0),MATCH(($A1260 &amp; "Points"),CLASSNAMEHEADERS,0))),(IF("05"=(INDEX(ALLCLASSDATA,MATCH("MediumExpert",CLASSFEATUREHEADERS,0),MATCH($A1260,CLASSNAMEHEADERS,0))),(INDEX(ALLCLASSDATA,MATCH("MediumExpert",CLASSFEATUREHEADERS,0),MATCH(($A1260 &amp; "Points"),CLASSNAMEHEADERS,0))),(IF("05"=(INDEX(ALLCLASSDATA,MATCH("MediumTrained",CLASSFEATUREHEADERS,0),MATCH($A1260,CLASSNAMEHEADERS,0))),(INDEX(ALLCLASSDATA,MATCH("MediumTrained",CLASSFEATUREHEADERS,0),MATCH(($A1260 &amp; "Points"),CLASSNAMEHEADERS,0))),"")))))))))}</f>
        <v>MEDIUML05</v>
      </c>
      <c r="M1259" s="223"/>
      <c r="N1259" s="223" t="str">
        <f t="array" ref="N1259:N1260">{"MEDIUML07";((IF("07"=(INDEX(ALLCLASSDATA,MATCH("MediumLegendary",CLASSFEATUREHEADERS,0),MATCH($A1260,CLASSNAMEHEADERS,0))),(INDEX(ALLCLASSDATA,MATCH("MediumLegendary",CLASSFEATUREHEADERS,0),MATCH(($A1260 &amp; "Points"),CLASSNAMEHEADERS,0))),(IF("07"=(INDEX(ALLCLASSDATA,MATCH("MediumMaster",CLASSFEATUREHEADERS,0),MATCH($A1260,CLASSNAMEHEADERS,0))),(INDEX(ALLCLASSDATA,MATCH("MediumMaster",CLASSFEATUREHEADERS,0),MATCH(($A1260 &amp; "Points"),CLASSNAMEHEADERS,0))),(IF("07"=(INDEX(ALLCLASSDATA,MATCH("MediumExpert",CLASSFEATUREHEADERS,0),MATCH($A1260,CLASSNAMEHEADERS,0))),(INDEX(ALLCLASSDATA,MATCH("MediumExpert",CLASSFEATUREHEADERS,0),MATCH(($A1260 &amp; "Points"),CLASSNAMEHEADERS,0))),(IF("07"=(INDEX(ALLCLASSDATA,MATCH("MediumTrained",CLASSFEATUREHEADERS,0),MATCH($A1260,CLASSNAMEHEADERS,0))),(INDEX(ALLCLASSDATA,MATCH("MediumTrained",CLASSFEATUREHEADERS,0),MATCH(($A1260 &amp; "Points"),CLASSNAMEHEADERS,0))),"")))))))))}</f>
        <v>MEDIUML07</v>
      </c>
      <c r="O1259" s="223"/>
      <c r="P1259" s="223" t="str">
        <f t="array" ref="P1259:P1260">{"MEDIUML09";((IF("09"=(INDEX(ALLCLASSDATA,MATCH("MediumLegendary",CLASSFEATUREHEADERS,0),MATCH($A1260,CLASSNAMEHEADERS,0))),(INDEX(ALLCLASSDATA,MATCH("MediumLegendary",CLASSFEATUREHEADERS,0),MATCH(($A1260 &amp; "Points"),CLASSNAMEHEADERS,0))),(IF("09"=(INDEX(ALLCLASSDATA,MATCH("MediumMaster",CLASSFEATUREHEADERS,0),MATCH($A1260,CLASSNAMEHEADERS,0))),(INDEX(ALLCLASSDATA,MATCH("MediumMaster",CLASSFEATUREHEADERS,0),MATCH(($A1260 &amp; "Points"),CLASSNAMEHEADERS,0))),(IF("09"=(INDEX(ALLCLASSDATA,MATCH("MediumExpert",CLASSFEATUREHEADERS,0),MATCH($A1260,CLASSNAMEHEADERS,0))),(INDEX(ALLCLASSDATA,MATCH("MediumExpert",CLASSFEATUREHEADERS,0),MATCH(($A1260 &amp; "Points"),CLASSNAMEHEADERS,0))),(IF("09"=(INDEX(ALLCLASSDATA,MATCH("MediumTrained",CLASSFEATUREHEADERS,0),MATCH($A1260,CLASSNAMEHEADERS,0))),(INDEX(ALLCLASSDATA,MATCH("MediumTrained",CLASSFEATUREHEADERS,0),MATCH(($A1260 &amp; "Points"),CLASSNAMEHEADERS,0))),"")))))))))}</f>
        <v>MEDIUML09</v>
      </c>
      <c r="Q1259" s="223"/>
      <c r="R1259" s="223" t="str">
        <f t="array" ref="R1259:R1260">{"MEDIUML11";((IF("11"=(INDEX(ALLCLASSDATA,MATCH("MediumLegendary",CLASSFEATUREHEADERS,0),MATCH($A1260,CLASSNAMEHEADERS,0))),(INDEX(ALLCLASSDATA,MATCH("MediumLegendary",CLASSFEATUREHEADERS,0),MATCH(($A1260 &amp; "Points"),CLASSNAMEHEADERS,0))),(IF("11"=(INDEX(ALLCLASSDATA,MATCH("MediumMaster",CLASSFEATUREHEADERS,0),MATCH($A1260,CLASSNAMEHEADERS,0))),(INDEX(ALLCLASSDATA,MATCH("MediumMaster",CLASSFEATUREHEADERS,0),MATCH(($A1260 &amp; "Points"),CLASSNAMEHEADERS,0))),(IF("11"=(INDEX(ALLCLASSDATA,MATCH("MediumExpert",CLASSFEATUREHEADERS,0),MATCH($A1260,CLASSNAMEHEADERS,0))),(INDEX(ALLCLASSDATA,MATCH("MediumExpert",CLASSFEATUREHEADERS,0),MATCH(($A1260 &amp; "Points"),CLASSNAMEHEADERS,0))),(IF("11"=(INDEX(ALLCLASSDATA,MATCH("MediumTrained",CLASSFEATUREHEADERS,0),MATCH($A1260,CLASSNAMEHEADERS,0))),(INDEX(ALLCLASSDATA,MATCH("MediumTrained",CLASSFEATUREHEADERS,0),MATCH(($A1260 &amp; "Points"),CLASSNAMEHEADERS,0))),"")))))))))}</f>
        <v>MEDIUML11</v>
      </c>
      <c r="S1259" s="223"/>
      <c r="T1259" s="223" t="str">
        <f t="array" ref="T1259:T1260">{"MEDIUML13";((IF("13"=(INDEX(ALLCLASSDATA,MATCH("MediumLegendary",CLASSFEATUREHEADERS,0),MATCH($A1260,CLASSNAMEHEADERS,0))),(INDEX(ALLCLASSDATA,MATCH("MediumLegendary",CLASSFEATUREHEADERS,0),MATCH(($A1260 &amp; "Points"),CLASSNAMEHEADERS,0))),(IF("13"=(INDEX(ALLCLASSDATA,MATCH("MediumMaster",CLASSFEATUREHEADERS,0),MATCH($A1260,CLASSNAMEHEADERS,0))),(INDEX(ALLCLASSDATA,MATCH("MediumMaster",CLASSFEATUREHEADERS,0),MATCH(($A1260 &amp; "Points"),CLASSNAMEHEADERS,0))),(IF("13"=(INDEX(ALLCLASSDATA,MATCH("MediumExpert",CLASSFEATUREHEADERS,0),MATCH($A1260,CLASSNAMEHEADERS,0))),(INDEX(ALLCLASSDATA,MATCH("MediumExpert",CLASSFEATUREHEADERS,0),MATCH(($A1260 &amp; "Points"),CLASSNAMEHEADERS,0))),(IF("13"=(INDEX(ALLCLASSDATA,MATCH("MediumTrained",CLASSFEATUREHEADERS,0),MATCH($A1260,CLASSNAMEHEADERS,0))),(INDEX(ALLCLASSDATA,MATCH("MediumTrained",CLASSFEATUREHEADERS,0),MATCH(($A1260 &amp; "Points"),CLASSNAMEHEADERS,0))),"")))))))))}</f>
        <v>MEDIUML13</v>
      </c>
      <c r="U1259" s="223"/>
      <c r="V1259" s="223" t="str">
        <f t="array" ref="V1259:V1260">{"MEDIUML15";((IF("15"=(INDEX(ALLCLASSDATA,MATCH("MediumLegendary",CLASSFEATUREHEADERS,0),MATCH($A1260,CLASSNAMEHEADERS,0))),(INDEX(ALLCLASSDATA,MATCH("MediumLegendary",CLASSFEATUREHEADERS,0),MATCH(($A1260 &amp; "Points"),CLASSNAMEHEADERS,0))),(IF("15"=(INDEX(ALLCLASSDATA,MATCH("MediumMaster",CLASSFEATUREHEADERS,0),MATCH($A1260,CLASSNAMEHEADERS,0))),(INDEX(ALLCLASSDATA,MATCH("MediumMaster",CLASSFEATUREHEADERS,0),MATCH(($A1260 &amp; "Points"),CLASSNAMEHEADERS,0))),(IF("15"=(INDEX(ALLCLASSDATA,MATCH("MediumExpert",CLASSFEATUREHEADERS,0),MATCH($A1260,CLASSNAMEHEADERS,0))),(INDEX(ALLCLASSDATA,MATCH("MediumExpert",CLASSFEATUREHEADERS,0),MATCH(($A1260 &amp; "Points"),CLASSNAMEHEADERS,0))),(IF("15"=(INDEX(ALLCLASSDATA,MATCH("MediumTrained",CLASSFEATUREHEADERS,0),MATCH($A1260,CLASSNAMEHEADERS,0))),(INDEX(ALLCLASSDATA,MATCH("MediumTrained",CLASSFEATUREHEADERS,0),MATCH(($A1260 &amp; "Points"),CLASSNAMEHEADERS,0))),"")))))))))}</f>
        <v>MEDIUML15</v>
      </c>
      <c r="W1259" s="223"/>
      <c r="X1259" s="223" t="str">
        <f t="array" ref="X1259:X1260">{"MEDIUML17";((IF("17"=(INDEX(ALLCLASSDATA,MATCH("MediumLegendary",CLASSFEATUREHEADERS,0),MATCH($A1260,CLASSNAMEHEADERS,0))),(INDEX(ALLCLASSDATA,MATCH("MediumLegendary",CLASSFEATUREHEADERS,0),MATCH(($A1260 &amp; "Points"),CLASSNAMEHEADERS,0))),(IF("17"=(INDEX(ALLCLASSDATA,MATCH("MediumMaster",CLASSFEATUREHEADERS,0),MATCH($A1260,CLASSNAMEHEADERS,0))),(INDEX(ALLCLASSDATA,MATCH("MediumMaster",CLASSFEATUREHEADERS,0),MATCH(($A1260 &amp; "Points"),CLASSNAMEHEADERS,0))),(IF("17"=(INDEX(ALLCLASSDATA,MATCH("MediumExpert",CLASSFEATUREHEADERS,0),MATCH($A1260,CLASSNAMEHEADERS,0))),(INDEX(ALLCLASSDATA,MATCH("MediumExpert",CLASSFEATUREHEADERS,0),MATCH(($A1260 &amp; "Points"),CLASSNAMEHEADERS,0))),(IF("17"=(INDEX(ALLCLASSDATA,MATCH("MediumTrained",CLASSFEATUREHEADERS,0),MATCH($A1260,CLASSNAMEHEADERS,0))),(INDEX(ALLCLASSDATA,MATCH("MediumTrained",CLASSFEATUREHEADERS,0),MATCH(($A1260 &amp; "Points"),CLASSNAMEHEADERS,0))),"")))))))))}</f>
        <v>MEDIUML17</v>
      </c>
      <c r="Y1259" s="223"/>
      <c r="Z1259" s="223" t="str">
        <f t="array" ref="Z1259:Z1260">{"MEDIUML19";((IF("19"=(INDEX(ALLCLASSDATA,MATCH("MediumLegendary",CLASSFEATUREHEADERS,0),MATCH($A1260,CLASSNAMEHEADERS,0))),(INDEX(ALLCLASSDATA,MATCH("MediumLegendary",CLASSFEATUREHEADERS,0),MATCH(($A1260 &amp; "Points"),CLASSNAMEHEADERS,0))),(IF("19"=(INDEX(ALLCLASSDATA,MATCH("MediumMaster",CLASSFEATUREHEADERS,0),MATCH($A1260,CLASSNAMEHEADERS,0))),(INDEX(ALLCLASSDATA,MATCH("MediumMaster",CLASSFEATUREHEADERS,0),MATCH(($A1260 &amp; "Points"),CLASSNAMEHEADERS,0))),(IF("19"=(INDEX(ALLCLASSDATA,MATCH("MediumExpert",CLASSFEATUREHEADERS,0),MATCH($A1260,CLASSNAMEHEADERS,0))),(INDEX(ALLCLASSDATA,MATCH("MediumExpert",CLASSFEATUREHEADERS,0),MATCH(($A1260 &amp; "Points"),CLASSNAMEHEADERS,0))),(IF("19"=(INDEX(ALLCLASSDATA,MATCH("MediumTrained",CLASSFEATUREHEADERS,0),MATCH($A1260,CLASSNAMEHEADERS,0))),(INDEX(ALLCLASSDATA,MATCH("MediumTrained",CLASSFEATUREHEADERS,0),MATCH(($A1260 &amp; "Points"),CLASSNAMEHEADERS,0))),"")))))))))}</f>
        <v>MEDIUML19</v>
      </c>
      <c r="AA1259" s="223"/>
      <c r="AB1259" s="76" t="str">
        <f t="array" ref="AB1259:AB1260">{"MEDIUM TOTAL";(IF(COUNTBLANK(G1260:AA1260)=17,"L",(IF(COUNTBLANK(G1260:AA1260)=18,"M",(IF(COUNTBLANK(G1260:AA1260)=19,"E",(IF(COUNTBLANK(G1260:AA1260)=20,"T",""))))))))}</f>
        <v>MEDIUM TOTAL</v>
      </c>
      <c r="AC1259" s="76" t="str">
        <f t="array" ref="AC1259:AC1260">{"MEDIUM TOTAL";(sum(G1260:AA1260))}</f>
        <v>MEDIUM TOTAL</v>
      </c>
    </row>
    <row r="1260">
      <c r="A1260" s="48" t="s">
        <v>199</v>
      </c>
      <c r="B1260" s="48"/>
      <c r="C1260" s="48" t="s">
        <v>417</v>
      </c>
      <c r="D1260" s="48" t="s">
        <v>1900</v>
      </c>
      <c r="E1260" s="48" t="s">
        <v>76</v>
      </c>
      <c r="F1260" s="5" t="s">
        <v>435</v>
      </c>
      <c r="G1260" s="47" t="s">
        <v>603</v>
      </c>
      <c r="H1260" s="5">
        <v>10.0</v>
      </c>
      <c r="I1260" s="5"/>
      <c r="J1260" s="5" t="s">
        <v>603</v>
      </c>
      <c r="K1260" s="5"/>
      <c r="L1260" s="5" t="s">
        <v>603</v>
      </c>
      <c r="M1260" s="5"/>
      <c r="N1260" s="5" t="s">
        <v>603</v>
      </c>
      <c r="O1260" s="5"/>
      <c r="P1260" s="5" t="s">
        <v>603</v>
      </c>
      <c r="Q1260" s="5"/>
      <c r="R1260" s="5">
        <v>50.0</v>
      </c>
      <c r="S1260" s="5"/>
      <c r="T1260" s="5" t="s">
        <v>603</v>
      </c>
      <c r="U1260" s="5"/>
      <c r="V1260" s="5" t="s">
        <v>603</v>
      </c>
      <c r="W1260" s="5"/>
      <c r="X1260" s="5">
        <v>110.0</v>
      </c>
      <c r="Y1260" s="5"/>
      <c r="Z1260" s="5" t="s">
        <v>603</v>
      </c>
      <c r="AA1260" s="5"/>
      <c r="AB1260" s="5" t="s">
        <v>437</v>
      </c>
      <c r="AC1260" s="47">
        <v>170.0</v>
      </c>
    </row>
    <row r="1261" hidden="1">
      <c r="A1261" s="222" t="str">
        <f t="array" ref="A1261:A1262">{"FormulaRow38";(INDEX(CLASSLIST,A1186,1))}</f>
        <v>FormulaRow38</v>
      </c>
      <c r="B1261" s="77" t="s">
        <v>236</v>
      </c>
      <c r="C1261" s="222" t="str">
        <f t="array" ref="C1261:C1262">{"CLASSTYPE";((INDEX(ALLCLASSDATA,MATCH("ClassType",CLASSFEATUREHEADERS,0),MATCH($A1262,CLASSNAMEHEADERS,0))))}</f>
        <v>CLASSTYPE</v>
      </c>
      <c r="D1261" s="222" t="str">
        <f t="array" ref="D1261:D1262">{"DEFENSE";"Defense"}</f>
        <v>DEFENSE</v>
      </c>
      <c r="E1261" s="222" t="str">
        <f t="array" ref="E1261:E1262">{"HEAVY";"Heavy"}</f>
        <v>HEAVY</v>
      </c>
      <c r="F1261" s="223" t="str">
        <f t="array" ref="F1261:F1262">{"HEAVYINITIAL";((IF(H1262=10,"T",(IF(H1262=50,"E","")))))}</f>
        <v>HEAVYINITIAL</v>
      </c>
      <c r="G1261" s="223" t="str">
        <f t="array" ref="G1261:G1262">{"HEAVYINITIALPTS";((IF("00"=(INDEX(ALLCLASSDATA,MATCH("HeavyLegendary",CLASSFEATUREHEADERS,0),MATCH($A1262,CLASSNAMEHEADERS,0))),(INDEX(ALLCLASSDATA,MATCH("HeavyLegendary",CLASSFEATUREHEADERS,0),MATCH(($A1262 &amp; "Points"),CLASSNAMEHEADERS,0))),(IF("00"=(INDEX(ALLCLASSDATA,MATCH("HeavyMaster",CLASSFEATUREHEADERS,0),MATCH($A1262,CLASSNAMEHEADERS,0))),(INDEX(ALLCLASSDATA,MATCH("HeavyMaster",CLASSFEATUREHEADERS,0),MATCH(($A1262 &amp; "Points"),CLASSNAMEHEADERS,0))),(IF("00"=(INDEX(ALLCLASSDATA,MATCH("HeavyExpert",CLASSFEATUREHEADERS,0),MATCH($A1262,CLASSNAMEHEADERS,0))),(INDEX(ALLCLASSDATA,MATCH("HeavyExpert",CLASSFEATUREHEADERS,0),MATCH(($A1262 &amp; "Points"),CLASSNAMEHEADERS,0))),(IF("00"=(INDEX(ALLCLASSDATA,MATCH("HeavyTrained",CLASSFEATUREHEADERS,0),MATCH($A1262,CLASSNAMEHEADERS,0))),(INDEX(ALLCLASSDATA,MATCH("HeavyTrained",CLASSFEATUREHEADERS,0),MATCH(($A1262 &amp; "Points"),CLASSNAMEHEADERS,0))),"")))))))))}</f>
        <v>HEAVYINITIALPTS</v>
      </c>
      <c r="H1261" s="223" t="str">
        <f t="array" ref="H1261:H1262">{"HEAVYL01";((IF("01"=(INDEX(ALLCLASSDATA,MATCH("HeavyLegendary",CLASSFEATUREHEADERS,0),MATCH($A1262,CLASSNAMEHEADERS,0))),(INDEX(ALLCLASSDATA,MATCH("HeavyLegendary",CLASSFEATUREHEADERS,0),MATCH(($A1262 &amp; "Points"),CLASSNAMEHEADERS,0))),(IF("01"=(INDEX(ALLCLASSDATA,MATCH("HeavyMaster",CLASSFEATUREHEADERS,0),MATCH($A1262,CLASSNAMEHEADERS,0))),(INDEX(ALLCLASSDATA,MATCH("HeavyMaster",CLASSFEATUREHEADERS,0),MATCH(($A1262 &amp; "Points"),CLASSNAMEHEADERS,0))),(IF("01"=(INDEX(ALLCLASSDATA,MATCH("HeavyExpert",CLASSFEATUREHEADERS,0),MATCH($A1262,CLASSNAMEHEADERS,0))),(INDEX(ALLCLASSDATA,MATCH("HeavyExpert",CLASSFEATUREHEADERS,0),MATCH(($A1262 &amp; "Points"),CLASSNAMEHEADERS,0))),(IF("01"=(INDEX(ALLCLASSDATA,MATCH("HeavyTrained",CLASSFEATUREHEADERS,0),MATCH($A1262,CLASSNAMEHEADERS,0))),(INDEX(ALLCLASSDATA,MATCH("HeavyTrained",CLASSFEATUREHEADERS,0),MATCH(($A1262 &amp; "Points"),CLASSNAMEHEADERS,0))),"")))))))))}</f>
        <v>HEAVYL01</v>
      </c>
      <c r="I1261" s="223"/>
      <c r="J1261" s="223" t="str">
        <f t="array" ref="J1261:J1262">{"HEAVYL03";((IF("03"=(INDEX(ALLCLASSDATA,MATCH("HeavyLegendary",CLASSFEATUREHEADERS,0),MATCH($A1262,CLASSNAMEHEADERS,0))),(INDEX(ALLCLASSDATA,MATCH("HeavyLegendary",CLASSFEATUREHEADERS,0),MATCH(($A1262 &amp; "Points"),CLASSNAMEHEADERS,0))),(IF("03"=(INDEX(ALLCLASSDATA,MATCH("HeavyMaster",CLASSFEATUREHEADERS,0),MATCH($A1262,CLASSNAMEHEADERS,0))),(INDEX(ALLCLASSDATA,MATCH("HeavyMaster",CLASSFEATUREHEADERS,0),MATCH(($A1262 &amp; "Points"),CLASSNAMEHEADERS,0))),(IF("03"=(INDEX(ALLCLASSDATA,MATCH("HeavyExpert",CLASSFEATUREHEADERS,0),MATCH($A1262,CLASSNAMEHEADERS,0))),(INDEX(ALLCLASSDATA,MATCH("HeavyExpert",CLASSFEATUREHEADERS,0),MATCH(($A1262 &amp; "Points"),CLASSNAMEHEADERS,0))),(IF("03"=(INDEX(ALLCLASSDATA,MATCH("HeavyTrained",CLASSFEATUREHEADERS,0),MATCH($A1262,CLASSNAMEHEADERS,0))),(INDEX(ALLCLASSDATA,MATCH("HeavyTrained",CLASSFEATUREHEADERS,0),MATCH(($A1262 &amp; "Points"),CLASSNAMEHEADERS,0))),"")))))))))}</f>
        <v>HEAVYL03</v>
      </c>
      <c r="K1261" s="223"/>
      <c r="L1261" s="223" t="str">
        <f t="array" ref="L1261:L1262">{"HEAVYL05";((IF("05"=(INDEX(ALLCLASSDATA,MATCH("HeavyLegendary",CLASSFEATUREHEADERS,0),MATCH($A1262,CLASSNAMEHEADERS,0))),(INDEX(ALLCLASSDATA,MATCH("HeavyLegendary",CLASSFEATUREHEADERS,0),MATCH(($A1262 &amp; "Points"),CLASSNAMEHEADERS,0))),(IF("05"=(INDEX(ALLCLASSDATA,MATCH("HeavyMaster",CLASSFEATUREHEADERS,0),MATCH($A1262,CLASSNAMEHEADERS,0))),(INDEX(ALLCLASSDATA,MATCH("HeavyMaster",CLASSFEATUREHEADERS,0),MATCH(($A1262 &amp; "Points"),CLASSNAMEHEADERS,0))),(IF("05"=(INDEX(ALLCLASSDATA,MATCH("HeavyExpert",CLASSFEATUREHEADERS,0),MATCH($A1262,CLASSNAMEHEADERS,0))),(INDEX(ALLCLASSDATA,MATCH("HeavyExpert",CLASSFEATUREHEADERS,0),MATCH(($A1262 &amp; "Points"),CLASSNAMEHEADERS,0))),(IF("05"=(INDEX(ALLCLASSDATA,MATCH("HeavyTrained",CLASSFEATUREHEADERS,0),MATCH($A1262,CLASSNAMEHEADERS,0))),(INDEX(ALLCLASSDATA,MATCH("HeavyTrained",CLASSFEATUREHEADERS,0),MATCH(($A1262 &amp; "Points"),CLASSNAMEHEADERS,0))),"")))))))))}</f>
        <v>HEAVYL05</v>
      </c>
      <c r="M1261" s="223"/>
      <c r="N1261" s="223" t="str">
        <f t="array" ref="N1261:N1262">{"HEAVYL07";((IF("07"=(INDEX(ALLCLASSDATA,MATCH("HeavyLegendary",CLASSFEATUREHEADERS,0),MATCH($A1262,CLASSNAMEHEADERS,0))),(INDEX(ALLCLASSDATA,MATCH("HeavyLegendary",CLASSFEATUREHEADERS,0),MATCH(($A1262 &amp; "Points"),CLASSNAMEHEADERS,0))),(IF("07"=(INDEX(ALLCLASSDATA,MATCH("HeavyMaster",CLASSFEATUREHEADERS,0),MATCH($A1262,CLASSNAMEHEADERS,0))),(INDEX(ALLCLASSDATA,MATCH("HeavyMaster",CLASSFEATUREHEADERS,0),MATCH(($A1262 &amp; "Points"),CLASSNAMEHEADERS,0))),(IF("07"=(INDEX(ALLCLASSDATA,MATCH("HeavyExpert",CLASSFEATUREHEADERS,0),MATCH($A1262,CLASSNAMEHEADERS,0))),(INDEX(ALLCLASSDATA,MATCH("HeavyExpert",CLASSFEATUREHEADERS,0),MATCH(($A1262 &amp; "Points"),CLASSNAMEHEADERS,0))),(IF("07"=(INDEX(ALLCLASSDATA,MATCH("HeavyTrained",CLASSFEATUREHEADERS,0),MATCH($A1262,CLASSNAMEHEADERS,0))),(INDEX(ALLCLASSDATA,MATCH("HeavyTrained",CLASSFEATUREHEADERS,0),MATCH(($A1262 &amp; "Points"),CLASSNAMEHEADERS,0))),"")))))))))}</f>
        <v>HEAVYL07</v>
      </c>
      <c r="O1261" s="223"/>
      <c r="P1261" s="223" t="str">
        <f t="array" ref="P1261:P1262">{"HEAVYL09";((IF("09"=(INDEX(ALLCLASSDATA,MATCH("HeavyLegendary",CLASSFEATUREHEADERS,0),MATCH($A1262,CLASSNAMEHEADERS,0))),(INDEX(ALLCLASSDATA,MATCH("HeavyLegendary",CLASSFEATUREHEADERS,0),MATCH(($A1262 &amp; "Points"),CLASSNAMEHEADERS,0))),(IF("09"=(INDEX(ALLCLASSDATA,MATCH("HeavyMaster",CLASSFEATUREHEADERS,0),MATCH($A1262,CLASSNAMEHEADERS,0))),(INDEX(ALLCLASSDATA,MATCH("HeavyMaster",CLASSFEATUREHEADERS,0),MATCH(($A1262 &amp; "Points"),CLASSNAMEHEADERS,0))),(IF("09"=(INDEX(ALLCLASSDATA,MATCH("HeavyExpert",CLASSFEATUREHEADERS,0),MATCH($A1262,CLASSNAMEHEADERS,0))),(INDEX(ALLCLASSDATA,MATCH("HeavyExpert",CLASSFEATUREHEADERS,0),MATCH(($A1262 &amp; "Points"),CLASSNAMEHEADERS,0))),(IF("09"=(INDEX(ALLCLASSDATA,MATCH("HeavyTrained",CLASSFEATUREHEADERS,0),MATCH($A1262,CLASSNAMEHEADERS,0))),(INDEX(ALLCLASSDATA,MATCH("HeavyTrained",CLASSFEATUREHEADERS,0),MATCH(($A1262 &amp; "Points"),CLASSNAMEHEADERS,0))),"")))))))))}</f>
        <v>HEAVYL09</v>
      </c>
      <c r="Q1261" s="223"/>
      <c r="R1261" s="223" t="str">
        <f t="array" ref="R1261:R1262">{"HEAVYL11";((IF("11"=(INDEX(ALLCLASSDATA,MATCH("HeavyLegendary",CLASSFEATUREHEADERS,0),MATCH($A1262,CLASSNAMEHEADERS,0))),(INDEX(ALLCLASSDATA,MATCH("HeavyLegendary",CLASSFEATUREHEADERS,0),MATCH(($A1262 &amp; "Points"),CLASSNAMEHEADERS,0))),(IF("11"=(INDEX(ALLCLASSDATA,MATCH("HeavyMaster",CLASSFEATUREHEADERS,0),MATCH($A1262,CLASSNAMEHEADERS,0))),(INDEX(ALLCLASSDATA,MATCH("HeavyMaster",CLASSFEATUREHEADERS,0),MATCH(($A1262 &amp; "Points"),CLASSNAMEHEADERS,0))),(IF("11"=(INDEX(ALLCLASSDATA,MATCH("HeavyExpert",CLASSFEATUREHEADERS,0),MATCH($A1262,CLASSNAMEHEADERS,0))),(INDEX(ALLCLASSDATA,MATCH("HeavyExpert",CLASSFEATUREHEADERS,0),MATCH(($A1262 &amp; "Points"),CLASSNAMEHEADERS,0))),(IF("11"=(INDEX(ALLCLASSDATA,MATCH("HeavyTrained",CLASSFEATUREHEADERS,0),MATCH($A1262,CLASSNAMEHEADERS,0))),(INDEX(ALLCLASSDATA,MATCH("HeavyTrained",CLASSFEATUREHEADERS,0),MATCH(($A1262 &amp; "Points"),CLASSNAMEHEADERS,0))),"")))))))))}</f>
        <v>HEAVYL11</v>
      </c>
      <c r="S1261" s="223"/>
      <c r="T1261" s="223" t="str">
        <f t="array" ref="T1261:T1262">{"HEAVYL13";((IF("13"=(INDEX(ALLCLASSDATA,MATCH("HeavyLegendary",CLASSFEATUREHEADERS,0),MATCH($A1262,CLASSNAMEHEADERS,0))),(INDEX(ALLCLASSDATA,MATCH("HeavyLegendary",CLASSFEATUREHEADERS,0),MATCH(($A1262 &amp; "Points"),CLASSNAMEHEADERS,0))),(IF("13"=(INDEX(ALLCLASSDATA,MATCH("HeavyMaster",CLASSFEATUREHEADERS,0),MATCH($A1262,CLASSNAMEHEADERS,0))),(INDEX(ALLCLASSDATA,MATCH("HeavyMaster",CLASSFEATUREHEADERS,0),MATCH(($A1262 &amp; "Points"),CLASSNAMEHEADERS,0))),(IF("13"=(INDEX(ALLCLASSDATA,MATCH("HeavyExpert",CLASSFEATUREHEADERS,0),MATCH($A1262,CLASSNAMEHEADERS,0))),(INDEX(ALLCLASSDATA,MATCH("HeavyExpert",CLASSFEATUREHEADERS,0),MATCH(($A1262 &amp; "Points"),CLASSNAMEHEADERS,0))),(IF("13"=(INDEX(ALLCLASSDATA,MATCH("HeavyTrained",CLASSFEATUREHEADERS,0),MATCH($A1262,CLASSNAMEHEADERS,0))),(INDEX(ALLCLASSDATA,MATCH("HeavyTrained",CLASSFEATUREHEADERS,0),MATCH(($A1262 &amp; "Points"),CLASSNAMEHEADERS,0))),"")))))))))}</f>
        <v>HEAVYL13</v>
      </c>
      <c r="U1261" s="223"/>
      <c r="V1261" s="223" t="str">
        <f t="array" ref="V1261:V1262">{"HEAVYL15";((IF("15"=(INDEX(ALLCLASSDATA,MATCH("HeavyLegendary",CLASSFEATUREHEADERS,0),MATCH($A1262,CLASSNAMEHEADERS,0))),(INDEX(ALLCLASSDATA,MATCH("HeavyLegendary",CLASSFEATUREHEADERS,0),MATCH(($A1262 &amp; "Points"),CLASSNAMEHEADERS,0))),(IF("15"=(INDEX(ALLCLASSDATA,MATCH("HeavyMaster",CLASSFEATUREHEADERS,0),MATCH($A1262,CLASSNAMEHEADERS,0))),(INDEX(ALLCLASSDATA,MATCH("HeavyMaster",CLASSFEATUREHEADERS,0),MATCH(($A1262 &amp; "Points"),CLASSNAMEHEADERS,0))),(IF("15"=(INDEX(ALLCLASSDATA,MATCH("HeavyExpert",CLASSFEATUREHEADERS,0),MATCH($A1262,CLASSNAMEHEADERS,0))),(INDEX(ALLCLASSDATA,MATCH("HeavyExpert",CLASSFEATUREHEADERS,0),MATCH(($A1262 &amp; "Points"),CLASSNAMEHEADERS,0))),(IF("15"=(INDEX(ALLCLASSDATA,MATCH("HeavyTrained",CLASSFEATUREHEADERS,0),MATCH($A1262,CLASSNAMEHEADERS,0))),(INDEX(ALLCLASSDATA,MATCH("HeavyTrained",CLASSFEATUREHEADERS,0),MATCH(($A1262 &amp; "Points"),CLASSNAMEHEADERS,0))),"")))))))))}</f>
        <v>HEAVYL15</v>
      </c>
      <c r="W1261" s="223"/>
      <c r="X1261" s="223" t="str">
        <f t="array" ref="X1261:X1262">{"HEAVYL17";((IF("17"=(INDEX(ALLCLASSDATA,MATCH("HeavyLegendary",CLASSFEATUREHEADERS,0),MATCH($A1262,CLASSNAMEHEADERS,0))),(INDEX(ALLCLASSDATA,MATCH("HeavyLegendary",CLASSFEATUREHEADERS,0),MATCH(($A1262 &amp; "Points"),CLASSNAMEHEADERS,0))),(IF("17"=(INDEX(ALLCLASSDATA,MATCH("HeavyMaster",CLASSFEATUREHEADERS,0),MATCH($A1262,CLASSNAMEHEADERS,0))),(INDEX(ALLCLASSDATA,MATCH("HeavyMaster",CLASSFEATUREHEADERS,0),MATCH(($A1262 &amp; "Points"),CLASSNAMEHEADERS,0))),(IF("17"=(INDEX(ALLCLASSDATA,MATCH("HeavyExpert",CLASSFEATUREHEADERS,0),MATCH($A1262,CLASSNAMEHEADERS,0))),(INDEX(ALLCLASSDATA,MATCH("HeavyExpert",CLASSFEATUREHEADERS,0),MATCH(($A1262 &amp; "Points"),CLASSNAMEHEADERS,0))),(IF("17"=(INDEX(ALLCLASSDATA,MATCH("HeavyTrained",CLASSFEATUREHEADERS,0),MATCH($A1262,CLASSNAMEHEADERS,0))),(INDEX(ALLCLASSDATA,MATCH("HeavyTrained",CLASSFEATUREHEADERS,0),MATCH(($A1262 &amp; "Points"),CLASSNAMEHEADERS,0))),"")))))))))}</f>
        <v>HEAVYL17</v>
      </c>
      <c r="Y1261" s="223"/>
      <c r="Z1261" s="223" t="str">
        <f t="array" ref="Z1261:Z1262">{"HEAVYL19";((IF("19"=(INDEX(ALLCLASSDATA,MATCH("HeavyLegendary",CLASSFEATUREHEADERS,0),MATCH($A1262,CLASSNAMEHEADERS,0))),(INDEX(ALLCLASSDATA,MATCH("HeavyLegendary",CLASSFEATUREHEADERS,0),MATCH(($A1262 &amp; "Points"),CLASSNAMEHEADERS,0))),(IF("19"=(INDEX(ALLCLASSDATA,MATCH("HeavyMaster",CLASSFEATUREHEADERS,0),MATCH($A1262,CLASSNAMEHEADERS,0))),(INDEX(ALLCLASSDATA,MATCH("HeavyMaster",CLASSFEATUREHEADERS,0),MATCH(($A1262 &amp; "Points"),CLASSNAMEHEADERS,0))),(IF("19"=(INDEX(ALLCLASSDATA,MATCH("HeavyExpert",CLASSFEATUREHEADERS,0),MATCH($A1262,CLASSNAMEHEADERS,0))),(INDEX(ALLCLASSDATA,MATCH("HeavyExpert",CLASSFEATUREHEADERS,0),MATCH(($A1262 &amp; "Points"),CLASSNAMEHEADERS,0))),(IF("19"=(INDEX(ALLCLASSDATA,MATCH("HeavyTrained",CLASSFEATUREHEADERS,0),MATCH($A1262,CLASSNAMEHEADERS,0))),(INDEX(ALLCLASSDATA,MATCH("HeavyTrained",CLASSFEATUREHEADERS,0),MATCH(($A1262 &amp; "Points"),CLASSNAMEHEADERS,0))),"")))))))))}</f>
        <v>HEAVYL19</v>
      </c>
      <c r="AA1261" s="223"/>
      <c r="AB1261" s="76" t="str">
        <f t="array" ref="AB1261:AB1262">{"HEAVY TOTAL";(IF(COUNTBLANK(G1262:AA1262)=17,"L",(IF(COUNTBLANK(G1262:AA1262)=18,"M",(IF(COUNTBLANK(G1262:AA1262)=19,"E",(IF(COUNTBLANK(G1262:AA1262)=20,"T",""))))))))}</f>
        <v>HEAVY TOTAL</v>
      </c>
      <c r="AC1261" s="76" t="str">
        <f t="array" ref="AC1261:AC1262">{"HEAVY TOTAL";(sum(G1262:AA1262))}</f>
        <v>HEAVY TOTAL</v>
      </c>
    </row>
    <row r="1262">
      <c r="A1262" s="48" t="s">
        <v>199</v>
      </c>
      <c r="B1262" s="48"/>
      <c r="C1262" s="48" t="s">
        <v>417</v>
      </c>
      <c r="D1262" s="97" t="s">
        <v>1900</v>
      </c>
      <c r="E1262" s="97" t="s">
        <v>533</v>
      </c>
      <c r="F1262" s="98" t="s">
        <v>603</v>
      </c>
      <c r="G1262" s="132" t="s">
        <v>603</v>
      </c>
      <c r="H1262" s="98" t="s">
        <v>603</v>
      </c>
      <c r="I1262" s="98"/>
      <c r="J1262" s="98" t="s">
        <v>603</v>
      </c>
      <c r="K1262" s="98"/>
      <c r="L1262" s="98" t="s">
        <v>603</v>
      </c>
      <c r="M1262" s="98"/>
      <c r="N1262" s="98" t="s">
        <v>603</v>
      </c>
      <c r="O1262" s="98"/>
      <c r="P1262" s="98" t="s">
        <v>603</v>
      </c>
      <c r="Q1262" s="98"/>
      <c r="R1262" s="98" t="s">
        <v>603</v>
      </c>
      <c r="S1262" s="98"/>
      <c r="T1262" s="98" t="s">
        <v>603</v>
      </c>
      <c r="U1262" s="98"/>
      <c r="V1262" s="98" t="s">
        <v>603</v>
      </c>
      <c r="W1262" s="98"/>
      <c r="X1262" s="98" t="s">
        <v>603</v>
      </c>
      <c r="Y1262" s="98"/>
      <c r="Z1262" s="98" t="s">
        <v>603</v>
      </c>
      <c r="AA1262" s="98"/>
      <c r="AB1262" s="5" t="s">
        <v>603</v>
      </c>
      <c r="AC1262" s="47">
        <v>0.0</v>
      </c>
    </row>
    <row r="1263" hidden="1">
      <c r="A1263" s="222" t="str">
        <f t="array" ref="A1263:A1264">{"FormulaRow39";(INDEX(CLASSLIST,A1186,1))}</f>
        <v>FormulaRow39</v>
      </c>
      <c r="B1263" s="77" t="s">
        <v>236</v>
      </c>
      <c r="C1263" s="222" t="str">
        <f t="array" ref="C1263:C1264">{"CLASSTYPE";((INDEX(ALLCLASSDATA,MATCH("ClassType",CLASSFEATUREHEADERS,0),MATCH($A1264,CLASSNAMEHEADERS,0))))}</f>
        <v>CLASSTYPE</v>
      </c>
      <c r="D1263" s="222" t="str">
        <f t="array" ref="D1263:D1264">{"SPELL/ALCHEMY";((IF(INDEX(ALLCLASSDATA,MATCH("CasterType",CLASSFEATUREHEADERS,0),MATCH(($A1264),CLASSNAMEHEADERS,0))="","",(IF(INDEX(ALLCLASSDATA,MATCH("CasterType",CLASSFEATUREHEADERS,0),MATCH(($A1264),CLASSNAMEHEADERS,0))="Alchemy","Alchemy","Spells")))))}</f>
        <v>SPELL/ALCHEMY</v>
      </c>
      <c r="E1263" s="222" t="str">
        <f t="array" ref="E1263:E1264">{"SPELLLIST";(IF(D1264="Spells",((INDEX(ALLCLASSDATA,MATCH("CasterType",CLASSFEATUREHEADERS,0),MATCH(($A1264),CLASSNAMEHEADERS,0))) &amp; ":" &amp; (INDEX(ALLCLASSDATA,MATCH("SpellList",CLASSFEATUREHEADERS,0),MATCH(($A1264),CLASSNAMEHEADERS,0)))),""))}</f>
        <v>SPELLLIST</v>
      </c>
      <c r="F1263" s="223" t="str">
        <f t="array" ref="F1263:F1264">{"SPL";(IF(D1264="Spells","SPL:",""))}</f>
        <v>SPL</v>
      </c>
      <c r="G1263" s="223" t="str">
        <f t="array" ref="G1263:G1264">{"CANTRIP/ALC";(IF(D1264="Spells","C",(IF(D1264="Alchemy","ALC:",""))))}</f>
        <v>CANTRIP/ALC</v>
      </c>
      <c r="H1263" s="223" t="str">
        <f t="array" ref="H1263:H1264">{"SPELL/ALC L01";(IF(D1264="Alchemy","L01",(IF(D1264="Spells","S01",""))))}</f>
        <v>SPELL/ALC L01</v>
      </c>
      <c r="I1263" s="223" t="str">
        <f t="array" ref="I1263:I1264">{"SPELL/ALC L02";(IF(D1264="Alchemy","L02",(IF(D1264="Spells","S01",""))))}</f>
        <v>SPELL/ALC L02</v>
      </c>
      <c r="J1263" s="223" t="str">
        <f t="array" ref="J1263:J1264">{"SPELL/ALC L03";(IF(D1264="Alchemy","L03",(IF(D1264="Spells","S02",""))))}</f>
        <v>SPELL/ALC L03</v>
      </c>
      <c r="K1263" s="223" t="str">
        <f t="array" ref="K1263:K1264">{"SPELL/ALC L04";(IF(D1264="Alchemy","L04",(IF(D1264="Spells","S02",""))))}</f>
        <v>SPELL/ALC L04</v>
      </c>
      <c r="L1263" s="223" t="str">
        <f t="array" ref="L1263:L1264">{"SPELL/ALC L05";(IF(D1264="Alchemy","L05",(IF(D1264="Spells","S03",""))))}</f>
        <v>SPELL/ALC L05</v>
      </c>
      <c r="M1263" s="223" t="str">
        <f t="array" ref="M1263:M1264">{"SPELL/ALC L06";(IF(D1264="Alchemy","L06",(IF(D1264="Spells","S03",""))))}</f>
        <v>SPELL/ALC L06</v>
      </c>
      <c r="N1263" s="223" t="str">
        <f t="array" ref="N1263:N1264">{"SPELL/ALC L07";(IF(D1264="Alchemy","L07",(IF(D1264="Spells","S04",""))))}</f>
        <v>SPELL/ALC L07</v>
      </c>
      <c r="O1263" s="223" t="str">
        <f t="array" ref="O1263:O1264">{"SPELL/ALC L08";(IF(D1264="Alchemy","L08",(IF(D1264="Spells","S04",""))))}</f>
        <v>SPELL/ALC L08</v>
      </c>
      <c r="P1263" s="223" t="str">
        <f t="array" ref="P1263:P1264">{"SPELL/ALC L09";(IF(D1264="Alchemy","L09",(IF(D1264="Spells","S05",""))))}</f>
        <v>SPELL/ALC L09</v>
      </c>
      <c r="Q1263" s="223" t="str">
        <f t="array" ref="Q1263:Q1264">{"SPELL/ALC L10";(IF(D1264="Alchemy","L10",(IF(D1264="Spells","S05",""))))}</f>
        <v>SPELL/ALC L10</v>
      </c>
      <c r="R1263" s="223" t="str">
        <f t="array" ref="R1263:R1264">{"SPELL/ALC L11";(IF(D1264="Alchemy","L11",(IF(D1264="Spells","S06",""))))}</f>
        <v>SPELL/ALC L11</v>
      </c>
      <c r="S1263" s="223" t="str">
        <f t="array" ref="S1263:S1264">{"SPELL/ALC L12";(IF(D1264="Alchemy","L12",(IF(D1264="Spells","S06",""))))}</f>
        <v>SPELL/ALC L12</v>
      </c>
      <c r="T1263" s="223" t="str">
        <f t="array" ref="T1263:T1264">{"SPELL/ALC L13";(IF(D1264="Alchemy","L13",(IF(D1264="Spells","S07",""))))}</f>
        <v>SPELL/ALC L13</v>
      </c>
      <c r="U1263" s="223" t="str">
        <f t="array" ref="U1263:U1264">{"SPELL/ALC L14";(IF(D1264="Alchemy","L14",(IF(D1264="Spells","S07",""))))}</f>
        <v>SPELL/ALC L14</v>
      </c>
      <c r="V1263" s="223" t="str">
        <f t="array" ref="V1263:V1264">{"SPELL/ALC L15";(IF(D1264="Alchemy","L15",(IF(D1264="Spells","S08",""))))}</f>
        <v>SPELL/ALC L15</v>
      </c>
      <c r="W1263" s="223" t="str">
        <f t="array" ref="W1263:W1264">{"SPELL/ALC L16";(IF(D1264="Alchemy","L16",(IF(D1264="Spells","S08",""))))}</f>
        <v>SPELL/ALC L16</v>
      </c>
      <c r="X1263" s="223" t="str">
        <f t="array" ref="X1263:X1264">{"SPELL/ALC L17";(IF(D1264="Alchemy","L17",(IF(D1264="Spells","S09",""))))}</f>
        <v>SPELL/ALC L17</v>
      </c>
      <c r="Y1263" s="223" t="str">
        <f t="array" ref="Y1263:Y1264">{"SPELL/ALC L18";(IF(D1264="Alchemy","L18",(IF(D1264="Spells","S09",""))))}</f>
        <v>SPELL/ALC L18</v>
      </c>
      <c r="Z1263" s="223" t="str">
        <f t="array" ref="Z1263:Z1264">{"SPELL/ALC L19";(IF(D1264="Alchemy","L19",(IF(D1264="Spells","S10",""))))}</f>
        <v>SPELL/ALC L19</v>
      </c>
      <c r="AA1263" s="223" t="str">
        <f t="array" ref="AA1263:AA1264">{"SPELL/ALC L20";(IF(D1264="Alchemy","L20",(IF(D1264="Spells","S10",""))))}</f>
        <v>SPELL/ALC L20</v>
      </c>
      <c r="AB1263" s="76"/>
      <c r="AC1263" s="76"/>
    </row>
    <row r="1264">
      <c r="A1264" s="48" t="s">
        <v>199</v>
      </c>
      <c r="B1264" s="48"/>
      <c r="C1264" s="48" t="s">
        <v>417</v>
      </c>
      <c r="D1264" s="48" t="s">
        <v>1901</v>
      </c>
      <c r="E1264" s="48" t="s">
        <v>1938</v>
      </c>
      <c r="F1264" s="278" t="s">
        <v>1903</v>
      </c>
      <c r="G1264" s="114" t="s">
        <v>653</v>
      </c>
      <c r="H1264" s="279" t="s">
        <v>1536</v>
      </c>
      <c r="I1264" s="28" t="s">
        <v>1536</v>
      </c>
      <c r="J1264" s="28" t="s">
        <v>1542</v>
      </c>
      <c r="K1264" s="28" t="s">
        <v>1542</v>
      </c>
      <c r="L1264" s="28" t="s">
        <v>1545</v>
      </c>
      <c r="M1264" s="28" t="s">
        <v>1545</v>
      </c>
      <c r="N1264" s="28" t="s">
        <v>1548</v>
      </c>
      <c r="O1264" s="28" t="s">
        <v>1548</v>
      </c>
      <c r="P1264" s="28" t="s">
        <v>1553</v>
      </c>
      <c r="Q1264" s="28" t="s">
        <v>1553</v>
      </c>
      <c r="R1264" s="28" t="s">
        <v>1556</v>
      </c>
      <c r="S1264" s="28" t="s">
        <v>1556</v>
      </c>
      <c r="T1264" s="28" t="s">
        <v>1559</v>
      </c>
      <c r="U1264" s="28" t="s">
        <v>1559</v>
      </c>
      <c r="V1264" s="28" t="s">
        <v>1562</v>
      </c>
      <c r="W1264" s="28" t="s">
        <v>1562</v>
      </c>
      <c r="X1264" s="28" t="s">
        <v>1565</v>
      </c>
      <c r="Y1264" s="28" t="s">
        <v>1565</v>
      </c>
      <c r="Z1264" s="28" t="s">
        <v>1568</v>
      </c>
      <c r="AA1264" s="28" t="s">
        <v>1568</v>
      </c>
      <c r="AB1264" s="5"/>
      <c r="AC1264" s="47"/>
    </row>
    <row r="1265" hidden="1">
      <c r="A1265" s="222" t="str">
        <f t="array" ref="A1265:A1266">{"FormulaRow40";(INDEX(CLASSLIST,A1186,1))}</f>
        <v>FormulaRow40</v>
      </c>
      <c r="B1265" s="77" t="s">
        <v>236</v>
      </c>
      <c r="C1265" s="222" t="str">
        <f t="array" ref="C1265:C1266">{"CLASSTYPE";((INDEX(ALLCLASSDATA,MATCH("ClassType",CLASSFEATUREHEADERS,0),MATCH($A1266,CLASSNAMEHEADERS,0))))}</f>
        <v>CLASSTYPE</v>
      </c>
      <c r="D1265" s="222" t="str">
        <f t="array" ref="D1265:D1266">{"SPELL/ALCHEMY";((IF(INDEX(ALLCLASSDATA,MATCH("CasterType",CLASSFEATUREHEADERS,0),MATCH(($A1266),CLASSNAMEHEADERS,0))="","",(IF(INDEX(ALLCLASSDATA,MATCH("CasterType",CLASSFEATUREHEADERS,0),MATCH(($A1266),CLASSNAMEHEADERS,0))="Alchemy","","Spells")))))}</f>
        <v>SPELL/ALCHEMY</v>
      </c>
      <c r="E1265" s="222" t="str">
        <f t="array" ref="E1265:E1266">{"SPELLLIST";(IF(D1266="Spells",((INDEX(ALLCLASSDATA,MATCH("CasterType",CLASSFEATUREHEADERS,0),MATCH(($A1266),CLASSNAMEHEADERS,0))) &amp; ":" &amp; (INDEX(ALLCLASSDATA,MATCH("SpellList",CLASSFEATUREHEADERS,0),MATCH(($A1266),CLASSNAMEHEADERS,0)))),""))}</f>
        <v>SPELLLIST</v>
      </c>
      <c r="F1265" s="222" t="str">
        <f t="array" ref="F1265:F1266">{"SLOTCOST";(IF(D1266="Spells","SlotCost:",""))}</f>
        <v>SLOTCOST</v>
      </c>
      <c r="G1265" s="222" t="str">
        <f t="array" ref="G1265:G1266">{"SLOTCOST CANTRIP";(INDEX(ALLCLASSDATA,MATCH("CantripSlots-L00",CLASSFEATUREHEADERS,0),MATCH(($A1266 &amp; "Points"),CLASSNAMEHEADERS,0)))}</f>
        <v>SLOTCOST CANTRIP</v>
      </c>
      <c r="H1265" s="222" t="str">
        <f t="array" ref="H1265:H1266">{"SLOTCOST L01";(INDEX(ALLCLASSDATA,MATCH("SPL01-L01",CLASSFEATUREHEADERS,0),MATCH(($A1266 &amp; "Points"),CLASSNAMEHEADERS,0)))}</f>
        <v>SLOTCOST L01</v>
      </c>
      <c r="I1265" s="222" t="str">
        <f t="array" ref="I1265:I1266">{"SLOTCOST L02";(INDEX(ALLCLASSDATA,MATCH("SPL01-L02",CLASSFEATUREHEADERS,0),MATCH(($A1266 &amp; "Points"),CLASSNAMEHEADERS,0)))}</f>
        <v>SLOTCOST L02</v>
      </c>
      <c r="J1265" s="222" t="str">
        <f t="array" ref="J1265:J1266">{"SLOTCOST L03";(INDEX(ALLCLASSDATA,MATCH("SPL02-L03",CLASSFEATUREHEADERS,0),MATCH(($A1266 &amp; "Points"),CLASSNAMEHEADERS,0)))}</f>
        <v>SLOTCOST L03</v>
      </c>
      <c r="K1265" s="222" t="str">
        <f t="array" ref="K1265:K1266">{"SLOTCOST L04";(INDEX(ALLCLASSDATA,MATCH("SPL02-L04",CLASSFEATUREHEADERS,0),MATCH(($A1266 &amp; "Points"),CLASSNAMEHEADERS,0)))}</f>
        <v>SLOTCOST L04</v>
      </c>
      <c r="L1265" s="222" t="str">
        <f t="array" ref="L1265:L1266">{"SLOTCOST L05";(INDEX(ALLCLASSDATA,MATCH("SPL03-L05",CLASSFEATUREHEADERS,0),MATCH(($A1266 &amp; "Points"),CLASSNAMEHEADERS,0)))}</f>
        <v>SLOTCOST L05</v>
      </c>
      <c r="M1265" s="222" t="str">
        <f t="array" ref="M1265:M1266">{"SLOTCOST L06";(INDEX(ALLCLASSDATA,MATCH("SPL03-L06",CLASSFEATUREHEADERS,0),MATCH(($A1266 &amp; "Points"),CLASSNAMEHEADERS,0)))}</f>
        <v>SLOTCOST L06</v>
      </c>
      <c r="N1265" s="222" t="str">
        <f t="array" ref="N1265:N1266">{"SLOTCOST L07";(INDEX(ALLCLASSDATA,MATCH("SPL04-L07",CLASSFEATUREHEADERS,0),MATCH(($A1266 &amp; "Points"),CLASSNAMEHEADERS,0)))}</f>
        <v>SLOTCOST L07</v>
      </c>
      <c r="O1265" s="222" t="str">
        <f t="array" ref="O1265:O1266">{"SLOTCOST L08";(INDEX(ALLCLASSDATA,MATCH("SPL04-L08",CLASSFEATUREHEADERS,0),MATCH(($A1266 &amp; "Points"),CLASSNAMEHEADERS,0)))}</f>
        <v>SLOTCOST L08</v>
      </c>
      <c r="P1265" s="222" t="str">
        <f t="array" ref="P1265:P1266">{"SLOTCOST L09";(INDEX(ALLCLASSDATA,MATCH("SPL05-L09",CLASSFEATUREHEADERS,0),MATCH(($A1266 &amp; "Points"),CLASSNAMEHEADERS,0)))}</f>
        <v>SLOTCOST L09</v>
      </c>
      <c r="Q1265" s="222" t="str">
        <f t="array" ref="Q1265:Q1266">{"SLOTCOST L10";(INDEX(ALLCLASSDATA,MATCH("SPL05-L10",CLASSFEATUREHEADERS,0),MATCH(($A1266 &amp; "Points"),CLASSNAMEHEADERS,0)))}</f>
        <v>SLOTCOST L10</v>
      </c>
      <c r="R1265" s="222" t="str">
        <f t="array" ref="R1265:R1266">{"SLOTCOST L11";(INDEX(ALLCLASSDATA,MATCH("SPL06-L11",CLASSFEATUREHEADERS,0),MATCH(($A1266 &amp; "Points"),CLASSNAMEHEADERS,0)))}</f>
        <v>SLOTCOST L11</v>
      </c>
      <c r="S1265" s="222" t="str">
        <f t="array" ref="S1265:S1266">{"SLOTCOST L12";(INDEX(ALLCLASSDATA,MATCH("SPL06-L12",CLASSFEATUREHEADERS,0),MATCH(($A1266 &amp; "Points"),CLASSNAMEHEADERS,0)))}</f>
        <v>SLOTCOST L12</v>
      </c>
      <c r="T1265" s="222" t="str">
        <f t="array" ref="T1265:T1266">{"SLOTCOST L13";(INDEX(ALLCLASSDATA,MATCH("SPL07-L13",CLASSFEATUREHEADERS,0),MATCH(($A1266 &amp; "Points"),CLASSNAMEHEADERS,0)))}</f>
        <v>SLOTCOST L13</v>
      </c>
      <c r="U1265" s="222" t="str">
        <f t="array" ref="U1265:U1266">{"SLOTCOST L14";(INDEX(ALLCLASSDATA,MATCH("SPL07-L14",CLASSFEATUREHEADERS,0),MATCH(($A1266 &amp; "Points"),CLASSNAMEHEADERS,0)))}</f>
        <v>SLOTCOST L14</v>
      </c>
      <c r="V1265" s="222" t="str">
        <f t="array" ref="V1265:V1266">{"SLOTCOST L15";(INDEX(ALLCLASSDATA,MATCH("SPL08-L15",CLASSFEATUREHEADERS,0),MATCH(($A1266 &amp; "Points"),CLASSNAMEHEADERS,0)))}</f>
        <v>SLOTCOST L15</v>
      </c>
      <c r="W1265" s="222" t="str">
        <f t="array" ref="W1265:W1266">{"SLOTCOST L16";(INDEX(ALLCLASSDATA,MATCH("SPL08-L16",CLASSFEATUREHEADERS,0),MATCH(($A1266 &amp; "Points"),CLASSNAMEHEADERS,0)))}</f>
        <v>SLOTCOST L16</v>
      </c>
      <c r="X1265" s="222" t="str">
        <f t="array" ref="X1265:X1266">{"SLOTCOST L17";(INDEX(ALLCLASSDATA,MATCH("SPL09-L17",CLASSFEATUREHEADERS,0),MATCH(($A1266 &amp; "Points"),CLASSNAMEHEADERS,0)))}</f>
        <v>SLOTCOST L17</v>
      </c>
      <c r="Y1265" s="222" t="str">
        <f t="array" ref="Y1265:Y1266">{"SLOTCOST L18";(INDEX(ALLCLASSDATA,MATCH("SPL09-L18",CLASSFEATUREHEADERS,0),MATCH(($A1266 &amp; "Points"),CLASSNAMEHEADERS,0)))}</f>
        <v>SLOTCOST L18</v>
      </c>
      <c r="Z1265" s="222" t="str">
        <f t="array" ref="Z1265:Z1266">{"SLOTCOST L19";(INDEX(ALLCLASSDATA,MATCH("SPL10-L19",CLASSFEATUREHEADERS,0),MATCH(($A1266 &amp; "Points"),CLASSNAMEHEADERS,0)))}</f>
        <v>SLOTCOST L19</v>
      </c>
      <c r="AA1265" s="222" t="str">
        <f t="array" ref="AA1265:AA1266">{"SLOTCOST L20";(INDEX(ALLCLASSDATA,MATCH("SPL10-L20",CLASSFEATUREHEADERS,0),MATCH(($A1266 &amp; "Points"),CLASSNAMEHEADERS,0)))}</f>
        <v>SLOTCOST L20</v>
      </c>
      <c r="AB1265" s="76"/>
      <c r="AC1265" s="76" t="str">
        <f t="array" ref="AC1265:AC1266">{"SLOT TOTAL";(sum(G1266:AA1266))}</f>
        <v>SLOT TOTAL</v>
      </c>
    </row>
    <row r="1266">
      <c r="A1266" s="48" t="s">
        <v>199</v>
      </c>
      <c r="B1266" s="48"/>
      <c r="C1266" s="48" t="s">
        <v>417</v>
      </c>
      <c r="D1266" s="48" t="s">
        <v>1901</v>
      </c>
      <c r="E1266" s="48" t="s">
        <v>1938</v>
      </c>
      <c r="F1266" s="278" t="s">
        <v>1904</v>
      </c>
      <c r="G1266" s="47">
        <v>0.0</v>
      </c>
      <c r="H1266" s="5">
        <v>10.0</v>
      </c>
      <c r="I1266" s="5">
        <v>10.0</v>
      </c>
      <c r="J1266" s="5">
        <v>10.0</v>
      </c>
      <c r="K1266" s="5">
        <v>10.0</v>
      </c>
      <c r="L1266" s="5" t="s">
        <v>603</v>
      </c>
      <c r="M1266" s="48" t="s">
        <v>603</v>
      </c>
      <c r="N1266" s="5">
        <v>20.0</v>
      </c>
      <c r="O1266" s="5" t="s">
        <v>603</v>
      </c>
      <c r="P1266" s="5" t="s">
        <v>603</v>
      </c>
      <c r="Q1266" s="5" t="s">
        <v>603</v>
      </c>
      <c r="R1266" s="5" t="s">
        <v>603</v>
      </c>
      <c r="S1266" s="5" t="s">
        <v>603</v>
      </c>
      <c r="T1266" s="5" t="s">
        <v>603</v>
      </c>
      <c r="U1266" s="5" t="s">
        <v>603</v>
      </c>
      <c r="V1266" s="5" t="s">
        <v>603</v>
      </c>
      <c r="W1266" s="5" t="s">
        <v>603</v>
      </c>
      <c r="X1266" s="5" t="s">
        <v>603</v>
      </c>
      <c r="Y1266" s="5" t="s">
        <v>603</v>
      </c>
      <c r="Z1266" s="5" t="s">
        <v>603</v>
      </c>
      <c r="AA1266" s="5" t="s">
        <v>603</v>
      </c>
      <c r="AB1266" s="5"/>
      <c r="AC1266" s="47">
        <v>60.0</v>
      </c>
    </row>
    <row r="1267" hidden="1">
      <c r="A1267" s="222" t="str">
        <f t="array" ref="A1267:A1268">{"FormulaRow41";(INDEX(CLASSLIST,A1186,1))}</f>
        <v>FormulaRow41</v>
      </c>
      <c r="B1267" s="77" t="s">
        <v>236</v>
      </c>
      <c r="C1267" s="222" t="str">
        <f t="array" ref="C1267:C1268">{"CLASSTYPE";((INDEX(ALLCLASSDATA,MATCH("ClassType",CLASSFEATUREHEADERS,0),MATCH($A1268,CLASSNAMEHEADERS,0))))}</f>
        <v>CLASSTYPE</v>
      </c>
      <c r="D1267" s="222" t="str">
        <f t="array" ref="D1267:D1268">{"SPELL/ALCHEMY";((IF(INDEX(ALLCLASSDATA,MATCH("CasterType",CLASSFEATUREHEADERS,0),MATCH(($A1268),CLASSNAMEHEADERS,0))="","",(IF(INDEX(ALLCLASSDATA,MATCH("CasterType",CLASSFEATUREHEADERS,0),MATCH(($A1268),CLASSNAMEHEADERS,0))="Alchemy","Alchemy","Spells")))))}</f>
        <v>SPELL/ALCHEMY</v>
      </c>
      <c r="E1267" s="222" t="str">
        <f t="array" ref="E1267:E1268">{"SPELLLIST";(IF(D1268="Spells",((INDEX(ALLCLASSDATA,MATCH("CasterType",CLASSFEATUREHEADERS,0),MATCH(($A1268),CLASSNAMEHEADERS,0))) &amp; ":" &amp; (INDEX(ALLCLASSDATA,MATCH("SpellList",CLASSFEATUREHEADERS,0),MATCH(($A1268),CLASSNAMEHEADERS,0)))),""))}</f>
        <v>SPELLLIST</v>
      </c>
      <c r="F1267" s="223" t="str">
        <f t="array" ref="F1267:F1268">{"LEARNEDCOST";(IF(D1268="","","LearnCost:"))}</f>
        <v>LEARNEDCOST</v>
      </c>
      <c r="G1267" s="223" t="str">
        <f t="array" ref="G1267:G1268">{"LEARNED CANTRIPS";(INDEX(ALLCLASSDATA,MATCH("CantripsLearned-L00",CLASSFEATUREHEADERS,0),MATCH(($A1268 &amp; "Points"),CLASSNAMEHEADERS,0)))}</f>
        <v>LEARNED CANTRIPS</v>
      </c>
      <c r="H1267" s="223" t="str">
        <f t="array" ref="H1267:H1268">{"LEARNED L01";(INDEX(ALLCLASSDATA,MATCH("Learned-L01",CLASSFEATUREHEADERS,0),MATCH(($A1268 &amp; "Points"),CLASSNAMEHEADERS,0)))}</f>
        <v>LEARNED L01</v>
      </c>
      <c r="I1267" s="223" t="str">
        <f t="array" ref="I1267:I1268">{"LEARNED L02";(INDEX(ALLCLASSDATA,MATCH("Learned-L02",CLASSFEATUREHEADERS,0),MATCH(($A1268 &amp; "Points"),CLASSNAMEHEADERS,0)))}</f>
        <v>LEARNED L02</v>
      </c>
      <c r="J1267" s="223" t="str">
        <f t="array" ref="J1267:J1268">{"LEARNED L03";(INDEX(ALLCLASSDATA,MATCH("Learned-L03",CLASSFEATUREHEADERS,0),MATCH(($A1268 &amp; "Points"),CLASSNAMEHEADERS,0)))}</f>
        <v>LEARNED L03</v>
      </c>
      <c r="K1267" s="223" t="str">
        <f t="array" ref="K1267:K1268">{"LEARNED L04";(INDEX(ALLCLASSDATA,MATCH("Learned-L04",CLASSFEATUREHEADERS,0),MATCH(($A1268 &amp; "Points"),CLASSNAMEHEADERS,0)))}</f>
        <v>LEARNED L04</v>
      </c>
      <c r="L1267" s="223" t="str">
        <f t="array" ref="L1267:L1268">{"LEARNED L05";(INDEX(ALLCLASSDATA,MATCH("Learned-L05",CLASSFEATUREHEADERS,0),MATCH(($A1268 &amp; "Points"),CLASSNAMEHEADERS,0)))}</f>
        <v>LEARNED L05</v>
      </c>
      <c r="M1267" s="223" t="str">
        <f t="array" ref="M1267:M1268">{"LEARNED L06";(INDEX(ALLCLASSDATA,MATCH("Learned-L06",CLASSFEATUREHEADERS,0),MATCH(($A1268 &amp; "Points"),CLASSNAMEHEADERS,0)))}</f>
        <v>LEARNED L06</v>
      </c>
      <c r="N1267" s="223" t="str">
        <f t="array" ref="N1267:N1268">{"LEARNED L07";(INDEX(ALLCLASSDATA,MATCH("Learned-L07",CLASSFEATUREHEADERS,0),MATCH(($A1268 &amp; "Points"),CLASSNAMEHEADERS,0)))}</f>
        <v>LEARNED L07</v>
      </c>
      <c r="O1267" s="223" t="str">
        <f t="array" ref="O1267:O1268">{"LEARNED L08";(INDEX(ALLCLASSDATA,MATCH("Learned-L08",CLASSFEATUREHEADERS,0),MATCH(($A1268 &amp; "Points"),CLASSNAMEHEADERS,0)))}</f>
        <v>LEARNED L08</v>
      </c>
      <c r="P1267" s="223" t="str">
        <f t="array" ref="P1267:P1268">{"LEARNED L09";(INDEX(ALLCLASSDATA,MATCH("Learned-L09",CLASSFEATUREHEADERS,0),MATCH(($A1268 &amp; "Points"),CLASSNAMEHEADERS,0)))}</f>
        <v>LEARNED L09</v>
      </c>
      <c r="Q1267" s="223" t="str">
        <f t="array" ref="Q1267:Q1268">{"LEARNED L10";(INDEX(ALLCLASSDATA,MATCH("Learned-L10",CLASSFEATUREHEADERS,0),MATCH(($A1268 &amp; "Points"),CLASSNAMEHEADERS,0)))}</f>
        <v>LEARNED L10</v>
      </c>
      <c r="R1267" s="223" t="str">
        <f t="array" ref="R1267:R1268">{"LEARNED L11";(INDEX(ALLCLASSDATA,MATCH("Learned-L11",CLASSFEATUREHEADERS,0),MATCH(($A1268 &amp; "Points"),CLASSNAMEHEADERS,0)))}</f>
        <v>LEARNED L11</v>
      </c>
      <c r="S1267" s="223" t="str">
        <f t="array" ref="S1267:S1268">{"LEARNED L12";(INDEX(ALLCLASSDATA,MATCH("Learned-L12",CLASSFEATUREHEADERS,0),MATCH(($A1268 &amp; "Points"),CLASSNAMEHEADERS,0)))}</f>
        <v>LEARNED L12</v>
      </c>
      <c r="T1267" s="223" t="str">
        <f t="array" ref="T1267:T1268">{"LEARNED L13";(INDEX(ALLCLASSDATA,MATCH("Learned-L13",CLASSFEATUREHEADERS,0),MATCH(($A1268 &amp; "Points"),CLASSNAMEHEADERS,0)))}</f>
        <v>LEARNED L13</v>
      </c>
      <c r="U1267" s="223" t="str">
        <f t="array" ref="U1267:U1268">{"LEARNED L14";(INDEX(ALLCLASSDATA,MATCH("Learned-L14",CLASSFEATUREHEADERS,0),MATCH(($A1268 &amp; "Points"),CLASSNAMEHEADERS,0)))}</f>
        <v>LEARNED L14</v>
      </c>
      <c r="V1267" s="223" t="str">
        <f t="array" ref="V1267:V1268">{"LEARNED L15";(INDEX(ALLCLASSDATA,MATCH("Learned-L15",CLASSFEATUREHEADERS,0),MATCH(($A1268 &amp; "Points"),CLASSNAMEHEADERS,0)))}</f>
        <v>LEARNED L15</v>
      </c>
      <c r="W1267" s="223" t="str">
        <f t="array" ref="W1267:W1268">{"LEARNED L16";(INDEX(ALLCLASSDATA,MATCH("Learned-L16",CLASSFEATUREHEADERS,0),MATCH(($A1268 &amp; "Points"),CLASSNAMEHEADERS,0)))}</f>
        <v>LEARNED L16</v>
      </c>
      <c r="X1267" s="223" t="str">
        <f t="array" ref="X1267:X1268">{"LEARNED L17";(INDEX(ALLCLASSDATA,MATCH("Learned-L17",CLASSFEATUREHEADERS,0),MATCH(($A1268 &amp; "Points"),CLASSNAMEHEADERS,0)))}</f>
        <v>LEARNED L17</v>
      </c>
      <c r="Y1267" s="223" t="str">
        <f t="array" ref="Y1267:Y1268">{"LEARNED L18";(INDEX(ALLCLASSDATA,MATCH("Learned-L18",CLASSFEATUREHEADERS,0),MATCH(($A1268 &amp; "Points"),CLASSNAMEHEADERS,0)))}</f>
        <v>LEARNED L18</v>
      </c>
      <c r="Z1267" s="223" t="str">
        <f t="array" ref="Z1267:Z1268">{"LEARNED L19";(INDEX(ALLCLASSDATA,MATCH("Learned-L19",CLASSFEATUREHEADERS,0),MATCH(($A1268 &amp; "Points"),CLASSNAMEHEADERS,0)))}</f>
        <v>LEARNED L19</v>
      </c>
      <c r="AA1267" s="223" t="str">
        <f t="array" ref="AA1267:AA1268">{"LEARNED L20";(INDEX(ALLCLASSDATA,MATCH("Learned-L20",CLASSFEATUREHEADERS,0),MATCH(($A1268 &amp; "Points"),CLASSNAMEHEADERS,0)))}</f>
        <v>LEARNED L20</v>
      </c>
      <c r="AB1267" s="76"/>
      <c r="AC1267" s="76" t="str">
        <f t="array" ref="AC1267:AC1268">{"LEARNED TOTAL";(sum(G1268:AA1268))}</f>
        <v>LEARNED TOTAL</v>
      </c>
    </row>
    <row r="1268">
      <c r="A1268" s="48" t="s">
        <v>199</v>
      </c>
      <c r="B1268" s="48"/>
      <c r="C1268" s="48" t="s">
        <v>417</v>
      </c>
      <c r="D1268" s="48" t="s">
        <v>1901</v>
      </c>
      <c r="E1268" s="48" t="s">
        <v>1938</v>
      </c>
      <c r="F1268" s="278" t="s">
        <v>1906</v>
      </c>
      <c r="G1268" s="47">
        <v>15.0</v>
      </c>
      <c r="H1268" s="5">
        <v>40.0</v>
      </c>
      <c r="I1268" s="5">
        <v>20.0</v>
      </c>
      <c r="J1268" s="5">
        <v>20.0</v>
      </c>
      <c r="K1268" s="5">
        <v>20.0</v>
      </c>
      <c r="L1268" s="5">
        <v>20.0</v>
      </c>
      <c r="M1268" s="5">
        <v>20.0</v>
      </c>
      <c r="N1268" s="48">
        <v>60.0</v>
      </c>
      <c r="O1268" s="5">
        <v>20.0</v>
      </c>
      <c r="P1268" s="5">
        <v>20.0</v>
      </c>
      <c r="Q1268" s="5">
        <v>20.0</v>
      </c>
      <c r="R1268" s="5">
        <v>40.0</v>
      </c>
      <c r="S1268" s="5">
        <v>20.0</v>
      </c>
      <c r="T1268" s="5">
        <v>40.0</v>
      </c>
      <c r="U1268" s="5">
        <v>20.0</v>
      </c>
      <c r="V1268" s="5">
        <v>20.0</v>
      </c>
      <c r="W1268" s="5">
        <v>20.0</v>
      </c>
      <c r="X1268" s="5">
        <v>20.0</v>
      </c>
      <c r="Y1268" s="5">
        <v>20.0</v>
      </c>
      <c r="Z1268" s="5">
        <v>20.0</v>
      </c>
      <c r="AA1268" s="5">
        <v>20.0</v>
      </c>
      <c r="AB1268" s="5"/>
      <c r="AC1268" s="47">
        <v>515.0</v>
      </c>
    </row>
    <row r="1269" hidden="1">
      <c r="A1269" s="222" t="str">
        <f t="array" ref="A1269:A1270">{"FormulaRow42";(INDEX(CLASSLIST,A1186,1))}</f>
        <v>FormulaRow42</v>
      </c>
      <c r="B1269" s="77" t="s">
        <v>236</v>
      </c>
      <c r="C1269" s="222" t="str">
        <f t="array" ref="C1269:C1270">{"CLASSTYPE";((INDEX(ALLCLASSDATA,MATCH("ClassType",CLASSFEATUREHEADERS,0),MATCH($A1270,CLASSNAMEHEADERS,0))))}</f>
        <v>CLASSTYPE</v>
      </c>
      <c r="D1269" s="222" t="str">
        <f t="array" ref="D1269:D1270">{"SPELL/ALCHEMY";((IF(INDEX(ALLCLASSDATA,MATCH("CasterType",CLASSFEATUREHEADERS,0),MATCH(($A1270),CLASSNAMEHEADERS,0))="","",(IF(INDEX(ALLCLASSDATA,MATCH("CasterType",CLASSFEATUREHEADERS,0),MATCH(($A1270),CLASSNAMEHEADERS,0))="Alchemy","","Spells")))))}</f>
        <v>SPELL/ALCHEMY</v>
      </c>
      <c r="E1269" s="222" t="str">
        <f t="array" ref="E1269:E1270">{"SPELLLIST";(IF(D1270="Spells",((INDEX(ALLCLASSDATA,MATCH("CasterType",CLASSFEATUREHEADERS,0),MATCH(($A1270),CLASSNAMEHEADERS,0))) &amp; ":" &amp; (INDEX(ALLCLASSDATA,MATCH("SpellList",CLASSFEATUREHEADERS,0),MATCH(($A1270),CLASSNAMEHEADERS,0)))),""))}</f>
        <v>SPELLLIST</v>
      </c>
      <c r="F1269" s="223" t="str">
        <f t="array" ref="F1269:F1270">{"SLOT/LVL";(IF(D1264="Spells","Slot/LVL:",""))}</f>
        <v>SLOT/LVL</v>
      </c>
      <c r="G1269" s="223" t="str">
        <f t="array" ref="G1269:G1270">{"CANTRIPSLOTS";(INDEX(ALLCLASSDATA,MATCH("CantripSlots-L00",CLASSFEATUREHEADERS,0),MATCH($A1270,CLASSNAMEHEADERS,0)))}</f>
        <v>CANTRIPSLOTS</v>
      </c>
      <c r="H1269" s="223" t="str">
        <f t="array" ref="H1269:H1270">{"SPL01-L01";(INDEX(ALLCLASSDATA,MATCH("SPL01-L01",CLASSFEATUREHEADERS,0),MATCH($A1270,CLASSNAMEHEADERS,0)))}</f>
        <v>SPL01-L01</v>
      </c>
      <c r="I1269" s="223" t="str">
        <f t="array" ref="I1269:I1270">{"SPL01-L02";(INDEX(ALLCLASSDATA,MATCH("SPL01-L02",CLASSFEATUREHEADERS,0),MATCH($A1270,CLASSNAMEHEADERS,0)))}</f>
        <v>SPL01-L02</v>
      </c>
      <c r="J1269" s="223" t="str">
        <f t="array" ref="J1269:J1270">{"SPL02-L03";(INDEX(ALLCLASSDATA,MATCH("SPL02-L03",CLASSFEATUREHEADERS,0),MATCH($A1270,CLASSNAMEHEADERS,0)))}</f>
        <v>SPL02-L03</v>
      </c>
      <c r="K1269" s="223" t="str">
        <f t="array" ref="K1269:K1270">{"SPL02-L04";(INDEX(ALLCLASSDATA,MATCH("SPL02-L04",CLASSFEATUREHEADERS,0),MATCH($A1270,CLASSNAMEHEADERS,0)))}</f>
        <v>SPL02-L04</v>
      </c>
      <c r="L1269" s="223" t="str">
        <f t="array" ref="L1269:L1270">{"SPL03-L05";(INDEX(ALLCLASSDATA,MATCH("SPL03-L05",CLASSFEATUREHEADERS,0),MATCH($A1270,CLASSNAMEHEADERS,0)))}</f>
        <v>SPL03-L05</v>
      </c>
      <c r="M1269" s="223" t="str">
        <f t="array" ref="M1269:M1270">{"SPL03-L06";(INDEX(ALLCLASSDATA,MATCH("SPL03-L06",CLASSFEATUREHEADERS,0),MATCH($A1270,CLASSNAMEHEADERS,0)))}</f>
        <v>SPL03-L06</v>
      </c>
      <c r="N1269" s="223" t="str">
        <f t="array" ref="N1269:N1270">{"SPL04-L07";(INDEX(ALLCLASSDATA,MATCH("SPL04-L07",CLASSFEATUREHEADERS,0),MATCH($A1270,CLASSNAMEHEADERS,0)))}</f>
        <v>SPL04-L07</v>
      </c>
      <c r="O1269" s="223" t="str">
        <f t="array" ref="O1269:O1270">{"SPL04-L08";(INDEX(ALLCLASSDATA,MATCH("SPL04-L08",CLASSFEATUREHEADERS,0),MATCH($A1270,CLASSNAMEHEADERS,0)))}</f>
        <v>SPL04-L08</v>
      </c>
      <c r="P1269" s="223" t="str">
        <f t="array" ref="P1269:P1270">{"SPL05-L09";(INDEX(ALLCLASSDATA,MATCH("SPL05-L09",CLASSFEATUREHEADERS,0),MATCH($A1270,CLASSNAMEHEADERS,0)))}</f>
        <v>SPL05-L09</v>
      </c>
      <c r="Q1269" s="223" t="str">
        <f t="array" ref="Q1269:Q1270">{"SPL05-L10";(INDEX(ALLCLASSDATA,MATCH("SPL05-L10",CLASSFEATUREHEADERS,0),MATCH($A1270,CLASSNAMEHEADERS,0)))}</f>
        <v>SPL05-L10</v>
      </c>
      <c r="R1269" s="223" t="str">
        <f t="array" ref="R1269:R1270">{"SPL06-L11";(INDEX(ALLCLASSDATA,MATCH("SPL06-L11",CLASSFEATUREHEADERS,0),MATCH($A1270,CLASSNAMEHEADERS,0)))}</f>
        <v>SPL06-L11</v>
      </c>
      <c r="S1269" s="223" t="str">
        <f t="array" ref="S1269:S1270">{"SPL06-L12";(INDEX(ALLCLASSDATA,MATCH("SPL06-L12",CLASSFEATUREHEADERS,0),MATCH($A1270,CLASSNAMEHEADERS,0)))}</f>
        <v>SPL06-L12</v>
      </c>
      <c r="T1269" s="223" t="str">
        <f t="array" ref="T1269:T1270">{"SPL07-L13";(INDEX(ALLCLASSDATA,MATCH("SPL07-L13",CLASSFEATUREHEADERS,0),MATCH($A1270,CLASSNAMEHEADERS,0)))}</f>
        <v>SPL07-L13</v>
      </c>
      <c r="U1269" s="223" t="str">
        <f t="array" ref="U1269:U1270">{"SPL07-L14";(INDEX(ALLCLASSDATA,MATCH("SPL07-L14",CLASSFEATUREHEADERS,0),MATCH($A1270,CLASSNAMEHEADERS,0)))}</f>
        <v>SPL07-L14</v>
      </c>
      <c r="V1269" s="223" t="str">
        <f t="array" ref="V1269:V1270">{"SPL08-L15";(INDEX(ALLCLASSDATA,MATCH("SPL08-L15",CLASSFEATUREHEADERS,0),MATCH($A1270,CLASSNAMEHEADERS,0)))}</f>
        <v>SPL08-L15</v>
      </c>
      <c r="W1269" s="223" t="str">
        <f t="array" ref="W1269:W1270">{"SPL08-L16";(INDEX(ALLCLASSDATA,MATCH("SPL08-L16",CLASSFEATUREHEADERS,0),MATCH($A1270,CLASSNAMEHEADERS,0)))}</f>
        <v>SPL08-L16</v>
      </c>
      <c r="X1269" s="223" t="str">
        <f t="array" ref="X1269:X1270">{"SPL09-L17";(INDEX(ALLCLASSDATA,MATCH("SPL09-L17",CLASSFEATUREHEADERS,0),MATCH($A1270,CLASSNAMEHEADERS,0)))}</f>
        <v>SPL09-L17</v>
      </c>
      <c r="Y1269" s="223" t="str">
        <f t="array" ref="Y1269:Y1270">{"SPL09-L18";(INDEX(ALLCLASSDATA,MATCH("SPL09-L18",CLASSFEATUREHEADERS,0),MATCH($A1270,CLASSNAMEHEADERS,0)))}</f>
        <v>SPL09-L18</v>
      </c>
      <c r="Z1269" s="223" t="str">
        <f t="array" ref="Z1269:Z1270">{"SPL10-L19";(INDEX(ALLCLASSDATA,MATCH("SPL10-L19",CLASSFEATUREHEADERS,0),MATCH($A1270,CLASSNAMEHEADERS,0)))}</f>
        <v>SPL10-L19</v>
      </c>
      <c r="AA1269" s="223" t="str">
        <f t="array" ref="AA1269:AA1270">{"SPL10-L20";(INDEX(ALLCLASSDATA,MATCH("SPL10-L20",CLASSFEATUREHEADERS,0),MATCH($A1270,CLASSNAMEHEADERS,0)))}</f>
        <v>SPL10-L20</v>
      </c>
      <c r="AB1269" s="76"/>
      <c r="AC1269" s="76"/>
    </row>
    <row r="1270">
      <c r="A1270" s="48" t="s">
        <v>199</v>
      </c>
      <c r="B1270" s="48"/>
      <c r="C1270" s="48" t="s">
        <v>417</v>
      </c>
      <c r="D1270" s="48" t="s">
        <v>1901</v>
      </c>
      <c r="E1270" s="48" t="s">
        <v>1938</v>
      </c>
      <c r="F1270" s="278" t="s">
        <v>1907</v>
      </c>
      <c r="G1270" s="280" t="s">
        <v>1530</v>
      </c>
      <c r="H1270" s="50" t="s">
        <v>1537</v>
      </c>
      <c r="I1270" s="50" t="s">
        <v>1537</v>
      </c>
      <c r="J1270" s="50" t="s">
        <v>1537</v>
      </c>
      <c r="K1270" s="50" t="s">
        <v>1537</v>
      </c>
      <c r="L1270" s="50"/>
      <c r="M1270" s="50"/>
      <c r="N1270" s="50" t="s">
        <v>1538</v>
      </c>
      <c r="O1270" s="50"/>
      <c r="P1270" s="50"/>
      <c r="Q1270" s="50"/>
      <c r="R1270" s="50"/>
      <c r="S1270" s="50"/>
      <c r="T1270" s="50"/>
      <c r="U1270" s="50"/>
      <c r="V1270" s="50"/>
      <c r="W1270" s="50"/>
      <c r="X1270" s="50"/>
      <c r="Y1270" s="50"/>
      <c r="Z1270" s="50"/>
      <c r="AA1270" s="50"/>
      <c r="AB1270" s="278"/>
      <c r="AC1270" s="47"/>
    </row>
    <row r="1271" hidden="1">
      <c r="A1271" s="222" t="str">
        <f t="array" ref="A1271:A1272">{"FormulaRow43";(INDEX(CLASSLIST,A1186,1))}</f>
        <v>FormulaRow43</v>
      </c>
      <c r="B1271" s="77" t="s">
        <v>236</v>
      </c>
      <c r="C1271" s="222" t="str">
        <f t="array" ref="C1271:C1272">{"CLASSTYPE";((INDEX(ALLCLASSDATA,MATCH("ClassType",CLASSFEATUREHEADERS,0),MATCH($A1272,CLASSNAMEHEADERS,0))))}</f>
        <v>CLASSTYPE</v>
      </c>
      <c r="D1271" s="222" t="str">
        <f t="array" ref="D1271:D1272">{"SPELL/ALCHEMY";((IF(INDEX(ALLCLASSDATA,MATCH("CasterType",CLASSFEATUREHEADERS,0),MATCH(($A1272),CLASSNAMEHEADERS,0))="","",(IF(INDEX(ALLCLASSDATA,MATCH("CasterType",CLASSFEATUREHEADERS,0),MATCH(($A1272),CLASSNAMEHEADERS,0))="Alchemy","Alchemy","Spells")))))}</f>
        <v>SPELL/ALCHEMY</v>
      </c>
      <c r="E1271" s="222" t="str">
        <f t="array" ref="E1271:E1272">{"SPELLLIST";(IF(D1272="Spells",((INDEX(ALLCLASSDATA,MATCH("CasterType",CLASSFEATUREHEADERS,0),MATCH(($A1272),CLASSNAMEHEADERS,0))) &amp; ":" &amp; (INDEX(ALLCLASSDATA,MATCH("SpellList",CLASSFEATUREHEADERS,0),MATCH(($A1272),CLASSNAMEHEADERS,0)))),""))}</f>
        <v>SPELLLIST</v>
      </c>
      <c r="F1271" s="223" t="str">
        <f t="array" ref="F1271:F1272">{"LEARNED/LVL";(IF(D1272="","","Learn/LVL:"))}</f>
        <v>LEARNED/LVL</v>
      </c>
      <c r="G1271" s="223" t="str">
        <f t="array" ref="G1271:G1272">{"LEARNEDCANTRIPS";(INDEX(ALLCLASSDATA,MATCH("CantripsLearned-L00",CLASSFEATUREHEADERS,0),MATCH($A1272,CLASSNAMEHEADERS,0)))}</f>
        <v>LEARNEDCANTRIPS</v>
      </c>
      <c r="H1271" s="223" t="str">
        <f t="array" ref="H1271:H1272">{"LEARNED L01";(INDEX(ALLCLASSDATA,MATCH("Learned-L01",CLASSFEATUREHEADERS,0),MATCH($A1272,CLASSNAMEHEADERS,0)))}</f>
        <v>LEARNED L01</v>
      </c>
      <c r="I1271" s="223" t="str">
        <f t="array" ref="I1271:I1272">{"LEARNED L02";(INDEX(ALLCLASSDATA,MATCH("Learned-L02",CLASSFEATUREHEADERS,0),MATCH($A1272,CLASSNAMEHEADERS,0)))}</f>
        <v>LEARNED L02</v>
      </c>
      <c r="J1271" s="223" t="str">
        <f t="array" ref="J1271:J1272">{"LEARNED L03";(INDEX(ALLCLASSDATA,MATCH("Learned-L03",CLASSFEATUREHEADERS,0),MATCH($A1272,CLASSNAMEHEADERS,0)))}</f>
        <v>LEARNED L03</v>
      </c>
      <c r="K1271" s="223" t="str">
        <f t="array" ref="K1271:K1272">{"LEARNED L04";(INDEX(ALLCLASSDATA,MATCH("Learned-L04",CLASSFEATUREHEADERS,0),MATCH($A1272,CLASSNAMEHEADERS,0)))}</f>
        <v>LEARNED L04</v>
      </c>
      <c r="L1271" s="223" t="str">
        <f t="array" ref="L1271:L1272">{"LEARNED L05";(INDEX(ALLCLASSDATA,MATCH("Learned-L05",CLASSFEATUREHEADERS,0),MATCH($A1272,CLASSNAMEHEADERS,0)))}</f>
        <v>LEARNED L05</v>
      </c>
      <c r="M1271" s="223" t="str">
        <f t="array" ref="M1271:M1272">{"LEARNED L06";(INDEX(ALLCLASSDATA,MATCH("Learned-L06",CLASSFEATUREHEADERS,0),MATCH($A1272,CLASSNAMEHEADERS,0)))}</f>
        <v>LEARNED L06</v>
      </c>
      <c r="N1271" s="223" t="str">
        <f t="array" ref="N1271:N1272">{"LEARNED L07";(INDEX(ALLCLASSDATA,MATCH("Learned-L07",CLASSFEATUREHEADERS,0),MATCH($A1272,CLASSNAMEHEADERS,0)))}</f>
        <v>LEARNED L07</v>
      </c>
      <c r="O1271" s="223" t="str">
        <f t="array" ref="O1271:O1272">{"LEARNED L08";(INDEX(ALLCLASSDATA,MATCH("Learned-L08",CLASSFEATUREHEADERS,0),MATCH($A1272,CLASSNAMEHEADERS,0)))}</f>
        <v>LEARNED L08</v>
      </c>
      <c r="P1271" s="223" t="str">
        <f t="array" ref="P1271:P1272">{"LEARNED L09";(INDEX(ALLCLASSDATA,MATCH("Learned-L09",CLASSFEATUREHEADERS,0),MATCH($A1272,CLASSNAMEHEADERS,0)))}</f>
        <v>LEARNED L09</v>
      </c>
      <c r="Q1271" s="223" t="str">
        <f t="array" ref="Q1271:Q1272">{"LEARNED L10";(INDEX(ALLCLASSDATA,MATCH("Learned-L10",CLASSFEATUREHEADERS,0),MATCH($A1272,CLASSNAMEHEADERS,0)))}</f>
        <v>LEARNED L10</v>
      </c>
      <c r="R1271" s="223" t="str">
        <f t="array" ref="R1271:R1272">{"LEARNED L11";(INDEX(ALLCLASSDATA,MATCH("Learned-L11",CLASSFEATUREHEADERS,0),MATCH($A1272,CLASSNAMEHEADERS,0)))}</f>
        <v>LEARNED L11</v>
      </c>
      <c r="S1271" s="223" t="str">
        <f t="array" ref="S1271:S1272">{"LEARNED L12";(INDEX(ALLCLASSDATA,MATCH("Learned-L12",CLASSFEATUREHEADERS,0),MATCH($A1272,CLASSNAMEHEADERS,0)))}</f>
        <v>LEARNED L12</v>
      </c>
      <c r="T1271" s="223" t="str">
        <f t="array" ref="T1271:T1272">{"LEARNED L13";(INDEX(ALLCLASSDATA,MATCH("Learned-L13",CLASSFEATUREHEADERS,0),MATCH($A1272,CLASSNAMEHEADERS,0)))}</f>
        <v>LEARNED L13</v>
      </c>
      <c r="U1271" s="223" t="str">
        <f t="array" ref="U1271:U1272">{"LEARNED L14";(INDEX(ALLCLASSDATA,MATCH("Learned-L14",CLASSFEATUREHEADERS,0),MATCH($A1272,CLASSNAMEHEADERS,0)))}</f>
        <v>LEARNED L14</v>
      </c>
      <c r="V1271" s="223" t="str">
        <f t="array" ref="V1271:V1272">{"LEARNED L15";(INDEX(ALLCLASSDATA,MATCH("Learned-L15",CLASSFEATUREHEADERS,0),MATCH($A1272,CLASSNAMEHEADERS,0)))}</f>
        <v>LEARNED L15</v>
      </c>
      <c r="W1271" s="223" t="str">
        <f t="array" ref="W1271:W1272">{"LEARNED L16";(INDEX(ALLCLASSDATA,MATCH("Learned-L16",CLASSFEATUREHEADERS,0),MATCH($A1272,CLASSNAMEHEADERS,0)))}</f>
        <v>LEARNED L16</v>
      </c>
      <c r="X1271" s="223" t="str">
        <f t="array" ref="X1271:X1272">{"LEARNED L17";(INDEX(ALLCLASSDATA,MATCH("Learned-L17",CLASSFEATUREHEADERS,0),MATCH($A1272,CLASSNAMEHEADERS,0)))}</f>
        <v>LEARNED L17</v>
      </c>
      <c r="Y1271" s="223" t="str">
        <f t="array" ref="Y1271:Y1272">{"LEARNED L18";(INDEX(ALLCLASSDATA,MATCH("Learned-L18",CLASSFEATUREHEADERS,0),MATCH($A1272,CLASSNAMEHEADERS,0)))}</f>
        <v>LEARNED L18</v>
      </c>
      <c r="Z1271" s="223" t="str">
        <f t="array" ref="Z1271:Z1272">{"LEARNED L19";(INDEX(ALLCLASSDATA,MATCH("Learned-L19",CLASSFEATUREHEADERS,0),MATCH($A1272,CLASSNAMEHEADERS,0)))}</f>
        <v>LEARNED L19</v>
      </c>
      <c r="AA1271" s="223" t="str">
        <f t="array" ref="AA1271:AA1272">{"LEARNED L20";(INDEX(ALLCLASSDATA,MATCH("Learned-L20",CLASSFEATUREHEADERS,0),MATCH($A1272,CLASSNAMEHEADERS,0)))}</f>
        <v>LEARNED L20</v>
      </c>
      <c r="AB1271" s="76"/>
      <c r="AC1271" s="76"/>
    </row>
    <row r="1272">
      <c r="A1272" s="48" t="s">
        <v>199</v>
      </c>
      <c r="B1272" s="48"/>
      <c r="C1272" s="48" t="s">
        <v>417</v>
      </c>
      <c r="D1272" s="48" t="s">
        <v>1901</v>
      </c>
      <c r="E1272" s="48" t="s">
        <v>1938</v>
      </c>
      <c r="F1272" s="278" t="s">
        <v>1909</v>
      </c>
      <c r="G1272" s="280" t="s">
        <v>1532</v>
      </c>
      <c r="H1272" s="278" t="s">
        <v>1573</v>
      </c>
      <c r="I1272" s="278" t="s">
        <v>1538</v>
      </c>
      <c r="J1272" s="278" t="s">
        <v>1538</v>
      </c>
      <c r="K1272" s="278" t="s">
        <v>1538</v>
      </c>
      <c r="L1272" s="278" t="s">
        <v>1538</v>
      </c>
      <c r="M1272" s="278" t="s">
        <v>1538</v>
      </c>
      <c r="N1272" s="278" t="s">
        <v>1533</v>
      </c>
      <c r="O1272" s="50" t="s">
        <v>1538</v>
      </c>
      <c r="P1272" s="278" t="s">
        <v>1538</v>
      </c>
      <c r="Q1272" s="278" t="s">
        <v>1538</v>
      </c>
      <c r="R1272" s="278" t="s">
        <v>1573</v>
      </c>
      <c r="S1272" s="278" t="s">
        <v>1538</v>
      </c>
      <c r="T1272" s="278" t="s">
        <v>1573</v>
      </c>
      <c r="U1272" s="278" t="s">
        <v>1538</v>
      </c>
      <c r="V1272" s="278" t="s">
        <v>1538</v>
      </c>
      <c r="W1272" s="278" t="s">
        <v>1538</v>
      </c>
      <c r="X1272" s="278" t="s">
        <v>1538</v>
      </c>
      <c r="Y1272" s="278" t="s">
        <v>1538</v>
      </c>
      <c r="Z1272" s="278" t="s">
        <v>1538</v>
      </c>
      <c r="AA1272" s="278" t="s">
        <v>1538</v>
      </c>
      <c r="AB1272" s="278"/>
      <c r="AC1272" s="47"/>
    </row>
    <row r="1273" hidden="1">
      <c r="A1273" s="222" t="str">
        <f t="array" ref="A1273:A1274">{"FormulaRow44";(INDEX(CLASSLIST,A1186,1))}</f>
        <v>FormulaRow44</v>
      </c>
      <c r="B1273" s="77" t="s">
        <v>236</v>
      </c>
      <c r="C1273" s="222" t="str">
        <f t="array" ref="C1273:C1274">{"CLASSTYPE";((INDEX(ALLCLASSDATA,MATCH("ClassType",CLASSFEATUREHEADERS,0),MATCH($A1274,CLASSNAMEHEADERS,0))))}</f>
        <v>CLASSTYPE</v>
      </c>
      <c r="D1273" s="222" t="str">
        <f t="array" ref="D1273:D1274">{"SPELL/ALCHEMY";((IF(INDEX(ALLCLASSDATA,MATCH("CasterType",CLASSFEATUREHEADERS,0),MATCH(($A1274),CLASSNAMEHEADERS,0))="","",(IF(INDEX(ALLCLASSDATA,MATCH("CasterType",CLASSFEATUREHEADERS,0),MATCH(($A1274),CLASSNAMEHEADERS,0))="Alchemy","","Spells")))))}</f>
        <v>SPELL/ALCHEMY</v>
      </c>
      <c r="E1273" s="222" t="str">
        <f t="array" ref="E1273:E1274">{"SPELLLIST";(IF(D1274="Spells",((INDEX(ALLCLASSDATA,MATCH("CasterType",CLASSFEATUREHEADERS,0),MATCH(($A1274),CLASSNAMEHEADERS,0))) &amp; ":" &amp; (INDEX(ALLCLASSDATA,MATCH("SpellList",CLASSFEATUREHEADERS,0),MATCH(($A1274),CLASSNAMEHEADERS,0)))),""))}</f>
        <v>SPELLLIST</v>
      </c>
      <c r="F1273" s="223" t="str">
        <f t="array" ref="F1273:F1274">{"TOTALSLOTS";(IF(D1274="","","TotalSlots:"))}</f>
        <v>TOTALSLOTS</v>
      </c>
      <c r="G1273" s="223" t="str">
        <f t="array" ref="G1273:G1274">{"TOTALCANTRIPSLOTS";(G1270)}</f>
        <v>TOTALCANTRIPSLOTS</v>
      </c>
      <c r="H1273" s="223" t="str">
        <f t="array" ref="H1273:H1274">{"TOTALSLOTS L01";(H1270)}</f>
        <v>TOTALSLOTS L01</v>
      </c>
      <c r="I1273" s="223" t="str">
        <f t="array" ref="I1273:I1274">{"TOTALSLOTS L02";(H1274+I1270)}</f>
        <v>TOTALSLOTS L02</v>
      </c>
      <c r="J1273" s="223" t="str">
        <f t="array" ref="J1273:J1274">{"TOTALSLOTS L03";(I1274+J1270)}</f>
        <v>TOTALSLOTS L03</v>
      </c>
      <c r="K1273" s="223" t="str">
        <f t="array" ref="K1273:K1274">{"TOTALSLOTS L04";(J1274+K1270)}</f>
        <v>TOTALSLOTS L04</v>
      </c>
      <c r="L1273" s="223" t="str">
        <f t="array" ref="L1273:L1274">{"TOTALSLOTS L05";(K1274+L1270)}</f>
        <v>TOTALSLOTS L05</v>
      </c>
      <c r="M1273" s="223" t="str">
        <f t="array" ref="M1273:M1274">{"TOTALSLOTS L06";(L1274+M1270)}</f>
        <v>TOTALSLOTS L06</v>
      </c>
      <c r="N1273" s="223" t="str">
        <f t="array" ref="N1273:N1274">{"TOTALSLOTS L07";(M1274+N1270)}</f>
        <v>TOTALSLOTS L07</v>
      </c>
      <c r="O1273" s="223" t="str">
        <f t="array" ref="O1273:O1274">{"TOTALSLOTS L08";(N1274+O1270)}</f>
        <v>TOTALSLOTS L08</v>
      </c>
      <c r="P1273" s="223" t="str">
        <f t="array" ref="P1273:P1274">{"TOTALSLOTS L09";(O1274+P1270)}</f>
        <v>TOTALSLOTS L09</v>
      </c>
      <c r="Q1273" s="223" t="str">
        <f t="array" ref="Q1273:Q1274">{"TOTALSLOTS L10";(P1274+Q1270)}</f>
        <v>TOTALSLOTS L10</v>
      </c>
      <c r="R1273" s="223" t="str">
        <f t="array" ref="R1273:R1274">{"TOTALSLOTS L11";(Q1274+R1270)}</f>
        <v>TOTALSLOTS L11</v>
      </c>
      <c r="S1273" s="223" t="str">
        <f t="array" ref="S1273:S1274">{"TOTALSLOTS L12";(R1274+S1270)}</f>
        <v>TOTALSLOTS L12</v>
      </c>
      <c r="T1273" s="223" t="str">
        <f t="array" ref="T1273:T1274">{"TOTALSLOTS L13";(S1274+T1270)}</f>
        <v>TOTALSLOTS L13</v>
      </c>
      <c r="U1273" s="223" t="str">
        <f t="array" ref="U1273:U1274">{"TOTALSLOTS L14";(T1274+U1270)}</f>
        <v>TOTALSLOTS L14</v>
      </c>
      <c r="V1273" s="223" t="str">
        <f t="array" ref="V1273:V1274">{"TOTALSLOTS L15";(U1274+V1270)}</f>
        <v>TOTALSLOTS L15</v>
      </c>
      <c r="W1273" s="223" t="str">
        <f t="array" ref="W1273:W1274">{"TOTALSLOTS L16";(V1274+W1270)}</f>
        <v>TOTALSLOTS L16</v>
      </c>
      <c r="X1273" s="223" t="str">
        <f t="array" ref="X1273:X1274">{"TOTALSLOTS L17";(W1274+X1270)}</f>
        <v>TOTALSLOTS L17</v>
      </c>
      <c r="Y1273" s="223" t="str">
        <f t="array" ref="Y1273:Y1274">{"TOTALSLOTS L18";(X1274+Y1270)}</f>
        <v>TOTALSLOTS L18</v>
      </c>
      <c r="Z1273" s="223" t="str">
        <f t="array" ref="Z1273:Z1274">{"TOTALSLOTS L19";(Y1274+Z1270)}</f>
        <v>TOTALSLOTS L19</v>
      </c>
      <c r="AA1273" s="223" t="str">
        <f t="array" ref="AA1273:AA1274">{"TOTALSLOTS L20";(Z1274+AA1270)}</f>
        <v>TOTALSLOTS L20</v>
      </c>
      <c r="AB1273" s="76"/>
      <c r="AC1273" s="76"/>
    </row>
    <row r="1274">
      <c r="A1274" s="48" t="s">
        <v>199</v>
      </c>
      <c r="B1274" s="48"/>
      <c r="C1274" s="48" t="s">
        <v>417</v>
      </c>
      <c r="D1274" s="48" t="s">
        <v>1901</v>
      </c>
      <c r="E1274" s="48" t="s">
        <v>1938</v>
      </c>
      <c r="F1274" s="278" t="s">
        <v>1910</v>
      </c>
      <c r="G1274" s="280" t="s">
        <v>1530</v>
      </c>
      <c r="H1274" s="278" t="s">
        <v>1537</v>
      </c>
      <c r="I1274" s="278">
        <v>2.0</v>
      </c>
      <c r="J1274" s="278">
        <v>3.0</v>
      </c>
      <c r="K1274" s="278">
        <v>4.0</v>
      </c>
      <c r="L1274" s="278">
        <v>4.0</v>
      </c>
      <c r="M1274" s="278">
        <v>4.0</v>
      </c>
      <c r="N1274" s="278">
        <v>6.0</v>
      </c>
      <c r="O1274" s="278">
        <v>6.0</v>
      </c>
      <c r="P1274" s="278">
        <v>6.0</v>
      </c>
      <c r="Q1274" s="278">
        <v>6.0</v>
      </c>
      <c r="R1274" s="278">
        <v>6.0</v>
      </c>
      <c r="S1274" s="278">
        <v>6.0</v>
      </c>
      <c r="T1274" s="278">
        <v>6.0</v>
      </c>
      <c r="U1274" s="278">
        <v>6.0</v>
      </c>
      <c r="V1274" s="278">
        <v>6.0</v>
      </c>
      <c r="W1274" s="278">
        <v>6.0</v>
      </c>
      <c r="X1274" s="278">
        <v>6.0</v>
      </c>
      <c r="Y1274" s="278">
        <v>6.0</v>
      </c>
      <c r="Z1274" s="278">
        <v>6.0</v>
      </c>
      <c r="AA1274" s="278">
        <v>6.0</v>
      </c>
      <c r="AB1274" s="5"/>
      <c r="AC1274" s="47"/>
    </row>
    <row r="1275" hidden="1">
      <c r="A1275" s="222" t="str">
        <f t="array" ref="A1275:A1276">{"FormulaRow45";(INDEX(CLASSLIST,A1186,1))}</f>
        <v>FormulaRow45</v>
      </c>
      <c r="B1275" s="77" t="s">
        <v>236</v>
      </c>
      <c r="C1275" s="222" t="str">
        <f t="array" ref="C1275:C1276">{"CLASSTYPE";((INDEX(ALLCLASSDATA,MATCH("ClassType",CLASSFEATUREHEADERS,0),MATCH($A1276,CLASSNAMEHEADERS,0))))}</f>
        <v>CLASSTYPE</v>
      </c>
      <c r="D1275" s="222" t="str">
        <f t="array" ref="D1275:D1276">{"SPELL/ALCHEMY";((IF(INDEX(ALLCLASSDATA,MATCH("CasterType",CLASSFEATUREHEADERS,0),MATCH(($A1276),CLASSNAMEHEADERS,0))="","",(IF(INDEX(ALLCLASSDATA,MATCH("CasterType",CLASSFEATUREHEADERS,0),MATCH(($A1276),CLASSNAMEHEADERS,0))="Alchemy","Alchemy","Spells")))))}</f>
        <v>SPELL/ALCHEMY</v>
      </c>
      <c r="E1275" s="222" t="str">
        <f t="array" ref="E1275:E1276">{"SPELLLIST";(IF(D1276="Spells",((INDEX(ALLCLASSDATA,MATCH("CasterType",CLASSFEATUREHEADERS,0),MATCH(($A1276),CLASSNAMEHEADERS,0))) &amp; ":" &amp; (INDEX(ALLCLASSDATA,MATCH("SpellList",CLASSFEATUREHEADERS,0),MATCH(($A1276),CLASSNAMEHEADERS,0)))),""))}</f>
        <v>SPELLLIST</v>
      </c>
      <c r="F1275" s="223" t="str">
        <f t="array" ref="F1275:F1276">{"TOTALLEARNED";(IF(D1276="","","TotalLearned:"))}</f>
        <v>TOTALLEARNED</v>
      </c>
      <c r="G1275" s="223" t="str">
        <f t="array" ref="G1275:G1276">{"TOTALCANTRIPSLEARNED";(G1272)}</f>
        <v>TOTALCANTRIPSLEARNED</v>
      </c>
      <c r="H1275" s="223" t="str">
        <f t="array" ref="H1275:H1276">{"TOTALLEARNED L01";(H1272)}</f>
        <v>TOTALLEARNED L01</v>
      </c>
      <c r="I1275" s="223" t="str">
        <f t="array" ref="I1275:I1276">{"TOTALLEARNED L02";(H1276+I1272)}</f>
        <v>TOTALLEARNED L02</v>
      </c>
      <c r="J1275" s="223" t="str">
        <f t="array" ref="J1275:J1276">{"TOTALLEARNED L03";(I1276+J1272)}</f>
        <v>TOTALLEARNED L03</v>
      </c>
      <c r="K1275" s="223" t="str">
        <f t="array" ref="K1275:K1276">{"TOTALLEARNED L04";(J1276+K1272)}</f>
        <v>TOTALLEARNED L04</v>
      </c>
      <c r="L1275" s="223" t="str">
        <f t="array" ref="L1275:L1276">{"TOTALLEARNED L05";(K1276+L1272)}</f>
        <v>TOTALLEARNED L05</v>
      </c>
      <c r="M1275" s="223" t="str">
        <f t="array" ref="M1275:M1276">{"TOTALLEARNED L06";(L1276+M1272)}</f>
        <v>TOTALLEARNED L06</v>
      </c>
      <c r="N1275" s="223" t="str">
        <f t="array" ref="N1275:N1276">{"TOTALLEARNED L07";(M1276+N1272)}</f>
        <v>TOTALLEARNED L07</v>
      </c>
      <c r="O1275" s="223" t="str">
        <f t="array" ref="O1275:O1276">{"TOTALLEARNED L08";(N1276+O1272)}</f>
        <v>TOTALLEARNED L08</v>
      </c>
      <c r="P1275" s="223" t="str">
        <f t="array" ref="P1275:P1276">{"TOTALLEARNED L09";(O1276+P1272)}</f>
        <v>TOTALLEARNED L09</v>
      </c>
      <c r="Q1275" s="223" t="str">
        <f t="array" ref="Q1275:Q1276">{"TOTALLEARNED L10";(P1276+Q1272)}</f>
        <v>TOTALLEARNED L10</v>
      </c>
      <c r="R1275" s="223" t="str">
        <f t="array" ref="R1275:R1276">{"TOTALLEARNED L11";(Q1276+R1272)}</f>
        <v>TOTALLEARNED L11</v>
      </c>
      <c r="S1275" s="223" t="str">
        <f t="array" ref="S1275:S1276">{"TOTALLEARNED L12";(R1276+S1272)}</f>
        <v>TOTALLEARNED L12</v>
      </c>
      <c r="T1275" s="223" t="str">
        <f t="array" ref="T1275:T1276">{"TOTALLEARNED L13";(S1276+T1272)}</f>
        <v>TOTALLEARNED L13</v>
      </c>
      <c r="U1275" s="223" t="str">
        <f t="array" ref="U1275:U1276">{"TOTALLEARNED L14";(T1276+U1272)}</f>
        <v>TOTALLEARNED L14</v>
      </c>
      <c r="V1275" s="223" t="str">
        <f t="array" ref="V1275:V1276">{"TOTALLEARNED L15";(U1276+V1272)}</f>
        <v>TOTALLEARNED L15</v>
      </c>
      <c r="W1275" s="223" t="str">
        <f t="array" ref="W1275:W1276">{"TOTALLEARNED L16";(V1276+W1272)}</f>
        <v>TOTALLEARNED L16</v>
      </c>
      <c r="X1275" s="223" t="str">
        <f t="array" ref="X1275:X1276">{"TOTALLEARNED L17";(W1276+X1272)}</f>
        <v>TOTALLEARNED L17</v>
      </c>
      <c r="Y1275" s="223" t="str">
        <f t="array" ref="Y1275:Y1276">{"TOTALLEARNED L18";(X1276+Y1272)}</f>
        <v>TOTALLEARNED L18</v>
      </c>
      <c r="Z1275" s="223" t="str">
        <f t="array" ref="Z1275:Z1276">{"TOTALLEARNED L19";(Y1276+Z1272)}</f>
        <v>TOTALLEARNED L19</v>
      </c>
      <c r="AA1275" s="223" t="str">
        <f t="array" ref="AA1275:AA1276">{"TOTALLEARNED L20";(Z1276+AA1272)}</f>
        <v>TOTALLEARNED L20</v>
      </c>
      <c r="AB1275" s="76"/>
      <c r="AC1275" s="76"/>
    </row>
    <row r="1276">
      <c r="A1276" s="97" t="s">
        <v>199</v>
      </c>
      <c r="B1276" s="97"/>
      <c r="C1276" s="97" t="s">
        <v>417</v>
      </c>
      <c r="D1276" s="97" t="s">
        <v>1901</v>
      </c>
      <c r="E1276" s="97" t="s">
        <v>1938</v>
      </c>
      <c r="F1276" s="281" t="s">
        <v>1911</v>
      </c>
      <c r="G1276" s="282" t="s">
        <v>1532</v>
      </c>
      <c r="H1276" s="278" t="s">
        <v>1573</v>
      </c>
      <c r="I1276" s="278">
        <v>6.0</v>
      </c>
      <c r="J1276" s="278">
        <v>8.0</v>
      </c>
      <c r="K1276" s="278">
        <v>10.0</v>
      </c>
      <c r="L1276" s="278">
        <v>12.0</v>
      </c>
      <c r="M1276" s="278">
        <v>14.0</v>
      </c>
      <c r="N1276" s="278">
        <v>20.0</v>
      </c>
      <c r="O1276" s="278">
        <v>22.0</v>
      </c>
      <c r="P1276" s="278">
        <v>24.0</v>
      </c>
      <c r="Q1276" s="278">
        <v>26.0</v>
      </c>
      <c r="R1276" s="278">
        <v>30.0</v>
      </c>
      <c r="S1276" s="278">
        <v>32.0</v>
      </c>
      <c r="T1276" s="278">
        <v>36.0</v>
      </c>
      <c r="U1276" s="278">
        <v>38.0</v>
      </c>
      <c r="V1276" s="278">
        <v>40.0</v>
      </c>
      <c r="W1276" s="278">
        <v>42.0</v>
      </c>
      <c r="X1276" s="278">
        <v>44.0</v>
      </c>
      <c r="Y1276" s="278">
        <v>46.0</v>
      </c>
      <c r="Z1276" s="278">
        <v>48.0</v>
      </c>
      <c r="AA1276" s="278">
        <v>50.0</v>
      </c>
      <c r="AB1276" s="5"/>
      <c r="AC1276" s="47"/>
    </row>
    <row r="1277">
      <c r="A1277" s="55">
        <f>VLOOKUP($C1277, CLASSNUMBERFINDER, 2, false)</f>
        <v>15</v>
      </c>
      <c r="B1277" s="58"/>
      <c r="C1277" s="70" t="s">
        <v>211</v>
      </c>
      <c r="D1277" s="71"/>
      <c r="E1277" s="71"/>
      <c r="F1277" s="71"/>
      <c r="G1277" s="72"/>
      <c r="H1277" s="71"/>
      <c r="I1277" s="71"/>
      <c r="J1277" s="71"/>
      <c r="K1277" s="71"/>
      <c r="L1277" s="71"/>
      <c r="M1277" s="71"/>
      <c r="N1277" s="71"/>
      <c r="O1277" s="71"/>
      <c r="P1277" s="71"/>
      <c r="Q1277" s="71"/>
      <c r="R1277" s="71"/>
      <c r="S1277" s="71"/>
      <c r="T1277" s="71"/>
      <c r="U1277" s="71"/>
      <c r="V1277" s="71"/>
      <c r="W1277" s="71"/>
      <c r="X1277" s="71"/>
      <c r="Y1277" s="71"/>
      <c r="Z1277" s="71"/>
      <c r="AA1277" s="71"/>
      <c r="AB1277" s="71"/>
      <c r="AC1277" s="73"/>
    </row>
    <row r="1278" hidden="1">
      <c r="A1278" s="76" t="str">
        <f t="array" ref="A1278:A1279">{"FormulaRow01";(INDEX(CLASSLIST,A1277,1))}</f>
        <v>FormulaRow01</v>
      </c>
      <c r="B1278" s="77" t="s">
        <v>236</v>
      </c>
      <c r="C1278" s="76" t="str">
        <f t="array" ref="C1278:C1279">{"CLASSTYPE";(INDEX(ALLCLASSDATA,MATCH("ClassType",CLASSFEATUREHEADERS,0),MATCH($A1279,CLASSNAMEHEADERS,0)))}</f>
        <v>CLASSTYPE</v>
      </c>
      <c r="D1278" s="81" t="str">
        <f t="array" ref="D1278:D1279">{"TOTAL";("Total: " &amp; H1279+J1279+L1279+N1279+P1279+R1279+T1279+V1279+X1279+Z1279)}</f>
        <v>TOTAL</v>
      </c>
      <c r="E1278" s="81" t="str">
        <f t="array" ref="E1278:E1279">{"BALANCE";(IF((H1279+J1279+L1279+N1279+P1279+R1279+T1279+V1279+X1279+Z1279)=2100,"(balanced)",(IF((H1279+J1279+L1279+N1279+P1279+R1279+T1279+V1279+X1279+Z1279)&gt;2100,"OVERBUDGET: ","UNDERBUDGET: ")) &amp; (H1279+J1279+L1279+N1279+P1279+R1279+T1279+V1279+X1279+Z1279-2100)))}</f>
        <v>BALANCE</v>
      </c>
      <c r="F1278" s="81"/>
      <c r="G1278" s="81"/>
      <c r="H1278" s="81" t="str">
        <f t="array" ref="H1278:H1279">{"SUM LVL0/1/2";((SUMIF(F1280:I1359,"&lt;&gt;#REF!")+(SUMIF(J1280:AA1287,"&lt;&gt;#REF!"))))}</f>
        <v>SUM LVL0/1/2</v>
      </c>
      <c r="I1278" s="81"/>
      <c r="J1278" s="81" t="str">
        <f t="array" ref="J1278:J1279">{"SUM LVL3/4";(SUMIF(J1288:K1359,"&lt;&gt;#REF!"))}</f>
        <v>SUM LVL3/4</v>
      </c>
      <c r="K1278" s="81"/>
      <c r="L1278" s="81" t="str">
        <f t="array" ref="L1278:L1279">{"SUM LVL5/6";(SUMIF(L1288:M1359,"&lt;&gt;#REF!"))}</f>
        <v>SUM LVL5/6</v>
      </c>
      <c r="M1278" s="81"/>
      <c r="N1278" s="81" t="str">
        <f t="array" ref="N1278:N1279">{"SUM LVL7/8";(SUMIF(N1288:O1359,"&lt;&gt;#REF!"))}</f>
        <v>SUM LVL7/8</v>
      </c>
      <c r="O1278" s="81"/>
      <c r="P1278" s="81" t="str">
        <f t="array" ref="P1278:P1279">{"SUM LVL9/10";(SUMIF(P1288:Q1359,"&lt;&gt;#REF!"))}</f>
        <v>SUM LVL9/10</v>
      </c>
      <c r="Q1278" s="81"/>
      <c r="R1278" s="81" t="str">
        <f t="array" ref="R1278:R1279">{"SUM LVL11/12";(SUMIF(R1288:S1359,"&lt;&gt;#REF!"))}</f>
        <v>SUM LVL11/12</v>
      </c>
      <c r="S1278" s="81"/>
      <c r="T1278" s="81" t="str">
        <f t="array" ref="T1278:T1279">{"SUM LVL13/14";(SUMIF(T1288:U1359,"&lt;&gt;#REF!"))}</f>
        <v>SUM LVL13/14</v>
      </c>
      <c r="U1278" s="81"/>
      <c r="V1278" s="81" t="str">
        <f t="array" ref="V1278:V1279">{"SUM LVL15/16";(SUMIF(V1288:W1359,"&lt;&gt;#REF!"))}</f>
        <v>SUM LVL15/16</v>
      </c>
      <c r="W1278" s="81"/>
      <c r="X1278" s="81" t="str">
        <f t="array" ref="X1278:X1279">{"SUM LVL17/18";(SUMIF(X1288:Y1359,"&lt;&gt;#REF!"))}</f>
        <v>SUM LVL17/18</v>
      </c>
      <c r="Y1278" s="81"/>
      <c r="Z1278" s="81" t="str">
        <f t="array" ref="Z1278:Z1279">{"SUM LVL19/20";(SUMIF(Z1288:AA1359,"&lt;&gt;#REF!"))}</f>
        <v>SUM LVL19/20</v>
      </c>
      <c r="AA1278" s="81"/>
      <c r="AB1278" s="76"/>
      <c r="AC1278" s="76" t="str">
        <f t="array" ref="AC1278:AC1279">{"SUM ROWTOTALS";(SUMIF(AC1281:AC1367,"&lt;&gt;#REF!"))}</f>
        <v>SUM ROWTOTALS</v>
      </c>
    </row>
    <row r="1279">
      <c r="A1279" s="48" t="s">
        <v>211</v>
      </c>
      <c r="B1279" s="48"/>
      <c r="C1279" s="48" t="s">
        <v>417</v>
      </c>
      <c r="D1279" s="91" t="s">
        <v>1939</v>
      </c>
      <c r="E1279" s="92" t="s">
        <v>1940</v>
      </c>
      <c r="F1279" s="91"/>
      <c r="G1279" s="93"/>
      <c r="H1279" s="92">
        <v>430.0</v>
      </c>
      <c r="I1279" s="92"/>
      <c r="J1279" s="92">
        <v>100.0</v>
      </c>
      <c r="K1279" s="92"/>
      <c r="L1279" s="92">
        <v>140.0</v>
      </c>
      <c r="M1279" s="92"/>
      <c r="N1279" s="92">
        <v>190.0</v>
      </c>
      <c r="O1279" s="92"/>
      <c r="P1279" s="92">
        <v>200.0</v>
      </c>
      <c r="Q1279" s="92"/>
      <c r="R1279" s="92">
        <v>190.0</v>
      </c>
      <c r="S1279" s="92"/>
      <c r="T1279" s="92">
        <v>210.0</v>
      </c>
      <c r="U1279" s="92"/>
      <c r="V1279" s="92">
        <v>200.0</v>
      </c>
      <c r="W1279" s="92"/>
      <c r="X1279" s="92">
        <v>90.0</v>
      </c>
      <c r="Y1279" s="92"/>
      <c r="Z1279" s="92">
        <v>300.0</v>
      </c>
      <c r="AA1279" s="92"/>
      <c r="AB1279" s="5"/>
      <c r="AC1279" s="47">
        <v>2050.0</v>
      </c>
    </row>
    <row r="1280" hidden="1">
      <c r="A1280" s="76" t="str">
        <f t="array" ref="A1280:A1281">{"FormulaRow02";(INDEX(CLASSLIST,A1277,1))}</f>
        <v>FormulaRow02</v>
      </c>
      <c r="B1280" s="77" t="s">
        <v>236</v>
      </c>
      <c r="C1280" s="76" t="str">
        <f t="array" ref="C1280:C1281">{"CLASSTYPE";((INDEX(ALLCLASSDATA,MATCH("ClassType",CLASSFEATUREHEADERS,0),MATCH($A1281,CLASSNAMEHEADERS,0))))}</f>
        <v>CLASSTYPE</v>
      </c>
      <c r="D1280" s="81" t="str">
        <f t="array" ref="D1280:D1281">{"FEATURES";"Features"}</f>
        <v>FEATURES</v>
      </c>
      <c r="E1280" s="81" t="str">
        <f t="array" ref="E1280:E1281">{"INITIALFEATURES";"Initial Features"}</f>
        <v>INITIALFEATURES</v>
      </c>
      <c r="F1280" s="81" t="str">
        <f t="array" ref="F1280:F1281">{"KEY";"Key"}</f>
        <v>KEY</v>
      </c>
      <c r="G1280" s="81" t="str">
        <f t="array" ref="G1280:G1281">{"HP";"HP"}</f>
        <v>HP</v>
      </c>
      <c r="H1280" s="81" t="str">
        <f t="array" ref="H1280:H1281">{"CLASSFEATL01";"ClassFeatL01"}</f>
        <v>CLASSFEATL01</v>
      </c>
      <c r="I1280" s="81" t="str">
        <f t="array" ref="I1280:I1281">{"SHIELDBLOCKL01";"ShieldBlockL01"}</f>
        <v>SHIELDBLOCKL01</v>
      </c>
      <c r="J1280" s="81" t="str">
        <f t="array" ref="J1280:J1281">{"INITIALSKILLS";"InitialSkills"}</f>
        <v>INITIALSKILLS</v>
      </c>
      <c r="K1280" s="81" t="str">
        <f t="array" ref="K1280:K1281">{"SUBCLASSSKILLS";"SubclassSkills"}</f>
        <v>SUBCLASSSKILLS</v>
      </c>
      <c r="L1280" s="81" t="str">
        <f t="array" ref="L1280:L1281">{"GRANTEDSKILLS";"GrantedSkills"}</f>
        <v>GRANTEDSKILLS</v>
      </c>
      <c r="M1280" s="81"/>
      <c r="N1280" s="81"/>
      <c r="O1280" s="81"/>
      <c r="P1280" s="81" t="str">
        <f t="array" ref="P1280:P1281">{"FOCUSSPELLS";"FocusSpells:"}</f>
        <v>FOCUSSPELLS</v>
      </c>
      <c r="Q1280" s="81" t="str">
        <f t="array" ref="Q1280:Q1281">{"FOCUSSPELL1-L00";((INDEX(ALLCLASSDATA,MATCH("FocusSpell1-L00",CLASSFEATUREHEADERS,0),MATCH(($A1281),CLASSNAMEHEADERS,0))))}</f>
        <v>FOCUSSPELL1-L00</v>
      </c>
      <c r="R1280" s="81" t="str">
        <f t="array" ref="R1280:R1281">{"FOCUSSPELL2-L00";((INDEX(ALLCLASSDATA,MATCH("FocusSpell2-L00",CLASSFEATUREHEADERS,0),MATCH(($A1281),CLASSNAMEHEADERS,0))))}</f>
        <v>FOCUSSPELL2-L00</v>
      </c>
      <c r="S1280" s="81" t="str">
        <f t="array" ref="S1280:S1281">{"FOCUSSPELL3-L00";((INDEX(ALLCLASSDATA,MATCH("FocusSpell3-L00",CLASSFEATUREHEADERS,0),MATCH(($A1281),CLASSNAMEHEADERS,0))))}</f>
        <v>FOCUSSPELL3-L00</v>
      </c>
      <c r="T1280" s="81" t="str">
        <f t="array" ref="T1280:T1281">{"FOCUSSPELL4-L00";((INDEX(ALLCLASSDATA,MATCH("FocusSpell4-L00",CLASSFEATUREHEADERS,0),MATCH(($A1281),CLASSNAMEHEADERS,0))))}</f>
        <v>FOCUSSPELL4-L00</v>
      </c>
      <c r="U1280" s="81" t="str">
        <f t="array" ref="U1280:U1281">{"FOCUSSPELL5-L00";((INDEX(ALLCLASSDATA,MATCH("FocusSpell5-L00",CLASSFEATUREHEADERS,0),MATCH(($A1281),CLASSNAMEHEADERS,0))))}</f>
        <v>FOCUSSPELL5-L00</v>
      </c>
      <c r="V1280" s="81"/>
      <c r="W1280" s="81"/>
      <c r="X1280" s="81"/>
      <c r="Y1280" s="81"/>
      <c r="Z1280" s="81"/>
      <c r="AA1280" s="81"/>
      <c r="AB1280" s="76"/>
      <c r="AC1280" s="76"/>
    </row>
    <row r="1281">
      <c r="A1281" s="48" t="s">
        <v>211</v>
      </c>
      <c r="B1281" s="48"/>
      <c r="C1281" s="48" t="s">
        <v>417</v>
      </c>
      <c r="D1281" s="48" t="s">
        <v>467</v>
      </c>
      <c r="E1281" s="48" t="s">
        <v>468</v>
      </c>
      <c r="F1281" s="48" t="s">
        <v>469</v>
      </c>
      <c r="G1281" s="114" t="s">
        <v>15</v>
      </c>
      <c r="H1281" s="8" t="s">
        <v>451</v>
      </c>
      <c r="I1281" s="8" t="s">
        <v>463</v>
      </c>
      <c r="J1281" s="8" t="s">
        <v>473</v>
      </c>
      <c r="K1281" s="8" t="s">
        <v>474</v>
      </c>
      <c r="L1281" s="8" t="s">
        <v>475</v>
      </c>
      <c r="M1281" s="8"/>
      <c r="N1281" s="8"/>
      <c r="O1281" s="8"/>
      <c r="P1281" s="8" t="s">
        <v>476</v>
      </c>
      <c r="Q1281" s="116"/>
      <c r="R1281" s="116"/>
      <c r="S1281" s="116"/>
      <c r="T1281" s="116"/>
      <c r="U1281" s="116"/>
      <c r="V1281" s="8"/>
      <c r="W1281" s="8"/>
      <c r="X1281" s="8"/>
      <c r="Y1281" s="8"/>
      <c r="Z1281" s="5"/>
      <c r="AA1281" s="5"/>
      <c r="AB1281" s="5"/>
      <c r="AC1281" s="47"/>
    </row>
    <row r="1282" hidden="1">
      <c r="A1282" s="76" t="str">
        <f t="array" ref="A1282:A1283">{"FormulaRow03";(INDEX(CLASSLIST,A1277,1))}</f>
        <v>FormulaRow03</v>
      </c>
      <c r="B1282" s="77" t="s">
        <v>236</v>
      </c>
      <c r="C1282" s="76" t="str">
        <f t="array" ref="C1282:C1283">{"CLASSTYPE";((INDEX(ALLCLASSDATA,MATCH("ClassType",CLASSFEATUREHEADERS,0),MATCH($A1283,CLASSNAMEHEADERS,0))))}</f>
        <v>CLASSTYPE</v>
      </c>
      <c r="D1282" s="76" t="str">
        <f t="array" ref="D1282:D1283">{"FEATUREPTS";"FeaturesPts"}</f>
        <v>FEATUREPTS</v>
      </c>
      <c r="E1282" s="76" t="str">
        <f t="array" ref="E1282:E1283">{"INITIALFEATURES";"Initial Features"}</f>
        <v>INITIALFEATURES</v>
      </c>
      <c r="F1282" s="76" t="str">
        <f t="array" ref="F1282:F1283">{"KEYABILITY";((INDEX(ALLCLASSDATA,MATCH("KEYABILITY",CLASSFEATUREHEADERS,0),MATCH($A1283,CLASSNAMEHEADERS,0))))}</f>
        <v>KEYABILITY</v>
      </c>
      <c r="G1282" s="76" t="str">
        <f t="array" ref="G1282:G1283">{"HP";((INDEX(ALLCLASSDATA,MATCH("HP",CLASSFEATUREHEADERS,0),MATCH(($A1283 &amp; "Points"),CLASSNAMEHEADERS,0))))}</f>
        <v>HP</v>
      </c>
      <c r="H1282" s="76" t="str">
        <f t="array" ref="H1282:H1283">{"CLASSFEATL01";((INDEX(ALLCLASSDATA,MATCH("ClassFeatL01",CLASSFEATUREHEADERS,0),MATCH(($A1283 &amp; "Points"),CLASSNAMEHEADERS,0))))}</f>
        <v>CLASSFEATL01</v>
      </c>
      <c r="I1282" s="76" t="str">
        <f t="array" ref="I1282:I1283">{"SHIELDBLOCKL01";((INDEX(ALLCLASSDATA,MATCH("ShieldBlockL01",CLASSFEATUREHEADERS,0),MATCH(($A1283 &amp; "Points"),CLASSNAMEHEADERS,0))))}</f>
        <v>SHIELDBLOCKL01</v>
      </c>
      <c r="J1282" s="76" t="str">
        <f t="array" ref="J1282:J1283">{"INITIALSKILLINCREASES";((INDEX(ALLCLASSDATA,MATCH("InitialSkillIncreases",CLASSFEATUREHEADERS,0),MATCH(($A1283 &amp; "Points"),CLASSNAMEHEADERS,0))))}</f>
        <v>INITIALSKILLINCREASES</v>
      </c>
      <c r="K1282" s="76" t="str">
        <f t="array" ref="K1282:K1283">{"SUBCLASSSKILLINCREASES";((INDEX(ALLCLASSDATA,MATCH("SubclassSkillIncreases",CLASSFEATUREHEADERS,0),MATCH(($A1283 &amp; "Points"),CLASSNAMEHEADERS,0))))}</f>
        <v>SUBCLASSSKILLINCREASES</v>
      </c>
      <c r="L1282" s="76" t="str">
        <f t="array" ref="L1282:L1283">{"GRANTEDSKILLS";(((INDEX(ALLCLASSDATA,MATCH("SkillsGrantedTotal",CLASSFEATUREHEADERS,0),MATCH(($A1283 &amp; "Points"),CLASSNAMEHEADERS,0)))-(INDEX(ALLCLASSDATA,MATCH("InitialSkillIncreases",CLASSFEATUREHEADERS,0),MATCH(($A1283 &amp; "Points"),CLASSNAMEHEADERS,0)))-(INDEX(ALLCLASSDATA,MATCH("SubclassSkillIncreases",CLASSFEATUREHEADERS,0),MATCH(($A1283 &amp; "Points"),CLASSNAMEHEADERS,0)))))}</f>
        <v>GRANTEDSKILLS</v>
      </c>
      <c r="M1282" s="76"/>
      <c r="N1282" s="76"/>
      <c r="O1282" s="76"/>
      <c r="P1282" s="76"/>
      <c r="Q1282" s="76" t="str">
        <f t="array" ref="Q1282:Q1283">{"FOCUSSPELL1-L00";((INDEX(ALLCLASSDATA,MATCH("FocusSpell1-L00",CLASSFEATUREHEADERS,0),MATCH(($A1283 &amp; "Points"),CLASSNAMEHEADERS,0))))}</f>
        <v>FOCUSSPELL1-L00</v>
      </c>
      <c r="R1282" s="76" t="str">
        <f t="array" ref="R1282:R1283">{"FOCUSSPELL2-L00";((INDEX(ALLCLASSDATA,MATCH("FocusSpell2-L00",CLASSFEATUREHEADERS,0),MATCH(($A1283 &amp; "Points"),CLASSNAMEHEADERS,0))))}</f>
        <v>FOCUSSPELL2-L00</v>
      </c>
      <c r="S1282" s="76" t="str">
        <f t="array" ref="S1282:S1283">{"FOCUSSPELL3-L00";((INDEX(ALLCLASSDATA,MATCH("FocusSpell3-L00",CLASSFEATUREHEADERS,0),MATCH(($A1283 &amp; "Points"),CLASSNAMEHEADERS,0))))}</f>
        <v>FOCUSSPELL3-L00</v>
      </c>
      <c r="T1282" s="76" t="str">
        <f t="array" ref="T1282:T1283">{"FOCUSSPELL4-L00";((INDEX(ALLCLASSDATA,MATCH("FocusSpell4-L00",CLASSFEATUREHEADERS,0),MATCH(($A1283 &amp; "Points"),CLASSNAMEHEADERS,0))))}</f>
        <v>FOCUSSPELL4-L00</v>
      </c>
      <c r="U1282" s="76" t="str">
        <f t="array" ref="U1282:U1283">{"FOCUSSPELL5-L00";((INDEX(ALLCLASSDATA,MATCH("FocusSpell5-L00",CLASSFEATUREHEADERS,0),MATCH(($A1283 &amp; "Points"),CLASSNAMEHEADERS,0))))}</f>
        <v>FOCUSSPELL5-L00</v>
      </c>
      <c r="V1282" s="76"/>
      <c r="W1282" s="76"/>
      <c r="X1282" s="76"/>
      <c r="Y1282" s="76"/>
      <c r="Z1282" s="76"/>
      <c r="AA1282" s="76"/>
      <c r="AB1282" s="76"/>
      <c r="AC1282" s="76" t="str">
        <f t="array" ref="AC1282:AC1283">{"FEATUREPTS TOTAL";(sum(G1283:AA1283))}</f>
        <v>FEATUREPTS TOTAL</v>
      </c>
    </row>
    <row r="1283">
      <c r="A1283" s="48" t="s">
        <v>211</v>
      </c>
      <c r="B1283" s="48"/>
      <c r="C1283" s="48" t="s">
        <v>417</v>
      </c>
      <c r="D1283" s="97" t="s">
        <v>559</v>
      </c>
      <c r="E1283" s="97" t="s">
        <v>468</v>
      </c>
      <c r="F1283" s="97" t="s">
        <v>263</v>
      </c>
      <c r="G1283" s="132">
        <v>80.0</v>
      </c>
      <c r="H1283" s="98" t="s">
        <v>603</v>
      </c>
      <c r="I1283" s="98">
        <v>10.0</v>
      </c>
      <c r="J1283" s="98">
        <v>10.0</v>
      </c>
      <c r="K1283" s="98">
        <v>5.0</v>
      </c>
      <c r="L1283" s="98">
        <v>5.0</v>
      </c>
      <c r="M1283" s="98"/>
      <c r="N1283" s="98"/>
      <c r="O1283" s="98"/>
      <c r="P1283" s="98"/>
      <c r="Q1283" s="98"/>
      <c r="R1283" s="98"/>
      <c r="S1283" s="98"/>
      <c r="T1283" s="98"/>
      <c r="U1283" s="98"/>
      <c r="V1283" s="98"/>
      <c r="W1283" s="98"/>
      <c r="X1283" s="98"/>
      <c r="Y1283" s="98"/>
      <c r="Z1283" s="98"/>
      <c r="AA1283" s="98"/>
      <c r="AB1283" s="5"/>
      <c r="AC1283" s="47">
        <v>110.0</v>
      </c>
    </row>
    <row r="1284" hidden="1">
      <c r="A1284" s="76" t="str">
        <f t="array" ref="A1284:A1285">{"FormulaRow04";(INDEX(CLASSLIST,A1277,1))}</f>
        <v>FormulaRow04</v>
      </c>
      <c r="B1284" s="77" t="s">
        <v>236</v>
      </c>
      <c r="C1284" s="76" t="str">
        <f t="array" ref="C1284:C1285">{"CLASSTYPE";((INDEX(ALLCLASSDATA,MATCH("ClassType",CLASSFEATUREHEADERS,0),MATCH($A1285,CLASSNAMEHEADERS,0))))}</f>
        <v>CLASSTYPE</v>
      </c>
      <c r="D1284" s="81" t="str">
        <f t="array" ref="D1284:D1285">{"INITIALFEATURES";"InitialFeatures"}</f>
        <v>INITIALFEATURES</v>
      </c>
      <c r="E1284" s="81" t="str">
        <f t="array" ref="E1284:E1285">{"CLASS/SUBCLASSFEATURES";"Class/Subclass Features"}</f>
        <v>CLASS/SUBCLASSFEATURES</v>
      </c>
      <c r="F1284" s="81"/>
      <c r="G1284" s="136"/>
      <c r="H1284" s="81" t="str">
        <f t="array" ref="H1284:H1285">{"CLASSINITIALABILITY1-L00";((INDEX(ALLCLASSDATA,MATCH("ClassInitialAbility1-L00",CLASSFEATUREHEADERS,0),MATCH(($A1285),CLASSNAMEHEADERS,0))))}</f>
        <v>CLASSINITIALABILITY1-L00</v>
      </c>
      <c r="I1284" s="81" t="str">
        <f t="array" ref="I1284:I1285">{"CLASSINITIALABILITY2-L00";((INDEX(ALLCLASSDATA,MATCH("ClassInitialAbility2-L00",CLASSFEATUREHEADERS,0),MATCH(($A1285),CLASSNAMEHEADERS,0))))}</f>
        <v>CLASSINITIALABILITY2-L00</v>
      </c>
      <c r="J1284" s="81" t="str">
        <f t="array" ref="J1284:J1285">{"CLASSINITIALABILITY3-L00";((INDEX(ALLCLASSDATA,MATCH("ClassInitialAbility3-L00",CLASSFEATUREHEADERS,0),MATCH(($A1285),CLASSNAMEHEADERS,0))))}</f>
        <v>CLASSINITIALABILITY3-L00</v>
      </c>
      <c r="K1284" s="81" t="str">
        <f t="array" ref="K1284:K1285">{"CLASSINITIALABILITY4-L00";((INDEX(ALLCLASSDATA,MATCH("ClassInitialAbility4-L00",CLASSFEATUREHEADERS,0),MATCH(($A1285),CLASSNAMEHEADERS,0))))}</f>
        <v>CLASSINITIALABILITY4-L00</v>
      </c>
      <c r="L1284" s="81" t="str">
        <f t="array" ref="L1284:L1285">{"CLASSINITIALABILITY5-L00";((INDEX(ALLCLASSDATA,MATCH("ClassInitialAbility5-L00",CLASSFEATUREHEADERS,0),MATCH(($A1285),CLASSNAMEHEADERS,0))))}</f>
        <v>CLASSINITIALABILITY5-L00</v>
      </c>
      <c r="M1284" s="81" t="str">
        <f t="array" ref="M1284:M1285">{"CLASSINITIALABILITY6-L00";((INDEX(ALLCLASSDATA,MATCH("ClassInitialAbility6-L00",CLASSFEATUREHEADERS,0),MATCH(($A1285),CLASSNAMEHEADERS,0))))}</f>
        <v>CLASSINITIALABILITY6-L00</v>
      </c>
      <c r="N1284" s="81" t="str">
        <f t="array" ref="N1284:N1285">{"CLASSINITIALABILITY7-L00";((INDEX(ALLCLASSDATA,MATCH("ClassInitialAbility7-L00",CLASSFEATUREHEADERS,0),MATCH(($A1285),CLASSNAMEHEADERS,0))))}</f>
        <v>CLASSINITIALABILITY7-L00</v>
      </c>
      <c r="O1284" s="81" t="str">
        <f t="array" ref="O1284:O1285">{"CLASSINITIALABILITY8-L00";((INDEX(ALLCLASSDATA,MATCH("ClassInitialAbility8-L00",CLASSFEATUREHEADERS,0),MATCH(($A1285),CLASSNAMEHEADERS,0))))}</f>
        <v>CLASSINITIALABILITY8-L00</v>
      </c>
      <c r="P1284" s="81" t="str">
        <f t="array" ref="P1284:P1285">{"CLASSINITIALABILITY9-L00";((INDEX(ALLCLASSDATA,MATCH("ClassInitialAbility9-L00",CLASSFEATUREHEADERS,0),MATCH(($A1285),CLASSNAMEHEADERS,0))))}</f>
        <v>CLASSINITIALABILITY9-L00</v>
      </c>
      <c r="Q1284" s="81" t="str">
        <f t="array" ref="Q1284:Q1285">{"CLASSINITIALABILITY10-L00";((INDEX(ALLCLASSDATA,MATCH("ClassInitialAbility10-L00",CLASSFEATUREHEADERS,0),MATCH(($A1285),CLASSNAMEHEADERS,0))))}</f>
        <v>CLASSINITIALABILITY10-L00</v>
      </c>
      <c r="R1284" s="81" t="str">
        <f t="array" ref="R1284:R1285">{"SUBCLASSINITIAL1-L00";((INDEX(ALLCLASSDATA,MATCH("SubclassInitial1-L00",CLASSFEATUREHEADERS,0),MATCH(($A1285),CLASSNAMEHEADERS,0))))}</f>
        <v>SUBCLASSINITIAL1-L00</v>
      </c>
      <c r="S1284" s="81" t="str">
        <f t="array" ref="S1284:S1285">{"SUBCLASSINITIAL2-L00";((INDEX(ALLCLASSDATA,MATCH("SubclassInitial2-L00",CLASSFEATUREHEADERS,0),MATCH(($A1285),CLASSNAMEHEADERS,0))))}</f>
        <v>SUBCLASSINITIAL2-L00</v>
      </c>
      <c r="T1284" s="81" t="str">
        <f t="array" ref="T1284:T1285">{"SUBCLASSINITIAL3-L00";((INDEX(ALLCLASSDATA,MATCH("SubclassInitial3-L00",CLASSFEATUREHEADERS,0),MATCH(($A1285),CLASSNAMEHEADERS,0))))}</f>
        <v>SUBCLASSINITIAL3-L00</v>
      </c>
      <c r="U1284" s="81" t="str">
        <f t="array" ref="U1284:U1285">{"SUBCLASSINITIAL4-L00";((INDEX(ALLCLASSDATA,MATCH("SubclassInitial4-L00",CLASSFEATUREHEADERS,0),MATCH(($A1285),CLASSNAMEHEADERS,0))))}</f>
        <v>SUBCLASSINITIAL4-L00</v>
      </c>
      <c r="V1284" s="81" t="str">
        <f t="array" ref="V1284:V1285">{"SUBCLASSINITIAL5-L00";((INDEX(ALLCLASSDATA,MATCH("SubclassInitial5-L00",CLASSFEATUREHEADERS,0),MATCH(($A1285),CLASSNAMEHEADERS,0))))}</f>
        <v>SUBCLASSINITIAL5-L00</v>
      </c>
      <c r="W1284" s="81" t="str">
        <f t="array" ref="W1284:W1285">{"SUBCLASSINITIAL6-L00";((INDEX(ALLCLASSDATA,MATCH("SubclassInitial6-L00",CLASSFEATUREHEADERS,0),MATCH(($A1285),CLASSNAMEHEADERS,0))))}</f>
        <v>SUBCLASSINITIAL6-L00</v>
      </c>
      <c r="X1284" s="81" t="str">
        <f t="array" ref="X1284:X1285">{"SUBCLASSINITIAL7-L00";((INDEX(ALLCLASSDATA,MATCH("SubclassInitial7-L00",CLASSFEATUREHEADERS,0),MATCH(($A1285),CLASSNAMEHEADERS,0))))}</f>
        <v>SUBCLASSINITIAL7-L00</v>
      </c>
      <c r="Y1284" s="81" t="str">
        <f t="array" ref="Y1284:Y1285">{"SUBCLASSINITIAL8-L00";((INDEX(ALLCLASSDATA,MATCH("SubclassInitial8-L00",CLASSFEATUREHEADERS,0),MATCH(($A1285),CLASSNAMEHEADERS,0))))}</f>
        <v>SUBCLASSINITIAL8-L00</v>
      </c>
      <c r="Z1284" s="81" t="str">
        <f t="array" ref="Z1284:Z1285">{"SUBCLASSINITIAL9-L00";((INDEX(ALLCLASSDATA,MATCH("SubclassInitial9-L00",CLASSFEATUREHEADERS,0),MATCH(($A1285),CLASSNAMEHEADERS,0))))}</f>
        <v>SUBCLASSINITIAL9-L00</v>
      </c>
      <c r="AA1284" s="81" t="str">
        <f t="array" ref="AA1284:AA1285">{"SUBCLASSINITIAL10-L00";((INDEX(ALLCLASSDATA,MATCH("SubclassInitial10-L00",CLASSFEATUREHEADERS,0),MATCH(($A1285),CLASSNAMEHEADERS,0))))}</f>
        <v>SUBCLASSINITIAL10-L00</v>
      </c>
      <c r="AB1284" s="76"/>
      <c r="AC1284" s="76"/>
    </row>
    <row r="1285">
      <c r="A1285" s="48" t="s">
        <v>211</v>
      </c>
      <c r="B1285" s="48"/>
      <c r="C1285" s="48" t="s">
        <v>417</v>
      </c>
      <c r="D1285" s="48" t="s">
        <v>614</v>
      </c>
      <c r="E1285" s="48" t="s">
        <v>616</v>
      </c>
      <c r="F1285" s="48"/>
      <c r="G1285" s="47"/>
      <c r="H1285" s="5" t="s">
        <v>642</v>
      </c>
      <c r="I1285" s="5" t="s">
        <v>643</v>
      </c>
      <c r="J1285" s="5" t="s">
        <v>644</v>
      </c>
      <c r="K1285" s="5" t="s">
        <v>645</v>
      </c>
      <c r="L1285" s="5" t="s">
        <v>646</v>
      </c>
      <c r="M1285" s="5"/>
      <c r="N1285" s="5"/>
      <c r="O1285" s="5"/>
      <c r="P1285" s="5"/>
      <c r="Q1285" s="5"/>
      <c r="R1285" s="5" t="s">
        <v>648</v>
      </c>
      <c r="S1285" s="5"/>
      <c r="T1285" s="5"/>
      <c r="U1285" s="5"/>
      <c r="V1285" s="5"/>
      <c r="W1285" s="5"/>
      <c r="X1285" s="5"/>
      <c r="Y1285" s="5"/>
      <c r="Z1285" s="5"/>
      <c r="AA1285" s="5"/>
      <c r="AB1285" s="5"/>
      <c r="AC1285" s="47"/>
    </row>
    <row r="1286" hidden="1">
      <c r="A1286" s="76" t="str">
        <f t="array" ref="A1286:A1287">{"FormulaRow05";(INDEX(CLASSLIST,A1277,1))}</f>
        <v>FormulaRow05</v>
      </c>
      <c r="B1286" s="77" t="s">
        <v>236</v>
      </c>
      <c r="C1286" s="76" t="str">
        <f t="array" ref="C1286:C1287">{"CLASSTYPE";((INDEX(ALLCLASSDATA,MATCH("ClassType",CLASSFEATUREHEADERS,0),MATCH($A1287,CLASSNAMEHEADERS,0))))}</f>
        <v>CLASSTYPE</v>
      </c>
      <c r="D1286" s="76" t="str">
        <f t="array" ref="D1286:D1287">{"INITIALFEATURESPTS";"InitialFeaturesPts"}</f>
        <v>INITIALFEATURESPTS</v>
      </c>
      <c r="E1286" s="76" t="str">
        <f t="array" ref="E1286:E1287">{"CLASS/SUBCLASSFEATURES";"Class/Subclass Features"}</f>
        <v>CLASS/SUBCLASSFEATURES</v>
      </c>
      <c r="F1286" s="76"/>
      <c r="G1286" s="76"/>
      <c r="H1286" s="76" t="str">
        <f t="array" ref="H1286:H1287">{"CLASSINITIALABILITY1-L00PTS";((INDEX(ALLCLASSDATA,MATCH("ClassInitialAbility1-L00",CLASSFEATUREHEADERS,0),MATCH(($A1287 &amp; "Points"),CLASSNAMEHEADERS,0))))}</f>
        <v>CLASSINITIALABILITY1-L00PTS</v>
      </c>
      <c r="I1286" s="76" t="str">
        <f t="array" ref="I1286:I1287">{"CLASSINITIALABILITY2-L00PTS";((INDEX(ALLCLASSDATA,MATCH("ClassInitialAbility2-L00",CLASSFEATUREHEADERS,0),MATCH(($A1287 &amp; "Points"),CLASSNAMEHEADERS,0))))}</f>
        <v>CLASSINITIALABILITY2-L00PTS</v>
      </c>
      <c r="J1286" s="76" t="str">
        <f t="array" ref="J1286:J1287">{"CLASSINITIALABILITY3-L00PTS";((INDEX(ALLCLASSDATA,MATCH("ClassInitialAbility3-L00",CLASSFEATUREHEADERS,0),MATCH(($A1287 &amp; "Points"),CLASSNAMEHEADERS,0))))}</f>
        <v>CLASSINITIALABILITY3-L00PTS</v>
      </c>
      <c r="K1286" s="76" t="str">
        <f t="array" ref="K1286:K1287">{"CLASSINITIALABILITY4-L00PTS";((INDEX(ALLCLASSDATA,MATCH("ClassInitialAbility4-L00",CLASSFEATUREHEADERS,0),MATCH(($A1287 &amp; "Points"),CLASSNAMEHEADERS,0))))}</f>
        <v>CLASSINITIALABILITY4-L00PTS</v>
      </c>
      <c r="L1286" s="76" t="str">
        <f t="array" ref="L1286:L1287">{"CLASSINITIALABILITY5-L00PTS";((INDEX(ALLCLASSDATA,MATCH("ClassInitialAbility5-L00",CLASSFEATUREHEADERS,0),MATCH(($A1287 &amp; "Points"),CLASSNAMEHEADERS,0))))}</f>
        <v>CLASSINITIALABILITY5-L00PTS</v>
      </c>
      <c r="M1286" s="76" t="str">
        <f t="array" ref="M1286:M1287">{"CLASSINITIALABILITY6-L00PTS";((INDEX(ALLCLASSDATA,MATCH("ClassInitialAbility6-L00",CLASSFEATUREHEADERS,0),MATCH(($A1287 &amp; "Points"),CLASSNAMEHEADERS,0))))}</f>
        <v>CLASSINITIALABILITY6-L00PTS</v>
      </c>
      <c r="N1286" s="76" t="str">
        <f t="array" ref="N1286:N1287">{"CLASSINITIALABILITY7-L00PTS";((INDEX(ALLCLASSDATA,MATCH("ClassInitialAbility7-L00",CLASSFEATUREHEADERS,0),MATCH(($A1287 &amp; "Points"),CLASSNAMEHEADERS,0))))}</f>
        <v>CLASSINITIALABILITY7-L00PTS</v>
      </c>
      <c r="O1286" s="76" t="str">
        <f t="array" ref="O1286:O1287">{"CLASSINITIALABILITY8-L00PTS";((INDEX(ALLCLASSDATA,MATCH("ClassInitialAbility8-L00",CLASSFEATUREHEADERS,0),MATCH(($A1287 &amp; "Points"),CLASSNAMEHEADERS,0))))}</f>
        <v>CLASSINITIALABILITY8-L00PTS</v>
      </c>
      <c r="P1286" s="76" t="str">
        <f t="array" ref="P1286:P1287">{"CLASSINITIALABILITY9-L00PTS";((INDEX(ALLCLASSDATA,MATCH("ClassInitialAbility9-L00",CLASSFEATUREHEADERS,0),MATCH(($A1287 &amp; "Points"),CLASSNAMEHEADERS,0))))}</f>
        <v>CLASSINITIALABILITY9-L00PTS</v>
      </c>
      <c r="Q1286" s="76" t="str">
        <f t="array" ref="Q1286:Q1287">{"CLASSINITIALABILITY10-L00PTS";((INDEX(ALLCLASSDATA,MATCH("ClassInitialAbility10-L00",CLASSFEATUREHEADERS,0),MATCH(($A1287 &amp; "Points"),CLASSNAMEHEADERS,0))))}</f>
        <v>CLASSINITIALABILITY10-L00PTS</v>
      </c>
      <c r="R1286" s="76" t="str">
        <f t="array" ref="R1286:R1287">{"SUBCLASSINITIAL1-L00PTS";((INDEX(ALLCLASSDATA,MATCH("SubclassInitial1-L00",CLASSFEATUREHEADERS,0),MATCH(($A1287 &amp; "Points"),CLASSNAMEHEADERS,0))))}</f>
        <v>SUBCLASSINITIAL1-L00PTS</v>
      </c>
      <c r="S1286" s="76" t="str">
        <f t="array" ref="S1286:S1287">{"SUBCLASSINITIAL2-L00PTS";((INDEX(ALLCLASSDATA,MATCH("SubclassInitial2-L00",CLASSFEATUREHEADERS,0),MATCH(($A1287 &amp; "Points"),CLASSNAMEHEADERS,0))))}</f>
        <v>SUBCLASSINITIAL2-L00PTS</v>
      </c>
      <c r="T1286" s="76" t="str">
        <f t="array" ref="T1286:T1287">{"SUBCLASSINITIAL3-L00PTS";((INDEX(ALLCLASSDATA,MATCH("SubclassInitial3-L00",CLASSFEATUREHEADERS,0),MATCH(($A1287 &amp; "Points"),CLASSNAMEHEADERS,0))))}</f>
        <v>SUBCLASSINITIAL3-L00PTS</v>
      </c>
      <c r="U1286" s="76" t="str">
        <f t="array" ref="U1286:U1287">{"SUBCLASSINITIAL4-L00PTS";((INDEX(ALLCLASSDATA,MATCH("SubclassInitial4-L00",CLASSFEATUREHEADERS,0),MATCH(($A1287 &amp; "Points"),CLASSNAMEHEADERS,0))))}</f>
        <v>SUBCLASSINITIAL4-L00PTS</v>
      </c>
      <c r="V1286" s="76" t="str">
        <f t="array" ref="V1286:V1287">{"SUBCLASSINITIAL5-L00PTS";((INDEX(ALLCLASSDATA,MATCH("SubclassInitial5-L00",CLASSFEATUREHEADERS,0),MATCH(($A1287 &amp; "Points"),CLASSNAMEHEADERS,0))))}</f>
        <v>SUBCLASSINITIAL5-L00PTS</v>
      </c>
      <c r="W1286" s="76" t="str">
        <f t="array" ref="W1286:W1287">{"SUBCLASSINITIAL6-L00PTS";((INDEX(ALLCLASSDATA,MATCH("SubclassInitial6-L00",CLASSFEATUREHEADERS,0),MATCH(($A1287 &amp; "Points"),CLASSNAMEHEADERS,0))))}</f>
        <v>SUBCLASSINITIAL6-L00PTS</v>
      </c>
      <c r="X1286" s="76" t="str">
        <f t="array" ref="X1286:X1287">{"SUBCLASSINITIAL7-L00PTS";((INDEX(ALLCLASSDATA,MATCH("SubclassInitial7-L00",CLASSFEATUREHEADERS,0),MATCH(($A1287 &amp; "Points"),CLASSNAMEHEADERS,0))))}</f>
        <v>SUBCLASSINITIAL7-L00PTS</v>
      </c>
      <c r="Y1286" s="76" t="str">
        <f t="array" ref="Y1286:Y1287">{"SUBCLASSINITIAL8-L00PTS";((INDEX(ALLCLASSDATA,MATCH("SubclassInitial8-L00",CLASSFEATUREHEADERS,0),MATCH(($A1287 &amp; "Points"),CLASSNAMEHEADERS,0))))}</f>
        <v>SUBCLASSINITIAL8-L00PTS</v>
      </c>
      <c r="Z1286" s="76" t="str">
        <f t="array" ref="Z1286:Z1287">{"SUBCLASSINITIAL9-L00PTS";((INDEX(ALLCLASSDATA,MATCH("SubclassInitial9-L00",CLASSFEATUREHEADERS,0),MATCH(($A1287 &amp; "Points"),CLASSNAMEHEADERS,0))))}</f>
        <v>SUBCLASSINITIAL9-L00PTS</v>
      </c>
      <c r="AA1286" s="76" t="str">
        <f t="array" ref="AA1286:AA1287">{"SUBCLASSINITIAL10-L00PTS";((INDEX(ALLCLASSDATA,MATCH("SubclassInitial10-L00",CLASSFEATUREHEADERS,0),MATCH(($A1287 &amp; "Points"),CLASSNAMEHEADERS,0))))}</f>
        <v>SUBCLASSINITIAL10-L00PTS</v>
      </c>
      <c r="AB1286" s="76"/>
      <c r="AC1286" s="76" t="str">
        <f t="array" ref="AC1286:AC1287">{"INITIALFEATUREPTS TOTAL";(sum(G1287:AA1287))}</f>
        <v>INITIALFEATUREPTS TOTAL</v>
      </c>
    </row>
    <row r="1287">
      <c r="A1287" s="48" t="s">
        <v>211</v>
      </c>
      <c r="B1287" s="48"/>
      <c r="C1287" s="48" t="s">
        <v>417</v>
      </c>
      <c r="D1287" s="97" t="s">
        <v>651</v>
      </c>
      <c r="E1287" s="97" t="s">
        <v>616</v>
      </c>
      <c r="F1287" s="97"/>
      <c r="G1287" s="132"/>
      <c r="H1287" s="98"/>
      <c r="I1287" s="98"/>
      <c r="J1287" s="97"/>
      <c r="K1287" s="98">
        <v>20.0</v>
      </c>
      <c r="L1287" s="97"/>
      <c r="M1287" s="98"/>
      <c r="N1287" s="98"/>
      <c r="O1287" s="98"/>
      <c r="P1287" s="98"/>
      <c r="Q1287" s="98"/>
      <c r="R1287" s="98"/>
      <c r="S1287" s="98"/>
      <c r="T1287" s="98"/>
      <c r="U1287" s="98"/>
      <c r="V1287" s="98"/>
      <c r="W1287" s="98"/>
      <c r="X1287" s="98"/>
      <c r="Y1287" s="98"/>
      <c r="Z1287" s="98"/>
      <c r="AA1287" s="98"/>
      <c r="AB1287" s="5"/>
      <c r="AC1287" s="47">
        <v>20.0</v>
      </c>
    </row>
    <row r="1288" hidden="1">
      <c r="A1288" s="76" t="str">
        <f t="array" ref="A1288:A1289">{"FormulaRow06";(INDEX(CLASSLIST,A1277,1))}</f>
        <v>FormulaRow06</v>
      </c>
      <c r="B1288" s="77" t="s">
        <v>236</v>
      </c>
      <c r="C1288" s="76" t="str">
        <f t="array" ref="C1288:C1289">{"CLASSTYPE";((INDEX(ALLCLASSDATA,MATCH("ClassType",CLASSFEATUREHEADERS,0),MATCH($A1289,CLASSNAMEHEADERS,0))))}</f>
        <v>CLASSTYPE</v>
      </c>
      <c r="D1288" s="81" t="str">
        <f t="array" ref="D1288:D1289">{"SKILLS";"Skills"}</f>
        <v>SKILLS</v>
      </c>
      <c r="E1288" s="81" t="str">
        <f t="array" ref="E1288:E1289">{"EXTRASKILLINCREASES";"Extra Skill Increases"}</f>
        <v>EXTRASKILLINCREASES</v>
      </c>
      <c r="F1288" s="81"/>
      <c r="G1288" s="81"/>
      <c r="H1288" s="81"/>
      <c r="I1288" s="81" t="str">
        <f t="array" ref="I1288:I1289">{"SKILLINCREASEEXTRA-L02";((INDEX(ALLCLASSDATA,MATCH("SkillIncreaseExtra-L02",CLASSFEATUREHEADERS,0),MATCH(($A1289 &amp; "Points"),CLASSNAMEHEADERS,0))))}</f>
        <v>SKILLINCREASEEXTRA-L02</v>
      </c>
      <c r="J1288" s="81" t="str">
        <f t="array" ref="J1288:J1289">{"SKILLINCREASEEXTRA-L03";((INDEX(ALLCLASSDATA,MATCH("SkillIncreaseExtra-L03",CLASSFEATUREHEADERS,0),MATCH(($A1289 &amp; "Points"),CLASSNAMEHEADERS,0))))}</f>
        <v>SKILLINCREASEEXTRA-L03</v>
      </c>
      <c r="K1288" s="81" t="str">
        <f t="array" ref="K1288:K1289">{"SKILLINCREASEEXTRA-L04";((INDEX(ALLCLASSDATA,MATCH("SkillIncreaseExtra-L04",CLASSFEATUREHEADERS,0),MATCH(($A1289 &amp; "Points"),CLASSNAMEHEADERS,0))))}</f>
        <v>SKILLINCREASEEXTRA-L04</v>
      </c>
      <c r="L1288" s="81" t="str">
        <f t="array" ref="L1288:L1289">{"SKILLINCREASEEXTRA-L05";((INDEX(ALLCLASSDATA,MATCH("SkillIncreaseExtra-L05",CLASSFEATUREHEADERS,0),MATCH(($A1289 &amp; "Points"),CLASSNAMEHEADERS,0))))}</f>
        <v>SKILLINCREASEEXTRA-L05</v>
      </c>
      <c r="M1288" s="81" t="str">
        <f t="array" ref="M1288:M1289">{"SKILLINCREASEEXTRA-L06";((INDEX(ALLCLASSDATA,MATCH("SkillIncreaseExtra-L06",CLASSFEATUREHEADERS,0),MATCH(($A1289 &amp; "Points"),CLASSNAMEHEADERS,0))))}</f>
        <v>SKILLINCREASEEXTRA-L06</v>
      </c>
      <c r="N1288" s="81" t="str">
        <f t="array" ref="N1288:N1289">{"SKILLINCREASEEXTRA-L07";((INDEX(ALLCLASSDATA,MATCH("SkillIncreaseExtra-L07",CLASSFEATUREHEADERS,0),MATCH(($A1289 &amp; "Points"),CLASSNAMEHEADERS,0))))}</f>
        <v>SKILLINCREASEEXTRA-L07</v>
      </c>
      <c r="O1288" s="81" t="str">
        <f t="array" ref="O1288:O1289">{"SKILLINCREASEEXTRA-L08";((INDEX(ALLCLASSDATA,MATCH("SkillIncreaseExtra-L08",CLASSFEATUREHEADERS,0),MATCH(($A1289 &amp; "Points"),CLASSNAMEHEADERS,0))))}</f>
        <v>SKILLINCREASEEXTRA-L08</v>
      </c>
      <c r="P1288" s="81" t="str">
        <f t="array" ref="P1288:P1289">{"SKILLINCREASEEXTRA-L09";((INDEX(ALLCLASSDATA,MATCH("SkillIncreaseExtra-L09",CLASSFEATUREHEADERS,0),MATCH(($A1289 &amp; "Points"),CLASSNAMEHEADERS,0))))}</f>
        <v>SKILLINCREASEEXTRA-L09</v>
      </c>
      <c r="Q1288" s="81" t="str">
        <f t="array" ref="Q1288:Q1289">{"SKILLINCREASEEXTRA-L10";((INDEX(ALLCLASSDATA,MATCH("SkillIncreaseExtra-L10",CLASSFEATUREHEADERS,0),MATCH(($A1289 &amp; "Points"),CLASSNAMEHEADERS,0))))}</f>
        <v>SKILLINCREASEEXTRA-L10</v>
      </c>
      <c r="R1288" s="81" t="str">
        <f t="array" ref="R1288:R1289">{"SKILLINCREASEEXTRA-L11";((INDEX(ALLCLASSDATA,MATCH("SkillIncreaseExtra-L11",CLASSFEATUREHEADERS,0),MATCH(($A1289 &amp; "Points"),CLASSNAMEHEADERS,0))))}</f>
        <v>SKILLINCREASEEXTRA-L11</v>
      </c>
      <c r="S1288" s="81" t="str">
        <f t="array" ref="S1288:S1289">{"SKILLINCREASEEXTRA-L12";((INDEX(ALLCLASSDATA,MATCH("SkillIncreaseExtra-L12",CLASSFEATUREHEADERS,0),MATCH(($A1289 &amp; "Points"),CLASSNAMEHEADERS,0))))}</f>
        <v>SKILLINCREASEEXTRA-L12</v>
      </c>
      <c r="T1288" s="81" t="str">
        <f t="array" ref="T1288:T1289">{"SKILLINCREASEEXTRA-L13";((INDEX(ALLCLASSDATA,MATCH("SkillIncreaseExtra-L13",CLASSFEATUREHEADERS,0),MATCH(($A1289 &amp; "Points"),CLASSNAMEHEADERS,0))))}</f>
        <v>SKILLINCREASEEXTRA-L13</v>
      </c>
      <c r="U1288" s="81" t="str">
        <f t="array" ref="U1288:U1289">{"SKILLINCREASEEXTRA-L14";((INDEX(ALLCLASSDATA,MATCH("SkillIncreaseExtra-L14",CLASSFEATUREHEADERS,0),MATCH(($A1289 &amp; "Points"),CLASSNAMEHEADERS,0))))}</f>
        <v>SKILLINCREASEEXTRA-L14</v>
      </c>
      <c r="V1288" s="81" t="str">
        <f t="array" ref="V1288:V1289">{"SKILLINCREASEEXTRA-L15";((INDEX(ALLCLASSDATA,MATCH("SkillIncreaseExtra-L15",CLASSFEATUREHEADERS,0),MATCH(($A1289 &amp; "Points"),CLASSNAMEHEADERS,0))))}</f>
        <v>SKILLINCREASEEXTRA-L15</v>
      </c>
      <c r="W1288" s="81" t="str">
        <f t="array" ref="W1288:W1289">{"SKILLINCREASEEXTRA-L16";((INDEX(ALLCLASSDATA,MATCH("SkillIncreaseExtra-L16",CLASSFEATUREHEADERS,0),MATCH(($A1289 &amp; "Points"),CLASSNAMEHEADERS,0))))}</f>
        <v>SKILLINCREASEEXTRA-L16</v>
      </c>
      <c r="X1288" s="81" t="str">
        <f t="array" ref="X1288:X1289">{"SKILLINCREASEEXTRA-L17";((INDEX(ALLCLASSDATA,MATCH("SkillIncreaseExtra-L17",CLASSFEATUREHEADERS,0),MATCH(($A1289 &amp; "Points"),CLASSNAMEHEADERS,0))))}</f>
        <v>SKILLINCREASEEXTRA-L17</v>
      </c>
      <c r="Y1288" s="81" t="str">
        <f t="array" ref="Y1288:Y1289">{"SKILLINCREASEEXTRA-L18";((INDEX(ALLCLASSDATA,MATCH("SkillIncreaseExtra-L18",CLASSFEATUREHEADERS,0),MATCH(($A1289 &amp; "Points"),CLASSNAMEHEADERS,0))))}</f>
        <v>SKILLINCREASEEXTRA-L18</v>
      </c>
      <c r="Z1288" s="81" t="str">
        <f t="array" ref="Z1288:Z1289">{"SKILLINCREASEEXTRA-L19";((INDEX(ALLCLASSDATA,MATCH("SkillIncreaseExtra-L19",CLASSFEATUREHEADERS,0),MATCH(($A1289 &amp; "Points"),CLASSNAMEHEADERS,0))))}</f>
        <v>SKILLINCREASEEXTRA-L19</v>
      </c>
      <c r="AA1288" s="81" t="str">
        <f t="array" ref="AA1288:AA1289">{"SKILLINCREASEEXTRA-L20";((INDEX(ALLCLASSDATA,MATCH("SkillIncreaseExtra-L20",CLASSFEATUREHEADERS,0),MATCH(($A1289 &amp; "Points"),CLASSNAMEHEADERS,0))))}</f>
        <v>SKILLINCREASEEXTRA-L20</v>
      </c>
      <c r="AB1288" s="76"/>
      <c r="AC1288" s="76" t="str">
        <f t="array" ref="AC1288:AC1289">{"SKILLINCREASE TOTAL";(sum(G1289:AA1289))}</f>
        <v>SKILLINCREASE TOTAL</v>
      </c>
    </row>
    <row r="1289">
      <c r="A1289" s="48" t="s">
        <v>211</v>
      </c>
      <c r="B1289" s="48"/>
      <c r="C1289" s="48" t="s">
        <v>417</v>
      </c>
      <c r="D1289" s="48" t="s">
        <v>659</v>
      </c>
      <c r="E1289" s="48" t="s">
        <v>661</v>
      </c>
      <c r="F1289" s="48"/>
      <c r="G1289" s="47"/>
      <c r="H1289" s="5"/>
      <c r="I1289" s="5" t="s">
        <v>603</v>
      </c>
      <c r="J1289" s="5" t="s">
        <v>603</v>
      </c>
      <c r="K1289" s="5" t="s">
        <v>603</v>
      </c>
      <c r="L1289" s="48" t="s">
        <v>603</v>
      </c>
      <c r="M1289" s="5" t="s">
        <v>603</v>
      </c>
      <c r="N1289" s="5" t="s">
        <v>603</v>
      </c>
      <c r="O1289" s="5" t="s">
        <v>603</v>
      </c>
      <c r="P1289" s="5" t="s">
        <v>603</v>
      </c>
      <c r="Q1289" s="5" t="s">
        <v>603</v>
      </c>
      <c r="R1289" s="5" t="s">
        <v>603</v>
      </c>
      <c r="S1289" s="5" t="s">
        <v>603</v>
      </c>
      <c r="T1289" s="5" t="s">
        <v>603</v>
      </c>
      <c r="U1289" s="5" t="s">
        <v>603</v>
      </c>
      <c r="V1289" s="5" t="s">
        <v>603</v>
      </c>
      <c r="W1289" s="5" t="s">
        <v>603</v>
      </c>
      <c r="X1289" s="5" t="s">
        <v>603</v>
      </c>
      <c r="Y1289" s="5" t="s">
        <v>603</v>
      </c>
      <c r="Z1289" s="5" t="s">
        <v>603</v>
      </c>
      <c r="AA1289" s="5" t="s">
        <v>603</v>
      </c>
      <c r="AB1289" s="5"/>
      <c r="AC1289" s="47">
        <v>0.0</v>
      </c>
    </row>
    <row r="1290" hidden="1">
      <c r="A1290" s="76" t="str">
        <f t="array" ref="A1290:A1291">{"FormulaRow07";(INDEX(CLASSLIST,A1277,1))}</f>
        <v>FormulaRow07</v>
      </c>
      <c r="B1290" s="77" t="s">
        <v>236</v>
      </c>
      <c r="C1290" s="76" t="str">
        <f t="array" ref="C1290:C1291">{"CLASSTYPE";((INDEX(ALLCLASSDATA,MATCH("ClassType",CLASSFEATUREHEADERS,0),MATCH($A1291,CLASSNAMEHEADERS,0))))}</f>
        <v>CLASSTYPE</v>
      </c>
      <c r="D1290" s="76" t="str">
        <f t="array" ref="D1290:D1291">{"SKILLS";"Skills"}</f>
        <v>SKILLS</v>
      </c>
      <c r="E1290" s="76" t="str">
        <f t="array" ref="E1290:E1291">{"EXTRASKILLFEATS";"Extra Skill Feats"}</f>
        <v>EXTRASKILLFEATS</v>
      </c>
      <c r="F1290" s="76"/>
      <c r="G1290" s="76"/>
      <c r="H1290" s="76" t="str">
        <f t="array" ref="H1290:H1291">{"SKILLFEATEXTRA-L01";((INDEX(ALLCLASSDATA,MATCH("SkillFeatExtra-L01",CLASSFEATUREHEADERS,0),MATCH(($A1291 &amp; "Points"),CLASSNAMEHEADERS,0))))}</f>
        <v>SKILLFEATEXTRA-L01</v>
      </c>
      <c r="I1290" s="76" t="str">
        <f t="array" ref="I1290:I1291">{"SKILLFEATEXTRA-L02";((INDEX(ALLCLASSDATA,MATCH("SkillFeatExtra-L02",CLASSFEATUREHEADERS,0),MATCH(($A1291 &amp; "Points"),CLASSNAMEHEADERS,0))))}</f>
        <v>SKILLFEATEXTRA-L02</v>
      </c>
      <c r="J1290" s="76" t="str">
        <f t="array" ref="J1290:J1291">{"SKILLFEATEXTRA-L03";((INDEX(ALLCLASSDATA,MATCH("SkillFeatExtra-L03",CLASSFEATUREHEADERS,0),MATCH(($A1291 &amp; "Points"),CLASSNAMEHEADERS,0))))}</f>
        <v>SKILLFEATEXTRA-L03</v>
      </c>
      <c r="K1290" s="76" t="str">
        <f t="array" ref="K1290:K1291">{"SKILLFEATEXTRA-L04";((INDEX(ALLCLASSDATA,MATCH("SkillFeatExtra-L04",CLASSFEATUREHEADERS,0),MATCH(($A1291 &amp; "Points"),CLASSNAMEHEADERS,0))))}</f>
        <v>SKILLFEATEXTRA-L04</v>
      </c>
      <c r="L1290" s="76" t="str">
        <f t="array" ref="L1290:L1291">{"SKILLFEATEXTRA-L05";((INDEX(ALLCLASSDATA,MATCH("SkillFeatExtra-L05",CLASSFEATUREHEADERS,0),MATCH(($A1291 &amp; "Points"),CLASSNAMEHEADERS,0))))}</f>
        <v>SKILLFEATEXTRA-L05</v>
      </c>
      <c r="M1290" s="76" t="str">
        <f t="array" ref="M1290:M1291">{"SKILLFEATEXTRA-L06";((INDEX(ALLCLASSDATA,MATCH("SkillFeatExtra-L06",CLASSFEATUREHEADERS,0),MATCH(($A1291 &amp; "Points"),CLASSNAMEHEADERS,0))))}</f>
        <v>SKILLFEATEXTRA-L06</v>
      </c>
      <c r="N1290" s="76" t="str">
        <f t="array" ref="N1290:N1291">{"SKILLFEATEXTRA-L07";((INDEX(ALLCLASSDATA,MATCH("SkillFeatExtra-L07",CLASSFEATUREHEADERS,0),MATCH(($A1291 &amp; "Points"),CLASSNAMEHEADERS,0))))}</f>
        <v>SKILLFEATEXTRA-L07</v>
      </c>
      <c r="O1290" s="76" t="str">
        <f t="array" ref="O1290:O1291">{"SKILLFEATEXTRA-L08";((INDEX(ALLCLASSDATA,MATCH("SkillFeatExtra-L08",CLASSFEATUREHEADERS,0),MATCH(($A1291 &amp; "Points"),CLASSNAMEHEADERS,0))))}</f>
        <v>SKILLFEATEXTRA-L08</v>
      </c>
      <c r="P1290" s="76" t="str">
        <f t="array" ref="P1290:P1291">{"SKILLFEATEXTRA-L09";((INDEX(ALLCLASSDATA,MATCH("SkillFeatExtra-L09",CLASSFEATUREHEADERS,0),MATCH(($A1291 &amp; "Points"),CLASSNAMEHEADERS,0))))}</f>
        <v>SKILLFEATEXTRA-L09</v>
      </c>
      <c r="Q1290" s="76" t="str">
        <f t="array" ref="Q1290:Q1291">{"SKILLFEATEXTRA-L10";((INDEX(ALLCLASSDATA,MATCH("SkillFeatExtra-L10",CLASSFEATUREHEADERS,0),MATCH(($A1291 &amp; "Points"),CLASSNAMEHEADERS,0))))}</f>
        <v>SKILLFEATEXTRA-L10</v>
      </c>
      <c r="R1290" s="76" t="str">
        <f t="array" ref="R1290:R1291">{"SKILLFEATEXTRA-L11";((INDEX(ALLCLASSDATA,MATCH("SkillFeatExtra-L11",CLASSFEATUREHEADERS,0),MATCH(($A1291 &amp; "Points"),CLASSNAMEHEADERS,0))))}</f>
        <v>SKILLFEATEXTRA-L11</v>
      </c>
      <c r="S1290" s="76" t="str">
        <f t="array" ref="S1290:S1291">{"SKILLFEATEXTRA-L12";((INDEX(ALLCLASSDATA,MATCH("SkillFeatExtra-L12",CLASSFEATUREHEADERS,0),MATCH(($A1291 &amp; "Points"),CLASSNAMEHEADERS,0))))}</f>
        <v>SKILLFEATEXTRA-L12</v>
      </c>
      <c r="T1290" s="76" t="str">
        <f t="array" ref="T1290:T1291">{"SKILLFEATEXTRA-L13";((INDEX(ALLCLASSDATA,MATCH("SkillFeatExtra-L13",CLASSFEATUREHEADERS,0),MATCH(($A1291 &amp; "Points"),CLASSNAMEHEADERS,0))))}</f>
        <v>SKILLFEATEXTRA-L13</v>
      </c>
      <c r="U1290" s="76" t="str">
        <f t="array" ref="U1290:U1291">{"SKILLFEATEXTRA-L14";((INDEX(ALLCLASSDATA,MATCH("SkillFeatExtra-L14",CLASSFEATUREHEADERS,0),MATCH(($A1291 &amp; "Points"),CLASSNAMEHEADERS,0))))}</f>
        <v>SKILLFEATEXTRA-L14</v>
      </c>
      <c r="V1290" s="76" t="str">
        <f t="array" ref="V1290:V1291">{"SKILLFEATEXTRA-L15";((INDEX(ALLCLASSDATA,MATCH("SkillFeatExtra-L15",CLASSFEATUREHEADERS,0),MATCH(($A1291 &amp; "Points"),CLASSNAMEHEADERS,0))))}</f>
        <v>SKILLFEATEXTRA-L15</v>
      </c>
      <c r="W1290" s="76" t="str">
        <f t="array" ref="W1290:W1291">{"SKILLFEATEXTRA-L16";((INDEX(ALLCLASSDATA,MATCH("SkillFeatExtra-L16",CLASSFEATUREHEADERS,0),MATCH(($A1291 &amp; "Points"),CLASSNAMEHEADERS,0))))}</f>
        <v>SKILLFEATEXTRA-L16</v>
      </c>
      <c r="X1290" s="76" t="str">
        <f t="array" ref="X1290:X1291">{"SKILLFEATEXTRA-L17";((INDEX(ALLCLASSDATA,MATCH("SkillFeatExtra-L17",CLASSFEATUREHEADERS,0),MATCH(($A1291 &amp; "Points"),CLASSNAMEHEADERS,0))))}</f>
        <v>SKILLFEATEXTRA-L17</v>
      </c>
      <c r="Y1290" s="76" t="str">
        <f t="array" ref="Y1290:Y1291">{"SKILLFEATEXTRA-L18";((INDEX(ALLCLASSDATA,MATCH("SkillFeatExtra-L18",CLASSFEATUREHEADERS,0),MATCH(($A1291 &amp; "Points"),CLASSNAMEHEADERS,0))))}</f>
        <v>SKILLFEATEXTRA-L18</v>
      </c>
      <c r="Z1290" s="76" t="str">
        <f t="array" ref="Z1290:Z1291">{"SKILLFEATEXTRA-L19";((INDEX(ALLCLASSDATA,MATCH("SkillFeatExtra-L19",CLASSFEATUREHEADERS,0),MATCH(($A1291 &amp; "Points"),CLASSNAMEHEADERS,0))))}</f>
        <v>SKILLFEATEXTRA-L19</v>
      </c>
      <c r="AA1290" s="76" t="str">
        <f t="array" ref="AA1290:AA1291">{"SKILLFEATEXTRA-L20";((INDEX(ALLCLASSDATA,MATCH("SkillFeatExtra-L20",CLASSFEATUREHEADERS,0),MATCH(($A1291 &amp; "Points"),CLASSNAMEHEADERS,0))))}</f>
        <v>SKILLFEATEXTRA-L20</v>
      </c>
      <c r="AB1290" s="76"/>
      <c r="AC1290" s="76" t="str">
        <f t="array" ref="AC1290:AC1291">{"SKILLFEAT TOTAL";(sum(G1291:AA1291))}</f>
        <v>SKILLFEAT TOTAL</v>
      </c>
    </row>
    <row r="1291">
      <c r="A1291" s="48" t="s">
        <v>211</v>
      </c>
      <c r="B1291" s="48"/>
      <c r="C1291" s="48" t="s">
        <v>417</v>
      </c>
      <c r="D1291" s="97" t="s">
        <v>659</v>
      </c>
      <c r="E1291" s="97" t="s">
        <v>722</v>
      </c>
      <c r="F1291" s="97"/>
      <c r="G1291" s="132"/>
      <c r="H1291" s="98" t="s">
        <v>603</v>
      </c>
      <c r="I1291" s="98" t="s">
        <v>603</v>
      </c>
      <c r="J1291" s="97" t="s">
        <v>603</v>
      </c>
      <c r="K1291" s="98" t="s">
        <v>603</v>
      </c>
      <c r="L1291" s="97" t="s">
        <v>603</v>
      </c>
      <c r="M1291" s="98" t="s">
        <v>603</v>
      </c>
      <c r="N1291" s="98" t="s">
        <v>603</v>
      </c>
      <c r="O1291" s="98" t="s">
        <v>603</v>
      </c>
      <c r="P1291" s="98" t="s">
        <v>603</v>
      </c>
      <c r="Q1291" s="98" t="s">
        <v>603</v>
      </c>
      <c r="R1291" s="98" t="s">
        <v>603</v>
      </c>
      <c r="S1291" s="98" t="s">
        <v>603</v>
      </c>
      <c r="T1291" s="98" t="s">
        <v>603</v>
      </c>
      <c r="U1291" s="98" t="s">
        <v>603</v>
      </c>
      <c r="V1291" s="98" t="s">
        <v>603</v>
      </c>
      <c r="W1291" s="98" t="s">
        <v>603</v>
      </c>
      <c r="X1291" s="98" t="s">
        <v>603</v>
      </c>
      <c r="Y1291" s="98" t="s">
        <v>603</v>
      </c>
      <c r="Z1291" s="98" t="s">
        <v>603</v>
      </c>
      <c r="AA1291" s="98" t="s">
        <v>603</v>
      </c>
      <c r="AB1291" s="5"/>
      <c r="AC1291" s="47">
        <v>0.0</v>
      </c>
    </row>
    <row r="1292" hidden="1">
      <c r="A1292" s="76" t="str">
        <f t="array" ref="A1292:A1293">{"FormulaRow08";(INDEX(CLASSLIST,A1277,1))}</f>
        <v>FormulaRow08</v>
      </c>
      <c r="B1292" s="77" t="s">
        <v>236</v>
      </c>
      <c r="C1292" s="76" t="str">
        <f t="array" ref="C1292:C1293">{"CLASSTYPE";((INDEX(ALLCLASSDATA,MATCH("ClassType",CLASSFEATUREHEADERS,0),MATCH($A1293,CLASSNAMEHEADERS,0))))}</f>
        <v>CLASSTYPE</v>
      </c>
      <c r="D1292" s="81" t="str">
        <f t="array" ref="D1292:D1293">{"CLASSABILITY";"ClassAbility"}</f>
        <v>CLASSABILITY</v>
      </c>
      <c r="E1292" s="81" t="str">
        <f t="array" ref="E1292:E1293">{"CLASSABILITY1";"ClassAbility1"}</f>
        <v>CLASSABILITY1</v>
      </c>
      <c r="F1292" s="81"/>
      <c r="G1292" s="81"/>
      <c r="H1292" s="81"/>
      <c r="I1292" s="81"/>
      <c r="J1292" s="81" t="str">
        <f t="array" ref="J1292:J1293">{"CLASSABILITY1-L03";((INDEX(ALLCLASSDATA,MATCH("ClassAbility1-L03",CLASSFEATUREHEADERS,0),MATCH(($A1293),CLASSNAMEHEADERS,0))))}</f>
        <v>CLASSABILITY1-L03</v>
      </c>
      <c r="K1292" s="81"/>
      <c r="L1292" s="81" t="str">
        <f t="array" ref="L1292:L1293">{"CLASSABILITY1-L05";((INDEX(ALLCLASSDATA,MATCH("ClassAbility1-L05",CLASSFEATUREHEADERS,0),MATCH(($A1293),CLASSNAMEHEADERS,0))))}</f>
        <v>CLASSABILITY1-L05</v>
      </c>
      <c r="M1292" s="81"/>
      <c r="N1292" s="81" t="str">
        <f t="array" ref="N1292:N1293">{"CLASSABILITY1-L07";((INDEX(ALLCLASSDATA,MATCH("ClassAbility1-L07",CLASSFEATUREHEADERS,0),MATCH(($A1293),CLASSNAMEHEADERS,0))))}</f>
        <v>CLASSABILITY1-L07</v>
      </c>
      <c r="O1292" s="81"/>
      <c r="P1292" s="81" t="str">
        <f t="array" ref="P1292:P1293">{"CLASSABILITY1-L09";((INDEX(ALLCLASSDATA,MATCH("ClassAbility1-L09",CLASSFEATUREHEADERS,0),MATCH(($A1293),CLASSNAMEHEADERS,0))))}</f>
        <v>CLASSABILITY1-L09</v>
      </c>
      <c r="Q1292" s="81"/>
      <c r="R1292" s="81" t="str">
        <f t="array" ref="R1292:R1293">{"CLASSABILITY1-L11";((INDEX(ALLCLASSDATA,MATCH("ClassAbility1-L11",CLASSFEATUREHEADERS,0),MATCH(($A1293),CLASSNAMEHEADERS,0))))}</f>
        <v>CLASSABILITY1-L11</v>
      </c>
      <c r="S1292" s="81"/>
      <c r="T1292" s="81" t="str">
        <f t="array" ref="T1292:T1293">{"CLASSABILITY1-L13";((INDEX(ALLCLASSDATA,MATCH("ClassAbility1-L13",CLASSFEATUREHEADERS,0),MATCH(($A1293),CLASSNAMEHEADERS,0))))}</f>
        <v>CLASSABILITY1-L13</v>
      </c>
      <c r="U1292" s="81"/>
      <c r="V1292" s="81" t="str">
        <f t="array" ref="V1292:V1293">{"CLASSABILITY1-L15";((INDEX(ALLCLASSDATA,MATCH("ClassAbility1-L15",CLASSFEATUREHEADERS,0),MATCH(($A1293),CLASSNAMEHEADERS,0))))}</f>
        <v>CLASSABILITY1-L15</v>
      </c>
      <c r="W1292" s="81"/>
      <c r="X1292" s="81" t="str">
        <f t="array" ref="X1292:X1293">{"CLASSABILITY1-L17";((INDEX(ALLCLASSDATA,MATCH("ClassAbility1-L17",CLASSFEATUREHEADERS,0),MATCH(($A1293),CLASSNAMEHEADERS,0))))}</f>
        <v>CLASSABILITY1-L17</v>
      </c>
      <c r="Y1292" s="81"/>
      <c r="Z1292" s="81" t="str">
        <f t="array" ref="Z1292:Z1293">{"CLASSABILITY1-L19";((INDEX(ALLCLASSDATA,MATCH("ClassAbility1-L19",CLASSFEATUREHEADERS,0),MATCH(($A1293),CLASSNAMEHEADERS,0))))}</f>
        <v>CLASSABILITY1-L19</v>
      </c>
      <c r="AA1292" s="81"/>
      <c r="AB1292" s="76"/>
      <c r="AC1292" s="76"/>
    </row>
    <row r="1293">
      <c r="A1293" s="48" t="s">
        <v>211</v>
      </c>
      <c r="B1293" s="48"/>
      <c r="C1293" s="48" t="s">
        <v>417</v>
      </c>
      <c r="D1293" s="48" t="s">
        <v>825</v>
      </c>
      <c r="E1293" s="48" t="s">
        <v>826</v>
      </c>
      <c r="F1293" s="5"/>
      <c r="G1293" s="47"/>
      <c r="H1293" s="5"/>
      <c r="I1293" s="5"/>
      <c r="J1293" s="5"/>
      <c r="K1293" s="5"/>
      <c r="L1293" s="5" t="s">
        <v>305</v>
      </c>
      <c r="M1293" s="5"/>
      <c r="N1293" s="5"/>
      <c r="O1293" s="5"/>
      <c r="P1293" s="5" t="s">
        <v>335</v>
      </c>
      <c r="Q1293" s="5"/>
      <c r="R1293" s="5" t="s">
        <v>323</v>
      </c>
      <c r="S1293" s="5"/>
      <c r="T1293" s="5" t="s">
        <v>369</v>
      </c>
      <c r="U1293" s="5"/>
      <c r="V1293" s="5"/>
      <c r="W1293" s="5"/>
      <c r="X1293" s="5"/>
      <c r="Y1293" s="5"/>
      <c r="Z1293" s="5" t="s">
        <v>1148</v>
      </c>
      <c r="AA1293" s="5"/>
      <c r="AB1293" s="5"/>
      <c r="AC1293" s="47"/>
    </row>
    <row r="1294" hidden="1">
      <c r="A1294" s="76" t="str">
        <f t="array" ref="A1294:A1295">{"FormulaRow09";(INDEX(CLASSLIST,A1277,1))}</f>
        <v>FormulaRow09</v>
      </c>
      <c r="B1294" s="77" t="s">
        <v>236</v>
      </c>
      <c r="C1294" s="76" t="str">
        <f t="array" ref="C1294:C1295">{"CLASSTYPE";((INDEX(ALLCLASSDATA,MATCH("ClassType",CLASSFEATUREHEADERS,0),MATCH($A1295,CLASSNAMEHEADERS,0))))}</f>
        <v>CLASSTYPE</v>
      </c>
      <c r="D1294" s="76" t="str">
        <f t="array" ref="D1294:D1295">{"CLASSABILITYPTS";"ClassAbilityPts"}</f>
        <v>CLASSABILITYPTS</v>
      </c>
      <c r="E1294" s="76" t="str">
        <f t="array" ref="E1294:E1295">{"CLASSABILITY1";"ClassAbility1"}</f>
        <v>CLASSABILITY1</v>
      </c>
      <c r="F1294" s="76"/>
      <c r="G1294" s="76"/>
      <c r="H1294" s="76"/>
      <c r="I1294" s="76"/>
      <c r="J1294" s="76" t="str">
        <f t="array" ref="J1294:J1295">{"CLASSABILITY1-L03PTS";((INDEX(ALLCLASSDATA,MATCH("ClassAbility1-L03",CLASSFEATUREHEADERS,0),MATCH(($A1295 &amp; "Points"),CLASSNAMEHEADERS,0))))}</f>
        <v>CLASSABILITY1-L03PTS</v>
      </c>
      <c r="K1294" s="76"/>
      <c r="L1294" s="76" t="str">
        <f t="array" ref="L1294:L1295">{"CLASSABILITY1-L05PTS";((INDEX(ALLCLASSDATA,MATCH("ClassAbility1-L05",CLASSFEATUREHEADERS,0),MATCH(($A1295 &amp; "Points"),CLASSNAMEHEADERS,0))))}</f>
        <v>CLASSABILITY1-L05PTS</v>
      </c>
      <c r="M1294" s="76"/>
      <c r="N1294" s="76" t="str">
        <f t="array" ref="N1294:N1295">{"CLASSABILITY1-L07PTS";((INDEX(ALLCLASSDATA,MATCH("ClassAbility1-L07",CLASSFEATUREHEADERS,0),MATCH(($A1295 &amp; "Points"),CLASSNAMEHEADERS,0))))}</f>
        <v>CLASSABILITY1-L07PTS</v>
      </c>
      <c r="O1294" s="76"/>
      <c r="P1294" s="76" t="str">
        <f t="array" ref="P1294:P1295">{"CLASSABILITY1-L09PTS";((INDEX(ALLCLASSDATA,MATCH("ClassAbility1-L09",CLASSFEATUREHEADERS,0),MATCH(($A1295 &amp; "Points"),CLASSNAMEHEADERS,0))))}</f>
        <v>CLASSABILITY1-L09PTS</v>
      </c>
      <c r="Q1294" s="76"/>
      <c r="R1294" s="76" t="str">
        <f t="array" ref="R1294:R1295">{"CLASSABILITY1-L11PTS";((INDEX(ALLCLASSDATA,MATCH("ClassAbility1-L11",CLASSFEATUREHEADERS,0),MATCH(($A1295 &amp; "Points"),CLASSNAMEHEADERS,0))))}</f>
        <v>CLASSABILITY1-L11PTS</v>
      </c>
      <c r="S1294" s="76"/>
      <c r="T1294" s="76" t="str">
        <f t="array" ref="T1294:T1295">{"CLASSABILITY1-L13PTS";((INDEX(ALLCLASSDATA,MATCH("ClassAbility1-L13",CLASSFEATUREHEADERS,0),MATCH(($A1295 &amp; "Points"),CLASSNAMEHEADERS,0))))}</f>
        <v>CLASSABILITY1-L13PTS</v>
      </c>
      <c r="U1294" s="76"/>
      <c r="V1294" s="76" t="str">
        <f t="array" ref="V1294:V1295">{"CLASSABILITY1-L15PTS";((INDEX(ALLCLASSDATA,MATCH("ClassAbility1-L15",CLASSFEATUREHEADERS,0),MATCH(($A1295 &amp; "Points"),CLASSNAMEHEADERS,0))))}</f>
        <v>CLASSABILITY1-L15PTS</v>
      </c>
      <c r="W1294" s="76"/>
      <c r="X1294" s="76" t="str">
        <f t="array" ref="X1294:X1295">{"CLASSABILITY1-L17PTS";((INDEX(ALLCLASSDATA,MATCH("ClassAbility1-L17",CLASSFEATUREHEADERS,0),MATCH(($A1295 &amp; "Points"),CLASSNAMEHEADERS,0))))}</f>
        <v>CLASSABILITY1-L17PTS</v>
      </c>
      <c r="Y1294" s="76"/>
      <c r="Z1294" s="76" t="str">
        <f t="array" ref="Z1294:Z1295">{"CLASSABILITY1-L19PTS";((INDEX(ALLCLASSDATA,MATCH("ClassAbility1-L19",CLASSFEATUREHEADERS,0),MATCH(($A1295 &amp; "Points"),CLASSNAMEHEADERS,0))))}</f>
        <v>CLASSABILITY1-L19PTS</v>
      </c>
      <c r="AA1294" s="76"/>
      <c r="AB1294" s="76"/>
      <c r="AC1294" s="76" t="str">
        <f t="array" ref="AC1294:AC1295">{"CLASSABILITY1 TOTAL";(sum(G1295:AA1295))}</f>
        <v>CLASSABILITY1 TOTAL</v>
      </c>
    </row>
    <row r="1295">
      <c r="A1295" s="48" t="s">
        <v>211</v>
      </c>
      <c r="B1295" s="48"/>
      <c r="C1295" s="48" t="s">
        <v>417</v>
      </c>
      <c r="D1295" s="48" t="s">
        <v>930</v>
      </c>
      <c r="E1295" s="48" t="s">
        <v>826</v>
      </c>
      <c r="F1295" s="5"/>
      <c r="G1295" s="5"/>
      <c r="H1295" s="5"/>
      <c r="I1295" s="5"/>
      <c r="J1295" s="48"/>
      <c r="K1295" s="5"/>
      <c r="L1295" s="5"/>
      <c r="M1295" s="5"/>
      <c r="N1295" s="5"/>
      <c r="O1295" s="5"/>
      <c r="P1295" s="5"/>
      <c r="Q1295" s="5"/>
      <c r="R1295" s="5"/>
      <c r="S1295" s="5"/>
      <c r="T1295" s="5"/>
      <c r="U1295" s="5"/>
      <c r="V1295" s="5"/>
      <c r="W1295" s="5"/>
      <c r="X1295" s="5"/>
      <c r="Y1295" s="5"/>
      <c r="Z1295" s="5"/>
      <c r="AA1295" s="5"/>
      <c r="AB1295" s="5"/>
      <c r="AC1295" s="47">
        <v>0.0</v>
      </c>
    </row>
    <row r="1296" hidden="1">
      <c r="A1296" s="76" t="str">
        <f t="array" ref="A1296:A1297">{"FormulaRow10";(INDEX(CLASSLIST,A1277,1))}</f>
        <v>FormulaRow10</v>
      </c>
      <c r="B1296" s="77" t="s">
        <v>236</v>
      </c>
      <c r="C1296" s="76" t="str">
        <f t="array" ref="C1296:C1297">{"CLASSTYPE";((INDEX(ALLCLASSDATA,MATCH("ClassType",CLASSFEATUREHEADERS,0),MATCH($A1297,CLASSNAMEHEADERS,0))))}</f>
        <v>CLASSTYPE</v>
      </c>
      <c r="D1296" s="76" t="str">
        <f t="array" ref="D1296:D1297">{"CLASSABILITY";"ClassAbility"}</f>
        <v>CLASSABILITY</v>
      </c>
      <c r="E1296" s="76" t="str">
        <f t="array" ref="E1296:E1297">{"CLASSABILITY2";"ClassAbility2"}</f>
        <v>CLASSABILITY2</v>
      </c>
      <c r="F1296" s="76"/>
      <c r="G1296" s="76"/>
      <c r="H1296" s="76"/>
      <c r="I1296" s="76"/>
      <c r="J1296" s="76" t="str">
        <f t="array" ref="J1296:J1297">{"CLASSABILITY2-L03";((INDEX(ALLCLASSDATA,MATCH("ClassAbility2-L03",CLASSFEATUREHEADERS,0),MATCH(($A1297),CLASSNAMEHEADERS,0))))}</f>
        <v>CLASSABILITY2-L03</v>
      </c>
      <c r="K1296" s="76"/>
      <c r="L1296" s="76" t="str">
        <f t="array" ref="L1296:L1297">{"CLASSABILITY2-L05";((INDEX(ALLCLASSDATA,MATCH("ClassAbility2-L05",CLASSFEATUREHEADERS,0),MATCH(($A1297),CLASSNAMEHEADERS,0))))}</f>
        <v>CLASSABILITY2-L05</v>
      </c>
      <c r="M1296" s="76"/>
      <c r="N1296" s="76" t="str">
        <f t="array" ref="N1296:N1297">{"CLASSABILITY2-L07";((INDEX(ALLCLASSDATA,MATCH("ClassAbility2-L07",CLASSFEATUREHEADERS,0),MATCH(($A1297),CLASSNAMEHEADERS,0))))}</f>
        <v>CLASSABILITY2-L07</v>
      </c>
      <c r="O1296" s="76"/>
      <c r="P1296" s="76" t="str">
        <f t="array" ref="P1296:P1297">{"CLASSABILITY2-L09";((INDEX(ALLCLASSDATA,MATCH("ClassAbility2-L09",CLASSFEATUREHEADERS,0),MATCH(($A1297),CLASSNAMEHEADERS,0))))}</f>
        <v>CLASSABILITY2-L09</v>
      </c>
      <c r="Q1296" s="76"/>
      <c r="R1296" s="76" t="str">
        <f t="array" ref="R1296:R1297">{"CLASSABILITY2-L11";((INDEX(ALLCLASSDATA,MATCH("ClassAbility2-L11",CLASSFEATUREHEADERS,0),MATCH(($A1297),CLASSNAMEHEADERS,0))))}</f>
        <v>CLASSABILITY2-L11</v>
      </c>
      <c r="S1296" s="76"/>
      <c r="T1296" s="76" t="str">
        <f t="array" ref="T1296:T1297">{"CLASSABILITY2-L13";((INDEX(ALLCLASSDATA,MATCH("ClassAbility2-L13",CLASSFEATUREHEADERS,0),MATCH(($A1297),CLASSNAMEHEADERS,0))))}</f>
        <v>CLASSABILITY2-L13</v>
      </c>
      <c r="U1296" s="76"/>
      <c r="V1296" s="76" t="str">
        <f t="array" ref="V1296:V1297">{"CLASSABILITY2-L15";((INDEX(ALLCLASSDATA,MATCH("ClassAbility2-L15",CLASSFEATUREHEADERS,0),MATCH(($A1297),CLASSNAMEHEADERS,0))))}</f>
        <v>CLASSABILITY2-L15</v>
      </c>
      <c r="W1296" s="76"/>
      <c r="X1296" s="76" t="str">
        <f t="array" ref="X1296:X1297">{"CLASSABILITY2-L17";((INDEX(ALLCLASSDATA,MATCH("ClassAbility2-L17",CLASSFEATUREHEADERS,0),MATCH(($A1297),CLASSNAMEHEADERS,0))))}</f>
        <v>CLASSABILITY2-L17</v>
      </c>
      <c r="Y1296" s="76"/>
      <c r="Z1296" s="76" t="str">
        <f t="array" ref="Z1296:Z1297">{"CLASSABILITY2-L19";((INDEX(ALLCLASSDATA,MATCH("ClassAbility2-L19",CLASSFEATUREHEADERS,0),MATCH(($A1297),CLASSNAMEHEADERS,0))))}</f>
        <v>CLASSABILITY2-L19</v>
      </c>
      <c r="AA1296" s="76"/>
      <c r="AB1296" s="76"/>
      <c r="AC1296" s="76"/>
    </row>
    <row r="1297">
      <c r="A1297" s="48" t="s">
        <v>211</v>
      </c>
      <c r="B1297" s="48"/>
      <c r="C1297" s="48" t="s">
        <v>417</v>
      </c>
      <c r="D1297" s="48" t="s">
        <v>825</v>
      </c>
      <c r="E1297" s="48" t="s">
        <v>1007</v>
      </c>
      <c r="F1297" s="48"/>
      <c r="G1297" s="47"/>
      <c r="H1297" s="5"/>
      <c r="I1297" s="5"/>
      <c r="J1297" s="5"/>
      <c r="K1297" s="5"/>
      <c r="L1297" s="5"/>
      <c r="M1297" s="5"/>
      <c r="N1297" s="5"/>
      <c r="O1297" s="5"/>
      <c r="P1297" s="5"/>
      <c r="Q1297" s="5"/>
      <c r="R1297" s="5"/>
      <c r="S1297" s="5"/>
      <c r="T1297" s="5" t="s">
        <v>1316</v>
      </c>
      <c r="U1297" s="5"/>
      <c r="V1297" s="5"/>
      <c r="W1297" s="5"/>
      <c r="X1297" s="5"/>
      <c r="Y1297" s="5"/>
      <c r="Z1297" s="5"/>
      <c r="AA1297" s="5"/>
      <c r="AB1297" s="5"/>
      <c r="AC1297" s="47"/>
    </row>
    <row r="1298" hidden="1">
      <c r="A1298" s="76" t="str">
        <f t="array" ref="A1298:A1299">{"FormulaRow11";(INDEX(CLASSLIST,A1277,1))}</f>
        <v>FormulaRow11</v>
      </c>
      <c r="B1298" s="77" t="s">
        <v>236</v>
      </c>
      <c r="C1298" s="76" t="str">
        <f t="array" ref="C1298:C1299">{"CLASSTYPE";((INDEX(ALLCLASSDATA,MATCH("ClassType",CLASSFEATUREHEADERS,0),MATCH($A1299,CLASSNAMEHEADERS,0))))}</f>
        <v>CLASSTYPE</v>
      </c>
      <c r="D1298" s="76" t="str">
        <f t="array" ref="D1298:D1299">{"CLASSABILITYPTS";"ClassAbilityPts"}</f>
        <v>CLASSABILITYPTS</v>
      </c>
      <c r="E1298" s="76" t="str">
        <f t="array" ref="E1298:E1299">{"CLASSABILITY2";"ClassAbility2"}</f>
        <v>CLASSABILITY2</v>
      </c>
      <c r="F1298" s="76"/>
      <c r="G1298" s="76"/>
      <c r="H1298" s="76"/>
      <c r="I1298" s="76"/>
      <c r="J1298" s="76" t="str">
        <f t="array" ref="J1298:J1299">{"CLASSABILITY2-L03PTS";((INDEX(ALLCLASSDATA,MATCH("ClassAbility2-L03",CLASSFEATUREHEADERS,0),MATCH(($A1299 &amp; "Points"),CLASSNAMEHEADERS,0))))}</f>
        <v>CLASSABILITY2-L03PTS</v>
      </c>
      <c r="K1298" s="76"/>
      <c r="L1298" s="76" t="str">
        <f t="array" ref="L1298:L1299">{"CLASSABILITY2-L05PTS";((INDEX(ALLCLASSDATA,MATCH("ClassAbility2-L05",CLASSFEATUREHEADERS,0),MATCH(($A1299 &amp; "Points"),CLASSNAMEHEADERS,0))))}</f>
        <v>CLASSABILITY2-L05PTS</v>
      </c>
      <c r="M1298" s="76"/>
      <c r="N1298" s="76" t="str">
        <f t="array" ref="N1298:N1299">{"CLASSABILITY2-L07PTS";((INDEX(ALLCLASSDATA,MATCH("ClassAbility2-L07",CLASSFEATUREHEADERS,0),MATCH(($A1299 &amp; "Points"),CLASSNAMEHEADERS,0))))}</f>
        <v>CLASSABILITY2-L07PTS</v>
      </c>
      <c r="O1298" s="76"/>
      <c r="P1298" s="76" t="str">
        <f t="array" ref="P1298:P1299">{"CLASSABILITY2-L09PTS";((INDEX(ALLCLASSDATA,MATCH("ClassAbility2-L09",CLASSFEATUREHEADERS,0),MATCH(($A1299 &amp; "Points"),CLASSNAMEHEADERS,0))))}</f>
        <v>CLASSABILITY2-L09PTS</v>
      </c>
      <c r="Q1298" s="76"/>
      <c r="R1298" s="76" t="str">
        <f t="array" ref="R1298:R1299">{"CLASSABILITY2-L11PTS";((INDEX(ALLCLASSDATA,MATCH("ClassAbility2-L11",CLASSFEATUREHEADERS,0),MATCH(($A1299 &amp; "Points"),CLASSNAMEHEADERS,0))))}</f>
        <v>CLASSABILITY2-L11PTS</v>
      </c>
      <c r="S1298" s="76"/>
      <c r="T1298" s="76" t="str">
        <f t="array" ref="T1298:T1299">{"CLASSABILITY2-L13PTS";((INDEX(ALLCLASSDATA,MATCH("ClassAbility2-L13",CLASSFEATUREHEADERS,0),MATCH(($A1299 &amp; "Points"),CLASSNAMEHEADERS,0))))}</f>
        <v>CLASSABILITY2-L13PTS</v>
      </c>
      <c r="U1298" s="76"/>
      <c r="V1298" s="76" t="str">
        <f t="array" ref="V1298:V1299">{"CLASSABILITY2-L15PTS";((INDEX(ALLCLASSDATA,MATCH("ClassAbility2-L15",CLASSFEATUREHEADERS,0),MATCH(($A1299 &amp; "Points"),CLASSNAMEHEADERS,0))))}</f>
        <v>CLASSABILITY2-L15PTS</v>
      </c>
      <c r="W1298" s="76"/>
      <c r="X1298" s="76" t="str">
        <f t="array" ref="X1298:X1299">{"CLASSABILITY2-L17PTS";((INDEX(ALLCLASSDATA,MATCH("ClassAbility2-L17",CLASSFEATUREHEADERS,0),MATCH(($A1299 &amp; "Points"),CLASSNAMEHEADERS,0))))}</f>
        <v>CLASSABILITY2-L17PTS</v>
      </c>
      <c r="Y1298" s="76"/>
      <c r="Z1298" s="76" t="str">
        <f t="array" ref="Z1298:Z1299">{"CLASSABILITY2-L19PTS";((INDEX(ALLCLASSDATA,MATCH("ClassAbility2-L19",CLASSFEATUREHEADERS,0),MATCH(($A1299 &amp; "Points"),CLASSNAMEHEADERS,0))))}</f>
        <v>CLASSABILITY2-L19PTS</v>
      </c>
      <c r="AA1298" s="76"/>
      <c r="AB1298" s="76"/>
      <c r="AC1298" s="76" t="str">
        <f t="array" ref="AC1298:AC1299">{"CLASSABILITY2 TOTAL";(sum(G1299:AA1299))}</f>
        <v>CLASSABILITY2 TOTAL</v>
      </c>
    </row>
    <row r="1299">
      <c r="A1299" s="48" t="s">
        <v>211</v>
      </c>
      <c r="B1299" s="48"/>
      <c r="C1299" s="48" t="s">
        <v>417</v>
      </c>
      <c r="D1299" s="48" t="s">
        <v>930</v>
      </c>
      <c r="E1299" s="48" t="s">
        <v>1007</v>
      </c>
      <c r="F1299" s="48"/>
      <c r="G1299" s="47"/>
      <c r="H1299" s="5"/>
      <c r="I1299" s="5"/>
      <c r="J1299" s="5"/>
      <c r="K1299" s="5"/>
      <c r="L1299" s="5"/>
      <c r="M1299" s="5"/>
      <c r="N1299" s="5"/>
      <c r="O1299" s="5"/>
      <c r="P1299" s="5"/>
      <c r="Q1299" s="5"/>
      <c r="R1299" s="5"/>
      <c r="S1299" s="5"/>
      <c r="T1299" s="5"/>
      <c r="U1299" s="5"/>
      <c r="V1299" s="5"/>
      <c r="W1299" s="5"/>
      <c r="X1299" s="5"/>
      <c r="Y1299" s="5"/>
      <c r="Z1299" s="5"/>
      <c r="AA1299" s="5"/>
      <c r="AB1299" s="5"/>
      <c r="AC1299" s="47">
        <v>0.0</v>
      </c>
    </row>
    <row r="1300" hidden="1">
      <c r="A1300" s="76" t="str">
        <f t="array" ref="A1300:A1301">{"FormulaRow12";(INDEX(CLASSLIST,A1277,1))}</f>
        <v>FormulaRow12</v>
      </c>
      <c r="B1300" s="77" t="s">
        <v>236</v>
      </c>
      <c r="C1300" s="76" t="str">
        <f t="array" ref="C1300:C1301">{"CLASSTYPE";((INDEX(ALLCLASSDATA,MATCH("ClassType",CLASSFEATUREHEADERS,0),MATCH($A1301,CLASSNAMEHEADERS,0))))}</f>
        <v>CLASSTYPE</v>
      </c>
      <c r="D1300" s="76" t="str">
        <f t="array" ref="D1300:D1301">{"CLASSABILITY";"ClassAbility"}</f>
        <v>CLASSABILITY</v>
      </c>
      <c r="E1300" s="76" t="str">
        <f t="array" ref="E1300:E1301">{"CLASSABILITY3";"ClassAbility3"}</f>
        <v>CLASSABILITY3</v>
      </c>
      <c r="F1300" s="76"/>
      <c r="G1300" s="76"/>
      <c r="H1300" s="76"/>
      <c r="I1300" s="76"/>
      <c r="J1300" s="76" t="str">
        <f t="array" ref="J1300:J1301">{"CLASSABILITY3-L03";((INDEX(ALLCLASSDATA,MATCH("ClassAbility3-L03",CLASSFEATUREHEADERS,0),MATCH(($A1301),CLASSNAMEHEADERS,0))))}</f>
        <v>CLASSABILITY3-L03</v>
      </c>
      <c r="K1300" s="76"/>
      <c r="L1300" s="76" t="str">
        <f t="array" ref="L1300:L1301">{"CLASSABILITY3-L05";((INDEX(ALLCLASSDATA,MATCH("ClassAbility3-L05",CLASSFEATUREHEADERS,0),MATCH(($A1301),CLASSNAMEHEADERS,0))))}</f>
        <v>CLASSABILITY3-L05</v>
      </c>
      <c r="M1300" s="76"/>
      <c r="N1300" s="76" t="str">
        <f t="array" ref="N1300:N1301">{"CLASSABILITY3-L07";((INDEX(ALLCLASSDATA,MATCH("ClassAbility3-L07",CLASSFEATUREHEADERS,0),MATCH(($A1301),CLASSNAMEHEADERS,0))))}</f>
        <v>CLASSABILITY3-L07</v>
      </c>
      <c r="O1300" s="76"/>
      <c r="P1300" s="76" t="str">
        <f t="array" ref="P1300:P1301">{"CLASSABILITY3-L09";((INDEX(ALLCLASSDATA,MATCH("ClassAbility3-L09",CLASSFEATUREHEADERS,0),MATCH(($A1301),CLASSNAMEHEADERS,0))))}</f>
        <v>CLASSABILITY3-L09</v>
      </c>
      <c r="Q1300" s="76"/>
      <c r="R1300" s="76" t="str">
        <f t="array" ref="R1300:R1301">{"CLASSABILITY3-L11";((INDEX(ALLCLASSDATA,MATCH("ClassAbility3-L11",CLASSFEATUREHEADERS,0),MATCH(($A1301),CLASSNAMEHEADERS,0))))}</f>
        <v>CLASSABILITY3-L11</v>
      </c>
      <c r="S1300" s="76"/>
      <c r="T1300" s="76" t="str">
        <f t="array" ref="T1300:T1301">{"CLASSABILITY3-L13";((INDEX(ALLCLASSDATA,MATCH("ClassAbility3-L13",CLASSFEATUREHEADERS,0),MATCH(($A1301),CLASSNAMEHEADERS,0))))}</f>
        <v>CLASSABILITY3-L13</v>
      </c>
      <c r="U1300" s="76"/>
      <c r="V1300" s="76" t="str">
        <f t="array" ref="V1300:V1301">{"CLASSABILITY3-L15";((INDEX(ALLCLASSDATA,MATCH("ClassAbility3-L15",CLASSFEATUREHEADERS,0),MATCH(($A1301),CLASSNAMEHEADERS,0))))}</f>
        <v>CLASSABILITY3-L15</v>
      </c>
      <c r="W1300" s="76"/>
      <c r="X1300" s="76" t="str">
        <f t="array" ref="X1300:X1301">{"CLASSABILITY3-L17";((INDEX(ALLCLASSDATA,MATCH("ClassAbility3-L17",CLASSFEATUREHEADERS,0),MATCH(($A1301),CLASSNAMEHEADERS,0))))}</f>
        <v>CLASSABILITY3-L17</v>
      </c>
      <c r="Y1300" s="76"/>
      <c r="Z1300" s="76" t="str">
        <f t="array" ref="Z1300:Z1301">{"CLASSABILITY3-L19";((INDEX(ALLCLASSDATA,MATCH("ClassAbility3-L19",CLASSFEATUREHEADERS,0),MATCH(($A1301),CLASSNAMEHEADERS,0))))}</f>
        <v>CLASSABILITY3-L19</v>
      </c>
      <c r="AA1300" s="76"/>
      <c r="AB1300" s="76"/>
      <c r="AC1300" s="76"/>
    </row>
    <row r="1301">
      <c r="A1301" s="48" t="s">
        <v>211</v>
      </c>
      <c r="B1301" s="48"/>
      <c r="C1301" s="48" t="s">
        <v>417</v>
      </c>
      <c r="D1301" s="48" t="s">
        <v>825</v>
      </c>
      <c r="E1301" s="48" t="s">
        <v>1144</v>
      </c>
      <c r="F1301" s="48"/>
      <c r="G1301" s="47"/>
      <c r="H1301" s="5"/>
      <c r="I1301" s="5"/>
      <c r="J1301" s="5"/>
      <c r="K1301" s="5"/>
      <c r="L1301" s="5"/>
      <c r="M1301" s="5"/>
      <c r="N1301" s="5"/>
      <c r="O1301" s="5"/>
      <c r="P1301" s="5"/>
      <c r="Q1301" s="5"/>
      <c r="R1301" s="5"/>
      <c r="S1301" s="5"/>
      <c r="T1301" s="5"/>
      <c r="U1301" s="5"/>
      <c r="V1301" s="5"/>
      <c r="W1301" s="5"/>
      <c r="X1301" s="5"/>
      <c r="Y1301" s="5"/>
      <c r="Z1301" s="5"/>
      <c r="AA1301" s="5"/>
      <c r="AB1301" s="5"/>
      <c r="AC1301" s="47"/>
    </row>
    <row r="1302" hidden="1">
      <c r="A1302" s="76" t="str">
        <f t="array" ref="A1302:A1303">{"FormulaRow13";(INDEX(CLASSLIST,A1277,1))}</f>
        <v>FormulaRow13</v>
      </c>
      <c r="B1302" s="77" t="s">
        <v>236</v>
      </c>
      <c r="C1302" s="76" t="str">
        <f t="array" ref="C1302:C1303">{"CLASSTYPE";((INDEX(ALLCLASSDATA,MATCH("ClassType",CLASSFEATUREHEADERS,0),MATCH($A1303,CLASSNAMEHEADERS,0))))}</f>
        <v>CLASSTYPE</v>
      </c>
      <c r="D1302" s="76" t="str">
        <f t="array" ref="D1302:D1303">{"CLASSABILITYPTS";"ClassAbilityPts"}</f>
        <v>CLASSABILITYPTS</v>
      </c>
      <c r="E1302" s="76" t="str">
        <f t="array" ref="E1302:E1303">{"CLASSABILITY3";"ClassAbility3"}</f>
        <v>CLASSABILITY3</v>
      </c>
      <c r="F1302" s="76"/>
      <c r="G1302" s="76"/>
      <c r="H1302" s="76"/>
      <c r="I1302" s="76"/>
      <c r="J1302" s="76" t="str">
        <f t="array" ref="J1302:J1303">{"CLASSABILITY3-L03PTS";((INDEX(ALLCLASSDATA,MATCH("ClassAbility3-L03",CLASSFEATUREHEADERS,0),MATCH(($A1303 &amp; "Points"),CLASSNAMEHEADERS,0))))}</f>
        <v>CLASSABILITY3-L03PTS</v>
      </c>
      <c r="K1302" s="76"/>
      <c r="L1302" s="76" t="str">
        <f t="array" ref="L1302:L1303">{"CLASSABILITY3-L05PTS";((INDEX(ALLCLASSDATA,MATCH("ClassAbility3-L05",CLASSFEATUREHEADERS,0),MATCH(($A1303 &amp; "Points"),CLASSNAMEHEADERS,0))))}</f>
        <v>CLASSABILITY3-L05PTS</v>
      </c>
      <c r="M1302" s="76"/>
      <c r="N1302" s="76" t="str">
        <f t="array" ref="N1302:N1303">{"CLASSABILITY3-L07PTS";((INDEX(ALLCLASSDATA,MATCH("ClassAbility3-L07",CLASSFEATUREHEADERS,0),MATCH(($A1303 &amp; "Points"),CLASSNAMEHEADERS,0))))}</f>
        <v>CLASSABILITY3-L07PTS</v>
      </c>
      <c r="O1302" s="76"/>
      <c r="P1302" s="76" t="str">
        <f t="array" ref="P1302:P1303">{"CLASSABILITY3-L09PTS";((INDEX(ALLCLASSDATA,MATCH("ClassAbility3-L09",CLASSFEATUREHEADERS,0),MATCH(($A1303 &amp; "Points"),CLASSNAMEHEADERS,0))))}</f>
        <v>CLASSABILITY3-L09PTS</v>
      </c>
      <c r="Q1302" s="76"/>
      <c r="R1302" s="76" t="str">
        <f t="array" ref="R1302:R1303">{"CLASSABILITY3-L11PTS";((INDEX(ALLCLASSDATA,MATCH("ClassAbility3-L11",CLASSFEATUREHEADERS,0),MATCH(($A1303 &amp; "Points"),CLASSNAMEHEADERS,0))))}</f>
        <v>CLASSABILITY3-L11PTS</v>
      </c>
      <c r="S1302" s="76"/>
      <c r="T1302" s="76" t="str">
        <f t="array" ref="T1302:T1303">{"CLASSABILITY3-L13PTS";((INDEX(ALLCLASSDATA,MATCH("ClassAbility3-L13",CLASSFEATUREHEADERS,0),MATCH(($A1303 &amp; "Points"),CLASSNAMEHEADERS,0))))}</f>
        <v>CLASSABILITY3-L13PTS</v>
      </c>
      <c r="U1302" s="76"/>
      <c r="V1302" s="76" t="str">
        <f t="array" ref="V1302:V1303">{"CLASSABILITY3-L15PTS";((INDEX(ALLCLASSDATA,MATCH("ClassAbility3-L15",CLASSFEATUREHEADERS,0),MATCH(($A1303 &amp; "Points"),CLASSNAMEHEADERS,0))))}</f>
        <v>CLASSABILITY3-L15PTS</v>
      </c>
      <c r="W1302" s="76"/>
      <c r="X1302" s="76" t="str">
        <f t="array" ref="X1302:X1303">{"CLASSABILITY3-L17PTS";((INDEX(ALLCLASSDATA,MATCH("ClassAbility3-L17",CLASSFEATUREHEADERS,0),MATCH(($A1303 &amp; "Points"),CLASSNAMEHEADERS,0))))}</f>
        <v>CLASSABILITY3-L17PTS</v>
      </c>
      <c r="Y1302" s="76"/>
      <c r="Z1302" s="76" t="str">
        <f t="array" ref="Z1302:Z1303">{"CLASSABILITY3-L19PTS";((INDEX(ALLCLASSDATA,MATCH("ClassAbility3-L19",CLASSFEATUREHEADERS,0),MATCH(($A1303 &amp; "Points"),CLASSNAMEHEADERS,0))))}</f>
        <v>CLASSABILITY3-L19PTS</v>
      </c>
      <c r="AA1302" s="76"/>
      <c r="AB1302" s="76"/>
      <c r="AC1302" s="76" t="str">
        <f t="array" ref="AC1302:AC1303">{"CLASSABILITY3 TOTAL";(sum(G1303:AA1303))}</f>
        <v>CLASSABILITY3 TOTAL</v>
      </c>
    </row>
    <row r="1303">
      <c r="A1303" s="48" t="s">
        <v>211</v>
      </c>
      <c r="B1303" s="48"/>
      <c r="C1303" s="48" t="s">
        <v>417</v>
      </c>
      <c r="D1303" s="48" t="s">
        <v>930</v>
      </c>
      <c r="E1303" s="48" t="s">
        <v>1144</v>
      </c>
      <c r="F1303" s="48"/>
      <c r="G1303" s="47"/>
      <c r="H1303" s="5"/>
      <c r="I1303" s="5"/>
      <c r="J1303" s="5"/>
      <c r="K1303" s="5"/>
      <c r="L1303" s="5"/>
      <c r="M1303" s="5"/>
      <c r="N1303" s="5"/>
      <c r="O1303" s="5"/>
      <c r="P1303" s="5"/>
      <c r="Q1303" s="5"/>
      <c r="R1303" s="5"/>
      <c r="S1303" s="5"/>
      <c r="T1303" s="5"/>
      <c r="U1303" s="5"/>
      <c r="V1303" s="5"/>
      <c r="W1303" s="5"/>
      <c r="X1303" s="5"/>
      <c r="Y1303" s="5"/>
      <c r="Z1303" s="5"/>
      <c r="AA1303" s="5"/>
      <c r="AB1303" s="5"/>
      <c r="AC1303" s="47">
        <v>0.0</v>
      </c>
    </row>
    <row r="1304" hidden="1">
      <c r="A1304" s="76" t="str">
        <f t="array" ref="A1304:A1305">{"FormulaRow14";(INDEX(CLASSLIST,A1277,1))}</f>
        <v>FormulaRow14</v>
      </c>
      <c r="B1304" s="77" t="s">
        <v>236</v>
      </c>
      <c r="C1304" s="76" t="str">
        <f t="array" ref="C1304:C1305">{"CLASSTYPE";((INDEX(ALLCLASSDATA,MATCH("ClassType",CLASSFEATUREHEADERS,0),MATCH($A1305,CLASSNAMEHEADERS,0))))}</f>
        <v>CLASSTYPE</v>
      </c>
      <c r="D1304" s="76" t="str">
        <f t="array" ref="D1304:D1305">{"CLASSABILITY";"ClassAbility"}</f>
        <v>CLASSABILITY</v>
      </c>
      <c r="E1304" s="76" t="str">
        <f t="array" ref="E1304:E1305">{"CLASSABILITY4";"ClassAbility4"}</f>
        <v>CLASSABILITY4</v>
      </c>
      <c r="F1304" s="76"/>
      <c r="G1304" s="76"/>
      <c r="H1304" s="76"/>
      <c r="I1304" s="76"/>
      <c r="J1304" s="76" t="str">
        <f t="array" ref="J1304:J1305">{"CLASSABILITY4-L03";((INDEX(ALLCLASSDATA,MATCH("ClassAbility4-L03",CLASSFEATUREHEADERS,0),MATCH(($A1305),CLASSNAMEHEADERS,0))))}</f>
        <v>CLASSABILITY4-L03</v>
      </c>
      <c r="K1304" s="76"/>
      <c r="L1304" s="76" t="str">
        <f t="array" ref="L1304:L1305">{"CLASSABILITY4-L05";((INDEX(ALLCLASSDATA,MATCH("ClassAbility4-L05",CLASSFEATUREHEADERS,0),MATCH(($A1305),CLASSNAMEHEADERS,0))))}</f>
        <v>CLASSABILITY4-L05</v>
      </c>
      <c r="M1304" s="76"/>
      <c r="N1304" s="76" t="str">
        <f t="array" ref="N1304:N1305">{"CLASSABILITY4-L07";((INDEX(ALLCLASSDATA,MATCH("ClassAbility4-L07",CLASSFEATUREHEADERS,0),MATCH(($A1305),CLASSNAMEHEADERS,0))))}</f>
        <v>CLASSABILITY4-L07</v>
      </c>
      <c r="O1304" s="76"/>
      <c r="P1304" s="76" t="str">
        <f t="array" ref="P1304:P1305">{"CLASSABILITY4-L09";((INDEX(ALLCLASSDATA,MATCH("ClassAbility4-L09",CLASSFEATUREHEADERS,0),MATCH(($A1305),CLASSNAMEHEADERS,0))))}</f>
        <v>CLASSABILITY4-L09</v>
      </c>
      <c r="Q1304" s="76"/>
      <c r="R1304" s="76" t="str">
        <f t="array" ref="R1304:R1305">{"CLASSABILITY4-L11";((INDEX(ALLCLASSDATA,MATCH("ClassAbility4-L11",CLASSFEATUREHEADERS,0),MATCH(($A1305),CLASSNAMEHEADERS,0))))}</f>
        <v>CLASSABILITY4-L11</v>
      </c>
      <c r="S1304" s="76"/>
      <c r="T1304" s="76" t="str">
        <f t="array" ref="T1304:T1305">{"CLASSABILITY4-L13";((INDEX(ALLCLASSDATA,MATCH("ClassAbility4-L13",CLASSFEATUREHEADERS,0),MATCH(($A1305),CLASSNAMEHEADERS,0))))}</f>
        <v>CLASSABILITY4-L13</v>
      </c>
      <c r="U1304" s="76"/>
      <c r="V1304" s="76" t="str">
        <f t="array" ref="V1304:V1305">{"CLASSABILITY4-L15";((INDEX(ALLCLASSDATA,MATCH("ClassAbility4-L15",CLASSFEATUREHEADERS,0),MATCH(($A1305),CLASSNAMEHEADERS,0))))}</f>
        <v>CLASSABILITY4-L15</v>
      </c>
      <c r="W1304" s="76"/>
      <c r="X1304" s="76" t="str">
        <f t="array" ref="X1304:X1305">{"CLASSABILITY4-L17";((INDEX(ALLCLASSDATA,MATCH("ClassAbility4-L17",CLASSFEATUREHEADERS,0),MATCH(($A1305),CLASSNAMEHEADERS,0))))}</f>
        <v>CLASSABILITY4-L17</v>
      </c>
      <c r="Y1304" s="76"/>
      <c r="Z1304" s="76" t="str">
        <f t="array" ref="Z1304:Z1305">{"CLASSABILITY4-L19";((INDEX(ALLCLASSDATA,MATCH("ClassAbility4-L19",CLASSFEATUREHEADERS,0),MATCH(($A1305),CLASSNAMEHEADERS,0))))}</f>
        <v>CLASSABILITY4-L19</v>
      </c>
      <c r="AA1304" s="76"/>
      <c r="AB1304" s="76"/>
      <c r="AC1304" s="76"/>
    </row>
    <row r="1305">
      <c r="A1305" s="48" t="s">
        <v>211</v>
      </c>
      <c r="B1305" s="48"/>
      <c r="C1305" s="48" t="s">
        <v>417</v>
      </c>
      <c r="D1305" s="48" t="s">
        <v>825</v>
      </c>
      <c r="E1305" s="48" t="s">
        <v>1273</v>
      </c>
      <c r="F1305" s="48"/>
      <c r="G1305" s="47"/>
      <c r="H1305" s="5"/>
      <c r="I1305" s="5"/>
      <c r="J1305" s="5"/>
      <c r="K1305" s="5"/>
      <c r="L1305" s="5"/>
      <c r="M1305" s="5"/>
      <c r="N1305" s="5"/>
      <c r="O1305" s="5"/>
      <c r="P1305" s="5"/>
      <c r="Q1305" s="5"/>
      <c r="R1305" s="5"/>
      <c r="S1305" s="5"/>
      <c r="T1305" s="5"/>
      <c r="U1305" s="5"/>
      <c r="V1305" s="5"/>
      <c r="W1305" s="5"/>
      <c r="X1305" s="5"/>
      <c r="Y1305" s="5"/>
      <c r="Z1305" s="5"/>
      <c r="AA1305" s="5"/>
      <c r="AB1305" s="5"/>
      <c r="AC1305" s="47"/>
    </row>
    <row r="1306" hidden="1">
      <c r="A1306" s="76" t="str">
        <f t="array" ref="A1306:A1307">{"FormulaRow15";(INDEX(CLASSLIST,A1277,1))}</f>
        <v>FormulaRow15</v>
      </c>
      <c r="B1306" s="77" t="s">
        <v>236</v>
      </c>
      <c r="C1306" s="76" t="str">
        <f t="array" ref="C1306:C1307">{"CLASSTYPE";((INDEX(ALLCLASSDATA,MATCH("ClassType",CLASSFEATUREHEADERS,0),MATCH($A1307,CLASSNAMEHEADERS,0))))}</f>
        <v>CLASSTYPE</v>
      </c>
      <c r="D1306" s="76" t="str">
        <f t="array" ref="D1306:D1307">{"CLASSABILITYPTS";"ClassAbilityPts"}</f>
        <v>CLASSABILITYPTS</v>
      </c>
      <c r="E1306" s="76" t="str">
        <f t="array" ref="E1306:E1307">{"CLASSABILITY4";"ClassAbility4"}</f>
        <v>CLASSABILITY4</v>
      </c>
      <c r="F1306" s="76"/>
      <c r="G1306" s="76"/>
      <c r="H1306" s="76"/>
      <c r="I1306" s="76"/>
      <c r="J1306" s="76" t="str">
        <f t="array" ref="J1306:J1307">{"CLASSABILITY4-L03PTS";((INDEX(ALLCLASSDATA,MATCH("ClassAbility4-L03",CLASSFEATUREHEADERS,0),MATCH(($A1307 &amp; "Points"),CLASSNAMEHEADERS,0))))}</f>
        <v>CLASSABILITY4-L03PTS</v>
      </c>
      <c r="K1306" s="76"/>
      <c r="L1306" s="76" t="str">
        <f t="array" ref="L1306:L1307">{"CLASSABILITY4-L05PTS";((INDEX(ALLCLASSDATA,MATCH("ClassAbility4-L05",CLASSFEATUREHEADERS,0),MATCH(($A1307 &amp; "Points"),CLASSNAMEHEADERS,0))))}</f>
        <v>CLASSABILITY4-L05PTS</v>
      </c>
      <c r="M1306" s="76"/>
      <c r="N1306" s="76" t="str">
        <f t="array" ref="N1306:N1307">{"CLASSABILITY4-L07PTS";((INDEX(ALLCLASSDATA,MATCH("ClassAbility4-L07",CLASSFEATUREHEADERS,0),MATCH(($A1307 &amp; "Points"),CLASSNAMEHEADERS,0))))}</f>
        <v>CLASSABILITY4-L07PTS</v>
      </c>
      <c r="O1306" s="76"/>
      <c r="P1306" s="76" t="str">
        <f t="array" ref="P1306:P1307">{"CLASSABILITY4-L09PTS";((INDEX(ALLCLASSDATA,MATCH("ClassAbility4-L09",CLASSFEATUREHEADERS,0),MATCH(($A1307 &amp; "Points"),CLASSNAMEHEADERS,0))))}</f>
        <v>CLASSABILITY4-L09PTS</v>
      </c>
      <c r="Q1306" s="76"/>
      <c r="R1306" s="76" t="str">
        <f t="array" ref="R1306:R1307">{"CLASSABILITY4-L11PTS";((INDEX(ALLCLASSDATA,MATCH("ClassAbility4-L11",CLASSFEATUREHEADERS,0),MATCH(($A1307 &amp; "Points"),CLASSNAMEHEADERS,0))))}</f>
        <v>CLASSABILITY4-L11PTS</v>
      </c>
      <c r="S1306" s="76"/>
      <c r="T1306" s="76" t="str">
        <f t="array" ref="T1306:T1307">{"CLASSABILITY4-L13PTS";((INDEX(ALLCLASSDATA,MATCH("ClassAbility4-L13",CLASSFEATUREHEADERS,0),MATCH(($A1307 &amp; "Points"),CLASSNAMEHEADERS,0))))}</f>
        <v>CLASSABILITY4-L13PTS</v>
      </c>
      <c r="U1306" s="76"/>
      <c r="V1306" s="76" t="str">
        <f t="array" ref="V1306:V1307">{"CLASSABILITY4-L15PTS";((INDEX(ALLCLASSDATA,MATCH("ClassAbility4-L15",CLASSFEATUREHEADERS,0),MATCH(($A1307 &amp; "Points"),CLASSNAMEHEADERS,0))))}</f>
        <v>CLASSABILITY4-L15PTS</v>
      </c>
      <c r="W1306" s="76"/>
      <c r="X1306" s="76" t="str">
        <f t="array" ref="X1306:X1307">{"CLASSABILITY4-L17PTS";((INDEX(ALLCLASSDATA,MATCH("ClassAbility4-L17",CLASSFEATUREHEADERS,0),MATCH(($A1307 &amp; "Points"),CLASSNAMEHEADERS,0))))}</f>
        <v>CLASSABILITY4-L17PTS</v>
      </c>
      <c r="Y1306" s="76"/>
      <c r="Z1306" s="76" t="str">
        <f t="array" ref="Z1306:Z1307">{"CLASSABILITY4-L19PTS";((INDEX(ALLCLASSDATA,MATCH("ClassAbility4-L19",CLASSFEATUREHEADERS,0),MATCH(($A1307 &amp; "Points"),CLASSNAMEHEADERS,0))))}</f>
        <v>CLASSABILITY4-L19PTS</v>
      </c>
      <c r="AA1306" s="76"/>
      <c r="AB1306" s="76"/>
      <c r="AC1306" s="76" t="str">
        <f t="array" ref="AC1306:AC1307">{"CLASSABILITY4 TOTAL";(sum(G1307:AA1307))}</f>
        <v>CLASSABILITY4 TOTAL</v>
      </c>
    </row>
    <row r="1307">
      <c r="A1307" s="48" t="s">
        <v>211</v>
      </c>
      <c r="B1307" s="48"/>
      <c r="C1307" s="48" t="s">
        <v>417</v>
      </c>
      <c r="D1307" s="48" t="s">
        <v>930</v>
      </c>
      <c r="E1307" s="48" t="s">
        <v>1273</v>
      </c>
      <c r="F1307" s="48"/>
      <c r="G1307" s="47"/>
      <c r="H1307" s="5"/>
      <c r="I1307" s="5"/>
      <c r="J1307" s="5"/>
      <c r="K1307" s="5"/>
      <c r="L1307" s="5"/>
      <c r="M1307" s="5"/>
      <c r="N1307" s="5"/>
      <c r="O1307" s="5"/>
      <c r="P1307" s="5"/>
      <c r="Q1307" s="5"/>
      <c r="R1307" s="5"/>
      <c r="S1307" s="5"/>
      <c r="T1307" s="5"/>
      <c r="U1307" s="5"/>
      <c r="V1307" s="5"/>
      <c r="W1307" s="5"/>
      <c r="X1307" s="5"/>
      <c r="Y1307" s="5"/>
      <c r="Z1307" s="5"/>
      <c r="AA1307" s="5"/>
      <c r="AB1307" s="5"/>
      <c r="AC1307" s="47">
        <v>0.0</v>
      </c>
    </row>
    <row r="1308" hidden="1">
      <c r="A1308" s="76" t="str">
        <f t="array" ref="A1308:A1309">{"FormulaRow16";(INDEX(CLASSLIST,A1277,1))}</f>
        <v>FormulaRow16</v>
      </c>
      <c r="B1308" s="77" t="s">
        <v>236</v>
      </c>
      <c r="C1308" s="76" t="str">
        <f t="array" ref="C1308:C1309">{"CLASSTYPE";((INDEX(ALLCLASSDATA,MATCH("ClassType",CLASSFEATUREHEADERS,0),MATCH($A1309,CLASSNAMEHEADERS,0))))}</f>
        <v>CLASSTYPE</v>
      </c>
      <c r="D1308" s="76" t="str">
        <f t="array" ref="D1308:D1309">{"CLASSABILITY";"ClassAbility"}</f>
        <v>CLASSABILITY</v>
      </c>
      <c r="E1308" s="76" t="str">
        <f t="array" ref="E1308:E1309">{"SUBCLASSABILITY1";"SubclassAbility1"}</f>
        <v>SUBCLASSABILITY1</v>
      </c>
      <c r="F1308" s="76"/>
      <c r="G1308" s="76"/>
      <c r="H1308" s="76"/>
      <c r="I1308" s="76"/>
      <c r="J1308" s="76" t="str">
        <f t="array" ref="J1308:J1309">{"SUBCLASSABILITY1-L03";((INDEX(ALLCLASSDATA,MATCH("SubclassAbility1-L03",CLASSFEATUREHEADERS,0),MATCH(($A1309),CLASSNAMEHEADERS,0))))}</f>
        <v>SUBCLASSABILITY1-L03</v>
      </c>
      <c r="K1308" s="76"/>
      <c r="L1308" s="76" t="str">
        <f t="array" ref="L1308:L1309">{"SUBCLASSABILITY1-L05";((INDEX(ALLCLASSDATA,MATCH("SubclassAbility1-L05",CLASSFEATUREHEADERS,0),MATCH(($A1309),CLASSNAMEHEADERS,0))))}</f>
        <v>SUBCLASSABILITY1-L05</v>
      </c>
      <c r="M1308" s="76"/>
      <c r="N1308" s="76" t="str">
        <f t="array" ref="N1308:N1309">{"SUBCLASSABILITY1-L07";((INDEX(ALLCLASSDATA,MATCH("SubclassAbility1-L07",CLASSFEATUREHEADERS,0),MATCH(($A1309),CLASSNAMEHEADERS,0))))}</f>
        <v>SUBCLASSABILITY1-L07</v>
      </c>
      <c r="O1308" s="76"/>
      <c r="P1308" s="76" t="str">
        <f t="array" ref="P1308:P1309">{"SUBCLASSABILITY1-L09";((INDEX(ALLCLASSDATA,MATCH("SubclassAbility1-L09",CLASSFEATUREHEADERS,0),MATCH(($A1309),CLASSNAMEHEADERS,0))))}</f>
        <v>SUBCLASSABILITY1-L09</v>
      </c>
      <c r="Q1308" s="76"/>
      <c r="R1308" s="76" t="str">
        <f t="array" ref="R1308:R1309">{"SUBCLASSABILITY1-L11";((INDEX(ALLCLASSDATA,MATCH("SubclassAbility1-L11",CLASSFEATUREHEADERS,0),MATCH(($A1309),CLASSNAMEHEADERS,0))))}</f>
        <v>SUBCLASSABILITY1-L11</v>
      </c>
      <c r="S1308" s="76"/>
      <c r="T1308" s="76" t="str">
        <f t="array" ref="T1308:T1309">{"SUBCLASSABILITY1-L13";((INDEX(ALLCLASSDATA,MATCH("SubclassAbility1-L13",CLASSFEATUREHEADERS,0),MATCH(($A1309),CLASSNAMEHEADERS,0))))}</f>
        <v>SUBCLASSABILITY1-L13</v>
      </c>
      <c r="U1308" s="76"/>
      <c r="V1308" s="76" t="str">
        <f t="array" ref="V1308:V1309">{"SUBCLASSABILITY1-L15";((INDEX(ALLCLASSDATA,MATCH("SubclassAbility1-L15",CLASSFEATUREHEADERS,0),MATCH(($A1309),CLASSNAMEHEADERS,0))))}</f>
        <v>SUBCLASSABILITY1-L15</v>
      </c>
      <c r="W1308" s="76"/>
      <c r="X1308" s="76" t="str">
        <f t="array" ref="X1308:X1309">{"SUBCLASSABILITY1-L17";((INDEX(ALLCLASSDATA,MATCH("SubclassAbility1-L17",CLASSFEATUREHEADERS,0),MATCH(($A1309),CLASSNAMEHEADERS,0))))}</f>
        <v>SUBCLASSABILITY1-L17</v>
      </c>
      <c r="Y1308" s="76"/>
      <c r="Z1308" s="76" t="str">
        <f t="array" ref="Z1308:Z1309">{"SUBCLASSABILITY1-L19";((INDEX(ALLCLASSDATA,MATCH("SubclassAbility1-L19",CLASSFEATUREHEADERS,0),MATCH(($A1309),CLASSNAMEHEADERS,0))))}</f>
        <v>SUBCLASSABILITY1-L19</v>
      </c>
      <c r="AA1308" s="76"/>
      <c r="AB1308" s="76"/>
      <c r="AC1308" s="76"/>
    </row>
    <row r="1309">
      <c r="A1309" s="48" t="s">
        <v>211</v>
      </c>
      <c r="B1309" s="48"/>
      <c r="C1309" s="48" t="s">
        <v>417</v>
      </c>
      <c r="D1309" s="48" t="s">
        <v>825</v>
      </c>
      <c r="E1309" s="28" t="s">
        <v>1355</v>
      </c>
      <c r="F1309" s="5"/>
      <c r="G1309" s="47"/>
      <c r="H1309" s="5"/>
      <c r="I1309" s="5"/>
      <c r="J1309" s="5" t="s">
        <v>1188</v>
      </c>
      <c r="K1309" s="5"/>
      <c r="L1309" s="5"/>
      <c r="M1309" s="5"/>
      <c r="N1309" s="5" t="s">
        <v>1189</v>
      </c>
      <c r="O1309" s="5"/>
      <c r="P1309" s="5"/>
      <c r="Q1309" s="5"/>
      <c r="R1309" s="5" t="s">
        <v>1190</v>
      </c>
      <c r="S1309" s="5"/>
      <c r="T1309" s="5"/>
      <c r="U1309" s="5"/>
      <c r="V1309" s="5" t="s">
        <v>1191</v>
      </c>
      <c r="W1309" s="5"/>
      <c r="X1309" s="5"/>
      <c r="Y1309" s="5"/>
      <c r="Z1309" s="5" t="s">
        <v>1462</v>
      </c>
      <c r="AA1309" s="5"/>
      <c r="AB1309" s="5"/>
      <c r="AC1309" s="47"/>
    </row>
    <row r="1310" hidden="1">
      <c r="A1310" s="76" t="str">
        <f t="array" ref="A1310:A1311">{"FormulaRow17";(INDEX(CLASSLIST,A1277,1))}</f>
        <v>FormulaRow17</v>
      </c>
      <c r="B1310" s="77" t="s">
        <v>236</v>
      </c>
      <c r="C1310" s="76" t="str">
        <f t="array" ref="C1310:C1311">{"CLASSTYPE";((INDEX(ALLCLASSDATA,MATCH("ClassType",CLASSFEATUREHEADERS,0),MATCH($A1311,CLASSNAMEHEADERS,0))))}</f>
        <v>CLASSTYPE</v>
      </c>
      <c r="D1310" s="76" t="str">
        <f t="array" ref="D1310:D1311">{"CLASSABILITYPTS";"ClassAbilityPts"}</f>
        <v>CLASSABILITYPTS</v>
      </c>
      <c r="E1310" s="76" t="str">
        <f t="array" ref="E1310:E1311">{"SUBCLASSABILITY1";"SubclassAbility1"}</f>
        <v>SUBCLASSABILITY1</v>
      </c>
      <c r="F1310" s="76"/>
      <c r="G1310" s="76"/>
      <c r="H1310" s="76"/>
      <c r="I1310" s="76"/>
      <c r="J1310" s="76" t="str">
        <f t="array" ref="J1310:J1311">{"SUBCLASSABILITY1-L03PTS";((INDEX(ALLCLASSDATA,MATCH("SubclassAbility1-L03",CLASSFEATUREHEADERS,0),MATCH(($A1311 &amp; "Points"),CLASSNAMEHEADERS,0))))}</f>
        <v>SUBCLASSABILITY1-L03PTS</v>
      </c>
      <c r="K1310" s="76"/>
      <c r="L1310" s="76" t="str">
        <f t="array" ref="L1310:L1311">{"SUBCLASSABILITY1-L05PTS";((INDEX(ALLCLASSDATA,MATCH("SubclassAbility1-L05",CLASSFEATUREHEADERS,0),MATCH(($A1311 &amp; "Points"),CLASSNAMEHEADERS,0))))}</f>
        <v>SUBCLASSABILITY1-L05PTS</v>
      </c>
      <c r="M1310" s="76"/>
      <c r="N1310" s="76" t="str">
        <f t="array" ref="N1310:N1311">{"SUBCLASSABILITY1-L07PTS";((INDEX(ALLCLASSDATA,MATCH("SubclassAbility1-L07",CLASSFEATUREHEADERS,0),MATCH(($A1311 &amp; "Points"),CLASSNAMEHEADERS,0))))}</f>
        <v>SUBCLASSABILITY1-L07PTS</v>
      </c>
      <c r="O1310" s="76"/>
      <c r="P1310" s="76" t="str">
        <f t="array" ref="P1310:P1311">{"SUBCLASSABILITY1-L09PTS";((INDEX(ALLCLASSDATA,MATCH("SubclassAbility1-L09",CLASSFEATUREHEADERS,0),MATCH(($A1311 &amp; "Points"),CLASSNAMEHEADERS,0))))}</f>
        <v>SUBCLASSABILITY1-L09PTS</v>
      </c>
      <c r="Q1310" s="76"/>
      <c r="R1310" s="76" t="str">
        <f t="array" ref="R1310:R1311">{"SUBCLASSABILITY1-L11PTS";((INDEX(ALLCLASSDATA,MATCH("SubclassAbility1-L11",CLASSFEATUREHEADERS,0),MATCH(($A1311 &amp; "Points"),CLASSNAMEHEADERS,0))))}</f>
        <v>SUBCLASSABILITY1-L11PTS</v>
      </c>
      <c r="S1310" s="76"/>
      <c r="T1310" s="76" t="str">
        <f t="array" ref="T1310:T1311">{"SUBCLASSABILITY1-L13PTS";((INDEX(ALLCLASSDATA,MATCH("SubclassAbility1-L13",CLASSFEATUREHEADERS,0),MATCH(($A1311 &amp; "Points"),CLASSNAMEHEADERS,0))))}</f>
        <v>SUBCLASSABILITY1-L13PTS</v>
      </c>
      <c r="U1310" s="76"/>
      <c r="V1310" s="76" t="str">
        <f t="array" ref="V1310:V1311">{"SUBCLASSABILITY1-L15PTS";((INDEX(ALLCLASSDATA,MATCH("SubclassAbility1-L15",CLASSFEATUREHEADERS,0),MATCH(($A1311 &amp; "Points"),CLASSNAMEHEADERS,0))))}</f>
        <v>SUBCLASSABILITY1-L15PTS</v>
      </c>
      <c r="W1310" s="76"/>
      <c r="X1310" s="76" t="str">
        <f t="array" ref="X1310:X1311">{"SUBCLASSABILITY1-L17PTS";((INDEX(ALLCLASSDATA,MATCH("SubclassAbility1-L17",CLASSFEATUREHEADERS,0),MATCH(($A1311 &amp; "Points"),CLASSNAMEHEADERS,0))))}</f>
        <v>SUBCLASSABILITY1-L17PTS</v>
      </c>
      <c r="Y1310" s="76"/>
      <c r="Z1310" s="76" t="str">
        <f t="array" ref="Z1310:Z1311">{"SUBCLASSABILITY1-L19PTS";((INDEX(ALLCLASSDATA,MATCH("SubclassAbility1-L19",CLASSFEATUREHEADERS,0),MATCH(($A1311 &amp; "Points"),CLASSNAMEHEADERS,0))))}</f>
        <v>SUBCLASSABILITY1-L19PTS</v>
      </c>
      <c r="AA1310" s="76"/>
      <c r="AB1310" s="76"/>
      <c r="AC1310" s="76" t="str">
        <f t="array" ref="AC1310:AC1311">{"SUBCLASSABILITY1 TOTAL";(sum(G1311:AA1311))}</f>
        <v>SUBCLASSABILITY1 TOTAL</v>
      </c>
    </row>
    <row r="1311">
      <c r="A1311" s="48" t="s">
        <v>211</v>
      </c>
      <c r="B1311" s="48"/>
      <c r="C1311" s="48" t="s">
        <v>417</v>
      </c>
      <c r="D1311" s="48" t="s">
        <v>930</v>
      </c>
      <c r="E1311" s="28" t="s">
        <v>1355</v>
      </c>
      <c r="F1311" s="5"/>
      <c r="G1311" s="47"/>
      <c r="H1311" s="5"/>
      <c r="I1311" s="5"/>
      <c r="J1311" s="5"/>
      <c r="K1311" s="5"/>
      <c r="L1311" s="5"/>
      <c r="M1311" s="5"/>
      <c r="N1311" s="5"/>
      <c r="O1311" s="5"/>
      <c r="P1311" s="5"/>
      <c r="Q1311" s="5"/>
      <c r="R1311" s="5"/>
      <c r="S1311" s="5"/>
      <c r="T1311" s="5"/>
      <c r="U1311" s="5"/>
      <c r="V1311" s="5"/>
      <c r="W1311" s="5"/>
      <c r="X1311" s="5"/>
      <c r="Y1311" s="5"/>
      <c r="Z1311" s="5"/>
      <c r="AA1311" s="5"/>
      <c r="AB1311" s="5"/>
      <c r="AC1311" s="47">
        <v>0.0</v>
      </c>
    </row>
    <row r="1312" hidden="1">
      <c r="A1312" s="76" t="str">
        <f t="array" ref="A1312:A1313">{"FormulaRow18";(INDEX(CLASSLIST,A1277,1))}</f>
        <v>FormulaRow18</v>
      </c>
      <c r="B1312" s="77" t="s">
        <v>236</v>
      </c>
      <c r="C1312" s="76" t="str">
        <f t="array" ref="C1312:C1313">{"CLASSTYPE";((INDEX(ALLCLASSDATA,MATCH("ClassType",CLASSFEATUREHEADERS,0),MATCH($A1313,CLASSNAMEHEADERS,0))))}</f>
        <v>CLASSTYPE</v>
      </c>
      <c r="D1312" s="76" t="str">
        <f t="array" ref="D1312:D1313">{"CLASSABILITY";"ClassAbility"}</f>
        <v>CLASSABILITY</v>
      </c>
      <c r="E1312" s="76" t="str">
        <f t="array" ref="E1312:E1313">{"SUBCLASSABILITY2";"SubclassAbility2"}</f>
        <v>SUBCLASSABILITY2</v>
      </c>
      <c r="F1312" s="76"/>
      <c r="G1312" s="76"/>
      <c r="H1312" s="76"/>
      <c r="I1312" s="76"/>
      <c r="J1312" s="76" t="str">
        <f t="array" ref="J1312:J1313">{"SUBCLASSABILITY2-L03";((INDEX(ALLCLASSDATA,MATCH("SubclassAbility2-L03",CLASSFEATUREHEADERS,0),MATCH(($A1313),CLASSNAMEHEADERS,0))))}</f>
        <v>SUBCLASSABILITY2-L03</v>
      </c>
      <c r="K1312" s="76"/>
      <c r="L1312" s="76" t="str">
        <f t="array" ref="L1312:L1313">{"SUBCLASSABILITY2-L05";((INDEX(ALLCLASSDATA,MATCH("SubclassAbility2-L05",CLASSFEATUREHEADERS,0),MATCH(($A1313),CLASSNAMEHEADERS,0))))}</f>
        <v>SUBCLASSABILITY2-L05</v>
      </c>
      <c r="M1312" s="76"/>
      <c r="N1312" s="76" t="str">
        <f t="array" ref="N1312:N1313">{"SUBCLASSABILITY2-L07";((INDEX(ALLCLASSDATA,MATCH("SubclassAbility2-L07",CLASSFEATUREHEADERS,0),MATCH(($A1313),CLASSNAMEHEADERS,0))))}</f>
        <v>SUBCLASSABILITY2-L07</v>
      </c>
      <c r="O1312" s="76"/>
      <c r="P1312" s="76" t="str">
        <f t="array" ref="P1312:P1313">{"SUBCLASSABILITY2-L09";((INDEX(ALLCLASSDATA,MATCH("SubclassAbility2-L09",CLASSFEATUREHEADERS,0),MATCH(($A1313),CLASSNAMEHEADERS,0))))}</f>
        <v>SUBCLASSABILITY2-L09</v>
      </c>
      <c r="Q1312" s="76"/>
      <c r="R1312" s="76" t="str">
        <f t="array" ref="R1312:R1313">{"SUBCLASSABILITY2-L11";((INDEX(ALLCLASSDATA,MATCH("SubclassAbility2-L11",CLASSFEATUREHEADERS,0),MATCH(($A1313),CLASSNAMEHEADERS,0))))}</f>
        <v>SUBCLASSABILITY2-L11</v>
      </c>
      <c r="S1312" s="76"/>
      <c r="T1312" s="76" t="str">
        <f t="array" ref="T1312:T1313">{"SUBCLASSABILITY2-L13";((INDEX(ALLCLASSDATA,MATCH("SubclassAbility2-L13",CLASSFEATUREHEADERS,0),MATCH(($A1313),CLASSNAMEHEADERS,0))))}</f>
        <v>SUBCLASSABILITY2-L13</v>
      </c>
      <c r="U1312" s="76"/>
      <c r="V1312" s="76" t="str">
        <f t="array" ref="V1312:V1313">{"SUBCLASSABILITY2-L15";((INDEX(ALLCLASSDATA,MATCH("SubclassAbility2-L15",CLASSFEATUREHEADERS,0),MATCH(($A1313),CLASSNAMEHEADERS,0))))}</f>
        <v>SUBCLASSABILITY2-L15</v>
      </c>
      <c r="W1312" s="76"/>
      <c r="X1312" s="76" t="str">
        <f t="array" ref="X1312:X1313">{"SUBCLASSABILITY2-L17";((INDEX(ALLCLASSDATA,MATCH("SubclassAbility2-L17",CLASSFEATUREHEADERS,0),MATCH(($A1313),CLASSNAMEHEADERS,0))))}</f>
        <v>SUBCLASSABILITY2-L17</v>
      </c>
      <c r="Y1312" s="76"/>
      <c r="Z1312" s="76" t="str">
        <f t="array" ref="Z1312:Z1313">{"SUBCLASSABILITY2-L19";((INDEX(ALLCLASSDATA,MATCH("SubclassAbility2-L19",CLASSFEATUREHEADERS,0),MATCH(($A1313),CLASSNAMEHEADERS,0))))}</f>
        <v>SUBCLASSABILITY2-L19</v>
      </c>
      <c r="AA1312" s="76"/>
      <c r="AB1312" s="76"/>
      <c r="AC1312" s="76"/>
    </row>
    <row r="1313">
      <c r="A1313" s="48" t="s">
        <v>211</v>
      </c>
      <c r="B1313" s="48"/>
      <c r="C1313" s="48" t="s">
        <v>417</v>
      </c>
      <c r="D1313" s="48" t="s">
        <v>825</v>
      </c>
      <c r="E1313" s="28" t="s">
        <v>1370</v>
      </c>
      <c r="F1313" s="5"/>
      <c r="G1313" s="47"/>
      <c r="H1313" s="5"/>
      <c r="I1313" s="5"/>
      <c r="J1313" s="5"/>
      <c r="K1313" s="5"/>
      <c r="L1313" s="5"/>
      <c r="M1313" s="5"/>
      <c r="N1313" s="5"/>
      <c r="O1313" s="5"/>
      <c r="P1313" s="5"/>
      <c r="Q1313" s="5"/>
      <c r="R1313" s="5"/>
      <c r="S1313" s="5"/>
      <c r="T1313" s="5"/>
      <c r="U1313" s="5"/>
      <c r="V1313" s="5"/>
      <c r="W1313" s="5"/>
      <c r="X1313" s="5"/>
      <c r="Y1313" s="5"/>
      <c r="Z1313" s="5"/>
      <c r="AA1313" s="5"/>
      <c r="AB1313" s="5"/>
      <c r="AC1313" s="47"/>
    </row>
    <row r="1314" hidden="1">
      <c r="A1314" s="76" t="str">
        <f t="array" ref="A1314:A1315">{"FormulaRow19";(INDEX(CLASSLIST,A1277,1))}</f>
        <v>FormulaRow19</v>
      </c>
      <c r="B1314" s="77" t="s">
        <v>236</v>
      </c>
      <c r="C1314" s="76" t="str">
        <f t="array" ref="C1314:C1315">{"CLASSTYPE";((INDEX(ALLCLASSDATA,MATCH("ClassType",CLASSFEATUREHEADERS,0),MATCH($A1315,CLASSNAMEHEADERS,0))))}</f>
        <v>CLASSTYPE</v>
      </c>
      <c r="D1314" s="76" t="str">
        <f t="array" ref="D1314:D1315">{"CLASSABILITYPTS";"ClassAbilityPts"}</f>
        <v>CLASSABILITYPTS</v>
      </c>
      <c r="E1314" s="76" t="str">
        <f t="array" ref="E1314:E1315">{"SUBCLASSABILITY2";"SubclassAbility2"}</f>
        <v>SUBCLASSABILITY2</v>
      </c>
      <c r="F1314" s="76"/>
      <c r="G1314" s="76"/>
      <c r="H1314" s="76"/>
      <c r="I1314" s="76"/>
      <c r="J1314" s="76" t="str">
        <f t="array" ref="J1314:J1315">{"SUBCLASSABILITY2-L03PTS";((INDEX(ALLCLASSDATA,MATCH("SubclassAbility2-L03",CLASSFEATUREHEADERS,0),MATCH(($A1315 &amp; "Points"),CLASSNAMEHEADERS,0))))}</f>
        <v>SUBCLASSABILITY2-L03PTS</v>
      </c>
      <c r="K1314" s="76"/>
      <c r="L1314" s="76" t="str">
        <f t="array" ref="L1314:L1315">{"SUBCLASSABILITY2-L05PTS";((INDEX(ALLCLASSDATA,MATCH("SubclassAbility2-L05",CLASSFEATUREHEADERS,0),MATCH(($A1315 &amp; "Points"),CLASSNAMEHEADERS,0))))}</f>
        <v>SUBCLASSABILITY2-L05PTS</v>
      </c>
      <c r="M1314" s="76"/>
      <c r="N1314" s="76" t="str">
        <f t="array" ref="N1314:N1315">{"SUBCLASSABILITY2-L07PTS";((INDEX(ALLCLASSDATA,MATCH("SubclassAbility2-L07",CLASSFEATUREHEADERS,0),MATCH(($A1315 &amp; "Points"),CLASSNAMEHEADERS,0))))}</f>
        <v>SUBCLASSABILITY2-L07PTS</v>
      </c>
      <c r="O1314" s="76"/>
      <c r="P1314" s="76" t="str">
        <f t="array" ref="P1314:P1315">{"SUBCLASSABILITY2-L09PTS";((INDEX(ALLCLASSDATA,MATCH("SubclassAbility2-L09",CLASSFEATUREHEADERS,0),MATCH(($A1315 &amp; "Points"),CLASSNAMEHEADERS,0))))}</f>
        <v>SUBCLASSABILITY2-L09PTS</v>
      </c>
      <c r="Q1314" s="76"/>
      <c r="R1314" s="76" t="str">
        <f t="array" ref="R1314:R1315">{"SUBCLASSABILITY2-L11PTS";((INDEX(ALLCLASSDATA,MATCH("SubclassAbility2-L11",CLASSFEATUREHEADERS,0),MATCH(($A1315 &amp; "Points"),CLASSNAMEHEADERS,0))))}</f>
        <v>SUBCLASSABILITY2-L11PTS</v>
      </c>
      <c r="S1314" s="76"/>
      <c r="T1314" s="76" t="str">
        <f t="array" ref="T1314:T1315">{"SUBCLASSABILITY2-L13PTS";((INDEX(ALLCLASSDATA,MATCH("SubclassAbility2-L13",CLASSFEATUREHEADERS,0),MATCH(($A1315 &amp; "Points"),CLASSNAMEHEADERS,0))))}</f>
        <v>SUBCLASSABILITY2-L13PTS</v>
      </c>
      <c r="U1314" s="76"/>
      <c r="V1314" s="76" t="str">
        <f t="array" ref="V1314:V1315">{"SUBCLASSABILITY2-L15PTS";((INDEX(ALLCLASSDATA,MATCH("SubclassAbility2-L15",CLASSFEATUREHEADERS,0),MATCH(($A1315 &amp; "Points"),CLASSNAMEHEADERS,0))))}</f>
        <v>SUBCLASSABILITY2-L15PTS</v>
      </c>
      <c r="W1314" s="76"/>
      <c r="X1314" s="76" t="str">
        <f t="array" ref="X1314:X1315">{"SUBCLASSABILITY2-L17PTS";((INDEX(ALLCLASSDATA,MATCH("SubclassAbility2-L17",CLASSFEATUREHEADERS,0),MATCH(($A1315 &amp; "Points"),CLASSNAMEHEADERS,0))))}</f>
        <v>SUBCLASSABILITY2-L17PTS</v>
      </c>
      <c r="Y1314" s="76"/>
      <c r="Z1314" s="76" t="str">
        <f t="array" ref="Z1314:Z1315">{"SUBCLASSABILITY2-L19PTS";((INDEX(ALLCLASSDATA,MATCH("SubclassAbility2-L19",CLASSFEATUREHEADERS,0),MATCH(($A1315 &amp; "Points"),CLASSNAMEHEADERS,0))))}</f>
        <v>SUBCLASSABILITY2-L19PTS</v>
      </c>
      <c r="AA1314" s="76"/>
      <c r="AB1314" s="76"/>
      <c r="AC1314" s="76" t="str">
        <f t="array" ref="AC1314:AC1315">{"SUBCLASSABILITY2 TOTAL";(sum(G1315:AA1315))}</f>
        <v>SUBCLASSABILITY2 TOTAL</v>
      </c>
    </row>
    <row r="1315">
      <c r="A1315" s="48" t="s">
        <v>211</v>
      </c>
      <c r="B1315" s="48"/>
      <c r="C1315" s="48" t="s">
        <v>417</v>
      </c>
      <c r="D1315" s="97" t="s">
        <v>930</v>
      </c>
      <c r="E1315" s="215" t="s">
        <v>1370</v>
      </c>
      <c r="F1315" s="98"/>
      <c r="G1315" s="132"/>
      <c r="H1315" s="98"/>
      <c r="I1315" s="98"/>
      <c r="J1315" s="98"/>
      <c r="K1315" s="98"/>
      <c r="L1315" s="98"/>
      <c r="M1315" s="98"/>
      <c r="N1315" s="98"/>
      <c r="O1315" s="98"/>
      <c r="P1315" s="98"/>
      <c r="Q1315" s="98"/>
      <c r="R1315" s="98"/>
      <c r="S1315" s="98"/>
      <c r="T1315" s="98"/>
      <c r="U1315" s="98"/>
      <c r="V1315" s="98"/>
      <c r="W1315" s="98"/>
      <c r="X1315" s="98"/>
      <c r="Y1315" s="98"/>
      <c r="Z1315" s="98"/>
      <c r="AA1315" s="98"/>
      <c r="AB1315" s="5"/>
      <c r="AC1315" s="47">
        <v>0.0</v>
      </c>
    </row>
    <row r="1316" hidden="1">
      <c r="A1316" s="76" t="str">
        <f t="array" ref="A1316:A1317">{"FormulaRow20";(INDEX(CLASSLIST,A1277,1))}</f>
        <v>FormulaRow20</v>
      </c>
      <c r="B1316" s="77" t="s">
        <v>236</v>
      </c>
      <c r="C1316" s="76" t="str">
        <f t="array" ref="C1316:C1317">{"CLASSTYPE";((INDEX(ALLCLASSDATA,MATCH("ClassType",CLASSFEATUREHEADERS,0),MATCH($A1317,CLASSNAMEHEADERS,0))))}</f>
        <v>CLASSTYPE</v>
      </c>
      <c r="D1316" s="81" t="str">
        <f t="array" ref="D1316:D1317">{"DC";"DC"}</f>
        <v>DC</v>
      </c>
      <c r="E1316" s="81" t="str">
        <f t="array" ref="E1316:E1317">{"CLASSDC";"ClassDC"}</f>
        <v>CLASSDC</v>
      </c>
      <c r="F1316" s="81" t="str">
        <f t="array" ref="F1316:F1317">{"CLASSDCINITIAL";((IF(H1317=10,"T",(IF(H1317=50,"E","")))))}</f>
        <v>CLASSDCINITIAL</v>
      </c>
      <c r="G1316" s="81" t="str">
        <f t="array" ref="G1316:G1317">{"CLASSDCINITIALPTS";((IF("00"=(INDEX(ALLCLASSDATA,MATCH("ClassDCLegendary",CLASSFEATUREHEADERS,0),MATCH($A1317,CLASSNAMEHEADERS,0))),(INDEX(ALLCLASSDATA,MATCH("ClassDCLegendary",CLASSFEATUREHEADERS,0),MATCH(($A1317 &amp; "Points"),CLASSNAMEHEADERS,0))),(IF("00"=(INDEX(ALLCLASSDATA,MATCH("ClassDCMaster",CLASSFEATUREHEADERS,0),MATCH($A1317,CLASSNAMEHEADERS,0))),(INDEX(ALLCLASSDATA,MATCH("ClassDCMaster",CLASSFEATUREHEADERS,0),MATCH(($A1317 &amp; "Points"),CLASSNAMEHEADERS,0))),(IF("00"=(INDEX(ALLCLASSDATA,MATCH("ClassDCExpert",CLASSFEATUREHEADERS,0),MATCH($A1317,CLASSNAMEHEADERS,0))),(INDEX(ALLCLASSDATA,MATCH("ClassDCExpert",CLASSFEATUREHEADERS,0),MATCH(($A1317 &amp; "Points"),CLASSNAMEHEADERS,0))),(IF("00"=(INDEX(ALLCLASSDATA,MATCH("ClassDCTrained",CLASSFEATUREHEADERS,0),MATCH($A1317,CLASSNAMEHEADERS,0))),(INDEX(ALLCLASSDATA,MATCH("ClassDCTrained",CLASSFEATUREHEADERS,0),MATCH(($A1317 &amp; "Points"),CLASSNAMEHEADERS,0))),"")))))))))}</f>
        <v>CLASSDCINITIALPTS</v>
      </c>
      <c r="H1316" s="81" t="str">
        <f t="array" ref="H1316:H1317">{"CLASSDCL01";((IF("01"=(INDEX(ALLCLASSDATA,MATCH("ClassDCLegendary",CLASSFEATUREHEADERS,0),MATCH($A1317,CLASSNAMEHEADERS,0))),(INDEX(ALLCLASSDATA,MATCH("ClassDCLegendary",CLASSFEATUREHEADERS,0),MATCH(($A1317 &amp; "Points"),CLASSNAMEHEADERS,0))),(IF("01"=(INDEX(ALLCLASSDATA,MATCH("ClassDCMaster",CLASSFEATUREHEADERS,0),MATCH($A1317,CLASSNAMEHEADERS,0))),(INDEX(ALLCLASSDATA,MATCH("ClassDCMaster",CLASSFEATUREHEADERS,0),MATCH(($A1317 &amp; "Points"),CLASSNAMEHEADERS,0))),(IF("01"=(INDEX(ALLCLASSDATA,MATCH("ClassDCExpert",CLASSFEATUREHEADERS,0),MATCH($A1317,CLASSNAMEHEADERS,0))),(INDEX(ALLCLASSDATA,MATCH("ClassDCExpert",CLASSFEATUREHEADERS,0),MATCH(($A1317 &amp; "Points"),CLASSNAMEHEADERS,0))),(IF("01"=(INDEX(ALLCLASSDATA,MATCH("ClassDCTrained",CLASSFEATUREHEADERS,0),MATCH($A1317,CLASSNAMEHEADERS,0))),(INDEX(ALLCLASSDATA,MATCH("ClassDCTrained",CLASSFEATUREHEADERS,0),MATCH(($A1317 &amp; "Points"),CLASSNAMEHEADERS,0))),"")))))))))}</f>
        <v>CLASSDCL01</v>
      </c>
      <c r="I1316" s="81"/>
      <c r="J1316" s="81" t="str">
        <f t="array" ref="J1316:J1317">{"CLASSDCL03";((IF("03"=(INDEX(ALLCLASSDATA,MATCH("ClassDCLegendary",CLASSFEATUREHEADERS,0),MATCH($A1317,CLASSNAMEHEADERS,0))),(INDEX(ALLCLASSDATA,MATCH("ClassDCLegendary",CLASSFEATUREHEADERS,0),MATCH(($A1317 &amp; "Points"),CLASSNAMEHEADERS,0))),(IF("03"=(INDEX(ALLCLASSDATA,MATCH("ClassDCMaster",CLASSFEATUREHEADERS,0),MATCH($A1317,CLASSNAMEHEADERS,0))),(INDEX(ALLCLASSDATA,MATCH("ClassDCMaster",CLASSFEATUREHEADERS,0),MATCH(($A1317 &amp; "Points"),CLASSNAMEHEADERS,0))),(IF("03"=(INDEX(ALLCLASSDATA,MATCH("ClassDCExpert",CLASSFEATUREHEADERS,0),MATCH($A1317,CLASSNAMEHEADERS,0))),(INDEX(ALLCLASSDATA,MATCH("ClassDCExpert",CLASSFEATUREHEADERS,0),MATCH(($A1317 &amp; "Points"),CLASSNAMEHEADERS,0))),(IF("03"=(INDEX(ALLCLASSDATA,MATCH("ClassDCTrained",CLASSFEATUREHEADERS,0),MATCH($A1317,CLASSNAMEHEADERS,0))),(INDEX(ALLCLASSDATA,MATCH("ClassDCTrained",CLASSFEATUREHEADERS,0),MATCH(($A1317 &amp; "Points"),CLASSNAMEHEADERS,0))),"")))))))))}</f>
        <v>CLASSDCL03</v>
      </c>
      <c r="K1316" s="81"/>
      <c r="L1316" s="81" t="str">
        <f t="array" ref="L1316:L1317">{"CLASSDCL05";((IF("05"=(INDEX(ALLCLASSDATA,MATCH("ClassDCLegendary",CLASSFEATUREHEADERS,0),MATCH($A1317,CLASSNAMEHEADERS,0))),(INDEX(ALLCLASSDATA,MATCH("ClassDCLegendary",CLASSFEATUREHEADERS,0),MATCH(($A1317 &amp; "Points"),CLASSNAMEHEADERS,0))),(IF("05"=(INDEX(ALLCLASSDATA,MATCH("ClassDCMaster",CLASSFEATUREHEADERS,0),MATCH($A1317,CLASSNAMEHEADERS,0))),(INDEX(ALLCLASSDATA,MATCH("ClassDCMaster",CLASSFEATUREHEADERS,0),MATCH(($A1317 &amp; "Points"),CLASSNAMEHEADERS,0))),(IF("05"=(INDEX(ALLCLASSDATA,MATCH("ClassDCExpert",CLASSFEATUREHEADERS,0),MATCH($A1317,CLASSNAMEHEADERS,0))),(INDEX(ALLCLASSDATA,MATCH("ClassDCExpert",CLASSFEATUREHEADERS,0),MATCH(($A1317 &amp; "Points"),CLASSNAMEHEADERS,0))),(IF("05"=(INDEX(ALLCLASSDATA,MATCH("ClassDCTrained",CLASSFEATUREHEADERS,0),MATCH($A1317,CLASSNAMEHEADERS,0))),(INDEX(ALLCLASSDATA,MATCH("ClassDCTrained",CLASSFEATUREHEADERS,0),MATCH(($A1317 &amp; "Points"),CLASSNAMEHEADERS,0))),"")))))))))}</f>
        <v>CLASSDCL05</v>
      </c>
      <c r="M1316" s="81"/>
      <c r="N1316" s="81" t="str">
        <f t="array" ref="N1316:N1317">{"CLASSDCL07";((IF("07"=(INDEX(ALLCLASSDATA,MATCH("ClassDCLegendary",CLASSFEATUREHEADERS,0),MATCH($A1317,CLASSNAMEHEADERS,0))),(INDEX(ALLCLASSDATA,MATCH("ClassDCLegendary",CLASSFEATUREHEADERS,0),MATCH(($A1317 &amp; "Points"),CLASSNAMEHEADERS,0))),(IF("07"=(INDEX(ALLCLASSDATA,MATCH("ClassDCMaster",CLASSFEATUREHEADERS,0),MATCH($A1317,CLASSNAMEHEADERS,0))),(INDEX(ALLCLASSDATA,MATCH("ClassDCMaster",CLASSFEATUREHEADERS,0),MATCH(($A1317 &amp; "Points"),CLASSNAMEHEADERS,0))),(IF("07"=(INDEX(ALLCLASSDATA,MATCH("ClassDCExpert",CLASSFEATUREHEADERS,0),MATCH($A1317,CLASSNAMEHEADERS,0))),(INDEX(ALLCLASSDATA,MATCH("ClassDCExpert",CLASSFEATUREHEADERS,0),MATCH(($A1317 &amp; "Points"),CLASSNAMEHEADERS,0))),(IF("07"=(INDEX(ALLCLASSDATA,MATCH("ClassDCTrained",CLASSFEATUREHEADERS,0),MATCH($A1317,CLASSNAMEHEADERS,0))),(INDEX(ALLCLASSDATA,MATCH("ClassDCTrained",CLASSFEATUREHEADERS,0),MATCH(($A1317 &amp; "Points"),CLASSNAMEHEADERS,0))),"")))))))))}</f>
        <v>CLASSDCL07</v>
      </c>
      <c r="O1316" s="81"/>
      <c r="P1316" s="81" t="str">
        <f t="array" ref="P1316:P1317">{"CLASSDCL09";((IF("09"=(INDEX(ALLCLASSDATA,MATCH("ClassDCLegendary",CLASSFEATUREHEADERS,0),MATCH($A1317,CLASSNAMEHEADERS,0))),(INDEX(ALLCLASSDATA,MATCH("ClassDCLegendary",CLASSFEATUREHEADERS,0),MATCH(($A1317 &amp; "Points"),CLASSNAMEHEADERS,0))),(IF("09"=(INDEX(ALLCLASSDATA,MATCH("ClassDCMaster",CLASSFEATUREHEADERS,0),MATCH($A1317,CLASSNAMEHEADERS,0))),(INDEX(ALLCLASSDATA,MATCH("ClassDCMaster",CLASSFEATUREHEADERS,0),MATCH(($A1317 &amp; "Points"),CLASSNAMEHEADERS,0))),(IF("09"=(INDEX(ALLCLASSDATA,MATCH("ClassDCExpert",CLASSFEATUREHEADERS,0),MATCH($A1317,CLASSNAMEHEADERS,0))),(INDEX(ALLCLASSDATA,MATCH("ClassDCExpert",CLASSFEATUREHEADERS,0),MATCH(($A1317 &amp; "Points"),CLASSNAMEHEADERS,0))),(IF("09"=(INDEX(ALLCLASSDATA,MATCH("ClassDCTrained",CLASSFEATUREHEADERS,0),MATCH($A1317,CLASSNAMEHEADERS,0))),(INDEX(ALLCLASSDATA,MATCH("ClassDCTrained",CLASSFEATUREHEADERS,0),MATCH(($A1317 &amp; "Points"),CLASSNAMEHEADERS,0))),"")))))))))}</f>
        <v>CLASSDCL09</v>
      </c>
      <c r="Q1316" s="81"/>
      <c r="R1316" s="81" t="str">
        <f t="array" ref="R1316:R1317">{"CLASSDCL11";((IF("11"=(INDEX(ALLCLASSDATA,MATCH("ClassDCLegendary",CLASSFEATUREHEADERS,0),MATCH($A1317,CLASSNAMEHEADERS,0))),(INDEX(ALLCLASSDATA,MATCH("ClassDCLegendary",CLASSFEATUREHEADERS,0),MATCH(($A1317 &amp; "Points"),CLASSNAMEHEADERS,0))),(IF("11"=(INDEX(ALLCLASSDATA,MATCH("ClassDCMaster",CLASSFEATUREHEADERS,0),MATCH($A1317,CLASSNAMEHEADERS,0))),(INDEX(ALLCLASSDATA,MATCH("ClassDCMaster",CLASSFEATUREHEADERS,0),MATCH(($A1317 &amp; "Points"),CLASSNAMEHEADERS,0))),(IF("11"=(INDEX(ALLCLASSDATA,MATCH("ClassDCExpert",CLASSFEATUREHEADERS,0),MATCH($A1317,CLASSNAMEHEADERS,0))),(INDEX(ALLCLASSDATA,MATCH("ClassDCExpert",CLASSFEATUREHEADERS,0),MATCH(($A1317 &amp; "Points"),CLASSNAMEHEADERS,0))),(IF("11"=(INDEX(ALLCLASSDATA,MATCH("ClassDCTrained",CLASSFEATUREHEADERS,0),MATCH($A1317,CLASSNAMEHEADERS,0))),(INDEX(ALLCLASSDATA,MATCH("ClassDCTrained",CLASSFEATUREHEADERS,0),MATCH(($A1317 &amp; "Points"),CLASSNAMEHEADERS,0))),"")))))))))}</f>
        <v>CLASSDCL11</v>
      </c>
      <c r="S1316" s="81"/>
      <c r="T1316" s="81" t="str">
        <f t="array" ref="T1316:T1317">{"CLASSDCL13";((IF("13"=(INDEX(ALLCLASSDATA,MATCH("ClassDCLegendary",CLASSFEATUREHEADERS,0),MATCH($A1317,CLASSNAMEHEADERS,0))),(INDEX(ALLCLASSDATA,MATCH("ClassDCLegendary",CLASSFEATUREHEADERS,0),MATCH(($A1317 &amp; "Points"),CLASSNAMEHEADERS,0))),(IF("13"=(INDEX(ALLCLASSDATA,MATCH("ClassDCMaster",CLASSFEATUREHEADERS,0),MATCH($A1317,CLASSNAMEHEADERS,0))),(INDEX(ALLCLASSDATA,MATCH("ClassDCMaster",CLASSFEATUREHEADERS,0),MATCH(($A1317 &amp; "Points"),CLASSNAMEHEADERS,0))),(IF("13"=(INDEX(ALLCLASSDATA,MATCH("ClassDCExpert",CLASSFEATUREHEADERS,0),MATCH($A1317,CLASSNAMEHEADERS,0))),(INDEX(ALLCLASSDATA,MATCH("ClassDCExpert",CLASSFEATUREHEADERS,0),MATCH(($A1317 &amp; "Points"),CLASSNAMEHEADERS,0))),(IF("13"=(INDEX(ALLCLASSDATA,MATCH("ClassDCTrained",CLASSFEATUREHEADERS,0),MATCH($A1317,CLASSNAMEHEADERS,0))),(INDEX(ALLCLASSDATA,MATCH("ClassDCTrained",CLASSFEATUREHEADERS,0),MATCH(($A1317 &amp; "Points"),CLASSNAMEHEADERS,0))),"")))))))))}</f>
        <v>CLASSDCL13</v>
      </c>
      <c r="U1316" s="81"/>
      <c r="V1316" s="81" t="str">
        <f t="array" ref="V1316:V1317">{"CLASSDCL15";((IF("15"=(INDEX(ALLCLASSDATA,MATCH("ClassDCLegendary",CLASSFEATUREHEADERS,0),MATCH($A1317,CLASSNAMEHEADERS,0))),(INDEX(ALLCLASSDATA,MATCH("ClassDCLegendary",CLASSFEATUREHEADERS,0),MATCH(($A1317 &amp; "Points"),CLASSNAMEHEADERS,0))),(IF("15"=(INDEX(ALLCLASSDATA,MATCH("ClassDCMaster",CLASSFEATUREHEADERS,0),MATCH($A1317,CLASSNAMEHEADERS,0))),(INDEX(ALLCLASSDATA,MATCH("ClassDCMaster",CLASSFEATUREHEADERS,0),MATCH(($A1317 &amp; "Points"),CLASSNAMEHEADERS,0))),(IF("15"=(INDEX(ALLCLASSDATA,MATCH("ClassDCExpert",CLASSFEATUREHEADERS,0),MATCH($A1317,CLASSNAMEHEADERS,0))),(INDEX(ALLCLASSDATA,MATCH("ClassDCExpert",CLASSFEATUREHEADERS,0),MATCH(($A1317 &amp; "Points"),CLASSNAMEHEADERS,0))),(IF("15"=(INDEX(ALLCLASSDATA,MATCH("ClassDCTrained",CLASSFEATUREHEADERS,0),MATCH($A1317,CLASSNAMEHEADERS,0))),(INDEX(ALLCLASSDATA,MATCH("ClassDCTrained",CLASSFEATUREHEADERS,0),MATCH(($A1317 &amp; "Points"),CLASSNAMEHEADERS,0))),"")))))))))}</f>
        <v>CLASSDCL15</v>
      </c>
      <c r="W1316" s="81"/>
      <c r="X1316" s="81" t="str">
        <f t="array" ref="X1316:X1317">{"CLASSDCL17";((IF("17"=(INDEX(ALLCLASSDATA,MATCH("ClassDCLegendary",CLASSFEATUREHEADERS,0),MATCH($A1317,CLASSNAMEHEADERS,0))),(INDEX(ALLCLASSDATA,MATCH("ClassDCLegendary",CLASSFEATUREHEADERS,0),MATCH(($A1317 &amp; "Points"),CLASSNAMEHEADERS,0))),(IF("17"=(INDEX(ALLCLASSDATA,MATCH("ClassDCMaster",CLASSFEATUREHEADERS,0),MATCH($A1317,CLASSNAMEHEADERS,0))),(INDEX(ALLCLASSDATA,MATCH("ClassDCMaster",CLASSFEATUREHEADERS,0),MATCH(($A1317 &amp; "Points"),CLASSNAMEHEADERS,0))),(IF("17"=(INDEX(ALLCLASSDATA,MATCH("ClassDCExpert",CLASSFEATUREHEADERS,0),MATCH($A1317,CLASSNAMEHEADERS,0))),(INDEX(ALLCLASSDATA,MATCH("ClassDCExpert",CLASSFEATUREHEADERS,0),MATCH(($A1317 &amp; "Points"),CLASSNAMEHEADERS,0))),(IF("17"=(INDEX(ALLCLASSDATA,MATCH("ClassDCTrained",CLASSFEATUREHEADERS,0),MATCH($A1317,CLASSNAMEHEADERS,0))),(INDEX(ALLCLASSDATA,MATCH("ClassDCTrained",CLASSFEATUREHEADERS,0),MATCH(($A1317 &amp; "Points"),CLASSNAMEHEADERS,0))),"")))))))))}</f>
        <v>CLASSDCL17</v>
      </c>
      <c r="Y1316" s="81"/>
      <c r="Z1316" s="81" t="str">
        <f t="array" ref="Z1316:Z1317">{"CLASSDCL19";((IF("19"=(INDEX(ALLCLASSDATA,MATCH("ClassDCLegendary",CLASSFEATUREHEADERS,0),MATCH($A1317,CLASSNAMEHEADERS,0))),(INDEX(ALLCLASSDATA,MATCH("ClassDCLegendary",CLASSFEATUREHEADERS,0),MATCH(($A1317 &amp; "Points"),CLASSNAMEHEADERS,0))),(IF("19"=(INDEX(ALLCLASSDATA,MATCH("ClassDCMaster",CLASSFEATUREHEADERS,0),MATCH($A1317,CLASSNAMEHEADERS,0))),(INDEX(ALLCLASSDATA,MATCH("ClassDCMaster",CLASSFEATUREHEADERS,0),MATCH(($A1317 &amp; "Points"),CLASSNAMEHEADERS,0))),(IF("19"=(INDEX(ALLCLASSDATA,MATCH("ClassDCExpert",CLASSFEATUREHEADERS,0),MATCH($A1317,CLASSNAMEHEADERS,0))),(INDEX(ALLCLASSDATA,MATCH("ClassDCExpert",CLASSFEATUREHEADERS,0),MATCH(($A1317 &amp; "Points"),CLASSNAMEHEADERS,0))),(IF("19"=(INDEX(ALLCLASSDATA,MATCH("ClassDCTrained",CLASSFEATUREHEADERS,0),MATCH($A1317,CLASSNAMEHEADERS,0))),(INDEX(ALLCLASSDATA,MATCH("ClassDCTrained",CLASSFEATUREHEADERS,0),MATCH(($A1317 &amp; "Points"),CLASSNAMEHEADERS,0))),"")))))))))}</f>
        <v>CLASSDCL19</v>
      </c>
      <c r="AA1316" s="81"/>
      <c r="AB1316" s="76" t="str">
        <f t="array" ref="AB1316:AB1317">{"CLASSDC TOTAL";(IF(COUNTBLANK(G1317:AA1317)=17,"L",(IF(COUNTBLANK(G1317:AA1317)=18,"M",(IF(COUNTBLANK(G1317:AA1317)=19,"E",(IF(COUNTBLANK(G1317:AA1317)=20,"T",""))))))))}</f>
        <v>CLASSDC TOTAL</v>
      </c>
      <c r="AC1316" s="76" t="str">
        <f t="array" ref="AC1316:AC1317">{"CLASSDC TOTAL";(sum(G1317:AA1317))}</f>
        <v>CLASSDC TOTAL</v>
      </c>
    </row>
    <row r="1317">
      <c r="A1317" s="48" t="s">
        <v>211</v>
      </c>
      <c r="B1317" s="48"/>
      <c r="C1317" s="48" t="s">
        <v>417</v>
      </c>
      <c r="D1317" s="48" t="s">
        <v>1465</v>
      </c>
      <c r="E1317" s="48" t="s">
        <v>1466</v>
      </c>
      <c r="F1317" s="5" t="s">
        <v>603</v>
      </c>
      <c r="G1317" s="47" t="s">
        <v>603</v>
      </c>
      <c r="H1317" s="5" t="s">
        <v>603</v>
      </c>
      <c r="I1317" s="5"/>
      <c r="J1317" s="5" t="s">
        <v>603</v>
      </c>
      <c r="K1317" s="5"/>
      <c r="L1317" s="5" t="s">
        <v>603</v>
      </c>
      <c r="M1317" s="5"/>
      <c r="N1317" s="5" t="s">
        <v>603</v>
      </c>
      <c r="O1317" s="5"/>
      <c r="P1317" s="5" t="s">
        <v>603</v>
      </c>
      <c r="Q1317" s="5"/>
      <c r="R1317" s="5" t="s">
        <v>603</v>
      </c>
      <c r="S1317" s="5"/>
      <c r="T1317" s="5" t="s">
        <v>603</v>
      </c>
      <c r="U1317" s="5"/>
      <c r="V1317" s="5" t="s">
        <v>603</v>
      </c>
      <c r="W1317" s="5"/>
      <c r="X1317" s="5" t="s">
        <v>603</v>
      </c>
      <c r="Y1317" s="5"/>
      <c r="Z1317" s="5" t="s">
        <v>603</v>
      </c>
      <c r="AA1317" s="5"/>
      <c r="AB1317" s="5" t="s">
        <v>603</v>
      </c>
      <c r="AC1317" s="47">
        <v>0.0</v>
      </c>
    </row>
    <row r="1318" hidden="1">
      <c r="A1318" s="222" t="str">
        <f t="array" ref="A1318:A1319">{"FormulaRow21";(INDEX(CLASSLIST,A1277,1))}</f>
        <v>FormulaRow21</v>
      </c>
      <c r="B1318" s="77" t="s">
        <v>236</v>
      </c>
      <c r="C1318" s="222" t="str">
        <f t="array" ref="C1318:C1319">{"CLASSTYPE";((INDEX(ALLCLASSDATA,MATCH("ClassType",CLASSFEATUREHEADERS,0),MATCH($A1319,CLASSNAMEHEADERS,0))))}</f>
        <v>CLASSTYPE</v>
      </c>
      <c r="D1318" s="222" t="str">
        <f t="array" ref="D1318:D1319">{"DC";"DC"}</f>
        <v>DC</v>
      </c>
      <c r="E1318" s="222" t="str">
        <f t="array" ref="E1318:E1319">{"SPELLDC";"SpellDC"}</f>
        <v>SPELLDC</v>
      </c>
      <c r="F1318" s="223" t="str">
        <f t="array" ref="F1318:F1319">{"SPELLDCINITIAL";((IF(H1319=10,"T",(IF(H1319=50,"E","")))))}</f>
        <v>SPELLDCINITIAL</v>
      </c>
      <c r="G1318" s="223" t="str">
        <f t="array" ref="G1318:G1319">{"SPELLDCINITIALPTS";((IF("00"=(INDEX(ALLCLASSDATA,MATCH("SpellDCLegendary",CLASSFEATUREHEADERS,0),MATCH($A1319,CLASSNAMEHEADERS,0))),(INDEX(ALLCLASSDATA,MATCH("SpellDCLegendary",CLASSFEATUREHEADERS,0),MATCH(($A1319 &amp; "Points"),CLASSNAMEHEADERS,0))),(IF("00"=(INDEX(ALLCLASSDATA,MATCH("SpellDCMaster",CLASSFEATUREHEADERS,0),MATCH($A1319,CLASSNAMEHEADERS,0))),(INDEX(ALLCLASSDATA,MATCH("SpellDCMaster",CLASSFEATUREHEADERS,0),MATCH(($A1319 &amp; "Points"),CLASSNAMEHEADERS,0))),(IF("00"=(INDEX(ALLCLASSDATA,MATCH("SpellDCExpert",CLASSFEATUREHEADERS,0),MATCH($A1319,CLASSNAMEHEADERS,0))),(INDEX(ALLCLASSDATA,MATCH("SpellDCExpert",CLASSFEATUREHEADERS,0),MATCH(($A1319 &amp; "Points"),CLASSNAMEHEADERS,0))),(IF("00"=(INDEX(ALLCLASSDATA,MATCH("SpellDCTrained",CLASSFEATUREHEADERS,0),MATCH($A1319,CLASSNAMEHEADERS,0))),(INDEX(ALLCLASSDATA,MATCH("SpellDCTrained",CLASSFEATUREHEADERS,0),MATCH(($A1319 &amp; "Points"),CLASSNAMEHEADERS,0))),"")))))))))}</f>
        <v>SPELLDCINITIALPTS</v>
      </c>
      <c r="H1318" s="223" t="str">
        <f t="array" ref="H1318:H1319">{"SPELLDCL01";((IF("01"=(INDEX(ALLCLASSDATA,MATCH("SpellDCLegendary",CLASSFEATUREHEADERS,0),MATCH($A1319,CLASSNAMEHEADERS,0))),(INDEX(ALLCLASSDATA,MATCH("SpellDCLegendary",CLASSFEATUREHEADERS,0),MATCH(($A1319 &amp; "Points"),CLASSNAMEHEADERS,0))),(IF("01"=(INDEX(ALLCLASSDATA,MATCH("SpellDCMaster",CLASSFEATUREHEADERS,0),MATCH($A1319,CLASSNAMEHEADERS,0))),(INDEX(ALLCLASSDATA,MATCH("SpellDCMaster",CLASSFEATUREHEADERS,0),MATCH(($A1319 &amp; "Points"),CLASSNAMEHEADERS,0))),(IF("01"=(INDEX(ALLCLASSDATA,MATCH("SpellDCExpert",CLASSFEATUREHEADERS,0),MATCH($A1319,CLASSNAMEHEADERS,0))),(INDEX(ALLCLASSDATA,MATCH("SpellDCExpert",CLASSFEATUREHEADERS,0),MATCH(($A1319 &amp; "Points"),CLASSNAMEHEADERS,0))),(IF("01"=(INDEX(ALLCLASSDATA,MATCH("SpellDCTrained",CLASSFEATUREHEADERS,0),MATCH($A1319,CLASSNAMEHEADERS,0))),(INDEX(ALLCLASSDATA,MATCH("SpellDCTrained",CLASSFEATUREHEADERS,0),MATCH(($A1319 &amp; "Points"),CLASSNAMEHEADERS,0))),"")))))))))}</f>
        <v>SPELLDCL01</v>
      </c>
      <c r="I1318" s="223"/>
      <c r="J1318" s="223" t="str">
        <f t="array" ref="J1318:J1319">{"SPELLDCL03";((IF("03"=(INDEX(ALLCLASSDATA,MATCH("SpellDCLegendary",CLASSFEATUREHEADERS,0),MATCH($A1319,CLASSNAMEHEADERS,0))),(INDEX(ALLCLASSDATA,MATCH("SpellDCLegendary",CLASSFEATUREHEADERS,0),MATCH(($A1319 &amp; "Points"),CLASSNAMEHEADERS,0))),(IF("03"=(INDEX(ALLCLASSDATA,MATCH("SpellDCMaster",CLASSFEATUREHEADERS,0),MATCH($A1319,CLASSNAMEHEADERS,0))),(INDEX(ALLCLASSDATA,MATCH("SpellDCMaster",CLASSFEATUREHEADERS,0),MATCH(($A1319 &amp; "Points"),CLASSNAMEHEADERS,0))),(IF("03"=(INDEX(ALLCLASSDATA,MATCH("SpellDCExpert",CLASSFEATUREHEADERS,0),MATCH($A1319,CLASSNAMEHEADERS,0))),(INDEX(ALLCLASSDATA,MATCH("SpellDCExpert",CLASSFEATUREHEADERS,0),MATCH(($A1319 &amp; "Points"),CLASSNAMEHEADERS,0))),(IF("03"=(INDEX(ALLCLASSDATA,MATCH("SpellDCTrained",CLASSFEATUREHEADERS,0),MATCH($A1319,CLASSNAMEHEADERS,0))),(INDEX(ALLCLASSDATA,MATCH("SpellDCTrained",CLASSFEATUREHEADERS,0),MATCH(($A1319 &amp; "Points"),CLASSNAMEHEADERS,0))),"")))))))))}</f>
        <v>SPELLDCL03</v>
      </c>
      <c r="K1318" s="223"/>
      <c r="L1318" s="223" t="str">
        <f t="array" ref="L1318:L1319">{"SPELLDCL05";((IF("05"=(INDEX(ALLCLASSDATA,MATCH("SpellDCLegendary",CLASSFEATUREHEADERS,0),MATCH($A1319,CLASSNAMEHEADERS,0))),(INDEX(ALLCLASSDATA,MATCH("SpellDCLegendary",CLASSFEATUREHEADERS,0),MATCH(($A1319 &amp; "Points"),CLASSNAMEHEADERS,0))),(IF("05"=(INDEX(ALLCLASSDATA,MATCH("SpellDCMaster",CLASSFEATUREHEADERS,0),MATCH($A1319,CLASSNAMEHEADERS,0))),(INDEX(ALLCLASSDATA,MATCH("SpellDCMaster",CLASSFEATUREHEADERS,0),MATCH(($A1319 &amp; "Points"),CLASSNAMEHEADERS,0))),(IF("05"=(INDEX(ALLCLASSDATA,MATCH("SpellDCExpert",CLASSFEATUREHEADERS,0),MATCH($A1319,CLASSNAMEHEADERS,0))),(INDEX(ALLCLASSDATA,MATCH("SpellDCExpert",CLASSFEATUREHEADERS,0),MATCH(($A1319 &amp; "Points"),CLASSNAMEHEADERS,0))),(IF("05"=(INDEX(ALLCLASSDATA,MATCH("SpellDCTrained",CLASSFEATUREHEADERS,0),MATCH($A1319,CLASSNAMEHEADERS,0))),(INDEX(ALLCLASSDATA,MATCH("SpellDCTrained",CLASSFEATUREHEADERS,0),MATCH(($A1319 &amp; "Points"),CLASSNAMEHEADERS,0))),"")))))))))}</f>
        <v>SPELLDCL05</v>
      </c>
      <c r="M1318" s="223"/>
      <c r="N1318" s="223" t="str">
        <f t="array" ref="N1318:N1319">{"SPELLDCL07";((IF("07"=(INDEX(ALLCLASSDATA,MATCH("SpellDCLegendary",CLASSFEATUREHEADERS,0),MATCH($A1319,CLASSNAMEHEADERS,0))),(INDEX(ALLCLASSDATA,MATCH("SpellDCLegendary",CLASSFEATUREHEADERS,0),MATCH(($A1319 &amp; "Points"),CLASSNAMEHEADERS,0))),(IF("07"=(INDEX(ALLCLASSDATA,MATCH("SpellDCMaster",CLASSFEATUREHEADERS,0),MATCH($A1319,CLASSNAMEHEADERS,0))),(INDEX(ALLCLASSDATA,MATCH("SpellDCMaster",CLASSFEATUREHEADERS,0),MATCH(($A1319 &amp; "Points"),CLASSNAMEHEADERS,0))),(IF("07"=(INDEX(ALLCLASSDATA,MATCH("SpellDCExpert",CLASSFEATUREHEADERS,0),MATCH($A1319,CLASSNAMEHEADERS,0))),(INDEX(ALLCLASSDATA,MATCH("SpellDCExpert",CLASSFEATUREHEADERS,0),MATCH(($A1319 &amp; "Points"),CLASSNAMEHEADERS,0))),(IF("07"=(INDEX(ALLCLASSDATA,MATCH("SpellDCTrained",CLASSFEATUREHEADERS,0),MATCH($A1319,CLASSNAMEHEADERS,0))),(INDEX(ALLCLASSDATA,MATCH("SpellDCTrained",CLASSFEATUREHEADERS,0),MATCH(($A1319 &amp; "Points"),CLASSNAMEHEADERS,0))),"")))))))))}</f>
        <v>SPELLDCL07</v>
      </c>
      <c r="O1318" s="223"/>
      <c r="P1318" s="223" t="str">
        <f t="array" ref="P1318:P1319">{"SPELLDCL09";((IF("09"=(INDEX(ALLCLASSDATA,MATCH("SpellDCLegendary",CLASSFEATUREHEADERS,0),MATCH($A1319,CLASSNAMEHEADERS,0))),(INDEX(ALLCLASSDATA,MATCH("SpellDCLegendary",CLASSFEATUREHEADERS,0),MATCH(($A1319 &amp; "Points"),CLASSNAMEHEADERS,0))),(IF("09"=(INDEX(ALLCLASSDATA,MATCH("SpellDCMaster",CLASSFEATUREHEADERS,0),MATCH($A1319,CLASSNAMEHEADERS,0))),(INDEX(ALLCLASSDATA,MATCH("SpellDCMaster",CLASSFEATUREHEADERS,0),MATCH(($A1319 &amp; "Points"),CLASSNAMEHEADERS,0))),(IF("09"=(INDEX(ALLCLASSDATA,MATCH("SpellDCExpert",CLASSFEATUREHEADERS,0),MATCH($A1319,CLASSNAMEHEADERS,0))),(INDEX(ALLCLASSDATA,MATCH("SpellDCExpert",CLASSFEATUREHEADERS,0),MATCH(($A1319 &amp; "Points"),CLASSNAMEHEADERS,0))),(IF("09"=(INDEX(ALLCLASSDATA,MATCH("SpellDCTrained",CLASSFEATUREHEADERS,0),MATCH($A1319,CLASSNAMEHEADERS,0))),(INDEX(ALLCLASSDATA,MATCH("SpellDCTrained",CLASSFEATUREHEADERS,0),MATCH(($A1319 &amp; "Points"),CLASSNAMEHEADERS,0))),"")))))))))}</f>
        <v>SPELLDCL09</v>
      </c>
      <c r="Q1318" s="223"/>
      <c r="R1318" s="223" t="str">
        <f t="array" ref="R1318:R1319">{"SPELLDCL11";((IF("11"=(INDEX(ALLCLASSDATA,MATCH("SpellDCLegendary",CLASSFEATUREHEADERS,0),MATCH($A1319,CLASSNAMEHEADERS,0))),(INDEX(ALLCLASSDATA,MATCH("SpellDCLegendary",CLASSFEATUREHEADERS,0),MATCH(($A1319 &amp; "Points"),CLASSNAMEHEADERS,0))),(IF("11"=(INDEX(ALLCLASSDATA,MATCH("SpellDCMaster",CLASSFEATUREHEADERS,0),MATCH($A1319,CLASSNAMEHEADERS,0))),(INDEX(ALLCLASSDATA,MATCH("SpellDCMaster",CLASSFEATUREHEADERS,0),MATCH(($A1319 &amp; "Points"),CLASSNAMEHEADERS,0))),(IF("11"=(INDEX(ALLCLASSDATA,MATCH("SpellDCExpert",CLASSFEATUREHEADERS,0),MATCH($A1319,CLASSNAMEHEADERS,0))),(INDEX(ALLCLASSDATA,MATCH("SpellDCExpert",CLASSFEATUREHEADERS,0),MATCH(($A1319 &amp; "Points"),CLASSNAMEHEADERS,0))),(IF("11"=(INDEX(ALLCLASSDATA,MATCH("SpellDCTrained",CLASSFEATUREHEADERS,0),MATCH($A1319,CLASSNAMEHEADERS,0))),(INDEX(ALLCLASSDATA,MATCH("SpellDCTrained",CLASSFEATUREHEADERS,0),MATCH(($A1319 &amp; "Points"),CLASSNAMEHEADERS,0))),"")))))))))}</f>
        <v>SPELLDCL11</v>
      </c>
      <c r="S1318" s="223"/>
      <c r="T1318" s="223" t="str">
        <f t="array" ref="T1318:T1319">{"SPELLDCL13";((IF("13"=(INDEX(ALLCLASSDATA,MATCH("SpellDCLegendary",CLASSFEATUREHEADERS,0),MATCH($A1319,CLASSNAMEHEADERS,0))),(INDEX(ALLCLASSDATA,MATCH("SpellDCLegendary",CLASSFEATUREHEADERS,0),MATCH(($A1319 &amp; "Points"),CLASSNAMEHEADERS,0))),(IF("13"=(INDEX(ALLCLASSDATA,MATCH("SpellDCMaster",CLASSFEATUREHEADERS,0),MATCH($A1319,CLASSNAMEHEADERS,0))),(INDEX(ALLCLASSDATA,MATCH("SpellDCMaster",CLASSFEATUREHEADERS,0),MATCH(($A1319 &amp; "Points"),CLASSNAMEHEADERS,0))),(IF("13"=(INDEX(ALLCLASSDATA,MATCH("SpellDCExpert",CLASSFEATUREHEADERS,0),MATCH($A1319,CLASSNAMEHEADERS,0))),(INDEX(ALLCLASSDATA,MATCH("SpellDCExpert",CLASSFEATUREHEADERS,0),MATCH(($A1319 &amp; "Points"),CLASSNAMEHEADERS,0))),(IF("13"=(INDEX(ALLCLASSDATA,MATCH("SpellDCTrained",CLASSFEATUREHEADERS,0),MATCH($A1319,CLASSNAMEHEADERS,0))),(INDEX(ALLCLASSDATA,MATCH("SpellDCTrained",CLASSFEATUREHEADERS,0),MATCH(($A1319 &amp; "Points"),CLASSNAMEHEADERS,0))),"")))))))))}</f>
        <v>SPELLDCL13</v>
      </c>
      <c r="U1318" s="223"/>
      <c r="V1318" s="223" t="str">
        <f t="array" ref="V1318:V1319">{"SPELLDCL15";((IF("15"=(INDEX(ALLCLASSDATA,MATCH("SpellDCLegendary",CLASSFEATUREHEADERS,0),MATCH($A1319,CLASSNAMEHEADERS,0))),(INDEX(ALLCLASSDATA,MATCH("SpellDCLegendary",CLASSFEATUREHEADERS,0),MATCH(($A1319 &amp; "Points"),CLASSNAMEHEADERS,0))),(IF("15"=(INDEX(ALLCLASSDATA,MATCH("SpellDCMaster",CLASSFEATUREHEADERS,0),MATCH($A1319,CLASSNAMEHEADERS,0))),(INDEX(ALLCLASSDATA,MATCH("SpellDCMaster",CLASSFEATUREHEADERS,0),MATCH(($A1319 &amp; "Points"),CLASSNAMEHEADERS,0))),(IF("15"=(INDEX(ALLCLASSDATA,MATCH("SpellDCExpert",CLASSFEATUREHEADERS,0),MATCH($A1319,CLASSNAMEHEADERS,0))),(INDEX(ALLCLASSDATA,MATCH("SpellDCExpert",CLASSFEATUREHEADERS,0),MATCH(($A1319 &amp; "Points"),CLASSNAMEHEADERS,0))),(IF("15"=(INDEX(ALLCLASSDATA,MATCH("SpellDCTrained",CLASSFEATUREHEADERS,0),MATCH($A1319,CLASSNAMEHEADERS,0))),(INDEX(ALLCLASSDATA,MATCH("SpellDCTrained",CLASSFEATUREHEADERS,0),MATCH(($A1319 &amp; "Points"),CLASSNAMEHEADERS,0))),"")))))))))}</f>
        <v>SPELLDCL15</v>
      </c>
      <c r="W1318" s="223"/>
      <c r="X1318" s="223" t="str">
        <f t="array" ref="X1318:X1319">{"SPELLDCL17";((IF("17"=(INDEX(ALLCLASSDATA,MATCH("SpellDCLegendary",CLASSFEATUREHEADERS,0),MATCH($A1319,CLASSNAMEHEADERS,0))),(INDEX(ALLCLASSDATA,MATCH("SpellDCLegendary",CLASSFEATUREHEADERS,0),MATCH(($A1319 &amp; "Points"),CLASSNAMEHEADERS,0))),(IF("17"=(INDEX(ALLCLASSDATA,MATCH("SpellDCMaster",CLASSFEATUREHEADERS,0),MATCH($A1319,CLASSNAMEHEADERS,0))),(INDEX(ALLCLASSDATA,MATCH("SpellDCMaster",CLASSFEATUREHEADERS,0),MATCH(($A1319 &amp; "Points"),CLASSNAMEHEADERS,0))),(IF("17"=(INDEX(ALLCLASSDATA,MATCH("SpellDCExpert",CLASSFEATUREHEADERS,0),MATCH($A1319,CLASSNAMEHEADERS,0))),(INDEX(ALLCLASSDATA,MATCH("SpellDCExpert",CLASSFEATUREHEADERS,0),MATCH(($A1319 &amp; "Points"),CLASSNAMEHEADERS,0))),(IF("17"=(INDEX(ALLCLASSDATA,MATCH("SpellDCTrained",CLASSFEATUREHEADERS,0),MATCH($A1319,CLASSNAMEHEADERS,0))),(INDEX(ALLCLASSDATA,MATCH("SpellDCTrained",CLASSFEATUREHEADERS,0),MATCH(($A1319 &amp; "Points"),CLASSNAMEHEADERS,0))),"")))))))))}</f>
        <v>SPELLDCL17</v>
      </c>
      <c r="Y1318" s="223"/>
      <c r="Z1318" s="223" t="str">
        <f t="array" ref="Z1318:Z1319">{"SPELLDCL19";((IF("19"=(INDEX(ALLCLASSDATA,MATCH("SpellDCLegendary",CLASSFEATUREHEADERS,0),MATCH($A1319,CLASSNAMEHEADERS,0))),(INDEX(ALLCLASSDATA,MATCH("SpellDCLegendary",CLASSFEATUREHEADERS,0),MATCH(($A1319 &amp; "Points"),CLASSNAMEHEADERS,0))),(IF("19"=(INDEX(ALLCLASSDATA,MATCH("SpellDCMaster",CLASSFEATUREHEADERS,0),MATCH($A1319,CLASSNAMEHEADERS,0))),(INDEX(ALLCLASSDATA,MATCH("SpellDCMaster",CLASSFEATUREHEADERS,0),MATCH(($A1319 &amp; "Points"),CLASSNAMEHEADERS,0))),(IF("19"=(INDEX(ALLCLASSDATA,MATCH("SpellDCExpert",CLASSFEATUREHEADERS,0),MATCH($A1319,CLASSNAMEHEADERS,0))),(INDEX(ALLCLASSDATA,MATCH("SpellDCExpert",CLASSFEATUREHEADERS,0),MATCH(($A1319 &amp; "Points"),CLASSNAMEHEADERS,0))),(IF("19"=(INDEX(ALLCLASSDATA,MATCH("SpellDCTrained",CLASSFEATUREHEADERS,0),MATCH($A1319,CLASSNAMEHEADERS,0))),(INDEX(ALLCLASSDATA,MATCH("SpellDCTrained",CLASSFEATUREHEADERS,0),MATCH(($A1319 &amp; "Points"),CLASSNAMEHEADERS,0))),"")))))))))}</f>
        <v>SPELLDCL19</v>
      </c>
      <c r="AA1318" s="223"/>
      <c r="AB1318" s="76" t="str">
        <f t="array" ref="AB1318:AB1319">{"SPELLDC TOTAL";(IF(COUNTBLANK(G1319:AA1319)=17,"L",(IF(COUNTBLANK(G1319:AA1319)=18,"M",(IF(COUNTBLANK(G1319:AA1319)=19,"E",(IF(COUNTBLANK(G1319:AA1319)=20,"T",""))))))))}</f>
        <v>SPELLDC TOTAL</v>
      </c>
      <c r="AC1318" s="76" t="str">
        <f t="array" ref="AC1318:AC1319">{"SPELLDC TOTAL";(sum(G1319:AA1319))}</f>
        <v>SPELLDC TOTAL</v>
      </c>
    </row>
    <row r="1319">
      <c r="A1319" s="48" t="s">
        <v>211</v>
      </c>
      <c r="B1319" s="48"/>
      <c r="C1319" s="48" t="s">
        <v>417</v>
      </c>
      <c r="D1319" s="97" t="s">
        <v>1465</v>
      </c>
      <c r="E1319" s="97" t="s">
        <v>1485</v>
      </c>
      <c r="F1319" s="98" t="s">
        <v>435</v>
      </c>
      <c r="G1319" s="132" t="s">
        <v>603</v>
      </c>
      <c r="H1319" s="98">
        <v>10.0</v>
      </c>
      <c r="I1319" s="98"/>
      <c r="J1319" s="98" t="s">
        <v>603</v>
      </c>
      <c r="K1319" s="98"/>
      <c r="L1319" s="98" t="s">
        <v>603</v>
      </c>
      <c r="M1319" s="98"/>
      <c r="N1319" s="98" t="s">
        <v>603</v>
      </c>
      <c r="O1319" s="98"/>
      <c r="P1319" s="98" t="s">
        <v>603</v>
      </c>
      <c r="Q1319" s="98"/>
      <c r="R1319" s="98">
        <v>50.0</v>
      </c>
      <c r="S1319" s="98"/>
      <c r="T1319" s="98" t="s">
        <v>603</v>
      </c>
      <c r="U1319" s="98"/>
      <c r="V1319" s="98" t="s">
        <v>603</v>
      </c>
      <c r="W1319" s="98"/>
      <c r="X1319" s="98" t="s">
        <v>603</v>
      </c>
      <c r="Y1319" s="98"/>
      <c r="Z1319" s="98">
        <v>110.0</v>
      </c>
      <c r="AA1319" s="98"/>
      <c r="AB1319" s="5" t="s">
        <v>437</v>
      </c>
      <c r="AC1319" s="47">
        <v>170.0</v>
      </c>
    </row>
    <row r="1320" hidden="1">
      <c r="A1320" s="222" t="str">
        <f t="array" ref="A1320:A1321">{"FormulaRow22";(INDEX(CLASSLIST,A1277,1))}</f>
        <v>FormulaRow22</v>
      </c>
      <c r="B1320" s="77" t="s">
        <v>236</v>
      </c>
      <c r="C1320" s="222" t="str">
        <f t="array" ref="C1320:C1321">{"CLASSTYPE";((INDEX(ALLCLASSDATA,MATCH("ClassType",CLASSFEATUREHEADERS,0),MATCH($A1321,CLASSNAMEHEADERS,0))))}</f>
        <v>CLASSTYPE</v>
      </c>
      <c r="D1320" s="228" t="str">
        <f t="shared" ref="D1320:E1320" si="15">{"PERCEPTION";"Perception"}</f>
        <v>PERCEPTION</v>
      </c>
      <c r="E1320" s="228" t="str">
        <f t="shared" si="15"/>
        <v>PERCEPTION</v>
      </c>
      <c r="F1320" s="230" t="str">
        <f t="array" ref="F1320:F1321">{"PERCEPTIONINITIAL";((IF(H1321=10,"T",(IF(H1321=50,"E","")))))}</f>
        <v>PERCEPTIONINITIAL</v>
      </c>
      <c r="G1320" s="230" t="str">
        <f t="array" ref="G1320:G1321">{"PERCEPTIONINITIALPTS";((IF("00"=(INDEX(ALLCLASSDATA,MATCH("PerceptionLegendary",CLASSFEATUREHEADERS,0),MATCH($A1321,CLASSNAMEHEADERS,0))),(INDEX(ALLCLASSDATA,MATCH("PerceptionLegendary",CLASSFEATUREHEADERS,0),MATCH(($A1321 &amp; "Points"),CLASSNAMEHEADERS,0))),(IF("00"=(INDEX(ALLCLASSDATA,MATCH("PerceptionMaster",CLASSFEATUREHEADERS,0),MATCH($A1321,CLASSNAMEHEADERS,0))),(INDEX(ALLCLASSDATA,MATCH("PerceptionMaster",CLASSFEATUREHEADERS,0),MATCH(($A1321 &amp; "Points"),CLASSNAMEHEADERS,0))),(IF("00"=(INDEX(ALLCLASSDATA,MATCH("PerceptionExpert",CLASSFEATUREHEADERS,0),MATCH($A1321,CLASSNAMEHEADERS,0))),(INDEX(ALLCLASSDATA,MATCH("PerceptionExpert",CLASSFEATUREHEADERS,0),MATCH(($A1321 &amp; "Points"),CLASSNAMEHEADERS,0))),(IF("00"=(INDEX(ALLCLASSDATA,MATCH("PerceptionTrained",CLASSFEATUREHEADERS,0),MATCH($A1321,CLASSNAMEHEADERS,0))),(INDEX(ALLCLASSDATA,MATCH("PerceptionTrained",CLASSFEATUREHEADERS,0),MATCH(($A1321 &amp; "Points"),CLASSNAMEHEADERS,0))),"")))))))))}</f>
        <v>PERCEPTIONINITIALPTS</v>
      </c>
      <c r="H1320" s="230" t="str">
        <f t="array" ref="H1320:H1321">{"PERCEPTIONL01";((IF("01"=(INDEX(ALLCLASSDATA,MATCH("PerceptionLegendary",CLASSFEATUREHEADERS,0),MATCH($A1321,CLASSNAMEHEADERS,0))),(INDEX(ALLCLASSDATA,MATCH("PerceptionLegendary",CLASSFEATUREHEADERS,0),MATCH(($A1321 &amp; "Points"),CLASSNAMEHEADERS,0))),(IF("01"=(INDEX(ALLCLASSDATA,MATCH("PerceptionMaster",CLASSFEATUREHEADERS,0),MATCH($A1321,CLASSNAMEHEADERS,0))),(INDEX(ALLCLASSDATA,MATCH("PerceptionMaster",CLASSFEATUREHEADERS,0),MATCH(($A1321 &amp; "Points"),CLASSNAMEHEADERS,0))),(IF("01"=(INDEX(ALLCLASSDATA,MATCH("PerceptionExpert",CLASSFEATUREHEADERS,0),MATCH($A1321,CLASSNAMEHEADERS,0))),(INDEX(ALLCLASSDATA,MATCH("PerceptionExpert",CLASSFEATUREHEADERS,0),MATCH(($A1321 &amp; "Points"),CLASSNAMEHEADERS,0))),(IF("01"=(INDEX(ALLCLASSDATA,MATCH("PerceptionTrained",CLASSFEATUREHEADERS,0),MATCH($A1321,CLASSNAMEHEADERS,0))),(INDEX(ALLCLASSDATA,MATCH("PerceptionTrained",CLASSFEATUREHEADERS,0),MATCH(($A1321 &amp; "Points"),CLASSNAMEHEADERS,0))),"")))))))))}</f>
        <v>PERCEPTIONL01</v>
      </c>
      <c r="I1320" s="230"/>
      <c r="J1320" s="230" t="str">
        <f t="array" ref="J1320:J1321">{"PERCEPTIONL03";((IF("03"=(INDEX(ALLCLASSDATA,MATCH("PerceptionLegendary",CLASSFEATUREHEADERS,0),MATCH($A1321,CLASSNAMEHEADERS,0))),(INDEX(ALLCLASSDATA,MATCH("PerceptionLegendary",CLASSFEATUREHEADERS,0),MATCH(($A1321 &amp; "Points"),CLASSNAMEHEADERS,0))),(IF("03"=(INDEX(ALLCLASSDATA,MATCH("PerceptionMaster",CLASSFEATUREHEADERS,0),MATCH($A1321,CLASSNAMEHEADERS,0))),(INDEX(ALLCLASSDATA,MATCH("PerceptionMaster",CLASSFEATUREHEADERS,0),MATCH(($A1321 &amp; "Points"),CLASSNAMEHEADERS,0))),(IF("03"=(INDEX(ALLCLASSDATA,MATCH("PerceptionExpert",CLASSFEATUREHEADERS,0),MATCH($A1321,CLASSNAMEHEADERS,0))),(INDEX(ALLCLASSDATA,MATCH("PerceptionExpert",CLASSFEATUREHEADERS,0),MATCH(($A1321 &amp; "Points"),CLASSNAMEHEADERS,0))),(IF("03"=(INDEX(ALLCLASSDATA,MATCH("PerceptionTrained",CLASSFEATUREHEADERS,0),MATCH($A1321,CLASSNAMEHEADERS,0))),(INDEX(ALLCLASSDATA,MATCH("PerceptionTrained",CLASSFEATUREHEADERS,0),MATCH(($A1321 &amp; "Points"),CLASSNAMEHEADERS,0))),"")))))))))}</f>
        <v>PERCEPTIONL03</v>
      </c>
      <c r="K1320" s="230"/>
      <c r="L1320" s="230" t="str">
        <f t="array" ref="L1320:L1321">{"PERCEPTIONL05";((IF("05"=(INDEX(ALLCLASSDATA,MATCH("PerceptionLegendary",CLASSFEATUREHEADERS,0),MATCH($A1321,CLASSNAMEHEADERS,0))),(INDEX(ALLCLASSDATA,MATCH("PerceptionLegendary",CLASSFEATUREHEADERS,0),MATCH(($A1321 &amp; "Points"),CLASSNAMEHEADERS,0))),(IF("05"=(INDEX(ALLCLASSDATA,MATCH("PerceptionMaster",CLASSFEATUREHEADERS,0),MATCH($A1321,CLASSNAMEHEADERS,0))),(INDEX(ALLCLASSDATA,MATCH("PerceptionMaster",CLASSFEATUREHEADERS,0),MATCH(($A1321 &amp; "Points"),CLASSNAMEHEADERS,0))),(IF("05"=(INDEX(ALLCLASSDATA,MATCH("PerceptionExpert",CLASSFEATUREHEADERS,0),MATCH($A1321,CLASSNAMEHEADERS,0))),(INDEX(ALLCLASSDATA,MATCH("PerceptionExpert",CLASSFEATUREHEADERS,0),MATCH(($A1321 &amp; "Points"),CLASSNAMEHEADERS,0))),(IF("05"=(INDEX(ALLCLASSDATA,MATCH("PerceptionTrained",CLASSFEATUREHEADERS,0),MATCH($A1321,CLASSNAMEHEADERS,0))),(INDEX(ALLCLASSDATA,MATCH("PerceptionTrained",CLASSFEATUREHEADERS,0),MATCH(($A1321 &amp; "Points"),CLASSNAMEHEADERS,0))),"")))))))))}</f>
        <v>PERCEPTIONL05</v>
      </c>
      <c r="M1320" s="230"/>
      <c r="N1320" s="230" t="str">
        <f t="array" ref="N1320:N1321">{"PERCEPTIONL07";((IF("07"=(INDEX(ALLCLASSDATA,MATCH("PerceptionLegendary",CLASSFEATUREHEADERS,0),MATCH($A1321,CLASSNAMEHEADERS,0))),(INDEX(ALLCLASSDATA,MATCH("PerceptionLegendary",CLASSFEATUREHEADERS,0),MATCH(($A1321 &amp; "Points"),CLASSNAMEHEADERS,0))),(IF("07"=(INDEX(ALLCLASSDATA,MATCH("PerceptionMaster",CLASSFEATUREHEADERS,0),MATCH($A1321,CLASSNAMEHEADERS,0))),(INDEX(ALLCLASSDATA,MATCH("PerceptionMaster",CLASSFEATUREHEADERS,0),MATCH(($A1321 &amp; "Points"),CLASSNAMEHEADERS,0))),(IF("07"=(INDEX(ALLCLASSDATA,MATCH("PerceptionExpert",CLASSFEATUREHEADERS,0),MATCH($A1321,CLASSNAMEHEADERS,0))),(INDEX(ALLCLASSDATA,MATCH("PerceptionExpert",CLASSFEATUREHEADERS,0),MATCH(($A1321 &amp; "Points"),CLASSNAMEHEADERS,0))),(IF("07"=(INDEX(ALLCLASSDATA,MATCH("PerceptionTrained",CLASSFEATUREHEADERS,0),MATCH($A1321,CLASSNAMEHEADERS,0))),(INDEX(ALLCLASSDATA,MATCH("PerceptionTrained",CLASSFEATUREHEADERS,0),MATCH(($A1321 &amp; "Points"),CLASSNAMEHEADERS,0))),"")))))))))}</f>
        <v>PERCEPTIONL07</v>
      </c>
      <c r="O1320" s="230"/>
      <c r="P1320" s="230" t="str">
        <f t="array" ref="P1320:P1321">{"PERCEPTIONL09";((IF("09"=(INDEX(ALLCLASSDATA,MATCH("PerceptionLegendary",CLASSFEATUREHEADERS,0),MATCH($A1321,CLASSNAMEHEADERS,0))),(INDEX(ALLCLASSDATA,MATCH("PerceptionLegendary",CLASSFEATUREHEADERS,0),MATCH(($A1321 &amp; "Points"),CLASSNAMEHEADERS,0))),(IF("09"=(INDEX(ALLCLASSDATA,MATCH("PerceptionMaster",CLASSFEATUREHEADERS,0),MATCH($A1321,CLASSNAMEHEADERS,0))),(INDEX(ALLCLASSDATA,MATCH("PerceptionMaster",CLASSFEATUREHEADERS,0),MATCH(($A1321 &amp; "Points"),CLASSNAMEHEADERS,0))),(IF("09"=(INDEX(ALLCLASSDATA,MATCH("PerceptionExpert",CLASSFEATUREHEADERS,0),MATCH($A1321,CLASSNAMEHEADERS,0))),(INDEX(ALLCLASSDATA,MATCH("PerceptionExpert",CLASSFEATUREHEADERS,0),MATCH(($A1321 &amp; "Points"),CLASSNAMEHEADERS,0))),(IF("09"=(INDEX(ALLCLASSDATA,MATCH("PerceptionTrained",CLASSFEATUREHEADERS,0),MATCH($A1321,CLASSNAMEHEADERS,0))),(INDEX(ALLCLASSDATA,MATCH("PerceptionTrained",CLASSFEATUREHEADERS,0),MATCH(($A1321 &amp; "Points"),CLASSNAMEHEADERS,0))),"")))))))))}</f>
        <v>PERCEPTIONL09</v>
      </c>
      <c r="Q1320" s="230"/>
      <c r="R1320" s="230" t="str">
        <f t="array" ref="R1320:R1321">{"PERCEPTIONL11";((IF("11"=(INDEX(ALLCLASSDATA,MATCH("PerceptionLegendary",CLASSFEATUREHEADERS,0),MATCH($A1321,CLASSNAMEHEADERS,0))),(INDEX(ALLCLASSDATA,MATCH("PerceptionLegendary",CLASSFEATUREHEADERS,0),MATCH(($A1321 &amp; "Points"),CLASSNAMEHEADERS,0))),(IF("11"=(INDEX(ALLCLASSDATA,MATCH("PerceptionMaster",CLASSFEATUREHEADERS,0),MATCH($A1321,CLASSNAMEHEADERS,0))),(INDEX(ALLCLASSDATA,MATCH("PerceptionMaster",CLASSFEATUREHEADERS,0),MATCH(($A1321 &amp; "Points"),CLASSNAMEHEADERS,0))),(IF("11"=(INDEX(ALLCLASSDATA,MATCH("PerceptionExpert",CLASSFEATUREHEADERS,0),MATCH($A1321,CLASSNAMEHEADERS,0))),(INDEX(ALLCLASSDATA,MATCH("PerceptionExpert",CLASSFEATUREHEADERS,0),MATCH(($A1321 &amp; "Points"),CLASSNAMEHEADERS,0))),(IF("11"=(INDEX(ALLCLASSDATA,MATCH("PerceptionTrained",CLASSFEATUREHEADERS,0),MATCH($A1321,CLASSNAMEHEADERS,0))),(INDEX(ALLCLASSDATA,MATCH("PerceptionTrained",CLASSFEATUREHEADERS,0),MATCH(($A1321 &amp; "Points"),CLASSNAMEHEADERS,0))),"")))))))))}</f>
        <v>PERCEPTIONL11</v>
      </c>
      <c r="S1320" s="230"/>
      <c r="T1320" s="230" t="str">
        <f t="array" ref="T1320:T1321">{"PERCEPTIONL13";((IF("13"=(INDEX(ALLCLASSDATA,MATCH("PerceptionLegendary",CLASSFEATUREHEADERS,0),MATCH($A1321,CLASSNAMEHEADERS,0))),(INDEX(ALLCLASSDATA,MATCH("PerceptionLegendary",CLASSFEATUREHEADERS,0),MATCH(($A1321 &amp; "Points"),CLASSNAMEHEADERS,0))),(IF("13"=(INDEX(ALLCLASSDATA,MATCH("PerceptionMaster",CLASSFEATUREHEADERS,0),MATCH($A1321,CLASSNAMEHEADERS,0))),(INDEX(ALLCLASSDATA,MATCH("PerceptionMaster",CLASSFEATUREHEADERS,0),MATCH(($A1321 &amp; "Points"),CLASSNAMEHEADERS,0))),(IF("13"=(INDEX(ALLCLASSDATA,MATCH("PerceptionExpert",CLASSFEATUREHEADERS,0),MATCH($A1321,CLASSNAMEHEADERS,0))),(INDEX(ALLCLASSDATA,MATCH("PerceptionExpert",CLASSFEATUREHEADERS,0),MATCH(($A1321 &amp; "Points"),CLASSNAMEHEADERS,0))),(IF("13"=(INDEX(ALLCLASSDATA,MATCH("PerceptionTrained",CLASSFEATUREHEADERS,0),MATCH($A1321,CLASSNAMEHEADERS,0))),(INDEX(ALLCLASSDATA,MATCH("PerceptionTrained",CLASSFEATUREHEADERS,0),MATCH(($A1321 &amp; "Points"),CLASSNAMEHEADERS,0))),"")))))))))}</f>
        <v>PERCEPTIONL13</v>
      </c>
      <c r="U1320" s="230"/>
      <c r="V1320" s="230" t="str">
        <f t="array" ref="V1320:V1321">{"PERCEPTIONL15";((IF("15"=(INDEX(ALLCLASSDATA,MATCH("PerceptionLegendary",CLASSFEATUREHEADERS,0),MATCH($A1321,CLASSNAMEHEADERS,0))),(INDEX(ALLCLASSDATA,MATCH("PerceptionLegendary",CLASSFEATUREHEADERS,0),MATCH(($A1321 &amp; "Points"),CLASSNAMEHEADERS,0))),(IF("15"=(INDEX(ALLCLASSDATA,MATCH("PerceptionMaster",CLASSFEATUREHEADERS,0),MATCH($A1321,CLASSNAMEHEADERS,0))),(INDEX(ALLCLASSDATA,MATCH("PerceptionMaster",CLASSFEATUREHEADERS,0),MATCH(($A1321 &amp; "Points"),CLASSNAMEHEADERS,0))),(IF("15"=(INDEX(ALLCLASSDATA,MATCH("PerceptionExpert",CLASSFEATUREHEADERS,0),MATCH($A1321,CLASSNAMEHEADERS,0))),(INDEX(ALLCLASSDATA,MATCH("PerceptionExpert",CLASSFEATUREHEADERS,0),MATCH(($A1321 &amp; "Points"),CLASSNAMEHEADERS,0))),(IF("15"=(INDEX(ALLCLASSDATA,MATCH("PerceptionTrained",CLASSFEATUREHEADERS,0),MATCH($A1321,CLASSNAMEHEADERS,0))),(INDEX(ALLCLASSDATA,MATCH("PerceptionTrained",CLASSFEATUREHEADERS,0),MATCH(($A1321 &amp; "Points"),CLASSNAMEHEADERS,0))),"")))))))))}</f>
        <v>PERCEPTIONL15</v>
      </c>
      <c r="W1320" s="230"/>
      <c r="X1320" s="230" t="str">
        <f t="array" ref="X1320:X1321">{"PERCEPTIONL17";((IF("17"=(INDEX(ALLCLASSDATA,MATCH("PerceptionLegendary",CLASSFEATUREHEADERS,0),MATCH($A1321,CLASSNAMEHEADERS,0))),(INDEX(ALLCLASSDATA,MATCH("PerceptionLegendary",CLASSFEATUREHEADERS,0),MATCH(($A1321 &amp; "Points"),CLASSNAMEHEADERS,0))),(IF("17"=(INDEX(ALLCLASSDATA,MATCH("PerceptionMaster",CLASSFEATUREHEADERS,0),MATCH($A1321,CLASSNAMEHEADERS,0))),(INDEX(ALLCLASSDATA,MATCH("PerceptionMaster",CLASSFEATUREHEADERS,0),MATCH(($A1321 &amp; "Points"),CLASSNAMEHEADERS,0))),(IF("17"=(INDEX(ALLCLASSDATA,MATCH("PerceptionExpert",CLASSFEATUREHEADERS,0),MATCH($A1321,CLASSNAMEHEADERS,0))),(INDEX(ALLCLASSDATA,MATCH("PerceptionExpert",CLASSFEATUREHEADERS,0),MATCH(($A1321 &amp; "Points"),CLASSNAMEHEADERS,0))),(IF("17"=(INDEX(ALLCLASSDATA,MATCH("PerceptionTrained",CLASSFEATUREHEADERS,0),MATCH($A1321,CLASSNAMEHEADERS,0))),(INDEX(ALLCLASSDATA,MATCH("PerceptionTrained",CLASSFEATUREHEADERS,0),MATCH(($A1321 &amp; "Points"),CLASSNAMEHEADERS,0))),"")))))))))}</f>
        <v>PERCEPTIONL17</v>
      </c>
      <c r="Y1320" s="230"/>
      <c r="Z1320" s="230" t="str">
        <f t="array" ref="Z1320:Z1321">{"PERCEPTIONL19";((IF("19"=(INDEX(ALLCLASSDATA,MATCH("PerceptionLegendary",CLASSFEATUREHEADERS,0),MATCH($A1321,CLASSNAMEHEADERS,0))),(INDEX(ALLCLASSDATA,MATCH("PerceptionLegendary",CLASSFEATUREHEADERS,0),MATCH(($A1321 &amp; "Points"),CLASSNAMEHEADERS,0))),(IF("19"=(INDEX(ALLCLASSDATA,MATCH("PerceptionMaster",CLASSFEATUREHEADERS,0),MATCH($A1321,CLASSNAMEHEADERS,0))),(INDEX(ALLCLASSDATA,MATCH("PerceptionMaster",CLASSFEATUREHEADERS,0),MATCH(($A1321 &amp; "Points"),CLASSNAMEHEADERS,0))),(IF("19"=(INDEX(ALLCLASSDATA,MATCH("PerceptionExpert",CLASSFEATUREHEADERS,0),MATCH($A1321,CLASSNAMEHEADERS,0))),(INDEX(ALLCLASSDATA,MATCH("PerceptionExpert",CLASSFEATUREHEADERS,0),MATCH(($A1321 &amp; "Points"),CLASSNAMEHEADERS,0))),(IF("19"=(INDEX(ALLCLASSDATA,MATCH("PerceptionTrained",CLASSFEATUREHEADERS,0),MATCH($A1321,CLASSNAMEHEADERS,0))),(INDEX(ALLCLASSDATA,MATCH("PerceptionTrained",CLASSFEATUREHEADERS,0),MATCH(($A1321 &amp; "Points"),CLASSNAMEHEADERS,0))),"")))))))))}</f>
        <v>PERCEPTIONL19</v>
      </c>
      <c r="AA1320" s="230"/>
      <c r="AB1320" s="76" t="str">
        <f t="array" ref="AB1320:AB1321">{"PERCEPTION TOTAL";(IF(COUNTBLANK(G1321:AA1321)=17,"L",(IF(COUNTBLANK(G1321:AA1321)=18,"M",(IF(COUNTBLANK(G1321:AA1321)=19,"E",(IF(COUNTBLANK(G1321:AA1321)=20,"T",""))))))))}</f>
        <v>PERCEPTION TOTAL</v>
      </c>
      <c r="AC1320" s="76" t="str">
        <f t="array" ref="AC1320:AC1321">{"PERCEPTION TOTAL";(sum(G1321:AA1321))}</f>
        <v>PERCEPTION TOTAL</v>
      </c>
    </row>
    <row r="1321">
      <c r="A1321" s="48" t="s">
        <v>211</v>
      </c>
      <c r="B1321" s="48"/>
      <c r="C1321" s="48" t="s">
        <v>417</v>
      </c>
      <c r="D1321" s="97" t="s">
        <v>637</v>
      </c>
      <c r="E1321" s="97" t="s">
        <v>637</v>
      </c>
      <c r="F1321" s="98" t="s">
        <v>435</v>
      </c>
      <c r="G1321" s="132" t="s">
        <v>603</v>
      </c>
      <c r="H1321" s="98">
        <v>10.0</v>
      </c>
      <c r="I1321" s="98"/>
      <c r="J1321" s="98" t="s">
        <v>603</v>
      </c>
      <c r="K1321" s="98"/>
      <c r="L1321" s="98">
        <v>50.0</v>
      </c>
      <c r="M1321" s="98"/>
      <c r="N1321" s="98" t="s">
        <v>603</v>
      </c>
      <c r="O1321" s="98"/>
      <c r="P1321" s="98" t="s">
        <v>603</v>
      </c>
      <c r="Q1321" s="98"/>
      <c r="R1321" s="98" t="s">
        <v>603</v>
      </c>
      <c r="S1321" s="98"/>
      <c r="T1321" s="98" t="s">
        <v>603</v>
      </c>
      <c r="U1321" s="98"/>
      <c r="V1321" s="98" t="s">
        <v>603</v>
      </c>
      <c r="W1321" s="98"/>
      <c r="X1321" s="98" t="s">
        <v>603</v>
      </c>
      <c r="Y1321" s="98"/>
      <c r="Z1321" s="98" t="s">
        <v>603</v>
      </c>
      <c r="AA1321" s="98"/>
      <c r="AB1321" s="5" t="s">
        <v>436</v>
      </c>
      <c r="AC1321" s="47">
        <v>60.0</v>
      </c>
    </row>
    <row r="1322" hidden="1">
      <c r="A1322" s="222" t="str">
        <f t="array" ref="A1322:A1323">{"FormulaRow23";(INDEX(CLASSLIST,A1277,1))}</f>
        <v>FormulaRow23</v>
      </c>
      <c r="B1322" s="77" t="s">
        <v>236</v>
      </c>
      <c r="C1322" s="222" t="str">
        <f t="array" ref="C1322:C1323">{"CLASSTYPE";((INDEX(ALLCLASSDATA,MATCH("ClassType",CLASSFEATUREHEADERS,0),MATCH($A1323,CLASSNAMEHEADERS,0))))}</f>
        <v>CLASSTYPE</v>
      </c>
      <c r="D1322" s="228" t="str">
        <f t="array" ref="D1322:D1323">{"SAVES";"Saves"}</f>
        <v>SAVES</v>
      </c>
      <c r="E1322" s="228" t="str">
        <f t="array" ref="E1322:E1323">{"FORTITUDESAVE";"FortitudeSave"}</f>
        <v>FORTITUDESAVE</v>
      </c>
      <c r="F1322" s="230" t="str">
        <f t="array" ref="F1322:F1323">{"FORTITUDEINITIAL";((IF(H1323=10,"T",(IF(H1323=50,"E","")))))}</f>
        <v>FORTITUDEINITIAL</v>
      </c>
      <c r="G1322" s="230" t="str">
        <f t="array" ref="G1322:G1323">{"FORTITUDEINITIALPTS";((IF("00"=(INDEX(ALLCLASSDATA,MATCH("FortitudeSaveLegendary",CLASSFEATUREHEADERS,0),MATCH($A1323,CLASSNAMEHEADERS,0))),(INDEX(ALLCLASSDATA,MATCH("FortitudeSaveLegendary",CLASSFEATUREHEADERS,0),MATCH(($A1323 &amp; "Points"),CLASSNAMEHEADERS,0))),(IF("00"=(INDEX(ALLCLASSDATA,MATCH("FortitudeSaveMaster",CLASSFEATUREHEADERS,0),MATCH($A1323,CLASSNAMEHEADERS,0))),(INDEX(ALLCLASSDATA,MATCH("FortitudeSaveMaster",CLASSFEATUREHEADERS,0),MATCH(($A1323 &amp; "Points"),CLASSNAMEHEADERS,0))),(IF("00"=(INDEX(ALLCLASSDATA,MATCH("FortitudeSaveExpert",CLASSFEATUREHEADERS,0),MATCH($A1323,CLASSNAMEHEADERS,0))),(INDEX(ALLCLASSDATA,MATCH("FortitudeSaveExpert",CLASSFEATUREHEADERS,0),MATCH(($A1323 &amp; "Points"),CLASSNAMEHEADERS,0))),(IF("00"=(INDEX(ALLCLASSDATA,MATCH("FortitudeSaveTrained",CLASSFEATUREHEADERS,0),MATCH($A1323,CLASSNAMEHEADERS,0))),(INDEX(ALLCLASSDATA,MATCH("FortitudeSaveTrained",CLASSFEATUREHEADERS,0),MATCH(($A1323 &amp; "Points"),CLASSNAMEHEADERS,0))),"")))))))))}</f>
        <v>FORTITUDEINITIALPTS</v>
      </c>
      <c r="H1322" s="230" t="str">
        <f t="array" ref="H1322:H1323">{"FORTITUDEL01";((IF("01"=(INDEX(ALLCLASSDATA,MATCH("FortitudeSaveLegendary",CLASSFEATUREHEADERS,0),MATCH($A1323,CLASSNAMEHEADERS,0))),(INDEX(ALLCLASSDATA,MATCH("FortitudeSaveLegendary",CLASSFEATUREHEADERS,0),MATCH(($A1323 &amp; "Points"),CLASSNAMEHEADERS,0))),(IF("01"=(INDEX(ALLCLASSDATA,MATCH("FortitudeSaveMaster",CLASSFEATUREHEADERS,0),MATCH($A1323,CLASSNAMEHEADERS,0))),(INDEX(ALLCLASSDATA,MATCH("FortitudeSaveMaster",CLASSFEATUREHEADERS,0),MATCH(($A1323 &amp; "Points"),CLASSNAMEHEADERS,0))),(IF("01"=(INDEX(ALLCLASSDATA,MATCH("FortitudeSaveExpert",CLASSFEATUREHEADERS,0),MATCH($A1323,CLASSNAMEHEADERS,0))),(INDEX(ALLCLASSDATA,MATCH("FortitudeSaveExpert",CLASSFEATUREHEADERS,0),MATCH(($A1323 &amp; "Points"),CLASSNAMEHEADERS,0))),(IF("01"=(INDEX(ALLCLASSDATA,MATCH("FortitudeSaveTrained",CLASSFEATUREHEADERS,0),MATCH($A1323,CLASSNAMEHEADERS,0))),(INDEX(ALLCLASSDATA,MATCH("FortitudeSaveTrained",CLASSFEATUREHEADERS,0),MATCH(($A1323 &amp; "Points"),CLASSNAMEHEADERS,0))),"")))))))))}</f>
        <v>FORTITUDEL01</v>
      </c>
      <c r="I1322" s="230"/>
      <c r="J1322" s="230" t="str">
        <f t="array" ref="J1322:J1323">{"FORTITUDEL03";((IF("03"=(INDEX(ALLCLASSDATA,MATCH("FortitudeSaveLegendary",CLASSFEATUREHEADERS,0),MATCH($A1323,CLASSNAMEHEADERS,0))),(INDEX(ALLCLASSDATA,MATCH("FortitudeSaveLegendary",CLASSFEATUREHEADERS,0),MATCH(($A1323 &amp; "Points"),CLASSNAMEHEADERS,0))),(IF("03"=(INDEX(ALLCLASSDATA,MATCH("FortitudeSaveMaster",CLASSFEATUREHEADERS,0),MATCH($A1323,CLASSNAMEHEADERS,0))),(INDEX(ALLCLASSDATA,MATCH("FortitudeSaveMaster",CLASSFEATUREHEADERS,0),MATCH(($A1323 &amp; "Points"),CLASSNAMEHEADERS,0))),(IF("03"=(INDEX(ALLCLASSDATA,MATCH("FortitudeSaveExpert",CLASSFEATUREHEADERS,0),MATCH($A1323,CLASSNAMEHEADERS,0))),(INDEX(ALLCLASSDATA,MATCH("FortitudeSaveExpert",CLASSFEATUREHEADERS,0),MATCH(($A1323 &amp; "Points"),CLASSNAMEHEADERS,0))),(IF("03"=(INDEX(ALLCLASSDATA,MATCH("FortitudeSaveTrained",CLASSFEATUREHEADERS,0),MATCH($A1323,CLASSNAMEHEADERS,0))),(INDEX(ALLCLASSDATA,MATCH("FortitudeSaveTrained",CLASSFEATUREHEADERS,0),MATCH(($A1323 &amp; "Points"),CLASSNAMEHEADERS,0))),"")))))))))}</f>
        <v>FORTITUDEL03</v>
      </c>
      <c r="K1322" s="230"/>
      <c r="L1322" s="230" t="str">
        <f t="array" ref="L1322:L1323">{"FORTITUDEL05";((IF("05"=(INDEX(ALLCLASSDATA,MATCH("FortitudeSaveLegendary",CLASSFEATUREHEADERS,0),MATCH($A1323,CLASSNAMEHEADERS,0))),(INDEX(ALLCLASSDATA,MATCH("FortitudeSaveLegendary",CLASSFEATUREHEADERS,0),MATCH(($A1323 &amp; "Points"),CLASSNAMEHEADERS,0))),(IF("05"=(INDEX(ALLCLASSDATA,MATCH("FortitudeSaveMaster",CLASSFEATUREHEADERS,0),MATCH($A1323,CLASSNAMEHEADERS,0))),(INDEX(ALLCLASSDATA,MATCH("FortitudeSaveMaster",CLASSFEATUREHEADERS,0),MATCH(($A1323 &amp; "Points"),CLASSNAMEHEADERS,0))),(IF("05"=(INDEX(ALLCLASSDATA,MATCH("FortitudeSaveExpert",CLASSFEATUREHEADERS,0),MATCH($A1323,CLASSNAMEHEADERS,0))),(INDEX(ALLCLASSDATA,MATCH("FortitudeSaveExpert",CLASSFEATUREHEADERS,0),MATCH(($A1323 &amp; "Points"),CLASSNAMEHEADERS,0))),(IF("05"=(INDEX(ALLCLASSDATA,MATCH("FortitudeSaveTrained",CLASSFEATUREHEADERS,0),MATCH($A1323,CLASSNAMEHEADERS,0))),(INDEX(ALLCLASSDATA,MATCH("FortitudeSaveTrained",CLASSFEATUREHEADERS,0),MATCH(($A1323 &amp; "Points"),CLASSNAMEHEADERS,0))),"")))))))))}</f>
        <v>FORTITUDEL05</v>
      </c>
      <c r="M1322" s="230"/>
      <c r="N1322" s="230" t="str">
        <f t="array" ref="N1322:N1323">{"FORTITUDEL07";((IF("07"=(INDEX(ALLCLASSDATA,MATCH("FortitudeSaveLegendary",CLASSFEATUREHEADERS,0),MATCH($A1323,CLASSNAMEHEADERS,0))),(INDEX(ALLCLASSDATA,MATCH("FortitudeSaveLegendary",CLASSFEATUREHEADERS,0),MATCH(($A1323 &amp; "Points"),CLASSNAMEHEADERS,0))),(IF("07"=(INDEX(ALLCLASSDATA,MATCH("FortitudeSaveMaster",CLASSFEATUREHEADERS,0),MATCH($A1323,CLASSNAMEHEADERS,0))),(INDEX(ALLCLASSDATA,MATCH("FortitudeSaveMaster",CLASSFEATUREHEADERS,0),MATCH(($A1323 &amp; "Points"),CLASSNAMEHEADERS,0))),(IF("07"=(INDEX(ALLCLASSDATA,MATCH("FortitudeSaveExpert",CLASSFEATUREHEADERS,0),MATCH($A1323,CLASSNAMEHEADERS,0))),(INDEX(ALLCLASSDATA,MATCH("FortitudeSaveExpert",CLASSFEATUREHEADERS,0),MATCH(($A1323 &amp; "Points"),CLASSNAMEHEADERS,0))),(IF("07"=(INDEX(ALLCLASSDATA,MATCH("FortitudeSaveTrained",CLASSFEATUREHEADERS,0),MATCH($A1323,CLASSNAMEHEADERS,0))),(INDEX(ALLCLASSDATA,MATCH("FortitudeSaveTrained",CLASSFEATUREHEADERS,0),MATCH(($A1323 &amp; "Points"),CLASSNAMEHEADERS,0))),"")))))))))}</f>
        <v>FORTITUDEL07</v>
      </c>
      <c r="O1322" s="230"/>
      <c r="P1322" s="230" t="str">
        <f t="array" ref="P1322:P1323">{"FORTITUDEL09";((IF("09"=(INDEX(ALLCLASSDATA,MATCH("FortitudeSaveLegendary",CLASSFEATUREHEADERS,0),MATCH($A1323,CLASSNAMEHEADERS,0))),(INDEX(ALLCLASSDATA,MATCH("FortitudeSaveLegendary",CLASSFEATUREHEADERS,0),MATCH(($A1323 &amp; "Points"),CLASSNAMEHEADERS,0))),(IF("09"=(INDEX(ALLCLASSDATA,MATCH("FortitudeSaveMaster",CLASSFEATUREHEADERS,0),MATCH($A1323,CLASSNAMEHEADERS,0))),(INDEX(ALLCLASSDATA,MATCH("FortitudeSaveMaster",CLASSFEATUREHEADERS,0),MATCH(($A1323 &amp; "Points"),CLASSNAMEHEADERS,0))),(IF("09"=(INDEX(ALLCLASSDATA,MATCH("FortitudeSaveExpert",CLASSFEATUREHEADERS,0),MATCH($A1323,CLASSNAMEHEADERS,0))),(INDEX(ALLCLASSDATA,MATCH("FortitudeSaveExpert",CLASSFEATUREHEADERS,0),MATCH(($A1323 &amp; "Points"),CLASSNAMEHEADERS,0))),(IF("09"=(INDEX(ALLCLASSDATA,MATCH("FortitudeSaveTrained",CLASSFEATUREHEADERS,0),MATCH($A1323,CLASSNAMEHEADERS,0))),(INDEX(ALLCLASSDATA,MATCH("FortitudeSaveTrained",CLASSFEATUREHEADERS,0),MATCH(($A1323 &amp; "Points"),CLASSNAMEHEADERS,0))),"")))))))))}</f>
        <v>FORTITUDEL09</v>
      </c>
      <c r="Q1322" s="230"/>
      <c r="R1322" s="230" t="str">
        <f t="array" ref="R1322:R1323">{"FORTITUDEL11";((IF("11"=(INDEX(ALLCLASSDATA,MATCH("FortitudeSaveLegendary",CLASSFEATUREHEADERS,0),MATCH($A1323,CLASSNAMEHEADERS,0))),(INDEX(ALLCLASSDATA,MATCH("FortitudeSaveLegendary",CLASSFEATUREHEADERS,0),MATCH(($A1323 &amp; "Points"),CLASSNAMEHEADERS,0))),(IF("11"=(INDEX(ALLCLASSDATA,MATCH("FortitudeSaveMaster",CLASSFEATUREHEADERS,0),MATCH($A1323,CLASSNAMEHEADERS,0))),(INDEX(ALLCLASSDATA,MATCH("FortitudeSaveMaster",CLASSFEATUREHEADERS,0),MATCH(($A1323 &amp; "Points"),CLASSNAMEHEADERS,0))),(IF("11"=(INDEX(ALLCLASSDATA,MATCH("FortitudeSaveExpert",CLASSFEATUREHEADERS,0),MATCH($A1323,CLASSNAMEHEADERS,0))),(INDEX(ALLCLASSDATA,MATCH("FortitudeSaveExpert",CLASSFEATUREHEADERS,0),MATCH(($A1323 &amp; "Points"),CLASSNAMEHEADERS,0))),(IF("11"=(INDEX(ALLCLASSDATA,MATCH("FortitudeSaveTrained",CLASSFEATUREHEADERS,0),MATCH($A1323,CLASSNAMEHEADERS,0))),(INDEX(ALLCLASSDATA,MATCH("FortitudeSaveTrained",CLASSFEATUREHEADERS,0),MATCH(($A1323 &amp; "Points"),CLASSNAMEHEADERS,0))),"")))))))))}</f>
        <v>FORTITUDEL11</v>
      </c>
      <c r="S1322" s="230"/>
      <c r="T1322" s="230" t="str">
        <f t="array" ref="T1322:T1323">{"FORTITUDEL13";((IF("13"=(INDEX(ALLCLASSDATA,MATCH("FortitudeSaveLegendary",CLASSFEATUREHEADERS,0),MATCH($A1323,CLASSNAMEHEADERS,0))),(INDEX(ALLCLASSDATA,MATCH("FortitudeSaveLegendary",CLASSFEATUREHEADERS,0),MATCH(($A1323 &amp; "Points"),CLASSNAMEHEADERS,0))),(IF("13"=(INDEX(ALLCLASSDATA,MATCH("FortitudeSaveMaster",CLASSFEATUREHEADERS,0),MATCH($A1323,CLASSNAMEHEADERS,0))),(INDEX(ALLCLASSDATA,MATCH("FortitudeSaveMaster",CLASSFEATUREHEADERS,0),MATCH(($A1323 &amp; "Points"),CLASSNAMEHEADERS,0))),(IF("13"=(INDEX(ALLCLASSDATA,MATCH("FortitudeSaveExpert",CLASSFEATUREHEADERS,0),MATCH($A1323,CLASSNAMEHEADERS,0))),(INDEX(ALLCLASSDATA,MATCH("FortitudeSaveExpert",CLASSFEATUREHEADERS,0),MATCH(($A1323 &amp; "Points"),CLASSNAMEHEADERS,0))),(IF("13"=(INDEX(ALLCLASSDATA,MATCH("FortitudeSaveTrained",CLASSFEATUREHEADERS,0),MATCH($A1323,CLASSNAMEHEADERS,0))),(INDEX(ALLCLASSDATA,MATCH("FortitudeSaveTrained",CLASSFEATUREHEADERS,0),MATCH(($A1323 &amp; "Points"),CLASSNAMEHEADERS,0))),"")))))))))}</f>
        <v>FORTITUDEL13</v>
      </c>
      <c r="U1322" s="230"/>
      <c r="V1322" s="230" t="str">
        <f t="array" ref="V1322:V1323">{"FORTITUDEL15";((IF("15"=(INDEX(ALLCLASSDATA,MATCH("FortitudeSaveLegendary",CLASSFEATUREHEADERS,0),MATCH($A1323,CLASSNAMEHEADERS,0))),(INDEX(ALLCLASSDATA,MATCH("FortitudeSaveLegendary",CLASSFEATUREHEADERS,0),MATCH(($A1323 &amp; "Points"),CLASSNAMEHEADERS,0))),(IF("15"=(INDEX(ALLCLASSDATA,MATCH("FortitudeSaveMaster",CLASSFEATUREHEADERS,0),MATCH($A1323,CLASSNAMEHEADERS,0))),(INDEX(ALLCLASSDATA,MATCH("FortitudeSaveMaster",CLASSFEATUREHEADERS,0),MATCH(($A1323 &amp; "Points"),CLASSNAMEHEADERS,0))),(IF("15"=(INDEX(ALLCLASSDATA,MATCH("FortitudeSaveExpert",CLASSFEATUREHEADERS,0),MATCH($A1323,CLASSNAMEHEADERS,0))),(INDEX(ALLCLASSDATA,MATCH("FortitudeSaveExpert",CLASSFEATUREHEADERS,0),MATCH(($A1323 &amp; "Points"),CLASSNAMEHEADERS,0))),(IF("15"=(INDEX(ALLCLASSDATA,MATCH("FortitudeSaveTrained",CLASSFEATUREHEADERS,0),MATCH($A1323,CLASSNAMEHEADERS,0))),(INDEX(ALLCLASSDATA,MATCH("FortitudeSaveTrained",CLASSFEATUREHEADERS,0),MATCH(($A1323 &amp; "Points"),CLASSNAMEHEADERS,0))),"")))))))))}</f>
        <v>FORTITUDEL15</v>
      </c>
      <c r="W1322" s="230"/>
      <c r="X1322" s="230" t="str">
        <f t="array" ref="X1322:X1323">{"FORTITUDEL17";((IF("17"=(INDEX(ALLCLASSDATA,MATCH("FortitudeSaveLegendary",CLASSFEATUREHEADERS,0),MATCH($A1323,CLASSNAMEHEADERS,0))),(INDEX(ALLCLASSDATA,MATCH("FortitudeSaveLegendary",CLASSFEATUREHEADERS,0),MATCH(($A1323 &amp; "Points"),CLASSNAMEHEADERS,0))),(IF("17"=(INDEX(ALLCLASSDATA,MATCH("FortitudeSaveMaster",CLASSFEATUREHEADERS,0),MATCH($A1323,CLASSNAMEHEADERS,0))),(INDEX(ALLCLASSDATA,MATCH("FortitudeSaveMaster",CLASSFEATUREHEADERS,0),MATCH(($A1323 &amp; "Points"),CLASSNAMEHEADERS,0))),(IF("17"=(INDEX(ALLCLASSDATA,MATCH("FortitudeSaveExpert",CLASSFEATUREHEADERS,0),MATCH($A1323,CLASSNAMEHEADERS,0))),(INDEX(ALLCLASSDATA,MATCH("FortitudeSaveExpert",CLASSFEATUREHEADERS,0),MATCH(($A1323 &amp; "Points"),CLASSNAMEHEADERS,0))),(IF("17"=(INDEX(ALLCLASSDATA,MATCH("FortitudeSaveTrained",CLASSFEATUREHEADERS,0),MATCH($A1323,CLASSNAMEHEADERS,0))),(INDEX(ALLCLASSDATA,MATCH("FortitudeSaveTrained",CLASSFEATUREHEADERS,0),MATCH(($A1323 &amp; "Points"),CLASSNAMEHEADERS,0))),"")))))))))}</f>
        <v>FORTITUDEL17</v>
      </c>
      <c r="Y1322" s="230"/>
      <c r="Z1322" s="230" t="str">
        <f t="array" ref="Z1322:Z1323">{"FORTITUDEL19";((IF("19"=(INDEX(ALLCLASSDATA,MATCH("FortitudeSaveLegendary",CLASSFEATUREHEADERS,0),MATCH($A1323,CLASSNAMEHEADERS,0))),(INDEX(ALLCLASSDATA,MATCH("FortitudeSaveLegendary",CLASSFEATUREHEADERS,0),MATCH(($A1323 &amp; "Points"),CLASSNAMEHEADERS,0))),(IF("19"=(INDEX(ALLCLASSDATA,MATCH("FortitudeSaveMaster",CLASSFEATUREHEADERS,0),MATCH($A1323,CLASSNAMEHEADERS,0))),(INDEX(ALLCLASSDATA,MATCH("FortitudeSaveMaster",CLASSFEATUREHEADERS,0),MATCH(($A1323 &amp; "Points"),CLASSNAMEHEADERS,0))),(IF("19"=(INDEX(ALLCLASSDATA,MATCH("FortitudeSaveExpert",CLASSFEATUREHEADERS,0),MATCH($A1323,CLASSNAMEHEADERS,0))),(INDEX(ALLCLASSDATA,MATCH("FortitudeSaveExpert",CLASSFEATUREHEADERS,0),MATCH(($A1323 &amp; "Points"),CLASSNAMEHEADERS,0))),(IF("19"=(INDEX(ALLCLASSDATA,MATCH("FortitudeSaveTrained",CLASSFEATUREHEADERS,0),MATCH($A1323,CLASSNAMEHEADERS,0))),(INDEX(ALLCLASSDATA,MATCH("FortitudeSaveTrained",CLASSFEATUREHEADERS,0),MATCH(($A1323 &amp; "Points"),CLASSNAMEHEADERS,0))),"")))))))))}</f>
        <v>FORTITUDEL19</v>
      </c>
      <c r="AA1322" s="230"/>
      <c r="AB1322" s="76" t="str">
        <f t="array" ref="AB1322:AB1323">{"FORTITUDE TOTAL";(IF(COUNTBLANK(G1323:AA1323)=17,"L",(IF(COUNTBLANK(G1323:AA1323)=18,"M",(IF(COUNTBLANK(G1323:AA1323)=19,"E",(IF(COUNTBLANK(G1323:AA1323)=20,"T",""))))))))}</f>
        <v>FORTITUDE TOTAL</v>
      </c>
      <c r="AC1322" s="76" t="str">
        <f t="array" ref="AC1322:AC1323">{"FORTITUDE TOTAL";(sum(G1323:AA1323))}</f>
        <v>FORTITUDE TOTAL</v>
      </c>
    </row>
    <row r="1323">
      <c r="A1323" s="48" t="s">
        <v>211</v>
      </c>
      <c r="B1323" s="48"/>
      <c r="C1323" s="48" t="s">
        <v>417</v>
      </c>
      <c r="D1323" s="48" t="s">
        <v>1549</v>
      </c>
      <c r="E1323" s="48" t="s">
        <v>1550</v>
      </c>
      <c r="F1323" s="5" t="s">
        <v>436</v>
      </c>
      <c r="G1323" s="47">
        <v>10.0</v>
      </c>
      <c r="H1323" s="5">
        <v>50.0</v>
      </c>
      <c r="I1323" s="5"/>
      <c r="J1323" s="5" t="s">
        <v>603</v>
      </c>
      <c r="K1323" s="5"/>
      <c r="L1323" s="5" t="s">
        <v>603</v>
      </c>
      <c r="M1323" s="5"/>
      <c r="N1323" s="5" t="s">
        <v>603</v>
      </c>
      <c r="O1323" s="5"/>
      <c r="P1323" s="5" t="s">
        <v>603</v>
      </c>
      <c r="Q1323" s="5"/>
      <c r="R1323" s="5" t="s">
        <v>603</v>
      </c>
      <c r="S1323" s="5"/>
      <c r="T1323" s="5" t="s">
        <v>603</v>
      </c>
      <c r="U1323" s="5"/>
      <c r="V1323" s="5">
        <v>110.0</v>
      </c>
      <c r="W1323" s="5"/>
      <c r="X1323" s="5" t="s">
        <v>603</v>
      </c>
      <c r="Y1323" s="5"/>
      <c r="Z1323" s="5" t="s">
        <v>603</v>
      </c>
      <c r="AA1323" s="5"/>
      <c r="AB1323" s="5" t="s">
        <v>437</v>
      </c>
      <c r="AC1323" s="47">
        <v>170.0</v>
      </c>
    </row>
    <row r="1324" hidden="1">
      <c r="A1324" s="222" t="str">
        <f t="array" ref="A1324:A1325">{"FormulaRow24";(INDEX(CLASSLIST,A1277,1))}</f>
        <v>FormulaRow24</v>
      </c>
      <c r="B1324" s="77" t="s">
        <v>236</v>
      </c>
      <c r="C1324" s="222" t="str">
        <f t="array" ref="C1324:C1325">{"CLASSTYPE";((INDEX(ALLCLASSDATA,MATCH("ClassType",CLASSFEATUREHEADERS,0),MATCH($A1325,CLASSNAMEHEADERS,0))))}</f>
        <v>CLASSTYPE</v>
      </c>
      <c r="D1324" s="222" t="str">
        <f t="array" ref="D1324:D1325">{"SAVES";"Saves"}</f>
        <v>SAVES</v>
      </c>
      <c r="E1324" s="222" t="str">
        <f t="array" ref="E1324:E1325">{"REFLEXSAVE";"ReflexSave"}</f>
        <v>REFLEXSAVE</v>
      </c>
      <c r="F1324" s="223" t="str">
        <f t="array" ref="F1324:F1325">{"REFLEXINITIAL";((IF(H1325=10,"T",(IF(H1325=50,"E","")))))}</f>
        <v>REFLEXINITIAL</v>
      </c>
      <c r="G1324" s="223" t="str">
        <f t="array" ref="G1324:G1325">{"REFLEXINITIALPTS";((IF("00"=(INDEX(ALLCLASSDATA,MATCH("ReflexSaveLegendary",CLASSFEATUREHEADERS,0),MATCH($A1325,CLASSNAMEHEADERS,0))),(INDEX(ALLCLASSDATA,MATCH("ReflexSaveLegendary",CLASSFEATUREHEADERS,0),MATCH(($A1325 &amp; "Points"),CLASSNAMEHEADERS,0))),(IF("00"=(INDEX(ALLCLASSDATA,MATCH("ReflexSaveMaster",CLASSFEATUREHEADERS,0),MATCH($A1325,CLASSNAMEHEADERS,0))),(INDEX(ALLCLASSDATA,MATCH("ReflexSaveMaster",CLASSFEATUREHEADERS,0),MATCH(($A1325 &amp; "Points"),CLASSNAMEHEADERS,0))),(IF("00"=(INDEX(ALLCLASSDATA,MATCH("ReflexSaveExpert",CLASSFEATUREHEADERS,0),MATCH($A1325,CLASSNAMEHEADERS,0))),(INDEX(ALLCLASSDATA,MATCH("ReflexSaveExpert",CLASSFEATUREHEADERS,0),MATCH(($A1325 &amp; "Points"),CLASSNAMEHEADERS,0))),(IF("00"=(INDEX(ALLCLASSDATA,MATCH("ReflexSaveTrained",CLASSFEATUREHEADERS,0),MATCH($A1325,CLASSNAMEHEADERS,0))),(INDEX(ALLCLASSDATA,MATCH("ReflexSaveTrained",CLASSFEATUREHEADERS,0),MATCH(($A1325 &amp; "Points"),CLASSNAMEHEADERS,0))),"")))))))))}</f>
        <v>REFLEXINITIALPTS</v>
      </c>
      <c r="H1324" s="223" t="str">
        <f t="array" ref="H1324:H1325">{"REFLEXL01";((IF("01"=(INDEX(ALLCLASSDATA,MATCH("ReflexSaveLegendary",CLASSFEATUREHEADERS,0),MATCH($A1325,CLASSNAMEHEADERS,0))),(INDEX(ALLCLASSDATA,MATCH("ReflexSaveLegendary",CLASSFEATUREHEADERS,0),MATCH(($A1325 &amp; "Points"),CLASSNAMEHEADERS,0))),(IF("01"=(INDEX(ALLCLASSDATA,MATCH("ReflexSaveMaster",CLASSFEATUREHEADERS,0),MATCH($A1325,CLASSNAMEHEADERS,0))),(INDEX(ALLCLASSDATA,MATCH("ReflexSaveMaster",CLASSFEATUREHEADERS,0),MATCH(($A1325 &amp; "Points"),CLASSNAMEHEADERS,0))),(IF("01"=(INDEX(ALLCLASSDATA,MATCH("ReflexSaveExpert",CLASSFEATUREHEADERS,0),MATCH($A1325,CLASSNAMEHEADERS,0))),(INDEX(ALLCLASSDATA,MATCH("ReflexSaveExpert",CLASSFEATUREHEADERS,0),MATCH(($A1325 &amp; "Points"),CLASSNAMEHEADERS,0))),(IF("01"=(INDEX(ALLCLASSDATA,MATCH("ReflexSaveTrained",CLASSFEATUREHEADERS,0),MATCH($A1325,CLASSNAMEHEADERS,0))),(INDEX(ALLCLASSDATA,MATCH("ReflexSaveTrained",CLASSFEATUREHEADERS,0),MATCH(($A1325 &amp; "Points"),CLASSNAMEHEADERS,0))),"")))))))))}</f>
        <v>REFLEXL01</v>
      </c>
      <c r="I1324" s="223"/>
      <c r="J1324" s="223" t="str">
        <f t="array" ref="J1324:J1325">{"REFLEXL03";((IF("03"=(INDEX(ALLCLASSDATA,MATCH("ReflexSaveLegendary",CLASSFEATUREHEADERS,0),MATCH($A1325,CLASSNAMEHEADERS,0))),(INDEX(ALLCLASSDATA,MATCH("ReflexSaveLegendary",CLASSFEATUREHEADERS,0),MATCH(($A1325 &amp; "Points"),CLASSNAMEHEADERS,0))),(IF("03"=(INDEX(ALLCLASSDATA,MATCH("ReflexSaveMaster",CLASSFEATUREHEADERS,0),MATCH($A1325,CLASSNAMEHEADERS,0))),(INDEX(ALLCLASSDATA,MATCH("ReflexSaveMaster",CLASSFEATUREHEADERS,0),MATCH(($A1325 &amp; "Points"),CLASSNAMEHEADERS,0))),(IF("03"=(INDEX(ALLCLASSDATA,MATCH("ReflexSaveExpert",CLASSFEATUREHEADERS,0),MATCH($A1325,CLASSNAMEHEADERS,0))),(INDEX(ALLCLASSDATA,MATCH("ReflexSaveExpert",CLASSFEATUREHEADERS,0),MATCH(($A1325 &amp; "Points"),CLASSNAMEHEADERS,0))),(IF("03"=(INDEX(ALLCLASSDATA,MATCH("ReflexSaveTrained",CLASSFEATUREHEADERS,0),MATCH($A1325,CLASSNAMEHEADERS,0))),(INDEX(ALLCLASSDATA,MATCH("ReflexSaveTrained",CLASSFEATUREHEADERS,0),MATCH(($A1325 &amp; "Points"),CLASSNAMEHEADERS,0))),"")))))))))}</f>
        <v>REFLEXL03</v>
      </c>
      <c r="K1324" s="223"/>
      <c r="L1324" s="223" t="str">
        <f t="array" ref="L1324:L1325">{"REFLEXL05";((IF("05"=(INDEX(ALLCLASSDATA,MATCH("ReflexSaveLegendary",CLASSFEATUREHEADERS,0),MATCH($A1325,CLASSNAMEHEADERS,0))),(INDEX(ALLCLASSDATA,MATCH("ReflexSaveLegendary",CLASSFEATUREHEADERS,0),MATCH(($A1325 &amp; "Points"),CLASSNAMEHEADERS,0))),(IF("05"=(INDEX(ALLCLASSDATA,MATCH("ReflexSaveMaster",CLASSFEATUREHEADERS,0),MATCH($A1325,CLASSNAMEHEADERS,0))),(INDEX(ALLCLASSDATA,MATCH("ReflexSaveMaster",CLASSFEATUREHEADERS,0),MATCH(($A1325 &amp; "Points"),CLASSNAMEHEADERS,0))),(IF("05"=(INDEX(ALLCLASSDATA,MATCH("ReflexSaveExpert",CLASSFEATUREHEADERS,0),MATCH($A1325,CLASSNAMEHEADERS,0))),(INDEX(ALLCLASSDATA,MATCH("ReflexSaveExpert",CLASSFEATUREHEADERS,0),MATCH(($A1325 &amp; "Points"),CLASSNAMEHEADERS,0))),(IF("05"=(INDEX(ALLCLASSDATA,MATCH("ReflexSaveTrained",CLASSFEATUREHEADERS,0),MATCH($A1325,CLASSNAMEHEADERS,0))),(INDEX(ALLCLASSDATA,MATCH("ReflexSaveTrained",CLASSFEATUREHEADERS,0),MATCH(($A1325 &amp; "Points"),CLASSNAMEHEADERS,0))),"")))))))))}</f>
        <v>REFLEXL05</v>
      </c>
      <c r="M1324" s="223"/>
      <c r="N1324" s="223" t="str">
        <f t="array" ref="N1324:N1325">{"REFLEXL07";((IF("07"=(INDEX(ALLCLASSDATA,MATCH("ReflexSaveLegendary",CLASSFEATUREHEADERS,0),MATCH($A1325,CLASSNAMEHEADERS,0))),(INDEX(ALLCLASSDATA,MATCH("ReflexSaveLegendary",CLASSFEATUREHEADERS,0),MATCH(($A1325 &amp; "Points"),CLASSNAMEHEADERS,0))),(IF("07"=(INDEX(ALLCLASSDATA,MATCH("ReflexSaveMaster",CLASSFEATUREHEADERS,0),MATCH($A1325,CLASSNAMEHEADERS,0))),(INDEX(ALLCLASSDATA,MATCH("ReflexSaveMaster",CLASSFEATUREHEADERS,0),MATCH(($A1325 &amp; "Points"),CLASSNAMEHEADERS,0))),(IF("07"=(INDEX(ALLCLASSDATA,MATCH("ReflexSaveExpert",CLASSFEATUREHEADERS,0),MATCH($A1325,CLASSNAMEHEADERS,0))),(INDEX(ALLCLASSDATA,MATCH("ReflexSaveExpert",CLASSFEATUREHEADERS,0),MATCH(($A1325 &amp; "Points"),CLASSNAMEHEADERS,0))),(IF("07"=(INDEX(ALLCLASSDATA,MATCH("ReflexSaveTrained",CLASSFEATUREHEADERS,0),MATCH($A1325,CLASSNAMEHEADERS,0))),(INDEX(ALLCLASSDATA,MATCH("ReflexSaveTrained",CLASSFEATUREHEADERS,0),MATCH(($A1325 &amp; "Points"),CLASSNAMEHEADERS,0))),"")))))))))}</f>
        <v>REFLEXL07</v>
      </c>
      <c r="O1324" s="223"/>
      <c r="P1324" s="223" t="str">
        <f t="array" ref="P1324:P1325">{"REFLEXL09";((IF("09"=(INDEX(ALLCLASSDATA,MATCH("ReflexSaveLegendary",CLASSFEATUREHEADERS,0),MATCH($A1325,CLASSNAMEHEADERS,0))),(INDEX(ALLCLASSDATA,MATCH("ReflexSaveLegendary",CLASSFEATUREHEADERS,0),MATCH(($A1325 &amp; "Points"),CLASSNAMEHEADERS,0))),(IF("09"=(INDEX(ALLCLASSDATA,MATCH("ReflexSaveMaster",CLASSFEATUREHEADERS,0),MATCH($A1325,CLASSNAMEHEADERS,0))),(INDEX(ALLCLASSDATA,MATCH("ReflexSaveMaster",CLASSFEATUREHEADERS,0),MATCH(($A1325 &amp; "Points"),CLASSNAMEHEADERS,0))),(IF("09"=(INDEX(ALLCLASSDATA,MATCH("ReflexSaveExpert",CLASSFEATUREHEADERS,0),MATCH($A1325,CLASSNAMEHEADERS,0))),(INDEX(ALLCLASSDATA,MATCH("ReflexSaveExpert",CLASSFEATUREHEADERS,0),MATCH(($A1325 &amp; "Points"),CLASSNAMEHEADERS,0))),(IF("09"=(INDEX(ALLCLASSDATA,MATCH("ReflexSaveTrained",CLASSFEATUREHEADERS,0),MATCH($A1325,CLASSNAMEHEADERS,0))),(INDEX(ALLCLASSDATA,MATCH("ReflexSaveTrained",CLASSFEATUREHEADERS,0),MATCH(($A1325 &amp; "Points"),CLASSNAMEHEADERS,0))),"")))))))))}</f>
        <v>REFLEXL09</v>
      </c>
      <c r="Q1324" s="223"/>
      <c r="R1324" s="223" t="str">
        <f t="array" ref="R1324:R1325">{"REFLEXL11";((IF("11"=(INDEX(ALLCLASSDATA,MATCH("ReflexSaveLegendary",CLASSFEATUREHEADERS,0),MATCH($A1325,CLASSNAMEHEADERS,0))),(INDEX(ALLCLASSDATA,MATCH("ReflexSaveLegendary",CLASSFEATUREHEADERS,0),MATCH(($A1325 &amp; "Points"),CLASSNAMEHEADERS,0))),(IF("11"=(INDEX(ALLCLASSDATA,MATCH("ReflexSaveMaster",CLASSFEATUREHEADERS,0),MATCH($A1325,CLASSNAMEHEADERS,0))),(INDEX(ALLCLASSDATA,MATCH("ReflexSaveMaster",CLASSFEATUREHEADERS,0),MATCH(($A1325 &amp; "Points"),CLASSNAMEHEADERS,0))),(IF("11"=(INDEX(ALLCLASSDATA,MATCH("ReflexSaveExpert",CLASSFEATUREHEADERS,0),MATCH($A1325,CLASSNAMEHEADERS,0))),(INDEX(ALLCLASSDATA,MATCH("ReflexSaveExpert",CLASSFEATUREHEADERS,0),MATCH(($A1325 &amp; "Points"),CLASSNAMEHEADERS,0))),(IF("11"=(INDEX(ALLCLASSDATA,MATCH("ReflexSaveTrained",CLASSFEATUREHEADERS,0),MATCH($A1325,CLASSNAMEHEADERS,0))),(INDEX(ALLCLASSDATA,MATCH("ReflexSaveTrained",CLASSFEATUREHEADERS,0),MATCH(($A1325 &amp; "Points"),CLASSNAMEHEADERS,0))),"")))))))))}</f>
        <v>REFLEXL11</v>
      </c>
      <c r="S1324" s="223"/>
      <c r="T1324" s="223" t="str">
        <f t="array" ref="T1324:T1325">{"REFLEXL13";((IF("13"=(INDEX(ALLCLASSDATA,MATCH("ReflexSaveLegendary",CLASSFEATUREHEADERS,0),MATCH($A1325,CLASSNAMEHEADERS,0))),(INDEX(ALLCLASSDATA,MATCH("ReflexSaveLegendary",CLASSFEATUREHEADERS,0),MATCH(($A1325 &amp; "Points"),CLASSNAMEHEADERS,0))),(IF("13"=(INDEX(ALLCLASSDATA,MATCH("ReflexSaveMaster",CLASSFEATUREHEADERS,0),MATCH($A1325,CLASSNAMEHEADERS,0))),(INDEX(ALLCLASSDATA,MATCH("ReflexSaveMaster",CLASSFEATUREHEADERS,0),MATCH(($A1325 &amp; "Points"),CLASSNAMEHEADERS,0))),(IF("13"=(INDEX(ALLCLASSDATA,MATCH("ReflexSaveExpert",CLASSFEATUREHEADERS,0),MATCH($A1325,CLASSNAMEHEADERS,0))),(INDEX(ALLCLASSDATA,MATCH("ReflexSaveExpert",CLASSFEATUREHEADERS,0),MATCH(($A1325 &amp; "Points"),CLASSNAMEHEADERS,0))),(IF("13"=(INDEX(ALLCLASSDATA,MATCH("ReflexSaveTrained",CLASSFEATUREHEADERS,0),MATCH($A1325,CLASSNAMEHEADERS,0))),(INDEX(ALLCLASSDATA,MATCH("ReflexSaveTrained",CLASSFEATUREHEADERS,0),MATCH(($A1325 &amp; "Points"),CLASSNAMEHEADERS,0))),"")))))))))}</f>
        <v>REFLEXL13</v>
      </c>
      <c r="U1324" s="223"/>
      <c r="V1324" s="223" t="str">
        <f t="array" ref="V1324:V1325">{"REFLEXL15";((IF("15"=(INDEX(ALLCLASSDATA,MATCH("ReflexSaveLegendary",CLASSFEATUREHEADERS,0),MATCH($A1325,CLASSNAMEHEADERS,0))),(INDEX(ALLCLASSDATA,MATCH("ReflexSaveLegendary",CLASSFEATUREHEADERS,0),MATCH(($A1325 &amp; "Points"),CLASSNAMEHEADERS,0))),(IF("15"=(INDEX(ALLCLASSDATA,MATCH("ReflexSaveMaster",CLASSFEATUREHEADERS,0),MATCH($A1325,CLASSNAMEHEADERS,0))),(INDEX(ALLCLASSDATA,MATCH("ReflexSaveMaster",CLASSFEATUREHEADERS,0),MATCH(($A1325 &amp; "Points"),CLASSNAMEHEADERS,0))),(IF("15"=(INDEX(ALLCLASSDATA,MATCH("ReflexSaveExpert",CLASSFEATUREHEADERS,0),MATCH($A1325,CLASSNAMEHEADERS,0))),(INDEX(ALLCLASSDATA,MATCH("ReflexSaveExpert",CLASSFEATUREHEADERS,0),MATCH(($A1325 &amp; "Points"),CLASSNAMEHEADERS,0))),(IF("15"=(INDEX(ALLCLASSDATA,MATCH("ReflexSaveTrained",CLASSFEATUREHEADERS,0),MATCH($A1325,CLASSNAMEHEADERS,0))),(INDEX(ALLCLASSDATA,MATCH("ReflexSaveTrained",CLASSFEATUREHEADERS,0),MATCH(($A1325 &amp; "Points"),CLASSNAMEHEADERS,0))),"")))))))))}</f>
        <v>REFLEXL15</v>
      </c>
      <c r="W1324" s="223"/>
      <c r="X1324" s="223" t="str">
        <f t="array" ref="X1324:X1325">{"REFLEXL17";((IF("17"=(INDEX(ALLCLASSDATA,MATCH("ReflexSaveLegendary",CLASSFEATUREHEADERS,0),MATCH($A1325,CLASSNAMEHEADERS,0))),(INDEX(ALLCLASSDATA,MATCH("ReflexSaveLegendary",CLASSFEATUREHEADERS,0),MATCH(($A1325 &amp; "Points"),CLASSNAMEHEADERS,0))),(IF("17"=(INDEX(ALLCLASSDATA,MATCH("ReflexSaveMaster",CLASSFEATUREHEADERS,0),MATCH($A1325,CLASSNAMEHEADERS,0))),(INDEX(ALLCLASSDATA,MATCH("ReflexSaveMaster",CLASSFEATUREHEADERS,0),MATCH(($A1325 &amp; "Points"),CLASSNAMEHEADERS,0))),(IF("17"=(INDEX(ALLCLASSDATA,MATCH("ReflexSaveExpert",CLASSFEATUREHEADERS,0),MATCH($A1325,CLASSNAMEHEADERS,0))),(INDEX(ALLCLASSDATA,MATCH("ReflexSaveExpert",CLASSFEATUREHEADERS,0),MATCH(($A1325 &amp; "Points"),CLASSNAMEHEADERS,0))),(IF("17"=(INDEX(ALLCLASSDATA,MATCH("ReflexSaveTrained",CLASSFEATUREHEADERS,0),MATCH($A1325,CLASSNAMEHEADERS,0))),(INDEX(ALLCLASSDATA,MATCH("ReflexSaveTrained",CLASSFEATUREHEADERS,0),MATCH(($A1325 &amp; "Points"),CLASSNAMEHEADERS,0))),"")))))))))}</f>
        <v>REFLEXL17</v>
      </c>
      <c r="Y1324" s="223"/>
      <c r="Z1324" s="223" t="str">
        <f t="array" ref="Z1324:Z1325">{"REFLEXL19";((IF("19"=(INDEX(ALLCLASSDATA,MATCH("ReflexSaveLegendary",CLASSFEATUREHEADERS,0),MATCH($A1325,CLASSNAMEHEADERS,0))),(INDEX(ALLCLASSDATA,MATCH("ReflexSaveLegendary",CLASSFEATUREHEADERS,0),MATCH(($A1325 &amp; "Points"),CLASSNAMEHEADERS,0))),(IF("19"=(INDEX(ALLCLASSDATA,MATCH("ReflexSaveMaster",CLASSFEATUREHEADERS,0),MATCH($A1325,CLASSNAMEHEADERS,0))),(INDEX(ALLCLASSDATA,MATCH("ReflexSaveMaster",CLASSFEATUREHEADERS,0),MATCH(($A1325 &amp; "Points"),CLASSNAMEHEADERS,0))),(IF("19"=(INDEX(ALLCLASSDATA,MATCH("ReflexSaveExpert",CLASSFEATUREHEADERS,0),MATCH($A1325,CLASSNAMEHEADERS,0))),(INDEX(ALLCLASSDATA,MATCH("ReflexSaveExpert",CLASSFEATUREHEADERS,0),MATCH(($A1325 &amp; "Points"),CLASSNAMEHEADERS,0))),(IF("19"=(INDEX(ALLCLASSDATA,MATCH("ReflexSaveTrained",CLASSFEATUREHEADERS,0),MATCH($A1325,CLASSNAMEHEADERS,0))),(INDEX(ALLCLASSDATA,MATCH("ReflexSaveTrained",CLASSFEATUREHEADERS,0),MATCH(($A1325 &amp; "Points"),CLASSNAMEHEADERS,0))),"")))))))))}</f>
        <v>REFLEXL19</v>
      </c>
      <c r="AA1324" s="223"/>
      <c r="AB1324" s="76" t="str">
        <f t="array" ref="AB1324:AB1325">{"REFLEX TOTAL";(IF(COUNTBLANK(G1325:AA1325)=17,"L",(IF(COUNTBLANK(G1325:AA1325)=18,"M",(IF(COUNTBLANK(G1325:AA1325)=19,"E",(IF(COUNTBLANK(G1325:AA1325)=20,"T",""))))))))}</f>
        <v>REFLEX TOTAL</v>
      </c>
      <c r="AC1324" s="76" t="str">
        <f t="array" ref="AC1324:AC1325">{"REFLEX TOTAL";(sum(G1325:AA1325))}</f>
        <v>REFLEX TOTAL</v>
      </c>
    </row>
    <row r="1325">
      <c r="A1325" s="48" t="s">
        <v>211</v>
      </c>
      <c r="B1325" s="48"/>
      <c r="C1325" s="48" t="s">
        <v>417</v>
      </c>
      <c r="D1325" s="48" t="s">
        <v>1549</v>
      </c>
      <c r="E1325" s="48" t="s">
        <v>1572</v>
      </c>
      <c r="F1325" s="5" t="s">
        <v>435</v>
      </c>
      <c r="G1325" s="47" t="s">
        <v>603</v>
      </c>
      <c r="H1325" s="5">
        <v>10.0</v>
      </c>
      <c r="I1325" s="5"/>
      <c r="J1325" s="5" t="s">
        <v>603</v>
      </c>
      <c r="K1325" s="5"/>
      <c r="L1325" s="5" t="s">
        <v>603</v>
      </c>
      <c r="M1325" s="5"/>
      <c r="N1325" s="5" t="s">
        <v>603</v>
      </c>
      <c r="O1325" s="5"/>
      <c r="P1325" s="5" t="s">
        <v>603</v>
      </c>
      <c r="Q1325" s="5"/>
      <c r="R1325" s="5">
        <v>50.0</v>
      </c>
      <c r="S1325" s="5"/>
      <c r="T1325" s="5" t="s">
        <v>603</v>
      </c>
      <c r="U1325" s="5"/>
      <c r="V1325" s="5" t="s">
        <v>603</v>
      </c>
      <c r="W1325" s="5"/>
      <c r="X1325" s="5" t="s">
        <v>603</v>
      </c>
      <c r="Y1325" s="5"/>
      <c r="Z1325" s="5" t="s">
        <v>603</v>
      </c>
      <c r="AA1325" s="5"/>
      <c r="AB1325" s="5" t="s">
        <v>436</v>
      </c>
      <c r="AC1325" s="47">
        <v>60.0</v>
      </c>
    </row>
    <row r="1326" hidden="1">
      <c r="A1326" s="222" t="str">
        <f t="array" ref="A1326:A1327">{"FormulaRow25";(INDEX(CLASSLIST,A1277,1))}</f>
        <v>FormulaRow25</v>
      </c>
      <c r="B1326" s="77" t="s">
        <v>236</v>
      </c>
      <c r="C1326" s="222" t="str">
        <f t="array" ref="C1326:C1327">{"CLASSTYPE";((INDEX(ALLCLASSDATA,MATCH("ClassType",CLASSFEATUREHEADERS,0),MATCH($A1327,CLASSNAMEHEADERS,0))))}</f>
        <v>CLASSTYPE</v>
      </c>
      <c r="D1326" s="222" t="str">
        <f t="array" ref="D1326:D1327">{"SAVES";"Saves"}</f>
        <v>SAVES</v>
      </c>
      <c r="E1326" s="222" t="str">
        <f t="array" ref="E1326:E1327">{"WILLSAVE";"WillSave"}</f>
        <v>WILLSAVE</v>
      </c>
      <c r="F1326" s="223" t="str">
        <f t="array" ref="F1326:F1327">{"WILLINITIAL";((IF(H1327=10,"T",(IF(H1327=50,"E","")))))}</f>
        <v>WILLINITIAL</v>
      </c>
      <c r="G1326" s="223" t="str">
        <f t="array" ref="G1326:G1327">{"WILLINITIALPTS";((IF("00"=(INDEX(ALLCLASSDATA,MATCH("WillSaveLegendary",CLASSFEATUREHEADERS,0),MATCH($A1327,CLASSNAMEHEADERS,0))),(INDEX(ALLCLASSDATA,MATCH("WillSaveLegendary",CLASSFEATUREHEADERS,0),MATCH(($A1327 &amp; "Points"),CLASSNAMEHEADERS,0))),(IF("00"=(INDEX(ALLCLASSDATA,MATCH("WillSaveMaster",CLASSFEATUREHEADERS,0),MATCH($A1327,CLASSNAMEHEADERS,0))),(INDEX(ALLCLASSDATA,MATCH("WillSaveMaster",CLASSFEATUREHEADERS,0),MATCH(($A1327 &amp; "Points"),CLASSNAMEHEADERS,0))),(IF("00"=(INDEX(ALLCLASSDATA,MATCH("WillSaveExpert",CLASSFEATUREHEADERS,0),MATCH($A1327,CLASSNAMEHEADERS,0))),(INDEX(ALLCLASSDATA,MATCH("WillSaveExpert",CLASSFEATUREHEADERS,0),MATCH(($A1327 &amp; "Points"),CLASSNAMEHEADERS,0))),(IF("00"=(INDEX(ALLCLASSDATA,MATCH("WillSaveTrained",CLASSFEATUREHEADERS,0),MATCH($A1327,CLASSNAMEHEADERS,0))),(INDEX(ALLCLASSDATA,MATCH("WillSaveTrained",CLASSFEATUREHEADERS,0),MATCH(($A1327 &amp; "Points"),CLASSNAMEHEADERS,0))),"")))))))))}</f>
        <v>WILLINITIALPTS</v>
      </c>
      <c r="H1326" s="223" t="str">
        <f t="array" ref="H1326:H1327">{"WILLL01";((IF("01"=(INDEX(ALLCLASSDATA,MATCH("WillSaveLegendary",CLASSFEATUREHEADERS,0),MATCH($A1327,CLASSNAMEHEADERS,0))),(INDEX(ALLCLASSDATA,MATCH("WillSaveLegendary",CLASSFEATUREHEADERS,0),MATCH(($A1327 &amp; "Points"),CLASSNAMEHEADERS,0))),(IF("01"=(INDEX(ALLCLASSDATA,MATCH("WillSaveMaster",CLASSFEATUREHEADERS,0),MATCH($A1327,CLASSNAMEHEADERS,0))),(INDEX(ALLCLASSDATA,MATCH("WillSaveMaster",CLASSFEATUREHEADERS,0),MATCH(($A1327 &amp; "Points"),CLASSNAMEHEADERS,0))),(IF("01"=(INDEX(ALLCLASSDATA,MATCH("WillSaveExpert",CLASSFEATUREHEADERS,0),MATCH($A1327,CLASSNAMEHEADERS,0))),(INDEX(ALLCLASSDATA,MATCH("WillSaveExpert",CLASSFEATUREHEADERS,0),MATCH(($A1327 &amp; "Points"),CLASSNAMEHEADERS,0))),(IF("01"=(INDEX(ALLCLASSDATA,MATCH("WillSaveTrained",CLASSFEATUREHEADERS,0),MATCH($A1327,CLASSNAMEHEADERS,0))),(INDEX(ALLCLASSDATA,MATCH("WillSaveTrained",CLASSFEATUREHEADERS,0),MATCH(($A1327 &amp; "Points"),CLASSNAMEHEADERS,0))),"")))))))))}</f>
        <v>WILLL01</v>
      </c>
      <c r="I1326" s="223"/>
      <c r="J1326" s="223" t="str">
        <f t="array" ref="J1326:J1327">{"WILLL03";((IF("03"=(INDEX(ALLCLASSDATA,MATCH("WillSaveLegendary",CLASSFEATUREHEADERS,0),MATCH($A1327,CLASSNAMEHEADERS,0))),(INDEX(ALLCLASSDATA,MATCH("WillSaveLegendary",CLASSFEATUREHEADERS,0),MATCH(($A1327 &amp; "Points"),CLASSNAMEHEADERS,0))),(IF("03"=(INDEX(ALLCLASSDATA,MATCH("WillSaveMaster",CLASSFEATUREHEADERS,0),MATCH($A1327,CLASSNAMEHEADERS,0))),(INDEX(ALLCLASSDATA,MATCH("WillSaveMaster",CLASSFEATUREHEADERS,0),MATCH(($A1327 &amp; "Points"),CLASSNAMEHEADERS,0))),(IF("03"=(INDEX(ALLCLASSDATA,MATCH("WillSaveExpert",CLASSFEATUREHEADERS,0),MATCH($A1327,CLASSNAMEHEADERS,0))),(INDEX(ALLCLASSDATA,MATCH("WillSaveExpert",CLASSFEATUREHEADERS,0),MATCH(($A1327 &amp; "Points"),CLASSNAMEHEADERS,0))),(IF("03"=(INDEX(ALLCLASSDATA,MATCH("WillSaveTrained",CLASSFEATUREHEADERS,0),MATCH($A1327,CLASSNAMEHEADERS,0))),(INDEX(ALLCLASSDATA,MATCH("WillSaveTrained",CLASSFEATUREHEADERS,0),MATCH(($A1327 &amp; "Points"),CLASSNAMEHEADERS,0))),"")))))))))}</f>
        <v>WILLL03</v>
      </c>
      <c r="K1326" s="223"/>
      <c r="L1326" s="223" t="str">
        <f t="array" ref="L1326:L1327">{"WILLL05";((IF("05"=(INDEX(ALLCLASSDATA,MATCH("WillSaveLegendary",CLASSFEATUREHEADERS,0),MATCH($A1327,CLASSNAMEHEADERS,0))),(INDEX(ALLCLASSDATA,MATCH("WillSaveLegendary",CLASSFEATUREHEADERS,0),MATCH(($A1327 &amp; "Points"),CLASSNAMEHEADERS,0))),(IF("05"=(INDEX(ALLCLASSDATA,MATCH("WillSaveMaster",CLASSFEATUREHEADERS,0),MATCH($A1327,CLASSNAMEHEADERS,0))),(INDEX(ALLCLASSDATA,MATCH("WillSaveMaster",CLASSFEATUREHEADERS,0),MATCH(($A1327 &amp; "Points"),CLASSNAMEHEADERS,0))),(IF("05"=(INDEX(ALLCLASSDATA,MATCH("WillSaveExpert",CLASSFEATUREHEADERS,0),MATCH($A1327,CLASSNAMEHEADERS,0))),(INDEX(ALLCLASSDATA,MATCH("WillSaveExpert",CLASSFEATUREHEADERS,0),MATCH(($A1327 &amp; "Points"),CLASSNAMEHEADERS,0))),(IF("05"=(INDEX(ALLCLASSDATA,MATCH("WillSaveTrained",CLASSFEATUREHEADERS,0),MATCH($A1327,CLASSNAMEHEADERS,0))),(INDEX(ALLCLASSDATA,MATCH("WillSaveTrained",CLASSFEATUREHEADERS,0),MATCH(($A1327 &amp; "Points"),CLASSNAMEHEADERS,0))),"")))))))))}</f>
        <v>WILLL05</v>
      </c>
      <c r="M1326" s="223"/>
      <c r="N1326" s="223" t="str">
        <f t="array" ref="N1326:N1327">{"WILLL07";((IF("07"=(INDEX(ALLCLASSDATA,MATCH("WillSaveLegendary",CLASSFEATUREHEADERS,0),MATCH($A1327,CLASSNAMEHEADERS,0))),(INDEX(ALLCLASSDATA,MATCH("WillSaveLegendary",CLASSFEATUREHEADERS,0),MATCH(($A1327 &amp; "Points"),CLASSNAMEHEADERS,0))),(IF("07"=(INDEX(ALLCLASSDATA,MATCH("WillSaveMaster",CLASSFEATUREHEADERS,0),MATCH($A1327,CLASSNAMEHEADERS,0))),(INDEX(ALLCLASSDATA,MATCH("WillSaveMaster",CLASSFEATUREHEADERS,0),MATCH(($A1327 &amp; "Points"),CLASSNAMEHEADERS,0))),(IF("07"=(INDEX(ALLCLASSDATA,MATCH("WillSaveExpert",CLASSFEATUREHEADERS,0),MATCH($A1327,CLASSNAMEHEADERS,0))),(INDEX(ALLCLASSDATA,MATCH("WillSaveExpert",CLASSFEATUREHEADERS,0),MATCH(($A1327 &amp; "Points"),CLASSNAMEHEADERS,0))),(IF("07"=(INDEX(ALLCLASSDATA,MATCH("WillSaveTrained",CLASSFEATUREHEADERS,0),MATCH($A1327,CLASSNAMEHEADERS,0))),(INDEX(ALLCLASSDATA,MATCH("WillSaveTrained",CLASSFEATUREHEADERS,0),MATCH(($A1327 &amp; "Points"),CLASSNAMEHEADERS,0))),"")))))))))}</f>
        <v>WILLL07</v>
      </c>
      <c r="O1326" s="223"/>
      <c r="P1326" s="223" t="str">
        <f t="array" ref="P1326:P1327">{"WILLL09";((IF("09"=(INDEX(ALLCLASSDATA,MATCH("WillSaveLegendary",CLASSFEATUREHEADERS,0),MATCH($A1327,CLASSNAMEHEADERS,0))),(INDEX(ALLCLASSDATA,MATCH("WillSaveLegendary",CLASSFEATUREHEADERS,0),MATCH(($A1327 &amp; "Points"),CLASSNAMEHEADERS,0))),(IF("09"=(INDEX(ALLCLASSDATA,MATCH("WillSaveMaster",CLASSFEATUREHEADERS,0),MATCH($A1327,CLASSNAMEHEADERS,0))),(INDEX(ALLCLASSDATA,MATCH("WillSaveMaster",CLASSFEATUREHEADERS,0),MATCH(($A1327 &amp; "Points"),CLASSNAMEHEADERS,0))),(IF("09"=(INDEX(ALLCLASSDATA,MATCH("WillSaveExpert",CLASSFEATUREHEADERS,0),MATCH($A1327,CLASSNAMEHEADERS,0))),(INDEX(ALLCLASSDATA,MATCH("WillSaveExpert",CLASSFEATUREHEADERS,0),MATCH(($A1327 &amp; "Points"),CLASSNAMEHEADERS,0))),(IF("09"=(INDEX(ALLCLASSDATA,MATCH("WillSaveTrained",CLASSFEATUREHEADERS,0),MATCH($A1327,CLASSNAMEHEADERS,0))),(INDEX(ALLCLASSDATA,MATCH("WillSaveTrained",CLASSFEATUREHEADERS,0),MATCH(($A1327 &amp; "Points"),CLASSNAMEHEADERS,0))),"")))))))))}</f>
        <v>WILLL09</v>
      </c>
      <c r="Q1326" s="223"/>
      <c r="R1326" s="223" t="str">
        <f t="array" ref="R1326:R1327">{"WILLL11";((IF("11"=(INDEX(ALLCLASSDATA,MATCH("WillSaveLegendary",CLASSFEATUREHEADERS,0),MATCH($A1327,CLASSNAMEHEADERS,0))),(INDEX(ALLCLASSDATA,MATCH("WillSaveLegendary",CLASSFEATUREHEADERS,0),MATCH(($A1327 &amp; "Points"),CLASSNAMEHEADERS,0))),(IF("11"=(INDEX(ALLCLASSDATA,MATCH("WillSaveMaster",CLASSFEATUREHEADERS,0),MATCH($A1327,CLASSNAMEHEADERS,0))),(INDEX(ALLCLASSDATA,MATCH("WillSaveMaster",CLASSFEATUREHEADERS,0),MATCH(($A1327 &amp; "Points"),CLASSNAMEHEADERS,0))),(IF("11"=(INDEX(ALLCLASSDATA,MATCH("WillSaveExpert",CLASSFEATUREHEADERS,0),MATCH($A1327,CLASSNAMEHEADERS,0))),(INDEX(ALLCLASSDATA,MATCH("WillSaveExpert",CLASSFEATUREHEADERS,0),MATCH(($A1327 &amp; "Points"),CLASSNAMEHEADERS,0))),(IF("11"=(INDEX(ALLCLASSDATA,MATCH("WillSaveTrained",CLASSFEATUREHEADERS,0),MATCH($A1327,CLASSNAMEHEADERS,0))),(INDEX(ALLCLASSDATA,MATCH("WillSaveTrained",CLASSFEATUREHEADERS,0),MATCH(($A1327 &amp; "Points"),CLASSNAMEHEADERS,0))),"")))))))))}</f>
        <v>WILLL11</v>
      </c>
      <c r="S1326" s="223"/>
      <c r="T1326" s="223" t="str">
        <f t="array" ref="T1326:T1327">{"WILLL13";((IF("13"=(INDEX(ALLCLASSDATA,MATCH("WillSaveLegendary",CLASSFEATUREHEADERS,0),MATCH($A1327,CLASSNAMEHEADERS,0))),(INDEX(ALLCLASSDATA,MATCH("WillSaveLegendary",CLASSFEATUREHEADERS,0),MATCH(($A1327 &amp; "Points"),CLASSNAMEHEADERS,0))),(IF("13"=(INDEX(ALLCLASSDATA,MATCH("WillSaveMaster",CLASSFEATUREHEADERS,0),MATCH($A1327,CLASSNAMEHEADERS,0))),(INDEX(ALLCLASSDATA,MATCH("WillSaveMaster",CLASSFEATUREHEADERS,0),MATCH(($A1327 &amp; "Points"),CLASSNAMEHEADERS,0))),(IF("13"=(INDEX(ALLCLASSDATA,MATCH("WillSaveExpert",CLASSFEATUREHEADERS,0),MATCH($A1327,CLASSNAMEHEADERS,0))),(INDEX(ALLCLASSDATA,MATCH("WillSaveExpert",CLASSFEATUREHEADERS,0),MATCH(($A1327 &amp; "Points"),CLASSNAMEHEADERS,0))),(IF("13"=(INDEX(ALLCLASSDATA,MATCH("WillSaveTrained",CLASSFEATUREHEADERS,0),MATCH($A1327,CLASSNAMEHEADERS,0))),(INDEX(ALLCLASSDATA,MATCH("WillSaveTrained",CLASSFEATUREHEADERS,0),MATCH(($A1327 &amp; "Points"),CLASSNAMEHEADERS,0))),"")))))))))}</f>
        <v>WILLL13</v>
      </c>
      <c r="U1326" s="223"/>
      <c r="V1326" s="223" t="str">
        <f t="array" ref="V1326:V1327">{"WILLL15";((IF("15"=(INDEX(ALLCLASSDATA,MATCH("WillSaveLegendary",CLASSFEATUREHEADERS,0),MATCH($A1327,CLASSNAMEHEADERS,0))),(INDEX(ALLCLASSDATA,MATCH("WillSaveLegendary",CLASSFEATUREHEADERS,0),MATCH(($A1327 &amp; "Points"),CLASSNAMEHEADERS,0))),(IF("15"=(INDEX(ALLCLASSDATA,MATCH("WillSaveMaster",CLASSFEATUREHEADERS,0),MATCH($A1327,CLASSNAMEHEADERS,0))),(INDEX(ALLCLASSDATA,MATCH("WillSaveMaster",CLASSFEATUREHEADERS,0),MATCH(($A1327 &amp; "Points"),CLASSNAMEHEADERS,0))),(IF("15"=(INDEX(ALLCLASSDATA,MATCH("WillSaveExpert",CLASSFEATUREHEADERS,0),MATCH($A1327,CLASSNAMEHEADERS,0))),(INDEX(ALLCLASSDATA,MATCH("WillSaveExpert",CLASSFEATUREHEADERS,0),MATCH(($A1327 &amp; "Points"),CLASSNAMEHEADERS,0))),(IF("15"=(INDEX(ALLCLASSDATA,MATCH("WillSaveTrained",CLASSFEATUREHEADERS,0),MATCH($A1327,CLASSNAMEHEADERS,0))),(INDEX(ALLCLASSDATA,MATCH("WillSaveTrained",CLASSFEATUREHEADERS,0),MATCH(($A1327 &amp; "Points"),CLASSNAMEHEADERS,0))),"")))))))))}</f>
        <v>WILLL15</v>
      </c>
      <c r="W1326" s="223"/>
      <c r="X1326" s="223" t="str">
        <f t="array" ref="X1326:X1327">{"WILLL17";((IF("17"=(INDEX(ALLCLASSDATA,MATCH("WillSaveLegendary",CLASSFEATUREHEADERS,0),MATCH($A1327,CLASSNAMEHEADERS,0))),(INDEX(ALLCLASSDATA,MATCH("WillSaveLegendary",CLASSFEATUREHEADERS,0),MATCH(($A1327 &amp; "Points"),CLASSNAMEHEADERS,0))),(IF("17"=(INDEX(ALLCLASSDATA,MATCH("WillSaveMaster",CLASSFEATUREHEADERS,0),MATCH($A1327,CLASSNAMEHEADERS,0))),(INDEX(ALLCLASSDATA,MATCH("WillSaveMaster",CLASSFEATUREHEADERS,0),MATCH(($A1327 &amp; "Points"),CLASSNAMEHEADERS,0))),(IF("17"=(INDEX(ALLCLASSDATA,MATCH("WillSaveExpert",CLASSFEATUREHEADERS,0),MATCH($A1327,CLASSNAMEHEADERS,0))),(INDEX(ALLCLASSDATA,MATCH("WillSaveExpert",CLASSFEATUREHEADERS,0),MATCH(($A1327 &amp; "Points"),CLASSNAMEHEADERS,0))),(IF("17"=(INDEX(ALLCLASSDATA,MATCH("WillSaveTrained",CLASSFEATUREHEADERS,0),MATCH($A1327,CLASSNAMEHEADERS,0))),(INDEX(ALLCLASSDATA,MATCH("WillSaveTrained",CLASSFEATUREHEADERS,0),MATCH(($A1327 &amp; "Points"),CLASSNAMEHEADERS,0))),"")))))))))}</f>
        <v>WILLL17</v>
      </c>
      <c r="Y1326" s="223"/>
      <c r="Z1326" s="223" t="str">
        <f t="array" ref="Z1326:Z1327">{"WILLL19";((IF("19"=(INDEX(ALLCLASSDATA,MATCH("WillSaveLegendary",CLASSFEATUREHEADERS,0),MATCH($A1327,CLASSNAMEHEADERS,0))),(INDEX(ALLCLASSDATA,MATCH("WillSaveLegendary",CLASSFEATUREHEADERS,0),MATCH(($A1327 &amp; "Points"),CLASSNAMEHEADERS,0))),(IF("19"=(INDEX(ALLCLASSDATA,MATCH("WillSaveMaster",CLASSFEATUREHEADERS,0),MATCH($A1327,CLASSNAMEHEADERS,0))),(INDEX(ALLCLASSDATA,MATCH("WillSaveMaster",CLASSFEATUREHEADERS,0),MATCH(($A1327 &amp; "Points"),CLASSNAMEHEADERS,0))),(IF("19"=(INDEX(ALLCLASSDATA,MATCH("WillSaveExpert",CLASSFEATUREHEADERS,0),MATCH($A1327,CLASSNAMEHEADERS,0))),(INDEX(ALLCLASSDATA,MATCH("WillSaveExpert",CLASSFEATUREHEADERS,0),MATCH(($A1327 &amp; "Points"),CLASSNAMEHEADERS,0))),(IF("19"=(INDEX(ALLCLASSDATA,MATCH("WillSaveTrained",CLASSFEATUREHEADERS,0),MATCH($A1327,CLASSNAMEHEADERS,0))),(INDEX(ALLCLASSDATA,MATCH("WillSaveTrained",CLASSFEATUREHEADERS,0),MATCH(($A1327 &amp; "Points"),CLASSNAMEHEADERS,0))),"")))))))))}</f>
        <v>WILLL19</v>
      </c>
      <c r="AA1326" s="223"/>
      <c r="AB1326" s="76" t="str">
        <f t="array" ref="AB1326:AB1327">{"WILL TOTAL";(IF(COUNTBLANK(G1327:AA1327)=17,"L",(IF(COUNTBLANK(G1327:AA1327)=18,"M",(IF(COUNTBLANK(G1327:AA1327)=19,"E",(IF(COUNTBLANK(G1327:AA1327)=20,"T",""))))))))}</f>
        <v>WILL TOTAL</v>
      </c>
      <c r="AC1326" s="76" t="str">
        <f t="array" ref="AC1326:AC1327">{"WILL TOTAL";(sum(G1327:AA1327))}</f>
        <v>WILL TOTAL</v>
      </c>
    </row>
    <row r="1327">
      <c r="A1327" s="48" t="s">
        <v>211</v>
      </c>
      <c r="B1327" s="48"/>
      <c r="C1327" s="48" t="s">
        <v>417</v>
      </c>
      <c r="D1327" s="97" t="s">
        <v>1549</v>
      </c>
      <c r="E1327" s="97" t="s">
        <v>1591</v>
      </c>
      <c r="F1327" s="98" t="s">
        <v>436</v>
      </c>
      <c r="G1327" s="132">
        <v>10.0</v>
      </c>
      <c r="H1327" s="98">
        <v>50.0</v>
      </c>
      <c r="I1327" s="98"/>
      <c r="J1327" s="98" t="s">
        <v>603</v>
      </c>
      <c r="K1327" s="98"/>
      <c r="L1327" s="98" t="s">
        <v>603</v>
      </c>
      <c r="M1327" s="97"/>
      <c r="N1327" s="98" t="s">
        <v>603</v>
      </c>
      <c r="O1327" s="98"/>
      <c r="P1327" s="98">
        <v>110.0</v>
      </c>
      <c r="Q1327" s="97"/>
      <c r="R1327" s="98" t="s">
        <v>603</v>
      </c>
      <c r="S1327" s="98"/>
      <c r="T1327" s="98" t="s">
        <v>603</v>
      </c>
      <c r="U1327" s="98"/>
      <c r="V1327" s="98" t="s">
        <v>603</v>
      </c>
      <c r="W1327" s="98"/>
      <c r="X1327" s="98" t="s">
        <v>603</v>
      </c>
      <c r="Y1327" s="98"/>
      <c r="Z1327" s="98" t="s">
        <v>603</v>
      </c>
      <c r="AA1327" s="98"/>
      <c r="AB1327" s="5" t="s">
        <v>437</v>
      </c>
      <c r="AC1327" s="47">
        <v>170.0</v>
      </c>
    </row>
    <row r="1328" hidden="1">
      <c r="A1328" s="222" t="str">
        <f t="array" ref="A1328:A1329">{"FormulaRow26";(INDEX(CLASSLIST,A1277,1))}</f>
        <v>FormulaRow26</v>
      </c>
      <c r="B1328" s="77" t="s">
        <v>236</v>
      </c>
      <c r="C1328" s="222" t="str">
        <f t="array" ref="C1328:C1329">{"CLASSTYPE";((INDEX(ALLCLASSDATA,MATCH("ClassType",CLASSFEATUREHEADERS,0),MATCH($A1329,CLASSNAMEHEADERS,0))))}</f>
        <v>CLASSTYPE</v>
      </c>
      <c r="D1328" s="228" t="str">
        <f t="array" ref="D1328:D1329">{"ATTACK";"Attack"}</f>
        <v>ATTACK</v>
      </c>
      <c r="E1328" s="228" t="str">
        <f t="array" ref="E1328:E1329">{"WEAPONSPECIAL";"WeaponCS/WS/GWS"}</f>
        <v>WEAPONSPECIAL</v>
      </c>
      <c r="F1328" s="230"/>
      <c r="G1328" s="230"/>
      <c r="H1328" s="230" t="str">
        <f t="array" ref="H1328:H1329">{"WEAPONSPECIALL01";((IF("01"=INDEX(ALLCLASSDATA,MATCH("WeaponGreaterSpecialization",CLASSFEATUREHEADERS,0),MATCH($A1329,CLASSNAMEHEADERS,0)),WeaponGWS,(IF("01"=INDEX(ALLCLASSDATA,MATCH("WeaponSpecialization",CLASSFEATUREHEADERS,0),MATCH($A1329,CLASSNAMEHEADERS,0)),WeaponWS,(IF("01"=INDEX(ALLCLASSDATA,MATCH("WeaponCriticalSpecialization",CLASSFEATUREHEADERS,0),MATCH($A1329,CLASSNAMEHEADERS,0)),WeaponCS,"")))))))}</f>
        <v>WEAPONSPECIALL01</v>
      </c>
      <c r="I1328" s="230"/>
      <c r="J1328" s="230" t="str">
        <f t="array" ref="J1328:J1329">{"WEAPONSPECIALL03";((IF("03"=INDEX(ALLCLASSDATA,MATCH("WeaponGreaterSpecialization",CLASSFEATUREHEADERS,0),MATCH($A1329,CLASSNAMEHEADERS,0)),WeaponGWS,(IF("03"=INDEX(ALLCLASSDATA,MATCH("WeaponSpecialization",CLASSFEATUREHEADERS,0),MATCH($A1329,CLASSNAMEHEADERS,0)),WeaponWS,(IF("03"=INDEX(ALLCLASSDATA,MATCH("WeaponCriticalSpecialization",CLASSFEATUREHEADERS,0),MATCH($A1329,CLASSNAMEHEADERS,0)),WeaponCS,"")))))))}</f>
        <v>WEAPONSPECIALL03</v>
      </c>
      <c r="K1328" s="230"/>
      <c r="L1328" s="230" t="str">
        <f t="array" ref="L1328:L1329">{"WEAPONSPECIALL05";((IF("05"=INDEX(ALLCLASSDATA,MATCH("WeaponGreaterSpecialization",CLASSFEATUREHEADERS,0),MATCH($A1329,CLASSNAMEHEADERS,0)),WeaponGWS,(IF("05"=INDEX(ALLCLASSDATA,MATCH("WeaponSpecialization",CLASSFEATUREHEADERS,0),MATCH($A1329,CLASSNAMEHEADERS,0)),WeaponWS,(IF("05"=INDEX(ALLCLASSDATA,MATCH("WeaponCriticalSpecialization",CLASSFEATUREHEADERS,0),MATCH($A1329,CLASSNAMEHEADERS,0)),WeaponCS,"")))))))}</f>
        <v>WEAPONSPECIALL05</v>
      </c>
      <c r="M1328" s="230"/>
      <c r="N1328" s="230" t="str">
        <f t="array" ref="N1328:N1329">{"WEAPONSPECIALL07";((IF("07"=INDEX(ALLCLASSDATA,MATCH("WeaponGreaterSpecialization",CLASSFEATUREHEADERS,0),MATCH($A1329,CLASSNAMEHEADERS,0)),WeaponGWS,(IF("07"=INDEX(ALLCLASSDATA,MATCH("WeaponSpecialization",CLASSFEATUREHEADERS,0),MATCH($A1329,CLASSNAMEHEADERS,0)),WeaponWS,(IF("07"=INDEX(ALLCLASSDATA,MATCH("WeaponCriticalSpecialization",CLASSFEATUREHEADERS,0),MATCH($A1329,CLASSNAMEHEADERS,0)),WeaponCS,"")))))))}</f>
        <v>WEAPONSPECIALL07</v>
      </c>
      <c r="O1328" s="230"/>
      <c r="P1328" s="230" t="str">
        <f t="array" ref="P1328:P1329">{"WEAPONSPECIALL09";((IF("09"=INDEX(ALLCLASSDATA,MATCH("WeaponGreaterSpecialization",CLASSFEATUREHEADERS,0),MATCH($A1329,CLASSNAMEHEADERS,0)),WeaponGWS,(IF("09"=INDEX(ALLCLASSDATA,MATCH("WeaponSpecialization",CLASSFEATUREHEADERS,0),MATCH($A1329,CLASSNAMEHEADERS,0)),WeaponWS,(IF("09"=INDEX(ALLCLASSDATA,MATCH("WeaponCriticalSpecialization",CLASSFEATUREHEADERS,0),MATCH($A1329,CLASSNAMEHEADERS,0)),WeaponCS,"")))))))}</f>
        <v>WEAPONSPECIALL09</v>
      </c>
      <c r="Q1328" s="230"/>
      <c r="R1328" s="230" t="str">
        <f t="array" ref="R1328:R1329">{"WEAPONSPECIALL11";((IF("11"=INDEX(ALLCLASSDATA,MATCH("WeaponGreaterSpecialization",CLASSFEATUREHEADERS,0),MATCH($A1329,CLASSNAMEHEADERS,0)),WeaponGWS,(IF("11"=INDEX(ALLCLASSDATA,MATCH("WeaponSpecialization",CLASSFEATUREHEADERS,0),MATCH($A1329,CLASSNAMEHEADERS,0)),WeaponWS,(IF("11"=INDEX(ALLCLASSDATA,MATCH("WeaponCriticalSpecialization",CLASSFEATUREHEADERS,0),MATCH($A1329,CLASSNAMEHEADERS,0)),WeaponCS,"")))))))}</f>
        <v>WEAPONSPECIALL11</v>
      </c>
      <c r="S1328" s="230"/>
      <c r="T1328" s="230" t="str">
        <f t="array" ref="T1328:T1329">{"WEAPONSPECIALL13";((IF("13"=INDEX(ALLCLASSDATA,MATCH("WeaponGreaterSpecialization",CLASSFEATUREHEADERS,0),MATCH($A1329,CLASSNAMEHEADERS,0)),WeaponGWS,(IF("13"=INDEX(ALLCLASSDATA,MATCH("WeaponSpecialization",CLASSFEATUREHEADERS,0),MATCH($A1329,CLASSNAMEHEADERS,0)),WeaponWS,(IF("13"=INDEX(ALLCLASSDATA,MATCH("WeaponCriticalSpecialization",CLASSFEATUREHEADERS,0),MATCH($A1329,CLASSNAMEHEADERS,0)),WeaponCS,"")))))))}</f>
        <v>WEAPONSPECIALL13</v>
      </c>
      <c r="U1328" s="230"/>
      <c r="V1328" s="230" t="str">
        <f t="array" ref="V1328:V1329">{"WEAPONSPECIALL15";((IF("15"=INDEX(ALLCLASSDATA,MATCH("WeaponGreaterSpecialization",CLASSFEATUREHEADERS,0),MATCH($A1329,CLASSNAMEHEADERS,0)),WeaponGWS,(IF("15"=INDEX(ALLCLASSDATA,MATCH("WeaponSpecialization",CLASSFEATUREHEADERS,0),MATCH($A1329,CLASSNAMEHEADERS,0)),WeaponWS,(IF("15"=INDEX(ALLCLASSDATA,MATCH("WeaponCriticalSpecialization",CLASSFEATUREHEADERS,0),MATCH($A1329,CLASSNAMEHEADERS,0)),WeaponCS,"")))))))}</f>
        <v>WEAPONSPECIALL15</v>
      </c>
      <c r="W1328" s="230"/>
      <c r="X1328" s="230" t="str">
        <f t="array" ref="X1328:X1329">{"WEAPONSPECIALL17";((IF("17"=INDEX(ALLCLASSDATA,MATCH("WeaponGreaterSpecialization",CLASSFEATUREHEADERS,0),MATCH($A1329,CLASSNAMEHEADERS,0)),WeaponGWS,(IF("17"=INDEX(ALLCLASSDATA,MATCH("WeaponSpecialization",CLASSFEATUREHEADERS,0),MATCH($A1329,CLASSNAMEHEADERS,0)),WeaponWS,(IF("17"=INDEX(ALLCLASSDATA,MATCH("WeaponCriticalSpecialization",CLASSFEATUREHEADERS,0),MATCH($A1329,CLASSNAMEHEADERS,0)),WeaponCS,"")))))))}</f>
        <v>WEAPONSPECIALL17</v>
      </c>
      <c r="Y1328" s="230"/>
      <c r="Z1328" s="230" t="str">
        <f t="array" ref="Z1328:Z1329">{"WEAPONSPECIALL19";((IF("19"=INDEX(ALLCLASSDATA,MATCH("WeaponGreaterSpecialization",CLASSFEATUREHEADERS,0),MATCH($A1329,CLASSNAMEHEADERS,0)),WeaponGWS,(IF("19"=INDEX(ALLCLASSDATA,MATCH("WeaponSpecialization",CLASSFEATUREHEADERS,0),MATCH($A1329,CLASSNAMEHEADERS,0)),WeaponWS,(IF("19"=INDEX(ALLCLASSDATA,MATCH("WeaponCriticalSpecialization",CLASSFEATUREHEADERS,0),MATCH($A1329,CLASSNAMEHEADERS,0)),WeaponCS,"")))))))}</f>
        <v>WEAPONSPECIALL19</v>
      </c>
      <c r="AA1328" s="230"/>
      <c r="AB1328" s="76"/>
      <c r="AC1328" s="76" t="str">
        <f t="array" ref="AC1328:AC1329">{"WEAPONSPECIAL TOTAL";(sum(G1329:AA1329))}</f>
        <v>WEAPONSPECIAL TOTAL</v>
      </c>
    </row>
    <row r="1329">
      <c r="A1329" s="48" t="s">
        <v>211</v>
      </c>
      <c r="B1329" s="48"/>
      <c r="C1329" s="48" t="s">
        <v>417</v>
      </c>
      <c r="D1329" s="48" t="s">
        <v>1634</v>
      </c>
      <c r="E1329" s="48" t="s">
        <v>1635</v>
      </c>
      <c r="F1329" s="5"/>
      <c r="G1329" s="47"/>
      <c r="H1329" s="5" t="s">
        <v>603</v>
      </c>
      <c r="I1329" s="5"/>
      <c r="J1329" s="5" t="s">
        <v>603</v>
      </c>
      <c r="K1329" s="5"/>
      <c r="L1329" s="5" t="s">
        <v>603</v>
      </c>
      <c r="M1329" s="5"/>
      <c r="N1329" s="5">
        <v>50.0</v>
      </c>
      <c r="O1329" s="5"/>
      <c r="P1329" s="5" t="s">
        <v>603</v>
      </c>
      <c r="Q1329" s="5"/>
      <c r="R1329" s="5" t="s">
        <v>603</v>
      </c>
      <c r="S1329" s="5"/>
      <c r="T1329" s="5">
        <v>70.0</v>
      </c>
      <c r="U1329" s="5"/>
      <c r="V1329" s="5" t="s">
        <v>603</v>
      </c>
      <c r="W1329" s="5"/>
      <c r="X1329" s="5" t="s">
        <v>603</v>
      </c>
      <c r="Y1329" s="5"/>
      <c r="Z1329" s="5" t="s">
        <v>603</v>
      </c>
      <c r="AA1329" s="5"/>
      <c r="AB1329" s="5"/>
      <c r="AC1329" s="47">
        <v>120.0</v>
      </c>
    </row>
    <row r="1330" hidden="1">
      <c r="A1330" s="222" t="str">
        <f t="array" ref="A1330:A1331">{"FormulaRow27";(INDEX(CLASSLIST,A1277,1))}</f>
        <v>FormulaRow27</v>
      </c>
      <c r="B1330" s="77" t="s">
        <v>236</v>
      </c>
      <c r="C1330" s="222" t="str">
        <f t="array" ref="C1330:C1331">{"CLASSTYPE";((INDEX(ALLCLASSDATA,MATCH("ClassType",CLASSFEATUREHEADERS,0),MATCH($A1331,CLASSNAMEHEADERS,0))))}</f>
        <v>CLASSTYPE</v>
      </c>
      <c r="D1330" s="222" t="str">
        <f t="array" ref="D1330:D1331">{"ATTACK";"Attack"}</f>
        <v>ATTACK</v>
      </c>
      <c r="E1330" s="222" t="str">
        <f t="array" ref="E1330:E1331">{"UNARMED";"Unarmed"}</f>
        <v>UNARMED</v>
      </c>
      <c r="F1330" s="223" t="str">
        <f t="array" ref="F1330:F1331">{"UNARMEDINITIAL";((IF(H1331=10,"T",(IF(H1331=50,"E","")))))}</f>
        <v>UNARMEDINITIAL</v>
      </c>
      <c r="G1330" s="223" t="str">
        <f t="array" ref="G1330:G1331">{"UNARMEDINITIALPTS";((IF("00"=(INDEX(ALLCLASSDATA,MATCH("UnarmedLegendary",CLASSFEATUREHEADERS,0),MATCH($A1331,CLASSNAMEHEADERS,0))),(INDEX(ALLCLASSDATA,MATCH("UnarmedLegendary",CLASSFEATUREHEADERS,0),MATCH(($A1331 &amp; "Points"),CLASSNAMEHEADERS,0))),(IF("00"=(INDEX(ALLCLASSDATA,MATCH("UnarmedMaster",CLASSFEATUREHEADERS,0),MATCH($A1331,CLASSNAMEHEADERS,0))),(INDEX(ALLCLASSDATA,MATCH("UnarmedMaster",CLASSFEATUREHEADERS,0),MATCH(($A1331 &amp; "Points"),CLASSNAMEHEADERS,0))),(IF("00"=(INDEX(ALLCLASSDATA,MATCH("UnarmedExpert",CLASSFEATUREHEADERS,0),MATCH($A1331,CLASSNAMEHEADERS,0))),(INDEX(ALLCLASSDATA,MATCH("UnarmedExpert",CLASSFEATUREHEADERS,0),MATCH(($A1331 &amp; "Points"),CLASSNAMEHEADERS,0))),(IF("00"=(INDEX(ALLCLASSDATA,MATCH("UnarmedTrained",CLASSFEATUREHEADERS,0),MATCH($A1331,CLASSNAMEHEADERS,0))),(INDEX(ALLCLASSDATA,MATCH("UnarmedTrained",CLASSFEATUREHEADERS,0),MATCH(($A1331 &amp; "Points"),CLASSNAMEHEADERS,0))),"")))))))))}</f>
        <v>UNARMEDINITIALPTS</v>
      </c>
      <c r="H1330" s="223" t="str">
        <f t="array" ref="H1330:H1331">{"UNARMEDL01";((IF("01"=(INDEX(ALLCLASSDATA,MATCH("UnarmedLegendary",CLASSFEATUREHEADERS,0),MATCH($A1331,CLASSNAMEHEADERS,0))),(INDEX(ALLCLASSDATA,MATCH("UnarmedLegendary",CLASSFEATUREHEADERS,0),MATCH(($A1331 &amp; "Points"),CLASSNAMEHEADERS,0))),(IF("01"=(INDEX(ALLCLASSDATA,MATCH("UnarmedMaster",CLASSFEATUREHEADERS,0),MATCH($A1331,CLASSNAMEHEADERS,0))),(INDEX(ALLCLASSDATA,MATCH("UnarmedMaster",CLASSFEATUREHEADERS,0),MATCH(($A1331 &amp; "Points"),CLASSNAMEHEADERS,0))),(IF("01"=(INDEX(ALLCLASSDATA,MATCH("UnarmedExpert",CLASSFEATUREHEADERS,0),MATCH($A1331,CLASSNAMEHEADERS,0))),(INDEX(ALLCLASSDATA,MATCH("UnarmedExpert",CLASSFEATUREHEADERS,0),MATCH(($A1331 &amp; "Points"),CLASSNAMEHEADERS,0))),(IF("01"=(INDEX(ALLCLASSDATA,MATCH("UnarmedTrained",CLASSFEATUREHEADERS,0),MATCH($A1331,CLASSNAMEHEADERS,0))),(INDEX(ALLCLASSDATA,MATCH("UnarmedTrained",CLASSFEATUREHEADERS,0),MATCH(($A1331 &amp; "Points"),CLASSNAMEHEADERS,0))),"")))))))))}</f>
        <v>UNARMEDL01</v>
      </c>
      <c r="I1330" s="223"/>
      <c r="J1330" s="223" t="str">
        <f t="array" ref="J1330:J1331">{"UNARMEDL03";((IF("03"=(INDEX(ALLCLASSDATA,MATCH("UnarmedLegendary",CLASSFEATUREHEADERS,0),MATCH($A1331,CLASSNAMEHEADERS,0))),(INDEX(ALLCLASSDATA,MATCH("UnarmedLegendary",CLASSFEATUREHEADERS,0),MATCH(($A1331 &amp; "Points"),CLASSNAMEHEADERS,0))),(IF("03"=(INDEX(ALLCLASSDATA,MATCH("UnarmedMaster",CLASSFEATUREHEADERS,0),MATCH($A1331,CLASSNAMEHEADERS,0))),(INDEX(ALLCLASSDATA,MATCH("UnarmedMaster",CLASSFEATUREHEADERS,0),MATCH(($A1331 &amp; "Points"),CLASSNAMEHEADERS,0))),(IF("03"=(INDEX(ALLCLASSDATA,MATCH("UnarmedExpert",CLASSFEATUREHEADERS,0),MATCH($A1331,CLASSNAMEHEADERS,0))),(INDEX(ALLCLASSDATA,MATCH("UnarmedExpert",CLASSFEATUREHEADERS,0),MATCH(($A1331 &amp; "Points"),CLASSNAMEHEADERS,0))),(IF("03"=(INDEX(ALLCLASSDATA,MATCH("UnarmedTrained",CLASSFEATUREHEADERS,0),MATCH($A1331,CLASSNAMEHEADERS,0))),(INDEX(ALLCLASSDATA,MATCH("UnarmedTrained",CLASSFEATUREHEADERS,0),MATCH(($A1331 &amp; "Points"),CLASSNAMEHEADERS,0))),"")))))))))}</f>
        <v>UNARMEDL03</v>
      </c>
      <c r="K1330" s="223"/>
      <c r="L1330" s="223" t="str">
        <f t="array" ref="L1330:L1331">{"UNARMEDL05";((IF("05"=(INDEX(ALLCLASSDATA,MATCH("UnarmedLegendary",CLASSFEATUREHEADERS,0),MATCH($A1331,CLASSNAMEHEADERS,0))),(INDEX(ALLCLASSDATA,MATCH("UnarmedLegendary",CLASSFEATUREHEADERS,0),MATCH(($A1331 &amp; "Points"),CLASSNAMEHEADERS,0))),(IF("05"=(INDEX(ALLCLASSDATA,MATCH("UnarmedMaster",CLASSFEATUREHEADERS,0),MATCH($A1331,CLASSNAMEHEADERS,0))),(INDEX(ALLCLASSDATA,MATCH("UnarmedMaster",CLASSFEATUREHEADERS,0),MATCH(($A1331 &amp; "Points"),CLASSNAMEHEADERS,0))),(IF("05"=(INDEX(ALLCLASSDATA,MATCH("UnarmedExpert",CLASSFEATUREHEADERS,0),MATCH($A1331,CLASSNAMEHEADERS,0))),(INDEX(ALLCLASSDATA,MATCH("UnarmedExpert",CLASSFEATUREHEADERS,0),MATCH(($A1331 &amp; "Points"),CLASSNAMEHEADERS,0))),(IF("05"=(INDEX(ALLCLASSDATA,MATCH("UnarmedTrained",CLASSFEATUREHEADERS,0),MATCH($A1331,CLASSNAMEHEADERS,0))),(INDEX(ALLCLASSDATA,MATCH("UnarmedTrained",CLASSFEATUREHEADERS,0),MATCH(($A1331 &amp; "Points"),CLASSNAMEHEADERS,0))),"")))))))))}</f>
        <v>UNARMEDL05</v>
      </c>
      <c r="M1330" s="223"/>
      <c r="N1330" s="223" t="str">
        <f t="array" ref="N1330:N1331">{"UNARMEDL07";((IF("07"=(INDEX(ALLCLASSDATA,MATCH("UnarmedLegendary",CLASSFEATUREHEADERS,0),MATCH($A1331,CLASSNAMEHEADERS,0))),(INDEX(ALLCLASSDATA,MATCH("UnarmedLegendary",CLASSFEATUREHEADERS,0),MATCH(($A1331 &amp; "Points"),CLASSNAMEHEADERS,0))),(IF("07"=(INDEX(ALLCLASSDATA,MATCH("UnarmedMaster",CLASSFEATUREHEADERS,0),MATCH($A1331,CLASSNAMEHEADERS,0))),(INDEX(ALLCLASSDATA,MATCH("UnarmedMaster",CLASSFEATUREHEADERS,0),MATCH(($A1331 &amp; "Points"),CLASSNAMEHEADERS,0))),(IF("07"=(INDEX(ALLCLASSDATA,MATCH("UnarmedExpert",CLASSFEATUREHEADERS,0),MATCH($A1331,CLASSNAMEHEADERS,0))),(INDEX(ALLCLASSDATA,MATCH("UnarmedExpert",CLASSFEATUREHEADERS,0),MATCH(($A1331 &amp; "Points"),CLASSNAMEHEADERS,0))),(IF("07"=(INDEX(ALLCLASSDATA,MATCH("UnarmedTrained",CLASSFEATUREHEADERS,0),MATCH($A1331,CLASSNAMEHEADERS,0))),(INDEX(ALLCLASSDATA,MATCH("UnarmedTrained",CLASSFEATUREHEADERS,0),MATCH(($A1331 &amp; "Points"),CLASSNAMEHEADERS,0))),"")))))))))}</f>
        <v>UNARMEDL07</v>
      </c>
      <c r="O1330" s="223"/>
      <c r="P1330" s="223" t="str">
        <f t="array" ref="P1330:P1331">{"UNARMEDL09";((IF("09"=(INDEX(ALLCLASSDATA,MATCH("UnarmedLegendary",CLASSFEATUREHEADERS,0),MATCH($A1331,CLASSNAMEHEADERS,0))),(INDEX(ALLCLASSDATA,MATCH("UnarmedLegendary",CLASSFEATUREHEADERS,0),MATCH(($A1331 &amp; "Points"),CLASSNAMEHEADERS,0))),(IF("09"=(INDEX(ALLCLASSDATA,MATCH("UnarmedMaster",CLASSFEATUREHEADERS,0),MATCH($A1331,CLASSNAMEHEADERS,0))),(INDEX(ALLCLASSDATA,MATCH("UnarmedMaster",CLASSFEATUREHEADERS,0),MATCH(($A1331 &amp; "Points"),CLASSNAMEHEADERS,0))),(IF("09"=(INDEX(ALLCLASSDATA,MATCH("UnarmedExpert",CLASSFEATUREHEADERS,0),MATCH($A1331,CLASSNAMEHEADERS,0))),(INDEX(ALLCLASSDATA,MATCH("UnarmedExpert",CLASSFEATUREHEADERS,0),MATCH(($A1331 &amp; "Points"),CLASSNAMEHEADERS,0))),(IF("09"=(INDEX(ALLCLASSDATA,MATCH("UnarmedTrained",CLASSFEATUREHEADERS,0),MATCH($A1331,CLASSNAMEHEADERS,0))),(INDEX(ALLCLASSDATA,MATCH("UnarmedTrained",CLASSFEATUREHEADERS,0),MATCH(($A1331 &amp; "Points"),CLASSNAMEHEADERS,0))),"")))))))))}</f>
        <v>UNARMEDL09</v>
      </c>
      <c r="Q1330" s="223"/>
      <c r="R1330" s="223" t="str">
        <f t="array" ref="R1330:R1331">{"UNARMEDL11";((IF("11"=(INDEX(ALLCLASSDATA,MATCH("UnarmedLegendary",CLASSFEATUREHEADERS,0),MATCH($A1331,CLASSNAMEHEADERS,0))),(INDEX(ALLCLASSDATA,MATCH("UnarmedLegendary",CLASSFEATUREHEADERS,0),MATCH(($A1331 &amp; "Points"),CLASSNAMEHEADERS,0))),(IF("11"=(INDEX(ALLCLASSDATA,MATCH("UnarmedMaster",CLASSFEATUREHEADERS,0),MATCH($A1331,CLASSNAMEHEADERS,0))),(INDEX(ALLCLASSDATA,MATCH("UnarmedMaster",CLASSFEATUREHEADERS,0),MATCH(($A1331 &amp; "Points"),CLASSNAMEHEADERS,0))),(IF("11"=(INDEX(ALLCLASSDATA,MATCH("UnarmedExpert",CLASSFEATUREHEADERS,0),MATCH($A1331,CLASSNAMEHEADERS,0))),(INDEX(ALLCLASSDATA,MATCH("UnarmedExpert",CLASSFEATUREHEADERS,0),MATCH(($A1331 &amp; "Points"),CLASSNAMEHEADERS,0))),(IF("11"=(INDEX(ALLCLASSDATA,MATCH("UnarmedTrained",CLASSFEATUREHEADERS,0),MATCH($A1331,CLASSNAMEHEADERS,0))),(INDEX(ALLCLASSDATA,MATCH("UnarmedTrained",CLASSFEATUREHEADERS,0),MATCH(($A1331 &amp; "Points"),CLASSNAMEHEADERS,0))),"")))))))))}</f>
        <v>UNARMEDL11</v>
      </c>
      <c r="S1330" s="223"/>
      <c r="T1330" s="223" t="str">
        <f t="array" ref="T1330:T1331">{"UNARMEDL13";((IF("13"=(INDEX(ALLCLASSDATA,MATCH("UnarmedLegendary",CLASSFEATUREHEADERS,0),MATCH($A1331,CLASSNAMEHEADERS,0))),(INDEX(ALLCLASSDATA,MATCH("UnarmedLegendary",CLASSFEATUREHEADERS,0),MATCH(($A1331 &amp; "Points"),CLASSNAMEHEADERS,0))),(IF("13"=(INDEX(ALLCLASSDATA,MATCH("UnarmedMaster",CLASSFEATUREHEADERS,0),MATCH($A1331,CLASSNAMEHEADERS,0))),(INDEX(ALLCLASSDATA,MATCH("UnarmedMaster",CLASSFEATUREHEADERS,0),MATCH(($A1331 &amp; "Points"),CLASSNAMEHEADERS,0))),(IF("13"=(INDEX(ALLCLASSDATA,MATCH("UnarmedExpert",CLASSFEATUREHEADERS,0),MATCH($A1331,CLASSNAMEHEADERS,0))),(INDEX(ALLCLASSDATA,MATCH("UnarmedExpert",CLASSFEATUREHEADERS,0),MATCH(($A1331 &amp; "Points"),CLASSNAMEHEADERS,0))),(IF("13"=(INDEX(ALLCLASSDATA,MATCH("UnarmedTrained",CLASSFEATUREHEADERS,0),MATCH($A1331,CLASSNAMEHEADERS,0))),(INDEX(ALLCLASSDATA,MATCH("UnarmedTrained",CLASSFEATUREHEADERS,0),MATCH(($A1331 &amp; "Points"),CLASSNAMEHEADERS,0))),"")))))))))}</f>
        <v>UNARMEDL13</v>
      </c>
      <c r="U1330" s="223"/>
      <c r="V1330" s="223" t="str">
        <f t="array" ref="V1330:V1331">{"UNARMEDL15";((IF("15"=(INDEX(ALLCLASSDATA,MATCH("UnarmedLegendary",CLASSFEATUREHEADERS,0),MATCH($A1331,CLASSNAMEHEADERS,0))),(INDEX(ALLCLASSDATA,MATCH("UnarmedLegendary",CLASSFEATUREHEADERS,0),MATCH(($A1331 &amp; "Points"),CLASSNAMEHEADERS,0))),(IF("15"=(INDEX(ALLCLASSDATA,MATCH("UnarmedMaster",CLASSFEATUREHEADERS,0),MATCH($A1331,CLASSNAMEHEADERS,0))),(INDEX(ALLCLASSDATA,MATCH("UnarmedMaster",CLASSFEATUREHEADERS,0),MATCH(($A1331 &amp; "Points"),CLASSNAMEHEADERS,0))),(IF("15"=(INDEX(ALLCLASSDATA,MATCH("UnarmedExpert",CLASSFEATUREHEADERS,0),MATCH($A1331,CLASSNAMEHEADERS,0))),(INDEX(ALLCLASSDATA,MATCH("UnarmedExpert",CLASSFEATUREHEADERS,0),MATCH(($A1331 &amp; "Points"),CLASSNAMEHEADERS,0))),(IF("15"=(INDEX(ALLCLASSDATA,MATCH("UnarmedTrained",CLASSFEATUREHEADERS,0),MATCH($A1331,CLASSNAMEHEADERS,0))),(INDEX(ALLCLASSDATA,MATCH("UnarmedTrained",CLASSFEATUREHEADERS,0),MATCH(($A1331 &amp; "Points"),CLASSNAMEHEADERS,0))),"")))))))))}</f>
        <v>UNARMEDL15</v>
      </c>
      <c r="W1330" s="223"/>
      <c r="X1330" s="223" t="str">
        <f t="array" ref="X1330:X1331">{"UNARMEDL17";((IF("17"=(INDEX(ALLCLASSDATA,MATCH("UnarmedLegendary",CLASSFEATUREHEADERS,0),MATCH($A1331,CLASSNAMEHEADERS,0))),(INDEX(ALLCLASSDATA,MATCH("UnarmedLegendary",CLASSFEATUREHEADERS,0),MATCH(($A1331 &amp; "Points"),CLASSNAMEHEADERS,0))),(IF("17"=(INDEX(ALLCLASSDATA,MATCH("UnarmedMaster",CLASSFEATUREHEADERS,0),MATCH($A1331,CLASSNAMEHEADERS,0))),(INDEX(ALLCLASSDATA,MATCH("UnarmedMaster",CLASSFEATUREHEADERS,0),MATCH(($A1331 &amp; "Points"),CLASSNAMEHEADERS,0))),(IF("17"=(INDEX(ALLCLASSDATA,MATCH("UnarmedExpert",CLASSFEATUREHEADERS,0),MATCH($A1331,CLASSNAMEHEADERS,0))),(INDEX(ALLCLASSDATA,MATCH("UnarmedExpert",CLASSFEATUREHEADERS,0),MATCH(($A1331 &amp; "Points"),CLASSNAMEHEADERS,0))),(IF("17"=(INDEX(ALLCLASSDATA,MATCH("UnarmedTrained",CLASSFEATUREHEADERS,0),MATCH($A1331,CLASSNAMEHEADERS,0))),(INDEX(ALLCLASSDATA,MATCH("UnarmedTrained",CLASSFEATUREHEADERS,0),MATCH(($A1331 &amp; "Points"),CLASSNAMEHEADERS,0))),"")))))))))}</f>
        <v>UNARMEDL17</v>
      </c>
      <c r="Y1330" s="223"/>
      <c r="Z1330" s="223" t="str">
        <f t="array" ref="Z1330:Z1331">{"UNARMEDL19";((IF("19"=(INDEX(ALLCLASSDATA,MATCH("UnarmedLegendary",CLASSFEATUREHEADERS,0),MATCH($A1331,CLASSNAMEHEADERS,0))),(INDEX(ALLCLASSDATA,MATCH("UnarmedLegendary",CLASSFEATUREHEADERS,0),MATCH(($A1331 &amp; "Points"),CLASSNAMEHEADERS,0))),(IF("19"=(INDEX(ALLCLASSDATA,MATCH("UnarmedMaster",CLASSFEATUREHEADERS,0),MATCH($A1331,CLASSNAMEHEADERS,0))),(INDEX(ALLCLASSDATA,MATCH("UnarmedMaster",CLASSFEATUREHEADERS,0),MATCH(($A1331 &amp; "Points"),CLASSNAMEHEADERS,0))),(IF("19"=(INDEX(ALLCLASSDATA,MATCH("UnarmedExpert",CLASSFEATUREHEADERS,0),MATCH($A1331,CLASSNAMEHEADERS,0))),(INDEX(ALLCLASSDATA,MATCH("UnarmedExpert",CLASSFEATUREHEADERS,0),MATCH(($A1331 &amp; "Points"),CLASSNAMEHEADERS,0))),(IF("19"=(INDEX(ALLCLASSDATA,MATCH("UnarmedTrained",CLASSFEATUREHEADERS,0),MATCH($A1331,CLASSNAMEHEADERS,0))),(INDEX(ALLCLASSDATA,MATCH("UnarmedTrained",CLASSFEATUREHEADERS,0),MATCH(($A1331 &amp; "Points"),CLASSNAMEHEADERS,0))),"")))))))))}</f>
        <v>UNARMEDL19</v>
      </c>
      <c r="AA1330" s="223"/>
      <c r="AB1330" s="76" t="str">
        <f t="array" ref="AB1330:AB1331">{"UNARMED TOTAL";(IF(COUNTBLANK(G1331:AA1331)=17,"L",(IF(COUNTBLANK(G1331:AA1331)=18,"M",(IF(COUNTBLANK(G1331:AA1331)=19,"E",(IF(COUNTBLANK(G1331:AA1331)=20,"T",""))))))))}</f>
        <v>UNARMED TOTAL</v>
      </c>
      <c r="AC1330" s="76" t="str">
        <f t="array" ref="AC1330:AC1331">{"UNARMED TOTAL";(sum(G1331:AA1331))}</f>
        <v>UNARMED TOTAL</v>
      </c>
    </row>
    <row r="1331">
      <c r="A1331" s="48" t="s">
        <v>211</v>
      </c>
      <c r="B1331" s="48"/>
      <c r="C1331" s="48" t="s">
        <v>417</v>
      </c>
      <c r="D1331" s="48" t="s">
        <v>1634</v>
      </c>
      <c r="E1331" s="48" t="s">
        <v>257</v>
      </c>
      <c r="F1331" s="5" t="s">
        <v>435</v>
      </c>
      <c r="G1331" s="47" t="s">
        <v>603</v>
      </c>
      <c r="H1331" s="5">
        <v>10.0</v>
      </c>
      <c r="I1331" s="5"/>
      <c r="J1331" s="5" t="s">
        <v>603</v>
      </c>
      <c r="K1331" s="5"/>
      <c r="L1331" s="5" t="s">
        <v>603</v>
      </c>
      <c r="M1331" s="5"/>
      <c r="N1331" s="5" t="s">
        <v>436</v>
      </c>
      <c r="O1331" s="5"/>
      <c r="P1331" s="5" t="s">
        <v>603</v>
      </c>
      <c r="Q1331" s="5"/>
      <c r="R1331" s="5" t="s">
        <v>603</v>
      </c>
      <c r="S1331" s="5"/>
      <c r="T1331" s="5" t="s">
        <v>603</v>
      </c>
      <c r="U1331" s="5"/>
      <c r="V1331" s="5" t="s">
        <v>603</v>
      </c>
      <c r="W1331" s="5"/>
      <c r="X1331" s="5" t="s">
        <v>603</v>
      </c>
      <c r="Y1331" s="5"/>
      <c r="Z1331" s="5" t="s">
        <v>603</v>
      </c>
      <c r="AA1331" s="5"/>
      <c r="AB1331" s="5" t="s">
        <v>436</v>
      </c>
      <c r="AC1331" s="47">
        <v>10.0</v>
      </c>
    </row>
    <row r="1332" hidden="1">
      <c r="A1332" s="222" t="str">
        <f t="array" ref="A1332:A1333">{"FormulaRow28";(INDEX(CLASSLIST,A1277,1))}</f>
        <v>FormulaRow28</v>
      </c>
      <c r="B1332" s="77" t="s">
        <v>236</v>
      </c>
      <c r="C1332" s="222" t="str">
        <f t="array" ref="C1332:C1333">{"CLASSTYPE";((INDEX(ALLCLASSDATA,MATCH("ClassType",CLASSFEATUREHEADERS,0),MATCH($A1333,CLASSNAMEHEADERS,0))))}</f>
        <v>CLASSTYPE</v>
      </c>
      <c r="D1332" s="222" t="str">
        <f t="array" ref="D1332:D1333">{"ATTACK";"Attack"}</f>
        <v>ATTACK</v>
      </c>
      <c r="E1332" s="222" t="str">
        <f t="array" ref="E1332:E1333">{"SIMPLELIMITED";"SimpleLimited"}</f>
        <v>SIMPLELIMITED</v>
      </c>
      <c r="F1332" s="223" t="str">
        <f t="array" ref="F1332:F1333">{"SIMPLELIMITEDINITIAL";((IF(H1333=10,"T",(IF(H1333=50,"E","")))))}</f>
        <v>SIMPLELIMITEDINITIAL</v>
      </c>
      <c r="G1332" s="223" t="str">
        <f t="array" ref="G1332:G1333">{"SIMPLELIMITEDINITIALPTS";((IF("00"=(INDEX(ALLCLASSDATA,MATCH("SimpleLimitedLegendary",CLASSFEATUREHEADERS,0),MATCH($A1333,CLASSNAMEHEADERS,0))),(INDEX(ALLCLASSDATA,MATCH("SimpleLimitedLegendary",CLASSFEATUREHEADERS,0),MATCH(($A1333 &amp; "Points"),CLASSNAMEHEADERS,0))),(IF("00"=(INDEX(ALLCLASSDATA,MATCH("SimpleLimitedMaster",CLASSFEATUREHEADERS,0),MATCH($A1333,CLASSNAMEHEADERS,0))),(INDEX(ALLCLASSDATA,MATCH("SimpleLimitedMaster",CLASSFEATUREHEADERS,0),MATCH(($A1333 &amp; "Points"),CLASSNAMEHEADERS,0))),(IF("00"=(INDEX(ALLCLASSDATA,MATCH("SimpleLimitedExpert",CLASSFEATUREHEADERS,0),MATCH($A1333,CLASSNAMEHEADERS,0))),(INDEX(ALLCLASSDATA,MATCH("SimpleLimitedExpert",CLASSFEATUREHEADERS,0),MATCH(($A1333 &amp; "Points"),CLASSNAMEHEADERS,0))),(IF("00"=(INDEX(ALLCLASSDATA,MATCH("SimpleLimitedTrained",CLASSFEATUREHEADERS,0),MATCH($A1333,CLASSNAMEHEADERS,0))),(INDEX(ALLCLASSDATA,MATCH("SimpleLimitedTrained",CLASSFEATUREHEADERS,0),MATCH(($A1333 &amp; "Points"),CLASSNAMEHEADERS,0))),"")))))))))}</f>
        <v>SIMPLELIMITEDINITIALPTS</v>
      </c>
      <c r="H1332" s="223" t="str">
        <f t="array" ref="H1332:H1333">{"SIMPLELIMITEDL01";((IF("01"=(INDEX(ALLCLASSDATA,MATCH("SimpleLimitedLegendary",CLASSFEATUREHEADERS,0),MATCH($A1333,CLASSNAMEHEADERS,0))),(INDEX(ALLCLASSDATA,MATCH("SimpleLimitedLegendary",CLASSFEATUREHEADERS,0),MATCH(($A1333 &amp; "Points"),CLASSNAMEHEADERS,0))),(IF("01"=(INDEX(ALLCLASSDATA,MATCH("SimpleLimitedMaster",CLASSFEATUREHEADERS,0),MATCH($A1333,CLASSNAMEHEADERS,0))),(INDEX(ALLCLASSDATA,MATCH("SimpleLimitedMaster",CLASSFEATUREHEADERS,0),MATCH(($A1333 &amp; "Points"),CLASSNAMEHEADERS,0))),(IF("01"=(INDEX(ALLCLASSDATA,MATCH("SimpleLimitedExpert",CLASSFEATUREHEADERS,0),MATCH($A1333,CLASSNAMEHEADERS,0))),(INDEX(ALLCLASSDATA,MATCH("SimpleLimitedExpert",CLASSFEATUREHEADERS,0),MATCH(($A1333 &amp; "Points"),CLASSNAMEHEADERS,0))),(IF("01"=(INDEX(ALLCLASSDATA,MATCH("SimpleLimitedTrained",CLASSFEATUREHEADERS,0),MATCH($A1333,CLASSNAMEHEADERS,0))),(INDEX(ALLCLASSDATA,MATCH("SimpleLimitedTrained",CLASSFEATUREHEADERS,0),MATCH(($A1333 &amp; "Points"),CLASSNAMEHEADERS,0))),"")))))))))}</f>
        <v>SIMPLELIMITEDL01</v>
      </c>
      <c r="I1332" s="223"/>
      <c r="J1332" s="223" t="str">
        <f t="array" ref="J1332:J1333">{"SIMPLELIMITEDL03";((IF("03"=(INDEX(ALLCLASSDATA,MATCH("SimpleLimitedLegendary",CLASSFEATUREHEADERS,0),MATCH($A1333,CLASSNAMEHEADERS,0))),(INDEX(ALLCLASSDATA,MATCH("SimpleLimitedLegendary",CLASSFEATUREHEADERS,0),MATCH(($A1333 &amp; "Points"),CLASSNAMEHEADERS,0))),(IF("03"=(INDEX(ALLCLASSDATA,MATCH("SimpleLimitedMaster",CLASSFEATUREHEADERS,0),MATCH($A1333,CLASSNAMEHEADERS,0))),(INDEX(ALLCLASSDATA,MATCH("SimpleLimitedMaster",CLASSFEATUREHEADERS,0),MATCH(($A1333 &amp; "Points"),CLASSNAMEHEADERS,0))),(IF("03"=(INDEX(ALLCLASSDATA,MATCH("SimpleLimitedExpert",CLASSFEATUREHEADERS,0),MATCH($A1333,CLASSNAMEHEADERS,0))),(INDEX(ALLCLASSDATA,MATCH("SimpleLimitedExpert",CLASSFEATUREHEADERS,0),MATCH(($A1333 &amp; "Points"),CLASSNAMEHEADERS,0))),(IF("03"=(INDEX(ALLCLASSDATA,MATCH("SimpleLimitedTrained",CLASSFEATUREHEADERS,0),MATCH($A1333,CLASSNAMEHEADERS,0))),(INDEX(ALLCLASSDATA,MATCH("SimpleLimitedTrained",CLASSFEATUREHEADERS,0),MATCH(($A1333 &amp; "Points"),CLASSNAMEHEADERS,0))),"")))))))))}</f>
        <v>SIMPLELIMITEDL03</v>
      </c>
      <c r="K1332" s="223"/>
      <c r="L1332" s="223" t="str">
        <f t="array" ref="L1332:L1333">{"SIMPLELIMITEDL05";((IF("05"=(INDEX(ALLCLASSDATA,MATCH("SimpleLimitedLegendary",CLASSFEATUREHEADERS,0),MATCH($A1333,CLASSNAMEHEADERS,0))),(INDEX(ALLCLASSDATA,MATCH("SimpleLimitedLegendary",CLASSFEATUREHEADERS,0),MATCH(($A1333 &amp; "Points"),CLASSNAMEHEADERS,0))),(IF("05"=(INDEX(ALLCLASSDATA,MATCH("SimpleLimitedMaster",CLASSFEATUREHEADERS,0),MATCH($A1333,CLASSNAMEHEADERS,0))),(INDEX(ALLCLASSDATA,MATCH("SimpleLimitedMaster",CLASSFEATUREHEADERS,0),MATCH(($A1333 &amp; "Points"),CLASSNAMEHEADERS,0))),(IF("05"=(INDEX(ALLCLASSDATA,MATCH("SimpleLimitedExpert",CLASSFEATUREHEADERS,0),MATCH($A1333,CLASSNAMEHEADERS,0))),(INDEX(ALLCLASSDATA,MATCH("SimpleLimitedExpert",CLASSFEATUREHEADERS,0),MATCH(($A1333 &amp; "Points"),CLASSNAMEHEADERS,0))),(IF("05"=(INDEX(ALLCLASSDATA,MATCH("SimpleLimitedTrained",CLASSFEATUREHEADERS,0),MATCH($A1333,CLASSNAMEHEADERS,0))),(INDEX(ALLCLASSDATA,MATCH("SimpleLimitedTrained",CLASSFEATUREHEADERS,0),MATCH(($A1333 &amp; "Points"),CLASSNAMEHEADERS,0))),"")))))))))}</f>
        <v>SIMPLELIMITEDL05</v>
      </c>
      <c r="M1332" s="223"/>
      <c r="N1332" s="223" t="str">
        <f t="array" ref="N1332:N1333">{"SIMPLELIMITEDL07";((IF("07"=(INDEX(ALLCLASSDATA,MATCH("SimpleLimitedLegendary",CLASSFEATUREHEADERS,0),MATCH($A1333,CLASSNAMEHEADERS,0))),(INDEX(ALLCLASSDATA,MATCH("SimpleLimitedLegendary",CLASSFEATUREHEADERS,0),MATCH(($A1333 &amp; "Points"),CLASSNAMEHEADERS,0))),(IF("07"=(INDEX(ALLCLASSDATA,MATCH("SimpleLimitedMaster",CLASSFEATUREHEADERS,0),MATCH($A1333,CLASSNAMEHEADERS,0))),(INDEX(ALLCLASSDATA,MATCH("SimpleLimitedMaster",CLASSFEATUREHEADERS,0),MATCH(($A1333 &amp; "Points"),CLASSNAMEHEADERS,0))),(IF("07"=(INDEX(ALLCLASSDATA,MATCH("SimpleLimitedExpert",CLASSFEATUREHEADERS,0),MATCH($A1333,CLASSNAMEHEADERS,0))),(INDEX(ALLCLASSDATA,MATCH("SimpleLimitedExpert",CLASSFEATUREHEADERS,0),MATCH(($A1333 &amp; "Points"),CLASSNAMEHEADERS,0))),(IF("07"=(INDEX(ALLCLASSDATA,MATCH("SimpleLimitedTrained",CLASSFEATUREHEADERS,0),MATCH($A1333,CLASSNAMEHEADERS,0))),(INDEX(ALLCLASSDATA,MATCH("SimpleLimitedTrained",CLASSFEATUREHEADERS,0),MATCH(($A1333 &amp; "Points"),CLASSNAMEHEADERS,0))),"")))))))))}</f>
        <v>SIMPLELIMITEDL07</v>
      </c>
      <c r="O1332" s="223"/>
      <c r="P1332" s="223" t="str">
        <f t="array" ref="P1332:P1333">{"SIMPLELIMITEDL09";((IF("09"=(INDEX(ALLCLASSDATA,MATCH("SimpleLimitedLegendary",CLASSFEATUREHEADERS,0),MATCH($A1333,CLASSNAMEHEADERS,0))),(INDEX(ALLCLASSDATA,MATCH("SimpleLimitedLegendary",CLASSFEATUREHEADERS,0),MATCH(($A1333 &amp; "Points"),CLASSNAMEHEADERS,0))),(IF("09"=(INDEX(ALLCLASSDATA,MATCH("SimpleLimitedMaster",CLASSFEATUREHEADERS,0),MATCH($A1333,CLASSNAMEHEADERS,0))),(INDEX(ALLCLASSDATA,MATCH("SimpleLimitedMaster",CLASSFEATUREHEADERS,0),MATCH(($A1333 &amp; "Points"),CLASSNAMEHEADERS,0))),(IF("09"=(INDEX(ALLCLASSDATA,MATCH("SimpleLimitedExpert",CLASSFEATUREHEADERS,0),MATCH($A1333,CLASSNAMEHEADERS,0))),(INDEX(ALLCLASSDATA,MATCH("SimpleLimitedExpert",CLASSFEATUREHEADERS,0),MATCH(($A1333 &amp; "Points"),CLASSNAMEHEADERS,0))),(IF("09"=(INDEX(ALLCLASSDATA,MATCH("SimpleLimitedTrained",CLASSFEATUREHEADERS,0),MATCH($A1333,CLASSNAMEHEADERS,0))),(INDEX(ALLCLASSDATA,MATCH("SimpleLimitedTrained",CLASSFEATUREHEADERS,0),MATCH(($A1333 &amp; "Points"),CLASSNAMEHEADERS,0))),"")))))))))}</f>
        <v>SIMPLELIMITEDL09</v>
      </c>
      <c r="Q1332" s="223"/>
      <c r="R1332" s="223" t="str">
        <f t="array" ref="R1332:R1333">{"SIMPLELIMITEDL11";((IF("11"=(INDEX(ALLCLASSDATA,MATCH("SimpleLimitedLegendary",CLASSFEATUREHEADERS,0),MATCH($A1333,CLASSNAMEHEADERS,0))),(INDEX(ALLCLASSDATA,MATCH("SimpleLimitedLegendary",CLASSFEATUREHEADERS,0),MATCH(($A1333 &amp; "Points"),CLASSNAMEHEADERS,0))),(IF("11"=(INDEX(ALLCLASSDATA,MATCH("SimpleLimitedMaster",CLASSFEATUREHEADERS,0),MATCH($A1333,CLASSNAMEHEADERS,0))),(INDEX(ALLCLASSDATA,MATCH("SimpleLimitedMaster",CLASSFEATUREHEADERS,0),MATCH(($A1333 &amp; "Points"),CLASSNAMEHEADERS,0))),(IF("11"=(INDEX(ALLCLASSDATA,MATCH("SimpleLimitedExpert",CLASSFEATUREHEADERS,0),MATCH($A1333,CLASSNAMEHEADERS,0))),(INDEX(ALLCLASSDATA,MATCH("SimpleLimitedExpert",CLASSFEATUREHEADERS,0),MATCH(($A1333 &amp; "Points"),CLASSNAMEHEADERS,0))),(IF("11"=(INDEX(ALLCLASSDATA,MATCH("SimpleLimitedTrained",CLASSFEATUREHEADERS,0),MATCH($A1333,CLASSNAMEHEADERS,0))),(INDEX(ALLCLASSDATA,MATCH("SimpleLimitedTrained",CLASSFEATUREHEADERS,0),MATCH(($A1333 &amp; "Points"),CLASSNAMEHEADERS,0))),"")))))))))}</f>
        <v>SIMPLELIMITEDL11</v>
      </c>
      <c r="S1332" s="223"/>
      <c r="T1332" s="223" t="str">
        <f t="array" ref="T1332:T1333">{"SIMPLELIMITEDL13";((IF("13"=(INDEX(ALLCLASSDATA,MATCH("SimpleLimitedLegendary",CLASSFEATUREHEADERS,0),MATCH($A1333,CLASSNAMEHEADERS,0))),(INDEX(ALLCLASSDATA,MATCH("SimpleLimitedLegendary",CLASSFEATUREHEADERS,0),MATCH(($A1333 &amp; "Points"),CLASSNAMEHEADERS,0))),(IF("13"=(INDEX(ALLCLASSDATA,MATCH("SimpleLimitedMaster",CLASSFEATUREHEADERS,0),MATCH($A1333,CLASSNAMEHEADERS,0))),(INDEX(ALLCLASSDATA,MATCH("SimpleLimitedMaster",CLASSFEATUREHEADERS,0),MATCH(($A1333 &amp; "Points"),CLASSNAMEHEADERS,0))),(IF("13"=(INDEX(ALLCLASSDATA,MATCH("SimpleLimitedExpert",CLASSFEATUREHEADERS,0),MATCH($A1333,CLASSNAMEHEADERS,0))),(INDEX(ALLCLASSDATA,MATCH("SimpleLimitedExpert",CLASSFEATUREHEADERS,0),MATCH(($A1333 &amp; "Points"),CLASSNAMEHEADERS,0))),(IF("13"=(INDEX(ALLCLASSDATA,MATCH("SimpleLimitedTrained",CLASSFEATUREHEADERS,0),MATCH($A1333,CLASSNAMEHEADERS,0))),(INDEX(ALLCLASSDATA,MATCH("SimpleLimitedTrained",CLASSFEATUREHEADERS,0),MATCH(($A1333 &amp; "Points"),CLASSNAMEHEADERS,0))),"")))))))))}</f>
        <v>SIMPLELIMITEDL13</v>
      </c>
      <c r="U1332" s="223"/>
      <c r="V1332" s="223" t="str">
        <f t="array" ref="V1332:V1333">{"SIMPLELIMITEDL15";((IF("15"=(INDEX(ALLCLASSDATA,MATCH("SimpleLimitedLegendary",CLASSFEATUREHEADERS,0),MATCH($A1333,CLASSNAMEHEADERS,0))),(INDEX(ALLCLASSDATA,MATCH("SimpleLimitedLegendary",CLASSFEATUREHEADERS,0),MATCH(($A1333 &amp; "Points"),CLASSNAMEHEADERS,0))),(IF("15"=(INDEX(ALLCLASSDATA,MATCH("SimpleLimitedMaster",CLASSFEATUREHEADERS,0),MATCH($A1333,CLASSNAMEHEADERS,0))),(INDEX(ALLCLASSDATA,MATCH("SimpleLimitedMaster",CLASSFEATUREHEADERS,0),MATCH(($A1333 &amp; "Points"),CLASSNAMEHEADERS,0))),(IF("15"=(INDEX(ALLCLASSDATA,MATCH("SimpleLimitedExpert",CLASSFEATUREHEADERS,0),MATCH($A1333,CLASSNAMEHEADERS,0))),(INDEX(ALLCLASSDATA,MATCH("SimpleLimitedExpert",CLASSFEATUREHEADERS,0),MATCH(($A1333 &amp; "Points"),CLASSNAMEHEADERS,0))),(IF("15"=(INDEX(ALLCLASSDATA,MATCH("SimpleLimitedTrained",CLASSFEATUREHEADERS,0),MATCH($A1333,CLASSNAMEHEADERS,0))),(INDEX(ALLCLASSDATA,MATCH("SimpleLimitedTrained",CLASSFEATUREHEADERS,0),MATCH(($A1333 &amp; "Points"),CLASSNAMEHEADERS,0))),"")))))))))}</f>
        <v>SIMPLELIMITEDL15</v>
      </c>
      <c r="W1332" s="223"/>
      <c r="X1332" s="223" t="str">
        <f t="array" ref="X1332:X1333">{"SIMPLELIMITEDL17";((IF("17"=(INDEX(ALLCLASSDATA,MATCH("SimpleLimitedLegendary",CLASSFEATUREHEADERS,0),MATCH($A1333,CLASSNAMEHEADERS,0))),(INDEX(ALLCLASSDATA,MATCH("SimpleLimitedLegendary",CLASSFEATUREHEADERS,0),MATCH(($A1333 &amp; "Points"),CLASSNAMEHEADERS,0))),(IF("17"=(INDEX(ALLCLASSDATA,MATCH("SimpleLimitedMaster",CLASSFEATUREHEADERS,0),MATCH($A1333,CLASSNAMEHEADERS,0))),(INDEX(ALLCLASSDATA,MATCH("SimpleLimitedMaster",CLASSFEATUREHEADERS,0),MATCH(($A1333 &amp; "Points"),CLASSNAMEHEADERS,0))),(IF("17"=(INDEX(ALLCLASSDATA,MATCH("SimpleLimitedExpert",CLASSFEATUREHEADERS,0),MATCH($A1333,CLASSNAMEHEADERS,0))),(INDEX(ALLCLASSDATA,MATCH("SimpleLimitedExpert",CLASSFEATUREHEADERS,0),MATCH(($A1333 &amp; "Points"),CLASSNAMEHEADERS,0))),(IF("17"=(INDEX(ALLCLASSDATA,MATCH("SimpleLimitedTrained",CLASSFEATUREHEADERS,0),MATCH($A1333,CLASSNAMEHEADERS,0))),(INDEX(ALLCLASSDATA,MATCH("SimpleLimitedTrained",CLASSFEATUREHEADERS,0),MATCH(($A1333 &amp; "Points"),CLASSNAMEHEADERS,0))),"")))))))))}</f>
        <v>SIMPLELIMITEDL17</v>
      </c>
      <c r="Y1332" s="223"/>
      <c r="Z1332" s="223" t="str">
        <f t="array" ref="Z1332:Z1333">{"SIMPLELIMITEDL19";((IF("19"=(INDEX(ALLCLASSDATA,MATCH("SimpleLimitedLegendary",CLASSFEATUREHEADERS,0),MATCH($A1333,CLASSNAMEHEADERS,0))),(INDEX(ALLCLASSDATA,MATCH("SimpleLimitedLegendary",CLASSFEATUREHEADERS,0),MATCH(($A1333 &amp; "Points"),CLASSNAMEHEADERS,0))),(IF("19"=(INDEX(ALLCLASSDATA,MATCH("SimpleLimitedMaster",CLASSFEATUREHEADERS,0),MATCH($A1333,CLASSNAMEHEADERS,0))),(INDEX(ALLCLASSDATA,MATCH("SimpleLimitedMaster",CLASSFEATUREHEADERS,0),MATCH(($A1333 &amp; "Points"),CLASSNAMEHEADERS,0))),(IF("19"=(INDEX(ALLCLASSDATA,MATCH("SimpleLimitedExpert",CLASSFEATUREHEADERS,0),MATCH($A1333,CLASSNAMEHEADERS,0))),(INDEX(ALLCLASSDATA,MATCH("SimpleLimitedExpert",CLASSFEATUREHEADERS,0),MATCH(($A1333 &amp; "Points"),CLASSNAMEHEADERS,0))),(IF("19"=(INDEX(ALLCLASSDATA,MATCH("SimpleLimitedTrained",CLASSFEATUREHEADERS,0),MATCH($A1333,CLASSNAMEHEADERS,0))),(INDEX(ALLCLASSDATA,MATCH("SimpleLimitedTrained",CLASSFEATUREHEADERS,0),MATCH(($A1333 &amp; "Points"),CLASSNAMEHEADERS,0))),"")))))))))}</f>
        <v>SIMPLELIMITEDL19</v>
      </c>
      <c r="AA1332" s="223"/>
      <c r="AB1332" s="76" t="str">
        <f t="array" ref="AB1332:AB1333">{"SIMPLELIMITED TOTAL";(IF(COUNTBLANK(G1333:AA1333)=17,"L",(IF(COUNTBLANK(G1333:AA1333)=18,"M",(IF(COUNTBLANK(G1333:AA1333)=19,"E",(IF(COUNTBLANK(G1333:AA1333)=20,"T",""))))))))}</f>
        <v>SIMPLELIMITED TOTAL</v>
      </c>
      <c r="AC1332" s="76" t="str">
        <f t="array" ref="AC1332:AC1333">{"SIMPLELIMITED TOTAL";(sum(G1333:AA1333))}</f>
        <v>SIMPLELIMITED TOTAL</v>
      </c>
    </row>
    <row r="1333">
      <c r="A1333" s="48" t="s">
        <v>211</v>
      </c>
      <c r="B1333" s="48"/>
      <c r="C1333" s="48" t="s">
        <v>417</v>
      </c>
      <c r="D1333" s="48" t="s">
        <v>1634</v>
      </c>
      <c r="E1333" s="48" t="s">
        <v>599</v>
      </c>
      <c r="F1333" s="5" t="s">
        <v>603</v>
      </c>
      <c r="G1333" s="47" t="s">
        <v>603</v>
      </c>
      <c r="H1333" s="5" t="s">
        <v>603</v>
      </c>
      <c r="I1333" s="5"/>
      <c r="J1333" s="5" t="s">
        <v>603</v>
      </c>
      <c r="K1333" s="5"/>
      <c r="L1333" s="5" t="s">
        <v>603</v>
      </c>
      <c r="M1333" s="5"/>
      <c r="N1333" s="5" t="s">
        <v>603</v>
      </c>
      <c r="O1333" s="5"/>
      <c r="P1333" s="5" t="s">
        <v>603</v>
      </c>
      <c r="Q1333" s="5"/>
      <c r="R1333" s="5" t="s">
        <v>603</v>
      </c>
      <c r="S1333" s="5"/>
      <c r="T1333" s="5" t="s">
        <v>603</v>
      </c>
      <c r="U1333" s="5"/>
      <c r="V1333" s="5" t="s">
        <v>603</v>
      </c>
      <c r="W1333" s="5"/>
      <c r="X1333" s="5" t="s">
        <v>603</v>
      </c>
      <c r="Y1333" s="5"/>
      <c r="Z1333" s="5" t="s">
        <v>603</v>
      </c>
      <c r="AA1333" s="5"/>
      <c r="AB1333" s="5" t="s">
        <v>603</v>
      </c>
      <c r="AC1333" s="47">
        <v>0.0</v>
      </c>
    </row>
    <row r="1334" hidden="1">
      <c r="A1334" s="222" t="str">
        <f t="array" ref="A1334:A1335">{"FormulaRow29";(INDEX(CLASSLIST,A1277,1))}</f>
        <v>FormulaRow29</v>
      </c>
      <c r="B1334" s="77" t="s">
        <v>236</v>
      </c>
      <c r="C1334" s="222" t="str">
        <f t="array" ref="C1334:C1335">{"CLASSTYPE";((INDEX(ALLCLASSDATA,MATCH("ClassType",CLASSFEATUREHEADERS,0),MATCH($A1335,CLASSNAMEHEADERS,0))))}</f>
        <v>CLASSTYPE</v>
      </c>
      <c r="D1334" s="222" t="str">
        <f t="array" ref="D1334:D1335">{"ATTACK";"Attack"}</f>
        <v>ATTACK</v>
      </c>
      <c r="E1334" s="222" t="str">
        <f t="array" ref="E1334:E1335">{"SIMPLE";"Simple"}</f>
        <v>SIMPLE</v>
      </c>
      <c r="F1334" s="223" t="str">
        <f t="array" ref="F1334:F1335">{"SIMPLEINITIAL";((IF(H1335=10,"T",(IF(H1335=50,"E","")))))}</f>
        <v>SIMPLEINITIAL</v>
      </c>
      <c r="G1334" s="223" t="str">
        <f t="array" ref="G1334:G1335">{"SIMPLEINITIALPTS";((IF("00"=(INDEX(ALLCLASSDATA,MATCH("SimpleLegendary",CLASSFEATUREHEADERS,0),MATCH($A1335,CLASSNAMEHEADERS,0))),(INDEX(ALLCLASSDATA,MATCH("SimpleLegendary",CLASSFEATUREHEADERS,0),MATCH(($A1335 &amp; "Points"),CLASSNAMEHEADERS,0))),(IF("00"=(INDEX(ALLCLASSDATA,MATCH("SimpleMaster",CLASSFEATUREHEADERS,0),MATCH($A1335,CLASSNAMEHEADERS,0))),(INDEX(ALLCLASSDATA,MATCH("SimpleMaster",CLASSFEATUREHEADERS,0),MATCH(($A1335 &amp; "Points"),CLASSNAMEHEADERS,0))),(IF("00"=(INDEX(ALLCLASSDATA,MATCH("SimpleExpert",CLASSFEATUREHEADERS,0),MATCH($A1335,CLASSNAMEHEADERS,0))),(INDEX(ALLCLASSDATA,MATCH("SimpleExpert",CLASSFEATUREHEADERS,0),MATCH(($A1335 &amp; "Points"),CLASSNAMEHEADERS,0))),(IF("00"=(INDEX(ALLCLASSDATA,MATCH("SimpleTrained",CLASSFEATUREHEADERS,0),MATCH($A1335,CLASSNAMEHEADERS,0))),(INDEX(ALLCLASSDATA,MATCH("SimpleTrained",CLASSFEATUREHEADERS,0),MATCH(($A1335 &amp; "Points"),CLASSNAMEHEADERS,0))),"")))))))))}</f>
        <v>SIMPLEINITIALPTS</v>
      </c>
      <c r="H1334" s="223" t="str">
        <f t="array" ref="H1334:H1335">{"SIMPLEL01";((IF("01"=(INDEX(ALLCLASSDATA,MATCH("SimpleLegendary",CLASSFEATUREHEADERS,0),MATCH($A1335,CLASSNAMEHEADERS,0))),(INDEX(ALLCLASSDATA,MATCH("SimpleLegendary",CLASSFEATUREHEADERS,0),MATCH(($A1335 &amp; "Points"),CLASSNAMEHEADERS,0))),(IF("01"=(INDEX(ALLCLASSDATA,MATCH("SimpleMaster",CLASSFEATUREHEADERS,0),MATCH($A1335,CLASSNAMEHEADERS,0))),(INDEX(ALLCLASSDATA,MATCH("SimpleMaster",CLASSFEATUREHEADERS,0),MATCH(($A1335 &amp; "Points"),CLASSNAMEHEADERS,0))),(IF("01"=(INDEX(ALLCLASSDATA,MATCH("SimpleExpert",CLASSFEATUREHEADERS,0),MATCH($A1335,CLASSNAMEHEADERS,0))),(INDEX(ALLCLASSDATA,MATCH("SimpleExpert",CLASSFEATUREHEADERS,0),MATCH(($A1335 &amp; "Points"),CLASSNAMEHEADERS,0))),(IF("01"=(INDEX(ALLCLASSDATA,MATCH("SimpleTrained",CLASSFEATUREHEADERS,0),MATCH($A1335,CLASSNAMEHEADERS,0))),(INDEX(ALLCLASSDATA,MATCH("SimpleTrained",CLASSFEATUREHEADERS,0),MATCH(($A1335 &amp; "Points"),CLASSNAMEHEADERS,0))),"")))))))))}</f>
        <v>SIMPLEL01</v>
      </c>
      <c r="I1334" s="223"/>
      <c r="J1334" s="223" t="str">
        <f t="array" ref="J1334:J1335">{"SIMPLEL03";((IF("03"=(INDEX(ALLCLASSDATA,MATCH("SimpleLegendary",CLASSFEATUREHEADERS,0),MATCH($A1335,CLASSNAMEHEADERS,0))),(INDEX(ALLCLASSDATA,MATCH("SimpleLegendary",CLASSFEATUREHEADERS,0),MATCH(($A1335 &amp; "Points"),CLASSNAMEHEADERS,0))),(IF("03"=(INDEX(ALLCLASSDATA,MATCH("SimpleMaster",CLASSFEATUREHEADERS,0),MATCH($A1335,CLASSNAMEHEADERS,0))),(INDEX(ALLCLASSDATA,MATCH("SimpleMaster",CLASSFEATUREHEADERS,0),MATCH(($A1335 &amp; "Points"),CLASSNAMEHEADERS,0))),(IF("03"=(INDEX(ALLCLASSDATA,MATCH("SimpleExpert",CLASSFEATUREHEADERS,0),MATCH($A1335,CLASSNAMEHEADERS,0))),(INDEX(ALLCLASSDATA,MATCH("SimpleExpert",CLASSFEATUREHEADERS,0),MATCH(($A1335 &amp; "Points"),CLASSNAMEHEADERS,0))),(IF("03"=(INDEX(ALLCLASSDATA,MATCH("SimpleTrained",CLASSFEATUREHEADERS,0),MATCH($A1335,CLASSNAMEHEADERS,0))),(INDEX(ALLCLASSDATA,MATCH("SimpleTrained",CLASSFEATUREHEADERS,0),MATCH(($A1335 &amp; "Points"),CLASSNAMEHEADERS,0))),"")))))))))}</f>
        <v>SIMPLEL03</v>
      </c>
      <c r="K1334" s="223"/>
      <c r="L1334" s="223" t="str">
        <f t="array" ref="L1334:L1335">{"SIMPLEL05";((IF("05"=(INDEX(ALLCLASSDATA,MATCH("SimpleLegendary",CLASSFEATUREHEADERS,0),MATCH($A1335,CLASSNAMEHEADERS,0))),(INDEX(ALLCLASSDATA,MATCH("SimpleLegendary",CLASSFEATUREHEADERS,0),MATCH(($A1335 &amp; "Points"),CLASSNAMEHEADERS,0))),(IF("05"=(INDEX(ALLCLASSDATA,MATCH("SimpleMaster",CLASSFEATUREHEADERS,0),MATCH($A1335,CLASSNAMEHEADERS,0))),(INDEX(ALLCLASSDATA,MATCH("SimpleMaster",CLASSFEATUREHEADERS,0),MATCH(($A1335 &amp; "Points"),CLASSNAMEHEADERS,0))),(IF("05"=(INDEX(ALLCLASSDATA,MATCH("SimpleExpert",CLASSFEATUREHEADERS,0),MATCH($A1335,CLASSNAMEHEADERS,0))),(INDEX(ALLCLASSDATA,MATCH("SimpleExpert",CLASSFEATUREHEADERS,0),MATCH(($A1335 &amp; "Points"),CLASSNAMEHEADERS,0))),(IF("05"=(INDEX(ALLCLASSDATA,MATCH("SimpleTrained",CLASSFEATUREHEADERS,0),MATCH($A1335,CLASSNAMEHEADERS,0))),(INDEX(ALLCLASSDATA,MATCH("SimpleTrained",CLASSFEATUREHEADERS,0),MATCH(($A1335 &amp; "Points"),CLASSNAMEHEADERS,0))),"")))))))))}</f>
        <v>SIMPLEL05</v>
      </c>
      <c r="M1334" s="223"/>
      <c r="N1334" s="223" t="str">
        <f t="array" ref="N1334:N1335">{"SIMPLEL07";((IF("07"=(INDEX(ALLCLASSDATA,MATCH("SimpleLegendary",CLASSFEATUREHEADERS,0),MATCH($A1335,CLASSNAMEHEADERS,0))),(INDEX(ALLCLASSDATA,MATCH("SimpleLegendary",CLASSFEATUREHEADERS,0),MATCH(($A1335 &amp; "Points"),CLASSNAMEHEADERS,0))),(IF("07"=(INDEX(ALLCLASSDATA,MATCH("SimpleMaster",CLASSFEATUREHEADERS,0),MATCH($A1335,CLASSNAMEHEADERS,0))),(INDEX(ALLCLASSDATA,MATCH("SimpleMaster",CLASSFEATUREHEADERS,0),MATCH(($A1335 &amp; "Points"),CLASSNAMEHEADERS,0))),(IF("07"=(INDEX(ALLCLASSDATA,MATCH("SimpleExpert",CLASSFEATUREHEADERS,0),MATCH($A1335,CLASSNAMEHEADERS,0))),(INDEX(ALLCLASSDATA,MATCH("SimpleExpert",CLASSFEATUREHEADERS,0),MATCH(($A1335 &amp; "Points"),CLASSNAMEHEADERS,0))),(IF("07"=(INDEX(ALLCLASSDATA,MATCH("SimpleTrained",CLASSFEATUREHEADERS,0),MATCH($A1335,CLASSNAMEHEADERS,0))),(INDEX(ALLCLASSDATA,MATCH("SimpleTrained",CLASSFEATUREHEADERS,0),MATCH(($A1335 &amp; "Points"),CLASSNAMEHEADERS,0))),"")))))))))}</f>
        <v>SIMPLEL07</v>
      </c>
      <c r="O1334" s="223"/>
      <c r="P1334" s="223" t="str">
        <f t="array" ref="P1334:P1335">{"SIMPLEL09";((IF("09"=(INDEX(ALLCLASSDATA,MATCH("SimpleLegendary",CLASSFEATUREHEADERS,0),MATCH($A1335,CLASSNAMEHEADERS,0))),(INDEX(ALLCLASSDATA,MATCH("SimpleLegendary",CLASSFEATUREHEADERS,0),MATCH(($A1335 &amp; "Points"),CLASSNAMEHEADERS,0))),(IF("09"=(INDEX(ALLCLASSDATA,MATCH("SimpleMaster",CLASSFEATUREHEADERS,0),MATCH($A1335,CLASSNAMEHEADERS,0))),(INDEX(ALLCLASSDATA,MATCH("SimpleMaster",CLASSFEATUREHEADERS,0),MATCH(($A1335 &amp; "Points"),CLASSNAMEHEADERS,0))),(IF("09"=(INDEX(ALLCLASSDATA,MATCH("SimpleExpert",CLASSFEATUREHEADERS,0),MATCH($A1335,CLASSNAMEHEADERS,0))),(INDEX(ALLCLASSDATA,MATCH("SimpleExpert",CLASSFEATUREHEADERS,0),MATCH(($A1335 &amp; "Points"),CLASSNAMEHEADERS,0))),(IF("09"=(INDEX(ALLCLASSDATA,MATCH("SimpleTrained",CLASSFEATUREHEADERS,0),MATCH($A1335,CLASSNAMEHEADERS,0))),(INDEX(ALLCLASSDATA,MATCH("SimpleTrained",CLASSFEATUREHEADERS,0),MATCH(($A1335 &amp; "Points"),CLASSNAMEHEADERS,0))),"")))))))))}</f>
        <v>SIMPLEL09</v>
      </c>
      <c r="Q1334" s="223"/>
      <c r="R1334" s="223" t="str">
        <f t="array" ref="R1334:R1335">{"SIMPLEL11";((IF("11"=(INDEX(ALLCLASSDATA,MATCH("SimpleLegendary",CLASSFEATUREHEADERS,0),MATCH($A1335,CLASSNAMEHEADERS,0))),(INDEX(ALLCLASSDATA,MATCH("SimpleLegendary",CLASSFEATUREHEADERS,0),MATCH(($A1335 &amp; "Points"),CLASSNAMEHEADERS,0))),(IF("11"=(INDEX(ALLCLASSDATA,MATCH("SimpleMaster",CLASSFEATUREHEADERS,0),MATCH($A1335,CLASSNAMEHEADERS,0))),(INDEX(ALLCLASSDATA,MATCH("SimpleMaster",CLASSFEATUREHEADERS,0),MATCH(($A1335 &amp; "Points"),CLASSNAMEHEADERS,0))),(IF("11"=(INDEX(ALLCLASSDATA,MATCH("SimpleExpert",CLASSFEATUREHEADERS,0),MATCH($A1335,CLASSNAMEHEADERS,0))),(INDEX(ALLCLASSDATA,MATCH("SimpleExpert",CLASSFEATUREHEADERS,0),MATCH(($A1335 &amp; "Points"),CLASSNAMEHEADERS,0))),(IF("11"=(INDEX(ALLCLASSDATA,MATCH("SimpleTrained",CLASSFEATUREHEADERS,0),MATCH($A1335,CLASSNAMEHEADERS,0))),(INDEX(ALLCLASSDATA,MATCH("SimpleTrained",CLASSFEATUREHEADERS,0),MATCH(($A1335 &amp; "Points"),CLASSNAMEHEADERS,0))),"")))))))))}</f>
        <v>SIMPLEL11</v>
      </c>
      <c r="S1334" s="223"/>
      <c r="T1334" s="223" t="str">
        <f t="array" ref="T1334:T1335">{"SIMPLEL13";((IF("13"=(INDEX(ALLCLASSDATA,MATCH("SimpleLegendary",CLASSFEATUREHEADERS,0),MATCH($A1335,CLASSNAMEHEADERS,0))),(INDEX(ALLCLASSDATA,MATCH("SimpleLegendary",CLASSFEATUREHEADERS,0),MATCH(($A1335 &amp; "Points"),CLASSNAMEHEADERS,0))),(IF("13"=(INDEX(ALLCLASSDATA,MATCH("SimpleMaster",CLASSFEATUREHEADERS,0),MATCH($A1335,CLASSNAMEHEADERS,0))),(INDEX(ALLCLASSDATA,MATCH("SimpleMaster",CLASSFEATUREHEADERS,0),MATCH(($A1335 &amp; "Points"),CLASSNAMEHEADERS,0))),(IF("13"=(INDEX(ALLCLASSDATA,MATCH("SimpleExpert",CLASSFEATUREHEADERS,0),MATCH($A1335,CLASSNAMEHEADERS,0))),(INDEX(ALLCLASSDATA,MATCH("SimpleExpert",CLASSFEATUREHEADERS,0),MATCH(($A1335 &amp; "Points"),CLASSNAMEHEADERS,0))),(IF("13"=(INDEX(ALLCLASSDATA,MATCH("SimpleTrained",CLASSFEATUREHEADERS,0),MATCH($A1335,CLASSNAMEHEADERS,0))),(INDEX(ALLCLASSDATA,MATCH("SimpleTrained",CLASSFEATUREHEADERS,0),MATCH(($A1335 &amp; "Points"),CLASSNAMEHEADERS,0))),"")))))))))}</f>
        <v>SIMPLEL13</v>
      </c>
      <c r="U1334" s="223"/>
      <c r="V1334" s="223" t="str">
        <f t="array" ref="V1334:V1335">{"SIMPLEL15";((IF("15"=(INDEX(ALLCLASSDATA,MATCH("SimpleLegendary",CLASSFEATUREHEADERS,0),MATCH($A1335,CLASSNAMEHEADERS,0))),(INDEX(ALLCLASSDATA,MATCH("SimpleLegendary",CLASSFEATUREHEADERS,0),MATCH(($A1335 &amp; "Points"),CLASSNAMEHEADERS,0))),(IF("15"=(INDEX(ALLCLASSDATA,MATCH("SimpleMaster",CLASSFEATUREHEADERS,0),MATCH($A1335,CLASSNAMEHEADERS,0))),(INDEX(ALLCLASSDATA,MATCH("SimpleMaster",CLASSFEATUREHEADERS,0),MATCH(($A1335 &amp; "Points"),CLASSNAMEHEADERS,0))),(IF("15"=(INDEX(ALLCLASSDATA,MATCH("SimpleExpert",CLASSFEATUREHEADERS,0),MATCH($A1335,CLASSNAMEHEADERS,0))),(INDEX(ALLCLASSDATA,MATCH("SimpleExpert",CLASSFEATUREHEADERS,0),MATCH(($A1335 &amp; "Points"),CLASSNAMEHEADERS,0))),(IF("15"=(INDEX(ALLCLASSDATA,MATCH("SimpleTrained",CLASSFEATUREHEADERS,0),MATCH($A1335,CLASSNAMEHEADERS,0))),(INDEX(ALLCLASSDATA,MATCH("SimpleTrained",CLASSFEATUREHEADERS,0),MATCH(($A1335 &amp; "Points"),CLASSNAMEHEADERS,0))),"")))))))))}</f>
        <v>SIMPLEL15</v>
      </c>
      <c r="W1334" s="223"/>
      <c r="X1334" s="223" t="str">
        <f t="array" ref="X1334:X1335">{"SIMPLEL17";((IF("17"=(INDEX(ALLCLASSDATA,MATCH("SimpleLegendary",CLASSFEATUREHEADERS,0),MATCH($A1335,CLASSNAMEHEADERS,0))),(INDEX(ALLCLASSDATA,MATCH("SimpleLegendary",CLASSFEATUREHEADERS,0),MATCH(($A1335 &amp; "Points"),CLASSNAMEHEADERS,0))),(IF("17"=(INDEX(ALLCLASSDATA,MATCH("SimpleMaster",CLASSFEATUREHEADERS,0),MATCH($A1335,CLASSNAMEHEADERS,0))),(INDEX(ALLCLASSDATA,MATCH("SimpleMaster",CLASSFEATUREHEADERS,0),MATCH(($A1335 &amp; "Points"),CLASSNAMEHEADERS,0))),(IF("17"=(INDEX(ALLCLASSDATA,MATCH("SimpleExpert",CLASSFEATUREHEADERS,0),MATCH($A1335,CLASSNAMEHEADERS,0))),(INDEX(ALLCLASSDATA,MATCH("SimpleExpert",CLASSFEATUREHEADERS,0),MATCH(($A1335 &amp; "Points"),CLASSNAMEHEADERS,0))),(IF("17"=(INDEX(ALLCLASSDATA,MATCH("SimpleTrained",CLASSFEATUREHEADERS,0),MATCH($A1335,CLASSNAMEHEADERS,0))),(INDEX(ALLCLASSDATA,MATCH("SimpleTrained",CLASSFEATUREHEADERS,0),MATCH(($A1335 &amp; "Points"),CLASSNAMEHEADERS,0))),"")))))))))}</f>
        <v>SIMPLEL17</v>
      </c>
      <c r="Y1334" s="223"/>
      <c r="Z1334" s="223" t="str">
        <f t="array" ref="Z1334:Z1335">{"SIMPLEL19";((IF("19"=(INDEX(ALLCLASSDATA,MATCH("SimpleLegendary",CLASSFEATUREHEADERS,0),MATCH($A1335,CLASSNAMEHEADERS,0))),(INDEX(ALLCLASSDATA,MATCH("SimpleLegendary",CLASSFEATUREHEADERS,0),MATCH(($A1335 &amp; "Points"),CLASSNAMEHEADERS,0))),(IF("19"=(INDEX(ALLCLASSDATA,MATCH("SimpleMaster",CLASSFEATUREHEADERS,0),MATCH($A1335,CLASSNAMEHEADERS,0))),(INDEX(ALLCLASSDATA,MATCH("SimpleMaster",CLASSFEATUREHEADERS,0),MATCH(($A1335 &amp; "Points"),CLASSNAMEHEADERS,0))),(IF("19"=(INDEX(ALLCLASSDATA,MATCH("SimpleExpert",CLASSFEATUREHEADERS,0),MATCH($A1335,CLASSNAMEHEADERS,0))),(INDEX(ALLCLASSDATA,MATCH("SimpleExpert",CLASSFEATUREHEADERS,0),MATCH(($A1335 &amp; "Points"),CLASSNAMEHEADERS,0))),(IF("19"=(INDEX(ALLCLASSDATA,MATCH("SimpleTrained",CLASSFEATUREHEADERS,0),MATCH($A1335,CLASSNAMEHEADERS,0))),(INDEX(ALLCLASSDATA,MATCH("SimpleTrained",CLASSFEATUREHEADERS,0),MATCH(($A1335 &amp; "Points"),CLASSNAMEHEADERS,0))),"")))))))))}</f>
        <v>SIMPLEL19</v>
      </c>
      <c r="AA1334" s="223"/>
      <c r="AB1334" s="76" t="str">
        <f t="array" ref="AB1334:AB1335">{"SIMPLE TOTAL";(IF(COUNTBLANK(G1335:AA1335)=17,"L",(IF(COUNTBLANK(G1335:AA1335)=18,"M",(IF(COUNTBLANK(G1335:AA1335)=19,"E",(IF(COUNTBLANK(G1335:AA1335)=20,"T",""))))))))}</f>
        <v>SIMPLE TOTAL</v>
      </c>
      <c r="AC1334" s="76" t="str">
        <f t="array" ref="AC1334:AC1335">{"SIMPLE TOTAL";(sum(G1335:AA1335))}</f>
        <v>SIMPLE TOTAL</v>
      </c>
    </row>
    <row r="1335">
      <c r="A1335" s="48" t="s">
        <v>211</v>
      </c>
      <c r="B1335" s="48"/>
      <c r="C1335" s="48" t="s">
        <v>417</v>
      </c>
      <c r="D1335" s="48" t="s">
        <v>1634</v>
      </c>
      <c r="E1335" s="48" t="s">
        <v>68</v>
      </c>
      <c r="F1335" s="5" t="s">
        <v>435</v>
      </c>
      <c r="G1335" s="47" t="s">
        <v>603</v>
      </c>
      <c r="H1335" s="5">
        <v>10.0</v>
      </c>
      <c r="I1335" s="5"/>
      <c r="J1335" s="5" t="s">
        <v>603</v>
      </c>
      <c r="K1335" s="5"/>
      <c r="L1335" s="5" t="s">
        <v>603</v>
      </c>
      <c r="M1335" s="5"/>
      <c r="N1335" s="5" t="s">
        <v>436</v>
      </c>
      <c r="O1335" s="5"/>
      <c r="P1335" s="5" t="s">
        <v>603</v>
      </c>
      <c r="Q1335" s="5"/>
      <c r="R1335" s="5" t="s">
        <v>603</v>
      </c>
      <c r="S1335" s="5"/>
      <c r="T1335" s="5" t="s">
        <v>603</v>
      </c>
      <c r="U1335" s="5"/>
      <c r="V1335" s="5" t="s">
        <v>603</v>
      </c>
      <c r="W1335" s="5"/>
      <c r="X1335" s="5" t="s">
        <v>603</v>
      </c>
      <c r="Y1335" s="5"/>
      <c r="Z1335" s="5" t="s">
        <v>603</v>
      </c>
      <c r="AA1335" s="5"/>
      <c r="AB1335" s="5" t="s">
        <v>436</v>
      </c>
      <c r="AC1335" s="47">
        <v>10.0</v>
      </c>
    </row>
    <row r="1336" hidden="1">
      <c r="A1336" s="222" t="str">
        <f t="array" ref="A1336:A1337">{"FormulaRow30";(INDEX(CLASSLIST,A1277,1))}</f>
        <v>FormulaRow30</v>
      </c>
      <c r="B1336" s="77" t="s">
        <v>236</v>
      </c>
      <c r="C1336" s="222" t="str">
        <f t="array" ref="C1336:C1337">{"CLASSTYPE";((INDEX(ALLCLASSDATA,MATCH("ClassType",CLASSFEATUREHEADERS,0),MATCH($A1337,CLASSNAMEHEADERS,0))))}</f>
        <v>CLASSTYPE</v>
      </c>
      <c r="D1336" s="222" t="str">
        <f t="array" ref="D1336:D1337">{"ATTACK";"Attack"}</f>
        <v>ATTACK</v>
      </c>
      <c r="E1336" s="222" t="str">
        <f t="array" ref="E1336:E1337">{"MARTIALLIMITED";"MartialLimited"}</f>
        <v>MARTIALLIMITED</v>
      </c>
      <c r="F1336" s="223" t="str">
        <f t="array" ref="F1336:F1337">{"MARTIALLIMITEDINITIAL";((IF(H1337=10,"T",(IF(H1337=50,"E","")))))}</f>
        <v>MARTIALLIMITEDINITIAL</v>
      </c>
      <c r="G1336" s="223" t="str">
        <f t="array" ref="G1336:G1337">{"MARTIALLIMITEDINITIALPTS";((IF("00"=(INDEX(ALLCLASSDATA,MATCH("MartialLimitedLegendary",CLASSFEATUREHEADERS,0),MATCH($A1337,CLASSNAMEHEADERS,0))),(INDEX(ALLCLASSDATA,MATCH("MartialLimitedLegendary",CLASSFEATUREHEADERS,0),MATCH(($A1337 &amp; "Points"),CLASSNAMEHEADERS,0))),(IF("00"=(INDEX(ALLCLASSDATA,MATCH("MartialLimitedMaster",CLASSFEATUREHEADERS,0),MATCH($A1337,CLASSNAMEHEADERS,0))),(INDEX(ALLCLASSDATA,MATCH("MartialLimitedMaster",CLASSFEATUREHEADERS,0),MATCH(($A1337 &amp; "Points"),CLASSNAMEHEADERS,0))),(IF("00"=(INDEX(ALLCLASSDATA,MATCH("MartialLimitedExpert",CLASSFEATUREHEADERS,0),MATCH($A1337,CLASSNAMEHEADERS,0))),(INDEX(ALLCLASSDATA,MATCH("MartialLimitedExpert",CLASSFEATUREHEADERS,0),MATCH(($A1337 &amp; "Points"),CLASSNAMEHEADERS,0))),(IF("00"=(INDEX(ALLCLASSDATA,MATCH("MartialLimitedTrained",CLASSFEATUREHEADERS,0),MATCH($A1337,CLASSNAMEHEADERS,0))),(INDEX(ALLCLASSDATA,MATCH("MartialLimitedTrained",CLASSFEATUREHEADERS,0),MATCH(($A1337 &amp; "Points"),CLASSNAMEHEADERS,0))),"")))))))))}</f>
        <v>MARTIALLIMITEDINITIALPTS</v>
      </c>
      <c r="H1336" s="223" t="str">
        <f t="array" ref="H1336:H1337">{"MARTIALLIMITEDL01";((IF("01"=(INDEX(ALLCLASSDATA,MATCH("MartialLimitedLegendary",CLASSFEATUREHEADERS,0),MATCH($A1337,CLASSNAMEHEADERS,0))),(INDEX(ALLCLASSDATA,MATCH("MartialLimitedLegendary",CLASSFEATUREHEADERS,0),MATCH(($A1337 &amp; "Points"),CLASSNAMEHEADERS,0))),(IF("01"=(INDEX(ALLCLASSDATA,MATCH("MartialLimitedMaster",CLASSFEATUREHEADERS,0),MATCH($A1337,CLASSNAMEHEADERS,0))),(INDEX(ALLCLASSDATA,MATCH("MartialLimitedMaster",CLASSFEATUREHEADERS,0),MATCH(($A1337 &amp; "Points"),CLASSNAMEHEADERS,0))),(IF("01"=(INDEX(ALLCLASSDATA,MATCH("MartialLimitedExpert",CLASSFEATUREHEADERS,0),MATCH($A1337,CLASSNAMEHEADERS,0))),(INDEX(ALLCLASSDATA,MATCH("MartialLimitedExpert",CLASSFEATUREHEADERS,0),MATCH(($A1337 &amp; "Points"),CLASSNAMEHEADERS,0))),(IF("01"=(INDEX(ALLCLASSDATA,MATCH("MartialLimitedTrained",CLASSFEATUREHEADERS,0),MATCH($A1337,CLASSNAMEHEADERS,0))),(INDEX(ALLCLASSDATA,MATCH("MartialLimitedTrained",CLASSFEATUREHEADERS,0),MATCH(($A1337 &amp; "Points"),CLASSNAMEHEADERS,0))),"")))))))))}</f>
        <v>MARTIALLIMITEDL01</v>
      </c>
      <c r="I1336" s="223"/>
      <c r="J1336" s="223" t="str">
        <f t="array" ref="J1336:J1337">{"MARTIALLIMITEDL03";((IF("03"=(INDEX(ALLCLASSDATA,MATCH("MartialLimitedLegendary",CLASSFEATUREHEADERS,0),MATCH($A1337,CLASSNAMEHEADERS,0))),(INDEX(ALLCLASSDATA,MATCH("MartialLimitedLegendary",CLASSFEATUREHEADERS,0),MATCH(($A1337 &amp; "Points"),CLASSNAMEHEADERS,0))),(IF("03"=(INDEX(ALLCLASSDATA,MATCH("MartialLimitedMaster",CLASSFEATUREHEADERS,0),MATCH($A1337,CLASSNAMEHEADERS,0))),(INDEX(ALLCLASSDATA,MATCH("MartialLimitedMaster",CLASSFEATUREHEADERS,0),MATCH(($A1337 &amp; "Points"),CLASSNAMEHEADERS,0))),(IF("03"=(INDEX(ALLCLASSDATA,MATCH("MartialLimitedExpert",CLASSFEATUREHEADERS,0),MATCH($A1337,CLASSNAMEHEADERS,0))),(INDEX(ALLCLASSDATA,MATCH("MartialLimitedExpert",CLASSFEATUREHEADERS,0),MATCH(($A1337 &amp; "Points"),CLASSNAMEHEADERS,0))),(IF("03"=(INDEX(ALLCLASSDATA,MATCH("MartialLimitedTrained",CLASSFEATUREHEADERS,0),MATCH($A1337,CLASSNAMEHEADERS,0))),(INDEX(ALLCLASSDATA,MATCH("MartialLimitedTrained",CLASSFEATUREHEADERS,0),MATCH(($A1337 &amp; "Points"),CLASSNAMEHEADERS,0))),"")))))))))}</f>
        <v>MARTIALLIMITEDL03</v>
      </c>
      <c r="K1336" s="223"/>
      <c r="L1336" s="223" t="str">
        <f t="array" ref="L1336:L1337">{"MARTIALLIMITEDL05";((IF("05"=(INDEX(ALLCLASSDATA,MATCH("MartialLimitedLegendary",CLASSFEATUREHEADERS,0),MATCH($A1337,CLASSNAMEHEADERS,0))),(INDEX(ALLCLASSDATA,MATCH("MartialLimitedLegendary",CLASSFEATUREHEADERS,0),MATCH(($A1337 &amp; "Points"),CLASSNAMEHEADERS,0))),(IF("05"=(INDEX(ALLCLASSDATA,MATCH("MartialLimitedMaster",CLASSFEATUREHEADERS,0),MATCH($A1337,CLASSNAMEHEADERS,0))),(INDEX(ALLCLASSDATA,MATCH("MartialLimitedMaster",CLASSFEATUREHEADERS,0),MATCH(($A1337 &amp; "Points"),CLASSNAMEHEADERS,0))),(IF("05"=(INDEX(ALLCLASSDATA,MATCH("MartialLimitedExpert",CLASSFEATUREHEADERS,0),MATCH($A1337,CLASSNAMEHEADERS,0))),(INDEX(ALLCLASSDATA,MATCH("MartialLimitedExpert",CLASSFEATUREHEADERS,0),MATCH(($A1337 &amp; "Points"),CLASSNAMEHEADERS,0))),(IF("05"=(INDEX(ALLCLASSDATA,MATCH("MartialLimitedTrained",CLASSFEATUREHEADERS,0),MATCH($A1337,CLASSNAMEHEADERS,0))),(INDEX(ALLCLASSDATA,MATCH("MartialLimitedTrained",CLASSFEATUREHEADERS,0),MATCH(($A1337 &amp; "Points"),CLASSNAMEHEADERS,0))),"")))))))))}</f>
        <v>MARTIALLIMITEDL05</v>
      </c>
      <c r="M1336" s="223"/>
      <c r="N1336" s="223" t="str">
        <f t="array" ref="N1336:N1337">{"MARTIALLIMITEDL07";((IF("07"=(INDEX(ALLCLASSDATA,MATCH("MartialLimitedLegendary",CLASSFEATUREHEADERS,0),MATCH($A1337,CLASSNAMEHEADERS,0))),(INDEX(ALLCLASSDATA,MATCH("MartialLimitedLegendary",CLASSFEATUREHEADERS,0),MATCH(($A1337 &amp; "Points"),CLASSNAMEHEADERS,0))),(IF("07"=(INDEX(ALLCLASSDATA,MATCH("MartialLimitedMaster",CLASSFEATUREHEADERS,0),MATCH($A1337,CLASSNAMEHEADERS,0))),(INDEX(ALLCLASSDATA,MATCH("MartialLimitedMaster",CLASSFEATUREHEADERS,0),MATCH(($A1337 &amp; "Points"),CLASSNAMEHEADERS,0))),(IF("07"=(INDEX(ALLCLASSDATA,MATCH("MartialLimitedExpert",CLASSFEATUREHEADERS,0),MATCH($A1337,CLASSNAMEHEADERS,0))),(INDEX(ALLCLASSDATA,MATCH("MartialLimitedExpert",CLASSFEATUREHEADERS,0),MATCH(($A1337 &amp; "Points"),CLASSNAMEHEADERS,0))),(IF("07"=(INDEX(ALLCLASSDATA,MATCH("MartialLimitedTrained",CLASSFEATUREHEADERS,0),MATCH($A1337,CLASSNAMEHEADERS,0))),(INDEX(ALLCLASSDATA,MATCH("MartialLimitedTrained",CLASSFEATUREHEADERS,0),MATCH(($A1337 &amp; "Points"),CLASSNAMEHEADERS,0))),"")))))))))}</f>
        <v>MARTIALLIMITEDL07</v>
      </c>
      <c r="O1336" s="223"/>
      <c r="P1336" s="223" t="str">
        <f t="array" ref="P1336:P1337">{"MARTIALLIMITEDL09";((IF("09"=(INDEX(ALLCLASSDATA,MATCH("MartialLimitedLegendary",CLASSFEATUREHEADERS,0),MATCH($A1337,CLASSNAMEHEADERS,0))),(INDEX(ALLCLASSDATA,MATCH("MartialLimitedLegendary",CLASSFEATUREHEADERS,0),MATCH(($A1337 &amp; "Points"),CLASSNAMEHEADERS,0))),(IF("09"=(INDEX(ALLCLASSDATA,MATCH("MartialLimitedMaster",CLASSFEATUREHEADERS,0),MATCH($A1337,CLASSNAMEHEADERS,0))),(INDEX(ALLCLASSDATA,MATCH("MartialLimitedMaster",CLASSFEATUREHEADERS,0),MATCH(($A1337 &amp; "Points"),CLASSNAMEHEADERS,0))),(IF("09"=(INDEX(ALLCLASSDATA,MATCH("MartialLimitedExpert",CLASSFEATUREHEADERS,0),MATCH($A1337,CLASSNAMEHEADERS,0))),(INDEX(ALLCLASSDATA,MATCH("MartialLimitedExpert",CLASSFEATUREHEADERS,0),MATCH(($A1337 &amp; "Points"),CLASSNAMEHEADERS,0))),(IF("09"=(INDEX(ALLCLASSDATA,MATCH("MartialLimitedTrained",CLASSFEATUREHEADERS,0),MATCH($A1337,CLASSNAMEHEADERS,0))),(INDEX(ALLCLASSDATA,MATCH("MartialLimitedTrained",CLASSFEATUREHEADERS,0),MATCH(($A1337 &amp; "Points"),CLASSNAMEHEADERS,0))),"")))))))))}</f>
        <v>MARTIALLIMITEDL09</v>
      </c>
      <c r="Q1336" s="223"/>
      <c r="R1336" s="223" t="str">
        <f t="array" ref="R1336:R1337">{"MARTIALLIMITEDL11";((IF("11"=(INDEX(ALLCLASSDATA,MATCH("MartialLimitedLegendary",CLASSFEATUREHEADERS,0),MATCH($A1337,CLASSNAMEHEADERS,0))),(INDEX(ALLCLASSDATA,MATCH("MartialLimitedLegendary",CLASSFEATUREHEADERS,0),MATCH(($A1337 &amp; "Points"),CLASSNAMEHEADERS,0))),(IF("11"=(INDEX(ALLCLASSDATA,MATCH("MartialLimitedMaster",CLASSFEATUREHEADERS,0),MATCH($A1337,CLASSNAMEHEADERS,0))),(INDEX(ALLCLASSDATA,MATCH("MartialLimitedMaster",CLASSFEATUREHEADERS,0),MATCH(($A1337 &amp; "Points"),CLASSNAMEHEADERS,0))),(IF("11"=(INDEX(ALLCLASSDATA,MATCH("MartialLimitedExpert",CLASSFEATUREHEADERS,0),MATCH($A1337,CLASSNAMEHEADERS,0))),(INDEX(ALLCLASSDATA,MATCH("MartialLimitedExpert",CLASSFEATUREHEADERS,0),MATCH(($A1337 &amp; "Points"),CLASSNAMEHEADERS,0))),(IF("11"=(INDEX(ALLCLASSDATA,MATCH("MartialLimitedTrained",CLASSFEATUREHEADERS,0),MATCH($A1337,CLASSNAMEHEADERS,0))),(INDEX(ALLCLASSDATA,MATCH("MartialLimitedTrained",CLASSFEATUREHEADERS,0),MATCH(($A1337 &amp; "Points"),CLASSNAMEHEADERS,0))),"")))))))))}</f>
        <v>MARTIALLIMITEDL11</v>
      </c>
      <c r="S1336" s="223"/>
      <c r="T1336" s="223" t="str">
        <f t="array" ref="T1336:T1337">{"MARTIALLIMITEDL13";((IF("13"=(INDEX(ALLCLASSDATA,MATCH("MartialLimitedLegendary",CLASSFEATUREHEADERS,0),MATCH($A1337,CLASSNAMEHEADERS,0))),(INDEX(ALLCLASSDATA,MATCH("MartialLimitedLegendary",CLASSFEATUREHEADERS,0),MATCH(($A1337 &amp; "Points"),CLASSNAMEHEADERS,0))),(IF("13"=(INDEX(ALLCLASSDATA,MATCH("MartialLimitedMaster",CLASSFEATUREHEADERS,0),MATCH($A1337,CLASSNAMEHEADERS,0))),(INDEX(ALLCLASSDATA,MATCH("MartialLimitedMaster",CLASSFEATUREHEADERS,0),MATCH(($A1337 &amp; "Points"),CLASSNAMEHEADERS,0))),(IF("13"=(INDEX(ALLCLASSDATA,MATCH("MartialLimitedExpert",CLASSFEATUREHEADERS,0),MATCH($A1337,CLASSNAMEHEADERS,0))),(INDEX(ALLCLASSDATA,MATCH("MartialLimitedExpert",CLASSFEATUREHEADERS,0),MATCH(($A1337 &amp; "Points"),CLASSNAMEHEADERS,0))),(IF("13"=(INDEX(ALLCLASSDATA,MATCH("MartialLimitedTrained",CLASSFEATUREHEADERS,0),MATCH($A1337,CLASSNAMEHEADERS,0))),(INDEX(ALLCLASSDATA,MATCH("MartialLimitedTrained",CLASSFEATUREHEADERS,0),MATCH(($A1337 &amp; "Points"),CLASSNAMEHEADERS,0))),"")))))))))}</f>
        <v>MARTIALLIMITEDL13</v>
      </c>
      <c r="U1336" s="223"/>
      <c r="V1336" s="223" t="str">
        <f t="array" ref="V1336:V1337">{"MARTIALLIMITEDL15";((IF("15"=(INDEX(ALLCLASSDATA,MATCH("MartialLimitedLegendary",CLASSFEATUREHEADERS,0),MATCH($A1337,CLASSNAMEHEADERS,0))),(INDEX(ALLCLASSDATA,MATCH("MartialLimitedLegendary",CLASSFEATUREHEADERS,0),MATCH(($A1337 &amp; "Points"),CLASSNAMEHEADERS,0))),(IF("15"=(INDEX(ALLCLASSDATA,MATCH("MartialLimitedMaster",CLASSFEATUREHEADERS,0),MATCH($A1337,CLASSNAMEHEADERS,0))),(INDEX(ALLCLASSDATA,MATCH("MartialLimitedMaster",CLASSFEATUREHEADERS,0),MATCH(($A1337 &amp; "Points"),CLASSNAMEHEADERS,0))),(IF("15"=(INDEX(ALLCLASSDATA,MATCH("MartialLimitedExpert",CLASSFEATUREHEADERS,0),MATCH($A1337,CLASSNAMEHEADERS,0))),(INDEX(ALLCLASSDATA,MATCH("MartialLimitedExpert",CLASSFEATUREHEADERS,0),MATCH(($A1337 &amp; "Points"),CLASSNAMEHEADERS,0))),(IF("15"=(INDEX(ALLCLASSDATA,MATCH("MartialLimitedTrained",CLASSFEATUREHEADERS,0),MATCH($A1337,CLASSNAMEHEADERS,0))),(INDEX(ALLCLASSDATA,MATCH("MartialLimitedTrained",CLASSFEATUREHEADERS,0),MATCH(($A1337 &amp; "Points"),CLASSNAMEHEADERS,0))),"")))))))))}</f>
        <v>MARTIALLIMITEDL15</v>
      </c>
      <c r="W1336" s="223"/>
      <c r="X1336" s="223" t="str">
        <f t="array" ref="X1336:X1337">{"MARTIALLIMITEDL17";((IF("17"=(INDEX(ALLCLASSDATA,MATCH("MartialLimitedLegendary",CLASSFEATUREHEADERS,0),MATCH($A1337,CLASSNAMEHEADERS,0))),(INDEX(ALLCLASSDATA,MATCH("MartialLimitedLegendary",CLASSFEATUREHEADERS,0),MATCH(($A1337 &amp; "Points"),CLASSNAMEHEADERS,0))),(IF("17"=(INDEX(ALLCLASSDATA,MATCH("MartialLimitedMaster",CLASSFEATUREHEADERS,0),MATCH($A1337,CLASSNAMEHEADERS,0))),(INDEX(ALLCLASSDATA,MATCH("MartialLimitedMaster",CLASSFEATUREHEADERS,0),MATCH(($A1337 &amp; "Points"),CLASSNAMEHEADERS,0))),(IF("17"=(INDEX(ALLCLASSDATA,MATCH("MartialLimitedExpert",CLASSFEATUREHEADERS,0),MATCH($A1337,CLASSNAMEHEADERS,0))),(INDEX(ALLCLASSDATA,MATCH("MartialLimitedExpert",CLASSFEATUREHEADERS,0),MATCH(($A1337 &amp; "Points"),CLASSNAMEHEADERS,0))),(IF("17"=(INDEX(ALLCLASSDATA,MATCH("MartialLimitedTrained",CLASSFEATUREHEADERS,0),MATCH($A1337,CLASSNAMEHEADERS,0))),(INDEX(ALLCLASSDATA,MATCH("MartialLimitedTrained",CLASSFEATUREHEADERS,0),MATCH(($A1337 &amp; "Points"),CLASSNAMEHEADERS,0))),"")))))))))}</f>
        <v>MARTIALLIMITEDL17</v>
      </c>
      <c r="Y1336" s="223"/>
      <c r="Z1336" s="223" t="str">
        <f t="array" ref="Z1336:Z1337">{"MARTIALLIMITEDL19";((IF("19"=(INDEX(ALLCLASSDATA,MATCH("MartialLimitedLegendary",CLASSFEATUREHEADERS,0),MATCH($A1337,CLASSNAMEHEADERS,0))),(INDEX(ALLCLASSDATA,MATCH("MartialLimitedLegendary",CLASSFEATUREHEADERS,0),MATCH(($A1337 &amp; "Points"),CLASSNAMEHEADERS,0))),(IF("19"=(INDEX(ALLCLASSDATA,MATCH("MartialLimitedMaster",CLASSFEATUREHEADERS,0),MATCH($A1337,CLASSNAMEHEADERS,0))),(INDEX(ALLCLASSDATA,MATCH("MartialLimitedMaster",CLASSFEATUREHEADERS,0),MATCH(($A1337 &amp; "Points"),CLASSNAMEHEADERS,0))),(IF("19"=(INDEX(ALLCLASSDATA,MATCH("MartialLimitedExpert",CLASSFEATUREHEADERS,0),MATCH($A1337,CLASSNAMEHEADERS,0))),(INDEX(ALLCLASSDATA,MATCH("MartialLimitedExpert",CLASSFEATUREHEADERS,0),MATCH(($A1337 &amp; "Points"),CLASSNAMEHEADERS,0))),(IF("19"=(INDEX(ALLCLASSDATA,MATCH("MartialLimitedTrained",CLASSFEATUREHEADERS,0),MATCH($A1337,CLASSNAMEHEADERS,0))),(INDEX(ALLCLASSDATA,MATCH("MartialLimitedTrained",CLASSFEATUREHEADERS,0),MATCH(($A1337 &amp; "Points"),CLASSNAMEHEADERS,0))),"")))))))))}</f>
        <v>MARTIALLIMITEDL19</v>
      </c>
      <c r="AA1336" s="223"/>
      <c r="AB1336" s="76" t="str">
        <f t="array" ref="AB1336:AB1337">{"MARTIALLIMITED TOTAL";(IF(COUNTBLANK(G1337:AA1337)=17,"L",(IF(COUNTBLANK(G1337:AA1337)=18,"M",(IF(COUNTBLANK(G1337:AA1337)=19,"E",(IF(COUNTBLANK(G1337:AA1337)=20,"T",""))))))))}</f>
        <v>MARTIALLIMITED TOTAL</v>
      </c>
      <c r="AC1336" s="76" t="str">
        <f t="array" ref="AC1336:AC1337">{"MARTIALLIMITED TOTAL";(sum(G1337:AA1337))}</f>
        <v>MARTIALLIMITED TOTAL</v>
      </c>
    </row>
    <row r="1337">
      <c r="A1337" s="48" t="s">
        <v>211</v>
      </c>
      <c r="B1337" s="48"/>
      <c r="C1337" s="48" t="s">
        <v>417</v>
      </c>
      <c r="D1337" s="48" t="s">
        <v>1634</v>
      </c>
      <c r="E1337" s="48" t="s">
        <v>600</v>
      </c>
      <c r="F1337" s="5" t="s">
        <v>435</v>
      </c>
      <c r="G1337" s="47" t="s">
        <v>603</v>
      </c>
      <c r="H1337" s="5">
        <v>10.0</v>
      </c>
      <c r="I1337" s="5"/>
      <c r="J1337" s="5" t="s">
        <v>603</v>
      </c>
      <c r="K1337" s="5"/>
      <c r="L1337" s="5" t="s">
        <v>603</v>
      </c>
      <c r="M1337" s="5"/>
      <c r="N1337" s="5">
        <v>50.0</v>
      </c>
      <c r="O1337" s="5"/>
      <c r="P1337" s="5" t="s">
        <v>603</v>
      </c>
      <c r="Q1337" s="5"/>
      <c r="R1337" s="5" t="s">
        <v>603</v>
      </c>
      <c r="S1337" s="5"/>
      <c r="T1337" s="5" t="s">
        <v>603</v>
      </c>
      <c r="U1337" s="5"/>
      <c r="V1337" s="5" t="s">
        <v>603</v>
      </c>
      <c r="W1337" s="5"/>
      <c r="X1337" s="5" t="s">
        <v>603</v>
      </c>
      <c r="Y1337" s="5"/>
      <c r="Z1337" s="5" t="s">
        <v>603</v>
      </c>
      <c r="AA1337" s="5"/>
      <c r="AB1337" s="5" t="s">
        <v>436</v>
      </c>
      <c r="AC1337" s="47">
        <v>60.0</v>
      </c>
    </row>
    <row r="1338" hidden="1">
      <c r="A1338" s="222" t="str">
        <f t="array" ref="A1338:A1339">{"FormulaRow31";(INDEX(CLASSLIST,A1277,1))}</f>
        <v>FormulaRow31</v>
      </c>
      <c r="B1338" s="77" t="s">
        <v>236</v>
      </c>
      <c r="C1338" s="222" t="str">
        <f t="array" ref="C1338:C1339">{"CLASSTYPE";((INDEX(ALLCLASSDATA,MATCH("ClassType",CLASSFEATUREHEADERS,0),MATCH($A1339,CLASSNAMEHEADERS,0))))}</f>
        <v>CLASSTYPE</v>
      </c>
      <c r="D1338" s="222" t="str">
        <f t="array" ref="D1338:D1339">{"ATTACK";"Attack"}</f>
        <v>ATTACK</v>
      </c>
      <c r="E1338" s="222" t="str">
        <f t="array" ref="E1338:E1339">{"MARTIAL";"Martial"}</f>
        <v>MARTIAL</v>
      </c>
      <c r="F1338" s="223" t="str">
        <f t="array" ref="F1338:F1339">{"MARTIALINITIAL";((IF(H1339=10,"T",(IF(H1339=50,"E","")))))}</f>
        <v>MARTIALINITIAL</v>
      </c>
      <c r="G1338" s="223" t="str">
        <f t="array" ref="G1338:G1339">{"MARTIALINITIALPTS";((IF("00"=(INDEX(ALLCLASSDATA,MATCH("MartialLegendary",CLASSFEATUREHEADERS,0),MATCH($A1339,CLASSNAMEHEADERS,0))),(INDEX(ALLCLASSDATA,MATCH("MartialLegendary",CLASSFEATUREHEADERS,0),MATCH(($A1339 &amp; "Points"),CLASSNAMEHEADERS,0))),(IF("00"=(INDEX(ALLCLASSDATA,MATCH("MartialMaster",CLASSFEATUREHEADERS,0),MATCH($A1339,CLASSNAMEHEADERS,0))),(INDEX(ALLCLASSDATA,MATCH("MartialMaster",CLASSFEATUREHEADERS,0),MATCH(($A1339 &amp; "Points"),CLASSNAMEHEADERS,0))),(IF("00"=(INDEX(ALLCLASSDATA,MATCH("MartialExpert",CLASSFEATUREHEADERS,0),MATCH($A1339,CLASSNAMEHEADERS,0))),(INDEX(ALLCLASSDATA,MATCH("MartialExpert",CLASSFEATUREHEADERS,0),MATCH(($A1339 &amp; "Points"),CLASSNAMEHEADERS,0))),(IF("00"=(INDEX(ALLCLASSDATA,MATCH("MartialTrained",CLASSFEATUREHEADERS,0),MATCH($A1339,CLASSNAMEHEADERS,0))),(INDEX(ALLCLASSDATA,MATCH("MartialTrained",CLASSFEATUREHEADERS,0),MATCH(($A1339 &amp; "Points"),CLASSNAMEHEADERS,0))),"")))))))))}</f>
        <v>MARTIALINITIALPTS</v>
      </c>
      <c r="H1338" s="223" t="str">
        <f t="array" ref="H1338:H1339">{"MARTIALL01";((IF("01"=(INDEX(ALLCLASSDATA,MATCH("MartialLegendary",CLASSFEATUREHEADERS,0),MATCH($A1339,CLASSNAMEHEADERS,0))),(INDEX(ALLCLASSDATA,MATCH("MartialLegendary",CLASSFEATUREHEADERS,0),MATCH(($A1339 &amp; "Points"),CLASSNAMEHEADERS,0))),(IF("01"=(INDEX(ALLCLASSDATA,MATCH("MartialMaster",CLASSFEATUREHEADERS,0),MATCH($A1339,CLASSNAMEHEADERS,0))),(INDEX(ALLCLASSDATA,MATCH("MartialMaster",CLASSFEATUREHEADERS,0),MATCH(($A1339 &amp; "Points"),CLASSNAMEHEADERS,0))),(IF("01"=(INDEX(ALLCLASSDATA,MATCH("MartialExpert",CLASSFEATUREHEADERS,0),MATCH($A1339,CLASSNAMEHEADERS,0))),(INDEX(ALLCLASSDATA,MATCH("MartialExpert",CLASSFEATUREHEADERS,0),MATCH(($A1339 &amp; "Points"),CLASSNAMEHEADERS,0))),(IF("01"=(INDEX(ALLCLASSDATA,MATCH("MartialTrained",CLASSFEATUREHEADERS,0),MATCH($A1339,CLASSNAMEHEADERS,0))),(INDEX(ALLCLASSDATA,MATCH("MartialTrained",CLASSFEATUREHEADERS,0),MATCH(($A1339 &amp; "Points"),CLASSNAMEHEADERS,0))),"")))))))))}</f>
        <v>MARTIALL01</v>
      </c>
      <c r="I1338" s="223"/>
      <c r="J1338" s="223" t="str">
        <f t="array" ref="J1338:J1339">{"MARTIALL03";((IF("03"=(INDEX(ALLCLASSDATA,MATCH("MartialLegendary",CLASSFEATUREHEADERS,0),MATCH($A1339,CLASSNAMEHEADERS,0))),(INDEX(ALLCLASSDATA,MATCH("MartialLegendary",CLASSFEATUREHEADERS,0),MATCH(($A1339 &amp; "Points"),CLASSNAMEHEADERS,0))),(IF("03"=(INDEX(ALLCLASSDATA,MATCH("MartialMaster",CLASSFEATUREHEADERS,0),MATCH($A1339,CLASSNAMEHEADERS,0))),(INDEX(ALLCLASSDATA,MATCH("MartialMaster",CLASSFEATUREHEADERS,0),MATCH(($A1339 &amp; "Points"),CLASSNAMEHEADERS,0))),(IF("03"=(INDEX(ALLCLASSDATA,MATCH("MartialExpert",CLASSFEATUREHEADERS,0),MATCH($A1339,CLASSNAMEHEADERS,0))),(INDEX(ALLCLASSDATA,MATCH("MartialExpert",CLASSFEATUREHEADERS,0),MATCH(($A1339 &amp; "Points"),CLASSNAMEHEADERS,0))),(IF("03"=(INDEX(ALLCLASSDATA,MATCH("MartialTrained",CLASSFEATUREHEADERS,0),MATCH($A1339,CLASSNAMEHEADERS,0))),(INDEX(ALLCLASSDATA,MATCH("MartialTrained",CLASSFEATUREHEADERS,0),MATCH(($A1339 &amp; "Points"),CLASSNAMEHEADERS,0))),"")))))))))}</f>
        <v>MARTIALL03</v>
      </c>
      <c r="K1338" s="223"/>
      <c r="L1338" s="223" t="str">
        <f t="array" ref="L1338:L1339">{"MARTIALL05";((IF("05"=(INDEX(ALLCLASSDATA,MATCH("MartialLegendary",CLASSFEATUREHEADERS,0),MATCH($A1339,CLASSNAMEHEADERS,0))),(INDEX(ALLCLASSDATA,MATCH("MartialLegendary",CLASSFEATUREHEADERS,0),MATCH(($A1339 &amp; "Points"),CLASSNAMEHEADERS,0))),(IF("05"=(INDEX(ALLCLASSDATA,MATCH("MartialMaster",CLASSFEATUREHEADERS,0),MATCH($A1339,CLASSNAMEHEADERS,0))),(INDEX(ALLCLASSDATA,MATCH("MartialMaster",CLASSFEATUREHEADERS,0),MATCH(($A1339 &amp; "Points"),CLASSNAMEHEADERS,0))),(IF("05"=(INDEX(ALLCLASSDATA,MATCH("MartialExpert",CLASSFEATUREHEADERS,0),MATCH($A1339,CLASSNAMEHEADERS,0))),(INDEX(ALLCLASSDATA,MATCH("MartialExpert",CLASSFEATUREHEADERS,0),MATCH(($A1339 &amp; "Points"),CLASSNAMEHEADERS,0))),(IF("05"=(INDEX(ALLCLASSDATA,MATCH("MartialTrained",CLASSFEATUREHEADERS,0),MATCH($A1339,CLASSNAMEHEADERS,0))),(INDEX(ALLCLASSDATA,MATCH("MartialTrained",CLASSFEATUREHEADERS,0),MATCH(($A1339 &amp; "Points"),CLASSNAMEHEADERS,0))),"")))))))))}</f>
        <v>MARTIALL05</v>
      </c>
      <c r="M1338" s="223"/>
      <c r="N1338" s="223" t="str">
        <f t="array" ref="N1338:N1339">{"MARTIALL07";((IF("07"=(INDEX(ALLCLASSDATA,MATCH("MartialLegendary",CLASSFEATUREHEADERS,0),MATCH($A1339,CLASSNAMEHEADERS,0))),(INDEX(ALLCLASSDATA,MATCH("MartialLegendary",CLASSFEATUREHEADERS,0),MATCH(($A1339 &amp; "Points"),CLASSNAMEHEADERS,0))),(IF("07"=(INDEX(ALLCLASSDATA,MATCH("MartialMaster",CLASSFEATUREHEADERS,0),MATCH($A1339,CLASSNAMEHEADERS,0))),(INDEX(ALLCLASSDATA,MATCH("MartialMaster",CLASSFEATUREHEADERS,0),MATCH(($A1339 &amp; "Points"),CLASSNAMEHEADERS,0))),(IF("07"=(INDEX(ALLCLASSDATA,MATCH("MartialExpert",CLASSFEATUREHEADERS,0),MATCH($A1339,CLASSNAMEHEADERS,0))),(INDEX(ALLCLASSDATA,MATCH("MartialExpert",CLASSFEATUREHEADERS,0),MATCH(($A1339 &amp; "Points"),CLASSNAMEHEADERS,0))),(IF("07"=(INDEX(ALLCLASSDATA,MATCH("MartialTrained",CLASSFEATUREHEADERS,0),MATCH($A1339,CLASSNAMEHEADERS,0))),(INDEX(ALLCLASSDATA,MATCH("MartialTrained",CLASSFEATUREHEADERS,0),MATCH(($A1339 &amp; "Points"),CLASSNAMEHEADERS,0))),"")))))))))}</f>
        <v>MARTIALL07</v>
      </c>
      <c r="O1338" s="223"/>
      <c r="P1338" s="223" t="str">
        <f t="array" ref="P1338:P1339">{"MARTIALL09";((IF("09"=(INDEX(ALLCLASSDATA,MATCH("MartialLegendary",CLASSFEATUREHEADERS,0),MATCH($A1339,CLASSNAMEHEADERS,0))),(INDEX(ALLCLASSDATA,MATCH("MartialLegendary",CLASSFEATUREHEADERS,0),MATCH(($A1339 &amp; "Points"),CLASSNAMEHEADERS,0))),(IF("09"=(INDEX(ALLCLASSDATA,MATCH("MartialMaster",CLASSFEATUREHEADERS,0),MATCH($A1339,CLASSNAMEHEADERS,0))),(INDEX(ALLCLASSDATA,MATCH("MartialMaster",CLASSFEATUREHEADERS,0),MATCH(($A1339 &amp; "Points"),CLASSNAMEHEADERS,0))),(IF("09"=(INDEX(ALLCLASSDATA,MATCH("MartialExpert",CLASSFEATUREHEADERS,0),MATCH($A1339,CLASSNAMEHEADERS,0))),(INDEX(ALLCLASSDATA,MATCH("MartialExpert",CLASSFEATUREHEADERS,0),MATCH(($A1339 &amp; "Points"),CLASSNAMEHEADERS,0))),(IF("09"=(INDEX(ALLCLASSDATA,MATCH("MartialTrained",CLASSFEATUREHEADERS,0),MATCH($A1339,CLASSNAMEHEADERS,0))),(INDEX(ALLCLASSDATA,MATCH("MartialTrained",CLASSFEATUREHEADERS,0),MATCH(($A1339 &amp; "Points"),CLASSNAMEHEADERS,0))),"")))))))))}</f>
        <v>MARTIALL09</v>
      </c>
      <c r="Q1338" s="223"/>
      <c r="R1338" s="223" t="str">
        <f t="array" ref="R1338:R1339">{"MARTIALL11";((IF("11"=(INDEX(ALLCLASSDATA,MATCH("MartialLegendary",CLASSFEATUREHEADERS,0),MATCH($A1339,CLASSNAMEHEADERS,0))),(INDEX(ALLCLASSDATA,MATCH("MartialLegendary",CLASSFEATUREHEADERS,0),MATCH(($A1339 &amp; "Points"),CLASSNAMEHEADERS,0))),(IF("11"=(INDEX(ALLCLASSDATA,MATCH("MartialMaster",CLASSFEATUREHEADERS,0),MATCH($A1339,CLASSNAMEHEADERS,0))),(INDEX(ALLCLASSDATA,MATCH("MartialMaster",CLASSFEATUREHEADERS,0),MATCH(($A1339 &amp; "Points"),CLASSNAMEHEADERS,0))),(IF("11"=(INDEX(ALLCLASSDATA,MATCH("MartialExpert",CLASSFEATUREHEADERS,0),MATCH($A1339,CLASSNAMEHEADERS,0))),(INDEX(ALLCLASSDATA,MATCH("MartialExpert",CLASSFEATUREHEADERS,0),MATCH(($A1339 &amp; "Points"),CLASSNAMEHEADERS,0))),(IF("11"=(INDEX(ALLCLASSDATA,MATCH("MartialTrained",CLASSFEATUREHEADERS,0),MATCH($A1339,CLASSNAMEHEADERS,0))),(INDEX(ALLCLASSDATA,MATCH("MartialTrained",CLASSFEATUREHEADERS,0),MATCH(($A1339 &amp; "Points"),CLASSNAMEHEADERS,0))),"")))))))))}</f>
        <v>MARTIALL11</v>
      </c>
      <c r="S1338" s="223"/>
      <c r="T1338" s="223" t="str">
        <f t="array" ref="T1338:T1339">{"MARTIALL13";((IF("13"=(INDEX(ALLCLASSDATA,MATCH("MartialLegendary",CLASSFEATUREHEADERS,0),MATCH($A1339,CLASSNAMEHEADERS,0))),(INDEX(ALLCLASSDATA,MATCH("MartialLegendary",CLASSFEATUREHEADERS,0),MATCH(($A1339 &amp; "Points"),CLASSNAMEHEADERS,0))),(IF("13"=(INDEX(ALLCLASSDATA,MATCH("MartialMaster",CLASSFEATUREHEADERS,0),MATCH($A1339,CLASSNAMEHEADERS,0))),(INDEX(ALLCLASSDATA,MATCH("MartialMaster",CLASSFEATUREHEADERS,0),MATCH(($A1339 &amp; "Points"),CLASSNAMEHEADERS,0))),(IF("13"=(INDEX(ALLCLASSDATA,MATCH("MartialExpert",CLASSFEATUREHEADERS,0),MATCH($A1339,CLASSNAMEHEADERS,0))),(INDEX(ALLCLASSDATA,MATCH("MartialExpert",CLASSFEATUREHEADERS,0),MATCH(($A1339 &amp; "Points"),CLASSNAMEHEADERS,0))),(IF("13"=(INDEX(ALLCLASSDATA,MATCH("MartialTrained",CLASSFEATUREHEADERS,0),MATCH($A1339,CLASSNAMEHEADERS,0))),(INDEX(ALLCLASSDATA,MATCH("MartialTrained",CLASSFEATUREHEADERS,0),MATCH(($A1339 &amp; "Points"),CLASSNAMEHEADERS,0))),"")))))))))}</f>
        <v>MARTIALL13</v>
      </c>
      <c r="U1338" s="223"/>
      <c r="V1338" s="223" t="str">
        <f t="array" ref="V1338:V1339">{"MARTIALL15";((IF("15"=(INDEX(ALLCLASSDATA,MATCH("MartialLegendary",CLASSFEATUREHEADERS,0),MATCH($A1339,CLASSNAMEHEADERS,0))),(INDEX(ALLCLASSDATA,MATCH("MartialLegendary",CLASSFEATUREHEADERS,0),MATCH(($A1339 &amp; "Points"),CLASSNAMEHEADERS,0))),(IF("15"=(INDEX(ALLCLASSDATA,MATCH("MartialMaster",CLASSFEATUREHEADERS,0),MATCH($A1339,CLASSNAMEHEADERS,0))),(INDEX(ALLCLASSDATA,MATCH("MartialMaster",CLASSFEATUREHEADERS,0),MATCH(($A1339 &amp; "Points"),CLASSNAMEHEADERS,0))),(IF("15"=(INDEX(ALLCLASSDATA,MATCH("MartialExpert",CLASSFEATUREHEADERS,0),MATCH($A1339,CLASSNAMEHEADERS,0))),(INDEX(ALLCLASSDATA,MATCH("MartialExpert",CLASSFEATUREHEADERS,0),MATCH(($A1339 &amp; "Points"),CLASSNAMEHEADERS,0))),(IF("15"=(INDEX(ALLCLASSDATA,MATCH("MartialTrained",CLASSFEATUREHEADERS,0),MATCH($A1339,CLASSNAMEHEADERS,0))),(INDEX(ALLCLASSDATA,MATCH("MartialTrained",CLASSFEATUREHEADERS,0),MATCH(($A1339 &amp; "Points"),CLASSNAMEHEADERS,0))),"")))))))))}</f>
        <v>MARTIALL15</v>
      </c>
      <c r="W1338" s="223"/>
      <c r="X1338" s="223" t="str">
        <f t="array" ref="X1338:X1339">{"MARTIALL17";((IF("17"=(INDEX(ALLCLASSDATA,MATCH("MartialLegendary",CLASSFEATUREHEADERS,0),MATCH($A1339,CLASSNAMEHEADERS,0))),(INDEX(ALLCLASSDATA,MATCH("MartialLegendary",CLASSFEATUREHEADERS,0),MATCH(($A1339 &amp; "Points"),CLASSNAMEHEADERS,0))),(IF("17"=(INDEX(ALLCLASSDATA,MATCH("MartialMaster",CLASSFEATUREHEADERS,0),MATCH($A1339,CLASSNAMEHEADERS,0))),(INDEX(ALLCLASSDATA,MATCH("MartialMaster",CLASSFEATUREHEADERS,0),MATCH(($A1339 &amp; "Points"),CLASSNAMEHEADERS,0))),(IF("17"=(INDEX(ALLCLASSDATA,MATCH("MartialExpert",CLASSFEATUREHEADERS,0),MATCH($A1339,CLASSNAMEHEADERS,0))),(INDEX(ALLCLASSDATA,MATCH("MartialExpert",CLASSFEATUREHEADERS,0),MATCH(($A1339 &amp; "Points"),CLASSNAMEHEADERS,0))),(IF("17"=(INDEX(ALLCLASSDATA,MATCH("MartialTrained",CLASSFEATUREHEADERS,0),MATCH($A1339,CLASSNAMEHEADERS,0))),(INDEX(ALLCLASSDATA,MATCH("MartialTrained",CLASSFEATUREHEADERS,0),MATCH(($A1339 &amp; "Points"),CLASSNAMEHEADERS,0))),"")))))))))}</f>
        <v>MARTIALL17</v>
      </c>
      <c r="Y1338" s="223"/>
      <c r="Z1338" s="223" t="str">
        <f t="array" ref="Z1338:Z1339">{"MARTIALL19";((IF("19"=(INDEX(ALLCLASSDATA,MATCH("MartialLegendary",CLASSFEATUREHEADERS,0),MATCH($A1339,CLASSNAMEHEADERS,0))),(INDEX(ALLCLASSDATA,MATCH("MartialLegendary",CLASSFEATUREHEADERS,0),MATCH(($A1339 &amp; "Points"),CLASSNAMEHEADERS,0))),(IF("19"=(INDEX(ALLCLASSDATA,MATCH("MartialMaster",CLASSFEATUREHEADERS,0),MATCH($A1339,CLASSNAMEHEADERS,0))),(INDEX(ALLCLASSDATA,MATCH("MartialMaster",CLASSFEATUREHEADERS,0),MATCH(($A1339 &amp; "Points"),CLASSNAMEHEADERS,0))),(IF("19"=(INDEX(ALLCLASSDATA,MATCH("MartialExpert",CLASSFEATUREHEADERS,0),MATCH($A1339,CLASSNAMEHEADERS,0))),(INDEX(ALLCLASSDATA,MATCH("MartialExpert",CLASSFEATUREHEADERS,0),MATCH(($A1339 &amp; "Points"),CLASSNAMEHEADERS,0))),(IF("19"=(INDEX(ALLCLASSDATA,MATCH("MartialTrained",CLASSFEATUREHEADERS,0),MATCH($A1339,CLASSNAMEHEADERS,0))),(INDEX(ALLCLASSDATA,MATCH("MartialTrained",CLASSFEATUREHEADERS,0),MATCH(($A1339 &amp; "Points"),CLASSNAMEHEADERS,0))),"")))))))))}</f>
        <v>MARTIALL19</v>
      </c>
      <c r="AA1338" s="223"/>
      <c r="AB1338" s="76" t="str">
        <f t="array" ref="AB1338:AB1339">{"MARTIAL TOTAL";(IF(COUNTBLANK(G1339:AA1339)=17,"L",(IF(COUNTBLANK(G1339:AA1339)=18,"M",(IF(COUNTBLANK(G1339:AA1339)=19,"E",(IF(COUNTBLANK(G1339:AA1339)=20,"T",""))))))))}</f>
        <v>MARTIAL TOTAL</v>
      </c>
      <c r="AC1338" s="76" t="str">
        <f t="array" ref="AC1338:AC1339">{"MARTIAL TOTAL";(sum(G1339:AA1339))}</f>
        <v>MARTIAL TOTAL</v>
      </c>
    </row>
    <row r="1339">
      <c r="A1339" s="48" t="s">
        <v>211</v>
      </c>
      <c r="B1339" s="48"/>
      <c r="C1339" s="48" t="s">
        <v>417</v>
      </c>
      <c r="D1339" s="48" t="s">
        <v>1634</v>
      </c>
      <c r="E1339" s="48" t="s">
        <v>6</v>
      </c>
      <c r="F1339" s="5" t="s">
        <v>603</v>
      </c>
      <c r="G1339" s="47" t="s">
        <v>603</v>
      </c>
      <c r="H1339" s="5" t="s">
        <v>603</v>
      </c>
      <c r="I1339" s="5"/>
      <c r="J1339" s="5">
        <v>10.0</v>
      </c>
      <c r="K1339" s="5"/>
      <c r="L1339" s="5" t="s">
        <v>603</v>
      </c>
      <c r="M1339" s="5"/>
      <c r="N1339" s="5" t="s">
        <v>603</v>
      </c>
      <c r="O1339" s="5"/>
      <c r="P1339" s="5" t="s">
        <v>603</v>
      </c>
      <c r="Q1339" s="48"/>
      <c r="R1339" s="5" t="s">
        <v>603</v>
      </c>
      <c r="S1339" s="5"/>
      <c r="T1339" s="5" t="s">
        <v>603</v>
      </c>
      <c r="U1339" s="5"/>
      <c r="V1339" s="5" t="s">
        <v>603</v>
      </c>
      <c r="W1339" s="5"/>
      <c r="X1339" s="5" t="s">
        <v>603</v>
      </c>
      <c r="Y1339" s="5"/>
      <c r="Z1339" s="5" t="s">
        <v>603</v>
      </c>
      <c r="AA1339" s="5"/>
      <c r="AB1339" s="5" t="s">
        <v>435</v>
      </c>
      <c r="AC1339" s="47">
        <v>10.0</v>
      </c>
    </row>
    <row r="1340" hidden="1">
      <c r="A1340" s="222" t="str">
        <f t="array" ref="A1340:A1341">{"FormulaRow32";(INDEX(CLASSLIST,A1277,1))}</f>
        <v>FormulaRow32</v>
      </c>
      <c r="B1340" s="77" t="s">
        <v>236</v>
      </c>
      <c r="C1340" s="222" t="str">
        <f t="array" ref="C1340:C1341">{"CLASSTYPE";((INDEX(ALLCLASSDATA,MATCH("ClassType",CLASSFEATUREHEADERS,0),MATCH($A1341,CLASSNAMEHEADERS,0))))}</f>
        <v>CLASSTYPE</v>
      </c>
      <c r="D1340" s="222" t="str">
        <f t="array" ref="D1340:D1341">{"ATTACK";"Attack"}</f>
        <v>ATTACK</v>
      </c>
      <c r="E1340" s="222" t="str">
        <f t="array" ref="E1340:E1341">{"ADVANCEDGROUP";"AdvancedGroup"}</f>
        <v>ADVANCEDGROUP</v>
      </c>
      <c r="F1340" s="223" t="str">
        <f t="array" ref="F1340:F1341">{"ADVANCEDGROUPINITIAL";((IF(H1341=10,"T",(IF(H1341=50,"E","")))))}</f>
        <v>ADVANCEDGROUPINITIAL</v>
      </c>
      <c r="G1340" s="223" t="str">
        <f t="array" ref="G1340:G1341">{"ADVANCEDGROUPINITIALPTS";((IF("00"=(INDEX(ALLCLASSDATA,MATCH("AdvancedGroupLegendary",CLASSFEATUREHEADERS,0),MATCH($A1341,CLASSNAMEHEADERS,0))),(INDEX(ALLCLASSDATA,MATCH("AdvancedGroupLegendary",CLASSFEATUREHEADERS,0),MATCH(($A1341 &amp; "Points"),CLASSNAMEHEADERS,0))),(IF("00"=(INDEX(ALLCLASSDATA,MATCH("AdvancedGroupMaster",CLASSFEATUREHEADERS,0),MATCH($A1341,CLASSNAMEHEADERS,0))),(INDEX(ALLCLASSDATA,MATCH("AdvancedGroupMaster",CLASSFEATUREHEADERS,0),MATCH(($A1341 &amp; "Points"),CLASSNAMEHEADERS,0))),(IF("00"=(INDEX(ALLCLASSDATA,MATCH("AdvancedGroupExpert",CLASSFEATUREHEADERS,0),MATCH($A1341,CLASSNAMEHEADERS,0))),(INDEX(ALLCLASSDATA,MATCH("AdvancedGroupExpert",CLASSFEATUREHEADERS,0),MATCH(($A1341 &amp; "Points"),CLASSNAMEHEADERS,0))),(IF("00"=(INDEX(ALLCLASSDATA,MATCH("AdvancedGroupTrained",CLASSFEATUREHEADERS,0),MATCH($A1341,CLASSNAMEHEADERS,0))),(INDEX(ALLCLASSDATA,MATCH("AdvancedGroupTrained",CLASSFEATUREHEADERS,0),MATCH(($A1341 &amp; "Points"),CLASSNAMEHEADERS,0))),"")))))))))}</f>
        <v>ADVANCEDGROUPINITIALPTS</v>
      </c>
      <c r="H1340" s="223" t="str">
        <f t="array" ref="H1340:H1341">{"ADVANCEDGROUPL01";((IF("01"=(INDEX(ALLCLASSDATA,MATCH("AdvancedGroupLegendary",CLASSFEATUREHEADERS,0),MATCH($A1341,CLASSNAMEHEADERS,0))),(INDEX(ALLCLASSDATA,MATCH("AdvancedGroupLegendary",CLASSFEATUREHEADERS,0),MATCH(($A1341 &amp; "Points"),CLASSNAMEHEADERS,0))),(IF("01"=(INDEX(ALLCLASSDATA,MATCH("AdvancedGroupMaster",CLASSFEATUREHEADERS,0),MATCH($A1341,CLASSNAMEHEADERS,0))),(INDEX(ALLCLASSDATA,MATCH("AdvancedGroupMaster",CLASSFEATUREHEADERS,0),MATCH(($A1341 &amp; "Points"),CLASSNAMEHEADERS,0))),(IF("01"=(INDEX(ALLCLASSDATA,MATCH("AdvancedGroupExpert",CLASSFEATUREHEADERS,0),MATCH($A1341,CLASSNAMEHEADERS,0))),(INDEX(ALLCLASSDATA,MATCH("AdvancedGroupExpert",CLASSFEATUREHEADERS,0),MATCH(($A1341 &amp; "Points"),CLASSNAMEHEADERS,0))),(IF("01"=(INDEX(ALLCLASSDATA,MATCH("AdvancedGroupTrained",CLASSFEATUREHEADERS,0),MATCH($A1341,CLASSNAMEHEADERS,0))),(INDEX(ALLCLASSDATA,MATCH("AdvancedGroupTrained",CLASSFEATUREHEADERS,0),MATCH(($A1341 &amp; "Points"),CLASSNAMEHEADERS,0))),"")))))))))}</f>
        <v>ADVANCEDGROUPL01</v>
      </c>
      <c r="I1340" s="223"/>
      <c r="J1340" s="223" t="str">
        <f t="array" ref="J1340:J1341">{"ADVANCEDGROUPL03";((IF("03"=(INDEX(ALLCLASSDATA,MATCH("AdvancedGroupLegendary",CLASSFEATUREHEADERS,0),MATCH($A1341,CLASSNAMEHEADERS,0))),(INDEX(ALLCLASSDATA,MATCH("AdvancedGroupLegendary",CLASSFEATUREHEADERS,0),MATCH(($A1341 &amp; "Points"),CLASSNAMEHEADERS,0))),(IF("03"=(INDEX(ALLCLASSDATA,MATCH("AdvancedGroupMaster",CLASSFEATUREHEADERS,0),MATCH($A1341,CLASSNAMEHEADERS,0))),(INDEX(ALLCLASSDATA,MATCH("AdvancedGroupMaster",CLASSFEATUREHEADERS,0),MATCH(($A1341 &amp; "Points"),CLASSNAMEHEADERS,0))),(IF("03"=(INDEX(ALLCLASSDATA,MATCH("AdvancedGroupExpert",CLASSFEATUREHEADERS,0),MATCH($A1341,CLASSNAMEHEADERS,0))),(INDEX(ALLCLASSDATA,MATCH("AdvancedGroupExpert",CLASSFEATUREHEADERS,0),MATCH(($A1341 &amp; "Points"),CLASSNAMEHEADERS,0))),(IF("03"=(INDEX(ALLCLASSDATA,MATCH("AdvancedGroupTrained",CLASSFEATUREHEADERS,0),MATCH($A1341,CLASSNAMEHEADERS,0))),(INDEX(ALLCLASSDATA,MATCH("AdvancedGroupTrained",CLASSFEATUREHEADERS,0),MATCH(($A1341 &amp; "Points"),CLASSNAMEHEADERS,0))),"")))))))))}</f>
        <v>ADVANCEDGROUPL03</v>
      </c>
      <c r="K1340" s="223"/>
      <c r="L1340" s="223" t="str">
        <f t="array" ref="L1340:L1341">{"ADVANCEDGROUPL05";((IF("05"=(INDEX(ALLCLASSDATA,MATCH("AdvancedGroupLegendary",CLASSFEATUREHEADERS,0),MATCH($A1341,CLASSNAMEHEADERS,0))),(INDEX(ALLCLASSDATA,MATCH("AdvancedGroupLegendary",CLASSFEATUREHEADERS,0),MATCH(($A1341 &amp; "Points"),CLASSNAMEHEADERS,0))),(IF("05"=(INDEX(ALLCLASSDATA,MATCH("AdvancedGroupMaster",CLASSFEATUREHEADERS,0),MATCH($A1341,CLASSNAMEHEADERS,0))),(INDEX(ALLCLASSDATA,MATCH("AdvancedGroupMaster",CLASSFEATUREHEADERS,0),MATCH(($A1341 &amp; "Points"),CLASSNAMEHEADERS,0))),(IF("05"=(INDEX(ALLCLASSDATA,MATCH("AdvancedGroupExpert",CLASSFEATUREHEADERS,0),MATCH($A1341,CLASSNAMEHEADERS,0))),(INDEX(ALLCLASSDATA,MATCH("AdvancedGroupExpert",CLASSFEATUREHEADERS,0),MATCH(($A1341 &amp; "Points"),CLASSNAMEHEADERS,0))),(IF("05"=(INDEX(ALLCLASSDATA,MATCH("AdvancedGroupTrained",CLASSFEATUREHEADERS,0),MATCH($A1341,CLASSNAMEHEADERS,0))),(INDEX(ALLCLASSDATA,MATCH("AdvancedGroupTrained",CLASSFEATUREHEADERS,0),MATCH(($A1341 &amp; "Points"),CLASSNAMEHEADERS,0))),"")))))))))}</f>
        <v>ADVANCEDGROUPL05</v>
      </c>
      <c r="M1340" s="223"/>
      <c r="N1340" s="223" t="str">
        <f t="array" ref="N1340:N1341">{"ADVANCEDGROUPL07";((IF("07"=(INDEX(ALLCLASSDATA,MATCH("AdvancedGroupLegendary",CLASSFEATUREHEADERS,0),MATCH($A1341,CLASSNAMEHEADERS,0))),(INDEX(ALLCLASSDATA,MATCH("AdvancedGroupLegendary",CLASSFEATUREHEADERS,0),MATCH(($A1341 &amp; "Points"),CLASSNAMEHEADERS,0))),(IF("07"=(INDEX(ALLCLASSDATA,MATCH("AdvancedGroupMaster",CLASSFEATUREHEADERS,0),MATCH($A1341,CLASSNAMEHEADERS,0))),(INDEX(ALLCLASSDATA,MATCH("AdvancedGroupMaster",CLASSFEATUREHEADERS,0),MATCH(($A1341 &amp; "Points"),CLASSNAMEHEADERS,0))),(IF("07"=(INDEX(ALLCLASSDATA,MATCH("AdvancedGroupExpert",CLASSFEATUREHEADERS,0),MATCH($A1341,CLASSNAMEHEADERS,0))),(INDEX(ALLCLASSDATA,MATCH("AdvancedGroupExpert",CLASSFEATUREHEADERS,0),MATCH(($A1341 &amp; "Points"),CLASSNAMEHEADERS,0))),(IF("07"=(INDEX(ALLCLASSDATA,MATCH("AdvancedGroupTrained",CLASSFEATUREHEADERS,0),MATCH($A1341,CLASSNAMEHEADERS,0))),(INDEX(ALLCLASSDATA,MATCH("AdvancedGroupTrained",CLASSFEATUREHEADERS,0),MATCH(($A1341 &amp; "Points"),CLASSNAMEHEADERS,0))),"")))))))))}</f>
        <v>ADVANCEDGROUPL07</v>
      </c>
      <c r="O1340" s="223"/>
      <c r="P1340" s="223" t="str">
        <f t="array" ref="P1340:P1341">{"ADVANCEDGROUPL09";((IF("09"=(INDEX(ALLCLASSDATA,MATCH("AdvancedGroupLegendary",CLASSFEATUREHEADERS,0),MATCH($A1341,CLASSNAMEHEADERS,0))),(INDEX(ALLCLASSDATA,MATCH("AdvancedGroupLegendary",CLASSFEATUREHEADERS,0),MATCH(($A1341 &amp; "Points"),CLASSNAMEHEADERS,0))),(IF("09"=(INDEX(ALLCLASSDATA,MATCH("AdvancedGroupMaster",CLASSFEATUREHEADERS,0),MATCH($A1341,CLASSNAMEHEADERS,0))),(INDEX(ALLCLASSDATA,MATCH("AdvancedGroupMaster",CLASSFEATUREHEADERS,0),MATCH(($A1341 &amp; "Points"),CLASSNAMEHEADERS,0))),(IF("09"=(INDEX(ALLCLASSDATA,MATCH("AdvancedGroupExpert",CLASSFEATUREHEADERS,0),MATCH($A1341,CLASSNAMEHEADERS,0))),(INDEX(ALLCLASSDATA,MATCH("AdvancedGroupExpert",CLASSFEATUREHEADERS,0),MATCH(($A1341 &amp; "Points"),CLASSNAMEHEADERS,0))),(IF("09"=(INDEX(ALLCLASSDATA,MATCH("AdvancedGroupTrained",CLASSFEATUREHEADERS,0),MATCH($A1341,CLASSNAMEHEADERS,0))),(INDEX(ALLCLASSDATA,MATCH("AdvancedGroupTrained",CLASSFEATUREHEADERS,0),MATCH(($A1341 &amp; "Points"),CLASSNAMEHEADERS,0))),"")))))))))}</f>
        <v>ADVANCEDGROUPL09</v>
      </c>
      <c r="Q1340" s="223"/>
      <c r="R1340" s="223" t="str">
        <f t="array" ref="R1340:R1341">{"ADVANCEDGROUPL11";((IF("11"=(INDEX(ALLCLASSDATA,MATCH("AdvancedGroupLegendary",CLASSFEATUREHEADERS,0),MATCH($A1341,CLASSNAMEHEADERS,0))),(INDEX(ALLCLASSDATA,MATCH("AdvancedGroupLegendary",CLASSFEATUREHEADERS,0),MATCH(($A1341 &amp; "Points"),CLASSNAMEHEADERS,0))),(IF("11"=(INDEX(ALLCLASSDATA,MATCH("AdvancedGroupMaster",CLASSFEATUREHEADERS,0),MATCH($A1341,CLASSNAMEHEADERS,0))),(INDEX(ALLCLASSDATA,MATCH("AdvancedGroupMaster",CLASSFEATUREHEADERS,0),MATCH(($A1341 &amp; "Points"),CLASSNAMEHEADERS,0))),(IF("11"=(INDEX(ALLCLASSDATA,MATCH("AdvancedGroupExpert",CLASSFEATUREHEADERS,0),MATCH($A1341,CLASSNAMEHEADERS,0))),(INDEX(ALLCLASSDATA,MATCH("AdvancedGroupExpert",CLASSFEATUREHEADERS,0),MATCH(($A1341 &amp; "Points"),CLASSNAMEHEADERS,0))),(IF("11"=(INDEX(ALLCLASSDATA,MATCH("AdvancedGroupTrained",CLASSFEATUREHEADERS,0),MATCH($A1341,CLASSNAMEHEADERS,0))),(INDEX(ALLCLASSDATA,MATCH("AdvancedGroupTrained",CLASSFEATUREHEADERS,0),MATCH(($A1341 &amp; "Points"),CLASSNAMEHEADERS,0))),"")))))))))}</f>
        <v>ADVANCEDGROUPL11</v>
      </c>
      <c r="S1340" s="223"/>
      <c r="T1340" s="223" t="str">
        <f t="array" ref="T1340:T1341">{"ADVANCEDGROUPL13";((IF("13"=(INDEX(ALLCLASSDATA,MATCH("AdvancedGroupLegendary",CLASSFEATUREHEADERS,0),MATCH($A1341,CLASSNAMEHEADERS,0))),(INDEX(ALLCLASSDATA,MATCH("AdvancedGroupLegendary",CLASSFEATUREHEADERS,0),MATCH(($A1341 &amp; "Points"),CLASSNAMEHEADERS,0))),(IF("13"=(INDEX(ALLCLASSDATA,MATCH("AdvancedGroupMaster",CLASSFEATUREHEADERS,0),MATCH($A1341,CLASSNAMEHEADERS,0))),(INDEX(ALLCLASSDATA,MATCH("AdvancedGroupMaster",CLASSFEATUREHEADERS,0),MATCH(($A1341 &amp; "Points"),CLASSNAMEHEADERS,0))),(IF("13"=(INDEX(ALLCLASSDATA,MATCH("AdvancedGroupExpert",CLASSFEATUREHEADERS,0),MATCH($A1341,CLASSNAMEHEADERS,0))),(INDEX(ALLCLASSDATA,MATCH("AdvancedGroupExpert",CLASSFEATUREHEADERS,0),MATCH(($A1341 &amp; "Points"),CLASSNAMEHEADERS,0))),(IF("13"=(INDEX(ALLCLASSDATA,MATCH("AdvancedGroupTrained",CLASSFEATUREHEADERS,0),MATCH($A1341,CLASSNAMEHEADERS,0))),(INDEX(ALLCLASSDATA,MATCH("AdvancedGroupTrained",CLASSFEATUREHEADERS,0),MATCH(($A1341 &amp; "Points"),CLASSNAMEHEADERS,0))),"")))))))))}</f>
        <v>ADVANCEDGROUPL13</v>
      </c>
      <c r="U1340" s="223"/>
      <c r="V1340" s="223" t="str">
        <f t="array" ref="V1340:V1341">{"ADVANCEDGROUPL15";((IF("15"=(INDEX(ALLCLASSDATA,MATCH("AdvancedGroupLegendary",CLASSFEATUREHEADERS,0),MATCH($A1341,CLASSNAMEHEADERS,0))),(INDEX(ALLCLASSDATA,MATCH("AdvancedGroupLegendary",CLASSFEATUREHEADERS,0),MATCH(($A1341 &amp; "Points"),CLASSNAMEHEADERS,0))),(IF("15"=(INDEX(ALLCLASSDATA,MATCH("AdvancedGroupMaster",CLASSFEATUREHEADERS,0),MATCH($A1341,CLASSNAMEHEADERS,0))),(INDEX(ALLCLASSDATA,MATCH("AdvancedGroupMaster",CLASSFEATUREHEADERS,0),MATCH(($A1341 &amp; "Points"),CLASSNAMEHEADERS,0))),(IF("15"=(INDEX(ALLCLASSDATA,MATCH("AdvancedGroupExpert",CLASSFEATUREHEADERS,0),MATCH($A1341,CLASSNAMEHEADERS,0))),(INDEX(ALLCLASSDATA,MATCH("AdvancedGroupExpert",CLASSFEATUREHEADERS,0),MATCH(($A1341 &amp; "Points"),CLASSNAMEHEADERS,0))),(IF("15"=(INDEX(ALLCLASSDATA,MATCH("AdvancedGroupTrained",CLASSFEATUREHEADERS,0),MATCH($A1341,CLASSNAMEHEADERS,0))),(INDEX(ALLCLASSDATA,MATCH("AdvancedGroupTrained",CLASSFEATUREHEADERS,0),MATCH(($A1341 &amp; "Points"),CLASSNAMEHEADERS,0))),"")))))))))}</f>
        <v>ADVANCEDGROUPL15</v>
      </c>
      <c r="W1340" s="223"/>
      <c r="X1340" s="223" t="str">
        <f t="array" ref="X1340:X1341">{"ADVANCEDGROUPL17";((IF("17"=(INDEX(ALLCLASSDATA,MATCH("AdvancedGroupLegendary",CLASSFEATUREHEADERS,0),MATCH($A1341,CLASSNAMEHEADERS,0))),(INDEX(ALLCLASSDATA,MATCH("AdvancedGroupLegendary",CLASSFEATUREHEADERS,0),MATCH(($A1341 &amp; "Points"),CLASSNAMEHEADERS,0))),(IF("17"=(INDEX(ALLCLASSDATA,MATCH("AdvancedGroupMaster",CLASSFEATUREHEADERS,0),MATCH($A1341,CLASSNAMEHEADERS,0))),(INDEX(ALLCLASSDATA,MATCH("AdvancedGroupMaster",CLASSFEATUREHEADERS,0),MATCH(($A1341 &amp; "Points"),CLASSNAMEHEADERS,0))),(IF("17"=(INDEX(ALLCLASSDATA,MATCH("AdvancedGroupExpert",CLASSFEATUREHEADERS,0),MATCH($A1341,CLASSNAMEHEADERS,0))),(INDEX(ALLCLASSDATA,MATCH("AdvancedGroupExpert",CLASSFEATUREHEADERS,0),MATCH(($A1341 &amp; "Points"),CLASSNAMEHEADERS,0))),(IF("17"=(INDEX(ALLCLASSDATA,MATCH("AdvancedGroupTrained",CLASSFEATUREHEADERS,0),MATCH($A1341,CLASSNAMEHEADERS,0))),(INDEX(ALLCLASSDATA,MATCH("AdvancedGroupTrained",CLASSFEATUREHEADERS,0),MATCH(($A1341 &amp; "Points"),CLASSNAMEHEADERS,0))),"")))))))))}</f>
        <v>ADVANCEDGROUPL17</v>
      </c>
      <c r="Y1340" s="223"/>
      <c r="Z1340" s="223" t="str">
        <f t="array" ref="Z1340:Z1341">{"ADVANCEDGROUPL19";((IF("19"=(INDEX(ALLCLASSDATA,MATCH("AdvancedGroupLegendary",CLASSFEATUREHEADERS,0),MATCH($A1341,CLASSNAMEHEADERS,0))),(INDEX(ALLCLASSDATA,MATCH("AdvancedGroupLegendary",CLASSFEATUREHEADERS,0),MATCH(($A1341 &amp; "Points"),CLASSNAMEHEADERS,0))),(IF("19"=(INDEX(ALLCLASSDATA,MATCH("AdvancedGroupMaster",CLASSFEATUREHEADERS,0),MATCH($A1341,CLASSNAMEHEADERS,0))),(INDEX(ALLCLASSDATA,MATCH("AdvancedGroupMaster",CLASSFEATUREHEADERS,0),MATCH(($A1341 &amp; "Points"),CLASSNAMEHEADERS,0))),(IF("19"=(INDEX(ALLCLASSDATA,MATCH("AdvancedGroupExpert",CLASSFEATUREHEADERS,0),MATCH($A1341,CLASSNAMEHEADERS,0))),(INDEX(ALLCLASSDATA,MATCH("AdvancedGroupExpert",CLASSFEATUREHEADERS,0),MATCH(($A1341 &amp; "Points"),CLASSNAMEHEADERS,0))),(IF("19"=(INDEX(ALLCLASSDATA,MATCH("AdvancedGroupTrained",CLASSFEATUREHEADERS,0),MATCH($A1341,CLASSNAMEHEADERS,0))),(INDEX(ALLCLASSDATA,MATCH("AdvancedGroupTrained",CLASSFEATUREHEADERS,0),MATCH(($A1341 &amp; "Points"),CLASSNAMEHEADERS,0))),"")))))))))}</f>
        <v>ADVANCEDGROUPL19</v>
      </c>
      <c r="AA1340" s="223"/>
      <c r="AB1340" s="76" t="str">
        <f t="array" ref="AB1340:AB1341">{"ADVANCEDGROUP TOTAL";(IF(COUNTBLANK(G1341:AA1341)=17,"L",(IF(COUNTBLANK(G1341:AA1341)=18,"M",(IF(COUNTBLANK(G1341:AA1341)=19,"E",(IF(COUNTBLANK(G1341:AA1341)=20,"T",""))))))))}</f>
        <v>ADVANCEDGROUP TOTAL</v>
      </c>
      <c r="AC1340" s="76" t="str">
        <f t="array" ref="AC1340:AC1341">{"ADVANCEDGROUP TOTAL";(sum(G1341:AA1341))}</f>
        <v>ADVANCEDGROUP TOTAL</v>
      </c>
    </row>
    <row r="1341">
      <c r="A1341" s="48" t="s">
        <v>211</v>
      </c>
      <c r="B1341" s="48"/>
      <c r="C1341" s="48" t="s">
        <v>417</v>
      </c>
      <c r="D1341" s="48" t="s">
        <v>1634</v>
      </c>
      <c r="E1341" s="48" t="s">
        <v>601</v>
      </c>
      <c r="F1341" s="5" t="s">
        <v>603</v>
      </c>
      <c r="G1341" s="47" t="s">
        <v>603</v>
      </c>
      <c r="H1341" s="5" t="s">
        <v>603</v>
      </c>
      <c r="I1341" s="5"/>
      <c r="J1341" s="5" t="s">
        <v>603</v>
      </c>
      <c r="K1341" s="5"/>
      <c r="L1341" s="5" t="s">
        <v>603</v>
      </c>
      <c r="M1341" s="5"/>
      <c r="N1341" s="5" t="s">
        <v>603</v>
      </c>
      <c r="O1341" s="5"/>
      <c r="P1341" s="5" t="s">
        <v>603</v>
      </c>
      <c r="Q1341" s="5"/>
      <c r="R1341" s="5" t="s">
        <v>603</v>
      </c>
      <c r="S1341" s="5"/>
      <c r="T1341" s="5" t="s">
        <v>603</v>
      </c>
      <c r="U1341" s="5"/>
      <c r="V1341" s="5" t="s">
        <v>603</v>
      </c>
      <c r="W1341" s="5"/>
      <c r="X1341" s="5" t="s">
        <v>603</v>
      </c>
      <c r="Y1341" s="5"/>
      <c r="Z1341" s="5" t="s">
        <v>603</v>
      </c>
      <c r="AA1341" s="5"/>
      <c r="AB1341" s="5" t="s">
        <v>603</v>
      </c>
      <c r="AC1341" s="47">
        <v>0.0</v>
      </c>
    </row>
    <row r="1342" hidden="1">
      <c r="A1342" s="222" t="str">
        <f t="array" ref="A1342:A1343">{"FormulaRow33";(INDEX(CLASSLIST,A1277,1))}</f>
        <v>FormulaRow33</v>
      </c>
      <c r="B1342" s="77" t="s">
        <v>236</v>
      </c>
      <c r="C1342" s="222" t="str">
        <f t="array" ref="C1342:C1343">{"CLASSTYPE";((INDEX(ALLCLASSDATA,MATCH("ClassType",CLASSFEATUREHEADERS,0),MATCH($A1343,CLASSNAMEHEADERS,0))))}</f>
        <v>CLASSTYPE</v>
      </c>
      <c r="D1342" s="222" t="str">
        <f t="array" ref="D1342:D1343">{"ATTACK";"Attack"}</f>
        <v>ATTACK</v>
      </c>
      <c r="E1342" s="222" t="str">
        <f t="array" ref="E1342:E1343">{"ADVANCED";"Advanced"}</f>
        <v>ADVANCED</v>
      </c>
      <c r="F1342" s="223" t="str">
        <f t="array" ref="F1342:F1343">{"ADVANCEDINITIAL";((IF(H1343=10,"T",(IF(H1343=50,"E","")))))}</f>
        <v>ADVANCEDINITIAL</v>
      </c>
      <c r="G1342" s="223" t="str">
        <f t="array" ref="G1342:G1343">{"ADVANCEDINITIALPTS";((IF("00"=(INDEX(ALLCLASSDATA,MATCH("AdvancedLegendary",CLASSFEATUREHEADERS,0),MATCH($A1343,CLASSNAMEHEADERS,0))),(INDEX(ALLCLASSDATA,MATCH("AdvancedLegendary",CLASSFEATUREHEADERS,0),MATCH(($A1343 &amp; "Points"),CLASSNAMEHEADERS,0))),(IF("00"=(INDEX(ALLCLASSDATA,MATCH("AdvancedMaster",CLASSFEATUREHEADERS,0),MATCH($A1343,CLASSNAMEHEADERS,0))),(INDEX(ALLCLASSDATA,MATCH("AdvancedMaster",CLASSFEATUREHEADERS,0),MATCH(($A1343 &amp; "Points"),CLASSNAMEHEADERS,0))),(IF("00"=(INDEX(ALLCLASSDATA,MATCH("AdvancedExpert",CLASSFEATUREHEADERS,0),MATCH($A1343,CLASSNAMEHEADERS,0))),(INDEX(ALLCLASSDATA,MATCH("AdvancedExpert",CLASSFEATUREHEADERS,0),MATCH(($A1343 &amp; "Points"),CLASSNAMEHEADERS,0))),(IF("00"=(INDEX(ALLCLASSDATA,MATCH("AdvancedTrained",CLASSFEATUREHEADERS,0),MATCH($A1343,CLASSNAMEHEADERS,0))),(INDEX(ALLCLASSDATA,MATCH("AdvancedTrained",CLASSFEATUREHEADERS,0),MATCH(($A1343 &amp; "Points"),CLASSNAMEHEADERS,0))),"")))))))))}</f>
        <v>ADVANCEDINITIALPTS</v>
      </c>
      <c r="H1342" s="223" t="str">
        <f t="array" ref="H1342:H1343">{"ADVANCEDL01";((IF("01"=(INDEX(ALLCLASSDATA,MATCH("AdvancedLegendary",CLASSFEATUREHEADERS,0),MATCH($A1343,CLASSNAMEHEADERS,0))),(INDEX(ALLCLASSDATA,MATCH("AdvancedLegendary",CLASSFEATUREHEADERS,0),MATCH(($A1343 &amp; "Points"),CLASSNAMEHEADERS,0))),(IF("01"=(INDEX(ALLCLASSDATA,MATCH("AdvancedMaster",CLASSFEATUREHEADERS,0),MATCH($A1343,CLASSNAMEHEADERS,0))),(INDEX(ALLCLASSDATA,MATCH("AdvancedMaster",CLASSFEATUREHEADERS,0),MATCH(($A1343 &amp; "Points"),CLASSNAMEHEADERS,0))),(IF("01"=(INDEX(ALLCLASSDATA,MATCH("AdvancedExpert",CLASSFEATUREHEADERS,0),MATCH($A1343,CLASSNAMEHEADERS,0))),(INDEX(ALLCLASSDATA,MATCH("AdvancedExpert",CLASSFEATUREHEADERS,0),MATCH(($A1343 &amp; "Points"),CLASSNAMEHEADERS,0))),(IF("01"=(INDEX(ALLCLASSDATA,MATCH("AdvancedTrained",CLASSFEATUREHEADERS,0),MATCH($A1343,CLASSNAMEHEADERS,0))),(INDEX(ALLCLASSDATA,MATCH("AdvancedTrained",CLASSFEATUREHEADERS,0),MATCH(($A1343 &amp; "Points"),CLASSNAMEHEADERS,0))),"")))))))))}</f>
        <v>ADVANCEDL01</v>
      </c>
      <c r="I1342" s="223"/>
      <c r="J1342" s="223" t="str">
        <f t="array" ref="J1342:J1343">{"ADVANCEDL03";((IF("03"=(INDEX(ALLCLASSDATA,MATCH("AdvancedLegendary",CLASSFEATUREHEADERS,0),MATCH($A1343,CLASSNAMEHEADERS,0))),(INDEX(ALLCLASSDATA,MATCH("AdvancedLegendary",CLASSFEATUREHEADERS,0),MATCH(($A1343 &amp; "Points"),CLASSNAMEHEADERS,0))),(IF("03"=(INDEX(ALLCLASSDATA,MATCH("AdvancedMaster",CLASSFEATUREHEADERS,0),MATCH($A1343,CLASSNAMEHEADERS,0))),(INDEX(ALLCLASSDATA,MATCH("AdvancedMaster",CLASSFEATUREHEADERS,0),MATCH(($A1343 &amp; "Points"),CLASSNAMEHEADERS,0))),(IF("03"=(INDEX(ALLCLASSDATA,MATCH("AdvancedExpert",CLASSFEATUREHEADERS,0),MATCH($A1343,CLASSNAMEHEADERS,0))),(INDEX(ALLCLASSDATA,MATCH("AdvancedExpert",CLASSFEATUREHEADERS,0),MATCH(($A1343 &amp; "Points"),CLASSNAMEHEADERS,0))),(IF("03"=(INDEX(ALLCLASSDATA,MATCH("AdvancedTrained",CLASSFEATUREHEADERS,0),MATCH($A1343,CLASSNAMEHEADERS,0))),(INDEX(ALLCLASSDATA,MATCH("AdvancedTrained",CLASSFEATUREHEADERS,0),MATCH(($A1343 &amp; "Points"),CLASSNAMEHEADERS,0))),"")))))))))}</f>
        <v>ADVANCEDL03</v>
      </c>
      <c r="K1342" s="223"/>
      <c r="L1342" s="223" t="str">
        <f t="array" ref="L1342:L1343">{"ADVANCEDL05";((IF("05"=(INDEX(ALLCLASSDATA,MATCH("AdvancedLegendary",CLASSFEATUREHEADERS,0),MATCH($A1343,CLASSNAMEHEADERS,0))),(INDEX(ALLCLASSDATA,MATCH("AdvancedLegendary",CLASSFEATUREHEADERS,0),MATCH(($A1343 &amp; "Points"),CLASSNAMEHEADERS,0))),(IF("05"=(INDEX(ALLCLASSDATA,MATCH("AdvancedMaster",CLASSFEATUREHEADERS,0),MATCH($A1343,CLASSNAMEHEADERS,0))),(INDEX(ALLCLASSDATA,MATCH("AdvancedMaster",CLASSFEATUREHEADERS,0),MATCH(($A1343 &amp; "Points"),CLASSNAMEHEADERS,0))),(IF("05"=(INDEX(ALLCLASSDATA,MATCH("AdvancedExpert",CLASSFEATUREHEADERS,0),MATCH($A1343,CLASSNAMEHEADERS,0))),(INDEX(ALLCLASSDATA,MATCH("AdvancedExpert",CLASSFEATUREHEADERS,0),MATCH(($A1343 &amp; "Points"),CLASSNAMEHEADERS,0))),(IF("05"=(INDEX(ALLCLASSDATA,MATCH("AdvancedTrained",CLASSFEATUREHEADERS,0),MATCH($A1343,CLASSNAMEHEADERS,0))),(INDEX(ALLCLASSDATA,MATCH("AdvancedTrained",CLASSFEATUREHEADERS,0),MATCH(($A1343 &amp; "Points"),CLASSNAMEHEADERS,0))),"")))))))))}</f>
        <v>ADVANCEDL05</v>
      </c>
      <c r="M1342" s="223"/>
      <c r="N1342" s="223" t="str">
        <f t="array" ref="N1342:N1343">{"ADVANCEDL07";((IF("07"=(INDEX(ALLCLASSDATA,MATCH("AdvancedLegendary",CLASSFEATUREHEADERS,0),MATCH($A1343,CLASSNAMEHEADERS,0))),(INDEX(ALLCLASSDATA,MATCH("AdvancedLegendary",CLASSFEATUREHEADERS,0),MATCH(($A1343 &amp; "Points"),CLASSNAMEHEADERS,0))),(IF("07"=(INDEX(ALLCLASSDATA,MATCH("AdvancedMaster",CLASSFEATUREHEADERS,0),MATCH($A1343,CLASSNAMEHEADERS,0))),(INDEX(ALLCLASSDATA,MATCH("AdvancedMaster",CLASSFEATUREHEADERS,0),MATCH(($A1343 &amp; "Points"),CLASSNAMEHEADERS,0))),(IF("07"=(INDEX(ALLCLASSDATA,MATCH("AdvancedExpert",CLASSFEATUREHEADERS,0),MATCH($A1343,CLASSNAMEHEADERS,0))),(INDEX(ALLCLASSDATA,MATCH("AdvancedExpert",CLASSFEATUREHEADERS,0),MATCH(($A1343 &amp; "Points"),CLASSNAMEHEADERS,0))),(IF("07"=(INDEX(ALLCLASSDATA,MATCH("AdvancedTrained",CLASSFEATUREHEADERS,0),MATCH($A1343,CLASSNAMEHEADERS,0))),(INDEX(ALLCLASSDATA,MATCH("AdvancedTrained",CLASSFEATUREHEADERS,0),MATCH(($A1343 &amp; "Points"),CLASSNAMEHEADERS,0))),"")))))))))}</f>
        <v>ADVANCEDL07</v>
      </c>
      <c r="O1342" s="223"/>
      <c r="P1342" s="223" t="str">
        <f t="array" ref="P1342:P1343">{"ADVANCEDL09";((IF("09"=(INDEX(ALLCLASSDATA,MATCH("AdvancedLegendary",CLASSFEATUREHEADERS,0),MATCH($A1343,CLASSNAMEHEADERS,0))),(INDEX(ALLCLASSDATA,MATCH("AdvancedLegendary",CLASSFEATUREHEADERS,0),MATCH(($A1343 &amp; "Points"),CLASSNAMEHEADERS,0))),(IF("09"=(INDEX(ALLCLASSDATA,MATCH("AdvancedMaster",CLASSFEATUREHEADERS,0),MATCH($A1343,CLASSNAMEHEADERS,0))),(INDEX(ALLCLASSDATA,MATCH("AdvancedMaster",CLASSFEATUREHEADERS,0),MATCH(($A1343 &amp; "Points"),CLASSNAMEHEADERS,0))),(IF("09"=(INDEX(ALLCLASSDATA,MATCH("AdvancedExpert",CLASSFEATUREHEADERS,0),MATCH($A1343,CLASSNAMEHEADERS,0))),(INDEX(ALLCLASSDATA,MATCH("AdvancedExpert",CLASSFEATUREHEADERS,0),MATCH(($A1343 &amp; "Points"),CLASSNAMEHEADERS,0))),(IF("09"=(INDEX(ALLCLASSDATA,MATCH("AdvancedTrained",CLASSFEATUREHEADERS,0),MATCH($A1343,CLASSNAMEHEADERS,0))),(INDEX(ALLCLASSDATA,MATCH("AdvancedTrained",CLASSFEATUREHEADERS,0),MATCH(($A1343 &amp; "Points"),CLASSNAMEHEADERS,0))),"")))))))))}</f>
        <v>ADVANCEDL09</v>
      </c>
      <c r="Q1342" s="223"/>
      <c r="R1342" s="223" t="str">
        <f t="array" ref="R1342:R1343">{"ADVANCEDL11";((IF("11"=(INDEX(ALLCLASSDATA,MATCH("AdvancedLegendary",CLASSFEATUREHEADERS,0),MATCH($A1343,CLASSNAMEHEADERS,0))),(INDEX(ALLCLASSDATA,MATCH("AdvancedLegendary",CLASSFEATUREHEADERS,0),MATCH(($A1343 &amp; "Points"),CLASSNAMEHEADERS,0))),(IF("11"=(INDEX(ALLCLASSDATA,MATCH("AdvancedMaster",CLASSFEATUREHEADERS,0),MATCH($A1343,CLASSNAMEHEADERS,0))),(INDEX(ALLCLASSDATA,MATCH("AdvancedMaster",CLASSFEATUREHEADERS,0),MATCH(($A1343 &amp; "Points"),CLASSNAMEHEADERS,0))),(IF("11"=(INDEX(ALLCLASSDATA,MATCH("AdvancedExpert",CLASSFEATUREHEADERS,0),MATCH($A1343,CLASSNAMEHEADERS,0))),(INDEX(ALLCLASSDATA,MATCH("AdvancedExpert",CLASSFEATUREHEADERS,0),MATCH(($A1343 &amp; "Points"),CLASSNAMEHEADERS,0))),(IF("11"=(INDEX(ALLCLASSDATA,MATCH("AdvancedTrained",CLASSFEATUREHEADERS,0),MATCH($A1343,CLASSNAMEHEADERS,0))),(INDEX(ALLCLASSDATA,MATCH("AdvancedTrained",CLASSFEATUREHEADERS,0),MATCH(($A1343 &amp; "Points"),CLASSNAMEHEADERS,0))),"")))))))))}</f>
        <v>ADVANCEDL11</v>
      </c>
      <c r="S1342" s="223"/>
      <c r="T1342" s="223" t="str">
        <f t="array" ref="T1342:T1343">{"ADVANCEDL13";((IF("13"=(INDEX(ALLCLASSDATA,MATCH("AdvancedLegendary",CLASSFEATUREHEADERS,0),MATCH($A1343,CLASSNAMEHEADERS,0))),(INDEX(ALLCLASSDATA,MATCH("AdvancedLegendary",CLASSFEATUREHEADERS,0),MATCH(($A1343 &amp; "Points"),CLASSNAMEHEADERS,0))),(IF("13"=(INDEX(ALLCLASSDATA,MATCH("AdvancedMaster",CLASSFEATUREHEADERS,0),MATCH($A1343,CLASSNAMEHEADERS,0))),(INDEX(ALLCLASSDATA,MATCH("AdvancedMaster",CLASSFEATUREHEADERS,0),MATCH(($A1343 &amp; "Points"),CLASSNAMEHEADERS,0))),(IF("13"=(INDEX(ALLCLASSDATA,MATCH("AdvancedExpert",CLASSFEATUREHEADERS,0),MATCH($A1343,CLASSNAMEHEADERS,0))),(INDEX(ALLCLASSDATA,MATCH("AdvancedExpert",CLASSFEATUREHEADERS,0),MATCH(($A1343 &amp; "Points"),CLASSNAMEHEADERS,0))),(IF("13"=(INDEX(ALLCLASSDATA,MATCH("AdvancedTrained",CLASSFEATUREHEADERS,0),MATCH($A1343,CLASSNAMEHEADERS,0))),(INDEX(ALLCLASSDATA,MATCH("AdvancedTrained",CLASSFEATUREHEADERS,0),MATCH(($A1343 &amp; "Points"),CLASSNAMEHEADERS,0))),"")))))))))}</f>
        <v>ADVANCEDL13</v>
      </c>
      <c r="U1342" s="223"/>
      <c r="V1342" s="223" t="str">
        <f t="array" ref="V1342:V1343">{"ADVANCEDL15";((IF("15"=(INDEX(ALLCLASSDATA,MATCH("AdvancedLegendary",CLASSFEATUREHEADERS,0),MATCH($A1343,CLASSNAMEHEADERS,0))),(INDEX(ALLCLASSDATA,MATCH("AdvancedLegendary",CLASSFEATUREHEADERS,0),MATCH(($A1343 &amp; "Points"),CLASSNAMEHEADERS,0))),(IF("15"=(INDEX(ALLCLASSDATA,MATCH("AdvancedMaster",CLASSFEATUREHEADERS,0),MATCH($A1343,CLASSNAMEHEADERS,0))),(INDEX(ALLCLASSDATA,MATCH("AdvancedMaster",CLASSFEATUREHEADERS,0),MATCH(($A1343 &amp; "Points"),CLASSNAMEHEADERS,0))),(IF("15"=(INDEX(ALLCLASSDATA,MATCH("AdvancedExpert",CLASSFEATUREHEADERS,0),MATCH($A1343,CLASSNAMEHEADERS,0))),(INDEX(ALLCLASSDATA,MATCH("AdvancedExpert",CLASSFEATUREHEADERS,0),MATCH(($A1343 &amp; "Points"),CLASSNAMEHEADERS,0))),(IF("15"=(INDEX(ALLCLASSDATA,MATCH("AdvancedTrained",CLASSFEATUREHEADERS,0),MATCH($A1343,CLASSNAMEHEADERS,0))),(INDEX(ALLCLASSDATA,MATCH("AdvancedTrained",CLASSFEATUREHEADERS,0),MATCH(($A1343 &amp; "Points"),CLASSNAMEHEADERS,0))),"")))))))))}</f>
        <v>ADVANCEDL15</v>
      </c>
      <c r="W1342" s="223"/>
      <c r="X1342" s="223" t="str">
        <f t="array" ref="X1342:X1343">{"ADVANCEDL17";((IF("17"=(INDEX(ALLCLASSDATA,MATCH("AdvancedLegendary",CLASSFEATUREHEADERS,0),MATCH($A1343,CLASSNAMEHEADERS,0))),(INDEX(ALLCLASSDATA,MATCH("AdvancedLegendary",CLASSFEATUREHEADERS,0),MATCH(($A1343 &amp; "Points"),CLASSNAMEHEADERS,0))),(IF("17"=(INDEX(ALLCLASSDATA,MATCH("AdvancedMaster",CLASSFEATUREHEADERS,0),MATCH($A1343,CLASSNAMEHEADERS,0))),(INDEX(ALLCLASSDATA,MATCH("AdvancedMaster",CLASSFEATUREHEADERS,0),MATCH(($A1343 &amp; "Points"),CLASSNAMEHEADERS,0))),(IF("17"=(INDEX(ALLCLASSDATA,MATCH("AdvancedExpert",CLASSFEATUREHEADERS,0),MATCH($A1343,CLASSNAMEHEADERS,0))),(INDEX(ALLCLASSDATA,MATCH("AdvancedExpert",CLASSFEATUREHEADERS,0),MATCH(($A1343 &amp; "Points"),CLASSNAMEHEADERS,0))),(IF("17"=(INDEX(ALLCLASSDATA,MATCH("AdvancedTrained",CLASSFEATUREHEADERS,0),MATCH($A1343,CLASSNAMEHEADERS,0))),(INDEX(ALLCLASSDATA,MATCH("AdvancedTrained",CLASSFEATUREHEADERS,0),MATCH(($A1343 &amp; "Points"),CLASSNAMEHEADERS,0))),"")))))))))}</f>
        <v>ADVANCEDL17</v>
      </c>
      <c r="Y1342" s="223"/>
      <c r="Z1342" s="223" t="str">
        <f t="array" ref="Z1342:Z1343">{"ADVANCEDL19";((IF("19"=(INDEX(ALLCLASSDATA,MATCH("AdvancedLegendary",CLASSFEATUREHEADERS,0),MATCH($A1343,CLASSNAMEHEADERS,0))),(INDEX(ALLCLASSDATA,MATCH("AdvancedLegendary",CLASSFEATUREHEADERS,0),MATCH(($A1343 &amp; "Points"),CLASSNAMEHEADERS,0))),(IF("19"=(INDEX(ALLCLASSDATA,MATCH("AdvancedMaster",CLASSFEATUREHEADERS,0),MATCH($A1343,CLASSNAMEHEADERS,0))),(INDEX(ALLCLASSDATA,MATCH("AdvancedMaster",CLASSFEATUREHEADERS,0),MATCH(($A1343 &amp; "Points"),CLASSNAMEHEADERS,0))),(IF("19"=(INDEX(ALLCLASSDATA,MATCH("AdvancedExpert",CLASSFEATUREHEADERS,0),MATCH($A1343,CLASSNAMEHEADERS,0))),(INDEX(ALLCLASSDATA,MATCH("AdvancedExpert",CLASSFEATUREHEADERS,0),MATCH(($A1343 &amp; "Points"),CLASSNAMEHEADERS,0))),(IF("19"=(INDEX(ALLCLASSDATA,MATCH("AdvancedTrained",CLASSFEATUREHEADERS,0),MATCH($A1343,CLASSNAMEHEADERS,0))),(INDEX(ALLCLASSDATA,MATCH("AdvancedTrained",CLASSFEATUREHEADERS,0),MATCH(($A1343 &amp; "Points"),CLASSNAMEHEADERS,0))),"")))))))))}</f>
        <v>ADVANCEDL19</v>
      </c>
      <c r="AA1342" s="223"/>
      <c r="AB1342" s="76" t="str">
        <f t="array" ref="AB1342:AB1343">{"ADVANCED TOTAL";(IF(COUNTBLANK(G1343:AA1343)=17,"L",(IF(COUNTBLANK(G1343:AA1343)=18,"M",(IF(COUNTBLANK(G1343:AA1343)=19,"E",(IF(COUNTBLANK(G1343:AA1343)=20,"T",""))))))))}</f>
        <v>ADVANCED TOTAL</v>
      </c>
      <c r="AC1342" s="76" t="str">
        <f t="array" ref="AC1342:AC1343">{"ADVANCED TOTAL";(sum(G1343:AA1343))}</f>
        <v>ADVANCED TOTAL</v>
      </c>
    </row>
    <row r="1343">
      <c r="A1343" s="48" t="s">
        <v>211</v>
      </c>
      <c r="B1343" s="48"/>
      <c r="C1343" s="48" t="s">
        <v>417</v>
      </c>
      <c r="D1343" s="97" t="s">
        <v>1634</v>
      </c>
      <c r="E1343" s="97" t="s">
        <v>602</v>
      </c>
      <c r="F1343" s="98" t="s">
        <v>603</v>
      </c>
      <c r="G1343" s="132" t="s">
        <v>603</v>
      </c>
      <c r="H1343" s="98" t="s">
        <v>603</v>
      </c>
      <c r="I1343" s="98"/>
      <c r="J1343" s="98" t="s">
        <v>603</v>
      </c>
      <c r="K1343" s="98"/>
      <c r="L1343" s="98" t="s">
        <v>603</v>
      </c>
      <c r="M1343" s="98"/>
      <c r="N1343" s="98" t="s">
        <v>603</v>
      </c>
      <c r="O1343" s="98"/>
      <c r="P1343" s="98" t="s">
        <v>603</v>
      </c>
      <c r="Q1343" s="98"/>
      <c r="R1343" s="98" t="s">
        <v>603</v>
      </c>
      <c r="S1343" s="98"/>
      <c r="T1343" s="98" t="s">
        <v>603</v>
      </c>
      <c r="U1343" s="98"/>
      <c r="V1343" s="98" t="s">
        <v>603</v>
      </c>
      <c r="W1343" s="98"/>
      <c r="X1343" s="98" t="s">
        <v>603</v>
      </c>
      <c r="Y1343" s="98"/>
      <c r="Z1343" s="98" t="s">
        <v>603</v>
      </c>
      <c r="AA1343" s="98"/>
      <c r="AB1343" s="5" t="s">
        <v>603</v>
      </c>
      <c r="AC1343" s="47">
        <v>0.0</v>
      </c>
    </row>
    <row r="1344" hidden="1">
      <c r="A1344" s="222" t="str">
        <f t="array" ref="A1344:A1345">{"FormulaRow34";(INDEX(CLASSLIST,A1277,1))}</f>
        <v>FormulaRow34</v>
      </c>
      <c r="B1344" s="77" t="s">
        <v>236</v>
      </c>
      <c r="C1344" s="222" t="str">
        <f t="array" ref="C1344:C1345">{"CLASSTYPE";((INDEX(ALLCLASSDATA,MATCH("ClassType",CLASSFEATUREHEADERS,0),MATCH($A1345,CLASSNAMEHEADERS,0))))}</f>
        <v>CLASSTYPE</v>
      </c>
      <c r="D1344" s="222" t="str">
        <f t="array" ref="D1344:D1345">{"DEFENSE";"Defense"}</f>
        <v>DEFENSE</v>
      </c>
      <c r="E1344" s="222" t="str">
        <f t="array" ref="E1344:E1345">{"ARMORSPECIAL";"ArmorAS"}</f>
        <v>ARMORSPECIAL</v>
      </c>
      <c r="F1344" s="223"/>
      <c r="G1344" s="223"/>
      <c r="H1344" s="223" t="str">
        <f t="array" ref="H1344:H1345">{"ARMORSPECIALL01";((IF("01"=INDEX(ALLCLASSDATA,MATCH("ArmorSpecialization",CLASSFEATUREHEADERS,0),MATCH($A1345,CLASSNAMEHEADERS,0)),ArmorAS,"")))}</f>
        <v>ARMORSPECIALL01</v>
      </c>
      <c r="I1344" s="223"/>
      <c r="J1344" s="223" t="str">
        <f t="array" ref="J1344:J1345">{"ARMORSPECIALL03";((IF("03"=INDEX(ALLCLASSDATA,MATCH("ArmorSpecialization",CLASSFEATUREHEADERS,0),MATCH($A1345,CLASSNAMEHEADERS,0)),ArmorAS,"")))}</f>
        <v>ARMORSPECIALL03</v>
      </c>
      <c r="K1344" s="223"/>
      <c r="L1344" s="223" t="str">
        <f t="array" ref="L1344:L1345">{"ARMORSPECIALL05";((IF("05"=INDEX(ALLCLASSDATA,MATCH("ArmorSpecialization",CLASSFEATUREHEADERS,0),MATCH($A1345,CLASSNAMEHEADERS,0)),ArmorAS,"")))}</f>
        <v>ARMORSPECIALL05</v>
      </c>
      <c r="M1344" s="223"/>
      <c r="N1344" s="223" t="str">
        <f t="array" ref="N1344:N1345">{"ARMORSPECIALL07";((IF("07"=INDEX(ALLCLASSDATA,MATCH("ArmorSpecialization",CLASSFEATUREHEADERS,0),MATCH($A1345,CLASSNAMEHEADERS,0)),ArmorAS,"")))}</f>
        <v>ARMORSPECIALL07</v>
      </c>
      <c r="O1344" s="223"/>
      <c r="P1344" s="223" t="str">
        <f t="array" ref="P1344:P1345">{"ARMORSPECIALL09";((IF("09"=INDEX(ALLCLASSDATA,MATCH("ArmorSpecialization",CLASSFEATUREHEADERS,0),MATCH($A1345,CLASSNAMEHEADERS,0)),ArmorAS,"")))}</f>
        <v>ARMORSPECIALL09</v>
      </c>
      <c r="Q1344" s="223"/>
      <c r="R1344" s="223" t="str">
        <f t="array" ref="R1344:R1345">{"ARMORSPECIALL11";((IF("11"=INDEX(ALLCLASSDATA,MATCH("ArmorSpecialization",CLASSFEATUREHEADERS,0),MATCH($A1345,CLASSNAMEHEADERS,0)),ArmorAS,"")))}</f>
        <v>ARMORSPECIALL11</v>
      </c>
      <c r="S1344" s="223"/>
      <c r="T1344" s="223" t="str">
        <f t="array" ref="T1344:T1345">{"ARMORSPECIALL13";((IF("13"=INDEX(ALLCLASSDATA,MATCH("ArmorSpecialization",CLASSFEATUREHEADERS,0),MATCH($A1345,CLASSNAMEHEADERS,0)),ArmorAS,"")))}</f>
        <v>ARMORSPECIALL13</v>
      </c>
      <c r="U1344" s="223"/>
      <c r="V1344" s="223" t="str">
        <f t="array" ref="V1344:V1345">{"ARMORSPECIALL15";((IF("15"=INDEX(ALLCLASSDATA,MATCH("ArmorSpecialization",CLASSFEATUREHEADERS,0),MATCH($A1345,CLASSNAMEHEADERS,0)),ArmorAS,"")))}</f>
        <v>ARMORSPECIALL15</v>
      </c>
      <c r="W1344" s="223"/>
      <c r="X1344" s="223" t="str">
        <f t="array" ref="X1344:X1345">{"ARMORSPECIALL17";((IF("17"=INDEX(ALLCLASSDATA,MATCH("ArmorSpecialization",CLASSFEATUREHEADERS,0),MATCH($A1345,CLASSNAMEHEADERS,0)),ArmorAS,"")))}</f>
        <v>ARMORSPECIALL17</v>
      </c>
      <c r="Y1344" s="223"/>
      <c r="Z1344" s="223" t="str">
        <f t="array" ref="Z1344:Z1345">{"ARMORSPECIALL19";((IF("19"=INDEX(ALLCLASSDATA,MATCH("ArmorSpecialization",CLASSFEATUREHEADERS,0),MATCH($A1345,CLASSNAMEHEADERS,0)),ArmorAS,"")))}</f>
        <v>ARMORSPECIALL19</v>
      </c>
      <c r="AA1344" s="223"/>
      <c r="AB1344" s="76"/>
      <c r="AC1344" s="76" t="str">
        <f t="array" ref="AC1344:AC1345">{"ARMORSPECIAL TOTAL";(sum(G1345:AA1345))}</f>
        <v>ARMORSPECIAL TOTAL</v>
      </c>
    </row>
    <row r="1345">
      <c r="A1345" s="48" t="s">
        <v>211</v>
      </c>
      <c r="B1345" s="48"/>
      <c r="C1345" s="48" t="s">
        <v>417</v>
      </c>
      <c r="D1345" s="48" t="s">
        <v>1900</v>
      </c>
      <c r="E1345" s="48" t="s">
        <v>51</v>
      </c>
      <c r="F1345" s="5"/>
      <c r="G1345" s="47"/>
      <c r="H1345" s="5" t="s">
        <v>603</v>
      </c>
      <c r="I1345" s="5"/>
      <c r="J1345" s="5" t="s">
        <v>603</v>
      </c>
      <c r="K1345" s="5"/>
      <c r="L1345" s="5" t="s">
        <v>603</v>
      </c>
      <c r="M1345" s="5"/>
      <c r="N1345" s="5" t="s">
        <v>603</v>
      </c>
      <c r="O1345" s="5"/>
      <c r="P1345" s="5" t="s">
        <v>603</v>
      </c>
      <c r="Q1345" s="5"/>
      <c r="R1345" s="5" t="s">
        <v>603</v>
      </c>
      <c r="S1345" s="5"/>
      <c r="T1345" s="5" t="s">
        <v>603</v>
      </c>
      <c r="U1345" s="5"/>
      <c r="V1345" s="5" t="s">
        <v>603</v>
      </c>
      <c r="W1345" s="5"/>
      <c r="X1345" s="5" t="s">
        <v>603</v>
      </c>
      <c r="Y1345" s="5"/>
      <c r="Z1345" s="5" t="s">
        <v>603</v>
      </c>
      <c r="AA1345" s="5"/>
      <c r="AB1345" s="5"/>
      <c r="AC1345" s="47">
        <v>0.0</v>
      </c>
    </row>
    <row r="1346" hidden="1">
      <c r="A1346" s="222" t="str">
        <f t="array" ref="A1346:A1347">{"FormulaRow35";(INDEX(CLASSLIST,A1277,1))}</f>
        <v>FormulaRow35</v>
      </c>
      <c r="B1346" s="77" t="s">
        <v>236</v>
      </c>
      <c r="C1346" s="222" t="str">
        <f t="array" ref="C1346:C1347">{"CLASSTYPE";((INDEX(ALLCLASSDATA,MATCH("ClassType",CLASSFEATUREHEADERS,0),MATCH($A1347,CLASSNAMEHEADERS,0))))}</f>
        <v>CLASSTYPE</v>
      </c>
      <c r="D1346" s="222" t="str">
        <f t="array" ref="D1346:D1347">{"DEFENSE";"Defense"}</f>
        <v>DEFENSE</v>
      </c>
      <c r="E1346" s="222" t="str">
        <f t="array" ref="E1346:E1347">{"UNARMORED";"Unarmored"}</f>
        <v>UNARMORED</v>
      </c>
      <c r="F1346" s="223" t="str">
        <f t="array" ref="F1346:F1347">{"UNARMOREDINITIAL";((IF(H1347=10,"T",(IF(H1347=50,"E","")))))}</f>
        <v>UNARMOREDINITIAL</v>
      </c>
      <c r="G1346" s="223" t="str">
        <f t="array" ref="G1346:G1347">{"UNARMOREDINITIALPTS";((IF("00"=(INDEX(ALLCLASSDATA,MATCH("UnarmoredLegendary",CLASSFEATUREHEADERS,0),MATCH($A1347,CLASSNAMEHEADERS,0))),(INDEX(ALLCLASSDATA,MATCH("UnarmoredLegendary",CLASSFEATUREHEADERS,0),MATCH(($A1347 &amp; "Points"),CLASSNAMEHEADERS,0))),(IF("00"=(INDEX(ALLCLASSDATA,MATCH("UnarmoredMaster",CLASSFEATUREHEADERS,0),MATCH($A1347,CLASSNAMEHEADERS,0))),(INDEX(ALLCLASSDATA,MATCH("UnarmoredMaster",CLASSFEATUREHEADERS,0),MATCH(($A1347 &amp; "Points"),CLASSNAMEHEADERS,0))),(IF("00"=(INDEX(ALLCLASSDATA,MATCH("UnarmoredExpert",CLASSFEATUREHEADERS,0),MATCH($A1347,CLASSNAMEHEADERS,0))),(INDEX(ALLCLASSDATA,MATCH("UnarmoredExpert",CLASSFEATUREHEADERS,0),MATCH(($A1347 &amp; "Points"),CLASSNAMEHEADERS,0))),(IF("00"=(INDEX(ALLCLASSDATA,MATCH("UnarmoredTrained",CLASSFEATUREHEADERS,0),MATCH($A1347,CLASSNAMEHEADERS,0))),(INDEX(ALLCLASSDATA,MATCH("UnarmoredTrained",CLASSFEATUREHEADERS,0),MATCH(($A1347 &amp; "Points"),CLASSNAMEHEADERS,0))),"")))))))))}</f>
        <v>UNARMOREDINITIALPTS</v>
      </c>
      <c r="H1346" s="223" t="str">
        <f t="array" ref="H1346:H1347">{"UNARMOREDL01";((IF("01"=(INDEX(ALLCLASSDATA,MATCH("UnarmoredLegendary",CLASSFEATUREHEADERS,0),MATCH($A1347,CLASSNAMEHEADERS,0))),(INDEX(ALLCLASSDATA,MATCH("UnarmoredLegendary",CLASSFEATUREHEADERS,0),MATCH(($A1347 &amp; "Points"),CLASSNAMEHEADERS,0))),(IF("01"=(INDEX(ALLCLASSDATA,MATCH("UnarmoredMaster",CLASSFEATUREHEADERS,0),MATCH($A1347,CLASSNAMEHEADERS,0))),(INDEX(ALLCLASSDATA,MATCH("UnarmoredMaster",CLASSFEATUREHEADERS,0),MATCH(($A1347 &amp; "Points"),CLASSNAMEHEADERS,0))),(IF("01"=(INDEX(ALLCLASSDATA,MATCH("UnarmoredExpert",CLASSFEATUREHEADERS,0),MATCH($A1347,CLASSNAMEHEADERS,0))),(INDEX(ALLCLASSDATA,MATCH("UnarmoredExpert",CLASSFEATUREHEADERS,0),MATCH(($A1347 &amp; "Points"),CLASSNAMEHEADERS,0))),(IF("01"=(INDEX(ALLCLASSDATA,MATCH("UnarmoredTrained",CLASSFEATUREHEADERS,0),MATCH($A1347,CLASSNAMEHEADERS,0))),(INDEX(ALLCLASSDATA,MATCH("UnarmoredTrained",CLASSFEATUREHEADERS,0),MATCH(($A1347 &amp; "Points"),CLASSNAMEHEADERS,0))),"")))))))))}</f>
        <v>UNARMOREDL01</v>
      </c>
      <c r="I1346" s="223"/>
      <c r="J1346" s="223" t="str">
        <f t="array" ref="J1346:J1347">{"UNARMOREDL03";((IF("03"=(INDEX(ALLCLASSDATA,MATCH("UnarmoredLegendary",CLASSFEATUREHEADERS,0),MATCH($A1347,CLASSNAMEHEADERS,0))),(INDEX(ALLCLASSDATA,MATCH("UnarmoredLegendary",CLASSFEATUREHEADERS,0),MATCH(($A1347 &amp; "Points"),CLASSNAMEHEADERS,0))),(IF("03"=(INDEX(ALLCLASSDATA,MATCH("UnarmoredMaster",CLASSFEATUREHEADERS,0),MATCH($A1347,CLASSNAMEHEADERS,0))),(INDEX(ALLCLASSDATA,MATCH("UnarmoredMaster",CLASSFEATUREHEADERS,0),MATCH(($A1347 &amp; "Points"),CLASSNAMEHEADERS,0))),(IF("03"=(INDEX(ALLCLASSDATA,MATCH("UnarmoredExpert",CLASSFEATUREHEADERS,0),MATCH($A1347,CLASSNAMEHEADERS,0))),(INDEX(ALLCLASSDATA,MATCH("UnarmoredExpert",CLASSFEATUREHEADERS,0),MATCH(($A1347 &amp; "Points"),CLASSNAMEHEADERS,0))),(IF("03"=(INDEX(ALLCLASSDATA,MATCH("UnarmoredTrained",CLASSFEATUREHEADERS,0),MATCH($A1347,CLASSNAMEHEADERS,0))),(INDEX(ALLCLASSDATA,MATCH("UnarmoredTrained",CLASSFEATUREHEADERS,0),MATCH(($A1347 &amp; "Points"),CLASSNAMEHEADERS,0))),"")))))))))}</f>
        <v>UNARMOREDL03</v>
      </c>
      <c r="K1346" s="223"/>
      <c r="L1346" s="223" t="str">
        <f t="array" ref="L1346:L1347">{"UNARMOREDL05";((IF("05"=(INDEX(ALLCLASSDATA,MATCH("UnarmoredLegendary",CLASSFEATUREHEADERS,0),MATCH($A1347,CLASSNAMEHEADERS,0))),(INDEX(ALLCLASSDATA,MATCH("UnarmoredLegendary",CLASSFEATUREHEADERS,0),MATCH(($A1347 &amp; "Points"),CLASSNAMEHEADERS,0))),(IF("05"=(INDEX(ALLCLASSDATA,MATCH("UnarmoredMaster",CLASSFEATUREHEADERS,0),MATCH($A1347,CLASSNAMEHEADERS,0))),(INDEX(ALLCLASSDATA,MATCH("UnarmoredMaster",CLASSFEATUREHEADERS,0),MATCH(($A1347 &amp; "Points"),CLASSNAMEHEADERS,0))),(IF("05"=(INDEX(ALLCLASSDATA,MATCH("UnarmoredExpert",CLASSFEATUREHEADERS,0),MATCH($A1347,CLASSNAMEHEADERS,0))),(INDEX(ALLCLASSDATA,MATCH("UnarmoredExpert",CLASSFEATUREHEADERS,0),MATCH(($A1347 &amp; "Points"),CLASSNAMEHEADERS,0))),(IF("05"=(INDEX(ALLCLASSDATA,MATCH("UnarmoredTrained",CLASSFEATUREHEADERS,0),MATCH($A1347,CLASSNAMEHEADERS,0))),(INDEX(ALLCLASSDATA,MATCH("UnarmoredTrained",CLASSFEATUREHEADERS,0),MATCH(($A1347 &amp; "Points"),CLASSNAMEHEADERS,0))),"")))))))))}</f>
        <v>UNARMOREDL05</v>
      </c>
      <c r="M1346" s="223"/>
      <c r="N1346" s="223" t="str">
        <f t="array" ref="N1346:N1347">{"UNARMOREDL07";((IF("07"=(INDEX(ALLCLASSDATA,MATCH("UnarmoredLegendary",CLASSFEATUREHEADERS,0),MATCH($A1347,CLASSNAMEHEADERS,0))),(INDEX(ALLCLASSDATA,MATCH("UnarmoredLegendary",CLASSFEATUREHEADERS,0),MATCH(($A1347 &amp; "Points"),CLASSNAMEHEADERS,0))),(IF("07"=(INDEX(ALLCLASSDATA,MATCH("UnarmoredMaster",CLASSFEATUREHEADERS,0),MATCH($A1347,CLASSNAMEHEADERS,0))),(INDEX(ALLCLASSDATA,MATCH("UnarmoredMaster",CLASSFEATUREHEADERS,0),MATCH(($A1347 &amp; "Points"),CLASSNAMEHEADERS,0))),(IF("07"=(INDEX(ALLCLASSDATA,MATCH("UnarmoredExpert",CLASSFEATUREHEADERS,0),MATCH($A1347,CLASSNAMEHEADERS,0))),(INDEX(ALLCLASSDATA,MATCH("UnarmoredExpert",CLASSFEATUREHEADERS,0),MATCH(($A1347 &amp; "Points"),CLASSNAMEHEADERS,0))),(IF("07"=(INDEX(ALLCLASSDATA,MATCH("UnarmoredTrained",CLASSFEATUREHEADERS,0),MATCH($A1347,CLASSNAMEHEADERS,0))),(INDEX(ALLCLASSDATA,MATCH("UnarmoredTrained",CLASSFEATUREHEADERS,0),MATCH(($A1347 &amp; "Points"),CLASSNAMEHEADERS,0))),"")))))))))}</f>
        <v>UNARMOREDL07</v>
      </c>
      <c r="O1346" s="223"/>
      <c r="P1346" s="223" t="str">
        <f t="array" ref="P1346:P1347">{"UNARMOREDL09";((IF("09"=(INDEX(ALLCLASSDATA,MATCH("UnarmoredLegendary",CLASSFEATUREHEADERS,0),MATCH($A1347,CLASSNAMEHEADERS,0))),(INDEX(ALLCLASSDATA,MATCH("UnarmoredLegendary",CLASSFEATUREHEADERS,0),MATCH(($A1347 &amp; "Points"),CLASSNAMEHEADERS,0))),(IF("09"=(INDEX(ALLCLASSDATA,MATCH("UnarmoredMaster",CLASSFEATUREHEADERS,0),MATCH($A1347,CLASSNAMEHEADERS,0))),(INDEX(ALLCLASSDATA,MATCH("UnarmoredMaster",CLASSFEATUREHEADERS,0),MATCH(($A1347 &amp; "Points"),CLASSNAMEHEADERS,0))),(IF("09"=(INDEX(ALLCLASSDATA,MATCH("UnarmoredExpert",CLASSFEATUREHEADERS,0),MATCH($A1347,CLASSNAMEHEADERS,0))),(INDEX(ALLCLASSDATA,MATCH("UnarmoredExpert",CLASSFEATUREHEADERS,0),MATCH(($A1347 &amp; "Points"),CLASSNAMEHEADERS,0))),(IF("09"=(INDEX(ALLCLASSDATA,MATCH("UnarmoredTrained",CLASSFEATUREHEADERS,0),MATCH($A1347,CLASSNAMEHEADERS,0))),(INDEX(ALLCLASSDATA,MATCH("UnarmoredTrained",CLASSFEATUREHEADERS,0),MATCH(($A1347 &amp; "Points"),CLASSNAMEHEADERS,0))),"")))))))))}</f>
        <v>UNARMOREDL09</v>
      </c>
      <c r="Q1346" s="223"/>
      <c r="R1346" s="223" t="str">
        <f t="array" ref="R1346:R1347">{"UNARMOREDL11";((IF("11"=(INDEX(ALLCLASSDATA,MATCH("UnarmoredLegendary",CLASSFEATUREHEADERS,0),MATCH($A1347,CLASSNAMEHEADERS,0))),(INDEX(ALLCLASSDATA,MATCH("UnarmoredLegendary",CLASSFEATUREHEADERS,0),MATCH(($A1347 &amp; "Points"),CLASSNAMEHEADERS,0))),(IF("11"=(INDEX(ALLCLASSDATA,MATCH("UnarmoredMaster",CLASSFEATUREHEADERS,0),MATCH($A1347,CLASSNAMEHEADERS,0))),(INDEX(ALLCLASSDATA,MATCH("UnarmoredMaster",CLASSFEATUREHEADERS,0),MATCH(($A1347 &amp; "Points"),CLASSNAMEHEADERS,0))),(IF("11"=(INDEX(ALLCLASSDATA,MATCH("UnarmoredExpert",CLASSFEATUREHEADERS,0),MATCH($A1347,CLASSNAMEHEADERS,0))),(INDEX(ALLCLASSDATA,MATCH("UnarmoredExpert",CLASSFEATUREHEADERS,0),MATCH(($A1347 &amp; "Points"),CLASSNAMEHEADERS,0))),(IF("11"=(INDEX(ALLCLASSDATA,MATCH("UnarmoredTrained",CLASSFEATUREHEADERS,0),MATCH($A1347,CLASSNAMEHEADERS,0))),(INDEX(ALLCLASSDATA,MATCH("UnarmoredTrained",CLASSFEATUREHEADERS,0),MATCH(($A1347 &amp; "Points"),CLASSNAMEHEADERS,0))),"")))))))))}</f>
        <v>UNARMOREDL11</v>
      </c>
      <c r="S1346" s="223"/>
      <c r="T1346" s="223" t="str">
        <f t="array" ref="T1346:T1347">{"UNARMOREDL13";((IF("13"=(INDEX(ALLCLASSDATA,MATCH("UnarmoredLegendary",CLASSFEATUREHEADERS,0),MATCH($A1347,CLASSNAMEHEADERS,0))),(INDEX(ALLCLASSDATA,MATCH("UnarmoredLegendary",CLASSFEATUREHEADERS,0),MATCH(($A1347 &amp; "Points"),CLASSNAMEHEADERS,0))),(IF("13"=(INDEX(ALLCLASSDATA,MATCH("UnarmoredMaster",CLASSFEATUREHEADERS,0),MATCH($A1347,CLASSNAMEHEADERS,0))),(INDEX(ALLCLASSDATA,MATCH("UnarmoredMaster",CLASSFEATUREHEADERS,0),MATCH(($A1347 &amp; "Points"),CLASSNAMEHEADERS,0))),(IF("13"=(INDEX(ALLCLASSDATA,MATCH("UnarmoredExpert",CLASSFEATUREHEADERS,0),MATCH($A1347,CLASSNAMEHEADERS,0))),(INDEX(ALLCLASSDATA,MATCH("UnarmoredExpert",CLASSFEATUREHEADERS,0),MATCH(($A1347 &amp; "Points"),CLASSNAMEHEADERS,0))),(IF("13"=(INDEX(ALLCLASSDATA,MATCH("UnarmoredTrained",CLASSFEATUREHEADERS,0),MATCH($A1347,CLASSNAMEHEADERS,0))),(INDEX(ALLCLASSDATA,MATCH("UnarmoredTrained",CLASSFEATUREHEADERS,0),MATCH(($A1347 &amp; "Points"),CLASSNAMEHEADERS,0))),"")))))))))}</f>
        <v>UNARMOREDL13</v>
      </c>
      <c r="U1346" s="223"/>
      <c r="V1346" s="223" t="str">
        <f t="array" ref="V1346:V1347">{"UNARMOREDL15";((IF("15"=(INDEX(ALLCLASSDATA,MATCH("UnarmoredLegendary",CLASSFEATUREHEADERS,0),MATCH($A1347,CLASSNAMEHEADERS,0))),(INDEX(ALLCLASSDATA,MATCH("UnarmoredLegendary",CLASSFEATUREHEADERS,0),MATCH(($A1347 &amp; "Points"),CLASSNAMEHEADERS,0))),(IF("15"=(INDEX(ALLCLASSDATA,MATCH("UnarmoredMaster",CLASSFEATUREHEADERS,0),MATCH($A1347,CLASSNAMEHEADERS,0))),(INDEX(ALLCLASSDATA,MATCH("UnarmoredMaster",CLASSFEATUREHEADERS,0),MATCH(($A1347 &amp; "Points"),CLASSNAMEHEADERS,0))),(IF("15"=(INDEX(ALLCLASSDATA,MATCH("UnarmoredExpert",CLASSFEATUREHEADERS,0),MATCH($A1347,CLASSNAMEHEADERS,0))),(INDEX(ALLCLASSDATA,MATCH("UnarmoredExpert",CLASSFEATUREHEADERS,0),MATCH(($A1347 &amp; "Points"),CLASSNAMEHEADERS,0))),(IF("15"=(INDEX(ALLCLASSDATA,MATCH("UnarmoredTrained",CLASSFEATUREHEADERS,0),MATCH($A1347,CLASSNAMEHEADERS,0))),(INDEX(ALLCLASSDATA,MATCH("UnarmoredTrained",CLASSFEATUREHEADERS,0),MATCH(($A1347 &amp; "Points"),CLASSNAMEHEADERS,0))),"")))))))))}</f>
        <v>UNARMOREDL15</v>
      </c>
      <c r="W1346" s="223"/>
      <c r="X1346" s="223" t="str">
        <f t="array" ref="X1346:X1347">{"UNARMOREDL17";((IF("17"=(INDEX(ALLCLASSDATA,MATCH("UnarmoredLegendary",CLASSFEATUREHEADERS,0),MATCH($A1347,CLASSNAMEHEADERS,0))),(INDEX(ALLCLASSDATA,MATCH("UnarmoredLegendary",CLASSFEATUREHEADERS,0),MATCH(($A1347 &amp; "Points"),CLASSNAMEHEADERS,0))),(IF("17"=(INDEX(ALLCLASSDATA,MATCH("UnarmoredMaster",CLASSFEATUREHEADERS,0),MATCH($A1347,CLASSNAMEHEADERS,0))),(INDEX(ALLCLASSDATA,MATCH("UnarmoredMaster",CLASSFEATUREHEADERS,0),MATCH(($A1347 &amp; "Points"),CLASSNAMEHEADERS,0))),(IF("17"=(INDEX(ALLCLASSDATA,MATCH("UnarmoredExpert",CLASSFEATUREHEADERS,0),MATCH($A1347,CLASSNAMEHEADERS,0))),(INDEX(ALLCLASSDATA,MATCH("UnarmoredExpert",CLASSFEATUREHEADERS,0),MATCH(($A1347 &amp; "Points"),CLASSNAMEHEADERS,0))),(IF("17"=(INDEX(ALLCLASSDATA,MATCH("UnarmoredTrained",CLASSFEATUREHEADERS,0),MATCH($A1347,CLASSNAMEHEADERS,0))),(INDEX(ALLCLASSDATA,MATCH("UnarmoredTrained",CLASSFEATUREHEADERS,0),MATCH(($A1347 &amp; "Points"),CLASSNAMEHEADERS,0))),"")))))))))}</f>
        <v>UNARMOREDL17</v>
      </c>
      <c r="Y1346" s="223"/>
      <c r="Z1346" s="223" t="str">
        <f t="array" ref="Z1346:Z1347">{"UNARMOREDL19";((IF("19"=(INDEX(ALLCLASSDATA,MATCH("UnarmoredLegendary",CLASSFEATUREHEADERS,0),MATCH($A1347,CLASSNAMEHEADERS,0))),(INDEX(ALLCLASSDATA,MATCH("UnarmoredLegendary",CLASSFEATUREHEADERS,0),MATCH(($A1347 &amp; "Points"),CLASSNAMEHEADERS,0))),(IF("19"=(INDEX(ALLCLASSDATA,MATCH("UnarmoredMaster",CLASSFEATUREHEADERS,0),MATCH($A1347,CLASSNAMEHEADERS,0))),(INDEX(ALLCLASSDATA,MATCH("UnarmoredMaster",CLASSFEATUREHEADERS,0),MATCH(($A1347 &amp; "Points"),CLASSNAMEHEADERS,0))),(IF("19"=(INDEX(ALLCLASSDATA,MATCH("UnarmoredExpert",CLASSFEATUREHEADERS,0),MATCH($A1347,CLASSNAMEHEADERS,0))),(INDEX(ALLCLASSDATA,MATCH("UnarmoredExpert",CLASSFEATUREHEADERS,0),MATCH(($A1347 &amp; "Points"),CLASSNAMEHEADERS,0))),(IF("19"=(INDEX(ALLCLASSDATA,MATCH("UnarmoredTrained",CLASSFEATUREHEADERS,0),MATCH($A1347,CLASSNAMEHEADERS,0))),(INDEX(ALLCLASSDATA,MATCH("UnarmoredTrained",CLASSFEATUREHEADERS,0),MATCH(($A1347 &amp; "Points"),CLASSNAMEHEADERS,0))),"")))))))))}</f>
        <v>UNARMOREDL19</v>
      </c>
      <c r="AA1346" s="223"/>
      <c r="AB1346" s="76" t="str">
        <f t="array" ref="AB1346:AB1347">{"UNARMORED TOTAL";(IF(COUNTBLANK(G1347:AA1347)=17,"L",(IF(COUNTBLANK(G1347:AA1347)=18,"M",(IF(COUNTBLANK(G1347:AA1347)=19,"E",(IF(COUNTBLANK(G1347:AA1347)=20,"T",""))))))))}</f>
        <v>UNARMORED TOTAL</v>
      </c>
      <c r="AC1346" s="76" t="str">
        <f t="array" ref="AC1346:AC1347">{"UNARMORED TOTAL";(sum(G1347:AA1347))}</f>
        <v>UNARMORED TOTAL</v>
      </c>
    </row>
    <row r="1347">
      <c r="A1347" s="48" t="s">
        <v>211</v>
      </c>
      <c r="B1347" s="48"/>
      <c r="C1347" s="48" t="s">
        <v>417</v>
      </c>
      <c r="D1347" s="48" t="s">
        <v>1900</v>
      </c>
      <c r="E1347" s="48" t="s">
        <v>78</v>
      </c>
      <c r="F1347" s="5" t="s">
        <v>435</v>
      </c>
      <c r="G1347" s="47" t="s">
        <v>603</v>
      </c>
      <c r="H1347" s="5">
        <v>10.0</v>
      </c>
      <c r="I1347" s="5"/>
      <c r="J1347" s="5" t="s">
        <v>603</v>
      </c>
      <c r="K1347" s="5"/>
      <c r="L1347" s="5" t="s">
        <v>603</v>
      </c>
      <c r="M1347" s="5"/>
      <c r="N1347" s="5" t="s">
        <v>603</v>
      </c>
      <c r="O1347" s="5"/>
      <c r="P1347" s="5" t="s">
        <v>603</v>
      </c>
      <c r="Q1347" s="5"/>
      <c r="R1347" s="5" t="s">
        <v>603</v>
      </c>
      <c r="S1347" s="5"/>
      <c r="T1347" s="5" t="s">
        <v>436</v>
      </c>
      <c r="U1347" s="5"/>
      <c r="V1347" s="5" t="s">
        <v>603</v>
      </c>
      <c r="W1347" s="5"/>
      <c r="X1347" s="5" t="s">
        <v>603</v>
      </c>
      <c r="Y1347" s="5"/>
      <c r="Z1347" s="5" t="s">
        <v>603</v>
      </c>
      <c r="AA1347" s="5"/>
      <c r="AB1347" s="5" t="s">
        <v>436</v>
      </c>
      <c r="AC1347" s="47">
        <v>10.0</v>
      </c>
    </row>
    <row r="1348" hidden="1">
      <c r="A1348" s="222" t="str">
        <f t="array" ref="A1348:A1349">{"FormulaRow36";(INDEX(CLASSLIST,A1277,1))}</f>
        <v>FormulaRow36</v>
      </c>
      <c r="B1348" s="77" t="s">
        <v>236</v>
      </c>
      <c r="C1348" s="222" t="str">
        <f t="array" ref="C1348:C1349">{"CLASSTYPE";((INDEX(ALLCLASSDATA,MATCH("ClassType",CLASSFEATUREHEADERS,0),MATCH($A1349,CLASSNAMEHEADERS,0))))}</f>
        <v>CLASSTYPE</v>
      </c>
      <c r="D1348" s="222" t="str">
        <f t="array" ref="D1348:D1349">{"DEFENSE";"Defense"}</f>
        <v>DEFENSE</v>
      </c>
      <c r="E1348" s="222" t="str">
        <f t="array" ref="E1348:E1349">{"LIGHT";"Light"}</f>
        <v>LIGHT</v>
      </c>
      <c r="F1348" s="223" t="str">
        <f t="array" ref="F1348:F1349">{"LIGHTINITIAL";((IF(H1349=10,"T",(IF(H1349=50,"E","")))))}</f>
        <v>LIGHTINITIAL</v>
      </c>
      <c r="G1348" s="223" t="str">
        <f t="array" ref="G1348:G1349">{"LIGHTINITIALPTS";((IF("00"=(INDEX(ALLCLASSDATA,MATCH("LightLegendary",CLASSFEATUREHEADERS,0),MATCH($A1349,CLASSNAMEHEADERS,0))),(INDEX(ALLCLASSDATA,MATCH("LightLegendary",CLASSFEATUREHEADERS,0),MATCH(($A1349 &amp; "Points"),CLASSNAMEHEADERS,0))),(IF("00"=(INDEX(ALLCLASSDATA,MATCH("LightMaster",CLASSFEATUREHEADERS,0),MATCH($A1349,CLASSNAMEHEADERS,0))),(INDEX(ALLCLASSDATA,MATCH("LightMaster",CLASSFEATUREHEADERS,0),MATCH(($A1349 &amp; "Points"),CLASSNAMEHEADERS,0))),(IF("00"=(INDEX(ALLCLASSDATA,MATCH("LightExpert",CLASSFEATUREHEADERS,0),MATCH($A1349,CLASSNAMEHEADERS,0))),(INDEX(ALLCLASSDATA,MATCH("LightExpert",CLASSFEATUREHEADERS,0),MATCH(($A1349 &amp; "Points"),CLASSNAMEHEADERS,0))),(IF("00"=(INDEX(ALLCLASSDATA,MATCH("LightTrained",CLASSFEATUREHEADERS,0),MATCH($A1349,CLASSNAMEHEADERS,0))),(INDEX(ALLCLASSDATA,MATCH("LightTrained",CLASSFEATUREHEADERS,0),MATCH(($A1349 &amp; "Points"),CLASSNAMEHEADERS,0))),"")))))))))}</f>
        <v>LIGHTINITIALPTS</v>
      </c>
      <c r="H1348" s="223" t="str">
        <f t="array" ref="H1348:H1349">{"LIGHTL01";((IF("01"=(INDEX(ALLCLASSDATA,MATCH("LightLegendary",CLASSFEATUREHEADERS,0),MATCH($A1349,CLASSNAMEHEADERS,0))),(INDEX(ALLCLASSDATA,MATCH("LightLegendary",CLASSFEATUREHEADERS,0),MATCH(($A1349 &amp; "Points"),CLASSNAMEHEADERS,0))),(IF("01"=(INDEX(ALLCLASSDATA,MATCH("LightMaster",CLASSFEATUREHEADERS,0),MATCH($A1349,CLASSNAMEHEADERS,0))),(INDEX(ALLCLASSDATA,MATCH("LightMaster",CLASSFEATUREHEADERS,0),MATCH(($A1349 &amp; "Points"),CLASSNAMEHEADERS,0))),(IF("01"=(INDEX(ALLCLASSDATA,MATCH("LightExpert",CLASSFEATUREHEADERS,0),MATCH($A1349,CLASSNAMEHEADERS,0))),(INDEX(ALLCLASSDATA,MATCH("LightExpert",CLASSFEATUREHEADERS,0),MATCH(($A1349 &amp; "Points"),CLASSNAMEHEADERS,0))),(IF("01"=(INDEX(ALLCLASSDATA,MATCH("LightTrained",CLASSFEATUREHEADERS,0),MATCH($A1349,CLASSNAMEHEADERS,0))),(INDEX(ALLCLASSDATA,MATCH("LightTrained",CLASSFEATUREHEADERS,0),MATCH(($A1349 &amp; "Points"),CLASSNAMEHEADERS,0))),"")))))))))}</f>
        <v>LIGHTL01</v>
      </c>
      <c r="I1348" s="223"/>
      <c r="J1348" s="223" t="str">
        <f t="array" ref="J1348:J1349">{"LIGHTL03";((IF("03"=(INDEX(ALLCLASSDATA,MATCH("LightLegendary",CLASSFEATUREHEADERS,0),MATCH($A1349,CLASSNAMEHEADERS,0))),(INDEX(ALLCLASSDATA,MATCH("LightLegendary",CLASSFEATUREHEADERS,0),MATCH(($A1349 &amp; "Points"),CLASSNAMEHEADERS,0))),(IF("03"=(INDEX(ALLCLASSDATA,MATCH("LightMaster",CLASSFEATUREHEADERS,0),MATCH($A1349,CLASSNAMEHEADERS,0))),(INDEX(ALLCLASSDATA,MATCH("LightMaster",CLASSFEATUREHEADERS,0),MATCH(($A1349 &amp; "Points"),CLASSNAMEHEADERS,0))),(IF("03"=(INDEX(ALLCLASSDATA,MATCH("LightExpert",CLASSFEATUREHEADERS,0),MATCH($A1349,CLASSNAMEHEADERS,0))),(INDEX(ALLCLASSDATA,MATCH("LightExpert",CLASSFEATUREHEADERS,0),MATCH(($A1349 &amp; "Points"),CLASSNAMEHEADERS,0))),(IF("03"=(INDEX(ALLCLASSDATA,MATCH("LightTrained",CLASSFEATUREHEADERS,0),MATCH($A1349,CLASSNAMEHEADERS,0))),(INDEX(ALLCLASSDATA,MATCH("LightTrained",CLASSFEATUREHEADERS,0),MATCH(($A1349 &amp; "Points"),CLASSNAMEHEADERS,0))),"")))))))))}</f>
        <v>LIGHTL03</v>
      </c>
      <c r="K1348" s="223"/>
      <c r="L1348" s="223" t="str">
        <f t="array" ref="L1348:L1349">{"LIGHTL05";((IF("05"=(INDEX(ALLCLASSDATA,MATCH("LightLegendary",CLASSFEATUREHEADERS,0),MATCH($A1349,CLASSNAMEHEADERS,0))),(INDEX(ALLCLASSDATA,MATCH("LightLegendary",CLASSFEATUREHEADERS,0),MATCH(($A1349 &amp; "Points"),CLASSNAMEHEADERS,0))),(IF("05"=(INDEX(ALLCLASSDATA,MATCH("LightMaster",CLASSFEATUREHEADERS,0),MATCH($A1349,CLASSNAMEHEADERS,0))),(INDEX(ALLCLASSDATA,MATCH("LightMaster",CLASSFEATUREHEADERS,0),MATCH(($A1349 &amp; "Points"),CLASSNAMEHEADERS,0))),(IF("05"=(INDEX(ALLCLASSDATA,MATCH("LightExpert",CLASSFEATUREHEADERS,0),MATCH($A1349,CLASSNAMEHEADERS,0))),(INDEX(ALLCLASSDATA,MATCH("LightExpert",CLASSFEATUREHEADERS,0),MATCH(($A1349 &amp; "Points"),CLASSNAMEHEADERS,0))),(IF("05"=(INDEX(ALLCLASSDATA,MATCH("LightTrained",CLASSFEATUREHEADERS,0),MATCH($A1349,CLASSNAMEHEADERS,0))),(INDEX(ALLCLASSDATA,MATCH("LightTrained",CLASSFEATUREHEADERS,0),MATCH(($A1349 &amp; "Points"),CLASSNAMEHEADERS,0))),"")))))))))}</f>
        <v>LIGHTL05</v>
      </c>
      <c r="M1348" s="223"/>
      <c r="N1348" s="223" t="str">
        <f t="array" ref="N1348:N1349">{"LIGHTL07";((IF("07"=(INDEX(ALLCLASSDATA,MATCH("LightLegendary",CLASSFEATUREHEADERS,0),MATCH($A1349,CLASSNAMEHEADERS,0))),(INDEX(ALLCLASSDATA,MATCH("LightLegendary",CLASSFEATUREHEADERS,0),MATCH(($A1349 &amp; "Points"),CLASSNAMEHEADERS,0))),(IF("07"=(INDEX(ALLCLASSDATA,MATCH("LightMaster",CLASSFEATUREHEADERS,0),MATCH($A1349,CLASSNAMEHEADERS,0))),(INDEX(ALLCLASSDATA,MATCH("LightMaster",CLASSFEATUREHEADERS,0),MATCH(($A1349 &amp; "Points"),CLASSNAMEHEADERS,0))),(IF("07"=(INDEX(ALLCLASSDATA,MATCH("LightExpert",CLASSFEATUREHEADERS,0),MATCH($A1349,CLASSNAMEHEADERS,0))),(INDEX(ALLCLASSDATA,MATCH("LightExpert",CLASSFEATUREHEADERS,0),MATCH(($A1349 &amp; "Points"),CLASSNAMEHEADERS,0))),(IF("07"=(INDEX(ALLCLASSDATA,MATCH("LightTrained",CLASSFEATUREHEADERS,0),MATCH($A1349,CLASSNAMEHEADERS,0))),(INDEX(ALLCLASSDATA,MATCH("LightTrained",CLASSFEATUREHEADERS,0),MATCH(($A1349 &amp; "Points"),CLASSNAMEHEADERS,0))),"")))))))))}</f>
        <v>LIGHTL07</v>
      </c>
      <c r="O1348" s="223"/>
      <c r="P1348" s="223" t="str">
        <f t="array" ref="P1348:P1349">{"LIGHTL09";((IF("09"=(INDEX(ALLCLASSDATA,MATCH("LightLegendary",CLASSFEATUREHEADERS,0),MATCH($A1349,CLASSNAMEHEADERS,0))),(INDEX(ALLCLASSDATA,MATCH("LightLegendary",CLASSFEATUREHEADERS,0),MATCH(($A1349 &amp; "Points"),CLASSNAMEHEADERS,0))),(IF("09"=(INDEX(ALLCLASSDATA,MATCH("LightMaster",CLASSFEATUREHEADERS,0),MATCH($A1349,CLASSNAMEHEADERS,0))),(INDEX(ALLCLASSDATA,MATCH("LightMaster",CLASSFEATUREHEADERS,0),MATCH(($A1349 &amp; "Points"),CLASSNAMEHEADERS,0))),(IF("09"=(INDEX(ALLCLASSDATA,MATCH("LightExpert",CLASSFEATUREHEADERS,0),MATCH($A1349,CLASSNAMEHEADERS,0))),(INDEX(ALLCLASSDATA,MATCH("LightExpert",CLASSFEATUREHEADERS,0),MATCH(($A1349 &amp; "Points"),CLASSNAMEHEADERS,0))),(IF("09"=(INDEX(ALLCLASSDATA,MATCH("LightTrained",CLASSFEATUREHEADERS,0),MATCH($A1349,CLASSNAMEHEADERS,0))),(INDEX(ALLCLASSDATA,MATCH("LightTrained",CLASSFEATUREHEADERS,0),MATCH(($A1349 &amp; "Points"),CLASSNAMEHEADERS,0))),"")))))))))}</f>
        <v>LIGHTL09</v>
      </c>
      <c r="Q1348" s="223"/>
      <c r="R1348" s="223" t="str">
        <f t="array" ref="R1348:R1349">{"LIGHTL11";((IF("11"=(INDEX(ALLCLASSDATA,MATCH("LightLegendary",CLASSFEATUREHEADERS,0),MATCH($A1349,CLASSNAMEHEADERS,0))),(INDEX(ALLCLASSDATA,MATCH("LightLegendary",CLASSFEATUREHEADERS,0),MATCH(($A1349 &amp; "Points"),CLASSNAMEHEADERS,0))),(IF("11"=(INDEX(ALLCLASSDATA,MATCH("LightMaster",CLASSFEATUREHEADERS,0),MATCH($A1349,CLASSNAMEHEADERS,0))),(INDEX(ALLCLASSDATA,MATCH("LightMaster",CLASSFEATUREHEADERS,0),MATCH(($A1349 &amp; "Points"),CLASSNAMEHEADERS,0))),(IF("11"=(INDEX(ALLCLASSDATA,MATCH("LightExpert",CLASSFEATUREHEADERS,0),MATCH($A1349,CLASSNAMEHEADERS,0))),(INDEX(ALLCLASSDATA,MATCH("LightExpert",CLASSFEATUREHEADERS,0),MATCH(($A1349 &amp; "Points"),CLASSNAMEHEADERS,0))),(IF("11"=(INDEX(ALLCLASSDATA,MATCH("LightTrained",CLASSFEATUREHEADERS,0),MATCH($A1349,CLASSNAMEHEADERS,0))),(INDEX(ALLCLASSDATA,MATCH("LightTrained",CLASSFEATUREHEADERS,0),MATCH(($A1349 &amp; "Points"),CLASSNAMEHEADERS,0))),"")))))))))}</f>
        <v>LIGHTL11</v>
      </c>
      <c r="S1348" s="223"/>
      <c r="T1348" s="223" t="str">
        <f t="array" ref="T1348:T1349">{"LIGHTL13";((IF("13"=(INDEX(ALLCLASSDATA,MATCH("LightLegendary",CLASSFEATUREHEADERS,0),MATCH($A1349,CLASSNAMEHEADERS,0))),(INDEX(ALLCLASSDATA,MATCH("LightLegendary",CLASSFEATUREHEADERS,0),MATCH(($A1349 &amp; "Points"),CLASSNAMEHEADERS,0))),(IF("13"=(INDEX(ALLCLASSDATA,MATCH("LightMaster",CLASSFEATUREHEADERS,0),MATCH($A1349,CLASSNAMEHEADERS,0))),(INDEX(ALLCLASSDATA,MATCH("LightMaster",CLASSFEATUREHEADERS,0),MATCH(($A1349 &amp; "Points"),CLASSNAMEHEADERS,0))),(IF("13"=(INDEX(ALLCLASSDATA,MATCH("LightExpert",CLASSFEATUREHEADERS,0),MATCH($A1349,CLASSNAMEHEADERS,0))),(INDEX(ALLCLASSDATA,MATCH("LightExpert",CLASSFEATUREHEADERS,0),MATCH(($A1349 &amp; "Points"),CLASSNAMEHEADERS,0))),(IF("13"=(INDEX(ALLCLASSDATA,MATCH("LightTrained",CLASSFEATUREHEADERS,0),MATCH($A1349,CLASSNAMEHEADERS,0))),(INDEX(ALLCLASSDATA,MATCH("LightTrained",CLASSFEATUREHEADERS,0),MATCH(($A1349 &amp; "Points"),CLASSNAMEHEADERS,0))),"")))))))))}</f>
        <v>LIGHTL13</v>
      </c>
      <c r="U1348" s="223"/>
      <c r="V1348" s="223" t="str">
        <f t="array" ref="V1348:V1349">{"LIGHTL15";((IF("15"=(INDEX(ALLCLASSDATA,MATCH("LightLegendary",CLASSFEATUREHEADERS,0),MATCH($A1349,CLASSNAMEHEADERS,0))),(INDEX(ALLCLASSDATA,MATCH("LightLegendary",CLASSFEATUREHEADERS,0),MATCH(($A1349 &amp; "Points"),CLASSNAMEHEADERS,0))),(IF("15"=(INDEX(ALLCLASSDATA,MATCH("LightMaster",CLASSFEATUREHEADERS,0),MATCH($A1349,CLASSNAMEHEADERS,0))),(INDEX(ALLCLASSDATA,MATCH("LightMaster",CLASSFEATUREHEADERS,0),MATCH(($A1349 &amp; "Points"),CLASSNAMEHEADERS,0))),(IF("15"=(INDEX(ALLCLASSDATA,MATCH("LightExpert",CLASSFEATUREHEADERS,0),MATCH($A1349,CLASSNAMEHEADERS,0))),(INDEX(ALLCLASSDATA,MATCH("LightExpert",CLASSFEATUREHEADERS,0),MATCH(($A1349 &amp; "Points"),CLASSNAMEHEADERS,0))),(IF("15"=(INDEX(ALLCLASSDATA,MATCH("LightTrained",CLASSFEATUREHEADERS,0),MATCH($A1349,CLASSNAMEHEADERS,0))),(INDEX(ALLCLASSDATA,MATCH("LightTrained",CLASSFEATUREHEADERS,0),MATCH(($A1349 &amp; "Points"),CLASSNAMEHEADERS,0))),"")))))))))}</f>
        <v>LIGHTL15</v>
      </c>
      <c r="W1348" s="223"/>
      <c r="X1348" s="223" t="str">
        <f t="array" ref="X1348:X1349">{"LIGHTL17";((IF("17"=(INDEX(ALLCLASSDATA,MATCH("LightLegendary",CLASSFEATUREHEADERS,0),MATCH($A1349,CLASSNAMEHEADERS,0))),(INDEX(ALLCLASSDATA,MATCH("LightLegendary",CLASSFEATUREHEADERS,0),MATCH(($A1349 &amp; "Points"),CLASSNAMEHEADERS,0))),(IF("17"=(INDEX(ALLCLASSDATA,MATCH("LightMaster",CLASSFEATUREHEADERS,0),MATCH($A1349,CLASSNAMEHEADERS,0))),(INDEX(ALLCLASSDATA,MATCH("LightMaster",CLASSFEATUREHEADERS,0),MATCH(($A1349 &amp; "Points"),CLASSNAMEHEADERS,0))),(IF("17"=(INDEX(ALLCLASSDATA,MATCH("LightExpert",CLASSFEATUREHEADERS,0),MATCH($A1349,CLASSNAMEHEADERS,0))),(INDEX(ALLCLASSDATA,MATCH("LightExpert",CLASSFEATUREHEADERS,0),MATCH(($A1349 &amp; "Points"),CLASSNAMEHEADERS,0))),(IF("17"=(INDEX(ALLCLASSDATA,MATCH("LightTrained",CLASSFEATUREHEADERS,0),MATCH($A1349,CLASSNAMEHEADERS,0))),(INDEX(ALLCLASSDATA,MATCH("LightTrained",CLASSFEATUREHEADERS,0),MATCH(($A1349 &amp; "Points"),CLASSNAMEHEADERS,0))),"")))))))))}</f>
        <v>LIGHTL17</v>
      </c>
      <c r="Y1348" s="223"/>
      <c r="Z1348" s="223" t="str">
        <f t="array" ref="Z1348:Z1349">{"LIGHTL19";((IF("19"=(INDEX(ALLCLASSDATA,MATCH("LightLegendary",CLASSFEATUREHEADERS,0),MATCH($A1349,CLASSNAMEHEADERS,0))),(INDEX(ALLCLASSDATA,MATCH("LightLegendary",CLASSFEATUREHEADERS,0),MATCH(($A1349 &amp; "Points"),CLASSNAMEHEADERS,0))),(IF("19"=(INDEX(ALLCLASSDATA,MATCH("LightMaster",CLASSFEATUREHEADERS,0),MATCH($A1349,CLASSNAMEHEADERS,0))),(INDEX(ALLCLASSDATA,MATCH("LightMaster",CLASSFEATUREHEADERS,0),MATCH(($A1349 &amp; "Points"),CLASSNAMEHEADERS,0))),(IF("19"=(INDEX(ALLCLASSDATA,MATCH("LightExpert",CLASSFEATUREHEADERS,0),MATCH($A1349,CLASSNAMEHEADERS,0))),(INDEX(ALLCLASSDATA,MATCH("LightExpert",CLASSFEATUREHEADERS,0),MATCH(($A1349 &amp; "Points"),CLASSNAMEHEADERS,0))),(IF("19"=(INDEX(ALLCLASSDATA,MATCH("LightTrained",CLASSFEATUREHEADERS,0),MATCH($A1349,CLASSNAMEHEADERS,0))),(INDEX(ALLCLASSDATA,MATCH("LightTrained",CLASSFEATUREHEADERS,0),MATCH(($A1349 &amp; "Points"),CLASSNAMEHEADERS,0))),"")))))))))}</f>
        <v>LIGHTL19</v>
      </c>
      <c r="AA1348" s="223"/>
      <c r="AB1348" s="76" t="str">
        <f t="array" ref="AB1348:AB1349">{"LIGHT TOTAL";(IF(COUNTBLANK(G1349:AA1349)=17,"L",(IF(COUNTBLANK(G1349:AA1349)=18,"M",(IF(COUNTBLANK(G1349:AA1349)=19,"E",(IF(COUNTBLANK(G1349:AA1349)=20,"T",""))))))))}</f>
        <v>LIGHT TOTAL</v>
      </c>
      <c r="AC1348" s="76" t="str">
        <f t="array" ref="AC1348:AC1349">{"LIGHT TOTAL";(sum(G1349:AA1349))}</f>
        <v>LIGHT TOTAL</v>
      </c>
    </row>
    <row r="1349">
      <c r="A1349" s="48" t="s">
        <v>211</v>
      </c>
      <c r="B1349" s="48"/>
      <c r="C1349" s="48" t="s">
        <v>417</v>
      </c>
      <c r="D1349" s="48" t="s">
        <v>1900</v>
      </c>
      <c r="E1349" s="48" t="s">
        <v>77</v>
      </c>
      <c r="F1349" s="5" t="s">
        <v>435</v>
      </c>
      <c r="G1349" s="47" t="s">
        <v>603</v>
      </c>
      <c r="H1349" s="5">
        <v>10.0</v>
      </c>
      <c r="I1349" s="5"/>
      <c r="J1349" s="5" t="s">
        <v>603</v>
      </c>
      <c r="K1349" s="5"/>
      <c r="L1349" s="5" t="s">
        <v>603</v>
      </c>
      <c r="M1349" s="5"/>
      <c r="N1349" s="5" t="s">
        <v>603</v>
      </c>
      <c r="O1349" s="5"/>
      <c r="P1349" s="5" t="s">
        <v>603</v>
      </c>
      <c r="Q1349" s="5"/>
      <c r="R1349" s="5" t="s">
        <v>603</v>
      </c>
      <c r="S1349" s="5"/>
      <c r="T1349" s="5" t="s">
        <v>436</v>
      </c>
      <c r="U1349" s="5"/>
      <c r="V1349" s="5" t="s">
        <v>603</v>
      </c>
      <c r="W1349" s="5"/>
      <c r="X1349" s="5" t="s">
        <v>603</v>
      </c>
      <c r="Y1349" s="5"/>
      <c r="Z1349" s="5" t="s">
        <v>603</v>
      </c>
      <c r="AA1349" s="5"/>
      <c r="AB1349" s="5" t="s">
        <v>436</v>
      </c>
      <c r="AC1349" s="47">
        <v>10.0</v>
      </c>
    </row>
    <row r="1350" hidden="1">
      <c r="A1350" s="222" t="str">
        <f t="array" ref="A1350:A1351">{"FormulaRow37";(INDEX(CLASSLIST,A1277,1))}</f>
        <v>FormulaRow37</v>
      </c>
      <c r="B1350" s="77" t="s">
        <v>236</v>
      </c>
      <c r="C1350" s="222" t="str">
        <f t="array" ref="C1350:C1351">{"CLASSTYPE";((INDEX(ALLCLASSDATA,MATCH("ClassType",CLASSFEATUREHEADERS,0),MATCH($A1351,CLASSNAMEHEADERS,0))))}</f>
        <v>CLASSTYPE</v>
      </c>
      <c r="D1350" s="222" t="str">
        <f t="array" ref="D1350:D1351">{"DEFENSE";"Defense"}</f>
        <v>DEFENSE</v>
      </c>
      <c r="E1350" s="222" t="str">
        <f t="array" ref="E1350:E1351">{"MEDIUM";"Medium"}</f>
        <v>MEDIUM</v>
      </c>
      <c r="F1350" s="223" t="str">
        <f t="array" ref="F1350:F1351">{"MEDIUMINITIAL";((IF(H1351=10,"T",(IF(H1351=50,"E","")))))}</f>
        <v>MEDIUMINITIAL</v>
      </c>
      <c r="G1350" s="223" t="str">
        <f t="array" ref="G1350:G1351">{"MEDIUMINITIALPTS";((IF("00"=(INDEX(ALLCLASSDATA,MATCH("MediumLegendary",CLASSFEATUREHEADERS,0),MATCH($A1351,CLASSNAMEHEADERS,0))),(INDEX(ALLCLASSDATA,MATCH("MediumLegendary",CLASSFEATUREHEADERS,0),MATCH(($A1351 &amp; "Points"),CLASSNAMEHEADERS,0))),(IF("00"=(INDEX(ALLCLASSDATA,MATCH("MediumMaster",CLASSFEATUREHEADERS,0),MATCH($A1351,CLASSNAMEHEADERS,0))),(INDEX(ALLCLASSDATA,MATCH("MediumMaster",CLASSFEATUREHEADERS,0),MATCH(($A1351 &amp; "Points"),CLASSNAMEHEADERS,0))),(IF("00"=(INDEX(ALLCLASSDATA,MATCH("MediumExpert",CLASSFEATUREHEADERS,0),MATCH($A1351,CLASSNAMEHEADERS,0))),(INDEX(ALLCLASSDATA,MATCH("MediumExpert",CLASSFEATUREHEADERS,0),MATCH(($A1351 &amp; "Points"),CLASSNAMEHEADERS,0))),(IF("00"=(INDEX(ALLCLASSDATA,MATCH("MediumTrained",CLASSFEATUREHEADERS,0),MATCH($A1351,CLASSNAMEHEADERS,0))),(INDEX(ALLCLASSDATA,MATCH("MediumTrained",CLASSFEATUREHEADERS,0),MATCH(($A1351 &amp; "Points"),CLASSNAMEHEADERS,0))),"")))))))))}</f>
        <v>MEDIUMINITIALPTS</v>
      </c>
      <c r="H1350" s="223" t="str">
        <f t="array" ref="H1350:H1351">{"MEDIUML01";((IF("01"=(INDEX(ALLCLASSDATA,MATCH("MediumLegendary",CLASSFEATUREHEADERS,0),MATCH($A1351,CLASSNAMEHEADERS,0))),(INDEX(ALLCLASSDATA,MATCH("MediumLegendary",CLASSFEATUREHEADERS,0),MATCH(($A1351 &amp; "Points"),CLASSNAMEHEADERS,0))),(IF("01"=(INDEX(ALLCLASSDATA,MATCH("MediumMaster",CLASSFEATUREHEADERS,0),MATCH($A1351,CLASSNAMEHEADERS,0))),(INDEX(ALLCLASSDATA,MATCH("MediumMaster",CLASSFEATUREHEADERS,0),MATCH(($A1351 &amp; "Points"),CLASSNAMEHEADERS,0))),(IF("01"=(INDEX(ALLCLASSDATA,MATCH("MediumExpert",CLASSFEATUREHEADERS,0),MATCH($A1351,CLASSNAMEHEADERS,0))),(INDEX(ALLCLASSDATA,MATCH("MediumExpert",CLASSFEATUREHEADERS,0),MATCH(($A1351 &amp; "Points"),CLASSNAMEHEADERS,0))),(IF("01"=(INDEX(ALLCLASSDATA,MATCH("MediumTrained",CLASSFEATUREHEADERS,0),MATCH($A1351,CLASSNAMEHEADERS,0))),(INDEX(ALLCLASSDATA,MATCH("MediumTrained",CLASSFEATUREHEADERS,0),MATCH(($A1351 &amp; "Points"),CLASSNAMEHEADERS,0))),"")))))))))}</f>
        <v>MEDIUML01</v>
      </c>
      <c r="I1350" s="223"/>
      <c r="J1350" s="223" t="str">
        <f t="array" ref="J1350:J1351">{"MEDIUML03";((IF("03"=(INDEX(ALLCLASSDATA,MATCH("MediumLegendary",CLASSFEATUREHEADERS,0),MATCH($A1351,CLASSNAMEHEADERS,0))),(INDEX(ALLCLASSDATA,MATCH("MediumLegendary",CLASSFEATUREHEADERS,0),MATCH(($A1351 &amp; "Points"),CLASSNAMEHEADERS,0))),(IF("03"=(INDEX(ALLCLASSDATA,MATCH("MediumMaster",CLASSFEATUREHEADERS,0),MATCH($A1351,CLASSNAMEHEADERS,0))),(INDEX(ALLCLASSDATA,MATCH("MediumMaster",CLASSFEATUREHEADERS,0),MATCH(($A1351 &amp; "Points"),CLASSNAMEHEADERS,0))),(IF("03"=(INDEX(ALLCLASSDATA,MATCH("MediumExpert",CLASSFEATUREHEADERS,0),MATCH($A1351,CLASSNAMEHEADERS,0))),(INDEX(ALLCLASSDATA,MATCH("MediumExpert",CLASSFEATUREHEADERS,0),MATCH(($A1351 &amp; "Points"),CLASSNAMEHEADERS,0))),(IF("03"=(INDEX(ALLCLASSDATA,MATCH("MediumTrained",CLASSFEATUREHEADERS,0),MATCH($A1351,CLASSNAMEHEADERS,0))),(INDEX(ALLCLASSDATA,MATCH("MediumTrained",CLASSFEATUREHEADERS,0),MATCH(($A1351 &amp; "Points"),CLASSNAMEHEADERS,0))),"")))))))))}</f>
        <v>MEDIUML03</v>
      </c>
      <c r="K1350" s="223"/>
      <c r="L1350" s="223" t="str">
        <f t="array" ref="L1350:L1351">{"MEDIUML05";((IF("05"=(INDEX(ALLCLASSDATA,MATCH("MediumLegendary",CLASSFEATUREHEADERS,0),MATCH($A1351,CLASSNAMEHEADERS,0))),(INDEX(ALLCLASSDATA,MATCH("MediumLegendary",CLASSFEATUREHEADERS,0),MATCH(($A1351 &amp; "Points"),CLASSNAMEHEADERS,0))),(IF("05"=(INDEX(ALLCLASSDATA,MATCH("MediumMaster",CLASSFEATUREHEADERS,0),MATCH($A1351,CLASSNAMEHEADERS,0))),(INDEX(ALLCLASSDATA,MATCH("MediumMaster",CLASSFEATUREHEADERS,0),MATCH(($A1351 &amp; "Points"),CLASSNAMEHEADERS,0))),(IF("05"=(INDEX(ALLCLASSDATA,MATCH("MediumExpert",CLASSFEATUREHEADERS,0),MATCH($A1351,CLASSNAMEHEADERS,0))),(INDEX(ALLCLASSDATA,MATCH("MediumExpert",CLASSFEATUREHEADERS,0),MATCH(($A1351 &amp; "Points"),CLASSNAMEHEADERS,0))),(IF("05"=(INDEX(ALLCLASSDATA,MATCH("MediumTrained",CLASSFEATUREHEADERS,0),MATCH($A1351,CLASSNAMEHEADERS,0))),(INDEX(ALLCLASSDATA,MATCH("MediumTrained",CLASSFEATUREHEADERS,0),MATCH(($A1351 &amp; "Points"),CLASSNAMEHEADERS,0))),"")))))))))}</f>
        <v>MEDIUML05</v>
      </c>
      <c r="M1350" s="223"/>
      <c r="N1350" s="223" t="str">
        <f t="array" ref="N1350:N1351">{"MEDIUML07";((IF("07"=(INDEX(ALLCLASSDATA,MATCH("MediumLegendary",CLASSFEATUREHEADERS,0),MATCH($A1351,CLASSNAMEHEADERS,0))),(INDEX(ALLCLASSDATA,MATCH("MediumLegendary",CLASSFEATUREHEADERS,0),MATCH(($A1351 &amp; "Points"),CLASSNAMEHEADERS,0))),(IF("07"=(INDEX(ALLCLASSDATA,MATCH("MediumMaster",CLASSFEATUREHEADERS,0),MATCH($A1351,CLASSNAMEHEADERS,0))),(INDEX(ALLCLASSDATA,MATCH("MediumMaster",CLASSFEATUREHEADERS,0),MATCH(($A1351 &amp; "Points"),CLASSNAMEHEADERS,0))),(IF("07"=(INDEX(ALLCLASSDATA,MATCH("MediumExpert",CLASSFEATUREHEADERS,0),MATCH($A1351,CLASSNAMEHEADERS,0))),(INDEX(ALLCLASSDATA,MATCH("MediumExpert",CLASSFEATUREHEADERS,0),MATCH(($A1351 &amp; "Points"),CLASSNAMEHEADERS,0))),(IF("07"=(INDEX(ALLCLASSDATA,MATCH("MediumTrained",CLASSFEATUREHEADERS,0),MATCH($A1351,CLASSNAMEHEADERS,0))),(INDEX(ALLCLASSDATA,MATCH("MediumTrained",CLASSFEATUREHEADERS,0),MATCH(($A1351 &amp; "Points"),CLASSNAMEHEADERS,0))),"")))))))))}</f>
        <v>MEDIUML07</v>
      </c>
      <c r="O1350" s="223"/>
      <c r="P1350" s="223" t="str">
        <f t="array" ref="P1350:P1351">{"MEDIUML09";((IF("09"=(INDEX(ALLCLASSDATA,MATCH("MediumLegendary",CLASSFEATUREHEADERS,0),MATCH($A1351,CLASSNAMEHEADERS,0))),(INDEX(ALLCLASSDATA,MATCH("MediumLegendary",CLASSFEATUREHEADERS,0),MATCH(($A1351 &amp; "Points"),CLASSNAMEHEADERS,0))),(IF("09"=(INDEX(ALLCLASSDATA,MATCH("MediumMaster",CLASSFEATUREHEADERS,0),MATCH($A1351,CLASSNAMEHEADERS,0))),(INDEX(ALLCLASSDATA,MATCH("MediumMaster",CLASSFEATUREHEADERS,0),MATCH(($A1351 &amp; "Points"),CLASSNAMEHEADERS,0))),(IF("09"=(INDEX(ALLCLASSDATA,MATCH("MediumExpert",CLASSFEATUREHEADERS,0),MATCH($A1351,CLASSNAMEHEADERS,0))),(INDEX(ALLCLASSDATA,MATCH("MediumExpert",CLASSFEATUREHEADERS,0),MATCH(($A1351 &amp; "Points"),CLASSNAMEHEADERS,0))),(IF("09"=(INDEX(ALLCLASSDATA,MATCH("MediumTrained",CLASSFEATUREHEADERS,0),MATCH($A1351,CLASSNAMEHEADERS,0))),(INDEX(ALLCLASSDATA,MATCH("MediumTrained",CLASSFEATUREHEADERS,0),MATCH(($A1351 &amp; "Points"),CLASSNAMEHEADERS,0))),"")))))))))}</f>
        <v>MEDIUML09</v>
      </c>
      <c r="Q1350" s="223"/>
      <c r="R1350" s="223" t="str">
        <f t="array" ref="R1350:R1351">{"MEDIUML11";((IF("11"=(INDEX(ALLCLASSDATA,MATCH("MediumLegendary",CLASSFEATUREHEADERS,0),MATCH($A1351,CLASSNAMEHEADERS,0))),(INDEX(ALLCLASSDATA,MATCH("MediumLegendary",CLASSFEATUREHEADERS,0),MATCH(($A1351 &amp; "Points"),CLASSNAMEHEADERS,0))),(IF("11"=(INDEX(ALLCLASSDATA,MATCH("MediumMaster",CLASSFEATUREHEADERS,0),MATCH($A1351,CLASSNAMEHEADERS,0))),(INDEX(ALLCLASSDATA,MATCH("MediumMaster",CLASSFEATUREHEADERS,0),MATCH(($A1351 &amp; "Points"),CLASSNAMEHEADERS,0))),(IF("11"=(INDEX(ALLCLASSDATA,MATCH("MediumExpert",CLASSFEATUREHEADERS,0),MATCH($A1351,CLASSNAMEHEADERS,0))),(INDEX(ALLCLASSDATA,MATCH("MediumExpert",CLASSFEATUREHEADERS,0),MATCH(($A1351 &amp; "Points"),CLASSNAMEHEADERS,0))),(IF("11"=(INDEX(ALLCLASSDATA,MATCH("MediumTrained",CLASSFEATUREHEADERS,0),MATCH($A1351,CLASSNAMEHEADERS,0))),(INDEX(ALLCLASSDATA,MATCH("MediumTrained",CLASSFEATUREHEADERS,0),MATCH(($A1351 &amp; "Points"),CLASSNAMEHEADERS,0))),"")))))))))}</f>
        <v>MEDIUML11</v>
      </c>
      <c r="S1350" s="223"/>
      <c r="T1350" s="223" t="str">
        <f t="array" ref="T1350:T1351">{"MEDIUML13";((IF("13"=(INDEX(ALLCLASSDATA,MATCH("MediumLegendary",CLASSFEATUREHEADERS,0),MATCH($A1351,CLASSNAMEHEADERS,0))),(INDEX(ALLCLASSDATA,MATCH("MediumLegendary",CLASSFEATUREHEADERS,0),MATCH(($A1351 &amp; "Points"),CLASSNAMEHEADERS,0))),(IF("13"=(INDEX(ALLCLASSDATA,MATCH("MediumMaster",CLASSFEATUREHEADERS,0),MATCH($A1351,CLASSNAMEHEADERS,0))),(INDEX(ALLCLASSDATA,MATCH("MediumMaster",CLASSFEATUREHEADERS,0),MATCH(($A1351 &amp; "Points"),CLASSNAMEHEADERS,0))),(IF("13"=(INDEX(ALLCLASSDATA,MATCH("MediumExpert",CLASSFEATUREHEADERS,0),MATCH($A1351,CLASSNAMEHEADERS,0))),(INDEX(ALLCLASSDATA,MATCH("MediumExpert",CLASSFEATUREHEADERS,0),MATCH(($A1351 &amp; "Points"),CLASSNAMEHEADERS,0))),(IF("13"=(INDEX(ALLCLASSDATA,MATCH("MediumTrained",CLASSFEATUREHEADERS,0),MATCH($A1351,CLASSNAMEHEADERS,0))),(INDEX(ALLCLASSDATA,MATCH("MediumTrained",CLASSFEATUREHEADERS,0),MATCH(($A1351 &amp; "Points"),CLASSNAMEHEADERS,0))),"")))))))))}</f>
        <v>MEDIUML13</v>
      </c>
      <c r="U1350" s="223"/>
      <c r="V1350" s="223" t="str">
        <f t="array" ref="V1350:V1351">{"MEDIUML15";((IF("15"=(INDEX(ALLCLASSDATA,MATCH("MediumLegendary",CLASSFEATUREHEADERS,0),MATCH($A1351,CLASSNAMEHEADERS,0))),(INDEX(ALLCLASSDATA,MATCH("MediumLegendary",CLASSFEATUREHEADERS,0),MATCH(($A1351 &amp; "Points"),CLASSNAMEHEADERS,0))),(IF("15"=(INDEX(ALLCLASSDATA,MATCH("MediumMaster",CLASSFEATUREHEADERS,0),MATCH($A1351,CLASSNAMEHEADERS,0))),(INDEX(ALLCLASSDATA,MATCH("MediumMaster",CLASSFEATUREHEADERS,0),MATCH(($A1351 &amp; "Points"),CLASSNAMEHEADERS,0))),(IF("15"=(INDEX(ALLCLASSDATA,MATCH("MediumExpert",CLASSFEATUREHEADERS,0),MATCH($A1351,CLASSNAMEHEADERS,0))),(INDEX(ALLCLASSDATA,MATCH("MediumExpert",CLASSFEATUREHEADERS,0),MATCH(($A1351 &amp; "Points"),CLASSNAMEHEADERS,0))),(IF("15"=(INDEX(ALLCLASSDATA,MATCH("MediumTrained",CLASSFEATUREHEADERS,0),MATCH($A1351,CLASSNAMEHEADERS,0))),(INDEX(ALLCLASSDATA,MATCH("MediumTrained",CLASSFEATUREHEADERS,0),MATCH(($A1351 &amp; "Points"),CLASSNAMEHEADERS,0))),"")))))))))}</f>
        <v>MEDIUML15</v>
      </c>
      <c r="W1350" s="223"/>
      <c r="X1350" s="223" t="str">
        <f t="array" ref="X1350:X1351">{"MEDIUML17";((IF("17"=(INDEX(ALLCLASSDATA,MATCH("MediumLegendary",CLASSFEATUREHEADERS,0),MATCH($A1351,CLASSNAMEHEADERS,0))),(INDEX(ALLCLASSDATA,MATCH("MediumLegendary",CLASSFEATUREHEADERS,0),MATCH(($A1351 &amp; "Points"),CLASSNAMEHEADERS,0))),(IF("17"=(INDEX(ALLCLASSDATA,MATCH("MediumMaster",CLASSFEATUREHEADERS,0),MATCH($A1351,CLASSNAMEHEADERS,0))),(INDEX(ALLCLASSDATA,MATCH("MediumMaster",CLASSFEATUREHEADERS,0),MATCH(($A1351 &amp; "Points"),CLASSNAMEHEADERS,0))),(IF("17"=(INDEX(ALLCLASSDATA,MATCH("MediumExpert",CLASSFEATUREHEADERS,0),MATCH($A1351,CLASSNAMEHEADERS,0))),(INDEX(ALLCLASSDATA,MATCH("MediumExpert",CLASSFEATUREHEADERS,0),MATCH(($A1351 &amp; "Points"),CLASSNAMEHEADERS,0))),(IF("17"=(INDEX(ALLCLASSDATA,MATCH("MediumTrained",CLASSFEATUREHEADERS,0),MATCH($A1351,CLASSNAMEHEADERS,0))),(INDEX(ALLCLASSDATA,MATCH("MediumTrained",CLASSFEATUREHEADERS,0),MATCH(($A1351 &amp; "Points"),CLASSNAMEHEADERS,0))),"")))))))))}</f>
        <v>MEDIUML17</v>
      </c>
      <c r="Y1350" s="223"/>
      <c r="Z1350" s="223" t="str">
        <f t="array" ref="Z1350:Z1351">{"MEDIUML19";((IF("19"=(INDEX(ALLCLASSDATA,MATCH("MediumLegendary",CLASSFEATUREHEADERS,0),MATCH($A1351,CLASSNAMEHEADERS,0))),(INDEX(ALLCLASSDATA,MATCH("MediumLegendary",CLASSFEATUREHEADERS,0),MATCH(($A1351 &amp; "Points"),CLASSNAMEHEADERS,0))),(IF("19"=(INDEX(ALLCLASSDATA,MATCH("MediumMaster",CLASSFEATUREHEADERS,0),MATCH($A1351,CLASSNAMEHEADERS,0))),(INDEX(ALLCLASSDATA,MATCH("MediumMaster",CLASSFEATUREHEADERS,0),MATCH(($A1351 &amp; "Points"),CLASSNAMEHEADERS,0))),(IF("19"=(INDEX(ALLCLASSDATA,MATCH("MediumExpert",CLASSFEATUREHEADERS,0),MATCH($A1351,CLASSNAMEHEADERS,0))),(INDEX(ALLCLASSDATA,MATCH("MediumExpert",CLASSFEATUREHEADERS,0),MATCH(($A1351 &amp; "Points"),CLASSNAMEHEADERS,0))),(IF("19"=(INDEX(ALLCLASSDATA,MATCH("MediumTrained",CLASSFEATUREHEADERS,0),MATCH($A1351,CLASSNAMEHEADERS,0))),(INDEX(ALLCLASSDATA,MATCH("MediumTrained",CLASSFEATUREHEADERS,0),MATCH(($A1351 &amp; "Points"),CLASSNAMEHEADERS,0))),"")))))))))}</f>
        <v>MEDIUML19</v>
      </c>
      <c r="AA1350" s="223"/>
      <c r="AB1350" s="76" t="str">
        <f t="array" ref="AB1350:AB1351">{"MEDIUM TOTAL";(IF(COUNTBLANK(G1351:AA1351)=17,"L",(IF(COUNTBLANK(G1351:AA1351)=18,"M",(IF(COUNTBLANK(G1351:AA1351)=19,"E",(IF(COUNTBLANK(G1351:AA1351)=20,"T",""))))))))}</f>
        <v>MEDIUM TOTAL</v>
      </c>
      <c r="AC1350" s="76" t="str">
        <f t="array" ref="AC1350:AC1351">{"MEDIUM TOTAL";(sum(G1351:AA1351))}</f>
        <v>MEDIUM TOTAL</v>
      </c>
    </row>
    <row r="1351">
      <c r="A1351" s="48" t="s">
        <v>211</v>
      </c>
      <c r="B1351" s="48"/>
      <c r="C1351" s="48" t="s">
        <v>417</v>
      </c>
      <c r="D1351" s="48" t="s">
        <v>1900</v>
      </c>
      <c r="E1351" s="48" t="s">
        <v>76</v>
      </c>
      <c r="F1351" s="5" t="s">
        <v>435</v>
      </c>
      <c r="G1351" s="47" t="s">
        <v>603</v>
      </c>
      <c r="H1351" s="5">
        <v>10.0</v>
      </c>
      <c r="I1351" s="5"/>
      <c r="J1351" s="5" t="s">
        <v>603</v>
      </c>
      <c r="K1351" s="5"/>
      <c r="L1351" s="5" t="s">
        <v>603</v>
      </c>
      <c r="M1351" s="5"/>
      <c r="N1351" s="5" t="s">
        <v>603</v>
      </c>
      <c r="O1351" s="5"/>
      <c r="P1351" s="5" t="s">
        <v>603</v>
      </c>
      <c r="Q1351" s="5"/>
      <c r="R1351" s="5" t="s">
        <v>603</v>
      </c>
      <c r="S1351" s="5"/>
      <c r="T1351" s="5">
        <v>50.0</v>
      </c>
      <c r="U1351" s="5"/>
      <c r="V1351" s="5" t="s">
        <v>603</v>
      </c>
      <c r="W1351" s="5"/>
      <c r="X1351" s="5" t="s">
        <v>603</v>
      </c>
      <c r="Y1351" s="5"/>
      <c r="Z1351" s="5" t="s">
        <v>603</v>
      </c>
      <c r="AA1351" s="5"/>
      <c r="AB1351" s="5" t="s">
        <v>436</v>
      </c>
      <c r="AC1351" s="47">
        <v>60.0</v>
      </c>
    </row>
    <row r="1352" hidden="1">
      <c r="A1352" s="222" t="str">
        <f t="array" ref="A1352:A1353">{"FormulaRow38";(INDEX(CLASSLIST,A1277,1))}</f>
        <v>FormulaRow38</v>
      </c>
      <c r="B1352" s="77" t="s">
        <v>236</v>
      </c>
      <c r="C1352" s="222" t="str">
        <f t="array" ref="C1352:C1353">{"CLASSTYPE";((INDEX(ALLCLASSDATA,MATCH("ClassType",CLASSFEATUREHEADERS,0),MATCH($A1353,CLASSNAMEHEADERS,0))))}</f>
        <v>CLASSTYPE</v>
      </c>
      <c r="D1352" s="222" t="str">
        <f t="array" ref="D1352:D1353">{"DEFENSE";"Defense"}</f>
        <v>DEFENSE</v>
      </c>
      <c r="E1352" s="222" t="str">
        <f t="array" ref="E1352:E1353">{"HEAVY";"Heavy"}</f>
        <v>HEAVY</v>
      </c>
      <c r="F1352" s="223" t="str">
        <f t="array" ref="F1352:F1353">{"HEAVYINITIAL";((IF(H1353=10,"T",(IF(H1353=50,"E","")))))}</f>
        <v>HEAVYINITIAL</v>
      </c>
      <c r="G1352" s="223" t="str">
        <f t="array" ref="G1352:G1353">{"HEAVYINITIALPTS";((IF("00"=(INDEX(ALLCLASSDATA,MATCH("HeavyLegendary",CLASSFEATUREHEADERS,0),MATCH($A1353,CLASSNAMEHEADERS,0))),(INDEX(ALLCLASSDATA,MATCH("HeavyLegendary",CLASSFEATUREHEADERS,0),MATCH(($A1353 &amp; "Points"),CLASSNAMEHEADERS,0))),(IF("00"=(INDEX(ALLCLASSDATA,MATCH("HeavyMaster",CLASSFEATUREHEADERS,0),MATCH($A1353,CLASSNAMEHEADERS,0))),(INDEX(ALLCLASSDATA,MATCH("HeavyMaster",CLASSFEATUREHEADERS,0),MATCH(($A1353 &amp; "Points"),CLASSNAMEHEADERS,0))),(IF("00"=(INDEX(ALLCLASSDATA,MATCH("HeavyExpert",CLASSFEATUREHEADERS,0),MATCH($A1353,CLASSNAMEHEADERS,0))),(INDEX(ALLCLASSDATA,MATCH("HeavyExpert",CLASSFEATUREHEADERS,0),MATCH(($A1353 &amp; "Points"),CLASSNAMEHEADERS,0))),(IF("00"=(INDEX(ALLCLASSDATA,MATCH("HeavyTrained",CLASSFEATUREHEADERS,0),MATCH($A1353,CLASSNAMEHEADERS,0))),(INDEX(ALLCLASSDATA,MATCH("HeavyTrained",CLASSFEATUREHEADERS,0),MATCH(($A1353 &amp; "Points"),CLASSNAMEHEADERS,0))),"")))))))))}</f>
        <v>HEAVYINITIALPTS</v>
      </c>
      <c r="H1352" s="223" t="str">
        <f t="array" ref="H1352:H1353">{"HEAVYL01";((IF("01"=(INDEX(ALLCLASSDATA,MATCH("HeavyLegendary",CLASSFEATUREHEADERS,0),MATCH($A1353,CLASSNAMEHEADERS,0))),(INDEX(ALLCLASSDATA,MATCH("HeavyLegendary",CLASSFEATUREHEADERS,0),MATCH(($A1353 &amp; "Points"),CLASSNAMEHEADERS,0))),(IF("01"=(INDEX(ALLCLASSDATA,MATCH("HeavyMaster",CLASSFEATUREHEADERS,0),MATCH($A1353,CLASSNAMEHEADERS,0))),(INDEX(ALLCLASSDATA,MATCH("HeavyMaster",CLASSFEATUREHEADERS,0),MATCH(($A1353 &amp; "Points"),CLASSNAMEHEADERS,0))),(IF("01"=(INDEX(ALLCLASSDATA,MATCH("HeavyExpert",CLASSFEATUREHEADERS,0),MATCH($A1353,CLASSNAMEHEADERS,0))),(INDEX(ALLCLASSDATA,MATCH("HeavyExpert",CLASSFEATUREHEADERS,0),MATCH(($A1353 &amp; "Points"),CLASSNAMEHEADERS,0))),(IF("01"=(INDEX(ALLCLASSDATA,MATCH("HeavyTrained",CLASSFEATUREHEADERS,0),MATCH($A1353,CLASSNAMEHEADERS,0))),(INDEX(ALLCLASSDATA,MATCH("HeavyTrained",CLASSFEATUREHEADERS,0),MATCH(($A1353 &amp; "Points"),CLASSNAMEHEADERS,0))),"")))))))))}</f>
        <v>HEAVYL01</v>
      </c>
      <c r="I1352" s="223"/>
      <c r="J1352" s="223" t="str">
        <f t="array" ref="J1352:J1353">{"HEAVYL03";((IF("03"=(INDEX(ALLCLASSDATA,MATCH("HeavyLegendary",CLASSFEATUREHEADERS,0),MATCH($A1353,CLASSNAMEHEADERS,0))),(INDEX(ALLCLASSDATA,MATCH("HeavyLegendary",CLASSFEATUREHEADERS,0),MATCH(($A1353 &amp; "Points"),CLASSNAMEHEADERS,0))),(IF("03"=(INDEX(ALLCLASSDATA,MATCH("HeavyMaster",CLASSFEATUREHEADERS,0),MATCH($A1353,CLASSNAMEHEADERS,0))),(INDEX(ALLCLASSDATA,MATCH("HeavyMaster",CLASSFEATUREHEADERS,0),MATCH(($A1353 &amp; "Points"),CLASSNAMEHEADERS,0))),(IF("03"=(INDEX(ALLCLASSDATA,MATCH("HeavyExpert",CLASSFEATUREHEADERS,0),MATCH($A1353,CLASSNAMEHEADERS,0))),(INDEX(ALLCLASSDATA,MATCH("HeavyExpert",CLASSFEATUREHEADERS,0),MATCH(($A1353 &amp; "Points"),CLASSNAMEHEADERS,0))),(IF("03"=(INDEX(ALLCLASSDATA,MATCH("HeavyTrained",CLASSFEATUREHEADERS,0),MATCH($A1353,CLASSNAMEHEADERS,0))),(INDEX(ALLCLASSDATA,MATCH("HeavyTrained",CLASSFEATUREHEADERS,0),MATCH(($A1353 &amp; "Points"),CLASSNAMEHEADERS,0))),"")))))))))}</f>
        <v>HEAVYL03</v>
      </c>
      <c r="K1352" s="223"/>
      <c r="L1352" s="223" t="str">
        <f t="array" ref="L1352:L1353">{"HEAVYL05";((IF("05"=(INDEX(ALLCLASSDATA,MATCH("HeavyLegendary",CLASSFEATUREHEADERS,0),MATCH($A1353,CLASSNAMEHEADERS,0))),(INDEX(ALLCLASSDATA,MATCH("HeavyLegendary",CLASSFEATUREHEADERS,0),MATCH(($A1353 &amp; "Points"),CLASSNAMEHEADERS,0))),(IF("05"=(INDEX(ALLCLASSDATA,MATCH("HeavyMaster",CLASSFEATUREHEADERS,0),MATCH($A1353,CLASSNAMEHEADERS,0))),(INDEX(ALLCLASSDATA,MATCH("HeavyMaster",CLASSFEATUREHEADERS,0),MATCH(($A1353 &amp; "Points"),CLASSNAMEHEADERS,0))),(IF("05"=(INDEX(ALLCLASSDATA,MATCH("HeavyExpert",CLASSFEATUREHEADERS,0),MATCH($A1353,CLASSNAMEHEADERS,0))),(INDEX(ALLCLASSDATA,MATCH("HeavyExpert",CLASSFEATUREHEADERS,0),MATCH(($A1353 &amp; "Points"),CLASSNAMEHEADERS,0))),(IF("05"=(INDEX(ALLCLASSDATA,MATCH("HeavyTrained",CLASSFEATUREHEADERS,0),MATCH($A1353,CLASSNAMEHEADERS,0))),(INDEX(ALLCLASSDATA,MATCH("HeavyTrained",CLASSFEATUREHEADERS,0),MATCH(($A1353 &amp; "Points"),CLASSNAMEHEADERS,0))),"")))))))))}</f>
        <v>HEAVYL05</v>
      </c>
      <c r="M1352" s="223"/>
      <c r="N1352" s="223" t="str">
        <f t="array" ref="N1352:N1353">{"HEAVYL07";((IF("07"=(INDEX(ALLCLASSDATA,MATCH("HeavyLegendary",CLASSFEATUREHEADERS,0),MATCH($A1353,CLASSNAMEHEADERS,0))),(INDEX(ALLCLASSDATA,MATCH("HeavyLegendary",CLASSFEATUREHEADERS,0),MATCH(($A1353 &amp; "Points"),CLASSNAMEHEADERS,0))),(IF("07"=(INDEX(ALLCLASSDATA,MATCH("HeavyMaster",CLASSFEATUREHEADERS,0),MATCH($A1353,CLASSNAMEHEADERS,0))),(INDEX(ALLCLASSDATA,MATCH("HeavyMaster",CLASSFEATUREHEADERS,0),MATCH(($A1353 &amp; "Points"),CLASSNAMEHEADERS,0))),(IF("07"=(INDEX(ALLCLASSDATA,MATCH("HeavyExpert",CLASSFEATUREHEADERS,0),MATCH($A1353,CLASSNAMEHEADERS,0))),(INDEX(ALLCLASSDATA,MATCH("HeavyExpert",CLASSFEATUREHEADERS,0),MATCH(($A1353 &amp; "Points"),CLASSNAMEHEADERS,0))),(IF("07"=(INDEX(ALLCLASSDATA,MATCH("HeavyTrained",CLASSFEATUREHEADERS,0),MATCH($A1353,CLASSNAMEHEADERS,0))),(INDEX(ALLCLASSDATA,MATCH("HeavyTrained",CLASSFEATUREHEADERS,0),MATCH(($A1353 &amp; "Points"),CLASSNAMEHEADERS,0))),"")))))))))}</f>
        <v>HEAVYL07</v>
      </c>
      <c r="O1352" s="223"/>
      <c r="P1352" s="223" t="str">
        <f t="array" ref="P1352:P1353">{"HEAVYL09";((IF("09"=(INDEX(ALLCLASSDATA,MATCH("HeavyLegendary",CLASSFEATUREHEADERS,0),MATCH($A1353,CLASSNAMEHEADERS,0))),(INDEX(ALLCLASSDATA,MATCH("HeavyLegendary",CLASSFEATUREHEADERS,0),MATCH(($A1353 &amp; "Points"),CLASSNAMEHEADERS,0))),(IF("09"=(INDEX(ALLCLASSDATA,MATCH("HeavyMaster",CLASSFEATUREHEADERS,0),MATCH($A1353,CLASSNAMEHEADERS,0))),(INDEX(ALLCLASSDATA,MATCH("HeavyMaster",CLASSFEATUREHEADERS,0),MATCH(($A1353 &amp; "Points"),CLASSNAMEHEADERS,0))),(IF("09"=(INDEX(ALLCLASSDATA,MATCH("HeavyExpert",CLASSFEATUREHEADERS,0),MATCH($A1353,CLASSNAMEHEADERS,0))),(INDEX(ALLCLASSDATA,MATCH("HeavyExpert",CLASSFEATUREHEADERS,0),MATCH(($A1353 &amp; "Points"),CLASSNAMEHEADERS,0))),(IF("09"=(INDEX(ALLCLASSDATA,MATCH("HeavyTrained",CLASSFEATUREHEADERS,0),MATCH($A1353,CLASSNAMEHEADERS,0))),(INDEX(ALLCLASSDATA,MATCH("HeavyTrained",CLASSFEATUREHEADERS,0),MATCH(($A1353 &amp; "Points"),CLASSNAMEHEADERS,0))),"")))))))))}</f>
        <v>HEAVYL09</v>
      </c>
      <c r="Q1352" s="223"/>
      <c r="R1352" s="223" t="str">
        <f t="array" ref="R1352:R1353">{"HEAVYL11";((IF("11"=(INDEX(ALLCLASSDATA,MATCH("HeavyLegendary",CLASSFEATUREHEADERS,0),MATCH($A1353,CLASSNAMEHEADERS,0))),(INDEX(ALLCLASSDATA,MATCH("HeavyLegendary",CLASSFEATUREHEADERS,0),MATCH(($A1353 &amp; "Points"),CLASSNAMEHEADERS,0))),(IF("11"=(INDEX(ALLCLASSDATA,MATCH("HeavyMaster",CLASSFEATUREHEADERS,0),MATCH($A1353,CLASSNAMEHEADERS,0))),(INDEX(ALLCLASSDATA,MATCH("HeavyMaster",CLASSFEATUREHEADERS,0),MATCH(($A1353 &amp; "Points"),CLASSNAMEHEADERS,0))),(IF("11"=(INDEX(ALLCLASSDATA,MATCH("HeavyExpert",CLASSFEATUREHEADERS,0),MATCH($A1353,CLASSNAMEHEADERS,0))),(INDEX(ALLCLASSDATA,MATCH("HeavyExpert",CLASSFEATUREHEADERS,0),MATCH(($A1353 &amp; "Points"),CLASSNAMEHEADERS,0))),(IF("11"=(INDEX(ALLCLASSDATA,MATCH("HeavyTrained",CLASSFEATUREHEADERS,0),MATCH($A1353,CLASSNAMEHEADERS,0))),(INDEX(ALLCLASSDATA,MATCH("HeavyTrained",CLASSFEATUREHEADERS,0),MATCH(($A1353 &amp; "Points"),CLASSNAMEHEADERS,0))),"")))))))))}</f>
        <v>HEAVYL11</v>
      </c>
      <c r="S1352" s="223"/>
      <c r="T1352" s="223" t="str">
        <f t="array" ref="T1352:T1353">{"HEAVYL13";((IF("13"=(INDEX(ALLCLASSDATA,MATCH("HeavyLegendary",CLASSFEATUREHEADERS,0),MATCH($A1353,CLASSNAMEHEADERS,0))),(INDEX(ALLCLASSDATA,MATCH("HeavyLegendary",CLASSFEATUREHEADERS,0),MATCH(($A1353 &amp; "Points"),CLASSNAMEHEADERS,0))),(IF("13"=(INDEX(ALLCLASSDATA,MATCH("HeavyMaster",CLASSFEATUREHEADERS,0),MATCH($A1353,CLASSNAMEHEADERS,0))),(INDEX(ALLCLASSDATA,MATCH("HeavyMaster",CLASSFEATUREHEADERS,0),MATCH(($A1353 &amp; "Points"),CLASSNAMEHEADERS,0))),(IF("13"=(INDEX(ALLCLASSDATA,MATCH("HeavyExpert",CLASSFEATUREHEADERS,0),MATCH($A1353,CLASSNAMEHEADERS,0))),(INDEX(ALLCLASSDATA,MATCH("HeavyExpert",CLASSFEATUREHEADERS,0),MATCH(($A1353 &amp; "Points"),CLASSNAMEHEADERS,0))),(IF("13"=(INDEX(ALLCLASSDATA,MATCH("HeavyTrained",CLASSFEATUREHEADERS,0),MATCH($A1353,CLASSNAMEHEADERS,0))),(INDEX(ALLCLASSDATA,MATCH("HeavyTrained",CLASSFEATUREHEADERS,0),MATCH(($A1353 &amp; "Points"),CLASSNAMEHEADERS,0))),"")))))))))}</f>
        <v>HEAVYL13</v>
      </c>
      <c r="U1352" s="223"/>
      <c r="V1352" s="223" t="str">
        <f t="array" ref="V1352:V1353">{"HEAVYL15";((IF("15"=(INDEX(ALLCLASSDATA,MATCH("HeavyLegendary",CLASSFEATUREHEADERS,0),MATCH($A1353,CLASSNAMEHEADERS,0))),(INDEX(ALLCLASSDATA,MATCH("HeavyLegendary",CLASSFEATUREHEADERS,0),MATCH(($A1353 &amp; "Points"),CLASSNAMEHEADERS,0))),(IF("15"=(INDEX(ALLCLASSDATA,MATCH("HeavyMaster",CLASSFEATUREHEADERS,0),MATCH($A1353,CLASSNAMEHEADERS,0))),(INDEX(ALLCLASSDATA,MATCH("HeavyMaster",CLASSFEATUREHEADERS,0),MATCH(($A1353 &amp; "Points"),CLASSNAMEHEADERS,0))),(IF("15"=(INDEX(ALLCLASSDATA,MATCH("HeavyExpert",CLASSFEATUREHEADERS,0),MATCH($A1353,CLASSNAMEHEADERS,0))),(INDEX(ALLCLASSDATA,MATCH("HeavyExpert",CLASSFEATUREHEADERS,0),MATCH(($A1353 &amp; "Points"),CLASSNAMEHEADERS,0))),(IF("15"=(INDEX(ALLCLASSDATA,MATCH("HeavyTrained",CLASSFEATUREHEADERS,0),MATCH($A1353,CLASSNAMEHEADERS,0))),(INDEX(ALLCLASSDATA,MATCH("HeavyTrained",CLASSFEATUREHEADERS,0),MATCH(($A1353 &amp; "Points"),CLASSNAMEHEADERS,0))),"")))))))))}</f>
        <v>HEAVYL15</v>
      </c>
      <c r="W1352" s="223"/>
      <c r="X1352" s="223" t="str">
        <f t="array" ref="X1352:X1353">{"HEAVYL17";((IF("17"=(INDEX(ALLCLASSDATA,MATCH("HeavyLegendary",CLASSFEATUREHEADERS,0),MATCH($A1353,CLASSNAMEHEADERS,0))),(INDEX(ALLCLASSDATA,MATCH("HeavyLegendary",CLASSFEATUREHEADERS,0),MATCH(($A1353 &amp; "Points"),CLASSNAMEHEADERS,0))),(IF("17"=(INDEX(ALLCLASSDATA,MATCH("HeavyMaster",CLASSFEATUREHEADERS,0),MATCH($A1353,CLASSNAMEHEADERS,0))),(INDEX(ALLCLASSDATA,MATCH("HeavyMaster",CLASSFEATUREHEADERS,0),MATCH(($A1353 &amp; "Points"),CLASSNAMEHEADERS,0))),(IF("17"=(INDEX(ALLCLASSDATA,MATCH("HeavyExpert",CLASSFEATUREHEADERS,0),MATCH($A1353,CLASSNAMEHEADERS,0))),(INDEX(ALLCLASSDATA,MATCH("HeavyExpert",CLASSFEATUREHEADERS,0),MATCH(($A1353 &amp; "Points"),CLASSNAMEHEADERS,0))),(IF("17"=(INDEX(ALLCLASSDATA,MATCH("HeavyTrained",CLASSFEATUREHEADERS,0),MATCH($A1353,CLASSNAMEHEADERS,0))),(INDEX(ALLCLASSDATA,MATCH("HeavyTrained",CLASSFEATUREHEADERS,0),MATCH(($A1353 &amp; "Points"),CLASSNAMEHEADERS,0))),"")))))))))}</f>
        <v>HEAVYL17</v>
      </c>
      <c r="Y1352" s="223"/>
      <c r="Z1352" s="223" t="str">
        <f t="array" ref="Z1352:Z1353">{"HEAVYL19";((IF("19"=(INDEX(ALLCLASSDATA,MATCH("HeavyLegendary",CLASSFEATUREHEADERS,0),MATCH($A1353,CLASSNAMEHEADERS,0))),(INDEX(ALLCLASSDATA,MATCH("HeavyLegendary",CLASSFEATUREHEADERS,0),MATCH(($A1353 &amp; "Points"),CLASSNAMEHEADERS,0))),(IF("19"=(INDEX(ALLCLASSDATA,MATCH("HeavyMaster",CLASSFEATUREHEADERS,0),MATCH($A1353,CLASSNAMEHEADERS,0))),(INDEX(ALLCLASSDATA,MATCH("HeavyMaster",CLASSFEATUREHEADERS,0),MATCH(($A1353 &amp; "Points"),CLASSNAMEHEADERS,0))),(IF("19"=(INDEX(ALLCLASSDATA,MATCH("HeavyExpert",CLASSFEATUREHEADERS,0),MATCH($A1353,CLASSNAMEHEADERS,0))),(INDEX(ALLCLASSDATA,MATCH("HeavyExpert",CLASSFEATUREHEADERS,0),MATCH(($A1353 &amp; "Points"),CLASSNAMEHEADERS,0))),(IF("19"=(INDEX(ALLCLASSDATA,MATCH("HeavyTrained",CLASSFEATUREHEADERS,0),MATCH($A1353,CLASSNAMEHEADERS,0))),(INDEX(ALLCLASSDATA,MATCH("HeavyTrained",CLASSFEATUREHEADERS,0),MATCH(($A1353 &amp; "Points"),CLASSNAMEHEADERS,0))),"")))))))))}</f>
        <v>HEAVYL19</v>
      </c>
      <c r="AA1352" s="223"/>
      <c r="AB1352" s="76" t="str">
        <f t="array" ref="AB1352:AB1353">{"HEAVY TOTAL";(IF(COUNTBLANK(G1353:AA1353)=17,"L",(IF(COUNTBLANK(G1353:AA1353)=18,"M",(IF(COUNTBLANK(G1353:AA1353)=19,"E",(IF(COUNTBLANK(G1353:AA1353)=20,"T",""))))))))}</f>
        <v>HEAVY TOTAL</v>
      </c>
      <c r="AC1352" s="76" t="str">
        <f t="array" ref="AC1352:AC1353">{"HEAVY TOTAL";(sum(G1353:AA1353))}</f>
        <v>HEAVY TOTAL</v>
      </c>
    </row>
    <row r="1353">
      <c r="A1353" s="48" t="s">
        <v>211</v>
      </c>
      <c r="B1353" s="48"/>
      <c r="C1353" s="48" t="s">
        <v>417</v>
      </c>
      <c r="D1353" s="97" t="s">
        <v>1900</v>
      </c>
      <c r="E1353" s="97" t="s">
        <v>533</v>
      </c>
      <c r="F1353" s="98" t="s">
        <v>603</v>
      </c>
      <c r="G1353" s="132" t="s">
        <v>603</v>
      </c>
      <c r="H1353" s="98" t="s">
        <v>603</v>
      </c>
      <c r="I1353" s="98"/>
      <c r="J1353" s="98" t="s">
        <v>603</v>
      </c>
      <c r="K1353" s="98"/>
      <c r="L1353" s="98" t="s">
        <v>603</v>
      </c>
      <c r="M1353" s="98"/>
      <c r="N1353" s="98" t="s">
        <v>603</v>
      </c>
      <c r="O1353" s="98"/>
      <c r="P1353" s="98" t="s">
        <v>603</v>
      </c>
      <c r="Q1353" s="98"/>
      <c r="R1353" s="98" t="s">
        <v>603</v>
      </c>
      <c r="S1353" s="98"/>
      <c r="T1353" s="98" t="s">
        <v>603</v>
      </c>
      <c r="U1353" s="98"/>
      <c r="V1353" s="98" t="s">
        <v>603</v>
      </c>
      <c r="W1353" s="98"/>
      <c r="X1353" s="98" t="s">
        <v>603</v>
      </c>
      <c r="Y1353" s="98"/>
      <c r="Z1353" s="98" t="s">
        <v>603</v>
      </c>
      <c r="AA1353" s="98"/>
      <c r="AB1353" s="5" t="s">
        <v>603</v>
      </c>
      <c r="AC1353" s="47">
        <v>0.0</v>
      </c>
    </row>
    <row r="1354" hidden="1">
      <c r="A1354" s="222" t="str">
        <f t="array" ref="A1354:A1355">{"FormulaRow39";(INDEX(CLASSLIST,A1277,1))}</f>
        <v>FormulaRow39</v>
      </c>
      <c r="B1354" s="77" t="s">
        <v>236</v>
      </c>
      <c r="C1354" s="222" t="str">
        <f t="array" ref="C1354:C1355">{"CLASSTYPE";((INDEX(ALLCLASSDATA,MATCH("ClassType",CLASSFEATUREHEADERS,0),MATCH($A1355,CLASSNAMEHEADERS,0))))}</f>
        <v>CLASSTYPE</v>
      </c>
      <c r="D1354" s="222" t="str">
        <f t="array" ref="D1354:D1355">{"SPELL/ALCHEMY";((IF(INDEX(ALLCLASSDATA,MATCH("CasterType",CLASSFEATUREHEADERS,0),MATCH(($A1355),CLASSNAMEHEADERS,0))="","",(IF(INDEX(ALLCLASSDATA,MATCH("CasterType",CLASSFEATUREHEADERS,0),MATCH(($A1355),CLASSNAMEHEADERS,0))="Alchemy","Alchemy","Spells")))))}</f>
        <v>SPELL/ALCHEMY</v>
      </c>
      <c r="E1354" s="222" t="str">
        <f t="array" ref="E1354:E1355">{"SPELLLIST";(IF(D1355="Spells",((INDEX(ALLCLASSDATA,MATCH("CasterType",CLASSFEATUREHEADERS,0),MATCH(($A1355),CLASSNAMEHEADERS,0))) &amp; ":" &amp; (INDEX(ALLCLASSDATA,MATCH("SpellList",CLASSFEATUREHEADERS,0),MATCH(($A1355),CLASSNAMEHEADERS,0)))),""))}</f>
        <v>SPELLLIST</v>
      </c>
      <c r="F1354" s="223" t="str">
        <f t="array" ref="F1354:F1355">{"SPL";(IF(D1355="Spells","SPL:",""))}</f>
        <v>SPL</v>
      </c>
      <c r="G1354" s="223" t="str">
        <f t="array" ref="G1354:G1355">{"CANTRIP/ALC";(IF(D1355="Spells","C",(IF(D1355="Alchemy","ALC:",""))))}</f>
        <v>CANTRIP/ALC</v>
      </c>
      <c r="H1354" s="223" t="str">
        <f t="array" ref="H1354:H1355">{"SPELL/ALC L01";(IF(D1355="Alchemy","L01",(IF(D1355="Spells","S01",""))))}</f>
        <v>SPELL/ALC L01</v>
      </c>
      <c r="I1354" s="223" t="str">
        <f t="array" ref="I1354:I1355">{"SPELL/ALC L02";(IF(D1355="Alchemy","L02",(IF(D1355="Spells","S01",""))))}</f>
        <v>SPELL/ALC L02</v>
      </c>
      <c r="J1354" s="223" t="str">
        <f t="array" ref="J1354:J1355">{"SPELL/ALC L03";(IF(D1355="Alchemy","L03",(IF(D1355="Spells","S02",""))))}</f>
        <v>SPELL/ALC L03</v>
      </c>
      <c r="K1354" s="223" t="str">
        <f t="array" ref="K1354:K1355">{"SPELL/ALC L04";(IF(D1355="Alchemy","L04",(IF(D1355="Spells","S02",""))))}</f>
        <v>SPELL/ALC L04</v>
      </c>
      <c r="L1354" s="223" t="str">
        <f t="array" ref="L1354:L1355">{"SPELL/ALC L05";(IF(D1355="Alchemy","L05",(IF(D1355="Spells","S03",""))))}</f>
        <v>SPELL/ALC L05</v>
      </c>
      <c r="M1354" s="223" t="str">
        <f t="array" ref="M1354:M1355">{"SPELL/ALC L06";(IF(D1355="Alchemy","L06",(IF(D1355="Spells","S03",""))))}</f>
        <v>SPELL/ALC L06</v>
      </c>
      <c r="N1354" s="223" t="str">
        <f t="array" ref="N1354:N1355">{"SPELL/ALC L07";(IF(D1355="Alchemy","L07",(IF(D1355="Spells","S04",""))))}</f>
        <v>SPELL/ALC L07</v>
      </c>
      <c r="O1354" s="223" t="str">
        <f t="array" ref="O1354:O1355">{"SPELL/ALC L08";(IF(D1355="Alchemy","L08",(IF(D1355="Spells","S04",""))))}</f>
        <v>SPELL/ALC L08</v>
      </c>
      <c r="P1354" s="223" t="str">
        <f t="array" ref="P1354:P1355">{"SPELL/ALC L09";(IF(D1355="Alchemy","L09",(IF(D1355="Spells","S05",""))))}</f>
        <v>SPELL/ALC L09</v>
      </c>
      <c r="Q1354" s="223" t="str">
        <f t="array" ref="Q1354:Q1355">{"SPELL/ALC L10";(IF(D1355="Alchemy","L10",(IF(D1355="Spells","S05",""))))}</f>
        <v>SPELL/ALC L10</v>
      </c>
      <c r="R1354" s="223" t="str">
        <f t="array" ref="R1354:R1355">{"SPELL/ALC L11";(IF(D1355="Alchemy","L11",(IF(D1355="Spells","S06",""))))}</f>
        <v>SPELL/ALC L11</v>
      </c>
      <c r="S1354" s="223" t="str">
        <f t="array" ref="S1354:S1355">{"SPELL/ALC L12";(IF(D1355="Alchemy","L12",(IF(D1355="Spells","S06",""))))}</f>
        <v>SPELL/ALC L12</v>
      </c>
      <c r="T1354" s="223" t="str">
        <f t="array" ref="T1354:T1355">{"SPELL/ALC L13";(IF(D1355="Alchemy","L13",(IF(D1355="Spells","S07",""))))}</f>
        <v>SPELL/ALC L13</v>
      </c>
      <c r="U1354" s="223" t="str">
        <f t="array" ref="U1354:U1355">{"SPELL/ALC L14";(IF(D1355="Alchemy","L14",(IF(D1355="Spells","S07",""))))}</f>
        <v>SPELL/ALC L14</v>
      </c>
      <c r="V1354" s="223" t="str">
        <f t="array" ref="V1354:V1355">{"SPELL/ALC L15";(IF(D1355="Alchemy","L15",(IF(D1355="Spells","S08",""))))}</f>
        <v>SPELL/ALC L15</v>
      </c>
      <c r="W1354" s="223" t="str">
        <f t="array" ref="W1354:W1355">{"SPELL/ALC L16";(IF(D1355="Alchemy","L16",(IF(D1355="Spells","S08",""))))}</f>
        <v>SPELL/ALC L16</v>
      </c>
      <c r="X1354" s="223" t="str">
        <f t="array" ref="X1354:X1355">{"SPELL/ALC L17";(IF(D1355="Alchemy","L17",(IF(D1355="Spells","S09",""))))}</f>
        <v>SPELL/ALC L17</v>
      </c>
      <c r="Y1354" s="223" t="str">
        <f t="array" ref="Y1354:Y1355">{"SPELL/ALC L18";(IF(D1355="Alchemy","L18",(IF(D1355="Spells","S09",""))))}</f>
        <v>SPELL/ALC L18</v>
      </c>
      <c r="Z1354" s="223" t="str">
        <f t="array" ref="Z1354:Z1355">{"SPELL/ALC L19";(IF(D1355="Alchemy","L19",(IF(D1355="Spells","S10",""))))}</f>
        <v>SPELL/ALC L19</v>
      </c>
      <c r="AA1354" s="223" t="str">
        <f t="array" ref="AA1354:AA1355">{"SPELL/ALC L20";(IF(D1355="Alchemy","L20",(IF(D1355="Spells","S10",""))))}</f>
        <v>SPELL/ALC L20</v>
      </c>
      <c r="AB1354" s="76"/>
      <c r="AC1354" s="76"/>
    </row>
    <row r="1355">
      <c r="A1355" s="48" t="s">
        <v>211</v>
      </c>
      <c r="B1355" s="48"/>
      <c r="C1355" s="48" t="s">
        <v>417</v>
      </c>
      <c r="D1355" s="48" t="s">
        <v>1901</v>
      </c>
      <c r="E1355" s="48" t="s">
        <v>1902</v>
      </c>
      <c r="F1355" s="278" t="s">
        <v>1903</v>
      </c>
      <c r="G1355" s="114" t="s">
        <v>653</v>
      </c>
      <c r="H1355" s="279" t="s">
        <v>1536</v>
      </c>
      <c r="I1355" s="28" t="s">
        <v>1536</v>
      </c>
      <c r="J1355" s="28" t="s">
        <v>1542</v>
      </c>
      <c r="K1355" s="28" t="s">
        <v>1542</v>
      </c>
      <c r="L1355" s="28" t="s">
        <v>1545</v>
      </c>
      <c r="M1355" s="28" t="s">
        <v>1545</v>
      </c>
      <c r="N1355" s="28" t="s">
        <v>1548</v>
      </c>
      <c r="O1355" s="28" t="s">
        <v>1548</v>
      </c>
      <c r="P1355" s="28" t="s">
        <v>1553</v>
      </c>
      <c r="Q1355" s="28" t="s">
        <v>1553</v>
      </c>
      <c r="R1355" s="28" t="s">
        <v>1556</v>
      </c>
      <c r="S1355" s="28" t="s">
        <v>1556</v>
      </c>
      <c r="T1355" s="28" t="s">
        <v>1559</v>
      </c>
      <c r="U1355" s="28" t="s">
        <v>1559</v>
      </c>
      <c r="V1355" s="28" t="s">
        <v>1562</v>
      </c>
      <c r="W1355" s="28" t="s">
        <v>1562</v>
      </c>
      <c r="X1355" s="28" t="s">
        <v>1565</v>
      </c>
      <c r="Y1355" s="28" t="s">
        <v>1565</v>
      </c>
      <c r="Z1355" s="28" t="s">
        <v>1568</v>
      </c>
      <c r="AA1355" s="28" t="s">
        <v>1568</v>
      </c>
      <c r="AB1355" s="5"/>
      <c r="AC1355" s="47"/>
    </row>
    <row r="1356" hidden="1">
      <c r="A1356" s="222" t="str">
        <f t="array" ref="A1356:A1357">{"FormulaRow40";(INDEX(CLASSLIST,A1277,1))}</f>
        <v>FormulaRow40</v>
      </c>
      <c r="B1356" s="77" t="s">
        <v>236</v>
      </c>
      <c r="C1356" s="222" t="str">
        <f t="array" ref="C1356:C1357">{"CLASSTYPE";((INDEX(ALLCLASSDATA,MATCH("ClassType",CLASSFEATUREHEADERS,0),MATCH($A1357,CLASSNAMEHEADERS,0))))}</f>
        <v>CLASSTYPE</v>
      </c>
      <c r="D1356" s="222" t="str">
        <f t="array" ref="D1356:D1357">{"SPELL/ALCHEMY";((IF(INDEX(ALLCLASSDATA,MATCH("CasterType",CLASSFEATUREHEADERS,0),MATCH(($A1357),CLASSNAMEHEADERS,0))="","",(IF(INDEX(ALLCLASSDATA,MATCH("CasterType",CLASSFEATUREHEADERS,0),MATCH(($A1357),CLASSNAMEHEADERS,0))="Alchemy","","Spells")))))}</f>
        <v>SPELL/ALCHEMY</v>
      </c>
      <c r="E1356" s="222" t="str">
        <f t="array" ref="E1356:E1357">{"SPELLLIST";(IF(D1357="Spells",((INDEX(ALLCLASSDATA,MATCH("CasterType",CLASSFEATUREHEADERS,0),MATCH(($A1357),CLASSNAMEHEADERS,0))) &amp; ":" &amp; (INDEX(ALLCLASSDATA,MATCH("SpellList",CLASSFEATUREHEADERS,0),MATCH(($A1357),CLASSNAMEHEADERS,0)))),""))}</f>
        <v>SPELLLIST</v>
      </c>
      <c r="F1356" s="222" t="str">
        <f t="array" ref="F1356:F1357">{"SLOTCOST";(IF(D1357="Spells","SlotCost:",""))}</f>
        <v>SLOTCOST</v>
      </c>
      <c r="G1356" s="222" t="str">
        <f t="array" ref="G1356:G1357">{"SLOTCOST CANTRIP";(INDEX(ALLCLASSDATA,MATCH("CantripSlots-L00",CLASSFEATUREHEADERS,0),MATCH(($A1357 &amp; "Points"),CLASSNAMEHEADERS,0)))}</f>
        <v>SLOTCOST CANTRIP</v>
      </c>
      <c r="H1356" s="222" t="str">
        <f t="array" ref="H1356:H1357">{"SLOTCOST L01";(INDEX(ALLCLASSDATA,MATCH("SPL01-L01",CLASSFEATUREHEADERS,0),MATCH(($A1357 &amp; "Points"),CLASSNAMEHEADERS,0)))}</f>
        <v>SLOTCOST L01</v>
      </c>
      <c r="I1356" s="222" t="str">
        <f t="array" ref="I1356:I1357">{"SLOTCOST L02";(INDEX(ALLCLASSDATA,MATCH("SPL01-L02",CLASSFEATUREHEADERS,0),MATCH(($A1357 &amp; "Points"),CLASSNAMEHEADERS,0)))}</f>
        <v>SLOTCOST L02</v>
      </c>
      <c r="J1356" s="222" t="str">
        <f t="array" ref="J1356:J1357">{"SLOTCOST L03";(INDEX(ALLCLASSDATA,MATCH("SPL02-L03",CLASSFEATUREHEADERS,0),MATCH(($A1357 &amp; "Points"),CLASSNAMEHEADERS,0)))}</f>
        <v>SLOTCOST L03</v>
      </c>
      <c r="K1356" s="222" t="str">
        <f t="array" ref="K1356:K1357">{"SLOTCOST L04";(INDEX(ALLCLASSDATA,MATCH("SPL02-L04",CLASSFEATUREHEADERS,0),MATCH(($A1357 &amp; "Points"),CLASSNAMEHEADERS,0)))}</f>
        <v>SLOTCOST L04</v>
      </c>
      <c r="L1356" s="222" t="str">
        <f t="array" ref="L1356:L1357">{"SLOTCOST L05";(INDEX(ALLCLASSDATA,MATCH("SPL03-L05",CLASSFEATUREHEADERS,0),MATCH(($A1357 &amp; "Points"),CLASSNAMEHEADERS,0)))}</f>
        <v>SLOTCOST L05</v>
      </c>
      <c r="M1356" s="222" t="str">
        <f t="array" ref="M1356:M1357">{"SLOTCOST L06";(INDEX(ALLCLASSDATA,MATCH("SPL03-L06",CLASSFEATUREHEADERS,0),MATCH(($A1357 &amp; "Points"),CLASSNAMEHEADERS,0)))}</f>
        <v>SLOTCOST L06</v>
      </c>
      <c r="N1356" s="222" t="str">
        <f t="array" ref="N1356:N1357">{"SLOTCOST L07";(INDEX(ALLCLASSDATA,MATCH("SPL04-L07",CLASSFEATUREHEADERS,0),MATCH(($A1357 &amp; "Points"),CLASSNAMEHEADERS,0)))}</f>
        <v>SLOTCOST L07</v>
      </c>
      <c r="O1356" s="222" t="str">
        <f t="array" ref="O1356:O1357">{"SLOTCOST L08";(INDEX(ALLCLASSDATA,MATCH("SPL04-L08",CLASSFEATUREHEADERS,0),MATCH(($A1357 &amp; "Points"),CLASSNAMEHEADERS,0)))}</f>
        <v>SLOTCOST L08</v>
      </c>
      <c r="P1356" s="222" t="str">
        <f t="array" ref="P1356:P1357">{"SLOTCOST L09";(INDEX(ALLCLASSDATA,MATCH("SPL05-L09",CLASSFEATUREHEADERS,0),MATCH(($A1357 &amp; "Points"),CLASSNAMEHEADERS,0)))}</f>
        <v>SLOTCOST L09</v>
      </c>
      <c r="Q1356" s="222" t="str">
        <f t="array" ref="Q1356:Q1357">{"SLOTCOST L10";(INDEX(ALLCLASSDATA,MATCH("SPL05-L10",CLASSFEATUREHEADERS,0),MATCH(($A1357 &amp; "Points"),CLASSNAMEHEADERS,0)))}</f>
        <v>SLOTCOST L10</v>
      </c>
      <c r="R1356" s="222" t="str">
        <f t="array" ref="R1356:R1357">{"SLOTCOST L11";(INDEX(ALLCLASSDATA,MATCH("SPL06-L11",CLASSFEATUREHEADERS,0),MATCH(($A1357 &amp; "Points"),CLASSNAMEHEADERS,0)))}</f>
        <v>SLOTCOST L11</v>
      </c>
      <c r="S1356" s="222" t="str">
        <f t="array" ref="S1356:S1357">{"SLOTCOST L12";(INDEX(ALLCLASSDATA,MATCH("SPL06-L12",CLASSFEATUREHEADERS,0),MATCH(($A1357 &amp; "Points"),CLASSNAMEHEADERS,0)))}</f>
        <v>SLOTCOST L12</v>
      </c>
      <c r="T1356" s="222" t="str">
        <f t="array" ref="T1356:T1357">{"SLOTCOST L13";(INDEX(ALLCLASSDATA,MATCH("SPL07-L13",CLASSFEATUREHEADERS,0),MATCH(($A1357 &amp; "Points"),CLASSNAMEHEADERS,0)))}</f>
        <v>SLOTCOST L13</v>
      </c>
      <c r="U1356" s="222" t="str">
        <f t="array" ref="U1356:U1357">{"SLOTCOST L14";(INDEX(ALLCLASSDATA,MATCH("SPL07-L14",CLASSFEATUREHEADERS,0),MATCH(($A1357 &amp; "Points"),CLASSNAMEHEADERS,0)))}</f>
        <v>SLOTCOST L14</v>
      </c>
      <c r="V1356" s="222" t="str">
        <f t="array" ref="V1356:V1357">{"SLOTCOST L15";(INDEX(ALLCLASSDATA,MATCH("SPL08-L15",CLASSFEATUREHEADERS,0),MATCH(($A1357 &amp; "Points"),CLASSNAMEHEADERS,0)))}</f>
        <v>SLOTCOST L15</v>
      </c>
      <c r="W1356" s="222" t="str">
        <f t="array" ref="W1356:W1357">{"SLOTCOST L16";(INDEX(ALLCLASSDATA,MATCH("SPL08-L16",CLASSFEATUREHEADERS,0),MATCH(($A1357 &amp; "Points"),CLASSNAMEHEADERS,0)))}</f>
        <v>SLOTCOST L16</v>
      </c>
      <c r="X1356" s="222" t="str">
        <f t="array" ref="X1356:X1357">{"SLOTCOST L17";(INDEX(ALLCLASSDATA,MATCH("SPL09-L17",CLASSFEATUREHEADERS,0),MATCH(($A1357 &amp; "Points"),CLASSNAMEHEADERS,0)))}</f>
        <v>SLOTCOST L17</v>
      </c>
      <c r="Y1356" s="222" t="str">
        <f t="array" ref="Y1356:Y1357">{"SLOTCOST L18";(INDEX(ALLCLASSDATA,MATCH("SPL09-L18",CLASSFEATUREHEADERS,0),MATCH(($A1357 &amp; "Points"),CLASSNAMEHEADERS,0)))}</f>
        <v>SLOTCOST L18</v>
      </c>
      <c r="Z1356" s="222" t="str">
        <f t="array" ref="Z1356:Z1357">{"SLOTCOST L19";(INDEX(ALLCLASSDATA,MATCH("SPL10-L19",CLASSFEATUREHEADERS,0),MATCH(($A1357 &amp; "Points"),CLASSNAMEHEADERS,0)))}</f>
        <v>SLOTCOST L19</v>
      </c>
      <c r="AA1356" s="222" t="str">
        <f t="array" ref="AA1356:AA1357">{"SLOTCOST L20";(INDEX(ALLCLASSDATA,MATCH("SPL10-L20",CLASSFEATUREHEADERS,0),MATCH(($A1357 &amp; "Points"),CLASSNAMEHEADERS,0)))}</f>
        <v>SLOTCOST L20</v>
      </c>
      <c r="AB1356" s="76"/>
      <c r="AC1356" s="76" t="str">
        <f t="array" ref="AC1356:AC1357">{"SLOT TOTAL";(sum(G1357:AA1357))}</f>
        <v>SLOT TOTAL</v>
      </c>
    </row>
    <row r="1357">
      <c r="A1357" s="48" t="s">
        <v>211</v>
      </c>
      <c r="B1357" s="48"/>
      <c r="C1357" s="48" t="s">
        <v>417</v>
      </c>
      <c r="D1357" s="48" t="s">
        <v>1901</v>
      </c>
      <c r="E1357" s="48" t="s">
        <v>1902</v>
      </c>
      <c r="F1357" s="278" t="s">
        <v>1904</v>
      </c>
      <c r="G1357" s="47">
        <v>0.0</v>
      </c>
      <c r="H1357" s="5">
        <v>20.0</v>
      </c>
      <c r="I1357" s="5">
        <v>10.0</v>
      </c>
      <c r="J1357" s="5">
        <v>20.0</v>
      </c>
      <c r="K1357" s="5">
        <v>10.0</v>
      </c>
      <c r="L1357" s="5">
        <v>20.0</v>
      </c>
      <c r="M1357" s="48">
        <v>10.0</v>
      </c>
      <c r="N1357" s="5">
        <v>20.0</v>
      </c>
      <c r="O1357" s="5">
        <v>10.0</v>
      </c>
      <c r="P1357" s="5">
        <v>20.0</v>
      </c>
      <c r="Q1357" s="5">
        <v>10.0</v>
      </c>
      <c r="R1357" s="5">
        <v>20.0</v>
      </c>
      <c r="S1357" s="5">
        <v>10.0</v>
      </c>
      <c r="T1357" s="5">
        <v>20.0</v>
      </c>
      <c r="U1357" s="5">
        <v>10.0</v>
      </c>
      <c r="V1357" s="5">
        <v>20.0</v>
      </c>
      <c r="W1357" s="5">
        <v>10.0</v>
      </c>
      <c r="X1357" s="5">
        <v>20.0</v>
      </c>
      <c r="Y1357" s="5">
        <v>10.0</v>
      </c>
      <c r="Z1357" s="5">
        <v>190.0</v>
      </c>
      <c r="AA1357" s="5" t="s">
        <v>603</v>
      </c>
      <c r="AB1357" s="5"/>
      <c r="AC1357" s="47">
        <v>460.0</v>
      </c>
    </row>
    <row r="1358" hidden="1">
      <c r="A1358" s="222" t="str">
        <f t="array" ref="A1358:A1359">{"FormulaRow41";(INDEX(CLASSLIST,A1277,1))}</f>
        <v>FormulaRow41</v>
      </c>
      <c r="B1358" s="77" t="s">
        <v>236</v>
      </c>
      <c r="C1358" s="222" t="str">
        <f t="array" ref="C1358:C1359">{"CLASSTYPE";((INDEX(ALLCLASSDATA,MATCH("ClassType",CLASSFEATUREHEADERS,0),MATCH($A1359,CLASSNAMEHEADERS,0))))}</f>
        <v>CLASSTYPE</v>
      </c>
      <c r="D1358" s="222" t="str">
        <f t="array" ref="D1358:D1359">{"SPELL/ALCHEMY";((IF(INDEX(ALLCLASSDATA,MATCH("CasterType",CLASSFEATUREHEADERS,0),MATCH(($A1359),CLASSNAMEHEADERS,0))="","",(IF(INDEX(ALLCLASSDATA,MATCH("CasterType",CLASSFEATUREHEADERS,0),MATCH(($A1359),CLASSNAMEHEADERS,0))="Alchemy","Alchemy","Spells")))))}</f>
        <v>SPELL/ALCHEMY</v>
      </c>
      <c r="E1358" s="222" t="str">
        <f t="array" ref="E1358:E1359">{"SPELLLIST";(IF(D1359="Spells",((INDEX(ALLCLASSDATA,MATCH("CasterType",CLASSFEATUREHEADERS,0),MATCH(($A1359),CLASSNAMEHEADERS,0))) &amp; ":" &amp; (INDEX(ALLCLASSDATA,MATCH("SpellList",CLASSFEATUREHEADERS,0),MATCH(($A1359),CLASSNAMEHEADERS,0)))),""))}</f>
        <v>SPELLLIST</v>
      </c>
      <c r="F1358" s="223" t="str">
        <f t="array" ref="F1358:F1359">{"LEARNEDCOST";(IF(D1359="","","LearnCost:"))}</f>
        <v>LEARNEDCOST</v>
      </c>
      <c r="G1358" s="223" t="str">
        <f t="array" ref="G1358:G1359">{"LEARNED CANTRIPS";(INDEX(ALLCLASSDATA,MATCH("CantripsLearned-L00",CLASSFEATUREHEADERS,0),MATCH(($A1359 &amp; "Points"),CLASSNAMEHEADERS,0)))}</f>
        <v>LEARNED CANTRIPS</v>
      </c>
      <c r="H1358" s="223" t="str">
        <f t="array" ref="H1358:H1359">{"LEARNED L01";(INDEX(ALLCLASSDATA,MATCH("Learned-L01",CLASSFEATUREHEADERS,0),MATCH(($A1359 &amp; "Points"),CLASSNAMEHEADERS,0)))}</f>
        <v>LEARNED L01</v>
      </c>
      <c r="I1358" s="223" t="str">
        <f t="array" ref="I1358:I1359">{"LEARNED L02";(INDEX(ALLCLASSDATA,MATCH("Learned-L02",CLASSFEATUREHEADERS,0),MATCH(($A1359 &amp; "Points"),CLASSNAMEHEADERS,0)))}</f>
        <v>LEARNED L02</v>
      </c>
      <c r="J1358" s="223" t="str">
        <f t="array" ref="J1358:J1359">{"LEARNED L03";(INDEX(ALLCLASSDATA,MATCH("Learned-L03",CLASSFEATUREHEADERS,0),MATCH(($A1359 &amp; "Points"),CLASSNAMEHEADERS,0)))}</f>
        <v>LEARNED L03</v>
      </c>
      <c r="K1358" s="223" t="str">
        <f t="array" ref="K1358:K1359">{"LEARNED L04";(INDEX(ALLCLASSDATA,MATCH("Learned-L04",CLASSFEATUREHEADERS,0),MATCH(($A1359 &amp; "Points"),CLASSNAMEHEADERS,0)))}</f>
        <v>LEARNED L04</v>
      </c>
      <c r="L1358" s="223" t="str">
        <f t="array" ref="L1358:L1359">{"LEARNED L05";(INDEX(ALLCLASSDATA,MATCH("Learned-L05",CLASSFEATUREHEADERS,0),MATCH(($A1359 &amp; "Points"),CLASSNAMEHEADERS,0)))}</f>
        <v>LEARNED L05</v>
      </c>
      <c r="M1358" s="223" t="str">
        <f t="array" ref="M1358:M1359">{"LEARNED L06";(INDEX(ALLCLASSDATA,MATCH("Learned-L06",CLASSFEATUREHEADERS,0),MATCH(($A1359 &amp; "Points"),CLASSNAMEHEADERS,0)))}</f>
        <v>LEARNED L06</v>
      </c>
      <c r="N1358" s="223" t="str">
        <f t="array" ref="N1358:N1359">{"LEARNED L07";(INDEX(ALLCLASSDATA,MATCH("Learned-L07",CLASSFEATUREHEADERS,0),MATCH(($A1359 &amp; "Points"),CLASSNAMEHEADERS,0)))}</f>
        <v>LEARNED L07</v>
      </c>
      <c r="O1358" s="223" t="str">
        <f t="array" ref="O1358:O1359">{"LEARNED L08";(INDEX(ALLCLASSDATA,MATCH("Learned-L08",CLASSFEATUREHEADERS,0),MATCH(($A1359 &amp; "Points"),CLASSNAMEHEADERS,0)))}</f>
        <v>LEARNED L08</v>
      </c>
      <c r="P1358" s="223" t="str">
        <f t="array" ref="P1358:P1359">{"LEARNED L09";(INDEX(ALLCLASSDATA,MATCH("Learned-L09",CLASSFEATUREHEADERS,0),MATCH(($A1359 &amp; "Points"),CLASSNAMEHEADERS,0)))}</f>
        <v>LEARNED L09</v>
      </c>
      <c r="Q1358" s="223" t="str">
        <f t="array" ref="Q1358:Q1359">{"LEARNED L10";(INDEX(ALLCLASSDATA,MATCH("Learned-L10",CLASSFEATUREHEADERS,0),MATCH(($A1359 &amp; "Points"),CLASSNAMEHEADERS,0)))}</f>
        <v>LEARNED L10</v>
      </c>
      <c r="R1358" s="223" t="str">
        <f t="array" ref="R1358:R1359">{"LEARNED L11";(INDEX(ALLCLASSDATA,MATCH("Learned-L11",CLASSFEATUREHEADERS,0),MATCH(($A1359 &amp; "Points"),CLASSNAMEHEADERS,0)))}</f>
        <v>LEARNED L11</v>
      </c>
      <c r="S1358" s="223" t="str">
        <f t="array" ref="S1358:S1359">{"LEARNED L12";(INDEX(ALLCLASSDATA,MATCH("Learned-L12",CLASSFEATUREHEADERS,0),MATCH(($A1359 &amp; "Points"),CLASSNAMEHEADERS,0)))}</f>
        <v>LEARNED L12</v>
      </c>
      <c r="T1358" s="223" t="str">
        <f t="array" ref="T1358:T1359">{"LEARNED L13";(INDEX(ALLCLASSDATA,MATCH("Learned-L13",CLASSFEATUREHEADERS,0),MATCH(($A1359 &amp; "Points"),CLASSNAMEHEADERS,0)))}</f>
        <v>LEARNED L13</v>
      </c>
      <c r="U1358" s="223" t="str">
        <f t="array" ref="U1358:U1359">{"LEARNED L14";(INDEX(ALLCLASSDATA,MATCH("Learned-L14",CLASSFEATUREHEADERS,0),MATCH(($A1359 &amp; "Points"),CLASSNAMEHEADERS,0)))}</f>
        <v>LEARNED L14</v>
      </c>
      <c r="V1358" s="223" t="str">
        <f t="array" ref="V1358:V1359">{"LEARNED L15";(INDEX(ALLCLASSDATA,MATCH("Learned-L15",CLASSFEATUREHEADERS,0),MATCH(($A1359 &amp; "Points"),CLASSNAMEHEADERS,0)))}</f>
        <v>LEARNED L15</v>
      </c>
      <c r="W1358" s="223" t="str">
        <f t="array" ref="W1358:W1359">{"LEARNED L16";(INDEX(ALLCLASSDATA,MATCH("Learned-L16",CLASSFEATUREHEADERS,0),MATCH(($A1359 &amp; "Points"),CLASSNAMEHEADERS,0)))}</f>
        <v>LEARNED L16</v>
      </c>
      <c r="X1358" s="223" t="str">
        <f t="array" ref="X1358:X1359">{"LEARNED L17";(INDEX(ALLCLASSDATA,MATCH("Learned-L17",CLASSFEATUREHEADERS,0),MATCH(($A1359 &amp; "Points"),CLASSNAMEHEADERS,0)))}</f>
        <v>LEARNED L17</v>
      </c>
      <c r="Y1358" s="223" t="str">
        <f t="array" ref="Y1358:Y1359">{"LEARNED L18";(INDEX(ALLCLASSDATA,MATCH("Learned-L18",CLASSFEATUREHEADERS,0),MATCH(($A1359 &amp; "Points"),CLASSNAMEHEADERS,0)))}</f>
        <v>LEARNED L18</v>
      </c>
      <c r="Z1358" s="223" t="str">
        <f t="array" ref="Z1358:Z1359">{"LEARNED L19";(INDEX(ALLCLASSDATA,MATCH("Learned-L19",CLASSFEATUREHEADERS,0),MATCH(($A1359 &amp; "Points"),CLASSNAMEHEADERS,0)))}</f>
        <v>LEARNED L19</v>
      </c>
      <c r="AA1358" s="223" t="str">
        <f t="array" ref="AA1358:AA1359">{"LEARNED L20";(INDEX(ALLCLASSDATA,MATCH("Learned-L20",CLASSFEATUREHEADERS,0),MATCH(($A1359 &amp; "Points"),CLASSNAMEHEADERS,0)))}</f>
        <v>LEARNED L20</v>
      </c>
      <c r="AB1358" s="76"/>
      <c r="AC1358" s="76" t="str">
        <f t="array" ref="AC1358:AC1359">{"LEARNED TOTAL";(sum(G1359:AA1359))}</f>
        <v>LEARNED TOTAL</v>
      </c>
    </row>
    <row r="1359">
      <c r="A1359" s="48" t="s">
        <v>211</v>
      </c>
      <c r="B1359" s="48"/>
      <c r="C1359" s="48" t="s">
        <v>417</v>
      </c>
      <c r="D1359" s="48" t="s">
        <v>1901</v>
      </c>
      <c r="E1359" s="48" t="s">
        <v>1902</v>
      </c>
      <c r="F1359" s="278" t="s">
        <v>1906</v>
      </c>
      <c r="G1359" s="47"/>
      <c r="H1359" s="5">
        <v>40.0</v>
      </c>
      <c r="I1359" s="5">
        <v>20.0</v>
      </c>
      <c r="J1359" s="5">
        <v>40.0</v>
      </c>
      <c r="K1359" s="5">
        <v>20.0</v>
      </c>
      <c r="L1359" s="5">
        <v>40.0</v>
      </c>
      <c r="M1359" s="5">
        <v>20.0</v>
      </c>
      <c r="N1359" s="48">
        <v>40.0</v>
      </c>
      <c r="O1359" s="5">
        <v>20.0</v>
      </c>
      <c r="P1359" s="5">
        <v>40.0</v>
      </c>
      <c r="Q1359" s="5">
        <v>20.0</v>
      </c>
      <c r="R1359" s="5">
        <v>40.0</v>
      </c>
      <c r="S1359" s="5">
        <v>20.0</v>
      </c>
      <c r="T1359" s="5">
        <v>40.0</v>
      </c>
      <c r="U1359" s="5">
        <v>20.0</v>
      </c>
      <c r="V1359" s="5">
        <v>40.0</v>
      </c>
      <c r="W1359" s="5">
        <v>20.0</v>
      </c>
      <c r="X1359" s="5">
        <v>40.0</v>
      </c>
      <c r="Y1359" s="5">
        <v>20.0</v>
      </c>
      <c r="Z1359" s="5">
        <v>0.0</v>
      </c>
      <c r="AA1359" s="5" t="s">
        <v>603</v>
      </c>
      <c r="AB1359" s="5"/>
      <c r="AC1359" s="47">
        <v>540.0</v>
      </c>
    </row>
    <row r="1360" hidden="1">
      <c r="A1360" s="222" t="str">
        <f t="array" ref="A1360:A1361">{"FormulaRow42";(INDEX(CLASSLIST,A1277,1))}</f>
        <v>FormulaRow42</v>
      </c>
      <c r="B1360" s="77" t="s">
        <v>236</v>
      </c>
      <c r="C1360" s="222" t="str">
        <f t="array" ref="C1360:C1361">{"CLASSTYPE";((INDEX(ALLCLASSDATA,MATCH("ClassType",CLASSFEATUREHEADERS,0),MATCH($A1361,CLASSNAMEHEADERS,0))))}</f>
        <v>CLASSTYPE</v>
      </c>
      <c r="D1360" s="222" t="str">
        <f t="array" ref="D1360:D1361">{"SPELL/ALCHEMY";((IF(INDEX(ALLCLASSDATA,MATCH("CasterType",CLASSFEATUREHEADERS,0),MATCH(($A1361),CLASSNAMEHEADERS,0))="","",(IF(INDEX(ALLCLASSDATA,MATCH("CasterType",CLASSFEATUREHEADERS,0),MATCH(($A1361),CLASSNAMEHEADERS,0))="Alchemy","","Spells")))))}</f>
        <v>SPELL/ALCHEMY</v>
      </c>
      <c r="E1360" s="222" t="str">
        <f t="array" ref="E1360:E1361">{"SPELLLIST";(IF(D1361="Spells",((INDEX(ALLCLASSDATA,MATCH("CasterType",CLASSFEATUREHEADERS,0),MATCH(($A1361),CLASSNAMEHEADERS,0))) &amp; ":" &amp; (INDEX(ALLCLASSDATA,MATCH("SpellList",CLASSFEATUREHEADERS,0),MATCH(($A1361),CLASSNAMEHEADERS,0)))),""))}</f>
        <v>SPELLLIST</v>
      </c>
      <c r="F1360" s="223" t="str">
        <f t="array" ref="F1360:F1361">{"SLOT/LVL";(IF(D1355="Spells","Slot/LVL:",""))}</f>
        <v>SLOT/LVL</v>
      </c>
      <c r="G1360" s="223" t="str">
        <f t="array" ref="G1360:G1361">{"CANTRIPSLOTS";(INDEX(ALLCLASSDATA,MATCH("CantripSlots-L00",CLASSFEATUREHEADERS,0),MATCH($A1361,CLASSNAMEHEADERS,0)))}</f>
        <v>CANTRIPSLOTS</v>
      </c>
      <c r="H1360" s="223" t="str">
        <f t="array" ref="H1360:H1361">{"SPL01-L01";(INDEX(ALLCLASSDATA,MATCH("SPL01-L01",CLASSFEATUREHEADERS,0),MATCH($A1361,CLASSNAMEHEADERS,0)))}</f>
        <v>SPL01-L01</v>
      </c>
      <c r="I1360" s="223" t="str">
        <f t="array" ref="I1360:I1361">{"SPL01-L02";(INDEX(ALLCLASSDATA,MATCH("SPL01-L02",CLASSFEATUREHEADERS,0),MATCH($A1361,CLASSNAMEHEADERS,0)))}</f>
        <v>SPL01-L02</v>
      </c>
      <c r="J1360" s="223" t="str">
        <f t="array" ref="J1360:J1361">{"SPL02-L03";(INDEX(ALLCLASSDATA,MATCH("SPL02-L03",CLASSFEATUREHEADERS,0),MATCH($A1361,CLASSNAMEHEADERS,0)))}</f>
        <v>SPL02-L03</v>
      </c>
      <c r="K1360" s="223" t="str">
        <f t="array" ref="K1360:K1361">{"SPL02-L04";(INDEX(ALLCLASSDATA,MATCH("SPL02-L04",CLASSFEATUREHEADERS,0),MATCH($A1361,CLASSNAMEHEADERS,0)))}</f>
        <v>SPL02-L04</v>
      </c>
      <c r="L1360" s="223" t="str">
        <f t="array" ref="L1360:L1361">{"SPL03-L05";(INDEX(ALLCLASSDATA,MATCH("SPL03-L05",CLASSFEATUREHEADERS,0),MATCH($A1361,CLASSNAMEHEADERS,0)))}</f>
        <v>SPL03-L05</v>
      </c>
      <c r="M1360" s="223" t="str">
        <f t="array" ref="M1360:M1361">{"SPL03-L06";(INDEX(ALLCLASSDATA,MATCH("SPL03-L06",CLASSFEATUREHEADERS,0),MATCH($A1361,CLASSNAMEHEADERS,0)))}</f>
        <v>SPL03-L06</v>
      </c>
      <c r="N1360" s="223" t="str">
        <f t="array" ref="N1360:N1361">{"SPL04-L07";(INDEX(ALLCLASSDATA,MATCH("SPL04-L07",CLASSFEATUREHEADERS,0),MATCH($A1361,CLASSNAMEHEADERS,0)))}</f>
        <v>SPL04-L07</v>
      </c>
      <c r="O1360" s="223" t="str">
        <f t="array" ref="O1360:O1361">{"SPL04-L08";(INDEX(ALLCLASSDATA,MATCH("SPL04-L08",CLASSFEATUREHEADERS,0),MATCH($A1361,CLASSNAMEHEADERS,0)))}</f>
        <v>SPL04-L08</v>
      </c>
      <c r="P1360" s="223" t="str">
        <f t="array" ref="P1360:P1361">{"SPL05-L09";(INDEX(ALLCLASSDATA,MATCH("SPL05-L09",CLASSFEATUREHEADERS,0),MATCH($A1361,CLASSNAMEHEADERS,0)))}</f>
        <v>SPL05-L09</v>
      </c>
      <c r="Q1360" s="223" t="str">
        <f t="array" ref="Q1360:Q1361">{"SPL05-L10";(INDEX(ALLCLASSDATA,MATCH("SPL05-L10",CLASSFEATUREHEADERS,0),MATCH($A1361,CLASSNAMEHEADERS,0)))}</f>
        <v>SPL05-L10</v>
      </c>
      <c r="R1360" s="223" t="str">
        <f t="array" ref="R1360:R1361">{"SPL06-L11";(INDEX(ALLCLASSDATA,MATCH("SPL06-L11",CLASSFEATUREHEADERS,0),MATCH($A1361,CLASSNAMEHEADERS,0)))}</f>
        <v>SPL06-L11</v>
      </c>
      <c r="S1360" s="223" t="str">
        <f t="array" ref="S1360:S1361">{"SPL06-L12";(INDEX(ALLCLASSDATA,MATCH("SPL06-L12",CLASSFEATUREHEADERS,0),MATCH($A1361,CLASSNAMEHEADERS,0)))}</f>
        <v>SPL06-L12</v>
      </c>
      <c r="T1360" s="223" t="str">
        <f t="array" ref="T1360:T1361">{"SPL07-L13";(INDEX(ALLCLASSDATA,MATCH("SPL07-L13",CLASSFEATUREHEADERS,0),MATCH($A1361,CLASSNAMEHEADERS,0)))}</f>
        <v>SPL07-L13</v>
      </c>
      <c r="U1360" s="223" t="str">
        <f t="array" ref="U1360:U1361">{"SPL07-L14";(INDEX(ALLCLASSDATA,MATCH("SPL07-L14",CLASSFEATUREHEADERS,0),MATCH($A1361,CLASSNAMEHEADERS,0)))}</f>
        <v>SPL07-L14</v>
      </c>
      <c r="V1360" s="223" t="str">
        <f t="array" ref="V1360:V1361">{"SPL08-L15";(INDEX(ALLCLASSDATA,MATCH("SPL08-L15",CLASSFEATUREHEADERS,0),MATCH($A1361,CLASSNAMEHEADERS,0)))}</f>
        <v>SPL08-L15</v>
      </c>
      <c r="W1360" s="223" t="str">
        <f t="array" ref="W1360:W1361">{"SPL08-L16";(INDEX(ALLCLASSDATA,MATCH("SPL08-L16",CLASSFEATUREHEADERS,0),MATCH($A1361,CLASSNAMEHEADERS,0)))}</f>
        <v>SPL08-L16</v>
      </c>
      <c r="X1360" s="223" t="str">
        <f t="array" ref="X1360:X1361">{"SPL09-L17";(INDEX(ALLCLASSDATA,MATCH("SPL09-L17",CLASSFEATUREHEADERS,0),MATCH($A1361,CLASSNAMEHEADERS,0)))}</f>
        <v>SPL09-L17</v>
      </c>
      <c r="Y1360" s="223" t="str">
        <f t="array" ref="Y1360:Y1361">{"SPL09-L18";(INDEX(ALLCLASSDATA,MATCH("SPL09-L18",CLASSFEATUREHEADERS,0),MATCH($A1361,CLASSNAMEHEADERS,0)))}</f>
        <v>SPL09-L18</v>
      </c>
      <c r="Z1360" s="223" t="str">
        <f t="array" ref="Z1360:Z1361">{"SPL10-L19";(INDEX(ALLCLASSDATA,MATCH("SPL10-L19",CLASSFEATUREHEADERS,0),MATCH($A1361,CLASSNAMEHEADERS,0)))}</f>
        <v>SPL10-L19</v>
      </c>
      <c r="AA1360" s="223" t="str">
        <f t="array" ref="AA1360:AA1361">{"SPL10-L20";(INDEX(ALLCLASSDATA,MATCH("SPL10-L20",CLASSFEATUREHEADERS,0),MATCH($A1361,CLASSNAMEHEADERS,0)))}</f>
        <v>SPL10-L20</v>
      </c>
      <c r="AB1360" s="76"/>
      <c r="AC1360" s="76"/>
    </row>
    <row r="1361">
      <c r="A1361" s="48" t="s">
        <v>211</v>
      </c>
      <c r="B1361" s="48"/>
      <c r="C1361" s="48" t="s">
        <v>417</v>
      </c>
      <c r="D1361" s="48" t="s">
        <v>1901</v>
      </c>
      <c r="E1361" s="48" t="s">
        <v>1902</v>
      </c>
      <c r="F1361" s="278" t="s">
        <v>1907</v>
      </c>
      <c r="G1361" s="280" t="s">
        <v>1530</v>
      </c>
      <c r="H1361" s="50" t="s">
        <v>1538</v>
      </c>
      <c r="I1361" s="50" t="s">
        <v>1537</v>
      </c>
      <c r="J1361" s="50" t="s">
        <v>1538</v>
      </c>
      <c r="K1361" s="50" t="s">
        <v>1537</v>
      </c>
      <c r="L1361" s="50" t="s">
        <v>1538</v>
      </c>
      <c r="M1361" s="50" t="s">
        <v>1537</v>
      </c>
      <c r="N1361" s="50" t="s">
        <v>1538</v>
      </c>
      <c r="O1361" s="50" t="s">
        <v>1537</v>
      </c>
      <c r="P1361" s="50" t="s">
        <v>1538</v>
      </c>
      <c r="Q1361" s="50" t="s">
        <v>1537</v>
      </c>
      <c r="R1361" s="50" t="s">
        <v>1538</v>
      </c>
      <c r="S1361" s="50" t="s">
        <v>1537</v>
      </c>
      <c r="T1361" s="50" t="s">
        <v>1538</v>
      </c>
      <c r="U1361" s="50" t="s">
        <v>1537</v>
      </c>
      <c r="V1361" s="50" t="s">
        <v>1538</v>
      </c>
      <c r="W1361" s="50" t="s">
        <v>1537</v>
      </c>
      <c r="X1361" s="50" t="s">
        <v>1538</v>
      </c>
      <c r="Y1361" s="50" t="s">
        <v>1537</v>
      </c>
      <c r="Z1361" s="50" t="s">
        <v>1537</v>
      </c>
      <c r="AA1361" s="50"/>
      <c r="AB1361" s="278"/>
      <c r="AC1361" s="47"/>
    </row>
    <row r="1362" hidden="1">
      <c r="A1362" s="222" t="str">
        <f t="array" ref="A1362:A1363">{"FormulaRow43";(INDEX(CLASSLIST,A1277,1))}</f>
        <v>FormulaRow43</v>
      </c>
      <c r="B1362" s="77" t="s">
        <v>236</v>
      </c>
      <c r="C1362" s="222" t="str">
        <f t="array" ref="C1362:C1363">{"CLASSTYPE";((INDEX(ALLCLASSDATA,MATCH("ClassType",CLASSFEATUREHEADERS,0),MATCH($A1363,CLASSNAMEHEADERS,0))))}</f>
        <v>CLASSTYPE</v>
      </c>
      <c r="D1362" s="222" t="str">
        <f t="array" ref="D1362:D1363">{"SPELL/ALCHEMY";((IF(INDEX(ALLCLASSDATA,MATCH("CasterType",CLASSFEATUREHEADERS,0),MATCH(($A1363),CLASSNAMEHEADERS,0))="","",(IF(INDEX(ALLCLASSDATA,MATCH("CasterType",CLASSFEATUREHEADERS,0),MATCH(($A1363),CLASSNAMEHEADERS,0))="Alchemy","Alchemy","Spells")))))}</f>
        <v>SPELL/ALCHEMY</v>
      </c>
      <c r="E1362" s="222" t="str">
        <f t="array" ref="E1362:E1363">{"SPELLLIST";(IF(D1363="Spells",((INDEX(ALLCLASSDATA,MATCH("CasterType",CLASSFEATUREHEADERS,0),MATCH(($A1363),CLASSNAMEHEADERS,0))) &amp; ":" &amp; (INDEX(ALLCLASSDATA,MATCH("SpellList",CLASSFEATUREHEADERS,0),MATCH(($A1363),CLASSNAMEHEADERS,0)))),""))}</f>
        <v>SPELLLIST</v>
      </c>
      <c r="F1362" s="223" t="str">
        <f t="array" ref="F1362:F1363">{"LEARNED/LVL";(IF(D1363="","","Learn/LVL:"))}</f>
        <v>LEARNED/LVL</v>
      </c>
      <c r="G1362" s="223" t="str">
        <f t="array" ref="G1362:G1363">{"LEARNEDCANTRIPS";(INDEX(ALLCLASSDATA,MATCH("CantripsLearned-L00",CLASSFEATUREHEADERS,0),MATCH($A1363,CLASSNAMEHEADERS,0)))}</f>
        <v>LEARNEDCANTRIPS</v>
      </c>
      <c r="H1362" s="223" t="str">
        <f t="array" ref="H1362:H1363">{"LEARNED L01";(INDEX(ALLCLASSDATA,MATCH("Learned-L01",CLASSFEATUREHEADERS,0),MATCH($A1363,CLASSNAMEHEADERS,0)))}</f>
        <v>LEARNED L01</v>
      </c>
      <c r="I1362" s="223" t="str">
        <f t="array" ref="I1362:I1363">{"LEARNED L02";(INDEX(ALLCLASSDATA,MATCH("Learned-L02",CLASSFEATUREHEADERS,0),MATCH($A1363,CLASSNAMEHEADERS,0)))}</f>
        <v>LEARNED L02</v>
      </c>
      <c r="J1362" s="223" t="str">
        <f t="array" ref="J1362:J1363">{"LEARNED L03";(INDEX(ALLCLASSDATA,MATCH("Learned-L03",CLASSFEATUREHEADERS,0),MATCH($A1363,CLASSNAMEHEADERS,0)))}</f>
        <v>LEARNED L03</v>
      </c>
      <c r="K1362" s="223" t="str">
        <f t="array" ref="K1362:K1363">{"LEARNED L04";(INDEX(ALLCLASSDATA,MATCH("Learned-L04",CLASSFEATUREHEADERS,0),MATCH($A1363,CLASSNAMEHEADERS,0)))}</f>
        <v>LEARNED L04</v>
      </c>
      <c r="L1362" s="223" t="str">
        <f t="array" ref="L1362:L1363">{"LEARNED L05";(INDEX(ALLCLASSDATA,MATCH("Learned-L05",CLASSFEATUREHEADERS,0),MATCH($A1363,CLASSNAMEHEADERS,0)))}</f>
        <v>LEARNED L05</v>
      </c>
      <c r="M1362" s="223" t="str">
        <f t="array" ref="M1362:M1363">{"LEARNED L06";(INDEX(ALLCLASSDATA,MATCH("Learned-L06",CLASSFEATUREHEADERS,0),MATCH($A1363,CLASSNAMEHEADERS,0)))}</f>
        <v>LEARNED L06</v>
      </c>
      <c r="N1362" s="223" t="str">
        <f t="array" ref="N1362:N1363">{"LEARNED L07";(INDEX(ALLCLASSDATA,MATCH("Learned-L07",CLASSFEATUREHEADERS,0),MATCH($A1363,CLASSNAMEHEADERS,0)))}</f>
        <v>LEARNED L07</v>
      </c>
      <c r="O1362" s="223" t="str">
        <f t="array" ref="O1362:O1363">{"LEARNED L08";(INDEX(ALLCLASSDATA,MATCH("Learned-L08",CLASSFEATUREHEADERS,0),MATCH($A1363,CLASSNAMEHEADERS,0)))}</f>
        <v>LEARNED L08</v>
      </c>
      <c r="P1362" s="223" t="str">
        <f t="array" ref="P1362:P1363">{"LEARNED L09";(INDEX(ALLCLASSDATA,MATCH("Learned-L09",CLASSFEATUREHEADERS,0),MATCH($A1363,CLASSNAMEHEADERS,0)))}</f>
        <v>LEARNED L09</v>
      </c>
      <c r="Q1362" s="223" t="str">
        <f t="array" ref="Q1362:Q1363">{"LEARNED L10";(INDEX(ALLCLASSDATA,MATCH("Learned-L10",CLASSFEATUREHEADERS,0),MATCH($A1363,CLASSNAMEHEADERS,0)))}</f>
        <v>LEARNED L10</v>
      </c>
      <c r="R1362" s="223" t="str">
        <f t="array" ref="R1362:R1363">{"LEARNED L11";(INDEX(ALLCLASSDATA,MATCH("Learned-L11",CLASSFEATUREHEADERS,0),MATCH($A1363,CLASSNAMEHEADERS,0)))}</f>
        <v>LEARNED L11</v>
      </c>
      <c r="S1362" s="223" t="str">
        <f t="array" ref="S1362:S1363">{"LEARNED L12";(INDEX(ALLCLASSDATA,MATCH("Learned-L12",CLASSFEATUREHEADERS,0),MATCH($A1363,CLASSNAMEHEADERS,0)))}</f>
        <v>LEARNED L12</v>
      </c>
      <c r="T1362" s="223" t="str">
        <f t="array" ref="T1362:T1363">{"LEARNED L13";(INDEX(ALLCLASSDATA,MATCH("Learned-L13",CLASSFEATUREHEADERS,0),MATCH($A1363,CLASSNAMEHEADERS,0)))}</f>
        <v>LEARNED L13</v>
      </c>
      <c r="U1362" s="223" t="str">
        <f t="array" ref="U1362:U1363">{"LEARNED L14";(INDEX(ALLCLASSDATA,MATCH("Learned-L14",CLASSFEATUREHEADERS,0),MATCH($A1363,CLASSNAMEHEADERS,0)))}</f>
        <v>LEARNED L14</v>
      </c>
      <c r="V1362" s="223" t="str">
        <f t="array" ref="V1362:V1363">{"LEARNED L15";(INDEX(ALLCLASSDATA,MATCH("Learned-L15",CLASSFEATUREHEADERS,0),MATCH($A1363,CLASSNAMEHEADERS,0)))}</f>
        <v>LEARNED L15</v>
      </c>
      <c r="W1362" s="223" t="str">
        <f t="array" ref="W1362:W1363">{"LEARNED L16";(INDEX(ALLCLASSDATA,MATCH("Learned-L16",CLASSFEATUREHEADERS,0),MATCH($A1363,CLASSNAMEHEADERS,0)))}</f>
        <v>LEARNED L16</v>
      </c>
      <c r="X1362" s="223" t="str">
        <f t="array" ref="X1362:X1363">{"LEARNED L17";(INDEX(ALLCLASSDATA,MATCH("Learned-L17",CLASSFEATUREHEADERS,0),MATCH($A1363,CLASSNAMEHEADERS,0)))}</f>
        <v>LEARNED L17</v>
      </c>
      <c r="Y1362" s="223" t="str">
        <f t="array" ref="Y1362:Y1363">{"LEARNED L18";(INDEX(ALLCLASSDATA,MATCH("Learned-L18",CLASSFEATUREHEADERS,0),MATCH($A1363,CLASSNAMEHEADERS,0)))}</f>
        <v>LEARNED L18</v>
      </c>
      <c r="Z1362" s="223" t="str">
        <f t="array" ref="Z1362:Z1363">{"LEARNED L19";(INDEX(ALLCLASSDATA,MATCH("Learned-L19",CLASSFEATUREHEADERS,0),MATCH($A1363,CLASSNAMEHEADERS,0)))}</f>
        <v>LEARNED L19</v>
      </c>
      <c r="AA1362" s="223" t="str">
        <f t="array" ref="AA1362:AA1363">{"LEARNED L20";(INDEX(ALLCLASSDATA,MATCH("Learned-L20",CLASSFEATUREHEADERS,0),MATCH($A1363,CLASSNAMEHEADERS,0)))}</f>
        <v>LEARNED L20</v>
      </c>
      <c r="AB1362" s="76"/>
      <c r="AC1362" s="76"/>
    </row>
    <row r="1363">
      <c r="A1363" s="48" t="s">
        <v>211</v>
      </c>
      <c r="B1363" s="48"/>
      <c r="C1363" s="48" t="s">
        <v>417</v>
      </c>
      <c r="D1363" s="48" t="s">
        <v>1901</v>
      </c>
      <c r="E1363" s="48" t="s">
        <v>1902</v>
      </c>
      <c r="F1363" s="278" t="s">
        <v>1909</v>
      </c>
      <c r="G1363" s="280"/>
      <c r="H1363" s="278" t="s">
        <v>1573</v>
      </c>
      <c r="I1363" s="278" t="s">
        <v>1538</v>
      </c>
      <c r="J1363" s="278" t="s">
        <v>1573</v>
      </c>
      <c r="K1363" s="278" t="s">
        <v>1538</v>
      </c>
      <c r="L1363" s="278" t="s">
        <v>1573</v>
      </c>
      <c r="M1363" s="278" t="s">
        <v>1538</v>
      </c>
      <c r="N1363" s="278" t="s">
        <v>1573</v>
      </c>
      <c r="O1363" s="50" t="s">
        <v>1538</v>
      </c>
      <c r="P1363" s="278" t="s">
        <v>1573</v>
      </c>
      <c r="Q1363" s="278" t="s">
        <v>1538</v>
      </c>
      <c r="R1363" s="278" t="s">
        <v>1573</v>
      </c>
      <c r="S1363" s="278" t="s">
        <v>1538</v>
      </c>
      <c r="T1363" s="278" t="s">
        <v>1573</v>
      </c>
      <c r="U1363" s="278" t="s">
        <v>1538</v>
      </c>
      <c r="V1363" s="278" t="s">
        <v>1573</v>
      </c>
      <c r="W1363" s="278" t="s">
        <v>1538</v>
      </c>
      <c r="X1363" s="278" t="s">
        <v>1573</v>
      </c>
      <c r="Y1363" s="278" t="s">
        <v>1538</v>
      </c>
      <c r="Z1363" s="278" t="s">
        <v>1538</v>
      </c>
      <c r="AA1363" s="278"/>
      <c r="AB1363" s="278"/>
      <c r="AC1363" s="47"/>
    </row>
    <row r="1364" hidden="1">
      <c r="A1364" s="222" t="str">
        <f t="array" ref="A1364:A1365">{"FormulaRow44";(INDEX(CLASSLIST,A1277,1))}</f>
        <v>FormulaRow44</v>
      </c>
      <c r="B1364" s="77" t="s">
        <v>236</v>
      </c>
      <c r="C1364" s="222" t="str">
        <f t="array" ref="C1364:C1365">{"CLASSTYPE";((INDEX(ALLCLASSDATA,MATCH("ClassType",CLASSFEATUREHEADERS,0),MATCH($A1365,CLASSNAMEHEADERS,0))))}</f>
        <v>CLASSTYPE</v>
      </c>
      <c r="D1364" s="222" t="str">
        <f t="array" ref="D1364:D1365">{"SPELL/ALCHEMY";((IF(INDEX(ALLCLASSDATA,MATCH("CasterType",CLASSFEATUREHEADERS,0),MATCH(($A1365),CLASSNAMEHEADERS,0))="","",(IF(INDEX(ALLCLASSDATA,MATCH("CasterType",CLASSFEATUREHEADERS,0),MATCH(($A1365),CLASSNAMEHEADERS,0))="Alchemy","","Spells")))))}</f>
        <v>SPELL/ALCHEMY</v>
      </c>
      <c r="E1364" s="222" t="str">
        <f t="array" ref="E1364:E1365">{"SPELLLIST";(IF(D1365="Spells",((INDEX(ALLCLASSDATA,MATCH("CasterType",CLASSFEATUREHEADERS,0),MATCH(($A1365),CLASSNAMEHEADERS,0))) &amp; ":" &amp; (INDEX(ALLCLASSDATA,MATCH("SpellList",CLASSFEATUREHEADERS,0),MATCH(($A1365),CLASSNAMEHEADERS,0)))),""))}</f>
        <v>SPELLLIST</v>
      </c>
      <c r="F1364" s="223" t="str">
        <f t="array" ref="F1364:F1365">{"TOTALSLOTS";(IF(D1365="","","TotalSlots:"))}</f>
        <v>TOTALSLOTS</v>
      </c>
      <c r="G1364" s="223" t="str">
        <f t="array" ref="G1364:G1365">{"TOTALCANTRIPSLOTS";(G1361)}</f>
        <v>TOTALCANTRIPSLOTS</v>
      </c>
      <c r="H1364" s="223" t="str">
        <f t="array" ref="H1364:H1365">{"TOTALSLOTS L01";(H1361)}</f>
        <v>TOTALSLOTS L01</v>
      </c>
      <c r="I1364" s="223" t="str">
        <f t="array" ref="I1364:I1365">{"TOTALSLOTS L02";(H1365+I1361)}</f>
        <v>TOTALSLOTS L02</v>
      </c>
      <c r="J1364" s="223" t="str">
        <f t="array" ref="J1364:J1365">{"TOTALSLOTS L03";(I1365+J1361)}</f>
        <v>TOTALSLOTS L03</v>
      </c>
      <c r="K1364" s="223" t="str">
        <f t="array" ref="K1364:K1365">{"TOTALSLOTS L04";(J1365+K1361)}</f>
        <v>TOTALSLOTS L04</v>
      </c>
      <c r="L1364" s="223" t="str">
        <f t="array" ref="L1364:L1365">{"TOTALSLOTS L05";(K1365+L1361)}</f>
        <v>TOTALSLOTS L05</v>
      </c>
      <c r="M1364" s="223" t="str">
        <f t="array" ref="M1364:M1365">{"TOTALSLOTS L06";(L1365+M1361)}</f>
        <v>TOTALSLOTS L06</v>
      </c>
      <c r="N1364" s="223" t="str">
        <f t="array" ref="N1364:N1365">{"TOTALSLOTS L07";(M1365+N1361)}</f>
        <v>TOTALSLOTS L07</v>
      </c>
      <c r="O1364" s="223" t="str">
        <f t="array" ref="O1364:O1365">{"TOTALSLOTS L08";(N1365+O1361)}</f>
        <v>TOTALSLOTS L08</v>
      </c>
      <c r="P1364" s="223" t="str">
        <f t="array" ref="P1364:P1365">{"TOTALSLOTS L09";(O1365+P1361)}</f>
        <v>TOTALSLOTS L09</v>
      </c>
      <c r="Q1364" s="223" t="str">
        <f t="array" ref="Q1364:Q1365">{"TOTALSLOTS L10";(P1365+Q1361)}</f>
        <v>TOTALSLOTS L10</v>
      </c>
      <c r="R1364" s="223" t="str">
        <f t="array" ref="R1364:R1365">{"TOTALSLOTS L11";(Q1365+R1361)}</f>
        <v>TOTALSLOTS L11</v>
      </c>
      <c r="S1364" s="223" t="str">
        <f t="array" ref="S1364:S1365">{"TOTALSLOTS L12";(R1365+S1361)}</f>
        <v>TOTALSLOTS L12</v>
      </c>
      <c r="T1364" s="223" t="str">
        <f t="array" ref="T1364:T1365">{"TOTALSLOTS L13";(S1365+T1361)}</f>
        <v>TOTALSLOTS L13</v>
      </c>
      <c r="U1364" s="223" t="str">
        <f t="array" ref="U1364:U1365">{"TOTALSLOTS L14";(T1365+U1361)}</f>
        <v>TOTALSLOTS L14</v>
      </c>
      <c r="V1364" s="223" t="str">
        <f t="array" ref="V1364:V1365">{"TOTALSLOTS L15";(U1365+V1361)}</f>
        <v>TOTALSLOTS L15</v>
      </c>
      <c r="W1364" s="223" t="str">
        <f t="array" ref="W1364:W1365">{"TOTALSLOTS L16";(V1365+W1361)}</f>
        <v>TOTALSLOTS L16</v>
      </c>
      <c r="X1364" s="223" t="str">
        <f t="array" ref="X1364:X1365">{"TOTALSLOTS L17";(W1365+X1361)}</f>
        <v>TOTALSLOTS L17</v>
      </c>
      <c r="Y1364" s="223" t="str">
        <f t="array" ref="Y1364:Y1365">{"TOTALSLOTS L18";(X1365+Y1361)}</f>
        <v>TOTALSLOTS L18</v>
      </c>
      <c r="Z1364" s="223" t="str">
        <f t="array" ref="Z1364:Z1365">{"TOTALSLOTS L19";(Y1365+Z1361)}</f>
        <v>TOTALSLOTS L19</v>
      </c>
      <c r="AA1364" s="223" t="str">
        <f t="array" ref="AA1364:AA1365">{"TOTALSLOTS L20";(Z1365+AA1361)}</f>
        <v>TOTALSLOTS L20</v>
      </c>
      <c r="AB1364" s="76"/>
      <c r="AC1364" s="76"/>
    </row>
    <row r="1365">
      <c r="A1365" s="48" t="s">
        <v>211</v>
      </c>
      <c r="B1365" s="48"/>
      <c r="C1365" s="48" t="s">
        <v>417</v>
      </c>
      <c r="D1365" s="48" t="s">
        <v>1901</v>
      </c>
      <c r="E1365" s="48" t="s">
        <v>1902</v>
      </c>
      <c r="F1365" s="278" t="s">
        <v>1910</v>
      </c>
      <c r="G1365" s="280" t="s">
        <v>1530</v>
      </c>
      <c r="H1365" s="278" t="s">
        <v>1538</v>
      </c>
      <c r="I1365" s="278">
        <v>3.0</v>
      </c>
      <c r="J1365" s="278">
        <v>5.0</v>
      </c>
      <c r="K1365" s="278">
        <v>6.0</v>
      </c>
      <c r="L1365" s="278">
        <v>8.0</v>
      </c>
      <c r="M1365" s="278">
        <v>9.0</v>
      </c>
      <c r="N1365" s="278">
        <v>11.0</v>
      </c>
      <c r="O1365" s="278">
        <v>12.0</v>
      </c>
      <c r="P1365" s="278">
        <v>14.0</v>
      </c>
      <c r="Q1365" s="278">
        <v>15.0</v>
      </c>
      <c r="R1365" s="278">
        <v>17.0</v>
      </c>
      <c r="S1365" s="278">
        <v>18.0</v>
      </c>
      <c r="T1365" s="278">
        <v>20.0</v>
      </c>
      <c r="U1365" s="278">
        <v>21.0</v>
      </c>
      <c r="V1365" s="278">
        <v>23.0</v>
      </c>
      <c r="W1365" s="278">
        <v>24.0</v>
      </c>
      <c r="X1365" s="278">
        <v>26.0</v>
      </c>
      <c r="Y1365" s="278">
        <v>27.0</v>
      </c>
      <c r="Z1365" s="278">
        <v>28.0</v>
      </c>
      <c r="AA1365" s="278">
        <v>28.0</v>
      </c>
      <c r="AB1365" s="5"/>
      <c r="AC1365" s="47"/>
    </row>
    <row r="1366" hidden="1">
      <c r="A1366" s="222" t="str">
        <f t="array" ref="A1366:A1367">{"FormulaRow45";(INDEX(CLASSLIST,A1277,1))}</f>
        <v>FormulaRow45</v>
      </c>
      <c r="B1366" s="77" t="s">
        <v>236</v>
      </c>
      <c r="C1366" s="222" t="str">
        <f t="array" ref="C1366:C1367">{"CLASSTYPE";((INDEX(ALLCLASSDATA,MATCH("ClassType",CLASSFEATUREHEADERS,0),MATCH($A1367,CLASSNAMEHEADERS,0))))}</f>
        <v>CLASSTYPE</v>
      </c>
      <c r="D1366" s="222" t="str">
        <f t="array" ref="D1366:D1367">{"SPELL/ALCHEMY";((IF(INDEX(ALLCLASSDATA,MATCH("CasterType",CLASSFEATUREHEADERS,0),MATCH(($A1367),CLASSNAMEHEADERS,0))="","",(IF(INDEX(ALLCLASSDATA,MATCH("CasterType",CLASSFEATUREHEADERS,0),MATCH(($A1367),CLASSNAMEHEADERS,0))="Alchemy","Alchemy","Spells")))))}</f>
        <v>SPELL/ALCHEMY</v>
      </c>
      <c r="E1366" s="222" t="str">
        <f t="array" ref="E1366:E1367">{"SPELLLIST";(IF(D1367="Spells",((INDEX(ALLCLASSDATA,MATCH("CasterType",CLASSFEATUREHEADERS,0),MATCH(($A1367),CLASSNAMEHEADERS,0))) &amp; ":" &amp; (INDEX(ALLCLASSDATA,MATCH("SpellList",CLASSFEATUREHEADERS,0),MATCH(($A1367),CLASSNAMEHEADERS,0)))),""))}</f>
        <v>SPELLLIST</v>
      </c>
      <c r="F1366" s="223" t="str">
        <f t="array" ref="F1366:F1367">{"TOTALLEARNED";(IF(D1367="","","TotalLearned:"))}</f>
        <v>TOTALLEARNED</v>
      </c>
      <c r="G1366" s="223" t="str">
        <f t="array" ref="G1366:G1367">{"TOTALCANTRIPSLEARNED";(G1363)}</f>
        <v>TOTALCANTRIPSLEARNED</v>
      </c>
      <c r="H1366" s="223" t="str">
        <f t="array" ref="H1366:H1367">{"TOTALLEARNED L01";(H1363)}</f>
        <v>TOTALLEARNED L01</v>
      </c>
      <c r="I1366" s="223" t="str">
        <f t="array" ref="I1366:I1367">{"TOTALLEARNED L02";(H1367+I1363)}</f>
        <v>TOTALLEARNED L02</v>
      </c>
      <c r="J1366" s="223" t="str">
        <f t="array" ref="J1366:J1367">{"TOTALLEARNED L03";(I1367+J1363)}</f>
        <v>TOTALLEARNED L03</v>
      </c>
      <c r="K1366" s="223" t="str">
        <f t="array" ref="K1366:K1367">{"TOTALLEARNED L04";(J1367+K1363)}</f>
        <v>TOTALLEARNED L04</v>
      </c>
      <c r="L1366" s="223" t="str">
        <f t="array" ref="L1366:L1367">{"TOTALLEARNED L05";(K1367+L1363)}</f>
        <v>TOTALLEARNED L05</v>
      </c>
      <c r="M1366" s="223" t="str">
        <f t="array" ref="M1366:M1367">{"TOTALLEARNED L06";(L1367+M1363)}</f>
        <v>TOTALLEARNED L06</v>
      </c>
      <c r="N1366" s="223" t="str">
        <f t="array" ref="N1366:N1367">{"TOTALLEARNED L07";(M1367+N1363)}</f>
        <v>TOTALLEARNED L07</v>
      </c>
      <c r="O1366" s="223" t="str">
        <f t="array" ref="O1366:O1367">{"TOTALLEARNED L08";(N1367+O1363)}</f>
        <v>TOTALLEARNED L08</v>
      </c>
      <c r="P1366" s="223" t="str">
        <f t="array" ref="P1366:P1367">{"TOTALLEARNED L09";(O1367+P1363)}</f>
        <v>TOTALLEARNED L09</v>
      </c>
      <c r="Q1366" s="223" t="str">
        <f t="array" ref="Q1366:Q1367">{"TOTALLEARNED L10";(P1367+Q1363)}</f>
        <v>TOTALLEARNED L10</v>
      </c>
      <c r="R1366" s="223" t="str">
        <f t="array" ref="R1366:R1367">{"TOTALLEARNED L11";(Q1367+R1363)}</f>
        <v>TOTALLEARNED L11</v>
      </c>
      <c r="S1366" s="223" t="str">
        <f t="array" ref="S1366:S1367">{"TOTALLEARNED L12";(R1367+S1363)}</f>
        <v>TOTALLEARNED L12</v>
      </c>
      <c r="T1366" s="223" t="str">
        <f t="array" ref="T1366:T1367">{"TOTALLEARNED L13";(S1367+T1363)}</f>
        <v>TOTALLEARNED L13</v>
      </c>
      <c r="U1366" s="223" t="str">
        <f t="array" ref="U1366:U1367">{"TOTALLEARNED L14";(T1367+U1363)}</f>
        <v>TOTALLEARNED L14</v>
      </c>
      <c r="V1366" s="223" t="str">
        <f t="array" ref="V1366:V1367">{"TOTALLEARNED L15";(U1367+V1363)}</f>
        <v>TOTALLEARNED L15</v>
      </c>
      <c r="W1366" s="223" t="str">
        <f t="array" ref="W1366:W1367">{"TOTALLEARNED L16";(V1367+W1363)}</f>
        <v>TOTALLEARNED L16</v>
      </c>
      <c r="X1366" s="223" t="str">
        <f t="array" ref="X1366:X1367">{"TOTALLEARNED L17";(W1367+X1363)}</f>
        <v>TOTALLEARNED L17</v>
      </c>
      <c r="Y1366" s="223" t="str">
        <f t="array" ref="Y1366:Y1367">{"TOTALLEARNED L18";(X1367+Y1363)}</f>
        <v>TOTALLEARNED L18</v>
      </c>
      <c r="Z1366" s="223" t="str">
        <f t="array" ref="Z1366:Z1367">{"TOTALLEARNED L19";(Y1367+Z1363)}</f>
        <v>TOTALLEARNED L19</v>
      </c>
      <c r="AA1366" s="223" t="str">
        <f t="array" ref="AA1366:AA1367">{"TOTALLEARNED L20";(Z1367+AA1363)}</f>
        <v>TOTALLEARNED L20</v>
      </c>
      <c r="AB1366" s="76"/>
      <c r="AC1366" s="76"/>
    </row>
    <row r="1367">
      <c r="A1367" s="97" t="s">
        <v>211</v>
      </c>
      <c r="B1367" s="97"/>
      <c r="C1367" s="97" t="s">
        <v>417</v>
      </c>
      <c r="D1367" s="97" t="s">
        <v>1901</v>
      </c>
      <c r="E1367" s="97" t="s">
        <v>1902</v>
      </c>
      <c r="F1367" s="281" t="s">
        <v>1911</v>
      </c>
      <c r="G1367" s="282"/>
      <c r="H1367" s="278" t="s">
        <v>1573</v>
      </c>
      <c r="I1367" s="278">
        <v>6.0</v>
      </c>
      <c r="J1367" s="278">
        <v>10.0</v>
      </c>
      <c r="K1367" s="278">
        <v>12.0</v>
      </c>
      <c r="L1367" s="278">
        <v>16.0</v>
      </c>
      <c r="M1367" s="278">
        <v>18.0</v>
      </c>
      <c r="N1367" s="278">
        <v>22.0</v>
      </c>
      <c r="O1367" s="278">
        <v>24.0</v>
      </c>
      <c r="P1367" s="278">
        <v>28.0</v>
      </c>
      <c r="Q1367" s="278">
        <v>30.0</v>
      </c>
      <c r="R1367" s="278">
        <v>34.0</v>
      </c>
      <c r="S1367" s="278">
        <v>36.0</v>
      </c>
      <c r="T1367" s="278">
        <v>40.0</v>
      </c>
      <c r="U1367" s="278">
        <v>42.0</v>
      </c>
      <c r="V1367" s="278">
        <v>46.0</v>
      </c>
      <c r="W1367" s="278">
        <v>48.0</v>
      </c>
      <c r="X1367" s="278">
        <v>52.0</v>
      </c>
      <c r="Y1367" s="278">
        <v>54.0</v>
      </c>
      <c r="Z1367" s="278">
        <v>56.0</v>
      </c>
      <c r="AA1367" s="278">
        <v>56.0</v>
      </c>
      <c r="AB1367" s="5"/>
      <c r="AC1367" s="47"/>
    </row>
    <row r="1368">
      <c r="A1368" s="55">
        <f>VLOOKUP($C1368, CLASSNUMBERFINDER, 2, false)</f>
        <v>16</v>
      </c>
      <c r="B1368" s="58"/>
      <c r="C1368" s="70" t="s">
        <v>219</v>
      </c>
      <c r="D1368" s="71"/>
      <c r="E1368" s="71"/>
      <c r="F1368" s="71"/>
      <c r="G1368" s="72"/>
      <c r="H1368" s="71"/>
      <c r="I1368" s="71"/>
      <c r="J1368" s="71"/>
      <c r="K1368" s="71"/>
      <c r="L1368" s="71"/>
      <c r="M1368" s="71"/>
      <c r="N1368" s="71"/>
      <c r="O1368" s="71"/>
      <c r="P1368" s="71"/>
      <c r="Q1368" s="71"/>
      <c r="R1368" s="71"/>
      <c r="S1368" s="71"/>
      <c r="T1368" s="71"/>
      <c r="U1368" s="71"/>
      <c r="V1368" s="71"/>
      <c r="W1368" s="71"/>
      <c r="X1368" s="71"/>
      <c r="Y1368" s="71"/>
      <c r="Z1368" s="71"/>
      <c r="AA1368" s="71"/>
      <c r="AB1368" s="71"/>
      <c r="AC1368" s="73"/>
    </row>
    <row r="1369" hidden="1">
      <c r="A1369" s="76" t="str">
        <f t="array" ref="A1369:A1370">{"FormulaRow01";(INDEX(CLASSLIST,A1368,1))}</f>
        <v>FormulaRow01</v>
      </c>
      <c r="B1369" s="77" t="s">
        <v>236</v>
      </c>
      <c r="C1369" s="76" t="str">
        <f t="array" ref="C1369:C1370">{"CLASSTYPE";(INDEX(ALLCLASSDATA,MATCH("ClassType",CLASSFEATUREHEADERS,0),MATCH($A1370,CLASSNAMEHEADERS,0)))}</f>
        <v>CLASSTYPE</v>
      </c>
      <c r="D1369" s="81" t="str">
        <f t="array" ref="D1369:D1370">{"TOTAL";("Total: " &amp; H1370+J1370+L1370+N1370+P1370+R1370+T1370+V1370+X1370+Z1370)}</f>
        <v>TOTAL</v>
      </c>
      <c r="E1369" s="81" t="str">
        <f t="array" ref="E1369:E1370">{"BALANCE";(IF((H1370+J1370+L1370+N1370+P1370+R1370+T1370+V1370+X1370+Z1370)=2100,"(balanced)",(IF((H1370+J1370+L1370+N1370+P1370+R1370+T1370+V1370+X1370+Z1370)&gt;2100,"OVERBUDGET: ","UNDERBUDGET: ")) &amp; (H1370+J1370+L1370+N1370+P1370+R1370+T1370+V1370+X1370+Z1370-2100)))}</f>
        <v>BALANCE</v>
      </c>
      <c r="F1369" s="81"/>
      <c r="G1369" s="81"/>
      <c r="H1369" s="81" t="str">
        <f t="array" ref="H1369:H1370">{"SUM LVL0/1/2";((SUMIF(F1371:I1450,"&lt;&gt;#REF!")+(SUMIF(J1371:AA1378,"&lt;&gt;#REF!"))))}</f>
        <v>SUM LVL0/1/2</v>
      </c>
      <c r="I1369" s="81"/>
      <c r="J1369" s="81" t="str">
        <f t="array" ref="J1369:J1370">{"SUM LVL3/4";(SUMIF(J1379:K1450,"&lt;&gt;#REF!"))}</f>
        <v>SUM LVL3/4</v>
      </c>
      <c r="K1369" s="81"/>
      <c r="L1369" s="81" t="str">
        <f t="array" ref="L1369:L1370">{"SUM LVL5/6";(SUMIF(L1379:M1450,"&lt;&gt;#REF!"))}</f>
        <v>SUM LVL5/6</v>
      </c>
      <c r="M1369" s="81"/>
      <c r="N1369" s="81" t="str">
        <f t="array" ref="N1369:N1370">{"SUM LVL7/8";(SUMIF(N1379:O1450,"&lt;&gt;#REF!"))}</f>
        <v>SUM LVL7/8</v>
      </c>
      <c r="O1369" s="81"/>
      <c r="P1369" s="81" t="str">
        <f t="array" ref="P1369:P1370">{"SUM LVL9/10";(SUMIF(P1379:Q1450,"&lt;&gt;#REF!"))}</f>
        <v>SUM LVL9/10</v>
      </c>
      <c r="Q1369" s="81"/>
      <c r="R1369" s="81" t="str">
        <f t="array" ref="R1369:R1370">{"SUM LVL11/12";(SUMIF(R1379:S1450,"&lt;&gt;#REF!"))}</f>
        <v>SUM LVL11/12</v>
      </c>
      <c r="S1369" s="81"/>
      <c r="T1369" s="81" t="str">
        <f t="array" ref="T1369:T1370">{"SUM LVL13/14";(SUMIF(T1379:U1450,"&lt;&gt;#REF!"))}</f>
        <v>SUM LVL13/14</v>
      </c>
      <c r="U1369" s="81"/>
      <c r="V1369" s="81" t="str">
        <f t="array" ref="V1369:V1370">{"SUM LVL15/16";(SUMIF(V1379:W1450,"&lt;&gt;#REF!"))}</f>
        <v>SUM LVL15/16</v>
      </c>
      <c r="W1369" s="81"/>
      <c r="X1369" s="81" t="str">
        <f t="array" ref="X1369:X1370">{"SUM LVL17/18";(SUMIF(X1379:Y1450,"&lt;&gt;#REF!"))}</f>
        <v>SUM LVL17/18</v>
      </c>
      <c r="Y1369" s="81"/>
      <c r="Z1369" s="81" t="str">
        <f t="array" ref="Z1369:Z1370">{"SUM LVL19/20";(SUMIF(Z1379:AA1450,"&lt;&gt;#REF!"))}</f>
        <v>SUM LVL19/20</v>
      </c>
      <c r="AA1369" s="81"/>
      <c r="AB1369" s="76"/>
      <c r="AC1369" s="76" t="str">
        <f t="array" ref="AC1369:AC1370">{"SUM ROWTOTALS";(SUMIF(AC1372:AC1458,"&lt;&gt;#REF!"))}</f>
        <v>SUM ROWTOTALS</v>
      </c>
    </row>
    <row r="1370">
      <c r="A1370" s="48" t="s">
        <v>219</v>
      </c>
      <c r="B1370" s="48"/>
      <c r="C1370" s="48" t="s">
        <v>418</v>
      </c>
      <c r="D1370" s="91" t="s">
        <v>416</v>
      </c>
      <c r="E1370" s="92" t="s">
        <v>419</v>
      </c>
      <c r="F1370" s="91"/>
      <c r="G1370" s="93"/>
      <c r="H1370" s="92">
        <v>360.0</v>
      </c>
      <c r="I1370" s="92"/>
      <c r="J1370" s="92">
        <v>140.0</v>
      </c>
      <c r="K1370" s="92"/>
      <c r="L1370" s="92">
        <v>140.0</v>
      </c>
      <c r="M1370" s="92"/>
      <c r="N1370" s="92">
        <v>140.0</v>
      </c>
      <c r="O1370" s="92"/>
      <c r="P1370" s="92">
        <v>200.0</v>
      </c>
      <c r="Q1370" s="92"/>
      <c r="R1370" s="92">
        <v>240.0</v>
      </c>
      <c r="S1370" s="92"/>
      <c r="T1370" s="92">
        <v>210.0</v>
      </c>
      <c r="U1370" s="92"/>
      <c r="V1370" s="92">
        <v>200.0</v>
      </c>
      <c r="W1370" s="92"/>
      <c r="X1370" s="92">
        <v>90.0</v>
      </c>
      <c r="Y1370" s="92"/>
      <c r="Z1370" s="92">
        <v>380.0</v>
      </c>
      <c r="AA1370" s="92"/>
      <c r="AB1370" s="5"/>
      <c r="AC1370" s="47">
        <v>2100.0</v>
      </c>
    </row>
    <row r="1371" hidden="1">
      <c r="A1371" s="76" t="str">
        <f t="array" ref="A1371:A1372">{"FormulaRow02";(INDEX(CLASSLIST,A1368,1))}</f>
        <v>FormulaRow02</v>
      </c>
      <c r="B1371" s="77" t="s">
        <v>236</v>
      </c>
      <c r="C1371" s="76" t="str">
        <f t="array" ref="C1371:C1372">{"CLASSTYPE";((INDEX(ALLCLASSDATA,MATCH("ClassType",CLASSFEATUREHEADERS,0),MATCH($A1372,CLASSNAMEHEADERS,0))))}</f>
        <v>CLASSTYPE</v>
      </c>
      <c r="D1371" s="81" t="str">
        <f t="array" ref="D1371:D1372">{"FEATURES";"Features"}</f>
        <v>FEATURES</v>
      </c>
      <c r="E1371" s="81" t="str">
        <f t="array" ref="E1371:E1372">{"INITIALFEATURES";"Initial Features"}</f>
        <v>INITIALFEATURES</v>
      </c>
      <c r="F1371" s="81" t="str">
        <f t="array" ref="F1371:F1372">{"KEY";"Key"}</f>
        <v>KEY</v>
      </c>
      <c r="G1371" s="81" t="str">
        <f t="array" ref="G1371:G1372">{"HP";"HP"}</f>
        <v>HP</v>
      </c>
      <c r="H1371" s="81" t="str">
        <f t="array" ref="H1371:H1372">{"CLASSFEATL01";"ClassFeatL01"}</f>
        <v>CLASSFEATL01</v>
      </c>
      <c r="I1371" s="81" t="str">
        <f t="array" ref="I1371:I1372">{"SHIELDBLOCKL01";"ShieldBlockL01"}</f>
        <v>SHIELDBLOCKL01</v>
      </c>
      <c r="J1371" s="81" t="str">
        <f t="array" ref="J1371:J1372">{"INITIALSKILLS";"InitialSkills"}</f>
        <v>INITIALSKILLS</v>
      </c>
      <c r="K1371" s="81" t="str">
        <f t="array" ref="K1371:K1372">{"SUBCLASSSKILLS";"SubclassSkills"}</f>
        <v>SUBCLASSSKILLS</v>
      </c>
      <c r="L1371" s="81" t="str">
        <f t="array" ref="L1371:L1372">{"GRANTEDSKILLS";"GrantedSkills"}</f>
        <v>GRANTEDSKILLS</v>
      </c>
      <c r="M1371" s="81"/>
      <c r="N1371" s="81"/>
      <c r="O1371" s="81"/>
      <c r="P1371" s="81" t="str">
        <f t="array" ref="P1371:P1372">{"FOCUSSPELLS";"FocusSpells:"}</f>
        <v>FOCUSSPELLS</v>
      </c>
      <c r="Q1371" s="81" t="str">
        <f t="array" ref="Q1371:Q1372">{"FOCUSSPELL1-L00";((INDEX(ALLCLASSDATA,MATCH("FocusSpell1-L00",CLASSFEATUREHEADERS,0),MATCH(($A1372),CLASSNAMEHEADERS,0))))}</f>
        <v>FOCUSSPELL1-L00</v>
      </c>
      <c r="R1371" s="81" t="str">
        <f t="array" ref="R1371:R1372">{"FOCUSSPELL2-L00";((INDEX(ALLCLASSDATA,MATCH("FocusSpell2-L00",CLASSFEATUREHEADERS,0),MATCH(($A1372),CLASSNAMEHEADERS,0))))}</f>
        <v>FOCUSSPELL2-L00</v>
      </c>
      <c r="S1371" s="81" t="str">
        <f t="array" ref="S1371:S1372">{"FOCUSSPELL3-L00";((INDEX(ALLCLASSDATA,MATCH("FocusSpell3-L00",CLASSFEATUREHEADERS,0),MATCH(($A1372),CLASSNAMEHEADERS,0))))}</f>
        <v>FOCUSSPELL3-L00</v>
      </c>
      <c r="T1371" s="81" t="str">
        <f t="array" ref="T1371:T1372">{"FOCUSSPELL4-L00";((INDEX(ALLCLASSDATA,MATCH("FocusSpell4-L00",CLASSFEATUREHEADERS,0),MATCH(($A1372),CLASSNAMEHEADERS,0))))}</f>
        <v>FOCUSSPELL4-L00</v>
      </c>
      <c r="U1371" s="81" t="str">
        <f t="array" ref="U1371:U1372">{"FOCUSSPELL5-L00";((INDEX(ALLCLASSDATA,MATCH("FocusSpell5-L00",CLASSFEATUREHEADERS,0),MATCH(($A1372),CLASSNAMEHEADERS,0))))}</f>
        <v>FOCUSSPELL5-L00</v>
      </c>
      <c r="V1371" s="81"/>
      <c r="W1371" s="81"/>
      <c r="X1371" s="81"/>
      <c r="Y1371" s="81"/>
      <c r="Z1371" s="81"/>
      <c r="AA1371" s="81"/>
      <c r="AB1371" s="76"/>
      <c r="AC1371" s="76"/>
    </row>
    <row r="1372">
      <c r="A1372" s="48" t="s">
        <v>219</v>
      </c>
      <c r="B1372" s="48"/>
      <c r="C1372" s="48" t="s">
        <v>418</v>
      </c>
      <c r="D1372" s="48" t="s">
        <v>467</v>
      </c>
      <c r="E1372" s="48" t="s">
        <v>468</v>
      </c>
      <c r="F1372" s="48" t="s">
        <v>469</v>
      </c>
      <c r="G1372" s="114" t="s">
        <v>15</v>
      </c>
      <c r="H1372" s="8" t="s">
        <v>451</v>
      </c>
      <c r="I1372" s="8" t="s">
        <v>463</v>
      </c>
      <c r="J1372" s="8" t="s">
        <v>473</v>
      </c>
      <c r="K1372" s="8" t="s">
        <v>474</v>
      </c>
      <c r="L1372" s="8" t="s">
        <v>475</v>
      </c>
      <c r="M1372" s="8"/>
      <c r="N1372" s="8"/>
      <c r="O1372" s="8"/>
      <c r="P1372" s="8" t="s">
        <v>476</v>
      </c>
      <c r="Q1372" s="116"/>
      <c r="R1372" s="116"/>
      <c r="S1372" s="116"/>
      <c r="T1372" s="116"/>
      <c r="U1372" s="116"/>
      <c r="V1372" s="8"/>
      <c r="W1372" s="8"/>
      <c r="X1372" s="8"/>
      <c r="Y1372" s="8"/>
      <c r="Z1372" s="5"/>
      <c r="AA1372" s="5"/>
      <c r="AB1372" s="5"/>
      <c r="AC1372" s="47"/>
    </row>
    <row r="1373" hidden="1">
      <c r="A1373" s="76" t="str">
        <f t="array" ref="A1373:A1374">{"FormulaRow03";(INDEX(CLASSLIST,A1368,1))}</f>
        <v>FormulaRow03</v>
      </c>
      <c r="B1373" s="77" t="s">
        <v>236</v>
      </c>
      <c r="C1373" s="76" t="str">
        <f t="array" ref="C1373:C1374">{"CLASSTYPE";((INDEX(ALLCLASSDATA,MATCH("ClassType",CLASSFEATUREHEADERS,0),MATCH($A1374,CLASSNAMEHEADERS,0))))}</f>
        <v>CLASSTYPE</v>
      </c>
      <c r="D1373" s="76" t="str">
        <f t="array" ref="D1373:D1374">{"FEATUREPTS";"FeaturesPts"}</f>
        <v>FEATUREPTS</v>
      </c>
      <c r="E1373" s="76" t="str">
        <f t="array" ref="E1373:E1374">{"INITIALFEATURES";"Initial Features"}</f>
        <v>INITIALFEATURES</v>
      </c>
      <c r="F1373" s="76" t="str">
        <f t="array" ref="F1373:F1374">{"KEYABILITY";((INDEX(ALLCLASSDATA,MATCH("KEYABILITY",CLASSFEATUREHEADERS,0),MATCH($A1374,CLASSNAMEHEADERS,0))))}</f>
        <v>KEYABILITY</v>
      </c>
      <c r="G1373" s="76" t="str">
        <f t="array" ref="G1373:G1374">{"HP";((INDEX(ALLCLASSDATA,MATCH("HP",CLASSFEATUREHEADERS,0),MATCH(($A1374 &amp; "Points"),CLASSNAMEHEADERS,0))))}</f>
        <v>HP</v>
      </c>
      <c r="H1373" s="76" t="str">
        <f t="array" ref="H1373:H1374">{"CLASSFEATL01";((INDEX(ALLCLASSDATA,MATCH("ClassFeatL01",CLASSFEATUREHEADERS,0),MATCH(($A1374 &amp; "Points"),CLASSNAMEHEADERS,0))))}</f>
        <v>CLASSFEATL01</v>
      </c>
      <c r="I1373" s="76" t="str">
        <f t="array" ref="I1373:I1374">{"SHIELDBLOCKL01";((INDEX(ALLCLASSDATA,MATCH("ShieldBlockL01",CLASSFEATUREHEADERS,0),MATCH(($A1374 &amp; "Points"),CLASSNAMEHEADERS,0))))}</f>
        <v>SHIELDBLOCKL01</v>
      </c>
      <c r="J1373" s="76" t="str">
        <f t="array" ref="J1373:J1374">{"INITIALSKILLINCREASES";((INDEX(ALLCLASSDATA,MATCH("InitialSkillIncreases",CLASSFEATUREHEADERS,0),MATCH(($A1374 &amp; "Points"),CLASSNAMEHEADERS,0))))}</f>
        <v>INITIALSKILLINCREASES</v>
      </c>
      <c r="K1373" s="76" t="str">
        <f t="array" ref="K1373:K1374">{"SUBCLASSSKILLINCREASES";((INDEX(ALLCLASSDATA,MATCH("SubclassSkillIncreases",CLASSFEATUREHEADERS,0),MATCH(($A1374 &amp; "Points"),CLASSNAMEHEADERS,0))))}</f>
        <v>SUBCLASSSKILLINCREASES</v>
      </c>
      <c r="L1373" s="76" t="str">
        <f t="array" ref="L1373:L1374">{"GRANTEDSKILLS";(((INDEX(ALLCLASSDATA,MATCH("SkillsGrantedTotal",CLASSFEATUREHEADERS,0),MATCH(($A1374 &amp; "Points"),CLASSNAMEHEADERS,0)))-(INDEX(ALLCLASSDATA,MATCH("InitialSkillIncreases",CLASSFEATUREHEADERS,0),MATCH(($A1374 &amp; "Points"),CLASSNAMEHEADERS,0)))-(INDEX(ALLCLASSDATA,MATCH("SubclassSkillIncreases",CLASSFEATUREHEADERS,0),MATCH(($A1374 &amp; "Points"),CLASSNAMEHEADERS,0)))))}</f>
        <v>GRANTEDSKILLS</v>
      </c>
      <c r="M1373" s="76"/>
      <c r="N1373" s="76"/>
      <c r="O1373" s="76"/>
      <c r="P1373" s="76"/>
      <c r="Q1373" s="76" t="str">
        <f t="array" ref="Q1373:Q1374">{"FOCUSSPELL1-L00";((INDEX(ALLCLASSDATA,MATCH("FocusSpell1-L00",CLASSFEATUREHEADERS,0),MATCH(($A1374 &amp; "Points"),CLASSNAMEHEADERS,0))))}</f>
        <v>FOCUSSPELL1-L00</v>
      </c>
      <c r="R1373" s="76" t="str">
        <f t="array" ref="R1373:R1374">{"FOCUSSPELL2-L00";((INDEX(ALLCLASSDATA,MATCH("FocusSpell2-L00",CLASSFEATUREHEADERS,0),MATCH(($A1374 &amp; "Points"),CLASSNAMEHEADERS,0))))}</f>
        <v>FOCUSSPELL2-L00</v>
      </c>
      <c r="S1373" s="76" t="str">
        <f t="array" ref="S1373:S1374">{"FOCUSSPELL3-L00";((INDEX(ALLCLASSDATA,MATCH("FocusSpell3-L00",CLASSFEATUREHEADERS,0),MATCH(($A1374 &amp; "Points"),CLASSNAMEHEADERS,0))))}</f>
        <v>FOCUSSPELL3-L00</v>
      </c>
      <c r="T1373" s="76" t="str">
        <f t="array" ref="T1373:T1374">{"FOCUSSPELL4-L00";((INDEX(ALLCLASSDATA,MATCH("FocusSpell4-L00",CLASSFEATUREHEADERS,0),MATCH(($A1374 &amp; "Points"),CLASSNAMEHEADERS,0))))}</f>
        <v>FOCUSSPELL4-L00</v>
      </c>
      <c r="U1373" s="76" t="str">
        <f t="array" ref="U1373:U1374">{"FOCUSSPELL5-L00";((INDEX(ALLCLASSDATA,MATCH("FocusSpell5-L00",CLASSFEATUREHEADERS,0),MATCH(($A1374 &amp; "Points"),CLASSNAMEHEADERS,0))))}</f>
        <v>FOCUSSPELL5-L00</v>
      </c>
      <c r="V1373" s="76"/>
      <c r="W1373" s="76"/>
      <c r="X1373" s="76"/>
      <c r="Y1373" s="76"/>
      <c r="Z1373" s="76"/>
      <c r="AA1373" s="76"/>
      <c r="AB1373" s="76"/>
      <c r="AC1373" s="76" t="str">
        <f t="array" ref="AC1373:AC1374">{"FEATUREPTS TOTAL";(sum(G1374:AA1374))}</f>
        <v>FEATUREPTS TOTAL</v>
      </c>
    </row>
    <row r="1374">
      <c r="A1374" s="48" t="s">
        <v>219</v>
      </c>
      <c r="B1374" s="48"/>
      <c r="C1374" s="48" t="s">
        <v>418</v>
      </c>
      <c r="D1374" s="97" t="s">
        <v>559</v>
      </c>
      <c r="E1374" s="97" t="s">
        <v>468</v>
      </c>
      <c r="F1374" s="97" t="s">
        <v>263</v>
      </c>
      <c r="G1374" s="132">
        <v>80.0</v>
      </c>
      <c r="H1374" s="98">
        <v>10.0</v>
      </c>
      <c r="I1374" s="98" t="s">
        <v>603</v>
      </c>
      <c r="J1374" s="98">
        <v>10.0</v>
      </c>
      <c r="K1374" s="98">
        <v>5.0</v>
      </c>
      <c r="L1374" s="98">
        <v>5.0</v>
      </c>
      <c r="M1374" s="98"/>
      <c r="N1374" s="98"/>
      <c r="O1374" s="98"/>
      <c r="P1374" s="98"/>
      <c r="Q1374" s="98"/>
      <c r="R1374" s="98"/>
      <c r="S1374" s="98"/>
      <c r="T1374" s="98"/>
      <c r="U1374" s="98"/>
      <c r="V1374" s="98"/>
      <c r="W1374" s="98"/>
      <c r="X1374" s="98"/>
      <c r="Y1374" s="98"/>
      <c r="Z1374" s="98"/>
      <c r="AA1374" s="98"/>
      <c r="AB1374" s="5"/>
      <c r="AC1374" s="47">
        <v>110.0</v>
      </c>
    </row>
    <row r="1375" hidden="1">
      <c r="A1375" s="76" t="str">
        <f t="array" ref="A1375:A1376">{"FormulaRow04";(INDEX(CLASSLIST,A1368,1))}</f>
        <v>FormulaRow04</v>
      </c>
      <c r="B1375" s="77" t="s">
        <v>236</v>
      </c>
      <c r="C1375" s="76" t="str">
        <f t="array" ref="C1375:C1376">{"CLASSTYPE";((INDEX(ALLCLASSDATA,MATCH("ClassType",CLASSFEATUREHEADERS,0),MATCH($A1376,CLASSNAMEHEADERS,0))))}</f>
        <v>CLASSTYPE</v>
      </c>
      <c r="D1375" s="81" t="str">
        <f t="array" ref="D1375:D1376">{"INITIALFEATURES";"InitialFeatures"}</f>
        <v>INITIALFEATURES</v>
      </c>
      <c r="E1375" s="81" t="str">
        <f t="array" ref="E1375:E1376">{"CLASS/SUBCLASSFEATURES";"Class/Subclass Features"}</f>
        <v>CLASS/SUBCLASSFEATURES</v>
      </c>
      <c r="F1375" s="81"/>
      <c r="G1375" s="136"/>
      <c r="H1375" s="81" t="str">
        <f t="array" ref="H1375:H1376">{"CLASSINITIALABILITY1-L00";((INDEX(ALLCLASSDATA,MATCH("ClassInitialAbility1-L00",CLASSFEATUREHEADERS,0),MATCH(($A1376),CLASSNAMEHEADERS,0))))}</f>
        <v>CLASSINITIALABILITY1-L00</v>
      </c>
      <c r="I1375" s="81" t="str">
        <f t="array" ref="I1375:I1376">{"CLASSINITIALABILITY2-L00";((INDEX(ALLCLASSDATA,MATCH("ClassInitialAbility2-L00",CLASSFEATUREHEADERS,0),MATCH(($A1376),CLASSNAMEHEADERS,0))))}</f>
        <v>CLASSINITIALABILITY2-L00</v>
      </c>
      <c r="J1375" s="81" t="str">
        <f t="array" ref="J1375:J1376">{"CLASSINITIALABILITY3-L00";((INDEX(ALLCLASSDATA,MATCH("ClassInitialAbility3-L00",CLASSFEATUREHEADERS,0),MATCH(($A1376),CLASSNAMEHEADERS,0))))}</f>
        <v>CLASSINITIALABILITY3-L00</v>
      </c>
      <c r="K1375" s="81" t="str">
        <f t="array" ref="K1375:K1376">{"CLASSINITIALABILITY4-L00";((INDEX(ALLCLASSDATA,MATCH("ClassInitialAbility4-L00",CLASSFEATUREHEADERS,0),MATCH(($A1376),CLASSNAMEHEADERS,0))))}</f>
        <v>CLASSINITIALABILITY4-L00</v>
      </c>
      <c r="L1375" s="81" t="str">
        <f t="array" ref="L1375:L1376">{"CLASSINITIALABILITY5-L00";((INDEX(ALLCLASSDATA,MATCH("ClassInitialAbility5-L00",CLASSFEATUREHEADERS,0),MATCH(($A1376),CLASSNAMEHEADERS,0))))}</f>
        <v>CLASSINITIALABILITY5-L00</v>
      </c>
      <c r="M1375" s="81" t="str">
        <f t="array" ref="M1375:M1376">{"CLASSINITIALABILITY6-L00";((INDEX(ALLCLASSDATA,MATCH("ClassInitialAbility6-L00",CLASSFEATUREHEADERS,0),MATCH(($A1376),CLASSNAMEHEADERS,0))))}</f>
        <v>CLASSINITIALABILITY6-L00</v>
      </c>
      <c r="N1375" s="81" t="str">
        <f t="array" ref="N1375:N1376">{"CLASSINITIALABILITY7-L00";((INDEX(ALLCLASSDATA,MATCH("ClassInitialAbility7-L00",CLASSFEATUREHEADERS,0),MATCH(($A1376),CLASSNAMEHEADERS,0))))}</f>
        <v>CLASSINITIALABILITY7-L00</v>
      </c>
      <c r="O1375" s="81" t="str">
        <f t="array" ref="O1375:O1376">{"CLASSINITIALABILITY8-L00";((INDEX(ALLCLASSDATA,MATCH("ClassInitialAbility8-L00",CLASSFEATUREHEADERS,0),MATCH(($A1376),CLASSNAMEHEADERS,0))))}</f>
        <v>CLASSINITIALABILITY8-L00</v>
      </c>
      <c r="P1375" s="81" t="str">
        <f t="array" ref="P1375:P1376">{"CLASSINITIALABILITY9-L00";((INDEX(ALLCLASSDATA,MATCH("ClassInitialAbility9-L00",CLASSFEATUREHEADERS,0),MATCH(($A1376),CLASSNAMEHEADERS,0))))}</f>
        <v>CLASSINITIALABILITY9-L00</v>
      </c>
      <c r="Q1375" s="81" t="str">
        <f t="array" ref="Q1375:Q1376">{"CLASSINITIALABILITY10-L00";((INDEX(ALLCLASSDATA,MATCH("ClassInitialAbility10-L00",CLASSFEATUREHEADERS,0),MATCH(($A1376),CLASSNAMEHEADERS,0))))}</f>
        <v>CLASSINITIALABILITY10-L00</v>
      </c>
      <c r="R1375" s="81" t="str">
        <f t="array" ref="R1375:R1376">{"SUBCLASSINITIAL1-L00";((INDEX(ALLCLASSDATA,MATCH("SubclassInitial1-L00",CLASSFEATUREHEADERS,0),MATCH(($A1376),CLASSNAMEHEADERS,0))))}</f>
        <v>SUBCLASSINITIAL1-L00</v>
      </c>
      <c r="S1375" s="81" t="str">
        <f t="array" ref="S1375:S1376">{"SUBCLASSINITIAL2-L00";((INDEX(ALLCLASSDATA,MATCH("SubclassInitial2-L00",CLASSFEATUREHEADERS,0),MATCH(($A1376),CLASSNAMEHEADERS,0))))}</f>
        <v>SUBCLASSINITIAL2-L00</v>
      </c>
      <c r="T1375" s="81" t="str">
        <f t="array" ref="T1375:T1376">{"SUBCLASSINITIAL3-L00";((INDEX(ALLCLASSDATA,MATCH("SubclassInitial3-L00",CLASSFEATUREHEADERS,0),MATCH(($A1376),CLASSNAMEHEADERS,0))))}</f>
        <v>SUBCLASSINITIAL3-L00</v>
      </c>
      <c r="U1375" s="81" t="str">
        <f t="array" ref="U1375:U1376">{"SUBCLASSINITIAL4-L00";((INDEX(ALLCLASSDATA,MATCH("SubclassInitial4-L00",CLASSFEATUREHEADERS,0),MATCH(($A1376),CLASSNAMEHEADERS,0))))}</f>
        <v>SUBCLASSINITIAL4-L00</v>
      </c>
      <c r="V1375" s="81" t="str">
        <f t="array" ref="V1375:V1376">{"SUBCLASSINITIAL5-L00";((INDEX(ALLCLASSDATA,MATCH("SubclassInitial5-L00",CLASSFEATUREHEADERS,0),MATCH(($A1376),CLASSNAMEHEADERS,0))))}</f>
        <v>SUBCLASSINITIAL5-L00</v>
      </c>
      <c r="W1375" s="81" t="str">
        <f t="array" ref="W1375:W1376">{"SUBCLASSINITIAL6-L00";((INDEX(ALLCLASSDATA,MATCH("SubclassInitial6-L00",CLASSFEATUREHEADERS,0),MATCH(($A1376),CLASSNAMEHEADERS,0))))}</f>
        <v>SUBCLASSINITIAL6-L00</v>
      </c>
      <c r="X1375" s="81" t="str">
        <f t="array" ref="X1375:X1376">{"SUBCLASSINITIAL7-L00";((INDEX(ALLCLASSDATA,MATCH("SubclassInitial7-L00",CLASSFEATUREHEADERS,0),MATCH(($A1376),CLASSNAMEHEADERS,0))))}</f>
        <v>SUBCLASSINITIAL7-L00</v>
      </c>
      <c r="Y1375" s="81" t="str">
        <f t="array" ref="Y1375:Y1376">{"SUBCLASSINITIAL8-L00";((INDEX(ALLCLASSDATA,MATCH("SubclassInitial8-L00",CLASSFEATUREHEADERS,0),MATCH(($A1376),CLASSNAMEHEADERS,0))))}</f>
        <v>SUBCLASSINITIAL8-L00</v>
      </c>
      <c r="Z1375" s="81" t="str">
        <f t="array" ref="Z1375:Z1376">{"SUBCLASSINITIAL9-L00";((INDEX(ALLCLASSDATA,MATCH("SubclassInitial9-L00",CLASSFEATUREHEADERS,0),MATCH(($A1376),CLASSNAMEHEADERS,0))))}</f>
        <v>SUBCLASSINITIAL9-L00</v>
      </c>
      <c r="AA1375" s="81" t="str">
        <f t="array" ref="AA1375:AA1376">{"SUBCLASSINITIAL10-L00";((INDEX(ALLCLASSDATA,MATCH("SubclassInitial10-L00",CLASSFEATUREHEADERS,0),MATCH(($A1376),CLASSNAMEHEADERS,0))))}</f>
        <v>SUBCLASSINITIAL10-L00</v>
      </c>
      <c r="AB1375" s="76"/>
      <c r="AC1375" s="76"/>
    </row>
    <row r="1376">
      <c r="A1376" s="48" t="s">
        <v>219</v>
      </c>
      <c r="B1376" s="48"/>
      <c r="C1376" s="48" t="s">
        <v>418</v>
      </c>
      <c r="D1376" s="48" t="s">
        <v>614</v>
      </c>
      <c r="E1376" s="48" t="s">
        <v>616</v>
      </c>
      <c r="F1376" s="48"/>
      <c r="G1376" s="47"/>
      <c r="H1376" s="5" t="s">
        <v>642</v>
      </c>
      <c r="I1376" s="5" t="s">
        <v>643</v>
      </c>
      <c r="J1376" s="5" t="s">
        <v>644</v>
      </c>
      <c r="K1376" s="5" t="s">
        <v>645</v>
      </c>
      <c r="L1376" s="5"/>
      <c r="M1376" s="5"/>
      <c r="N1376" s="5"/>
      <c r="O1376" s="5"/>
      <c r="P1376" s="5"/>
      <c r="Q1376" s="5"/>
      <c r="R1376" s="5" t="s">
        <v>648</v>
      </c>
      <c r="S1376" s="5"/>
      <c r="T1376" s="5"/>
      <c r="U1376" s="5"/>
      <c r="V1376" s="5"/>
      <c r="W1376" s="5"/>
      <c r="X1376" s="5"/>
      <c r="Y1376" s="5"/>
      <c r="Z1376" s="5"/>
      <c r="AA1376" s="5"/>
      <c r="AB1376" s="5"/>
      <c r="AC1376" s="47"/>
    </row>
    <row r="1377" hidden="1">
      <c r="A1377" s="76" t="str">
        <f t="array" ref="A1377:A1378">{"FormulaRow05";(INDEX(CLASSLIST,A1368,1))}</f>
        <v>FormulaRow05</v>
      </c>
      <c r="B1377" s="77" t="s">
        <v>236</v>
      </c>
      <c r="C1377" s="76" t="str">
        <f t="array" ref="C1377:C1378">{"CLASSTYPE";((INDEX(ALLCLASSDATA,MATCH("ClassType",CLASSFEATUREHEADERS,0),MATCH($A1378,CLASSNAMEHEADERS,0))))}</f>
        <v>CLASSTYPE</v>
      </c>
      <c r="D1377" s="76" t="str">
        <f t="array" ref="D1377:D1378">{"INITIALFEATURESPTS";"InitialFeaturesPts"}</f>
        <v>INITIALFEATURESPTS</v>
      </c>
      <c r="E1377" s="76" t="str">
        <f t="array" ref="E1377:E1378">{"CLASS/SUBCLASSFEATURES";"Class/Subclass Features"}</f>
        <v>CLASS/SUBCLASSFEATURES</v>
      </c>
      <c r="F1377" s="76"/>
      <c r="G1377" s="76"/>
      <c r="H1377" s="76" t="str">
        <f t="array" ref="H1377:H1378">{"CLASSINITIALABILITY1-L00PTS";((INDEX(ALLCLASSDATA,MATCH("ClassInitialAbility1-L00",CLASSFEATUREHEADERS,0),MATCH(($A1378 &amp; "Points"),CLASSNAMEHEADERS,0))))}</f>
        <v>CLASSINITIALABILITY1-L00PTS</v>
      </c>
      <c r="I1377" s="76" t="str">
        <f t="array" ref="I1377:I1378">{"CLASSINITIALABILITY2-L00PTS";((INDEX(ALLCLASSDATA,MATCH("ClassInitialAbility2-L00",CLASSFEATUREHEADERS,0),MATCH(($A1378 &amp; "Points"),CLASSNAMEHEADERS,0))))}</f>
        <v>CLASSINITIALABILITY2-L00PTS</v>
      </c>
      <c r="J1377" s="76" t="str">
        <f t="array" ref="J1377:J1378">{"CLASSINITIALABILITY3-L00PTS";((INDEX(ALLCLASSDATA,MATCH("ClassInitialAbility3-L00",CLASSFEATUREHEADERS,0),MATCH(($A1378 &amp; "Points"),CLASSNAMEHEADERS,0))))}</f>
        <v>CLASSINITIALABILITY3-L00PTS</v>
      </c>
      <c r="K1377" s="76" t="str">
        <f t="array" ref="K1377:K1378">{"CLASSINITIALABILITY4-L00PTS";((INDEX(ALLCLASSDATA,MATCH("ClassInitialAbility4-L00",CLASSFEATUREHEADERS,0),MATCH(($A1378 &amp; "Points"),CLASSNAMEHEADERS,0))))}</f>
        <v>CLASSINITIALABILITY4-L00PTS</v>
      </c>
      <c r="L1377" s="76" t="str">
        <f t="array" ref="L1377:L1378">{"CLASSINITIALABILITY5-L00PTS";((INDEX(ALLCLASSDATA,MATCH("ClassInitialAbility5-L00",CLASSFEATUREHEADERS,0),MATCH(($A1378 &amp; "Points"),CLASSNAMEHEADERS,0))))}</f>
        <v>CLASSINITIALABILITY5-L00PTS</v>
      </c>
      <c r="M1377" s="76" t="str">
        <f t="array" ref="M1377:M1378">{"CLASSINITIALABILITY6-L00PTS";((INDEX(ALLCLASSDATA,MATCH("ClassInitialAbility6-L00",CLASSFEATUREHEADERS,0),MATCH(($A1378 &amp; "Points"),CLASSNAMEHEADERS,0))))}</f>
        <v>CLASSINITIALABILITY6-L00PTS</v>
      </c>
      <c r="N1377" s="76" t="str">
        <f t="array" ref="N1377:N1378">{"CLASSINITIALABILITY7-L00PTS";((INDEX(ALLCLASSDATA,MATCH("ClassInitialAbility7-L00",CLASSFEATUREHEADERS,0),MATCH(($A1378 &amp; "Points"),CLASSNAMEHEADERS,0))))}</f>
        <v>CLASSINITIALABILITY7-L00PTS</v>
      </c>
      <c r="O1377" s="76" t="str">
        <f t="array" ref="O1377:O1378">{"CLASSINITIALABILITY8-L00PTS";((INDEX(ALLCLASSDATA,MATCH("ClassInitialAbility8-L00",CLASSFEATUREHEADERS,0),MATCH(($A1378 &amp; "Points"),CLASSNAMEHEADERS,0))))}</f>
        <v>CLASSINITIALABILITY8-L00PTS</v>
      </c>
      <c r="P1377" s="76" t="str">
        <f t="array" ref="P1377:P1378">{"CLASSINITIALABILITY9-L00PTS";((INDEX(ALLCLASSDATA,MATCH("ClassInitialAbility9-L00",CLASSFEATUREHEADERS,0),MATCH(($A1378 &amp; "Points"),CLASSNAMEHEADERS,0))))}</f>
        <v>CLASSINITIALABILITY9-L00PTS</v>
      </c>
      <c r="Q1377" s="76" t="str">
        <f t="array" ref="Q1377:Q1378">{"CLASSINITIALABILITY10-L00PTS";((INDEX(ALLCLASSDATA,MATCH("ClassInitialAbility10-L00",CLASSFEATUREHEADERS,0),MATCH(($A1378 &amp; "Points"),CLASSNAMEHEADERS,0))))}</f>
        <v>CLASSINITIALABILITY10-L00PTS</v>
      </c>
      <c r="R1377" s="76" t="str">
        <f t="array" ref="R1377:R1378">{"SUBCLASSINITIAL1-L00PTS";((INDEX(ALLCLASSDATA,MATCH("SubclassInitial1-L00",CLASSFEATUREHEADERS,0),MATCH(($A1378 &amp; "Points"),CLASSNAMEHEADERS,0))))}</f>
        <v>SUBCLASSINITIAL1-L00PTS</v>
      </c>
      <c r="S1377" s="76" t="str">
        <f t="array" ref="S1377:S1378">{"SUBCLASSINITIAL2-L00PTS";((INDEX(ALLCLASSDATA,MATCH("SubclassInitial2-L00",CLASSFEATUREHEADERS,0),MATCH(($A1378 &amp; "Points"),CLASSNAMEHEADERS,0))))}</f>
        <v>SUBCLASSINITIAL2-L00PTS</v>
      </c>
      <c r="T1377" s="76" t="str">
        <f t="array" ref="T1377:T1378">{"SUBCLASSINITIAL3-L00PTS";((INDEX(ALLCLASSDATA,MATCH("SubclassInitial3-L00",CLASSFEATUREHEADERS,0),MATCH(($A1378 &amp; "Points"),CLASSNAMEHEADERS,0))))}</f>
        <v>SUBCLASSINITIAL3-L00PTS</v>
      </c>
      <c r="U1377" s="76" t="str">
        <f t="array" ref="U1377:U1378">{"SUBCLASSINITIAL4-L00PTS";((INDEX(ALLCLASSDATA,MATCH("SubclassInitial4-L00",CLASSFEATUREHEADERS,0),MATCH(($A1378 &amp; "Points"),CLASSNAMEHEADERS,0))))}</f>
        <v>SUBCLASSINITIAL4-L00PTS</v>
      </c>
      <c r="V1377" s="76" t="str">
        <f t="array" ref="V1377:V1378">{"SUBCLASSINITIAL5-L00PTS";((INDEX(ALLCLASSDATA,MATCH("SubclassInitial5-L00",CLASSFEATUREHEADERS,0),MATCH(($A1378 &amp; "Points"),CLASSNAMEHEADERS,0))))}</f>
        <v>SUBCLASSINITIAL5-L00PTS</v>
      </c>
      <c r="W1377" s="76" t="str">
        <f t="array" ref="W1377:W1378">{"SUBCLASSINITIAL6-L00PTS";((INDEX(ALLCLASSDATA,MATCH("SubclassInitial6-L00",CLASSFEATUREHEADERS,0),MATCH(($A1378 &amp; "Points"),CLASSNAMEHEADERS,0))))}</f>
        <v>SUBCLASSINITIAL6-L00PTS</v>
      </c>
      <c r="X1377" s="76" t="str">
        <f t="array" ref="X1377:X1378">{"SUBCLASSINITIAL7-L00PTS";((INDEX(ALLCLASSDATA,MATCH("SubclassInitial7-L00",CLASSFEATUREHEADERS,0),MATCH(($A1378 &amp; "Points"),CLASSNAMEHEADERS,0))))}</f>
        <v>SUBCLASSINITIAL7-L00PTS</v>
      </c>
      <c r="Y1377" s="76" t="str">
        <f t="array" ref="Y1377:Y1378">{"SUBCLASSINITIAL8-L00PTS";((INDEX(ALLCLASSDATA,MATCH("SubclassInitial8-L00",CLASSFEATUREHEADERS,0),MATCH(($A1378 &amp; "Points"),CLASSNAMEHEADERS,0))))}</f>
        <v>SUBCLASSINITIAL8-L00PTS</v>
      </c>
      <c r="Z1377" s="76" t="str">
        <f t="array" ref="Z1377:Z1378">{"SUBCLASSINITIAL9-L00PTS";((INDEX(ALLCLASSDATA,MATCH("SubclassInitial9-L00",CLASSFEATUREHEADERS,0),MATCH(($A1378 &amp; "Points"),CLASSNAMEHEADERS,0))))}</f>
        <v>SUBCLASSINITIAL9-L00PTS</v>
      </c>
      <c r="AA1377" s="76" t="str">
        <f t="array" ref="AA1377:AA1378">{"SUBCLASSINITIAL10-L00PTS";((INDEX(ALLCLASSDATA,MATCH("SubclassInitial10-L00",CLASSFEATUREHEADERS,0),MATCH(($A1378 &amp; "Points"),CLASSNAMEHEADERS,0))))}</f>
        <v>SUBCLASSINITIAL10-L00PTS</v>
      </c>
      <c r="AB1377" s="76"/>
      <c r="AC1377" s="76" t="str">
        <f t="array" ref="AC1377:AC1378">{"INITIALFEATUREPTS TOTAL";(sum(G1378:AA1378))}</f>
        <v>INITIALFEATUREPTS TOTAL</v>
      </c>
    </row>
    <row r="1378">
      <c r="A1378" s="48" t="s">
        <v>219</v>
      </c>
      <c r="B1378" s="48"/>
      <c r="C1378" s="48" t="s">
        <v>418</v>
      </c>
      <c r="D1378" s="97" t="s">
        <v>651</v>
      </c>
      <c r="E1378" s="97" t="s">
        <v>616</v>
      </c>
      <c r="F1378" s="97"/>
      <c r="G1378" s="132"/>
      <c r="H1378" s="98"/>
      <c r="I1378" s="98"/>
      <c r="J1378" s="97"/>
      <c r="K1378" s="98">
        <v>20.0</v>
      </c>
      <c r="L1378" s="97"/>
      <c r="M1378" s="98"/>
      <c r="N1378" s="98"/>
      <c r="O1378" s="98"/>
      <c r="P1378" s="98"/>
      <c r="Q1378" s="98"/>
      <c r="R1378" s="98"/>
      <c r="S1378" s="98"/>
      <c r="T1378" s="98"/>
      <c r="U1378" s="98"/>
      <c r="V1378" s="98"/>
      <c r="W1378" s="98"/>
      <c r="X1378" s="98"/>
      <c r="Y1378" s="98"/>
      <c r="Z1378" s="98"/>
      <c r="AA1378" s="98"/>
      <c r="AB1378" s="5"/>
      <c r="AC1378" s="47">
        <v>20.0</v>
      </c>
    </row>
    <row r="1379" hidden="1">
      <c r="A1379" s="76" t="str">
        <f t="array" ref="A1379:A1380">{"FormulaRow06";(INDEX(CLASSLIST,A1368,1))}</f>
        <v>FormulaRow06</v>
      </c>
      <c r="B1379" s="77" t="s">
        <v>236</v>
      </c>
      <c r="C1379" s="76" t="str">
        <f t="array" ref="C1379:C1380">{"CLASSTYPE";((INDEX(ALLCLASSDATA,MATCH("ClassType",CLASSFEATUREHEADERS,0),MATCH($A1380,CLASSNAMEHEADERS,0))))}</f>
        <v>CLASSTYPE</v>
      </c>
      <c r="D1379" s="81" t="str">
        <f t="array" ref="D1379:D1380">{"SKILLS";"Skills"}</f>
        <v>SKILLS</v>
      </c>
      <c r="E1379" s="81" t="str">
        <f t="array" ref="E1379:E1380">{"EXTRASKILLINCREASES";"Extra Skill Increases"}</f>
        <v>EXTRASKILLINCREASES</v>
      </c>
      <c r="F1379" s="81"/>
      <c r="G1379" s="81"/>
      <c r="H1379" s="81"/>
      <c r="I1379" s="81" t="str">
        <f t="array" ref="I1379:I1380">{"SKILLINCREASEEXTRA-L02";((INDEX(ALLCLASSDATA,MATCH("SkillIncreaseExtra-L02",CLASSFEATUREHEADERS,0),MATCH(($A1380 &amp; "Points"),CLASSNAMEHEADERS,0))))}</f>
        <v>SKILLINCREASEEXTRA-L02</v>
      </c>
      <c r="J1379" s="81" t="str">
        <f t="array" ref="J1379:J1380">{"SKILLINCREASEEXTRA-L03";((INDEX(ALLCLASSDATA,MATCH("SkillIncreaseExtra-L03",CLASSFEATUREHEADERS,0),MATCH(($A1380 &amp; "Points"),CLASSNAMEHEADERS,0))))}</f>
        <v>SKILLINCREASEEXTRA-L03</v>
      </c>
      <c r="K1379" s="81" t="str">
        <f t="array" ref="K1379:K1380">{"SKILLINCREASEEXTRA-L04";((INDEX(ALLCLASSDATA,MATCH("SkillIncreaseExtra-L04",CLASSFEATUREHEADERS,0),MATCH(($A1380 &amp; "Points"),CLASSNAMEHEADERS,0))))}</f>
        <v>SKILLINCREASEEXTRA-L04</v>
      </c>
      <c r="L1379" s="81" t="str">
        <f t="array" ref="L1379:L1380">{"SKILLINCREASEEXTRA-L05";((INDEX(ALLCLASSDATA,MATCH("SkillIncreaseExtra-L05",CLASSFEATUREHEADERS,0),MATCH(($A1380 &amp; "Points"),CLASSNAMEHEADERS,0))))}</f>
        <v>SKILLINCREASEEXTRA-L05</v>
      </c>
      <c r="M1379" s="81" t="str">
        <f t="array" ref="M1379:M1380">{"SKILLINCREASEEXTRA-L06";((INDEX(ALLCLASSDATA,MATCH("SkillIncreaseExtra-L06",CLASSFEATUREHEADERS,0),MATCH(($A1380 &amp; "Points"),CLASSNAMEHEADERS,0))))}</f>
        <v>SKILLINCREASEEXTRA-L06</v>
      </c>
      <c r="N1379" s="81" t="str">
        <f t="array" ref="N1379:N1380">{"SKILLINCREASEEXTRA-L07";((INDEX(ALLCLASSDATA,MATCH("SkillIncreaseExtra-L07",CLASSFEATUREHEADERS,0),MATCH(($A1380 &amp; "Points"),CLASSNAMEHEADERS,0))))}</f>
        <v>SKILLINCREASEEXTRA-L07</v>
      </c>
      <c r="O1379" s="81" t="str">
        <f t="array" ref="O1379:O1380">{"SKILLINCREASEEXTRA-L08";((INDEX(ALLCLASSDATA,MATCH("SkillIncreaseExtra-L08",CLASSFEATUREHEADERS,0),MATCH(($A1380 &amp; "Points"),CLASSNAMEHEADERS,0))))}</f>
        <v>SKILLINCREASEEXTRA-L08</v>
      </c>
      <c r="P1379" s="81" t="str">
        <f t="array" ref="P1379:P1380">{"SKILLINCREASEEXTRA-L09";((INDEX(ALLCLASSDATA,MATCH("SkillIncreaseExtra-L09",CLASSFEATUREHEADERS,0),MATCH(($A1380 &amp; "Points"),CLASSNAMEHEADERS,0))))}</f>
        <v>SKILLINCREASEEXTRA-L09</v>
      </c>
      <c r="Q1379" s="81" t="str">
        <f t="array" ref="Q1379:Q1380">{"SKILLINCREASEEXTRA-L10";((INDEX(ALLCLASSDATA,MATCH("SkillIncreaseExtra-L10",CLASSFEATUREHEADERS,0),MATCH(($A1380 &amp; "Points"),CLASSNAMEHEADERS,0))))}</f>
        <v>SKILLINCREASEEXTRA-L10</v>
      </c>
      <c r="R1379" s="81" t="str">
        <f t="array" ref="R1379:R1380">{"SKILLINCREASEEXTRA-L11";((INDEX(ALLCLASSDATA,MATCH("SkillIncreaseExtra-L11",CLASSFEATUREHEADERS,0),MATCH(($A1380 &amp; "Points"),CLASSNAMEHEADERS,0))))}</f>
        <v>SKILLINCREASEEXTRA-L11</v>
      </c>
      <c r="S1379" s="81" t="str">
        <f t="array" ref="S1379:S1380">{"SKILLINCREASEEXTRA-L12";((INDEX(ALLCLASSDATA,MATCH("SkillIncreaseExtra-L12",CLASSFEATUREHEADERS,0),MATCH(($A1380 &amp; "Points"),CLASSNAMEHEADERS,0))))}</f>
        <v>SKILLINCREASEEXTRA-L12</v>
      </c>
      <c r="T1379" s="81" t="str">
        <f t="array" ref="T1379:T1380">{"SKILLINCREASEEXTRA-L13";((INDEX(ALLCLASSDATA,MATCH("SkillIncreaseExtra-L13",CLASSFEATUREHEADERS,0),MATCH(($A1380 &amp; "Points"),CLASSNAMEHEADERS,0))))}</f>
        <v>SKILLINCREASEEXTRA-L13</v>
      </c>
      <c r="U1379" s="81" t="str">
        <f t="array" ref="U1379:U1380">{"SKILLINCREASEEXTRA-L14";((INDEX(ALLCLASSDATA,MATCH("SkillIncreaseExtra-L14",CLASSFEATUREHEADERS,0),MATCH(($A1380 &amp; "Points"),CLASSNAMEHEADERS,0))))}</f>
        <v>SKILLINCREASEEXTRA-L14</v>
      </c>
      <c r="V1379" s="81" t="str">
        <f t="array" ref="V1379:V1380">{"SKILLINCREASEEXTRA-L15";((INDEX(ALLCLASSDATA,MATCH("SkillIncreaseExtra-L15",CLASSFEATUREHEADERS,0),MATCH(($A1380 &amp; "Points"),CLASSNAMEHEADERS,0))))}</f>
        <v>SKILLINCREASEEXTRA-L15</v>
      </c>
      <c r="W1379" s="81" t="str">
        <f t="array" ref="W1379:W1380">{"SKILLINCREASEEXTRA-L16";((INDEX(ALLCLASSDATA,MATCH("SkillIncreaseExtra-L16",CLASSFEATUREHEADERS,0),MATCH(($A1380 &amp; "Points"),CLASSNAMEHEADERS,0))))}</f>
        <v>SKILLINCREASEEXTRA-L16</v>
      </c>
      <c r="X1379" s="81" t="str">
        <f t="array" ref="X1379:X1380">{"SKILLINCREASEEXTRA-L17";((INDEX(ALLCLASSDATA,MATCH("SkillIncreaseExtra-L17",CLASSFEATUREHEADERS,0),MATCH(($A1380 &amp; "Points"),CLASSNAMEHEADERS,0))))}</f>
        <v>SKILLINCREASEEXTRA-L17</v>
      </c>
      <c r="Y1379" s="81" t="str">
        <f t="array" ref="Y1379:Y1380">{"SKILLINCREASEEXTRA-L18";((INDEX(ALLCLASSDATA,MATCH("SkillIncreaseExtra-L18",CLASSFEATUREHEADERS,0),MATCH(($A1380 &amp; "Points"),CLASSNAMEHEADERS,0))))}</f>
        <v>SKILLINCREASEEXTRA-L18</v>
      </c>
      <c r="Z1379" s="81" t="str">
        <f t="array" ref="Z1379:Z1380">{"SKILLINCREASEEXTRA-L19";((INDEX(ALLCLASSDATA,MATCH("SkillIncreaseExtra-L19",CLASSFEATUREHEADERS,0),MATCH(($A1380 &amp; "Points"),CLASSNAMEHEADERS,0))))}</f>
        <v>SKILLINCREASEEXTRA-L19</v>
      </c>
      <c r="AA1379" s="81" t="str">
        <f t="array" ref="AA1379:AA1380">{"SKILLINCREASEEXTRA-L20";((INDEX(ALLCLASSDATA,MATCH("SkillIncreaseExtra-L20",CLASSFEATUREHEADERS,0),MATCH(($A1380 &amp; "Points"),CLASSNAMEHEADERS,0))))}</f>
        <v>SKILLINCREASEEXTRA-L20</v>
      </c>
      <c r="AB1379" s="76"/>
      <c r="AC1379" s="76" t="str">
        <f t="array" ref="AC1379:AC1380">{"SKILLINCREASE TOTAL";(sum(G1380:AA1380))}</f>
        <v>SKILLINCREASE TOTAL</v>
      </c>
    </row>
    <row r="1380">
      <c r="A1380" s="48" t="s">
        <v>219</v>
      </c>
      <c r="B1380" s="48"/>
      <c r="C1380" s="48" t="s">
        <v>418</v>
      </c>
      <c r="D1380" s="48" t="s">
        <v>659</v>
      </c>
      <c r="E1380" s="48" t="s">
        <v>661</v>
      </c>
      <c r="F1380" s="48"/>
      <c r="G1380" s="47"/>
      <c r="H1380" s="5"/>
      <c r="I1380" s="5" t="s">
        <v>603</v>
      </c>
      <c r="J1380" s="5" t="s">
        <v>603</v>
      </c>
      <c r="K1380" s="5" t="s">
        <v>603</v>
      </c>
      <c r="L1380" s="48" t="s">
        <v>603</v>
      </c>
      <c r="M1380" s="5" t="s">
        <v>603</v>
      </c>
      <c r="N1380" s="5" t="s">
        <v>603</v>
      </c>
      <c r="O1380" s="5" t="s">
        <v>603</v>
      </c>
      <c r="P1380" s="5" t="s">
        <v>603</v>
      </c>
      <c r="Q1380" s="5" t="s">
        <v>603</v>
      </c>
      <c r="R1380" s="5" t="s">
        <v>603</v>
      </c>
      <c r="S1380" s="5" t="s">
        <v>603</v>
      </c>
      <c r="T1380" s="5" t="s">
        <v>603</v>
      </c>
      <c r="U1380" s="5" t="s">
        <v>603</v>
      </c>
      <c r="V1380" s="5" t="s">
        <v>603</v>
      </c>
      <c r="W1380" s="5" t="s">
        <v>603</v>
      </c>
      <c r="X1380" s="5" t="s">
        <v>603</v>
      </c>
      <c r="Y1380" s="5" t="s">
        <v>603</v>
      </c>
      <c r="Z1380" s="5" t="s">
        <v>603</v>
      </c>
      <c r="AA1380" s="5" t="s">
        <v>603</v>
      </c>
      <c r="AB1380" s="5"/>
      <c r="AC1380" s="47">
        <v>0.0</v>
      </c>
    </row>
    <row r="1381" hidden="1">
      <c r="A1381" s="76" t="str">
        <f t="array" ref="A1381:A1382">{"FormulaRow07";(INDEX(CLASSLIST,A1368,1))}</f>
        <v>FormulaRow07</v>
      </c>
      <c r="B1381" s="77" t="s">
        <v>236</v>
      </c>
      <c r="C1381" s="76" t="str">
        <f t="array" ref="C1381:C1382">{"CLASSTYPE";((INDEX(ALLCLASSDATA,MATCH("ClassType",CLASSFEATUREHEADERS,0),MATCH($A1382,CLASSNAMEHEADERS,0))))}</f>
        <v>CLASSTYPE</v>
      </c>
      <c r="D1381" s="76" t="str">
        <f t="array" ref="D1381:D1382">{"SKILLS";"Skills"}</f>
        <v>SKILLS</v>
      </c>
      <c r="E1381" s="76" t="str">
        <f t="array" ref="E1381:E1382">{"EXTRASKILLFEATS";"Extra Skill Feats"}</f>
        <v>EXTRASKILLFEATS</v>
      </c>
      <c r="F1381" s="76"/>
      <c r="G1381" s="76"/>
      <c r="H1381" s="76" t="str">
        <f t="array" ref="H1381:H1382">{"SKILLFEATEXTRA-L01";((INDEX(ALLCLASSDATA,MATCH("SkillFeatExtra-L01",CLASSFEATUREHEADERS,0),MATCH(($A1382 &amp; "Points"),CLASSNAMEHEADERS,0))))}</f>
        <v>SKILLFEATEXTRA-L01</v>
      </c>
      <c r="I1381" s="76" t="str">
        <f t="array" ref="I1381:I1382">{"SKILLFEATEXTRA-L02";((INDEX(ALLCLASSDATA,MATCH("SkillFeatExtra-L02",CLASSFEATUREHEADERS,0),MATCH(($A1382 &amp; "Points"),CLASSNAMEHEADERS,0))))}</f>
        <v>SKILLFEATEXTRA-L02</v>
      </c>
      <c r="J1381" s="76" t="str">
        <f t="array" ref="J1381:J1382">{"SKILLFEATEXTRA-L03";((INDEX(ALLCLASSDATA,MATCH("SkillFeatExtra-L03",CLASSFEATUREHEADERS,0),MATCH(($A1382 &amp; "Points"),CLASSNAMEHEADERS,0))))}</f>
        <v>SKILLFEATEXTRA-L03</v>
      </c>
      <c r="K1381" s="76" t="str">
        <f t="array" ref="K1381:K1382">{"SKILLFEATEXTRA-L04";((INDEX(ALLCLASSDATA,MATCH("SkillFeatExtra-L04",CLASSFEATUREHEADERS,0),MATCH(($A1382 &amp; "Points"),CLASSNAMEHEADERS,0))))}</f>
        <v>SKILLFEATEXTRA-L04</v>
      </c>
      <c r="L1381" s="76" t="str">
        <f t="array" ref="L1381:L1382">{"SKILLFEATEXTRA-L05";((INDEX(ALLCLASSDATA,MATCH("SkillFeatExtra-L05",CLASSFEATUREHEADERS,0),MATCH(($A1382 &amp; "Points"),CLASSNAMEHEADERS,0))))}</f>
        <v>SKILLFEATEXTRA-L05</v>
      </c>
      <c r="M1381" s="76" t="str">
        <f t="array" ref="M1381:M1382">{"SKILLFEATEXTRA-L06";((INDEX(ALLCLASSDATA,MATCH("SkillFeatExtra-L06",CLASSFEATUREHEADERS,0),MATCH(($A1382 &amp; "Points"),CLASSNAMEHEADERS,0))))}</f>
        <v>SKILLFEATEXTRA-L06</v>
      </c>
      <c r="N1381" s="76" t="str">
        <f t="array" ref="N1381:N1382">{"SKILLFEATEXTRA-L07";((INDEX(ALLCLASSDATA,MATCH("SkillFeatExtra-L07",CLASSFEATUREHEADERS,0),MATCH(($A1382 &amp; "Points"),CLASSNAMEHEADERS,0))))}</f>
        <v>SKILLFEATEXTRA-L07</v>
      </c>
      <c r="O1381" s="76" t="str">
        <f t="array" ref="O1381:O1382">{"SKILLFEATEXTRA-L08";((INDEX(ALLCLASSDATA,MATCH("SkillFeatExtra-L08",CLASSFEATUREHEADERS,0),MATCH(($A1382 &amp; "Points"),CLASSNAMEHEADERS,0))))}</f>
        <v>SKILLFEATEXTRA-L08</v>
      </c>
      <c r="P1381" s="76" t="str">
        <f t="array" ref="P1381:P1382">{"SKILLFEATEXTRA-L09";((INDEX(ALLCLASSDATA,MATCH("SkillFeatExtra-L09",CLASSFEATUREHEADERS,0),MATCH(($A1382 &amp; "Points"),CLASSNAMEHEADERS,0))))}</f>
        <v>SKILLFEATEXTRA-L09</v>
      </c>
      <c r="Q1381" s="76" t="str">
        <f t="array" ref="Q1381:Q1382">{"SKILLFEATEXTRA-L10";((INDEX(ALLCLASSDATA,MATCH("SkillFeatExtra-L10",CLASSFEATUREHEADERS,0),MATCH(($A1382 &amp; "Points"),CLASSNAMEHEADERS,0))))}</f>
        <v>SKILLFEATEXTRA-L10</v>
      </c>
      <c r="R1381" s="76" t="str">
        <f t="array" ref="R1381:R1382">{"SKILLFEATEXTRA-L11";((INDEX(ALLCLASSDATA,MATCH("SkillFeatExtra-L11",CLASSFEATUREHEADERS,0),MATCH(($A1382 &amp; "Points"),CLASSNAMEHEADERS,0))))}</f>
        <v>SKILLFEATEXTRA-L11</v>
      </c>
      <c r="S1381" s="76" t="str">
        <f t="array" ref="S1381:S1382">{"SKILLFEATEXTRA-L12";((INDEX(ALLCLASSDATA,MATCH("SkillFeatExtra-L12",CLASSFEATUREHEADERS,0),MATCH(($A1382 &amp; "Points"),CLASSNAMEHEADERS,0))))}</f>
        <v>SKILLFEATEXTRA-L12</v>
      </c>
      <c r="T1381" s="76" t="str">
        <f t="array" ref="T1381:T1382">{"SKILLFEATEXTRA-L13";((INDEX(ALLCLASSDATA,MATCH("SkillFeatExtra-L13",CLASSFEATUREHEADERS,0),MATCH(($A1382 &amp; "Points"),CLASSNAMEHEADERS,0))))}</f>
        <v>SKILLFEATEXTRA-L13</v>
      </c>
      <c r="U1381" s="76" t="str">
        <f t="array" ref="U1381:U1382">{"SKILLFEATEXTRA-L14";((INDEX(ALLCLASSDATA,MATCH("SkillFeatExtra-L14",CLASSFEATUREHEADERS,0),MATCH(($A1382 &amp; "Points"),CLASSNAMEHEADERS,0))))}</f>
        <v>SKILLFEATEXTRA-L14</v>
      </c>
      <c r="V1381" s="76" t="str">
        <f t="array" ref="V1381:V1382">{"SKILLFEATEXTRA-L15";((INDEX(ALLCLASSDATA,MATCH("SkillFeatExtra-L15",CLASSFEATUREHEADERS,0),MATCH(($A1382 &amp; "Points"),CLASSNAMEHEADERS,0))))}</f>
        <v>SKILLFEATEXTRA-L15</v>
      </c>
      <c r="W1381" s="76" t="str">
        <f t="array" ref="W1381:W1382">{"SKILLFEATEXTRA-L16";((INDEX(ALLCLASSDATA,MATCH("SkillFeatExtra-L16",CLASSFEATUREHEADERS,0),MATCH(($A1382 &amp; "Points"),CLASSNAMEHEADERS,0))))}</f>
        <v>SKILLFEATEXTRA-L16</v>
      </c>
      <c r="X1381" s="76" t="str">
        <f t="array" ref="X1381:X1382">{"SKILLFEATEXTRA-L17";((INDEX(ALLCLASSDATA,MATCH("SkillFeatExtra-L17",CLASSFEATUREHEADERS,0),MATCH(($A1382 &amp; "Points"),CLASSNAMEHEADERS,0))))}</f>
        <v>SKILLFEATEXTRA-L17</v>
      </c>
      <c r="Y1381" s="76" t="str">
        <f t="array" ref="Y1381:Y1382">{"SKILLFEATEXTRA-L18";((INDEX(ALLCLASSDATA,MATCH("SkillFeatExtra-L18",CLASSFEATUREHEADERS,0),MATCH(($A1382 &amp; "Points"),CLASSNAMEHEADERS,0))))}</f>
        <v>SKILLFEATEXTRA-L18</v>
      </c>
      <c r="Z1381" s="76" t="str">
        <f t="array" ref="Z1381:Z1382">{"SKILLFEATEXTRA-L19";((INDEX(ALLCLASSDATA,MATCH("SkillFeatExtra-L19",CLASSFEATUREHEADERS,0),MATCH(($A1382 &amp; "Points"),CLASSNAMEHEADERS,0))))}</f>
        <v>SKILLFEATEXTRA-L19</v>
      </c>
      <c r="AA1381" s="76" t="str">
        <f t="array" ref="AA1381:AA1382">{"SKILLFEATEXTRA-L20";((INDEX(ALLCLASSDATA,MATCH("SkillFeatExtra-L20",CLASSFEATUREHEADERS,0),MATCH(($A1382 &amp; "Points"),CLASSNAMEHEADERS,0))))}</f>
        <v>SKILLFEATEXTRA-L20</v>
      </c>
      <c r="AB1381" s="76"/>
      <c r="AC1381" s="76" t="str">
        <f t="array" ref="AC1381:AC1382">{"SKILLFEAT TOTAL";(sum(G1382:AA1382))}</f>
        <v>SKILLFEAT TOTAL</v>
      </c>
    </row>
    <row r="1382">
      <c r="A1382" s="48" t="s">
        <v>219</v>
      </c>
      <c r="B1382" s="48"/>
      <c r="C1382" s="48" t="s">
        <v>418</v>
      </c>
      <c r="D1382" s="97" t="s">
        <v>659</v>
      </c>
      <c r="E1382" s="97" t="s">
        <v>722</v>
      </c>
      <c r="F1382" s="97"/>
      <c r="G1382" s="132"/>
      <c r="H1382" s="98" t="s">
        <v>603</v>
      </c>
      <c r="I1382" s="98" t="s">
        <v>603</v>
      </c>
      <c r="J1382" s="97" t="s">
        <v>603</v>
      </c>
      <c r="K1382" s="98" t="s">
        <v>603</v>
      </c>
      <c r="L1382" s="97" t="s">
        <v>603</v>
      </c>
      <c r="M1382" s="98" t="s">
        <v>603</v>
      </c>
      <c r="N1382" s="98" t="s">
        <v>603</v>
      </c>
      <c r="O1382" s="98" t="s">
        <v>603</v>
      </c>
      <c r="P1382" s="98" t="s">
        <v>603</v>
      </c>
      <c r="Q1382" s="98" t="s">
        <v>603</v>
      </c>
      <c r="R1382" s="98" t="s">
        <v>603</v>
      </c>
      <c r="S1382" s="98" t="s">
        <v>603</v>
      </c>
      <c r="T1382" s="98" t="s">
        <v>603</v>
      </c>
      <c r="U1382" s="98" t="s">
        <v>603</v>
      </c>
      <c r="V1382" s="98" t="s">
        <v>603</v>
      </c>
      <c r="W1382" s="98" t="s">
        <v>603</v>
      </c>
      <c r="X1382" s="98" t="s">
        <v>603</v>
      </c>
      <c r="Y1382" s="98" t="s">
        <v>603</v>
      </c>
      <c r="Z1382" s="98" t="s">
        <v>603</v>
      </c>
      <c r="AA1382" s="98" t="s">
        <v>603</v>
      </c>
      <c r="AB1382" s="5"/>
      <c r="AC1382" s="47">
        <v>0.0</v>
      </c>
    </row>
    <row r="1383" hidden="1">
      <c r="A1383" s="76" t="str">
        <f t="array" ref="A1383:A1384">{"FormulaRow08";(INDEX(CLASSLIST,A1368,1))}</f>
        <v>FormulaRow08</v>
      </c>
      <c r="B1383" s="77" t="s">
        <v>236</v>
      </c>
      <c r="C1383" s="76" t="str">
        <f t="array" ref="C1383:C1384">{"CLASSTYPE";((INDEX(ALLCLASSDATA,MATCH("ClassType",CLASSFEATUREHEADERS,0),MATCH($A1384,CLASSNAMEHEADERS,0))))}</f>
        <v>CLASSTYPE</v>
      </c>
      <c r="D1383" s="81" t="str">
        <f t="array" ref="D1383:D1384">{"CLASSABILITY";"ClassAbility"}</f>
        <v>CLASSABILITY</v>
      </c>
      <c r="E1383" s="81" t="str">
        <f t="array" ref="E1383:E1384">{"CLASSABILITY1";"ClassAbility1"}</f>
        <v>CLASSABILITY1</v>
      </c>
      <c r="F1383" s="81"/>
      <c r="G1383" s="81"/>
      <c r="H1383" s="81"/>
      <c r="I1383" s="81"/>
      <c r="J1383" s="81" t="str">
        <f t="array" ref="J1383:J1384">{"CLASSABILITY1-L03";((INDEX(ALLCLASSDATA,MATCH("ClassAbility1-L03",CLASSFEATUREHEADERS,0),MATCH(($A1384),CLASSNAMEHEADERS,0))))}</f>
        <v>CLASSABILITY1-L03</v>
      </c>
      <c r="K1383" s="81"/>
      <c r="L1383" s="81" t="str">
        <f t="array" ref="L1383:L1384">{"CLASSABILITY1-L05";((INDEX(ALLCLASSDATA,MATCH("ClassAbility1-L05",CLASSFEATUREHEADERS,0),MATCH(($A1384),CLASSNAMEHEADERS,0))))}</f>
        <v>CLASSABILITY1-L05</v>
      </c>
      <c r="M1383" s="81"/>
      <c r="N1383" s="81" t="str">
        <f t="array" ref="N1383:N1384">{"CLASSABILITY1-L07";((INDEX(ALLCLASSDATA,MATCH("ClassAbility1-L07",CLASSFEATUREHEADERS,0),MATCH(($A1384),CLASSNAMEHEADERS,0))))}</f>
        <v>CLASSABILITY1-L07</v>
      </c>
      <c r="O1383" s="81"/>
      <c r="P1383" s="81" t="str">
        <f t="array" ref="P1383:P1384">{"CLASSABILITY1-L09";((INDEX(ALLCLASSDATA,MATCH("ClassAbility1-L09",CLASSFEATUREHEADERS,0),MATCH(($A1384),CLASSNAMEHEADERS,0))))}</f>
        <v>CLASSABILITY1-L09</v>
      </c>
      <c r="Q1383" s="81"/>
      <c r="R1383" s="81" t="str">
        <f t="array" ref="R1383:R1384">{"CLASSABILITY1-L11";((INDEX(ALLCLASSDATA,MATCH("ClassAbility1-L11",CLASSFEATUREHEADERS,0),MATCH(($A1384),CLASSNAMEHEADERS,0))))}</f>
        <v>CLASSABILITY1-L11</v>
      </c>
      <c r="S1383" s="81"/>
      <c r="T1383" s="81" t="str">
        <f t="array" ref="T1383:T1384">{"CLASSABILITY1-L13";((INDEX(ALLCLASSDATA,MATCH("ClassAbility1-L13",CLASSFEATUREHEADERS,0),MATCH(($A1384),CLASSNAMEHEADERS,0))))}</f>
        <v>CLASSABILITY1-L13</v>
      </c>
      <c r="U1383" s="81"/>
      <c r="V1383" s="81" t="str">
        <f t="array" ref="V1383:V1384">{"CLASSABILITY1-L15";((INDEX(ALLCLASSDATA,MATCH("ClassAbility1-L15",CLASSFEATUREHEADERS,0),MATCH(($A1384),CLASSNAMEHEADERS,0))))}</f>
        <v>CLASSABILITY1-L15</v>
      </c>
      <c r="W1383" s="81"/>
      <c r="X1383" s="81" t="str">
        <f t="array" ref="X1383:X1384">{"CLASSABILITY1-L17";((INDEX(ALLCLASSDATA,MATCH("ClassAbility1-L17",CLASSFEATUREHEADERS,0),MATCH(($A1384),CLASSNAMEHEADERS,0))))}</f>
        <v>CLASSABILITY1-L17</v>
      </c>
      <c r="Y1383" s="81"/>
      <c r="Z1383" s="81" t="str">
        <f t="array" ref="Z1383:Z1384">{"CLASSABILITY1-L19";((INDEX(ALLCLASSDATA,MATCH("ClassAbility1-L19",CLASSFEATUREHEADERS,0),MATCH(($A1384),CLASSNAMEHEADERS,0))))}</f>
        <v>CLASSABILITY1-L19</v>
      </c>
      <c r="AA1383" s="81"/>
      <c r="AB1383" s="76"/>
      <c r="AC1383" s="76"/>
    </row>
    <row r="1384">
      <c r="A1384" s="48" t="s">
        <v>219</v>
      </c>
      <c r="B1384" s="48"/>
      <c r="C1384" s="48" t="s">
        <v>418</v>
      </c>
      <c r="D1384" s="48" t="s">
        <v>825</v>
      </c>
      <c r="E1384" s="48" t="s">
        <v>826</v>
      </c>
      <c r="F1384" s="5"/>
      <c r="G1384" s="47"/>
      <c r="H1384" s="5"/>
      <c r="I1384" s="5"/>
      <c r="J1384" s="5"/>
      <c r="K1384" s="5"/>
      <c r="L1384" s="5" t="s">
        <v>305</v>
      </c>
      <c r="M1384" s="5"/>
      <c r="N1384" s="5"/>
      <c r="O1384" s="5"/>
      <c r="P1384" s="5" t="s">
        <v>335</v>
      </c>
      <c r="Q1384" s="5"/>
      <c r="R1384" s="5" t="s">
        <v>323</v>
      </c>
      <c r="S1384" s="5"/>
      <c r="T1384" s="5" t="s">
        <v>369</v>
      </c>
      <c r="U1384" s="5"/>
      <c r="V1384" s="5"/>
      <c r="W1384" s="5"/>
      <c r="X1384" s="5"/>
      <c r="Y1384" s="5"/>
      <c r="Z1384" s="5" t="s">
        <v>1148</v>
      </c>
      <c r="AA1384" s="5"/>
      <c r="AB1384" s="5"/>
      <c r="AC1384" s="47"/>
    </row>
    <row r="1385" hidden="1">
      <c r="A1385" s="76" t="str">
        <f t="array" ref="A1385:A1386">{"FormulaRow09";(INDEX(CLASSLIST,A1368,1))}</f>
        <v>FormulaRow09</v>
      </c>
      <c r="B1385" s="77" t="s">
        <v>236</v>
      </c>
      <c r="C1385" s="76" t="str">
        <f t="array" ref="C1385:C1386">{"CLASSTYPE";((INDEX(ALLCLASSDATA,MATCH("ClassType",CLASSFEATUREHEADERS,0),MATCH($A1386,CLASSNAMEHEADERS,0))))}</f>
        <v>CLASSTYPE</v>
      </c>
      <c r="D1385" s="76" t="str">
        <f t="array" ref="D1385:D1386">{"CLASSABILITYPTS";"ClassAbilityPts"}</f>
        <v>CLASSABILITYPTS</v>
      </c>
      <c r="E1385" s="76" t="str">
        <f t="array" ref="E1385:E1386">{"CLASSABILITY1";"ClassAbility1"}</f>
        <v>CLASSABILITY1</v>
      </c>
      <c r="F1385" s="76"/>
      <c r="G1385" s="76"/>
      <c r="H1385" s="76"/>
      <c r="I1385" s="76"/>
      <c r="J1385" s="76" t="str">
        <f t="array" ref="J1385:J1386">{"CLASSABILITY1-L03PTS";((INDEX(ALLCLASSDATA,MATCH("ClassAbility1-L03",CLASSFEATUREHEADERS,0),MATCH(($A1386 &amp; "Points"),CLASSNAMEHEADERS,0))))}</f>
        <v>CLASSABILITY1-L03PTS</v>
      </c>
      <c r="K1385" s="76"/>
      <c r="L1385" s="76" t="str">
        <f t="array" ref="L1385:L1386">{"CLASSABILITY1-L05PTS";((INDEX(ALLCLASSDATA,MATCH("ClassAbility1-L05",CLASSFEATUREHEADERS,0),MATCH(($A1386 &amp; "Points"),CLASSNAMEHEADERS,0))))}</f>
        <v>CLASSABILITY1-L05PTS</v>
      </c>
      <c r="M1385" s="76"/>
      <c r="N1385" s="76" t="str">
        <f t="array" ref="N1385:N1386">{"CLASSABILITY1-L07PTS";((INDEX(ALLCLASSDATA,MATCH("ClassAbility1-L07",CLASSFEATUREHEADERS,0),MATCH(($A1386 &amp; "Points"),CLASSNAMEHEADERS,0))))}</f>
        <v>CLASSABILITY1-L07PTS</v>
      </c>
      <c r="O1385" s="76"/>
      <c r="P1385" s="76" t="str">
        <f t="array" ref="P1385:P1386">{"CLASSABILITY1-L09PTS";((INDEX(ALLCLASSDATA,MATCH("ClassAbility1-L09",CLASSFEATUREHEADERS,0),MATCH(($A1386 &amp; "Points"),CLASSNAMEHEADERS,0))))}</f>
        <v>CLASSABILITY1-L09PTS</v>
      </c>
      <c r="Q1385" s="76"/>
      <c r="R1385" s="76" t="str">
        <f t="array" ref="R1385:R1386">{"CLASSABILITY1-L11PTS";((INDEX(ALLCLASSDATA,MATCH("ClassAbility1-L11",CLASSFEATUREHEADERS,0),MATCH(($A1386 &amp; "Points"),CLASSNAMEHEADERS,0))))}</f>
        <v>CLASSABILITY1-L11PTS</v>
      </c>
      <c r="S1385" s="76"/>
      <c r="T1385" s="76" t="str">
        <f t="array" ref="T1385:T1386">{"CLASSABILITY1-L13PTS";((INDEX(ALLCLASSDATA,MATCH("ClassAbility1-L13",CLASSFEATUREHEADERS,0),MATCH(($A1386 &amp; "Points"),CLASSNAMEHEADERS,0))))}</f>
        <v>CLASSABILITY1-L13PTS</v>
      </c>
      <c r="U1385" s="76"/>
      <c r="V1385" s="76" t="str">
        <f t="array" ref="V1385:V1386">{"CLASSABILITY1-L15PTS";((INDEX(ALLCLASSDATA,MATCH("ClassAbility1-L15",CLASSFEATUREHEADERS,0),MATCH(($A1386 &amp; "Points"),CLASSNAMEHEADERS,0))))}</f>
        <v>CLASSABILITY1-L15PTS</v>
      </c>
      <c r="W1385" s="76"/>
      <c r="X1385" s="76" t="str">
        <f t="array" ref="X1385:X1386">{"CLASSABILITY1-L17PTS";((INDEX(ALLCLASSDATA,MATCH("ClassAbility1-L17",CLASSFEATUREHEADERS,0),MATCH(($A1386 &amp; "Points"),CLASSNAMEHEADERS,0))))}</f>
        <v>CLASSABILITY1-L17PTS</v>
      </c>
      <c r="Y1385" s="76"/>
      <c r="Z1385" s="76" t="str">
        <f t="array" ref="Z1385:Z1386">{"CLASSABILITY1-L19PTS";((INDEX(ALLCLASSDATA,MATCH("ClassAbility1-L19",CLASSFEATUREHEADERS,0),MATCH(($A1386 &amp; "Points"),CLASSNAMEHEADERS,0))))}</f>
        <v>CLASSABILITY1-L19PTS</v>
      </c>
      <c r="AA1385" s="76"/>
      <c r="AB1385" s="76"/>
      <c r="AC1385" s="76" t="str">
        <f t="array" ref="AC1385:AC1386">{"CLASSABILITY1 TOTAL";(sum(G1386:AA1386))}</f>
        <v>CLASSABILITY1 TOTAL</v>
      </c>
    </row>
    <row r="1386">
      <c r="A1386" s="48" t="s">
        <v>219</v>
      </c>
      <c r="B1386" s="48"/>
      <c r="C1386" s="48" t="s">
        <v>418</v>
      </c>
      <c r="D1386" s="48" t="s">
        <v>930</v>
      </c>
      <c r="E1386" s="48" t="s">
        <v>826</v>
      </c>
      <c r="F1386" s="5"/>
      <c r="G1386" s="5"/>
      <c r="H1386" s="5"/>
      <c r="I1386" s="5"/>
      <c r="J1386" s="48"/>
      <c r="K1386" s="5"/>
      <c r="L1386" s="5"/>
      <c r="M1386" s="5"/>
      <c r="N1386" s="5"/>
      <c r="O1386" s="5"/>
      <c r="P1386" s="5"/>
      <c r="Q1386" s="5"/>
      <c r="R1386" s="5"/>
      <c r="S1386" s="5"/>
      <c r="T1386" s="5"/>
      <c r="U1386" s="5"/>
      <c r="V1386" s="5"/>
      <c r="W1386" s="5"/>
      <c r="X1386" s="5"/>
      <c r="Y1386" s="5"/>
      <c r="Z1386" s="5"/>
      <c r="AA1386" s="5"/>
      <c r="AB1386" s="5"/>
      <c r="AC1386" s="47">
        <v>0.0</v>
      </c>
    </row>
    <row r="1387" hidden="1">
      <c r="A1387" s="76" t="str">
        <f t="array" ref="A1387:A1388">{"FormulaRow10";(INDEX(CLASSLIST,A1368,1))}</f>
        <v>FormulaRow10</v>
      </c>
      <c r="B1387" s="77" t="s">
        <v>236</v>
      </c>
      <c r="C1387" s="76" t="str">
        <f t="array" ref="C1387:C1388">{"CLASSTYPE";((INDEX(ALLCLASSDATA,MATCH("ClassType",CLASSFEATUREHEADERS,0),MATCH($A1388,CLASSNAMEHEADERS,0))))}</f>
        <v>CLASSTYPE</v>
      </c>
      <c r="D1387" s="76" t="str">
        <f t="array" ref="D1387:D1388">{"CLASSABILITY";"ClassAbility"}</f>
        <v>CLASSABILITY</v>
      </c>
      <c r="E1387" s="76" t="str">
        <f t="array" ref="E1387:E1388">{"CLASSABILITY2";"ClassAbility2"}</f>
        <v>CLASSABILITY2</v>
      </c>
      <c r="F1387" s="76"/>
      <c r="G1387" s="76"/>
      <c r="H1387" s="76"/>
      <c r="I1387" s="76"/>
      <c r="J1387" s="76" t="str">
        <f t="array" ref="J1387:J1388">{"CLASSABILITY2-L03";((INDEX(ALLCLASSDATA,MATCH("ClassAbility2-L03",CLASSFEATUREHEADERS,0),MATCH(($A1388),CLASSNAMEHEADERS,0))))}</f>
        <v>CLASSABILITY2-L03</v>
      </c>
      <c r="K1387" s="76"/>
      <c r="L1387" s="76" t="str">
        <f t="array" ref="L1387:L1388">{"CLASSABILITY2-L05";((INDEX(ALLCLASSDATA,MATCH("ClassAbility2-L05",CLASSFEATUREHEADERS,0),MATCH(($A1388),CLASSNAMEHEADERS,0))))}</f>
        <v>CLASSABILITY2-L05</v>
      </c>
      <c r="M1387" s="76"/>
      <c r="N1387" s="76" t="str">
        <f t="array" ref="N1387:N1388">{"CLASSABILITY2-L07";((INDEX(ALLCLASSDATA,MATCH("ClassAbility2-L07",CLASSFEATUREHEADERS,0),MATCH(($A1388),CLASSNAMEHEADERS,0))))}</f>
        <v>CLASSABILITY2-L07</v>
      </c>
      <c r="O1387" s="76"/>
      <c r="P1387" s="76" t="str">
        <f t="array" ref="P1387:P1388">{"CLASSABILITY2-L09";((INDEX(ALLCLASSDATA,MATCH("ClassAbility2-L09",CLASSFEATUREHEADERS,0),MATCH(($A1388),CLASSNAMEHEADERS,0))))}</f>
        <v>CLASSABILITY2-L09</v>
      </c>
      <c r="Q1387" s="76"/>
      <c r="R1387" s="76" t="str">
        <f t="array" ref="R1387:R1388">{"CLASSABILITY2-L11";((INDEX(ALLCLASSDATA,MATCH("ClassAbility2-L11",CLASSFEATUREHEADERS,0),MATCH(($A1388),CLASSNAMEHEADERS,0))))}</f>
        <v>CLASSABILITY2-L11</v>
      </c>
      <c r="S1387" s="76"/>
      <c r="T1387" s="76" t="str">
        <f t="array" ref="T1387:T1388">{"CLASSABILITY2-L13";((INDEX(ALLCLASSDATA,MATCH("ClassAbility2-L13",CLASSFEATUREHEADERS,0),MATCH(($A1388),CLASSNAMEHEADERS,0))))}</f>
        <v>CLASSABILITY2-L13</v>
      </c>
      <c r="U1387" s="76"/>
      <c r="V1387" s="76" t="str">
        <f t="array" ref="V1387:V1388">{"CLASSABILITY2-L15";((INDEX(ALLCLASSDATA,MATCH("ClassAbility2-L15",CLASSFEATUREHEADERS,0),MATCH(($A1388),CLASSNAMEHEADERS,0))))}</f>
        <v>CLASSABILITY2-L15</v>
      </c>
      <c r="W1387" s="76"/>
      <c r="X1387" s="76" t="str">
        <f t="array" ref="X1387:X1388">{"CLASSABILITY2-L17";((INDEX(ALLCLASSDATA,MATCH("ClassAbility2-L17",CLASSFEATUREHEADERS,0),MATCH(($A1388),CLASSNAMEHEADERS,0))))}</f>
        <v>CLASSABILITY2-L17</v>
      </c>
      <c r="Y1387" s="76"/>
      <c r="Z1387" s="76" t="str">
        <f t="array" ref="Z1387:Z1388">{"CLASSABILITY2-L19";((INDEX(ALLCLASSDATA,MATCH("ClassAbility2-L19",CLASSFEATUREHEADERS,0),MATCH(($A1388),CLASSNAMEHEADERS,0))))}</f>
        <v>CLASSABILITY2-L19</v>
      </c>
      <c r="AA1387" s="76"/>
      <c r="AB1387" s="76"/>
      <c r="AC1387" s="76"/>
    </row>
    <row r="1388">
      <c r="A1388" s="48" t="s">
        <v>219</v>
      </c>
      <c r="B1388" s="48"/>
      <c r="C1388" s="48" t="s">
        <v>418</v>
      </c>
      <c r="D1388" s="48" t="s">
        <v>825</v>
      </c>
      <c r="E1388" s="48" t="s">
        <v>1007</v>
      </c>
      <c r="F1388" s="48"/>
      <c r="G1388" s="47"/>
      <c r="H1388" s="5"/>
      <c r="I1388" s="5"/>
      <c r="J1388" s="5"/>
      <c r="K1388" s="5"/>
      <c r="L1388" s="5"/>
      <c r="M1388" s="5"/>
      <c r="N1388" s="5"/>
      <c r="O1388" s="5"/>
      <c r="P1388" s="5"/>
      <c r="Q1388" s="5"/>
      <c r="R1388" s="5"/>
      <c r="S1388" s="5"/>
      <c r="T1388" s="5" t="s">
        <v>1316</v>
      </c>
      <c r="U1388" s="5"/>
      <c r="V1388" s="5"/>
      <c r="W1388" s="5"/>
      <c r="X1388" s="5"/>
      <c r="Y1388" s="5"/>
      <c r="Z1388" s="5"/>
      <c r="AA1388" s="5"/>
      <c r="AB1388" s="5"/>
      <c r="AC1388" s="47"/>
    </row>
    <row r="1389" hidden="1">
      <c r="A1389" s="76" t="str">
        <f t="array" ref="A1389:A1390">{"FormulaRow11";(INDEX(CLASSLIST,A1368,1))}</f>
        <v>FormulaRow11</v>
      </c>
      <c r="B1389" s="77" t="s">
        <v>236</v>
      </c>
      <c r="C1389" s="76" t="str">
        <f t="array" ref="C1389:C1390">{"CLASSTYPE";((INDEX(ALLCLASSDATA,MATCH("ClassType",CLASSFEATUREHEADERS,0),MATCH($A1390,CLASSNAMEHEADERS,0))))}</f>
        <v>CLASSTYPE</v>
      </c>
      <c r="D1389" s="76" t="str">
        <f t="array" ref="D1389:D1390">{"CLASSABILITYPTS";"ClassAbilityPts"}</f>
        <v>CLASSABILITYPTS</v>
      </c>
      <c r="E1389" s="76" t="str">
        <f t="array" ref="E1389:E1390">{"CLASSABILITY2";"ClassAbility2"}</f>
        <v>CLASSABILITY2</v>
      </c>
      <c r="F1389" s="76"/>
      <c r="G1389" s="76"/>
      <c r="H1389" s="76"/>
      <c r="I1389" s="76"/>
      <c r="J1389" s="76" t="str">
        <f t="array" ref="J1389:J1390">{"CLASSABILITY2-L03PTS";((INDEX(ALLCLASSDATA,MATCH("ClassAbility2-L03",CLASSFEATUREHEADERS,0),MATCH(($A1390 &amp; "Points"),CLASSNAMEHEADERS,0))))}</f>
        <v>CLASSABILITY2-L03PTS</v>
      </c>
      <c r="K1389" s="76"/>
      <c r="L1389" s="76" t="str">
        <f t="array" ref="L1389:L1390">{"CLASSABILITY2-L05PTS";((INDEX(ALLCLASSDATA,MATCH("ClassAbility2-L05",CLASSFEATUREHEADERS,0),MATCH(($A1390 &amp; "Points"),CLASSNAMEHEADERS,0))))}</f>
        <v>CLASSABILITY2-L05PTS</v>
      </c>
      <c r="M1389" s="76"/>
      <c r="N1389" s="76" t="str">
        <f t="array" ref="N1389:N1390">{"CLASSABILITY2-L07PTS";((INDEX(ALLCLASSDATA,MATCH("ClassAbility2-L07",CLASSFEATUREHEADERS,0),MATCH(($A1390 &amp; "Points"),CLASSNAMEHEADERS,0))))}</f>
        <v>CLASSABILITY2-L07PTS</v>
      </c>
      <c r="O1389" s="76"/>
      <c r="P1389" s="76" t="str">
        <f t="array" ref="P1389:P1390">{"CLASSABILITY2-L09PTS";((INDEX(ALLCLASSDATA,MATCH("ClassAbility2-L09",CLASSFEATUREHEADERS,0),MATCH(($A1390 &amp; "Points"),CLASSNAMEHEADERS,0))))}</f>
        <v>CLASSABILITY2-L09PTS</v>
      </c>
      <c r="Q1389" s="76"/>
      <c r="R1389" s="76" t="str">
        <f t="array" ref="R1389:R1390">{"CLASSABILITY2-L11PTS";((INDEX(ALLCLASSDATA,MATCH("ClassAbility2-L11",CLASSFEATUREHEADERS,0),MATCH(($A1390 &amp; "Points"),CLASSNAMEHEADERS,0))))}</f>
        <v>CLASSABILITY2-L11PTS</v>
      </c>
      <c r="S1389" s="76"/>
      <c r="T1389" s="76" t="str">
        <f t="array" ref="T1389:T1390">{"CLASSABILITY2-L13PTS";((INDEX(ALLCLASSDATA,MATCH("ClassAbility2-L13",CLASSFEATUREHEADERS,0),MATCH(($A1390 &amp; "Points"),CLASSNAMEHEADERS,0))))}</f>
        <v>CLASSABILITY2-L13PTS</v>
      </c>
      <c r="U1389" s="76"/>
      <c r="V1389" s="76" t="str">
        <f t="array" ref="V1389:V1390">{"CLASSABILITY2-L15PTS";((INDEX(ALLCLASSDATA,MATCH("ClassAbility2-L15",CLASSFEATUREHEADERS,0),MATCH(($A1390 &amp; "Points"),CLASSNAMEHEADERS,0))))}</f>
        <v>CLASSABILITY2-L15PTS</v>
      </c>
      <c r="W1389" s="76"/>
      <c r="X1389" s="76" t="str">
        <f t="array" ref="X1389:X1390">{"CLASSABILITY2-L17PTS";((INDEX(ALLCLASSDATA,MATCH("ClassAbility2-L17",CLASSFEATUREHEADERS,0),MATCH(($A1390 &amp; "Points"),CLASSNAMEHEADERS,0))))}</f>
        <v>CLASSABILITY2-L17PTS</v>
      </c>
      <c r="Y1389" s="76"/>
      <c r="Z1389" s="76" t="str">
        <f t="array" ref="Z1389:Z1390">{"CLASSABILITY2-L19PTS";((INDEX(ALLCLASSDATA,MATCH("ClassAbility2-L19",CLASSFEATUREHEADERS,0),MATCH(($A1390 &amp; "Points"),CLASSNAMEHEADERS,0))))}</f>
        <v>CLASSABILITY2-L19PTS</v>
      </c>
      <c r="AA1389" s="76"/>
      <c r="AB1389" s="76"/>
      <c r="AC1389" s="76" t="str">
        <f t="array" ref="AC1389:AC1390">{"CLASSABILITY2 TOTAL";(sum(G1390:AA1390))}</f>
        <v>CLASSABILITY2 TOTAL</v>
      </c>
    </row>
    <row r="1390">
      <c r="A1390" s="48" t="s">
        <v>219</v>
      </c>
      <c r="B1390" s="48"/>
      <c r="C1390" s="48" t="s">
        <v>418</v>
      </c>
      <c r="D1390" s="48" t="s">
        <v>930</v>
      </c>
      <c r="E1390" s="48" t="s">
        <v>1007</v>
      </c>
      <c r="F1390" s="48"/>
      <c r="G1390" s="47"/>
      <c r="H1390" s="5"/>
      <c r="I1390" s="5"/>
      <c r="J1390" s="5"/>
      <c r="K1390" s="5"/>
      <c r="L1390" s="5"/>
      <c r="M1390" s="5"/>
      <c r="N1390" s="5"/>
      <c r="O1390" s="5"/>
      <c r="P1390" s="5"/>
      <c r="Q1390" s="5"/>
      <c r="R1390" s="5"/>
      <c r="S1390" s="5"/>
      <c r="T1390" s="5"/>
      <c r="U1390" s="5"/>
      <c r="V1390" s="5"/>
      <c r="W1390" s="5"/>
      <c r="X1390" s="5"/>
      <c r="Y1390" s="5"/>
      <c r="Z1390" s="5"/>
      <c r="AA1390" s="5"/>
      <c r="AB1390" s="5"/>
      <c r="AC1390" s="47">
        <v>0.0</v>
      </c>
    </row>
    <row r="1391" hidden="1">
      <c r="A1391" s="76" t="str">
        <f t="array" ref="A1391:A1392">{"FormulaRow12";(INDEX(CLASSLIST,A1368,1))}</f>
        <v>FormulaRow12</v>
      </c>
      <c r="B1391" s="77" t="s">
        <v>236</v>
      </c>
      <c r="C1391" s="76" t="str">
        <f t="array" ref="C1391:C1392">{"CLASSTYPE";((INDEX(ALLCLASSDATA,MATCH("ClassType",CLASSFEATUREHEADERS,0),MATCH($A1392,CLASSNAMEHEADERS,0))))}</f>
        <v>CLASSTYPE</v>
      </c>
      <c r="D1391" s="76" t="str">
        <f t="array" ref="D1391:D1392">{"CLASSABILITY";"ClassAbility"}</f>
        <v>CLASSABILITY</v>
      </c>
      <c r="E1391" s="76" t="str">
        <f t="array" ref="E1391:E1392">{"CLASSABILITY3";"ClassAbility3"}</f>
        <v>CLASSABILITY3</v>
      </c>
      <c r="F1391" s="76"/>
      <c r="G1391" s="76"/>
      <c r="H1391" s="76"/>
      <c r="I1391" s="76"/>
      <c r="J1391" s="76" t="str">
        <f t="array" ref="J1391:J1392">{"CLASSABILITY3-L03";((INDEX(ALLCLASSDATA,MATCH("ClassAbility3-L03",CLASSFEATUREHEADERS,0),MATCH(($A1392),CLASSNAMEHEADERS,0))))}</f>
        <v>CLASSABILITY3-L03</v>
      </c>
      <c r="K1391" s="76"/>
      <c r="L1391" s="76" t="str">
        <f t="array" ref="L1391:L1392">{"CLASSABILITY3-L05";((INDEX(ALLCLASSDATA,MATCH("ClassAbility3-L05",CLASSFEATUREHEADERS,0),MATCH(($A1392),CLASSNAMEHEADERS,0))))}</f>
        <v>CLASSABILITY3-L05</v>
      </c>
      <c r="M1391" s="76"/>
      <c r="N1391" s="76" t="str">
        <f t="array" ref="N1391:N1392">{"CLASSABILITY3-L07";((INDEX(ALLCLASSDATA,MATCH("ClassAbility3-L07",CLASSFEATUREHEADERS,0),MATCH(($A1392),CLASSNAMEHEADERS,0))))}</f>
        <v>CLASSABILITY3-L07</v>
      </c>
      <c r="O1391" s="76"/>
      <c r="P1391" s="76" t="str">
        <f t="array" ref="P1391:P1392">{"CLASSABILITY3-L09";((INDEX(ALLCLASSDATA,MATCH("ClassAbility3-L09",CLASSFEATUREHEADERS,0),MATCH(($A1392),CLASSNAMEHEADERS,0))))}</f>
        <v>CLASSABILITY3-L09</v>
      </c>
      <c r="Q1391" s="76"/>
      <c r="R1391" s="76" t="str">
        <f t="array" ref="R1391:R1392">{"CLASSABILITY3-L11";((INDEX(ALLCLASSDATA,MATCH("ClassAbility3-L11",CLASSFEATUREHEADERS,0),MATCH(($A1392),CLASSNAMEHEADERS,0))))}</f>
        <v>CLASSABILITY3-L11</v>
      </c>
      <c r="S1391" s="76"/>
      <c r="T1391" s="76" t="str">
        <f t="array" ref="T1391:T1392">{"CLASSABILITY3-L13";((INDEX(ALLCLASSDATA,MATCH("ClassAbility3-L13",CLASSFEATUREHEADERS,0),MATCH(($A1392),CLASSNAMEHEADERS,0))))}</f>
        <v>CLASSABILITY3-L13</v>
      </c>
      <c r="U1391" s="76"/>
      <c r="V1391" s="76" t="str">
        <f t="array" ref="V1391:V1392">{"CLASSABILITY3-L15";((INDEX(ALLCLASSDATA,MATCH("ClassAbility3-L15",CLASSFEATUREHEADERS,0),MATCH(($A1392),CLASSNAMEHEADERS,0))))}</f>
        <v>CLASSABILITY3-L15</v>
      </c>
      <c r="W1391" s="76"/>
      <c r="X1391" s="76" t="str">
        <f t="array" ref="X1391:X1392">{"CLASSABILITY3-L17";((INDEX(ALLCLASSDATA,MATCH("ClassAbility3-L17",CLASSFEATUREHEADERS,0),MATCH(($A1392),CLASSNAMEHEADERS,0))))}</f>
        <v>CLASSABILITY3-L17</v>
      </c>
      <c r="Y1391" s="76"/>
      <c r="Z1391" s="76" t="str">
        <f t="array" ref="Z1391:Z1392">{"CLASSABILITY3-L19";((INDEX(ALLCLASSDATA,MATCH("ClassAbility3-L19",CLASSFEATUREHEADERS,0),MATCH(($A1392),CLASSNAMEHEADERS,0))))}</f>
        <v>CLASSABILITY3-L19</v>
      </c>
      <c r="AA1391" s="76"/>
      <c r="AB1391" s="76"/>
      <c r="AC1391" s="76"/>
    </row>
    <row r="1392">
      <c r="A1392" s="48" t="s">
        <v>219</v>
      </c>
      <c r="B1392" s="48"/>
      <c r="C1392" s="48" t="s">
        <v>418</v>
      </c>
      <c r="D1392" s="48" t="s">
        <v>825</v>
      </c>
      <c r="E1392" s="48" t="s">
        <v>1144</v>
      </c>
      <c r="F1392" s="48"/>
      <c r="G1392" s="47"/>
      <c r="H1392" s="5"/>
      <c r="I1392" s="5"/>
      <c r="J1392" s="5"/>
      <c r="K1392" s="5"/>
      <c r="L1392" s="5"/>
      <c r="M1392" s="5"/>
      <c r="N1392" s="5"/>
      <c r="O1392" s="5"/>
      <c r="P1392" s="5"/>
      <c r="Q1392" s="5"/>
      <c r="R1392" s="5"/>
      <c r="S1392" s="5"/>
      <c r="T1392" s="5"/>
      <c r="U1392" s="5"/>
      <c r="V1392" s="5"/>
      <c r="W1392" s="5"/>
      <c r="X1392" s="5"/>
      <c r="Y1392" s="5"/>
      <c r="Z1392" s="5"/>
      <c r="AA1392" s="5"/>
      <c r="AB1392" s="5"/>
      <c r="AC1392" s="47"/>
    </row>
    <row r="1393" hidden="1">
      <c r="A1393" s="76" t="str">
        <f t="array" ref="A1393:A1394">{"FormulaRow13";(INDEX(CLASSLIST,A1368,1))}</f>
        <v>FormulaRow13</v>
      </c>
      <c r="B1393" s="77" t="s">
        <v>236</v>
      </c>
      <c r="C1393" s="76" t="str">
        <f t="array" ref="C1393:C1394">{"CLASSTYPE";((INDEX(ALLCLASSDATA,MATCH("ClassType",CLASSFEATUREHEADERS,0),MATCH($A1394,CLASSNAMEHEADERS,0))))}</f>
        <v>CLASSTYPE</v>
      </c>
      <c r="D1393" s="76" t="str">
        <f t="array" ref="D1393:D1394">{"CLASSABILITYPTS";"ClassAbilityPts"}</f>
        <v>CLASSABILITYPTS</v>
      </c>
      <c r="E1393" s="76" t="str">
        <f t="array" ref="E1393:E1394">{"CLASSABILITY3";"ClassAbility3"}</f>
        <v>CLASSABILITY3</v>
      </c>
      <c r="F1393" s="76"/>
      <c r="G1393" s="76"/>
      <c r="H1393" s="76"/>
      <c r="I1393" s="76"/>
      <c r="J1393" s="76" t="str">
        <f t="array" ref="J1393:J1394">{"CLASSABILITY3-L03PTS";((INDEX(ALLCLASSDATA,MATCH("ClassAbility3-L03",CLASSFEATUREHEADERS,0),MATCH(($A1394 &amp; "Points"),CLASSNAMEHEADERS,0))))}</f>
        <v>CLASSABILITY3-L03PTS</v>
      </c>
      <c r="K1393" s="76"/>
      <c r="L1393" s="76" t="str">
        <f t="array" ref="L1393:L1394">{"CLASSABILITY3-L05PTS";((INDEX(ALLCLASSDATA,MATCH("ClassAbility3-L05",CLASSFEATUREHEADERS,0),MATCH(($A1394 &amp; "Points"),CLASSNAMEHEADERS,0))))}</f>
        <v>CLASSABILITY3-L05PTS</v>
      </c>
      <c r="M1393" s="76"/>
      <c r="N1393" s="76" t="str">
        <f t="array" ref="N1393:N1394">{"CLASSABILITY3-L07PTS";((INDEX(ALLCLASSDATA,MATCH("ClassAbility3-L07",CLASSFEATUREHEADERS,0),MATCH(($A1394 &amp; "Points"),CLASSNAMEHEADERS,0))))}</f>
        <v>CLASSABILITY3-L07PTS</v>
      </c>
      <c r="O1393" s="76"/>
      <c r="P1393" s="76" t="str">
        <f t="array" ref="P1393:P1394">{"CLASSABILITY3-L09PTS";((INDEX(ALLCLASSDATA,MATCH("ClassAbility3-L09",CLASSFEATUREHEADERS,0),MATCH(($A1394 &amp; "Points"),CLASSNAMEHEADERS,0))))}</f>
        <v>CLASSABILITY3-L09PTS</v>
      </c>
      <c r="Q1393" s="76"/>
      <c r="R1393" s="76" t="str">
        <f t="array" ref="R1393:R1394">{"CLASSABILITY3-L11PTS";((INDEX(ALLCLASSDATA,MATCH("ClassAbility3-L11",CLASSFEATUREHEADERS,0),MATCH(($A1394 &amp; "Points"),CLASSNAMEHEADERS,0))))}</f>
        <v>CLASSABILITY3-L11PTS</v>
      </c>
      <c r="S1393" s="76"/>
      <c r="T1393" s="76" t="str">
        <f t="array" ref="T1393:T1394">{"CLASSABILITY3-L13PTS";((INDEX(ALLCLASSDATA,MATCH("ClassAbility3-L13",CLASSFEATUREHEADERS,0),MATCH(($A1394 &amp; "Points"),CLASSNAMEHEADERS,0))))}</f>
        <v>CLASSABILITY3-L13PTS</v>
      </c>
      <c r="U1393" s="76"/>
      <c r="V1393" s="76" t="str">
        <f t="array" ref="V1393:V1394">{"CLASSABILITY3-L15PTS";((INDEX(ALLCLASSDATA,MATCH("ClassAbility3-L15",CLASSFEATUREHEADERS,0),MATCH(($A1394 &amp; "Points"),CLASSNAMEHEADERS,0))))}</f>
        <v>CLASSABILITY3-L15PTS</v>
      </c>
      <c r="W1393" s="76"/>
      <c r="X1393" s="76" t="str">
        <f t="array" ref="X1393:X1394">{"CLASSABILITY3-L17PTS";((INDEX(ALLCLASSDATA,MATCH("ClassAbility3-L17",CLASSFEATUREHEADERS,0),MATCH(($A1394 &amp; "Points"),CLASSNAMEHEADERS,0))))}</f>
        <v>CLASSABILITY3-L17PTS</v>
      </c>
      <c r="Y1393" s="76"/>
      <c r="Z1393" s="76" t="str">
        <f t="array" ref="Z1393:Z1394">{"CLASSABILITY3-L19PTS";((INDEX(ALLCLASSDATA,MATCH("ClassAbility3-L19",CLASSFEATUREHEADERS,0),MATCH(($A1394 &amp; "Points"),CLASSNAMEHEADERS,0))))}</f>
        <v>CLASSABILITY3-L19PTS</v>
      </c>
      <c r="AA1393" s="76"/>
      <c r="AB1393" s="76"/>
      <c r="AC1393" s="76" t="str">
        <f t="array" ref="AC1393:AC1394">{"CLASSABILITY3 TOTAL";(sum(G1394:AA1394))}</f>
        <v>CLASSABILITY3 TOTAL</v>
      </c>
    </row>
    <row r="1394">
      <c r="A1394" s="48" t="s">
        <v>219</v>
      </c>
      <c r="B1394" s="48"/>
      <c r="C1394" s="48" t="s">
        <v>418</v>
      </c>
      <c r="D1394" s="48" t="s">
        <v>930</v>
      </c>
      <c r="E1394" s="48" t="s">
        <v>1144</v>
      </c>
      <c r="F1394" s="48"/>
      <c r="G1394" s="47"/>
      <c r="H1394" s="5"/>
      <c r="I1394" s="5"/>
      <c r="J1394" s="5"/>
      <c r="K1394" s="5"/>
      <c r="L1394" s="5"/>
      <c r="M1394" s="5"/>
      <c r="N1394" s="5"/>
      <c r="O1394" s="5"/>
      <c r="P1394" s="5"/>
      <c r="Q1394" s="5"/>
      <c r="R1394" s="5"/>
      <c r="S1394" s="5"/>
      <c r="T1394" s="5"/>
      <c r="U1394" s="5"/>
      <c r="V1394" s="5"/>
      <c r="W1394" s="5"/>
      <c r="X1394" s="5"/>
      <c r="Y1394" s="5"/>
      <c r="Z1394" s="5"/>
      <c r="AA1394" s="5"/>
      <c r="AB1394" s="5"/>
      <c r="AC1394" s="47">
        <v>0.0</v>
      </c>
    </row>
    <row r="1395" hidden="1">
      <c r="A1395" s="76" t="str">
        <f t="array" ref="A1395:A1396">{"FormulaRow14";(INDEX(CLASSLIST,A1368,1))}</f>
        <v>FormulaRow14</v>
      </c>
      <c r="B1395" s="77" t="s">
        <v>236</v>
      </c>
      <c r="C1395" s="76" t="str">
        <f t="array" ref="C1395:C1396">{"CLASSTYPE";((INDEX(ALLCLASSDATA,MATCH("ClassType",CLASSFEATUREHEADERS,0),MATCH($A1396,CLASSNAMEHEADERS,0))))}</f>
        <v>CLASSTYPE</v>
      </c>
      <c r="D1395" s="76" t="str">
        <f t="array" ref="D1395:D1396">{"CLASSABILITY";"ClassAbility"}</f>
        <v>CLASSABILITY</v>
      </c>
      <c r="E1395" s="76" t="str">
        <f t="array" ref="E1395:E1396">{"CLASSABILITY4";"ClassAbility4"}</f>
        <v>CLASSABILITY4</v>
      </c>
      <c r="F1395" s="76"/>
      <c r="G1395" s="76"/>
      <c r="H1395" s="76"/>
      <c r="I1395" s="76"/>
      <c r="J1395" s="76" t="str">
        <f t="array" ref="J1395:J1396">{"CLASSABILITY4-L03";((INDEX(ALLCLASSDATA,MATCH("ClassAbility4-L03",CLASSFEATUREHEADERS,0),MATCH(($A1396),CLASSNAMEHEADERS,0))))}</f>
        <v>CLASSABILITY4-L03</v>
      </c>
      <c r="K1395" s="76"/>
      <c r="L1395" s="76" t="str">
        <f t="array" ref="L1395:L1396">{"CLASSABILITY4-L05";((INDEX(ALLCLASSDATA,MATCH("ClassAbility4-L05",CLASSFEATUREHEADERS,0),MATCH(($A1396),CLASSNAMEHEADERS,0))))}</f>
        <v>CLASSABILITY4-L05</v>
      </c>
      <c r="M1395" s="76"/>
      <c r="N1395" s="76" t="str">
        <f t="array" ref="N1395:N1396">{"CLASSABILITY4-L07";((INDEX(ALLCLASSDATA,MATCH("ClassAbility4-L07",CLASSFEATUREHEADERS,0),MATCH(($A1396),CLASSNAMEHEADERS,0))))}</f>
        <v>CLASSABILITY4-L07</v>
      </c>
      <c r="O1395" s="76"/>
      <c r="P1395" s="76" t="str">
        <f t="array" ref="P1395:P1396">{"CLASSABILITY4-L09";((INDEX(ALLCLASSDATA,MATCH("ClassAbility4-L09",CLASSFEATUREHEADERS,0),MATCH(($A1396),CLASSNAMEHEADERS,0))))}</f>
        <v>CLASSABILITY4-L09</v>
      </c>
      <c r="Q1395" s="76"/>
      <c r="R1395" s="76" t="str">
        <f t="array" ref="R1395:R1396">{"CLASSABILITY4-L11";((INDEX(ALLCLASSDATA,MATCH("ClassAbility4-L11",CLASSFEATUREHEADERS,0),MATCH(($A1396),CLASSNAMEHEADERS,0))))}</f>
        <v>CLASSABILITY4-L11</v>
      </c>
      <c r="S1395" s="76"/>
      <c r="T1395" s="76" t="str">
        <f t="array" ref="T1395:T1396">{"CLASSABILITY4-L13";((INDEX(ALLCLASSDATA,MATCH("ClassAbility4-L13",CLASSFEATUREHEADERS,0),MATCH(($A1396),CLASSNAMEHEADERS,0))))}</f>
        <v>CLASSABILITY4-L13</v>
      </c>
      <c r="U1395" s="76"/>
      <c r="V1395" s="76" t="str">
        <f t="array" ref="V1395:V1396">{"CLASSABILITY4-L15";((INDEX(ALLCLASSDATA,MATCH("ClassAbility4-L15",CLASSFEATUREHEADERS,0),MATCH(($A1396),CLASSNAMEHEADERS,0))))}</f>
        <v>CLASSABILITY4-L15</v>
      </c>
      <c r="W1395" s="76"/>
      <c r="X1395" s="76" t="str">
        <f t="array" ref="X1395:X1396">{"CLASSABILITY4-L17";((INDEX(ALLCLASSDATA,MATCH("ClassAbility4-L17",CLASSFEATUREHEADERS,0),MATCH(($A1396),CLASSNAMEHEADERS,0))))}</f>
        <v>CLASSABILITY4-L17</v>
      </c>
      <c r="Y1395" s="76"/>
      <c r="Z1395" s="76" t="str">
        <f t="array" ref="Z1395:Z1396">{"CLASSABILITY4-L19";((INDEX(ALLCLASSDATA,MATCH("ClassAbility4-L19",CLASSFEATUREHEADERS,0),MATCH(($A1396),CLASSNAMEHEADERS,0))))}</f>
        <v>CLASSABILITY4-L19</v>
      </c>
      <c r="AA1395" s="76"/>
      <c r="AB1395" s="76"/>
      <c r="AC1395" s="76"/>
    </row>
    <row r="1396">
      <c r="A1396" s="48" t="s">
        <v>219</v>
      </c>
      <c r="B1396" s="48"/>
      <c r="C1396" s="48" t="s">
        <v>418</v>
      </c>
      <c r="D1396" s="48" t="s">
        <v>825</v>
      </c>
      <c r="E1396" s="48" t="s">
        <v>1273</v>
      </c>
      <c r="F1396" s="48"/>
      <c r="G1396" s="47"/>
      <c r="H1396" s="5"/>
      <c r="I1396" s="5"/>
      <c r="J1396" s="5"/>
      <c r="K1396" s="5"/>
      <c r="L1396" s="5"/>
      <c r="M1396" s="5"/>
      <c r="N1396" s="5"/>
      <c r="O1396" s="5"/>
      <c r="P1396" s="5"/>
      <c r="Q1396" s="5"/>
      <c r="R1396" s="5"/>
      <c r="S1396" s="5"/>
      <c r="T1396" s="5"/>
      <c r="U1396" s="5"/>
      <c r="V1396" s="5"/>
      <c r="W1396" s="5"/>
      <c r="X1396" s="5"/>
      <c r="Y1396" s="5"/>
      <c r="Z1396" s="5"/>
      <c r="AA1396" s="5"/>
      <c r="AB1396" s="5"/>
      <c r="AC1396" s="47"/>
    </row>
    <row r="1397" hidden="1">
      <c r="A1397" s="76" t="str">
        <f t="array" ref="A1397:A1398">{"FormulaRow15";(INDEX(CLASSLIST,A1368,1))}</f>
        <v>FormulaRow15</v>
      </c>
      <c r="B1397" s="77" t="s">
        <v>236</v>
      </c>
      <c r="C1397" s="76" t="str">
        <f t="array" ref="C1397:C1398">{"CLASSTYPE";((INDEX(ALLCLASSDATA,MATCH("ClassType",CLASSFEATUREHEADERS,0),MATCH($A1398,CLASSNAMEHEADERS,0))))}</f>
        <v>CLASSTYPE</v>
      </c>
      <c r="D1397" s="76" t="str">
        <f t="array" ref="D1397:D1398">{"CLASSABILITYPTS";"ClassAbilityPts"}</f>
        <v>CLASSABILITYPTS</v>
      </c>
      <c r="E1397" s="76" t="str">
        <f t="array" ref="E1397:E1398">{"CLASSABILITY4";"ClassAbility4"}</f>
        <v>CLASSABILITY4</v>
      </c>
      <c r="F1397" s="76"/>
      <c r="G1397" s="76"/>
      <c r="H1397" s="76"/>
      <c r="I1397" s="76"/>
      <c r="J1397" s="76" t="str">
        <f t="array" ref="J1397:J1398">{"CLASSABILITY4-L03PTS";((INDEX(ALLCLASSDATA,MATCH("ClassAbility4-L03",CLASSFEATUREHEADERS,0),MATCH(($A1398 &amp; "Points"),CLASSNAMEHEADERS,0))))}</f>
        <v>CLASSABILITY4-L03PTS</v>
      </c>
      <c r="K1397" s="76"/>
      <c r="L1397" s="76" t="str">
        <f t="array" ref="L1397:L1398">{"CLASSABILITY4-L05PTS";((INDEX(ALLCLASSDATA,MATCH("ClassAbility4-L05",CLASSFEATUREHEADERS,0),MATCH(($A1398 &amp; "Points"),CLASSNAMEHEADERS,0))))}</f>
        <v>CLASSABILITY4-L05PTS</v>
      </c>
      <c r="M1397" s="76"/>
      <c r="N1397" s="76" t="str">
        <f t="array" ref="N1397:N1398">{"CLASSABILITY4-L07PTS";((INDEX(ALLCLASSDATA,MATCH("ClassAbility4-L07",CLASSFEATUREHEADERS,0),MATCH(($A1398 &amp; "Points"),CLASSNAMEHEADERS,0))))}</f>
        <v>CLASSABILITY4-L07PTS</v>
      </c>
      <c r="O1397" s="76"/>
      <c r="P1397" s="76" t="str">
        <f t="array" ref="P1397:P1398">{"CLASSABILITY4-L09PTS";((INDEX(ALLCLASSDATA,MATCH("ClassAbility4-L09",CLASSFEATUREHEADERS,0),MATCH(($A1398 &amp; "Points"),CLASSNAMEHEADERS,0))))}</f>
        <v>CLASSABILITY4-L09PTS</v>
      </c>
      <c r="Q1397" s="76"/>
      <c r="R1397" s="76" t="str">
        <f t="array" ref="R1397:R1398">{"CLASSABILITY4-L11PTS";((INDEX(ALLCLASSDATA,MATCH("ClassAbility4-L11",CLASSFEATUREHEADERS,0),MATCH(($A1398 &amp; "Points"),CLASSNAMEHEADERS,0))))}</f>
        <v>CLASSABILITY4-L11PTS</v>
      </c>
      <c r="S1397" s="76"/>
      <c r="T1397" s="76" t="str">
        <f t="array" ref="T1397:T1398">{"CLASSABILITY4-L13PTS";((INDEX(ALLCLASSDATA,MATCH("ClassAbility4-L13",CLASSFEATUREHEADERS,0),MATCH(($A1398 &amp; "Points"),CLASSNAMEHEADERS,0))))}</f>
        <v>CLASSABILITY4-L13PTS</v>
      </c>
      <c r="U1397" s="76"/>
      <c r="V1397" s="76" t="str">
        <f t="array" ref="V1397:V1398">{"CLASSABILITY4-L15PTS";((INDEX(ALLCLASSDATA,MATCH("ClassAbility4-L15",CLASSFEATUREHEADERS,0),MATCH(($A1398 &amp; "Points"),CLASSNAMEHEADERS,0))))}</f>
        <v>CLASSABILITY4-L15PTS</v>
      </c>
      <c r="W1397" s="76"/>
      <c r="X1397" s="76" t="str">
        <f t="array" ref="X1397:X1398">{"CLASSABILITY4-L17PTS";((INDEX(ALLCLASSDATA,MATCH("ClassAbility4-L17",CLASSFEATUREHEADERS,0),MATCH(($A1398 &amp; "Points"),CLASSNAMEHEADERS,0))))}</f>
        <v>CLASSABILITY4-L17PTS</v>
      </c>
      <c r="Y1397" s="76"/>
      <c r="Z1397" s="76" t="str">
        <f t="array" ref="Z1397:Z1398">{"CLASSABILITY4-L19PTS";((INDEX(ALLCLASSDATA,MATCH("ClassAbility4-L19",CLASSFEATUREHEADERS,0),MATCH(($A1398 &amp; "Points"),CLASSNAMEHEADERS,0))))}</f>
        <v>CLASSABILITY4-L19PTS</v>
      </c>
      <c r="AA1397" s="76"/>
      <c r="AB1397" s="76"/>
      <c r="AC1397" s="76" t="str">
        <f t="array" ref="AC1397:AC1398">{"CLASSABILITY4 TOTAL";(sum(G1398:AA1398))}</f>
        <v>CLASSABILITY4 TOTAL</v>
      </c>
    </row>
    <row r="1398">
      <c r="A1398" s="48" t="s">
        <v>219</v>
      </c>
      <c r="B1398" s="48"/>
      <c r="C1398" s="48" t="s">
        <v>418</v>
      </c>
      <c r="D1398" s="48" t="s">
        <v>930</v>
      </c>
      <c r="E1398" s="48" t="s">
        <v>1273</v>
      </c>
      <c r="F1398" s="48"/>
      <c r="G1398" s="47"/>
      <c r="H1398" s="5"/>
      <c r="I1398" s="5"/>
      <c r="J1398" s="5"/>
      <c r="K1398" s="5"/>
      <c r="L1398" s="5"/>
      <c r="M1398" s="5"/>
      <c r="N1398" s="5"/>
      <c r="O1398" s="5"/>
      <c r="P1398" s="5"/>
      <c r="Q1398" s="5"/>
      <c r="R1398" s="5"/>
      <c r="S1398" s="5"/>
      <c r="T1398" s="5"/>
      <c r="U1398" s="5"/>
      <c r="V1398" s="5"/>
      <c r="W1398" s="5"/>
      <c r="X1398" s="5"/>
      <c r="Y1398" s="5"/>
      <c r="Z1398" s="5"/>
      <c r="AA1398" s="5"/>
      <c r="AB1398" s="5"/>
      <c r="AC1398" s="47">
        <v>0.0</v>
      </c>
    </row>
    <row r="1399" hidden="1">
      <c r="A1399" s="76" t="str">
        <f t="array" ref="A1399:A1400">{"FormulaRow16";(INDEX(CLASSLIST,A1368,1))}</f>
        <v>FormulaRow16</v>
      </c>
      <c r="B1399" s="77" t="s">
        <v>236</v>
      </c>
      <c r="C1399" s="76" t="str">
        <f t="array" ref="C1399:C1400">{"CLASSTYPE";((INDEX(ALLCLASSDATA,MATCH("ClassType",CLASSFEATUREHEADERS,0),MATCH($A1400,CLASSNAMEHEADERS,0))))}</f>
        <v>CLASSTYPE</v>
      </c>
      <c r="D1399" s="76" t="str">
        <f t="array" ref="D1399:D1400">{"CLASSABILITY";"ClassAbility"}</f>
        <v>CLASSABILITY</v>
      </c>
      <c r="E1399" s="76" t="str">
        <f t="array" ref="E1399:E1400">{"SUBCLASSABILITY1";"SubclassAbility1"}</f>
        <v>SUBCLASSABILITY1</v>
      </c>
      <c r="F1399" s="76"/>
      <c r="G1399" s="76"/>
      <c r="H1399" s="76"/>
      <c r="I1399" s="76"/>
      <c r="J1399" s="76" t="str">
        <f t="array" ref="J1399:J1400">{"SUBCLASSABILITY1-L03";((INDEX(ALLCLASSDATA,MATCH("SubclassAbility1-L03",CLASSFEATUREHEADERS,0),MATCH(($A1400),CLASSNAMEHEADERS,0))))}</f>
        <v>SUBCLASSABILITY1-L03</v>
      </c>
      <c r="K1399" s="76"/>
      <c r="L1399" s="76" t="str">
        <f t="array" ref="L1399:L1400">{"SUBCLASSABILITY1-L05";((INDEX(ALLCLASSDATA,MATCH("SubclassAbility1-L05",CLASSFEATUREHEADERS,0),MATCH(($A1400),CLASSNAMEHEADERS,0))))}</f>
        <v>SUBCLASSABILITY1-L05</v>
      </c>
      <c r="M1399" s="76"/>
      <c r="N1399" s="76" t="str">
        <f t="array" ref="N1399:N1400">{"SUBCLASSABILITY1-L07";((INDEX(ALLCLASSDATA,MATCH("SubclassAbility1-L07",CLASSFEATUREHEADERS,0),MATCH(($A1400),CLASSNAMEHEADERS,0))))}</f>
        <v>SUBCLASSABILITY1-L07</v>
      </c>
      <c r="O1399" s="76"/>
      <c r="P1399" s="76" t="str">
        <f t="array" ref="P1399:P1400">{"SUBCLASSABILITY1-L09";((INDEX(ALLCLASSDATA,MATCH("SubclassAbility1-L09",CLASSFEATUREHEADERS,0),MATCH(($A1400),CLASSNAMEHEADERS,0))))}</f>
        <v>SUBCLASSABILITY1-L09</v>
      </c>
      <c r="Q1399" s="76"/>
      <c r="R1399" s="76" t="str">
        <f t="array" ref="R1399:R1400">{"SUBCLASSABILITY1-L11";((INDEX(ALLCLASSDATA,MATCH("SubclassAbility1-L11",CLASSFEATUREHEADERS,0),MATCH(($A1400),CLASSNAMEHEADERS,0))))}</f>
        <v>SUBCLASSABILITY1-L11</v>
      </c>
      <c r="S1399" s="76"/>
      <c r="T1399" s="76" t="str">
        <f t="array" ref="T1399:T1400">{"SUBCLASSABILITY1-L13";((INDEX(ALLCLASSDATA,MATCH("SubclassAbility1-L13",CLASSFEATUREHEADERS,0),MATCH(($A1400),CLASSNAMEHEADERS,0))))}</f>
        <v>SUBCLASSABILITY1-L13</v>
      </c>
      <c r="U1399" s="76"/>
      <c r="V1399" s="76" t="str">
        <f t="array" ref="V1399:V1400">{"SUBCLASSABILITY1-L15";((INDEX(ALLCLASSDATA,MATCH("SubclassAbility1-L15",CLASSFEATUREHEADERS,0),MATCH(($A1400),CLASSNAMEHEADERS,0))))}</f>
        <v>SUBCLASSABILITY1-L15</v>
      </c>
      <c r="W1399" s="76"/>
      <c r="X1399" s="76" t="str">
        <f t="array" ref="X1399:X1400">{"SUBCLASSABILITY1-L17";((INDEX(ALLCLASSDATA,MATCH("SubclassAbility1-L17",CLASSFEATUREHEADERS,0),MATCH(($A1400),CLASSNAMEHEADERS,0))))}</f>
        <v>SUBCLASSABILITY1-L17</v>
      </c>
      <c r="Y1399" s="76"/>
      <c r="Z1399" s="76" t="str">
        <f t="array" ref="Z1399:Z1400">{"SUBCLASSABILITY1-L19";((INDEX(ALLCLASSDATA,MATCH("SubclassAbility1-L19",CLASSFEATUREHEADERS,0),MATCH(($A1400),CLASSNAMEHEADERS,0))))}</f>
        <v>SUBCLASSABILITY1-L19</v>
      </c>
      <c r="AA1399" s="76"/>
      <c r="AB1399" s="76"/>
      <c r="AC1399" s="76"/>
    </row>
    <row r="1400">
      <c r="A1400" s="48" t="s">
        <v>219</v>
      </c>
      <c r="B1400" s="48"/>
      <c r="C1400" s="48" t="s">
        <v>418</v>
      </c>
      <c r="D1400" s="48" t="s">
        <v>825</v>
      </c>
      <c r="E1400" s="28" t="s">
        <v>1355</v>
      </c>
      <c r="F1400" s="5"/>
      <c r="G1400" s="47"/>
      <c r="H1400" s="5"/>
      <c r="I1400" s="5"/>
      <c r="J1400" s="5" t="s">
        <v>1188</v>
      </c>
      <c r="K1400" s="5"/>
      <c r="L1400" s="5"/>
      <c r="M1400" s="5"/>
      <c r="N1400" s="5" t="s">
        <v>1189</v>
      </c>
      <c r="O1400" s="5"/>
      <c r="P1400" s="5"/>
      <c r="Q1400" s="5"/>
      <c r="R1400" s="5" t="s">
        <v>1190</v>
      </c>
      <c r="S1400" s="5"/>
      <c r="T1400" s="5"/>
      <c r="U1400" s="5"/>
      <c r="V1400" s="5" t="s">
        <v>1191</v>
      </c>
      <c r="W1400" s="5"/>
      <c r="X1400" s="5"/>
      <c r="Y1400" s="5"/>
      <c r="Z1400" s="5" t="s">
        <v>1462</v>
      </c>
      <c r="AA1400" s="5"/>
      <c r="AB1400" s="5"/>
      <c r="AC1400" s="47"/>
    </row>
    <row r="1401" hidden="1">
      <c r="A1401" s="76" t="str">
        <f t="array" ref="A1401:A1402">{"FormulaRow17";(INDEX(CLASSLIST,A1368,1))}</f>
        <v>FormulaRow17</v>
      </c>
      <c r="B1401" s="77" t="s">
        <v>236</v>
      </c>
      <c r="C1401" s="76" t="str">
        <f t="array" ref="C1401:C1402">{"CLASSTYPE";((INDEX(ALLCLASSDATA,MATCH("ClassType",CLASSFEATUREHEADERS,0),MATCH($A1402,CLASSNAMEHEADERS,0))))}</f>
        <v>CLASSTYPE</v>
      </c>
      <c r="D1401" s="76" t="str">
        <f t="array" ref="D1401:D1402">{"CLASSABILITYPTS";"ClassAbilityPts"}</f>
        <v>CLASSABILITYPTS</v>
      </c>
      <c r="E1401" s="76" t="str">
        <f t="array" ref="E1401:E1402">{"SUBCLASSABILITY1";"SubclassAbility1"}</f>
        <v>SUBCLASSABILITY1</v>
      </c>
      <c r="F1401" s="76"/>
      <c r="G1401" s="76"/>
      <c r="H1401" s="76"/>
      <c r="I1401" s="76"/>
      <c r="J1401" s="76" t="str">
        <f t="array" ref="J1401:J1402">{"SUBCLASSABILITY1-L03PTS";((INDEX(ALLCLASSDATA,MATCH("SubclassAbility1-L03",CLASSFEATUREHEADERS,0),MATCH(($A1402 &amp; "Points"),CLASSNAMEHEADERS,0))))}</f>
        <v>SUBCLASSABILITY1-L03PTS</v>
      </c>
      <c r="K1401" s="76"/>
      <c r="L1401" s="76" t="str">
        <f t="array" ref="L1401:L1402">{"SUBCLASSABILITY1-L05PTS";((INDEX(ALLCLASSDATA,MATCH("SubclassAbility1-L05",CLASSFEATUREHEADERS,0),MATCH(($A1402 &amp; "Points"),CLASSNAMEHEADERS,0))))}</f>
        <v>SUBCLASSABILITY1-L05PTS</v>
      </c>
      <c r="M1401" s="76"/>
      <c r="N1401" s="76" t="str">
        <f t="array" ref="N1401:N1402">{"SUBCLASSABILITY1-L07PTS";((INDEX(ALLCLASSDATA,MATCH("SubclassAbility1-L07",CLASSFEATUREHEADERS,0),MATCH(($A1402 &amp; "Points"),CLASSNAMEHEADERS,0))))}</f>
        <v>SUBCLASSABILITY1-L07PTS</v>
      </c>
      <c r="O1401" s="76"/>
      <c r="P1401" s="76" t="str">
        <f t="array" ref="P1401:P1402">{"SUBCLASSABILITY1-L09PTS";((INDEX(ALLCLASSDATA,MATCH("SubclassAbility1-L09",CLASSFEATUREHEADERS,0),MATCH(($A1402 &amp; "Points"),CLASSNAMEHEADERS,0))))}</f>
        <v>SUBCLASSABILITY1-L09PTS</v>
      </c>
      <c r="Q1401" s="76"/>
      <c r="R1401" s="76" t="str">
        <f t="array" ref="R1401:R1402">{"SUBCLASSABILITY1-L11PTS";((INDEX(ALLCLASSDATA,MATCH("SubclassAbility1-L11",CLASSFEATUREHEADERS,0),MATCH(($A1402 &amp; "Points"),CLASSNAMEHEADERS,0))))}</f>
        <v>SUBCLASSABILITY1-L11PTS</v>
      </c>
      <c r="S1401" s="76"/>
      <c r="T1401" s="76" t="str">
        <f t="array" ref="T1401:T1402">{"SUBCLASSABILITY1-L13PTS";((INDEX(ALLCLASSDATA,MATCH("SubclassAbility1-L13",CLASSFEATUREHEADERS,0),MATCH(($A1402 &amp; "Points"),CLASSNAMEHEADERS,0))))}</f>
        <v>SUBCLASSABILITY1-L13PTS</v>
      </c>
      <c r="U1401" s="76"/>
      <c r="V1401" s="76" t="str">
        <f t="array" ref="V1401:V1402">{"SUBCLASSABILITY1-L15PTS";((INDEX(ALLCLASSDATA,MATCH("SubclassAbility1-L15",CLASSFEATUREHEADERS,0),MATCH(($A1402 &amp; "Points"),CLASSNAMEHEADERS,0))))}</f>
        <v>SUBCLASSABILITY1-L15PTS</v>
      </c>
      <c r="W1401" s="76"/>
      <c r="X1401" s="76" t="str">
        <f t="array" ref="X1401:X1402">{"SUBCLASSABILITY1-L17PTS";((INDEX(ALLCLASSDATA,MATCH("SubclassAbility1-L17",CLASSFEATUREHEADERS,0),MATCH(($A1402 &amp; "Points"),CLASSNAMEHEADERS,0))))}</f>
        <v>SUBCLASSABILITY1-L17PTS</v>
      </c>
      <c r="Y1401" s="76"/>
      <c r="Z1401" s="76" t="str">
        <f t="array" ref="Z1401:Z1402">{"SUBCLASSABILITY1-L19PTS";((INDEX(ALLCLASSDATA,MATCH("SubclassAbility1-L19",CLASSFEATUREHEADERS,0),MATCH(($A1402 &amp; "Points"),CLASSNAMEHEADERS,0))))}</f>
        <v>SUBCLASSABILITY1-L19PTS</v>
      </c>
      <c r="AA1401" s="76"/>
      <c r="AB1401" s="76"/>
      <c r="AC1401" s="76" t="str">
        <f t="array" ref="AC1401:AC1402">{"SUBCLASSABILITY1 TOTAL";(sum(G1402:AA1402))}</f>
        <v>SUBCLASSABILITY1 TOTAL</v>
      </c>
    </row>
    <row r="1402">
      <c r="A1402" s="48" t="s">
        <v>219</v>
      </c>
      <c r="B1402" s="48"/>
      <c r="C1402" s="48" t="s">
        <v>418</v>
      </c>
      <c r="D1402" s="48" t="s">
        <v>930</v>
      </c>
      <c r="E1402" s="28" t="s">
        <v>1355</v>
      </c>
      <c r="F1402" s="5"/>
      <c r="G1402" s="47"/>
      <c r="H1402" s="5"/>
      <c r="I1402" s="5"/>
      <c r="J1402" s="5"/>
      <c r="K1402" s="5"/>
      <c r="L1402" s="5"/>
      <c r="M1402" s="5"/>
      <c r="N1402" s="5"/>
      <c r="O1402" s="5"/>
      <c r="P1402" s="5"/>
      <c r="Q1402" s="5"/>
      <c r="R1402" s="5"/>
      <c r="S1402" s="5"/>
      <c r="T1402" s="5"/>
      <c r="U1402" s="5"/>
      <c r="V1402" s="5"/>
      <c r="W1402" s="5"/>
      <c r="X1402" s="5"/>
      <c r="Y1402" s="5"/>
      <c r="Z1402" s="5"/>
      <c r="AA1402" s="5"/>
      <c r="AB1402" s="5"/>
      <c r="AC1402" s="47">
        <v>0.0</v>
      </c>
    </row>
    <row r="1403" hidden="1">
      <c r="A1403" s="76" t="str">
        <f t="array" ref="A1403:A1404">{"FormulaRow18";(INDEX(CLASSLIST,A1368,1))}</f>
        <v>FormulaRow18</v>
      </c>
      <c r="B1403" s="77" t="s">
        <v>236</v>
      </c>
      <c r="C1403" s="76" t="str">
        <f t="array" ref="C1403:C1404">{"CLASSTYPE";((INDEX(ALLCLASSDATA,MATCH("ClassType",CLASSFEATUREHEADERS,0),MATCH($A1404,CLASSNAMEHEADERS,0))))}</f>
        <v>CLASSTYPE</v>
      </c>
      <c r="D1403" s="76" t="str">
        <f t="array" ref="D1403:D1404">{"CLASSABILITY";"ClassAbility"}</f>
        <v>CLASSABILITY</v>
      </c>
      <c r="E1403" s="76" t="str">
        <f t="array" ref="E1403:E1404">{"SUBCLASSABILITY2";"SubclassAbility2"}</f>
        <v>SUBCLASSABILITY2</v>
      </c>
      <c r="F1403" s="76"/>
      <c r="G1403" s="76"/>
      <c r="H1403" s="76"/>
      <c r="I1403" s="76"/>
      <c r="J1403" s="76" t="str">
        <f t="array" ref="J1403:J1404">{"SUBCLASSABILITY2-L03";((INDEX(ALLCLASSDATA,MATCH("SubclassAbility2-L03",CLASSFEATUREHEADERS,0),MATCH(($A1404),CLASSNAMEHEADERS,0))))}</f>
        <v>SUBCLASSABILITY2-L03</v>
      </c>
      <c r="K1403" s="76"/>
      <c r="L1403" s="76" t="str">
        <f t="array" ref="L1403:L1404">{"SUBCLASSABILITY2-L05";((INDEX(ALLCLASSDATA,MATCH("SubclassAbility2-L05",CLASSFEATUREHEADERS,0),MATCH(($A1404),CLASSNAMEHEADERS,0))))}</f>
        <v>SUBCLASSABILITY2-L05</v>
      </c>
      <c r="M1403" s="76"/>
      <c r="N1403" s="76" t="str">
        <f t="array" ref="N1403:N1404">{"SUBCLASSABILITY2-L07";((INDEX(ALLCLASSDATA,MATCH("SubclassAbility2-L07",CLASSFEATUREHEADERS,0),MATCH(($A1404),CLASSNAMEHEADERS,0))))}</f>
        <v>SUBCLASSABILITY2-L07</v>
      </c>
      <c r="O1403" s="76"/>
      <c r="P1403" s="76" t="str">
        <f t="array" ref="P1403:P1404">{"SUBCLASSABILITY2-L09";((INDEX(ALLCLASSDATA,MATCH("SubclassAbility2-L09",CLASSFEATUREHEADERS,0),MATCH(($A1404),CLASSNAMEHEADERS,0))))}</f>
        <v>SUBCLASSABILITY2-L09</v>
      </c>
      <c r="Q1403" s="76"/>
      <c r="R1403" s="76" t="str">
        <f t="array" ref="R1403:R1404">{"SUBCLASSABILITY2-L11";((INDEX(ALLCLASSDATA,MATCH("SubclassAbility2-L11",CLASSFEATUREHEADERS,0),MATCH(($A1404),CLASSNAMEHEADERS,0))))}</f>
        <v>SUBCLASSABILITY2-L11</v>
      </c>
      <c r="S1403" s="76"/>
      <c r="T1403" s="76" t="str">
        <f t="array" ref="T1403:T1404">{"SUBCLASSABILITY2-L13";((INDEX(ALLCLASSDATA,MATCH("SubclassAbility2-L13",CLASSFEATUREHEADERS,0),MATCH(($A1404),CLASSNAMEHEADERS,0))))}</f>
        <v>SUBCLASSABILITY2-L13</v>
      </c>
      <c r="U1403" s="76"/>
      <c r="V1403" s="76" t="str">
        <f t="array" ref="V1403:V1404">{"SUBCLASSABILITY2-L15";((INDEX(ALLCLASSDATA,MATCH("SubclassAbility2-L15",CLASSFEATUREHEADERS,0),MATCH(($A1404),CLASSNAMEHEADERS,0))))}</f>
        <v>SUBCLASSABILITY2-L15</v>
      </c>
      <c r="W1403" s="76"/>
      <c r="X1403" s="76" t="str">
        <f t="array" ref="X1403:X1404">{"SUBCLASSABILITY2-L17";((INDEX(ALLCLASSDATA,MATCH("SubclassAbility2-L17",CLASSFEATUREHEADERS,0),MATCH(($A1404),CLASSNAMEHEADERS,0))))}</f>
        <v>SUBCLASSABILITY2-L17</v>
      </c>
      <c r="Y1403" s="76"/>
      <c r="Z1403" s="76" t="str">
        <f t="array" ref="Z1403:Z1404">{"SUBCLASSABILITY2-L19";((INDEX(ALLCLASSDATA,MATCH("SubclassAbility2-L19",CLASSFEATUREHEADERS,0),MATCH(($A1404),CLASSNAMEHEADERS,0))))}</f>
        <v>SUBCLASSABILITY2-L19</v>
      </c>
      <c r="AA1403" s="76"/>
      <c r="AB1403" s="76"/>
      <c r="AC1403" s="76"/>
    </row>
    <row r="1404">
      <c r="A1404" s="48" t="s">
        <v>219</v>
      </c>
      <c r="B1404" s="48"/>
      <c r="C1404" s="48" t="s">
        <v>418</v>
      </c>
      <c r="D1404" s="48" t="s">
        <v>825</v>
      </c>
      <c r="E1404" s="28" t="s">
        <v>1370</v>
      </c>
      <c r="F1404" s="5"/>
      <c r="G1404" s="47"/>
      <c r="H1404" s="5"/>
      <c r="I1404" s="5"/>
      <c r="J1404" s="5"/>
      <c r="K1404" s="5"/>
      <c r="L1404" s="5"/>
      <c r="M1404" s="5"/>
      <c r="N1404" s="5"/>
      <c r="O1404" s="5"/>
      <c r="P1404" s="5"/>
      <c r="Q1404" s="5"/>
      <c r="R1404" s="5"/>
      <c r="S1404" s="5"/>
      <c r="T1404" s="5"/>
      <c r="U1404" s="5"/>
      <c r="V1404" s="5"/>
      <c r="W1404" s="5"/>
      <c r="X1404" s="5"/>
      <c r="Y1404" s="5"/>
      <c r="Z1404" s="5"/>
      <c r="AA1404" s="5"/>
      <c r="AB1404" s="5"/>
      <c r="AC1404" s="47"/>
    </row>
    <row r="1405" hidden="1">
      <c r="A1405" s="76" t="str">
        <f t="array" ref="A1405:A1406">{"FormulaRow19";(INDEX(CLASSLIST,A1368,1))}</f>
        <v>FormulaRow19</v>
      </c>
      <c r="B1405" s="77" t="s">
        <v>236</v>
      </c>
      <c r="C1405" s="76" t="str">
        <f t="array" ref="C1405:C1406">{"CLASSTYPE";((INDEX(ALLCLASSDATA,MATCH("ClassType",CLASSFEATUREHEADERS,0),MATCH($A1406,CLASSNAMEHEADERS,0))))}</f>
        <v>CLASSTYPE</v>
      </c>
      <c r="D1405" s="76" t="str">
        <f t="array" ref="D1405:D1406">{"CLASSABILITYPTS";"ClassAbilityPts"}</f>
        <v>CLASSABILITYPTS</v>
      </c>
      <c r="E1405" s="76" t="str">
        <f t="array" ref="E1405:E1406">{"SUBCLASSABILITY2";"SubclassAbility2"}</f>
        <v>SUBCLASSABILITY2</v>
      </c>
      <c r="F1405" s="76"/>
      <c r="G1405" s="76"/>
      <c r="H1405" s="76"/>
      <c r="I1405" s="76"/>
      <c r="J1405" s="76" t="str">
        <f t="array" ref="J1405:J1406">{"SUBCLASSABILITY2-L03PTS";((INDEX(ALLCLASSDATA,MATCH("SubclassAbility2-L03",CLASSFEATUREHEADERS,0),MATCH(($A1406 &amp; "Points"),CLASSNAMEHEADERS,0))))}</f>
        <v>SUBCLASSABILITY2-L03PTS</v>
      </c>
      <c r="K1405" s="76"/>
      <c r="L1405" s="76" t="str">
        <f t="array" ref="L1405:L1406">{"SUBCLASSABILITY2-L05PTS";((INDEX(ALLCLASSDATA,MATCH("SubclassAbility2-L05",CLASSFEATUREHEADERS,0),MATCH(($A1406 &amp; "Points"),CLASSNAMEHEADERS,0))))}</f>
        <v>SUBCLASSABILITY2-L05PTS</v>
      </c>
      <c r="M1405" s="76"/>
      <c r="N1405" s="76" t="str">
        <f t="array" ref="N1405:N1406">{"SUBCLASSABILITY2-L07PTS";((INDEX(ALLCLASSDATA,MATCH("SubclassAbility2-L07",CLASSFEATUREHEADERS,0),MATCH(($A1406 &amp; "Points"),CLASSNAMEHEADERS,0))))}</f>
        <v>SUBCLASSABILITY2-L07PTS</v>
      </c>
      <c r="O1405" s="76"/>
      <c r="P1405" s="76" t="str">
        <f t="array" ref="P1405:P1406">{"SUBCLASSABILITY2-L09PTS";((INDEX(ALLCLASSDATA,MATCH("SubclassAbility2-L09",CLASSFEATUREHEADERS,0),MATCH(($A1406 &amp; "Points"),CLASSNAMEHEADERS,0))))}</f>
        <v>SUBCLASSABILITY2-L09PTS</v>
      </c>
      <c r="Q1405" s="76"/>
      <c r="R1405" s="76" t="str">
        <f t="array" ref="R1405:R1406">{"SUBCLASSABILITY2-L11PTS";((INDEX(ALLCLASSDATA,MATCH("SubclassAbility2-L11",CLASSFEATUREHEADERS,0),MATCH(($A1406 &amp; "Points"),CLASSNAMEHEADERS,0))))}</f>
        <v>SUBCLASSABILITY2-L11PTS</v>
      </c>
      <c r="S1405" s="76"/>
      <c r="T1405" s="76" t="str">
        <f t="array" ref="T1405:T1406">{"SUBCLASSABILITY2-L13PTS";((INDEX(ALLCLASSDATA,MATCH("SubclassAbility2-L13",CLASSFEATUREHEADERS,0),MATCH(($A1406 &amp; "Points"),CLASSNAMEHEADERS,0))))}</f>
        <v>SUBCLASSABILITY2-L13PTS</v>
      </c>
      <c r="U1405" s="76"/>
      <c r="V1405" s="76" t="str">
        <f t="array" ref="V1405:V1406">{"SUBCLASSABILITY2-L15PTS";((INDEX(ALLCLASSDATA,MATCH("SubclassAbility2-L15",CLASSFEATUREHEADERS,0),MATCH(($A1406 &amp; "Points"),CLASSNAMEHEADERS,0))))}</f>
        <v>SUBCLASSABILITY2-L15PTS</v>
      </c>
      <c r="W1405" s="76"/>
      <c r="X1405" s="76" t="str">
        <f t="array" ref="X1405:X1406">{"SUBCLASSABILITY2-L17PTS";((INDEX(ALLCLASSDATA,MATCH("SubclassAbility2-L17",CLASSFEATUREHEADERS,0),MATCH(($A1406 &amp; "Points"),CLASSNAMEHEADERS,0))))}</f>
        <v>SUBCLASSABILITY2-L17PTS</v>
      </c>
      <c r="Y1405" s="76"/>
      <c r="Z1405" s="76" t="str">
        <f t="array" ref="Z1405:Z1406">{"SUBCLASSABILITY2-L19PTS";((INDEX(ALLCLASSDATA,MATCH("SubclassAbility2-L19",CLASSFEATUREHEADERS,0),MATCH(($A1406 &amp; "Points"),CLASSNAMEHEADERS,0))))}</f>
        <v>SUBCLASSABILITY2-L19PTS</v>
      </c>
      <c r="AA1405" s="76"/>
      <c r="AB1405" s="76"/>
      <c r="AC1405" s="76" t="str">
        <f t="array" ref="AC1405:AC1406">{"SUBCLASSABILITY2 TOTAL";(sum(G1406:AA1406))}</f>
        <v>SUBCLASSABILITY2 TOTAL</v>
      </c>
    </row>
    <row r="1406">
      <c r="A1406" s="48" t="s">
        <v>219</v>
      </c>
      <c r="B1406" s="48"/>
      <c r="C1406" s="48" t="s">
        <v>418</v>
      </c>
      <c r="D1406" s="97" t="s">
        <v>930</v>
      </c>
      <c r="E1406" s="215" t="s">
        <v>1370</v>
      </c>
      <c r="F1406" s="98"/>
      <c r="G1406" s="132"/>
      <c r="H1406" s="98"/>
      <c r="I1406" s="98"/>
      <c r="J1406" s="98"/>
      <c r="K1406" s="98"/>
      <c r="L1406" s="98"/>
      <c r="M1406" s="98"/>
      <c r="N1406" s="98"/>
      <c r="O1406" s="98"/>
      <c r="P1406" s="98"/>
      <c r="Q1406" s="98"/>
      <c r="R1406" s="98"/>
      <c r="S1406" s="98"/>
      <c r="T1406" s="98"/>
      <c r="U1406" s="98"/>
      <c r="V1406" s="98"/>
      <c r="W1406" s="98"/>
      <c r="X1406" s="98"/>
      <c r="Y1406" s="98"/>
      <c r="Z1406" s="98"/>
      <c r="AA1406" s="98"/>
      <c r="AB1406" s="5"/>
      <c r="AC1406" s="47">
        <v>0.0</v>
      </c>
    </row>
    <row r="1407" hidden="1">
      <c r="A1407" s="76" t="str">
        <f t="array" ref="A1407:A1408">{"FormulaRow20";(INDEX(CLASSLIST,A1368,1))}</f>
        <v>FormulaRow20</v>
      </c>
      <c r="B1407" s="77" t="s">
        <v>236</v>
      </c>
      <c r="C1407" s="76" t="str">
        <f t="array" ref="C1407:C1408">{"CLASSTYPE";((INDEX(ALLCLASSDATA,MATCH("ClassType",CLASSFEATUREHEADERS,0),MATCH($A1408,CLASSNAMEHEADERS,0))))}</f>
        <v>CLASSTYPE</v>
      </c>
      <c r="D1407" s="81" t="str">
        <f t="array" ref="D1407:D1408">{"DC";"DC"}</f>
        <v>DC</v>
      </c>
      <c r="E1407" s="81" t="str">
        <f t="array" ref="E1407:E1408">{"CLASSDC";"ClassDC"}</f>
        <v>CLASSDC</v>
      </c>
      <c r="F1407" s="81" t="str">
        <f t="array" ref="F1407:F1408">{"CLASSDCINITIAL";((IF(H1408=10,"T",(IF(H1408=50,"E","")))))}</f>
        <v>CLASSDCINITIAL</v>
      </c>
      <c r="G1407" s="81" t="str">
        <f t="array" ref="G1407:G1408">{"CLASSDCINITIALPTS";((IF("00"=(INDEX(ALLCLASSDATA,MATCH("ClassDCLegendary",CLASSFEATUREHEADERS,0),MATCH($A1408,CLASSNAMEHEADERS,0))),(INDEX(ALLCLASSDATA,MATCH("ClassDCLegendary",CLASSFEATUREHEADERS,0),MATCH(($A1408 &amp; "Points"),CLASSNAMEHEADERS,0))),(IF("00"=(INDEX(ALLCLASSDATA,MATCH("ClassDCMaster",CLASSFEATUREHEADERS,0),MATCH($A1408,CLASSNAMEHEADERS,0))),(INDEX(ALLCLASSDATA,MATCH("ClassDCMaster",CLASSFEATUREHEADERS,0),MATCH(($A1408 &amp; "Points"),CLASSNAMEHEADERS,0))),(IF("00"=(INDEX(ALLCLASSDATA,MATCH("ClassDCExpert",CLASSFEATUREHEADERS,0),MATCH($A1408,CLASSNAMEHEADERS,0))),(INDEX(ALLCLASSDATA,MATCH("ClassDCExpert",CLASSFEATUREHEADERS,0),MATCH(($A1408 &amp; "Points"),CLASSNAMEHEADERS,0))),(IF("00"=(INDEX(ALLCLASSDATA,MATCH("ClassDCTrained",CLASSFEATUREHEADERS,0),MATCH($A1408,CLASSNAMEHEADERS,0))),(INDEX(ALLCLASSDATA,MATCH("ClassDCTrained",CLASSFEATUREHEADERS,0),MATCH(($A1408 &amp; "Points"),CLASSNAMEHEADERS,0))),"")))))))))}</f>
        <v>CLASSDCINITIALPTS</v>
      </c>
      <c r="H1407" s="81" t="str">
        <f t="array" ref="H1407:H1408">{"CLASSDCL01";((IF("01"=(INDEX(ALLCLASSDATA,MATCH("ClassDCLegendary",CLASSFEATUREHEADERS,0),MATCH($A1408,CLASSNAMEHEADERS,0))),(INDEX(ALLCLASSDATA,MATCH("ClassDCLegendary",CLASSFEATUREHEADERS,0),MATCH(($A1408 &amp; "Points"),CLASSNAMEHEADERS,0))),(IF("01"=(INDEX(ALLCLASSDATA,MATCH("ClassDCMaster",CLASSFEATUREHEADERS,0),MATCH($A1408,CLASSNAMEHEADERS,0))),(INDEX(ALLCLASSDATA,MATCH("ClassDCMaster",CLASSFEATUREHEADERS,0),MATCH(($A1408 &amp; "Points"),CLASSNAMEHEADERS,0))),(IF("01"=(INDEX(ALLCLASSDATA,MATCH("ClassDCExpert",CLASSFEATUREHEADERS,0),MATCH($A1408,CLASSNAMEHEADERS,0))),(INDEX(ALLCLASSDATA,MATCH("ClassDCExpert",CLASSFEATUREHEADERS,0),MATCH(($A1408 &amp; "Points"),CLASSNAMEHEADERS,0))),(IF("01"=(INDEX(ALLCLASSDATA,MATCH("ClassDCTrained",CLASSFEATUREHEADERS,0),MATCH($A1408,CLASSNAMEHEADERS,0))),(INDEX(ALLCLASSDATA,MATCH("ClassDCTrained",CLASSFEATUREHEADERS,0),MATCH(($A1408 &amp; "Points"),CLASSNAMEHEADERS,0))),"")))))))))}</f>
        <v>CLASSDCL01</v>
      </c>
      <c r="I1407" s="81"/>
      <c r="J1407" s="81" t="str">
        <f t="array" ref="J1407:J1408">{"CLASSDCL03";((IF("03"=(INDEX(ALLCLASSDATA,MATCH("ClassDCLegendary",CLASSFEATUREHEADERS,0),MATCH($A1408,CLASSNAMEHEADERS,0))),(INDEX(ALLCLASSDATA,MATCH("ClassDCLegendary",CLASSFEATUREHEADERS,0),MATCH(($A1408 &amp; "Points"),CLASSNAMEHEADERS,0))),(IF("03"=(INDEX(ALLCLASSDATA,MATCH("ClassDCMaster",CLASSFEATUREHEADERS,0),MATCH($A1408,CLASSNAMEHEADERS,0))),(INDEX(ALLCLASSDATA,MATCH("ClassDCMaster",CLASSFEATUREHEADERS,0),MATCH(($A1408 &amp; "Points"),CLASSNAMEHEADERS,0))),(IF("03"=(INDEX(ALLCLASSDATA,MATCH("ClassDCExpert",CLASSFEATUREHEADERS,0),MATCH($A1408,CLASSNAMEHEADERS,0))),(INDEX(ALLCLASSDATA,MATCH("ClassDCExpert",CLASSFEATUREHEADERS,0),MATCH(($A1408 &amp; "Points"),CLASSNAMEHEADERS,0))),(IF("03"=(INDEX(ALLCLASSDATA,MATCH("ClassDCTrained",CLASSFEATUREHEADERS,0),MATCH($A1408,CLASSNAMEHEADERS,0))),(INDEX(ALLCLASSDATA,MATCH("ClassDCTrained",CLASSFEATUREHEADERS,0),MATCH(($A1408 &amp; "Points"),CLASSNAMEHEADERS,0))),"")))))))))}</f>
        <v>CLASSDCL03</v>
      </c>
      <c r="K1407" s="81"/>
      <c r="L1407" s="81" t="str">
        <f t="array" ref="L1407:L1408">{"CLASSDCL05";((IF("05"=(INDEX(ALLCLASSDATA,MATCH("ClassDCLegendary",CLASSFEATUREHEADERS,0),MATCH($A1408,CLASSNAMEHEADERS,0))),(INDEX(ALLCLASSDATA,MATCH("ClassDCLegendary",CLASSFEATUREHEADERS,0),MATCH(($A1408 &amp; "Points"),CLASSNAMEHEADERS,0))),(IF("05"=(INDEX(ALLCLASSDATA,MATCH("ClassDCMaster",CLASSFEATUREHEADERS,0),MATCH($A1408,CLASSNAMEHEADERS,0))),(INDEX(ALLCLASSDATA,MATCH("ClassDCMaster",CLASSFEATUREHEADERS,0),MATCH(($A1408 &amp; "Points"),CLASSNAMEHEADERS,0))),(IF("05"=(INDEX(ALLCLASSDATA,MATCH("ClassDCExpert",CLASSFEATUREHEADERS,0),MATCH($A1408,CLASSNAMEHEADERS,0))),(INDEX(ALLCLASSDATA,MATCH("ClassDCExpert",CLASSFEATUREHEADERS,0),MATCH(($A1408 &amp; "Points"),CLASSNAMEHEADERS,0))),(IF("05"=(INDEX(ALLCLASSDATA,MATCH("ClassDCTrained",CLASSFEATUREHEADERS,0),MATCH($A1408,CLASSNAMEHEADERS,0))),(INDEX(ALLCLASSDATA,MATCH("ClassDCTrained",CLASSFEATUREHEADERS,0),MATCH(($A1408 &amp; "Points"),CLASSNAMEHEADERS,0))),"")))))))))}</f>
        <v>CLASSDCL05</v>
      </c>
      <c r="M1407" s="81"/>
      <c r="N1407" s="81" t="str">
        <f t="array" ref="N1407:N1408">{"CLASSDCL07";((IF("07"=(INDEX(ALLCLASSDATA,MATCH("ClassDCLegendary",CLASSFEATUREHEADERS,0),MATCH($A1408,CLASSNAMEHEADERS,0))),(INDEX(ALLCLASSDATA,MATCH("ClassDCLegendary",CLASSFEATUREHEADERS,0),MATCH(($A1408 &amp; "Points"),CLASSNAMEHEADERS,0))),(IF("07"=(INDEX(ALLCLASSDATA,MATCH("ClassDCMaster",CLASSFEATUREHEADERS,0),MATCH($A1408,CLASSNAMEHEADERS,0))),(INDEX(ALLCLASSDATA,MATCH("ClassDCMaster",CLASSFEATUREHEADERS,0),MATCH(($A1408 &amp; "Points"),CLASSNAMEHEADERS,0))),(IF("07"=(INDEX(ALLCLASSDATA,MATCH("ClassDCExpert",CLASSFEATUREHEADERS,0),MATCH($A1408,CLASSNAMEHEADERS,0))),(INDEX(ALLCLASSDATA,MATCH("ClassDCExpert",CLASSFEATUREHEADERS,0),MATCH(($A1408 &amp; "Points"),CLASSNAMEHEADERS,0))),(IF("07"=(INDEX(ALLCLASSDATA,MATCH("ClassDCTrained",CLASSFEATUREHEADERS,0),MATCH($A1408,CLASSNAMEHEADERS,0))),(INDEX(ALLCLASSDATA,MATCH("ClassDCTrained",CLASSFEATUREHEADERS,0),MATCH(($A1408 &amp; "Points"),CLASSNAMEHEADERS,0))),"")))))))))}</f>
        <v>CLASSDCL07</v>
      </c>
      <c r="O1407" s="81"/>
      <c r="P1407" s="81" t="str">
        <f t="array" ref="P1407:P1408">{"CLASSDCL09";((IF("09"=(INDEX(ALLCLASSDATA,MATCH("ClassDCLegendary",CLASSFEATUREHEADERS,0),MATCH($A1408,CLASSNAMEHEADERS,0))),(INDEX(ALLCLASSDATA,MATCH("ClassDCLegendary",CLASSFEATUREHEADERS,0),MATCH(($A1408 &amp; "Points"),CLASSNAMEHEADERS,0))),(IF("09"=(INDEX(ALLCLASSDATA,MATCH("ClassDCMaster",CLASSFEATUREHEADERS,0),MATCH($A1408,CLASSNAMEHEADERS,0))),(INDEX(ALLCLASSDATA,MATCH("ClassDCMaster",CLASSFEATUREHEADERS,0),MATCH(($A1408 &amp; "Points"),CLASSNAMEHEADERS,0))),(IF("09"=(INDEX(ALLCLASSDATA,MATCH("ClassDCExpert",CLASSFEATUREHEADERS,0),MATCH($A1408,CLASSNAMEHEADERS,0))),(INDEX(ALLCLASSDATA,MATCH("ClassDCExpert",CLASSFEATUREHEADERS,0),MATCH(($A1408 &amp; "Points"),CLASSNAMEHEADERS,0))),(IF("09"=(INDEX(ALLCLASSDATA,MATCH("ClassDCTrained",CLASSFEATUREHEADERS,0),MATCH($A1408,CLASSNAMEHEADERS,0))),(INDEX(ALLCLASSDATA,MATCH("ClassDCTrained",CLASSFEATUREHEADERS,0),MATCH(($A1408 &amp; "Points"),CLASSNAMEHEADERS,0))),"")))))))))}</f>
        <v>CLASSDCL09</v>
      </c>
      <c r="Q1407" s="81"/>
      <c r="R1407" s="81" t="str">
        <f t="array" ref="R1407:R1408">{"CLASSDCL11";((IF("11"=(INDEX(ALLCLASSDATA,MATCH("ClassDCLegendary",CLASSFEATUREHEADERS,0),MATCH($A1408,CLASSNAMEHEADERS,0))),(INDEX(ALLCLASSDATA,MATCH("ClassDCLegendary",CLASSFEATUREHEADERS,0),MATCH(($A1408 &amp; "Points"),CLASSNAMEHEADERS,0))),(IF("11"=(INDEX(ALLCLASSDATA,MATCH("ClassDCMaster",CLASSFEATUREHEADERS,0),MATCH($A1408,CLASSNAMEHEADERS,0))),(INDEX(ALLCLASSDATA,MATCH("ClassDCMaster",CLASSFEATUREHEADERS,0),MATCH(($A1408 &amp; "Points"),CLASSNAMEHEADERS,0))),(IF("11"=(INDEX(ALLCLASSDATA,MATCH("ClassDCExpert",CLASSFEATUREHEADERS,0),MATCH($A1408,CLASSNAMEHEADERS,0))),(INDEX(ALLCLASSDATA,MATCH("ClassDCExpert",CLASSFEATUREHEADERS,0),MATCH(($A1408 &amp; "Points"),CLASSNAMEHEADERS,0))),(IF("11"=(INDEX(ALLCLASSDATA,MATCH("ClassDCTrained",CLASSFEATUREHEADERS,0),MATCH($A1408,CLASSNAMEHEADERS,0))),(INDEX(ALLCLASSDATA,MATCH("ClassDCTrained",CLASSFEATUREHEADERS,0),MATCH(($A1408 &amp; "Points"),CLASSNAMEHEADERS,0))),"")))))))))}</f>
        <v>CLASSDCL11</v>
      </c>
      <c r="S1407" s="81"/>
      <c r="T1407" s="81" t="str">
        <f t="array" ref="T1407:T1408">{"CLASSDCL13";((IF("13"=(INDEX(ALLCLASSDATA,MATCH("ClassDCLegendary",CLASSFEATUREHEADERS,0),MATCH($A1408,CLASSNAMEHEADERS,0))),(INDEX(ALLCLASSDATA,MATCH("ClassDCLegendary",CLASSFEATUREHEADERS,0),MATCH(($A1408 &amp; "Points"),CLASSNAMEHEADERS,0))),(IF("13"=(INDEX(ALLCLASSDATA,MATCH("ClassDCMaster",CLASSFEATUREHEADERS,0),MATCH($A1408,CLASSNAMEHEADERS,0))),(INDEX(ALLCLASSDATA,MATCH("ClassDCMaster",CLASSFEATUREHEADERS,0),MATCH(($A1408 &amp; "Points"),CLASSNAMEHEADERS,0))),(IF("13"=(INDEX(ALLCLASSDATA,MATCH("ClassDCExpert",CLASSFEATUREHEADERS,0),MATCH($A1408,CLASSNAMEHEADERS,0))),(INDEX(ALLCLASSDATA,MATCH("ClassDCExpert",CLASSFEATUREHEADERS,0),MATCH(($A1408 &amp; "Points"),CLASSNAMEHEADERS,0))),(IF("13"=(INDEX(ALLCLASSDATA,MATCH("ClassDCTrained",CLASSFEATUREHEADERS,0),MATCH($A1408,CLASSNAMEHEADERS,0))),(INDEX(ALLCLASSDATA,MATCH("ClassDCTrained",CLASSFEATUREHEADERS,0),MATCH(($A1408 &amp; "Points"),CLASSNAMEHEADERS,0))),"")))))))))}</f>
        <v>CLASSDCL13</v>
      </c>
      <c r="U1407" s="81"/>
      <c r="V1407" s="81" t="str">
        <f t="array" ref="V1407:V1408">{"CLASSDCL15";((IF("15"=(INDEX(ALLCLASSDATA,MATCH("ClassDCLegendary",CLASSFEATUREHEADERS,0),MATCH($A1408,CLASSNAMEHEADERS,0))),(INDEX(ALLCLASSDATA,MATCH("ClassDCLegendary",CLASSFEATUREHEADERS,0),MATCH(($A1408 &amp; "Points"),CLASSNAMEHEADERS,0))),(IF("15"=(INDEX(ALLCLASSDATA,MATCH("ClassDCMaster",CLASSFEATUREHEADERS,0),MATCH($A1408,CLASSNAMEHEADERS,0))),(INDEX(ALLCLASSDATA,MATCH("ClassDCMaster",CLASSFEATUREHEADERS,0),MATCH(($A1408 &amp; "Points"),CLASSNAMEHEADERS,0))),(IF("15"=(INDEX(ALLCLASSDATA,MATCH("ClassDCExpert",CLASSFEATUREHEADERS,0),MATCH($A1408,CLASSNAMEHEADERS,0))),(INDEX(ALLCLASSDATA,MATCH("ClassDCExpert",CLASSFEATUREHEADERS,0),MATCH(($A1408 &amp; "Points"),CLASSNAMEHEADERS,0))),(IF("15"=(INDEX(ALLCLASSDATA,MATCH("ClassDCTrained",CLASSFEATUREHEADERS,0),MATCH($A1408,CLASSNAMEHEADERS,0))),(INDEX(ALLCLASSDATA,MATCH("ClassDCTrained",CLASSFEATUREHEADERS,0),MATCH(($A1408 &amp; "Points"),CLASSNAMEHEADERS,0))),"")))))))))}</f>
        <v>CLASSDCL15</v>
      </c>
      <c r="W1407" s="81"/>
      <c r="X1407" s="81" t="str">
        <f t="array" ref="X1407:X1408">{"CLASSDCL17";((IF("17"=(INDEX(ALLCLASSDATA,MATCH("ClassDCLegendary",CLASSFEATUREHEADERS,0),MATCH($A1408,CLASSNAMEHEADERS,0))),(INDEX(ALLCLASSDATA,MATCH("ClassDCLegendary",CLASSFEATUREHEADERS,0),MATCH(($A1408 &amp; "Points"),CLASSNAMEHEADERS,0))),(IF("17"=(INDEX(ALLCLASSDATA,MATCH("ClassDCMaster",CLASSFEATUREHEADERS,0),MATCH($A1408,CLASSNAMEHEADERS,0))),(INDEX(ALLCLASSDATA,MATCH("ClassDCMaster",CLASSFEATUREHEADERS,0),MATCH(($A1408 &amp; "Points"),CLASSNAMEHEADERS,0))),(IF("17"=(INDEX(ALLCLASSDATA,MATCH("ClassDCExpert",CLASSFEATUREHEADERS,0),MATCH($A1408,CLASSNAMEHEADERS,0))),(INDEX(ALLCLASSDATA,MATCH("ClassDCExpert",CLASSFEATUREHEADERS,0),MATCH(($A1408 &amp; "Points"),CLASSNAMEHEADERS,0))),(IF("17"=(INDEX(ALLCLASSDATA,MATCH("ClassDCTrained",CLASSFEATUREHEADERS,0),MATCH($A1408,CLASSNAMEHEADERS,0))),(INDEX(ALLCLASSDATA,MATCH("ClassDCTrained",CLASSFEATUREHEADERS,0),MATCH(($A1408 &amp; "Points"),CLASSNAMEHEADERS,0))),"")))))))))}</f>
        <v>CLASSDCL17</v>
      </c>
      <c r="Y1407" s="81"/>
      <c r="Z1407" s="81" t="str">
        <f t="array" ref="Z1407:Z1408">{"CLASSDCL19";((IF("19"=(INDEX(ALLCLASSDATA,MATCH("ClassDCLegendary",CLASSFEATUREHEADERS,0),MATCH($A1408,CLASSNAMEHEADERS,0))),(INDEX(ALLCLASSDATA,MATCH("ClassDCLegendary",CLASSFEATUREHEADERS,0),MATCH(($A1408 &amp; "Points"),CLASSNAMEHEADERS,0))),(IF("19"=(INDEX(ALLCLASSDATA,MATCH("ClassDCMaster",CLASSFEATUREHEADERS,0),MATCH($A1408,CLASSNAMEHEADERS,0))),(INDEX(ALLCLASSDATA,MATCH("ClassDCMaster",CLASSFEATUREHEADERS,0),MATCH(($A1408 &amp; "Points"),CLASSNAMEHEADERS,0))),(IF("19"=(INDEX(ALLCLASSDATA,MATCH("ClassDCExpert",CLASSFEATUREHEADERS,0),MATCH($A1408,CLASSNAMEHEADERS,0))),(INDEX(ALLCLASSDATA,MATCH("ClassDCExpert",CLASSFEATUREHEADERS,0),MATCH(($A1408 &amp; "Points"),CLASSNAMEHEADERS,0))),(IF("19"=(INDEX(ALLCLASSDATA,MATCH("ClassDCTrained",CLASSFEATUREHEADERS,0),MATCH($A1408,CLASSNAMEHEADERS,0))),(INDEX(ALLCLASSDATA,MATCH("ClassDCTrained",CLASSFEATUREHEADERS,0),MATCH(($A1408 &amp; "Points"),CLASSNAMEHEADERS,0))),"")))))))))}</f>
        <v>CLASSDCL19</v>
      </c>
      <c r="AA1407" s="81"/>
      <c r="AB1407" s="76" t="str">
        <f t="array" ref="AB1407:AB1408">{"CLASSDC TOTAL";(IF(COUNTBLANK(G1408:AA1408)=17,"L",(IF(COUNTBLANK(G1408:AA1408)=18,"M",(IF(COUNTBLANK(G1408:AA1408)=19,"E",(IF(COUNTBLANK(G1408:AA1408)=20,"T",""))))))))}</f>
        <v>CLASSDC TOTAL</v>
      </c>
      <c r="AC1407" s="76" t="str">
        <f t="array" ref="AC1407:AC1408">{"CLASSDC TOTAL";(sum(G1408:AA1408))}</f>
        <v>CLASSDC TOTAL</v>
      </c>
    </row>
    <row r="1408">
      <c r="A1408" s="48" t="s">
        <v>219</v>
      </c>
      <c r="B1408" s="48"/>
      <c r="C1408" s="48" t="s">
        <v>418</v>
      </c>
      <c r="D1408" s="48" t="s">
        <v>1465</v>
      </c>
      <c r="E1408" s="48" t="s">
        <v>1466</v>
      </c>
      <c r="F1408" s="5" t="s">
        <v>603</v>
      </c>
      <c r="G1408" s="47" t="s">
        <v>603</v>
      </c>
      <c r="H1408" s="5" t="s">
        <v>603</v>
      </c>
      <c r="I1408" s="5"/>
      <c r="J1408" s="5" t="s">
        <v>603</v>
      </c>
      <c r="K1408" s="5"/>
      <c r="L1408" s="5" t="s">
        <v>603</v>
      </c>
      <c r="M1408" s="5"/>
      <c r="N1408" s="5" t="s">
        <v>603</v>
      </c>
      <c r="O1408" s="5"/>
      <c r="P1408" s="5" t="s">
        <v>603</v>
      </c>
      <c r="Q1408" s="5"/>
      <c r="R1408" s="5" t="s">
        <v>603</v>
      </c>
      <c r="S1408" s="5"/>
      <c r="T1408" s="5" t="s">
        <v>603</v>
      </c>
      <c r="U1408" s="5"/>
      <c r="V1408" s="5" t="s">
        <v>603</v>
      </c>
      <c r="W1408" s="5"/>
      <c r="X1408" s="5" t="s">
        <v>603</v>
      </c>
      <c r="Y1408" s="5"/>
      <c r="Z1408" s="5" t="s">
        <v>603</v>
      </c>
      <c r="AA1408" s="5"/>
      <c r="AB1408" s="5" t="s">
        <v>603</v>
      </c>
      <c r="AC1408" s="47">
        <v>0.0</v>
      </c>
    </row>
    <row r="1409" hidden="1">
      <c r="A1409" s="222" t="str">
        <f t="array" ref="A1409:A1410">{"FormulaRow21";(INDEX(CLASSLIST,A1368,1))}</f>
        <v>FormulaRow21</v>
      </c>
      <c r="B1409" s="77" t="s">
        <v>236</v>
      </c>
      <c r="C1409" s="222" t="str">
        <f t="array" ref="C1409:C1410">{"CLASSTYPE";((INDEX(ALLCLASSDATA,MATCH("ClassType",CLASSFEATUREHEADERS,0),MATCH($A1410,CLASSNAMEHEADERS,0))))}</f>
        <v>CLASSTYPE</v>
      </c>
      <c r="D1409" s="222" t="str">
        <f t="array" ref="D1409:D1410">{"DC";"DC"}</f>
        <v>DC</v>
      </c>
      <c r="E1409" s="222" t="str">
        <f t="array" ref="E1409:E1410">{"SPELLDC";"SpellDC"}</f>
        <v>SPELLDC</v>
      </c>
      <c r="F1409" s="223" t="str">
        <f t="array" ref="F1409:F1410">{"SPELLDCINITIAL";((IF(H1410=10,"T",(IF(H1410=50,"E","")))))}</f>
        <v>SPELLDCINITIAL</v>
      </c>
      <c r="G1409" s="223" t="str">
        <f t="array" ref="G1409:G1410">{"SPELLDCINITIALPTS";((IF("00"=(INDEX(ALLCLASSDATA,MATCH("SpellDCLegendary",CLASSFEATUREHEADERS,0),MATCH($A1410,CLASSNAMEHEADERS,0))),(INDEX(ALLCLASSDATA,MATCH("SpellDCLegendary",CLASSFEATUREHEADERS,0),MATCH(($A1410 &amp; "Points"),CLASSNAMEHEADERS,0))),(IF("00"=(INDEX(ALLCLASSDATA,MATCH("SpellDCMaster",CLASSFEATUREHEADERS,0),MATCH($A1410,CLASSNAMEHEADERS,0))),(INDEX(ALLCLASSDATA,MATCH("SpellDCMaster",CLASSFEATUREHEADERS,0),MATCH(($A1410 &amp; "Points"),CLASSNAMEHEADERS,0))),(IF("00"=(INDEX(ALLCLASSDATA,MATCH("SpellDCExpert",CLASSFEATUREHEADERS,0),MATCH($A1410,CLASSNAMEHEADERS,0))),(INDEX(ALLCLASSDATA,MATCH("SpellDCExpert",CLASSFEATUREHEADERS,0),MATCH(($A1410 &amp; "Points"),CLASSNAMEHEADERS,0))),(IF("00"=(INDEX(ALLCLASSDATA,MATCH("SpellDCTrained",CLASSFEATUREHEADERS,0),MATCH($A1410,CLASSNAMEHEADERS,0))),(INDEX(ALLCLASSDATA,MATCH("SpellDCTrained",CLASSFEATUREHEADERS,0),MATCH(($A1410 &amp; "Points"),CLASSNAMEHEADERS,0))),"")))))))))}</f>
        <v>SPELLDCINITIALPTS</v>
      </c>
      <c r="H1409" s="223" t="str">
        <f t="array" ref="H1409:H1410">{"SPELLDCL01";((IF("01"=(INDEX(ALLCLASSDATA,MATCH("SpellDCLegendary",CLASSFEATUREHEADERS,0),MATCH($A1410,CLASSNAMEHEADERS,0))),(INDEX(ALLCLASSDATA,MATCH("SpellDCLegendary",CLASSFEATUREHEADERS,0),MATCH(($A1410 &amp; "Points"),CLASSNAMEHEADERS,0))),(IF("01"=(INDEX(ALLCLASSDATA,MATCH("SpellDCMaster",CLASSFEATUREHEADERS,0),MATCH($A1410,CLASSNAMEHEADERS,0))),(INDEX(ALLCLASSDATA,MATCH("SpellDCMaster",CLASSFEATUREHEADERS,0),MATCH(($A1410 &amp; "Points"),CLASSNAMEHEADERS,0))),(IF("01"=(INDEX(ALLCLASSDATA,MATCH("SpellDCExpert",CLASSFEATUREHEADERS,0),MATCH($A1410,CLASSNAMEHEADERS,0))),(INDEX(ALLCLASSDATA,MATCH("SpellDCExpert",CLASSFEATUREHEADERS,0),MATCH(($A1410 &amp; "Points"),CLASSNAMEHEADERS,0))),(IF("01"=(INDEX(ALLCLASSDATA,MATCH("SpellDCTrained",CLASSFEATUREHEADERS,0),MATCH($A1410,CLASSNAMEHEADERS,0))),(INDEX(ALLCLASSDATA,MATCH("SpellDCTrained",CLASSFEATUREHEADERS,0),MATCH(($A1410 &amp; "Points"),CLASSNAMEHEADERS,0))),"")))))))))}</f>
        <v>SPELLDCL01</v>
      </c>
      <c r="I1409" s="223"/>
      <c r="J1409" s="223" t="str">
        <f t="array" ref="J1409:J1410">{"SPELLDCL03";((IF("03"=(INDEX(ALLCLASSDATA,MATCH("SpellDCLegendary",CLASSFEATUREHEADERS,0),MATCH($A1410,CLASSNAMEHEADERS,0))),(INDEX(ALLCLASSDATA,MATCH("SpellDCLegendary",CLASSFEATUREHEADERS,0),MATCH(($A1410 &amp; "Points"),CLASSNAMEHEADERS,0))),(IF("03"=(INDEX(ALLCLASSDATA,MATCH("SpellDCMaster",CLASSFEATUREHEADERS,0),MATCH($A1410,CLASSNAMEHEADERS,0))),(INDEX(ALLCLASSDATA,MATCH("SpellDCMaster",CLASSFEATUREHEADERS,0),MATCH(($A1410 &amp; "Points"),CLASSNAMEHEADERS,0))),(IF("03"=(INDEX(ALLCLASSDATA,MATCH("SpellDCExpert",CLASSFEATUREHEADERS,0),MATCH($A1410,CLASSNAMEHEADERS,0))),(INDEX(ALLCLASSDATA,MATCH("SpellDCExpert",CLASSFEATUREHEADERS,0),MATCH(($A1410 &amp; "Points"),CLASSNAMEHEADERS,0))),(IF("03"=(INDEX(ALLCLASSDATA,MATCH("SpellDCTrained",CLASSFEATUREHEADERS,0),MATCH($A1410,CLASSNAMEHEADERS,0))),(INDEX(ALLCLASSDATA,MATCH("SpellDCTrained",CLASSFEATUREHEADERS,0),MATCH(($A1410 &amp; "Points"),CLASSNAMEHEADERS,0))),"")))))))))}</f>
        <v>SPELLDCL03</v>
      </c>
      <c r="K1409" s="223"/>
      <c r="L1409" s="223" t="str">
        <f t="array" ref="L1409:L1410">{"SPELLDCL05";((IF("05"=(INDEX(ALLCLASSDATA,MATCH("SpellDCLegendary",CLASSFEATUREHEADERS,0),MATCH($A1410,CLASSNAMEHEADERS,0))),(INDEX(ALLCLASSDATA,MATCH("SpellDCLegendary",CLASSFEATUREHEADERS,0),MATCH(($A1410 &amp; "Points"),CLASSNAMEHEADERS,0))),(IF("05"=(INDEX(ALLCLASSDATA,MATCH("SpellDCMaster",CLASSFEATUREHEADERS,0),MATCH($A1410,CLASSNAMEHEADERS,0))),(INDEX(ALLCLASSDATA,MATCH("SpellDCMaster",CLASSFEATUREHEADERS,0),MATCH(($A1410 &amp; "Points"),CLASSNAMEHEADERS,0))),(IF("05"=(INDEX(ALLCLASSDATA,MATCH("SpellDCExpert",CLASSFEATUREHEADERS,0),MATCH($A1410,CLASSNAMEHEADERS,0))),(INDEX(ALLCLASSDATA,MATCH("SpellDCExpert",CLASSFEATUREHEADERS,0),MATCH(($A1410 &amp; "Points"),CLASSNAMEHEADERS,0))),(IF("05"=(INDEX(ALLCLASSDATA,MATCH("SpellDCTrained",CLASSFEATUREHEADERS,0),MATCH($A1410,CLASSNAMEHEADERS,0))),(INDEX(ALLCLASSDATA,MATCH("SpellDCTrained",CLASSFEATUREHEADERS,0),MATCH(($A1410 &amp; "Points"),CLASSNAMEHEADERS,0))),"")))))))))}</f>
        <v>SPELLDCL05</v>
      </c>
      <c r="M1409" s="223"/>
      <c r="N1409" s="223" t="str">
        <f t="array" ref="N1409:N1410">{"SPELLDCL07";((IF("07"=(INDEX(ALLCLASSDATA,MATCH("SpellDCLegendary",CLASSFEATUREHEADERS,0),MATCH($A1410,CLASSNAMEHEADERS,0))),(INDEX(ALLCLASSDATA,MATCH("SpellDCLegendary",CLASSFEATUREHEADERS,0),MATCH(($A1410 &amp; "Points"),CLASSNAMEHEADERS,0))),(IF("07"=(INDEX(ALLCLASSDATA,MATCH("SpellDCMaster",CLASSFEATUREHEADERS,0),MATCH($A1410,CLASSNAMEHEADERS,0))),(INDEX(ALLCLASSDATA,MATCH("SpellDCMaster",CLASSFEATUREHEADERS,0),MATCH(($A1410 &amp; "Points"),CLASSNAMEHEADERS,0))),(IF("07"=(INDEX(ALLCLASSDATA,MATCH("SpellDCExpert",CLASSFEATUREHEADERS,0),MATCH($A1410,CLASSNAMEHEADERS,0))),(INDEX(ALLCLASSDATA,MATCH("SpellDCExpert",CLASSFEATUREHEADERS,0),MATCH(($A1410 &amp; "Points"),CLASSNAMEHEADERS,0))),(IF("07"=(INDEX(ALLCLASSDATA,MATCH("SpellDCTrained",CLASSFEATUREHEADERS,0),MATCH($A1410,CLASSNAMEHEADERS,0))),(INDEX(ALLCLASSDATA,MATCH("SpellDCTrained",CLASSFEATUREHEADERS,0),MATCH(($A1410 &amp; "Points"),CLASSNAMEHEADERS,0))),"")))))))))}</f>
        <v>SPELLDCL07</v>
      </c>
      <c r="O1409" s="223"/>
      <c r="P1409" s="223" t="str">
        <f t="array" ref="P1409:P1410">{"SPELLDCL09";((IF("09"=(INDEX(ALLCLASSDATA,MATCH("SpellDCLegendary",CLASSFEATUREHEADERS,0),MATCH($A1410,CLASSNAMEHEADERS,0))),(INDEX(ALLCLASSDATA,MATCH("SpellDCLegendary",CLASSFEATUREHEADERS,0),MATCH(($A1410 &amp; "Points"),CLASSNAMEHEADERS,0))),(IF("09"=(INDEX(ALLCLASSDATA,MATCH("SpellDCMaster",CLASSFEATUREHEADERS,0),MATCH($A1410,CLASSNAMEHEADERS,0))),(INDEX(ALLCLASSDATA,MATCH("SpellDCMaster",CLASSFEATUREHEADERS,0),MATCH(($A1410 &amp; "Points"),CLASSNAMEHEADERS,0))),(IF("09"=(INDEX(ALLCLASSDATA,MATCH("SpellDCExpert",CLASSFEATUREHEADERS,0),MATCH($A1410,CLASSNAMEHEADERS,0))),(INDEX(ALLCLASSDATA,MATCH("SpellDCExpert",CLASSFEATUREHEADERS,0),MATCH(($A1410 &amp; "Points"),CLASSNAMEHEADERS,0))),(IF("09"=(INDEX(ALLCLASSDATA,MATCH("SpellDCTrained",CLASSFEATUREHEADERS,0),MATCH($A1410,CLASSNAMEHEADERS,0))),(INDEX(ALLCLASSDATA,MATCH("SpellDCTrained",CLASSFEATUREHEADERS,0),MATCH(($A1410 &amp; "Points"),CLASSNAMEHEADERS,0))),"")))))))))}</f>
        <v>SPELLDCL09</v>
      </c>
      <c r="Q1409" s="223"/>
      <c r="R1409" s="223" t="str">
        <f t="array" ref="R1409:R1410">{"SPELLDCL11";((IF("11"=(INDEX(ALLCLASSDATA,MATCH("SpellDCLegendary",CLASSFEATUREHEADERS,0),MATCH($A1410,CLASSNAMEHEADERS,0))),(INDEX(ALLCLASSDATA,MATCH("SpellDCLegendary",CLASSFEATUREHEADERS,0),MATCH(($A1410 &amp; "Points"),CLASSNAMEHEADERS,0))),(IF("11"=(INDEX(ALLCLASSDATA,MATCH("SpellDCMaster",CLASSFEATUREHEADERS,0),MATCH($A1410,CLASSNAMEHEADERS,0))),(INDEX(ALLCLASSDATA,MATCH("SpellDCMaster",CLASSFEATUREHEADERS,0),MATCH(($A1410 &amp; "Points"),CLASSNAMEHEADERS,0))),(IF("11"=(INDEX(ALLCLASSDATA,MATCH("SpellDCExpert",CLASSFEATUREHEADERS,0),MATCH($A1410,CLASSNAMEHEADERS,0))),(INDEX(ALLCLASSDATA,MATCH("SpellDCExpert",CLASSFEATUREHEADERS,0),MATCH(($A1410 &amp; "Points"),CLASSNAMEHEADERS,0))),(IF("11"=(INDEX(ALLCLASSDATA,MATCH("SpellDCTrained",CLASSFEATUREHEADERS,0),MATCH($A1410,CLASSNAMEHEADERS,0))),(INDEX(ALLCLASSDATA,MATCH("SpellDCTrained",CLASSFEATUREHEADERS,0),MATCH(($A1410 &amp; "Points"),CLASSNAMEHEADERS,0))),"")))))))))}</f>
        <v>SPELLDCL11</v>
      </c>
      <c r="S1409" s="223"/>
      <c r="T1409" s="223" t="str">
        <f t="array" ref="T1409:T1410">{"SPELLDCL13";((IF("13"=(INDEX(ALLCLASSDATA,MATCH("SpellDCLegendary",CLASSFEATUREHEADERS,0),MATCH($A1410,CLASSNAMEHEADERS,0))),(INDEX(ALLCLASSDATA,MATCH("SpellDCLegendary",CLASSFEATUREHEADERS,0),MATCH(($A1410 &amp; "Points"),CLASSNAMEHEADERS,0))),(IF("13"=(INDEX(ALLCLASSDATA,MATCH("SpellDCMaster",CLASSFEATUREHEADERS,0),MATCH($A1410,CLASSNAMEHEADERS,0))),(INDEX(ALLCLASSDATA,MATCH("SpellDCMaster",CLASSFEATUREHEADERS,0),MATCH(($A1410 &amp; "Points"),CLASSNAMEHEADERS,0))),(IF("13"=(INDEX(ALLCLASSDATA,MATCH("SpellDCExpert",CLASSFEATUREHEADERS,0),MATCH($A1410,CLASSNAMEHEADERS,0))),(INDEX(ALLCLASSDATA,MATCH("SpellDCExpert",CLASSFEATUREHEADERS,0),MATCH(($A1410 &amp; "Points"),CLASSNAMEHEADERS,0))),(IF("13"=(INDEX(ALLCLASSDATA,MATCH("SpellDCTrained",CLASSFEATUREHEADERS,0),MATCH($A1410,CLASSNAMEHEADERS,0))),(INDEX(ALLCLASSDATA,MATCH("SpellDCTrained",CLASSFEATUREHEADERS,0),MATCH(($A1410 &amp; "Points"),CLASSNAMEHEADERS,0))),"")))))))))}</f>
        <v>SPELLDCL13</v>
      </c>
      <c r="U1409" s="223"/>
      <c r="V1409" s="223" t="str">
        <f t="array" ref="V1409:V1410">{"SPELLDCL15";((IF("15"=(INDEX(ALLCLASSDATA,MATCH("SpellDCLegendary",CLASSFEATUREHEADERS,0),MATCH($A1410,CLASSNAMEHEADERS,0))),(INDEX(ALLCLASSDATA,MATCH("SpellDCLegendary",CLASSFEATUREHEADERS,0),MATCH(($A1410 &amp; "Points"),CLASSNAMEHEADERS,0))),(IF("15"=(INDEX(ALLCLASSDATA,MATCH("SpellDCMaster",CLASSFEATUREHEADERS,0),MATCH($A1410,CLASSNAMEHEADERS,0))),(INDEX(ALLCLASSDATA,MATCH("SpellDCMaster",CLASSFEATUREHEADERS,0),MATCH(($A1410 &amp; "Points"),CLASSNAMEHEADERS,0))),(IF("15"=(INDEX(ALLCLASSDATA,MATCH("SpellDCExpert",CLASSFEATUREHEADERS,0),MATCH($A1410,CLASSNAMEHEADERS,0))),(INDEX(ALLCLASSDATA,MATCH("SpellDCExpert",CLASSFEATUREHEADERS,0),MATCH(($A1410 &amp; "Points"),CLASSNAMEHEADERS,0))),(IF("15"=(INDEX(ALLCLASSDATA,MATCH("SpellDCTrained",CLASSFEATUREHEADERS,0),MATCH($A1410,CLASSNAMEHEADERS,0))),(INDEX(ALLCLASSDATA,MATCH("SpellDCTrained",CLASSFEATUREHEADERS,0),MATCH(($A1410 &amp; "Points"),CLASSNAMEHEADERS,0))),"")))))))))}</f>
        <v>SPELLDCL15</v>
      </c>
      <c r="W1409" s="223"/>
      <c r="X1409" s="223" t="str">
        <f t="array" ref="X1409:X1410">{"SPELLDCL17";((IF("17"=(INDEX(ALLCLASSDATA,MATCH("SpellDCLegendary",CLASSFEATUREHEADERS,0),MATCH($A1410,CLASSNAMEHEADERS,0))),(INDEX(ALLCLASSDATA,MATCH("SpellDCLegendary",CLASSFEATUREHEADERS,0),MATCH(($A1410 &amp; "Points"),CLASSNAMEHEADERS,0))),(IF("17"=(INDEX(ALLCLASSDATA,MATCH("SpellDCMaster",CLASSFEATUREHEADERS,0),MATCH($A1410,CLASSNAMEHEADERS,0))),(INDEX(ALLCLASSDATA,MATCH("SpellDCMaster",CLASSFEATUREHEADERS,0),MATCH(($A1410 &amp; "Points"),CLASSNAMEHEADERS,0))),(IF("17"=(INDEX(ALLCLASSDATA,MATCH("SpellDCExpert",CLASSFEATUREHEADERS,0),MATCH($A1410,CLASSNAMEHEADERS,0))),(INDEX(ALLCLASSDATA,MATCH("SpellDCExpert",CLASSFEATUREHEADERS,0),MATCH(($A1410 &amp; "Points"),CLASSNAMEHEADERS,0))),(IF("17"=(INDEX(ALLCLASSDATA,MATCH("SpellDCTrained",CLASSFEATUREHEADERS,0),MATCH($A1410,CLASSNAMEHEADERS,0))),(INDEX(ALLCLASSDATA,MATCH("SpellDCTrained",CLASSFEATUREHEADERS,0),MATCH(($A1410 &amp; "Points"),CLASSNAMEHEADERS,0))),"")))))))))}</f>
        <v>SPELLDCL17</v>
      </c>
      <c r="Y1409" s="223"/>
      <c r="Z1409" s="223" t="str">
        <f t="array" ref="Z1409:Z1410">{"SPELLDCL19";((IF("19"=(INDEX(ALLCLASSDATA,MATCH("SpellDCLegendary",CLASSFEATUREHEADERS,0),MATCH($A1410,CLASSNAMEHEADERS,0))),(INDEX(ALLCLASSDATA,MATCH("SpellDCLegendary",CLASSFEATUREHEADERS,0),MATCH(($A1410 &amp; "Points"),CLASSNAMEHEADERS,0))),(IF("19"=(INDEX(ALLCLASSDATA,MATCH("SpellDCMaster",CLASSFEATUREHEADERS,0),MATCH($A1410,CLASSNAMEHEADERS,0))),(INDEX(ALLCLASSDATA,MATCH("SpellDCMaster",CLASSFEATUREHEADERS,0),MATCH(($A1410 &amp; "Points"),CLASSNAMEHEADERS,0))),(IF("19"=(INDEX(ALLCLASSDATA,MATCH("SpellDCExpert",CLASSFEATUREHEADERS,0),MATCH($A1410,CLASSNAMEHEADERS,0))),(INDEX(ALLCLASSDATA,MATCH("SpellDCExpert",CLASSFEATUREHEADERS,0),MATCH(($A1410 &amp; "Points"),CLASSNAMEHEADERS,0))),(IF("19"=(INDEX(ALLCLASSDATA,MATCH("SpellDCTrained",CLASSFEATUREHEADERS,0),MATCH($A1410,CLASSNAMEHEADERS,0))),(INDEX(ALLCLASSDATA,MATCH("SpellDCTrained",CLASSFEATUREHEADERS,0),MATCH(($A1410 &amp; "Points"),CLASSNAMEHEADERS,0))),"")))))))))}</f>
        <v>SPELLDCL19</v>
      </c>
      <c r="AA1409" s="223"/>
      <c r="AB1409" s="76" t="str">
        <f t="array" ref="AB1409:AB1410">{"SPELLDC TOTAL";(IF(COUNTBLANK(G1410:AA1410)=17,"L",(IF(COUNTBLANK(G1410:AA1410)=18,"M",(IF(COUNTBLANK(G1410:AA1410)=19,"E",(IF(COUNTBLANK(G1410:AA1410)=20,"T",""))))))))}</f>
        <v>SPELLDC TOTAL</v>
      </c>
      <c r="AC1409" s="76" t="str">
        <f t="array" ref="AC1409:AC1410">{"SPELLDC TOTAL";(sum(G1410:AA1410))}</f>
        <v>SPELLDC TOTAL</v>
      </c>
    </row>
    <row r="1410">
      <c r="A1410" s="48" t="s">
        <v>219</v>
      </c>
      <c r="B1410" s="48"/>
      <c r="C1410" s="48" t="s">
        <v>418</v>
      </c>
      <c r="D1410" s="97" t="s">
        <v>1465</v>
      </c>
      <c r="E1410" s="97" t="s">
        <v>1485</v>
      </c>
      <c r="F1410" s="98" t="s">
        <v>435</v>
      </c>
      <c r="G1410" s="132" t="s">
        <v>603</v>
      </c>
      <c r="H1410" s="98">
        <v>10.0</v>
      </c>
      <c r="I1410" s="98"/>
      <c r="J1410" s="98" t="s">
        <v>603</v>
      </c>
      <c r="K1410" s="98"/>
      <c r="L1410" s="98" t="s">
        <v>603</v>
      </c>
      <c r="M1410" s="98"/>
      <c r="N1410" s="98">
        <v>50.0</v>
      </c>
      <c r="O1410" s="98"/>
      <c r="P1410" s="98" t="s">
        <v>603</v>
      </c>
      <c r="Q1410" s="98"/>
      <c r="R1410" s="98" t="s">
        <v>603</v>
      </c>
      <c r="S1410" s="98"/>
      <c r="T1410" s="98" t="s">
        <v>603</v>
      </c>
      <c r="U1410" s="98"/>
      <c r="V1410" s="98">
        <v>110.0</v>
      </c>
      <c r="W1410" s="98"/>
      <c r="X1410" s="98" t="s">
        <v>603</v>
      </c>
      <c r="Y1410" s="98"/>
      <c r="Z1410" s="98">
        <v>190.0</v>
      </c>
      <c r="AA1410" s="98"/>
      <c r="AB1410" s="5" t="s">
        <v>466</v>
      </c>
      <c r="AC1410" s="47">
        <v>360.0</v>
      </c>
    </row>
    <row r="1411" hidden="1">
      <c r="A1411" s="222" t="str">
        <f t="array" ref="A1411:A1412">{"FormulaRow22";(INDEX(CLASSLIST,A1368,1))}</f>
        <v>FormulaRow22</v>
      </c>
      <c r="B1411" s="77" t="s">
        <v>236</v>
      </c>
      <c r="C1411" s="222" t="str">
        <f t="array" ref="C1411:C1412">{"CLASSTYPE";((INDEX(ALLCLASSDATA,MATCH("ClassType",CLASSFEATUREHEADERS,0),MATCH($A1412,CLASSNAMEHEADERS,0))))}</f>
        <v>CLASSTYPE</v>
      </c>
      <c r="D1411" s="228" t="str">
        <f t="shared" ref="D1411:E1411" si="16">{"PERCEPTION";"Perception"}</f>
        <v>PERCEPTION</v>
      </c>
      <c r="E1411" s="228" t="str">
        <f t="shared" si="16"/>
        <v>PERCEPTION</v>
      </c>
      <c r="F1411" s="230" t="str">
        <f t="array" ref="F1411:F1412">{"PERCEPTIONINITIAL";((IF(H1412=10,"T",(IF(H1412=50,"E","")))))}</f>
        <v>PERCEPTIONINITIAL</v>
      </c>
      <c r="G1411" s="230" t="str">
        <f t="array" ref="G1411:G1412">{"PERCEPTIONINITIALPTS";((IF("00"=(INDEX(ALLCLASSDATA,MATCH("PerceptionLegendary",CLASSFEATUREHEADERS,0),MATCH($A1412,CLASSNAMEHEADERS,0))),(INDEX(ALLCLASSDATA,MATCH("PerceptionLegendary",CLASSFEATUREHEADERS,0),MATCH(($A1412 &amp; "Points"),CLASSNAMEHEADERS,0))),(IF("00"=(INDEX(ALLCLASSDATA,MATCH("PerceptionMaster",CLASSFEATUREHEADERS,0),MATCH($A1412,CLASSNAMEHEADERS,0))),(INDEX(ALLCLASSDATA,MATCH("PerceptionMaster",CLASSFEATUREHEADERS,0),MATCH(($A1412 &amp; "Points"),CLASSNAMEHEADERS,0))),(IF("00"=(INDEX(ALLCLASSDATA,MATCH("PerceptionExpert",CLASSFEATUREHEADERS,0),MATCH($A1412,CLASSNAMEHEADERS,0))),(INDEX(ALLCLASSDATA,MATCH("PerceptionExpert",CLASSFEATUREHEADERS,0),MATCH(($A1412 &amp; "Points"),CLASSNAMEHEADERS,0))),(IF("00"=(INDEX(ALLCLASSDATA,MATCH("PerceptionTrained",CLASSFEATUREHEADERS,0),MATCH($A1412,CLASSNAMEHEADERS,0))),(INDEX(ALLCLASSDATA,MATCH("PerceptionTrained",CLASSFEATUREHEADERS,0),MATCH(($A1412 &amp; "Points"),CLASSNAMEHEADERS,0))),"")))))))))}</f>
        <v>PERCEPTIONINITIALPTS</v>
      </c>
      <c r="H1411" s="230" t="str">
        <f t="array" ref="H1411:H1412">{"PERCEPTIONL01";((IF("01"=(INDEX(ALLCLASSDATA,MATCH("PerceptionLegendary",CLASSFEATUREHEADERS,0),MATCH($A1412,CLASSNAMEHEADERS,0))),(INDEX(ALLCLASSDATA,MATCH("PerceptionLegendary",CLASSFEATUREHEADERS,0),MATCH(($A1412 &amp; "Points"),CLASSNAMEHEADERS,0))),(IF("01"=(INDEX(ALLCLASSDATA,MATCH("PerceptionMaster",CLASSFEATUREHEADERS,0),MATCH($A1412,CLASSNAMEHEADERS,0))),(INDEX(ALLCLASSDATA,MATCH("PerceptionMaster",CLASSFEATUREHEADERS,0),MATCH(($A1412 &amp; "Points"),CLASSNAMEHEADERS,0))),(IF("01"=(INDEX(ALLCLASSDATA,MATCH("PerceptionExpert",CLASSFEATUREHEADERS,0),MATCH($A1412,CLASSNAMEHEADERS,0))),(INDEX(ALLCLASSDATA,MATCH("PerceptionExpert",CLASSFEATUREHEADERS,0),MATCH(($A1412 &amp; "Points"),CLASSNAMEHEADERS,0))),(IF("01"=(INDEX(ALLCLASSDATA,MATCH("PerceptionTrained",CLASSFEATUREHEADERS,0),MATCH($A1412,CLASSNAMEHEADERS,0))),(INDEX(ALLCLASSDATA,MATCH("PerceptionTrained",CLASSFEATUREHEADERS,0),MATCH(($A1412 &amp; "Points"),CLASSNAMEHEADERS,0))),"")))))))))}</f>
        <v>PERCEPTIONL01</v>
      </c>
      <c r="I1411" s="230"/>
      <c r="J1411" s="230" t="str">
        <f t="array" ref="J1411:J1412">{"PERCEPTIONL03";((IF("03"=(INDEX(ALLCLASSDATA,MATCH("PerceptionLegendary",CLASSFEATUREHEADERS,0),MATCH($A1412,CLASSNAMEHEADERS,0))),(INDEX(ALLCLASSDATA,MATCH("PerceptionLegendary",CLASSFEATUREHEADERS,0),MATCH(($A1412 &amp; "Points"),CLASSNAMEHEADERS,0))),(IF("03"=(INDEX(ALLCLASSDATA,MATCH("PerceptionMaster",CLASSFEATUREHEADERS,0),MATCH($A1412,CLASSNAMEHEADERS,0))),(INDEX(ALLCLASSDATA,MATCH("PerceptionMaster",CLASSFEATUREHEADERS,0),MATCH(($A1412 &amp; "Points"),CLASSNAMEHEADERS,0))),(IF("03"=(INDEX(ALLCLASSDATA,MATCH("PerceptionExpert",CLASSFEATUREHEADERS,0),MATCH($A1412,CLASSNAMEHEADERS,0))),(INDEX(ALLCLASSDATA,MATCH("PerceptionExpert",CLASSFEATUREHEADERS,0),MATCH(($A1412 &amp; "Points"),CLASSNAMEHEADERS,0))),(IF("03"=(INDEX(ALLCLASSDATA,MATCH("PerceptionTrained",CLASSFEATUREHEADERS,0),MATCH($A1412,CLASSNAMEHEADERS,0))),(INDEX(ALLCLASSDATA,MATCH("PerceptionTrained",CLASSFEATUREHEADERS,0),MATCH(($A1412 &amp; "Points"),CLASSNAMEHEADERS,0))),"")))))))))}</f>
        <v>PERCEPTIONL03</v>
      </c>
      <c r="K1411" s="230"/>
      <c r="L1411" s="230" t="str">
        <f t="array" ref="L1411:L1412">{"PERCEPTIONL05";((IF("05"=(INDEX(ALLCLASSDATA,MATCH("PerceptionLegendary",CLASSFEATUREHEADERS,0),MATCH($A1412,CLASSNAMEHEADERS,0))),(INDEX(ALLCLASSDATA,MATCH("PerceptionLegendary",CLASSFEATUREHEADERS,0),MATCH(($A1412 &amp; "Points"),CLASSNAMEHEADERS,0))),(IF("05"=(INDEX(ALLCLASSDATA,MATCH("PerceptionMaster",CLASSFEATUREHEADERS,0),MATCH($A1412,CLASSNAMEHEADERS,0))),(INDEX(ALLCLASSDATA,MATCH("PerceptionMaster",CLASSFEATUREHEADERS,0),MATCH(($A1412 &amp; "Points"),CLASSNAMEHEADERS,0))),(IF("05"=(INDEX(ALLCLASSDATA,MATCH("PerceptionExpert",CLASSFEATUREHEADERS,0),MATCH($A1412,CLASSNAMEHEADERS,0))),(INDEX(ALLCLASSDATA,MATCH("PerceptionExpert",CLASSFEATUREHEADERS,0),MATCH(($A1412 &amp; "Points"),CLASSNAMEHEADERS,0))),(IF("05"=(INDEX(ALLCLASSDATA,MATCH("PerceptionTrained",CLASSFEATUREHEADERS,0),MATCH($A1412,CLASSNAMEHEADERS,0))),(INDEX(ALLCLASSDATA,MATCH("PerceptionTrained",CLASSFEATUREHEADERS,0),MATCH(($A1412 &amp; "Points"),CLASSNAMEHEADERS,0))),"")))))))))}</f>
        <v>PERCEPTIONL05</v>
      </c>
      <c r="M1411" s="230"/>
      <c r="N1411" s="230" t="str">
        <f t="array" ref="N1411:N1412">{"PERCEPTIONL07";((IF("07"=(INDEX(ALLCLASSDATA,MATCH("PerceptionLegendary",CLASSFEATUREHEADERS,0),MATCH($A1412,CLASSNAMEHEADERS,0))),(INDEX(ALLCLASSDATA,MATCH("PerceptionLegendary",CLASSFEATUREHEADERS,0),MATCH(($A1412 &amp; "Points"),CLASSNAMEHEADERS,0))),(IF("07"=(INDEX(ALLCLASSDATA,MATCH("PerceptionMaster",CLASSFEATUREHEADERS,0),MATCH($A1412,CLASSNAMEHEADERS,0))),(INDEX(ALLCLASSDATA,MATCH("PerceptionMaster",CLASSFEATUREHEADERS,0),MATCH(($A1412 &amp; "Points"),CLASSNAMEHEADERS,0))),(IF("07"=(INDEX(ALLCLASSDATA,MATCH("PerceptionExpert",CLASSFEATUREHEADERS,0),MATCH($A1412,CLASSNAMEHEADERS,0))),(INDEX(ALLCLASSDATA,MATCH("PerceptionExpert",CLASSFEATUREHEADERS,0),MATCH(($A1412 &amp; "Points"),CLASSNAMEHEADERS,0))),(IF("07"=(INDEX(ALLCLASSDATA,MATCH("PerceptionTrained",CLASSFEATUREHEADERS,0),MATCH($A1412,CLASSNAMEHEADERS,0))),(INDEX(ALLCLASSDATA,MATCH("PerceptionTrained",CLASSFEATUREHEADERS,0),MATCH(($A1412 &amp; "Points"),CLASSNAMEHEADERS,0))),"")))))))))}</f>
        <v>PERCEPTIONL07</v>
      </c>
      <c r="O1411" s="230"/>
      <c r="P1411" s="230" t="str">
        <f t="array" ref="P1411:P1412">{"PERCEPTIONL09";((IF("09"=(INDEX(ALLCLASSDATA,MATCH("PerceptionLegendary",CLASSFEATUREHEADERS,0),MATCH($A1412,CLASSNAMEHEADERS,0))),(INDEX(ALLCLASSDATA,MATCH("PerceptionLegendary",CLASSFEATUREHEADERS,0),MATCH(($A1412 &amp; "Points"),CLASSNAMEHEADERS,0))),(IF("09"=(INDEX(ALLCLASSDATA,MATCH("PerceptionMaster",CLASSFEATUREHEADERS,0),MATCH($A1412,CLASSNAMEHEADERS,0))),(INDEX(ALLCLASSDATA,MATCH("PerceptionMaster",CLASSFEATUREHEADERS,0),MATCH(($A1412 &amp; "Points"),CLASSNAMEHEADERS,0))),(IF("09"=(INDEX(ALLCLASSDATA,MATCH("PerceptionExpert",CLASSFEATUREHEADERS,0),MATCH($A1412,CLASSNAMEHEADERS,0))),(INDEX(ALLCLASSDATA,MATCH("PerceptionExpert",CLASSFEATUREHEADERS,0),MATCH(($A1412 &amp; "Points"),CLASSNAMEHEADERS,0))),(IF("09"=(INDEX(ALLCLASSDATA,MATCH("PerceptionTrained",CLASSFEATUREHEADERS,0),MATCH($A1412,CLASSNAMEHEADERS,0))),(INDEX(ALLCLASSDATA,MATCH("PerceptionTrained",CLASSFEATUREHEADERS,0),MATCH(($A1412 &amp; "Points"),CLASSNAMEHEADERS,0))),"")))))))))}</f>
        <v>PERCEPTIONL09</v>
      </c>
      <c r="Q1411" s="230"/>
      <c r="R1411" s="230" t="str">
        <f t="array" ref="R1411:R1412">{"PERCEPTIONL11";((IF("11"=(INDEX(ALLCLASSDATA,MATCH("PerceptionLegendary",CLASSFEATUREHEADERS,0),MATCH($A1412,CLASSNAMEHEADERS,0))),(INDEX(ALLCLASSDATA,MATCH("PerceptionLegendary",CLASSFEATUREHEADERS,0),MATCH(($A1412 &amp; "Points"),CLASSNAMEHEADERS,0))),(IF("11"=(INDEX(ALLCLASSDATA,MATCH("PerceptionMaster",CLASSFEATUREHEADERS,0),MATCH($A1412,CLASSNAMEHEADERS,0))),(INDEX(ALLCLASSDATA,MATCH("PerceptionMaster",CLASSFEATUREHEADERS,0),MATCH(($A1412 &amp; "Points"),CLASSNAMEHEADERS,0))),(IF("11"=(INDEX(ALLCLASSDATA,MATCH("PerceptionExpert",CLASSFEATUREHEADERS,0),MATCH($A1412,CLASSNAMEHEADERS,0))),(INDEX(ALLCLASSDATA,MATCH("PerceptionExpert",CLASSFEATUREHEADERS,0),MATCH(($A1412 &amp; "Points"),CLASSNAMEHEADERS,0))),(IF("11"=(INDEX(ALLCLASSDATA,MATCH("PerceptionTrained",CLASSFEATUREHEADERS,0),MATCH($A1412,CLASSNAMEHEADERS,0))),(INDEX(ALLCLASSDATA,MATCH("PerceptionTrained",CLASSFEATUREHEADERS,0),MATCH(($A1412 &amp; "Points"),CLASSNAMEHEADERS,0))),"")))))))))}</f>
        <v>PERCEPTIONL11</v>
      </c>
      <c r="S1411" s="230"/>
      <c r="T1411" s="230" t="str">
        <f t="array" ref="T1411:T1412">{"PERCEPTIONL13";((IF("13"=(INDEX(ALLCLASSDATA,MATCH("PerceptionLegendary",CLASSFEATUREHEADERS,0),MATCH($A1412,CLASSNAMEHEADERS,0))),(INDEX(ALLCLASSDATA,MATCH("PerceptionLegendary",CLASSFEATUREHEADERS,0),MATCH(($A1412 &amp; "Points"),CLASSNAMEHEADERS,0))),(IF("13"=(INDEX(ALLCLASSDATA,MATCH("PerceptionMaster",CLASSFEATUREHEADERS,0),MATCH($A1412,CLASSNAMEHEADERS,0))),(INDEX(ALLCLASSDATA,MATCH("PerceptionMaster",CLASSFEATUREHEADERS,0),MATCH(($A1412 &amp; "Points"),CLASSNAMEHEADERS,0))),(IF("13"=(INDEX(ALLCLASSDATA,MATCH("PerceptionExpert",CLASSFEATUREHEADERS,0),MATCH($A1412,CLASSNAMEHEADERS,0))),(INDEX(ALLCLASSDATA,MATCH("PerceptionExpert",CLASSFEATUREHEADERS,0),MATCH(($A1412 &amp; "Points"),CLASSNAMEHEADERS,0))),(IF("13"=(INDEX(ALLCLASSDATA,MATCH("PerceptionTrained",CLASSFEATUREHEADERS,0),MATCH($A1412,CLASSNAMEHEADERS,0))),(INDEX(ALLCLASSDATA,MATCH("PerceptionTrained",CLASSFEATUREHEADERS,0),MATCH(($A1412 &amp; "Points"),CLASSNAMEHEADERS,0))),"")))))))))}</f>
        <v>PERCEPTIONL13</v>
      </c>
      <c r="U1411" s="230"/>
      <c r="V1411" s="230" t="str">
        <f t="array" ref="V1411:V1412">{"PERCEPTIONL15";((IF("15"=(INDEX(ALLCLASSDATA,MATCH("PerceptionLegendary",CLASSFEATUREHEADERS,0),MATCH($A1412,CLASSNAMEHEADERS,0))),(INDEX(ALLCLASSDATA,MATCH("PerceptionLegendary",CLASSFEATUREHEADERS,0),MATCH(($A1412 &amp; "Points"),CLASSNAMEHEADERS,0))),(IF("15"=(INDEX(ALLCLASSDATA,MATCH("PerceptionMaster",CLASSFEATUREHEADERS,0),MATCH($A1412,CLASSNAMEHEADERS,0))),(INDEX(ALLCLASSDATA,MATCH("PerceptionMaster",CLASSFEATUREHEADERS,0),MATCH(($A1412 &amp; "Points"),CLASSNAMEHEADERS,0))),(IF("15"=(INDEX(ALLCLASSDATA,MATCH("PerceptionExpert",CLASSFEATUREHEADERS,0),MATCH($A1412,CLASSNAMEHEADERS,0))),(INDEX(ALLCLASSDATA,MATCH("PerceptionExpert",CLASSFEATUREHEADERS,0),MATCH(($A1412 &amp; "Points"),CLASSNAMEHEADERS,0))),(IF("15"=(INDEX(ALLCLASSDATA,MATCH("PerceptionTrained",CLASSFEATUREHEADERS,0),MATCH($A1412,CLASSNAMEHEADERS,0))),(INDEX(ALLCLASSDATA,MATCH("PerceptionTrained",CLASSFEATUREHEADERS,0),MATCH(($A1412 &amp; "Points"),CLASSNAMEHEADERS,0))),"")))))))))}</f>
        <v>PERCEPTIONL15</v>
      </c>
      <c r="W1411" s="230"/>
      <c r="X1411" s="230" t="str">
        <f t="array" ref="X1411:X1412">{"PERCEPTIONL17";((IF("17"=(INDEX(ALLCLASSDATA,MATCH("PerceptionLegendary",CLASSFEATUREHEADERS,0),MATCH($A1412,CLASSNAMEHEADERS,0))),(INDEX(ALLCLASSDATA,MATCH("PerceptionLegendary",CLASSFEATUREHEADERS,0),MATCH(($A1412 &amp; "Points"),CLASSNAMEHEADERS,0))),(IF("17"=(INDEX(ALLCLASSDATA,MATCH("PerceptionMaster",CLASSFEATUREHEADERS,0),MATCH($A1412,CLASSNAMEHEADERS,0))),(INDEX(ALLCLASSDATA,MATCH("PerceptionMaster",CLASSFEATUREHEADERS,0),MATCH(($A1412 &amp; "Points"),CLASSNAMEHEADERS,0))),(IF("17"=(INDEX(ALLCLASSDATA,MATCH("PerceptionExpert",CLASSFEATUREHEADERS,0),MATCH($A1412,CLASSNAMEHEADERS,0))),(INDEX(ALLCLASSDATA,MATCH("PerceptionExpert",CLASSFEATUREHEADERS,0),MATCH(($A1412 &amp; "Points"),CLASSNAMEHEADERS,0))),(IF("17"=(INDEX(ALLCLASSDATA,MATCH("PerceptionTrained",CLASSFEATUREHEADERS,0),MATCH($A1412,CLASSNAMEHEADERS,0))),(INDEX(ALLCLASSDATA,MATCH("PerceptionTrained",CLASSFEATUREHEADERS,0),MATCH(($A1412 &amp; "Points"),CLASSNAMEHEADERS,0))),"")))))))))}</f>
        <v>PERCEPTIONL17</v>
      </c>
      <c r="Y1411" s="230"/>
      <c r="Z1411" s="230" t="str">
        <f t="array" ref="Z1411:Z1412">{"PERCEPTIONL19";((IF("19"=(INDEX(ALLCLASSDATA,MATCH("PerceptionLegendary",CLASSFEATUREHEADERS,0),MATCH($A1412,CLASSNAMEHEADERS,0))),(INDEX(ALLCLASSDATA,MATCH("PerceptionLegendary",CLASSFEATUREHEADERS,0),MATCH(($A1412 &amp; "Points"),CLASSNAMEHEADERS,0))),(IF("19"=(INDEX(ALLCLASSDATA,MATCH("PerceptionMaster",CLASSFEATUREHEADERS,0),MATCH($A1412,CLASSNAMEHEADERS,0))),(INDEX(ALLCLASSDATA,MATCH("PerceptionMaster",CLASSFEATUREHEADERS,0),MATCH(($A1412 &amp; "Points"),CLASSNAMEHEADERS,0))),(IF("19"=(INDEX(ALLCLASSDATA,MATCH("PerceptionExpert",CLASSFEATUREHEADERS,0),MATCH($A1412,CLASSNAMEHEADERS,0))),(INDEX(ALLCLASSDATA,MATCH("PerceptionExpert",CLASSFEATUREHEADERS,0),MATCH(($A1412 &amp; "Points"),CLASSNAMEHEADERS,0))),(IF("19"=(INDEX(ALLCLASSDATA,MATCH("PerceptionTrained",CLASSFEATUREHEADERS,0),MATCH($A1412,CLASSNAMEHEADERS,0))),(INDEX(ALLCLASSDATA,MATCH("PerceptionTrained",CLASSFEATUREHEADERS,0),MATCH(($A1412 &amp; "Points"),CLASSNAMEHEADERS,0))),"")))))))))}</f>
        <v>PERCEPTIONL19</v>
      </c>
      <c r="AA1411" s="230"/>
      <c r="AB1411" s="76" t="str">
        <f t="array" ref="AB1411:AB1412">{"PERCEPTION TOTAL";(IF(COUNTBLANK(G1412:AA1412)=17,"L",(IF(COUNTBLANK(G1412:AA1412)=18,"M",(IF(COUNTBLANK(G1412:AA1412)=19,"E",(IF(COUNTBLANK(G1412:AA1412)=20,"T",""))))))))}</f>
        <v>PERCEPTION TOTAL</v>
      </c>
      <c r="AC1411" s="76" t="str">
        <f t="array" ref="AC1411:AC1412">{"PERCEPTION TOTAL";(sum(G1412:AA1412))}</f>
        <v>PERCEPTION TOTAL</v>
      </c>
    </row>
    <row r="1412">
      <c r="A1412" s="48" t="s">
        <v>219</v>
      </c>
      <c r="B1412" s="48"/>
      <c r="C1412" s="48" t="s">
        <v>418</v>
      </c>
      <c r="D1412" s="97" t="s">
        <v>637</v>
      </c>
      <c r="E1412" s="97" t="s">
        <v>637</v>
      </c>
      <c r="F1412" s="98" t="s">
        <v>435</v>
      </c>
      <c r="G1412" s="132" t="s">
        <v>603</v>
      </c>
      <c r="H1412" s="98">
        <v>10.0</v>
      </c>
      <c r="I1412" s="98"/>
      <c r="J1412" s="98" t="s">
        <v>603</v>
      </c>
      <c r="K1412" s="98"/>
      <c r="L1412" s="98">
        <v>50.0</v>
      </c>
      <c r="M1412" s="98"/>
      <c r="N1412" s="98" t="s">
        <v>603</v>
      </c>
      <c r="O1412" s="98"/>
      <c r="P1412" s="98" t="s">
        <v>603</v>
      </c>
      <c r="Q1412" s="98"/>
      <c r="R1412" s="98" t="s">
        <v>603</v>
      </c>
      <c r="S1412" s="98"/>
      <c r="T1412" s="98" t="s">
        <v>603</v>
      </c>
      <c r="U1412" s="98"/>
      <c r="V1412" s="98" t="s">
        <v>603</v>
      </c>
      <c r="W1412" s="98"/>
      <c r="X1412" s="98" t="s">
        <v>603</v>
      </c>
      <c r="Y1412" s="98"/>
      <c r="Z1412" s="98" t="s">
        <v>603</v>
      </c>
      <c r="AA1412" s="98"/>
      <c r="AB1412" s="5" t="s">
        <v>436</v>
      </c>
      <c r="AC1412" s="47">
        <v>60.0</v>
      </c>
    </row>
    <row r="1413" hidden="1">
      <c r="A1413" s="222" t="str">
        <f t="array" ref="A1413:A1414">{"FormulaRow23";(INDEX(CLASSLIST,A1368,1))}</f>
        <v>FormulaRow23</v>
      </c>
      <c r="B1413" s="77" t="s">
        <v>236</v>
      </c>
      <c r="C1413" s="222" t="str">
        <f t="array" ref="C1413:C1414">{"CLASSTYPE";((INDEX(ALLCLASSDATA,MATCH("ClassType",CLASSFEATUREHEADERS,0),MATCH($A1414,CLASSNAMEHEADERS,0))))}</f>
        <v>CLASSTYPE</v>
      </c>
      <c r="D1413" s="228" t="str">
        <f t="array" ref="D1413:D1414">{"SAVES";"Saves"}</f>
        <v>SAVES</v>
      </c>
      <c r="E1413" s="228" t="str">
        <f t="array" ref="E1413:E1414">{"FORTITUDESAVE";"FortitudeSave"}</f>
        <v>FORTITUDESAVE</v>
      </c>
      <c r="F1413" s="230" t="str">
        <f t="array" ref="F1413:F1414">{"FORTITUDEINITIAL";((IF(H1414=10,"T",(IF(H1414=50,"E","")))))}</f>
        <v>FORTITUDEINITIAL</v>
      </c>
      <c r="G1413" s="230" t="str">
        <f t="array" ref="G1413:G1414">{"FORTITUDEINITIALPTS";((IF("00"=(INDEX(ALLCLASSDATA,MATCH("FortitudeSaveLegendary",CLASSFEATUREHEADERS,0),MATCH($A1414,CLASSNAMEHEADERS,0))),(INDEX(ALLCLASSDATA,MATCH("FortitudeSaveLegendary",CLASSFEATUREHEADERS,0),MATCH(($A1414 &amp; "Points"),CLASSNAMEHEADERS,0))),(IF("00"=(INDEX(ALLCLASSDATA,MATCH("FortitudeSaveMaster",CLASSFEATUREHEADERS,0),MATCH($A1414,CLASSNAMEHEADERS,0))),(INDEX(ALLCLASSDATA,MATCH("FortitudeSaveMaster",CLASSFEATUREHEADERS,0),MATCH(($A1414 &amp; "Points"),CLASSNAMEHEADERS,0))),(IF("00"=(INDEX(ALLCLASSDATA,MATCH("FortitudeSaveExpert",CLASSFEATUREHEADERS,0),MATCH($A1414,CLASSNAMEHEADERS,0))),(INDEX(ALLCLASSDATA,MATCH("FortitudeSaveExpert",CLASSFEATUREHEADERS,0),MATCH(($A1414 &amp; "Points"),CLASSNAMEHEADERS,0))),(IF("00"=(INDEX(ALLCLASSDATA,MATCH("FortitudeSaveTrained",CLASSFEATUREHEADERS,0),MATCH($A1414,CLASSNAMEHEADERS,0))),(INDEX(ALLCLASSDATA,MATCH("FortitudeSaveTrained",CLASSFEATUREHEADERS,0),MATCH(($A1414 &amp; "Points"),CLASSNAMEHEADERS,0))),"")))))))))}</f>
        <v>FORTITUDEINITIALPTS</v>
      </c>
      <c r="H1413" s="230" t="str">
        <f t="array" ref="H1413:H1414">{"FORTITUDEL01";((IF("01"=(INDEX(ALLCLASSDATA,MATCH("FortitudeSaveLegendary",CLASSFEATUREHEADERS,0),MATCH($A1414,CLASSNAMEHEADERS,0))),(INDEX(ALLCLASSDATA,MATCH("FortitudeSaveLegendary",CLASSFEATUREHEADERS,0),MATCH(($A1414 &amp; "Points"),CLASSNAMEHEADERS,0))),(IF("01"=(INDEX(ALLCLASSDATA,MATCH("FortitudeSaveMaster",CLASSFEATUREHEADERS,0),MATCH($A1414,CLASSNAMEHEADERS,0))),(INDEX(ALLCLASSDATA,MATCH("FortitudeSaveMaster",CLASSFEATUREHEADERS,0),MATCH(($A1414 &amp; "Points"),CLASSNAMEHEADERS,0))),(IF("01"=(INDEX(ALLCLASSDATA,MATCH("FortitudeSaveExpert",CLASSFEATUREHEADERS,0),MATCH($A1414,CLASSNAMEHEADERS,0))),(INDEX(ALLCLASSDATA,MATCH("FortitudeSaveExpert",CLASSFEATUREHEADERS,0),MATCH(($A1414 &amp; "Points"),CLASSNAMEHEADERS,0))),(IF("01"=(INDEX(ALLCLASSDATA,MATCH("FortitudeSaveTrained",CLASSFEATUREHEADERS,0),MATCH($A1414,CLASSNAMEHEADERS,0))),(INDEX(ALLCLASSDATA,MATCH("FortitudeSaveTrained",CLASSFEATUREHEADERS,0),MATCH(($A1414 &amp; "Points"),CLASSNAMEHEADERS,0))),"")))))))))}</f>
        <v>FORTITUDEL01</v>
      </c>
      <c r="I1413" s="230"/>
      <c r="J1413" s="230" t="str">
        <f t="array" ref="J1413:J1414">{"FORTITUDEL03";((IF("03"=(INDEX(ALLCLASSDATA,MATCH("FortitudeSaveLegendary",CLASSFEATUREHEADERS,0),MATCH($A1414,CLASSNAMEHEADERS,0))),(INDEX(ALLCLASSDATA,MATCH("FortitudeSaveLegendary",CLASSFEATUREHEADERS,0),MATCH(($A1414 &amp; "Points"),CLASSNAMEHEADERS,0))),(IF("03"=(INDEX(ALLCLASSDATA,MATCH("FortitudeSaveMaster",CLASSFEATUREHEADERS,0),MATCH($A1414,CLASSNAMEHEADERS,0))),(INDEX(ALLCLASSDATA,MATCH("FortitudeSaveMaster",CLASSFEATUREHEADERS,0),MATCH(($A1414 &amp; "Points"),CLASSNAMEHEADERS,0))),(IF("03"=(INDEX(ALLCLASSDATA,MATCH("FortitudeSaveExpert",CLASSFEATUREHEADERS,0),MATCH($A1414,CLASSNAMEHEADERS,0))),(INDEX(ALLCLASSDATA,MATCH("FortitudeSaveExpert",CLASSFEATUREHEADERS,0),MATCH(($A1414 &amp; "Points"),CLASSNAMEHEADERS,0))),(IF("03"=(INDEX(ALLCLASSDATA,MATCH("FortitudeSaveTrained",CLASSFEATUREHEADERS,0),MATCH($A1414,CLASSNAMEHEADERS,0))),(INDEX(ALLCLASSDATA,MATCH("FortitudeSaveTrained",CLASSFEATUREHEADERS,0),MATCH(($A1414 &amp; "Points"),CLASSNAMEHEADERS,0))),"")))))))))}</f>
        <v>FORTITUDEL03</v>
      </c>
      <c r="K1413" s="230"/>
      <c r="L1413" s="230" t="str">
        <f t="array" ref="L1413:L1414">{"FORTITUDEL05";((IF("05"=(INDEX(ALLCLASSDATA,MATCH("FortitudeSaveLegendary",CLASSFEATUREHEADERS,0),MATCH($A1414,CLASSNAMEHEADERS,0))),(INDEX(ALLCLASSDATA,MATCH("FortitudeSaveLegendary",CLASSFEATUREHEADERS,0),MATCH(($A1414 &amp; "Points"),CLASSNAMEHEADERS,0))),(IF("05"=(INDEX(ALLCLASSDATA,MATCH("FortitudeSaveMaster",CLASSFEATUREHEADERS,0),MATCH($A1414,CLASSNAMEHEADERS,0))),(INDEX(ALLCLASSDATA,MATCH("FortitudeSaveMaster",CLASSFEATUREHEADERS,0),MATCH(($A1414 &amp; "Points"),CLASSNAMEHEADERS,0))),(IF("05"=(INDEX(ALLCLASSDATA,MATCH("FortitudeSaveExpert",CLASSFEATUREHEADERS,0),MATCH($A1414,CLASSNAMEHEADERS,0))),(INDEX(ALLCLASSDATA,MATCH("FortitudeSaveExpert",CLASSFEATUREHEADERS,0),MATCH(($A1414 &amp; "Points"),CLASSNAMEHEADERS,0))),(IF("05"=(INDEX(ALLCLASSDATA,MATCH("FortitudeSaveTrained",CLASSFEATUREHEADERS,0),MATCH($A1414,CLASSNAMEHEADERS,0))),(INDEX(ALLCLASSDATA,MATCH("FortitudeSaveTrained",CLASSFEATUREHEADERS,0),MATCH(($A1414 &amp; "Points"),CLASSNAMEHEADERS,0))),"")))))))))}</f>
        <v>FORTITUDEL05</v>
      </c>
      <c r="M1413" s="230"/>
      <c r="N1413" s="230" t="str">
        <f t="array" ref="N1413:N1414">{"FORTITUDEL07";((IF("07"=(INDEX(ALLCLASSDATA,MATCH("FortitudeSaveLegendary",CLASSFEATUREHEADERS,0),MATCH($A1414,CLASSNAMEHEADERS,0))),(INDEX(ALLCLASSDATA,MATCH("FortitudeSaveLegendary",CLASSFEATUREHEADERS,0),MATCH(($A1414 &amp; "Points"),CLASSNAMEHEADERS,0))),(IF("07"=(INDEX(ALLCLASSDATA,MATCH("FortitudeSaveMaster",CLASSFEATUREHEADERS,0),MATCH($A1414,CLASSNAMEHEADERS,0))),(INDEX(ALLCLASSDATA,MATCH("FortitudeSaveMaster",CLASSFEATUREHEADERS,0),MATCH(($A1414 &amp; "Points"),CLASSNAMEHEADERS,0))),(IF("07"=(INDEX(ALLCLASSDATA,MATCH("FortitudeSaveExpert",CLASSFEATUREHEADERS,0),MATCH($A1414,CLASSNAMEHEADERS,0))),(INDEX(ALLCLASSDATA,MATCH("FortitudeSaveExpert",CLASSFEATUREHEADERS,0),MATCH(($A1414 &amp; "Points"),CLASSNAMEHEADERS,0))),(IF("07"=(INDEX(ALLCLASSDATA,MATCH("FortitudeSaveTrained",CLASSFEATUREHEADERS,0),MATCH($A1414,CLASSNAMEHEADERS,0))),(INDEX(ALLCLASSDATA,MATCH("FortitudeSaveTrained",CLASSFEATUREHEADERS,0),MATCH(($A1414 &amp; "Points"),CLASSNAMEHEADERS,0))),"")))))))))}</f>
        <v>FORTITUDEL07</v>
      </c>
      <c r="O1413" s="230"/>
      <c r="P1413" s="230" t="str">
        <f t="array" ref="P1413:P1414">{"FORTITUDEL09";((IF("09"=(INDEX(ALLCLASSDATA,MATCH("FortitudeSaveLegendary",CLASSFEATUREHEADERS,0),MATCH($A1414,CLASSNAMEHEADERS,0))),(INDEX(ALLCLASSDATA,MATCH("FortitudeSaveLegendary",CLASSFEATUREHEADERS,0),MATCH(($A1414 &amp; "Points"),CLASSNAMEHEADERS,0))),(IF("09"=(INDEX(ALLCLASSDATA,MATCH("FortitudeSaveMaster",CLASSFEATUREHEADERS,0),MATCH($A1414,CLASSNAMEHEADERS,0))),(INDEX(ALLCLASSDATA,MATCH("FortitudeSaveMaster",CLASSFEATUREHEADERS,0),MATCH(($A1414 &amp; "Points"),CLASSNAMEHEADERS,0))),(IF("09"=(INDEX(ALLCLASSDATA,MATCH("FortitudeSaveExpert",CLASSFEATUREHEADERS,0),MATCH($A1414,CLASSNAMEHEADERS,0))),(INDEX(ALLCLASSDATA,MATCH("FortitudeSaveExpert",CLASSFEATUREHEADERS,0),MATCH(($A1414 &amp; "Points"),CLASSNAMEHEADERS,0))),(IF("09"=(INDEX(ALLCLASSDATA,MATCH("FortitudeSaveTrained",CLASSFEATUREHEADERS,0),MATCH($A1414,CLASSNAMEHEADERS,0))),(INDEX(ALLCLASSDATA,MATCH("FortitudeSaveTrained",CLASSFEATUREHEADERS,0),MATCH(($A1414 &amp; "Points"),CLASSNAMEHEADERS,0))),"")))))))))}</f>
        <v>FORTITUDEL09</v>
      </c>
      <c r="Q1413" s="230"/>
      <c r="R1413" s="230" t="str">
        <f t="array" ref="R1413:R1414">{"FORTITUDEL11";((IF("11"=(INDEX(ALLCLASSDATA,MATCH("FortitudeSaveLegendary",CLASSFEATUREHEADERS,0),MATCH($A1414,CLASSNAMEHEADERS,0))),(INDEX(ALLCLASSDATA,MATCH("FortitudeSaveLegendary",CLASSFEATUREHEADERS,0),MATCH(($A1414 &amp; "Points"),CLASSNAMEHEADERS,0))),(IF("11"=(INDEX(ALLCLASSDATA,MATCH("FortitudeSaveMaster",CLASSFEATUREHEADERS,0),MATCH($A1414,CLASSNAMEHEADERS,0))),(INDEX(ALLCLASSDATA,MATCH("FortitudeSaveMaster",CLASSFEATUREHEADERS,0),MATCH(($A1414 &amp; "Points"),CLASSNAMEHEADERS,0))),(IF("11"=(INDEX(ALLCLASSDATA,MATCH("FortitudeSaveExpert",CLASSFEATUREHEADERS,0),MATCH($A1414,CLASSNAMEHEADERS,0))),(INDEX(ALLCLASSDATA,MATCH("FortitudeSaveExpert",CLASSFEATUREHEADERS,0),MATCH(($A1414 &amp; "Points"),CLASSNAMEHEADERS,0))),(IF("11"=(INDEX(ALLCLASSDATA,MATCH("FortitudeSaveTrained",CLASSFEATUREHEADERS,0),MATCH($A1414,CLASSNAMEHEADERS,0))),(INDEX(ALLCLASSDATA,MATCH("FortitudeSaveTrained",CLASSFEATUREHEADERS,0),MATCH(($A1414 &amp; "Points"),CLASSNAMEHEADERS,0))),"")))))))))}</f>
        <v>FORTITUDEL11</v>
      </c>
      <c r="S1413" s="230"/>
      <c r="T1413" s="230" t="str">
        <f t="array" ref="T1413:T1414">{"FORTITUDEL13";((IF("13"=(INDEX(ALLCLASSDATA,MATCH("FortitudeSaveLegendary",CLASSFEATUREHEADERS,0),MATCH($A1414,CLASSNAMEHEADERS,0))),(INDEX(ALLCLASSDATA,MATCH("FortitudeSaveLegendary",CLASSFEATUREHEADERS,0),MATCH(($A1414 &amp; "Points"),CLASSNAMEHEADERS,0))),(IF("13"=(INDEX(ALLCLASSDATA,MATCH("FortitudeSaveMaster",CLASSFEATUREHEADERS,0),MATCH($A1414,CLASSNAMEHEADERS,0))),(INDEX(ALLCLASSDATA,MATCH("FortitudeSaveMaster",CLASSFEATUREHEADERS,0),MATCH(($A1414 &amp; "Points"),CLASSNAMEHEADERS,0))),(IF("13"=(INDEX(ALLCLASSDATA,MATCH("FortitudeSaveExpert",CLASSFEATUREHEADERS,0),MATCH($A1414,CLASSNAMEHEADERS,0))),(INDEX(ALLCLASSDATA,MATCH("FortitudeSaveExpert",CLASSFEATUREHEADERS,0),MATCH(($A1414 &amp; "Points"),CLASSNAMEHEADERS,0))),(IF("13"=(INDEX(ALLCLASSDATA,MATCH("FortitudeSaveTrained",CLASSFEATUREHEADERS,0),MATCH($A1414,CLASSNAMEHEADERS,0))),(INDEX(ALLCLASSDATA,MATCH("FortitudeSaveTrained",CLASSFEATUREHEADERS,0),MATCH(($A1414 &amp; "Points"),CLASSNAMEHEADERS,0))),"")))))))))}</f>
        <v>FORTITUDEL13</v>
      </c>
      <c r="U1413" s="230"/>
      <c r="V1413" s="230" t="str">
        <f t="array" ref="V1413:V1414">{"FORTITUDEL15";((IF("15"=(INDEX(ALLCLASSDATA,MATCH("FortitudeSaveLegendary",CLASSFEATUREHEADERS,0),MATCH($A1414,CLASSNAMEHEADERS,0))),(INDEX(ALLCLASSDATA,MATCH("FortitudeSaveLegendary",CLASSFEATUREHEADERS,0),MATCH(($A1414 &amp; "Points"),CLASSNAMEHEADERS,0))),(IF("15"=(INDEX(ALLCLASSDATA,MATCH("FortitudeSaveMaster",CLASSFEATUREHEADERS,0),MATCH($A1414,CLASSNAMEHEADERS,0))),(INDEX(ALLCLASSDATA,MATCH("FortitudeSaveMaster",CLASSFEATUREHEADERS,0),MATCH(($A1414 &amp; "Points"),CLASSNAMEHEADERS,0))),(IF("15"=(INDEX(ALLCLASSDATA,MATCH("FortitudeSaveExpert",CLASSFEATUREHEADERS,0),MATCH($A1414,CLASSNAMEHEADERS,0))),(INDEX(ALLCLASSDATA,MATCH("FortitudeSaveExpert",CLASSFEATUREHEADERS,0),MATCH(($A1414 &amp; "Points"),CLASSNAMEHEADERS,0))),(IF("15"=(INDEX(ALLCLASSDATA,MATCH("FortitudeSaveTrained",CLASSFEATUREHEADERS,0),MATCH($A1414,CLASSNAMEHEADERS,0))),(INDEX(ALLCLASSDATA,MATCH("FortitudeSaveTrained",CLASSFEATUREHEADERS,0),MATCH(($A1414 &amp; "Points"),CLASSNAMEHEADERS,0))),"")))))))))}</f>
        <v>FORTITUDEL15</v>
      </c>
      <c r="W1413" s="230"/>
      <c r="X1413" s="230" t="str">
        <f t="array" ref="X1413:X1414">{"FORTITUDEL17";((IF("17"=(INDEX(ALLCLASSDATA,MATCH("FortitudeSaveLegendary",CLASSFEATUREHEADERS,0),MATCH($A1414,CLASSNAMEHEADERS,0))),(INDEX(ALLCLASSDATA,MATCH("FortitudeSaveLegendary",CLASSFEATUREHEADERS,0),MATCH(($A1414 &amp; "Points"),CLASSNAMEHEADERS,0))),(IF("17"=(INDEX(ALLCLASSDATA,MATCH("FortitudeSaveMaster",CLASSFEATUREHEADERS,0),MATCH($A1414,CLASSNAMEHEADERS,0))),(INDEX(ALLCLASSDATA,MATCH("FortitudeSaveMaster",CLASSFEATUREHEADERS,0),MATCH(($A1414 &amp; "Points"),CLASSNAMEHEADERS,0))),(IF("17"=(INDEX(ALLCLASSDATA,MATCH("FortitudeSaveExpert",CLASSFEATUREHEADERS,0),MATCH($A1414,CLASSNAMEHEADERS,0))),(INDEX(ALLCLASSDATA,MATCH("FortitudeSaveExpert",CLASSFEATUREHEADERS,0),MATCH(($A1414 &amp; "Points"),CLASSNAMEHEADERS,0))),(IF("17"=(INDEX(ALLCLASSDATA,MATCH("FortitudeSaveTrained",CLASSFEATUREHEADERS,0),MATCH($A1414,CLASSNAMEHEADERS,0))),(INDEX(ALLCLASSDATA,MATCH("FortitudeSaveTrained",CLASSFEATUREHEADERS,0),MATCH(($A1414 &amp; "Points"),CLASSNAMEHEADERS,0))),"")))))))))}</f>
        <v>FORTITUDEL17</v>
      </c>
      <c r="Y1413" s="230"/>
      <c r="Z1413" s="230" t="str">
        <f t="array" ref="Z1413:Z1414">{"FORTITUDEL19";((IF("19"=(INDEX(ALLCLASSDATA,MATCH("FortitudeSaveLegendary",CLASSFEATUREHEADERS,0),MATCH($A1414,CLASSNAMEHEADERS,0))),(INDEX(ALLCLASSDATA,MATCH("FortitudeSaveLegendary",CLASSFEATUREHEADERS,0),MATCH(($A1414 &amp; "Points"),CLASSNAMEHEADERS,0))),(IF("19"=(INDEX(ALLCLASSDATA,MATCH("FortitudeSaveMaster",CLASSFEATUREHEADERS,0),MATCH($A1414,CLASSNAMEHEADERS,0))),(INDEX(ALLCLASSDATA,MATCH("FortitudeSaveMaster",CLASSFEATUREHEADERS,0),MATCH(($A1414 &amp; "Points"),CLASSNAMEHEADERS,0))),(IF("19"=(INDEX(ALLCLASSDATA,MATCH("FortitudeSaveExpert",CLASSFEATUREHEADERS,0),MATCH($A1414,CLASSNAMEHEADERS,0))),(INDEX(ALLCLASSDATA,MATCH("FortitudeSaveExpert",CLASSFEATUREHEADERS,0),MATCH(($A1414 &amp; "Points"),CLASSNAMEHEADERS,0))),(IF("19"=(INDEX(ALLCLASSDATA,MATCH("FortitudeSaveTrained",CLASSFEATUREHEADERS,0),MATCH($A1414,CLASSNAMEHEADERS,0))),(INDEX(ALLCLASSDATA,MATCH("FortitudeSaveTrained",CLASSFEATUREHEADERS,0),MATCH(($A1414 &amp; "Points"),CLASSNAMEHEADERS,0))),"")))))))))}</f>
        <v>FORTITUDEL19</v>
      </c>
      <c r="AA1413" s="230"/>
      <c r="AB1413" s="76" t="str">
        <f t="array" ref="AB1413:AB1414">{"FORTITUDE TOTAL";(IF(COUNTBLANK(G1414:AA1414)=17,"L",(IF(COUNTBLANK(G1414:AA1414)=18,"M",(IF(COUNTBLANK(G1414:AA1414)=19,"E",(IF(COUNTBLANK(G1414:AA1414)=20,"T",""))))))))}</f>
        <v>FORTITUDE TOTAL</v>
      </c>
      <c r="AC1413" s="76" t="str">
        <f t="array" ref="AC1413:AC1414">{"FORTITUDE TOTAL";(sum(G1414:AA1414))}</f>
        <v>FORTITUDE TOTAL</v>
      </c>
    </row>
    <row r="1414">
      <c r="A1414" s="48" t="s">
        <v>219</v>
      </c>
      <c r="B1414" s="48"/>
      <c r="C1414" s="48" t="s">
        <v>418</v>
      </c>
      <c r="D1414" s="48" t="s">
        <v>1549</v>
      </c>
      <c r="E1414" s="48" t="s">
        <v>1550</v>
      </c>
      <c r="F1414" s="5" t="s">
        <v>435</v>
      </c>
      <c r="G1414" s="47" t="s">
        <v>603</v>
      </c>
      <c r="H1414" s="5">
        <v>10.0</v>
      </c>
      <c r="I1414" s="5"/>
      <c r="J1414" s="5">
        <v>50.0</v>
      </c>
      <c r="K1414" s="5"/>
      <c r="L1414" s="5" t="s">
        <v>603</v>
      </c>
      <c r="M1414" s="5"/>
      <c r="N1414" s="5" t="s">
        <v>603</v>
      </c>
      <c r="O1414" s="5"/>
      <c r="P1414" s="5" t="s">
        <v>603</v>
      </c>
      <c r="Q1414" s="5"/>
      <c r="R1414" s="5" t="s">
        <v>603</v>
      </c>
      <c r="S1414" s="5"/>
      <c r="T1414" s="5" t="s">
        <v>603</v>
      </c>
      <c r="U1414" s="5"/>
      <c r="V1414" s="5" t="s">
        <v>603</v>
      </c>
      <c r="W1414" s="5"/>
      <c r="X1414" s="5" t="s">
        <v>603</v>
      </c>
      <c r="Y1414" s="5"/>
      <c r="Z1414" s="5" t="s">
        <v>603</v>
      </c>
      <c r="AA1414" s="5"/>
      <c r="AB1414" s="5" t="s">
        <v>436</v>
      </c>
      <c r="AC1414" s="47">
        <v>60.0</v>
      </c>
    </row>
    <row r="1415" hidden="1">
      <c r="A1415" s="222" t="str">
        <f t="array" ref="A1415:A1416">{"FormulaRow24";(INDEX(CLASSLIST,A1368,1))}</f>
        <v>FormulaRow24</v>
      </c>
      <c r="B1415" s="77" t="s">
        <v>236</v>
      </c>
      <c r="C1415" s="222" t="str">
        <f t="array" ref="C1415:C1416">{"CLASSTYPE";((INDEX(ALLCLASSDATA,MATCH("ClassType",CLASSFEATUREHEADERS,0),MATCH($A1416,CLASSNAMEHEADERS,0))))}</f>
        <v>CLASSTYPE</v>
      </c>
      <c r="D1415" s="222" t="str">
        <f t="array" ref="D1415:D1416">{"SAVES";"Saves"}</f>
        <v>SAVES</v>
      </c>
      <c r="E1415" s="222" t="str">
        <f t="array" ref="E1415:E1416">{"REFLEXSAVE";"ReflexSave"}</f>
        <v>REFLEXSAVE</v>
      </c>
      <c r="F1415" s="223" t="str">
        <f t="array" ref="F1415:F1416">{"REFLEXINITIAL";((IF(H1416=10,"T",(IF(H1416=50,"E","")))))}</f>
        <v>REFLEXINITIAL</v>
      </c>
      <c r="G1415" s="223" t="str">
        <f t="array" ref="G1415:G1416">{"REFLEXINITIALPTS";((IF("00"=(INDEX(ALLCLASSDATA,MATCH("ReflexSaveLegendary",CLASSFEATUREHEADERS,0),MATCH($A1416,CLASSNAMEHEADERS,0))),(INDEX(ALLCLASSDATA,MATCH("ReflexSaveLegendary",CLASSFEATUREHEADERS,0),MATCH(($A1416 &amp; "Points"),CLASSNAMEHEADERS,0))),(IF("00"=(INDEX(ALLCLASSDATA,MATCH("ReflexSaveMaster",CLASSFEATUREHEADERS,0),MATCH($A1416,CLASSNAMEHEADERS,0))),(INDEX(ALLCLASSDATA,MATCH("ReflexSaveMaster",CLASSFEATUREHEADERS,0),MATCH(($A1416 &amp; "Points"),CLASSNAMEHEADERS,0))),(IF("00"=(INDEX(ALLCLASSDATA,MATCH("ReflexSaveExpert",CLASSFEATUREHEADERS,0),MATCH($A1416,CLASSNAMEHEADERS,0))),(INDEX(ALLCLASSDATA,MATCH("ReflexSaveExpert",CLASSFEATUREHEADERS,0),MATCH(($A1416 &amp; "Points"),CLASSNAMEHEADERS,0))),(IF("00"=(INDEX(ALLCLASSDATA,MATCH("ReflexSaveTrained",CLASSFEATUREHEADERS,0),MATCH($A1416,CLASSNAMEHEADERS,0))),(INDEX(ALLCLASSDATA,MATCH("ReflexSaveTrained",CLASSFEATUREHEADERS,0),MATCH(($A1416 &amp; "Points"),CLASSNAMEHEADERS,0))),"")))))))))}</f>
        <v>REFLEXINITIALPTS</v>
      </c>
      <c r="H1415" s="223" t="str">
        <f t="array" ref="H1415:H1416">{"REFLEXL01";((IF("01"=(INDEX(ALLCLASSDATA,MATCH("ReflexSaveLegendary",CLASSFEATUREHEADERS,0),MATCH($A1416,CLASSNAMEHEADERS,0))),(INDEX(ALLCLASSDATA,MATCH("ReflexSaveLegendary",CLASSFEATUREHEADERS,0),MATCH(($A1416 &amp; "Points"),CLASSNAMEHEADERS,0))),(IF("01"=(INDEX(ALLCLASSDATA,MATCH("ReflexSaveMaster",CLASSFEATUREHEADERS,0),MATCH($A1416,CLASSNAMEHEADERS,0))),(INDEX(ALLCLASSDATA,MATCH("ReflexSaveMaster",CLASSFEATUREHEADERS,0),MATCH(($A1416 &amp; "Points"),CLASSNAMEHEADERS,0))),(IF("01"=(INDEX(ALLCLASSDATA,MATCH("ReflexSaveExpert",CLASSFEATUREHEADERS,0),MATCH($A1416,CLASSNAMEHEADERS,0))),(INDEX(ALLCLASSDATA,MATCH("ReflexSaveExpert",CLASSFEATUREHEADERS,0),MATCH(($A1416 &amp; "Points"),CLASSNAMEHEADERS,0))),(IF("01"=(INDEX(ALLCLASSDATA,MATCH("ReflexSaveTrained",CLASSFEATUREHEADERS,0),MATCH($A1416,CLASSNAMEHEADERS,0))),(INDEX(ALLCLASSDATA,MATCH("ReflexSaveTrained",CLASSFEATUREHEADERS,0),MATCH(($A1416 &amp; "Points"),CLASSNAMEHEADERS,0))),"")))))))))}</f>
        <v>REFLEXL01</v>
      </c>
      <c r="I1415" s="223"/>
      <c r="J1415" s="223" t="str">
        <f t="array" ref="J1415:J1416">{"REFLEXL03";((IF("03"=(INDEX(ALLCLASSDATA,MATCH("ReflexSaveLegendary",CLASSFEATUREHEADERS,0),MATCH($A1416,CLASSNAMEHEADERS,0))),(INDEX(ALLCLASSDATA,MATCH("ReflexSaveLegendary",CLASSFEATUREHEADERS,0),MATCH(($A1416 &amp; "Points"),CLASSNAMEHEADERS,0))),(IF("03"=(INDEX(ALLCLASSDATA,MATCH("ReflexSaveMaster",CLASSFEATUREHEADERS,0),MATCH($A1416,CLASSNAMEHEADERS,0))),(INDEX(ALLCLASSDATA,MATCH("ReflexSaveMaster",CLASSFEATUREHEADERS,0),MATCH(($A1416 &amp; "Points"),CLASSNAMEHEADERS,0))),(IF("03"=(INDEX(ALLCLASSDATA,MATCH("ReflexSaveExpert",CLASSFEATUREHEADERS,0),MATCH($A1416,CLASSNAMEHEADERS,0))),(INDEX(ALLCLASSDATA,MATCH("ReflexSaveExpert",CLASSFEATUREHEADERS,0),MATCH(($A1416 &amp; "Points"),CLASSNAMEHEADERS,0))),(IF("03"=(INDEX(ALLCLASSDATA,MATCH("ReflexSaveTrained",CLASSFEATUREHEADERS,0),MATCH($A1416,CLASSNAMEHEADERS,0))),(INDEX(ALLCLASSDATA,MATCH("ReflexSaveTrained",CLASSFEATUREHEADERS,0),MATCH(($A1416 &amp; "Points"),CLASSNAMEHEADERS,0))),"")))))))))}</f>
        <v>REFLEXL03</v>
      </c>
      <c r="K1415" s="223"/>
      <c r="L1415" s="223" t="str">
        <f t="array" ref="L1415:L1416">{"REFLEXL05";((IF("05"=(INDEX(ALLCLASSDATA,MATCH("ReflexSaveLegendary",CLASSFEATUREHEADERS,0),MATCH($A1416,CLASSNAMEHEADERS,0))),(INDEX(ALLCLASSDATA,MATCH("ReflexSaveLegendary",CLASSFEATUREHEADERS,0),MATCH(($A1416 &amp; "Points"),CLASSNAMEHEADERS,0))),(IF("05"=(INDEX(ALLCLASSDATA,MATCH("ReflexSaveMaster",CLASSFEATUREHEADERS,0),MATCH($A1416,CLASSNAMEHEADERS,0))),(INDEX(ALLCLASSDATA,MATCH("ReflexSaveMaster",CLASSFEATUREHEADERS,0),MATCH(($A1416 &amp; "Points"),CLASSNAMEHEADERS,0))),(IF("05"=(INDEX(ALLCLASSDATA,MATCH("ReflexSaveExpert",CLASSFEATUREHEADERS,0),MATCH($A1416,CLASSNAMEHEADERS,0))),(INDEX(ALLCLASSDATA,MATCH("ReflexSaveExpert",CLASSFEATUREHEADERS,0),MATCH(($A1416 &amp; "Points"),CLASSNAMEHEADERS,0))),(IF("05"=(INDEX(ALLCLASSDATA,MATCH("ReflexSaveTrained",CLASSFEATUREHEADERS,0),MATCH($A1416,CLASSNAMEHEADERS,0))),(INDEX(ALLCLASSDATA,MATCH("ReflexSaveTrained",CLASSFEATUREHEADERS,0),MATCH(($A1416 &amp; "Points"),CLASSNAMEHEADERS,0))),"")))))))))}</f>
        <v>REFLEXL05</v>
      </c>
      <c r="M1415" s="223"/>
      <c r="N1415" s="223" t="str">
        <f t="array" ref="N1415:N1416">{"REFLEXL07";((IF("07"=(INDEX(ALLCLASSDATA,MATCH("ReflexSaveLegendary",CLASSFEATUREHEADERS,0),MATCH($A1416,CLASSNAMEHEADERS,0))),(INDEX(ALLCLASSDATA,MATCH("ReflexSaveLegendary",CLASSFEATUREHEADERS,0),MATCH(($A1416 &amp; "Points"),CLASSNAMEHEADERS,0))),(IF("07"=(INDEX(ALLCLASSDATA,MATCH("ReflexSaveMaster",CLASSFEATUREHEADERS,0),MATCH($A1416,CLASSNAMEHEADERS,0))),(INDEX(ALLCLASSDATA,MATCH("ReflexSaveMaster",CLASSFEATUREHEADERS,0),MATCH(($A1416 &amp; "Points"),CLASSNAMEHEADERS,0))),(IF("07"=(INDEX(ALLCLASSDATA,MATCH("ReflexSaveExpert",CLASSFEATUREHEADERS,0),MATCH($A1416,CLASSNAMEHEADERS,0))),(INDEX(ALLCLASSDATA,MATCH("ReflexSaveExpert",CLASSFEATUREHEADERS,0),MATCH(($A1416 &amp; "Points"),CLASSNAMEHEADERS,0))),(IF("07"=(INDEX(ALLCLASSDATA,MATCH("ReflexSaveTrained",CLASSFEATUREHEADERS,0),MATCH($A1416,CLASSNAMEHEADERS,0))),(INDEX(ALLCLASSDATA,MATCH("ReflexSaveTrained",CLASSFEATUREHEADERS,0),MATCH(($A1416 &amp; "Points"),CLASSNAMEHEADERS,0))),"")))))))))}</f>
        <v>REFLEXL07</v>
      </c>
      <c r="O1415" s="223"/>
      <c r="P1415" s="223" t="str">
        <f t="array" ref="P1415:P1416">{"REFLEXL09";((IF("09"=(INDEX(ALLCLASSDATA,MATCH("ReflexSaveLegendary",CLASSFEATUREHEADERS,0),MATCH($A1416,CLASSNAMEHEADERS,0))),(INDEX(ALLCLASSDATA,MATCH("ReflexSaveLegendary",CLASSFEATUREHEADERS,0),MATCH(($A1416 &amp; "Points"),CLASSNAMEHEADERS,0))),(IF("09"=(INDEX(ALLCLASSDATA,MATCH("ReflexSaveMaster",CLASSFEATUREHEADERS,0),MATCH($A1416,CLASSNAMEHEADERS,0))),(INDEX(ALLCLASSDATA,MATCH("ReflexSaveMaster",CLASSFEATUREHEADERS,0),MATCH(($A1416 &amp; "Points"),CLASSNAMEHEADERS,0))),(IF("09"=(INDEX(ALLCLASSDATA,MATCH("ReflexSaveExpert",CLASSFEATUREHEADERS,0),MATCH($A1416,CLASSNAMEHEADERS,0))),(INDEX(ALLCLASSDATA,MATCH("ReflexSaveExpert",CLASSFEATUREHEADERS,0),MATCH(($A1416 &amp; "Points"),CLASSNAMEHEADERS,0))),(IF("09"=(INDEX(ALLCLASSDATA,MATCH("ReflexSaveTrained",CLASSFEATUREHEADERS,0),MATCH($A1416,CLASSNAMEHEADERS,0))),(INDEX(ALLCLASSDATA,MATCH("ReflexSaveTrained",CLASSFEATUREHEADERS,0),MATCH(($A1416 &amp; "Points"),CLASSNAMEHEADERS,0))),"")))))))))}</f>
        <v>REFLEXL09</v>
      </c>
      <c r="Q1415" s="223"/>
      <c r="R1415" s="223" t="str">
        <f t="array" ref="R1415:R1416">{"REFLEXL11";((IF("11"=(INDEX(ALLCLASSDATA,MATCH("ReflexSaveLegendary",CLASSFEATUREHEADERS,0),MATCH($A1416,CLASSNAMEHEADERS,0))),(INDEX(ALLCLASSDATA,MATCH("ReflexSaveLegendary",CLASSFEATUREHEADERS,0),MATCH(($A1416 &amp; "Points"),CLASSNAMEHEADERS,0))),(IF("11"=(INDEX(ALLCLASSDATA,MATCH("ReflexSaveMaster",CLASSFEATUREHEADERS,0),MATCH($A1416,CLASSNAMEHEADERS,0))),(INDEX(ALLCLASSDATA,MATCH("ReflexSaveMaster",CLASSFEATUREHEADERS,0),MATCH(($A1416 &amp; "Points"),CLASSNAMEHEADERS,0))),(IF("11"=(INDEX(ALLCLASSDATA,MATCH("ReflexSaveExpert",CLASSFEATUREHEADERS,0),MATCH($A1416,CLASSNAMEHEADERS,0))),(INDEX(ALLCLASSDATA,MATCH("ReflexSaveExpert",CLASSFEATUREHEADERS,0),MATCH(($A1416 &amp; "Points"),CLASSNAMEHEADERS,0))),(IF("11"=(INDEX(ALLCLASSDATA,MATCH("ReflexSaveTrained",CLASSFEATUREHEADERS,0),MATCH($A1416,CLASSNAMEHEADERS,0))),(INDEX(ALLCLASSDATA,MATCH("ReflexSaveTrained",CLASSFEATUREHEADERS,0),MATCH(($A1416 &amp; "Points"),CLASSNAMEHEADERS,0))),"")))))))))}</f>
        <v>REFLEXL11</v>
      </c>
      <c r="S1415" s="223"/>
      <c r="T1415" s="223" t="str">
        <f t="array" ref="T1415:T1416">{"REFLEXL13";((IF("13"=(INDEX(ALLCLASSDATA,MATCH("ReflexSaveLegendary",CLASSFEATUREHEADERS,0),MATCH($A1416,CLASSNAMEHEADERS,0))),(INDEX(ALLCLASSDATA,MATCH("ReflexSaveLegendary",CLASSFEATUREHEADERS,0),MATCH(($A1416 &amp; "Points"),CLASSNAMEHEADERS,0))),(IF("13"=(INDEX(ALLCLASSDATA,MATCH("ReflexSaveMaster",CLASSFEATUREHEADERS,0),MATCH($A1416,CLASSNAMEHEADERS,0))),(INDEX(ALLCLASSDATA,MATCH("ReflexSaveMaster",CLASSFEATUREHEADERS,0),MATCH(($A1416 &amp; "Points"),CLASSNAMEHEADERS,0))),(IF("13"=(INDEX(ALLCLASSDATA,MATCH("ReflexSaveExpert",CLASSFEATUREHEADERS,0),MATCH($A1416,CLASSNAMEHEADERS,0))),(INDEX(ALLCLASSDATA,MATCH("ReflexSaveExpert",CLASSFEATUREHEADERS,0),MATCH(($A1416 &amp; "Points"),CLASSNAMEHEADERS,0))),(IF("13"=(INDEX(ALLCLASSDATA,MATCH("ReflexSaveTrained",CLASSFEATUREHEADERS,0),MATCH($A1416,CLASSNAMEHEADERS,0))),(INDEX(ALLCLASSDATA,MATCH("ReflexSaveTrained",CLASSFEATUREHEADERS,0),MATCH(($A1416 &amp; "Points"),CLASSNAMEHEADERS,0))),"")))))))))}</f>
        <v>REFLEXL13</v>
      </c>
      <c r="U1415" s="223"/>
      <c r="V1415" s="223" t="str">
        <f t="array" ref="V1415:V1416">{"REFLEXL15";((IF("15"=(INDEX(ALLCLASSDATA,MATCH("ReflexSaveLegendary",CLASSFEATUREHEADERS,0),MATCH($A1416,CLASSNAMEHEADERS,0))),(INDEX(ALLCLASSDATA,MATCH("ReflexSaveLegendary",CLASSFEATUREHEADERS,0),MATCH(($A1416 &amp; "Points"),CLASSNAMEHEADERS,0))),(IF("15"=(INDEX(ALLCLASSDATA,MATCH("ReflexSaveMaster",CLASSFEATUREHEADERS,0),MATCH($A1416,CLASSNAMEHEADERS,0))),(INDEX(ALLCLASSDATA,MATCH("ReflexSaveMaster",CLASSFEATUREHEADERS,0),MATCH(($A1416 &amp; "Points"),CLASSNAMEHEADERS,0))),(IF("15"=(INDEX(ALLCLASSDATA,MATCH("ReflexSaveExpert",CLASSFEATUREHEADERS,0),MATCH($A1416,CLASSNAMEHEADERS,0))),(INDEX(ALLCLASSDATA,MATCH("ReflexSaveExpert",CLASSFEATUREHEADERS,0),MATCH(($A1416 &amp; "Points"),CLASSNAMEHEADERS,0))),(IF("15"=(INDEX(ALLCLASSDATA,MATCH("ReflexSaveTrained",CLASSFEATUREHEADERS,0),MATCH($A1416,CLASSNAMEHEADERS,0))),(INDEX(ALLCLASSDATA,MATCH("ReflexSaveTrained",CLASSFEATUREHEADERS,0),MATCH(($A1416 &amp; "Points"),CLASSNAMEHEADERS,0))),"")))))))))}</f>
        <v>REFLEXL15</v>
      </c>
      <c r="W1415" s="223"/>
      <c r="X1415" s="223" t="str">
        <f t="array" ref="X1415:X1416">{"REFLEXL17";((IF("17"=(INDEX(ALLCLASSDATA,MATCH("ReflexSaveLegendary",CLASSFEATUREHEADERS,0),MATCH($A1416,CLASSNAMEHEADERS,0))),(INDEX(ALLCLASSDATA,MATCH("ReflexSaveLegendary",CLASSFEATUREHEADERS,0),MATCH(($A1416 &amp; "Points"),CLASSNAMEHEADERS,0))),(IF("17"=(INDEX(ALLCLASSDATA,MATCH("ReflexSaveMaster",CLASSFEATUREHEADERS,0),MATCH($A1416,CLASSNAMEHEADERS,0))),(INDEX(ALLCLASSDATA,MATCH("ReflexSaveMaster",CLASSFEATUREHEADERS,0),MATCH(($A1416 &amp; "Points"),CLASSNAMEHEADERS,0))),(IF("17"=(INDEX(ALLCLASSDATA,MATCH("ReflexSaveExpert",CLASSFEATUREHEADERS,0),MATCH($A1416,CLASSNAMEHEADERS,0))),(INDEX(ALLCLASSDATA,MATCH("ReflexSaveExpert",CLASSFEATUREHEADERS,0),MATCH(($A1416 &amp; "Points"),CLASSNAMEHEADERS,0))),(IF("17"=(INDEX(ALLCLASSDATA,MATCH("ReflexSaveTrained",CLASSFEATUREHEADERS,0),MATCH($A1416,CLASSNAMEHEADERS,0))),(INDEX(ALLCLASSDATA,MATCH("ReflexSaveTrained",CLASSFEATUREHEADERS,0),MATCH(($A1416 &amp; "Points"),CLASSNAMEHEADERS,0))),"")))))))))}</f>
        <v>REFLEXL17</v>
      </c>
      <c r="Y1415" s="223"/>
      <c r="Z1415" s="223" t="str">
        <f t="array" ref="Z1415:Z1416">{"REFLEXL19";((IF("19"=(INDEX(ALLCLASSDATA,MATCH("ReflexSaveLegendary",CLASSFEATUREHEADERS,0),MATCH($A1416,CLASSNAMEHEADERS,0))),(INDEX(ALLCLASSDATA,MATCH("ReflexSaveLegendary",CLASSFEATUREHEADERS,0),MATCH(($A1416 &amp; "Points"),CLASSNAMEHEADERS,0))),(IF("19"=(INDEX(ALLCLASSDATA,MATCH("ReflexSaveMaster",CLASSFEATUREHEADERS,0),MATCH($A1416,CLASSNAMEHEADERS,0))),(INDEX(ALLCLASSDATA,MATCH("ReflexSaveMaster",CLASSFEATUREHEADERS,0),MATCH(($A1416 &amp; "Points"),CLASSNAMEHEADERS,0))),(IF("19"=(INDEX(ALLCLASSDATA,MATCH("ReflexSaveExpert",CLASSFEATUREHEADERS,0),MATCH($A1416,CLASSNAMEHEADERS,0))),(INDEX(ALLCLASSDATA,MATCH("ReflexSaveExpert",CLASSFEATUREHEADERS,0),MATCH(($A1416 &amp; "Points"),CLASSNAMEHEADERS,0))),(IF("19"=(INDEX(ALLCLASSDATA,MATCH("ReflexSaveTrained",CLASSFEATUREHEADERS,0),MATCH($A1416,CLASSNAMEHEADERS,0))),(INDEX(ALLCLASSDATA,MATCH("ReflexSaveTrained",CLASSFEATUREHEADERS,0),MATCH(($A1416 &amp; "Points"),CLASSNAMEHEADERS,0))),"")))))))))}</f>
        <v>REFLEXL19</v>
      </c>
      <c r="AA1415" s="223"/>
      <c r="AB1415" s="76" t="str">
        <f t="array" ref="AB1415:AB1416">{"REFLEX TOTAL";(IF(COUNTBLANK(G1416:AA1416)=17,"L",(IF(COUNTBLANK(G1416:AA1416)=18,"M",(IF(COUNTBLANK(G1416:AA1416)=19,"E",(IF(COUNTBLANK(G1416:AA1416)=20,"T",""))))))))}</f>
        <v>REFLEX TOTAL</v>
      </c>
      <c r="AC1415" s="76" t="str">
        <f t="array" ref="AC1415:AC1416">{"REFLEX TOTAL";(sum(G1416:AA1416))}</f>
        <v>REFLEX TOTAL</v>
      </c>
    </row>
    <row r="1416">
      <c r="A1416" s="48" t="s">
        <v>219</v>
      </c>
      <c r="B1416" s="48"/>
      <c r="C1416" s="48" t="s">
        <v>418</v>
      </c>
      <c r="D1416" s="48" t="s">
        <v>1549</v>
      </c>
      <c r="E1416" s="48" t="s">
        <v>1572</v>
      </c>
      <c r="F1416" s="5" t="s">
        <v>435</v>
      </c>
      <c r="G1416" s="47" t="s">
        <v>603</v>
      </c>
      <c r="H1416" s="5">
        <v>10.0</v>
      </c>
      <c r="I1416" s="5"/>
      <c r="J1416" s="5" t="s">
        <v>603</v>
      </c>
      <c r="K1416" s="5"/>
      <c r="L1416" s="5" t="s">
        <v>603</v>
      </c>
      <c r="M1416" s="5"/>
      <c r="N1416" s="5" t="s">
        <v>603</v>
      </c>
      <c r="O1416" s="5"/>
      <c r="P1416" s="5" t="s">
        <v>603</v>
      </c>
      <c r="Q1416" s="5"/>
      <c r="R1416" s="5">
        <v>50.0</v>
      </c>
      <c r="S1416" s="5"/>
      <c r="T1416" s="5" t="s">
        <v>603</v>
      </c>
      <c r="U1416" s="5"/>
      <c r="V1416" s="5" t="s">
        <v>603</v>
      </c>
      <c r="W1416" s="5"/>
      <c r="X1416" s="5" t="s">
        <v>603</v>
      </c>
      <c r="Y1416" s="5"/>
      <c r="Z1416" s="5" t="s">
        <v>603</v>
      </c>
      <c r="AA1416" s="5"/>
      <c r="AB1416" s="5" t="s">
        <v>436</v>
      </c>
      <c r="AC1416" s="47">
        <v>60.0</v>
      </c>
    </row>
    <row r="1417" hidden="1">
      <c r="A1417" s="222" t="str">
        <f t="array" ref="A1417:A1418">{"FormulaRow25";(INDEX(CLASSLIST,A1368,1))}</f>
        <v>FormulaRow25</v>
      </c>
      <c r="B1417" s="77" t="s">
        <v>236</v>
      </c>
      <c r="C1417" s="222" t="str">
        <f t="array" ref="C1417:C1418">{"CLASSTYPE";((INDEX(ALLCLASSDATA,MATCH("ClassType",CLASSFEATUREHEADERS,0),MATCH($A1418,CLASSNAMEHEADERS,0))))}</f>
        <v>CLASSTYPE</v>
      </c>
      <c r="D1417" s="222" t="str">
        <f t="array" ref="D1417:D1418">{"SAVES";"Saves"}</f>
        <v>SAVES</v>
      </c>
      <c r="E1417" s="222" t="str">
        <f t="array" ref="E1417:E1418">{"WILLSAVE";"WillSave"}</f>
        <v>WILLSAVE</v>
      </c>
      <c r="F1417" s="223" t="str">
        <f t="array" ref="F1417:F1418">{"WILLINITIAL";((IF(H1418=10,"T",(IF(H1418=50,"E","")))))}</f>
        <v>WILLINITIAL</v>
      </c>
      <c r="G1417" s="223" t="str">
        <f t="array" ref="G1417:G1418">{"WILLINITIALPTS";((IF("00"=(INDEX(ALLCLASSDATA,MATCH("WillSaveLegendary",CLASSFEATUREHEADERS,0),MATCH($A1418,CLASSNAMEHEADERS,0))),(INDEX(ALLCLASSDATA,MATCH("WillSaveLegendary",CLASSFEATUREHEADERS,0),MATCH(($A1418 &amp; "Points"),CLASSNAMEHEADERS,0))),(IF("00"=(INDEX(ALLCLASSDATA,MATCH("WillSaveMaster",CLASSFEATUREHEADERS,0),MATCH($A1418,CLASSNAMEHEADERS,0))),(INDEX(ALLCLASSDATA,MATCH("WillSaveMaster",CLASSFEATUREHEADERS,0),MATCH(($A1418 &amp; "Points"),CLASSNAMEHEADERS,0))),(IF("00"=(INDEX(ALLCLASSDATA,MATCH("WillSaveExpert",CLASSFEATUREHEADERS,0),MATCH($A1418,CLASSNAMEHEADERS,0))),(INDEX(ALLCLASSDATA,MATCH("WillSaveExpert",CLASSFEATUREHEADERS,0),MATCH(($A1418 &amp; "Points"),CLASSNAMEHEADERS,0))),(IF("00"=(INDEX(ALLCLASSDATA,MATCH("WillSaveTrained",CLASSFEATUREHEADERS,0),MATCH($A1418,CLASSNAMEHEADERS,0))),(INDEX(ALLCLASSDATA,MATCH("WillSaveTrained",CLASSFEATUREHEADERS,0),MATCH(($A1418 &amp; "Points"),CLASSNAMEHEADERS,0))),"")))))))))}</f>
        <v>WILLINITIALPTS</v>
      </c>
      <c r="H1417" s="223" t="str">
        <f t="array" ref="H1417:H1418">{"WILLL01";((IF("01"=(INDEX(ALLCLASSDATA,MATCH("WillSaveLegendary",CLASSFEATUREHEADERS,0),MATCH($A1418,CLASSNAMEHEADERS,0))),(INDEX(ALLCLASSDATA,MATCH("WillSaveLegendary",CLASSFEATUREHEADERS,0),MATCH(($A1418 &amp; "Points"),CLASSNAMEHEADERS,0))),(IF("01"=(INDEX(ALLCLASSDATA,MATCH("WillSaveMaster",CLASSFEATUREHEADERS,0),MATCH($A1418,CLASSNAMEHEADERS,0))),(INDEX(ALLCLASSDATA,MATCH("WillSaveMaster",CLASSFEATUREHEADERS,0),MATCH(($A1418 &amp; "Points"),CLASSNAMEHEADERS,0))),(IF("01"=(INDEX(ALLCLASSDATA,MATCH("WillSaveExpert",CLASSFEATUREHEADERS,0),MATCH($A1418,CLASSNAMEHEADERS,0))),(INDEX(ALLCLASSDATA,MATCH("WillSaveExpert",CLASSFEATUREHEADERS,0),MATCH(($A1418 &amp; "Points"),CLASSNAMEHEADERS,0))),(IF("01"=(INDEX(ALLCLASSDATA,MATCH("WillSaveTrained",CLASSFEATUREHEADERS,0),MATCH($A1418,CLASSNAMEHEADERS,0))),(INDEX(ALLCLASSDATA,MATCH("WillSaveTrained",CLASSFEATUREHEADERS,0),MATCH(($A1418 &amp; "Points"),CLASSNAMEHEADERS,0))),"")))))))))}</f>
        <v>WILLL01</v>
      </c>
      <c r="I1417" s="223"/>
      <c r="J1417" s="223" t="str">
        <f t="array" ref="J1417:J1418">{"WILLL03";((IF("03"=(INDEX(ALLCLASSDATA,MATCH("WillSaveLegendary",CLASSFEATUREHEADERS,0),MATCH($A1418,CLASSNAMEHEADERS,0))),(INDEX(ALLCLASSDATA,MATCH("WillSaveLegendary",CLASSFEATUREHEADERS,0),MATCH(($A1418 &amp; "Points"),CLASSNAMEHEADERS,0))),(IF("03"=(INDEX(ALLCLASSDATA,MATCH("WillSaveMaster",CLASSFEATUREHEADERS,0),MATCH($A1418,CLASSNAMEHEADERS,0))),(INDEX(ALLCLASSDATA,MATCH("WillSaveMaster",CLASSFEATUREHEADERS,0),MATCH(($A1418 &amp; "Points"),CLASSNAMEHEADERS,0))),(IF("03"=(INDEX(ALLCLASSDATA,MATCH("WillSaveExpert",CLASSFEATUREHEADERS,0),MATCH($A1418,CLASSNAMEHEADERS,0))),(INDEX(ALLCLASSDATA,MATCH("WillSaveExpert",CLASSFEATUREHEADERS,0),MATCH(($A1418 &amp; "Points"),CLASSNAMEHEADERS,0))),(IF("03"=(INDEX(ALLCLASSDATA,MATCH("WillSaveTrained",CLASSFEATUREHEADERS,0),MATCH($A1418,CLASSNAMEHEADERS,0))),(INDEX(ALLCLASSDATA,MATCH("WillSaveTrained",CLASSFEATUREHEADERS,0),MATCH(($A1418 &amp; "Points"),CLASSNAMEHEADERS,0))),"")))))))))}</f>
        <v>WILLL03</v>
      </c>
      <c r="K1417" s="223"/>
      <c r="L1417" s="223" t="str">
        <f t="array" ref="L1417:L1418">{"WILLL05";((IF("05"=(INDEX(ALLCLASSDATA,MATCH("WillSaveLegendary",CLASSFEATUREHEADERS,0),MATCH($A1418,CLASSNAMEHEADERS,0))),(INDEX(ALLCLASSDATA,MATCH("WillSaveLegendary",CLASSFEATUREHEADERS,0),MATCH(($A1418 &amp; "Points"),CLASSNAMEHEADERS,0))),(IF("05"=(INDEX(ALLCLASSDATA,MATCH("WillSaveMaster",CLASSFEATUREHEADERS,0),MATCH($A1418,CLASSNAMEHEADERS,0))),(INDEX(ALLCLASSDATA,MATCH("WillSaveMaster",CLASSFEATUREHEADERS,0),MATCH(($A1418 &amp; "Points"),CLASSNAMEHEADERS,0))),(IF("05"=(INDEX(ALLCLASSDATA,MATCH("WillSaveExpert",CLASSFEATUREHEADERS,0),MATCH($A1418,CLASSNAMEHEADERS,0))),(INDEX(ALLCLASSDATA,MATCH("WillSaveExpert",CLASSFEATUREHEADERS,0),MATCH(($A1418 &amp; "Points"),CLASSNAMEHEADERS,0))),(IF("05"=(INDEX(ALLCLASSDATA,MATCH("WillSaveTrained",CLASSFEATUREHEADERS,0),MATCH($A1418,CLASSNAMEHEADERS,0))),(INDEX(ALLCLASSDATA,MATCH("WillSaveTrained",CLASSFEATUREHEADERS,0),MATCH(($A1418 &amp; "Points"),CLASSNAMEHEADERS,0))),"")))))))))}</f>
        <v>WILLL05</v>
      </c>
      <c r="M1417" s="223"/>
      <c r="N1417" s="223" t="str">
        <f t="array" ref="N1417:N1418">{"WILLL07";((IF("07"=(INDEX(ALLCLASSDATA,MATCH("WillSaveLegendary",CLASSFEATUREHEADERS,0),MATCH($A1418,CLASSNAMEHEADERS,0))),(INDEX(ALLCLASSDATA,MATCH("WillSaveLegendary",CLASSFEATUREHEADERS,0),MATCH(($A1418 &amp; "Points"),CLASSNAMEHEADERS,0))),(IF("07"=(INDEX(ALLCLASSDATA,MATCH("WillSaveMaster",CLASSFEATUREHEADERS,0),MATCH($A1418,CLASSNAMEHEADERS,0))),(INDEX(ALLCLASSDATA,MATCH("WillSaveMaster",CLASSFEATUREHEADERS,0),MATCH(($A1418 &amp; "Points"),CLASSNAMEHEADERS,0))),(IF("07"=(INDEX(ALLCLASSDATA,MATCH("WillSaveExpert",CLASSFEATUREHEADERS,0),MATCH($A1418,CLASSNAMEHEADERS,0))),(INDEX(ALLCLASSDATA,MATCH("WillSaveExpert",CLASSFEATUREHEADERS,0),MATCH(($A1418 &amp; "Points"),CLASSNAMEHEADERS,0))),(IF("07"=(INDEX(ALLCLASSDATA,MATCH("WillSaveTrained",CLASSFEATUREHEADERS,0),MATCH($A1418,CLASSNAMEHEADERS,0))),(INDEX(ALLCLASSDATA,MATCH("WillSaveTrained",CLASSFEATUREHEADERS,0),MATCH(($A1418 &amp; "Points"),CLASSNAMEHEADERS,0))),"")))))))))}</f>
        <v>WILLL07</v>
      </c>
      <c r="O1417" s="223"/>
      <c r="P1417" s="223" t="str">
        <f t="array" ref="P1417:P1418">{"WILLL09";((IF("09"=(INDEX(ALLCLASSDATA,MATCH("WillSaveLegendary",CLASSFEATUREHEADERS,0),MATCH($A1418,CLASSNAMEHEADERS,0))),(INDEX(ALLCLASSDATA,MATCH("WillSaveLegendary",CLASSFEATUREHEADERS,0),MATCH(($A1418 &amp; "Points"),CLASSNAMEHEADERS,0))),(IF("09"=(INDEX(ALLCLASSDATA,MATCH("WillSaveMaster",CLASSFEATUREHEADERS,0),MATCH($A1418,CLASSNAMEHEADERS,0))),(INDEX(ALLCLASSDATA,MATCH("WillSaveMaster",CLASSFEATUREHEADERS,0),MATCH(($A1418 &amp; "Points"),CLASSNAMEHEADERS,0))),(IF("09"=(INDEX(ALLCLASSDATA,MATCH("WillSaveExpert",CLASSFEATUREHEADERS,0),MATCH($A1418,CLASSNAMEHEADERS,0))),(INDEX(ALLCLASSDATA,MATCH("WillSaveExpert",CLASSFEATUREHEADERS,0),MATCH(($A1418 &amp; "Points"),CLASSNAMEHEADERS,0))),(IF("09"=(INDEX(ALLCLASSDATA,MATCH("WillSaveTrained",CLASSFEATUREHEADERS,0),MATCH($A1418,CLASSNAMEHEADERS,0))),(INDEX(ALLCLASSDATA,MATCH("WillSaveTrained",CLASSFEATUREHEADERS,0),MATCH(($A1418 &amp; "Points"),CLASSNAMEHEADERS,0))),"")))))))))}</f>
        <v>WILLL09</v>
      </c>
      <c r="Q1417" s="223"/>
      <c r="R1417" s="223" t="str">
        <f t="array" ref="R1417:R1418">{"WILLL11";((IF("11"=(INDEX(ALLCLASSDATA,MATCH("WillSaveLegendary",CLASSFEATUREHEADERS,0),MATCH($A1418,CLASSNAMEHEADERS,0))),(INDEX(ALLCLASSDATA,MATCH("WillSaveLegendary",CLASSFEATUREHEADERS,0),MATCH(($A1418 &amp; "Points"),CLASSNAMEHEADERS,0))),(IF("11"=(INDEX(ALLCLASSDATA,MATCH("WillSaveMaster",CLASSFEATUREHEADERS,0),MATCH($A1418,CLASSNAMEHEADERS,0))),(INDEX(ALLCLASSDATA,MATCH("WillSaveMaster",CLASSFEATUREHEADERS,0),MATCH(($A1418 &amp; "Points"),CLASSNAMEHEADERS,0))),(IF("11"=(INDEX(ALLCLASSDATA,MATCH("WillSaveExpert",CLASSFEATUREHEADERS,0),MATCH($A1418,CLASSNAMEHEADERS,0))),(INDEX(ALLCLASSDATA,MATCH("WillSaveExpert",CLASSFEATUREHEADERS,0),MATCH(($A1418 &amp; "Points"),CLASSNAMEHEADERS,0))),(IF("11"=(INDEX(ALLCLASSDATA,MATCH("WillSaveTrained",CLASSFEATUREHEADERS,0),MATCH($A1418,CLASSNAMEHEADERS,0))),(INDEX(ALLCLASSDATA,MATCH("WillSaveTrained",CLASSFEATUREHEADERS,0),MATCH(($A1418 &amp; "Points"),CLASSNAMEHEADERS,0))),"")))))))))}</f>
        <v>WILLL11</v>
      </c>
      <c r="S1417" s="223"/>
      <c r="T1417" s="223" t="str">
        <f t="array" ref="T1417:T1418">{"WILLL13";((IF("13"=(INDEX(ALLCLASSDATA,MATCH("WillSaveLegendary",CLASSFEATUREHEADERS,0),MATCH($A1418,CLASSNAMEHEADERS,0))),(INDEX(ALLCLASSDATA,MATCH("WillSaveLegendary",CLASSFEATUREHEADERS,0),MATCH(($A1418 &amp; "Points"),CLASSNAMEHEADERS,0))),(IF("13"=(INDEX(ALLCLASSDATA,MATCH("WillSaveMaster",CLASSFEATUREHEADERS,0),MATCH($A1418,CLASSNAMEHEADERS,0))),(INDEX(ALLCLASSDATA,MATCH("WillSaveMaster",CLASSFEATUREHEADERS,0),MATCH(($A1418 &amp; "Points"),CLASSNAMEHEADERS,0))),(IF("13"=(INDEX(ALLCLASSDATA,MATCH("WillSaveExpert",CLASSFEATUREHEADERS,0),MATCH($A1418,CLASSNAMEHEADERS,0))),(INDEX(ALLCLASSDATA,MATCH("WillSaveExpert",CLASSFEATUREHEADERS,0),MATCH(($A1418 &amp; "Points"),CLASSNAMEHEADERS,0))),(IF("13"=(INDEX(ALLCLASSDATA,MATCH("WillSaveTrained",CLASSFEATUREHEADERS,0),MATCH($A1418,CLASSNAMEHEADERS,0))),(INDEX(ALLCLASSDATA,MATCH("WillSaveTrained",CLASSFEATUREHEADERS,0),MATCH(($A1418 &amp; "Points"),CLASSNAMEHEADERS,0))),"")))))))))}</f>
        <v>WILLL13</v>
      </c>
      <c r="U1417" s="223"/>
      <c r="V1417" s="223" t="str">
        <f t="array" ref="V1417:V1418">{"WILLL15";((IF("15"=(INDEX(ALLCLASSDATA,MATCH("WillSaveLegendary",CLASSFEATUREHEADERS,0),MATCH($A1418,CLASSNAMEHEADERS,0))),(INDEX(ALLCLASSDATA,MATCH("WillSaveLegendary",CLASSFEATUREHEADERS,0),MATCH(($A1418 &amp; "Points"),CLASSNAMEHEADERS,0))),(IF("15"=(INDEX(ALLCLASSDATA,MATCH("WillSaveMaster",CLASSFEATUREHEADERS,0),MATCH($A1418,CLASSNAMEHEADERS,0))),(INDEX(ALLCLASSDATA,MATCH("WillSaveMaster",CLASSFEATUREHEADERS,0),MATCH(($A1418 &amp; "Points"),CLASSNAMEHEADERS,0))),(IF("15"=(INDEX(ALLCLASSDATA,MATCH("WillSaveExpert",CLASSFEATUREHEADERS,0),MATCH($A1418,CLASSNAMEHEADERS,0))),(INDEX(ALLCLASSDATA,MATCH("WillSaveExpert",CLASSFEATUREHEADERS,0),MATCH(($A1418 &amp; "Points"),CLASSNAMEHEADERS,0))),(IF("15"=(INDEX(ALLCLASSDATA,MATCH("WillSaveTrained",CLASSFEATUREHEADERS,0),MATCH($A1418,CLASSNAMEHEADERS,0))),(INDEX(ALLCLASSDATA,MATCH("WillSaveTrained",CLASSFEATUREHEADERS,0),MATCH(($A1418 &amp; "Points"),CLASSNAMEHEADERS,0))),"")))))))))}</f>
        <v>WILLL15</v>
      </c>
      <c r="W1417" s="223"/>
      <c r="X1417" s="223" t="str">
        <f t="array" ref="X1417:X1418">{"WILLL17";((IF("17"=(INDEX(ALLCLASSDATA,MATCH("WillSaveLegendary",CLASSFEATUREHEADERS,0),MATCH($A1418,CLASSNAMEHEADERS,0))),(INDEX(ALLCLASSDATA,MATCH("WillSaveLegendary",CLASSFEATUREHEADERS,0),MATCH(($A1418 &amp; "Points"),CLASSNAMEHEADERS,0))),(IF("17"=(INDEX(ALLCLASSDATA,MATCH("WillSaveMaster",CLASSFEATUREHEADERS,0),MATCH($A1418,CLASSNAMEHEADERS,0))),(INDEX(ALLCLASSDATA,MATCH("WillSaveMaster",CLASSFEATUREHEADERS,0),MATCH(($A1418 &amp; "Points"),CLASSNAMEHEADERS,0))),(IF("17"=(INDEX(ALLCLASSDATA,MATCH("WillSaveExpert",CLASSFEATUREHEADERS,0),MATCH($A1418,CLASSNAMEHEADERS,0))),(INDEX(ALLCLASSDATA,MATCH("WillSaveExpert",CLASSFEATUREHEADERS,0),MATCH(($A1418 &amp; "Points"),CLASSNAMEHEADERS,0))),(IF("17"=(INDEX(ALLCLASSDATA,MATCH("WillSaveTrained",CLASSFEATUREHEADERS,0),MATCH($A1418,CLASSNAMEHEADERS,0))),(INDEX(ALLCLASSDATA,MATCH("WillSaveTrained",CLASSFEATUREHEADERS,0),MATCH(($A1418 &amp; "Points"),CLASSNAMEHEADERS,0))),"")))))))))}</f>
        <v>WILLL17</v>
      </c>
      <c r="Y1417" s="223"/>
      <c r="Z1417" s="223" t="str">
        <f t="array" ref="Z1417:Z1418">{"WILLL19";((IF("19"=(INDEX(ALLCLASSDATA,MATCH("WillSaveLegendary",CLASSFEATUREHEADERS,0),MATCH($A1418,CLASSNAMEHEADERS,0))),(INDEX(ALLCLASSDATA,MATCH("WillSaveLegendary",CLASSFEATUREHEADERS,0),MATCH(($A1418 &amp; "Points"),CLASSNAMEHEADERS,0))),(IF("19"=(INDEX(ALLCLASSDATA,MATCH("WillSaveMaster",CLASSFEATUREHEADERS,0),MATCH($A1418,CLASSNAMEHEADERS,0))),(INDEX(ALLCLASSDATA,MATCH("WillSaveMaster",CLASSFEATUREHEADERS,0),MATCH(($A1418 &amp; "Points"),CLASSNAMEHEADERS,0))),(IF("19"=(INDEX(ALLCLASSDATA,MATCH("WillSaveExpert",CLASSFEATUREHEADERS,0),MATCH($A1418,CLASSNAMEHEADERS,0))),(INDEX(ALLCLASSDATA,MATCH("WillSaveExpert",CLASSFEATUREHEADERS,0),MATCH(($A1418 &amp; "Points"),CLASSNAMEHEADERS,0))),(IF("19"=(INDEX(ALLCLASSDATA,MATCH("WillSaveTrained",CLASSFEATUREHEADERS,0),MATCH($A1418,CLASSNAMEHEADERS,0))),(INDEX(ALLCLASSDATA,MATCH("WillSaveTrained",CLASSFEATUREHEADERS,0),MATCH(($A1418 &amp; "Points"),CLASSNAMEHEADERS,0))),"")))))))))}</f>
        <v>WILLL19</v>
      </c>
      <c r="AA1417" s="223"/>
      <c r="AB1417" s="76" t="str">
        <f t="array" ref="AB1417:AB1418">{"WILL TOTAL";(IF(COUNTBLANK(G1418:AA1418)=17,"L",(IF(COUNTBLANK(G1418:AA1418)=18,"M",(IF(COUNTBLANK(G1418:AA1418)=19,"E",(IF(COUNTBLANK(G1418:AA1418)=20,"T",""))))))))}</f>
        <v>WILL TOTAL</v>
      </c>
      <c r="AC1417" s="76" t="str">
        <f t="array" ref="AC1417:AC1418">{"WILL TOTAL";(sum(G1418:AA1418))}</f>
        <v>WILL TOTAL</v>
      </c>
    </row>
    <row r="1418">
      <c r="A1418" s="48" t="s">
        <v>219</v>
      </c>
      <c r="B1418" s="48"/>
      <c r="C1418" s="48" t="s">
        <v>418</v>
      </c>
      <c r="D1418" s="97" t="s">
        <v>1549</v>
      </c>
      <c r="E1418" s="97" t="s">
        <v>1591</v>
      </c>
      <c r="F1418" s="98" t="s">
        <v>436</v>
      </c>
      <c r="G1418" s="132">
        <v>10.0</v>
      </c>
      <c r="H1418" s="98">
        <v>50.0</v>
      </c>
      <c r="I1418" s="98"/>
      <c r="J1418" s="98" t="s">
        <v>603</v>
      </c>
      <c r="K1418" s="98"/>
      <c r="L1418" s="98" t="s">
        <v>603</v>
      </c>
      <c r="M1418" s="97"/>
      <c r="N1418" s="98" t="s">
        <v>603</v>
      </c>
      <c r="O1418" s="98"/>
      <c r="P1418" s="98">
        <v>110.0</v>
      </c>
      <c r="Q1418" s="97"/>
      <c r="R1418" s="98" t="s">
        <v>603</v>
      </c>
      <c r="S1418" s="98"/>
      <c r="T1418" s="98" t="s">
        <v>603</v>
      </c>
      <c r="U1418" s="98"/>
      <c r="V1418" s="98" t="s">
        <v>603</v>
      </c>
      <c r="W1418" s="98"/>
      <c r="X1418" s="98" t="s">
        <v>603</v>
      </c>
      <c r="Y1418" s="98"/>
      <c r="Z1418" s="98" t="s">
        <v>603</v>
      </c>
      <c r="AA1418" s="98"/>
      <c r="AB1418" s="5" t="s">
        <v>437</v>
      </c>
      <c r="AC1418" s="47">
        <v>170.0</v>
      </c>
    </row>
    <row r="1419" hidden="1">
      <c r="A1419" s="222" t="str">
        <f t="array" ref="A1419:A1420">{"FormulaRow26";(INDEX(CLASSLIST,A1368,1))}</f>
        <v>FormulaRow26</v>
      </c>
      <c r="B1419" s="77" t="s">
        <v>236</v>
      </c>
      <c r="C1419" s="222" t="str">
        <f t="array" ref="C1419:C1420">{"CLASSTYPE";((INDEX(ALLCLASSDATA,MATCH("ClassType",CLASSFEATUREHEADERS,0),MATCH($A1420,CLASSNAMEHEADERS,0))))}</f>
        <v>CLASSTYPE</v>
      </c>
      <c r="D1419" s="228" t="str">
        <f t="array" ref="D1419:D1420">{"ATTACK";"Attack"}</f>
        <v>ATTACK</v>
      </c>
      <c r="E1419" s="228" t="str">
        <f t="array" ref="E1419:E1420">{"WEAPONSPECIAL";"WeaponCS/WS/GWS"}</f>
        <v>WEAPONSPECIAL</v>
      </c>
      <c r="F1419" s="230"/>
      <c r="G1419" s="230"/>
      <c r="H1419" s="230" t="str">
        <f t="array" ref="H1419:H1420">{"WEAPONSPECIALL01";((IF("01"=INDEX(ALLCLASSDATA,MATCH("WeaponGreaterSpecialization",CLASSFEATUREHEADERS,0),MATCH($A1420,CLASSNAMEHEADERS,0)),WeaponGWS,(IF("01"=INDEX(ALLCLASSDATA,MATCH("WeaponSpecialization",CLASSFEATUREHEADERS,0),MATCH($A1420,CLASSNAMEHEADERS,0)),WeaponWS,(IF("01"=INDEX(ALLCLASSDATA,MATCH("WeaponCriticalSpecialization",CLASSFEATUREHEADERS,0),MATCH($A1420,CLASSNAMEHEADERS,0)),WeaponCS,"")))))))}</f>
        <v>WEAPONSPECIALL01</v>
      </c>
      <c r="I1419" s="230"/>
      <c r="J1419" s="230" t="str">
        <f t="array" ref="J1419:J1420">{"WEAPONSPECIALL03";((IF("03"=INDEX(ALLCLASSDATA,MATCH("WeaponGreaterSpecialization",CLASSFEATUREHEADERS,0),MATCH($A1420,CLASSNAMEHEADERS,0)),WeaponGWS,(IF("03"=INDEX(ALLCLASSDATA,MATCH("WeaponSpecialization",CLASSFEATUREHEADERS,0),MATCH($A1420,CLASSNAMEHEADERS,0)),WeaponWS,(IF("03"=INDEX(ALLCLASSDATA,MATCH("WeaponCriticalSpecialization",CLASSFEATUREHEADERS,0),MATCH($A1420,CLASSNAMEHEADERS,0)),WeaponCS,"")))))))}</f>
        <v>WEAPONSPECIALL03</v>
      </c>
      <c r="K1419" s="230"/>
      <c r="L1419" s="230" t="str">
        <f t="array" ref="L1419:L1420">{"WEAPONSPECIALL05";((IF("05"=INDEX(ALLCLASSDATA,MATCH("WeaponGreaterSpecialization",CLASSFEATUREHEADERS,0),MATCH($A1420,CLASSNAMEHEADERS,0)),WeaponGWS,(IF("05"=INDEX(ALLCLASSDATA,MATCH("WeaponSpecialization",CLASSFEATUREHEADERS,0),MATCH($A1420,CLASSNAMEHEADERS,0)),WeaponWS,(IF("05"=INDEX(ALLCLASSDATA,MATCH("WeaponCriticalSpecialization",CLASSFEATUREHEADERS,0),MATCH($A1420,CLASSNAMEHEADERS,0)),WeaponCS,"")))))))}</f>
        <v>WEAPONSPECIALL05</v>
      </c>
      <c r="M1419" s="230"/>
      <c r="N1419" s="230" t="str">
        <f t="array" ref="N1419:N1420">{"WEAPONSPECIALL07";((IF("07"=INDEX(ALLCLASSDATA,MATCH("WeaponGreaterSpecialization",CLASSFEATUREHEADERS,0),MATCH($A1420,CLASSNAMEHEADERS,0)),WeaponGWS,(IF("07"=INDEX(ALLCLASSDATA,MATCH("WeaponSpecialization",CLASSFEATUREHEADERS,0),MATCH($A1420,CLASSNAMEHEADERS,0)),WeaponWS,(IF("07"=INDEX(ALLCLASSDATA,MATCH("WeaponCriticalSpecialization",CLASSFEATUREHEADERS,0),MATCH($A1420,CLASSNAMEHEADERS,0)),WeaponCS,"")))))))}</f>
        <v>WEAPONSPECIALL07</v>
      </c>
      <c r="O1419" s="230"/>
      <c r="P1419" s="230" t="str">
        <f t="array" ref="P1419:P1420">{"WEAPONSPECIALL09";((IF("09"=INDEX(ALLCLASSDATA,MATCH("WeaponGreaterSpecialization",CLASSFEATUREHEADERS,0),MATCH($A1420,CLASSNAMEHEADERS,0)),WeaponGWS,(IF("09"=INDEX(ALLCLASSDATA,MATCH("WeaponSpecialization",CLASSFEATUREHEADERS,0),MATCH($A1420,CLASSNAMEHEADERS,0)),WeaponWS,(IF("09"=INDEX(ALLCLASSDATA,MATCH("WeaponCriticalSpecialization",CLASSFEATUREHEADERS,0),MATCH($A1420,CLASSNAMEHEADERS,0)),WeaponCS,"")))))))}</f>
        <v>WEAPONSPECIALL09</v>
      </c>
      <c r="Q1419" s="230"/>
      <c r="R1419" s="230" t="str">
        <f t="array" ref="R1419:R1420">{"WEAPONSPECIALL11";((IF("11"=INDEX(ALLCLASSDATA,MATCH("WeaponGreaterSpecialization",CLASSFEATUREHEADERS,0),MATCH($A1420,CLASSNAMEHEADERS,0)),WeaponGWS,(IF("11"=INDEX(ALLCLASSDATA,MATCH("WeaponSpecialization",CLASSFEATUREHEADERS,0),MATCH($A1420,CLASSNAMEHEADERS,0)),WeaponWS,(IF("11"=INDEX(ALLCLASSDATA,MATCH("WeaponCriticalSpecialization",CLASSFEATUREHEADERS,0),MATCH($A1420,CLASSNAMEHEADERS,0)),WeaponCS,"")))))))}</f>
        <v>WEAPONSPECIALL11</v>
      </c>
      <c r="S1419" s="230"/>
      <c r="T1419" s="230" t="str">
        <f t="array" ref="T1419:T1420">{"WEAPONSPECIALL13";((IF("13"=INDEX(ALLCLASSDATA,MATCH("WeaponGreaterSpecialization",CLASSFEATUREHEADERS,0),MATCH($A1420,CLASSNAMEHEADERS,0)),WeaponGWS,(IF("13"=INDEX(ALLCLASSDATA,MATCH("WeaponSpecialization",CLASSFEATUREHEADERS,0),MATCH($A1420,CLASSNAMEHEADERS,0)),WeaponWS,(IF("13"=INDEX(ALLCLASSDATA,MATCH("WeaponCriticalSpecialization",CLASSFEATUREHEADERS,0),MATCH($A1420,CLASSNAMEHEADERS,0)),WeaponCS,"")))))))}</f>
        <v>WEAPONSPECIALL13</v>
      </c>
      <c r="U1419" s="230"/>
      <c r="V1419" s="230" t="str">
        <f t="array" ref="V1419:V1420">{"WEAPONSPECIALL15";((IF("15"=INDEX(ALLCLASSDATA,MATCH("WeaponGreaterSpecialization",CLASSFEATUREHEADERS,0),MATCH($A1420,CLASSNAMEHEADERS,0)),WeaponGWS,(IF("15"=INDEX(ALLCLASSDATA,MATCH("WeaponSpecialization",CLASSFEATUREHEADERS,0),MATCH($A1420,CLASSNAMEHEADERS,0)),WeaponWS,(IF("15"=INDEX(ALLCLASSDATA,MATCH("WeaponCriticalSpecialization",CLASSFEATUREHEADERS,0),MATCH($A1420,CLASSNAMEHEADERS,0)),WeaponCS,"")))))))}</f>
        <v>WEAPONSPECIALL15</v>
      </c>
      <c r="W1419" s="230"/>
      <c r="X1419" s="230" t="str">
        <f t="array" ref="X1419:X1420">{"WEAPONSPECIALL17";((IF("17"=INDEX(ALLCLASSDATA,MATCH("WeaponGreaterSpecialization",CLASSFEATUREHEADERS,0),MATCH($A1420,CLASSNAMEHEADERS,0)),WeaponGWS,(IF("17"=INDEX(ALLCLASSDATA,MATCH("WeaponSpecialization",CLASSFEATUREHEADERS,0),MATCH($A1420,CLASSNAMEHEADERS,0)),WeaponWS,(IF("17"=INDEX(ALLCLASSDATA,MATCH("WeaponCriticalSpecialization",CLASSFEATUREHEADERS,0),MATCH($A1420,CLASSNAMEHEADERS,0)),WeaponCS,"")))))))}</f>
        <v>WEAPONSPECIALL17</v>
      </c>
      <c r="Y1419" s="230"/>
      <c r="Z1419" s="230" t="str">
        <f t="array" ref="Z1419:Z1420">{"WEAPONSPECIALL19";((IF("19"=INDEX(ALLCLASSDATA,MATCH("WeaponGreaterSpecialization",CLASSFEATUREHEADERS,0),MATCH($A1420,CLASSNAMEHEADERS,0)),WeaponGWS,(IF("19"=INDEX(ALLCLASSDATA,MATCH("WeaponSpecialization",CLASSFEATUREHEADERS,0),MATCH($A1420,CLASSNAMEHEADERS,0)),WeaponWS,(IF("19"=INDEX(ALLCLASSDATA,MATCH("WeaponCriticalSpecialization",CLASSFEATUREHEADERS,0),MATCH($A1420,CLASSNAMEHEADERS,0)),WeaponCS,"")))))))}</f>
        <v>WEAPONSPECIALL19</v>
      </c>
      <c r="AA1419" s="230"/>
      <c r="AB1419" s="76"/>
      <c r="AC1419" s="76" t="str">
        <f t="array" ref="AC1419:AC1420">{"WEAPONSPECIAL TOTAL";(sum(G1420:AA1420))}</f>
        <v>WEAPONSPECIAL TOTAL</v>
      </c>
    </row>
    <row r="1420">
      <c r="A1420" s="48" t="s">
        <v>219</v>
      </c>
      <c r="B1420" s="48"/>
      <c r="C1420" s="48" t="s">
        <v>418</v>
      </c>
      <c r="D1420" s="48" t="s">
        <v>1634</v>
      </c>
      <c r="E1420" s="48" t="s">
        <v>1635</v>
      </c>
      <c r="F1420" s="5"/>
      <c r="G1420" s="47"/>
      <c r="H1420" s="5" t="s">
        <v>603</v>
      </c>
      <c r="I1420" s="5"/>
      <c r="J1420" s="5" t="s">
        <v>603</v>
      </c>
      <c r="K1420" s="5"/>
      <c r="L1420" s="5" t="s">
        <v>603</v>
      </c>
      <c r="M1420" s="5"/>
      <c r="N1420" s="5" t="s">
        <v>603</v>
      </c>
      <c r="O1420" s="5"/>
      <c r="P1420" s="5" t="s">
        <v>603</v>
      </c>
      <c r="Q1420" s="5"/>
      <c r="R1420" s="5">
        <v>50.0</v>
      </c>
      <c r="S1420" s="5"/>
      <c r="T1420" s="5">
        <v>70.0</v>
      </c>
      <c r="U1420" s="5"/>
      <c r="V1420" s="5" t="s">
        <v>603</v>
      </c>
      <c r="W1420" s="5"/>
      <c r="X1420" s="5" t="s">
        <v>603</v>
      </c>
      <c r="Y1420" s="5"/>
      <c r="Z1420" s="5" t="s">
        <v>603</v>
      </c>
      <c r="AA1420" s="5"/>
      <c r="AB1420" s="5"/>
      <c r="AC1420" s="47">
        <v>120.0</v>
      </c>
    </row>
    <row r="1421" hidden="1">
      <c r="A1421" s="222" t="str">
        <f t="array" ref="A1421:A1422">{"FormulaRow27";(INDEX(CLASSLIST,A1368,1))}</f>
        <v>FormulaRow27</v>
      </c>
      <c r="B1421" s="77" t="s">
        <v>236</v>
      </c>
      <c r="C1421" s="222" t="str">
        <f t="array" ref="C1421:C1422">{"CLASSTYPE";((INDEX(ALLCLASSDATA,MATCH("ClassType",CLASSFEATUREHEADERS,0),MATCH($A1422,CLASSNAMEHEADERS,0))))}</f>
        <v>CLASSTYPE</v>
      </c>
      <c r="D1421" s="222" t="str">
        <f t="array" ref="D1421:D1422">{"ATTACK";"Attack"}</f>
        <v>ATTACK</v>
      </c>
      <c r="E1421" s="222" t="str">
        <f t="array" ref="E1421:E1422">{"UNARMED";"Unarmed"}</f>
        <v>UNARMED</v>
      </c>
      <c r="F1421" s="223" t="str">
        <f t="array" ref="F1421:F1422">{"UNARMEDINITIAL";((IF(H1422=10,"T",(IF(H1422=50,"E","")))))}</f>
        <v>UNARMEDINITIAL</v>
      </c>
      <c r="G1421" s="223" t="str">
        <f t="array" ref="G1421:G1422">{"UNARMEDINITIALPTS";((IF("00"=(INDEX(ALLCLASSDATA,MATCH("UnarmedLegendary",CLASSFEATUREHEADERS,0),MATCH($A1422,CLASSNAMEHEADERS,0))),(INDEX(ALLCLASSDATA,MATCH("UnarmedLegendary",CLASSFEATUREHEADERS,0),MATCH(($A1422 &amp; "Points"),CLASSNAMEHEADERS,0))),(IF("00"=(INDEX(ALLCLASSDATA,MATCH("UnarmedMaster",CLASSFEATUREHEADERS,0),MATCH($A1422,CLASSNAMEHEADERS,0))),(INDEX(ALLCLASSDATA,MATCH("UnarmedMaster",CLASSFEATUREHEADERS,0),MATCH(($A1422 &amp; "Points"),CLASSNAMEHEADERS,0))),(IF("00"=(INDEX(ALLCLASSDATA,MATCH("UnarmedExpert",CLASSFEATUREHEADERS,0),MATCH($A1422,CLASSNAMEHEADERS,0))),(INDEX(ALLCLASSDATA,MATCH("UnarmedExpert",CLASSFEATUREHEADERS,0),MATCH(($A1422 &amp; "Points"),CLASSNAMEHEADERS,0))),(IF("00"=(INDEX(ALLCLASSDATA,MATCH("UnarmedTrained",CLASSFEATUREHEADERS,0),MATCH($A1422,CLASSNAMEHEADERS,0))),(INDEX(ALLCLASSDATA,MATCH("UnarmedTrained",CLASSFEATUREHEADERS,0),MATCH(($A1422 &amp; "Points"),CLASSNAMEHEADERS,0))),"")))))))))}</f>
        <v>UNARMEDINITIALPTS</v>
      </c>
      <c r="H1421" s="223" t="str">
        <f t="array" ref="H1421:H1422">{"UNARMEDL01";((IF("01"=(INDEX(ALLCLASSDATA,MATCH("UnarmedLegendary",CLASSFEATUREHEADERS,0),MATCH($A1422,CLASSNAMEHEADERS,0))),(INDEX(ALLCLASSDATA,MATCH("UnarmedLegendary",CLASSFEATUREHEADERS,0),MATCH(($A1422 &amp; "Points"),CLASSNAMEHEADERS,0))),(IF("01"=(INDEX(ALLCLASSDATA,MATCH("UnarmedMaster",CLASSFEATUREHEADERS,0),MATCH($A1422,CLASSNAMEHEADERS,0))),(INDEX(ALLCLASSDATA,MATCH("UnarmedMaster",CLASSFEATUREHEADERS,0),MATCH(($A1422 &amp; "Points"),CLASSNAMEHEADERS,0))),(IF("01"=(INDEX(ALLCLASSDATA,MATCH("UnarmedExpert",CLASSFEATUREHEADERS,0),MATCH($A1422,CLASSNAMEHEADERS,0))),(INDEX(ALLCLASSDATA,MATCH("UnarmedExpert",CLASSFEATUREHEADERS,0),MATCH(($A1422 &amp; "Points"),CLASSNAMEHEADERS,0))),(IF("01"=(INDEX(ALLCLASSDATA,MATCH("UnarmedTrained",CLASSFEATUREHEADERS,0),MATCH($A1422,CLASSNAMEHEADERS,0))),(INDEX(ALLCLASSDATA,MATCH("UnarmedTrained",CLASSFEATUREHEADERS,0),MATCH(($A1422 &amp; "Points"),CLASSNAMEHEADERS,0))),"")))))))))}</f>
        <v>UNARMEDL01</v>
      </c>
      <c r="I1421" s="223"/>
      <c r="J1421" s="223" t="str">
        <f t="array" ref="J1421:J1422">{"UNARMEDL03";((IF("03"=(INDEX(ALLCLASSDATA,MATCH("UnarmedLegendary",CLASSFEATUREHEADERS,0),MATCH($A1422,CLASSNAMEHEADERS,0))),(INDEX(ALLCLASSDATA,MATCH("UnarmedLegendary",CLASSFEATUREHEADERS,0),MATCH(($A1422 &amp; "Points"),CLASSNAMEHEADERS,0))),(IF("03"=(INDEX(ALLCLASSDATA,MATCH("UnarmedMaster",CLASSFEATUREHEADERS,0),MATCH($A1422,CLASSNAMEHEADERS,0))),(INDEX(ALLCLASSDATA,MATCH("UnarmedMaster",CLASSFEATUREHEADERS,0),MATCH(($A1422 &amp; "Points"),CLASSNAMEHEADERS,0))),(IF("03"=(INDEX(ALLCLASSDATA,MATCH("UnarmedExpert",CLASSFEATUREHEADERS,0),MATCH($A1422,CLASSNAMEHEADERS,0))),(INDEX(ALLCLASSDATA,MATCH("UnarmedExpert",CLASSFEATUREHEADERS,0),MATCH(($A1422 &amp; "Points"),CLASSNAMEHEADERS,0))),(IF("03"=(INDEX(ALLCLASSDATA,MATCH("UnarmedTrained",CLASSFEATUREHEADERS,0),MATCH($A1422,CLASSNAMEHEADERS,0))),(INDEX(ALLCLASSDATA,MATCH("UnarmedTrained",CLASSFEATUREHEADERS,0),MATCH(($A1422 &amp; "Points"),CLASSNAMEHEADERS,0))),"")))))))))}</f>
        <v>UNARMEDL03</v>
      </c>
      <c r="K1421" s="223"/>
      <c r="L1421" s="223" t="str">
        <f t="array" ref="L1421:L1422">{"UNARMEDL05";((IF("05"=(INDEX(ALLCLASSDATA,MATCH("UnarmedLegendary",CLASSFEATUREHEADERS,0),MATCH($A1422,CLASSNAMEHEADERS,0))),(INDEX(ALLCLASSDATA,MATCH("UnarmedLegendary",CLASSFEATUREHEADERS,0),MATCH(($A1422 &amp; "Points"),CLASSNAMEHEADERS,0))),(IF("05"=(INDEX(ALLCLASSDATA,MATCH("UnarmedMaster",CLASSFEATUREHEADERS,0),MATCH($A1422,CLASSNAMEHEADERS,0))),(INDEX(ALLCLASSDATA,MATCH("UnarmedMaster",CLASSFEATUREHEADERS,0),MATCH(($A1422 &amp; "Points"),CLASSNAMEHEADERS,0))),(IF("05"=(INDEX(ALLCLASSDATA,MATCH("UnarmedExpert",CLASSFEATUREHEADERS,0),MATCH($A1422,CLASSNAMEHEADERS,0))),(INDEX(ALLCLASSDATA,MATCH("UnarmedExpert",CLASSFEATUREHEADERS,0),MATCH(($A1422 &amp; "Points"),CLASSNAMEHEADERS,0))),(IF("05"=(INDEX(ALLCLASSDATA,MATCH("UnarmedTrained",CLASSFEATUREHEADERS,0),MATCH($A1422,CLASSNAMEHEADERS,0))),(INDEX(ALLCLASSDATA,MATCH("UnarmedTrained",CLASSFEATUREHEADERS,0),MATCH(($A1422 &amp; "Points"),CLASSNAMEHEADERS,0))),"")))))))))}</f>
        <v>UNARMEDL05</v>
      </c>
      <c r="M1421" s="223"/>
      <c r="N1421" s="223" t="str">
        <f t="array" ref="N1421:N1422">{"UNARMEDL07";((IF("07"=(INDEX(ALLCLASSDATA,MATCH("UnarmedLegendary",CLASSFEATUREHEADERS,0),MATCH($A1422,CLASSNAMEHEADERS,0))),(INDEX(ALLCLASSDATA,MATCH("UnarmedLegendary",CLASSFEATUREHEADERS,0),MATCH(($A1422 &amp; "Points"),CLASSNAMEHEADERS,0))),(IF("07"=(INDEX(ALLCLASSDATA,MATCH("UnarmedMaster",CLASSFEATUREHEADERS,0),MATCH($A1422,CLASSNAMEHEADERS,0))),(INDEX(ALLCLASSDATA,MATCH("UnarmedMaster",CLASSFEATUREHEADERS,0),MATCH(($A1422 &amp; "Points"),CLASSNAMEHEADERS,0))),(IF("07"=(INDEX(ALLCLASSDATA,MATCH("UnarmedExpert",CLASSFEATUREHEADERS,0),MATCH($A1422,CLASSNAMEHEADERS,0))),(INDEX(ALLCLASSDATA,MATCH("UnarmedExpert",CLASSFEATUREHEADERS,0),MATCH(($A1422 &amp; "Points"),CLASSNAMEHEADERS,0))),(IF("07"=(INDEX(ALLCLASSDATA,MATCH("UnarmedTrained",CLASSFEATUREHEADERS,0),MATCH($A1422,CLASSNAMEHEADERS,0))),(INDEX(ALLCLASSDATA,MATCH("UnarmedTrained",CLASSFEATUREHEADERS,0),MATCH(($A1422 &amp; "Points"),CLASSNAMEHEADERS,0))),"")))))))))}</f>
        <v>UNARMEDL07</v>
      </c>
      <c r="O1421" s="223"/>
      <c r="P1421" s="223" t="str">
        <f t="array" ref="P1421:P1422">{"UNARMEDL09";((IF("09"=(INDEX(ALLCLASSDATA,MATCH("UnarmedLegendary",CLASSFEATUREHEADERS,0),MATCH($A1422,CLASSNAMEHEADERS,0))),(INDEX(ALLCLASSDATA,MATCH("UnarmedLegendary",CLASSFEATUREHEADERS,0),MATCH(($A1422 &amp; "Points"),CLASSNAMEHEADERS,0))),(IF("09"=(INDEX(ALLCLASSDATA,MATCH("UnarmedMaster",CLASSFEATUREHEADERS,0),MATCH($A1422,CLASSNAMEHEADERS,0))),(INDEX(ALLCLASSDATA,MATCH("UnarmedMaster",CLASSFEATUREHEADERS,0),MATCH(($A1422 &amp; "Points"),CLASSNAMEHEADERS,0))),(IF("09"=(INDEX(ALLCLASSDATA,MATCH("UnarmedExpert",CLASSFEATUREHEADERS,0),MATCH($A1422,CLASSNAMEHEADERS,0))),(INDEX(ALLCLASSDATA,MATCH("UnarmedExpert",CLASSFEATUREHEADERS,0),MATCH(($A1422 &amp; "Points"),CLASSNAMEHEADERS,0))),(IF("09"=(INDEX(ALLCLASSDATA,MATCH("UnarmedTrained",CLASSFEATUREHEADERS,0),MATCH($A1422,CLASSNAMEHEADERS,0))),(INDEX(ALLCLASSDATA,MATCH("UnarmedTrained",CLASSFEATUREHEADERS,0),MATCH(($A1422 &amp; "Points"),CLASSNAMEHEADERS,0))),"")))))))))}</f>
        <v>UNARMEDL09</v>
      </c>
      <c r="Q1421" s="223"/>
      <c r="R1421" s="223" t="str">
        <f t="array" ref="R1421:R1422">{"UNARMEDL11";((IF("11"=(INDEX(ALLCLASSDATA,MATCH("UnarmedLegendary",CLASSFEATUREHEADERS,0),MATCH($A1422,CLASSNAMEHEADERS,0))),(INDEX(ALLCLASSDATA,MATCH("UnarmedLegendary",CLASSFEATUREHEADERS,0),MATCH(($A1422 &amp; "Points"),CLASSNAMEHEADERS,0))),(IF("11"=(INDEX(ALLCLASSDATA,MATCH("UnarmedMaster",CLASSFEATUREHEADERS,0),MATCH($A1422,CLASSNAMEHEADERS,0))),(INDEX(ALLCLASSDATA,MATCH("UnarmedMaster",CLASSFEATUREHEADERS,0),MATCH(($A1422 &amp; "Points"),CLASSNAMEHEADERS,0))),(IF("11"=(INDEX(ALLCLASSDATA,MATCH("UnarmedExpert",CLASSFEATUREHEADERS,0),MATCH($A1422,CLASSNAMEHEADERS,0))),(INDEX(ALLCLASSDATA,MATCH("UnarmedExpert",CLASSFEATUREHEADERS,0),MATCH(($A1422 &amp; "Points"),CLASSNAMEHEADERS,0))),(IF("11"=(INDEX(ALLCLASSDATA,MATCH("UnarmedTrained",CLASSFEATUREHEADERS,0),MATCH($A1422,CLASSNAMEHEADERS,0))),(INDEX(ALLCLASSDATA,MATCH("UnarmedTrained",CLASSFEATUREHEADERS,0),MATCH(($A1422 &amp; "Points"),CLASSNAMEHEADERS,0))),"")))))))))}</f>
        <v>UNARMEDL11</v>
      </c>
      <c r="S1421" s="223"/>
      <c r="T1421" s="223" t="str">
        <f t="array" ref="T1421:T1422">{"UNARMEDL13";((IF("13"=(INDEX(ALLCLASSDATA,MATCH("UnarmedLegendary",CLASSFEATUREHEADERS,0),MATCH($A1422,CLASSNAMEHEADERS,0))),(INDEX(ALLCLASSDATA,MATCH("UnarmedLegendary",CLASSFEATUREHEADERS,0),MATCH(($A1422 &amp; "Points"),CLASSNAMEHEADERS,0))),(IF("13"=(INDEX(ALLCLASSDATA,MATCH("UnarmedMaster",CLASSFEATUREHEADERS,0),MATCH($A1422,CLASSNAMEHEADERS,0))),(INDEX(ALLCLASSDATA,MATCH("UnarmedMaster",CLASSFEATUREHEADERS,0),MATCH(($A1422 &amp; "Points"),CLASSNAMEHEADERS,0))),(IF("13"=(INDEX(ALLCLASSDATA,MATCH("UnarmedExpert",CLASSFEATUREHEADERS,0),MATCH($A1422,CLASSNAMEHEADERS,0))),(INDEX(ALLCLASSDATA,MATCH("UnarmedExpert",CLASSFEATUREHEADERS,0),MATCH(($A1422 &amp; "Points"),CLASSNAMEHEADERS,0))),(IF("13"=(INDEX(ALLCLASSDATA,MATCH("UnarmedTrained",CLASSFEATUREHEADERS,0),MATCH($A1422,CLASSNAMEHEADERS,0))),(INDEX(ALLCLASSDATA,MATCH("UnarmedTrained",CLASSFEATUREHEADERS,0),MATCH(($A1422 &amp; "Points"),CLASSNAMEHEADERS,0))),"")))))))))}</f>
        <v>UNARMEDL13</v>
      </c>
      <c r="U1421" s="223"/>
      <c r="V1421" s="223" t="str">
        <f t="array" ref="V1421:V1422">{"UNARMEDL15";((IF("15"=(INDEX(ALLCLASSDATA,MATCH("UnarmedLegendary",CLASSFEATUREHEADERS,0),MATCH($A1422,CLASSNAMEHEADERS,0))),(INDEX(ALLCLASSDATA,MATCH("UnarmedLegendary",CLASSFEATUREHEADERS,0),MATCH(($A1422 &amp; "Points"),CLASSNAMEHEADERS,0))),(IF("15"=(INDEX(ALLCLASSDATA,MATCH("UnarmedMaster",CLASSFEATUREHEADERS,0),MATCH($A1422,CLASSNAMEHEADERS,0))),(INDEX(ALLCLASSDATA,MATCH("UnarmedMaster",CLASSFEATUREHEADERS,0),MATCH(($A1422 &amp; "Points"),CLASSNAMEHEADERS,0))),(IF("15"=(INDEX(ALLCLASSDATA,MATCH("UnarmedExpert",CLASSFEATUREHEADERS,0),MATCH($A1422,CLASSNAMEHEADERS,0))),(INDEX(ALLCLASSDATA,MATCH("UnarmedExpert",CLASSFEATUREHEADERS,0),MATCH(($A1422 &amp; "Points"),CLASSNAMEHEADERS,0))),(IF("15"=(INDEX(ALLCLASSDATA,MATCH("UnarmedTrained",CLASSFEATUREHEADERS,0),MATCH($A1422,CLASSNAMEHEADERS,0))),(INDEX(ALLCLASSDATA,MATCH("UnarmedTrained",CLASSFEATUREHEADERS,0),MATCH(($A1422 &amp; "Points"),CLASSNAMEHEADERS,0))),"")))))))))}</f>
        <v>UNARMEDL15</v>
      </c>
      <c r="W1421" s="223"/>
      <c r="X1421" s="223" t="str">
        <f t="array" ref="X1421:X1422">{"UNARMEDL17";((IF("17"=(INDEX(ALLCLASSDATA,MATCH("UnarmedLegendary",CLASSFEATUREHEADERS,0),MATCH($A1422,CLASSNAMEHEADERS,0))),(INDEX(ALLCLASSDATA,MATCH("UnarmedLegendary",CLASSFEATUREHEADERS,0),MATCH(($A1422 &amp; "Points"),CLASSNAMEHEADERS,0))),(IF("17"=(INDEX(ALLCLASSDATA,MATCH("UnarmedMaster",CLASSFEATUREHEADERS,0),MATCH($A1422,CLASSNAMEHEADERS,0))),(INDEX(ALLCLASSDATA,MATCH("UnarmedMaster",CLASSFEATUREHEADERS,0),MATCH(($A1422 &amp; "Points"),CLASSNAMEHEADERS,0))),(IF("17"=(INDEX(ALLCLASSDATA,MATCH("UnarmedExpert",CLASSFEATUREHEADERS,0),MATCH($A1422,CLASSNAMEHEADERS,0))),(INDEX(ALLCLASSDATA,MATCH("UnarmedExpert",CLASSFEATUREHEADERS,0),MATCH(($A1422 &amp; "Points"),CLASSNAMEHEADERS,0))),(IF("17"=(INDEX(ALLCLASSDATA,MATCH("UnarmedTrained",CLASSFEATUREHEADERS,0),MATCH($A1422,CLASSNAMEHEADERS,0))),(INDEX(ALLCLASSDATA,MATCH("UnarmedTrained",CLASSFEATUREHEADERS,0),MATCH(($A1422 &amp; "Points"),CLASSNAMEHEADERS,0))),"")))))))))}</f>
        <v>UNARMEDL17</v>
      </c>
      <c r="Y1421" s="223"/>
      <c r="Z1421" s="223" t="str">
        <f t="array" ref="Z1421:Z1422">{"UNARMEDL19";((IF("19"=(INDEX(ALLCLASSDATA,MATCH("UnarmedLegendary",CLASSFEATUREHEADERS,0),MATCH($A1422,CLASSNAMEHEADERS,0))),(INDEX(ALLCLASSDATA,MATCH("UnarmedLegendary",CLASSFEATUREHEADERS,0),MATCH(($A1422 &amp; "Points"),CLASSNAMEHEADERS,0))),(IF("19"=(INDEX(ALLCLASSDATA,MATCH("UnarmedMaster",CLASSFEATUREHEADERS,0),MATCH($A1422,CLASSNAMEHEADERS,0))),(INDEX(ALLCLASSDATA,MATCH("UnarmedMaster",CLASSFEATUREHEADERS,0),MATCH(($A1422 &amp; "Points"),CLASSNAMEHEADERS,0))),(IF("19"=(INDEX(ALLCLASSDATA,MATCH("UnarmedExpert",CLASSFEATUREHEADERS,0),MATCH($A1422,CLASSNAMEHEADERS,0))),(INDEX(ALLCLASSDATA,MATCH("UnarmedExpert",CLASSFEATUREHEADERS,0),MATCH(($A1422 &amp; "Points"),CLASSNAMEHEADERS,0))),(IF("19"=(INDEX(ALLCLASSDATA,MATCH("UnarmedTrained",CLASSFEATUREHEADERS,0),MATCH($A1422,CLASSNAMEHEADERS,0))),(INDEX(ALLCLASSDATA,MATCH("UnarmedTrained",CLASSFEATUREHEADERS,0),MATCH(($A1422 &amp; "Points"),CLASSNAMEHEADERS,0))),"")))))))))}</f>
        <v>UNARMEDL19</v>
      </c>
      <c r="AA1421" s="223"/>
      <c r="AB1421" s="76" t="str">
        <f t="array" ref="AB1421:AB1422">{"UNARMED TOTAL";(IF(COUNTBLANK(G1422:AA1422)=17,"L",(IF(COUNTBLANK(G1422:AA1422)=18,"M",(IF(COUNTBLANK(G1422:AA1422)=19,"E",(IF(COUNTBLANK(G1422:AA1422)=20,"T",""))))))))}</f>
        <v>UNARMED TOTAL</v>
      </c>
      <c r="AC1421" s="76" t="str">
        <f t="array" ref="AC1421:AC1422">{"UNARMED TOTAL";(sum(G1422:AA1422))}</f>
        <v>UNARMED TOTAL</v>
      </c>
    </row>
    <row r="1422">
      <c r="A1422" s="48" t="s">
        <v>219</v>
      </c>
      <c r="B1422" s="48"/>
      <c r="C1422" s="48" t="s">
        <v>418</v>
      </c>
      <c r="D1422" s="48" t="s">
        <v>1634</v>
      </c>
      <c r="E1422" s="48" t="s">
        <v>257</v>
      </c>
      <c r="F1422" s="5" t="s">
        <v>435</v>
      </c>
      <c r="G1422" s="47" t="s">
        <v>603</v>
      </c>
      <c r="H1422" s="5">
        <v>10.0</v>
      </c>
      <c r="I1422" s="5"/>
      <c r="J1422" s="5" t="s">
        <v>603</v>
      </c>
      <c r="K1422" s="5"/>
      <c r="L1422" s="5" t="s">
        <v>603</v>
      </c>
      <c r="M1422" s="5"/>
      <c r="N1422" s="5" t="s">
        <v>603</v>
      </c>
      <c r="O1422" s="5"/>
      <c r="P1422" s="5" t="s">
        <v>603</v>
      </c>
      <c r="Q1422" s="5"/>
      <c r="R1422" s="5" t="s">
        <v>436</v>
      </c>
      <c r="S1422" s="5"/>
      <c r="T1422" s="5" t="s">
        <v>603</v>
      </c>
      <c r="U1422" s="5"/>
      <c r="V1422" s="5" t="s">
        <v>603</v>
      </c>
      <c r="W1422" s="5"/>
      <c r="X1422" s="5" t="s">
        <v>603</v>
      </c>
      <c r="Y1422" s="5"/>
      <c r="Z1422" s="5" t="s">
        <v>603</v>
      </c>
      <c r="AA1422" s="5"/>
      <c r="AB1422" s="5" t="s">
        <v>436</v>
      </c>
      <c r="AC1422" s="47">
        <v>10.0</v>
      </c>
    </row>
    <row r="1423" hidden="1">
      <c r="A1423" s="222" t="str">
        <f t="array" ref="A1423:A1424">{"FormulaRow28";(INDEX(CLASSLIST,A1368,1))}</f>
        <v>FormulaRow28</v>
      </c>
      <c r="B1423" s="77" t="s">
        <v>236</v>
      </c>
      <c r="C1423" s="222" t="str">
        <f t="array" ref="C1423:C1424">{"CLASSTYPE";((INDEX(ALLCLASSDATA,MATCH("ClassType",CLASSFEATUREHEADERS,0),MATCH($A1424,CLASSNAMEHEADERS,0))))}</f>
        <v>CLASSTYPE</v>
      </c>
      <c r="D1423" s="222" t="str">
        <f t="array" ref="D1423:D1424">{"ATTACK";"Attack"}</f>
        <v>ATTACK</v>
      </c>
      <c r="E1423" s="222" t="str">
        <f t="array" ref="E1423:E1424">{"SIMPLELIMITED";"SimpleLimited"}</f>
        <v>SIMPLELIMITED</v>
      </c>
      <c r="F1423" s="223" t="str">
        <f t="array" ref="F1423:F1424">{"SIMPLELIMITEDINITIAL";((IF(H1424=10,"T",(IF(H1424=50,"E","")))))}</f>
        <v>SIMPLELIMITEDINITIAL</v>
      </c>
      <c r="G1423" s="223" t="str">
        <f t="array" ref="G1423:G1424">{"SIMPLELIMITEDINITIALPTS";((IF("00"=(INDEX(ALLCLASSDATA,MATCH("SimpleLimitedLegendary",CLASSFEATUREHEADERS,0),MATCH($A1424,CLASSNAMEHEADERS,0))),(INDEX(ALLCLASSDATA,MATCH("SimpleLimitedLegendary",CLASSFEATUREHEADERS,0),MATCH(($A1424 &amp; "Points"),CLASSNAMEHEADERS,0))),(IF("00"=(INDEX(ALLCLASSDATA,MATCH("SimpleLimitedMaster",CLASSFEATUREHEADERS,0),MATCH($A1424,CLASSNAMEHEADERS,0))),(INDEX(ALLCLASSDATA,MATCH("SimpleLimitedMaster",CLASSFEATUREHEADERS,0),MATCH(($A1424 &amp; "Points"),CLASSNAMEHEADERS,0))),(IF("00"=(INDEX(ALLCLASSDATA,MATCH("SimpleLimitedExpert",CLASSFEATUREHEADERS,0),MATCH($A1424,CLASSNAMEHEADERS,0))),(INDEX(ALLCLASSDATA,MATCH("SimpleLimitedExpert",CLASSFEATUREHEADERS,0),MATCH(($A1424 &amp; "Points"),CLASSNAMEHEADERS,0))),(IF("00"=(INDEX(ALLCLASSDATA,MATCH("SimpleLimitedTrained",CLASSFEATUREHEADERS,0),MATCH($A1424,CLASSNAMEHEADERS,0))),(INDEX(ALLCLASSDATA,MATCH("SimpleLimitedTrained",CLASSFEATUREHEADERS,0),MATCH(($A1424 &amp; "Points"),CLASSNAMEHEADERS,0))),"")))))))))}</f>
        <v>SIMPLELIMITEDINITIALPTS</v>
      </c>
      <c r="H1423" s="223" t="str">
        <f t="array" ref="H1423:H1424">{"SIMPLELIMITEDL01";((IF("01"=(INDEX(ALLCLASSDATA,MATCH("SimpleLimitedLegendary",CLASSFEATUREHEADERS,0),MATCH($A1424,CLASSNAMEHEADERS,0))),(INDEX(ALLCLASSDATA,MATCH("SimpleLimitedLegendary",CLASSFEATUREHEADERS,0),MATCH(($A1424 &amp; "Points"),CLASSNAMEHEADERS,0))),(IF("01"=(INDEX(ALLCLASSDATA,MATCH("SimpleLimitedMaster",CLASSFEATUREHEADERS,0),MATCH($A1424,CLASSNAMEHEADERS,0))),(INDEX(ALLCLASSDATA,MATCH("SimpleLimitedMaster",CLASSFEATUREHEADERS,0),MATCH(($A1424 &amp; "Points"),CLASSNAMEHEADERS,0))),(IF("01"=(INDEX(ALLCLASSDATA,MATCH("SimpleLimitedExpert",CLASSFEATUREHEADERS,0),MATCH($A1424,CLASSNAMEHEADERS,0))),(INDEX(ALLCLASSDATA,MATCH("SimpleLimitedExpert",CLASSFEATUREHEADERS,0),MATCH(($A1424 &amp; "Points"),CLASSNAMEHEADERS,0))),(IF("01"=(INDEX(ALLCLASSDATA,MATCH("SimpleLimitedTrained",CLASSFEATUREHEADERS,0),MATCH($A1424,CLASSNAMEHEADERS,0))),(INDEX(ALLCLASSDATA,MATCH("SimpleLimitedTrained",CLASSFEATUREHEADERS,0),MATCH(($A1424 &amp; "Points"),CLASSNAMEHEADERS,0))),"")))))))))}</f>
        <v>SIMPLELIMITEDL01</v>
      </c>
      <c r="I1423" s="223"/>
      <c r="J1423" s="223" t="str">
        <f t="array" ref="J1423:J1424">{"SIMPLELIMITEDL03";((IF("03"=(INDEX(ALLCLASSDATA,MATCH("SimpleLimitedLegendary",CLASSFEATUREHEADERS,0),MATCH($A1424,CLASSNAMEHEADERS,0))),(INDEX(ALLCLASSDATA,MATCH("SimpleLimitedLegendary",CLASSFEATUREHEADERS,0),MATCH(($A1424 &amp; "Points"),CLASSNAMEHEADERS,0))),(IF("03"=(INDEX(ALLCLASSDATA,MATCH("SimpleLimitedMaster",CLASSFEATUREHEADERS,0),MATCH($A1424,CLASSNAMEHEADERS,0))),(INDEX(ALLCLASSDATA,MATCH("SimpleLimitedMaster",CLASSFEATUREHEADERS,0),MATCH(($A1424 &amp; "Points"),CLASSNAMEHEADERS,0))),(IF("03"=(INDEX(ALLCLASSDATA,MATCH("SimpleLimitedExpert",CLASSFEATUREHEADERS,0),MATCH($A1424,CLASSNAMEHEADERS,0))),(INDEX(ALLCLASSDATA,MATCH("SimpleLimitedExpert",CLASSFEATUREHEADERS,0),MATCH(($A1424 &amp; "Points"),CLASSNAMEHEADERS,0))),(IF("03"=(INDEX(ALLCLASSDATA,MATCH("SimpleLimitedTrained",CLASSFEATUREHEADERS,0),MATCH($A1424,CLASSNAMEHEADERS,0))),(INDEX(ALLCLASSDATA,MATCH("SimpleLimitedTrained",CLASSFEATUREHEADERS,0),MATCH(($A1424 &amp; "Points"),CLASSNAMEHEADERS,0))),"")))))))))}</f>
        <v>SIMPLELIMITEDL03</v>
      </c>
      <c r="K1423" s="223"/>
      <c r="L1423" s="223" t="str">
        <f t="array" ref="L1423:L1424">{"SIMPLELIMITEDL05";((IF("05"=(INDEX(ALLCLASSDATA,MATCH("SimpleLimitedLegendary",CLASSFEATUREHEADERS,0),MATCH($A1424,CLASSNAMEHEADERS,0))),(INDEX(ALLCLASSDATA,MATCH("SimpleLimitedLegendary",CLASSFEATUREHEADERS,0),MATCH(($A1424 &amp; "Points"),CLASSNAMEHEADERS,0))),(IF("05"=(INDEX(ALLCLASSDATA,MATCH("SimpleLimitedMaster",CLASSFEATUREHEADERS,0),MATCH($A1424,CLASSNAMEHEADERS,0))),(INDEX(ALLCLASSDATA,MATCH("SimpleLimitedMaster",CLASSFEATUREHEADERS,0),MATCH(($A1424 &amp; "Points"),CLASSNAMEHEADERS,0))),(IF("05"=(INDEX(ALLCLASSDATA,MATCH("SimpleLimitedExpert",CLASSFEATUREHEADERS,0),MATCH($A1424,CLASSNAMEHEADERS,0))),(INDEX(ALLCLASSDATA,MATCH("SimpleLimitedExpert",CLASSFEATUREHEADERS,0),MATCH(($A1424 &amp; "Points"),CLASSNAMEHEADERS,0))),(IF("05"=(INDEX(ALLCLASSDATA,MATCH("SimpleLimitedTrained",CLASSFEATUREHEADERS,0),MATCH($A1424,CLASSNAMEHEADERS,0))),(INDEX(ALLCLASSDATA,MATCH("SimpleLimitedTrained",CLASSFEATUREHEADERS,0),MATCH(($A1424 &amp; "Points"),CLASSNAMEHEADERS,0))),"")))))))))}</f>
        <v>SIMPLELIMITEDL05</v>
      </c>
      <c r="M1423" s="223"/>
      <c r="N1423" s="223" t="str">
        <f t="array" ref="N1423:N1424">{"SIMPLELIMITEDL07";((IF("07"=(INDEX(ALLCLASSDATA,MATCH("SimpleLimitedLegendary",CLASSFEATUREHEADERS,0),MATCH($A1424,CLASSNAMEHEADERS,0))),(INDEX(ALLCLASSDATA,MATCH("SimpleLimitedLegendary",CLASSFEATUREHEADERS,0),MATCH(($A1424 &amp; "Points"),CLASSNAMEHEADERS,0))),(IF("07"=(INDEX(ALLCLASSDATA,MATCH("SimpleLimitedMaster",CLASSFEATUREHEADERS,0),MATCH($A1424,CLASSNAMEHEADERS,0))),(INDEX(ALLCLASSDATA,MATCH("SimpleLimitedMaster",CLASSFEATUREHEADERS,0),MATCH(($A1424 &amp; "Points"),CLASSNAMEHEADERS,0))),(IF("07"=(INDEX(ALLCLASSDATA,MATCH("SimpleLimitedExpert",CLASSFEATUREHEADERS,0),MATCH($A1424,CLASSNAMEHEADERS,0))),(INDEX(ALLCLASSDATA,MATCH("SimpleLimitedExpert",CLASSFEATUREHEADERS,0),MATCH(($A1424 &amp; "Points"),CLASSNAMEHEADERS,0))),(IF("07"=(INDEX(ALLCLASSDATA,MATCH("SimpleLimitedTrained",CLASSFEATUREHEADERS,0),MATCH($A1424,CLASSNAMEHEADERS,0))),(INDEX(ALLCLASSDATA,MATCH("SimpleLimitedTrained",CLASSFEATUREHEADERS,0),MATCH(($A1424 &amp; "Points"),CLASSNAMEHEADERS,0))),"")))))))))}</f>
        <v>SIMPLELIMITEDL07</v>
      </c>
      <c r="O1423" s="223"/>
      <c r="P1423" s="223" t="str">
        <f t="array" ref="P1423:P1424">{"SIMPLELIMITEDL09";((IF("09"=(INDEX(ALLCLASSDATA,MATCH("SimpleLimitedLegendary",CLASSFEATUREHEADERS,0),MATCH($A1424,CLASSNAMEHEADERS,0))),(INDEX(ALLCLASSDATA,MATCH("SimpleLimitedLegendary",CLASSFEATUREHEADERS,0),MATCH(($A1424 &amp; "Points"),CLASSNAMEHEADERS,0))),(IF("09"=(INDEX(ALLCLASSDATA,MATCH("SimpleLimitedMaster",CLASSFEATUREHEADERS,0),MATCH($A1424,CLASSNAMEHEADERS,0))),(INDEX(ALLCLASSDATA,MATCH("SimpleLimitedMaster",CLASSFEATUREHEADERS,0),MATCH(($A1424 &amp; "Points"),CLASSNAMEHEADERS,0))),(IF("09"=(INDEX(ALLCLASSDATA,MATCH("SimpleLimitedExpert",CLASSFEATUREHEADERS,0),MATCH($A1424,CLASSNAMEHEADERS,0))),(INDEX(ALLCLASSDATA,MATCH("SimpleLimitedExpert",CLASSFEATUREHEADERS,0),MATCH(($A1424 &amp; "Points"),CLASSNAMEHEADERS,0))),(IF("09"=(INDEX(ALLCLASSDATA,MATCH("SimpleLimitedTrained",CLASSFEATUREHEADERS,0),MATCH($A1424,CLASSNAMEHEADERS,0))),(INDEX(ALLCLASSDATA,MATCH("SimpleLimitedTrained",CLASSFEATUREHEADERS,0),MATCH(($A1424 &amp; "Points"),CLASSNAMEHEADERS,0))),"")))))))))}</f>
        <v>SIMPLELIMITEDL09</v>
      </c>
      <c r="Q1423" s="223"/>
      <c r="R1423" s="223" t="str">
        <f t="array" ref="R1423:R1424">{"SIMPLELIMITEDL11";((IF("11"=(INDEX(ALLCLASSDATA,MATCH("SimpleLimitedLegendary",CLASSFEATUREHEADERS,0),MATCH($A1424,CLASSNAMEHEADERS,0))),(INDEX(ALLCLASSDATA,MATCH("SimpleLimitedLegendary",CLASSFEATUREHEADERS,0),MATCH(($A1424 &amp; "Points"),CLASSNAMEHEADERS,0))),(IF("11"=(INDEX(ALLCLASSDATA,MATCH("SimpleLimitedMaster",CLASSFEATUREHEADERS,0),MATCH($A1424,CLASSNAMEHEADERS,0))),(INDEX(ALLCLASSDATA,MATCH("SimpleLimitedMaster",CLASSFEATUREHEADERS,0),MATCH(($A1424 &amp; "Points"),CLASSNAMEHEADERS,0))),(IF("11"=(INDEX(ALLCLASSDATA,MATCH("SimpleLimitedExpert",CLASSFEATUREHEADERS,0),MATCH($A1424,CLASSNAMEHEADERS,0))),(INDEX(ALLCLASSDATA,MATCH("SimpleLimitedExpert",CLASSFEATUREHEADERS,0),MATCH(($A1424 &amp; "Points"),CLASSNAMEHEADERS,0))),(IF("11"=(INDEX(ALLCLASSDATA,MATCH("SimpleLimitedTrained",CLASSFEATUREHEADERS,0),MATCH($A1424,CLASSNAMEHEADERS,0))),(INDEX(ALLCLASSDATA,MATCH("SimpleLimitedTrained",CLASSFEATUREHEADERS,0),MATCH(($A1424 &amp; "Points"),CLASSNAMEHEADERS,0))),"")))))))))}</f>
        <v>SIMPLELIMITEDL11</v>
      </c>
      <c r="S1423" s="223"/>
      <c r="T1423" s="223" t="str">
        <f t="array" ref="T1423:T1424">{"SIMPLELIMITEDL13";((IF("13"=(INDEX(ALLCLASSDATA,MATCH("SimpleLimitedLegendary",CLASSFEATUREHEADERS,0),MATCH($A1424,CLASSNAMEHEADERS,0))),(INDEX(ALLCLASSDATA,MATCH("SimpleLimitedLegendary",CLASSFEATUREHEADERS,0),MATCH(($A1424 &amp; "Points"),CLASSNAMEHEADERS,0))),(IF("13"=(INDEX(ALLCLASSDATA,MATCH("SimpleLimitedMaster",CLASSFEATUREHEADERS,0),MATCH($A1424,CLASSNAMEHEADERS,0))),(INDEX(ALLCLASSDATA,MATCH("SimpleLimitedMaster",CLASSFEATUREHEADERS,0),MATCH(($A1424 &amp; "Points"),CLASSNAMEHEADERS,0))),(IF("13"=(INDEX(ALLCLASSDATA,MATCH("SimpleLimitedExpert",CLASSFEATUREHEADERS,0),MATCH($A1424,CLASSNAMEHEADERS,0))),(INDEX(ALLCLASSDATA,MATCH("SimpleLimitedExpert",CLASSFEATUREHEADERS,0),MATCH(($A1424 &amp; "Points"),CLASSNAMEHEADERS,0))),(IF("13"=(INDEX(ALLCLASSDATA,MATCH("SimpleLimitedTrained",CLASSFEATUREHEADERS,0),MATCH($A1424,CLASSNAMEHEADERS,0))),(INDEX(ALLCLASSDATA,MATCH("SimpleLimitedTrained",CLASSFEATUREHEADERS,0),MATCH(($A1424 &amp; "Points"),CLASSNAMEHEADERS,0))),"")))))))))}</f>
        <v>SIMPLELIMITEDL13</v>
      </c>
      <c r="U1423" s="223"/>
      <c r="V1423" s="223" t="str">
        <f t="array" ref="V1423:V1424">{"SIMPLELIMITEDL15";((IF("15"=(INDEX(ALLCLASSDATA,MATCH("SimpleLimitedLegendary",CLASSFEATUREHEADERS,0),MATCH($A1424,CLASSNAMEHEADERS,0))),(INDEX(ALLCLASSDATA,MATCH("SimpleLimitedLegendary",CLASSFEATUREHEADERS,0),MATCH(($A1424 &amp; "Points"),CLASSNAMEHEADERS,0))),(IF("15"=(INDEX(ALLCLASSDATA,MATCH("SimpleLimitedMaster",CLASSFEATUREHEADERS,0),MATCH($A1424,CLASSNAMEHEADERS,0))),(INDEX(ALLCLASSDATA,MATCH("SimpleLimitedMaster",CLASSFEATUREHEADERS,0),MATCH(($A1424 &amp; "Points"),CLASSNAMEHEADERS,0))),(IF("15"=(INDEX(ALLCLASSDATA,MATCH("SimpleLimitedExpert",CLASSFEATUREHEADERS,0),MATCH($A1424,CLASSNAMEHEADERS,0))),(INDEX(ALLCLASSDATA,MATCH("SimpleLimitedExpert",CLASSFEATUREHEADERS,0),MATCH(($A1424 &amp; "Points"),CLASSNAMEHEADERS,0))),(IF("15"=(INDEX(ALLCLASSDATA,MATCH("SimpleLimitedTrained",CLASSFEATUREHEADERS,0),MATCH($A1424,CLASSNAMEHEADERS,0))),(INDEX(ALLCLASSDATA,MATCH("SimpleLimitedTrained",CLASSFEATUREHEADERS,0),MATCH(($A1424 &amp; "Points"),CLASSNAMEHEADERS,0))),"")))))))))}</f>
        <v>SIMPLELIMITEDL15</v>
      </c>
      <c r="W1423" s="223"/>
      <c r="X1423" s="223" t="str">
        <f t="array" ref="X1423:X1424">{"SIMPLELIMITEDL17";((IF("17"=(INDEX(ALLCLASSDATA,MATCH("SimpleLimitedLegendary",CLASSFEATUREHEADERS,0),MATCH($A1424,CLASSNAMEHEADERS,0))),(INDEX(ALLCLASSDATA,MATCH("SimpleLimitedLegendary",CLASSFEATUREHEADERS,0),MATCH(($A1424 &amp; "Points"),CLASSNAMEHEADERS,0))),(IF("17"=(INDEX(ALLCLASSDATA,MATCH("SimpleLimitedMaster",CLASSFEATUREHEADERS,0),MATCH($A1424,CLASSNAMEHEADERS,0))),(INDEX(ALLCLASSDATA,MATCH("SimpleLimitedMaster",CLASSFEATUREHEADERS,0),MATCH(($A1424 &amp; "Points"),CLASSNAMEHEADERS,0))),(IF("17"=(INDEX(ALLCLASSDATA,MATCH("SimpleLimitedExpert",CLASSFEATUREHEADERS,0),MATCH($A1424,CLASSNAMEHEADERS,0))),(INDEX(ALLCLASSDATA,MATCH("SimpleLimitedExpert",CLASSFEATUREHEADERS,0),MATCH(($A1424 &amp; "Points"),CLASSNAMEHEADERS,0))),(IF("17"=(INDEX(ALLCLASSDATA,MATCH("SimpleLimitedTrained",CLASSFEATUREHEADERS,0),MATCH($A1424,CLASSNAMEHEADERS,0))),(INDEX(ALLCLASSDATA,MATCH("SimpleLimitedTrained",CLASSFEATUREHEADERS,0),MATCH(($A1424 &amp; "Points"),CLASSNAMEHEADERS,0))),"")))))))))}</f>
        <v>SIMPLELIMITEDL17</v>
      </c>
      <c r="Y1423" s="223"/>
      <c r="Z1423" s="223" t="str">
        <f t="array" ref="Z1423:Z1424">{"SIMPLELIMITEDL19";((IF("19"=(INDEX(ALLCLASSDATA,MATCH("SimpleLimitedLegendary",CLASSFEATUREHEADERS,0),MATCH($A1424,CLASSNAMEHEADERS,0))),(INDEX(ALLCLASSDATA,MATCH("SimpleLimitedLegendary",CLASSFEATUREHEADERS,0),MATCH(($A1424 &amp; "Points"),CLASSNAMEHEADERS,0))),(IF("19"=(INDEX(ALLCLASSDATA,MATCH("SimpleLimitedMaster",CLASSFEATUREHEADERS,0),MATCH($A1424,CLASSNAMEHEADERS,0))),(INDEX(ALLCLASSDATA,MATCH("SimpleLimitedMaster",CLASSFEATUREHEADERS,0),MATCH(($A1424 &amp; "Points"),CLASSNAMEHEADERS,0))),(IF("19"=(INDEX(ALLCLASSDATA,MATCH("SimpleLimitedExpert",CLASSFEATUREHEADERS,0),MATCH($A1424,CLASSNAMEHEADERS,0))),(INDEX(ALLCLASSDATA,MATCH("SimpleLimitedExpert",CLASSFEATUREHEADERS,0),MATCH(($A1424 &amp; "Points"),CLASSNAMEHEADERS,0))),(IF("19"=(INDEX(ALLCLASSDATA,MATCH("SimpleLimitedTrained",CLASSFEATUREHEADERS,0),MATCH($A1424,CLASSNAMEHEADERS,0))),(INDEX(ALLCLASSDATA,MATCH("SimpleLimitedTrained",CLASSFEATUREHEADERS,0),MATCH(($A1424 &amp; "Points"),CLASSNAMEHEADERS,0))),"")))))))))}</f>
        <v>SIMPLELIMITEDL19</v>
      </c>
      <c r="AA1423" s="223"/>
      <c r="AB1423" s="76" t="str">
        <f t="array" ref="AB1423:AB1424">{"SIMPLELIMITED TOTAL";(IF(COUNTBLANK(G1424:AA1424)=17,"L",(IF(COUNTBLANK(G1424:AA1424)=18,"M",(IF(COUNTBLANK(G1424:AA1424)=19,"E",(IF(COUNTBLANK(G1424:AA1424)=20,"T",""))))))))}</f>
        <v>SIMPLELIMITED TOTAL</v>
      </c>
      <c r="AC1423" s="76" t="str">
        <f t="array" ref="AC1423:AC1424">{"SIMPLELIMITED TOTAL";(sum(G1424:AA1424))}</f>
        <v>SIMPLELIMITED TOTAL</v>
      </c>
    </row>
    <row r="1424">
      <c r="A1424" s="48" t="s">
        <v>219</v>
      </c>
      <c r="B1424" s="48"/>
      <c r="C1424" s="48" t="s">
        <v>418</v>
      </c>
      <c r="D1424" s="48" t="s">
        <v>1634</v>
      </c>
      <c r="E1424" s="48" t="s">
        <v>599</v>
      </c>
      <c r="F1424" s="5" t="s">
        <v>603</v>
      </c>
      <c r="G1424" s="47" t="s">
        <v>603</v>
      </c>
      <c r="H1424" s="5" t="s">
        <v>603</v>
      </c>
      <c r="I1424" s="5"/>
      <c r="J1424" s="5" t="s">
        <v>603</v>
      </c>
      <c r="K1424" s="5"/>
      <c r="L1424" s="5" t="s">
        <v>603</v>
      </c>
      <c r="M1424" s="5"/>
      <c r="N1424" s="5" t="s">
        <v>603</v>
      </c>
      <c r="O1424" s="5"/>
      <c r="P1424" s="5" t="s">
        <v>603</v>
      </c>
      <c r="Q1424" s="5"/>
      <c r="R1424" s="5" t="s">
        <v>603</v>
      </c>
      <c r="S1424" s="5"/>
      <c r="T1424" s="5" t="s">
        <v>603</v>
      </c>
      <c r="U1424" s="5"/>
      <c r="V1424" s="5" t="s">
        <v>603</v>
      </c>
      <c r="W1424" s="5"/>
      <c r="X1424" s="5" t="s">
        <v>603</v>
      </c>
      <c r="Y1424" s="5"/>
      <c r="Z1424" s="5" t="s">
        <v>603</v>
      </c>
      <c r="AA1424" s="5"/>
      <c r="AB1424" s="5" t="s">
        <v>603</v>
      </c>
      <c r="AC1424" s="47">
        <v>0.0</v>
      </c>
    </row>
    <row r="1425" hidden="1">
      <c r="A1425" s="222" t="str">
        <f t="array" ref="A1425:A1426">{"FormulaRow29";(INDEX(CLASSLIST,A1368,1))}</f>
        <v>FormulaRow29</v>
      </c>
      <c r="B1425" s="77" t="s">
        <v>236</v>
      </c>
      <c r="C1425" s="222" t="str">
        <f t="array" ref="C1425:C1426">{"CLASSTYPE";((INDEX(ALLCLASSDATA,MATCH("ClassType",CLASSFEATUREHEADERS,0),MATCH($A1426,CLASSNAMEHEADERS,0))))}</f>
        <v>CLASSTYPE</v>
      </c>
      <c r="D1425" s="222" t="str">
        <f t="array" ref="D1425:D1426">{"ATTACK";"Attack"}</f>
        <v>ATTACK</v>
      </c>
      <c r="E1425" s="222" t="str">
        <f t="array" ref="E1425:E1426">{"SIMPLE";"Simple"}</f>
        <v>SIMPLE</v>
      </c>
      <c r="F1425" s="223" t="str">
        <f t="array" ref="F1425:F1426">{"SIMPLEINITIAL";((IF(H1426=10,"T",(IF(H1426=50,"E","")))))}</f>
        <v>SIMPLEINITIAL</v>
      </c>
      <c r="G1425" s="223" t="str">
        <f t="array" ref="G1425:G1426">{"SIMPLEINITIALPTS";((IF("00"=(INDEX(ALLCLASSDATA,MATCH("SimpleLegendary",CLASSFEATUREHEADERS,0),MATCH($A1426,CLASSNAMEHEADERS,0))),(INDEX(ALLCLASSDATA,MATCH("SimpleLegendary",CLASSFEATUREHEADERS,0),MATCH(($A1426 &amp; "Points"),CLASSNAMEHEADERS,0))),(IF("00"=(INDEX(ALLCLASSDATA,MATCH("SimpleMaster",CLASSFEATUREHEADERS,0),MATCH($A1426,CLASSNAMEHEADERS,0))),(INDEX(ALLCLASSDATA,MATCH("SimpleMaster",CLASSFEATUREHEADERS,0),MATCH(($A1426 &amp; "Points"),CLASSNAMEHEADERS,0))),(IF("00"=(INDEX(ALLCLASSDATA,MATCH("SimpleExpert",CLASSFEATUREHEADERS,0),MATCH($A1426,CLASSNAMEHEADERS,0))),(INDEX(ALLCLASSDATA,MATCH("SimpleExpert",CLASSFEATUREHEADERS,0),MATCH(($A1426 &amp; "Points"),CLASSNAMEHEADERS,0))),(IF("00"=(INDEX(ALLCLASSDATA,MATCH("SimpleTrained",CLASSFEATUREHEADERS,0),MATCH($A1426,CLASSNAMEHEADERS,0))),(INDEX(ALLCLASSDATA,MATCH("SimpleTrained",CLASSFEATUREHEADERS,0),MATCH(($A1426 &amp; "Points"),CLASSNAMEHEADERS,0))),"")))))))))}</f>
        <v>SIMPLEINITIALPTS</v>
      </c>
      <c r="H1425" s="223" t="str">
        <f t="array" ref="H1425:H1426">{"SIMPLEL01";((IF("01"=(INDEX(ALLCLASSDATA,MATCH("SimpleLegendary",CLASSFEATUREHEADERS,0),MATCH($A1426,CLASSNAMEHEADERS,0))),(INDEX(ALLCLASSDATA,MATCH("SimpleLegendary",CLASSFEATUREHEADERS,0),MATCH(($A1426 &amp; "Points"),CLASSNAMEHEADERS,0))),(IF("01"=(INDEX(ALLCLASSDATA,MATCH("SimpleMaster",CLASSFEATUREHEADERS,0),MATCH($A1426,CLASSNAMEHEADERS,0))),(INDEX(ALLCLASSDATA,MATCH("SimpleMaster",CLASSFEATUREHEADERS,0),MATCH(($A1426 &amp; "Points"),CLASSNAMEHEADERS,0))),(IF("01"=(INDEX(ALLCLASSDATA,MATCH("SimpleExpert",CLASSFEATUREHEADERS,0),MATCH($A1426,CLASSNAMEHEADERS,0))),(INDEX(ALLCLASSDATA,MATCH("SimpleExpert",CLASSFEATUREHEADERS,0),MATCH(($A1426 &amp; "Points"),CLASSNAMEHEADERS,0))),(IF("01"=(INDEX(ALLCLASSDATA,MATCH("SimpleTrained",CLASSFEATUREHEADERS,0),MATCH($A1426,CLASSNAMEHEADERS,0))),(INDEX(ALLCLASSDATA,MATCH("SimpleTrained",CLASSFEATUREHEADERS,0),MATCH(($A1426 &amp; "Points"),CLASSNAMEHEADERS,0))),"")))))))))}</f>
        <v>SIMPLEL01</v>
      </c>
      <c r="I1425" s="223"/>
      <c r="J1425" s="223" t="str">
        <f t="array" ref="J1425:J1426">{"SIMPLEL03";((IF("03"=(INDEX(ALLCLASSDATA,MATCH("SimpleLegendary",CLASSFEATUREHEADERS,0),MATCH($A1426,CLASSNAMEHEADERS,0))),(INDEX(ALLCLASSDATA,MATCH("SimpleLegendary",CLASSFEATUREHEADERS,0),MATCH(($A1426 &amp; "Points"),CLASSNAMEHEADERS,0))),(IF("03"=(INDEX(ALLCLASSDATA,MATCH("SimpleMaster",CLASSFEATUREHEADERS,0),MATCH($A1426,CLASSNAMEHEADERS,0))),(INDEX(ALLCLASSDATA,MATCH("SimpleMaster",CLASSFEATUREHEADERS,0),MATCH(($A1426 &amp; "Points"),CLASSNAMEHEADERS,0))),(IF("03"=(INDEX(ALLCLASSDATA,MATCH("SimpleExpert",CLASSFEATUREHEADERS,0),MATCH($A1426,CLASSNAMEHEADERS,0))),(INDEX(ALLCLASSDATA,MATCH("SimpleExpert",CLASSFEATUREHEADERS,0),MATCH(($A1426 &amp; "Points"),CLASSNAMEHEADERS,0))),(IF("03"=(INDEX(ALLCLASSDATA,MATCH("SimpleTrained",CLASSFEATUREHEADERS,0),MATCH($A1426,CLASSNAMEHEADERS,0))),(INDEX(ALLCLASSDATA,MATCH("SimpleTrained",CLASSFEATUREHEADERS,0),MATCH(($A1426 &amp; "Points"),CLASSNAMEHEADERS,0))),"")))))))))}</f>
        <v>SIMPLEL03</v>
      </c>
      <c r="K1425" s="223"/>
      <c r="L1425" s="223" t="str">
        <f t="array" ref="L1425:L1426">{"SIMPLEL05";((IF("05"=(INDEX(ALLCLASSDATA,MATCH("SimpleLegendary",CLASSFEATUREHEADERS,0),MATCH($A1426,CLASSNAMEHEADERS,0))),(INDEX(ALLCLASSDATA,MATCH("SimpleLegendary",CLASSFEATUREHEADERS,0),MATCH(($A1426 &amp; "Points"),CLASSNAMEHEADERS,0))),(IF("05"=(INDEX(ALLCLASSDATA,MATCH("SimpleMaster",CLASSFEATUREHEADERS,0),MATCH($A1426,CLASSNAMEHEADERS,0))),(INDEX(ALLCLASSDATA,MATCH("SimpleMaster",CLASSFEATUREHEADERS,0),MATCH(($A1426 &amp; "Points"),CLASSNAMEHEADERS,0))),(IF("05"=(INDEX(ALLCLASSDATA,MATCH("SimpleExpert",CLASSFEATUREHEADERS,0),MATCH($A1426,CLASSNAMEHEADERS,0))),(INDEX(ALLCLASSDATA,MATCH("SimpleExpert",CLASSFEATUREHEADERS,0),MATCH(($A1426 &amp; "Points"),CLASSNAMEHEADERS,0))),(IF("05"=(INDEX(ALLCLASSDATA,MATCH("SimpleTrained",CLASSFEATUREHEADERS,0),MATCH($A1426,CLASSNAMEHEADERS,0))),(INDEX(ALLCLASSDATA,MATCH("SimpleTrained",CLASSFEATUREHEADERS,0),MATCH(($A1426 &amp; "Points"),CLASSNAMEHEADERS,0))),"")))))))))}</f>
        <v>SIMPLEL05</v>
      </c>
      <c r="M1425" s="223"/>
      <c r="N1425" s="223" t="str">
        <f t="array" ref="N1425:N1426">{"SIMPLEL07";((IF("07"=(INDEX(ALLCLASSDATA,MATCH("SimpleLegendary",CLASSFEATUREHEADERS,0),MATCH($A1426,CLASSNAMEHEADERS,0))),(INDEX(ALLCLASSDATA,MATCH("SimpleLegendary",CLASSFEATUREHEADERS,0),MATCH(($A1426 &amp; "Points"),CLASSNAMEHEADERS,0))),(IF("07"=(INDEX(ALLCLASSDATA,MATCH("SimpleMaster",CLASSFEATUREHEADERS,0),MATCH($A1426,CLASSNAMEHEADERS,0))),(INDEX(ALLCLASSDATA,MATCH("SimpleMaster",CLASSFEATUREHEADERS,0),MATCH(($A1426 &amp; "Points"),CLASSNAMEHEADERS,0))),(IF("07"=(INDEX(ALLCLASSDATA,MATCH("SimpleExpert",CLASSFEATUREHEADERS,0),MATCH($A1426,CLASSNAMEHEADERS,0))),(INDEX(ALLCLASSDATA,MATCH("SimpleExpert",CLASSFEATUREHEADERS,0),MATCH(($A1426 &amp; "Points"),CLASSNAMEHEADERS,0))),(IF("07"=(INDEX(ALLCLASSDATA,MATCH("SimpleTrained",CLASSFEATUREHEADERS,0),MATCH($A1426,CLASSNAMEHEADERS,0))),(INDEX(ALLCLASSDATA,MATCH("SimpleTrained",CLASSFEATUREHEADERS,0),MATCH(($A1426 &amp; "Points"),CLASSNAMEHEADERS,0))),"")))))))))}</f>
        <v>SIMPLEL07</v>
      </c>
      <c r="O1425" s="223"/>
      <c r="P1425" s="223" t="str">
        <f t="array" ref="P1425:P1426">{"SIMPLEL09";((IF("09"=(INDEX(ALLCLASSDATA,MATCH("SimpleLegendary",CLASSFEATUREHEADERS,0),MATCH($A1426,CLASSNAMEHEADERS,0))),(INDEX(ALLCLASSDATA,MATCH("SimpleLegendary",CLASSFEATUREHEADERS,0),MATCH(($A1426 &amp; "Points"),CLASSNAMEHEADERS,0))),(IF("09"=(INDEX(ALLCLASSDATA,MATCH("SimpleMaster",CLASSFEATUREHEADERS,0),MATCH($A1426,CLASSNAMEHEADERS,0))),(INDEX(ALLCLASSDATA,MATCH("SimpleMaster",CLASSFEATUREHEADERS,0),MATCH(($A1426 &amp; "Points"),CLASSNAMEHEADERS,0))),(IF("09"=(INDEX(ALLCLASSDATA,MATCH("SimpleExpert",CLASSFEATUREHEADERS,0),MATCH($A1426,CLASSNAMEHEADERS,0))),(INDEX(ALLCLASSDATA,MATCH("SimpleExpert",CLASSFEATUREHEADERS,0),MATCH(($A1426 &amp; "Points"),CLASSNAMEHEADERS,0))),(IF("09"=(INDEX(ALLCLASSDATA,MATCH("SimpleTrained",CLASSFEATUREHEADERS,0),MATCH($A1426,CLASSNAMEHEADERS,0))),(INDEX(ALLCLASSDATA,MATCH("SimpleTrained",CLASSFEATUREHEADERS,0),MATCH(($A1426 &amp; "Points"),CLASSNAMEHEADERS,0))),"")))))))))}</f>
        <v>SIMPLEL09</v>
      </c>
      <c r="Q1425" s="223"/>
      <c r="R1425" s="223" t="str">
        <f t="array" ref="R1425:R1426">{"SIMPLEL11";((IF("11"=(INDEX(ALLCLASSDATA,MATCH("SimpleLegendary",CLASSFEATUREHEADERS,0),MATCH($A1426,CLASSNAMEHEADERS,0))),(INDEX(ALLCLASSDATA,MATCH("SimpleLegendary",CLASSFEATUREHEADERS,0),MATCH(($A1426 &amp; "Points"),CLASSNAMEHEADERS,0))),(IF("11"=(INDEX(ALLCLASSDATA,MATCH("SimpleMaster",CLASSFEATUREHEADERS,0),MATCH($A1426,CLASSNAMEHEADERS,0))),(INDEX(ALLCLASSDATA,MATCH("SimpleMaster",CLASSFEATUREHEADERS,0),MATCH(($A1426 &amp; "Points"),CLASSNAMEHEADERS,0))),(IF("11"=(INDEX(ALLCLASSDATA,MATCH("SimpleExpert",CLASSFEATUREHEADERS,0),MATCH($A1426,CLASSNAMEHEADERS,0))),(INDEX(ALLCLASSDATA,MATCH("SimpleExpert",CLASSFEATUREHEADERS,0),MATCH(($A1426 &amp; "Points"),CLASSNAMEHEADERS,0))),(IF("11"=(INDEX(ALLCLASSDATA,MATCH("SimpleTrained",CLASSFEATUREHEADERS,0),MATCH($A1426,CLASSNAMEHEADERS,0))),(INDEX(ALLCLASSDATA,MATCH("SimpleTrained",CLASSFEATUREHEADERS,0),MATCH(($A1426 &amp; "Points"),CLASSNAMEHEADERS,0))),"")))))))))}</f>
        <v>SIMPLEL11</v>
      </c>
      <c r="S1425" s="223"/>
      <c r="T1425" s="223" t="str">
        <f t="array" ref="T1425:T1426">{"SIMPLEL13";((IF("13"=(INDEX(ALLCLASSDATA,MATCH("SimpleLegendary",CLASSFEATUREHEADERS,0),MATCH($A1426,CLASSNAMEHEADERS,0))),(INDEX(ALLCLASSDATA,MATCH("SimpleLegendary",CLASSFEATUREHEADERS,0),MATCH(($A1426 &amp; "Points"),CLASSNAMEHEADERS,0))),(IF("13"=(INDEX(ALLCLASSDATA,MATCH("SimpleMaster",CLASSFEATUREHEADERS,0),MATCH($A1426,CLASSNAMEHEADERS,0))),(INDEX(ALLCLASSDATA,MATCH("SimpleMaster",CLASSFEATUREHEADERS,0),MATCH(($A1426 &amp; "Points"),CLASSNAMEHEADERS,0))),(IF("13"=(INDEX(ALLCLASSDATA,MATCH("SimpleExpert",CLASSFEATUREHEADERS,0),MATCH($A1426,CLASSNAMEHEADERS,0))),(INDEX(ALLCLASSDATA,MATCH("SimpleExpert",CLASSFEATUREHEADERS,0),MATCH(($A1426 &amp; "Points"),CLASSNAMEHEADERS,0))),(IF("13"=(INDEX(ALLCLASSDATA,MATCH("SimpleTrained",CLASSFEATUREHEADERS,0),MATCH($A1426,CLASSNAMEHEADERS,0))),(INDEX(ALLCLASSDATA,MATCH("SimpleTrained",CLASSFEATUREHEADERS,0),MATCH(($A1426 &amp; "Points"),CLASSNAMEHEADERS,0))),"")))))))))}</f>
        <v>SIMPLEL13</v>
      </c>
      <c r="U1425" s="223"/>
      <c r="V1425" s="223" t="str">
        <f t="array" ref="V1425:V1426">{"SIMPLEL15";((IF("15"=(INDEX(ALLCLASSDATA,MATCH("SimpleLegendary",CLASSFEATUREHEADERS,0),MATCH($A1426,CLASSNAMEHEADERS,0))),(INDEX(ALLCLASSDATA,MATCH("SimpleLegendary",CLASSFEATUREHEADERS,0),MATCH(($A1426 &amp; "Points"),CLASSNAMEHEADERS,0))),(IF("15"=(INDEX(ALLCLASSDATA,MATCH("SimpleMaster",CLASSFEATUREHEADERS,0),MATCH($A1426,CLASSNAMEHEADERS,0))),(INDEX(ALLCLASSDATA,MATCH("SimpleMaster",CLASSFEATUREHEADERS,0),MATCH(($A1426 &amp; "Points"),CLASSNAMEHEADERS,0))),(IF("15"=(INDEX(ALLCLASSDATA,MATCH("SimpleExpert",CLASSFEATUREHEADERS,0),MATCH($A1426,CLASSNAMEHEADERS,0))),(INDEX(ALLCLASSDATA,MATCH("SimpleExpert",CLASSFEATUREHEADERS,0),MATCH(($A1426 &amp; "Points"),CLASSNAMEHEADERS,0))),(IF("15"=(INDEX(ALLCLASSDATA,MATCH("SimpleTrained",CLASSFEATUREHEADERS,0),MATCH($A1426,CLASSNAMEHEADERS,0))),(INDEX(ALLCLASSDATA,MATCH("SimpleTrained",CLASSFEATUREHEADERS,0),MATCH(($A1426 &amp; "Points"),CLASSNAMEHEADERS,0))),"")))))))))}</f>
        <v>SIMPLEL15</v>
      </c>
      <c r="W1425" s="223"/>
      <c r="X1425" s="223" t="str">
        <f t="array" ref="X1425:X1426">{"SIMPLEL17";((IF("17"=(INDEX(ALLCLASSDATA,MATCH("SimpleLegendary",CLASSFEATUREHEADERS,0),MATCH($A1426,CLASSNAMEHEADERS,0))),(INDEX(ALLCLASSDATA,MATCH("SimpleLegendary",CLASSFEATUREHEADERS,0),MATCH(($A1426 &amp; "Points"),CLASSNAMEHEADERS,0))),(IF("17"=(INDEX(ALLCLASSDATA,MATCH("SimpleMaster",CLASSFEATUREHEADERS,0),MATCH($A1426,CLASSNAMEHEADERS,0))),(INDEX(ALLCLASSDATA,MATCH("SimpleMaster",CLASSFEATUREHEADERS,0),MATCH(($A1426 &amp; "Points"),CLASSNAMEHEADERS,0))),(IF("17"=(INDEX(ALLCLASSDATA,MATCH("SimpleExpert",CLASSFEATUREHEADERS,0),MATCH($A1426,CLASSNAMEHEADERS,0))),(INDEX(ALLCLASSDATA,MATCH("SimpleExpert",CLASSFEATUREHEADERS,0),MATCH(($A1426 &amp; "Points"),CLASSNAMEHEADERS,0))),(IF("17"=(INDEX(ALLCLASSDATA,MATCH("SimpleTrained",CLASSFEATUREHEADERS,0),MATCH($A1426,CLASSNAMEHEADERS,0))),(INDEX(ALLCLASSDATA,MATCH("SimpleTrained",CLASSFEATUREHEADERS,0),MATCH(($A1426 &amp; "Points"),CLASSNAMEHEADERS,0))),"")))))))))}</f>
        <v>SIMPLEL17</v>
      </c>
      <c r="Y1425" s="223"/>
      <c r="Z1425" s="223" t="str">
        <f t="array" ref="Z1425:Z1426">{"SIMPLEL19";((IF("19"=(INDEX(ALLCLASSDATA,MATCH("SimpleLegendary",CLASSFEATUREHEADERS,0),MATCH($A1426,CLASSNAMEHEADERS,0))),(INDEX(ALLCLASSDATA,MATCH("SimpleLegendary",CLASSFEATUREHEADERS,0),MATCH(($A1426 &amp; "Points"),CLASSNAMEHEADERS,0))),(IF("19"=(INDEX(ALLCLASSDATA,MATCH("SimpleMaster",CLASSFEATUREHEADERS,0),MATCH($A1426,CLASSNAMEHEADERS,0))),(INDEX(ALLCLASSDATA,MATCH("SimpleMaster",CLASSFEATUREHEADERS,0),MATCH(($A1426 &amp; "Points"),CLASSNAMEHEADERS,0))),(IF("19"=(INDEX(ALLCLASSDATA,MATCH("SimpleExpert",CLASSFEATUREHEADERS,0),MATCH($A1426,CLASSNAMEHEADERS,0))),(INDEX(ALLCLASSDATA,MATCH("SimpleExpert",CLASSFEATUREHEADERS,0),MATCH(($A1426 &amp; "Points"),CLASSNAMEHEADERS,0))),(IF("19"=(INDEX(ALLCLASSDATA,MATCH("SimpleTrained",CLASSFEATUREHEADERS,0),MATCH($A1426,CLASSNAMEHEADERS,0))),(INDEX(ALLCLASSDATA,MATCH("SimpleTrained",CLASSFEATUREHEADERS,0),MATCH(($A1426 &amp; "Points"),CLASSNAMEHEADERS,0))),"")))))))))}</f>
        <v>SIMPLEL19</v>
      </c>
      <c r="AA1425" s="223"/>
      <c r="AB1425" s="76" t="str">
        <f t="array" ref="AB1425:AB1426">{"SIMPLE TOTAL";(IF(COUNTBLANK(G1426:AA1426)=17,"L",(IF(COUNTBLANK(G1426:AA1426)=18,"M",(IF(COUNTBLANK(G1426:AA1426)=19,"E",(IF(COUNTBLANK(G1426:AA1426)=20,"T",""))))))))}</f>
        <v>SIMPLE TOTAL</v>
      </c>
      <c r="AC1425" s="76" t="str">
        <f t="array" ref="AC1425:AC1426">{"SIMPLE TOTAL";(sum(G1426:AA1426))}</f>
        <v>SIMPLE TOTAL</v>
      </c>
    </row>
    <row r="1426">
      <c r="A1426" s="48" t="s">
        <v>219</v>
      </c>
      <c r="B1426" s="48"/>
      <c r="C1426" s="48" t="s">
        <v>418</v>
      </c>
      <c r="D1426" s="48" t="s">
        <v>1634</v>
      </c>
      <c r="E1426" s="48" t="s">
        <v>68</v>
      </c>
      <c r="F1426" s="5" t="s">
        <v>435</v>
      </c>
      <c r="G1426" s="47" t="s">
        <v>603</v>
      </c>
      <c r="H1426" s="5">
        <v>10.0</v>
      </c>
      <c r="I1426" s="5"/>
      <c r="J1426" s="5" t="s">
        <v>603</v>
      </c>
      <c r="K1426" s="5"/>
      <c r="L1426" s="5" t="s">
        <v>603</v>
      </c>
      <c r="M1426" s="5"/>
      <c r="N1426" s="5" t="s">
        <v>603</v>
      </c>
      <c r="O1426" s="5"/>
      <c r="P1426" s="5" t="s">
        <v>603</v>
      </c>
      <c r="Q1426" s="5"/>
      <c r="R1426" s="5" t="s">
        <v>436</v>
      </c>
      <c r="S1426" s="5"/>
      <c r="T1426" s="5" t="s">
        <v>603</v>
      </c>
      <c r="U1426" s="5"/>
      <c r="V1426" s="5" t="s">
        <v>603</v>
      </c>
      <c r="W1426" s="5"/>
      <c r="X1426" s="5" t="s">
        <v>603</v>
      </c>
      <c r="Y1426" s="5"/>
      <c r="Z1426" s="5" t="s">
        <v>603</v>
      </c>
      <c r="AA1426" s="5"/>
      <c r="AB1426" s="5" t="s">
        <v>436</v>
      </c>
      <c r="AC1426" s="47">
        <v>10.0</v>
      </c>
    </row>
    <row r="1427" hidden="1">
      <c r="A1427" s="222" t="str">
        <f t="array" ref="A1427:A1428">{"FormulaRow30";(INDEX(CLASSLIST,A1368,1))}</f>
        <v>FormulaRow30</v>
      </c>
      <c r="B1427" s="77" t="s">
        <v>236</v>
      </c>
      <c r="C1427" s="222" t="str">
        <f t="array" ref="C1427:C1428">{"CLASSTYPE";((INDEX(ALLCLASSDATA,MATCH("ClassType",CLASSFEATUREHEADERS,0),MATCH($A1428,CLASSNAMEHEADERS,0))))}</f>
        <v>CLASSTYPE</v>
      </c>
      <c r="D1427" s="222" t="str">
        <f t="array" ref="D1427:D1428">{"ATTACK";"Attack"}</f>
        <v>ATTACK</v>
      </c>
      <c r="E1427" s="222" t="str">
        <f t="array" ref="E1427:E1428">{"MARTIALLIMITED";"MartialLimited"}</f>
        <v>MARTIALLIMITED</v>
      </c>
      <c r="F1427" s="223" t="str">
        <f t="array" ref="F1427:F1428">{"MARTIALLIMITEDINITIAL";((IF(H1428=10,"T",(IF(H1428=50,"E","")))))}</f>
        <v>MARTIALLIMITEDINITIAL</v>
      </c>
      <c r="G1427" s="223" t="str">
        <f t="array" ref="G1427:G1428">{"MARTIALLIMITEDINITIALPTS";((IF("00"=(INDEX(ALLCLASSDATA,MATCH("MartialLimitedLegendary",CLASSFEATUREHEADERS,0),MATCH($A1428,CLASSNAMEHEADERS,0))),(INDEX(ALLCLASSDATA,MATCH("MartialLimitedLegendary",CLASSFEATUREHEADERS,0),MATCH(($A1428 &amp; "Points"),CLASSNAMEHEADERS,0))),(IF("00"=(INDEX(ALLCLASSDATA,MATCH("MartialLimitedMaster",CLASSFEATUREHEADERS,0),MATCH($A1428,CLASSNAMEHEADERS,0))),(INDEX(ALLCLASSDATA,MATCH("MartialLimitedMaster",CLASSFEATUREHEADERS,0),MATCH(($A1428 &amp; "Points"),CLASSNAMEHEADERS,0))),(IF("00"=(INDEX(ALLCLASSDATA,MATCH("MartialLimitedExpert",CLASSFEATUREHEADERS,0),MATCH($A1428,CLASSNAMEHEADERS,0))),(INDEX(ALLCLASSDATA,MATCH("MartialLimitedExpert",CLASSFEATUREHEADERS,0),MATCH(($A1428 &amp; "Points"),CLASSNAMEHEADERS,0))),(IF("00"=(INDEX(ALLCLASSDATA,MATCH("MartialLimitedTrained",CLASSFEATUREHEADERS,0),MATCH($A1428,CLASSNAMEHEADERS,0))),(INDEX(ALLCLASSDATA,MATCH("MartialLimitedTrained",CLASSFEATUREHEADERS,0),MATCH(($A1428 &amp; "Points"),CLASSNAMEHEADERS,0))),"")))))))))}</f>
        <v>MARTIALLIMITEDINITIALPTS</v>
      </c>
      <c r="H1427" s="223" t="str">
        <f t="array" ref="H1427:H1428">{"MARTIALLIMITEDL01";((IF("01"=(INDEX(ALLCLASSDATA,MATCH("MartialLimitedLegendary",CLASSFEATUREHEADERS,0),MATCH($A1428,CLASSNAMEHEADERS,0))),(INDEX(ALLCLASSDATA,MATCH("MartialLimitedLegendary",CLASSFEATUREHEADERS,0),MATCH(($A1428 &amp; "Points"),CLASSNAMEHEADERS,0))),(IF("01"=(INDEX(ALLCLASSDATA,MATCH("MartialLimitedMaster",CLASSFEATUREHEADERS,0),MATCH($A1428,CLASSNAMEHEADERS,0))),(INDEX(ALLCLASSDATA,MATCH("MartialLimitedMaster",CLASSFEATUREHEADERS,0),MATCH(($A1428 &amp; "Points"),CLASSNAMEHEADERS,0))),(IF("01"=(INDEX(ALLCLASSDATA,MATCH("MartialLimitedExpert",CLASSFEATUREHEADERS,0),MATCH($A1428,CLASSNAMEHEADERS,0))),(INDEX(ALLCLASSDATA,MATCH("MartialLimitedExpert",CLASSFEATUREHEADERS,0),MATCH(($A1428 &amp; "Points"),CLASSNAMEHEADERS,0))),(IF("01"=(INDEX(ALLCLASSDATA,MATCH("MartialLimitedTrained",CLASSFEATUREHEADERS,0),MATCH($A1428,CLASSNAMEHEADERS,0))),(INDEX(ALLCLASSDATA,MATCH("MartialLimitedTrained",CLASSFEATUREHEADERS,0),MATCH(($A1428 &amp; "Points"),CLASSNAMEHEADERS,0))),"")))))))))}</f>
        <v>MARTIALLIMITEDL01</v>
      </c>
      <c r="I1427" s="223"/>
      <c r="J1427" s="223" t="str">
        <f t="array" ref="J1427:J1428">{"MARTIALLIMITEDL03";((IF("03"=(INDEX(ALLCLASSDATA,MATCH("MartialLimitedLegendary",CLASSFEATUREHEADERS,0),MATCH($A1428,CLASSNAMEHEADERS,0))),(INDEX(ALLCLASSDATA,MATCH("MartialLimitedLegendary",CLASSFEATUREHEADERS,0),MATCH(($A1428 &amp; "Points"),CLASSNAMEHEADERS,0))),(IF("03"=(INDEX(ALLCLASSDATA,MATCH("MartialLimitedMaster",CLASSFEATUREHEADERS,0),MATCH($A1428,CLASSNAMEHEADERS,0))),(INDEX(ALLCLASSDATA,MATCH("MartialLimitedMaster",CLASSFEATUREHEADERS,0),MATCH(($A1428 &amp; "Points"),CLASSNAMEHEADERS,0))),(IF("03"=(INDEX(ALLCLASSDATA,MATCH("MartialLimitedExpert",CLASSFEATUREHEADERS,0),MATCH($A1428,CLASSNAMEHEADERS,0))),(INDEX(ALLCLASSDATA,MATCH("MartialLimitedExpert",CLASSFEATUREHEADERS,0),MATCH(($A1428 &amp; "Points"),CLASSNAMEHEADERS,0))),(IF("03"=(INDEX(ALLCLASSDATA,MATCH("MartialLimitedTrained",CLASSFEATUREHEADERS,0),MATCH($A1428,CLASSNAMEHEADERS,0))),(INDEX(ALLCLASSDATA,MATCH("MartialLimitedTrained",CLASSFEATUREHEADERS,0),MATCH(($A1428 &amp; "Points"),CLASSNAMEHEADERS,0))),"")))))))))}</f>
        <v>MARTIALLIMITEDL03</v>
      </c>
      <c r="K1427" s="223"/>
      <c r="L1427" s="223" t="str">
        <f t="array" ref="L1427:L1428">{"MARTIALLIMITEDL05";((IF("05"=(INDEX(ALLCLASSDATA,MATCH("MartialLimitedLegendary",CLASSFEATUREHEADERS,0),MATCH($A1428,CLASSNAMEHEADERS,0))),(INDEX(ALLCLASSDATA,MATCH("MartialLimitedLegendary",CLASSFEATUREHEADERS,0),MATCH(($A1428 &amp; "Points"),CLASSNAMEHEADERS,0))),(IF("05"=(INDEX(ALLCLASSDATA,MATCH("MartialLimitedMaster",CLASSFEATUREHEADERS,0),MATCH($A1428,CLASSNAMEHEADERS,0))),(INDEX(ALLCLASSDATA,MATCH("MartialLimitedMaster",CLASSFEATUREHEADERS,0),MATCH(($A1428 &amp; "Points"),CLASSNAMEHEADERS,0))),(IF("05"=(INDEX(ALLCLASSDATA,MATCH("MartialLimitedExpert",CLASSFEATUREHEADERS,0),MATCH($A1428,CLASSNAMEHEADERS,0))),(INDEX(ALLCLASSDATA,MATCH("MartialLimitedExpert",CLASSFEATUREHEADERS,0),MATCH(($A1428 &amp; "Points"),CLASSNAMEHEADERS,0))),(IF("05"=(INDEX(ALLCLASSDATA,MATCH("MartialLimitedTrained",CLASSFEATUREHEADERS,0),MATCH($A1428,CLASSNAMEHEADERS,0))),(INDEX(ALLCLASSDATA,MATCH("MartialLimitedTrained",CLASSFEATUREHEADERS,0),MATCH(($A1428 &amp; "Points"),CLASSNAMEHEADERS,0))),"")))))))))}</f>
        <v>MARTIALLIMITEDL05</v>
      </c>
      <c r="M1427" s="223"/>
      <c r="N1427" s="223" t="str">
        <f t="array" ref="N1427:N1428">{"MARTIALLIMITEDL07";((IF("07"=(INDEX(ALLCLASSDATA,MATCH("MartialLimitedLegendary",CLASSFEATUREHEADERS,0),MATCH($A1428,CLASSNAMEHEADERS,0))),(INDEX(ALLCLASSDATA,MATCH("MartialLimitedLegendary",CLASSFEATUREHEADERS,0),MATCH(($A1428 &amp; "Points"),CLASSNAMEHEADERS,0))),(IF("07"=(INDEX(ALLCLASSDATA,MATCH("MartialLimitedMaster",CLASSFEATUREHEADERS,0),MATCH($A1428,CLASSNAMEHEADERS,0))),(INDEX(ALLCLASSDATA,MATCH("MartialLimitedMaster",CLASSFEATUREHEADERS,0),MATCH(($A1428 &amp; "Points"),CLASSNAMEHEADERS,0))),(IF("07"=(INDEX(ALLCLASSDATA,MATCH("MartialLimitedExpert",CLASSFEATUREHEADERS,0),MATCH($A1428,CLASSNAMEHEADERS,0))),(INDEX(ALLCLASSDATA,MATCH("MartialLimitedExpert",CLASSFEATUREHEADERS,0),MATCH(($A1428 &amp; "Points"),CLASSNAMEHEADERS,0))),(IF("07"=(INDEX(ALLCLASSDATA,MATCH("MartialLimitedTrained",CLASSFEATUREHEADERS,0),MATCH($A1428,CLASSNAMEHEADERS,0))),(INDEX(ALLCLASSDATA,MATCH("MartialLimitedTrained",CLASSFEATUREHEADERS,0),MATCH(($A1428 &amp; "Points"),CLASSNAMEHEADERS,0))),"")))))))))}</f>
        <v>MARTIALLIMITEDL07</v>
      </c>
      <c r="O1427" s="223"/>
      <c r="P1427" s="223" t="str">
        <f t="array" ref="P1427:P1428">{"MARTIALLIMITEDL09";((IF("09"=(INDEX(ALLCLASSDATA,MATCH("MartialLimitedLegendary",CLASSFEATUREHEADERS,0),MATCH($A1428,CLASSNAMEHEADERS,0))),(INDEX(ALLCLASSDATA,MATCH("MartialLimitedLegendary",CLASSFEATUREHEADERS,0),MATCH(($A1428 &amp; "Points"),CLASSNAMEHEADERS,0))),(IF("09"=(INDEX(ALLCLASSDATA,MATCH("MartialLimitedMaster",CLASSFEATUREHEADERS,0),MATCH($A1428,CLASSNAMEHEADERS,0))),(INDEX(ALLCLASSDATA,MATCH("MartialLimitedMaster",CLASSFEATUREHEADERS,0),MATCH(($A1428 &amp; "Points"),CLASSNAMEHEADERS,0))),(IF("09"=(INDEX(ALLCLASSDATA,MATCH("MartialLimitedExpert",CLASSFEATUREHEADERS,0),MATCH($A1428,CLASSNAMEHEADERS,0))),(INDEX(ALLCLASSDATA,MATCH("MartialLimitedExpert",CLASSFEATUREHEADERS,0),MATCH(($A1428 &amp; "Points"),CLASSNAMEHEADERS,0))),(IF("09"=(INDEX(ALLCLASSDATA,MATCH("MartialLimitedTrained",CLASSFEATUREHEADERS,0),MATCH($A1428,CLASSNAMEHEADERS,0))),(INDEX(ALLCLASSDATA,MATCH("MartialLimitedTrained",CLASSFEATUREHEADERS,0),MATCH(($A1428 &amp; "Points"),CLASSNAMEHEADERS,0))),"")))))))))}</f>
        <v>MARTIALLIMITEDL09</v>
      </c>
      <c r="Q1427" s="223"/>
      <c r="R1427" s="223" t="str">
        <f t="array" ref="R1427:R1428">{"MARTIALLIMITEDL11";((IF("11"=(INDEX(ALLCLASSDATA,MATCH("MartialLimitedLegendary",CLASSFEATUREHEADERS,0),MATCH($A1428,CLASSNAMEHEADERS,0))),(INDEX(ALLCLASSDATA,MATCH("MartialLimitedLegendary",CLASSFEATUREHEADERS,0),MATCH(($A1428 &amp; "Points"),CLASSNAMEHEADERS,0))),(IF("11"=(INDEX(ALLCLASSDATA,MATCH("MartialLimitedMaster",CLASSFEATUREHEADERS,0),MATCH($A1428,CLASSNAMEHEADERS,0))),(INDEX(ALLCLASSDATA,MATCH("MartialLimitedMaster",CLASSFEATUREHEADERS,0),MATCH(($A1428 &amp; "Points"),CLASSNAMEHEADERS,0))),(IF("11"=(INDEX(ALLCLASSDATA,MATCH("MartialLimitedExpert",CLASSFEATUREHEADERS,0),MATCH($A1428,CLASSNAMEHEADERS,0))),(INDEX(ALLCLASSDATA,MATCH("MartialLimitedExpert",CLASSFEATUREHEADERS,0),MATCH(($A1428 &amp; "Points"),CLASSNAMEHEADERS,0))),(IF("11"=(INDEX(ALLCLASSDATA,MATCH("MartialLimitedTrained",CLASSFEATUREHEADERS,0),MATCH($A1428,CLASSNAMEHEADERS,0))),(INDEX(ALLCLASSDATA,MATCH("MartialLimitedTrained",CLASSFEATUREHEADERS,0),MATCH(($A1428 &amp; "Points"),CLASSNAMEHEADERS,0))),"")))))))))}</f>
        <v>MARTIALLIMITEDL11</v>
      </c>
      <c r="S1427" s="223"/>
      <c r="T1427" s="223" t="str">
        <f t="array" ref="T1427:T1428">{"MARTIALLIMITEDL13";((IF("13"=(INDEX(ALLCLASSDATA,MATCH("MartialLimitedLegendary",CLASSFEATUREHEADERS,0),MATCH($A1428,CLASSNAMEHEADERS,0))),(INDEX(ALLCLASSDATA,MATCH("MartialLimitedLegendary",CLASSFEATUREHEADERS,0),MATCH(($A1428 &amp; "Points"),CLASSNAMEHEADERS,0))),(IF("13"=(INDEX(ALLCLASSDATA,MATCH("MartialLimitedMaster",CLASSFEATUREHEADERS,0),MATCH($A1428,CLASSNAMEHEADERS,0))),(INDEX(ALLCLASSDATA,MATCH("MartialLimitedMaster",CLASSFEATUREHEADERS,0),MATCH(($A1428 &amp; "Points"),CLASSNAMEHEADERS,0))),(IF("13"=(INDEX(ALLCLASSDATA,MATCH("MartialLimitedExpert",CLASSFEATUREHEADERS,0),MATCH($A1428,CLASSNAMEHEADERS,0))),(INDEX(ALLCLASSDATA,MATCH("MartialLimitedExpert",CLASSFEATUREHEADERS,0),MATCH(($A1428 &amp; "Points"),CLASSNAMEHEADERS,0))),(IF("13"=(INDEX(ALLCLASSDATA,MATCH("MartialLimitedTrained",CLASSFEATUREHEADERS,0),MATCH($A1428,CLASSNAMEHEADERS,0))),(INDEX(ALLCLASSDATA,MATCH("MartialLimitedTrained",CLASSFEATUREHEADERS,0),MATCH(($A1428 &amp; "Points"),CLASSNAMEHEADERS,0))),"")))))))))}</f>
        <v>MARTIALLIMITEDL13</v>
      </c>
      <c r="U1427" s="223"/>
      <c r="V1427" s="223" t="str">
        <f t="array" ref="V1427:V1428">{"MARTIALLIMITEDL15";((IF("15"=(INDEX(ALLCLASSDATA,MATCH("MartialLimitedLegendary",CLASSFEATUREHEADERS,0),MATCH($A1428,CLASSNAMEHEADERS,0))),(INDEX(ALLCLASSDATA,MATCH("MartialLimitedLegendary",CLASSFEATUREHEADERS,0),MATCH(($A1428 &amp; "Points"),CLASSNAMEHEADERS,0))),(IF("15"=(INDEX(ALLCLASSDATA,MATCH("MartialLimitedMaster",CLASSFEATUREHEADERS,0),MATCH($A1428,CLASSNAMEHEADERS,0))),(INDEX(ALLCLASSDATA,MATCH("MartialLimitedMaster",CLASSFEATUREHEADERS,0),MATCH(($A1428 &amp; "Points"),CLASSNAMEHEADERS,0))),(IF("15"=(INDEX(ALLCLASSDATA,MATCH("MartialLimitedExpert",CLASSFEATUREHEADERS,0),MATCH($A1428,CLASSNAMEHEADERS,0))),(INDEX(ALLCLASSDATA,MATCH("MartialLimitedExpert",CLASSFEATUREHEADERS,0),MATCH(($A1428 &amp; "Points"),CLASSNAMEHEADERS,0))),(IF("15"=(INDEX(ALLCLASSDATA,MATCH("MartialLimitedTrained",CLASSFEATUREHEADERS,0),MATCH($A1428,CLASSNAMEHEADERS,0))),(INDEX(ALLCLASSDATA,MATCH("MartialLimitedTrained",CLASSFEATUREHEADERS,0),MATCH(($A1428 &amp; "Points"),CLASSNAMEHEADERS,0))),"")))))))))}</f>
        <v>MARTIALLIMITEDL15</v>
      </c>
      <c r="W1427" s="223"/>
      <c r="X1427" s="223" t="str">
        <f t="array" ref="X1427:X1428">{"MARTIALLIMITEDL17";((IF("17"=(INDEX(ALLCLASSDATA,MATCH("MartialLimitedLegendary",CLASSFEATUREHEADERS,0),MATCH($A1428,CLASSNAMEHEADERS,0))),(INDEX(ALLCLASSDATA,MATCH("MartialLimitedLegendary",CLASSFEATUREHEADERS,0),MATCH(($A1428 &amp; "Points"),CLASSNAMEHEADERS,0))),(IF("17"=(INDEX(ALLCLASSDATA,MATCH("MartialLimitedMaster",CLASSFEATUREHEADERS,0),MATCH($A1428,CLASSNAMEHEADERS,0))),(INDEX(ALLCLASSDATA,MATCH("MartialLimitedMaster",CLASSFEATUREHEADERS,0),MATCH(($A1428 &amp; "Points"),CLASSNAMEHEADERS,0))),(IF("17"=(INDEX(ALLCLASSDATA,MATCH("MartialLimitedExpert",CLASSFEATUREHEADERS,0),MATCH($A1428,CLASSNAMEHEADERS,0))),(INDEX(ALLCLASSDATA,MATCH("MartialLimitedExpert",CLASSFEATUREHEADERS,0),MATCH(($A1428 &amp; "Points"),CLASSNAMEHEADERS,0))),(IF("17"=(INDEX(ALLCLASSDATA,MATCH("MartialLimitedTrained",CLASSFEATUREHEADERS,0),MATCH($A1428,CLASSNAMEHEADERS,0))),(INDEX(ALLCLASSDATA,MATCH("MartialLimitedTrained",CLASSFEATUREHEADERS,0),MATCH(($A1428 &amp; "Points"),CLASSNAMEHEADERS,0))),"")))))))))}</f>
        <v>MARTIALLIMITEDL17</v>
      </c>
      <c r="Y1427" s="223"/>
      <c r="Z1427" s="223" t="str">
        <f t="array" ref="Z1427:Z1428">{"MARTIALLIMITEDL19";((IF("19"=(INDEX(ALLCLASSDATA,MATCH("MartialLimitedLegendary",CLASSFEATUREHEADERS,0),MATCH($A1428,CLASSNAMEHEADERS,0))),(INDEX(ALLCLASSDATA,MATCH("MartialLimitedLegendary",CLASSFEATUREHEADERS,0),MATCH(($A1428 &amp; "Points"),CLASSNAMEHEADERS,0))),(IF("19"=(INDEX(ALLCLASSDATA,MATCH("MartialLimitedMaster",CLASSFEATUREHEADERS,0),MATCH($A1428,CLASSNAMEHEADERS,0))),(INDEX(ALLCLASSDATA,MATCH("MartialLimitedMaster",CLASSFEATUREHEADERS,0),MATCH(($A1428 &amp; "Points"),CLASSNAMEHEADERS,0))),(IF("19"=(INDEX(ALLCLASSDATA,MATCH("MartialLimitedExpert",CLASSFEATUREHEADERS,0),MATCH($A1428,CLASSNAMEHEADERS,0))),(INDEX(ALLCLASSDATA,MATCH("MartialLimitedExpert",CLASSFEATUREHEADERS,0),MATCH(($A1428 &amp; "Points"),CLASSNAMEHEADERS,0))),(IF("19"=(INDEX(ALLCLASSDATA,MATCH("MartialLimitedTrained",CLASSFEATUREHEADERS,0),MATCH($A1428,CLASSNAMEHEADERS,0))),(INDEX(ALLCLASSDATA,MATCH("MartialLimitedTrained",CLASSFEATUREHEADERS,0),MATCH(($A1428 &amp; "Points"),CLASSNAMEHEADERS,0))),"")))))))))}</f>
        <v>MARTIALLIMITEDL19</v>
      </c>
      <c r="AA1427" s="223"/>
      <c r="AB1427" s="76" t="str">
        <f t="array" ref="AB1427:AB1428">{"MARTIALLIMITED TOTAL";(IF(COUNTBLANK(G1428:AA1428)=17,"L",(IF(COUNTBLANK(G1428:AA1428)=18,"M",(IF(COUNTBLANK(G1428:AA1428)=19,"E",(IF(COUNTBLANK(G1428:AA1428)=20,"T",""))))))))}</f>
        <v>MARTIALLIMITED TOTAL</v>
      </c>
      <c r="AC1427" s="76" t="str">
        <f t="array" ref="AC1427:AC1428">{"MARTIALLIMITED TOTAL";(sum(G1428:AA1428))}</f>
        <v>MARTIALLIMITED TOTAL</v>
      </c>
    </row>
    <row r="1428">
      <c r="A1428" s="48" t="s">
        <v>219</v>
      </c>
      <c r="B1428" s="48"/>
      <c r="C1428" s="48" t="s">
        <v>418</v>
      </c>
      <c r="D1428" s="48" t="s">
        <v>1634</v>
      </c>
      <c r="E1428" s="48" t="s">
        <v>600</v>
      </c>
      <c r="F1428" s="5" t="s">
        <v>435</v>
      </c>
      <c r="G1428" s="47" t="s">
        <v>603</v>
      </c>
      <c r="H1428" s="5">
        <v>10.0</v>
      </c>
      <c r="I1428" s="5"/>
      <c r="J1428" s="5" t="s">
        <v>603</v>
      </c>
      <c r="K1428" s="5"/>
      <c r="L1428" s="5" t="s">
        <v>603</v>
      </c>
      <c r="M1428" s="5"/>
      <c r="N1428" s="5" t="s">
        <v>603</v>
      </c>
      <c r="O1428" s="5"/>
      <c r="P1428" s="5" t="s">
        <v>603</v>
      </c>
      <c r="Q1428" s="5"/>
      <c r="R1428" s="5">
        <v>50.0</v>
      </c>
      <c r="S1428" s="5"/>
      <c r="T1428" s="5" t="s">
        <v>603</v>
      </c>
      <c r="U1428" s="5"/>
      <c r="V1428" s="5" t="s">
        <v>603</v>
      </c>
      <c r="W1428" s="5"/>
      <c r="X1428" s="5" t="s">
        <v>603</v>
      </c>
      <c r="Y1428" s="5"/>
      <c r="Z1428" s="5" t="s">
        <v>603</v>
      </c>
      <c r="AA1428" s="5"/>
      <c r="AB1428" s="5" t="s">
        <v>436</v>
      </c>
      <c r="AC1428" s="47">
        <v>60.0</v>
      </c>
    </row>
    <row r="1429" hidden="1">
      <c r="A1429" s="222" t="str">
        <f t="array" ref="A1429:A1430">{"FormulaRow31";(INDEX(CLASSLIST,A1368,1))}</f>
        <v>FormulaRow31</v>
      </c>
      <c r="B1429" s="77" t="s">
        <v>236</v>
      </c>
      <c r="C1429" s="222" t="str">
        <f t="array" ref="C1429:C1430">{"CLASSTYPE";((INDEX(ALLCLASSDATA,MATCH("ClassType",CLASSFEATUREHEADERS,0),MATCH($A1430,CLASSNAMEHEADERS,0))))}</f>
        <v>CLASSTYPE</v>
      </c>
      <c r="D1429" s="222" t="str">
        <f t="array" ref="D1429:D1430">{"ATTACK";"Attack"}</f>
        <v>ATTACK</v>
      </c>
      <c r="E1429" s="222" t="str">
        <f t="array" ref="E1429:E1430">{"MARTIAL";"Martial"}</f>
        <v>MARTIAL</v>
      </c>
      <c r="F1429" s="223" t="str">
        <f t="array" ref="F1429:F1430">{"MARTIALINITIAL";((IF(H1430=10,"T",(IF(H1430=50,"E","")))))}</f>
        <v>MARTIALINITIAL</v>
      </c>
      <c r="G1429" s="223" t="str">
        <f t="array" ref="G1429:G1430">{"MARTIALINITIALPTS";((IF("00"=(INDEX(ALLCLASSDATA,MATCH("MartialLegendary",CLASSFEATUREHEADERS,0),MATCH($A1430,CLASSNAMEHEADERS,0))),(INDEX(ALLCLASSDATA,MATCH("MartialLegendary",CLASSFEATUREHEADERS,0),MATCH(($A1430 &amp; "Points"),CLASSNAMEHEADERS,0))),(IF("00"=(INDEX(ALLCLASSDATA,MATCH("MartialMaster",CLASSFEATUREHEADERS,0),MATCH($A1430,CLASSNAMEHEADERS,0))),(INDEX(ALLCLASSDATA,MATCH("MartialMaster",CLASSFEATUREHEADERS,0),MATCH(($A1430 &amp; "Points"),CLASSNAMEHEADERS,0))),(IF("00"=(INDEX(ALLCLASSDATA,MATCH("MartialExpert",CLASSFEATUREHEADERS,0),MATCH($A1430,CLASSNAMEHEADERS,0))),(INDEX(ALLCLASSDATA,MATCH("MartialExpert",CLASSFEATUREHEADERS,0),MATCH(($A1430 &amp; "Points"),CLASSNAMEHEADERS,0))),(IF("00"=(INDEX(ALLCLASSDATA,MATCH("MartialTrained",CLASSFEATUREHEADERS,0),MATCH($A1430,CLASSNAMEHEADERS,0))),(INDEX(ALLCLASSDATA,MATCH("MartialTrained",CLASSFEATUREHEADERS,0),MATCH(($A1430 &amp; "Points"),CLASSNAMEHEADERS,0))),"")))))))))}</f>
        <v>MARTIALINITIALPTS</v>
      </c>
      <c r="H1429" s="223" t="str">
        <f t="array" ref="H1429:H1430">{"MARTIALL01";((IF("01"=(INDEX(ALLCLASSDATA,MATCH("MartialLegendary",CLASSFEATUREHEADERS,0),MATCH($A1430,CLASSNAMEHEADERS,0))),(INDEX(ALLCLASSDATA,MATCH("MartialLegendary",CLASSFEATUREHEADERS,0),MATCH(($A1430 &amp; "Points"),CLASSNAMEHEADERS,0))),(IF("01"=(INDEX(ALLCLASSDATA,MATCH("MartialMaster",CLASSFEATUREHEADERS,0),MATCH($A1430,CLASSNAMEHEADERS,0))),(INDEX(ALLCLASSDATA,MATCH("MartialMaster",CLASSFEATUREHEADERS,0),MATCH(($A1430 &amp; "Points"),CLASSNAMEHEADERS,0))),(IF("01"=(INDEX(ALLCLASSDATA,MATCH("MartialExpert",CLASSFEATUREHEADERS,0),MATCH($A1430,CLASSNAMEHEADERS,0))),(INDEX(ALLCLASSDATA,MATCH("MartialExpert",CLASSFEATUREHEADERS,0),MATCH(($A1430 &amp; "Points"),CLASSNAMEHEADERS,0))),(IF("01"=(INDEX(ALLCLASSDATA,MATCH("MartialTrained",CLASSFEATUREHEADERS,0),MATCH($A1430,CLASSNAMEHEADERS,0))),(INDEX(ALLCLASSDATA,MATCH("MartialTrained",CLASSFEATUREHEADERS,0),MATCH(($A1430 &amp; "Points"),CLASSNAMEHEADERS,0))),"")))))))))}</f>
        <v>MARTIALL01</v>
      </c>
      <c r="I1429" s="223"/>
      <c r="J1429" s="223" t="str">
        <f t="array" ref="J1429:J1430">{"MARTIALL03";((IF("03"=(INDEX(ALLCLASSDATA,MATCH("MartialLegendary",CLASSFEATUREHEADERS,0),MATCH($A1430,CLASSNAMEHEADERS,0))),(INDEX(ALLCLASSDATA,MATCH("MartialLegendary",CLASSFEATUREHEADERS,0),MATCH(($A1430 &amp; "Points"),CLASSNAMEHEADERS,0))),(IF("03"=(INDEX(ALLCLASSDATA,MATCH("MartialMaster",CLASSFEATUREHEADERS,0),MATCH($A1430,CLASSNAMEHEADERS,0))),(INDEX(ALLCLASSDATA,MATCH("MartialMaster",CLASSFEATUREHEADERS,0),MATCH(($A1430 &amp; "Points"),CLASSNAMEHEADERS,0))),(IF("03"=(INDEX(ALLCLASSDATA,MATCH("MartialExpert",CLASSFEATUREHEADERS,0),MATCH($A1430,CLASSNAMEHEADERS,0))),(INDEX(ALLCLASSDATA,MATCH("MartialExpert",CLASSFEATUREHEADERS,0),MATCH(($A1430 &amp; "Points"),CLASSNAMEHEADERS,0))),(IF("03"=(INDEX(ALLCLASSDATA,MATCH("MartialTrained",CLASSFEATUREHEADERS,0),MATCH($A1430,CLASSNAMEHEADERS,0))),(INDEX(ALLCLASSDATA,MATCH("MartialTrained",CLASSFEATUREHEADERS,0),MATCH(($A1430 &amp; "Points"),CLASSNAMEHEADERS,0))),"")))))))))}</f>
        <v>MARTIALL03</v>
      </c>
      <c r="K1429" s="223"/>
      <c r="L1429" s="223" t="str">
        <f t="array" ref="L1429:L1430">{"MARTIALL05";((IF("05"=(INDEX(ALLCLASSDATA,MATCH("MartialLegendary",CLASSFEATUREHEADERS,0),MATCH($A1430,CLASSNAMEHEADERS,0))),(INDEX(ALLCLASSDATA,MATCH("MartialLegendary",CLASSFEATUREHEADERS,0),MATCH(($A1430 &amp; "Points"),CLASSNAMEHEADERS,0))),(IF("05"=(INDEX(ALLCLASSDATA,MATCH("MartialMaster",CLASSFEATUREHEADERS,0),MATCH($A1430,CLASSNAMEHEADERS,0))),(INDEX(ALLCLASSDATA,MATCH("MartialMaster",CLASSFEATUREHEADERS,0),MATCH(($A1430 &amp; "Points"),CLASSNAMEHEADERS,0))),(IF("05"=(INDEX(ALLCLASSDATA,MATCH("MartialExpert",CLASSFEATUREHEADERS,0),MATCH($A1430,CLASSNAMEHEADERS,0))),(INDEX(ALLCLASSDATA,MATCH("MartialExpert",CLASSFEATUREHEADERS,0),MATCH(($A1430 &amp; "Points"),CLASSNAMEHEADERS,0))),(IF("05"=(INDEX(ALLCLASSDATA,MATCH("MartialTrained",CLASSFEATUREHEADERS,0),MATCH($A1430,CLASSNAMEHEADERS,0))),(INDEX(ALLCLASSDATA,MATCH("MartialTrained",CLASSFEATUREHEADERS,0),MATCH(($A1430 &amp; "Points"),CLASSNAMEHEADERS,0))),"")))))))))}</f>
        <v>MARTIALL05</v>
      </c>
      <c r="M1429" s="223"/>
      <c r="N1429" s="223" t="str">
        <f t="array" ref="N1429:N1430">{"MARTIALL07";((IF("07"=(INDEX(ALLCLASSDATA,MATCH("MartialLegendary",CLASSFEATUREHEADERS,0),MATCH($A1430,CLASSNAMEHEADERS,0))),(INDEX(ALLCLASSDATA,MATCH("MartialLegendary",CLASSFEATUREHEADERS,0),MATCH(($A1430 &amp; "Points"),CLASSNAMEHEADERS,0))),(IF("07"=(INDEX(ALLCLASSDATA,MATCH("MartialMaster",CLASSFEATUREHEADERS,0),MATCH($A1430,CLASSNAMEHEADERS,0))),(INDEX(ALLCLASSDATA,MATCH("MartialMaster",CLASSFEATUREHEADERS,0),MATCH(($A1430 &amp; "Points"),CLASSNAMEHEADERS,0))),(IF("07"=(INDEX(ALLCLASSDATA,MATCH("MartialExpert",CLASSFEATUREHEADERS,0),MATCH($A1430,CLASSNAMEHEADERS,0))),(INDEX(ALLCLASSDATA,MATCH("MartialExpert",CLASSFEATUREHEADERS,0),MATCH(($A1430 &amp; "Points"),CLASSNAMEHEADERS,0))),(IF("07"=(INDEX(ALLCLASSDATA,MATCH("MartialTrained",CLASSFEATUREHEADERS,0),MATCH($A1430,CLASSNAMEHEADERS,0))),(INDEX(ALLCLASSDATA,MATCH("MartialTrained",CLASSFEATUREHEADERS,0),MATCH(($A1430 &amp; "Points"),CLASSNAMEHEADERS,0))),"")))))))))}</f>
        <v>MARTIALL07</v>
      </c>
      <c r="O1429" s="223"/>
      <c r="P1429" s="223" t="str">
        <f t="array" ref="P1429:P1430">{"MARTIALL09";((IF("09"=(INDEX(ALLCLASSDATA,MATCH("MartialLegendary",CLASSFEATUREHEADERS,0),MATCH($A1430,CLASSNAMEHEADERS,0))),(INDEX(ALLCLASSDATA,MATCH("MartialLegendary",CLASSFEATUREHEADERS,0),MATCH(($A1430 &amp; "Points"),CLASSNAMEHEADERS,0))),(IF("09"=(INDEX(ALLCLASSDATA,MATCH("MartialMaster",CLASSFEATUREHEADERS,0),MATCH($A1430,CLASSNAMEHEADERS,0))),(INDEX(ALLCLASSDATA,MATCH("MartialMaster",CLASSFEATUREHEADERS,0),MATCH(($A1430 &amp; "Points"),CLASSNAMEHEADERS,0))),(IF("09"=(INDEX(ALLCLASSDATA,MATCH("MartialExpert",CLASSFEATUREHEADERS,0),MATCH($A1430,CLASSNAMEHEADERS,0))),(INDEX(ALLCLASSDATA,MATCH("MartialExpert",CLASSFEATUREHEADERS,0),MATCH(($A1430 &amp; "Points"),CLASSNAMEHEADERS,0))),(IF("09"=(INDEX(ALLCLASSDATA,MATCH("MartialTrained",CLASSFEATUREHEADERS,0),MATCH($A1430,CLASSNAMEHEADERS,0))),(INDEX(ALLCLASSDATA,MATCH("MartialTrained",CLASSFEATUREHEADERS,0),MATCH(($A1430 &amp; "Points"),CLASSNAMEHEADERS,0))),"")))))))))}</f>
        <v>MARTIALL09</v>
      </c>
      <c r="Q1429" s="223"/>
      <c r="R1429" s="223" t="str">
        <f t="array" ref="R1429:R1430">{"MARTIALL11";((IF("11"=(INDEX(ALLCLASSDATA,MATCH("MartialLegendary",CLASSFEATUREHEADERS,0),MATCH($A1430,CLASSNAMEHEADERS,0))),(INDEX(ALLCLASSDATA,MATCH("MartialLegendary",CLASSFEATUREHEADERS,0),MATCH(($A1430 &amp; "Points"),CLASSNAMEHEADERS,0))),(IF("11"=(INDEX(ALLCLASSDATA,MATCH("MartialMaster",CLASSFEATUREHEADERS,0),MATCH($A1430,CLASSNAMEHEADERS,0))),(INDEX(ALLCLASSDATA,MATCH("MartialMaster",CLASSFEATUREHEADERS,0),MATCH(($A1430 &amp; "Points"),CLASSNAMEHEADERS,0))),(IF("11"=(INDEX(ALLCLASSDATA,MATCH("MartialExpert",CLASSFEATUREHEADERS,0),MATCH($A1430,CLASSNAMEHEADERS,0))),(INDEX(ALLCLASSDATA,MATCH("MartialExpert",CLASSFEATUREHEADERS,0),MATCH(($A1430 &amp; "Points"),CLASSNAMEHEADERS,0))),(IF("11"=(INDEX(ALLCLASSDATA,MATCH("MartialTrained",CLASSFEATUREHEADERS,0),MATCH($A1430,CLASSNAMEHEADERS,0))),(INDEX(ALLCLASSDATA,MATCH("MartialTrained",CLASSFEATUREHEADERS,0),MATCH(($A1430 &amp; "Points"),CLASSNAMEHEADERS,0))),"")))))))))}</f>
        <v>MARTIALL11</v>
      </c>
      <c r="S1429" s="223"/>
      <c r="T1429" s="223" t="str">
        <f t="array" ref="T1429:T1430">{"MARTIALL13";((IF("13"=(INDEX(ALLCLASSDATA,MATCH("MartialLegendary",CLASSFEATUREHEADERS,0),MATCH($A1430,CLASSNAMEHEADERS,0))),(INDEX(ALLCLASSDATA,MATCH("MartialLegendary",CLASSFEATUREHEADERS,0),MATCH(($A1430 &amp; "Points"),CLASSNAMEHEADERS,0))),(IF("13"=(INDEX(ALLCLASSDATA,MATCH("MartialMaster",CLASSFEATUREHEADERS,0),MATCH($A1430,CLASSNAMEHEADERS,0))),(INDEX(ALLCLASSDATA,MATCH("MartialMaster",CLASSFEATUREHEADERS,0),MATCH(($A1430 &amp; "Points"),CLASSNAMEHEADERS,0))),(IF("13"=(INDEX(ALLCLASSDATA,MATCH("MartialExpert",CLASSFEATUREHEADERS,0),MATCH($A1430,CLASSNAMEHEADERS,0))),(INDEX(ALLCLASSDATA,MATCH("MartialExpert",CLASSFEATUREHEADERS,0),MATCH(($A1430 &amp; "Points"),CLASSNAMEHEADERS,0))),(IF("13"=(INDEX(ALLCLASSDATA,MATCH("MartialTrained",CLASSFEATUREHEADERS,0),MATCH($A1430,CLASSNAMEHEADERS,0))),(INDEX(ALLCLASSDATA,MATCH("MartialTrained",CLASSFEATUREHEADERS,0),MATCH(($A1430 &amp; "Points"),CLASSNAMEHEADERS,0))),"")))))))))}</f>
        <v>MARTIALL13</v>
      </c>
      <c r="U1429" s="223"/>
      <c r="V1429" s="223" t="str">
        <f t="array" ref="V1429:V1430">{"MARTIALL15";((IF("15"=(INDEX(ALLCLASSDATA,MATCH("MartialLegendary",CLASSFEATUREHEADERS,0),MATCH($A1430,CLASSNAMEHEADERS,0))),(INDEX(ALLCLASSDATA,MATCH("MartialLegendary",CLASSFEATUREHEADERS,0),MATCH(($A1430 &amp; "Points"),CLASSNAMEHEADERS,0))),(IF("15"=(INDEX(ALLCLASSDATA,MATCH("MartialMaster",CLASSFEATUREHEADERS,0),MATCH($A1430,CLASSNAMEHEADERS,0))),(INDEX(ALLCLASSDATA,MATCH("MartialMaster",CLASSFEATUREHEADERS,0),MATCH(($A1430 &amp; "Points"),CLASSNAMEHEADERS,0))),(IF("15"=(INDEX(ALLCLASSDATA,MATCH("MartialExpert",CLASSFEATUREHEADERS,0),MATCH($A1430,CLASSNAMEHEADERS,0))),(INDEX(ALLCLASSDATA,MATCH("MartialExpert",CLASSFEATUREHEADERS,0),MATCH(($A1430 &amp; "Points"),CLASSNAMEHEADERS,0))),(IF("15"=(INDEX(ALLCLASSDATA,MATCH("MartialTrained",CLASSFEATUREHEADERS,0),MATCH($A1430,CLASSNAMEHEADERS,0))),(INDEX(ALLCLASSDATA,MATCH("MartialTrained",CLASSFEATUREHEADERS,0),MATCH(($A1430 &amp; "Points"),CLASSNAMEHEADERS,0))),"")))))))))}</f>
        <v>MARTIALL15</v>
      </c>
      <c r="W1429" s="223"/>
      <c r="X1429" s="223" t="str">
        <f t="array" ref="X1429:X1430">{"MARTIALL17";((IF("17"=(INDEX(ALLCLASSDATA,MATCH("MartialLegendary",CLASSFEATUREHEADERS,0),MATCH($A1430,CLASSNAMEHEADERS,0))),(INDEX(ALLCLASSDATA,MATCH("MartialLegendary",CLASSFEATUREHEADERS,0),MATCH(($A1430 &amp; "Points"),CLASSNAMEHEADERS,0))),(IF("17"=(INDEX(ALLCLASSDATA,MATCH("MartialMaster",CLASSFEATUREHEADERS,0),MATCH($A1430,CLASSNAMEHEADERS,0))),(INDEX(ALLCLASSDATA,MATCH("MartialMaster",CLASSFEATUREHEADERS,0),MATCH(($A1430 &amp; "Points"),CLASSNAMEHEADERS,0))),(IF("17"=(INDEX(ALLCLASSDATA,MATCH("MartialExpert",CLASSFEATUREHEADERS,0),MATCH($A1430,CLASSNAMEHEADERS,0))),(INDEX(ALLCLASSDATA,MATCH("MartialExpert",CLASSFEATUREHEADERS,0),MATCH(($A1430 &amp; "Points"),CLASSNAMEHEADERS,0))),(IF("17"=(INDEX(ALLCLASSDATA,MATCH("MartialTrained",CLASSFEATUREHEADERS,0),MATCH($A1430,CLASSNAMEHEADERS,0))),(INDEX(ALLCLASSDATA,MATCH("MartialTrained",CLASSFEATUREHEADERS,0),MATCH(($A1430 &amp; "Points"),CLASSNAMEHEADERS,0))),"")))))))))}</f>
        <v>MARTIALL17</v>
      </c>
      <c r="Y1429" s="223"/>
      <c r="Z1429" s="223" t="str">
        <f t="array" ref="Z1429:Z1430">{"MARTIALL19";((IF("19"=(INDEX(ALLCLASSDATA,MATCH("MartialLegendary",CLASSFEATUREHEADERS,0),MATCH($A1430,CLASSNAMEHEADERS,0))),(INDEX(ALLCLASSDATA,MATCH("MartialLegendary",CLASSFEATUREHEADERS,0),MATCH(($A1430 &amp; "Points"),CLASSNAMEHEADERS,0))),(IF("19"=(INDEX(ALLCLASSDATA,MATCH("MartialMaster",CLASSFEATUREHEADERS,0),MATCH($A1430,CLASSNAMEHEADERS,0))),(INDEX(ALLCLASSDATA,MATCH("MartialMaster",CLASSFEATUREHEADERS,0),MATCH(($A1430 &amp; "Points"),CLASSNAMEHEADERS,0))),(IF("19"=(INDEX(ALLCLASSDATA,MATCH("MartialExpert",CLASSFEATUREHEADERS,0),MATCH($A1430,CLASSNAMEHEADERS,0))),(INDEX(ALLCLASSDATA,MATCH("MartialExpert",CLASSFEATUREHEADERS,0),MATCH(($A1430 &amp; "Points"),CLASSNAMEHEADERS,0))),(IF("19"=(INDEX(ALLCLASSDATA,MATCH("MartialTrained",CLASSFEATUREHEADERS,0),MATCH($A1430,CLASSNAMEHEADERS,0))),(INDEX(ALLCLASSDATA,MATCH("MartialTrained",CLASSFEATUREHEADERS,0),MATCH(($A1430 &amp; "Points"),CLASSNAMEHEADERS,0))),"")))))))))}</f>
        <v>MARTIALL19</v>
      </c>
      <c r="AA1429" s="223"/>
      <c r="AB1429" s="76" t="str">
        <f t="array" ref="AB1429:AB1430">{"MARTIAL TOTAL";(IF(COUNTBLANK(G1430:AA1430)=17,"L",(IF(COUNTBLANK(G1430:AA1430)=18,"M",(IF(COUNTBLANK(G1430:AA1430)=19,"E",(IF(COUNTBLANK(G1430:AA1430)=20,"T",""))))))))}</f>
        <v>MARTIAL TOTAL</v>
      </c>
      <c r="AC1429" s="76" t="str">
        <f t="array" ref="AC1429:AC1430">{"MARTIAL TOTAL";(sum(G1430:AA1430))}</f>
        <v>MARTIAL TOTAL</v>
      </c>
    </row>
    <row r="1430">
      <c r="A1430" s="48" t="s">
        <v>219</v>
      </c>
      <c r="B1430" s="48"/>
      <c r="C1430" s="48" t="s">
        <v>418</v>
      </c>
      <c r="D1430" s="48" t="s">
        <v>1634</v>
      </c>
      <c r="E1430" s="48" t="s">
        <v>6</v>
      </c>
      <c r="F1430" s="5" t="s">
        <v>603</v>
      </c>
      <c r="G1430" s="47" t="s">
        <v>603</v>
      </c>
      <c r="H1430" s="5" t="s">
        <v>603</v>
      </c>
      <c r="I1430" s="5"/>
      <c r="J1430" s="5" t="s">
        <v>603</v>
      </c>
      <c r="K1430" s="5"/>
      <c r="L1430" s="5" t="s">
        <v>603</v>
      </c>
      <c r="M1430" s="5"/>
      <c r="N1430" s="5" t="s">
        <v>603</v>
      </c>
      <c r="O1430" s="5"/>
      <c r="P1430" s="5" t="s">
        <v>603</v>
      </c>
      <c r="Q1430" s="48"/>
      <c r="R1430" s="5" t="s">
        <v>603</v>
      </c>
      <c r="S1430" s="5"/>
      <c r="T1430" s="5" t="s">
        <v>603</v>
      </c>
      <c r="U1430" s="5"/>
      <c r="V1430" s="5" t="s">
        <v>603</v>
      </c>
      <c r="W1430" s="5"/>
      <c r="X1430" s="5" t="s">
        <v>603</v>
      </c>
      <c r="Y1430" s="5"/>
      <c r="Z1430" s="5" t="s">
        <v>603</v>
      </c>
      <c r="AA1430" s="5"/>
      <c r="AB1430" s="5" t="s">
        <v>603</v>
      </c>
      <c r="AC1430" s="47">
        <v>0.0</v>
      </c>
    </row>
    <row r="1431" hidden="1">
      <c r="A1431" s="222" t="str">
        <f t="array" ref="A1431:A1432">{"FormulaRow32";(INDEX(CLASSLIST,A1368,1))}</f>
        <v>FormulaRow32</v>
      </c>
      <c r="B1431" s="77" t="s">
        <v>236</v>
      </c>
      <c r="C1431" s="222" t="str">
        <f t="array" ref="C1431:C1432">{"CLASSTYPE";((INDEX(ALLCLASSDATA,MATCH("ClassType",CLASSFEATUREHEADERS,0),MATCH($A1432,CLASSNAMEHEADERS,0))))}</f>
        <v>CLASSTYPE</v>
      </c>
      <c r="D1431" s="222" t="str">
        <f t="array" ref="D1431:D1432">{"ATTACK";"Attack"}</f>
        <v>ATTACK</v>
      </c>
      <c r="E1431" s="222" t="str">
        <f t="array" ref="E1431:E1432">{"ADVANCEDGROUP";"AdvancedGroup"}</f>
        <v>ADVANCEDGROUP</v>
      </c>
      <c r="F1431" s="223" t="str">
        <f t="array" ref="F1431:F1432">{"ADVANCEDGROUPINITIAL";((IF(H1432=10,"T",(IF(H1432=50,"E","")))))}</f>
        <v>ADVANCEDGROUPINITIAL</v>
      </c>
      <c r="G1431" s="223" t="str">
        <f t="array" ref="G1431:G1432">{"ADVANCEDGROUPINITIALPTS";((IF("00"=(INDEX(ALLCLASSDATA,MATCH("AdvancedGroupLegendary",CLASSFEATUREHEADERS,0),MATCH($A1432,CLASSNAMEHEADERS,0))),(INDEX(ALLCLASSDATA,MATCH("AdvancedGroupLegendary",CLASSFEATUREHEADERS,0),MATCH(($A1432 &amp; "Points"),CLASSNAMEHEADERS,0))),(IF("00"=(INDEX(ALLCLASSDATA,MATCH("AdvancedGroupMaster",CLASSFEATUREHEADERS,0),MATCH($A1432,CLASSNAMEHEADERS,0))),(INDEX(ALLCLASSDATA,MATCH("AdvancedGroupMaster",CLASSFEATUREHEADERS,0),MATCH(($A1432 &amp; "Points"),CLASSNAMEHEADERS,0))),(IF("00"=(INDEX(ALLCLASSDATA,MATCH("AdvancedGroupExpert",CLASSFEATUREHEADERS,0),MATCH($A1432,CLASSNAMEHEADERS,0))),(INDEX(ALLCLASSDATA,MATCH("AdvancedGroupExpert",CLASSFEATUREHEADERS,0),MATCH(($A1432 &amp; "Points"),CLASSNAMEHEADERS,0))),(IF("00"=(INDEX(ALLCLASSDATA,MATCH("AdvancedGroupTrained",CLASSFEATUREHEADERS,0),MATCH($A1432,CLASSNAMEHEADERS,0))),(INDEX(ALLCLASSDATA,MATCH("AdvancedGroupTrained",CLASSFEATUREHEADERS,0),MATCH(($A1432 &amp; "Points"),CLASSNAMEHEADERS,0))),"")))))))))}</f>
        <v>ADVANCEDGROUPINITIALPTS</v>
      </c>
      <c r="H1431" s="223" t="str">
        <f t="array" ref="H1431:H1432">{"ADVANCEDGROUPL01";((IF("01"=(INDEX(ALLCLASSDATA,MATCH("AdvancedGroupLegendary",CLASSFEATUREHEADERS,0),MATCH($A1432,CLASSNAMEHEADERS,0))),(INDEX(ALLCLASSDATA,MATCH("AdvancedGroupLegendary",CLASSFEATUREHEADERS,0),MATCH(($A1432 &amp; "Points"),CLASSNAMEHEADERS,0))),(IF("01"=(INDEX(ALLCLASSDATA,MATCH("AdvancedGroupMaster",CLASSFEATUREHEADERS,0),MATCH($A1432,CLASSNAMEHEADERS,0))),(INDEX(ALLCLASSDATA,MATCH("AdvancedGroupMaster",CLASSFEATUREHEADERS,0),MATCH(($A1432 &amp; "Points"),CLASSNAMEHEADERS,0))),(IF("01"=(INDEX(ALLCLASSDATA,MATCH("AdvancedGroupExpert",CLASSFEATUREHEADERS,0),MATCH($A1432,CLASSNAMEHEADERS,0))),(INDEX(ALLCLASSDATA,MATCH("AdvancedGroupExpert",CLASSFEATUREHEADERS,0),MATCH(($A1432 &amp; "Points"),CLASSNAMEHEADERS,0))),(IF("01"=(INDEX(ALLCLASSDATA,MATCH("AdvancedGroupTrained",CLASSFEATUREHEADERS,0),MATCH($A1432,CLASSNAMEHEADERS,0))),(INDEX(ALLCLASSDATA,MATCH("AdvancedGroupTrained",CLASSFEATUREHEADERS,0),MATCH(($A1432 &amp; "Points"),CLASSNAMEHEADERS,0))),"")))))))))}</f>
        <v>ADVANCEDGROUPL01</v>
      </c>
      <c r="I1431" s="223"/>
      <c r="J1431" s="223" t="str">
        <f t="array" ref="J1431:J1432">{"ADVANCEDGROUPL03";((IF("03"=(INDEX(ALLCLASSDATA,MATCH("AdvancedGroupLegendary",CLASSFEATUREHEADERS,0),MATCH($A1432,CLASSNAMEHEADERS,0))),(INDEX(ALLCLASSDATA,MATCH("AdvancedGroupLegendary",CLASSFEATUREHEADERS,0),MATCH(($A1432 &amp; "Points"),CLASSNAMEHEADERS,0))),(IF("03"=(INDEX(ALLCLASSDATA,MATCH("AdvancedGroupMaster",CLASSFEATUREHEADERS,0),MATCH($A1432,CLASSNAMEHEADERS,0))),(INDEX(ALLCLASSDATA,MATCH("AdvancedGroupMaster",CLASSFEATUREHEADERS,0),MATCH(($A1432 &amp; "Points"),CLASSNAMEHEADERS,0))),(IF("03"=(INDEX(ALLCLASSDATA,MATCH("AdvancedGroupExpert",CLASSFEATUREHEADERS,0),MATCH($A1432,CLASSNAMEHEADERS,0))),(INDEX(ALLCLASSDATA,MATCH("AdvancedGroupExpert",CLASSFEATUREHEADERS,0),MATCH(($A1432 &amp; "Points"),CLASSNAMEHEADERS,0))),(IF("03"=(INDEX(ALLCLASSDATA,MATCH("AdvancedGroupTrained",CLASSFEATUREHEADERS,0),MATCH($A1432,CLASSNAMEHEADERS,0))),(INDEX(ALLCLASSDATA,MATCH("AdvancedGroupTrained",CLASSFEATUREHEADERS,0),MATCH(($A1432 &amp; "Points"),CLASSNAMEHEADERS,0))),"")))))))))}</f>
        <v>ADVANCEDGROUPL03</v>
      </c>
      <c r="K1431" s="223"/>
      <c r="L1431" s="223" t="str">
        <f t="array" ref="L1431:L1432">{"ADVANCEDGROUPL05";((IF("05"=(INDEX(ALLCLASSDATA,MATCH("AdvancedGroupLegendary",CLASSFEATUREHEADERS,0),MATCH($A1432,CLASSNAMEHEADERS,0))),(INDEX(ALLCLASSDATA,MATCH("AdvancedGroupLegendary",CLASSFEATUREHEADERS,0),MATCH(($A1432 &amp; "Points"),CLASSNAMEHEADERS,0))),(IF("05"=(INDEX(ALLCLASSDATA,MATCH("AdvancedGroupMaster",CLASSFEATUREHEADERS,0),MATCH($A1432,CLASSNAMEHEADERS,0))),(INDEX(ALLCLASSDATA,MATCH("AdvancedGroupMaster",CLASSFEATUREHEADERS,0),MATCH(($A1432 &amp; "Points"),CLASSNAMEHEADERS,0))),(IF("05"=(INDEX(ALLCLASSDATA,MATCH("AdvancedGroupExpert",CLASSFEATUREHEADERS,0),MATCH($A1432,CLASSNAMEHEADERS,0))),(INDEX(ALLCLASSDATA,MATCH("AdvancedGroupExpert",CLASSFEATUREHEADERS,0),MATCH(($A1432 &amp; "Points"),CLASSNAMEHEADERS,0))),(IF("05"=(INDEX(ALLCLASSDATA,MATCH("AdvancedGroupTrained",CLASSFEATUREHEADERS,0),MATCH($A1432,CLASSNAMEHEADERS,0))),(INDEX(ALLCLASSDATA,MATCH("AdvancedGroupTrained",CLASSFEATUREHEADERS,0),MATCH(($A1432 &amp; "Points"),CLASSNAMEHEADERS,0))),"")))))))))}</f>
        <v>ADVANCEDGROUPL05</v>
      </c>
      <c r="M1431" s="223"/>
      <c r="N1431" s="223" t="str">
        <f t="array" ref="N1431:N1432">{"ADVANCEDGROUPL07";((IF("07"=(INDEX(ALLCLASSDATA,MATCH("AdvancedGroupLegendary",CLASSFEATUREHEADERS,0),MATCH($A1432,CLASSNAMEHEADERS,0))),(INDEX(ALLCLASSDATA,MATCH("AdvancedGroupLegendary",CLASSFEATUREHEADERS,0),MATCH(($A1432 &amp; "Points"),CLASSNAMEHEADERS,0))),(IF("07"=(INDEX(ALLCLASSDATA,MATCH("AdvancedGroupMaster",CLASSFEATUREHEADERS,0),MATCH($A1432,CLASSNAMEHEADERS,0))),(INDEX(ALLCLASSDATA,MATCH("AdvancedGroupMaster",CLASSFEATUREHEADERS,0),MATCH(($A1432 &amp; "Points"),CLASSNAMEHEADERS,0))),(IF("07"=(INDEX(ALLCLASSDATA,MATCH("AdvancedGroupExpert",CLASSFEATUREHEADERS,0),MATCH($A1432,CLASSNAMEHEADERS,0))),(INDEX(ALLCLASSDATA,MATCH("AdvancedGroupExpert",CLASSFEATUREHEADERS,0),MATCH(($A1432 &amp; "Points"),CLASSNAMEHEADERS,0))),(IF("07"=(INDEX(ALLCLASSDATA,MATCH("AdvancedGroupTrained",CLASSFEATUREHEADERS,0),MATCH($A1432,CLASSNAMEHEADERS,0))),(INDEX(ALLCLASSDATA,MATCH("AdvancedGroupTrained",CLASSFEATUREHEADERS,0),MATCH(($A1432 &amp; "Points"),CLASSNAMEHEADERS,0))),"")))))))))}</f>
        <v>ADVANCEDGROUPL07</v>
      </c>
      <c r="O1431" s="223"/>
      <c r="P1431" s="223" t="str">
        <f t="array" ref="P1431:P1432">{"ADVANCEDGROUPL09";((IF("09"=(INDEX(ALLCLASSDATA,MATCH("AdvancedGroupLegendary",CLASSFEATUREHEADERS,0),MATCH($A1432,CLASSNAMEHEADERS,0))),(INDEX(ALLCLASSDATA,MATCH("AdvancedGroupLegendary",CLASSFEATUREHEADERS,0),MATCH(($A1432 &amp; "Points"),CLASSNAMEHEADERS,0))),(IF("09"=(INDEX(ALLCLASSDATA,MATCH("AdvancedGroupMaster",CLASSFEATUREHEADERS,0),MATCH($A1432,CLASSNAMEHEADERS,0))),(INDEX(ALLCLASSDATA,MATCH("AdvancedGroupMaster",CLASSFEATUREHEADERS,0),MATCH(($A1432 &amp; "Points"),CLASSNAMEHEADERS,0))),(IF("09"=(INDEX(ALLCLASSDATA,MATCH("AdvancedGroupExpert",CLASSFEATUREHEADERS,0),MATCH($A1432,CLASSNAMEHEADERS,0))),(INDEX(ALLCLASSDATA,MATCH("AdvancedGroupExpert",CLASSFEATUREHEADERS,0),MATCH(($A1432 &amp; "Points"),CLASSNAMEHEADERS,0))),(IF("09"=(INDEX(ALLCLASSDATA,MATCH("AdvancedGroupTrained",CLASSFEATUREHEADERS,0),MATCH($A1432,CLASSNAMEHEADERS,0))),(INDEX(ALLCLASSDATA,MATCH("AdvancedGroupTrained",CLASSFEATUREHEADERS,0),MATCH(($A1432 &amp; "Points"),CLASSNAMEHEADERS,0))),"")))))))))}</f>
        <v>ADVANCEDGROUPL09</v>
      </c>
      <c r="Q1431" s="223"/>
      <c r="R1431" s="223" t="str">
        <f t="array" ref="R1431:R1432">{"ADVANCEDGROUPL11";((IF("11"=(INDEX(ALLCLASSDATA,MATCH("AdvancedGroupLegendary",CLASSFEATUREHEADERS,0),MATCH($A1432,CLASSNAMEHEADERS,0))),(INDEX(ALLCLASSDATA,MATCH("AdvancedGroupLegendary",CLASSFEATUREHEADERS,0),MATCH(($A1432 &amp; "Points"),CLASSNAMEHEADERS,0))),(IF("11"=(INDEX(ALLCLASSDATA,MATCH("AdvancedGroupMaster",CLASSFEATUREHEADERS,0),MATCH($A1432,CLASSNAMEHEADERS,0))),(INDEX(ALLCLASSDATA,MATCH("AdvancedGroupMaster",CLASSFEATUREHEADERS,0),MATCH(($A1432 &amp; "Points"),CLASSNAMEHEADERS,0))),(IF("11"=(INDEX(ALLCLASSDATA,MATCH("AdvancedGroupExpert",CLASSFEATUREHEADERS,0),MATCH($A1432,CLASSNAMEHEADERS,0))),(INDEX(ALLCLASSDATA,MATCH("AdvancedGroupExpert",CLASSFEATUREHEADERS,0),MATCH(($A1432 &amp; "Points"),CLASSNAMEHEADERS,0))),(IF("11"=(INDEX(ALLCLASSDATA,MATCH("AdvancedGroupTrained",CLASSFEATUREHEADERS,0),MATCH($A1432,CLASSNAMEHEADERS,0))),(INDEX(ALLCLASSDATA,MATCH("AdvancedGroupTrained",CLASSFEATUREHEADERS,0),MATCH(($A1432 &amp; "Points"),CLASSNAMEHEADERS,0))),"")))))))))}</f>
        <v>ADVANCEDGROUPL11</v>
      </c>
      <c r="S1431" s="223"/>
      <c r="T1431" s="223" t="str">
        <f t="array" ref="T1431:T1432">{"ADVANCEDGROUPL13";((IF("13"=(INDEX(ALLCLASSDATA,MATCH("AdvancedGroupLegendary",CLASSFEATUREHEADERS,0),MATCH($A1432,CLASSNAMEHEADERS,0))),(INDEX(ALLCLASSDATA,MATCH("AdvancedGroupLegendary",CLASSFEATUREHEADERS,0),MATCH(($A1432 &amp; "Points"),CLASSNAMEHEADERS,0))),(IF("13"=(INDEX(ALLCLASSDATA,MATCH("AdvancedGroupMaster",CLASSFEATUREHEADERS,0),MATCH($A1432,CLASSNAMEHEADERS,0))),(INDEX(ALLCLASSDATA,MATCH("AdvancedGroupMaster",CLASSFEATUREHEADERS,0),MATCH(($A1432 &amp; "Points"),CLASSNAMEHEADERS,0))),(IF("13"=(INDEX(ALLCLASSDATA,MATCH("AdvancedGroupExpert",CLASSFEATUREHEADERS,0),MATCH($A1432,CLASSNAMEHEADERS,0))),(INDEX(ALLCLASSDATA,MATCH("AdvancedGroupExpert",CLASSFEATUREHEADERS,0),MATCH(($A1432 &amp; "Points"),CLASSNAMEHEADERS,0))),(IF("13"=(INDEX(ALLCLASSDATA,MATCH("AdvancedGroupTrained",CLASSFEATUREHEADERS,0),MATCH($A1432,CLASSNAMEHEADERS,0))),(INDEX(ALLCLASSDATA,MATCH("AdvancedGroupTrained",CLASSFEATUREHEADERS,0),MATCH(($A1432 &amp; "Points"),CLASSNAMEHEADERS,0))),"")))))))))}</f>
        <v>ADVANCEDGROUPL13</v>
      </c>
      <c r="U1431" s="223"/>
      <c r="V1431" s="223" t="str">
        <f t="array" ref="V1431:V1432">{"ADVANCEDGROUPL15";((IF("15"=(INDEX(ALLCLASSDATA,MATCH("AdvancedGroupLegendary",CLASSFEATUREHEADERS,0),MATCH($A1432,CLASSNAMEHEADERS,0))),(INDEX(ALLCLASSDATA,MATCH("AdvancedGroupLegendary",CLASSFEATUREHEADERS,0),MATCH(($A1432 &amp; "Points"),CLASSNAMEHEADERS,0))),(IF("15"=(INDEX(ALLCLASSDATA,MATCH("AdvancedGroupMaster",CLASSFEATUREHEADERS,0),MATCH($A1432,CLASSNAMEHEADERS,0))),(INDEX(ALLCLASSDATA,MATCH("AdvancedGroupMaster",CLASSFEATUREHEADERS,0),MATCH(($A1432 &amp; "Points"),CLASSNAMEHEADERS,0))),(IF("15"=(INDEX(ALLCLASSDATA,MATCH("AdvancedGroupExpert",CLASSFEATUREHEADERS,0),MATCH($A1432,CLASSNAMEHEADERS,0))),(INDEX(ALLCLASSDATA,MATCH("AdvancedGroupExpert",CLASSFEATUREHEADERS,0),MATCH(($A1432 &amp; "Points"),CLASSNAMEHEADERS,0))),(IF("15"=(INDEX(ALLCLASSDATA,MATCH("AdvancedGroupTrained",CLASSFEATUREHEADERS,0),MATCH($A1432,CLASSNAMEHEADERS,0))),(INDEX(ALLCLASSDATA,MATCH("AdvancedGroupTrained",CLASSFEATUREHEADERS,0),MATCH(($A1432 &amp; "Points"),CLASSNAMEHEADERS,0))),"")))))))))}</f>
        <v>ADVANCEDGROUPL15</v>
      </c>
      <c r="W1431" s="223"/>
      <c r="X1431" s="223" t="str">
        <f t="array" ref="X1431:X1432">{"ADVANCEDGROUPL17";((IF("17"=(INDEX(ALLCLASSDATA,MATCH("AdvancedGroupLegendary",CLASSFEATUREHEADERS,0),MATCH($A1432,CLASSNAMEHEADERS,0))),(INDEX(ALLCLASSDATA,MATCH("AdvancedGroupLegendary",CLASSFEATUREHEADERS,0),MATCH(($A1432 &amp; "Points"),CLASSNAMEHEADERS,0))),(IF("17"=(INDEX(ALLCLASSDATA,MATCH("AdvancedGroupMaster",CLASSFEATUREHEADERS,0),MATCH($A1432,CLASSNAMEHEADERS,0))),(INDEX(ALLCLASSDATA,MATCH("AdvancedGroupMaster",CLASSFEATUREHEADERS,0),MATCH(($A1432 &amp; "Points"),CLASSNAMEHEADERS,0))),(IF("17"=(INDEX(ALLCLASSDATA,MATCH("AdvancedGroupExpert",CLASSFEATUREHEADERS,0),MATCH($A1432,CLASSNAMEHEADERS,0))),(INDEX(ALLCLASSDATA,MATCH("AdvancedGroupExpert",CLASSFEATUREHEADERS,0),MATCH(($A1432 &amp; "Points"),CLASSNAMEHEADERS,0))),(IF("17"=(INDEX(ALLCLASSDATA,MATCH("AdvancedGroupTrained",CLASSFEATUREHEADERS,0),MATCH($A1432,CLASSNAMEHEADERS,0))),(INDEX(ALLCLASSDATA,MATCH("AdvancedGroupTrained",CLASSFEATUREHEADERS,0),MATCH(($A1432 &amp; "Points"),CLASSNAMEHEADERS,0))),"")))))))))}</f>
        <v>ADVANCEDGROUPL17</v>
      </c>
      <c r="Y1431" s="223"/>
      <c r="Z1431" s="223" t="str">
        <f t="array" ref="Z1431:Z1432">{"ADVANCEDGROUPL19";((IF("19"=(INDEX(ALLCLASSDATA,MATCH("AdvancedGroupLegendary",CLASSFEATUREHEADERS,0),MATCH($A1432,CLASSNAMEHEADERS,0))),(INDEX(ALLCLASSDATA,MATCH("AdvancedGroupLegendary",CLASSFEATUREHEADERS,0),MATCH(($A1432 &amp; "Points"),CLASSNAMEHEADERS,0))),(IF("19"=(INDEX(ALLCLASSDATA,MATCH("AdvancedGroupMaster",CLASSFEATUREHEADERS,0),MATCH($A1432,CLASSNAMEHEADERS,0))),(INDEX(ALLCLASSDATA,MATCH("AdvancedGroupMaster",CLASSFEATUREHEADERS,0),MATCH(($A1432 &amp; "Points"),CLASSNAMEHEADERS,0))),(IF("19"=(INDEX(ALLCLASSDATA,MATCH("AdvancedGroupExpert",CLASSFEATUREHEADERS,0),MATCH($A1432,CLASSNAMEHEADERS,0))),(INDEX(ALLCLASSDATA,MATCH("AdvancedGroupExpert",CLASSFEATUREHEADERS,0),MATCH(($A1432 &amp; "Points"),CLASSNAMEHEADERS,0))),(IF("19"=(INDEX(ALLCLASSDATA,MATCH("AdvancedGroupTrained",CLASSFEATUREHEADERS,0),MATCH($A1432,CLASSNAMEHEADERS,0))),(INDEX(ALLCLASSDATA,MATCH("AdvancedGroupTrained",CLASSFEATUREHEADERS,0),MATCH(($A1432 &amp; "Points"),CLASSNAMEHEADERS,0))),"")))))))))}</f>
        <v>ADVANCEDGROUPL19</v>
      </c>
      <c r="AA1431" s="223"/>
      <c r="AB1431" s="76" t="str">
        <f t="array" ref="AB1431:AB1432">{"ADVANCEDGROUP TOTAL";(IF(COUNTBLANK(G1432:AA1432)=17,"L",(IF(COUNTBLANK(G1432:AA1432)=18,"M",(IF(COUNTBLANK(G1432:AA1432)=19,"E",(IF(COUNTBLANK(G1432:AA1432)=20,"T",""))))))))}</f>
        <v>ADVANCEDGROUP TOTAL</v>
      </c>
      <c r="AC1431" s="76" t="str">
        <f t="array" ref="AC1431:AC1432">{"ADVANCEDGROUP TOTAL";(sum(G1432:AA1432))}</f>
        <v>ADVANCEDGROUP TOTAL</v>
      </c>
    </row>
    <row r="1432">
      <c r="A1432" s="48" t="s">
        <v>219</v>
      </c>
      <c r="B1432" s="48"/>
      <c r="C1432" s="48" t="s">
        <v>418</v>
      </c>
      <c r="D1432" s="48" t="s">
        <v>1634</v>
      </c>
      <c r="E1432" s="48" t="s">
        <v>601</v>
      </c>
      <c r="F1432" s="5" t="s">
        <v>603</v>
      </c>
      <c r="G1432" s="47" t="s">
        <v>603</v>
      </c>
      <c r="H1432" s="5" t="s">
        <v>603</v>
      </c>
      <c r="I1432" s="5"/>
      <c r="J1432" s="5" t="s">
        <v>603</v>
      </c>
      <c r="K1432" s="5"/>
      <c r="L1432" s="5" t="s">
        <v>603</v>
      </c>
      <c r="M1432" s="5"/>
      <c r="N1432" s="5" t="s">
        <v>603</v>
      </c>
      <c r="O1432" s="5"/>
      <c r="P1432" s="5" t="s">
        <v>603</v>
      </c>
      <c r="Q1432" s="5"/>
      <c r="R1432" s="5" t="s">
        <v>603</v>
      </c>
      <c r="S1432" s="5"/>
      <c r="T1432" s="5" t="s">
        <v>603</v>
      </c>
      <c r="U1432" s="5"/>
      <c r="V1432" s="5" t="s">
        <v>603</v>
      </c>
      <c r="W1432" s="5"/>
      <c r="X1432" s="5" t="s">
        <v>603</v>
      </c>
      <c r="Y1432" s="5"/>
      <c r="Z1432" s="5" t="s">
        <v>603</v>
      </c>
      <c r="AA1432" s="5"/>
      <c r="AB1432" s="5" t="s">
        <v>603</v>
      </c>
      <c r="AC1432" s="47">
        <v>0.0</v>
      </c>
    </row>
    <row r="1433" hidden="1">
      <c r="A1433" s="222" t="str">
        <f t="array" ref="A1433:A1434">{"FormulaRow33";(INDEX(CLASSLIST,A1368,1))}</f>
        <v>FormulaRow33</v>
      </c>
      <c r="B1433" s="77" t="s">
        <v>236</v>
      </c>
      <c r="C1433" s="222" t="str">
        <f t="array" ref="C1433:C1434">{"CLASSTYPE";((INDEX(ALLCLASSDATA,MATCH("ClassType",CLASSFEATUREHEADERS,0),MATCH($A1434,CLASSNAMEHEADERS,0))))}</f>
        <v>CLASSTYPE</v>
      </c>
      <c r="D1433" s="222" t="str">
        <f t="array" ref="D1433:D1434">{"ATTACK";"Attack"}</f>
        <v>ATTACK</v>
      </c>
      <c r="E1433" s="222" t="str">
        <f t="array" ref="E1433:E1434">{"ADVANCED";"Advanced"}</f>
        <v>ADVANCED</v>
      </c>
      <c r="F1433" s="223" t="str">
        <f t="array" ref="F1433:F1434">{"ADVANCEDINITIAL";((IF(H1434=10,"T",(IF(H1434=50,"E","")))))}</f>
        <v>ADVANCEDINITIAL</v>
      </c>
      <c r="G1433" s="223" t="str">
        <f t="array" ref="G1433:G1434">{"ADVANCEDINITIALPTS";((IF("00"=(INDEX(ALLCLASSDATA,MATCH("AdvancedLegendary",CLASSFEATUREHEADERS,0),MATCH($A1434,CLASSNAMEHEADERS,0))),(INDEX(ALLCLASSDATA,MATCH("AdvancedLegendary",CLASSFEATUREHEADERS,0),MATCH(($A1434 &amp; "Points"),CLASSNAMEHEADERS,0))),(IF("00"=(INDEX(ALLCLASSDATA,MATCH("AdvancedMaster",CLASSFEATUREHEADERS,0),MATCH($A1434,CLASSNAMEHEADERS,0))),(INDEX(ALLCLASSDATA,MATCH("AdvancedMaster",CLASSFEATUREHEADERS,0),MATCH(($A1434 &amp; "Points"),CLASSNAMEHEADERS,0))),(IF("00"=(INDEX(ALLCLASSDATA,MATCH("AdvancedExpert",CLASSFEATUREHEADERS,0),MATCH($A1434,CLASSNAMEHEADERS,0))),(INDEX(ALLCLASSDATA,MATCH("AdvancedExpert",CLASSFEATUREHEADERS,0),MATCH(($A1434 &amp; "Points"),CLASSNAMEHEADERS,0))),(IF("00"=(INDEX(ALLCLASSDATA,MATCH("AdvancedTrained",CLASSFEATUREHEADERS,0),MATCH($A1434,CLASSNAMEHEADERS,0))),(INDEX(ALLCLASSDATA,MATCH("AdvancedTrained",CLASSFEATUREHEADERS,0),MATCH(($A1434 &amp; "Points"),CLASSNAMEHEADERS,0))),"")))))))))}</f>
        <v>ADVANCEDINITIALPTS</v>
      </c>
      <c r="H1433" s="223" t="str">
        <f t="array" ref="H1433:H1434">{"ADVANCEDL01";((IF("01"=(INDEX(ALLCLASSDATA,MATCH("AdvancedLegendary",CLASSFEATUREHEADERS,0),MATCH($A1434,CLASSNAMEHEADERS,0))),(INDEX(ALLCLASSDATA,MATCH("AdvancedLegendary",CLASSFEATUREHEADERS,0),MATCH(($A1434 &amp; "Points"),CLASSNAMEHEADERS,0))),(IF("01"=(INDEX(ALLCLASSDATA,MATCH("AdvancedMaster",CLASSFEATUREHEADERS,0),MATCH($A1434,CLASSNAMEHEADERS,0))),(INDEX(ALLCLASSDATA,MATCH("AdvancedMaster",CLASSFEATUREHEADERS,0),MATCH(($A1434 &amp; "Points"),CLASSNAMEHEADERS,0))),(IF("01"=(INDEX(ALLCLASSDATA,MATCH("AdvancedExpert",CLASSFEATUREHEADERS,0),MATCH($A1434,CLASSNAMEHEADERS,0))),(INDEX(ALLCLASSDATA,MATCH("AdvancedExpert",CLASSFEATUREHEADERS,0),MATCH(($A1434 &amp; "Points"),CLASSNAMEHEADERS,0))),(IF("01"=(INDEX(ALLCLASSDATA,MATCH("AdvancedTrained",CLASSFEATUREHEADERS,0),MATCH($A1434,CLASSNAMEHEADERS,0))),(INDEX(ALLCLASSDATA,MATCH("AdvancedTrained",CLASSFEATUREHEADERS,0),MATCH(($A1434 &amp; "Points"),CLASSNAMEHEADERS,0))),"")))))))))}</f>
        <v>ADVANCEDL01</v>
      </c>
      <c r="I1433" s="223"/>
      <c r="J1433" s="223" t="str">
        <f t="array" ref="J1433:J1434">{"ADVANCEDL03";((IF("03"=(INDEX(ALLCLASSDATA,MATCH("AdvancedLegendary",CLASSFEATUREHEADERS,0),MATCH($A1434,CLASSNAMEHEADERS,0))),(INDEX(ALLCLASSDATA,MATCH("AdvancedLegendary",CLASSFEATUREHEADERS,0),MATCH(($A1434 &amp; "Points"),CLASSNAMEHEADERS,0))),(IF("03"=(INDEX(ALLCLASSDATA,MATCH("AdvancedMaster",CLASSFEATUREHEADERS,0),MATCH($A1434,CLASSNAMEHEADERS,0))),(INDEX(ALLCLASSDATA,MATCH("AdvancedMaster",CLASSFEATUREHEADERS,0),MATCH(($A1434 &amp; "Points"),CLASSNAMEHEADERS,0))),(IF("03"=(INDEX(ALLCLASSDATA,MATCH("AdvancedExpert",CLASSFEATUREHEADERS,0),MATCH($A1434,CLASSNAMEHEADERS,0))),(INDEX(ALLCLASSDATA,MATCH("AdvancedExpert",CLASSFEATUREHEADERS,0),MATCH(($A1434 &amp; "Points"),CLASSNAMEHEADERS,0))),(IF("03"=(INDEX(ALLCLASSDATA,MATCH("AdvancedTrained",CLASSFEATUREHEADERS,0),MATCH($A1434,CLASSNAMEHEADERS,0))),(INDEX(ALLCLASSDATA,MATCH("AdvancedTrained",CLASSFEATUREHEADERS,0),MATCH(($A1434 &amp; "Points"),CLASSNAMEHEADERS,0))),"")))))))))}</f>
        <v>ADVANCEDL03</v>
      </c>
      <c r="K1433" s="223"/>
      <c r="L1433" s="223" t="str">
        <f t="array" ref="L1433:L1434">{"ADVANCEDL05";((IF("05"=(INDEX(ALLCLASSDATA,MATCH("AdvancedLegendary",CLASSFEATUREHEADERS,0),MATCH($A1434,CLASSNAMEHEADERS,0))),(INDEX(ALLCLASSDATA,MATCH("AdvancedLegendary",CLASSFEATUREHEADERS,0),MATCH(($A1434 &amp; "Points"),CLASSNAMEHEADERS,0))),(IF("05"=(INDEX(ALLCLASSDATA,MATCH("AdvancedMaster",CLASSFEATUREHEADERS,0),MATCH($A1434,CLASSNAMEHEADERS,0))),(INDEX(ALLCLASSDATA,MATCH("AdvancedMaster",CLASSFEATUREHEADERS,0),MATCH(($A1434 &amp; "Points"),CLASSNAMEHEADERS,0))),(IF("05"=(INDEX(ALLCLASSDATA,MATCH("AdvancedExpert",CLASSFEATUREHEADERS,0),MATCH($A1434,CLASSNAMEHEADERS,0))),(INDEX(ALLCLASSDATA,MATCH("AdvancedExpert",CLASSFEATUREHEADERS,0),MATCH(($A1434 &amp; "Points"),CLASSNAMEHEADERS,0))),(IF("05"=(INDEX(ALLCLASSDATA,MATCH("AdvancedTrained",CLASSFEATUREHEADERS,0),MATCH($A1434,CLASSNAMEHEADERS,0))),(INDEX(ALLCLASSDATA,MATCH("AdvancedTrained",CLASSFEATUREHEADERS,0),MATCH(($A1434 &amp; "Points"),CLASSNAMEHEADERS,0))),"")))))))))}</f>
        <v>ADVANCEDL05</v>
      </c>
      <c r="M1433" s="223"/>
      <c r="N1433" s="223" t="str">
        <f t="array" ref="N1433:N1434">{"ADVANCEDL07";((IF("07"=(INDEX(ALLCLASSDATA,MATCH("AdvancedLegendary",CLASSFEATUREHEADERS,0),MATCH($A1434,CLASSNAMEHEADERS,0))),(INDEX(ALLCLASSDATA,MATCH("AdvancedLegendary",CLASSFEATUREHEADERS,0),MATCH(($A1434 &amp; "Points"),CLASSNAMEHEADERS,0))),(IF("07"=(INDEX(ALLCLASSDATA,MATCH("AdvancedMaster",CLASSFEATUREHEADERS,0),MATCH($A1434,CLASSNAMEHEADERS,0))),(INDEX(ALLCLASSDATA,MATCH("AdvancedMaster",CLASSFEATUREHEADERS,0),MATCH(($A1434 &amp; "Points"),CLASSNAMEHEADERS,0))),(IF("07"=(INDEX(ALLCLASSDATA,MATCH("AdvancedExpert",CLASSFEATUREHEADERS,0),MATCH($A1434,CLASSNAMEHEADERS,0))),(INDEX(ALLCLASSDATA,MATCH("AdvancedExpert",CLASSFEATUREHEADERS,0),MATCH(($A1434 &amp; "Points"),CLASSNAMEHEADERS,0))),(IF("07"=(INDEX(ALLCLASSDATA,MATCH("AdvancedTrained",CLASSFEATUREHEADERS,0),MATCH($A1434,CLASSNAMEHEADERS,0))),(INDEX(ALLCLASSDATA,MATCH("AdvancedTrained",CLASSFEATUREHEADERS,0),MATCH(($A1434 &amp; "Points"),CLASSNAMEHEADERS,0))),"")))))))))}</f>
        <v>ADVANCEDL07</v>
      </c>
      <c r="O1433" s="223"/>
      <c r="P1433" s="223" t="str">
        <f t="array" ref="P1433:P1434">{"ADVANCEDL09";((IF("09"=(INDEX(ALLCLASSDATA,MATCH("AdvancedLegendary",CLASSFEATUREHEADERS,0),MATCH($A1434,CLASSNAMEHEADERS,0))),(INDEX(ALLCLASSDATA,MATCH("AdvancedLegendary",CLASSFEATUREHEADERS,0),MATCH(($A1434 &amp; "Points"),CLASSNAMEHEADERS,0))),(IF("09"=(INDEX(ALLCLASSDATA,MATCH("AdvancedMaster",CLASSFEATUREHEADERS,0),MATCH($A1434,CLASSNAMEHEADERS,0))),(INDEX(ALLCLASSDATA,MATCH("AdvancedMaster",CLASSFEATUREHEADERS,0),MATCH(($A1434 &amp; "Points"),CLASSNAMEHEADERS,0))),(IF("09"=(INDEX(ALLCLASSDATA,MATCH("AdvancedExpert",CLASSFEATUREHEADERS,0),MATCH($A1434,CLASSNAMEHEADERS,0))),(INDEX(ALLCLASSDATA,MATCH("AdvancedExpert",CLASSFEATUREHEADERS,0),MATCH(($A1434 &amp; "Points"),CLASSNAMEHEADERS,0))),(IF("09"=(INDEX(ALLCLASSDATA,MATCH("AdvancedTrained",CLASSFEATUREHEADERS,0),MATCH($A1434,CLASSNAMEHEADERS,0))),(INDEX(ALLCLASSDATA,MATCH("AdvancedTrained",CLASSFEATUREHEADERS,0),MATCH(($A1434 &amp; "Points"),CLASSNAMEHEADERS,0))),"")))))))))}</f>
        <v>ADVANCEDL09</v>
      </c>
      <c r="Q1433" s="223"/>
      <c r="R1433" s="223" t="str">
        <f t="array" ref="R1433:R1434">{"ADVANCEDL11";((IF("11"=(INDEX(ALLCLASSDATA,MATCH("AdvancedLegendary",CLASSFEATUREHEADERS,0),MATCH($A1434,CLASSNAMEHEADERS,0))),(INDEX(ALLCLASSDATA,MATCH("AdvancedLegendary",CLASSFEATUREHEADERS,0),MATCH(($A1434 &amp; "Points"),CLASSNAMEHEADERS,0))),(IF("11"=(INDEX(ALLCLASSDATA,MATCH("AdvancedMaster",CLASSFEATUREHEADERS,0),MATCH($A1434,CLASSNAMEHEADERS,0))),(INDEX(ALLCLASSDATA,MATCH("AdvancedMaster",CLASSFEATUREHEADERS,0),MATCH(($A1434 &amp; "Points"),CLASSNAMEHEADERS,0))),(IF("11"=(INDEX(ALLCLASSDATA,MATCH("AdvancedExpert",CLASSFEATUREHEADERS,0),MATCH($A1434,CLASSNAMEHEADERS,0))),(INDEX(ALLCLASSDATA,MATCH("AdvancedExpert",CLASSFEATUREHEADERS,0),MATCH(($A1434 &amp; "Points"),CLASSNAMEHEADERS,0))),(IF("11"=(INDEX(ALLCLASSDATA,MATCH("AdvancedTrained",CLASSFEATUREHEADERS,0),MATCH($A1434,CLASSNAMEHEADERS,0))),(INDEX(ALLCLASSDATA,MATCH("AdvancedTrained",CLASSFEATUREHEADERS,0),MATCH(($A1434 &amp; "Points"),CLASSNAMEHEADERS,0))),"")))))))))}</f>
        <v>ADVANCEDL11</v>
      </c>
      <c r="S1433" s="223"/>
      <c r="T1433" s="223" t="str">
        <f t="array" ref="T1433:T1434">{"ADVANCEDL13";((IF("13"=(INDEX(ALLCLASSDATA,MATCH("AdvancedLegendary",CLASSFEATUREHEADERS,0),MATCH($A1434,CLASSNAMEHEADERS,0))),(INDEX(ALLCLASSDATA,MATCH("AdvancedLegendary",CLASSFEATUREHEADERS,0),MATCH(($A1434 &amp; "Points"),CLASSNAMEHEADERS,0))),(IF("13"=(INDEX(ALLCLASSDATA,MATCH("AdvancedMaster",CLASSFEATUREHEADERS,0),MATCH($A1434,CLASSNAMEHEADERS,0))),(INDEX(ALLCLASSDATA,MATCH("AdvancedMaster",CLASSFEATUREHEADERS,0),MATCH(($A1434 &amp; "Points"),CLASSNAMEHEADERS,0))),(IF("13"=(INDEX(ALLCLASSDATA,MATCH("AdvancedExpert",CLASSFEATUREHEADERS,0),MATCH($A1434,CLASSNAMEHEADERS,0))),(INDEX(ALLCLASSDATA,MATCH("AdvancedExpert",CLASSFEATUREHEADERS,0),MATCH(($A1434 &amp; "Points"),CLASSNAMEHEADERS,0))),(IF("13"=(INDEX(ALLCLASSDATA,MATCH("AdvancedTrained",CLASSFEATUREHEADERS,0),MATCH($A1434,CLASSNAMEHEADERS,0))),(INDEX(ALLCLASSDATA,MATCH("AdvancedTrained",CLASSFEATUREHEADERS,0),MATCH(($A1434 &amp; "Points"),CLASSNAMEHEADERS,0))),"")))))))))}</f>
        <v>ADVANCEDL13</v>
      </c>
      <c r="U1433" s="223"/>
      <c r="V1433" s="223" t="str">
        <f t="array" ref="V1433:V1434">{"ADVANCEDL15";((IF("15"=(INDEX(ALLCLASSDATA,MATCH("AdvancedLegendary",CLASSFEATUREHEADERS,0),MATCH($A1434,CLASSNAMEHEADERS,0))),(INDEX(ALLCLASSDATA,MATCH("AdvancedLegendary",CLASSFEATUREHEADERS,0),MATCH(($A1434 &amp; "Points"),CLASSNAMEHEADERS,0))),(IF("15"=(INDEX(ALLCLASSDATA,MATCH("AdvancedMaster",CLASSFEATUREHEADERS,0),MATCH($A1434,CLASSNAMEHEADERS,0))),(INDEX(ALLCLASSDATA,MATCH("AdvancedMaster",CLASSFEATUREHEADERS,0),MATCH(($A1434 &amp; "Points"),CLASSNAMEHEADERS,0))),(IF("15"=(INDEX(ALLCLASSDATA,MATCH("AdvancedExpert",CLASSFEATUREHEADERS,0),MATCH($A1434,CLASSNAMEHEADERS,0))),(INDEX(ALLCLASSDATA,MATCH("AdvancedExpert",CLASSFEATUREHEADERS,0),MATCH(($A1434 &amp; "Points"),CLASSNAMEHEADERS,0))),(IF("15"=(INDEX(ALLCLASSDATA,MATCH("AdvancedTrained",CLASSFEATUREHEADERS,0),MATCH($A1434,CLASSNAMEHEADERS,0))),(INDEX(ALLCLASSDATA,MATCH("AdvancedTrained",CLASSFEATUREHEADERS,0),MATCH(($A1434 &amp; "Points"),CLASSNAMEHEADERS,0))),"")))))))))}</f>
        <v>ADVANCEDL15</v>
      </c>
      <c r="W1433" s="223"/>
      <c r="X1433" s="223" t="str">
        <f t="array" ref="X1433:X1434">{"ADVANCEDL17";((IF("17"=(INDEX(ALLCLASSDATA,MATCH("AdvancedLegendary",CLASSFEATUREHEADERS,0),MATCH($A1434,CLASSNAMEHEADERS,0))),(INDEX(ALLCLASSDATA,MATCH("AdvancedLegendary",CLASSFEATUREHEADERS,0),MATCH(($A1434 &amp; "Points"),CLASSNAMEHEADERS,0))),(IF("17"=(INDEX(ALLCLASSDATA,MATCH("AdvancedMaster",CLASSFEATUREHEADERS,0),MATCH($A1434,CLASSNAMEHEADERS,0))),(INDEX(ALLCLASSDATA,MATCH("AdvancedMaster",CLASSFEATUREHEADERS,0),MATCH(($A1434 &amp; "Points"),CLASSNAMEHEADERS,0))),(IF("17"=(INDEX(ALLCLASSDATA,MATCH("AdvancedExpert",CLASSFEATUREHEADERS,0),MATCH($A1434,CLASSNAMEHEADERS,0))),(INDEX(ALLCLASSDATA,MATCH("AdvancedExpert",CLASSFEATUREHEADERS,0),MATCH(($A1434 &amp; "Points"),CLASSNAMEHEADERS,0))),(IF("17"=(INDEX(ALLCLASSDATA,MATCH("AdvancedTrained",CLASSFEATUREHEADERS,0),MATCH($A1434,CLASSNAMEHEADERS,0))),(INDEX(ALLCLASSDATA,MATCH("AdvancedTrained",CLASSFEATUREHEADERS,0),MATCH(($A1434 &amp; "Points"),CLASSNAMEHEADERS,0))),"")))))))))}</f>
        <v>ADVANCEDL17</v>
      </c>
      <c r="Y1433" s="223"/>
      <c r="Z1433" s="223" t="str">
        <f t="array" ref="Z1433:Z1434">{"ADVANCEDL19";((IF("19"=(INDEX(ALLCLASSDATA,MATCH("AdvancedLegendary",CLASSFEATUREHEADERS,0),MATCH($A1434,CLASSNAMEHEADERS,0))),(INDEX(ALLCLASSDATA,MATCH("AdvancedLegendary",CLASSFEATUREHEADERS,0),MATCH(($A1434 &amp; "Points"),CLASSNAMEHEADERS,0))),(IF("19"=(INDEX(ALLCLASSDATA,MATCH("AdvancedMaster",CLASSFEATUREHEADERS,0),MATCH($A1434,CLASSNAMEHEADERS,0))),(INDEX(ALLCLASSDATA,MATCH("AdvancedMaster",CLASSFEATUREHEADERS,0),MATCH(($A1434 &amp; "Points"),CLASSNAMEHEADERS,0))),(IF("19"=(INDEX(ALLCLASSDATA,MATCH("AdvancedExpert",CLASSFEATUREHEADERS,0),MATCH($A1434,CLASSNAMEHEADERS,0))),(INDEX(ALLCLASSDATA,MATCH("AdvancedExpert",CLASSFEATUREHEADERS,0),MATCH(($A1434 &amp; "Points"),CLASSNAMEHEADERS,0))),(IF("19"=(INDEX(ALLCLASSDATA,MATCH("AdvancedTrained",CLASSFEATUREHEADERS,0),MATCH($A1434,CLASSNAMEHEADERS,0))),(INDEX(ALLCLASSDATA,MATCH("AdvancedTrained",CLASSFEATUREHEADERS,0),MATCH(($A1434 &amp; "Points"),CLASSNAMEHEADERS,0))),"")))))))))}</f>
        <v>ADVANCEDL19</v>
      </c>
      <c r="AA1433" s="223"/>
      <c r="AB1433" s="76" t="str">
        <f t="array" ref="AB1433:AB1434">{"ADVANCED TOTAL";(IF(COUNTBLANK(G1434:AA1434)=17,"L",(IF(COUNTBLANK(G1434:AA1434)=18,"M",(IF(COUNTBLANK(G1434:AA1434)=19,"E",(IF(COUNTBLANK(G1434:AA1434)=20,"T",""))))))))}</f>
        <v>ADVANCED TOTAL</v>
      </c>
      <c r="AC1433" s="76" t="str">
        <f t="array" ref="AC1433:AC1434">{"ADVANCED TOTAL";(sum(G1434:AA1434))}</f>
        <v>ADVANCED TOTAL</v>
      </c>
    </row>
    <row r="1434">
      <c r="A1434" s="48" t="s">
        <v>219</v>
      </c>
      <c r="B1434" s="48"/>
      <c r="C1434" s="48" t="s">
        <v>418</v>
      </c>
      <c r="D1434" s="97" t="s">
        <v>1634</v>
      </c>
      <c r="E1434" s="97" t="s">
        <v>602</v>
      </c>
      <c r="F1434" s="98" t="s">
        <v>603</v>
      </c>
      <c r="G1434" s="132" t="s">
        <v>603</v>
      </c>
      <c r="H1434" s="98" t="s">
        <v>603</v>
      </c>
      <c r="I1434" s="98"/>
      <c r="J1434" s="98" t="s">
        <v>603</v>
      </c>
      <c r="K1434" s="98"/>
      <c r="L1434" s="98" t="s">
        <v>603</v>
      </c>
      <c r="M1434" s="98"/>
      <c r="N1434" s="98" t="s">
        <v>603</v>
      </c>
      <c r="O1434" s="98"/>
      <c r="P1434" s="98" t="s">
        <v>603</v>
      </c>
      <c r="Q1434" s="98"/>
      <c r="R1434" s="98" t="s">
        <v>603</v>
      </c>
      <c r="S1434" s="98"/>
      <c r="T1434" s="98" t="s">
        <v>603</v>
      </c>
      <c r="U1434" s="98"/>
      <c r="V1434" s="98" t="s">
        <v>603</v>
      </c>
      <c r="W1434" s="98"/>
      <c r="X1434" s="98" t="s">
        <v>603</v>
      </c>
      <c r="Y1434" s="98"/>
      <c r="Z1434" s="98" t="s">
        <v>603</v>
      </c>
      <c r="AA1434" s="98"/>
      <c r="AB1434" s="5" t="s">
        <v>603</v>
      </c>
      <c r="AC1434" s="47">
        <v>0.0</v>
      </c>
    </row>
    <row r="1435" hidden="1">
      <c r="A1435" s="222" t="str">
        <f t="array" ref="A1435:A1436">{"FormulaRow34";(INDEX(CLASSLIST,A1368,1))}</f>
        <v>FormulaRow34</v>
      </c>
      <c r="B1435" s="77" t="s">
        <v>236</v>
      </c>
      <c r="C1435" s="222" t="str">
        <f t="array" ref="C1435:C1436">{"CLASSTYPE";((INDEX(ALLCLASSDATA,MATCH("ClassType",CLASSFEATUREHEADERS,0),MATCH($A1436,CLASSNAMEHEADERS,0))))}</f>
        <v>CLASSTYPE</v>
      </c>
      <c r="D1435" s="222" t="str">
        <f t="array" ref="D1435:D1436">{"DEFENSE";"Defense"}</f>
        <v>DEFENSE</v>
      </c>
      <c r="E1435" s="222" t="str">
        <f t="array" ref="E1435:E1436">{"ARMORSPECIAL";"ArmorAS"}</f>
        <v>ARMORSPECIAL</v>
      </c>
      <c r="F1435" s="223"/>
      <c r="G1435" s="223"/>
      <c r="H1435" s="223" t="str">
        <f t="array" ref="H1435:H1436">{"ARMORSPECIALL01";((IF("01"=INDEX(ALLCLASSDATA,MATCH("ArmorSpecialization",CLASSFEATUREHEADERS,0),MATCH($A1436,CLASSNAMEHEADERS,0)),ArmorAS,"")))}</f>
        <v>ARMORSPECIALL01</v>
      </c>
      <c r="I1435" s="223"/>
      <c r="J1435" s="223" t="str">
        <f t="array" ref="J1435:J1436">{"ARMORSPECIALL03";((IF("03"=INDEX(ALLCLASSDATA,MATCH("ArmorSpecialization",CLASSFEATUREHEADERS,0),MATCH($A1436,CLASSNAMEHEADERS,0)),ArmorAS,"")))}</f>
        <v>ARMORSPECIALL03</v>
      </c>
      <c r="K1435" s="223"/>
      <c r="L1435" s="223" t="str">
        <f t="array" ref="L1435:L1436">{"ARMORSPECIALL05";((IF("05"=INDEX(ALLCLASSDATA,MATCH("ArmorSpecialization",CLASSFEATUREHEADERS,0),MATCH($A1436,CLASSNAMEHEADERS,0)),ArmorAS,"")))}</f>
        <v>ARMORSPECIALL05</v>
      </c>
      <c r="M1435" s="223"/>
      <c r="N1435" s="223" t="str">
        <f t="array" ref="N1435:N1436">{"ARMORSPECIALL07";((IF("07"=INDEX(ALLCLASSDATA,MATCH("ArmorSpecialization",CLASSFEATUREHEADERS,0),MATCH($A1436,CLASSNAMEHEADERS,0)),ArmorAS,"")))}</f>
        <v>ARMORSPECIALL07</v>
      </c>
      <c r="O1435" s="223"/>
      <c r="P1435" s="223" t="str">
        <f t="array" ref="P1435:P1436">{"ARMORSPECIALL09";((IF("09"=INDEX(ALLCLASSDATA,MATCH("ArmorSpecialization",CLASSFEATUREHEADERS,0),MATCH($A1436,CLASSNAMEHEADERS,0)),ArmorAS,"")))}</f>
        <v>ARMORSPECIALL09</v>
      </c>
      <c r="Q1435" s="223"/>
      <c r="R1435" s="223" t="str">
        <f t="array" ref="R1435:R1436">{"ARMORSPECIALL11";((IF("11"=INDEX(ALLCLASSDATA,MATCH("ArmorSpecialization",CLASSFEATUREHEADERS,0),MATCH($A1436,CLASSNAMEHEADERS,0)),ArmorAS,"")))}</f>
        <v>ARMORSPECIALL11</v>
      </c>
      <c r="S1435" s="223"/>
      <c r="T1435" s="223" t="str">
        <f t="array" ref="T1435:T1436">{"ARMORSPECIALL13";((IF("13"=INDEX(ALLCLASSDATA,MATCH("ArmorSpecialization",CLASSFEATUREHEADERS,0),MATCH($A1436,CLASSNAMEHEADERS,0)),ArmorAS,"")))}</f>
        <v>ARMORSPECIALL13</v>
      </c>
      <c r="U1435" s="223"/>
      <c r="V1435" s="223" t="str">
        <f t="array" ref="V1435:V1436">{"ARMORSPECIALL15";((IF("15"=INDEX(ALLCLASSDATA,MATCH("ArmorSpecialization",CLASSFEATUREHEADERS,0),MATCH($A1436,CLASSNAMEHEADERS,0)),ArmorAS,"")))}</f>
        <v>ARMORSPECIALL15</v>
      </c>
      <c r="W1435" s="223"/>
      <c r="X1435" s="223" t="str">
        <f t="array" ref="X1435:X1436">{"ARMORSPECIALL17";((IF("17"=INDEX(ALLCLASSDATA,MATCH("ArmorSpecialization",CLASSFEATUREHEADERS,0),MATCH($A1436,CLASSNAMEHEADERS,0)),ArmorAS,"")))}</f>
        <v>ARMORSPECIALL17</v>
      </c>
      <c r="Y1435" s="223"/>
      <c r="Z1435" s="223" t="str">
        <f t="array" ref="Z1435:Z1436">{"ARMORSPECIALL19";((IF("19"=INDEX(ALLCLASSDATA,MATCH("ArmorSpecialization",CLASSFEATUREHEADERS,0),MATCH($A1436,CLASSNAMEHEADERS,0)),ArmorAS,"")))}</f>
        <v>ARMORSPECIALL19</v>
      </c>
      <c r="AA1435" s="223"/>
      <c r="AB1435" s="76"/>
      <c r="AC1435" s="76" t="str">
        <f t="array" ref="AC1435:AC1436">{"ARMORSPECIAL TOTAL";(sum(G1436:AA1436))}</f>
        <v>ARMORSPECIAL TOTAL</v>
      </c>
    </row>
    <row r="1436">
      <c r="A1436" s="48" t="s">
        <v>219</v>
      </c>
      <c r="B1436" s="48"/>
      <c r="C1436" s="48" t="s">
        <v>418</v>
      </c>
      <c r="D1436" s="48" t="s">
        <v>1900</v>
      </c>
      <c r="E1436" s="48" t="s">
        <v>51</v>
      </c>
      <c r="F1436" s="5"/>
      <c r="G1436" s="47"/>
      <c r="H1436" s="5" t="s">
        <v>603</v>
      </c>
      <c r="I1436" s="5"/>
      <c r="J1436" s="5" t="s">
        <v>603</v>
      </c>
      <c r="K1436" s="5"/>
      <c r="L1436" s="5" t="s">
        <v>603</v>
      </c>
      <c r="M1436" s="5"/>
      <c r="N1436" s="5" t="s">
        <v>603</v>
      </c>
      <c r="O1436" s="5"/>
      <c r="P1436" s="5" t="s">
        <v>603</v>
      </c>
      <c r="Q1436" s="5"/>
      <c r="R1436" s="5" t="s">
        <v>603</v>
      </c>
      <c r="S1436" s="5"/>
      <c r="T1436" s="5" t="s">
        <v>603</v>
      </c>
      <c r="U1436" s="5"/>
      <c r="V1436" s="5" t="s">
        <v>603</v>
      </c>
      <c r="W1436" s="5"/>
      <c r="X1436" s="5" t="s">
        <v>603</v>
      </c>
      <c r="Y1436" s="5"/>
      <c r="Z1436" s="5" t="s">
        <v>603</v>
      </c>
      <c r="AA1436" s="5"/>
      <c r="AB1436" s="5"/>
      <c r="AC1436" s="47">
        <v>0.0</v>
      </c>
    </row>
    <row r="1437" hidden="1">
      <c r="A1437" s="222" t="str">
        <f t="array" ref="A1437:A1438">{"FormulaRow35";(INDEX(CLASSLIST,A1368,1))}</f>
        <v>FormulaRow35</v>
      </c>
      <c r="B1437" s="77" t="s">
        <v>236</v>
      </c>
      <c r="C1437" s="222" t="str">
        <f t="array" ref="C1437:C1438">{"CLASSTYPE";((INDEX(ALLCLASSDATA,MATCH("ClassType",CLASSFEATUREHEADERS,0),MATCH($A1438,CLASSNAMEHEADERS,0))))}</f>
        <v>CLASSTYPE</v>
      </c>
      <c r="D1437" s="222" t="str">
        <f t="array" ref="D1437:D1438">{"DEFENSE";"Defense"}</f>
        <v>DEFENSE</v>
      </c>
      <c r="E1437" s="222" t="str">
        <f t="array" ref="E1437:E1438">{"UNARMORED";"Unarmored"}</f>
        <v>UNARMORED</v>
      </c>
      <c r="F1437" s="223" t="str">
        <f t="array" ref="F1437:F1438">{"UNARMOREDINITIAL";((IF(H1438=10,"T",(IF(H1438=50,"E","")))))}</f>
        <v>UNARMOREDINITIAL</v>
      </c>
      <c r="G1437" s="223" t="str">
        <f t="array" ref="G1437:G1438">{"UNARMOREDINITIALPTS";((IF("00"=(INDEX(ALLCLASSDATA,MATCH("UnarmoredLegendary",CLASSFEATUREHEADERS,0),MATCH($A1438,CLASSNAMEHEADERS,0))),(INDEX(ALLCLASSDATA,MATCH("UnarmoredLegendary",CLASSFEATUREHEADERS,0),MATCH(($A1438 &amp; "Points"),CLASSNAMEHEADERS,0))),(IF("00"=(INDEX(ALLCLASSDATA,MATCH("UnarmoredMaster",CLASSFEATUREHEADERS,0),MATCH($A1438,CLASSNAMEHEADERS,0))),(INDEX(ALLCLASSDATA,MATCH("UnarmoredMaster",CLASSFEATUREHEADERS,0),MATCH(($A1438 &amp; "Points"),CLASSNAMEHEADERS,0))),(IF("00"=(INDEX(ALLCLASSDATA,MATCH("UnarmoredExpert",CLASSFEATUREHEADERS,0),MATCH($A1438,CLASSNAMEHEADERS,0))),(INDEX(ALLCLASSDATA,MATCH("UnarmoredExpert",CLASSFEATUREHEADERS,0),MATCH(($A1438 &amp; "Points"),CLASSNAMEHEADERS,0))),(IF("00"=(INDEX(ALLCLASSDATA,MATCH("UnarmoredTrained",CLASSFEATUREHEADERS,0),MATCH($A1438,CLASSNAMEHEADERS,0))),(INDEX(ALLCLASSDATA,MATCH("UnarmoredTrained",CLASSFEATUREHEADERS,0),MATCH(($A1438 &amp; "Points"),CLASSNAMEHEADERS,0))),"")))))))))}</f>
        <v>UNARMOREDINITIALPTS</v>
      </c>
      <c r="H1437" s="223" t="str">
        <f t="array" ref="H1437:H1438">{"UNARMOREDL01";((IF("01"=(INDEX(ALLCLASSDATA,MATCH("UnarmoredLegendary",CLASSFEATUREHEADERS,0),MATCH($A1438,CLASSNAMEHEADERS,0))),(INDEX(ALLCLASSDATA,MATCH("UnarmoredLegendary",CLASSFEATUREHEADERS,0),MATCH(($A1438 &amp; "Points"),CLASSNAMEHEADERS,0))),(IF("01"=(INDEX(ALLCLASSDATA,MATCH("UnarmoredMaster",CLASSFEATUREHEADERS,0),MATCH($A1438,CLASSNAMEHEADERS,0))),(INDEX(ALLCLASSDATA,MATCH("UnarmoredMaster",CLASSFEATUREHEADERS,0),MATCH(($A1438 &amp; "Points"),CLASSNAMEHEADERS,0))),(IF("01"=(INDEX(ALLCLASSDATA,MATCH("UnarmoredExpert",CLASSFEATUREHEADERS,0),MATCH($A1438,CLASSNAMEHEADERS,0))),(INDEX(ALLCLASSDATA,MATCH("UnarmoredExpert",CLASSFEATUREHEADERS,0),MATCH(($A1438 &amp; "Points"),CLASSNAMEHEADERS,0))),(IF("01"=(INDEX(ALLCLASSDATA,MATCH("UnarmoredTrained",CLASSFEATUREHEADERS,0),MATCH($A1438,CLASSNAMEHEADERS,0))),(INDEX(ALLCLASSDATA,MATCH("UnarmoredTrained",CLASSFEATUREHEADERS,0),MATCH(($A1438 &amp; "Points"),CLASSNAMEHEADERS,0))),"")))))))))}</f>
        <v>UNARMOREDL01</v>
      </c>
      <c r="I1437" s="223"/>
      <c r="J1437" s="223" t="str">
        <f t="array" ref="J1437:J1438">{"UNARMOREDL03";((IF("03"=(INDEX(ALLCLASSDATA,MATCH("UnarmoredLegendary",CLASSFEATUREHEADERS,0),MATCH($A1438,CLASSNAMEHEADERS,0))),(INDEX(ALLCLASSDATA,MATCH("UnarmoredLegendary",CLASSFEATUREHEADERS,0),MATCH(($A1438 &amp; "Points"),CLASSNAMEHEADERS,0))),(IF("03"=(INDEX(ALLCLASSDATA,MATCH("UnarmoredMaster",CLASSFEATUREHEADERS,0),MATCH($A1438,CLASSNAMEHEADERS,0))),(INDEX(ALLCLASSDATA,MATCH("UnarmoredMaster",CLASSFEATUREHEADERS,0),MATCH(($A1438 &amp; "Points"),CLASSNAMEHEADERS,0))),(IF("03"=(INDEX(ALLCLASSDATA,MATCH("UnarmoredExpert",CLASSFEATUREHEADERS,0),MATCH($A1438,CLASSNAMEHEADERS,0))),(INDEX(ALLCLASSDATA,MATCH("UnarmoredExpert",CLASSFEATUREHEADERS,0),MATCH(($A1438 &amp; "Points"),CLASSNAMEHEADERS,0))),(IF("03"=(INDEX(ALLCLASSDATA,MATCH("UnarmoredTrained",CLASSFEATUREHEADERS,0),MATCH($A1438,CLASSNAMEHEADERS,0))),(INDEX(ALLCLASSDATA,MATCH("UnarmoredTrained",CLASSFEATUREHEADERS,0),MATCH(($A1438 &amp; "Points"),CLASSNAMEHEADERS,0))),"")))))))))}</f>
        <v>UNARMOREDL03</v>
      </c>
      <c r="K1437" s="223"/>
      <c r="L1437" s="223" t="str">
        <f t="array" ref="L1437:L1438">{"UNARMOREDL05";((IF("05"=(INDEX(ALLCLASSDATA,MATCH("UnarmoredLegendary",CLASSFEATUREHEADERS,0),MATCH($A1438,CLASSNAMEHEADERS,0))),(INDEX(ALLCLASSDATA,MATCH("UnarmoredLegendary",CLASSFEATUREHEADERS,0),MATCH(($A1438 &amp; "Points"),CLASSNAMEHEADERS,0))),(IF("05"=(INDEX(ALLCLASSDATA,MATCH("UnarmoredMaster",CLASSFEATUREHEADERS,0),MATCH($A1438,CLASSNAMEHEADERS,0))),(INDEX(ALLCLASSDATA,MATCH("UnarmoredMaster",CLASSFEATUREHEADERS,0),MATCH(($A1438 &amp; "Points"),CLASSNAMEHEADERS,0))),(IF("05"=(INDEX(ALLCLASSDATA,MATCH("UnarmoredExpert",CLASSFEATUREHEADERS,0),MATCH($A1438,CLASSNAMEHEADERS,0))),(INDEX(ALLCLASSDATA,MATCH("UnarmoredExpert",CLASSFEATUREHEADERS,0),MATCH(($A1438 &amp; "Points"),CLASSNAMEHEADERS,0))),(IF("05"=(INDEX(ALLCLASSDATA,MATCH("UnarmoredTrained",CLASSFEATUREHEADERS,0),MATCH($A1438,CLASSNAMEHEADERS,0))),(INDEX(ALLCLASSDATA,MATCH("UnarmoredTrained",CLASSFEATUREHEADERS,0),MATCH(($A1438 &amp; "Points"),CLASSNAMEHEADERS,0))),"")))))))))}</f>
        <v>UNARMOREDL05</v>
      </c>
      <c r="M1437" s="223"/>
      <c r="N1437" s="223" t="str">
        <f t="array" ref="N1437:N1438">{"UNARMOREDL07";((IF("07"=(INDEX(ALLCLASSDATA,MATCH("UnarmoredLegendary",CLASSFEATUREHEADERS,0),MATCH($A1438,CLASSNAMEHEADERS,0))),(INDEX(ALLCLASSDATA,MATCH("UnarmoredLegendary",CLASSFEATUREHEADERS,0),MATCH(($A1438 &amp; "Points"),CLASSNAMEHEADERS,0))),(IF("07"=(INDEX(ALLCLASSDATA,MATCH("UnarmoredMaster",CLASSFEATUREHEADERS,0),MATCH($A1438,CLASSNAMEHEADERS,0))),(INDEX(ALLCLASSDATA,MATCH("UnarmoredMaster",CLASSFEATUREHEADERS,0),MATCH(($A1438 &amp; "Points"),CLASSNAMEHEADERS,0))),(IF("07"=(INDEX(ALLCLASSDATA,MATCH("UnarmoredExpert",CLASSFEATUREHEADERS,0),MATCH($A1438,CLASSNAMEHEADERS,0))),(INDEX(ALLCLASSDATA,MATCH("UnarmoredExpert",CLASSFEATUREHEADERS,0),MATCH(($A1438 &amp; "Points"),CLASSNAMEHEADERS,0))),(IF("07"=(INDEX(ALLCLASSDATA,MATCH("UnarmoredTrained",CLASSFEATUREHEADERS,0),MATCH($A1438,CLASSNAMEHEADERS,0))),(INDEX(ALLCLASSDATA,MATCH("UnarmoredTrained",CLASSFEATUREHEADERS,0),MATCH(($A1438 &amp; "Points"),CLASSNAMEHEADERS,0))),"")))))))))}</f>
        <v>UNARMOREDL07</v>
      </c>
      <c r="O1437" s="223"/>
      <c r="P1437" s="223" t="str">
        <f t="array" ref="P1437:P1438">{"UNARMOREDL09";((IF("09"=(INDEX(ALLCLASSDATA,MATCH("UnarmoredLegendary",CLASSFEATUREHEADERS,0),MATCH($A1438,CLASSNAMEHEADERS,0))),(INDEX(ALLCLASSDATA,MATCH("UnarmoredLegendary",CLASSFEATUREHEADERS,0),MATCH(($A1438 &amp; "Points"),CLASSNAMEHEADERS,0))),(IF("09"=(INDEX(ALLCLASSDATA,MATCH("UnarmoredMaster",CLASSFEATUREHEADERS,0),MATCH($A1438,CLASSNAMEHEADERS,0))),(INDEX(ALLCLASSDATA,MATCH("UnarmoredMaster",CLASSFEATUREHEADERS,0),MATCH(($A1438 &amp; "Points"),CLASSNAMEHEADERS,0))),(IF("09"=(INDEX(ALLCLASSDATA,MATCH("UnarmoredExpert",CLASSFEATUREHEADERS,0),MATCH($A1438,CLASSNAMEHEADERS,0))),(INDEX(ALLCLASSDATA,MATCH("UnarmoredExpert",CLASSFEATUREHEADERS,0),MATCH(($A1438 &amp; "Points"),CLASSNAMEHEADERS,0))),(IF("09"=(INDEX(ALLCLASSDATA,MATCH("UnarmoredTrained",CLASSFEATUREHEADERS,0),MATCH($A1438,CLASSNAMEHEADERS,0))),(INDEX(ALLCLASSDATA,MATCH("UnarmoredTrained",CLASSFEATUREHEADERS,0),MATCH(($A1438 &amp; "Points"),CLASSNAMEHEADERS,0))),"")))))))))}</f>
        <v>UNARMOREDL09</v>
      </c>
      <c r="Q1437" s="223"/>
      <c r="R1437" s="223" t="str">
        <f t="array" ref="R1437:R1438">{"UNARMOREDL11";((IF("11"=(INDEX(ALLCLASSDATA,MATCH("UnarmoredLegendary",CLASSFEATUREHEADERS,0),MATCH($A1438,CLASSNAMEHEADERS,0))),(INDEX(ALLCLASSDATA,MATCH("UnarmoredLegendary",CLASSFEATUREHEADERS,0),MATCH(($A1438 &amp; "Points"),CLASSNAMEHEADERS,0))),(IF("11"=(INDEX(ALLCLASSDATA,MATCH("UnarmoredMaster",CLASSFEATUREHEADERS,0),MATCH($A1438,CLASSNAMEHEADERS,0))),(INDEX(ALLCLASSDATA,MATCH("UnarmoredMaster",CLASSFEATUREHEADERS,0),MATCH(($A1438 &amp; "Points"),CLASSNAMEHEADERS,0))),(IF("11"=(INDEX(ALLCLASSDATA,MATCH("UnarmoredExpert",CLASSFEATUREHEADERS,0),MATCH($A1438,CLASSNAMEHEADERS,0))),(INDEX(ALLCLASSDATA,MATCH("UnarmoredExpert",CLASSFEATUREHEADERS,0),MATCH(($A1438 &amp; "Points"),CLASSNAMEHEADERS,0))),(IF("11"=(INDEX(ALLCLASSDATA,MATCH("UnarmoredTrained",CLASSFEATUREHEADERS,0),MATCH($A1438,CLASSNAMEHEADERS,0))),(INDEX(ALLCLASSDATA,MATCH("UnarmoredTrained",CLASSFEATUREHEADERS,0),MATCH(($A1438 &amp; "Points"),CLASSNAMEHEADERS,0))),"")))))))))}</f>
        <v>UNARMOREDL11</v>
      </c>
      <c r="S1437" s="223"/>
      <c r="T1437" s="223" t="str">
        <f t="array" ref="T1437:T1438">{"UNARMOREDL13";((IF("13"=(INDEX(ALLCLASSDATA,MATCH("UnarmoredLegendary",CLASSFEATUREHEADERS,0),MATCH($A1438,CLASSNAMEHEADERS,0))),(INDEX(ALLCLASSDATA,MATCH("UnarmoredLegendary",CLASSFEATUREHEADERS,0),MATCH(($A1438 &amp; "Points"),CLASSNAMEHEADERS,0))),(IF("13"=(INDEX(ALLCLASSDATA,MATCH("UnarmoredMaster",CLASSFEATUREHEADERS,0),MATCH($A1438,CLASSNAMEHEADERS,0))),(INDEX(ALLCLASSDATA,MATCH("UnarmoredMaster",CLASSFEATUREHEADERS,0),MATCH(($A1438 &amp; "Points"),CLASSNAMEHEADERS,0))),(IF("13"=(INDEX(ALLCLASSDATA,MATCH("UnarmoredExpert",CLASSFEATUREHEADERS,0),MATCH($A1438,CLASSNAMEHEADERS,0))),(INDEX(ALLCLASSDATA,MATCH("UnarmoredExpert",CLASSFEATUREHEADERS,0),MATCH(($A1438 &amp; "Points"),CLASSNAMEHEADERS,0))),(IF("13"=(INDEX(ALLCLASSDATA,MATCH("UnarmoredTrained",CLASSFEATUREHEADERS,0),MATCH($A1438,CLASSNAMEHEADERS,0))),(INDEX(ALLCLASSDATA,MATCH("UnarmoredTrained",CLASSFEATUREHEADERS,0),MATCH(($A1438 &amp; "Points"),CLASSNAMEHEADERS,0))),"")))))))))}</f>
        <v>UNARMOREDL13</v>
      </c>
      <c r="U1437" s="223"/>
      <c r="V1437" s="223" t="str">
        <f t="array" ref="V1437:V1438">{"UNARMOREDL15";((IF("15"=(INDEX(ALLCLASSDATA,MATCH("UnarmoredLegendary",CLASSFEATUREHEADERS,0),MATCH($A1438,CLASSNAMEHEADERS,0))),(INDEX(ALLCLASSDATA,MATCH("UnarmoredLegendary",CLASSFEATUREHEADERS,0),MATCH(($A1438 &amp; "Points"),CLASSNAMEHEADERS,0))),(IF("15"=(INDEX(ALLCLASSDATA,MATCH("UnarmoredMaster",CLASSFEATUREHEADERS,0),MATCH($A1438,CLASSNAMEHEADERS,0))),(INDEX(ALLCLASSDATA,MATCH("UnarmoredMaster",CLASSFEATUREHEADERS,0),MATCH(($A1438 &amp; "Points"),CLASSNAMEHEADERS,0))),(IF("15"=(INDEX(ALLCLASSDATA,MATCH("UnarmoredExpert",CLASSFEATUREHEADERS,0),MATCH($A1438,CLASSNAMEHEADERS,0))),(INDEX(ALLCLASSDATA,MATCH("UnarmoredExpert",CLASSFEATUREHEADERS,0),MATCH(($A1438 &amp; "Points"),CLASSNAMEHEADERS,0))),(IF("15"=(INDEX(ALLCLASSDATA,MATCH("UnarmoredTrained",CLASSFEATUREHEADERS,0),MATCH($A1438,CLASSNAMEHEADERS,0))),(INDEX(ALLCLASSDATA,MATCH("UnarmoredTrained",CLASSFEATUREHEADERS,0),MATCH(($A1438 &amp; "Points"),CLASSNAMEHEADERS,0))),"")))))))))}</f>
        <v>UNARMOREDL15</v>
      </c>
      <c r="W1437" s="223"/>
      <c r="X1437" s="223" t="str">
        <f t="array" ref="X1437:X1438">{"UNARMOREDL17";((IF("17"=(INDEX(ALLCLASSDATA,MATCH("UnarmoredLegendary",CLASSFEATUREHEADERS,0),MATCH($A1438,CLASSNAMEHEADERS,0))),(INDEX(ALLCLASSDATA,MATCH("UnarmoredLegendary",CLASSFEATUREHEADERS,0),MATCH(($A1438 &amp; "Points"),CLASSNAMEHEADERS,0))),(IF("17"=(INDEX(ALLCLASSDATA,MATCH("UnarmoredMaster",CLASSFEATUREHEADERS,0),MATCH($A1438,CLASSNAMEHEADERS,0))),(INDEX(ALLCLASSDATA,MATCH("UnarmoredMaster",CLASSFEATUREHEADERS,0),MATCH(($A1438 &amp; "Points"),CLASSNAMEHEADERS,0))),(IF("17"=(INDEX(ALLCLASSDATA,MATCH("UnarmoredExpert",CLASSFEATUREHEADERS,0),MATCH($A1438,CLASSNAMEHEADERS,0))),(INDEX(ALLCLASSDATA,MATCH("UnarmoredExpert",CLASSFEATUREHEADERS,0),MATCH(($A1438 &amp; "Points"),CLASSNAMEHEADERS,0))),(IF("17"=(INDEX(ALLCLASSDATA,MATCH("UnarmoredTrained",CLASSFEATUREHEADERS,0),MATCH($A1438,CLASSNAMEHEADERS,0))),(INDEX(ALLCLASSDATA,MATCH("UnarmoredTrained",CLASSFEATUREHEADERS,0),MATCH(($A1438 &amp; "Points"),CLASSNAMEHEADERS,0))),"")))))))))}</f>
        <v>UNARMOREDL17</v>
      </c>
      <c r="Y1437" s="223"/>
      <c r="Z1437" s="223" t="str">
        <f t="array" ref="Z1437:Z1438">{"UNARMOREDL19";((IF("19"=(INDEX(ALLCLASSDATA,MATCH("UnarmoredLegendary",CLASSFEATUREHEADERS,0),MATCH($A1438,CLASSNAMEHEADERS,0))),(INDEX(ALLCLASSDATA,MATCH("UnarmoredLegendary",CLASSFEATUREHEADERS,0),MATCH(($A1438 &amp; "Points"),CLASSNAMEHEADERS,0))),(IF("19"=(INDEX(ALLCLASSDATA,MATCH("UnarmoredMaster",CLASSFEATUREHEADERS,0),MATCH($A1438,CLASSNAMEHEADERS,0))),(INDEX(ALLCLASSDATA,MATCH("UnarmoredMaster",CLASSFEATUREHEADERS,0),MATCH(($A1438 &amp; "Points"),CLASSNAMEHEADERS,0))),(IF("19"=(INDEX(ALLCLASSDATA,MATCH("UnarmoredExpert",CLASSFEATUREHEADERS,0),MATCH($A1438,CLASSNAMEHEADERS,0))),(INDEX(ALLCLASSDATA,MATCH("UnarmoredExpert",CLASSFEATUREHEADERS,0),MATCH(($A1438 &amp; "Points"),CLASSNAMEHEADERS,0))),(IF("19"=(INDEX(ALLCLASSDATA,MATCH("UnarmoredTrained",CLASSFEATUREHEADERS,0),MATCH($A1438,CLASSNAMEHEADERS,0))),(INDEX(ALLCLASSDATA,MATCH("UnarmoredTrained",CLASSFEATUREHEADERS,0),MATCH(($A1438 &amp; "Points"),CLASSNAMEHEADERS,0))),"")))))))))}</f>
        <v>UNARMOREDL19</v>
      </c>
      <c r="AA1437" s="223"/>
      <c r="AB1437" s="76" t="str">
        <f t="array" ref="AB1437:AB1438">{"UNARMORED TOTAL";(IF(COUNTBLANK(G1438:AA1438)=17,"L",(IF(COUNTBLANK(G1438:AA1438)=18,"M",(IF(COUNTBLANK(G1438:AA1438)=19,"E",(IF(COUNTBLANK(G1438:AA1438)=20,"T",""))))))))}</f>
        <v>UNARMORED TOTAL</v>
      </c>
      <c r="AC1437" s="76" t="str">
        <f t="array" ref="AC1437:AC1438">{"UNARMORED TOTAL";(sum(G1438:AA1438))}</f>
        <v>UNARMORED TOTAL</v>
      </c>
    </row>
    <row r="1438">
      <c r="A1438" s="48" t="s">
        <v>219</v>
      </c>
      <c r="B1438" s="48"/>
      <c r="C1438" s="48" t="s">
        <v>418</v>
      </c>
      <c r="D1438" s="48" t="s">
        <v>1900</v>
      </c>
      <c r="E1438" s="48" t="s">
        <v>78</v>
      </c>
      <c r="F1438" s="5" t="s">
        <v>435</v>
      </c>
      <c r="G1438" s="47" t="s">
        <v>603</v>
      </c>
      <c r="H1438" s="5">
        <v>10.0</v>
      </c>
      <c r="I1438" s="5"/>
      <c r="J1438" s="5" t="s">
        <v>603</v>
      </c>
      <c r="K1438" s="5"/>
      <c r="L1438" s="5" t="s">
        <v>603</v>
      </c>
      <c r="M1438" s="5"/>
      <c r="N1438" s="5" t="s">
        <v>603</v>
      </c>
      <c r="O1438" s="5"/>
      <c r="P1438" s="5" t="s">
        <v>603</v>
      </c>
      <c r="Q1438" s="5"/>
      <c r="R1438" s="5" t="s">
        <v>603</v>
      </c>
      <c r="S1438" s="5"/>
      <c r="T1438" s="5">
        <v>50.0</v>
      </c>
      <c r="U1438" s="5"/>
      <c r="V1438" s="5" t="s">
        <v>603</v>
      </c>
      <c r="W1438" s="5"/>
      <c r="X1438" s="5" t="s">
        <v>603</v>
      </c>
      <c r="Y1438" s="5"/>
      <c r="Z1438" s="5" t="s">
        <v>603</v>
      </c>
      <c r="AA1438" s="5"/>
      <c r="AB1438" s="5" t="s">
        <v>436</v>
      </c>
      <c r="AC1438" s="47">
        <v>60.0</v>
      </c>
    </row>
    <row r="1439" hidden="1">
      <c r="A1439" s="222" t="str">
        <f t="array" ref="A1439:A1440">{"FormulaRow36";(INDEX(CLASSLIST,A1368,1))}</f>
        <v>FormulaRow36</v>
      </c>
      <c r="B1439" s="77" t="s">
        <v>236</v>
      </c>
      <c r="C1439" s="222" t="str">
        <f t="array" ref="C1439:C1440">{"CLASSTYPE";((INDEX(ALLCLASSDATA,MATCH("ClassType",CLASSFEATUREHEADERS,0),MATCH($A1440,CLASSNAMEHEADERS,0))))}</f>
        <v>CLASSTYPE</v>
      </c>
      <c r="D1439" s="222" t="str">
        <f t="array" ref="D1439:D1440">{"DEFENSE";"Defense"}</f>
        <v>DEFENSE</v>
      </c>
      <c r="E1439" s="222" t="str">
        <f t="array" ref="E1439:E1440">{"LIGHT";"Light"}</f>
        <v>LIGHT</v>
      </c>
      <c r="F1439" s="223" t="str">
        <f t="array" ref="F1439:F1440">{"LIGHTINITIAL";((IF(H1440=10,"T",(IF(H1440=50,"E","")))))}</f>
        <v>LIGHTINITIAL</v>
      </c>
      <c r="G1439" s="223" t="str">
        <f t="array" ref="G1439:G1440">{"LIGHTINITIALPTS";((IF("00"=(INDEX(ALLCLASSDATA,MATCH("LightLegendary",CLASSFEATUREHEADERS,0),MATCH($A1440,CLASSNAMEHEADERS,0))),(INDEX(ALLCLASSDATA,MATCH("LightLegendary",CLASSFEATUREHEADERS,0),MATCH(($A1440 &amp; "Points"),CLASSNAMEHEADERS,0))),(IF("00"=(INDEX(ALLCLASSDATA,MATCH("LightMaster",CLASSFEATUREHEADERS,0),MATCH($A1440,CLASSNAMEHEADERS,0))),(INDEX(ALLCLASSDATA,MATCH("LightMaster",CLASSFEATUREHEADERS,0),MATCH(($A1440 &amp; "Points"),CLASSNAMEHEADERS,0))),(IF("00"=(INDEX(ALLCLASSDATA,MATCH("LightExpert",CLASSFEATUREHEADERS,0),MATCH($A1440,CLASSNAMEHEADERS,0))),(INDEX(ALLCLASSDATA,MATCH("LightExpert",CLASSFEATUREHEADERS,0),MATCH(($A1440 &amp; "Points"),CLASSNAMEHEADERS,0))),(IF("00"=(INDEX(ALLCLASSDATA,MATCH("LightTrained",CLASSFEATUREHEADERS,0),MATCH($A1440,CLASSNAMEHEADERS,0))),(INDEX(ALLCLASSDATA,MATCH("LightTrained",CLASSFEATUREHEADERS,0),MATCH(($A1440 &amp; "Points"),CLASSNAMEHEADERS,0))),"")))))))))}</f>
        <v>LIGHTINITIALPTS</v>
      </c>
      <c r="H1439" s="223" t="str">
        <f t="array" ref="H1439:H1440">{"LIGHTL01";((IF("01"=(INDEX(ALLCLASSDATA,MATCH("LightLegendary",CLASSFEATUREHEADERS,0),MATCH($A1440,CLASSNAMEHEADERS,0))),(INDEX(ALLCLASSDATA,MATCH("LightLegendary",CLASSFEATUREHEADERS,0),MATCH(($A1440 &amp; "Points"),CLASSNAMEHEADERS,0))),(IF("01"=(INDEX(ALLCLASSDATA,MATCH("LightMaster",CLASSFEATUREHEADERS,0),MATCH($A1440,CLASSNAMEHEADERS,0))),(INDEX(ALLCLASSDATA,MATCH("LightMaster",CLASSFEATUREHEADERS,0),MATCH(($A1440 &amp; "Points"),CLASSNAMEHEADERS,0))),(IF("01"=(INDEX(ALLCLASSDATA,MATCH("LightExpert",CLASSFEATUREHEADERS,0),MATCH($A1440,CLASSNAMEHEADERS,0))),(INDEX(ALLCLASSDATA,MATCH("LightExpert",CLASSFEATUREHEADERS,0),MATCH(($A1440 &amp; "Points"),CLASSNAMEHEADERS,0))),(IF("01"=(INDEX(ALLCLASSDATA,MATCH("LightTrained",CLASSFEATUREHEADERS,0),MATCH($A1440,CLASSNAMEHEADERS,0))),(INDEX(ALLCLASSDATA,MATCH("LightTrained",CLASSFEATUREHEADERS,0),MATCH(($A1440 &amp; "Points"),CLASSNAMEHEADERS,0))),"")))))))))}</f>
        <v>LIGHTL01</v>
      </c>
      <c r="I1439" s="223"/>
      <c r="J1439" s="223" t="str">
        <f t="array" ref="J1439:J1440">{"LIGHTL03";((IF("03"=(INDEX(ALLCLASSDATA,MATCH("LightLegendary",CLASSFEATUREHEADERS,0),MATCH($A1440,CLASSNAMEHEADERS,0))),(INDEX(ALLCLASSDATA,MATCH("LightLegendary",CLASSFEATUREHEADERS,0),MATCH(($A1440 &amp; "Points"),CLASSNAMEHEADERS,0))),(IF("03"=(INDEX(ALLCLASSDATA,MATCH("LightMaster",CLASSFEATUREHEADERS,0),MATCH($A1440,CLASSNAMEHEADERS,0))),(INDEX(ALLCLASSDATA,MATCH("LightMaster",CLASSFEATUREHEADERS,0),MATCH(($A1440 &amp; "Points"),CLASSNAMEHEADERS,0))),(IF("03"=(INDEX(ALLCLASSDATA,MATCH("LightExpert",CLASSFEATUREHEADERS,0),MATCH($A1440,CLASSNAMEHEADERS,0))),(INDEX(ALLCLASSDATA,MATCH("LightExpert",CLASSFEATUREHEADERS,0),MATCH(($A1440 &amp; "Points"),CLASSNAMEHEADERS,0))),(IF("03"=(INDEX(ALLCLASSDATA,MATCH("LightTrained",CLASSFEATUREHEADERS,0),MATCH($A1440,CLASSNAMEHEADERS,0))),(INDEX(ALLCLASSDATA,MATCH("LightTrained",CLASSFEATUREHEADERS,0),MATCH(($A1440 &amp; "Points"),CLASSNAMEHEADERS,0))),"")))))))))}</f>
        <v>LIGHTL03</v>
      </c>
      <c r="K1439" s="223"/>
      <c r="L1439" s="223" t="str">
        <f t="array" ref="L1439:L1440">{"LIGHTL05";((IF("05"=(INDEX(ALLCLASSDATA,MATCH("LightLegendary",CLASSFEATUREHEADERS,0),MATCH($A1440,CLASSNAMEHEADERS,0))),(INDEX(ALLCLASSDATA,MATCH("LightLegendary",CLASSFEATUREHEADERS,0),MATCH(($A1440 &amp; "Points"),CLASSNAMEHEADERS,0))),(IF("05"=(INDEX(ALLCLASSDATA,MATCH("LightMaster",CLASSFEATUREHEADERS,0),MATCH($A1440,CLASSNAMEHEADERS,0))),(INDEX(ALLCLASSDATA,MATCH("LightMaster",CLASSFEATUREHEADERS,0),MATCH(($A1440 &amp; "Points"),CLASSNAMEHEADERS,0))),(IF("05"=(INDEX(ALLCLASSDATA,MATCH("LightExpert",CLASSFEATUREHEADERS,0),MATCH($A1440,CLASSNAMEHEADERS,0))),(INDEX(ALLCLASSDATA,MATCH("LightExpert",CLASSFEATUREHEADERS,0),MATCH(($A1440 &amp; "Points"),CLASSNAMEHEADERS,0))),(IF("05"=(INDEX(ALLCLASSDATA,MATCH("LightTrained",CLASSFEATUREHEADERS,0),MATCH($A1440,CLASSNAMEHEADERS,0))),(INDEX(ALLCLASSDATA,MATCH("LightTrained",CLASSFEATUREHEADERS,0),MATCH(($A1440 &amp; "Points"),CLASSNAMEHEADERS,0))),"")))))))))}</f>
        <v>LIGHTL05</v>
      </c>
      <c r="M1439" s="223"/>
      <c r="N1439" s="223" t="str">
        <f t="array" ref="N1439:N1440">{"LIGHTL07";((IF("07"=(INDEX(ALLCLASSDATA,MATCH("LightLegendary",CLASSFEATUREHEADERS,0),MATCH($A1440,CLASSNAMEHEADERS,0))),(INDEX(ALLCLASSDATA,MATCH("LightLegendary",CLASSFEATUREHEADERS,0),MATCH(($A1440 &amp; "Points"),CLASSNAMEHEADERS,0))),(IF("07"=(INDEX(ALLCLASSDATA,MATCH("LightMaster",CLASSFEATUREHEADERS,0),MATCH($A1440,CLASSNAMEHEADERS,0))),(INDEX(ALLCLASSDATA,MATCH("LightMaster",CLASSFEATUREHEADERS,0),MATCH(($A1440 &amp; "Points"),CLASSNAMEHEADERS,0))),(IF("07"=(INDEX(ALLCLASSDATA,MATCH("LightExpert",CLASSFEATUREHEADERS,0),MATCH($A1440,CLASSNAMEHEADERS,0))),(INDEX(ALLCLASSDATA,MATCH("LightExpert",CLASSFEATUREHEADERS,0),MATCH(($A1440 &amp; "Points"),CLASSNAMEHEADERS,0))),(IF("07"=(INDEX(ALLCLASSDATA,MATCH("LightTrained",CLASSFEATUREHEADERS,0),MATCH($A1440,CLASSNAMEHEADERS,0))),(INDEX(ALLCLASSDATA,MATCH("LightTrained",CLASSFEATUREHEADERS,0),MATCH(($A1440 &amp; "Points"),CLASSNAMEHEADERS,0))),"")))))))))}</f>
        <v>LIGHTL07</v>
      </c>
      <c r="O1439" s="223"/>
      <c r="P1439" s="223" t="str">
        <f t="array" ref="P1439:P1440">{"LIGHTL09";((IF("09"=(INDEX(ALLCLASSDATA,MATCH("LightLegendary",CLASSFEATUREHEADERS,0),MATCH($A1440,CLASSNAMEHEADERS,0))),(INDEX(ALLCLASSDATA,MATCH("LightLegendary",CLASSFEATUREHEADERS,0),MATCH(($A1440 &amp; "Points"),CLASSNAMEHEADERS,0))),(IF("09"=(INDEX(ALLCLASSDATA,MATCH("LightMaster",CLASSFEATUREHEADERS,0),MATCH($A1440,CLASSNAMEHEADERS,0))),(INDEX(ALLCLASSDATA,MATCH("LightMaster",CLASSFEATUREHEADERS,0),MATCH(($A1440 &amp; "Points"),CLASSNAMEHEADERS,0))),(IF("09"=(INDEX(ALLCLASSDATA,MATCH("LightExpert",CLASSFEATUREHEADERS,0),MATCH($A1440,CLASSNAMEHEADERS,0))),(INDEX(ALLCLASSDATA,MATCH("LightExpert",CLASSFEATUREHEADERS,0),MATCH(($A1440 &amp; "Points"),CLASSNAMEHEADERS,0))),(IF("09"=(INDEX(ALLCLASSDATA,MATCH("LightTrained",CLASSFEATUREHEADERS,0),MATCH($A1440,CLASSNAMEHEADERS,0))),(INDEX(ALLCLASSDATA,MATCH("LightTrained",CLASSFEATUREHEADERS,0),MATCH(($A1440 &amp; "Points"),CLASSNAMEHEADERS,0))),"")))))))))}</f>
        <v>LIGHTL09</v>
      </c>
      <c r="Q1439" s="223"/>
      <c r="R1439" s="223" t="str">
        <f t="array" ref="R1439:R1440">{"LIGHTL11";((IF("11"=(INDEX(ALLCLASSDATA,MATCH("LightLegendary",CLASSFEATUREHEADERS,0),MATCH($A1440,CLASSNAMEHEADERS,0))),(INDEX(ALLCLASSDATA,MATCH("LightLegendary",CLASSFEATUREHEADERS,0),MATCH(($A1440 &amp; "Points"),CLASSNAMEHEADERS,0))),(IF("11"=(INDEX(ALLCLASSDATA,MATCH("LightMaster",CLASSFEATUREHEADERS,0),MATCH($A1440,CLASSNAMEHEADERS,0))),(INDEX(ALLCLASSDATA,MATCH("LightMaster",CLASSFEATUREHEADERS,0),MATCH(($A1440 &amp; "Points"),CLASSNAMEHEADERS,0))),(IF("11"=(INDEX(ALLCLASSDATA,MATCH("LightExpert",CLASSFEATUREHEADERS,0),MATCH($A1440,CLASSNAMEHEADERS,0))),(INDEX(ALLCLASSDATA,MATCH("LightExpert",CLASSFEATUREHEADERS,0),MATCH(($A1440 &amp; "Points"),CLASSNAMEHEADERS,0))),(IF("11"=(INDEX(ALLCLASSDATA,MATCH("LightTrained",CLASSFEATUREHEADERS,0),MATCH($A1440,CLASSNAMEHEADERS,0))),(INDEX(ALLCLASSDATA,MATCH("LightTrained",CLASSFEATUREHEADERS,0),MATCH(($A1440 &amp; "Points"),CLASSNAMEHEADERS,0))),"")))))))))}</f>
        <v>LIGHTL11</v>
      </c>
      <c r="S1439" s="223"/>
      <c r="T1439" s="223" t="str">
        <f t="array" ref="T1439:T1440">{"LIGHTL13";((IF("13"=(INDEX(ALLCLASSDATA,MATCH("LightLegendary",CLASSFEATUREHEADERS,0),MATCH($A1440,CLASSNAMEHEADERS,0))),(INDEX(ALLCLASSDATA,MATCH("LightLegendary",CLASSFEATUREHEADERS,0),MATCH(($A1440 &amp; "Points"),CLASSNAMEHEADERS,0))),(IF("13"=(INDEX(ALLCLASSDATA,MATCH("LightMaster",CLASSFEATUREHEADERS,0),MATCH($A1440,CLASSNAMEHEADERS,0))),(INDEX(ALLCLASSDATA,MATCH("LightMaster",CLASSFEATUREHEADERS,0),MATCH(($A1440 &amp; "Points"),CLASSNAMEHEADERS,0))),(IF("13"=(INDEX(ALLCLASSDATA,MATCH("LightExpert",CLASSFEATUREHEADERS,0),MATCH($A1440,CLASSNAMEHEADERS,0))),(INDEX(ALLCLASSDATA,MATCH("LightExpert",CLASSFEATUREHEADERS,0),MATCH(($A1440 &amp; "Points"),CLASSNAMEHEADERS,0))),(IF("13"=(INDEX(ALLCLASSDATA,MATCH("LightTrained",CLASSFEATUREHEADERS,0),MATCH($A1440,CLASSNAMEHEADERS,0))),(INDEX(ALLCLASSDATA,MATCH("LightTrained",CLASSFEATUREHEADERS,0),MATCH(($A1440 &amp; "Points"),CLASSNAMEHEADERS,0))),"")))))))))}</f>
        <v>LIGHTL13</v>
      </c>
      <c r="U1439" s="223"/>
      <c r="V1439" s="223" t="str">
        <f t="array" ref="V1439:V1440">{"LIGHTL15";((IF("15"=(INDEX(ALLCLASSDATA,MATCH("LightLegendary",CLASSFEATUREHEADERS,0),MATCH($A1440,CLASSNAMEHEADERS,0))),(INDEX(ALLCLASSDATA,MATCH("LightLegendary",CLASSFEATUREHEADERS,0),MATCH(($A1440 &amp; "Points"),CLASSNAMEHEADERS,0))),(IF("15"=(INDEX(ALLCLASSDATA,MATCH("LightMaster",CLASSFEATUREHEADERS,0),MATCH($A1440,CLASSNAMEHEADERS,0))),(INDEX(ALLCLASSDATA,MATCH("LightMaster",CLASSFEATUREHEADERS,0),MATCH(($A1440 &amp; "Points"),CLASSNAMEHEADERS,0))),(IF("15"=(INDEX(ALLCLASSDATA,MATCH("LightExpert",CLASSFEATUREHEADERS,0),MATCH($A1440,CLASSNAMEHEADERS,0))),(INDEX(ALLCLASSDATA,MATCH("LightExpert",CLASSFEATUREHEADERS,0),MATCH(($A1440 &amp; "Points"),CLASSNAMEHEADERS,0))),(IF("15"=(INDEX(ALLCLASSDATA,MATCH("LightTrained",CLASSFEATUREHEADERS,0),MATCH($A1440,CLASSNAMEHEADERS,0))),(INDEX(ALLCLASSDATA,MATCH("LightTrained",CLASSFEATUREHEADERS,0),MATCH(($A1440 &amp; "Points"),CLASSNAMEHEADERS,0))),"")))))))))}</f>
        <v>LIGHTL15</v>
      </c>
      <c r="W1439" s="223"/>
      <c r="X1439" s="223" t="str">
        <f t="array" ref="X1439:X1440">{"LIGHTL17";((IF("17"=(INDEX(ALLCLASSDATA,MATCH("LightLegendary",CLASSFEATUREHEADERS,0),MATCH($A1440,CLASSNAMEHEADERS,0))),(INDEX(ALLCLASSDATA,MATCH("LightLegendary",CLASSFEATUREHEADERS,0),MATCH(($A1440 &amp; "Points"),CLASSNAMEHEADERS,0))),(IF("17"=(INDEX(ALLCLASSDATA,MATCH("LightMaster",CLASSFEATUREHEADERS,0),MATCH($A1440,CLASSNAMEHEADERS,0))),(INDEX(ALLCLASSDATA,MATCH("LightMaster",CLASSFEATUREHEADERS,0),MATCH(($A1440 &amp; "Points"),CLASSNAMEHEADERS,0))),(IF("17"=(INDEX(ALLCLASSDATA,MATCH("LightExpert",CLASSFEATUREHEADERS,0),MATCH($A1440,CLASSNAMEHEADERS,0))),(INDEX(ALLCLASSDATA,MATCH("LightExpert",CLASSFEATUREHEADERS,0),MATCH(($A1440 &amp; "Points"),CLASSNAMEHEADERS,0))),(IF("17"=(INDEX(ALLCLASSDATA,MATCH("LightTrained",CLASSFEATUREHEADERS,0),MATCH($A1440,CLASSNAMEHEADERS,0))),(INDEX(ALLCLASSDATA,MATCH("LightTrained",CLASSFEATUREHEADERS,0),MATCH(($A1440 &amp; "Points"),CLASSNAMEHEADERS,0))),"")))))))))}</f>
        <v>LIGHTL17</v>
      </c>
      <c r="Y1439" s="223"/>
      <c r="Z1439" s="223" t="str">
        <f t="array" ref="Z1439:Z1440">{"LIGHTL19";((IF("19"=(INDEX(ALLCLASSDATA,MATCH("LightLegendary",CLASSFEATUREHEADERS,0),MATCH($A1440,CLASSNAMEHEADERS,0))),(INDEX(ALLCLASSDATA,MATCH("LightLegendary",CLASSFEATUREHEADERS,0),MATCH(($A1440 &amp; "Points"),CLASSNAMEHEADERS,0))),(IF("19"=(INDEX(ALLCLASSDATA,MATCH("LightMaster",CLASSFEATUREHEADERS,0),MATCH($A1440,CLASSNAMEHEADERS,0))),(INDEX(ALLCLASSDATA,MATCH("LightMaster",CLASSFEATUREHEADERS,0),MATCH(($A1440 &amp; "Points"),CLASSNAMEHEADERS,0))),(IF("19"=(INDEX(ALLCLASSDATA,MATCH("LightExpert",CLASSFEATUREHEADERS,0),MATCH($A1440,CLASSNAMEHEADERS,0))),(INDEX(ALLCLASSDATA,MATCH("LightExpert",CLASSFEATUREHEADERS,0),MATCH(($A1440 &amp; "Points"),CLASSNAMEHEADERS,0))),(IF("19"=(INDEX(ALLCLASSDATA,MATCH("LightTrained",CLASSFEATUREHEADERS,0),MATCH($A1440,CLASSNAMEHEADERS,0))),(INDEX(ALLCLASSDATA,MATCH("LightTrained",CLASSFEATUREHEADERS,0),MATCH(($A1440 &amp; "Points"),CLASSNAMEHEADERS,0))),"")))))))))}</f>
        <v>LIGHTL19</v>
      </c>
      <c r="AA1439" s="223"/>
      <c r="AB1439" s="76" t="str">
        <f t="array" ref="AB1439:AB1440">{"LIGHT TOTAL";(IF(COUNTBLANK(G1440:AA1440)=17,"L",(IF(COUNTBLANK(G1440:AA1440)=18,"M",(IF(COUNTBLANK(G1440:AA1440)=19,"E",(IF(COUNTBLANK(G1440:AA1440)=20,"T",""))))))))}</f>
        <v>LIGHT TOTAL</v>
      </c>
      <c r="AC1439" s="76" t="str">
        <f t="array" ref="AC1439:AC1440">{"LIGHT TOTAL";(sum(G1440:AA1440))}</f>
        <v>LIGHT TOTAL</v>
      </c>
    </row>
    <row r="1440">
      <c r="A1440" s="48" t="s">
        <v>219</v>
      </c>
      <c r="B1440" s="48"/>
      <c r="C1440" s="48" t="s">
        <v>418</v>
      </c>
      <c r="D1440" s="48" t="s">
        <v>1900</v>
      </c>
      <c r="E1440" s="48" t="s">
        <v>77</v>
      </c>
      <c r="F1440" s="5" t="s">
        <v>603</v>
      </c>
      <c r="G1440" s="47" t="s">
        <v>603</v>
      </c>
      <c r="H1440" s="5" t="s">
        <v>603</v>
      </c>
      <c r="I1440" s="5"/>
      <c r="J1440" s="5" t="s">
        <v>603</v>
      </c>
      <c r="K1440" s="5"/>
      <c r="L1440" s="5" t="s">
        <v>603</v>
      </c>
      <c r="M1440" s="5"/>
      <c r="N1440" s="5" t="s">
        <v>603</v>
      </c>
      <c r="O1440" s="5"/>
      <c r="P1440" s="5" t="s">
        <v>603</v>
      </c>
      <c r="Q1440" s="5"/>
      <c r="R1440" s="5" t="s">
        <v>603</v>
      </c>
      <c r="S1440" s="5"/>
      <c r="T1440" s="5" t="s">
        <v>603</v>
      </c>
      <c r="U1440" s="5"/>
      <c r="V1440" s="5" t="s">
        <v>603</v>
      </c>
      <c r="W1440" s="5"/>
      <c r="X1440" s="5" t="s">
        <v>603</v>
      </c>
      <c r="Y1440" s="5"/>
      <c r="Z1440" s="5" t="s">
        <v>603</v>
      </c>
      <c r="AA1440" s="5"/>
      <c r="AB1440" s="5" t="s">
        <v>603</v>
      </c>
      <c r="AC1440" s="47">
        <v>0.0</v>
      </c>
    </row>
    <row r="1441" hidden="1">
      <c r="A1441" s="222" t="str">
        <f t="array" ref="A1441:A1442">{"FormulaRow37";(INDEX(CLASSLIST,A1368,1))}</f>
        <v>FormulaRow37</v>
      </c>
      <c r="B1441" s="77" t="s">
        <v>236</v>
      </c>
      <c r="C1441" s="222" t="str">
        <f t="array" ref="C1441:C1442">{"CLASSTYPE";((INDEX(ALLCLASSDATA,MATCH("ClassType",CLASSFEATUREHEADERS,0),MATCH($A1442,CLASSNAMEHEADERS,0))))}</f>
        <v>CLASSTYPE</v>
      </c>
      <c r="D1441" s="222" t="str">
        <f t="array" ref="D1441:D1442">{"DEFENSE";"Defense"}</f>
        <v>DEFENSE</v>
      </c>
      <c r="E1441" s="222" t="str">
        <f t="array" ref="E1441:E1442">{"MEDIUM";"Medium"}</f>
        <v>MEDIUM</v>
      </c>
      <c r="F1441" s="223" t="str">
        <f t="array" ref="F1441:F1442">{"MEDIUMINITIAL";((IF(H1442=10,"T",(IF(H1442=50,"E","")))))}</f>
        <v>MEDIUMINITIAL</v>
      </c>
      <c r="G1441" s="223" t="str">
        <f t="array" ref="G1441:G1442">{"MEDIUMINITIALPTS";((IF("00"=(INDEX(ALLCLASSDATA,MATCH("MediumLegendary",CLASSFEATUREHEADERS,0),MATCH($A1442,CLASSNAMEHEADERS,0))),(INDEX(ALLCLASSDATA,MATCH("MediumLegendary",CLASSFEATUREHEADERS,0),MATCH(($A1442 &amp; "Points"),CLASSNAMEHEADERS,0))),(IF("00"=(INDEX(ALLCLASSDATA,MATCH("MediumMaster",CLASSFEATUREHEADERS,0),MATCH($A1442,CLASSNAMEHEADERS,0))),(INDEX(ALLCLASSDATA,MATCH("MediumMaster",CLASSFEATUREHEADERS,0),MATCH(($A1442 &amp; "Points"),CLASSNAMEHEADERS,0))),(IF("00"=(INDEX(ALLCLASSDATA,MATCH("MediumExpert",CLASSFEATUREHEADERS,0),MATCH($A1442,CLASSNAMEHEADERS,0))),(INDEX(ALLCLASSDATA,MATCH("MediumExpert",CLASSFEATUREHEADERS,0),MATCH(($A1442 &amp; "Points"),CLASSNAMEHEADERS,0))),(IF("00"=(INDEX(ALLCLASSDATA,MATCH("MediumTrained",CLASSFEATUREHEADERS,0),MATCH($A1442,CLASSNAMEHEADERS,0))),(INDEX(ALLCLASSDATA,MATCH("MediumTrained",CLASSFEATUREHEADERS,0),MATCH(($A1442 &amp; "Points"),CLASSNAMEHEADERS,0))),"")))))))))}</f>
        <v>MEDIUMINITIALPTS</v>
      </c>
      <c r="H1441" s="223" t="str">
        <f t="array" ref="H1441:H1442">{"MEDIUML01";((IF("01"=(INDEX(ALLCLASSDATA,MATCH("MediumLegendary",CLASSFEATUREHEADERS,0),MATCH($A1442,CLASSNAMEHEADERS,0))),(INDEX(ALLCLASSDATA,MATCH("MediumLegendary",CLASSFEATUREHEADERS,0),MATCH(($A1442 &amp; "Points"),CLASSNAMEHEADERS,0))),(IF("01"=(INDEX(ALLCLASSDATA,MATCH("MediumMaster",CLASSFEATUREHEADERS,0),MATCH($A1442,CLASSNAMEHEADERS,0))),(INDEX(ALLCLASSDATA,MATCH("MediumMaster",CLASSFEATUREHEADERS,0),MATCH(($A1442 &amp; "Points"),CLASSNAMEHEADERS,0))),(IF("01"=(INDEX(ALLCLASSDATA,MATCH("MediumExpert",CLASSFEATUREHEADERS,0),MATCH($A1442,CLASSNAMEHEADERS,0))),(INDEX(ALLCLASSDATA,MATCH("MediumExpert",CLASSFEATUREHEADERS,0),MATCH(($A1442 &amp; "Points"),CLASSNAMEHEADERS,0))),(IF("01"=(INDEX(ALLCLASSDATA,MATCH("MediumTrained",CLASSFEATUREHEADERS,0),MATCH($A1442,CLASSNAMEHEADERS,0))),(INDEX(ALLCLASSDATA,MATCH("MediumTrained",CLASSFEATUREHEADERS,0),MATCH(($A1442 &amp; "Points"),CLASSNAMEHEADERS,0))),"")))))))))}</f>
        <v>MEDIUML01</v>
      </c>
      <c r="I1441" s="223"/>
      <c r="J1441" s="223" t="str">
        <f t="array" ref="J1441:J1442">{"MEDIUML03";((IF("03"=(INDEX(ALLCLASSDATA,MATCH("MediumLegendary",CLASSFEATUREHEADERS,0),MATCH($A1442,CLASSNAMEHEADERS,0))),(INDEX(ALLCLASSDATA,MATCH("MediumLegendary",CLASSFEATUREHEADERS,0),MATCH(($A1442 &amp; "Points"),CLASSNAMEHEADERS,0))),(IF("03"=(INDEX(ALLCLASSDATA,MATCH("MediumMaster",CLASSFEATUREHEADERS,0),MATCH($A1442,CLASSNAMEHEADERS,0))),(INDEX(ALLCLASSDATA,MATCH("MediumMaster",CLASSFEATUREHEADERS,0),MATCH(($A1442 &amp; "Points"),CLASSNAMEHEADERS,0))),(IF("03"=(INDEX(ALLCLASSDATA,MATCH("MediumExpert",CLASSFEATUREHEADERS,0),MATCH($A1442,CLASSNAMEHEADERS,0))),(INDEX(ALLCLASSDATA,MATCH("MediumExpert",CLASSFEATUREHEADERS,0),MATCH(($A1442 &amp; "Points"),CLASSNAMEHEADERS,0))),(IF("03"=(INDEX(ALLCLASSDATA,MATCH("MediumTrained",CLASSFEATUREHEADERS,0),MATCH($A1442,CLASSNAMEHEADERS,0))),(INDEX(ALLCLASSDATA,MATCH("MediumTrained",CLASSFEATUREHEADERS,0),MATCH(($A1442 &amp; "Points"),CLASSNAMEHEADERS,0))),"")))))))))}</f>
        <v>MEDIUML03</v>
      </c>
      <c r="K1441" s="223"/>
      <c r="L1441" s="223" t="str">
        <f t="array" ref="L1441:L1442">{"MEDIUML05";((IF("05"=(INDEX(ALLCLASSDATA,MATCH("MediumLegendary",CLASSFEATUREHEADERS,0),MATCH($A1442,CLASSNAMEHEADERS,0))),(INDEX(ALLCLASSDATA,MATCH("MediumLegendary",CLASSFEATUREHEADERS,0),MATCH(($A1442 &amp; "Points"),CLASSNAMEHEADERS,0))),(IF("05"=(INDEX(ALLCLASSDATA,MATCH("MediumMaster",CLASSFEATUREHEADERS,0),MATCH($A1442,CLASSNAMEHEADERS,0))),(INDEX(ALLCLASSDATA,MATCH("MediumMaster",CLASSFEATUREHEADERS,0),MATCH(($A1442 &amp; "Points"),CLASSNAMEHEADERS,0))),(IF("05"=(INDEX(ALLCLASSDATA,MATCH("MediumExpert",CLASSFEATUREHEADERS,0),MATCH($A1442,CLASSNAMEHEADERS,0))),(INDEX(ALLCLASSDATA,MATCH("MediumExpert",CLASSFEATUREHEADERS,0),MATCH(($A1442 &amp; "Points"),CLASSNAMEHEADERS,0))),(IF("05"=(INDEX(ALLCLASSDATA,MATCH("MediumTrained",CLASSFEATUREHEADERS,0),MATCH($A1442,CLASSNAMEHEADERS,0))),(INDEX(ALLCLASSDATA,MATCH("MediumTrained",CLASSFEATUREHEADERS,0),MATCH(($A1442 &amp; "Points"),CLASSNAMEHEADERS,0))),"")))))))))}</f>
        <v>MEDIUML05</v>
      </c>
      <c r="M1441" s="223"/>
      <c r="N1441" s="223" t="str">
        <f t="array" ref="N1441:N1442">{"MEDIUML07";((IF("07"=(INDEX(ALLCLASSDATA,MATCH("MediumLegendary",CLASSFEATUREHEADERS,0),MATCH($A1442,CLASSNAMEHEADERS,0))),(INDEX(ALLCLASSDATA,MATCH("MediumLegendary",CLASSFEATUREHEADERS,0),MATCH(($A1442 &amp; "Points"),CLASSNAMEHEADERS,0))),(IF("07"=(INDEX(ALLCLASSDATA,MATCH("MediumMaster",CLASSFEATUREHEADERS,0),MATCH($A1442,CLASSNAMEHEADERS,0))),(INDEX(ALLCLASSDATA,MATCH("MediumMaster",CLASSFEATUREHEADERS,0),MATCH(($A1442 &amp; "Points"),CLASSNAMEHEADERS,0))),(IF("07"=(INDEX(ALLCLASSDATA,MATCH("MediumExpert",CLASSFEATUREHEADERS,0),MATCH($A1442,CLASSNAMEHEADERS,0))),(INDEX(ALLCLASSDATA,MATCH("MediumExpert",CLASSFEATUREHEADERS,0),MATCH(($A1442 &amp; "Points"),CLASSNAMEHEADERS,0))),(IF("07"=(INDEX(ALLCLASSDATA,MATCH("MediumTrained",CLASSFEATUREHEADERS,0),MATCH($A1442,CLASSNAMEHEADERS,0))),(INDEX(ALLCLASSDATA,MATCH("MediumTrained",CLASSFEATUREHEADERS,0),MATCH(($A1442 &amp; "Points"),CLASSNAMEHEADERS,0))),"")))))))))}</f>
        <v>MEDIUML07</v>
      </c>
      <c r="O1441" s="223"/>
      <c r="P1441" s="223" t="str">
        <f t="array" ref="P1441:P1442">{"MEDIUML09";((IF("09"=(INDEX(ALLCLASSDATA,MATCH("MediumLegendary",CLASSFEATUREHEADERS,0),MATCH($A1442,CLASSNAMEHEADERS,0))),(INDEX(ALLCLASSDATA,MATCH("MediumLegendary",CLASSFEATUREHEADERS,0),MATCH(($A1442 &amp; "Points"),CLASSNAMEHEADERS,0))),(IF("09"=(INDEX(ALLCLASSDATA,MATCH("MediumMaster",CLASSFEATUREHEADERS,0),MATCH($A1442,CLASSNAMEHEADERS,0))),(INDEX(ALLCLASSDATA,MATCH("MediumMaster",CLASSFEATUREHEADERS,0),MATCH(($A1442 &amp; "Points"),CLASSNAMEHEADERS,0))),(IF("09"=(INDEX(ALLCLASSDATA,MATCH("MediumExpert",CLASSFEATUREHEADERS,0),MATCH($A1442,CLASSNAMEHEADERS,0))),(INDEX(ALLCLASSDATA,MATCH("MediumExpert",CLASSFEATUREHEADERS,0),MATCH(($A1442 &amp; "Points"),CLASSNAMEHEADERS,0))),(IF("09"=(INDEX(ALLCLASSDATA,MATCH("MediumTrained",CLASSFEATUREHEADERS,0),MATCH($A1442,CLASSNAMEHEADERS,0))),(INDEX(ALLCLASSDATA,MATCH("MediumTrained",CLASSFEATUREHEADERS,0),MATCH(($A1442 &amp; "Points"),CLASSNAMEHEADERS,0))),"")))))))))}</f>
        <v>MEDIUML09</v>
      </c>
      <c r="Q1441" s="223"/>
      <c r="R1441" s="223" t="str">
        <f t="array" ref="R1441:R1442">{"MEDIUML11";((IF("11"=(INDEX(ALLCLASSDATA,MATCH("MediumLegendary",CLASSFEATUREHEADERS,0),MATCH($A1442,CLASSNAMEHEADERS,0))),(INDEX(ALLCLASSDATA,MATCH("MediumLegendary",CLASSFEATUREHEADERS,0),MATCH(($A1442 &amp; "Points"),CLASSNAMEHEADERS,0))),(IF("11"=(INDEX(ALLCLASSDATA,MATCH("MediumMaster",CLASSFEATUREHEADERS,0),MATCH($A1442,CLASSNAMEHEADERS,0))),(INDEX(ALLCLASSDATA,MATCH("MediumMaster",CLASSFEATUREHEADERS,0),MATCH(($A1442 &amp; "Points"),CLASSNAMEHEADERS,0))),(IF("11"=(INDEX(ALLCLASSDATA,MATCH("MediumExpert",CLASSFEATUREHEADERS,0),MATCH($A1442,CLASSNAMEHEADERS,0))),(INDEX(ALLCLASSDATA,MATCH("MediumExpert",CLASSFEATUREHEADERS,0),MATCH(($A1442 &amp; "Points"),CLASSNAMEHEADERS,0))),(IF("11"=(INDEX(ALLCLASSDATA,MATCH("MediumTrained",CLASSFEATUREHEADERS,0),MATCH($A1442,CLASSNAMEHEADERS,0))),(INDEX(ALLCLASSDATA,MATCH("MediumTrained",CLASSFEATUREHEADERS,0),MATCH(($A1442 &amp; "Points"),CLASSNAMEHEADERS,0))),"")))))))))}</f>
        <v>MEDIUML11</v>
      </c>
      <c r="S1441" s="223"/>
      <c r="T1441" s="223" t="str">
        <f t="array" ref="T1441:T1442">{"MEDIUML13";((IF("13"=(INDEX(ALLCLASSDATA,MATCH("MediumLegendary",CLASSFEATUREHEADERS,0),MATCH($A1442,CLASSNAMEHEADERS,0))),(INDEX(ALLCLASSDATA,MATCH("MediumLegendary",CLASSFEATUREHEADERS,0),MATCH(($A1442 &amp; "Points"),CLASSNAMEHEADERS,0))),(IF("13"=(INDEX(ALLCLASSDATA,MATCH("MediumMaster",CLASSFEATUREHEADERS,0),MATCH($A1442,CLASSNAMEHEADERS,0))),(INDEX(ALLCLASSDATA,MATCH("MediumMaster",CLASSFEATUREHEADERS,0),MATCH(($A1442 &amp; "Points"),CLASSNAMEHEADERS,0))),(IF("13"=(INDEX(ALLCLASSDATA,MATCH("MediumExpert",CLASSFEATUREHEADERS,0),MATCH($A1442,CLASSNAMEHEADERS,0))),(INDEX(ALLCLASSDATA,MATCH("MediumExpert",CLASSFEATUREHEADERS,0),MATCH(($A1442 &amp; "Points"),CLASSNAMEHEADERS,0))),(IF("13"=(INDEX(ALLCLASSDATA,MATCH("MediumTrained",CLASSFEATUREHEADERS,0),MATCH($A1442,CLASSNAMEHEADERS,0))),(INDEX(ALLCLASSDATA,MATCH("MediumTrained",CLASSFEATUREHEADERS,0),MATCH(($A1442 &amp; "Points"),CLASSNAMEHEADERS,0))),"")))))))))}</f>
        <v>MEDIUML13</v>
      </c>
      <c r="U1441" s="223"/>
      <c r="V1441" s="223" t="str">
        <f t="array" ref="V1441:V1442">{"MEDIUML15";((IF("15"=(INDEX(ALLCLASSDATA,MATCH("MediumLegendary",CLASSFEATUREHEADERS,0),MATCH($A1442,CLASSNAMEHEADERS,0))),(INDEX(ALLCLASSDATA,MATCH("MediumLegendary",CLASSFEATUREHEADERS,0),MATCH(($A1442 &amp; "Points"),CLASSNAMEHEADERS,0))),(IF("15"=(INDEX(ALLCLASSDATA,MATCH("MediumMaster",CLASSFEATUREHEADERS,0),MATCH($A1442,CLASSNAMEHEADERS,0))),(INDEX(ALLCLASSDATA,MATCH("MediumMaster",CLASSFEATUREHEADERS,0),MATCH(($A1442 &amp; "Points"),CLASSNAMEHEADERS,0))),(IF("15"=(INDEX(ALLCLASSDATA,MATCH("MediumExpert",CLASSFEATUREHEADERS,0),MATCH($A1442,CLASSNAMEHEADERS,0))),(INDEX(ALLCLASSDATA,MATCH("MediumExpert",CLASSFEATUREHEADERS,0),MATCH(($A1442 &amp; "Points"),CLASSNAMEHEADERS,0))),(IF("15"=(INDEX(ALLCLASSDATA,MATCH("MediumTrained",CLASSFEATUREHEADERS,0),MATCH($A1442,CLASSNAMEHEADERS,0))),(INDEX(ALLCLASSDATA,MATCH("MediumTrained",CLASSFEATUREHEADERS,0),MATCH(($A1442 &amp; "Points"),CLASSNAMEHEADERS,0))),"")))))))))}</f>
        <v>MEDIUML15</v>
      </c>
      <c r="W1441" s="223"/>
      <c r="X1441" s="223" t="str">
        <f t="array" ref="X1441:X1442">{"MEDIUML17";((IF("17"=(INDEX(ALLCLASSDATA,MATCH("MediumLegendary",CLASSFEATUREHEADERS,0),MATCH($A1442,CLASSNAMEHEADERS,0))),(INDEX(ALLCLASSDATA,MATCH("MediumLegendary",CLASSFEATUREHEADERS,0),MATCH(($A1442 &amp; "Points"),CLASSNAMEHEADERS,0))),(IF("17"=(INDEX(ALLCLASSDATA,MATCH("MediumMaster",CLASSFEATUREHEADERS,0),MATCH($A1442,CLASSNAMEHEADERS,0))),(INDEX(ALLCLASSDATA,MATCH("MediumMaster",CLASSFEATUREHEADERS,0),MATCH(($A1442 &amp; "Points"),CLASSNAMEHEADERS,0))),(IF("17"=(INDEX(ALLCLASSDATA,MATCH("MediumExpert",CLASSFEATUREHEADERS,0),MATCH($A1442,CLASSNAMEHEADERS,0))),(INDEX(ALLCLASSDATA,MATCH("MediumExpert",CLASSFEATUREHEADERS,0),MATCH(($A1442 &amp; "Points"),CLASSNAMEHEADERS,0))),(IF("17"=(INDEX(ALLCLASSDATA,MATCH("MediumTrained",CLASSFEATUREHEADERS,0),MATCH($A1442,CLASSNAMEHEADERS,0))),(INDEX(ALLCLASSDATA,MATCH("MediumTrained",CLASSFEATUREHEADERS,0),MATCH(($A1442 &amp; "Points"),CLASSNAMEHEADERS,0))),"")))))))))}</f>
        <v>MEDIUML17</v>
      </c>
      <c r="Y1441" s="223"/>
      <c r="Z1441" s="223" t="str">
        <f t="array" ref="Z1441:Z1442">{"MEDIUML19";((IF("19"=(INDEX(ALLCLASSDATA,MATCH("MediumLegendary",CLASSFEATUREHEADERS,0),MATCH($A1442,CLASSNAMEHEADERS,0))),(INDEX(ALLCLASSDATA,MATCH("MediumLegendary",CLASSFEATUREHEADERS,0),MATCH(($A1442 &amp; "Points"),CLASSNAMEHEADERS,0))),(IF("19"=(INDEX(ALLCLASSDATA,MATCH("MediumMaster",CLASSFEATUREHEADERS,0),MATCH($A1442,CLASSNAMEHEADERS,0))),(INDEX(ALLCLASSDATA,MATCH("MediumMaster",CLASSFEATUREHEADERS,0),MATCH(($A1442 &amp; "Points"),CLASSNAMEHEADERS,0))),(IF("19"=(INDEX(ALLCLASSDATA,MATCH("MediumExpert",CLASSFEATUREHEADERS,0),MATCH($A1442,CLASSNAMEHEADERS,0))),(INDEX(ALLCLASSDATA,MATCH("MediumExpert",CLASSFEATUREHEADERS,0),MATCH(($A1442 &amp; "Points"),CLASSNAMEHEADERS,0))),(IF("19"=(INDEX(ALLCLASSDATA,MATCH("MediumTrained",CLASSFEATUREHEADERS,0),MATCH($A1442,CLASSNAMEHEADERS,0))),(INDEX(ALLCLASSDATA,MATCH("MediumTrained",CLASSFEATUREHEADERS,0),MATCH(($A1442 &amp; "Points"),CLASSNAMEHEADERS,0))),"")))))))))}</f>
        <v>MEDIUML19</v>
      </c>
      <c r="AA1441" s="223"/>
      <c r="AB1441" s="76" t="str">
        <f t="array" ref="AB1441:AB1442">{"MEDIUM TOTAL";(IF(COUNTBLANK(G1442:AA1442)=17,"L",(IF(COUNTBLANK(G1442:AA1442)=18,"M",(IF(COUNTBLANK(G1442:AA1442)=19,"E",(IF(COUNTBLANK(G1442:AA1442)=20,"T",""))))))))}</f>
        <v>MEDIUM TOTAL</v>
      </c>
      <c r="AC1441" s="76" t="str">
        <f t="array" ref="AC1441:AC1442">{"MEDIUM TOTAL";(sum(G1442:AA1442))}</f>
        <v>MEDIUM TOTAL</v>
      </c>
    </row>
    <row r="1442">
      <c r="A1442" s="48" t="s">
        <v>219</v>
      </c>
      <c r="B1442" s="48"/>
      <c r="C1442" s="48" t="s">
        <v>418</v>
      </c>
      <c r="D1442" s="48" t="s">
        <v>1900</v>
      </c>
      <c r="E1442" s="48" t="s">
        <v>76</v>
      </c>
      <c r="F1442" s="5" t="s">
        <v>603</v>
      </c>
      <c r="G1442" s="47" t="s">
        <v>603</v>
      </c>
      <c r="H1442" s="5" t="s">
        <v>603</v>
      </c>
      <c r="I1442" s="5"/>
      <c r="J1442" s="5" t="s">
        <v>603</v>
      </c>
      <c r="K1442" s="5"/>
      <c r="L1442" s="5" t="s">
        <v>603</v>
      </c>
      <c r="M1442" s="5"/>
      <c r="N1442" s="5" t="s">
        <v>603</v>
      </c>
      <c r="O1442" s="5"/>
      <c r="P1442" s="5" t="s">
        <v>603</v>
      </c>
      <c r="Q1442" s="5"/>
      <c r="R1442" s="5" t="s">
        <v>603</v>
      </c>
      <c r="S1442" s="5"/>
      <c r="T1442" s="5" t="s">
        <v>603</v>
      </c>
      <c r="U1442" s="5"/>
      <c r="V1442" s="5" t="s">
        <v>603</v>
      </c>
      <c r="W1442" s="5"/>
      <c r="X1442" s="5" t="s">
        <v>603</v>
      </c>
      <c r="Y1442" s="5"/>
      <c r="Z1442" s="5" t="s">
        <v>603</v>
      </c>
      <c r="AA1442" s="5"/>
      <c r="AB1442" s="5" t="s">
        <v>603</v>
      </c>
      <c r="AC1442" s="47">
        <v>0.0</v>
      </c>
    </row>
    <row r="1443" hidden="1">
      <c r="A1443" s="222" t="str">
        <f t="array" ref="A1443:A1444">{"FormulaRow38";(INDEX(CLASSLIST,A1368,1))}</f>
        <v>FormulaRow38</v>
      </c>
      <c r="B1443" s="77" t="s">
        <v>236</v>
      </c>
      <c r="C1443" s="222" t="str">
        <f t="array" ref="C1443:C1444">{"CLASSTYPE";((INDEX(ALLCLASSDATA,MATCH("ClassType",CLASSFEATUREHEADERS,0),MATCH($A1444,CLASSNAMEHEADERS,0))))}</f>
        <v>CLASSTYPE</v>
      </c>
      <c r="D1443" s="222" t="str">
        <f t="array" ref="D1443:D1444">{"DEFENSE";"Defense"}</f>
        <v>DEFENSE</v>
      </c>
      <c r="E1443" s="222" t="str">
        <f t="array" ref="E1443:E1444">{"HEAVY";"Heavy"}</f>
        <v>HEAVY</v>
      </c>
      <c r="F1443" s="223" t="str">
        <f t="array" ref="F1443:F1444">{"HEAVYINITIAL";((IF(H1444=10,"T",(IF(H1444=50,"E","")))))}</f>
        <v>HEAVYINITIAL</v>
      </c>
      <c r="G1443" s="223" t="str">
        <f t="array" ref="G1443:G1444">{"HEAVYINITIALPTS";((IF("00"=(INDEX(ALLCLASSDATA,MATCH("HeavyLegendary",CLASSFEATUREHEADERS,0),MATCH($A1444,CLASSNAMEHEADERS,0))),(INDEX(ALLCLASSDATA,MATCH("HeavyLegendary",CLASSFEATUREHEADERS,0),MATCH(($A1444 &amp; "Points"),CLASSNAMEHEADERS,0))),(IF("00"=(INDEX(ALLCLASSDATA,MATCH("HeavyMaster",CLASSFEATUREHEADERS,0),MATCH($A1444,CLASSNAMEHEADERS,0))),(INDEX(ALLCLASSDATA,MATCH("HeavyMaster",CLASSFEATUREHEADERS,0),MATCH(($A1444 &amp; "Points"),CLASSNAMEHEADERS,0))),(IF("00"=(INDEX(ALLCLASSDATA,MATCH("HeavyExpert",CLASSFEATUREHEADERS,0),MATCH($A1444,CLASSNAMEHEADERS,0))),(INDEX(ALLCLASSDATA,MATCH("HeavyExpert",CLASSFEATUREHEADERS,0),MATCH(($A1444 &amp; "Points"),CLASSNAMEHEADERS,0))),(IF("00"=(INDEX(ALLCLASSDATA,MATCH("HeavyTrained",CLASSFEATUREHEADERS,0),MATCH($A1444,CLASSNAMEHEADERS,0))),(INDEX(ALLCLASSDATA,MATCH("HeavyTrained",CLASSFEATUREHEADERS,0),MATCH(($A1444 &amp; "Points"),CLASSNAMEHEADERS,0))),"")))))))))}</f>
        <v>HEAVYINITIALPTS</v>
      </c>
      <c r="H1443" s="223" t="str">
        <f t="array" ref="H1443:H1444">{"HEAVYL01";((IF("01"=(INDEX(ALLCLASSDATA,MATCH("HeavyLegendary",CLASSFEATUREHEADERS,0),MATCH($A1444,CLASSNAMEHEADERS,0))),(INDEX(ALLCLASSDATA,MATCH("HeavyLegendary",CLASSFEATUREHEADERS,0),MATCH(($A1444 &amp; "Points"),CLASSNAMEHEADERS,0))),(IF("01"=(INDEX(ALLCLASSDATA,MATCH("HeavyMaster",CLASSFEATUREHEADERS,0),MATCH($A1444,CLASSNAMEHEADERS,0))),(INDEX(ALLCLASSDATA,MATCH("HeavyMaster",CLASSFEATUREHEADERS,0),MATCH(($A1444 &amp; "Points"),CLASSNAMEHEADERS,0))),(IF("01"=(INDEX(ALLCLASSDATA,MATCH("HeavyExpert",CLASSFEATUREHEADERS,0),MATCH($A1444,CLASSNAMEHEADERS,0))),(INDEX(ALLCLASSDATA,MATCH("HeavyExpert",CLASSFEATUREHEADERS,0),MATCH(($A1444 &amp; "Points"),CLASSNAMEHEADERS,0))),(IF("01"=(INDEX(ALLCLASSDATA,MATCH("HeavyTrained",CLASSFEATUREHEADERS,0),MATCH($A1444,CLASSNAMEHEADERS,0))),(INDEX(ALLCLASSDATA,MATCH("HeavyTrained",CLASSFEATUREHEADERS,0),MATCH(($A1444 &amp; "Points"),CLASSNAMEHEADERS,0))),"")))))))))}</f>
        <v>HEAVYL01</v>
      </c>
      <c r="I1443" s="223"/>
      <c r="J1443" s="223" t="str">
        <f t="array" ref="J1443:J1444">{"HEAVYL03";((IF("03"=(INDEX(ALLCLASSDATA,MATCH("HeavyLegendary",CLASSFEATUREHEADERS,0),MATCH($A1444,CLASSNAMEHEADERS,0))),(INDEX(ALLCLASSDATA,MATCH("HeavyLegendary",CLASSFEATUREHEADERS,0),MATCH(($A1444 &amp; "Points"),CLASSNAMEHEADERS,0))),(IF("03"=(INDEX(ALLCLASSDATA,MATCH("HeavyMaster",CLASSFEATUREHEADERS,0),MATCH($A1444,CLASSNAMEHEADERS,0))),(INDEX(ALLCLASSDATA,MATCH("HeavyMaster",CLASSFEATUREHEADERS,0),MATCH(($A1444 &amp; "Points"),CLASSNAMEHEADERS,0))),(IF("03"=(INDEX(ALLCLASSDATA,MATCH("HeavyExpert",CLASSFEATUREHEADERS,0),MATCH($A1444,CLASSNAMEHEADERS,0))),(INDEX(ALLCLASSDATA,MATCH("HeavyExpert",CLASSFEATUREHEADERS,0),MATCH(($A1444 &amp; "Points"),CLASSNAMEHEADERS,0))),(IF("03"=(INDEX(ALLCLASSDATA,MATCH("HeavyTrained",CLASSFEATUREHEADERS,0),MATCH($A1444,CLASSNAMEHEADERS,0))),(INDEX(ALLCLASSDATA,MATCH("HeavyTrained",CLASSFEATUREHEADERS,0),MATCH(($A1444 &amp; "Points"),CLASSNAMEHEADERS,0))),"")))))))))}</f>
        <v>HEAVYL03</v>
      </c>
      <c r="K1443" s="223"/>
      <c r="L1443" s="223" t="str">
        <f t="array" ref="L1443:L1444">{"HEAVYL05";((IF("05"=(INDEX(ALLCLASSDATA,MATCH("HeavyLegendary",CLASSFEATUREHEADERS,0),MATCH($A1444,CLASSNAMEHEADERS,0))),(INDEX(ALLCLASSDATA,MATCH("HeavyLegendary",CLASSFEATUREHEADERS,0),MATCH(($A1444 &amp; "Points"),CLASSNAMEHEADERS,0))),(IF("05"=(INDEX(ALLCLASSDATA,MATCH("HeavyMaster",CLASSFEATUREHEADERS,0),MATCH($A1444,CLASSNAMEHEADERS,0))),(INDEX(ALLCLASSDATA,MATCH("HeavyMaster",CLASSFEATUREHEADERS,0),MATCH(($A1444 &amp; "Points"),CLASSNAMEHEADERS,0))),(IF("05"=(INDEX(ALLCLASSDATA,MATCH("HeavyExpert",CLASSFEATUREHEADERS,0),MATCH($A1444,CLASSNAMEHEADERS,0))),(INDEX(ALLCLASSDATA,MATCH("HeavyExpert",CLASSFEATUREHEADERS,0),MATCH(($A1444 &amp; "Points"),CLASSNAMEHEADERS,0))),(IF("05"=(INDEX(ALLCLASSDATA,MATCH("HeavyTrained",CLASSFEATUREHEADERS,0),MATCH($A1444,CLASSNAMEHEADERS,0))),(INDEX(ALLCLASSDATA,MATCH("HeavyTrained",CLASSFEATUREHEADERS,0),MATCH(($A1444 &amp; "Points"),CLASSNAMEHEADERS,0))),"")))))))))}</f>
        <v>HEAVYL05</v>
      </c>
      <c r="M1443" s="223"/>
      <c r="N1443" s="223" t="str">
        <f t="array" ref="N1443:N1444">{"HEAVYL07";((IF("07"=(INDEX(ALLCLASSDATA,MATCH("HeavyLegendary",CLASSFEATUREHEADERS,0),MATCH($A1444,CLASSNAMEHEADERS,0))),(INDEX(ALLCLASSDATA,MATCH("HeavyLegendary",CLASSFEATUREHEADERS,0),MATCH(($A1444 &amp; "Points"),CLASSNAMEHEADERS,0))),(IF("07"=(INDEX(ALLCLASSDATA,MATCH("HeavyMaster",CLASSFEATUREHEADERS,0),MATCH($A1444,CLASSNAMEHEADERS,0))),(INDEX(ALLCLASSDATA,MATCH("HeavyMaster",CLASSFEATUREHEADERS,0),MATCH(($A1444 &amp; "Points"),CLASSNAMEHEADERS,0))),(IF("07"=(INDEX(ALLCLASSDATA,MATCH("HeavyExpert",CLASSFEATUREHEADERS,0),MATCH($A1444,CLASSNAMEHEADERS,0))),(INDEX(ALLCLASSDATA,MATCH("HeavyExpert",CLASSFEATUREHEADERS,0),MATCH(($A1444 &amp; "Points"),CLASSNAMEHEADERS,0))),(IF("07"=(INDEX(ALLCLASSDATA,MATCH("HeavyTrained",CLASSFEATUREHEADERS,0),MATCH($A1444,CLASSNAMEHEADERS,0))),(INDEX(ALLCLASSDATA,MATCH("HeavyTrained",CLASSFEATUREHEADERS,0),MATCH(($A1444 &amp; "Points"),CLASSNAMEHEADERS,0))),"")))))))))}</f>
        <v>HEAVYL07</v>
      </c>
      <c r="O1443" s="223"/>
      <c r="P1443" s="223" t="str">
        <f t="array" ref="P1443:P1444">{"HEAVYL09";((IF("09"=(INDEX(ALLCLASSDATA,MATCH("HeavyLegendary",CLASSFEATUREHEADERS,0),MATCH($A1444,CLASSNAMEHEADERS,0))),(INDEX(ALLCLASSDATA,MATCH("HeavyLegendary",CLASSFEATUREHEADERS,0),MATCH(($A1444 &amp; "Points"),CLASSNAMEHEADERS,0))),(IF("09"=(INDEX(ALLCLASSDATA,MATCH("HeavyMaster",CLASSFEATUREHEADERS,0),MATCH($A1444,CLASSNAMEHEADERS,0))),(INDEX(ALLCLASSDATA,MATCH("HeavyMaster",CLASSFEATUREHEADERS,0),MATCH(($A1444 &amp; "Points"),CLASSNAMEHEADERS,0))),(IF("09"=(INDEX(ALLCLASSDATA,MATCH("HeavyExpert",CLASSFEATUREHEADERS,0),MATCH($A1444,CLASSNAMEHEADERS,0))),(INDEX(ALLCLASSDATA,MATCH("HeavyExpert",CLASSFEATUREHEADERS,0),MATCH(($A1444 &amp; "Points"),CLASSNAMEHEADERS,0))),(IF("09"=(INDEX(ALLCLASSDATA,MATCH("HeavyTrained",CLASSFEATUREHEADERS,0),MATCH($A1444,CLASSNAMEHEADERS,0))),(INDEX(ALLCLASSDATA,MATCH("HeavyTrained",CLASSFEATUREHEADERS,0),MATCH(($A1444 &amp; "Points"),CLASSNAMEHEADERS,0))),"")))))))))}</f>
        <v>HEAVYL09</v>
      </c>
      <c r="Q1443" s="223"/>
      <c r="R1443" s="223" t="str">
        <f t="array" ref="R1443:R1444">{"HEAVYL11";((IF("11"=(INDEX(ALLCLASSDATA,MATCH("HeavyLegendary",CLASSFEATUREHEADERS,0),MATCH($A1444,CLASSNAMEHEADERS,0))),(INDEX(ALLCLASSDATA,MATCH("HeavyLegendary",CLASSFEATUREHEADERS,0),MATCH(($A1444 &amp; "Points"),CLASSNAMEHEADERS,0))),(IF("11"=(INDEX(ALLCLASSDATA,MATCH("HeavyMaster",CLASSFEATUREHEADERS,0),MATCH($A1444,CLASSNAMEHEADERS,0))),(INDEX(ALLCLASSDATA,MATCH("HeavyMaster",CLASSFEATUREHEADERS,0),MATCH(($A1444 &amp; "Points"),CLASSNAMEHEADERS,0))),(IF("11"=(INDEX(ALLCLASSDATA,MATCH("HeavyExpert",CLASSFEATUREHEADERS,0),MATCH($A1444,CLASSNAMEHEADERS,0))),(INDEX(ALLCLASSDATA,MATCH("HeavyExpert",CLASSFEATUREHEADERS,0),MATCH(($A1444 &amp; "Points"),CLASSNAMEHEADERS,0))),(IF("11"=(INDEX(ALLCLASSDATA,MATCH("HeavyTrained",CLASSFEATUREHEADERS,0),MATCH($A1444,CLASSNAMEHEADERS,0))),(INDEX(ALLCLASSDATA,MATCH("HeavyTrained",CLASSFEATUREHEADERS,0),MATCH(($A1444 &amp; "Points"),CLASSNAMEHEADERS,0))),"")))))))))}</f>
        <v>HEAVYL11</v>
      </c>
      <c r="S1443" s="223"/>
      <c r="T1443" s="223" t="str">
        <f t="array" ref="T1443:T1444">{"HEAVYL13";((IF("13"=(INDEX(ALLCLASSDATA,MATCH("HeavyLegendary",CLASSFEATUREHEADERS,0),MATCH($A1444,CLASSNAMEHEADERS,0))),(INDEX(ALLCLASSDATA,MATCH("HeavyLegendary",CLASSFEATUREHEADERS,0),MATCH(($A1444 &amp; "Points"),CLASSNAMEHEADERS,0))),(IF("13"=(INDEX(ALLCLASSDATA,MATCH("HeavyMaster",CLASSFEATUREHEADERS,0),MATCH($A1444,CLASSNAMEHEADERS,0))),(INDEX(ALLCLASSDATA,MATCH("HeavyMaster",CLASSFEATUREHEADERS,0),MATCH(($A1444 &amp; "Points"),CLASSNAMEHEADERS,0))),(IF("13"=(INDEX(ALLCLASSDATA,MATCH("HeavyExpert",CLASSFEATUREHEADERS,0),MATCH($A1444,CLASSNAMEHEADERS,0))),(INDEX(ALLCLASSDATA,MATCH("HeavyExpert",CLASSFEATUREHEADERS,0),MATCH(($A1444 &amp; "Points"),CLASSNAMEHEADERS,0))),(IF("13"=(INDEX(ALLCLASSDATA,MATCH("HeavyTrained",CLASSFEATUREHEADERS,0),MATCH($A1444,CLASSNAMEHEADERS,0))),(INDEX(ALLCLASSDATA,MATCH("HeavyTrained",CLASSFEATUREHEADERS,0),MATCH(($A1444 &amp; "Points"),CLASSNAMEHEADERS,0))),"")))))))))}</f>
        <v>HEAVYL13</v>
      </c>
      <c r="U1443" s="223"/>
      <c r="V1443" s="223" t="str">
        <f t="array" ref="V1443:V1444">{"HEAVYL15";((IF("15"=(INDEX(ALLCLASSDATA,MATCH("HeavyLegendary",CLASSFEATUREHEADERS,0),MATCH($A1444,CLASSNAMEHEADERS,0))),(INDEX(ALLCLASSDATA,MATCH("HeavyLegendary",CLASSFEATUREHEADERS,0),MATCH(($A1444 &amp; "Points"),CLASSNAMEHEADERS,0))),(IF("15"=(INDEX(ALLCLASSDATA,MATCH("HeavyMaster",CLASSFEATUREHEADERS,0),MATCH($A1444,CLASSNAMEHEADERS,0))),(INDEX(ALLCLASSDATA,MATCH("HeavyMaster",CLASSFEATUREHEADERS,0),MATCH(($A1444 &amp; "Points"),CLASSNAMEHEADERS,0))),(IF("15"=(INDEX(ALLCLASSDATA,MATCH("HeavyExpert",CLASSFEATUREHEADERS,0),MATCH($A1444,CLASSNAMEHEADERS,0))),(INDEX(ALLCLASSDATA,MATCH("HeavyExpert",CLASSFEATUREHEADERS,0),MATCH(($A1444 &amp; "Points"),CLASSNAMEHEADERS,0))),(IF("15"=(INDEX(ALLCLASSDATA,MATCH("HeavyTrained",CLASSFEATUREHEADERS,0),MATCH($A1444,CLASSNAMEHEADERS,0))),(INDEX(ALLCLASSDATA,MATCH("HeavyTrained",CLASSFEATUREHEADERS,0),MATCH(($A1444 &amp; "Points"),CLASSNAMEHEADERS,0))),"")))))))))}</f>
        <v>HEAVYL15</v>
      </c>
      <c r="W1443" s="223"/>
      <c r="X1443" s="223" t="str">
        <f t="array" ref="X1443:X1444">{"HEAVYL17";((IF("17"=(INDEX(ALLCLASSDATA,MATCH("HeavyLegendary",CLASSFEATUREHEADERS,0),MATCH($A1444,CLASSNAMEHEADERS,0))),(INDEX(ALLCLASSDATA,MATCH("HeavyLegendary",CLASSFEATUREHEADERS,0),MATCH(($A1444 &amp; "Points"),CLASSNAMEHEADERS,0))),(IF("17"=(INDEX(ALLCLASSDATA,MATCH("HeavyMaster",CLASSFEATUREHEADERS,0),MATCH($A1444,CLASSNAMEHEADERS,0))),(INDEX(ALLCLASSDATA,MATCH("HeavyMaster",CLASSFEATUREHEADERS,0),MATCH(($A1444 &amp; "Points"),CLASSNAMEHEADERS,0))),(IF("17"=(INDEX(ALLCLASSDATA,MATCH("HeavyExpert",CLASSFEATUREHEADERS,0),MATCH($A1444,CLASSNAMEHEADERS,0))),(INDEX(ALLCLASSDATA,MATCH("HeavyExpert",CLASSFEATUREHEADERS,0),MATCH(($A1444 &amp; "Points"),CLASSNAMEHEADERS,0))),(IF("17"=(INDEX(ALLCLASSDATA,MATCH("HeavyTrained",CLASSFEATUREHEADERS,0),MATCH($A1444,CLASSNAMEHEADERS,0))),(INDEX(ALLCLASSDATA,MATCH("HeavyTrained",CLASSFEATUREHEADERS,0),MATCH(($A1444 &amp; "Points"),CLASSNAMEHEADERS,0))),"")))))))))}</f>
        <v>HEAVYL17</v>
      </c>
      <c r="Y1443" s="223"/>
      <c r="Z1443" s="223" t="str">
        <f t="array" ref="Z1443:Z1444">{"HEAVYL19";((IF("19"=(INDEX(ALLCLASSDATA,MATCH("HeavyLegendary",CLASSFEATUREHEADERS,0),MATCH($A1444,CLASSNAMEHEADERS,0))),(INDEX(ALLCLASSDATA,MATCH("HeavyLegendary",CLASSFEATUREHEADERS,0),MATCH(($A1444 &amp; "Points"),CLASSNAMEHEADERS,0))),(IF("19"=(INDEX(ALLCLASSDATA,MATCH("HeavyMaster",CLASSFEATUREHEADERS,0),MATCH($A1444,CLASSNAMEHEADERS,0))),(INDEX(ALLCLASSDATA,MATCH("HeavyMaster",CLASSFEATUREHEADERS,0),MATCH(($A1444 &amp; "Points"),CLASSNAMEHEADERS,0))),(IF("19"=(INDEX(ALLCLASSDATA,MATCH("HeavyExpert",CLASSFEATUREHEADERS,0),MATCH($A1444,CLASSNAMEHEADERS,0))),(INDEX(ALLCLASSDATA,MATCH("HeavyExpert",CLASSFEATUREHEADERS,0),MATCH(($A1444 &amp; "Points"),CLASSNAMEHEADERS,0))),(IF("19"=(INDEX(ALLCLASSDATA,MATCH("HeavyTrained",CLASSFEATUREHEADERS,0),MATCH($A1444,CLASSNAMEHEADERS,0))),(INDEX(ALLCLASSDATA,MATCH("HeavyTrained",CLASSFEATUREHEADERS,0),MATCH(($A1444 &amp; "Points"),CLASSNAMEHEADERS,0))),"")))))))))}</f>
        <v>HEAVYL19</v>
      </c>
      <c r="AA1443" s="223"/>
      <c r="AB1443" s="76" t="str">
        <f t="array" ref="AB1443:AB1444">{"HEAVY TOTAL";(IF(COUNTBLANK(G1444:AA1444)=17,"L",(IF(COUNTBLANK(G1444:AA1444)=18,"M",(IF(COUNTBLANK(G1444:AA1444)=19,"E",(IF(COUNTBLANK(G1444:AA1444)=20,"T",""))))))))}</f>
        <v>HEAVY TOTAL</v>
      </c>
      <c r="AC1443" s="76" t="str">
        <f t="array" ref="AC1443:AC1444">{"HEAVY TOTAL";(sum(G1444:AA1444))}</f>
        <v>HEAVY TOTAL</v>
      </c>
    </row>
    <row r="1444">
      <c r="A1444" s="48" t="s">
        <v>219</v>
      </c>
      <c r="B1444" s="48"/>
      <c r="C1444" s="48" t="s">
        <v>418</v>
      </c>
      <c r="D1444" s="97" t="s">
        <v>1900</v>
      </c>
      <c r="E1444" s="97" t="s">
        <v>533</v>
      </c>
      <c r="F1444" s="98" t="s">
        <v>603</v>
      </c>
      <c r="G1444" s="132" t="s">
        <v>603</v>
      </c>
      <c r="H1444" s="98" t="s">
        <v>603</v>
      </c>
      <c r="I1444" s="98"/>
      <c r="J1444" s="98" t="s">
        <v>603</v>
      </c>
      <c r="K1444" s="98"/>
      <c r="L1444" s="98" t="s">
        <v>603</v>
      </c>
      <c r="M1444" s="98"/>
      <c r="N1444" s="98" t="s">
        <v>603</v>
      </c>
      <c r="O1444" s="98"/>
      <c r="P1444" s="98" t="s">
        <v>603</v>
      </c>
      <c r="Q1444" s="98"/>
      <c r="R1444" s="98" t="s">
        <v>603</v>
      </c>
      <c r="S1444" s="98"/>
      <c r="T1444" s="98" t="s">
        <v>603</v>
      </c>
      <c r="U1444" s="98"/>
      <c r="V1444" s="98" t="s">
        <v>603</v>
      </c>
      <c r="W1444" s="98"/>
      <c r="X1444" s="98" t="s">
        <v>603</v>
      </c>
      <c r="Y1444" s="98"/>
      <c r="Z1444" s="98" t="s">
        <v>603</v>
      </c>
      <c r="AA1444" s="98"/>
      <c r="AB1444" s="5" t="s">
        <v>603</v>
      </c>
      <c r="AC1444" s="47">
        <v>0.0</v>
      </c>
    </row>
    <row r="1445" hidden="1">
      <c r="A1445" s="222" t="str">
        <f t="array" ref="A1445:A1446">{"FormulaRow39";(INDEX(CLASSLIST,A1368,1))}</f>
        <v>FormulaRow39</v>
      </c>
      <c r="B1445" s="77" t="s">
        <v>236</v>
      </c>
      <c r="C1445" s="222" t="str">
        <f t="array" ref="C1445:C1446">{"CLASSTYPE";((INDEX(ALLCLASSDATA,MATCH("ClassType",CLASSFEATUREHEADERS,0),MATCH($A1446,CLASSNAMEHEADERS,0))))}</f>
        <v>CLASSTYPE</v>
      </c>
      <c r="D1445" s="222" t="str">
        <f t="array" ref="D1445:D1446">{"SPELL/ALCHEMY";((IF(INDEX(ALLCLASSDATA,MATCH("CasterType",CLASSFEATUREHEADERS,0),MATCH(($A1446),CLASSNAMEHEADERS,0))="","",(IF(INDEX(ALLCLASSDATA,MATCH("CasterType",CLASSFEATUREHEADERS,0),MATCH(($A1446),CLASSNAMEHEADERS,0))="Alchemy","Alchemy","Spells")))))}</f>
        <v>SPELL/ALCHEMY</v>
      </c>
      <c r="E1445" s="222" t="str">
        <f t="array" ref="E1445:E1446">{"SPELLLIST";(IF(D1446="Spells",((INDEX(ALLCLASSDATA,MATCH("CasterType",CLASSFEATUREHEADERS,0),MATCH(($A1446),CLASSNAMEHEADERS,0))) &amp; ":" &amp; (INDEX(ALLCLASSDATA,MATCH("SpellList",CLASSFEATUREHEADERS,0),MATCH(($A1446),CLASSNAMEHEADERS,0)))),""))}</f>
        <v>SPELLLIST</v>
      </c>
      <c r="F1445" s="223" t="str">
        <f t="array" ref="F1445:F1446">{"SPL";(IF(D1446="Spells","SPL:",""))}</f>
        <v>SPL</v>
      </c>
      <c r="G1445" s="223" t="str">
        <f t="array" ref="G1445:G1446">{"CANTRIP/ALC";(IF(D1446="Spells","C",(IF(D1446="Alchemy","ALC:",""))))}</f>
        <v>CANTRIP/ALC</v>
      </c>
      <c r="H1445" s="223" t="str">
        <f t="array" ref="H1445:H1446">{"SPELL/ALC L01";(IF(D1446="Alchemy","L01",(IF(D1446="Spells","S01",""))))}</f>
        <v>SPELL/ALC L01</v>
      </c>
      <c r="I1445" s="223" t="str">
        <f t="array" ref="I1445:I1446">{"SPELL/ALC L02";(IF(D1446="Alchemy","L02",(IF(D1446="Spells","S01",""))))}</f>
        <v>SPELL/ALC L02</v>
      </c>
      <c r="J1445" s="223" t="str">
        <f t="array" ref="J1445:J1446">{"SPELL/ALC L03";(IF(D1446="Alchemy","L03",(IF(D1446="Spells","S02",""))))}</f>
        <v>SPELL/ALC L03</v>
      </c>
      <c r="K1445" s="223" t="str">
        <f t="array" ref="K1445:K1446">{"SPELL/ALC L04";(IF(D1446="Alchemy","L04",(IF(D1446="Spells","S02",""))))}</f>
        <v>SPELL/ALC L04</v>
      </c>
      <c r="L1445" s="223" t="str">
        <f t="array" ref="L1445:L1446">{"SPELL/ALC L05";(IF(D1446="Alchemy","L05",(IF(D1446="Spells","S03",""))))}</f>
        <v>SPELL/ALC L05</v>
      </c>
      <c r="M1445" s="223" t="str">
        <f t="array" ref="M1445:M1446">{"SPELL/ALC L06";(IF(D1446="Alchemy","L06",(IF(D1446="Spells","S03",""))))}</f>
        <v>SPELL/ALC L06</v>
      </c>
      <c r="N1445" s="223" t="str">
        <f t="array" ref="N1445:N1446">{"SPELL/ALC L07";(IF(D1446="Alchemy","L07",(IF(D1446="Spells","S04",""))))}</f>
        <v>SPELL/ALC L07</v>
      </c>
      <c r="O1445" s="223" t="str">
        <f t="array" ref="O1445:O1446">{"SPELL/ALC L08";(IF(D1446="Alchemy","L08",(IF(D1446="Spells","S04",""))))}</f>
        <v>SPELL/ALC L08</v>
      </c>
      <c r="P1445" s="223" t="str">
        <f t="array" ref="P1445:P1446">{"SPELL/ALC L09";(IF(D1446="Alchemy","L09",(IF(D1446="Spells","S05",""))))}</f>
        <v>SPELL/ALC L09</v>
      </c>
      <c r="Q1445" s="223" t="str">
        <f t="array" ref="Q1445:Q1446">{"SPELL/ALC L10";(IF(D1446="Alchemy","L10",(IF(D1446="Spells","S05",""))))}</f>
        <v>SPELL/ALC L10</v>
      </c>
      <c r="R1445" s="223" t="str">
        <f t="array" ref="R1445:R1446">{"SPELL/ALC L11";(IF(D1446="Alchemy","L11",(IF(D1446="Spells","S06",""))))}</f>
        <v>SPELL/ALC L11</v>
      </c>
      <c r="S1445" s="223" t="str">
        <f t="array" ref="S1445:S1446">{"SPELL/ALC L12";(IF(D1446="Alchemy","L12",(IF(D1446="Spells","S06",""))))}</f>
        <v>SPELL/ALC L12</v>
      </c>
      <c r="T1445" s="223" t="str">
        <f t="array" ref="T1445:T1446">{"SPELL/ALC L13";(IF(D1446="Alchemy","L13",(IF(D1446="Spells","S07",""))))}</f>
        <v>SPELL/ALC L13</v>
      </c>
      <c r="U1445" s="223" t="str">
        <f t="array" ref="U1445:U1446">{"SPELL/ALC L14";(IF(D1446="Alchemy","L14",(IF(D1446="Spells","S07",""))))}</f>
        <v>SPELL/ALC L14</v>
      </c>
      <c r="V1445" s="223" t="str">
        <f t="array" ref="V1445:V1446">{"SPELL/ALC L15";(IF(D1446="Alchemy","L15",(IF(D1446="Spells","S08",""))))}</f>
        <v>SPELL/ALC L15</v>
      </c>
      <c r="W1445" s="223" t="str">
        <f t="array" ref="W1445:W1446">{"SPELL/ALC L16";(IF(D1446="Alchemy","L16",(IF(D1446="Spells","S08",""))))}</f>
        <v>SPELL/ALC L16</v>
      </c>
      <c r="X1445" s="223" t="str">
        <f t="array" ref="X1445:X1446">{"SPELL/ALC L17";(IF(D1446="Alchemy","L17",(IF(D1446="Spells","S09",""))))}</f>
        <v>SPELL/ALC L17</v>
      </c>
      <c r="Y1445" s="223" t="str">
        <f t="array" ref="Y1445:Y1446">{"SPELL/ALC L18";(IF(D1446="Alchemy","L18",(IF(D1446="Spells","S09",""))))}</f>
        <v>SPELL/ALC L18</v>
      </c>
      <c r="Z1445" s="223" t="str">
        <f t="array" ref="Z1445:Z1446">{"SPELL/ALC L19";(IF(D1446="Alchemy","L19",(IF(D1446="Spells","S10",""))))}</f>
        <v>SPELL/ALC L19</v>
      </c>
      <c r="AA1445" s="223" t="str">
        <f t="array" ref="AA1445:AA1446">{"SPELL/ALC L20";(IF(D1446="Alchemy","L20",(IF(D1446="Spells","S10",""))))}</f>
        <v>SPELL/ALC L20</v>
      </c>
      <c r="AB1445" s="76"/>
      <c r="AC1445" s="76"/>
    </row>
    <row r="1446">
      <c r="A1446" s="48" t="s">
        <v>219</v>
      </c>
      <c r="B1446" s="48"/>
      <c r="C1446" s="48" t="s">
        <v>418</v>
      </c>
      <c r="D1446" s="48" t="s">
        <v>1901</v>
      </c>
      <c r="E1446" s="48" t="s">
        <v>1902</v>
      </c>
      <c r="F1446" s="278" t="s">
        <v>1903</v>
      </c>
      <c r="G1446" s="114" t="s">
        <v>653</v>
      </c>
      <c r="H1446" s="279" t="s">
        <v>1536</v>
      </c>
      <c r="I1446" s="28" t="s">
        <v>1536</v>
      </c>
      <c r="J1446" s="28" t="s">
        <v>1542</v>
      </c>
      <c r="K1446" s="28" t="s">
        <v>1542</v>
      </c>
      <c r="L1446" s="28" t="s">
        <v>1545</v>
      </c>
      <c r="M1446" s="28" t="s">
        <v>1545</v>
      </c>
      <c r="N1446" s="28" t="s">
        <v>1548</v>
      </c>
      <c r="O1446" s="28" t="s">
        <v>1548</v>
      </c>
      <c r="P1446" s="28" t="s">
        <v>1553</v>
      </c>
      <c r="Q1446" s="28" t="s">
        <v>1553</v>
      </c>
      <c r="R1446" s="28" t="s">
        <v>1556</v>
      </c>
      <c r="S1446" s="28" t="s">
        <v>1556</v>
      </c>
      <c r="T1446" s="28" t="s">
        <v>1559</v>
      </c>
      <c r="U1446" s="28" t="s">
        <v>1559</v>
      </c>
      <c r="V1446" s="28" t="s">
        <v>1562</v>
      </c>
      <c r="W1446" s="28" t="s">
        <v>1562</v>
      </c>
      <c r="X1446" s="28" t="s">
        <v>1565</v>
      </c>
      <c r="Y1446" s="28" t="s">
        <v>1565</v>
      </c>
      <c r="Z1446" s="28" t="s">
        <v>1568</v>
      </c>
      <c r="AA1446" s="28" t="s">
        <v>1568</v>
      </c>
      <c r="AB1446" s="5"/>
      <c r="AC1446" s="47"/>
    </row>
    <row r="1447" hidden="1">
      <c r="A1447" s="222" t="str">
        <f t="array" ref="A1447:A1448">{"FormulaRow40";(INDEX(CLASSLIST,A1368,1))}</f>
        <v>FormulaRow40</v>
      </c>
      <c r="B1447" s="77" t="s">
        <v>236</v>
      </c>
      <c r="C1447" s="222" t="str">
        <f t="array" ref="C1447:C1448">{"CLASSTYPE";((INDEX(ALLCLASSDATA,MATCH("ClassType",CLASSFEATUREHEADERS,0),MATCH($A1448,CLASSNAMEHEADERS,0))))}</f>
        <v>CLASSTYPE</v>
      </c>
      <c r="D1447" s="222" t="str">
        <f t="array" ref="D1447:D1448">{"SPELL/ALCHEMY";((IF(INDEX(ALLCLASSDATA,MATCH("CasterType",CLASSFEATUREHEADERS,0),MATCH(($A1448),CLASSNAMEHEADERS,0))="","",(IF(INDEX(ALLCLASSDATA,MATCH("CasterType",CLASSFEATUREHEADERS,0),MATCH(($A1448),CLASSNAMEHEADERS,0))="Alchemy","","Spells")))))}</f>
        <v>SPELL/ALCHEMY</v>
      </c>
      <c r="E1447" s="222" t="str">
        <f t="array" ref="E1447:E1448">{"SPELLLIST";(IF(D1448="Spells",((INDEX(ALLCLASSDATA,MATCH("CasterType",CLASSFEATUREHEADERS,0),MATCH(($A1448),CLASSNAMEHEADERS,0))) &amp; ":" &amp; (INDEX(ALLCLASSDATA,MATCH("SpellList",CLASSFEATUREHEADERS,0),MATCH(($A1448),CLASSNAMEHEADERS,0)))),""))}</f>
        <v>SPELLLIST</v>
      </c>
      <c r="F1447" s="222" t="str">
        <f t="array" ref="F1447:F1448">{"SLOTCOST";(IF(D1448="Spells","SlotCost:",""))}</f>
        <v>SLOTCOST</v>
      </c>
      <c r="G1447" s="222" t="str">
        <f t="array" ref="G1447:G1448">{"SLOTCOST CANTRIP";(INDEX(ALLCLASSDATA,MATCH("CantripSlots-L00",CLASSFEATUREHEADERS,0),MATCH(($A1448 &amp; "Points"),CLASSNAMEHEADERS,0)))}</f>
        <v>SLOTCOST CANTRIP</v>
      </c>
      <c r="H1447" s="222" t="str">
        <f t="array" ref="H1447:H1448">{"SLOTCOST L01";(INDEX(ALLCLASSDATA,MATCH("SPL01-L01",CLASSFEATUREHEADERS,0),MATCH(($A1448 &amp; "Points"),CLASSNAMEHEADERS,0)))}</f>
        <v>SLOTCOST L01</v>
      </c>
      <c r="I1447" s="222" t="str">
        <f t="array" ref="I1447:I1448">{"SLOTCOST L02";(INDEX(ALLCLASSDATA,MATCH("SPL01-L02",CLASSFEATUREHEADERS,0),MATCH(($A1448 &amp; "Points"),CLASSNAMEHEADERS,0)))}</f>
        <v>SLOTCOST L02</v>
      </c>
      <c r="J1447" s="222" t="str">
        <f t="array" ref="J1447:J1448">{"SLOTCOST L03";(INDEX(ALLCLASSDATA,MATCH("SPL02-L03",CLASSFEATUREHEADERS,0),MATCH(($A1448 &amp; "Points"),CLASSNAMEHEADERS,0)))}</f>
        <v>SLOTCOST L03</v>
      </c>
      <c r="K1447" s="222" t="str">
        <f t="array" ref="K1447:K1448">{"SLOTCOST L04";(INDEX(ALLCLASSDATA,MATCH("SPL02-L04",CLASSFEATUREHEADERS,0),MATCH(($A1448 &amp; "Points"),CLASSNAMEHEADERS,0)))}</f>
        <v>SLOTCOST L04</v>
      </c>
      <c r="L1447" s="222" t="str">
        <f t="array" ref="L1447:L1448">{"SLOTCOST L05";(INDEX(ALLCLASSDATA,MATCH("SPL03-L05",CLASSFEATUREHEADERS,0),MATCH(($A1448 &amp; "Points"),CLASSNAMEHEADERS,0)))}</f>
        <v>SLOTCOST L05</v>
      </c>
      <c r="M1447" s="222" t="str">
        <f t="array" ref="M1447:M1448">{"SLOTCOST L06";(INDEX(ALLCLASSDATA,MATCH("SPL03-L06",CLASSFEATUREHEADERS,0),MATCH(($A1448 &amp; "Points"),CLASSNAMEHEADERS,0)))}</f>
        <v>SLOTCOST L06</v>
      </c>
      <c r="N1447" s="222" t="str">
        <f t="array" ref="N1447:N1448">{"SLOTCOST L07";(INDEX(ALLCLASSDATA,MATCH("SPL04-L07",CLASSFEATUREHEADERS,0),MATCH(($A1448 &amp; "Points"),CLASSNAMEHEADERS,0)))}</f>
        <v>SLOTCOST L07</v>
      </c>
      <c r="O1447" s="222" t="str">
        <f t="array" ref="O1447:O1448">{"SLOTCOST L08";(INDEX(ALLCLASSDATA,MATCH("SPL04-L08",CLASSFEATUREHEADERS,0),MATCH(($A1448 &amp; "Points"),CLASSNAMEHEADERS,0)))}</f>
        <v>SLOTCOST L08</v>
      </c>
      <c r="P1447" s="222" t="str">
        <f t="array" ref="P1447:P1448">{"SLOTCOST L09";(INDEX(ALLCLASSDATA,MATCH("SPL05-L09",CLASSFEATUREHEADERS,0),MATCH(($A1448 &amp; "Points"),CLASSNAMEHEADERS,0)))}</f>
        <v>SLOTCOST L09</v>
      </c>
      <c r="Q1447" s="222" t="str">
        <f t="array" ref="Q1447:Q1448">{"SLOTCOST L10";(INDEX(ALLCLASSDATA,MATCH("SPL05-L10",CLASSFEATUREHEADERS,0),MATCH(($A1448 &amp; "Points"),CLASSNAMEHEADERS,0)))}</f>
        <v>SLOTCOST L10</v>
      </c>
      <c r="R1447" s="222" t="str">
        <f t="array" ref="R1447:R1448">{"SLOTCOST L11";(INDEX(ALLCLASSDATA,MATCH("SPL06-L11",CLASSFEATUREHEADERS,0),MATCH(($A1448 &amp; "Points"),CLASSNAMEHEADERS,0)))}</f>
        <v>SLOTCOST L11</v>
      </c>
      <c r="S1447" s="222" t="str">
        <f t="array" ref="S1447:S1448">{"SLOTCOST L12";(INDEX(ALLCLASSDATA,MATCH("SPL06-L12",CLASSFEATUREHEADERS,0),MATCH(($A1448 &amp; "Points"),CLASSNAMEHEADERS,0)))}</f>
        <v>SLOTCOST L12</v>
      </c>
      <c r="T1447" s="222" t="str">
        <f t="array" ref="T1447:T1448">{"SLOTCOST L13";(INDEX(ALLCLASSDATA,MATCH("SPL07-L13",CLASSFEATUREHEADERS,0),MATCH(($A1448 &amp; "Points"),CLASSNAMEHEADERS,0)))}</f>
        <v>SLOTCOST L13</v>
      </c>
      <c r="U1447" s="222" t="str">
        <f t="array" ref="U1447:U1448">{"SLOTCOST L14";(INDEX(ALLCLASSDATA,MATCH("SPL07-L14",CLASSFEATUREHEADERS,0),MATCH(($A1448 &amp; "Points"),CLASSNAMEHEADERS,0)))}</f>
        <v>SLOTCOST L14</v>
      </c>
      <c r="V1447" s="222" t="str">
        <f t="array" ref="V1447:V1448">{"SLOTCOST L15";(INDEX(ALLCLASSDATA,MATCH("SPL08-L15",CLASSFEATUREHEADERS,0),MATCH(($A1448 &amp; "Points"),CLASSNAMEHEADERS,0)))}</f>
        <v>SLOTCOST L15</v>
      </c>
      <c r="W1447" s="222" t="str">
        <f t="array" ref="W1447:W1448">{"SLOTCOST L16";(INDEX(ALLCLASSDATA,MATCH("SPL08-L16",CLASSFEATUREHEADERS,0),MATCH(($A1448 &amp; "Points"),CLASSNAMEHEADERS,0)))}</f>
        <v>SLOTCOST L16</v>
      </c>
      <c r="X1447" s="222" t="str">
        <f t="array" ref="X1447:X1448">{"SLOTCOST L17";(INDEX(ALLCLASSDATA,MATCH("SPL09-L17",CLASSFEATUREHEADERS,0),MATCH(($A1448 &amp; "Points"),CLASSNAMEHEADERS,0)))}</f>
        <v>SLOTCOST L17</v>
      </c>
      <c r="Y1447" s="222" t="str">
        <f t="array" ref="Y1447:Y1448">{"SLOTCOST L18";(INDEX(ALLCLASSDATA,MATCH("SPL09-L18",CLASSFEATUREHEADERS,0),MATCH(($A1448 &amp; "Points"),CLASSNAMEHEADERS,0)))}</f>
        <v>SLOTCOST L18</v>
      </c>
      <c r="Z1447" s="222" t="str">
        <f t="array" ref="Z1447:Z1448">{"SLOTCOST L19";(INDEX(ALLCLASSDATA,MATCH("SPL10-L19",CLASSFEATUREHEADERS,0),MATCH(($A1448 &amp; "Points"),CLASSNAMEHEADERS,0)))}</f>
        <v>SLOTCOST L19</v>
      </c>
      <c r="AA1447" s="222" t="str">
        <f t="array" ref="AA1447:AA1448">{"SLOTCOST L20";(INDEX(ALLCLASSDATA,MATCH("SPL10-L20",CLASSFEATUREHEADERS,0),MATCH(($A1448 &amp; "Points"),CLASSNAMEHEADERS,0)))}</f>
        <v>SLOTCOST L20</v>
      </c>
      <c r="AB1447" s="76"/>
      <c r="AC1447" s="76" t="str">
        <f t="array" ref="AC1447:AC1448">{"SLOT TOTAL";(sum(G1448:AA1448))}</f>
        <v>SLOT TOTAL</v>
      </c>
    </row>
    <row r="1448">
      <c r="A1448" s="48" t="s">
        <v>219</v>
      </c>
      <c r="B1448" s="48"/>
      <c r="C1448" s="48" t="s">
        <v>418</v>
      </c>
      <c r="D1448" s="48" t="s">
        <v>1901</v>
      </c>
      <c r="E1448" s="48" t="s">
        <v>1902</v>
      </c>
      <c r="F1448" s="278" t="s">
        <v>1904</v>
      </c>
      <c r="G1448" s="47">
        <v>0.0</v>
      </c>
      <c r="H1448" s="5">
        <v>20.0</v>
      </c>
      <c r="I1448" s="5">
        <v>10.0</v>
      </c>
      <c r="J1448" s="5">
        <v>20.0</v>
      </c>
      <c r="K1448" s="5">
        <v>10.0</v>
      </c>
      <c r="L1448" s="5">
        <v>20.0</v>
      </c>
      <c r="M1448" s="48">
        <v>10.0</v>
      </c>
      <c r="N1448" s="5">
        <v>20.0</v>
      </c>
      <c r="O1448" s="5">
        <v>10.0</v>
      </c>
      <c r="P1448" s="5">
        <v>20.0</v>
      </c>
      <c r="Q1448" s="5">
        <v>10.0</v>
      </c>
      <c r="R1448" s="5">
        <v>20.0</v>
      </c>
      <c r="S1448" s="5">
        <v>10.0</v>
      </c>
      <c r="T1448" s="5">
        <v>20.0</v>
      </c>
      <c r="U1448" s="5">
        <v>10.0</v>
      </c>
      <c r="V1448" s="5">
        <v>20.0</v>
      </c>
      <c r="W1448" s="5">
        <v>10.0</v>
      </c>
      <c r="X1448" s="5">
        <v>20.0</v>
      </c>
      <c r="Y1448" s="5">
        <v>10.0</v>
      </c>
      <c r="Z1448" s="5">
        <v>190.0</v>
      </c>
      <c r="AA1448" s="5" t="s">
        <v>603</v>
      </c>
      <c r="AB1448" s="5"/>
      <c r="AC1448" s="47">
        <v>460.0</v>
      </c>
    </row>
    <row r="1449" hidden="1">
      <c r="A1449" s="222" t="str">
        <f t="array" ref="A1449:A1450">{"FormulaRow41";(INDEX(CLASSLIST,A1368,1))}</f>
        <v>FormulaRow41</v>
      </c>
      <c r="B1449" s="77" t="s">
        <v>236</v>
      </c>
      <c r="C1449" s="222" t="str">
        <f t="array" ref="C1449:C1450">{"CLASSTYPE";((INDEX(ALLCLASSDATA,MATCH("ClassType",CLASSFEATUREHEADERS,0),MATCH($A1450,CLASSNAMEHEADERS,0))))}</f>
        <v>CLASSTYPE</v>
      </c>
      <c r="D1449" s="222" t="str">
        <f t="array" ref="D1449:D1450">{"SPELL/ALCHEMY";((IF(INDEX(ALLCLASSDATA,MATCH("CasterType",CLASSFEATUREHEADERS,0),MATCH(($A1450),CLASSNAMEHEADERS,0))="","",(IF(INDEX(ALLCLASSDATA,MATCH("CasterType",CLASSFEATUREHEADERS,0),MATCH(($A1450),CLASSNAMEHEADERS,0))="Alchemy","Alchemy","Spells")))))}</f>
        <v>SPELL/ALCHEMY</v>
      </c>
      <c r="E1449" s="222" t="str">
        <f t="array" ref="E1449:E1450">{"SPELLLIST";(IF(D1450="Spells",((INDEX(ALLCLASSDATA,MATCH("CasterType",CLASSFEATUREHEADERS,0),MATCH(($A1450),CLASSNAMEHEADERS,0))) &amp; ":" &amp; (INDEX(ALLCLASSDATA,MATCH("SpellList",CLASSFEATUREHEADERS,0),MATCH(($A1450),CLASSNAMEHEADERS,0)))),""))}</f>
        <v>SPELLLIST</v>
      </c>
      <c r="F1449" s="223" t="str">
        <f t="array" ref="F1449:F1450">{"LEARNEDCOST";(IF(D1450="","","LearnCost:"))}</f>
        <v>LEARNEDCOST</v>
      </c>
      <c r="G1449" s="223" t="str">
        <f t="array" ref="G1449:G1450">{"LEARNED CANTRIPS";(INDEX(ALLCLASSDATA,MATCH("CantripsLearned-L00",CLASSFEATUREHEADERS,0),MATCH(($A1450 &amp; "Points"),CLASSNAMEHEADERS,0)))}</f>
        <v>LEARNED CANTRIPS</v>
      </c>
      <c r="H1449" s="223" t="str">
        <f t="array" ref="H1449:H1450">{"LEARNED L01";(INDEX(ALLCLASSDATA,MATCH("Learned-L01",CLASSFEATUREHEADERS,0),MATCH(($A1450 &amp; "Points"),CLASSNAMEHEADERS,0)))}</f>
        <v>LEARNED L01</v>
      </c>
      <c r="I1449" s="223" t="str">
        <f t="array" ref="I1449:I1450">{"LEARNED L02";(INDEX(ALLCLASSDATA,MATCH("Learned-L02",CLASSFEATUREHEADERS,0),MATCH(($A1450 &amp; "Points"),CLASSNAMEHEADERS,0)))}</f>
        <v>LEARNED L02</v>
      </c>
      <c r="J1449" s="223" t="str">
        <f t="array" ref="J1449:J1450">{"LEARNED L03";(INDEX(ALLCLASSDATA,MATCH("Learned-L03",CLASSFEATUREHEADERS,0),MATCH(($A1450 &amp; "Points"),CLASSNAMEHEADERS,0)))}</f>
        <v>LEARNED L03</v>
      </c>
      <c r="K1449" s="223" t="str">
        <f t="array" ref="K1449:K1450">{"LEARNED L04";(INDEX(ALLCLASSDATA,MATCH("Learned-L04",CLASSFEATUREHEADERS,0),MATCH(($A1450 &amp; "Points"),CLASSNAMEHEADERS,0)))}</f>
        <v>LEARNED L04</v>
      </c>
      <c r="L1449" s="223" t="str">
        <f t="array" ref="L1449:L1450">{"LEARNED L05";(INDEX(ALLCLASSDATA,MATCH("Learned-L05",CLASSFEATUREHEADERS,0),MATCH(($A1450 &amp; "Points"),CLASSNAMEHEADERS,0)))}</f>
        <v>LEARNED L05</v>
      </c>
      <c r="M1449" s="223" t="str">
        <f t="array" ref="M1449:M1450">{"LEARNED L06";(INDEX(ALLCLASSDATA,MATCH("Learned-L06",CLASSFEATUREHEADERS,0),MATCH(($A1450 &amp; "Points"),CLASSNAMEHEADERS,0)))}</f>
        <v>LEARNED L06</v>
      </c>
      <c r="N1449" s="223" t="str">
        <f t="array" ref="N1449:N1450">{"LEARNED L07";(INDEX(ALLCLASSDATA,MATCH("Learned-L07",CLASSFEATUREHEADERS,0),MATCH(($A1450 &amp; "Points"),CLASSNAMEHEADERS,0)))}</f>
        <v>LEARNED L07</v>
      </c>
      <c r="O1449" s="223" t="str">
        <f t="array" ref="O1449:O1450">{"LEARNED L08";(INDEX(ALLCLASSDATA,MATCH("Learned-L08",CLASSFEATUREHEADERS,0),MATCH(($A1450 &amp; "Points"),CLASSNAMEHEADERS,0)))}</f>
        <v>LEARNED L08</v>
      </c>
      <c r="P1449" s="223" t="str">
        <f t="array" ref="P1449:P1450">{"LEARNED L09";(INDEX(ALLCLASSDATA,MATCH("Learned-L09",CLASSFEATUREHEADERS,0),MATCH(($A1450 &amp; "Points"),CLASSNAMEHEADERS,0)))}</f>
        <v>LEARNED L09</v>
      </c>
      <c r="Q1449" s="223" t="str">
        <f t="array" ref="Q1449:Q1450">{"LEARNED L10";(INDEX(ALLCLASSDATA,MATCH("Learned-L10",CLASSFEATUREHEADERS,0),MATCH(($A1450 &amp; "Points"),CLASSNAMEHEADERS,0)))}</f>
        <v>LEARNED L10</v>
      </c>
      <c r="R1449" s="223" t="str">
        <f t="array" ref="R1449:R1450">{"LEARNED L11";(INDEX(ALLCLASSDATA,MATCH("Learned-L11",CLASSFEATUREHEADERS,0),MATCH(($A1450 &amp; "Points"),CLASSNAMEHEADERS,0)))}</f>
        <v>LEARNED L11</v>
      </c>
      <c r="S1449" s="223" t="str">
        <f t="array" ref="S1449:S1450">{"LEARNED L12";(INDEX(ALLCLASSDATA,MATCH("Learned-L12",CLASSFEATUREHEADERS,0),MATCH(($A1450 &amp; "Points"),CLASSNAMEHEADERS,0)))}</f>
        <v>LEARNED L12</v>
      </c>
      <c r="T1449" s="223" t="str">
        <f t="array" ref="T1449:T1450">{"LEARNED L13";(INDEX(ALLCLASSDATA,MATCH("Learned-L13",CLASSFEATUREHEADERS,0),MATCH(($A1450 &amp; "Points"),CLASSNAMEHEADERS,0)))}</f>
        <v>LEARNED L13</v>
      </c>
      <c r="U1449" s="223" t="str">
        <f t="array" ref="U1449:U1450">{"LEARNED L14";(INDEX(ALLCLASSDATA,MATCH("Learned-L14",CLASSFEATUREHEADERS,0),MATCH(($A1450 &amp; "Points"),CLASSNAMEHEADERS,0)))}</f>
        <v>LEARNED L14</v>
      </c>
      <c r="V1449" s="223" t="str">
        <f t="array" ref="V1449:V1450">{"LEARNED L15";(INDEX(ALLCLASSDATA,MATCH("Learned-L15",CLASSFEATUREHEADERS,0),MATCH(($A1450 &amp; "Points"),CLASSNAMEHEADERS,0)))}</f>
        <v>LEARNED L15</v>
      </c>
      <c r="W1449" s="223" t="str">
        <f t="array" ref="W1449:W1450">{"LEARNED L16";(INDEX(ALLCLASSDATA,MATCH("Learned-L16",CLASSFEATUREHEADERS,0),MATCH(($A1450 &amp; "Points"),CLASSNAMEHEADERS,0)))}</f>
        <v>LEARNED L16</v>
      </c>
      <c r="X1449" s="223" t="str">
        <f t="array" ref="X1449:X1450">{"LEARNED L17";(INDEX(ALLCLASSDATA,MATCH("Learned-L17",CLASSFEATUREHEADERS,0),MATCH(($A1450 &amp; "Points"),CLASSNAMEHEADERS,0)))}</f>
        <v>LEARNED L17</v>
      </c>
      <c r="Y1449" s="223" t="str">
        <f t="array" ref="Y1449:Y1450">{"LEARNED L18";(INDEX(ALLCLASSDATA,MATCH("Learned-L18",CLASSFEATUREHEADERS,0),MATCH(($A1450 &amp; "Points"),CLASSNAMEHEADERS,0)))}</f>
        <v>LEARNED L18</v>
      </c>
      <c r="Z1449" s="223" t="str">
        <f t="array" ref="Z1449:Z1450">{"LEARNED L19";(INDEX(ALLCLASSDATA,MATCH("Learned-L19",CLASSFEATUREHEADERS,0),MATCH(($A1450 &amp; "Points"),CLASSNAMEHEADERS,0)))}</f>
        <v>LEARNED L19</v>
      </c>
      <c r="AA1449" s="223" t="str">
        <f t="array" ref="AA1449:AA1450">{"LEARNED L20";(INDEX(ALLCLASSDATA,MATCH("Learned-L20",CLASSFEATUREHEADERS,0),MATCH(($A1450 &amp; "Points"),CLASSNAMEHEADERS,0)))}</f>
        <v>LEARNED L20</v>
      </c>
      <c r="AB1449" s="76"/>
      <c r="AC1449" s="76" t="str">
        <f t="array" ref="AC1449:AC1450">{"LEARNED TOTAL";(sum(G1450:AA1450))}</f>
        <v>LEARNED TOTAL</v>
      </c>
    </row>
    <row r="1450">
      <c r="A1450" s="48" t="s">
        <v>219</v>
      </c>
      <c r="B1450" s="48"/>
      <c r="C1450" s="48" t="s">
        <v>418</v>
      </c>
      <c r="D1450" s="48" t="s">
        <v>1901</v>
      </c>
      <c r="E1450" s="48" t="s">
        <v>1902</v>
      </c>
      <c r="F1450" s="278" t="s">
        <v>1906</v>
      </c>
      <c r="G1450" s="47"/>
      <c r="H1450" s="5">
        <v>40.0</v>
      </c>
      <c r="I1450" s="5">
        <v>20.0</v>
      </c>
      <c r="J1450" s="5">
        <v>40.0</v>
      </c>
      <c r="K1450" s="5">
        <v>20.0</v>
      </c>
      <c r="L1450" s="5">
        <v>40.0</v>
      </c>
      <c r="M1450" s="5">
        <v>20.0</v>
      </c>
      <c r="N1450" s="48">
        <v>40.0</v>
      </c>
      <c r="O1450" s="5">
        <v>20.0</v>
      </c>
      <c r="P1450" s="5">
        <v>40.0</v>
      </c>
      <c r="Q1450" s="5">
        <v>20.0</v>
      </c>
      <c r="R1450" s="5">
        <v>40.0</v>
      </c>
      <c r="S1450" s="5">
        <v>20.0</v>
      </c>
      <c r="T1450" s="5">
        <v>40.0</v>
      </c>
      <c r="U1450" s="5">
        <v>20.0</v>
      </c>
      <c r="V1450" s="5">
        <v>40.0</v>
      </c>
      <c r="W1450" s="5">
        <v>20.0</v>
      </c>
      <c r="X1450" s="5">
        <v>40.0</v>
      </c>
      <c r="Y1450" s="5">
        <v>20.0</v>
      </c>
      <c r="Z1450" s="5">
        <v>0.0</v>
      </c>
      <c r="AA1450" s="5" t="s">
        <v>603</v>
      </c>
      <c r="AB1450" s="5"/>
      <c r="AC1450" s="47">
        <v>540.0</v>
      </c>
    </row>
    <row r="1451" hidden="1">
      <c r="A1451" s="222" t="str">
        <f t="array" ref="A1451:A1452">{"FormulaRow42";(INDEX(CLASSLIST,A1368,1))}</f>
        <v>FormulaRow42</v>
      </c>
      <c r="B1451" s="77" t="s">
        <v>236</v>
      </c>
      <c r="C1451" s="222" t="str">
        <f t="array" ref="C1451:C1452">{"CLASSTYPE";((INDEX(ALLCLASSDATA,MATCH("ClassType",CLASSFEATUREHEADERS,0),MATCH($A1452,CLASSNAMEHEADERS,0))))}</f>
        <v>CLASSTYPE</v>
      </c>
      <c r="D1451" s="222" t="str">
        <f t="array" ref="D1451:D1452">{"SPELL/ALCHEMY";((IF(INDEX(ALLCLASSDATA,MATCH("CasterType",CLASSFEATUREHEADERS,0),MATCH(($A1452),CLASSNAMEHEADERS,0))="","",(IF(INDEX(ALLCLASSDATA,MATCH("CasterType",CLASSFEATUREHEADERS,0),MATCH(($A1452),CLASSNAMEHEADERS,0))="Alchemy","","Spells")))))}</f>
        <v>SPELL/ALCHEMY</v>
      </c>
      <c r="E1451" s="222" t="str">
        <f t="array" ref="E1451:E1452">{"SPELLLIST";(IF(D1452="Spells",((INDEX(ALLCLASSDATA,MATCH("CasterType",CLASSFEATUREHEADERS,0),MATCH(($A1452),CLASSNAMEHEADERS,0))) &amp; ":" &amp; (INDEX(ALLCLASSDATA,MATCH("SpellList",CLASSFEATUREHEADERS,0),MATCH(($A1452),CLASSNAMEHEADERS,0)))),""))}</f>
        <v>SPELLLIST</v>
      </c>
      <c r="F1451" s="223" t="str">
        <f t="array" ref="F1451:F1452">{"SLOT/LVL";(IF(D1446="Spells","Slot/LVL:",""))}</f>
        <v>SLOT/LVL</v>
      </c>
      <c r="G1451" s="223" t="str">
        <f t="array" ref="G1451:G1452">{"CANTRIPSLOTS";(INDEX(ALLCLASSDATA,MATCH("CantripSlots-L00",CLASSFEATUREHEADERS,0),MATCH($A1452,CLASSNAMEHEADERS,0)))}</f>
        <v>CANTRIPSLOTS</v>
      </c>
      <c r="H1451" s="223" t="str">
        <f t="array" ref="H1451:H1452">{"SPL01-L01";(INDEX(ALLCLASSDATA,MATCH("SPL01-L01",CLASSFEATUREHEADERS,0),MATCH($A1452,CLASSNAMEHEADERS,0)))}</f>
        <v>SPL01-L01</v>
      </c>
      <c r="I1451" s="223" t="str">
        <f t="array" ref="I1451:I1452">{"SPL01-L02";(INDEX(ALLCLASSDATA,MATCH("SPL01-L02",CLASSFEATUREHEADERS,0),MATCH($A1452,CLASSNAMEHEADERS,0)))}</f>
        <v>SPL01-L02</v>
      </c>
      <c r="J1451" s="223" t="str">
        <f t="array" ref="J1451:J1452">{"SPL02-L03";(INDEX(ALLCLASSDATA,MATCH("SPL02-L03",CLASSFEATUREHEADERS,0),MATCH($A1452,CLASSNAMEHEADERS,0)))}</f>
        <v>SPL02-L03</v>
      </c>
      <c r="K1451" s="223" t="str">
        <f t="array" ref="K1451:K1452">{"SPL02-L04";(INDEX(ALLCLASSDATA,MATCH("SPL02-L04",CLASSFEATUREHEADERS,0),MATCH($A1452,CLASSNAMEHEADERS,0)))}</f>
        <v>SPL02-L04</v>
      </c>
      <c r="L1451" s="223" t="str">
        <f t="array" ref="L1451:L1452">{"SPL03-L05";(INDEX(ALLCLASSDATA,MATCH("SPL03-L05",CLASSFEATUREHEADERS,0),MATCH($A1452,CLASSNAMEHEADERS,0)))}</f>
        <v>SPL03-L05</v>
      </c>
      <c r="M1451" s="223" t="str">
        <f t="array" ref="M1451:M1452">{"SPL03-L06";(INDEX(ALLCLASSDATA,MATCH("SPL03-L06",CLASSFEATUREHEADERS,0),MATCH($A1452,CLASSNAMEHEADERS,0)))}</f>
        <v>SPL03-L06</v>
      </c>
      <c r="N1451" s="223" t="str">
        <f t="array" ref="N1451:N1452">{"SPL04-L07";(INDEX(ALLCLASSDATA,MATCH("SPL04-L07",CLASSFEATUREHEADERS,0),MATCH($A1452,CLASSNAMEHEADERS,0)))}</f>
        <v>SPL04-L07</v>
      </c>
      <c r="O1451" s="223" t="str">
        <f t="array" ref="O1451:O1452">{"SPL04-L08";(INDEX(ALLCLASSDATA,MATCH("SPL04-L08",CLASSFEATUREHEADERS,0),MATCH($A1452,CLASSNAMEHEADERS,0)))}</f>
        <v>SPL04-L08</v>
      </c>
      <c r="P1451" s="223" t="str">
        <f t="array" ref="P1451:P1452">{"SPL05-L09";(INDEX(ALLCLASSDATA,MATCH("SPL05-L09",CLASSFEATUREHEADERS,0),MATCH($A1452,CLASSNAMEHEADERS,0)))}</f>
        <v>SPL05-L09</v>
      </c>
      <c r="Q1451" s="223" t="str">
        <f t="array" ref="Q1451:Q1452">{"SPL05-L10";(INDEX(ALLCLASSDATA,MATCH("SPL05-L10",CLASSFEATUREHEADERS,0),MATCH($A1452,CLASSNAMEHEADERS,0)))}</f>
        <v>SPL05-L10</v>
      </c>
      <c r="R1451" s="223" t="str">
        <f t="array" ref="R1451:R1452">{"SPL06-L11";(INDEX(ALLCLASSDATA,MATCH("SPL06-L11",CLASSFEATUREHEADERS,0),MATCH($A1452,CLASSNAMEHEADERS,0)))}</f>
        <v>SPL06-L11</v>
      </c>
      <c r="S1451" s="223" t="str">
        <f t="array" ref="S1451:S1452">{"SPL06-L12";(INDEX(ALLCLASSDATA,MATCH("SPL06-L12",CLASSFEATUREHEADERS,0),MATCH($A1452,CLASSNAMEHEADERS,0)))}</f>
        <v>SPL06-L12</v>
      </c>
      <c r="T1451" s="223" t="str">
        <f t="array" ref="T1451:T1452">{"SPL07-L13";(INDEX(ALLCLASSDATA,MATCH("SPL07-L13",CLASSFEATUREHEADERS,0),MATCH($A1452,CLASSNAMEHEADERS,0)))}</f>
        <v>SPL07-L13</v>
      </c>
      <c r="U1451" s="223" t="str">
        <f t="array" ref="U1451:U1452">{"SPL07-L14";(INDEX(ALLCLASSDATA,MATCH("SPL07-L14",CLASSFEATUREHEADERS,0),MATCH($A1452,CLASSNAMEHEADERS,0)))}</f>
        <v>SPL07-L14</v>
      </c>
      <c r="V1451" s="223" t="str">
        <f t="array" ref="V1451:V1452">{"SPL08-L15";(INDEX(ALLCLASSDATA,MATCH("SPL08-L15",CLASSFEATUREHEADERS,0),MATCH($A1452,CLASSNAMEHEADERS,0)))}</f>
        <v>SPL08-L15</v>
      </c>
      <c r="W1451" s="223" t="str">
        <f t="array" ref="W1451:W1452">{"SPL08-L16";(INDEX(ALLCLASSDATA,MATCH("SPL08-L16",CLASSFEATUREHEADERS,0),MATCH($A1452,CLASSNAMEHEADERS,0)))}</f>
        <v>SPL08-L16</v>
      </c>
      <c r="X1451" s="223" t="str">
        <f t="array" ref="X1451:X1452">{"SPL09-L17";(INDEX(ALLCLASSDATA,MATCH("SPL09-L17",CLASSFEATUREHEADERS,0),MATCH($A1452,CLASSNAMEHEADERS,0)))}</f>
        <v>SPL09-L17</v>
      </c>
      <c r="Y1451" s="223" t="str">
        <f t="array" ref="Y1451:Y1452">{"SPL09-L18";(INDEX(ALLCLASSDATA,MATCH("SPL09-L18",CLASSFEATUREHEADERS,0),MATCH($A1452,CLASSNAMEHEADERS,0)))}</f>
        <v>SPL09-L18</v>
      </c>
      <c r="Z1451" s="223" t="str">
        <f t="array" ref="Z1451:Z1452">{"SPL10-L19";(INDEX(ALLCLASSDATA,MATCH("SPL10-L19",CLASSFEATUREHEADERS,0),MATCH($A1452,CLASSNAMEHEADERS,0)))}</f>
        <v>SPL10-L19</v>
      </c>
      <c r="AA1451" s="223" t="str">
        <f t="array" ref="AA1451:AA1452">{"SPL10-L20";(INDEX(ALLCLASSDATA,MATCH("SPL10-L20",CLASSFEATUREHEADERS,0),MATCH($A1452,CLASSNAMEHEADERS,0)))}</f>
        <v>SPL10-L20</v>
      </c>
      <c r="AB1451" s="76"/>
      <c r="AC1451" s="76"/>
    </row>
    <row r="1452">
      <c r="A1452" s="48" t="s">
        <v>219</v>
      </c>
      <c r="B1452" s="48"/>
      <c r="C1452" s="48" t="s">
        <v>418</v>
      </c>
      <c r="D1452" s="48" t="s">
        <v>1901</v>
      </c>
      <c r="E1452" s="48" t="s">
        <v>1902</v>
      </c>
      <c r="F1452" s="278" t="s">
        <v>1907</v>
      </c>
      <c r="G1452" s="280" t="s">
        <v>1530</v>
      </c>
      <c r="H1452" s="50" t="s">
        <v>1538</v>
      </c>
      <c r="I1452" s="50" t="s">
        <v>1537</v>
      </c>
      <c r="J1452" s="50" t="s">
        <v>1538</v>
      </c>
      <c r="K1452" s="50" t="s">
        <v>1537</v>
      </c>
      <c r="L1452" s="50" t="s">
        <v>1538</v>
      </c>
      <c r="M1452" s="50" t="s">
        <v>1537</v>
      </c>
      <c r="N1452" s="50" t="s">
        <v>1538</v>
      </c>
      <c r="O1452" s="50" t="s">
        <v>1537</v>
      </c>
      <c r="P1452" s="50" t="s">
        <v>1538</v>
      </c>
      <c r="Q1452" s="50" t="s">
        <v>1537</v>
      </c>
      <c r="R1452" s="50" t="s">
        <v>1538</v>
      </c>
      <c r="S1452" s="50" t="s">
        <v>1537</v>
      </c>
      <c r="T1452" s="50" t="s">
        <v>1538</v>
      </c>
      <c r="U1452" s="50" t="s">
        <v>1537</v>
      </c>
      <c r="V1452" s="50" t="s">
        <v>1538</v>
      </c>
      <c r="W1452" s="50" t="s">
        <v>1537</v>
      </c>
      <c r="X1452" s="50" t="s">
        <v>1538</v>
      </c>
      <c r="Y1452" s="50" t="s">
        <v>1537</v>
      </c>
      <c r="Z1452" s="50" t="s">
        <v>1537</v>
      </c>
      <c r="AA1452" s="50"/>
      <c r="AB1452" s="278"/>
      <c r="AC1452" s="47"/>
    </row>
    <row r="1453" hidden="1">
      <c r="A1453" s="222" t="str">
        <f t="array" ref="A1453:A1454">{"FormulaRow43";(INDEX(CLASSLIST,A1368,1))}</f>
        <v>FormulaRow43</v>
      </c>
      <c r="B1453" s="77" t="s">
        <v>236</v>
      </c>
      <c r="C1453" s="222" t="str">
        <f t="array" ref="C1453:C1454">{"CLASSTYPE";((INDEX(ALLCLASSDATA,MATCH("ClassType",CLASSFEATUREHEADERS,0),MATCH($A1454,CLASSNAMEHEADERS,0))))}</f>
        <v>CLASSTYPE</v>
      </c>
      <c r="D1453" s="222" t="str">
        <f t="array" ref="D1453:D1454">{"SPELL/ALCHEMY";((IF(INDEX(ALLCLASSDATA,MATCH("CasterType",CLASSFEATUREHEADERS,0),MATCH(($A1454),CLASSNAMEHEADERS,0))="","",(IF(INDEX(ALLCLASSDATA,MATCH("CasterType",CLASSFEATUREHEADERS,0),MATCH(($A1454),CLASSNAMEHEADERS,0))="Alchemy","Alchemy","Spells")))))}</f>
        <v>SPELL/ALCHEMY</v>
      </c>
      <c r="E1453" s="222" t="str">
        <f t="array" ref="E1453:E1454">{"SPELLLIST";(IF(D1454="Spells",((INDEX(ALLCLASSDATA,MATCH("CasterType",CLASSFEATUREHEADERS,0),MATCH(($A1454),CLASSNAMEHEADERS,0))) &amp; ":" &amp; (INDEX(ALLCLASSDATA,MATCH("SpellList",CLASSFEATUREHEADERS,0),MATCH(($A1454),CLASSNAMEHEADERS,0)))),""))}</f>
        <v>SPELLLIST</v>
      </c>
      <c r="F1453" s="223" t="str">
        <f t="array" ref="F1453:F1454">{"LEARNED/LVL";(IF(D1454="","","Learn/LVL:"))}</f>
        <v>LEARNED/LVL</v>
      </c>
      <c r="G1453" s="223" t="str">
        <f t="array" ref="G1453:G1454">{"LEARNEDCANTRIPS";(INDEX(ALLCLASSDATA,MATCH("CantripsLearned-L00",CLASSFEATUREHEADERS,0),MATCH($A1454,CLASSNAMEHEADERS,0)))}</f>
        <v>LEARNEDCANTRIPS</v>
      </c>
      <c r="H1453" s="223" t="str">
        <f t="array" ref="H1453:H1454">{"LEARNED L01";(INDEX(ALLCLASSDATA,MATCH("Learned-L01",CLASSFEATUREHEADERS,0),MATCH($A1454,CLASSNAMEHEADERS,0)))}</f>
        <v>LEARNED L01</v>
      </c>
      <c r="I1453" s="223" t="str">
        <f t="array" ref="I1453:I1454">{"LEARNED L02";(INDEX(ALLCLASSDATA,MATCH("Learned-L02",CLASSFEATUREHEADERS,0),MATCH($A1454,CLASSNAMEHEADERS,0)))}</f>
        <v>LEARNED L02</v>
      </c>
      <c r="J1453" s="223" t="str">
        <f t="array" ref="J1453:J1454">{"LEARNED L03";(INDEX(ALLCLASSDATA,MATCH("Learned-L03",CLASSFEATUREHEADERS,0),MATCH($A1454,CLASSNAMEHEADERS,0)))}</f>
        <v>LEARNED L03</v>
      </c>
      <c r="K1453" s="223" t="str">
        <f t="array" ref="K1453:K1454">{"LEARNED L04";(INDEX(ALLCLASSDATA,MATCH("Learned-L04",CLASSFEATUREHEADERS,0),MATCH($A1454,CLASSNAMEHEADERS,0)))}</f>
        <v>LEARNED L04</v>
      </c>
      <c r="L1453" s="223" t="str">
        <f t="array" ref="L1453:L1454">{"LEARNED L05";(INDEX(ALLCLASSDATA,MATCH("Learned-L05",CLASSFEATUREHEADERS,0),MATCH($A1454,CLASSNAMEHEADERS,0)))}</f>
        <v>LEARNED L05</v>
      </c>
      <c r="M1453" s="223" t="str">
        <f t="array" ref="M1453:M1454">{"LEARNED L06";(INDEX(ALLCLASSDATA,MATCH("Learned-L06",CLASSFEATUREHEADERS,0),MATCH($A1454,CLASSNAMEHEADERS,0)))}</f>
        <v>LEARNED L06</v>
      </c>
      <c r="N1453" s="223" t="str">
        <f t="array" ref="N1453:N1454">{"LEARNED L07";(INDEX(ALLCLASSDATA,MATCH("Learned-L07",CLASSFEATUREHEADERS,0),MATCH($A1454,CLASSNAMEHEADERS,0)))}</f>
        <v>LEARNED L07</v>
      </c>
      <c r="O1453" s="223" t="str">
        <f t="array" ref="O1453:O1454">{"LEARNED L08";(INDEX(ALLCLASSDATA,MATCH("Learned-L08",CLASSFEATUREHEADERS,0),MATCH($A1454,CLASSNAMEHEADERS,0)))}</f>
        <v>LEARNED L08</v>
      </c>
      <c r="P1453" s="223" t="str">
        <f t="array" ref="P1453:P1454">{"LEARNED L09";(INDEX(ALLCLASSDATA,MATCH("Learned-L09",CLASSFEATUREHEADERS,0),MATCH($A1454,CLASSNAMEHEADERS,0)))}</f>
        <v>LEARNED L09</v>
      </c>
      <c r="Q1453" s="223" t="str">
        <f t="array" ref="Q1453:Q1454">{"LEARNED L10";(INDEX(ALLCLASSDATA,MATCH("Learned-L10",CLASSFEATUREHEADERS,0),MATCH($A1454,CLASSNAMEHEADERS,0)))}</f>
        <v>LEARNED L10</v>
      </c>
      <c r="R1453" s="223" t="str">
        <f t="array" ref="R1453:R1454">{"LEARNED L11";(INDEX(ALLCLASSDATA,MATCH("Learned-L11",CLASSFEATUREHEADERS,0),MATCH($A1454,CLASSNAMEHEADERS,0)))}</f>
        <v>LEARNED L11</v>
      </c>
      <c r="S1453" s="223" t="str">
        <f t="array" ref="S1453:S1454">{"LEARNED L12";(INDEX(ALLCLASSDATA,MATCH("Learned-L12",CLASSFEATUREHEADERS,0),MATCH($A1454,CLASSNAMEHEADERS,0)))}</f>
        <v>LEARNED L12</v>
      </c>
      <c r="T1453" s="223" t="str">
        <f t="array" ref="T1453:T1454">{"LEARNED L13";(INDEX(ALLCLASSDATA,MATCH("Learned-L13",CLASSFEATUREHEADERS,0),MATCH($A1454,CLASSNAMEHEADERS,0)))}</f>
        <v>LEARNED L13</v>
      </c>
      <c r="U1453" s="223" t="str">
        <f t="array" ref="U1453:U1454">{"LEARNED L14";(INDEX(ALLCLASSDATA,MATCH("Learned-L14",CLASSFEATUREHEADERS,0),MATCH($A1454,CLASSNAMEHEADERS,0)))}</f>
        <v>LEARNED L14</v>
      </c>
      <c r="V1453" s="223" t="str">
        <f t="array" ref="V1453:V1454">{"LEARNED L15";(INDEX(ALLCLASSDATA,MATCH("Learned-L15",CLASSFEATUREHEADERS,0),MATCH($A1454,CLASSNAMEHEADERS,0)))}</f>
        <v>LEARNED L15</v>
      </c>
      <c r="W1453" s="223" t="str">
        <f t="array" ref="W1453:W1454">{"LEARNED L16";(INDEX(ALLCLASSDATA,MATCH("Learned-L16",CLASSFEATUREHEADERS,0),MATCH($A1454,CLASSNAMEHEADERS,0)))}</f>
        <v>LEARNED L16</v>
      </c>
      <c r="X1453" s="223" t="str">
        <f t="array" ref="X1453:X1454">{"LEARNED L17";(INDEX(ALLCLASSDATA,MATCH("Learned-L17",CLASSFEATUREHEADERS,0),MATCH($A1454,CLASSNAMEHEADERS,0)))}</f>
        <v>LEARNED L17</v>
      </c>
      <c r="Y1453" s="223" t="str">
        <f t="array" ref="Y1453:Y1454">{"LEARNED L18";(INDEX(ALLCLASSDATA,MATCH("Learned-L18",CLASSFEATUREHEADERS,0),MATCH($A1454,CLASSNAMEHEADERS,0)))}</f>
        <v>LEARNED L18</v>
      </c>
      <c r="Z1453" s="223" t="str">
        <f t="array" ref="Z1453:Z1454">{"LEARNED L19";(INDEX(ALLCLASSDATA,MATCH("Learned-L19",CLASSFEATUREHEADERS,0),MATCH($A1454,CLASSNAMEHEADERS,0)))}</f>
        <v>LEARNED L19</v>
      </c>
      <c r="AA1453" s="223" t="str">
        <f t="array" ref="AA1453:AA1454">{"LEARNED L20";(INDEX(ALLCLASSDATA,MATCH("Learned-L20",CLASSFEATUREHEADERS,0),MATCH($A1454,CLASSNAMEHEADERS,0)))}</f>
        <v>LEARNED L20</v>
      </c>
      <c r="AB1453" s="76"/>
      <c r="AC1453" s="76"/>
    </row>
    <row r="1454">
      <c r="A1454" s="48" t="s">
        <v>219</v>
      </c>
      <c r="B1454" s="48"/>
      <c r="C1454" s="48" t="s">
        <v>418</v>
      </c>
      <c r="D1454" s="48" t="s">
        <v>1901</v>
      </c>
      <c r="E1454" s="48" t="s">
        <v>1902</v>
      </c>
      <c r="F1454" s="278" t="s">
        <v>1909</v>
      </c>
      <c r="G1454" s="280"/>
      <c r="H1454" s="278" t="s">
        <v>1573</v>
      </c>
      <c r="I1454" s="278" t="s">
        <v>1538</v>
      </c>
      <c r="J1454" s="278" t="s">
        <v>1573</v>
      </c>
      <c r="K1454" s="278" t="s">
        <v>1538</v>
      </c>
      <c r="L1454" s="278" t="s">
        <v>1573</v>
      </c>
      <c r="M1454" s="278" t="s">
        <v>1538</v>
      </c>
      <c r="N1454" s="278" t="s">
        <v>1573</v>
      </c>
      <c r="O1454" s="50" t="s">
        <v>1538</v>
      </c>
      <c r="P1454" s="278" t="s">
        <v>1573</v>
      </c>
      <c r="Q1454" s="278" t="s">
        <v>1538</v>
      </c>
      <c r="R1454" s="278" t="s">
        <v>1573</v>
      </c>
      <c r="S1454" s="278" t="s">
        <v>1538</v>
      </c>
      <c r="T1454" s="278" t="s">
        <v>1573</v>
      </c>
      <c r="U1454" s="278" t="s">
        <v>1538</v>
      </c>
      <c r="V1454" s="278" t="s">
        <v>1573</v>
      </c>
      <c r="W1454" s="278" t="s">
        <v>1538</v>
      </c>
      <c r="X1454" s="278" t="s">
        <v>1573</v>
      </c>
      <c r="Y1454" s="278" t="s">
        <v>1538</v>
      </c>
      <c r="Z1454" s="278" t="s">
        <v>1538</v>
      </c>
      <c r="AA1454" s="278"/>
      <c r="AB1454" s="278"/>
      <c r="AC1454" s="47"/>
    </row>
    <row r="1455" hidden="1">
      <c r="A1455" s="222" t="str">
        <f t="array" ref="A1455:A1456">{"FormulaRow44";(INDEX(CLASSLIST,A1368,1))}</f>
        <v>FormulaRow44</v>
      </c>
      <c r="B1455" s="77" t="s">
        <v>236</v>
      </c>
      <c r="C1455" s="222" t="str">
        <f t="array" ref="C1455:C1456">{"CLASSTYPE";((INDEX(ALLCLASSDATA,MATCH("ClassType",CLASSFEATUREHEADERS,0),MATCH($A1456,CLASSNAMEHEADERS,0))))}</f>
        <v>CLASSTYPE</v>
      </c>
      <c r="D1455" s="222" t="str">
        <f t="array" ref="D1455:D1456">{"SPELL/ALCHEMY";((IF(INDEX(ALLCLASSDATA,MATCH("CasterType",CLASSFEATUREHEADERS,0),MATCH(($A1456),CLASSNAMEHEADERS,0))="","",(IF(INDEX(ALLCLASSDATA,MATCH("CasterType",CLASSFEATUREHEADERS,0),MATCH(($A1456),CLASSNAMEHEADERS,0))="Alchemy","","Spells")))))}</f>
        <v>SPELL/ALCHEMY</v>
      </c>
      <c r="E1455" s="222" t="str">
        <f t="array" ref="E1455:E1456">{"SPELLLIST";(IF(D1456="Spells",((INDEX(ALLCLASSDATA,MATCH("CasterType",CLASSFEATUREHEADERS,0),MATCH(($A1456),CLASSNAMEHEADERS,0))) &amp; ":" &amp; (INDEX(ALLCLASSDATA,MATCH("SpellList",CLASSFEATUREHEADERS,0),MATCH(($A1456),CLASSNAMEHEADERS,0)))),""))}</f>
        <v>SPELLLIST</v>
      </c>
      <c r="F1455" s="223" t="str">
        <f t="array" ref="F1455:F1456">{"TOTALSLOTS";(IF(D1456="","","TotalSlots:"))}</f>
        <v>TOTALSLOTS</v>
      </c>
      <c r="G1455" s="223" t="str">
        <f t="array" ref="G1455:G1456">{"TOTALCANTRIPSLOTS";(G1452)}</f>
        <v>TOTALCANTRIPSLOTS</v>
      </c>
      <c r="H1455" s="223" t="str">
        <f t="array" ref="H1455:H1456">{"TOTALSLOTS L01";(H1452)}</f>
        <v>TOTALSLOTS L01</v>
      </c>
      <c r="I1455" s="223" t="str">
        <f t="array" ref="I1455:I1456">{"TOTALSLOTS L02";(H1456+I1452)}</f>
        <v>TOTALSLOTS L02</v>
      </c>
      <c r="J1455" s="223" t="str">
        <f t="array" ref="J1455:J1456">{"TOTALSLOTS L03";(I1456+J1452)}</f>
        <v>TOTALSLOTS L03</v>
      </c>
      <c r="K1455" s="223" t="str">
        <f t="array" ref="K1455:K1456">{"TOTALSLOTS L04";(J1456+K1452)}</f>
        <v>TOTALSLOTS L04</v>
      </c>
      <c r="L1455" s="223" t="str">
        <f t="array" ref="L1455:L1456">{"TOTALSLOTS L05";(K1456+L1452)}</f>
        <v>TOTALSLOTS L05</v>
      </c>
      <c r="M1455" s="223" t="str">
        <f t="array" ref="M1455:M1456">{"TOTALSLOTS L06";(L1456+M1452)}</f>
        <v>TOTALSLOTS L06</v>
      </c>
      <c r="N1455" s="223" t="str">
        <f t="array" ref="N1455:N1456">{"TOTALSLOTS L07";(M1456+N1452)}</f>
        <v>TOTALSLOTS L07</v>
      </c>
      <c r="O1455" s="223" t="str">
        <f t="array" ref="O1455:O1456">{"TOTALSLOTS L08";(N1456+O1452)}</f>
        <v>TOTALSLOTS L08</v>
      </c>
      <c r="P1455" s="223" t="str">
        <f t="array" ref="P1455:P1456">{"TOTALSLOTS L09";(O1456+P1452)}</f>
        <v>TOTALSLOTS L09</v>
      </c>
      <c r="Q1455" s="223" t="str">
        <f t="array" ref="Q1455:Q1456">{"TOTALSLOTS L10";(P1456+Q1452)}</f>
        <v>TOTALSLOTS L10</v>
      </c>
      <c r="R1455" s="223" t="str">
        <f t="array" ref="R1455:R1456">{"TOTALSLOTS L11";(Q1456+R1452)}</f>
        <v>TOTALSLOTS L11</v>
      </c>
      <c r="S1455" s="223" t="str">
        <f t="array" ref="S1455:S1456">{"TOTALSLOTS L12";(R1456+S1452)}</f>
        <v>TOTALSLOTS L12</v>
      </c>
      <c r="T1455" s="223" t="str">
        <f t="array" ref="T1455:T1456">{"TOTALSLOTS L13";(S1456+T1452)}</f>
        <v>TOTALSLOTS L13</v>
      </c>
      <c r="U1455" s="223" t="str">
        <f t="array" ref="U1455:U1456">{"TOTALSLOTS L14";(T1456+U1452)}</f>
        <v>TOTALSLOTS L14</v>
      </c>
      <c r="V1455" s="223" t="str">
        <f t="array" ref="V1455:V1456">{"TOTALSLOTS L15";(U1456+V1452)}</f>
        <v>TOTALSLOTS L15</v>
      </c>
      <c r="W1455" s="223" t="str">
        <f t="array" ref="W1455:W1456">{"TOTALSLOTS L16";(V1456+W1452)}</f>
        <v>TOTALSLOTS L16</v>
      </c>
      <c r="X1455" s="223" t="str">
        <f t="array" ref="X1455:X1456">{"TOTALSLOTS L17";(W1456+X1452)}</f>
        <v>TOTALSLOTS L17</v>
      </c>
      <c r="Y1455" s="223" t="str">
        <f t="array" ref="Y1455:Y1456">{"TOTALSLOTS L18";(X1456+Y1452)}</f>
        <v>TOTALSLOTS L18</v>
      </c>
      <c r="Z1455" s="223" t="str">
        <f t="array" ref="Z1455:Z1456">{"TOTALSLOTS L19";(Y1456+Z1452)}</f>
        <v>TOTALSLOTS L19</v>
      </c>
      <c r="AA1455" s="223" t="str">
        <f t="array" ref="AA1455:AA1456">{"TOTALSLOTS L20";(Z1456+AA1452)}</f>
        <v>TOTALSLOTS L20</v>
      </c>
      <c r="AB1455" s="76"/>
      <c r="AC1455" s="76"/>
    </row>
    <row r="1456">
      <c r="A1456" s="48" t="s">
        <v>219</v>
      </c>
      <c r="B1456" s="48"/>
      <c r="C1456" s="48" t="s">
        <v>418</v>
      </c>
      <c r="D1456" s="48" t="s">
        <v>1901</v>
      </c>
      <c r="E1456" s="48" t="s">
        <v>1902</v>
      </c>
      <c r="F1456" s="278" t="s">
        <v>1910</v>
      </c>
      <c r="G1456" s="280" t="s">
        <v>1530</v>
      </c>
      <c r="H1456" s="278" t="s">
        <v>1538</v>
      </c>
      <c r="I1456" s="278">
        <v>3.0</v>
      </c>
      <c r="J1456" s="278">
        <v>5.0</v>
      </c>
      <c r="K1456" s="278">
        <v>6.0</v>
      </c>
      <c r="L1456" s="278">
        <v>8.0</v>
      </c>
      <c r="M1456" s="278">
        <v>9.0</v>
      </c>
      <c r="N1456" s="278">
        <v>11.0</v>
      </c>
      <c r="O1456" s="278">
        <v>12.0</v>
      </c>
      <c r="P1456" s="278">
        <v>14.0</v>
      </c>
      <c r="Q1456" s="278">
        <v>15.0</v>
      </c>
      <c r="R1456" s="278">
        <v>17.0</v>
      </c>
      <c r="S1456" s="278">
        <v>18.0</v>
      </c>
      <c r="T1456" s="278">
        <v>20.0</v>
      </c>
      <c r="U1456" s="278">
        <v>21.0</v>
      </c>
      <c r="V1456" s="278">
        <v>23.0</v>
      </c>
      <c r="W1456" s="278">
        <v>24.0</v>
      </c>
      <c r="X1456" s="278">
        <v>26.0</v>
      </c>
      <c r="Y1456" s="278">
        <v>27.0</v>
      </c>
      <c r="Z1456" s="278">
        <v>28.0</v>
      </c>
      <c r="AA1456" s="278">
        <v>28.0</v>
      </c>
      <c r="AB1456" s="5"/>
      <c r="AC1456" s="47"/>
    </row>
    <row r="1457" hidden="1">
      <c r="A1457" s="222" t="str">
        <f t="array" ref="A1457:A1458">{"FormulaRow45";(INDEX(CLASSLIST,A1368,1))}</f>
        <v>FormulaRow45</v>
      </c>
      <c r="B1457" s="77" t="s">
        <v>236</v>
      </c>
      <c r="C1457" s="222" t="str">
        <f t="array" ref="C1457:C1458">{"CLASSTYPE";((INDEX(ALLCLASSDATA,MATCH("ClassType",CLASSFEATUREHEADERS,0),MATCH($A1458,CLASSNAMEHEADERS,0))))}</f>
        <v>CLASSTYPE</v>
      </c>
      <c r="D1457" s="222" t="str">
        <f t="array" ref="D1457:D1458">{"SPELL/ALCHEMY";((IF(INDEX(ALLCLASSDATA,MATCH("CasterType",CLASSFEATUREHEADERS,0),MATCH(($A1458),CLASSNAMEHEADERS,0))="","",(IF(INDEX(ALLCLASSDATA,MATCH("CasterType",CLASSFEATUREHEADERS,0),MATCH(($A1458),CLASSNAMEHEADERS,0))="Alchemy","Alchemy","Spells")))))}</f>
        <v>SPELL/ALCHEMY</v>
      </c>
      <c r="E1457" s="222" t="str">
        <f t="array" ref="E1457:E1458">{"SPELLLIST";(IF(D1458="Spells",((INDEX(ALLCLASSDATA,MATCH("CasterType",CLASSFEATUREHEADERS,0),MATCH(($A1458),CLASSNAMEHEADERS,0))) &amp; ":" &amp; (INDEX(ALLCLASSDATA,MATCH("SpellList",CLASSFEATUREHEADERS,0),MATCH(($A1458),CLASSNAMEHEADERS,0)))),""))}</f>
        <v>SPELLLIST</v>
      </c>
      <c r="F1457" s="223" t="str">
        <f t="array" ref="F1457:F1458">{"TOTALLEARNED";(IF(D1458="","","TotalLearned:"))}</f>
        <v>TOTALLEARNED</v>
      </c>
      <c r="G1457" s="223" t="str">
        <f t="array" ref="G1457:G1458">{"TOTALCANTRIPSLEARNED";(G1454)}</f>
        <v>TOTALCANTRIPSLEARNED</v>
      </c>
      <c r="H1457" s="223" t="str">
        <f t="array" ref="H1457:H1458">{"TOTALLEARNED L01";(H1454)}</f>
        <v>TOTALLEARNED L01</v>
      </c>
      <c r="I1457" s="223" t="str">
        <f t="array" ref="I1457:I1458">{"TOTALLEARNED L02";(H1458+I1454)}</f>
        <v>TOTALLEARNED L02</v>
      </c>
      <c r="J1457" s="223" t="str">
        <f t="array" ref="J1457:J1458">{"TOTALLEARNED L03";(I1458+J1454)}</f>
        <v>TOTALLEARNED L03</v>
      </c>
      <c r="K1457" s="223" t="str">
        <f t="array" ref="K1457:K1458">{"TOTALLEARNED L04";(J1458+K1454)}</f>
        <v>TOTALLEARNED L04</v>
      </c>
      <c r="L1457" s="223" t="str">
        <f t="array" ref="L1457:L1458">{"TOTALLEARNED L05";(K1458+L1454)}</f>
        <v>TOTALLEARNED L05</v>
      </c>
      <c r="M1457" s="223" t="str">
        <f t="array" ref="M1457:M1458">{"TOTALLEARNED L06";(L1458+M1454)}</f>
        <v>TOTALLEARNED L06</v>
      </c>
      <c r="N1457" s="223" t="str">
        <f t="array" ref="N1457:N1458">{"TOTALLEARNED L07";(M1458+N1454)}</f>
        <v>TOTALLEARNED L07</v>
      </c>
      <c r="O1457" s="223" t="str">
        <f t="array" ref="O1457:O1458">{"TOTALLEARNED L08";(N1458+O1454)}</f>
        <v>TOTALLEARNED L08</v>
      </c>
      <c r="P1457" s="223" t="str">
        <f t="array" ref="P1457:P1458">{"TOTALLEARNED L09";(O1458+P1454)}</f>
        <v>TOTALLEARNED L09</v>
      </c>
      <c r="Q1457" s="223" t="str">
        <f t="array" ref="Q1457:Q1458">{"TOTALLEARNED L10";(P1458+Q1454)}</f>
        <v>TOTALLEARNED L10</v>
      </c>
      <c r="R1457" s="223" t="str">
        <f t="array" ref="R1457:R1458">{"TOTALLEARNED L11";(Q1458+R1454)}</f>
        <v>TOTALLEARNED L11</v>
      </c>
      <c r="S1457" s="223" t="str">
        <f t="array" ref="S1457:S1458">{"TOTALLEARNED L12";(R1458+S1454)}</f>
        <v>TOTALLEARNED L12</v>
      </c>
      <c r="T1457" s="223" t="str">
        <f t="array" ref="T1457:T1458">{"TOTALLEARNED L13";(S1458+T1454)}</f>
        <v>TOTALLEARNED L13</v>
      </c>
      <c r="U1457" s="223" t="str">
        <f t="array" ref="U1457:U1458">{"TOTALLEARNED L14";(T1458+U1454)}</f>
        <v>TOTALLEARNED L14</v>
      </c>
      <c r="V1457" s="223" t="str">
        <f t="array" ref="V1457:V1458">{"TOTALLEARNED L15";(U1458+V1454)}</f>
        <v>TOTALLEARNED L15</v>
      </c>
      <c r="W1457" s="223" t="str">
        <f t="array" ref="W1457:W1458">{"TOTALLEARNED L16";(V1458+W1454)}</f>
        <v>TOTALLEARNED L16</v>
      </c>
      <c r="X1457" s="223" t="str">
        <f t="array" ref="X1457:X1458">{"TOTALLEARNED L17";(W1458+X1454)}</f>
        <v>TOTALLEARNED L17</v>
      </c>
      <c r="Y1457" s="223" t="str">
        <f t="array" ref="Y1457:Y1458">{"TOTALLEARNED L18";(X1458+Y1454)}</f>
        <v>TOTALLEARNED L18</v>
      </c>
      <c r="Z1457" s="223" t="str">
        <f t="array" ref="Z1457:Z1458">{"TOTALLEARNED L19";(Y1458+Z1454)}</f>
        <v>TOTALLEARNED L19</v>
      </c>
      <c r="AA1457" s="223" t="str">
        <f t="array" ref="AA1457:AA1458">{"TOTALLEARNED L20";(Z1458+AA1454)}</f>
        <v>TOTALLEARNED L20</v>
      </c>
      <c r="AB1457" s="76"/>
      <c r="AC1457" s="76"/>
    </row>
    <row r="1458">
      <c r="A1458" s="97" t="s">
        <v>219</v>
      </c>
      <c r="B1458" s="97"/>
      <c r="C1458" s="97" t="s">
        <v>418</v>
      </c>
      <c r="D1458" s="97" t="s">
        <v>1901</v>
      </c>
      <c r="E1458" s="97" t="s">
        <v>1902</v>
      </c>
      <c r="F1458" s="281" t="s">
        <v>1911</v>
      </c>
      <c r="G1458" s="282"/>
      <c r="H1458" s="278" t="s">
        <v>1573</v>
      </c>
      <c r="I1458" s="278">
        <v>6.0</v>
      </c>
      <c r="J1458" s="278">
        <v>10.0</v>
      </c>
      <c r="K1458" s="278">
        <v>12.0</v>
      </c>
      <c r="L1458" s="278">
        <v>16.0</v>
      </c>
      <c r="M1458" s="278">
        <v>18.0</v>
      </c>
      <c r="N1458" s="278">
        <v>22.0</v>
      </c>
      <c r="O1458" s="278">
        <v>24.0</v>
      </c>
      <c r="P1458" s="278">
        <v>28.0</v>
      </c>
      <c r="Q1458" s="278">
        <v>30.0</v>
      </c>
      <c r="R1458" s="278">
        <v>34.0</v>
      </c>
      <c r="S1458" s="278">
        <v>36.0</v>
      </c>
      <c r="T1458" s="278">
        <v>40.0</v>
      </c>
      <c r="U1458" s="278">
        <v>42.0</v>
      </c>
      <c r="V1458" s="278">
        <v>46.0</v>
      </c>
      <c r="W1458" s="278">
        <v>48.0</v>
      </c>
      <c r="X1458" s="278">
        <v>52.0</v>
      </c>
      <c r="Y1458" s="278">
        <v>54.0</v>
      </c>
      <c r="Z1458" s="278">
        <v>56.0</v>
      </c>
      <c r="AA1458" s="278">
        <v>56.0</v>
      </c>
      <c r="AB1458" s="5"/>
      <c r="AC1458" s="47"/>
    </row>
    <row r="1459">
      <c r="A1459" s="55">
        <f>VLOOKUP($C1459, CLASSNUMBERFINDER, 2, false)</f>
        <v>17</v>
      </c>
      <c r="B1459" s="58"/>
      <c r="C1459" s="70" t="s">
        <v>221</v>
      </c>
      <c r="D1459" s="71"/>
      <c r="E1459" s="71"/>
      <c r="F1459" s="71"/>
      <c r="G1459" s="72"/>
      <c r="H1459" s="71"/>
      <c r="I1459" s="71"/>
      <c r="J1459" s="71"/>
      <c r="K1459" s="71"/>
      <c r="L1459" s="71"/>
      <c r="M1459" s="71"/>
      <c r="N1459" s="71"/>
      <c r="O1459" s="71"/>
      <c r="P1459" s="71"/>
      <c r="Q1459" s="71"/>
      <c r="R1459" s="71"/>
      <c r="S1459" s="71"/>
      <c r="T1459" s="71"/>
      <c r="U1459" s="71"/>
      <c r="V1459" s="71"/>
      <c r="W1459" s="71"/>
      <c r="X1459" s="71"/>
      <c r="Y1459" s="71"/>
      <c r="Z1459" s="71"/>
      <c r="AA1459" s="71"/>
      <c r="AB1459" s="71"/>
      <c r="AC1459" s="73"/>
    </row>
    <row r="1460" hidden="1">
      <c r="A1460" s="76" t="str">
        <f t="array" ref="A1460:A1461">{"FormulaRow01";(INDEX(CLASSLIST,A1459,1))}</f>
        <v>FormulaRow01</v>
      </c>
      <c r="B1460" s="77" t="s">
        <v>236</v>
      </c>
      <c r="C1460" s="76" t="str">
        <f t="array" ref="C1460:C1461">{"CLASSTYPE";(INDEX(ALLCLASSDATA,MATCH("ClassType",CLASSFEATUREHEADERS,0),MATCH($A1461,CLASSNAMEHEADERS,0)))}</f>
        <v>CLASSTYPE</v>
      </c>
      <c r="D1460" s="81" t="str">
        <f t="array" ref="D1460:D1461">{"TOTAL";("Total: " &amp; H1461+J1461+L1461+N1461+P1461+R1461+T1461+V1461+X1461+Z1461)}</f>
        <v>TOTAL</v>
      </c>
      <c r="E1460" s="81" t="str">
        <f t="array" ref="E1460:E1461">{"BALANCE";(IF((H1461+J1461+L1461+N1461+P1461+R1461+T1461+V1461+X1461+Z1461)=2100,"(balanced)",(IF((H1461+J1461+L1461+N1461+P1461+R1461+T1461+V1461+X1461+Z1461)&gt;2100,"OVERBUDGET: ","UNDERBUDGET: ")) &amp; (H1461+J1461+L1461+N1461+P1461+R1461+T1461+V1461+X1461+Z1461-2100)))}</f>
        <v>BALANCE</v>
      </c>
      <c r="F1460" s="81"/>
      <c r="G1460" s="81"/>
      <c r="H1460" s="81" t="str">
        <f t="array" ref="H1460:H1461">{"SUM LVL0/1/2";((SUMIF(F1462:I1541,"&lt;&gt;#REF!")+(SUMIF(J1462:AA1469,"&lt;&gt;#REF!"))))}</f>
        <v>SUM LVL0/1/2</v>
      </c>
      <c r="I1460" s="81"/>
      <c r="J1460" s="81" t="str">
        <f t="array" ref="J1460:J1461">{"SUM LVL3/4";(SUMIF(J1470:K1541,"&lt;&gt;#REF!"))}</f>
        <v>SUM LVL3/4</v>
      </c>
      <c r="K1460" s="81"/>
      <c r="L1460" s="81" t="str">
        <f t="array" ref="L1460:L1461">{"SUM LVL5/6";(SUMIF(L1470:M1541,"&lt;&gt;#REF!"))}</f>
        <v>SUM LVL5/6</v>
      </c>
      <c r="M1460" s="81"/>
      <c r="N1460" s="81" t="str">
        <f t="array" ref="N1460:N1461">{"SUM LVL7/8";(SUMIF(N1470:O1541,"&lt;&gt;#REF!"))}</f>
        <v>SUM LVL7/8</v>
      </c>
      <c r="O1460" s="81"/>
      <c r="P1460" s="81" t="str">
        <f t="array" ref="P1460:P1461">{"SUM LVL9/10";(SUMIF(P1470:Q1541,"&lt;&gt;#REF!"))}</f>
        <v>SUM LVL9/10</v>
      </c>
      <c r="Q1460" s="81"/>
      <c r="R1460" s="81" t="str">
        <f t="array" ref="R1460:R1461">{"SUM LVL11/12";(SUMIF(R1470:S1541,"&lt;&gt;#REF!"))}</f>
        <v>SUM LVL11/12</v>
      </c>
      <c r="S1460" s="81"/>
      <c r="T1460" s="81" t="str">
        <f t="array" ref="T1460:T1461">{"SUM LVL13/14";(SUMIF(T1470:U1541,"&lt;&gt;#REF!"))}</f>
        <v>SUM LVL13/14</v>
      </c>
      <c r="U1460" s="81"/>
      <c r="V1460" s="81" t="str">
        <f t="array" ref="V1460:V1461">{"SUM LVL15/16";(SUMIF(V1470:W1541,"&lt;&gt;#REF!"))}</f>
        <v>SUM LVL15/16</v>
      </c>
      <c r="W1460" s="81"/>
      <c r="X1460" s="81" t="str">
        <f t="array" ref="X1460:X1461">{"SUM LVL17/18";(SUMIF(X1470:Y1541,"&lt;&gt;#REF!"))}</f>
        <v>SUM LVL17/18</v>
      </c>
      <c r="Y1460" s="81"/>
      <c r="Z1460" s="81" t="str">
        <f t="array" ref="Z1460:Z1461">{"SUM LVL19/20";(SUMIF(Z1470:AA1541,"&lt;&gt;#REF!"))}</f>
        <v>SUM LVL19/20</v>
      </c>
      <c r="AA1460" s="81"/>
      <c r="AB1460" s="76"/>
      <c r="AC1460" s="76" t="str">
        <f t="array" ref="AC1460:AC1461">{"SUM ROWTOTALS";(SUMIF(AC1463:AC1549,"&lt;&gt;#REF!"))}</f>
        <v>SUM ROWTOTALS</v>
      </c>
    </row>
    <row r="1461">
      <c r="A1461" s="48" t="s">
        <v>221</v>
      </c>
      <c r="B1461" s="48"/>
      <c r="C1461" s="48" t="s">
        <v>418</v>
      </c>
      <c r="D1461" s="91" t="s">
        <v>416</v>
      </c>
      <c r="E1461" s="92" t="s">
        <v>419</v>
      </c>
      <c r="F1461" s="91"/>
      <c r="G1461" s="93"/>
      <c r="H1461" s="92">
        <v>510.0</v>
      </c>
      <c r="I1461" s="92"/>
      <c r="J1461" s="92">
        <v>140.0</v>
      </c>
      <c r="K1461" s="92"/>
      <c r="L1461" s="92">
        <v>60.0</v>
      </c>
      <c r="M1461" s="92"/>
      <c r="N1461" s="92">
        <v>110.0</v>
      </c>
      <c r="O1461" s="92"/>
      <c r="P1461" s="92">
        <v>220.0</v>
      </c>
      <c r="Q1461" s="92"/>
      <c r="R1461" s="92">
        <v>270.0</v>
      </c>
      <c r="S1461" s="92"/>
      <c r="T1461" s="92">
        <v>180.0</v>
      </c>
      <c r="U1461" s="92"/>
      <c r="V1461" s="92">
        <v>170.0</v>
      </c>
      <c r="W1461" s="92"/>
      <c r="X1461" s="92">
        <v>60.0</v>
      </c>
      <c r="Y1461" s="92"/>
      <c r="Z1461" s="92">
        <v>380.0</v>
      </c>
      <c r="AA1461" s="92"/>
      <c r="AB1461" s="5"/>
      <c r="AC1461" s="47">
        <v>2100.0</v>
      </c>
    </row>
    <row r="1462" hidden="1">
      <c r="A1462" s="76" t="str">
        <f t="array" ref="A1462:A1463">{"FormulaRow02";(INDEX(CLASSLIST,A1459,1))}</f>
        <v>FormulaRow02</v>
      </c>
      <c r="B1462" s="77" t="s">
        <v>236</v>
      </c>
      <c r="C1462" s="76" t="str">
        <f t="array" ref="C1462:C1463">{"CLASSTYPE";((INDEX(ALLCLASSDATA,MATCH("ClassType",CLASSFEATUREHEADERS,0),MATCH($A1463,CLASSNAMEHEADERS,0))))}</f>
        <v>CLASSTYPE</v>
      </c>
      <c r="D1462" s="81" t="str">
        <f t="array" ref="D1462:D1463">{"FEATURES";"Features"}</f>
        <v>FEATURES</v>
      </c>
      <c r="E1462" s="81" t="str">
        <f t="array" ref="E1462:E1463">{"INITIALFEATURES";"Initial Features"}</f>
        <v>INITIALFEATURES</v>
      </c>
      <c r="F1462" s="81" t="str">
        <f t="array" ref="F1462:F1463">{"KEY";"Key"}</f>
        <v>KEY</v>
      </c>
      <c r="G1462" s="81" t="str">
        <f t="array" ref="G1462:G1463">{"HP";"HP"}</f>
        <v>HP</v>
      </c>
      <c r="H1462" s="81" t="str">
        <f t="array" ref="H1462:H1463">{"CLASSFEATL01";"ClassFeatL01"}</f>
        <v>CLASSFEATL01</v>
      </c>
      <c r="I1462" s="81" t="str">
        <f t="array" ref="I1462:I1463">{"SHIELDBLOCKL01";"ShieldBlockL01"}</f>
        <v>SHIELDBLOCKL01</v>
      </c>
      <c r="J1462" s="81" t="str">
        <f t="array" ref="J1462:J1463">{"INITIALSKILLS";"InitialSkills"}</f>
        <v>INITIALSKILLS</v>
      </c>
      <c r="K1462" s="81" t="str">
        <f t="array" ref="K1462:K1463">{"SUBCLASSSKILLS";"SubclassSkills"}</f>
        <v>SUBCLASSSKILLS</v>
      </c>
      <c r="L1462" s="81" t="str">
        <f t="array" ref="L1462:L1463">{"GRANTEDSKILLS";"GrantedSkills"}</f>
        <v>GRANTEDSKILLS</v>
      </c>
      <c r="M1462" s="81"/>
      <c r="N1462" s="81"/>
      <c r="O1462" s="81"/>
      <c r="P1462" s="81" t="str">
        <f t="array" ref="P1462:P1463">{"FOCUSSPELLS";"FocusSpells:"}</f>
        <v>FOCUSSPELLS</v>
      </c>
      <c r="Q1462" s="81" t="str">
        <f t="array" ref="Q1462:Q1463">{"FOCUSSPELL1-L00";((INDEX(ALLCLASSDATA,MATCH("FocusSpell1-L00",CLASSFEATUREHEADERS,0),MATCH(($A1463),CLASSNAMEHEADERS,0))))}</f>
        <v>FOCUSSPELL1-L00</v>
      </c>
      <c r="R1462" s="81" t="str">
        <f t="array" ref="R1462:R1463">{"FOCUSSPELL2-L00";((INDEX(ALLCLASSDATA,MATCH("FocusSpell2-L00",CLASSFEATUREHEADERS,0),MATCH(($A1463),CLASSNAMEHEADERS,0))))}</f>
        <v>FOCUSSPELL2-L00</v>
      </c>
      <c r="S1462" s="81" t="str">
        <f t="array" ref="S1462:S1463">{"FOCUSSPELL3-L00";((INDEX(ALLCLASSDATA,MATCH("FocusSpell3-L00",CLASSFEATUREHEADERS,0),MATCH(($A1463),CLASSNAMEHEADERS,0))))}</f>
        <v>FOCUSSPELL3-L00</v>
      </c>
      <c r="T1462" s="81" t="str">
        <f t="array" ref="T1462:T1463">{"FOCUSSPELL4-L00";((INDEX(ALLCLASSDATA,MATCH("FocusSpell4-L00",CLASSFEATUREHEADERS,0),MATCH(($A1463),CLASSNAMEHEADERS,0))))}</f>
        <v>FOCUSSPELL4-L00</v>
      </c>
      <c r="U1462" s="81" t="str">
        <f t="array" ref="U1462:U1463">{"FOCUSSPELL5-L00";((INDEX(ALLCLASSDATA,MATCH("FocusSpell5-L00",CLASSFEATUREHEADERS,0),MATCH(($A1463),CLASSNAMEHEADERS,0))))}</f>
        <v>FOCUSSPELL5-L00</v>
      </c>
      <c r="V1462" s="81"/>
      <c r="W1462" s="81"/>
      <c r="X1462" s="81"/>
      <c r="Y1462" s="81"/>
      <c r="Z1462" s="81"/>
      <c r="AA1462" s="81"/>
      <c r="AB1462" s="76"/>
      <c r="AC1462" s="76"/>
    </row>
    <row r="1463">
      <c r="A1463" s="48" t="s">
        <v>221</v>
      </c>
      <c r="B1463" s="48"/>
      <c r="C1463" s="48" t="s">
        <v>418</v>
      </c>
      <c r="D1463" s="48" t="s">
        <v>467</v>
      </c>
      <c r="E1463" s="48" t="s">
        <v>468</v>
      </c>
      <c r="F1463" s="48" t="s">
        <v>469</v>
      </c>
      <c r="G1463" s="114" t="s">
        <v>15</v>
      </c>
      <c r="H1463" s="8" t="s">
        <v>451</v>
      </c>
      <c r="I1463" s="8" t="s">
        <v>463</v>
      </c>
      <c r="J1463" s="8" t="s">
        <v>473</v>
      </c>
      <c r="K1463" s="8" t="s">
        <v>474</v>
      </c>
      <c r="L1463" s="8" t="s">
        <v>475</v>
      </c>
      <c r="M1463" s="8"/>
      <c r="N1463" s="8"/>
      <c r="O1463" s="8"/>
      <c r="P1463" s="8" t="s">
        <v>476</v>
      </c>
      <c r="Q1463" s="116" t="s">
        <v>1598</v>
      </c>
      <c r="R1463" s="116" t="s">
        <v>1607</v>
      </c>
      <c r="S1463" s="116"/>
      <c r="T1463" s="116"/>
      <c r="U1463" s="116"/>
      <c r="V1463" s="8"/>
      <c r="W1463" s="8"/>
      <c r="X1463" s="8"/>
      <c r="Y1463" s="8"/>
      <c r="Z1463" s="5"/>
      <c r="AA1463" s="5"/>
      <c r="AB1463" s="5"/>
      <c r="AC1463" s="47"/>
    </row>
    <row r="1464" hidden="1">
      <c r="A1464" s="76" t="str">
        <f t="array" ref="A1464:A1465">{"FormulaRow03";(INDEX(CLASSLIST,A1459,1))}</f>
        <v>FormulaRow03</v>
      </c>
      <c r="B1464" s="77" t="s">
        <v>236</v>
      </c>
      <c r="C1464" s="76" t="str">
        <f t="array" ref="C1464:C1465">{"CLASSTYPE";((INDEX(ALLCLASSDATA,MATCH("ClassType",CLASSFEATUREHEADERS,0),MATCH($A1465,CLASSNAMEHEADERS,0))))}</f>
        <v>CLASSTYPE</v>
      </c>
      <c r="D1464" s="76" t="str">
        <f t="array" ref="D1464:D1465">{"FEATUREPTS";"FeaturesPts"}</f>
        <v>FEATUREPTS</v>
      </c>
      <c r="E1464" s="76" t="str">
        <f t="array" ref="E1464:E1465">{"INITIALFEATURES";"Initial Features"}</f>
        <v>INITIALFEATURES</v>
      </c>
      <c r="F1464" s="76" t="str">
        <f t="array" ref="F1464:F1465">{"KEYABILITY";((INDEX(ALLCLASSDATA,MATCH("KEYABILITY",CLASSFEATUREHEADERS,0),MATCH($A1465,CLASSNAMEHEADERS,0))))}</f>
        <v>KEYABILITY</v>
      </c>
      <c r="G1464" s="76" t="str">
        <f t="array" ref="G1464:G1465">{"HP";((INDEX(ALLCLASSDATA,MATCH("HP",CLASSFEATUREHEADERS,0),MATCH(($A1465 &amp; "Points"),CLASSNAMEHEADERS,0))))}</f>
        <v>HP</v>
      </c>
      <c r="H1464" s="76" t="str">
        <f t="array" ref="H1464:H1465">{"CLASSFEATL01";((INDEX(ALLCLASSDATA,MATCH("ClassFeatL01",CLASSFEATUREHEADERS,0),MATCH(($A1465 &amp; "Points"),CLASSNAMEHEADERS,0))))}</f>
        <v>CLASSFEATL01</v>
      </c>
      <c r="I1464" s="76" t="str">
        <f t="array" ref="I1464:I1465">{"SHIELDBLOCKL01";((INDEX(ALLCLASSDATA,MATCH("ShieldBlockL01",CLASSFEATUREHEADERS,0),MATCH(($A1465 &amp; "Points"),CLASSNAMEHEADERS,0))))}</f>
        <v>SHIELDBLOCKL01</v>
      </c>
      <c r="J1464" s="76" t="str">
        <f t="array" ref="J1464:J1465">{"INITIALSKILLINCREASES";((INDEX(ALLCLASSDATA,MATCH("InitialSkillIncreases",CLASSFEATUREHEADERS,0),MATCH(($A1465 &amp; "Points"),CLASSNAMEHEADERS,0))))}</f>
        <v>INITIALSKILLINCREASES</v>
      </c>
      <c r="K1464" s="76" t="str">
        <f t="array" ref="K1464:K1465">{"SUBCLASSSKILLINCREASES";((INDEX(ALLCLASSDATA,MATCH("SubclassSkillIncreases",CLASSFEATUREHEADERS,0),MATCH(($A1465 &amp; "Points"),CLASSNAMEHEADERS,0))))}</f>
        <v>SUBCLASSSKILLINCREASES</v>
      </c>
      <c r="L1464" s="76" t="str">
        <f t="array" ref="L1464:L1465">{"GRANTEDSKILLS";(((INDEX(ALLCLASSDATA,MATCH("SkillsGrantedTotal",CLASSFEATUREHEADERS,0),MATCH(($A1465 &amp; "Points"),CLASSNAMEHEADERS,0)))-(INDEX(ALLCLASSDATA,MATCH("InitialSkillIncreases",CLASSFEATUREHEADERS,0),MATCH(($A1465 &amp; "Points"),CLASSNAMEHEADERS,0)))-(INDEX(ALLCLASSDATA,MATCH("SubclassSkillIncreases",CLASSFEATUREHEADERS,0),MATCH(($A1465 &amp; "Points"),CLASSNAMEHEADERS,0)))))}</f>
        <v>GRANTEDSKILLS</v>
      </c>
      <c r="M1464" s="76"/>
      <c r="N1464" s="76"/>
      <c r="O1464" s="76"/>
      <c r="P1464" s="76"/>
      <c r="Q1464" s="76" t="str">
        <f t="array" ref="Q1464:Q1465">{"FOCUSSPELL1-L00";((INDEX(ALLCLASSDATA,MATCH("FocusSpell1-L00",CLASSFEATUREHEADERS,0),MATCH(($A1465 &amp; "Points"),CLASSNAMEHEADERS,0))))}</f>
        <v>FOCUSSPELL1-L00</v>
      </c>
      <c r="R1464" s="76" t="str">
        <f t="array" ref="R1464:R1465">{"FOCUSSPELL2-L00";((INDEX(ALLCLASSDATA,MATCH("FocusSpell2-L00",CLASSFEATUREHEADERS,0),MATCH(($A1465 &amp; "Points"),CLASSNAMEHEADERS,0))))}</f>
        <v>FOCUSSPELL2-L00</v>
      </c>
      <c r="S1464" s="76" t="str">
        <f t="array" ref="S1464:S1465">{"FOCUSSPELL3-L00";((INDEX(ALLCLASSDATA,MATCH("FocusSpell3-L00",CLASSFEATUREHEADERS,0),MATCH(($A1465 &amp; "Points"),CLASSNAMEHEADERS,0))))}</f>
        <v>FOCUSSPELL3-L00</v>
      </c>
      <c r="T1464" s="76" t="str">
        <f t="array" ref="T1464:T1465">{"FOCUSSPELL4-L00";((INDEX(ALLCLASSDATA,MATCH("FocusSpell4-L00",CLASSFEATUREHEADERS,0),MATCH(($A1465 &amp; "Points"),CLASSNAMEHEADERS,0))))}</f>
        <v>FOCUSSPELL4-L00</v>
      </c>
      <c r="U1464" s="76" t="str">
        <f t="array" ref="U1464:U1465">{"FOCUSSPELL5-L00";((INDEX(ALLCLASSDATA,MATCH("FocusSpell5-L00",CLASSFEATUREHEADERS,0),MATCH(($A1465 &amp; "Points"),CLASSNAMEHEADERS,0))))}</f>
        <v>FOCUSSPELL5-L00</v>
      </c>
      <c r="V1464" s="76"/>
      <c r="W1464" s="76"/>
      <c r="X1464" s="76"/>
      <c r="Y1464" s="76"/>
      <c r="Z1464" s="76"/>
      <c r="AA1464" s="76"/>
      <c r="AB1464" s="76"/>
      <c r="AC1464" s="76" t="str">
        <f t="array" ref="AC1464:AC1465">{"FEATUREPTS TOTAL";(sum(G1465:AA1465))}</f>
        <v>FEATUREPTS TOTAL</v>
      </c>
    </row>
    <row r="1465">
      <c r="A1465" s="48" t="s">
        <v>221</v>
      </c>
      <c r="B1465" s="48"/>
      <c r="C1465" s="48" t="s">
        <v>418</v>
      </c>
      <c r="D1465" s="97" t="s">
        <v>559</v>
      </c>
      <c r="E1465" s="97" t="s">
        <v>468</v>
      </c>
      <c r="F1465" s="97" t="s">
        <v>264</v>
      </c>
      <c r="G1465" s="132">
        <v>80.0</v>
      </c>
      <c r="H1465" s="98">
        <v>10.0</v>
      </c>
      <c r="I1465" s="98" t="s">
        <v>603</v>
      </c>
      <c r="J1465" s="98">
        <v>20.0</v>
      </c>
      <c r="K1465" s="98"/>
      <c r="L1465" s="98">
        <v>10.0</v>
      </c>
      <c r="M1465" s="98"/>
      <c r="N1465" s="98"/>
      <c r="O1465" s="98"/>
      <c r="P1465" s="98"/>
      <c r="Q1465" s="98">
        <v>50.0</v>
      </c>
      <c r="R1465" s="98">
        <v>70.0</v>
      </c>
      <c r="S1465" s="98"/>
      <c r="T1465" s="98"/>
      <c r="U1465" s="98"/>
      <c r="V1465" s="98"/>
      <c r="W1465" s="98"/>
      <c r="X1465" s="98"/>
      <c r="Y1465" s="98"/>
      <c r="Z1465" s="98"/>
      <c r="AA1465" s="98"/>
      <c r="AB1465" s="5"/>
      <c r="AC1465" s="47">
        <v>240.0</v>
      </c>
    </row>
    <row r="1466" hidden="1">
      <c r="A1466" s="76" t="str">
        <f t="array" ref="A1466:A1467">{"FormulaRow04";(INDEX(CLASSLIST,A1459,1))}</f>
        <v>FormulaRow04</v>
      </c>
      <c r="B1466" s="77" t="s">
        <v>236</v>
      </c>
      <c r="C1466" s="76" t="str">
        <f t="array" ref="C1466:C1467">{"CLASSTYPE";((INDEX(ALLCLASSDATA,MATCH("ClassType",CLASSFEATUREHEADERS,0),MATCH($A1467,CLASSNAMEHEADERS,0))))}</f>
        <v>CLASSTYPE</v>
      </c>
      <c r="D1466" s="81" t="str">
        <f t="array" ref="D1466:D1467">{"INITIALFEATURES";"InitialFeatures"}</f>
        <v>INITIALFEATURES</v>
      </c>
      <c r="E1466" s="81" t="str">
        <f t="array" ref="E1466:E1467">{"CLASS/SUBCLASSFEATURES";"Class/Subclass Features"}</f>
        <v>CLASS/SUBCLASSFEATURES</v>
      </c>
      <c r="F1466" s="81"/>
      <c r="G1466" s="136"/>
      <c r="H1466" s="81" t="str">
        <f t="array" ref="H1466:H1467">{"CLASSINITIALABILITY1-L00";((INDEX(ALLCLASSDATA,MATCH("ClassInitialAbility1-L00",CLASSFEATUREHEADERS,0),MATCH(($A1467),CLASSNAMEHEADERS,0))))}</f>
        <v>CLASSINITIALABILITY1-L00</v>
      </c>
      <c r="I1466" s="81" t="str">
        <f t="array" ref="I1466:I1467">{"CLASSINITIALABILITY2-L00";((INDEX(ALLCLASSDATA,MATCH("ClassInitialAbility2-L00",CLASSFEATUREHEADERS,0),MATCH(($A1467),CLASSNAMEHEADERS,0))))}</f>
        <v>CLASSINITIALABILITY2-L00</v>
      </c>
      <c r="J1466" s="81" t="str">
        <f t="array" ref="J1466:J1467">{"CLASSINITIALABILITY3-L00";((INDEX(ALLCLASSDATA,MATCH("ClassInitialAbility3-L00",CLASSFEATUREHEADERS,0),MATCH(($A1467),CLASSNAMEHEADERS,0))))}</f>
        <v>CLASSINITIALABILITY3-L00</v>
      </c>
      <c r="K1466" s="81" t="str">
        <f t="array" ref="K1466:K1467">{"CLASSINITIALABILITY4-L00";((INDEX(ALLCLASSDATA,MATCH("ClassInitialAbility4-L00",CLASSFEATUREHEADERS,0),MATCH(($A1467),CLASSNAMEHEADERS,0))))}</f>
        <v>CLASSINITIALABILITY4-L00</v>
      </c>
      <c r="L1466" s="81" t="str">
        <f t="array" ref="L1466:L1467">{"CLASSINITIALABILITY5-L00";((INDEX(ALLCLASSDATA,MATCH("ClassInitialAbility5-L00",CLASSFEATUREHEADERS,0),MATCH(($A1467),CLASSNAMEHEADERS,0))))}</f>
        <v>CLASSINITIALABILITY5-L00</v>
      </c>
      <c r="M1466" s="81" t="str">
        <f t="array" ref="M1466:M1467">{"CLASSINITIALABILITY6-L00";((INDEX(ALLCLASSDATA,MATCH("ClassInitialAbility6-L00",CLASSFEATUREHEADERS,0),MATCH(($A1467),CLASSNAMEHEADERS,0))))}</f>
        <v>CLASSINITIALABILITY6-L00</v>
      </c>
      <c r="N1466" s="81" t="str">
        <f t="array" ref="N1466:N1467">{"CLASSINITIALABILITY7-L00";((INDEX(ALLCLASSDATA,MATCH("ClassInitialAbility7-L00",CLASSFEATUREHEADERS,0),MATCH(($A1467),CLASSNAMEHEADERS,0))))}</f>
        <v>CLASSINITIALABILITY7-L00</v>
      </c>
      <c r="O1466" s="81" t="str">
        <f t="array" ref="O1466:O1467">{"CLASSINITIALABILITY8-L00";((INDEX(ALLCLASSDATA,MATCH("ClassInitialAbility8-L00",CLASSFEATUREHEADERS,0),MATCH(($A1467),CLASSNAMEHEADERS,0))))}</f>
        <v>CLASSINITIALABILITY8-L00</v>
      </c>
      <c r="P1466" s="81" t="str">
        <f t="array" ref="P1466:P1467">{"CLASSINITIALABILITY9-L00";((INDEX(ALLCLASSDATA,MATCH("ClassInitialAbility9-L00",CLASSFEATUREHEADERS,0),MATCH(($A1467),CLASSNAMEHEADERS,0))))}</f>
        <v>CLASSINITIALABILITY9-L00</v>
      </c>
      <c r="Q1466" s="81" t="str">
        <f t="array" ref="Q1466:Q1467">{"CLASSINITIALABILITY10-L00";((INDEX(ALLCLASSDATA,MATCH("ClassInitialAbility10-L00",CLASSFEATUREHEADERS,0),MATCH(($A1467),CLASSNAMEHEADERS,0))))}</f>
        <v>CLASSINITIALABILITY10-L00</v>
      </c>
      <c r="R1466" s="81" t="str">
        <f t="array" ref="R1466:R1467">{"SUBCLASSINITIAL1-L00";((INDEX(ALLCLASSDATA,MATCH("SubclassInitial1-L00",CLASSFEATUREHEADERS,0),MATCH(($A1467),CLASSNAMEHEADERS,0))))}</f>
        <v>SUBCLASSINITIAL1-L00</v>
      </c>
      <c r="S1466" s="81" t="str">
        <f t="array" ref="S1466:S1467">{"SUBCLASSINITIAL2-L00";((INDEX(ALLCLASSDATA,MATCH("SubclassInitial2-L00",CLASSFEATUREHEADERS,0),MATCH(($A1467),CLASSNAMEHEADERS,0))))}</f>
        <v>SUBCLASSINITIAL2-L00</v>
      </c>
      <c r="T1466" s="81" t="str">
        <f t="array" ref="T1466:T1467">{"SUBCLASSINITIAL3-L00";((INDEX(ALLCLASSDATA,MATCH("SubclassInitial3-L00",CLASSFEATUREHEADERS,0),MATCH(($A1467),CLASSNAMEHEADERS,0))))}</f>
        <v>SUBCLASSINITIAL3-L00</v>
      </c>
      <c r="U1466" s="81" t="str">
        <f t="array" ref="U1466:U1467">{"SUBCLASSINITIAL4-L00";((INDEX(ALLCLASSDATA,MATCH("SubclassInitial4-L00",CLASSFEATUREHEADERS,0),MATCH(($A1467),CLASSNAMEHEADERS,0))))}</f>
        <v>SUBCLASSINITIAL4-L00</v>
      </c>
      <c r="V1466" s="81" t="str">
        <f t="array" ref="V1466:V1467">{"SUBCLASSINITIAL5-L00";((INDEX(ALLCLASSDATA,MATCH("SubclassInitial5-L00",CLASSFEATUREHEADERS,0),MATCH(($A1467),CLASSNAMEHEADERS,0))))}</f>
        <v>SUBCLASSINITIAL5-L00</v>
      </c>
      <c r="W1466" s="81" t="str">
        <f t="array" ref="W1466:W1467">{"SUBCLASSINITIAL6-L00";((INDEX(ALLCLASSDATA,MATCH("SubclassInitial6-L00",CLASSFEATUREHEADERS,0),MATCH(($A1467),CLASSNAMEHEADERS,0))))}</f>
        <v>SUBCLASSINITIAL6-L00</v>
      </c>
      <c r="X1466" s="81" t="str">
        <f t="array" ref="X1466:X1467">{"SUBCLASSINITIAL7-L00";((INDEX(ALLCLASSDATA,MATCH("SubclassInitial7-L00",CLASSFEATUREHEADERS,0),MATCH(($A1467),CLASSNAMEHEADERS,0))))}</f>
        <v>SUBCLASSINITIAL7-L00</v>
      </c>
      <c r="Y1466" s="81" t="str">
        <f t="array" ref="Y1466:Y1467">{"SUBCLASSINITIAL8-L00";((INDEX(ALLCLASSDATA,MATCH("SubclassInitial8-L00",CLASSFEATUREHEADERS,0),MATCH(($A1467),CLASSNAMEHEADERS,0))))}</f>
        <v>SUBCLASSINITIAL8-L00</v>
      </c>
      <c r="Z1466" s="81" t="str">
        <f t="array" ref="Z1466:Z1467">{"SUBCLASSINITIAL9-L00";((INDEX(ALLCLASSDATA,MATCH("SubclassInitial9-L00",CLASSFEATUREHEADERS,0),MATCH(($A1467),CLASSNAMEHEADERS,0))))}</f>
        <v>SUBCLASSINITIAL9-L00</v>
      </c>
      <c r="AA1466" s="81" t="str">
        <f t="array" ref="AA1466:AA1467">{"SUBCLASSINITIAL10-L00";((INDEX(ALLCLASSDATA,MATCH("SubclassInitial10-L00",CLASSFEATUREHEADERS,0),MATCH(($A1467),CLASSNAMEHEADERS,0))))}</f>
        <v>SUBCLASSINITIAL10-L00</v>
      </c>
      <c r="AB1466" s="76"/>
      <c r="AC1466" s="76"/>
    </row>
    <row r="1467">
      <c r="A1467" s="48" t="s">
        <v>221</v>
      </c>
      <c r="B1467" s="48"/>
      <c r="C1467" s="48" t="s">
        <v>418</v>
      </c>
      <c r="D1467" s="48" t="s">
        <v>614</v>
      </c>
      <c r="E1467" s="48" t="s">
        <v>616</v>
      </c>
      <c r="F1467" s="48"/>
      <c r="G1467" s="47"/>
      <c r="H1467" s="5" t="s">
        <v>1624</v>
      </c>
      <c r="I1467" s="5" t="s">
        <v>1638</v>
      </c>
      <c r="J1467" s="5" t="s">
        <v>1649</v>
      </c>
      <c r="K1467" s="5"/>
      <c r="L1467" s="5"/>
      <c r="M1467" s="5"/>
      <c r="N1467" s="5"/>
      <c r="O1467" s="5"/>
      <c r="P1467" s="5"/>
      <c r="Q1467" s="5"/>
      <c r="R1467" s="5" t="s">
        <v>1821</v>
      </c>
      <c r="S1467" s="5"/>
      <c r="T1467" s="5"/>
      <c r="U1467" s="5"/>
      <c r="V1467" s="5"/>
      <c r="W1467" s="5"/>
      <c r="X1467" s="5"/>
      <c r="Y1467" s="5"/>
      <c r="Z1467" s="5"/>
      <c r="AA1467" s="5"/>
      <c r="AB1467" s="5"/>
      <c r="AC1467" s="47"/>
    </row>
    <row r="1468" hidden="1">
      <c r="A1468" s="76" t="str">
        <f t="array" ref="A1468:A1469">{"FormulaRow05";(INDEX(CLASSLIST,A1459,1))}</f>
        <v>FormulaRow05</v>
      </c>
      <c r="B1468" s="77" t="s">
        <v>236</v>
      </c>
      <c r="C1468" s="76" t="str">
        <f t="array" ref="C1468:C1469">{"CLASSTYPE";((INDEX(ALLCLASSDATA,MATCH("ClassType",CLASSFEATUREHEADERS,0),MATCH($A1469,CLASSNAMEHEADERS,0))))}</f>
        <v>CLASSTYPE</v>
      </c>
      <c r="D1468" s="76" t="str">
        <f t="array" ref="D1468:D1469">{"INITIALFEATURESPTS";"InitialFeaturesPts"}</f>
        <v>INITIALFEATURESPTS</v>
      </c>
      <c r="E1468" s="76" t="str">
        <f t="array" ref="E1468:E1469">{"CLASS/SUBCLASSFEATURES";"Class/Subclass Features"}</f>
        <v>CLASS/SUBCLASSFEATURES</v>
      </c>
      <c r="F1468" s="76"/>
      <c r="G1468" s="76"/>
      <c r="H1468" s="76" t="str">
        <f t="array" ref="H1468:H1469">{"CLASSINITIALABILITY1-L00PTS";((INDEX(ALLCLASSDATA,MATCH("ClassInitialAbility1-L00",CLASSFEATUREHEADERS,0),MATCH(($A1469 &amp; "Points"),CLASSNAMEHEADERS,0))))}</f>
        <v>CLASSINITIALABILITY1-L00PTS</v>
      </c>
      <c r="I1468" s="76" t="str">
        <f t="array" ref="I1468:I1469">{"CLASSINITIALABILITY2-L00PTS";((INDEX(ALLCLASSDATA,MATCH("ClassInitialAbility2-L00",CLASSFEATUREHEADERS,0),MATCH(($A1469 &amp; "Points"),CLASSNAMEHEADERS,0))))}</f>
        <v>CLASSINITIALABILITY2-L00PTS</v>
      </c>
      <c r="J1468" s="76" t="str">
        <f t="array" ref="J1468:J1469">{"CLASSINITIALABILITY3-L00PTS";((INDEX(ALLCLASSDATA,MATCH("ClassInitialAbility3-L00",CLASSFEATUREHEADERS,0),MATCH(($A1469 &amp; "Points"),CLASSNAMEHEADERS,0))))}</f>
        <v>CLASSINITIALABILITY3-L00PTS</v>
      </c>
      <c r="K1468" s="76" t="str">
        <f t="array" ref="K1468:K1469">{"CLASSINITIALABILITY4-L00PTS";((INDEX(ALLCLASSDATA,MATCH("ClassInitialAbility4-L00",CLASSFEATUREHEADERS,0),MATCH(($A1469 &amp; "Points"),CLASSNAMEHEADERS,0))))}</f>
        <v>CLASSINITIALABILITY4-L00PTS</v>
      </c>
      <c r="L1468" s="76" t="str">
        <f t="array" ref="L1468:L1469">{"CLASSINITIALABILITY5-L00PTS";((INDEX(ALLCLASSDATA,MATCH("ClassInitialAbility5-L00",CLASSFEATUREHEADERS,0),MATCH(($A1469 &amp; "Points"),CLASSNAMEHEADERS,0))))}</f>
        <v>CLASSINITIALABILITY5-L00PTS</v>
      </c>
      <c r="M1468" s="76" t="str">
        <f t="array" ref="M1468:M1469">{"CLASSINITIALABILITY6-L00PTS";((INDEX(ALLCLASSDATA,MATCH("ClassInitialAbility6-L00",CLASSFEATUREHEADERS,0),MATCH(($A1469 &amp; "Points"),CLASSNAMEHEADERS,0))))}</f>
        <v>CLASSINITIALABILITY6-L00PTS</v>
      </c>
      <c r="N1468" s="76" t="str">
        <f t="array" ref="N1468:N1469">{"CLASSINITIALABILITY7-L00PTS";((INDEX(ALLCLASSDATA,MATCH("ClassInitialAbility7-L00",CLASSFEATUREHEADERS,0),MATCH(($A1469 &amp; "Points"),CLASSNAMEHEADERS,0))))}</f>
        <v>CLASSINITIALABILITY7-L00PTS</v>
      </c>
      <c r="O1468" s="76" t="str">
        <f t="array" ref="O1468:O1469">{"CLASSINITIALABILITY8-L00PTS";((INDEX(ALLCLASSDATA,MATCH("ClassInitialAbility8-L00",CLASSFEATUREHEADERS,0),MATCH(($A1469 &amp; "Points"),CLASSNAMEHEADERS,0))))}</f>
        <v>CLASSINITIALABILITY8-L00PTS</v>
      </c>
      <c r="P1468" s="76" t="str">
        <f t="array" ref="P1468:P1469">{"CLASSINITIALABILITY9-L00PTS";((INDEX(ALLCLASSDATA,MATCH("ClassInitialAbility9-L00",CLASSFEATUREHEADERS,0),MATCH(($A1469 &amp; "Points"),CLASSNAMEHEADERS,0))))}</f>
        <v>CLASSINITIALABILITY9-L00PTS</v>
      </c>
      <c r="Q1468" s="76" t="str">
        <f t="array" ref="Q1468:Q1469">{"CLASSINITIALABILITY10-L00PTS";((INDEX(ALLCLASSDATA,MATCH("ClassInitialAbility10-L00",CLASSFEATUREHEADERS,0),MATCH(($A1469 &amp; "Points"),CLASSNAMEHEADERS,0))))}</f>
        <v>CLASSINITIALABILITY10-L00PTS</v>
      </c>
      <c r="R1468" s="76" t="str">
        <f t="array" ref="R1468:R1469">{"SUBCLASSINITIAL1-L00PTS";((INDEX(ALLCLASSDATA,MATCH("SubclassInitial1-L00",CLASSFEATUREHEADERS,0),MATCH(($A1469 &amp; "Points"),CLASSNAMEHEADERS,0))))}</f>
        <v>SUBCLASSINITIAL1-L00PTS</v>
      </c>
      <c r="S1468" s="76" t="str">
        <f t="array" ref="S1468:S1469">{"SUBCLASSINITIAL2-L00PTS";((INDEX(ALLCLASSDATA,MATCH("SubclassInitial2-L00",CLASSFEATUREHEADERS,0),MATCH(($A1469 &amp; "Points"),CLASSNAMEHEADERS,0))))}</f>
        <v>SUBCLASSINITIAL2-L00PTS</v>
      </c>
      <c r="T1468" s="76" t="str">
        <f t="array" ref="T1468:T1469">{"SUBCLASSINITIAL3-L00PTS";((INDEX(ALLCLASSDATA,MATCH("SubclassInitial3-L00",CLASSFEATUREHEADERS,0),MATCH(($A1469 &amp; "Points"),CLASSNAMEHEADERS,0))))}</f>
        <v>SUBCLASSINITIAL3-L00PTS</v>
      </c>
      <c r="U1468" s="76" t="str">
        <f t="array" ref="U1468:U1469">{"SUBCLASSINITIAL4-L00PTS";((INDEX(ALLCLASSDATA,MATCH("SubclassInitial4-L00",CLASSFEATUREHEADERS,0),MATCH(($A1469 &amp; "Points"),CLASSNAMEHEADERS,0))))}</f>
        <v>SUBCLASSINITIAL4-L00PTS</v>
      </c>
      <c r="V1468" s="76" t="str">
        <f t="array" ref="V1468:V1469">{"SUBCLASSINITIAL5-L00PTS";((INDEX(ALLCLASSDATA,MATCH("SubclassInitial5-L00",CLASSFEATUREHEADERS,0),MATCH(($A1469 &amp; "Points"),CLASSNAMEHEADERS,0))))}</f>
        <v>SUBCLASSINITIAL5-L00PTS</v>
      </c>
      <c r="W1468" s="76" t="str">
        <f t="array" ref="W1468:W1469">{"SUBCLASSINITIAL6-L00PTS";((INDEX(ALLCLASSDATA,MATCH("SubclassInitial6-L00",CLASSFEATUREHEADERS,0),MATCH(($A1469 &amp; "Points"),CLASSNAMEHEADERS,0))))}</f>
        <v>SUBCLASSINITIAL6-L00PTS</v>
      </c>
      <c r="X1468" s="76" t="str">
        <f t="array" ref="X1468:X1469">{"SUBCLASSINITIAL7-L00PTS";((INDEX(ALLCLASSDATA,MATCH("SubclassInitial7-L00",CLASSFEATUREHEADERS,0),MATCH(($A1469 &amp; "Points"),CLASSNAMEHEADERS,0))))}</f>
        <v>SUBCLASSINITIAL7-L00PTS</v>
      </c>
      <c r="Y1468" s="76" t="str">
        <f t="array" ref="Y1468:Y1469">{"SUBCLASSINITIAL8-L00PTS";((INDEX(ALLCLASSDATA,MATCH("SubclassInitial8-L00",CLASSFEATUREHEADERS,0),MATCH(($A1469 &amp; "Points"),CLASSNAMEHEADERS,0))))}</f>
        <v>SUBCLASSINITIAL8-L00PTS</v>
      </c>
      <c r="Z1468" s="76" t="str">
        <f t="array" ref="Z1468:Z1469">{"SUBCLASSINITIAL9-L00PTS";((INDEX(ALLCLASSDATA,MATCH("SubclassInitial9-L00",CLASSFEATUREHEADERS,0),MATCH(($A1469 &amp; "Points"),CLASSNAMEHEADERS,0))))}</f>
        <v>SUBCLASSINITIAL9-L00PTS</v>
      </c>
      <c r="AA1468" s="76" t="str">
        <f t="array" ref="AA1468:AA1469">{"SUBCLASSINITIAL10-L00PTS";((INDEX(ALLCLASSDATA,MATCH("SubclassInitial10-L00",CLASSFEATUREHEADERS,0),MATCH(($A1469 &amp; "Points"),CLASSNAMEHEADERS,0))))}</f>
        <v>SUBCLASSINITIAL10-L00PTS</v>
      </c>
      <c r="AB1468" s="76"/>
      <c r="AC1468" s="76" t="str">
        <f t="array" ref="AC1468:AC1469">{"INITIALFEATUREPTS TOTAL";(sum(G1469:AA1469))}</f>
        <v>INITIALFEATUREPTS TOTAL</v>
      </c>
    </row>
    <row r="1469">
      <c r="A1469" s="48" t="s">
        <v>221</v>
      </c>
      <c r="B1469" s="48"/>
      <c r="C1469" s="48" t="s">
        <v>418</v>
      </c>
      <c r="D1469" s="97" t="s">
        <v>651</v>
      </c>
      <c r="E1469" s="97" t="s">
        <v>616</v>
      </c>
      <c r="F1469" s="97"/>
      <c r="G1469" s="132"/>
      <c r="H1469" s="98"/>
      <c r="I1469" s="98"/>
      <c r="J1469" s="97"/>
      <c r="K1469" s="98"/>
      <c r="L1469" s="97"/>
      <c r="M1469" s="98"/>
      <c r="N1469" s="98"/>
      <c r="O1469" s="98"/>
      <c r="P1469" s="98"/>
      <c r="Q1469" s="98"/>
      <c r="R1469" s="98"/>
      <c r="S1469" s="98"/>
      <c r="T1469" s="98"/>
      <c r="U1469" s="98"/>
      <c r="V1469" s="98"/>
      <c r="W1469" s="98"/>
      <c r="X1469" s="98"/>
      <c r="Y1469" s="98"/>
      <c r="Z1469" s="98"/>
      <c r="AA1469" s="98"/>
      <c r="AB1469" s="5"/>
      <c r="AC1469" s="47">
        <v>0.0</v>
      </c>
    </row>
    <row r="1470" hidden="1">
      <c r="A1470" s="76" t="str">
        <f t="array" ref="A1470:A1471">{"FormulaRow06";(INDEX(CLASSLIST,A1459,1))}</f>
        <v>FormulaRow06</v>
      </c>
      <c r="B1470" s="77" t="s">
        <v>236</v>
      </c>
      <c r="C1470" s="76" t="str">
        <f t="array" ref="C1470:C1471">{"CLASSTYPE";((INDEX(ALLCLASSDATA,MATCH("ClassType",CLASSFEATUREHEADERS,0),MATCH($A1471,CLASSNAMEHEADERS,0))))}</f>
        <v>CLASSTYPE</v>
      </c>
      <c r="D1470" s="81" t="str">
        <f t="array" ref="D1470:D1471">{"SKILLS";"Skills"}</f>
        <v>SKILLS</v>
      </c>
      <c r="E1470" s="81" t="str">
        <f t="array" ref="E1470:E1471">{"EXTRASKILLINCREASES";"Extra Skill Increases"}</f>
        <v>EXTRASKILLINCREASES</v>
      </c>
      <c r="F1470" s="81"/>
      <c r="G1470" s="81"/>
      <c r="H1470" s="81"/>
      <c r="I1470" s="81" t="str">
        <f t="array" ref="I1470:I1471">{"SKILLINCREASEEXTRA-L02";((INDEX(ALLCLASSDATA,MATCH("SkillIncreaseExtra-L02",CLASSFEATUREHEADERS,0),MATCH(($A1471 &amp; "Points"),CLASSNAMEHEADERS,0))))}</f>
        <v>SKILLINCREASEEXTRA-L02</v>
      </c>
      <c r="J1470" s="81" t="str">
        <f t="array" ref="J1470:J1471">{"SKILLINCREASEEXTRA-L03";((INDEX(ALLCLASSDATA,MATCH("SkillIncreaseExtra-L03",CLASSFEATUREHEADERS,0),MATCH(($A1471 &amp; "Points"),CLASSNAMEHEADERS,0))))}</f>
        <v>SKILLINCREASEEXTRA-L03</v>
      </c>
      <c r="K1470" s="81" t="str">
        <f t="array" ref="K1470:K1471">{"SKILLINCREASEEXTRA-L04";((INDEX(ALLCLASSDATA,MATCH("SkillIncreaseExtra-L04",CLASSFEATUREHEADERS,0),MATCH(($A1471 &amp; "Points"),CLASSNAMEHEADERS,0))))}</f>
        <v>SKILLINCREASEEXTRA-L04</v>
      </c>
      <c r="L1470" s="81" t="str">
        <f t="array" ref="L1470:L1471">{"SKILLINCREASEEXTRA-L05";((INDEX(ALLCLASSDATA,MATCH("SkillIncreaseExtra-L05",CLASSFEATUREHEADERS,0),MATCH(($A1471 &amp; "Points"),CLASSNAMEHEADERS,0))))}</f>
        <v>SKILLINCREASEEXTRA-L05</v>
      </c>
      <c r="M1470" s="81" t="str">
        <f t="array" ref="M1470:M1471">{"SKILLINCREASEEXTRA-L06";((INDEX(ALLCLASSDATA,MATCH("SkillIncreaseExtra-L06",CLASSFEATUREHEADERS,0),MATCH(($A1471 &amp; "Points"),CLASSNAMEHEADERS,0))))}</f>
        <v>SKILLINCREASEEXTRA-L06</v>
      </c>
      <c r="N1470" s="81" t="str">
        <f t="array" ref="N1470:N1471">{"SKILLINCREASEEXTRA-L07";((INDEX(ALLCLASSDATA,MATCH("SkillIncreaseExtra-L07",CLASSFEATUREHEADERS,0),MATCH(($A1471 &amp; "Points"),CLASSNAMEHEADERS,0))))}</f>
        <v>SKILLINCREASEEXTRA-L07</v>
      </c>
      <c r="O1470" s="81" t="str">
        <f t="array" ref="O1470:O1471">{"SKILLINCREASEEXTRA-L08";((INDEX(ALLCLASSDATA,MATCH("SkillIncreaseExtra-L08",CLASSFEATUREHEADERS,0),MATCH(($A1471 &amp; "Points"),CLASSNAMEHEADERS,0))))}</f>
        <v>SKILLINCREASEEXTRA-L08</v>
      </c>
      <c r="P1470" s="81" t="str">
        <f t="array" ref="P1470:P1471">{"SKILLINCREASEEXTRA-L09";((INDEX(ALLCLASSDATA,MATCH("SkillIncreaseExtra-L09",CLASSFEATUREHEADERS,0),MATCH(($A1471 &amp; "Points"),CLASSNAMEHEADERS,0))))}</f>
        <v>SKILLINCREASEEXTRA-L09</v>
      </c>
      <c r="Q1470" s="81" t="str">
        <f t="array" ref="Q1470:Q1471">{"SKILLINCREASEEXTRA-L10";((INDEX(ALLCLASSDATA,MATCH("SkillIncreaseExtra-L10",CLASSFEATUREHEADERS,0),MATCH(($A1471 &amp; "Points"),CLASSNAMEHEADERS,0))))}</f>
        <v>SKILLINCREASEEXTRA-L10</v>
      </c>
      <c r="R1470" s="81" t="str">
        <f t="array" ref="R1470:R1471">{"SKILLINCREASEEXTRA-L11";((INDEX(ALLCLASSDATA,MATCH("SkillIncreaseExtra-L11",CLASSFEATUREHEADERS,0),MATCH(($A1471 &amp; "Points"),CLASSNAMEHEADERS,0))))}</f>
        <v>SKILLINCREASEEXTRA-L11</v>
      </c>
      <c r="S1470" s="81" t="str">
        <f t="array" ref="S1470:S1471">{"SKILLINCREASEEXTRA-L12";((INDEX(ALLCLASSDATA,MATCH("SkillIncreaseExtra-L12",CLASSFEATUREHEADERS,0),MATCH(($A1471 &amp; "Points"),CLASSNAMEHEADERS,0))))}</f>
        <v>SKILLINCREASEEXTRA-L12</v>
      </c>
      <c r="T1470" s="81" t="str">
        <f t="array" ref="T1470:T1471">{"SKILLINCREASEEXTRA-L13";((INDEX(ALLCLASSDATA,MATCH("SkillIncreaseExtra-L13",CLASSFEATUREHEADERS,0),MATCH(($A1471 &amp; "Points"),CLASSNAMEHEADERS,0))))}</f>
        <v>SKILLINCREASEEXTRA-L13</v>
      </c>
      <c r="U1470" s="81" t="str">
        <f t="array" ref="U1470:U1471">{"SKILLINCREASEEXTRA-L14";((INDEX(ALLCLASSDATA,MATCH("SkillIncreaseExtra-L14",CLASSFEATUREHEADERS,0),MATCH(($A1471 &amp; "Points"),CLASSNAMEHEADERS,0))))}</f>
        <v>SKILLINCREASEEXTRA-L14</v>
      </c>
      <c r="V1470" s="81" t="str">
        <f t="array" ref="V1470:V1471">{"SKILLINCREASEEXTRA-L15";((INDEX(ALLCLASSDATA,MATCH("SkillIncreaseExtra-L15",CLASSFEATUREHEADERS,0),MATCH(($A1471 &amp; "Points"),CLASSNAMEHEADERS,0))))}</f>
        <v>SKILLINCREASEEXTRA-L15</v>
      </c>
      <c r="W1470" s="81" t="str">
        <f t="array" ref="W1470:W1471">{"SKILLINCREASEEXTRA-L16";((INDEX(ALLCLASSDATA,MATCH("SkillIncreaseExtra-L16",CLASSFEATUREHEADERS,0),MATCH(($A1471 &amp; "Points"),CLASSNAMEHEADERS,0))))}</f>
        <v>SKILLINCREASEEXTRA-L16</v>
      </c>
      <c r="X1470" s="81" t="str">
        <f t="array" ref="X1470:X1471">{"SKILLINCREASEEXTRA-L17";((INDEX(ALLCLASSDATA,MATCH("SkillIncreaseExtra-L17",CLASSFEATUREHEADERS,0),MATCH(($A1471 &amp; "Points"),CLASSNAMEHEADERS,0))))}</f>
        <v>SKILLINCREASEEXTRA-L17</v>
      </c>
      <c r="Y1470" s="81" t="str">
        <f t="array" ref="Y1470:Y1471">{"SKILLINCREASEEXTRA-L18";((INDEX(ALLCLASSDATA,MATCH("SkillIncreaseExtra-L18",CLASSFEATUREHEADERS,0),MATCH(($A1471 &amp; "Points"),CLASSNAMEHEADERS,0))))}</f>
        <v>SKILLINCREASEEXTRA-L18</v>
      </c>
      <c r="Z1470" s="81" t="str">
        <f t="array" ref="Z1470:Z1471">{"SKILLINCREASEEXTRA-L19";((INDEX(ALLCLASSDATA,MATCH("SkillIncreaseExtra-L19",CLASSFEATUREHEADERS,0),MATCH(($A1471 &amp; "Points"),CLASSNAMEHEADERS,0))))}</f>
        <v>SKILLINCREASEEXTRA-L19</v>
      </c>
      <c r="AA1470" s="81" t="str">
        <f t="array" ref="AA1470:AA1471">{"SKILLINCREASEEXTRA-L20";((INDEX(ALLCLASSDATA,MATCH("SkillIncreaseExtra-L20",CLASSFEATUREHEADERS,0),MATCH(($A1471 &amp; "Points"),CLASSNAMEHEADERS,0))))}</f>
        <v>SKILLINCREASEEXTRA-L20</v>
      </c>
      <c r="AB1470" s="76"/>
      <c r="AC1470" s="76" t="str">
        <f t="array" ref="AC1470:AC1471">{"SKILLINCREASE TOTAL";(sum(G1471:AA1471))}</f>
        <v>SKILLINCREASE TOTAL</v>
      </c>
    </row>
    <row r="1471">
      <c r="A1471" s="48" t="s">
        <v>221</v>
      </c>
      <c r="B1471" s="48"/>
      <c r="C1471" s="48" t="s">
        <v>418</v>
      </c>
      <c r="D1471" s="48" t="s">
        <v>659</v>
      </c>
      <c r="E1471" s="48" t="s">
        <v>661</v>
      </c>
      <c r="F1471" s="48"/>
      <c r="G1471" s="47"/>
      <c r="H1471" s="5"/>
      <c r="I1471" s="5" t="s">
        <v>603</v>
      </c>
      <c r="J1471" s="5" t="s">
        <v>603</v>
      </c>
      <c r="K1471" s="5" t="s">
        <v>603</v>
      </c>
      <c r="L1471" s="48" t="s">
        <v>603</v>
      </c>
      <c r="M1471" s="5" t="s">
        <v>603</v>
      </c>
      <c r="N1471" s="5" t="s">
        <v>603</v>
      </c>
      <c r="O1471" s="5" t="s">
        <v>603</v>
      </c>
      <c r="P1471" s="5" t="s">
        <v>603</v>
      </c>
      <c r="Q1471" s="5" t="s">
        <v>603</v>
      </c>
      <c r="R1471" s="5" t="s">
        <v>603</v>
      </c>
      <c r="S1471" s="5" t="s">
        <v>603</v>
      </c>
      <c r="T1471" s="5" t="s">
        <v>603</v>
      </c>
      <c r="U1471" s="5" t="s">
        <v>603</v>
      </c>
      <c r="V1471" s="5" t="s">
        <v>603</v>
      </c>
      <c r="W1471" s="5" t="s">
        <v>603</v>
      </c>
      <c r="X1471" s="5" t="s">
        <v>603</v>
      </c>
      <c r="Y1471" s="5" t="s">
        <v>603</v>
      </c>
      <c r="Z1471" s="5" t="s">
        <v>603</v>
      </c>
      <c r="AA1471" s="5" t="s">
        <v>603</v>
      </c>
      <c r="AB1471" s="5"/>
      <c r="AC1471" s="47">
        <v>0.0</v>
      </c>
    </row>
    <row r="1472" hidden="1">
      <c r="A1472" s="76" t="str">
        <f t="array" ref="A1472:A1473">{"FormulaRow07";(INDEX(CLASSLIST,A1459,1))}</f>
        <v>FormulaRow07</v>
      </c>
      <c r="B1472" s="77" t="s">
        <v>236</v>
      </c>
      <c r="C1472" s="76" t="str">
        <f t="array" ref="C1472:C1473">{"CLASSTYPE";((INDEX(ALLCLASSDATA,MATCH("ClassType",CLASSFEATUREHEADERS,0),MATCH($A1473,CLASSNAMEHEADERS,0))))}</f>
        <v>CLASSTYPE</v>
      </c>
      <c r="D1472" s="76" t="str">
        <f t="array" ref="D1472:D1473">{"SKILLS";"Skills"}</f>
        <v>SKILLS</v>
      </c>
      <c r="E1472" s="76" t="str">
        <f t="array" ref="E1472:E1473">{"EXTRASKILLFEATS";"Extra Skill Feats"}</f>
        <v>EXTRASKILLFEATS</v>
      </c>
      <c r="F1472" s="76"/>
      <c r="G1472" s="76"/>
      <c r="H1472" s="76" t="str">
        <f t="array" ref="H1472:H1473">{"SKILLFEATEXTRA-L01";((INDEX(ALLCLASSDATA,MATCH("SkillFeatExtra-L01",CLASSFEATUREHEADERS,0),MATCH(($A1473 &amp; "Points"),CLASSNAMEHEADERS,0))))}</f>
        <v>SKILLFEATEXTRA-L01</v>
      </c>
      <c r="I1472" s="76" t="str">
        <f t="array" ref="I1472:I1473">{"SKILLFEATEXTRA-L02";((INDEX(ALLCLASSDATA,MATCH("SkillFeatExtra-L02",CLASSFEATUREHEADERS,0),MATCH(($A1473 &amp; "Points"),CLASSNAMEHEADERS,0))))}</f>
        <v>SKILLFEATEXTRA-L02</v>
      </c>
      <c r="J1472" s="76" t="str">
        <f t="array" ref="J1472:J1473">{"SKILLFEATEXTRA-L03";((INDEX(ALLCLASSDATA,MATCH("SkillFeatExtra-L03",CLASSFEATUREHEADERS,0),MATCH(($A1473 &amp; "Points"),CLASSNAMEHEADERS,0))))}</f>
        <v>SKILLFEATEXTRA-L03</v>
      </c>
      <c r="K1472" s="76" t="str">
        <f t="array" ref="K1472:K1473">{"SKILLFEATEXTRA-L04";((INDEX(ALLCLASSDATA,MATCH("SkillFeatExtra-L04",CLASSFEATUREHEADERS,0),MATCH(($A1473 &amp; "Points"),CLASSNAMEHEADERS,0))))}</f>
        <v>SKILLFEATEXTRA-L04</v>
      </c>
      <c r="L1472" s="76" t="str">
        <f t="array" ref="L1472:L1473">{"SKILLFEATEXTRA-L05";((INDEX(ALLCLASSDATA,MATCH("SkillFeatExtra-L05",CLASSFEATUREHEADERS,0),MATCH(($A1473 &amp; "Points"),CLASSNAMEHEADERS,0))))}</f>
        <v>SKILLFEATEXTRA-L05</v>
      </c>
      <c r="M1472" s="76" t="str">
        <f t="array" ref="M1472:M1473">{"SKILLFEATEXTRA-L06";((INDEX(ALLCLASSDATA,MATCH("SkillFeatExtra-L06",CLASSFEATUREHEADERS,0),MATCH(($A1473 &amp; "Points"),CLASSNAMEHEADERS,0))))}</f>
        <v>SKILLFEATEXTRA-L06</v>
      </c>
      <c r="N1472" s="76" t="str">
        <f t="array" ref="N1472:N1473">{"SKILLFEATEXTRA-L07";((INDEX(ALLCLASSDATA,MATCH("SkillFeatExtra-L07",CLASSFEATUREHEADERS,0),MATCH(($A1473 &amp; "Points"),CLASSNAMEHEADERS,0))))}</f>
        <v>SKILLFEATEXTRA-L07</v>
      </c>
      <c r="O1472" s="76" t="str">
        <f t="array" ref="O1472:O1473">{"SKILLFEATEXTRA-L08";((INDEX(ALLCLASSDATA,MATCH("SkillFeatExtra-L08",CLASSFEATUREHEADERS,0),MATCH(($A1473 &amp; "Points"),CLASSNAMEHEADERS,0))))}</f>
        <v>SKILLFEATEXTRA-L08</v>
      </c>
      <c r="P1472" s="76" t="str">
        <f t="array" ref="P1472:P1473">{"SKILLFEATEXTRA-L09";((INDEX(ALLCLASSDATA,MATCH("SkillFeatExtra-L09",CLASSFEATUREHEADERS,0),MATCH(($A1473 &amp; "Points"),CLASSNAMEHEADERS,0))))}</f>
        <v>SKILLFEATEXTRA-L09</v>
      </c>
      <c r="Q1472" s="76" t="str">
        <f t="array" ref="Q1472:Q1473">{"SKILLFEATEXTRA-L10";((INDEX(ALLCLASSDATA,MATCH("SkillFeatExtra-L10",CLASSFEATUREHEADERS,0),MATCH(($A1473 &amp; "Points"),CLASSNAMEHEADERS,0))))}</f>
        <v>SKILLFEATEXTRA-L10</v>
      </c>
      <c r="R1472" s="76" t="str">
        <f t="array" ref="R1472:R1473">{"SKILLFEATEXTRA-L11";((INDEX(ALLCLASSDATA,MATCH("SkillFeatExtra-L11",CLASSFEATUREHEADERS,0),MATCH(($A1473 &amp; "Points"),CLASSNAMEHEADERS,0))))}</f>
        <v>SKILLFEATEXTRA-L11</v>
      </c>
      <c r="S1472" s="76" t="str">
        <f t="array" ref="S1472:S1473">{"SKILLFEATEXTRA-L12";((INDEX(ALLCLASSDATA,MATCH("SkillFeatExtra-L12",CLASSFEATUREHEADERS,0),MATCH(($A1473 &amp; "Points"),CLASSNAMEHEADERS,0))))}</f>
        <v>SKILLFEATEXTRA-L12</v>
      </c>
      <c r="T1472" s="76" t="str">
        <f t="array" ref="T1472:T1473">{"SKILLFEATEXTRA-L13";((INDEX(ALLCLASSDATA,MATCH("SkillFeatExtra-L13",CLASSFEATUREHEADERS,0),MATCH(($A1473 &amp; "Points"),CLASSNAMEHEADERS,0))))}</f>
        <v>SKILLFEATEXTRA-L13</v>
      </c>
      <c r="U1472" s="76" t="str">
        <f t="array" ref="U1472:U1473">{"SKILLFEATEXTRA-L14";((INDEX(ALLCLASSDATA,MATCH("SkillFeatExtra-L14",CLASSFEATUREHEADERS,0),MATCH(($A1473 &amp; "Points"),CLASSNAMEHEADERS,0))))}</f>
        <v>SKILLFEATEXTRA-L14</v>
      </c>
      <c r="V1472" s="76" t="str">
        <f t="array" ref="V1472:V1473">{"SKILLFEATEXTRA-L15";((INDEX(ALLCLASSDATA,MATCH("SkillFeatExtra-L15",CLASSFEATUREHEADERS,0),MATCH(($A1473 &amp; "Points"),CLASSNAMEHEADERS,0))))}</f>
        <v>SKILLFEATEXTRA-L15</v>
      </c>
      <c r="W1472" s="76" t="str">
        <f t="array" ref="W1472:W1473">{"SKILLFEATEXTRA-L16";((INDEX(ALLCLASSDATA,MATCH("SkillFeatExtra-L16",CLASSFEATUREHEADERS,0),MATCH(($A1473 &amp; "Points"),CLASSNAMEHEADERS,0))))}</f>
        <v>SKILLFEATEXTRA-L16</v>
      </c>
      <c r="X1472" s="76" t="str">
        <f t="array" ref="X1472:X1473">{"SKILLFEATEXTRA-L17";((INDEX(ALLCLASSDATA,MATCH("SkillFeatExtra-L17",CLASSFEATUREHEADERS,0),MATCH(($A1473 &amp; "Points"),CLASSNAMEHEADERS,0))))}</f>
        <v>SKILLFEATEXTRA-L17</v>
      </c>
      <c r="Y1472" s="76" t="str">
        <f t="array" ref="Y1472:Y1473">{"SKILLFEATEXTRA-L18";((INDEX(ALLCLASSDATA,MATCH("SkillFeatExtra-L18",CLASSFEATUREHEADERS,0),MATCH(($A1473 &amp; "Points"),CLASSNAMEHEADERS,0))))}</f>
        <v>SKILLFEATEXTRA-L18</v>
      </c>
      <c r="Z1472" s="76" t="str">
        <f t="array" ref="Z1472:Z1473">{"SKILLFEATEXTRA-L19";((INDEX(ALLCLASSDATA,MATCH("SkillFeatExtra-L19",CLASSFEATUREHEADERS,0),MATCH(($A1473 &amp; "Points"),CLASSNAMEHEADERS,0))))}</f>
        <v>SKILLFEATEXTRA-L19</v>
      </c>
      <c r="AA1472" s="76" t="str">
        <f t="array" ref="AA1472:AA1473">{"SKILLFEATEXTRA-L20";((INDEX(ALLCLASSDATA,MATCH("SkillFeatExtra-L20",CLASSFEATUREHEADERS,0),MATCH(($A1473 &amp; "Points"),CLASSNAMEHEADERS,0))))}</f>
        <v>SKILLFEATEXTRA-L20</v>
      </c>
      <c r="AB1472" s="76"/>
      <c r="AC1472" s="76" t="str">
        <f t="array" ref="AC1472:AC1473">{"SKILLFEAT TOTAL";(sum(G1473:AA1473))}</f>
        <v>SKILLFEAT TOTAL</v>
      </c>
    </row>
    <row r="1473">
      <c r="A1473" s="48" t="s">
        <v>221</v>
      </c>
      <c r="B1473" s="48"/>
      <c r="C1473" s="48" t="s">
        <v>418</v>
      </c>
      <c r="D1473" s="97" t="s">
        <v>659</v>
      </c>
      <c r="E1473" s="97" t="s">
        <v>722</v>
      </c>
      <c r="F1473" s="97"/>
      <c r="G1473" s="132"/>
      <c r="H1473" s="98" t="s">
        <v>603</v>
      </c>
      <c r="I1473" s="98" t="s">
        <v>603</v>
      </c>
      <c r="J1473" s="97" t="s">
        <v>603</v>
      </c>
      <c r="K1473" s="98" t="s">
        <v>603</v>
      </c>
      <c r="L1473" s="97" t="s">
        <v>603</v>
      </c>
      <c r="M1473" s="98" t="s">
        <v>603</v>
      </c>
      <c r="N1473" s="98" t="s">
        <v>603</v>
      </c>
      <c r="O1473" s="98" t="s">
        <v>603</v>
      </c>
      <c r="P1473" s="98" t="s">
        <v>603</v>
      </c>
      <c r="Q1473" s="98" t="s">
        <v>603</v>
      </c>
      <c r="R1473" s="98" t="s">
        <v>603</v>
      </c>
      <c r="S1473" s="98" t="s">
        <v>603</v>
      </c>
      <c r="T1473" s="98" t="s">
        <v>603</v>
      </c>
      <c r="U1473" s="98" t="s">
        <v>603</v>
      </c>
      <c r="V1473" s="98" t="s">
        <v>603</v>
      </c>
      <c r="W1473" s="98" t="s">
        <v>603</v>
      </c>
      <c r="X1473" s="98" t="s">
        <v>603</v>
      </c>
      <c r="Y1473" s="98" t="s">
        <v>603</v>
      </c>
      <c r="Z1473" s="98" t="s">
        <v>603</v>
      </c>
      <c r="AA1473" s="98" t="s">
        <v>603</v>
      </c>
      <c r="AB1473" s="5"/>
      <c r="AC1473" s="47">
        <v>0.0</v>
      </c>
    </row>
    <row r="1474" hidden="1">
      <c r="A1474" s="76" t="str">
        <f t="array" ref="A1474:A1475">{"FormulaRow08";(INDEX(CLASSLIST,A1459,1))}</f>
        <v>FormulaRow08</v>
      </c>
      <c r="B1474" s="77" t="s">
        <v>236</v>
      </c>
      <c r="C1474" s="76" t="str">
        <f t="array" ref="C1474:C1475">{"CLASSTYPE";((INDEX(ALLCLASSDATA,MATCH("ClassType",CLASSFEATUREHEADERS,0),MATCH($A1475,CLASSNAMEHEADERS,0))))}</f>
        <v>CLASSTYPE</v>
      </c>
      <c r="D1474" s="81" t="str">
        <f t="array" ref="D1474:D1475">{"CLASSABILITY";"ClassAbility"}</f>
        <v>CLASSABILITY</v>
      </c>
      <c r="E1474" s="81" t="str">
        <f t="array" ref="E1474:E1475">{"CLASSABILITY1";"ClassAbility1"}</f>
        <v>CLASSABILITY1</v>
      </c>
      <c r="F1474" s="81"/>
      <c r="G1474" s="81"/>
      <c r="H1474" s="81"/>
      <c r="I1474" s="81"/>
      <c r="J1474" s="81" t="str">
        <f t="array" ref="J1474:J1475">{"CLASSABILITY1-L03";((INDEX(ALLCLASSDATA,MATCH("ClassAbility1-L03",CLASSFEATUREHEADERS,0),MATCH(($A1475),CLASSNAMEHEADERS,0))))}</f>
        <v>CLASSABILITY1-L03</v>
      </c>
      <c r="K1474" s="81"/>
      <c r="L1474" s="81" t="str">
        <f t="array" ref="L1474:L1475">{"CLASSABILITY1-L05";((INDEX(ALLCLASSDATA,MATCH("ClassAbility1-L05",CLASSFEATUREHEADERS,0),MATCH(($A1475),CLASSNAMEHEADERS,0))))}</f>
        <v>CLASSABILITY1-L05</v>
      </c>
      <c r="M1474" s="81"/>
      <c r="N1474" s="81" t="str">
        <f t="array" ref="N1474:N1475">{"CLASSABILITY1-L07";((INDEX(ALLCLASSDATA,MATCH("ClassAbility1-L07",CLASSFEATUREHEADERS,0),MATCH(($A1475),CLASSNAMEHEADERS,0))))}</f>
        <v>CLASSABILITY1-L07</v>
      </c>
      <c r="O1474" s="81"/>
      <c r="P1474" s="81" t="str">
        <f t="array" ref="P1474:P1475">{"CLASSABILITY1-L09";((INDEX(ALLCLASSDATA,MATCH("ClassAbility1-L09",CLASSFEATUREHEADERS,0),MATCH(($A1475),CLASSNAMEHEADERS,0))))}</f>
        <v>CLASSABILITY1-L09</v>
      </c>
      <c r="Q1474" s="81"/>
      <c r="R1474" s="81" t="str">
        <f t="array" ref="R1474:R1475">{"CLASSABILITY1-L11";((INDEX(ALLCLASSDATA,MATCH("ClassAbility1-L11",CLASSFEATUREHEADERS,0),MATCH(($A1475),CLASSNAMEHEADERS,0))))}</f>
        <v>CLASSABILITY1-L11</v>
      </c>
      <c r="S1474" s="81"/>
      <c r="T1474" s="81" t="str">
        <f t="array" ref="T1474:T1475">{"CLASSABILITY1-L13";((INDEX(ALLCLASSDATA,MATCH("ClassAbility1-L13",CLASSFEATUREHEADERS,0),MATCH(($A1475),CLASSNAMEHEADERS,0))))}</f>
        <v>CLASSABILITY1-L13</v>
      </c>
      <c r="U1474" s="81"/>
      <c r="V1474" s="81" t="str">
        <f t="array" ref="V1474:V1475">{"CLASSABILITY1-L15";((INDEX(ALLCLASSDATA,MATCH("ClassAbility1-L15",CLASSFEATUREHEADERS,0),MATCH(($A1475),CLASSNAMEHEADERS,0))))}</f>
        <v>CLASSABILITY1-L15</v>
      </c>
      <c r="W1474" s="81"/>
      <c r="X1474" s="81" t="str">
        <f t="array" ref="X1474:X1475">{"CLASSABILITY1-L17";((INDEX(ALLCLASSDATA,MATCH("ClassAbility1-L17",CLASSFEATUREHEADERS,0),MATCH(($A1475),CLASSNAMEHEADERS,0))))}</f>
        <v>CLASSABILITY1-L17</v>
      </c>
      <c r="Y1474" s="81"/>
      <c r="Z1474" s="81" t="str">
        <f t="array" ref="Z1474:Z1475">{"CLASSABILITY1-L19";((INDEX(ALLCLASSDATA,MATCH("ClassAbility1-L19",CLASSFEATUREHEADERS,0),MATCH(($A1475),CLASSNAMEHEADERS,0))))}</f>
        <v>CLASSABILITY1-L19</v>
      </c>
      <c r="AA1474" s="81"/>
      <c r="AB1474" s="76"/>
      <c r="AC1474" s="76"/>
    </row>
    <row r="1475">
      <c r="A1475" s="48" t="s">
        <v>221</v>
      </c>
      <c r="B1475" s="48"/>
      <c r="C1475" s="48" t="s">
        <v>418</v>
      </c>
      <c r="D1475" s="48" t="s">
        <v>825</v>
      </c>
      <c r="E1475" s="48" t="s">
        <v>826</v>
      </c>
      <c r="F1475" s="5"/>
      <c r="G1475" s="47"/>
      <c r="H1475" s="5"/>
      <c r="I1475" s="5"/>
      <c r="J1475" s="5" t="s">
        <v>1251</v>
      </c>
      <c r="K1475" s="5"/>
      <c r="L1475" s="5"/>
      <c r="M1475" s="5"/>
      <c r="N1475" s="5" t="s">
        <v>350</v>
      </c>
      <c r="O1475" s="5"/>
      <c r="P1475" s="5" t="s">
        <v>314</v>
      </c>
      <c r="Q1475" s="5"/>
      <c r="R1475" s="5" t="s">
        <v>1735</v>
      </c>
      <c r="S1475" s="5"/>
      <c r="T1475" s="5" t="s">
        <v>369</v>
      </c>
      <c r="U1475" s="5"/>
      <c r="V1475" s="5" t="s">
        <v>353</v>
      </c>
      <c r="W1475" s="5"/>
      <c r="X1475" s="5" t="s">
        <v>338</v>
      </c>
      <c r="Y1475" s="5"/>
      <c r="Z1475" s="5" t="s">
        <v>1252</v>
      </c>
      <c r="AA1475" s="5"/>
      <c r="AB1475" s="5"/>
      <c r="AC1475" s="47"/>
    </row>
    <row r="1476" hidden="1">
      <c r="A1476" s="76" t="str">
        <f t="array" ref="A1476:A1477">{"FormulaRow09";(INDEX(CLASSLIST,A1459,1))}</f>
        <v>FormulaRow09</v>
      </c>
      <c r="B1476" s="77" t="s">
        <v>236</v>
      </c>
      <c r="C1476" s="76" t="str">
        <f t="array" ref="C1476:C1477">{"CLASSTYPE";((INDEX(ALLCLASSDATA,MATCH("ClassType",CLASSFEATUREHEADERS,0),MATCH($A1477,CLASSNAMEHEADERS,0))))}</f>
        <v>CLASSTYPE</v>
      </c>
      <c r="D1476" s="76" t="str">
        <f t="array" ref="D1476:D1477">{"CLASSABILITYPTS";"ClassAbilityPts"}</f>
        <v>CLASSABILITYPTS</v>
      </c>
      <c r="E1476" s="76" t="str">
        <f t="array" ref="E1476:E1477">{"CLASSABILITY1";"ClassAbility1"}</f>
        <v>CLASSABILITY1</v>
      </c>
      <c r="F1476" s="76"/>
      <c r="G1476" s="76"/>
      <c r="H1476" s="76"/>
      <c r="I1476" s="76"/>
      <c r="J1476" s="76" t="str">
        <f t="array" ref="J1476:J1477">{"CLASSABILITY1-L03PTS";((INDEX(ALLCLASSDATA,MATCH("ClassAbility1-L03",CLASSFEATUREHEADERS,0),MATCH(($A1477 &amp; "Points"),CLASSNAMEHEADERS,0))))}</f>
        <v>CLASSABILITY1-L03PTS</v>
      </c>
      <c r="K1476" s="76"/>
      <c r="L1476" s="76" t="str">
        <f t="array" ref="L1476:L1477">{"CLASSABILITY1-L05PTS";((INDEX(ALLCLASSDATA,MATCH("ClassAbility1-L05",CLASSFEATUREHEADERS,0),MATCH(($A1477 &amp; "Points"),CLASSNAMEHEADERS,0))))}</f>
        <v>CLASSABILITY1-L05PTS</v>
      </c>
      <c r="M1476" s="76"/>
      <c r="N1476" s="76" t="str">
        <f t="array" ref="N1476:N1477">{"CLASSABILITY1-L07PTS";((INDEX(ALLCLASSDATA,MATCH("ClassAbility1-L07",CLASSFEATUREHEADERS,0),MATCH(($A1477 &amp; "Points"),CLASSNAMEHEADERS,0))))}</f>
        <v>CLASSABILITY1-L07PTS</v>
      </c>
      <c r="O1476" s="76"/>
      <c r="P1476" s="76" t="str">
        <f t="array" ref="P1476:P1477">{"CLASSABILITY1-L09PTS";((INDEX(ALLCLASSDATA,MATCH("ClassAbility1-L09",CLASSFEATUREHEADERS,0),MATCH(($A1477 &amp; "Points"),CLASSNAMEHEADERS,0))))}</f>
        <v>CLASSABILITY1-L09PTS</v>
      </c>
      <c r="Q1476" s="76"/>
      <c r="R1476" s="76" t="str">
        <f t="array" ref="R1476:R1477">{"CLASSABILITY1-L11PTS";((INDEX(ALLCLASSDATA,MATCH("ClassAbility1-L11",CLASSFEATUREHEADERS,0),MATCH(($A1477 &amp; "Points"),CLASSNAMEHEADERS,0))))}</f>
        <v>CLASSABILITY1-L11PTS</v>
      </c>
      <c r="S1476" s="76"/>
      <c r="T1476" s="76" t="str">
        <f t="array" ref="T1476:T1477">{"CLASSABILITY1-L13PTS";((INDEX(ALLCLASSDATA,MATCH("ClassAbility1-L13",CLASSFEATUREHEADERS,0),MATCH(($A1477 &amp; "Points"),CLASSNAMEHEADERS,0))))}</f>
        <v>CLASSABILITY1-L13PTS</v>
      </c>
      <c r="U1476" s="76"/>
      <c r="V1476" s="76" t="str">
        <f t="array" ref="V1476:V1477">{"CLASSABILITY1-L15PTS";((INDEX(ALLCLASSDATA,MATCH("ClassAbility1-L15",CLASSFEATUREHEADERS,0),MATCH(($A1477 &amp; "Points"),CLASSNAMEHEADERS,0))))}</f>
        <v>CLASSABILITY1-L15PTS</v>
      </c>
      <c r="W1476" s="76"/>
      <c r="X1476" s="76" t="str">
        <f t="array" ref="X1476:X1477">{"CLASSABILITY1-L17PTS";((INDEX(ALLCLASSDATA,MATCH("ClassAbility1-L17",CLASSFEATUREHEADERS,0),MATCH(($A1477 &amp; "Points"),CLASSNAMEHEADERS,0))))}</f>
        <v>CLASSABILITY1-L17PTS</v>
      </c>
      <c r="Y1476" s="76"/>
      <c r="Z1476" s="76" t="str">
        <f t="array" ref="Z1476:Z1477">{"CLASSABILITY1-L19PTS";((INDEX(ALLCLASSDATA,MATCH("ClassAbility1-L19",CLASSFEATUREHEADERS,0),MATCH(($A1477 &amp; "Points"),CLASSNAMEHEADERS,0))))}</f>
        <v>CLASSABILITY1-L19PTS</v>
      </c>
      <c r="AA1476" s="76"/>
      <c r="AB1476" s="76"/>
      <c r="AC1476" s="76" t="str">
        <f t="array" ref="AC1476:AC1477">{"CLASSABILITY1 TOTAL";(sum(G1477:AA1477))}</f>
        <v>CLASSABILITY1 TOTAL</v>
      </c>
    </row>
    <row r="1477">
      <c r="A1477" s="48" t="s">
        <v>221</v>
      </c>
      <c r="B1477" s="48"/>
      <c r="C1477" s="48" t="s">
        <v>418</v>
      </c>
      <c r="D1477" s="48" t="s">
        <v>930</v>
      </c>
      <c r="E1477" s="48" t="s">
        <v>826</v>
      </c>
      <c r="F1477" s="5"/>
      <c r="G1477" s="5"/>
      <c r="H1477" s="5"/>
      <c r="I1477" s="5"/>
      <c r="J1477" s="48">
        <v>30.0</v>
      </c>
      <c r="K1477" s="5"/>
      <c r="L1477" s="5"/>
      <c r="M1477" s="5"/>
      <c r="N1477" s="5"/>
      <c r="O1477" s="5"/>
      <c r="P1477" s="5"/>
      <c r="Q1477" s="5"/>
      <c r="R1477" s="5"/>
      <c r="S1477" s="5"/>
      <c r="T1477" s="5"/>
      <c r="U1477" s="5"/>
      <c r="V1477" s="5"/>
      <c r="W1477" s="5"/>
      <c r="X1477" s="5"/>
      <c r="Y1477" s="5"/>
      <c r="Z1477" s="5"/>
      <c r="AA1477" s="5"/>
      <c r="AB1477" s="5"/>
      <c r="AC1477" s="47">
        <v>30.0</v>
      </c>
    </row>
    <row r="1478" hidden="1">
      <c r="A1478" s="76" t="str">
        <f t="array" ref="A1478:A1479">{"FormulaRow10";(INDEX(CLASSLIST,A1459,1))}</f>
        <v>FormulaRow10</v>
      </c>
      <c r="B1478" s="77" t="s">
        <v>236</v>
      </c>
      <c r="C1478" s="76" t="str">
        <f t="array" ref="C1478:C1479">{"CLASSTYPE";((INDEX(ALLCLASSDATA,MATCH("ClassType",CLASSFEATUREHEADERS,0),MATCH($A1479,CLASSNAMEHEADERS,0))))}</f>
        <v>CLASSTYPE</v>
      </c>
      <c r="D1478" s="76" t="str">
        <f t="array" ref="D1478:D1479">{"CLASSABILITY";"ClassAbility"}</f>
        <v>CLASSABILITY</v>
      </c>
      <c r="E1478" s="76" t="str">
        <f t="array" ref="E1478:E1479">{"CLASSABILITY2";"ClassAbility2"}</f>
        <v>CLASSABILITY2</v>
      </c>
      <c r="F1478" s="76"/>
      <c r="G1478" s="76"/>
      <c r="H1478" s="76"/>
      <c r="I1478" s="76"/>
      <c r="J1478" s="76" t="str">
        <f t="array" ref="J1478:J1479">{"CLASSABILITY2-L03";((INDEX(ALLCLASSDATA,MATCH("ClassAbility2-L03",CLASSFEATUREHEADERS,0),MATCH(($A1479),CLASSNAMEHEADERS,0))))}</f>
        <v>CLASSABILITY2-L03</v>
      </c>
      <c r="K1478" s="76"/>
      <c r="L1478" s="76" t="str">
        <f t="array" ref="L1478:L1479">{"CLASSABILITY2-L05";((INDEX(ALLCLASSDATA,MATCH("ClassAbility2-L05",CLASSFEATUREHEADERS,0),MATCH(($A1479),CLASSNAMEHEADERS,0))))}</f>
        <v>CLASSABILITY2-L05</v>
      </c>
      <c r="M1478" s="76"/>
      <c r="N1478" s="76" t="str">
        <f t="array" ref="N1478:N1479">{"CLASSABILITY2-L07";((INDEX(ALLCLASSDATA,MATCH("ClassAbility2-L07",CLASSFEATUREHEADERS,0),MATCH(($A1479),CLASSNAMEHEADERS,0))))}</f>
        <v>CLASSABILITY2-L07</v>
      </c>
      <c r="O1478" s="76"/>
      <c r="P1478" s="76" t="str">
        <f t="array" ref="P1478:P1479">{"CLASSABILITY2-L09";((INDEX(ALLCLASSDATA,MATCH("ClassAbility2-L09",CLASSFEATUREHEADERS,0),MATCH(($A1479),CLASSNAMEHEADERS,0))))}</f>
        <v>CLASSABILITY2-L09</v>
      </c>
      <c r="Q1478" s="76"/>
      <c r="R1478" s="76" t="str">
        <f t="array" ref="R1478:R1479">{"CLASSABILITY2-L11";((INDEX(ALLCLASSDATA,MATCH("ClassAbility2-L11",CLASSFEATUREHEADERS,0),MATCH(($A1479),CLASSNAMEHEADERS,0))))}</f>
        <v>CLASSABILITY2-L11</v>
      </c>
      <c r="S1478" s="76"/>
      <c r="T1478" s="76" t="str">
        <f t="array" ref="T1478:T1479">{"CLASSABILITY2-L13";((INDEX(ALLCLASSDATA,MATCH("ClassAbility2-L13",CLASSFEATUREHEADERS,0),MATCH(($A1479),CLASSNAMEHEADERS,0))))}</f>
        <v>CLASSABILITY2-L13</v>
      </c>
      <c r="U1478" s="76"/>
      <c r="V1478" s="76" t="str">
        <f t="array" ref="V1478:V1479">{"CLASSABILITY2-L15";((INDEX(ALLCLASSDATA,MATCH("ClassAbility2-L15",CLASSFEATUREHEADERS,0),MATCH(($A1479),CLASSNAMEHEADERS,0))))}</f>
        <v>CLASSABILITY2-L15</v>
      </c>
      <c r="W1478" s="76"/>
      <c r="X1478" s="76" t="str">
        <f t="array" ref="X1478:X1479">{"CLASSABILITY2-L17";((INDEX(ALLCLASSDATA,MATCH("ClassAbility2-L17",CLASSFEATUREHEADERS,0),MATCH(($A1479),CLASSNAMEHEADERS,0))))}</f>
        <v>CLASSABILITY2-L17</v>
      </c>
      <c r="Y1478" s="76"/>
      <c r="Z1478" s="76" t="str">
        <f t="array" ref="Z1478:Z1479">{"CLASSABILITY2-L19";((INDEX(ALLCLASSDATA,MATCH("ClassAbility2-L19",CLASSFEATUREHEADERS,0),MATCH(($A1479),CLASSNAMEHEADERS,0))))}</f>
        <v>CLASSABILITY2-L19</v>
      </c>
      <c r="AA1478" s="76"/>
      <c r="AB1478" s="76"/>
      <c r="AC1478" s="76"/>
    </row>
    <row r="1479">
      <c r="A1479" s="48" t="s">
        <v>221</v>
      </c>
      <c r="B1479" s="48"/>
      <c r="C1479" s="48" t="s">
        <v>418</v>
      </c>
      <c r="D1479" s="48" t="s">
        <v>825</v>
      </c>
      <c r="E1479" s="48" t="s">
        <v>1007</v>
      </c>
      <c r="F1479" s="48"/>
      <c r="G1479" s="47"/>
      <c r="H1479" s="5"/>
      <c r="I1479" s="5"/>
      <c r="J1479" s="5" t="s">
        <v>323</v>
      </c>
      <c r="K1479" s="5"/>
      <c r="L1479" s="5"/>
      <c r="M1479" s="5"/>
      <c r="N1479" s="5"/>
      <c r="O1479" s="5"/>
      <c r="P1479" s="5" t="s">
        <v>335</v>
      </c>
      <c r="Q1479" s="5"/>
      <c r="R1479" s="5" t="s">
        <v>308</v>
      </c>
      <c r="S1479" s="5"/>
      <c r="T1479" s="5" t="s">
        <v>1755</v>
      </c>
      <c r="U1479" s="5"/>
      <c r="V1479" s="5"/>
      <c r="W1479" s="5"/>
      <c r="X1479" s="5" t="s">
        <v>1783</v>
      </c>
      <c r="Y1479" s="5"/>
      <c r="Z1479" s="5" t="s">
        <v>356</v>
      </c>
      <c r="AA1479" s="5"/>
      <c r="AB1479" s="5"/>
      <c r="AC1479" s="47"/>
    </row>
    <row r="1480" hidden="1">
      <c r="A1480" s="76" t="str">
        <f t="array" ref="A1480:A1481">{"FormulaRow11";(INDEX(CLASSLIST,A1459,1))}</f>
        <v>FormulaRow11</v>
      </c>
      <c r="B1480" s="77" t="s">
        <v>236</v>
      </c>
      <c r="C1480" s="76" t="str">
        <f t="array" ref="C1480:C1481">{"CLASSTYPE";((INDEX(ALLCLASSDATA,MATCH("ClassType",CLASSFEATUREHEADERS,0),MATCH($A1481,CLASSNAMEHEADERS,0))))}</f>
        <v>CLASSTYPE</v>
      </c>
      <c r="D1480" s="76" t="str">
        <f t="array" ref="D1480:D1481">{"CLASSABILITYPTS";"ClassAbilityPts"}</f>
        <v>CLASSABILITYPTS</v>
      </c>
      <c r="E1480" s="76" t="str">
        <f t="array" ref="E1480:E1481">{"CLASSABILITY2";"ClassAbility2"}</f>
        <v>CLASSABILITY2</v>
      </c>
      <c r="F1480" s="76"/>
      <c r="G1480" s="76"/>
      <c r="H1480" s="76"/>
      <c r="I1480" s="76"/>
      <c r="J1480" s="76" t="str">
        <f t="array" ref="J1480:J1481">{"CLASSABILITY2-L03PTS";((INDEX(ALLCLASSDATA,MATCH("ClassAbility2-L03",CLASSFEATUREHEADERS,0),MATCH(($A1481 &amp; "Points"),CLASSNAMEHEADERS,0))))}</f>
        <v>CLASSABILITY2-L03PTS</v>
      </c>
      <c r="K1480" s="76"/>
      <c r="L1480" s="76" t="str">
        <f t="array" ref="L1480:L1481">{"CLASSABILITY2-L05PTS";((INDEX(ALLCLASSDATA,MATCH("ClassAbility2-L05",CLASSFEATUREHEADERS,0),MATCH(($A1481 &amp; "Points"),CLASSNAMEHEADERS,0))))}</f>
        <v>CLASSABILITY2-L05PTS</v>
      </c>
      <c r="M1480" s="76"/>
      <c r="N1480" s="76" t="str">
        <f t="array" ref="N1480:N1481">{"CLASSABILITY2-L07PTS";((INDEX(ALLCLASSDATA,MATCH("ClassAbility2-L07",CLASSFEATUREHEADERS,0),MATCH(($A1481 &amp; "Points"),CLASSNAMEHEADERS,0))))}</f>
        <v>CLASSABILITY2-L07PTS</v>
      </c>
      <c r="O1480" s="76"/>
      <c r="P1480" s="76" t="str">
        <f t="array" ref="P1480:P1481">{"CLASSABILITY2-L09PTS";((INDEX(ALLCLASSDATA,MATCH("ClassAbility2-L09",CLASSFEATUREHEADERS,0),MATCH(($A1481 &amp; "Points"),CLASSNAMEHEADERS,0))))}</f>
        <v>CLASSABILITY2-L09PTS</v>
      </c>
      <c r="Q1480" s="76"/>
      <c r="R1480" s="76" t="str">
        <f t="array" ref="R1480:R1481">{"CLASSABILITY2-L11PTS";((INDEX(ALLCLASSDATA,MATCH("ClassAbility2-L11",CLASSFEATUREHEADERS,0),MATCH(($A1481 &amp; "Points"),CLASSNAMEHEADERS,0))))}</f>
        <v>CLASSABILITY2-L11PTS</v>
      </c>
      <c r="S1480" s="76"/>
      <c r="T1480" s="76" t="str">
        <f t="array" ref="T1480:T1481">{"CLASSABILITY2-L13PTS";((INDEX(ALLCLASSDATA,MATCH("ClassAbility2-L13",CLASSFEATUREHEADERS,0),MATCH(($A1481 &amp; "Points"),CLASSNAMEHEADERS,0))))}</f>
        <v>CLASSABILITY2-L13PTS</v>
      </c>
      <c r="U1480" s="76"/>
      <c r="V1480" s="76" t="str">
        <f t="array" ref="V1480:V1481">{"CLASSABILITY2-L15PTS";((INDEX(ALLCLASSDATA,MATCH("ClassAbility2-L15",CLASSFEATUREHEADERS,0),MATCH(($A1481 &amp; "Points"),CLASSNAMEHEADERS,0))))}</f>
        <v>CLASSABILITY2-L15PTS</v>
      </c>
      <c r="W1480" s="76"/>
      <c r="X1480" s="76" t="str">
        <f t="array" ref="X1480:X1481">{"CLASSABILITY2-L17PTS";((INDEX(ALLCLASSDATA,MATCH("ClassAbility2-L17",CLASSFEATUREHEADERS,0),MATCH(($A1481 &amp; "Points"),CLASSNAMEHEADERS,0))))}</f>
        <v>CLASSABILITY2-L17PTS</v>
      </c>
      <c r="Y1480" s="76"/>
      <c r="Z1480" s="76" t="str">
        <f t="array" ref="Z1480:Z1481">{"CLASSABILITY2-L19PTS";((INDEX(ALLCLASSDATA,MATCH("ClassAbility2-L19",CLASSFEATUREHEADERS,0),MATCH(($A1481 &amp; "Points"),CLASSNAMEHEADERS,0))))}</f>
        <v>CLASSABILITY2-L19PTS</v>
      </c>
      <c r="AA1480" s="76"/>
      <c r="AB1480" s="76"/>
      <c r="AC1480" s="76" t="str">
        <f t="array" ref="AC1480:AC1481">{"CLASSABILITY2 TOTAL";(sum(G1481:AA1481))}</f>
        <v>CLASSABILITY2 TOTAL</v>
      </c>
    </row>
    <row r="1481">
      <c r="A1481" s="48" t="s">
        <v>221</v>
      </c>
      <c r="B1481" s="48"/>
      <c r="C1481" s="48" t="s">
        <v>418</v>
      </c>
      <c r="D1481" s="48" t="s">
        <v>930</v>
      </c>
      <c r="E1481" s="48" t="s">
        <v>1007</v>
      </c>
      <c r="F1481" s="48"/>
      <c r="G1481" s="47"/>
      <c r="H1481" s="5"/>
      <c r="I1481" s="5"/>
      <c r="J1481" s="5"/>
      <c r="K1481" s="5"/>
      <c r="L1481" s="5"/>
      <c r="M1481" s="5"/>
      <c r="N1481" s="5"/>
      <c r="O1481" s="5"/>
      <c r="P1481" s="5"/>
      <c r="Q1481" s="5"/>
      <c r="R1481" s="5"/>
      <c r="S1481" s="5"/>
      <c r="T1481" s="5"/>
      <c r="U1481" s="5"/>
      <c r="V1481" s="5"/>
      <c r="W1481" s="5"/>
      <c r="X1481" s="5">
        <v>-190.0</v>
      </c>
      <c r="Y1481" s="5"/>
      <c r="Z1481" s="5"/>
      <c r="AA1481" s="5"/>
      <c r="AB1481" s="5"/>
      <c r="AC1481" s="47">
        <v>-190.0</v>
      </c>
    </row>
    <row r="1482" hidden="1">
      <c r="A1482" s="76" t="str">
        <f t="array" ref="A1482:A1483">{"FormulaRow12";(INDEX(CLASSLIST,A1459,1))}</f>
        <v>FormulaRow12</v>
      </c>
      <c r="B1482" s="77" t="s">
        <v>236</v>
      </c>
      <c r="C1482" s="76" t="str">
        <f t="array" ref="C1482:C1483">{"CLASSTYPE";((INDEX(ALLCLASSDATA,MATCH("ClassType",CLASSFEATUREHEADERS,0),MATCH($A1483,CLASSNAMEHEADERS,0))))}</f>
        <v>CLASSTYPE</v>
      </c>
      <c r="D1482" s="76" t="str">
        <f t="array" ref="D1482:D1483">{"CLASSABILITY";"ClassAbility"}</f>
        <v>CLASSABILITY</v>
      </c>
      <c r="E1482" s="76" t="str">
        <f t="array" ref="E1482:E1483">{"CLASSABILITY3";"ClassAbility3"}</f>
        <v>CLASSABILITY3</v>
      </c>
      <c r="F1482" s="76"/>
      <c r="G1482" s="76"/>
      <c r="H1482" s="76"/>
      <c r="I1482" s="76"/>
      <c r="J1482" s="76" t="str">
        <f t="array" ref="J1482:J1483">{"CLASSABILITY3-L03";((INDEX(ALLCLASSDATA,MATCH("ClassAbility3-L03",CLASSFEATUREHEADERS,0),MATCH(($A1483),CLASSNAMEHEADERS,0))))}</f>
        <v>CLASSABILITY3-L03</v>
      </c>
      <c r="K1482" s="76"/>
      <c r="L1482" s="76" t="str">
        <f t="array" ref="L1482:L1483">{"CLASSABILITY3-L05";((INDEX(ALLCLASSDATA,MATCH("ClassAbility3-L05",CLASSFEATUREHEADERS,0),MATCH(($A1483),CLASSNAMEHEADERS,0))))}</f>
        <v>CLASSABILITY3-L05</v>
      </c>
      <c r="M1482" s="76"/>
      <c r="N1482" s="76" t="str">
        <f t="array" ref="N1482:N1483">{"CLASSABILITY3-L07";((INDEX(ALLCLASSDATA,MATCH("ClassAbility3-L07",CLASSFEATUREHEADERS,0),MATCH(($A1483),CLASSNAMEHEADERS,0))))}</f>
        <v>CLASSABILITY3-L07</v>
      </c>
      <c r="O1482" s="76"/>
      <c r="P1482" s="76" t="str">
        <f t="array" ref="P1482:P1483">{"CLASSABILITY3-L09";((INDEX(ALLCLASSDATA,MATCH("ClassAbility3-L09",CLASSFEATUREHEADERS,0),MATCH(($A1483),CLASSNAMEHEADERS,0))))}</f>
        <v>CLASSABILITY3-L09</v>
      </c>
      <c r="Q1482" s="76"/>
      <c r="R1482" s="76" t="str">
        <f t="array" ref="R1482:R1483">{"CLASSABILITY3-L11";((INDEX(ALLCLASSDATA,MATCH("ClassAbility3-L11",CLASSFEATUREHEADERS,0),MATCH(($A1483),CLASSNAMEHEADERS,0))))}</f>
        <v>CLASSABILITY3-L11</v>
      </c>
      <c r="S1482" s="76"/>
      <c r="T1482" s="76" t="str">
        <f t="array" ref="T1482:T1483">{"CLASSABILITY3-L13";((INDEX(ALLCLASSDATA,MATCH("ClassAbility3-L13",CLASSFEATUREHEADERS,0),MATCH(($A1483),CLASSNAMEHEADERS,0))))}</f>
        <v>CLASSABILITY3-L13</v>
      </c>
      <c r="U1482" s="76"/>
      <c r="V1482" s="76" t="str">
        <f t="array" ref="V1482:V1483">{"CLASSABILITY3-L15";((INDEX(ALLCLASSDATA,MATCH("ClassAbility3-L15",CLASSFEATUREHEADERS,0),MATCH(($A1483),CLASSNAMEHEADERS,0))))}</f>
        <v>CLASSABILITY3-L15</v>
      </c>
      <c r="W1482" s="76"/>
      <c r="X1482" s="76" t="str">
        <f t="array" ref="X1482:X1483">{"CLASSABILITY3-L17";((INDEX(ALLCLASSDATA,MATCH("ClassAbility3-L17",CLASSFEATUREHEADERS,0),MATCH(($A1483),CLASSNAMEHEADERS,0))))}</f>
        <v>CLASSABILITY3-L17</v>
      </c>
      <c r="Y1482" s="76"/>
      <c r="Z1482" s="76" t="str">
        <f t="array" ref="Z1482:Z1483">{"CLASSABILITY3-L19";((INDEX(ALLCLASSDATA,MATCH("ClassAbility3-L19",CLASSFEATUREHEADERS,0),MATCH(($A1483),CLASSNAMEHEADERS,0))))}</f>
        <v>CLASSABILITY3-L19</v>
      </c>
      <c r="AA1482" s="76"/>
      <c r="AB1482" s="76"/>
      <c r="AC1482" s="76"/>
    </row>
    <row r="1483">
      <c r="A1483" s="48" t="s">
        <v>221</v>
      </c>
      <c r="B1483" s="48"/>
      <c r="C1483" s="48" t="s">
        <v>418</v>
      </c>
      <c r="D1483" s="48" t="s">
        <v>825</v>
      </c>
      <c r="E1483" s="48" t="s">
        <v>1144</v>
      </c>
      <c r="F1483" s="48"/>
      <c r="G1483" s="47"/>
      <c r="H1483" s="5"/>
      <c r="I1483" s="5"/>
      <c r="J1483" s="5"/>
      <c r="K1483" s="5"/>
      <c r="L1483" s="5"/>
      <c r="M1483" s="5"/>
      <c r="N1483" s="5"/>
      <c r="O1483" s="5"/>
      <c r="P1483" s="5"/>
      <c r="Q1483" s="5"/>
      <c r="R1483" s="5"/>
      <c r="S1483" s="5"/>
      <c r="T1483" s="5"/>
      <c r="U1483" s="5"/>
      <c r="V1483" s="5"/>
      <c r="W1483" s="5"/>
      <c r="X1483" s="5"/>
      <c r="Y1483" s="5"/>
      <c r="Z1483" s="5"/>
      <c r="AA1483" s="5"/>
      <c r="AB1483" s="5"/>
      <c r="AC1483" s="47"/>
    </row>
    <row r="1484" hidden="1">
      <c r="A1484" s="76" t="str">
        <f t="array" ref="A1484:A1485">{"FormulaRow13";(INDEX(CLASSLIST,A1459,1))}</f>
        <v>FormulaRow13</v>
      </c>
      <c r="B1484" s="77" t="s">
        <v>236</v>
      </c>
      <c r="C1484" s="76" t="str">
        <f t="array" ref="C1484:C1485">{"CLASSTYPE";((INDEX(ALLCLASSDATA,MATCH("ClassType",CLASSFEATUREHEADERS,0),MATCH($A1485,CLASSNAMEHEADERS,0))))}</f>
        <v>CLASSTYPE</v>
      </c>
      <c r="D1484" s="76" t="str">
        <f t="array" ref="D1484:D1485">{"CLASSABILITYPTS";"ClassAbilityPts"}</f>
        <v>CLASSABILITYPTS</v>
      </c>
      <c r="E1484" s="76" t="str">
        <f t="array" ref="E1484:E1485">{"CLASSABILITY3";"ClassAbility3"}</f>
        <v>CLASSABILITY3</v>
      </c>
      <c r="F1484" s="76"/>
      <c r="G1484" s="76"/>
      <c r="H1484" s="76"/>
      <c r="I1484" s="76"/>
      <c r="J1484" s="76" t="str">
        <f t="array" ref="J1484:J1485">{"CLASSABILITY3-L03PTS";((INDEX(ALLCLASSDATA,MATCH("ClassAbility3-L03",CLASSFEATUREHEADERS,0),MATCH(($A1485 &amp; "Points"),CLASSNAMEHEADERS,0))))}</f>
        <v>CLASSABILITY3-L03PTS</v>
      </c>
      <c r="K1484" s="76"/>
      <c r="L1484" s="76" t="str">
        <f t="array" ref="L1484:L1485">{"CLASSABILITY3-L05PTS";((INDEX(ALLCLASSDATA,MATCH("ClassAbility3-L05",CLASSFEATUREHEADERS,0),MATCH(($A1485 &amp; "Points"),CLASSNAMEHEADERS,0))))}</f>
        <v>CLASSABILITY3-L05PTS</v>
      </c>
      <c r="M1484" s="76"/>
      <c r="N1484" s="76" t="str">
        <f t="array" ref="N1484:N1485">{"CLASSABILITY3-L07PTS";((INDEX(ALLCLASSDATA,MATCH("ClassAbility3-L07",CLASSFEATUREHEADERS,0),MATCH(($A1485 &amp; "Points"),CLASSNAMEHEADERS,0))))}</f>
        <v>CLASSABILITY3-L07PTS</v>
      </c>
      <c r="O1484" s="76"/>
      <c r="P1484" s="76" t="str">
        <f t="array" ref="P1484:P1485">{"CLASSABILITY3-L09PTS";((INDEX(ALLCLASSDATA,MATCH("ClassAbility3-L09",CLASSFEATUREHEADERS,0),MATCH(($A1485 &amp; "Points"),CLASSNAMEHEADERS,0))))}</f>
        <v>CLASSABILITY3-L09PTS</v>
      </c>
      <c r="Q1484" s="76"/>
      <c r="R1484" s="76" t="str">
        <f t="array" ref="R1484:R1485">{"CLASSABILITY3-L11PTS";((INDEX(ALLCLASSDATA,MATCH("ClassAbility3-L11",CLASSFEATUREHEADERS,0),MATCH(($A1485 &amp; "Points"),CLASSNAMEHEADERS,0))))}</f>
        <v>CLASSABILITY3-L11PTS</v>
      </c>
      <c r="S1484" s="76"/>
      <c r="T1484" s="76" t="str">
        <f t="array" ref="T1484:T1485">{"CLASSABILITY3-L13PTS";((INDEX(ALLCLASSDATA,MATCH("ClassAbility3-L13",CLASSFEATUREHEADERS,0),MATCH(($A1485 &amp; "Points"),CLASSNAMEHEADERS,0))))}</f>
        <v>CLASSABILITY3-L13PTS</v>
      </c>
      <c r="U1484" s="76"/>
      <c r="V1484" s="76" t="str">
        <f t="array" ref="V1484:V1485">{"CLASSABILITY3-L15PTS";((INDEX(ALLCLASSDATA,MATCH("ClassAbility3-L15",CLASSFEATUREHEADERS,0),MATCH(($A1485 &amp; "Points"),CLASSNAMEHEADERS,0))))}</f>
        <v>CLASSABILITY3-L15PTS</v>
      </c>
      <c r="W1484" s="76"/>
      <c r="X1484" s="76" t="str">
        <f t="array" ref="X1484:X1485">{"CLASSABILITY3-L17PTS";((INDEX(ALLCLASSDATA,MATCH("ClassAbility3-L17",CLASSFEATUREHEADERS,0),MATCH(($A1485 &amp; "Points"),CLASSNAMEHEADERS,0))))}</f>
        <v>CLASSABILITY3-L17PTS</v>
      </c>
      <c r="Y1484" s="76"/>
      <c r="Z1484" s="76" t="str">
        <f t="array" ref="Z1484:Z1485">{"CLASSABILITY3-L19PTS";((INDEX(ALLCLASSDATA,MATCH("ClassAbility3-L19",CLASSFEATUREHEADERS,0),MATCH(($A1485 &amp; "Points"),CLASSNAMEHEADERS,0))))}</f>
        <v>CLASSABILITY3-L19PTS</v>
      </c>
      <c r="AA1484" s="76"/>
      <c r="AB1484" s="76"/>
      <c r="AC1484" s="76" t="str">
        <f t="array" ref="AC1484:AC1485">{"CLASSABILITY3 TOTAL";(sum(G1485:AA1485))}</f>
        <v>CLASSABILITY3 TOTAL</v>
      </c>
    </row>
    <row r="1485">
      <c r="A1485" s="48" t="s">
        <v>221</v>
      </c>
      <c r="B1485" s="48"/>
      <c r="C1485" s="48" t="s">
        <v>418</v>
      </c>
      <c r="D1485" s="48" t="s">
        <v>930</v>
      </c>
      <c r="E1485" s="48" t="s">
        <v>1144</v>
      </c>
      <c r="F1485" s="48"/>
      <c r="G1485" s="47"/>
      <c r="H1485" s="5"/>
      <c r="I1485" s="5"/>
      <c r="J1485" s="5"/>
      <c r="K1485" s="5"/>
      <c r="L1485" s="5"/>
      <c r="M1485" s="5"/>
      <c r="N1485" s="5"/>
      <c r="O1485" s="5"/>
      <c r="P1485" s="5"/>
      <c r="Q1485" s="5"/>
      <c r="R1485" s="5"/>
      <c r="S1485" s="5"/>
      <c r="T1485" s="5"/>
      <c r="U1485" s="5"/>
      <c r="V1485" s="5"/>
      <c r="W1485" s="5"/>
      <c r="X1485" s="5"/>
      <c r="Y1485" s="5"/>
      <c r="Z1485" s="5"/>
      <c r="AA1485" s="5"/>
      <c r="AB1485" s="5"/>
      <c r="AC1485" s="47">
        <v>0.0</v>
      </c>
    </row>
    <row r="1486" hidden="1">
      <c r="A1486" s="76" t="str">
        <f t="array" ref="A1486:A1487">{"FormulaRow14";(INDEX(CLASSLIST,A1459,1))}</f>
        <v>FormulaRow14</v>
      </c>
      <c r="B1486" s="77" t="s">
        <v>236</v>
      </c>
      <c r="C1486" s="76" t="str">
        <f t="array" ref="C1486:C1487">{"CLASSTYPE";((INDEX(ALLCLASSDATA,MATCH("ClassType",CLASSFEATUREHEADERS,0),MATCH($A1487,CLASSNAMEHEADERS,0))))}</f>
        <v>CLASSTYPE</v>
      </c>
      <c r="D1486" s="76" t="str">
        <f t="array" ref="D1486:D1487">{"CLASSABILITY";"ClassAbility"}</f>
        <v>CLASSABILITY</v>
      </c>
      <c r="E1486" s="76" t="str">
        <f t="array" ref="E1486:E1487">{"CLASSABILITY4";"ClassAbility4"}</f>
        <v>CLASSABILITY4</v>
      </c>
      <c r="F1486" s="76"/>
      <c r="G1486" s="76"/>
      <c r="H1486" s="76"/>
      <c r="I1486" s="76"/>
      <c r="J1486" s="76" t="str">
        <f t="array" ref="J1486:J1487">{"CLASSABILITY4-L03";((INDEX(ALLCLASSDATA,MATCH("ClassAbility4-L03",CLASSFEATUREHEADERS,0),MATCH(($A1487),CLASSNAMEHEADERS,0))))}</f>
        <v>CLASSABILITY4-L03</v>
      </c>
      <c r="K1486" s="76"/>
      <c r="L1486" s="76" t="str">
        <f t="array" ref="L1486:L1487">{"CLASSABILITY4-L05";((INDEX(ALLCLASSDATA,MATCH("ClassAbility4-L05",CLASSFEATUREHEADERS,0),MATCH(($A1487),CLASSNAMEHEADERS,0))))}</f>
        <v>CLASSABILITY4-L05</v>
      </c>
      <c r="M1486" s="76"/>
      <c r="N1486" s="76" t="str">
        <f t="array" ref="N1486:N1487">{"CLASSABILITY4-L07";((INDEX(ALLCLASSDATA,MATCH("ClassAbility4-L07",CLASSFEATUREHEADERS,0),MATCH(($A1487),CLASSNAMEHEADERS,0))))}</f>
        <v>CLASSABILITY4-L07</v>
      </c>
      <c r="O1486" s="76"/>
      <c r="P1486" s="76" t="str">
        <f t="array" ref="P1486:P1487">{"CLASSABILITY4-L09";((INDEX(ALLCLASSDATA,MATCH("ClassAbility4-L09",CLASSFEATUREHEADERS,0),MATCH(($A1487),CLASSNAMEHEADERS,0))))}</f>
        <v>CLASSABILITY4-L09</v>
      </c>
      <c r="Q1486" s="76"/>
      <c r="R1486" s="76" t="str">
        <f t="array" ref="R1486:R1487">{"CLASSABILITY4-L11";((INDEX(ALLCLASSDATA,MATCH("ClassAbility4-L11",CLASSFEATUREHEADERS,0),MATCH(($A1487),CLASSNAMEHEADERS,0))))}</f>
        <v>CLASSABILITY4-L11</v>
      </c>
      <c r="S1486" s="76"/>
      <c r="T1486" s="76" t="str">
        <f t="array" ref="T1486:T1487">{"CLASSABILITY4-L13";((INDEX(ALLCLASSDATA,MATCH("ClassAbility4-L13",CLASSFEATUREHEADERS,0),MATCH(($A1487),CLASSNAMEHEADERS,0))))}</f>
        <v>CLASSABILITY4-L13</v>
      </c>
      <c r="U1486" s="76"/>
      <c r="V1486" s="76" t="str">
        <f t="array" ref="V1486:V1487">{"CLASSABILITY4-L15";((INDEX(ALLCLASSDATA,MATCH("ClassAbility4-L15",CLASSFEATUREHEADERS,0),MATCH(($A1487),CLASSNAMEHEADERS,0))))}</f>
        <v>CLASSABILITY4-L15</v>
      </c>
      <c r="W1486" s="76"/>
      <c r="X1486" s="76" t="str">
        <f t="array" ref="X1486:X1487">{"CLASSABILITY4-L17";((INDEX(ALLCLASSDATA,MATCH("ClassAbility4-L17",CLASSFEATUREHEADERS,0),MATCH(($A1487),CLASSNAMEHEADERS,0))))}</f>
        <v>CLASSABILITY4-L17</v>
      </c>
      <c r="Y1486" s="76"/>
      <c r="Z1486" s="76" t="str">
        <f t="array" ref="Z1486:Z1487">{"CLASSABILITY4-L19";((INDEX(ALLCLASSDATA,MATCH("ClassAbility4-L19",CLASSFEATUREHEADERS,0),MATCH(($A1487),CLASSNAMEHEADERS,0))))}</f>
        <v>CLASSABILITY4-L19</v>
      </c>
      <c r="AA1486" s="76"/>
      <c r="AB1486" s="76"/>
      <c r="AC1486" s="76"/>
    </row>
    <row r="1487">
      <c r="A1487" s="48" t="s">
        <v>221</v>
      </c>
      <c r="B1487" s="48"/>
      <c r="C1487" s="48" t="s">
        <v>418</v>
      </c>
      <c r="D1487" s="48" t="s">
        <v>825</v>
      </c>
      <c r="E1487" s="48" t="s">
        <v>1273</v>
      </c>
      <c r="F1487" s="48"/>
      <c r="G1487" s="47"/>
      <c r="H1487" s="5"/>
      <c r="I1487" s="5"/>
      <c r="J1487" s="5"/>
      <c r="K1487" s="5"/>
      <c r="L1487" s="5"/>
      <c r="M1487" s="5"/>
      <c r="N1487" s="5"/>
      <c r="O1487" s="5"/>
      <c r="P1487" s="5"/>
      <c r="Q1487" s="5"/>
      <c r="R1487" s="5"/>
      <c r="S1487" s="5"/>
      <c r="T1487" s="5"/>
      <c r="U1487" s="5"/>
      <c r="V1487" s="5"/>
      <c r="W1487" s="5"/>
      <c r="X1487" s="5"/>
      <c r="Y1487" s="5"/>
      <c r="Z1487" s="5"/>
      <c r="AA1487" s="5"/>
      <c r="AB1487" s="5"/>
      <c r="AC1487" s="47"/>
    </row>
    <row r="1488" hidden="1">
      <c r="A1488" s="76" t="str">
        <f t="array" ref="A1488:A1489">{"FormulaRow15";(INDEX(CLASSLIST,A1459,1))}</f>
        <v>FormulaRow15</v>
      </c>
      <c r="B1488" s="77" t="s">
        <v>236</v>
      </c>
      <c r="C1488" s="76" t="str">
        <f t="array" ref="C1488:C1489">{"CLASSTYPE";((INDEX(ALLCLASSDATA,MATCH("ClassType",CLASSFEATUREHEADERS,0),MATCH($A1489,CLASSNAMEHEADERS,0))))}</f>
        <v>CLASSTYPE</v>
      </c>
      <c r="D1488" s="76" t="str">
        <f t="array" ref="D1488:D1489">{"CLASSABILITYPTS";"ClassAbilityPts"}</f>
        <v>CLASSABILITYPTS</v>
      </c>
      <c r="E1488" s="76" t="str">
        <f t="array" ref="E1488:E1489">{"CLASSABILITY4";"ClassAbility4"}</f>
        <v>CLASSABILITY4</v>
      </c>
      <c r="F1488" s="76"/>
      <c r="G1488" s="76"/>
      <c r="H1488" s="76"/>
      <c r="I1488" s="76"/>
      <c r="J1488" s="76" t="str">
        <f t="array" ref="J1488:J1489">{"CLASSABILITY4-L03PTS";((INDEX(ALLCLASSDATA,MATCH("ClassAbility4-L03",CLASSFEATUREHEADERS,0),MATCH(($A1489 &amp; "Points"),CLASSNAMEHEADERS,0))))}</f>
        <v>CLASSABILITY4-L03PTS</v>
      </c>
      <c r="K1488" s="76"/>
      <c r="L1488" s="76" t="str">
        <f t="array" ref="L1488:L1489">{"CLASSABILITY4-L05PTS";((INDEX(ALLCLASSDATA,MATCH("ClassAbility4-L05",CLASSFEATUREHEADERS,0),MATCH(($A1489 &amp; "Points"),CLASSNAMEHEADERS,0))))}</f>
        <v>CLASSABILITY4-L05PTS</v>
      </c>
      <c r="M1488" s="76"/>
      <c r="N1488" s="76" t="str">
        <f t="array" ref="N1488:N1489">{"CLASSABILITY4-L07PTS";((INDEX(ALLCLASSDATA,MATCH("ClassAbility4-L07",CLASSFEATUREHEADERS,0),MATCH(($A1489 &amp; "Points"),CLASSNAMEHEADERS,0))))}</f>
        <v>CLASSABILITY4-L07PTS</v>
      </c>
      <c r="O1488" s="76"/>
      <c r="P1488" s="76" t="str">
        <f t="array" ref="P1488:P1489">{"CLASSABILITY4-L09PTS";((INDEX(ALLCLASSDATA,MATCH("ClassAbility4-L09",CLASSFEATUREHEADERS,0),MATCH(($A1489 &amp; "Points"),CLASSNAMEHEADERS,0))))}</f>
        <v>CLASSABILITY4-L09PTS</v>
      </c>
      <c r="Q1488" s="76"/>
      <c r="R1488" s="76" t="str">
        <f t="array" ref="R1488:R1489">{"CLASSABILITY4-L11PTS";((INDEX(ALLCLASSDATA,MATCH("ClassAbility4-L11",CLASSFEATUREHEADERS,0),MATCH(($A1489 &amp; "Points"),CLASSNAMEHEADERS,0))))}</f>
        <v>CLASSABILITY4-L11PTS</v>
      </c>
      <c r="S1488" s="76"/>
      <c r="T1488" s="76" t="str">
        <f t="array" ref="T1488:T1489">{"CLASSABILITY4-L13PTS";((INDEX(ALLCLASSDATA,MATCH("ClassAbility4-L13",CLASSFEATUREHEADERS,0),MATCH(($A1489 &amp; "Points"),CLASSNAMEHEADERS,0))))}</f>
        <v>CLASSABILITY4-L13PTS</v>
      </c>
      <c r="U1488" s="76"/>
      <c r="V1488" s="76" t="str">
        <f t="array" ref="V1488:V1489">{"CLASSABILITY4-L15PTS";((INDEX(ALLCLASSDATA,MATCH("ClassAbility4-L15",CLASSFEATUREHEADERS,0),MATCH(($A1489 &amp; "Points"),CLASSNAMEHEADERS,0))))}</f>
        <v>CLASSABILITY4-L15PTS</v>
      </c>
      <c r="W1488" s="76"/>
      <c r="X1488" s="76" t="str">
        <f t="array" ref="X1488:X1489">{"CLASSABILITY4-L17PTS";((INDEX(ALLCLASSDATA,MATCH("ClassAbility4-L17",CLASSFEATUREHEADERS,0),MATCH(($A1489 &amp; "Points"),CLASSNAMEHEADERS,0))))}</f>
        <v>CLASSABILITY4-L17PTS</v>
      </c>
      <c r="Y1488" s="76"/>
      <c r="Z1488" s="76" t="str">
        <f t="array" ref="Z1488:Z1489">{"CLASSABILITY4-L19PTS";((INDEX(ALLCLASSDATA,MATCH("ClassAbility4-L19",CLASSFEATUREHEADERS,0),MATCH(($A1489 &amp; "Points"),CLASSNAMEHEADERS,0))))}</f>
        <v>CLASSABILITY4-L19PTS</v>
      </c>
      <c r="AA1488" s="76"/>
      <c r="AB1488" s="76"/>
      <c r="AC1488" s="76" t="str">
        <f t="array" ref="AC1488:AC1489">{"CLASSABILITY4 TOTAL";(sum(G1489:AA1489))}</f>
        <v>CLASSABILITY4 TOTAL</v>
      </c>
    </row>
    <row r="1489">
      <c r="A1489" s="48" t="s">
        <v>221</v>
      </c>
      <c r="B1489" s="48"/>
      <c r="C1489" s="48" t="s">
        <v>418</v>
      </c>
      <c r="D1489" s="48" t="s">
        <v>930</v>
      </c>
      <c r="E1489" s="48" t="s">
        <v>1273</v>
      </c>
      <c r="F1489" s="48"/>
      <c r="G1489" s="47"/>
      <c r="H1489" s="5"/>
      <c r="I1489" s="5"/>
      <c r="J1489" s="5"/>
      <c r="K1489" s="5"/>
      <c r="L1489" s="5"/>
      <c r="M1489" s="5"/>
      <c r="N1489" s="5"/>
      <c r="O1489" s="5"/>
      <c r="P1489" s="5"/>
      <c r="Q1489" s="5"/>
      <c r="R1489" s="5"/>
      <c r="S1489" s="5"/>
      <c r="T1489" s="5"/>
      <c r="U1489" s="5"/>
      <c r="V1489" s="5"/>
      <c r="W1489" s="5"/>
      <c r="X1489" s="5"/>
      <c r="Y1489" s="5"/>
      <c r="Z1489" s="5"/>
      <c r="AA1489" s="5"/>
      <c r="AB1489" s="5"/>
      <c r="AC1489" s="47">
        <v>0.0</v>
      </c>
    </row>
    <row r="1490" hidden="1">
      <c r="A1490" s="76" t="str">
        <f t="array" ref="A1490:A1491">{"FormulaRow16";(INDEX(CLASSLIST,A1459,1))}</f>
        <v>FormulaRow16</v>
      </c>
      <c r="B1490" s="77" t="s">
        <v>236</v>
      </c>
      <c r="C1490" s="76" t="str">
        <f t="array" ref="C1490:C1491">{"CLASSTYPE";((INDEX(ALLCLASSDATA,MATCH("ClassType",CLASSFEATUREHEADERS,0),MATCH($A1491,CLASSNAMEHEADERS,0))))}</f>
        <v>CLASSTYPE</v>
      </c>
      <c r="D1490" s="76" t="str">
        <f t="array" ref="D1490:D1491">{"CLASSABILITY";"ClassAbility"}</f>
        <v>CLASSABILITY</v>
      </c>
      <c r="E1490" s="76" t="str">
        <f t="array" ref="E1490:E1491">{"SUBCLASSABILITY1";"SubclassAbility1"}</f>
        <v>SUBCLASSABILITY1</v>
      </c>
      <c r="F1490" s="76"/>
      <c r="G1490" s="76"/>
      <c r="H1490" s="76"/>
      <c r="I1490" s="76"/>
      <c r="J1490" s="76" t="str">
        <f t="array" ref="J1490:J1491">{"SUBCLASSABILITY1-L03";((INDEX(ALLCLASSDATA,MATCH("SubclassAbility1-L03",CLASSFEATUREHEADERS,0),MATCH(($A1491),CLASSNAMEHEADERS,0))))}</f>
        <v>SUBCLASSABILITY1-L03</v>
      </c>
      <c r="K1490" s="76"/>
      <c r="L1490" s="76" t="str">
        <f t="array" ref="L1490:L1491">{"SUBCLASSABILITY1-L05";((INDEX(ALLCLASSDATA,MATCH("SubclassAbility1-L05",CLASSFEATUREHEADERS,0),MATCH(($A1491),CLASSNAMEHEADERS,0))))}</f>
        <v>SUBCLASSABILITY1-L05</v>
      </c>
      <c r="M1490" s="76"/>
      <c r="N1490" s="76" t="str">
        <f t="array" ref="N1490:N1491">{"SUBCLASSABILITY1-L07";((INDEX(ALLCLASSDATA,MATCH("SubclassAbility1-L07",CLASSFEATUREHEADERS,0),MATCH(($A1491),CLASSNAMEHEADERS,0))))}</f>
        <v>SUBCLASSABILITY1-L07</v>
      </c>
      <c r="O1490" s="76"/>
      <c r="P1490" s="76" t="str">
        <f t="array" ref="P1490:P1491">{"SUBCLASSABILITY1-L09";((INDEX(ALLCLASSDATA,MATCH("SubclassAbility1-L09",CLASSFEATUREHEADERS,0),MATCH(($A1491),CLASSNAMEHEADERS,0))))}</f>
        <v>SUBCLASSABILITY1-L09</v>
      </c>
      <c r="Q1490" s="76"/>
      <c r="R1490" s="76" t="str">
        <f t="array" ref="R1490:R1491">{"SUBCLASSABILITY1-L11";((INDEX(ALLCLASSDATA,MATCH("SubclassAbility1-L11",CLASSFEATUREHEADERS,0),MATCH(($A1491),CLASSNAMEHEADERS,0))))}</f>
        <v>SUBCLASSABILITY1-L11</v>
      </c>
      <c r="S1490" s="76"/>
      <c r="T1490" s="76" t="str">
        <f t="array" ref="T1490:T1491">{"SUBCLASSABILITY1-L13";((INDEX(ALLCLASSDATA,MATCH("SubclassAbility1-L13",CLASSFEATUREHEADERS,0),MATCH(($A1491),CLASSNAMEHEADERS,0))))}</f>
        <v>SUBCLASSABILITY1-L13</v>
      </c>
      <c r="U1490" s="76"/>
      <c r="V1490" s="76" t="str">
        <f t="array" ref="V1490:V1491">{"SUBCLASSABILITY1-L15";((INDEX(ALLCLASSDATA,MATCH("SubclassAbility1-L15",CLASSFEATUREHEADERS,0),MATCH(($A1491),CLASSNAMEHEADERS,0))))}</f>
        <v>SUBCLASSABILITY1-L15</v>
      </c>
      <c r="W1490" s="76"/>
      <c r="X1490" s="76" t="str">
        <f t="array" ref="X1490:X1491">{"SUBCLASSABILITY1-L17";((INDEX(ALLCLASSDATA,MATCH("SubclassAbility1-L17",CLASSFEATUREHEADERS,0),MATCH(($A1491),CLASSNAMEHEADERS,0))))}</f>
        <v>SUBCLASSABILITY1-L17</v>
      </c>
      <c r="Y1490" s="76"/>
      <c r="Z1490" s="76" t="str">
        <f t="array" ref="Z1490:Z1491">{"SUBCLASSABILITY1-L19";((INDEX(ALLCLASSDATA,MATCH("SubclassAbility1-L19",CLASSFEATUREHEADERS,0),MATCH(($A1491),CLASSNAMEHEADERS,0))))}</f>
        <v>SUBCLASSABILITY1-L19</v>
      </c>
      <c r="AA1490" s="76"/>
      <c r="AB1490" s="76"/>
      <c r="AC1490" s="76"/>
    </row>
    <row r="1491">
      <c r="A1491" s="48" t="s">
        <v>221</v>
      </c>
      <c r="B1491" s="48"/>
      <c r="C1491" s="48" t="s">
        <v>418</v>
      </c>
      <c r="D1491" s="48" t="s">
        <v>825</v>
      </c>
      <c r="E1491" s="28" t="s">
        <v>1355</v>
      </c>
      <c r="F1491" s="5"/>
      <c r="G1491" s="47"/>
      <c r="H1491" s="5"/>
      <c r="I1491" s="5"/>
      <c r="J1491" s="5"/>
      <c r="K1491" s="5"/>
      <c r="L1491" s="5"/>
      <c r="M1491" s="5"/>
      <c r="N1491" s="5"/>
      <c r="O1491" s="5"/>
      <c r="P1491" s="5"/>
      <c r="Q1491" s="5"/>
      <c r="R1491" s="5"/>
      <c r="S1491" s="5"/>
      <c r="T1491" s="5"/>
      <c r="U1491" s="5"/>
      <c r="V1491" s="5"/>
      <c r="W1491" s="5"/>
      <c r="X1491" s="5"/>
      <c r="Y1491" s="5"/>
      <c r="Z1491" s="5"/>
      <c r="AA1491" s="5"/>
      <c r="AB1491" s="5"/>
      <c r="AC1491" s="47"/>
    </row>
    <row r="1492" hidden="1">
      <c r="A1492" s="76" t="str">
        <f t="array" ref="A1492:A1493">{"FormulaRow17";(INDEX(CLASSLIST,A1459,1))}</f>
        <v>FormulaRow17</v>
      </c>
      <c r="B1492" s="77" t="s">
        <v>236</v>
      </c>
      <c r="C1492" s="76" t="str">
        <f t="array" ref="C1492:C1493">{"CLASSTYPE";((INDEX(ALLCLASSDATA,MATCH("ClassType",CLASSFEATUREHEADERS,0),MATCH($A1493,CLASSNAMEHEADERS,0))))}</f>
        <v>CLASSTYPE</v>
      </c>
      <c r="D1492" s="76" t="str">
        <f t="array" ref="D1492:D1493">{"CLASSABILITYPTS";"ClassAbilityPts"}</f>
        <v>CLASSABILITYPTS</v>
      </c>
      <c r="E1492" s="76" t="str">
        <f t="array" ref="E1492:E1493">{"SUBCLASSABILITY1";"SubclassAbility1"}</f>
        <v>SUBCLASSABILITY1</v>
      </c>
      <c r="F1492" s="76"/>
      <c r="G1492" s="76"/>
      <c r="H1492" s="76"/>
      <c r="I1492" s="76"/>
      <c r="J1492" s="76" t="str">
        <f t="array" ref="J1492:J1493">{"SUBCLASSABILITY1-L03PTS";((INDEX(ALLCLASSDATA,MATCH("SubclassAbility1-L03",CLASSFEATUREHEADERS,0),MATCH(($A1493 &amp; "Points"),CLASSNAMEHEADERS,0))))}</f>
        <v>SUBCLASSABILITY1-L03PTS</v>
      </c>
      <c r="K1492" s="76"/>
      <c r="L1492" s="76" t="str">
        <f t="array" ref="L1492:L1493">{"SUBCLASSABILITY1-L05PTS";((INDEX(ALLCLASSDATA,MATCH("SubclassAbility1-L05",CLASSFEATUREHEADERS,0),MATCH(($A1493 &amp; "Points"),CLASSNAMEHEADERS,0))))}</f>
        <v>SUBCLASSABILITY1-L05PTS</v>
      </c>
      <c r="M1492" s="76"/>
      <c r="N1492" s="76" t="str">
        <f t="array" ref="N1492:N1493">{"SUBCLASSABILITY1-L07PTS";((INDEX(ALLCLASSDATA,MATCH("SubclassAbility1-L07",CLASSFEATUREHEADERS,0),MATCH(($A1493 &amp; "Points"),CLASSNAMEHEADERS,0))))}</f>
        <v>SUBCLASSABILITY1-L07PTS</v>
      </c>
      <c r="O1492" s="76"/>
      <c r="P1492" s="76" t="str">
        <f t="array" ref="P1492:P1493">{"SUBCLASSABILITY1-L09PTS";((INDEX(ALLCLASSDATA,MATCH("SubclassAbility1-L09",CLASSFEATUREHEADERS,0),MATCH(($A1493 &amp; "Points"),CLASSNAMEHEADERS,0))))}</f>
        <v>SUBCLASSABILITY1-L09PTS</v>
      </c>
      <c r="Q1492" s="76"/>
      <c r="R1492" s="76" t="str">
        <f t="array" ref="R1492:R1493">{"SUBCLASSABILITY1-L11PTS";((INDEX(ALLCLASSDATA,MATCH("SubclassAbility1-L11",CLASSFEATUREHEADERS,0),MATCH(($A1493 &amp; "Points"),CLASSNAMEHEADERS,0))))}</f>
        <v>SUBCLASSABILITY1-L11PTS</v>
      </c>
      <c r="S1492" s="76"/>
      <c r="T1492" s="76" t="str">
        <f t="array" ref="T1492:T1493">{"SUBCLASSABILITY1-L13PTS";((INDEX(ALLCLASSDATA,MATCH("SubclassAbility1-L13",CLASSFEATUREHEADERS,0),MATCH(($A1493 &amp; "Points"),CLASSNAMEHEADERS,0))))}</f>
        <v>SUBCLASSABILITY1-L13PTS</v>
      </c>
      <c r="U1492" s="76"/>
      <c r="V1492" s="76" t="str">
        <f t="array" ref="V1492:V1493">{"SUBCLASSABILITY1-L15PTS";((INDEX(ALLCLASSDATA,MATCH("SubclassAbility1-L15",CLASSFEATUREHEADERS,0),MATCH(($A1493 &amp; "Points"),CLASSNAMEHEADERS,0))))}</f>
        <v>SUBCLASSABILITY1-L15PTS</v>
      </c>
      <c r="W1492" s="76"/>
      <c r="X1492" s="76" t="str">
        <f t="array" ref="X1492:X1493">{"SUBCLASSABILITY1-L17PTS";((INDEX(ALLCLASSDATA,MATCH("SubclassAbility1-L17",CLASSFEATUREHEADERS,0),MATCH(($A1493 &amp; "Points"),CLASSNAMEHEADERS,0))))}</f>
        <v>SUBCLASSABILITY1-L17PTS</v>
      </c>
      <c r="Y1492" s="76"/>
      <c r="Z1492" s="76" t="str">
        <f t="array" ref="Z1492:Z1493">{"SUBCLASSABILITY1-L19PTS";((INDEX(ALLCLASSDATA,MATCH("SubclassAbility1-L19",CLASSFEATUREHEADERS,0),MATCH(($A1493 &amp; "Points"),CLASSNAMEHEADERS,0))))}</f>
        <v>SUBCLASSABILITY1-L19PTS</v>
      </c>
      <c r="AA1492" s="76"/>
      <c r="AB1492" s="76"/>
      <c r="AC1492" s="76" t="str">
        <f t="array" ref="AC1492:AC1493">{"SUBCLASSABILITY1 TOTAL";(sum(G1493:AA1493))}</f>
        <v>SUBCLASSABILITY1 TOTAL</v>
      </c>
    </row>
    <row r="1493">
      <c r="A1493" s="48" t="s">
        <v>221</v>
      </c>
      <c r="B1493" s="48"/>
      <c r="C1493" s="48" t="s">
        <v>418</v>
      </c>
      <c r="D1493" s="48" t="s">
        <v>930</v>
      </c>
      <c r="E1493" s="28" t="s">
        <v>1355</v>
      </c>
      <c r="F1493" s="5"/>
      <c r="G1493" s="47"/>
      <c r="H1493" s="5"/>
      <c r="I1493" s="5"/>
      <c r="J1493" s="5"/>
      <c r="K1493" s="5"/>
      <c r="L1493" s="5"/>
      <c r="M1493" s="5"/>
      <c r="N1493" s="5"/>
      <c r="O1493" s="5"/>
      <c r="P1493" s="5"/>
      <c r="Q1493" s="5"/>
      <c r="R1493" s="5"/>
      <c r="S1493" s="5"/>
      <c r="T1493" s="5"/>
      <c r="U1493" s="5"/>
      <c r="V1493" s="5"/>
      <c r="W1493" s="5"/>
      <c r="X1493" s="5"/>
      <c r="Y1493" s="5"/>
      <c r="Z1493" s="5"/>
      <c r="AA1493" s="5"/>
      <c r="AB1493" s="5"/>
      <c r="AC1493" s="47">
        <v>0.0</v>
      </c>
    </row>
    <row r="1494" hidden="1">
      <c r="A1494" s="76" t="str">
        <f t="array" ref="A1494:A1495">{"FormulaRow18";(INDEX(CLASSLIST,A1459,1))}</f>
        <v>FormulaRow18</v>
      </c>
      <c r="B1494" s="77" t="s">
        <v>236</v>
      </c>
      <c r="C1494" s="76" t="str">
        <f t="array" ref="C1494:C1495">{"CLASSTYPE";((INDEX(ALLCLASSDATA,MATCH("ClassType",CLASSFEATUREHEADERS,0),MATCH($A1495,CLASSNAMEHEADERS,0))))}</f>
        <v>CLASSTYPE</v>
      </c>
      <c r="D1494" s="76" t="str">
        <f t="array" ref="D1494:D1495">{"CLASSABILITY";"ClassAbility"}</f>
        <v>CLASSABILITY</v>
      </c>
      <c r="E1494" s="76" t="str">
        <f t="array" ref="E1494:E1495">{"SUBCLASSABILITY2";"SubclassAbility2"}</f>
        <v>SUBCLASSABILITY2</v>
      </c>
      <c r="F1494" s="76"/>
      <c r="G1494" s="76"/>
      <c r="H1494" s="76"/>
      <c r="I1494" s="76"/>
      <c r="J1494" s="76" t="str">
        <f t="array" ref="J1494:J1495">{"SUBCLASSABILITY2-L03";((INDEX(ALLCLASSDATA,MATCH("SubclassAbility2-L03",CLASSFEATUREHEADERS,0),MATCH(($A1495),CLASSNAMEHEADERS,0))))}</f>
        <v>SUBCLASSABILITY2-L03</v>
      </c>
      <c r="K1494" s="76"/>
      <c r="L1494" s="76" t="str">
        <f t="array" ref="L1494:L1495">{"SUBCLASSABILITY2-L05";((INDEX(ALLCLASSDATA,MATCH("SubclassAbility2-L05",CLASSFEATUREHEADERS,0),MATCH(($A1495),CLASSNAMEHEADERS,0))))}</f>
        <v>SUBCLASSABILITY2-L05</v>
      </c>
      <c r="M1494" s="76"/>
      <c r="N1494" s="76" t="str">
        <f t="array" ref="N1494:N1495">{"SUBCLASSABILITY2-L07";((INDEX(ALLCLASSDATA,MATCH("SubclassAbility2-L07",CLASSFEATUREHEADERS,0),MATCH(($A1495),CLASSNAMEHEADERS,0))))}</f>
        <v>SUBCLASSABILITY2-L07</v>
      </c>
      <c r="O1494" s="76"/>
      <c r="P1494" s="76" t="str">
        <f t="array" ref="P1494:P1495">{"SUBCLASSABILITY2-L09";((INDEX(ALLCLASSDATA,MATCH("SubclassAbility2-L09",CLASSFEATUREHEADERS,0),MATCH(($A1495),CLASSNAMEHEADERS,0))))}</f>
        <v>SUBCLASSABILITY2-L09</v>
      </c>
      <c r="Q1494" s="76"/>
      <c r="R1494" s="76" t="str">
        <f t="array" ref="R1494:R1495">{"SUBCLASSABILITY2-L11";((INDEX(ALLCLASSDATA,MATCH("SubclassAbility2-L11",CLASSFEATUREHEADERS,0),MATCH(($A1495),CLASSNAMEHEADERS,0))))}</f>
        <v>SUBCLASSABILITY2-L11</v>
      </c>
      <c r="S1494" s="76"/>
      <c r="T1494" s="76" t="str">
        <f t="array" ref="T1494:T1495">{"SUBCLASSABILITY2-L13";((INDEX(ALLCLASSDATA,MATCH("SubclassAbility2-L13",CLASSFEATUREHEADERS,0),MATCH(($A1495),CLASSNAMEHEADERS,0))))}</f>
        <v>SUBCLASSABILITY2-L13</v>
      </c>
      <c r="U1494" s="76"/>
      <c r="V1494" s="76" t="str">
        <f t="array" ref="V1494:V1495">{"SUBCLASSABILITY2-L15";((INDEX(ALLCLASSDATA,MATCH("SubclassAbility2-L15",CLASSFEATUREHEADERS,0),MATCH(($A1495),CLASSNAMEHEADERS,0))))}</f>
        <v>SUBCLASSABILITY2-L15</v>
      </c>
      <c r="W1494" s="76"/>
      <c r="X1494" s="76" t="str">
        <f t="array" ref="X1494:X1495">{"SUBCLASSABILITY2-L17";((INDEX(ALLCLASSDATA,MATCH("SubclassAbility2-L17",CLASSFEATUREHEADERS,0),MATCH(($A1495),CLASSNAMEHEADERS,0))))}</f>
        <v>SUBCLASSABILITY2-L17</v>
      </c>
      <c r="Y1494" s="76"/>
      <c r="Z1494" s="76" t="str">
        <f t="array" ref="Z1494:Z1495">{"SUBCLASSABILITY2-L19";((INDEX(ALLCLASSDATA,MATCH("SubclassAbility2-L19",CLASSFEATUREHEADERS,0),MATCH(($A1495),CLASSNAMEHEADERS,0))))}</f>
        <v>SUBCLASSABILITY2-L19</v>
      </c>
      <c r="AA1494" s="76"/>
      <c r="AB1494" s="76"/>
      <c r="AC1494" s="76"/>
    </row>
    <row r="1495">
      <c r="A1495" s="48" t="s">
        <v>221</v>
      </c>
      <c r="B1495" s="48"/>
      <c r="C1495" s="48" t="s">
        <v>418</v>
      </c>
      <c r="D1495" s="48" t="s">
        <v>825</v>
      </c>
      <c r="E1495" s="28" t="s">
        <v>1370</v>
      </c>
      <c r="F1495" s="5"/>
      <c r="G1495" s="47"/>
      <c r="H1495" s="5"/>
      <c r="I1495" s="5"/>
      <c r="J1495" s="5"/>
      <c r="K1495" s="5"/>
      <c r="L1495" s="5"/>
      <c r="M1495" s="5"/>
      <c r="N1495" s="5"/>
      <c r="O1495" s="5"/>
      <c r="P1495" s="5"/>
      <c r="Q1495" s="5"/>
      <c r="R1495" s="5"/>
      <c r="S1495" s="5"/>
      <c r="T1495" s="5"/>
      <c r="U1495" s="5"/>
      <c r="V1495" s="5"/>
      <c r="W1495" s="5"/>
      <c r="X1495" s="5"/>
      <c r="Y1495" s="5"/>
      <c r="Z1495" s="5"/>
      <c r="AA1495" s="5"/>
      <c r="AB1495" s="5"/>
      <c r="AC1495" s="47"/>
    </row>
    <row r="1496" hidden="1">
      <c r="A1496" s="76" t="str">
        <f t="array" ref="A1496:A1497">{"FormulaRow19";(INDEX(CLASSLIST,A1459,1))}</f>
        <v>FormulaRow19</v>
      </c>
      <c r="B1496" s="77" t="s">
        <v>236</v>
      </c>
      <c r="C1496" s="76" t="str">
        <f t="array" ref="C1496:C1497">{"CLASSTYPE";((INDEX(ALLCLASSDATA,MATCH("ClassType",CLASSFEATUREHEADERS,0),MATCH($A1497,CLASSNAMEHEADERS,0))))}</f>
        <v>CLASSTYPE</v>
      </c>
      <c r="D1496" s="76" t="str">
        <f t="array" ref="D1496:D1497">{"CLASSABILITYPTS";"ClassAbilityPts"}</f>
        <v>CLASSABILITYPTS</v>
      </c>
      <c r="E1496" s="76" t="str">
        <f t="array" ref="E1496:E1497">{"SUBCLASSABILITY2";"SubclassAbility2"}</f>
        <v>SUBCLASSABILITY2</v>
      </c>
      <c r="F1496" s="76"/>
      <c r="G1496" s="76"/>
      <c r="H1496" s="76"/>
      <c r="I1496" s="76"/>
      <c r="J1496" s="76" t="str">
        <f t="array" ref="J1496:J1497">{"SUBCLASSABILITY2-L03PTS";((INDEX(ALLCLASSDATA,MATCH("SubclassAbility2-L03",CLASSFEATUREHEADERS,0),MATCH(($A1497 &amp; "Points"),CLASSNAMEHEADERS,0))))}</f>
        <v>SUBCLASSABILITY2-L03PTS</v>
      </c>
      <c r="K1496" s="76"/>
      <c r="L1496" s="76" t="str">
        <f t="array" ref="L1496:L1497">{"SUBCLASSABILITY2-L05PTS";((INDEX(ALLCLASSDATA,MATCH("SubclassAbility2-L05",CLASSFEATUREHEADERS,0),MATCH(($A1497 &amp; "Points"),CLASSNAMEHEADERS,0))))}</f>
        <v>SUBCLASSABILITY2-L05PTS</v>
      </c>
      <c r="M1496" s="76"/>
      <c r="N1496" s="76" t="str">
        <f t="array" ref="N1496:N1497">{"SUBCLASSABILITY2-L07PTS";((INDEX(ALLCLASSDATA,MATCH("SubclassAbility2-L07",CLASSFEATUREHEADERS,0),MATCH(($A1497 &amp; "Points"),CLASSNAMEHEADERS,0))))}</f>
        <v>SUBCLASSABILITY2-L07PTS</v>
      </c>
      <c r="O1496" s="76"/>
      <c r="P1496" s="76" t="str">
        <f t="array" ref="P1496:P1497">{"SUBCLASSABILITY2-L09PTS";((INDEX(ALLCLASSDATA,MATCH("SubclassAbility2-L09",CLASSFEATUREHEADERS,0),MATCH(($A1497 &amp; "Points"),CLASSNAMEHEADERS,0))))}</f>
        <v>SUBCLASSABILITY2-L09PTS</v>
      </c>
      <c r="Q1496" s="76"/>
      <c r="R1496" s="76" t="str">
        <f t="array" ref="R1496:R1497">{"SUBCLASSABILITY2-L11PTS";((INDEX(ALLCLASSDATA,MATCH("SubclassAbility2-L11",CLASSFEATUREHEADERS,0),MATCH(($A1497 &amp; "Points"),CLASSNAMEHEADERS,0))))}</f>
        <v>SUBCLASSABILITY2-L11PTS</v>
      </c>
      <c r="S1496" s="76"/>
      <c r="T1496" s="76" t="str">
        <f t="array" ref="T1496:T1497">{"SUBCLASSABILITY2-L13PTS";((INDEX(ALLCLASSDATA,MATCH("SubclassAbility2-L13",CLASSFEATUREHEADERS,0),MATCH(($A1497 &amp; "Points"),CLASSNAMEHEADERS,0))))}</f>
        <v>SUBCLASSABILITY2-L13PTS</v>
      </c>
      <c r="U1496" s="76"/>
      <c r="V1496" s="76" t="str">
        <f t="array" ref="V1496:V1497">{"SUBCLASSABILITY2-L15PTS";((INDEX(ALLCLASSDATA,MATCH("SubclassAbility2-L15",CLASSFEATUREHEADERS,0),MATCH(($A1497 &amp; "Points"),CLASSNAMEHEADERS,0))))}</f>
        <v>SUBCLASSABILITY2-L15PTS</v>
      </c>
      <c r="W1496" s="76"/>
      <c r="X1496" s="76" t="str">
        <f t="array" ref="X1496:X1497">{"SUBCLASSABILITY2-L17PTS";((INDEX(ALLCLASSDATA,MATCH("SubclassAbility2-L17",CLASSFEATUREHEADERS,0),MATCH(($A1497 &amp; "Points"),CLASSNAMEHEADERS,0))))}</f>
        <v>SUBCLASSABILITY2-L17PTS</v>
      </c>
      <c r="Y1496" s="76"/>
      <c r="Z1496" s="76" t="str">
        <f t="array" ref="Z1496:Z1497">{"SUBCLASSABILITY2-L19PTS";((INDEX(ALLCLASSDATA,MATCH("SubclassAbility2-L19",CLASSFEATUREHEADERS,0),MATCH(($A1497 &amp; "Points"),CLASSNAMEHEADERS,0))))}</f>
        <v>SUBCLASSABILITY2-L19PTS</v>
      </c>
      <c r="AA1496" s="76"/>
      <c r="AB1496" s="76"/>
      <c r="AC1496" s="76" t="str">
        <f t="array" ref="AC1496:AC1497">{"SUBCLASSABILITY2 TOTAL";(sum(G1497:AA1497))}</f>
        <v>SUBCLASSABILITY2 TOTAL</v>
      </c>
    </row>
    <row r="1497">
      <c r="A1497" s="48" t="s">
        <v>221</v>
      </c>
      <c r="B1497" s="48"/>
      <c r="C1497" s="48" t="s">
        <v>418</v>
      </c>
      <c r="D1497" s="97" t="s">
        <v>930</v>
      </c>
      <c r="E1497" s="215" t="s">
        <v>1370</v>
      </c>
      <c r="F1497" s="98"/>
      <c r="G1497" s="132"/>
      <c r="H1497" s="98"/>
      <c r="I1497" s="98"/>
      <c r="J1497" s="98"/>
      <c r="K1497" s="98"/>
      <c r="L1497" s="98"/>
      <c r="M1497" s="98"/>
      <c r="N1497" s="98"/>
      <c r="O1497" s="98"/>
      <c r="P1497" s="98"/>
      <c r="Q1497" s="98"/>
      <c r="R1497" s="98"/>
      <c r="S1497" s="98"/>
      <c r="T1497" s="98"/>
      <c r="U1497" s="98"/>
      <c r="V1497" s="98"/>
      <c r="W1497" s="98"/>
      <c r="X1497" s="98"/>
      <c r="Y1497" s="98"/>
      <c r="Z1497" s="98"/>
      <c r="AA1497" s="98"/>
      <c r="AB1497" s="5"/>
      <c r="AC1497" s="47">
        <v>0.0</v>
      </c>
    </row>
    <row r="1498" hidden="1">
      <c r="A1498" s="76" t="str">
        <f t="array" ref="A1498:A1499">{"FormulaRow20";(INDEX(CLASSLIST,A1459,1))}</f>
        <v>FormulaRow20</v>
      </c>
      <c r="B1498" s="77" t="s">
        <v>236</v>
      </c>
      <c r="C1498" s="76" t="str">
        <f t="array" ref="C1498:C1499">{"CLASSTYPE";((INDEX(ALLCLASSDATA,MATCH("ClassType",CLASSFEATUREHEADERS,0),MATCH($A1499,CLASSNAMEHEADERS,0))))}</f>
        <v>CLASSTYPE</v>
      </c>
      <c r="D1498" s="81" t="str">
        <f t="array" ref="D1498:D1499">{"DC";"DC"}</f>
        <v>DC</v>
      </c>
      <c r="E1498" s="81" t="str">
        <f t="array" ref="E1498:E1499">{"CLASSDC";"ClassDC"}</f>
        <v>CLASSDC</v>
      </c>
      <c r="F1498" s="81" t="str">
        <f t="array" ref="F1498:F1499">{"CLASSDCINITIAL";((IF(H1499=10,"T",(IF(H1499=50,"E","")))))}</f>
        <v>CLASSDCINITIAL</v>
      </c>
      <c r="G1498" s="81" t="str">
        <f t="array" ref="G1498:G1499">{"CLASSDCINITIALPTS";((IF("00"=(INDEX(ALLCLASSDATA,MATCH("ClassDCLegendary",CLASSFEATUREHEADERS,0),MATCH($A1499,CLASSNAMEHEADERS,0))),(INDEX(ALLCLASSDATA,MATCH("ClassDCLegendary",CLASSFEATUREHEADERS,0),MATCH(($A1499 &amp; "Points"),CLASSNAMEHEADERS,0))),(IF("00"=(INDEX(ALLCLASSDATA,MATCH("ClassDCMaster",CLASSFEATUREHEADERS,0),MATCH($A1499,CLASSNAMEHEADERS,0))),(INDEX(ALLCLASSDATA,MATCH("ClassDCMaster",CLASSFEATUREHEADERS,0),MATCH(($A1499 &amp; "Points"),CLASSNAMEHEADERS,0))),(IF("00"=(INDEX(ALLCLASSDATA,MATCH("ClassDCExpert",CLASSFEATUREHEADERS,0),MATCH($A1499,CLASSNAMEHEADERS,0))),(INDEX(ALLCLASSDATA,MATCH("ClassDCExpert",CLASSFEATUREHEADERS,0),MATCH(($A1499 &amp; "Points"),CLASSNAMEHEADERS,0))),(IF("00"=(INDEX(ALLCLASSDATA,MATCH("ClassDCTrained",CLASSFEATUREHEADERS,0),MATCH($A1499,CLASSNAMEHEADERS,0))),(INDEX(ALLCLASSDATA,MATCH("ClassDCTrained",CLASSFEATUREHEADERS,0),MATCH(($A1499 &amp; "Points"),CLASSNAMEHEADERS,0))),"")))))))))}</f>
        <v>CLASSDCINITIALPTS</v>
      </c>
      <c r="H1498" s="81" t="str">
        <f t="array" ref="H1498:H1499">{"CLASSDCL01";((IF("01"=(INDEX(ALLCLASSDATA,MATCH("ClassDCLegendary",CLASSFEATUREHEADERS,0),MATCH($A1499,CLASSNAMEHEADERS,0))),(INDEX(ALLCLASSDATA,MATCH("ClassDCLegendary",CLASSFEATUREHEADERS,0),MATCH(($A1499 &amp; "Points"),CLASSNAMEHEADERS,0))),(IF("01"=(INDEX(ALLCLASSDATA,MATCH("ClassDCMaster",CLASSFEATUREHEADERS,0),MATCH($A1499,CLASSNAMEHEADERS,0))),(INDEX(ALLCLASSDATA,MATCH("ClassDCMaster",CLASSFEATUREHEADERS,0),MATCH(($A1499 &amp; "Points"),CLASSNAMEHEADERS,0))),(IF("01"=(INDEX(ALLCLASSDATA,MATCH("ClassDCExpert",CLASSFEATUREHEADERS,0),MATCH($A1499,CLASSNAMEHEADERS,0))),(INDEX(ALLCLASSDATA,MATCH("ClassDCExpert",CLASSFEATUREHEADERS,0),MATCH(($A1499 &amp; "Points"),CLASSNAMEHEADERS,0))),(IF("01"=(INDEX(ALLCLASSDATA,MATCH("ClassDCTrained",CLASSFEATUREHEADERS,0),MATCH($A1499,CLASSNAMEHEADERS,0))),(INDEX(ALLCLASSDATA,MATCH("ClassDCTrained",CLASSFEATUREHEADERS,0),MATCH(($A1499 &amp; "Points"),CLASSNAMEHEADERS,0))),"")))))))))}</f>
        <v>CLASSDCL01</v>
      </c>
      <c r="I1498" s="81"/>
      <c r="J1498" s="81" t="str">
        <f t="array" ref="J1498:J1499">{"CLASSDCL03";((IF("03"=(INDEX(ALLCLASSDATA,MATCH("ClassDCLegendary",CLASSFEATUREHEADERS,0),MATCH($A1499,CLASSNAMEHEADERS,0))),(INDEX(ALLCLASSDATA,MATCH("ClassDCLegendary",CLASSFEATUREHEADERS,0),MATCH(($A1499 &amp; "Points"),CLASSNAMEHEADERS,0))),(IF("03"=(INDEX(ALLCLASSDATA,MATCH("ClassDCMaster",CLASSFEATUREHEADERS,0),MATCH($A1499,CLASSNAMEHEADERS,0))),(INDEX(ALLCLASSDATA,MATCH("ClassDCMaster",CLASSFEATUREHEADERS,0),MATCH(($A1499 &amp; "Points"),CLASSNAMEHEADERS,0))),(IF("03"=(INDEX(ALLCLASSDATA,MATCH("ClassDCExpert",CLASSFEATUREHEADERS,0),MATCH($A1499,CLASSNAMEHEADERS,0))),(INDEX(ALLCLASSDATA,MATCH("ClassDCExpert",CLASSFEATUREHEADERS,0),MATCH(($A1499 &amp; "Points"),CLASSNAMEHEADERS,0))),(IF("03"=(INDEX(ALLCLASSDATA,MATCH("ClassDCTrained",CLASSFEATUREHEADERS,0),MATCH($A1499,CLASSNAMEHEADERS,0))),(INDEX(ALLCLASSDATA,MATCH("ClassDCTrained",CLASSFEATUREHEADERS,0),MATCH(($A1499 &amp; "Points"),CLASSNAMEHEADERS,0))),"")))))))))}</f>
        <v>CLASSDCL03</v>
      </c>
      <c r="K1498" s="81"/>
      <c r="L1498" s="81" t="str">
        <f t="array" ref="L1498:L1499">{"CLASSDCL05";((IF("05"=(INDEX(ALLCLASSDATA,MATCH("ClassDCLegendary",CLASSFEATUREHEADERS,0),MATCH($A1499,CLASSNAMEHEADERS,0))),(INDEX(ALLCLASSDATA,MATCH("ClassDCLegendary",CLASSFEATUREHEADERS,0),MATCH(($A1499 &amp; "Points"),CLASSNAMEHEADERS,0))),(IF("05"=(INDEX(ALLCLASSDATA,MATCH("ClassDCMaster",CLASSFEATUREHEADERS,0),MATCH($A1499,CLASSNAMEHEADERS,0))),(INDEX(ALLCLASSDATA,MATCH("ClassDCMaster",CLASSFEATUREHEADERS,0),MATCH(($A1499 &amp; "Points"),CLASSNAMEHEADERS,0))),(IF("05"=(INDEX(ALLCLASSDATA,MATCH("ClassDCExpert",CLASSFEATUREHEADERS,0),MATCH($A1499,CLASSNAMEHEADERS,0))),(INDEX(ALLCLASSDATA,MATCH("ClassDCExpert",CLASSFEATUREHEADERS,0),MATCH(($A1499 &amp; "Points"),CLASSNAMEHEADERS,0))),(IF("05"=(INDEX(ALLCLASSDATA,MATCH("ClassDCTrained",CLASSFEATUREHEADERS,0),MATCH($A1499,CLASSNAMEHEADERS,0))),(INDEX(ALLCLASSDATA,MATCH("ClassDCTrained",CLASSFEATUREHEADERS,0),MATCH(($A1499 &amp; "Points"),CLASSNAMEHEADERS,0))),"")))))))))}</f>
        <v>CLASSDCL05</v>
      </c>
      <c r="M1498" s="81"/>
      <c r="N1498" s="81" t="str">
        <f t="array" ref="N1498:N1499">{"CLASSDCL07";((IF("07"=(INDEX(ALLCLASSDATA,MATCH("ClassDCLegendary",CLASSFEATUREHEADERS,0),MATCH($A1499,CLASSNAMEHEADERS,0))),(INDEX(ALLCLASSDATA,MATCH("ClassDCLegendary",CLASSFEATUREHEADERS,0),MATCH(($A1499 &amp; "Points"),CLASSNAMEHEADERS,0))),(IF("07"=(INDEX(ALLCLASSDATA,MATCH("ClassDCMaster",CLASSFEATUREHEADERS,0),MATCH($A1499,CLASSNAMEHEADERS,0))),(INDEX(ALLCLASSDATA,MATCH("ClassDCMaster",CLASSFEATUREHEADERS,0),MATCH(($A1499 &amp; "Points"),CLASSNAMEHEADERS,0))),(IF("07"=(INDEX(ALLCLASSDATA,MATCH("ClassDCExpert",CLASSFEATUREHEADERS,0),MATCH($A1499,CLASSNAMEHEADERS,0))),(INDEX(ALLCLASSDATA,MATCH("ClassDCExpert",CLASSFEATUREHEADERS,0),MATCH(($A1499 &amp; "Points"),CLASSNAMEHEADERS,0))),(IF("07"=(INDEX(ALLCLASSDATA,MATCH("ClassDCTrained",CLASSFEATUREHEADERS,0),MATCH($A1499,CLASSNAMEHEADERS,0))),(INDEX(ALLCLASSDATA,MATCH("ClassDCTrained",CLASSFEATUREHEADERS,0),MATCH(($A1499 &amp; "Points"),CLASSNAMEHEADERS,0))),"")))))))))}</f>
        <v>CLASSDCL07</v>
      </c>
      <c r="O1498" s="81"/>
      <c r="P1498" s="81" t="str">
        <f t="array" ref="P1498:P1499">{"CLASSDCL09";((IF("09"=(INDEX(ALLCLASSDATA,MATCH("ClassDCLegendary",CLASSFEATUREHEADERS,0),MATCH($A1499,CLASSNAMEHEADERS,0))),(INDEX(ALLCLASSDATA,MATCH("ClassDCLegendary",CLASSFEATUREHEADERS,0),MATCH(($A1499 &amp; "Points"),CLASSNAMEHEADERS,0))),(IF("09"=(INDEX(ALLCLASSDATA,MATCH("ClassDCMaster",CLASSFEATUREHEADERS,0),MATCH($A1499,CLASSNAMEHEADERS,0))),(INDEX(ALLCLASSDATA,MATCH("ClassDCMaster",CLASSFEATUREHEADERS,0),MATCH(($A1499 &amp; "Points"),CLASSNAMEHEADERS,0))),(IF("09"=(INDEX(ALLCLASSDATA,MATCH("ClassDCExpert",CLASSFEATUREHEADERS,0),MATCH($A1499,CLASSNAMEHEADERS,0))),(INDEX(ALLCLASSDATA,MATCH("ClassDCExpert",CLASSFEATUREHEADERS,0),MATCH(($A1499 &amp; "Points"),CLASSNAMEHEADERS,0))),(IF("09"=(INDEX(ALLCLASSDATA,MATCH("ClassDCTrained",CLASSFEATUREHEADERS,0),MATCH($A1499,CLASSNAMEHEADERS,0))),(INDEX(ALLCLASSDATA,MATCH("ClassDCTrained",CLASSFEATUREHEADERS,0),MATCH(($A1499 &amp; "Points"),CLASSNAMEHEADERS,0))),"")))))))))}</f>
        <v>CLASSDCL09</v>
      </c>
      <c r="Q1498" s="81"/>
      <c r="R1498" s="81" t="str">
        <f t="array" ref="R1498:R1499">{"CLASSDCL11";((IF("11"=(INDEX(ALLCLASSDATA,MATCH("ClassDCLegendary",CLASSFEATUREHEADERS,0),MATCH($A1499,CLASSNAMEHEADERS,0))),(INDEX(ALLCLASSDATA,MATCH("ClassDCLegendary",CLASSFEATUREHEADERS,0),MATCH(($A1499 &amp; "Points"),CLASSNAMEHEADERS,0))),(IF("11"=(INDEX(ALLCLASSDATA,MATCH("ClassDCMaster",CLASSFEATUREHEADERS,0),MATCH($A1499,CLASSNAMEHEADERS,0))),(INDEX(ALLCLASSDATA,MATCH("ClassDCMaster",CLASSFEATUREHEADERS,0),MATCH(($A1499 &amp; "Points"),CLASSNAMEHEADERS,0))),(IF("11"=(INDEX(ALLCLASSDATA,MATCH("ClassDCExpert",CLASSFEATUREHEADERS,0),MATCH($A1499,CLASSNAMEHEADERS,0))),(INDEX(ALLCLASSDATA,MATCH("ClassDCExpert",CLASSFEATUREHEADERS,0),MATCH(($A1499 &amp; "Points"),CLASSNAMEHEADERS,0))),(IF("11"=(INDEX(ALLCLASSDATA,MATCH("ClassDCTrained",CLASSFEATUREHEADERS,0),MATCH($A1499,CLASSNAMEHEADERS,0))),(INDEX(ALLCLASSDATA,MATCH("ClassDCTrained",CLASSFEATUREHEADERS,0),MATCH(($A1499 &amp; "Points"),CLASSNAMEHEADERS,0))),"")))))))))}</f>
        <v>CLASSDCL11</v>
      </c>
      <c r="S1498" s="81"/>
      <c r="T1498" s="81" t="str">
        <f t="array" ref="T1498:T1499">{"CLASSDCL13";((IF("13"=(INDEX(ALLCLASSDATA,MATCH("ClassDCLegendary",CLASSFEATUREHEADERS,0),MATCH($A1499,CLASSNAMEHEADERS,0))),(INDEX(ALLCLASSDATA,MATCH("ClassDCLegendary",CLASSFEATUREHEADERS,0),MATCH(($A1499 &amp; "Points"),CLASSNAMEHEADERS,0))),(IF("13"=(INDEX(ALLCLASSDATA,MATCH("ClassDCMaster",CLASSFEATUREHEADERS,0),MATCH($A1499,CLASSNAMEHEADERS,0))),(INDEX(ALLCLASSDATA,MATCH("ClassDCMaster",CLASSFEATUREHEADERS,0),MATCH(($A1499 &amp; "Points"),CLASSNAMEHEADERS,0))),(IF("13"=(INDEX(ALLCLASSDATA,MATCH("ClassDCExpert",CLASSFEATUREHEADERS,0),MATCH($A1499,CLASSNAMEHEADERS,0))),(INDEX(ALLCLASSDATA,MATCH("ClassDCExpert",CLASSFEATUREHEADERS,0),MATCH(($A1499 &amp; "Points"),CLASSNAMEHEADERS,0))),(IF("13"=(INDEX(ALLCLASSDATA,MATCH("ClassDCTrained",CLASSFEATUREHEADERS,0),MATCH($A1499,CLASSNAMEHEADERS,0))),(INDEX(ALLCLASSDATA,MATCH("ClassDCTrained",CLASSFEATUREHEADERS,0),MATCH(($A1499 &amp; "Points"),CLASSNAMEHEADERS,0))),"")))))))))}</f>
        <v>CLASSDCL13</v>
      </c>
      <c r="U1498" s="81"/>
      <c r="V1498" s="81" t="str">
        <f t="array" ref="V1498:V1499">{"CLASSDCL15";((IF("15"=(INDEX(ALLCLASSDATA,MATCH("ClassDCLegendary",CLASSFEATUREHEADERS,0),MATCH($A1499,CLASSNAMEHEADERS,0))),(INDEX(ALLCLASSDATA,MATCH("ClassDCLegendary",CLASSFEATUREHEADERS,0),MATCH(($A1499 &amp; "Points"),CLASSNAMEHEADERS,0))),(IF("15"=(INDEX(ALLCLASSDATA,MATCH("ClassDCMaster",CLASSFEATUREHEADERS,0),MATCH($A1499,CLASSNAMEHEADERS,0))),(INDEX(ALLCLASSDATA,MATCH("ClassDCMaster",CLASSFEATUREHEADERS,0),MATCH(($A1499 &amp; "Points"),CLASSNAMEHEADERS,0))),(IF("15"=(INDEX(ALLCLASSDATA,MATCH("ClassDCExpert",CLASSFEATUREHEADERS,0),MATCH($A1499,CLASSNAMEHEADERS,0))),(INDEX(ALLCLASSDATA,MATCH("ClassDCExpert",CLASSFEATUREHEADERS,0),MATCH(($A1499 &amp; "Points"),CLASSNAMEHEADERS,0))),(IF("15"=(INDEX(ALLCLASSDATA,MATCH("ClassDCTrained",CLASSFEATUREHEADERS,0),MATCH($A1499,CLASSNAMEHEADERS,0))),(INDEX(ALLCLASSDATA,MATCH("ClassDCTrained",CLASSFEATUREHEADERS,0),MATCH(($A1499 &amp; "Points"),CLASSNAMEHEADERS,0))),"")))))))))}</f>
        <v>CLASSDCL15</v>
      </c>
      <c r="W1498" s="81"/>
      <c r="X1498" s="81" t="str">
        <f t="array" ref="X1498:X1499">{"CLASSDCL17";((IF("17"=(INDEX(ALLCLASSDATA,MATCH("ClassDCLegendary",CLASSFEATUREHEADERS,0),MATCH($A1499,CLASSNAMEHEADERS,0))),(INDEX(ALLCLASSDATA,MATCH("ClassDCLegendary",CLASSFEATUREHEADERS,0),MATCH(($A1499 &amp; "Points"),CLASSNAMEHEADERS,0))),(IF("17"=(INDEX(ALLCLASSDATA,MATCH("ClassDCMaster",CLASSFEATUREHEADERS,0),MATCH($A1499,CLASSNAMEHEADERS,0))),(INDEX(ALLCLASSDATA,MATCH("ClassDCMaster",CLASSFEATUREHEADERS,0),MATCH(($A1499 &amp; "Points"),CLASSNAMEHEADERS,0))),(IF("17"=(INDEX(ALLCLASSDATA,MATCH("ClassDCExpert",CLASSFEATUREHEADERS,0),MATCH($A1499,CLASSNAMEHEADERS,0))),(INDEX(ALLCLASSDATA,MATCH("ClassDCExpert",CLASSFEATUREHEADERS,0),MATCH(($A1499 &amp; "Points"),CLASSNAMEHEADERS,0))),(IF("17"=(INDEX(ALLCLASSDATA,MATCH("ClassDCTrained",CLASSFEATUREHEADERS,0),MATCH($A1499,CLASSNAMEHEADERS,0))),(INDEX(ALLCLASSDATA,MATCH("ClassDCTrained",CLASSFEATUREHEADERS,0),MATCH(($A1499 &amp; "Points"),CLASSNAMEHEADERS,0))),"")))))))))}</f>
        <v>CLASSDCL17</v>
      </c>
      <c r="Y1498" s="81"/>
      <c r="Z1498" s="81" t="str">
        <f t="array" ref="Z1498:Z1499">{"CLASSDCL19";((IF("19"=(INDEX(ALLCLASSDATA,MATCH("ClassDCLegendary",CLASSFEATUREHEADERS,0),MATCH($A1499,CLASSNAMEHEADERS,0))),(INDEX(ALLCLASSDATA,MATCH("ClassDCLegendary",CLASSFEATUREHEADERS,0),MATCH(($A1499 &amp; "Points"),CLASSNAMEHEADERS,0))),(IF("19"=(INDEX(ALLCLASSDATA,MATCH("ClassDCMaster",CLASSFEATUREHEADERS,0),MATCH($A1499,CLASSNAMEHEADERS,0))),(INDEX(ALLCLASSDATA,MATCH("ClassDCMaster",CLASSFEATUREHEADERS,0),MATCH(($A1499 &amp; "Points"),CLASSNAMEHEADERS,0))),(IF("19"=(INDEX(ALLCLASSDATA,MATCH("ClassDCExpert",CLASSFEATUREHEADERS,0),MATCH($A1499,CLASSNAMEHEADERS,0))),(INDEX(ALLCLASSDATA,MATCH("ClassDCExpert",CLASSFEATUREHEADERS,0),MATCH(($A1499 &amp; "Points"),CLASSNAMEHEADERS,0))),(IF("19"=(INDEX(ALLCLASSDATA,MATCH("ClassDCTrained",CLASSFEATUREHEADERS,0),MATCH($A1499,CLASSNAMEHEADERS,0))),(INDEX(ALLCLASSDATA,MATCH("ClassDCTrained",CLASSFEATUREHEADERS,0),MATCH(($A1499 &amp; "Points"),CLASSNAMEHEADERS,0))),"")))))))))}</f>
        <v>CLASSDCL19</v>
      </c>
      <c r="AA1498" s="81"/>
      <c r="AB1498" s="76" t="str">
        <f t="array" ref="AB1498:AB1499">{"CLASSDC TOTAL";(IF(COUNTBLANK(G1499:AA1499)=17,"L",(IF(COUNTBLANK(G1499:AA1499)=18,"M",(IF(COUNTBLANK(G1499:AA1499)=19,"E",(IF(COUNTBLANK(G1499:AA1499)=20,"T",""))))))))}</f>
        <v>CLASSDC TOTAL</v>
      </c>
      <c r="AC1498" s="76" t="str">
        <f t="array" ref="AC1498:AC1499">{"CLASSDC TOTAL";(sum(G1499:AA1499))}</f>
        <v>CLASSDC TOTAL</v>
      </c>
    </row>
    <row r="1499">
      <c r="A1499" s="48" t="s">
        <v>221</v>
      </c>
      <c r="B1499" s="48"/>
      <c r="C1499" s="48" t="s">
        <v>418</v>
      </c>
      <c r="D1499" s="48" t="s">
        <v>1465</v>
      </c>
      <c r="E1499" s="48" t="s">
        <v>1466</v>
      </c>
      <c r="F1499" s="5" t="s">
        <v>603</v>
      </c>
      <c r="G1499" s="47" t="s">
        <v>603</v>
      </c>
      <c r="H1499" s="5" t="s">
        <v>603</v>
      </c>
      <c r="I1499" s="5"/>
      <c r="J1499" s="5" t="s">
        <v>603</v>
      </c>
      <c r="K1499" s="5"/>
      <c r="L1499" s="5" t="s">
        <v>603</v>
      </c>
      <c r="M1499" s="5"/>
      <c r="N1499" s="5" t="s">
        <v>603</v>
      </c>
      <c r="O1499" s="5"/>
      <c r="P1499" s="5" t="s">
        <v>603</v>
      </c>
      <c r="Q1499" s="5"/>
      <c r="R1499" s="5" t="s">
        <v>603</v>
      </c>
      <c r="S1499" s="5"/>
      <c r="T1499" s="5" t="s">
        <v>603</v>
      </c>
      <c r="U1499" s="5"/>
      <c r="V1499" s="5" t="s">
        <v>603</v>
      </c>
      <c r="W1499" s="5"/>
      <c r="X1499" s="5" t="s">
        <v>603</v>
      </c>
      <c r="Y1499" s="5"/>
      <c r="Z1499" s="5" t="s">
        <v>603</v>
      </c>
      <c r="AA1499" s="5"/>
      <c r="AB1499" s="5" t="s">
        <v>603</v>
      </c>
      <c r="AC1499" s="47">
        <v>0.0</v>
      </c>
    </row>
    <row r="1500" hidden="1">
      <c r="A1500" s="222" t="str">
        <f t="array" ref="A1500:A1501">{"FormulaRow21";(INDEX(CLASSLIST,A1459,1))}</f>
        <v>FormulaRow21</v>
      </c>
      <c r="B1500" s="77" t="s">
        <v>236</v>
      </c>
      <c r="C1500" s="222" t="str">
        <f t="array" ref="C1500:C1501">{"CLASSTYPE";((INDEX(ALLCLASSDATA,MATCH("ClassType",CLASSFEATUREHEADERS,0),MATCH($A1501,CLASSNAMEHEADERS,0))))}</f>
        <v>CLASSTYPE</v>
      </c>
      <c r="D1500" s="222" t="str">
        <f t="array" ref="D1500:D1501">{"DC";"DC"}</f>
        <v>DC</v>
      </c>
      <c r="E1500" s="222" t="str">
        <f t="array" ref="E1500:E1501">{"SPELLDC";"SpellDC"}</f>
        <v>SPELLDC</v>
      </c>
      <c r="F1500" s="223" t="str">
        <f t="array" ref="F1500:F1501">{"SPELLDCINITIAL";((IF(H1501=10,"T",(IF(H1501=50,"E","")))))}</f>
        <v>SPELLDCINITIAL</v>
      </c>
      <c r="G1500" s="223" t="str">
        <f t="array" ref="G1500:G1501">{"SPELLDCINITIALPTS";((IF("00"=(INDEX(ALLCLASSDATA,MATCH("SpellDCLegendary",CLASSFEATUREHEADERS,0),MATCH($A1501,CLASSNAMEHEADERS,0))),(INDEX(ALLCLASSDATA,MATCH("SpellDCLegendary",CLASSFEATUREHEADERS,0),MATCH(($A1501 &amp; "Points"),CLASSNAMEHEADERS,0))),(IF("00"=(INDEX(ALLCLASSDATA,MATCH("SpellDCMaster",CLASSFEATUREHEADERS,0),MATCH($A1501,CLASSNAMEHEADERS,0))),(INDEX(ALLCLASSDATA,MATCH("SpellDCMaster",CLASSFEATUREHEADERS,0),MATCH(($A1501 &amp; "Points"),CLASSNAMEHEADERS,0))),(IF("00"=(INDEX(ALLCLASSDATA,MATCH("SpellDCExpert",CLASSFEATUREHEADERS,0),MATCH($A1501,CLASSNAMEHEADERS,0))),(INDEX(ALLCLASSDATA,MATCH("SpellDCExpert",CLASSFEATUREHEADERS,0),MATCH(($A1501 &amp; "Points"),CLASSNAMEHEADERS,0))),(IF("00"=(INDEX(ALLCLASSDATA,MATCH("SpellDCTrained",CLASSFEATUREHEADERS,0),MATCH($A1501,CLASSNAMEHEADERS,0))),(INDEX(ALLCLASSDATA,MATCH("SpellDCTrained",CLASSFEATUREHEADERS,0),MATCH(($A1501 &amp; "Points"),CLASSNAMEHEADERS,0))),"")))))))))}</f>
        <v>SPELLDCINITIALPTS</v>
      </c>
      <c r="H1500" s="223" t="str">
        <f t="array" ref="H1500:H1501">{"SPELLDCL01";((IF("01"=(INDEX(ALLCLASSDATA,MATCH("SpellDCLegendary",CLASSFEATUREHEADERS,0),MATCH($A1501,CLASSNAMEHEADERS,0))),(INDEX(ALLCLASSDATA,MATCH("SpellDCLegendary",CLASSFEATUREHEADERS,0),MATCH(($A1501 &amp; "Points"),CLASSNAMEHEADERS,0))),(IF("01"=(INDEX(ALLCLASSDATA,MATCH("SpellDCMaster",CLASSFEATUREHEADERS,0),MATCH($A1501,CLASSNAMEHEADERS,0))),(INDEX(ALLCLASSDATA,MATCH("SpellDCMaster",CLASSFEATUREHEADERS,0),MATCH(($A1501 &amp; "Points"),CLASSNAMEHEADERS,0))),(IF("01"=(INDEX(ALLCLASSDATA,MATCH("SpellDCExpert",CLASSFEATUREHEADERS,0),MATCH($A1501,CLASSNAMEHEADERS,0))),(INDEX(ALLCLASSDATA,MATCH("SpellDCExpert",CLASSFEATUREHEADERS,0),MATCH(($A1501 &amp; "Points"),CLASSNAMEHEADERS,0))),(IF("01"=(INDEX(ALLCLASSDATA,MATCH("SpellDCTrained",CLASSFEATUREHEADERS,0),MATCH($A1501,CLASSNAMEHEADERS,0))),(INDEX(ALLCLASSDATA,MATCH("SpellDCTrained",CLASSFEATUREHEADERS,0),MATCH(($A1501 &amp; "Points"),CLASSNAMEHEADERS,0))),"")))))))))}</f>
        <v>SPELLDCL01</v>
      </c>
      <c r="I1500" s="223"/>
      <c r="J1500" s="223" t="str">
        <f t="array" ref="J1500:J1501">{"SPELLDCL03";((IF("03"=(INDEX(ALLCLASSDATA,MATCH("SpellDCLegendary",CLASSFEATUREHEADERS,0),MATCH($A1501,CLASSNAMEHEADERS,0))),(INDEX(ALLCLASSDATA,MATCH("SpellDCLegendary",CLASSFEATUREHEADERS,0),MATCH(($A1501 &amp; "Points"),CLASSNAMEHEADERS,0))),(IF("03"=(INDEX(ALLCLASSDATA,MATCH("SpellDCMaster",CLASSFEATUREHEADERS,0),MATCH($A1501,CLASSNAMEHEADERS,0))),(INDEX(ALLCLASSDATA,MATCH("SpellDCMaster",CLASSFEATUREHEADERS,0),MATCH(($A1501 &amp; "Points"),CLASSNAMEHEADERS,0))),(IF("03"=(INDEX(ALLCLASSDATA,MATCH("SpellDCExpert",CLASSFEATUREHEADERS,0),MATCH($A1501,CLASSNAMEHEADERS,0))),(INDEX(ALLCLASSDATA,MATCH("SpellDCExpert",CLASSFEATUREHEADERS,0),MATCH(($A1501 &amp; "Points"),CLASSNAMEHEADERS,0))),(IF("03"=(INDEX(ALLCLASSDATA,MATCH("SpellDCTrained",CLASSFEATUREHEADERS,0),MATCH($A1501,CLASSNAMEHEADERS,0))),(INDEX(ALLCLASSDATA,MATCH("SpellDCTrained",CLASSFEATUREHEADERS,0),MATCH(($A1501 &amp; "Points"),CLASSNAMEHEADERS,0))),"")))))))))}</f>
        <v>SPELLDCL03</v>
      </c>
      <c r="K1500" s="223"/>
      <c r="L1500" s="223" t="str">
        <f t="array" ref="L1500:L1501">{"SPELLDCL05";((IF("05"=(INDEX(ALLCLASSDATA,MATCH("SpellDCLegendary",CLASSFEATUREHEADERS,0),MATCH($A1501,CLASSNAMEHEADERS,0))),(INDEX(ALLCLASSDATA,MATCH("SpellDCLegendary",CLASSFEATUREHEADERS,0),MATCH(($A1501 &amp; "Points"),CLASSNAMEHEADERS,0))),(IF("05"=(INDEX(ALLCLASSDATA,MATCH("SpellDCMaster",CLASSFEATUREHEADERS,0),MATCH($A1501,CLASSNAMEHEADERS,0))),(INDEX(ALLCLASSDATA,MATCH("SpellDCMaster",CLASSFEATUREHEADERS,0),MATCH(($A1501 &amp; "Points"),CLASSNAMEHEADERS,0))),(IF("05"=(INDEX(ALLCLASSDATA,MATCH("SpellDCExpert",CLASSFEATUREHEADERS,0),MATCH($A1501,CLASSNAMEHEADERS,0))),(INDEX(ALLCLASSDATA,MATCH("SpellDCExpert",CLASSFEATUREHEADERS,0),MATCH(($A1501 &amp; "Points"),CLASSNAMEHEADERS,0))),(IF("05"=(INDEX(ALLCLASSDATA,MATCH("SpellDCTrained",CLASSFEATUREHEADERS,0),MATCH($A1501,CLASSNAMEHEADERS,0))),(INDEX(ALLCLASSDATA,MATCH("SpellDCTrained",CLASSFEATUREHEADERS,0),MATCH(($A1501 &amp; "Points"),CLASSNAMEHEADERS,0))),"")))))))))}</f>
        <v>SPELLDCL05</v>
      </c>
      <c r="M1500" s="223"/>
      <c r="N1500" s="223" t="str">
        <f t="array" ref="N1500:N1501">{"SPELLDCL07";((IF("07"=(INDEX(ALLCLASSDATA,MATCH("SpellDCLegendary",CLASSFEATUREHEADERS,0),MATCH($A1501,CLASSNAMEHEADERS,0))),(INDEX(ALLCLASSDATA,MATCH("SpellDCLegendary",CLASSFEATUREHEADERS,0),MATCH(($A1501 &amp; "Points"),CLASSNAMEHEADERS,0))),(IF("07"=(INDEX(ALLCLASSDATA,MATCH("SpellDCMaster",CLASSFEATUREHEADERS,0),MATCH($A1501,CLASSNAMEHEADERS,0))),(INDEX(ALLCLASSDATA,MATCH("SpellDCMaster",CLASSFEATUREHEADERS,0),MATCH(($A1501 &amp; "Points"),CLASSNAMEHEADERS,0))),(IF("07"=(INDEX(ALLCLASSDATA,MATCH("SpellDCExpert",CLASSFEATUREHEADERS,0),MATCH($A1501,CLASSNAMEHEADERS,0))),(INDEX(ALLCLASSDATA,MATCH("SpellDCExpert",CLASSFEATUREHEADERS,0),MATCH(($A1501 &amp; "Points"),CLASSNAMEHEADERS,0))),(IF("07"=(INDEX(ALLCLASSDATA,MATCH("SpellDCTrained",CLASSFEATUREHEADERS,0),MATCH($A1501,CLASSNAMEHEADERS,0))),(INDEX(ALLCLASSDATA,MATCH("SpellDCTrained",CLASSFEATUREHEADERS,0),MATCH(($A1501 &amp; "Points"),CLASSNAMEHEADERS,0))),"")))))))))}</f>
        <v>SPELLDCL07</v>
      </c>
      <c r="O1500" s="223"/>
      <c r="P1500" s="223" t="str">
        <f t="array" ref="P1500:P1501">{"SPELLDCL09";((IF("09"=(INDEX(ALLCLASSDATA,MATCH("SpellDCLegendary",CLASSFEATUREHEADERS,0),MATCH($A1501,CLASSNAMEHEADERS,0))),(INDEX(ALLCLASSDATA,MATCH("SpellDCLegendary",CLASSFEATUREHEADERS,0),MATCH(($A1501 &amp; "Points"),CLASSNAMEHEADERS,0))),(IF("09"=(INDEX(ALLCLASSDATA,MATCH("SpellDCMaster",CLASSFEATUREHEADERS,0),MATCH($A1501,CLASSNAMEHEADERS,0))),(INDEX(ALLCLASSDATA,MATCH("SpellDCMaster",CLASSFEATUREHEADERS,0),MATCH(($A1501 &amp; "Points"),CLASSNAMEHEADERS,0))),(IF("09"=(INDEX(ALLCLASSDATA,MATCH("SpellDCExpert",CLASSFEATUREHEADERS,0),MATCH($A1501,CLASSNAMEHEADERS,0))),(INDEX(ALLCLASSDATA,MATCH("SpellDCExpert",CLASSFEATUREHEADERS,0),MATCH(($A1501 &amp; "Points"),CLASSNAMEHEADERS,0))),(IF("09"=(INDEX(ALLCLASSDATA,MATCH("SpellDCTrained",CLASSFEATUREHEADERS,0),MATCH($A1501,CLASSNAMEHEADERS,0))),(INDEX(ALLCLASSDATA,MATCH("SpellDCTrained",CLASSFEATUREHEADERS,0),MATCH(($A1501 &amp; "Points"),CLASSNAMEHEADERS,0))),"")))))))))}</f>
        <v>SPELLDCL09</v>
      </c>
      <c r="Q1500" s="223"/>
      <c r="R1500" s="223" t="str">
        <f t="array" ref="R1500:R1501">{"SPELLDCL11";((IF("11"=(INDEX(ALLCLASSDATA,MATCH("SpellDCLegendary",CLASSFEATUREHEADERS,0),MATCH($A1501,CLASSNAMEHEADERS,0))),(INDEX(ALLCLASSDATA,MATCH("SpellDCLegendary",CLASSFEATUREHEADERS,0),MATCH(($A1501 &amp; "Points"),CLASSNAMEHEADERS,0))),(IF("11"=(INDEX(ALLCLASSDATA,MATCH("SpellDCMaster",CLASSFEATUREHEADERS,0),MATCH($A1501,CLASSNAMEHEADERS,0))),(INDEX(ALLCLASSDATA,MATCH("SpellDCMaster",CLASSFEATUREHEADERS,0),MATCH(($A1501 &amp; "Points"),CLASSNAMEHEADERS,0))),(IF("11"=(INDEX(ALLCLASSDATA,MATCH("SpellDCExpert",CLASSFEATUREHEADERS,0),MATCH($A1501,CLASSNAMEHEADERS,0))),(INDEX(ALLCLASSDATA,MATCH("SpellDCExpert",CLASSFEATUREHEADERS,0),MATCH(($A1501 &amp; "Points"),CLASSNAMEHEADERS,0))),(IF("11"=(INDEX(ALLCLASSDATA,MATCH("SpellDCTrained",CLASSFEATUREHEADERS,0),MATCH($A1501,CLASSNAMEHEADERS,0))),(INDEX(ALLCLASSDATA,MATCH("SpellDCTrained",CLASSFEATUREHEADERS,0),MATCH(($A1501 &amp; "Points"),CLASSNAMEHEADERS,0))),"")))))))))}</f>
        <v>SPELLDCL11</v>
      </c>
      <c r="S1500" s="223"/>
      <c r="T1500" s="223" t="str">
        <f t="array" ref="T1500:T1501">{"SPELLDCL13";((IF("13"=(INDEX(ALLCLASSDATA,MATCH("SpellDCLegendary",CLASSFEATUREHEADERS,0),MATCH($A1501,CLASSNAMEHEADERS,0))),(INDEX(ALLCLASSDATA,MATCH("SpellDCLegendary",CLASSFEATUREHEADERS,0),MATCH(($A1501 &amp; "Points"),CLASSNAMEHEADERS,0))),(IF("13"=(INDEX(ALLCLASSDATA,MATCH("SpellDCMaster",CLASSFEATUREHEADERS,0),MATCH($A1501,CLASSNAMEHEADERS,0))),(INDEX(ALLCLASSDATA,MATCH("SpellDCMaster",CLASSFEATUREHEADERS,0),MATCH(($A1501 &amp; "Points"),CLASSNAMEHEADERS,0))),(IF("13"=(INDEX(ALLCLASSDATA,MATCH("SpellDCExpert",CLASSFEATUREHEADERS,0),MATCH($A1501,CLASSNAMEHEADERS,0))),(INDEX(ALLCLASSDATA,MATCH("SpellDCExpert",CLASSFEATUREHEADERS,0),MATCH(($A1501 &amp; "Points"),CLASSNAMEHEADERS,0))),(IF("13"=(INDEX(ALLCLASSDATA,MATCH("SpellDCTrained",CLASSFEATUREHEADERS,0),MATCH($A1501,CLASSNAMEHEADERS,0))),(INDEX(ALLCLASSDATA,MATCH("SpellDCTrained",CLASSFEATUREHEADERS,0),MATCH(($A1501 &amp; "Points"),CLASSNAMEHEADERS,0))),"")))))))))}</f>
        <v>SPELLDCL13</v>
      </c>
      <c r="U1500" s="223"/>
      <c r="V1500" s="223" t="str">
        <f t="array" ref="V1500:V1501">{"SPELLDCL15";((IF("15"=(INDEX(ALLCLASSDATA,MATCH("SpellDCLegendary",CLASSFEATUREHEADERS,0),MATCH($A1501,CLASSNAMEHEADERS,0))),(INDEX(ALLCLASSDATA,MATCH("SpellDCLegendary",CLASSFEATUREHEADERS,0),MATCH(($A1501 &amp; "Points"),CLASSNAMEHEADERS,0))),(IF("15"=(INDEX(ALLCLASSDATA,MATCH("SpellDCMaster",CLASSFEATUREHEADERS,0),MATCH($A1501,CLASSNAMEHEADERS,0))),(INDEX(ALLCLASSDATA,MATCH("SpellDCMaster",CLASSFEATUREHEADERS,0),MATCH(($A1501 &amp; "Points"),CLASSNAMEHEADERS,0))),(IF("15"=(INDEX(ALLCLASSDATA,MATCH("SpellDCExpert",CLASSFEATUREHEADERS,0),MATCH($A1501,CLASSNAMEHEADERS,0))),(INDEX(ALLCLASSDATA,MATCH("SpellDCExpert",CLASSFEATUREHEADERS,0),MATCH(($A1501 &amp; "Points"),CLASSNAMEHEADERS,0))),(IF("15"=(INDEX(ALLCLASSDATA,MATCH("SpellDCTrained",CLASSFEATUREHEADERS,0),MATCH($A1501,CLASSNAMEHEADERS,0))),(INDEX(ALLCLASSDATA,MATCH("SpellDCTrained",CLASSFEATUREHEADERS,0),MATCH(($A1501 &amp; "Points"),CLASSNAMEHEADERS,0))),"")))))))))}</f>
        <v>SPELLDCL15</v>
      </c>
      <c r="W1500" s="223"/>
      <c r="X1500" s="223" t="str">
        <f t="array" ref="X1500:X1501">{"SPELLDCL17";((IF("17"=(INDEX(ALLCLASSDATA,MATCH("SpellDCLegendary",CLASSFEATUREHEADERS,0),MATCH($A1501,CLASSNAMEHEADERS,0))),(INDEX(ALLCLASSDATA,MATCH("SpellDCLegendary",CLASSFEATUREHEADERS,0),MATCH(($A1501 &amp; "Points"),CLASSNAMEHEADERS,0))),(IF("17"=(INDEX(ALLCLASSDATA,MATCH("SpellDCMaster",CLASSFEATUREHEADERS,0),MATCH($A1501,CLASSNAMEHEADERS,0))),(INDEX(ALLCLASSDATA,MATCH("SpellDCMaster",CLASSFEATUREHEADERS,0),MATCH(($A1501 &amp; "Points"),CLASSNAMEHEADERS,0))),(IF("17"=(INDEX(ALLCLASSDATA,MATCH("SpellDCExpert",CLASSFEATUREHEADERS,0),MATCH($A1501,CLASSNAMEHEADERS,0))),(INDEX(ALLCLASSDATA,MATCH("SpellDCExpert",CLASSFEATUREHEADERS,0),MATCH(($A1501 &amp; "Points"),CLASSNAMEHEADERS,0))),(IF("17"=(INDEX(ALLCLASSDATA,MATCH("SpellDCTrained",CLASSFEATUREHEADERS,0),MATCH($A1501,CLASSNAMEHEADERS,0))),(INDEX(ALLCLASSDATA,MATCH("SpellDCTrained",CLASSFEATUREHEADERS,0),MATCH(($A1501 &amp; "Points"),CLASSNAMEHEADERS,0))),"")))))))))}</f>
        <v>SPELLDCL17</v>
      </c>
      <c r="Y1500" s="223"/>
      <c r="Z1500" s="223" t="str">
        <f t="array" ref="Z1500:Z1501">{"SPELLDCL19";((IF("19"=(INDEX(ALLCLASSDATA,MATCH("SpellDCLegendary",CLASSFEATUREHEADERS,0),MATCH($A1501,CLASSNAMEHEADERS,0))),(INDEX(ALLCLASSDATA,MATCH("SpellDCLegendary",CLASSFEATUREHEADERS,0),MATCH(($A1501 &amp; "Points"),CLASSNAMEHEADERS,0))),(IF("19"=(INDEX(ALLCLASSDATA,MATCH("SpellDCMaster",CLASSFEATUREHEADERS,0),MATCH($A1501,CLASSNAMEHEADERS,0))),(INDEX(ALLCLASSDATA,MATCH("SpellDCMaster",CLASSFEATUREHEADERS,0),MATCH(($A1501 &amp; "Points"),CLASSNAMEHEADERS,0))),(IF("19"=(INDEX(ALLCLASSDATA,MATCH("SpellDCExpert",CLASSFEATUREHEADERS,0),MATCH($A1501,CLASSNAMEHEADERS,0))),(INDEX(ALLCLASSDATA,MATCH("SpellDCExpert",CLASSFEATUREHEADERS,0),MATCH(($A1501 &amp; "Points"),CLASSNAMEHEADERS,0))),(IF("19"=(INDEX(ALLCLASSDATA,MATCH("SpellDCTrained",CLASSFEATUREHEADERS,0),MATCH($A1501,CLASSNAMEHEADERS,0))),(INDEX(ALLCLASSDATA,MATCH("SpellDCTrained",CLASSFEATUREHEADERS,0),MATCH(($A1501 &amp; "Points"),CLASSNAMEHEADERS,0))),"")))))))))}</f>
        <v>SPELLDCL19</v>
      </c>
      <c r="AA1500" s="223"/>
      <c r="AB1500" s="76" t="str">
        <f t="array" ref="AB1500:AB1501">{"SPELLDC TOTAL";(IF(COUNTBLANK(G1501:AA1501)=17,"L",(IF(COUNTBLANK(G1501:AA1501)=18,"M",(IF(COUNTBLANK(G1501:AA1501)=19,"E",(IF(COUNTBLANK(G1501:AA1501)=20,"T",""))))))))}</f>
        <v>SPELLDC TOTAL</v>
      </c>
      <c r="AC1500" s="76" t="str">
        <f t="array" ref="AC1500:AC1501">{"SPELLDC TOTAL";(sum(G1501:AA1501))}</f>
        <v>SPELLDC TOTAL</v>
      </c>
    </row>
    <row r="1501">
      <c r="A1501" s="48" t="s">
        <v>221</v>
      </c>
      <c r="B1501" s="48"/>
      <c r="C1501" s="48" t="s">
        <v>418</v>
      </c>
      <c r="D1501" s="97" t="s">
        <v>1465</v>
      </c>
      <c r="E1501" s="97" t="s">
        <v>1485</v>
      </c>
      <c r="F1501" s="98" t="s">
        <v>435</v>
      </c>
      <c r="G1501" s="132" t="s">
        <v>603</v>
      </c>
      <c r="H1501" s="98">
        <v>10.0</v>
      </c>
      <c r="I1501" s="98"/>
      <c r="J1501" s="98" t="s">
        <v>603</v>
      </c>
      <c r="K1501" s="98"/>
      <c r="L1501" s="98" t="s">
        <v>603</v>
      </c>
      <c r="M1501" s="98"/>
      <c r="N1501" s="98">
        <v>50.0</v>
      </c>
      <c r="O1501" s="98"/>
      <c r="P1501" s="98" t="s">
        <v>603</v>
      </c>
      <c r="Q1501" s="98"/>
      <c r="R1501" s="98" t="s">
        <v>603</v>
      </c>
      <c r="S1501" s="98"/>
      <c r="T1501" s="98" t="s">
        <v>603</v>
      </c>
      <c r="U1501" s="98"/>
      <c r="V1501" s="98">
        <v>110.0</v>
      </c>
      <c r="W1501" s="98"/>
      <c r="X1501" s="98" t="s">
        <v>603</v>
      </c>
      <c r="Y1501" s="98"/>
      <c r="Z1501" s="98">
        <v>190.0</v>
      </c>
      <c r="AA1501" s="98"/>
      <c r="AB1501" s="5" t="s">
        <v>466</v>
      </c>
      <c r="AC1501" s="47">
        <v>360.0</v>
      </c>
    </row>
    <row r="1502" hidden="1">
      <c r="A1502" s="222" t="str">
        <f t="array" ref="A1502:A1503">{"FormulaRow22";(INDEX(CLASSLIST,A1459,1))}</f>
        <v>FormulaRow22</v>
      </c>
      <c r="B1502" s="77" t="s">
        <v>236</v>
      </c>
      <c r="C1502" s="222" t="str">
        <f t="array" ref="C1502:C1503">{"CLASSTYPE";((INDEX(ALLCLASSDATA,MATCH("ClassType",CLASSFEATUREHEADERS,0),MATCH($A1503,CLASSNAMEHEADERS,0))))}</f>
        <v>CLASSTYPE</v>
      </c>
      <c r="D1502" s="228" t="str">
        <f t="shared" ref="D1502:E1502" si="17">{"PERCEPTION";"Perception"}</f>
        <v>PERCEPTION</v>
      </c>
      <c r="E1502" s="228" t="str">
        <f t="shared" si="17"/>
        <v>PERCEPTION</v>
      </c>
      <c r="F1502" s="230" t="str">
        <f t="array" ref="F1502:F1503">{"PERCEPTIONINITIAL";((IF(H1503=10,"T",(IF(H1503=50,"E","")))))}</f>
        <v>PERCEPTIONINITIAL</v>
      </c>
      <c r="G1502" s="230" t="str">
        <f t="array" ref="G1502:G1503">{"PERCEPTIONINITIALPTS";((IF("00"=(INDEX(ALLCLASSDATA,MATCH("PerceptionLegendary",CLASSFEATUREHEADERS,0),MATCH($A1503,CLASSNAMEHEADERS,0))),(INDEX(ALLCLASSDATA,MATCH("PerceptionLegendary",CLASSFEATUREHEADERS,0),MATCH(($A1503 &amp; "Points"),CLASSNAMEHEADERS,0))),(IF("00"=(INDEX(ALLCLASSDATA,MATCH("PerceptionMaster",CLASSFEATUREHEADERS,0),MATCH($A1503,CLASSNAMEHEADERS,0))),(INDEX(ALLCLASSDATA,MATCH("PerceptionMaster",CLASSFEATUREHEADERS,0),MATCH(($A1503 &amp; "Points"),CLASSNAMEHEADERS,0))),(IF("00"=(INDEX(ALLCLASSDATA,MATCH("PerceptionExpert",CLASSFEATUREHEADERS,0),MATCH($A1503,CLASSNAMEHEADERS,0))),(INDEX(ALLCLASSDATA,MATCH("PerceptionExpert",CLASSFEATUREHEADERS,0),MATCH(($A1503 &amp; "Points"),CLASSNAMEHEADERS,0))),(IF("00"=(INDEX(ALLCLASSDATA,MATCH("PerceptionTrained",CLASSFEATUREHEADERS,0),MATCH($A1503,CLASSNAMEHEADERS,0))),(INDEX(ALLCLASSDATA,MATCH("PerceptionTrained",CLASSFEATUREHEADERS,0),MATCH(($A1503 &amp; "Points"),CLASSNAMEHEADERS,0))),"")))))))))}</f>
        <v>PERCEPTIONINITIALPTS</v>
      </c>
      <c r="H1502" s="230" t="str">
        <f t="array" ref="H1502:H1503">{"PERCEPTIONL01";((IF("01"=(INDEX(ALLCLASSDATA,MATCH("PerceptionLegendary",CLASSFEATUREHEADERS,0),MATCH($A1503,CLASSNAMEHEADERS,0))),(INDEX(ALLCLASSDATA,MATCH("PerceptionLegendary",CLASSFEATUREHEADERS,0),MATCH(($A1503 &amp; "Points"),CLASSNAMEHEADERS,0))),(IF("01"=(INDEX(ALLCLASSDATA,MATCH("PerceptionMaster",CLASSFEATUREHEADERS,0),MATCH($A1503,CLASSNAMEHEADERS,0))),(INDEX(ALLCLASSDATA,MATCH("PerceptionMaster",CLASSFEATUREHEADERS,0),MATCH(($A1503 &amp; "Points"),CLASSNAMEHEADERS,0))),(IF("01"=(INDEX(ALLCLASSDATA,MATCH("PerceptionExpert",CLASSFEATUREHEADERS,0),MATCH($A1503,CLASSNAMEHEADERS,0))),(INDEX(ALLCLASSDATA,MATCH("PerceptionExpert",CLASSFEATUREHEADERS,0),MATCH(($A1503 &amp; "Points"),CLASSNAMEHEADERS,0))),(IF("01"=(INDEX(ALLCLASSDATA,MATCH("PerceptionTrained",CLASSFEATUREHEADERS,0),MATCH($A1503,CLASSNAMEHEADERS,0))),(INDEX(ALLCLASSDATA,MATCH("PerceptionTrained",CLASSFEATUREHEADERS,0),MATCH(($A1503 &amp; "Points"),CLASSNAMEHEADERS,0))),"")))))))))}</f>
        <v>PERCEPTIONL01</v>
      </c>
      <c r="I1502" s="230"/>
      <c r="J1502" s="230" t="str">
        <f t="array" ref="J1502:J1503">{"PERCEPTIONL03";((IF("03"=(INDEX(ALLCLASSDATA,MATCH("PerceptionLegendary",CLASSFEATUREHEADERS,0),MATCH($A1503,CLASSNAMEHEADERS,0))),(INDEX(ALLCLASSDATA,MATCH("PerceptionLegendary",CLASSFEATUREHEADERS,0),MATCH(($A1503 &amp; "Points"),CLASSNAMEHEADERS,0))),(IF("03"=(INDEX(ALLCLASSDATA,MATCH("PerceptionMaster",CLASSFEATUREHEADERS,0),MATCH($A1503,CLASSNAMEHEADERS,0))),(INDEX(ALLCLASSDATA,MATCH("PerceptionMaster",CLASSFEATUREHEADERS,0),MATCH(($A1503 &amp; "Points"),CLASSNAMEHEADERS,0))),(IF("03"=(INDEX(ALLCLASSDATA,MATCH("PerceptionExpert",CLASSFEATUREHEADERS,0),MATCH($A1503,CLASSNAMEHEADERS,0))),(INDEX(ALLCLASSDATA,MATCH("PerceptionExpert",CLASSFEATUREHEADERS,0),MATCH(($A1503 &amp; "Points"),CLASSNAMEHEADERS,0))),(IF("03"=(INDEX(ALLCLASSDATA,MATCH("PerceptionTrained",CLASSFEATUREHEADERS,0),MATCH($A1503,CLASSNAMEHEADERS,0))),(INDEX(ALLCLASSDATA,MATCH("PerceptionTrained",CLASSFEATUREHEADERS,0),MATCH(($A1503 &amp; "Points"),CLASSNAMEHEADERS,0))),"")))))))))}</f>
        <v>PERCEPTIONL03</v>
      </c>
      <c r="K1502" s="230"/>
      <c r="L1502" s="230" t="str">
        <f t="array" ref="L1502:L1503">{"PERCEPTIONL05";((IF("05"=(INDEX(ALLCLASSDATA,MATCH("PerceptionLegendary",CLASSFEATUREHEADERS,0),MATCH($A1503,CLASSNAMEHEADERS,0))),(INDEX(ALLCLASSDATA,MATCH("PerceptionLegendary",CLASSFEATUREHEADERS,0),MATCH(($A1503 &amp; "Points"),CLASSNAMEHEADERS,0))),(IF("05"=(INDEX(ALLCLASSDATA,MATCH("PerceptionMaster",CLASSFEATUREHEADERS,0),MATCH($A1503,CLASSNAMEHEADERS,0))),(INDEX(ALLCLASSDATA,MATCH("PerceptionMaster",CLASSFEATUREHEADERS,0),MATCH(($A1503 &amp; "Points"),CLASSNAMEHEADERS,0))),(IF("05"=(INDEX(ALLCLASSDATA,MATCH("PerceptionExpert",CLASSFEATUREHEADERS,0),MATCH($A1503,CLASSNAMEHEADERS,0))),(INDEX(ALLCLASSDATA,MATCH("PerceptionExpert",CLASSFEATUREHEADERS,0),MATCH(($A1503 &amp; "Points"),CLASSNAMEHEADERS,0))),(IF("05"=(INDEX(ALLCLASSDATA,MATCH("PerceptionTrained",CLASSFEATUREHEADERS,0),MATCH($A1503,CLASSNAMEHEADERS,0))),(INDEX(ALLCLASSDATA,MATCH("PerceptionTrained",CLASSFEATUREHEADERS,0),MATCH(($A1503 &amp; "Points"),CLASSNAMEHEADERS,0))),"")))))))))}</f>
        <v>PERCEPTIONL05</v>
      </c>
      <c r="M1502" s="230"/>
      <c r="N1502" s="230" t="str">
        <f t="array" ref="N1502:N1503">{"PERCEPTIONL07";((IF("07"=(INDEX(ALLCLASSDATA,MATCH("PerceptionLegendary",CLASSFEATUREHEADERS,0),MATCH($A1503,CLASSNAMEHEADERS,0))),(INDEX(ALLCLASSDATA,MATCH("PerceptionLegendary",CLASSFEATUREHEADERS,0),MATCH(($A1503 &amp; "Points"),CLASSNAMEHEADERS,0))),(IF("07"=(INDEX(ALLCLASSDATA,MATCH("PerceptionMaster",CLASSFEATUREHEADERS,0),MATCH($A1503,CLASSNAMEHEADERS,0))),(INDEX(ALLCLASSDATA,MATCH("PerceptionMaster",CLASSFEATUREHEADERS,0),MATCH(($A1503 &amp; "Points"),CLASSNAMEHEADERS,0))),(IF("07"=(INDEX(ALLCLASSDATA,MATCH("PerceptionExpert",CLASSFEATUREHEADERS,0),MATCH($A1503,CLASSNAMEHEADERS,0))),(INDEX(ALLCLASSDATA,MATCH("PerceptionExpert",CLASSFEATUREHEADERS,0),MATCH(($A1503 &amp; "Points"),CLASSNAMEHEADERS,0))),(IF("07"=(INDEX(ALLCLASSDATA,MATCH("PerceptionTrained",CLASSFEATUREHEADERS,0),MATCH($A1503,CLASSNAMEHEADERS,0))),(INDEX(ALLCLASSDATA,MATCH("PerceptionTrained",CLASSFEATUREHEADERS,0),MATCH(($A1503 &amp; "Points"),CLASSNAMEHEADERS,0))),"")))))))))}</f>
        <v>PERCEPTIONL07</v>
      </c>
      <c r="O1502" s="230"/>
      <c r="P1502" s="230" t="str">
        <f t="array" ref="P1502:P1503">{"PERCEPTIONL09";((IF("09"=(INDEX(ALLCLASSDATA,MATCH("PerceptionLegendary",CLASSFEATUREHEADERS,0),MATCH($A1503,CLASSNAMEHEADERS,0))),(INDEX(ALLCLASSDATA,MATCH("PerceptionLegendary",CLASSFEATUREHEADERS,0),MATCH(($A1503 &amp; "Points"),CLASSNAMEHEADERS,0))),(IF("09"=(INDEX(ALLCLASSDATA,MATCH("PerceptionMaster",CLASSFEATUREHEADERS,0),MATCH($A1503,CLASSNAMEHEADERS,0))),(INDEX(ALLCLASSDATA,MATCH("PerceptionMaster",CLASSFEATUREHEADERS,0),MATCH(($A1503 &amp; "Points"),CLASSNAMEHEADERS,0))),(IF("09"=(INDEX(ALLCLASSDATA,MATCH("PerceptionExpert",CLASSFEATUREHEADERS,0),MATCH($A1503,CLASSNAMEHEADERS,0))),(INDEX(ALLCLASSDATA,MATCH("PerceptionExpert",CLASSFEATUREHEADERS,0),MATCH(($A1503 &amp; "Points"),CLASSNAMEHEADERS,0))),(IF("09"=(INDEX(ALLCLASSDATA,MATCH("PerceptionTrained",CLASSFEATUREHEADERS,0),MATCH($A1503,CLASSNAMEHEADERS,0))),(INDEX(ALLCLASSDATA,MATCH("PerceptionTrained",CLASSFEATUREHEADERS,0),MATCH(($A1503 &amp; "Points"),CLASSNAMEHEADERS,0))),"")))))))))}</f>
        <v>PERCEPTIONL09</v>
      </c>
      <c r="Q1502" s="230"/>
      <c r="R1502" s="230" t="str">
        <f t="array" ref="R1502:R1503">{"PERCEPTIONL11";((IF("11"=(INDEX(ALLCLASSDATA,MATCH("PerceptionLegendary",CLASSFEATUREHEADERS,0),MATCH($A1503,CLASSNAMEHEADERS,0))),(INDEX(ALLCLASSDATA,MATCH("PerceptionLegendary",CLASSFEATUREHEADERS,0),MATCH(($A1503 &amp; "Points"),CLASSNAMEHEADERS,0))),(IF("11"=(INDEX(ALLCLASSDATA,MATCH("PerceptionMaster",CLASSFEATUREHEADERS,0),MATCH($A1503,CLASSNAMEHEADERS,0))),(INDEX(ALLCLASSDATA,MATCH("PerceptionMaster",CLASSFEATUREHEADERS,0),MATCH(($A1503 &amp; "Points"),CLASSNAMEHEADERS,0))),(IF("11"=(INDEX(ALLCLASSDATA,MATCH("PerceptionExpert",CLASSFEATUREHEADERS,0),MATCH($A1503,CLASSNAMEHEADERS,0))),(INDEX(ALLCLASSDATA,MATCH("PerceptionExpert",CLASSFEATUREHEADERS,0),MATCH(($A1503 &amp; "Points"),CLASSNAMEHEADERS,0))),(IF("11"=(INDEX(ALLCLASSDATA,MATCH("PerceptionTrained",CLASSFEATUREHEADERS,0),MATCH($A1503,CLASSNAMEHEADERS,0))),(INDEX(ALLCLASSDATA,MATCH("PerceptionTrained",CLASSFEATUREHEADERS,0),MATCH(($A1503 &amp; "Points"),CLASSNAMEHEADERS,0))),"")))))))))}</f>
        <v>PERCEPTIONL11</v>
      </c>
      <c r="S1502" s="230"/>
      <c r="T1502" s="230" t="str">
        <f t="array" ref="T1502:T1503">{"PERCEPTIONL13";((IF("13"=(INDEX(ALLCLASSDATA,MATCH("PerceptionLegendary",CLASSFEATUREHEADERS,0),MATCH($A1503,CLASSNAMEHEADERS,0))),(INDEX(ALLCLASSDATA,MATCH("PerceptionLegendary",CLASSFEATUREHEADERS,0),MATCH(($A1503 &amp; "Points"),CLASSNAMEHEADERS,0))),(IF("13"=(INDEX(ALLCLASSDATA,MATCH("PerceptionMaster",CLASSFEATUREHEADERS,0),MATCH($A1503,CLASSNAMEHEADERS,0))),(INDEX(ALLCLASSDATA,MATCH("PerceptionMaster",CLASSFEATUREHEADERS,0),MATCH(($A1503 &amp; "Points"),CLASSNAMEHEADERS,0))),(IF("13"=(INDEX(ALLCLASSDATA,MATCH("PerceptionExpert",CLASSFEATUREHEADERS,0),MATCH($A1503,CLASSNAMEHEADERS,0))),(INDEX(ALLCLASSDATA,MATCH("PerceptionExpert",CLASSFEATUREHEADERS,0),MATCH(($A1503 &amp; "Points"),CLASSNAMEHEADERS,0))),(IF("13"=(INDEX(ALLCLASSDATA,MATCH("PerceptionTrained",CLASSFEATUREHEADERS,0),MATCH($A1503,CLASSNAMEHEADERS,0))),(INDEX(ALLCLASSDATA,MATCH("PerceptionTrained",CLASSFEATUREHEADERS,0),MATCH(($A1503 &amp; "Points"),CLASSNAMEHEADERS,0))),"")))))))))}</f>
        <v>PERCEPTIONL13</v>
      </c>
      <c r="U1502" s="230"/>
      <c r="V1502" s="230" t="str">
        <f t="array" ref="V1502:V1503">{"PERCEPTIONL15";((IF("15"=(INDEX(ALLCLASSDATA,MATCH("PerceptionLegendary",CLASSFEATUREHEADERS,0),MATCH($A1503,CLASSNAMEHEADERS,0))),(INDEX(ALLCLASSDATA,MATCH("PerceptionLegendary",CLASSFEATUREHEADERS,0),MATCH(($A1503 &amp; "Points"),CLASSNAMEHEADERS,0))),(IF("15"=(INDEX(ALLCLASSDATA,MATCH("PerceptionMaster",CLASSFEATUREHEADERS,0),MATCH($A1503,CLASSNAMEHEADERS,0))),(INDEX(ALLCLASSDATA,MATCH("PerceptionMaster",CLASSFEATUREHEADERS,0),MATCH(($A1503 &amp; "Points"),CLASSNAMEHEADERS,0))),(IF("15"=(INDEX(ALLCLASSDATA,MATCH("PerceptionExpert",CLASSFEATUREHEADERS,0),MATCH($A1503,CLASSNAMEHEADERS,0))),(INDEX(ALLCLASSDATA,MATCH("PerceptionExpert",CLASSFEATUREHEADERS,0),MATCH(($A1503 &amp; "Points"),CLASSNAMEHEADERS,0))),(IF("15"=(INDEX(ALLCLASSDATA,MATCH("PerceptionTrained",CLASSFEATUREHEADERS,0),MATCH($A1503,CLASSNAMEHEADERS,0))),(INDEX(ALLCLASSDATA,MATCH("PerceptionTrained",CLASSFEATUREHEADERS,0),MATCH(($A1503 &amp; "Points"),CLASSNAMEHEADERS,0))),"")))))))))}</f>
        <v>PERCEPTIONL15</v>
      </c>
      <c r="W1502" s="230"/>
      <c r="X1502" s="230" t="str">
        <f t="array" ref="X1502:X1503">{"PERCEPTIONL17";((IF("17"=(INDEX(ALLCLASSDATA,MATCH("PerceptionLegendary",CLASSFEATUREHEADERS,0),MATCH($A1503,CLASSNAMEHEADERS,0))),(INDEX(ALLCLASSDATA,MATCH("PerceptionLegendary",CLASSFEATUREHEADERS,0),MATCH(($A1503 &amp; "Points"),CLASSNAMEHEADERS,0))),(IF("17"=(INDEX(ALLCLASSDATA,MATCH("PerceptionMaster",CLASSFEATUREHEADERS,0),MATCH($A1503,CLASSNAMEHEADERS,0))),(INDEX(ALLCLASSDATA,MATCH("PerceptionMaster",CLASSFEATUREHEADERS,0),MATCH(($A1503 &amp; "Points"),CLASSNAMEHEADERS,0))),(IF("17"=(INDEX(ALLCLASSDATA,MATCH("PerceptionExpert",CLASSFEATUREHEADERS,0),MATCH($A1503,CLASSNAMEHEADERS,0))),(INDEX(ALLCLASSDATA,MATCH("PerceptionExpert",CLASSFEATUREHEADERS,0),MATCH(($A1503 &amp; "Points"),CLASSNAMEHEADERS,0))),(IF("17"=(INDEX(ALLCLASSDATA,MATCH("PerceptionTrained",CLASSFEATUREHEADERS,0),MATCH($A1503,CLASSNAMEHEADERS,0))),(INDEX(ALLCLASSDATA,MATCH("PerceptionTrained",CLASSFEATUREHEADERS,0),MATCH(($A1503 &amp; "Points"),CLASSNAMEHEADERS,0))),"")))))))))}</f>
        <v>PERCEPTIONL17</v>
      </c>
      <c r="Y1502" s="230"/>
      <c r="Z1502" s="230" t="str">
        <f t="array" ref="Z1502:Z1503">{"PERCEPTIONL19";((IF("19"=(INDEX(ALLCLASSDATA,MATCH("PerceptionLegendary",CLASSFEATUREHEADERS,0),MATCH($A1503,CLASSNAMEHEADERS,0))),(INDEX(ALLCLASSDATA,MATCH("PerceptionLegendary",CLASSFEATUREHEADERS,0),MATCH(($A1503 &amp; "Points"),CLASSNAMEHEADERS,0))),(IF("19"=(INDEX(ALLCLASSDATA,MATCH("PerceptionMaster",CLASSFEATUREHEADERS,0),MATCH($A1503,CLASSNAMEHEADERS,0))),(INDEX(ALLCLASSDATA,MATCH("PerceptionMaster",CLASSFEATUREHEADERS,0),MATCH(($A1503 &amp; "Points"),CLASSNAMEHEADERS,0))),(IF("19"=(INDEX(ALLCLASSDATA,MATCH("PerceptionExpert",CLASSFEATUREHEADERS,0),MATCH($A1503,CLASSNAMEHEADERS,0))),(INDEX(ALLCLASSDATA,MATCH("PerceptionExpert",CLASSFEATUREHEADERS,0),MATCH(($A1503 &amp; "Points"),CLASSNAMEHEADERS,0))),(IF("19"=(INDEX(ALLCLASSDATA,MATCH("PerceptionTrained",CLASSFEATUREHEADERS,0),MATCH($A1503,CLASSNAMEHEADERS,0))),(INDEX(ALLCLASSDATA,MATCH("PerceptionTrained",CLASSFEATUREHEADERS,0),MATCH(($A1503 &amp; "Points"),CLASSNAMEHEADERS,0))),"")))))))))}</f>
        <v>PERCEPTIONL19</v>
      </c>
      <c r="AA1502" s="230"/>
      <c r="AB1502" s="76" t="str">
        <f t="array" ref="AB1502:AB1503">{"PERCEPTION TOTAL";(IF(COUNTBLANK(G1503:AA1503)=17,"L",(IF(COUNTBLANK(G1503:AA1503)=18,"M",(IF(COUNTBLANK(G1503:AA1503)=19,"E",(IF(COUNTBLANK(G1503:AA1503)=20,"T",""))))))))}</f>
        <v>PERCEPTION TOTAL</v>
      </c>
      <c r="AC1502" s="76" t="str">
        <f t="array" ref="AC1502:AC1503">{"PERCEPTION TOTAL";(sum(G1503:AA1503))}</f>
        <v>PERCEPTION TOTAL</v>
      </c>
    </row>
    <row r="1503">
      <c r="A1503" s="48" t="s">
        <v>221</v>
      </c>
      <c r="B1503" s="48"/>
      <c r="C1503" s="48" t="s">
        <v>418</v>
      </c>
      <c r="D1503" s="97" t="s">
        <v>637</v>
      </c>
      <c r="E1503" s="97" t="s">
        <v>637</v>
      </c>
      <c r="F1503" s="98" t="s">
        <v>436</v>
      </c>
      <c r="G1503" s="132">
        <v>10.0</v>
      </c>
      <c r="H1503" s="98">
        <v>50.0</v>
      </c>
      <c r="I1503" s="98"/>
      <c r="J1503" s="98" t="s">
        <v>603</v>
      </c>
      <c r="K1503" s="98"/>
      <c r="L1503" s="98" t="s">
        <v>603</v>
      </c>
      <c r="M1503" s="98"/>
      <c r="N1503" s="98" t="s">
        <v>603</v>
      </c>
      <c r="O1503" s="98"/>
      <c r="P1503" s="98" t="s">
        <v>603</v>
      </c>
      <c r="Q1503" s="98"/>
      <c r="R1503" s="98">
        <v>110.0</v>
      </c>
      <c r="S1503" s="98"/>
      <c r="T1503" s="98" t="s">
        <v>603</v>
      </c>
      <c r="U1503" s="98"/>
      <c r="V1503" s="98" t="s">
        <v>603</v>
      </c>
      <c r="W1503" s="98"/>
      <c r="X1503" s="98" t="s">
        <v>603</v>
      </c>
      <c r="Y1503" s="98"/>
      <c r="Z1503" s="98" t="s">
        <v>603</v>
      </c>
      <c r="AA1503" s="98"/>
      <c r="AB1503" s="5" t="s">
        <v>437</v>
      </c>
      <c r="AC1503" s="47">
        <v>170.0</v>
      </c>
    </row>
    <row r="1504" hidden="1">
      <c r="A1504" s="222" t="str">
        <f t="array" ref="A1504:A1505">{"FormulaRow23";(INDEX(CLASSLIST,A1459,1))}</f>
        <v>FormulaRow23</v>
      </c>
      <c r="B1504" s="77" t="s">
        <v>236</v>
      </c>
      <c r="C1504" s="222" t="str">
        <f t="array" ref="C1504:C1505">{"CLASSTYPE";((INDEX(ALLCLASSDATA,MATCH("ClassType",CLASSFEATUREHEADERS,0),MATCH($A1505,CLASSNAMEHEADERS,0))))}</f>
        <v>CLASSTYPE</v>
      </c>
      <c r="D1504" s="228" t="str">
        <f t="array" ref="D1504:D1505">{"SAVES";"Saves"}</f>
        <v>SAVES</v>
      </c>
      <c r="E1504" s="228" t="str">
        <f t="array" ref="E1504:E1505">{"FORTITUDESAVE";"FortitudeSave"}</f>
        <v>FORTITUDESAVE</v>
      </c>
      <c r="F1504" s="230" t="str">
        <f t="array" ref="F1504:F1505">{"FORTITUDEINITIAL";((IF(H1505=10,"T",(IF(H1505=50,"E","")))))}</f>
        <v>FORTITUDEINITIAL</v>
      </c>
      <c r="G1504" s="230" t="str">
        <f t="array" ref="G1504:G1505">{"FORTITUDEINITIALPTS";((IF("00"=(INDEX(ALLCLASSDATA,MATCH("FortitudeSaveLegendary",CLASSFEATUREHEADERS,0),MATCH($A1505,CLASSNAMEHEADERS,0))),(INDEX(ALLCLASSDATA,MATCH("FortitudeSaveLegendary",CLASSFEATUREHEADERS,0),MATCH(($A1505 &amp; "Points"),CLASSNAMEHEADERS,0))),(IF("00"=(INDEX(ALLCLASSDATA,MATCH("FortitudeSaveMaster",CLASSFEATUREHEADERS,0),MATCH($A1505,CLASSNAMEHEADERS,0))),(INDEX(ALLCLASSDATA,MATCH("FortitudeSaveMaster",CLASSFEATUREHEADERS,0),MATCH(($A1505 &amp; "Points"),CLASSNAMEHEADERS,0))),(IF("00"=(INDEX(ALLCLASSDATA,MATCH("FortitudeSaveExpert",CLASSFEATUREHEADERS,0),MATCH($A1505,CLASSNAMEHEADERS,0))),(INDEX(ALLCLASSDATA,MATCH("FortitudeSaveExpert",CLASSFEATUREHEADERS,0),MATCH(($A1505 &amp; "Points"),CLASSNAMEHEADERS,0))),(IF("00"=(INDEX(ALLCLASSDATA,MATCH("FortitudeSaveTrained",CLASSFEATUREHEADERS,0),MATCH($A1505,CLASSNAMEHEADERS,0))),(INDEX(ALLCLASSDATA,MATCH("FortitudeSaveTrained",CLASSFEATUREHEADERS,0),MATCH(($A1505 &amp; "Points"),CLASSNAMEHEADERS,0))),"")))))))))}</f>
        <v>FORTITUDEINITIALPTS</v>
      </c>
      <c r="H1504" s="230" t="str">
        <f t="array" ref="H1504:H1505">{"FORTITUDEL01";((IF("01"=(INDEX(ALLCLASSDATA,MATCH("FortitudeSaveLegendary",CLASSFEATUREHEADERS,0),MATCH($A1505,CLASSNAMEHEADERS,0))),(INDEX(ALLCLASSDATA,MATCH("FortitudeSaveLegendary",CLASSFEATUREHEADERS,0),MATCH(($A1505 &amp; "Points"),CLASSNAMEHEADERS,0))),(IF("01"=(INDEX(ALLCLASSDATA,MATCH("FortitudeSaveMaster",CLASSFEATUREHEADERS,0),MATCH($A1505,CLASSNAMEHEADERS,0))),(INDEX(ALLCLASSDATA,MATCH("FortitudeSaveMaster",CLASSFEATUREHEADERS,0),MATCH(($A1505 &amp; "Points"),CLASSNAMEHEADERS,0))),(IF("01"=(INDEX(ALLCLASSDATA,MATCH("FortitudeSaveExpert",CLASSFEATUREHEADERS,0),MATCH($A1505,CLASSNAMEHEADERS,0))),(INDEX(ALLCLASSDATA,MATCH("FortitudeSaveExpert",CLASSFEATUREHEADERS,0),MATCH(($A1505 &amp; "Points"),CLASSNAMEHEADERS,0))),(IF("01"=(INDEX(ALLCLASSDATA,MATCH("FortitudeSaveTrained",CLASSFEATUREHEADERS,0),MATCH($A1505,CLASSNAMEHEADERS,0))),(INDEX(ALLCLASSDATA,MATCH("FortitudeSaveTrained",CLASSFEATUREHEADERS,0),MATCH(($A1505 &amp; "Points"),CLASSNAMEHEADERS,0))),"")))))))))}</f>
        <v>FORTITUDEL01</v>
      </c>
      <c r="I1504" s="230"/>
      <c r="J1504" s="230" t="str">
        <f t="array" ref="J1504:J1505">{"FORTITUDEL03";((IF("03"=(INDEX(ALLCLASSDATA,MATCH("FortitudeSaveLegendary",CLASSFEATUREHEADERS,0),MATCH($A1505,CLASSNAMEHEADERS,0))),(INDEX(ALLCLASSDATA,MATCH("FortitudeSaveLegendary",CLASSFEATUREHEADERS,0),MATCH(($A1505 &amp; "Points"),CLASSNAMEHEADERS,0))),(IF("03"=(INDEX(ALLCLASSDATA,MATCH("FortitudeSaveMaster",CLASSFEATUREHEADERS,0),MATCH($A1505,CLASSNAMEHEADERS,0))),(INDEX(ALLCLASSDATA,MATCH("FortitudeSaveMaster",CLASSFEATUREHEADERS,0),MATCH(($A1505 &amp; "Points"),CLASSNAMEHEADERS,0))),(IF("03"=(INDEX(ALLCLASSDATA,MATCH("FortitudeSaveExpert",CLASSFEATUREHEADERS,0),MATCH($A1505,CLASSNAMEHEADERS,0))),(INDEX(ALLCLASSDATA,MATCH("FortitudeSaveExpert",CLASSFEATUREHEADERS,0),MATCH(($A1505 &amp; "Points"),CLASSNAMEHEADERS,0))),(IF("03"=(INDEX(ALLCLASSDATA,MATCH("FortitudeSaveTrained",CLASSFEATUREHEADERS,0),MATCH($A1505,CLASSNAMEHEADERS,0))),(INDEX(ALLCLASSDATA,MATCH("FortitudeSaveTrained",CLASSFEATUREHEADERS,0),MATCH(($A1505 &amp; "Points"),CLASSNAMEHEADERS,0))),"")))))))))}</f>
        <v>FORTITUDEL03</v>
      </c>
      <c r="K1504" s="230"/>
      <c r="L1504" s="230" t="str">
        <f t="array" ref="L1504:L1505">{"FORTITUDEL05";((IF("05"=(INDEX(ALLCLASSDATA,MATCH("FortitudeSaveLegendary",CLASSFEATUREHEADERS,0),MATCH($A1505,CLASSNAMEHEADERS,0))),(INDEX(ALLCLASSDATA,MATCH("FortitudeSaveLegendary",CLASSFEATUREHEADERS,0),MATCH(($A1505 &amp; "Points"),CLASSNAMEHEADERS,0))),(IF("05"=(INDEX(ALLCLASSDATA,MATCH("FortitudeSaveMaster",CLASSFEATUREHEADERS,0),MATCH($A1505,CLASSNAMEHEADERS,0))),(INDEX(ALLCLASSDATA,MATCH("FortitudeSaveMaster",CLASSFEATUREHEADERS,0),MATCH(($A1505 &amp; "Points"),CLASSNAMEHEADERS,0))),(IF("05"=(INDEX(ALLCLASSDATA,MATCH("FortitudeSaveExpert",CLASSFEATUREHEADERS,0),MATCH($A1505,CLASSNAMEHEADERS,0))),(INDEX(ALLCLASSDATA,MATCH("FortitudeSaveExpert",CLASSFEATUREHEADERS,0),MATCH(($A1505 &amp; "Points"),CLASSNAMEHEADERS,0))),(IF("05"=(INDEX(ALLCLASSDATA,MATCH("FortitudeSaveTrained",CLASSFEATUREHEADERS,0),MATCH($A1505,CLASSNAMEHEADERS,0))),(INDEX(ALLCLASSDATA,MATCH("FortitudeSaveTrained",CLASSFEATUREHEADERS,0),MATCH(($A1505 &amp; "Points"),CLASSNAMEHEADERS,0))),"")))))))))}</f>
        <v>FORTITUDEL05</v>
      </c>
      <c r="M1504" s="230"/>
      <c r="N1504" s="230" t="str">
        <f t="array" ref="N1504:N1505">{"FORTITUDEL07";((IF("07"=(INDEX(ALLCLASSDATA,MATCH("FortitudeSaveLegendary",CLASSFEATUREHEADERS,0),MATCH($A1505,CLASSNAMEHEADERS,0))),(INDEX(ALLCLASSDATA,MATCH("FortitudeSaveLegendary",CLASSFEATUREHEADERS,0),MATCH(($A1505 &amp; "Points"),CLASSNAMEHEADERS,0))),(IF("07"=(INDEX(ALLCLASSDATA,MATCH("FortitudeSaveMaster",CLASSFEATUREHEADERS,0),MATCH($A1505,CLASSNAMEHEADERS,0))),(INDEX(ALLCLASSDATA,MATCH("FortitudeSaveMaster",CLASSFEATUREHEADERS,0),MATCH(($A1505 &amp; "Points"),CLASSNAMEHEADERS,0))),(IF("07"=(INDEX(ALLCLASSDATA,MATCH("FortitudeSaveExpert",CLASSFEATUREHEADERS,0),MATCH($A1505,CLASSNAMEHEADERS,0))),(INDEX(ALLCLASSDATA,MATCH("FortitudeSaveExpert",CLASSFEATUREHEADERS,0),MATCH(($A1505 &amp; "Points"),CLASSNAMEHEADERS,0))),(IF("07"=(INDEX(ALLCLASSDATA,MATCH("FortitudeSaveTrained",CLASSFEATUREHEADERS,0),MATCH($A1505,CLASSNAMEHEADERS,0))),(INDEX(ALLCLASSDATA,MATCH("FortitudeSaveTrained",CLASSFEATUREHEADERS,0),MATCH(($A1505 &amp; "Points"),CLASSNAMEHEADERS,0))),"")))))))))}</f>
        <v>FORTITUDEL07</v>
      </c>
      <c r="O1504" s="230"/>
      <c r="P1504" s="230" t="str">
        <f t="array" ref="P1504:P1505">{"FORTITUDEL09";((IF("09"=(INDEX(ALLCLASSDATA,MATCH("FortitudeSaveLegendary",CLASSFEATUREHEADERS,0),MATCH($A1505,CLASSNAMEHEADERS,0))),(INDEX(ALLCLASSDATA,MATCH("FortitudeSaveLegendary",CLASSFEATUREHEADERS,0),MATCH(($A1505 &amp; "Points"),CLASSNAMEHEADERS,0))),(IF("09"=(INDEX(ALLCLASSDATA,MATCH("FortitudeSaveMaster",CLASSFEATUREHEADERS,0),MATCH($A1505,CLASSNAMEHEADERS,0))),(INDEX(ALLCLASSDATA,MATCH("FortitudeSaveMaster",CLASSFEATUREHEADERS,0),MATCH(($A1505 &amp; "Points"),CLASSNAMEHEADERS,0))),(IF("09"=(INDEX(ALLCLASSDATA,MATCH("FortitudeSaveExpert",CLASSFEATUREHEADERS,0),MATCH($A1505,CLASSNAMEHEADERS,0))),(INDEX(ALLCLASSDATA,MATCH("FortitudeSaveExpert",CLASSFEATUREHEADERS,0),MATCH(($A1505 &amp; "Points"),CLASSNAMEHEADERS,0))),(IF("09"=(INDEX(ALLCLASSDATA,MATCH("FortitudeSaveTrained",CLASSFEATUREHEADERS,0),MATCH($A1505,CLASSNAMEHEADERS,0))),(INDEX(ALLCLASSDATA,MATCH("FortitudeSaveTrained",CLASSFEATUREHEADERS,0),MATCH(($A1505 &amp; "Points"),CLASSNAMEHEADERS,0))),"")))))))))}</f>
        <v>FORTITUDEL09</v>
      </c>
      <c r="Q1504" s="230"/>
      <c r="R1504" s="230" t="str">
        <f t="array" ref="R1504:R1505">{"FORTITUDEL11";((IF("11"=(INDEX(ALLCLASSDATA,MATCH("FortitudeSaveLegendary",CLASSFEATUREHEADERS,0),MATCH($A1505,CLASSNAMEHEADERS,0))),(INDEX(ALLCLASSDATA,MATCH("FortitudeSaveLegendary",CLASSFEATUREHEADERS,0),MATCH(($A1505 &amp; "Points"),CLASSNAMEHEADERS,0))),(IF("11"=(INDEX(ALLCLASSDATA,MATCH("FortitudeSaveMaster",CLASSFEATUREHEADERS,0),MATCH($A1505,CLASSNAMEHEADERS,0))),(INDEX(ALLCLASSDATA,MATCH("FortitudeSaveMaster",CLASSFEATUREHEADERS,0),MATCH(($A1505 &amp; "Points"),CLASSNAMEHEADERS,0))),(IF("11"=(INDEX(ALLCLASSDATA,MATCH("FortitudeSaveExpert",CLASSFEATUREHEADERS,0),MATCH($A1505,CLASSNAMEHEADERS,0))),(INDEX(ALLCLASSDATA,MATCH("FortitudeSaveExpert",CLASSFEATUREHEADERS,0),MATCH(($A1505 &amp; "Points"),CLASSNAMEHEADERS,0))),(IF("11"=(INDEX(ALLCLASSDATA,MATCH("FortitudeSaveTrained",CLASSFEATUREHEADERS,0),MATCH($A1505,CLASSNAMEHEADERS,0))),(INDEX(ALLCLASSDATA,MATCH("FortitudeSaveTrained",CLASSFEATUREHEADERS,0),MATCH(($A1505 &amp; "Points"),CLASSNAMEHEADERS,0))),"")))))))))}</f>
        <v>FORTITUDEL11</v>
      </c>
      <c r="S1504" s="230"/>
      <c r="T1504" s="230" t="str">
        <f t="array" ref="T1504:T1505">{"FORTITUDEL13";((IF("13"=(INDEX(ALLCLASSDATA,MATCH("FortitudeSaveLegendary",CLASSFEATUREHEADERS,0),MATCH($A1505,CLASSNAMEHEADERS,0))),(INDEX(ALLCLASSDATA,MATCH("FortitudeSaveLegendary",CLASSFEATUREHEADERS,0),MATCH(($A1505 &amp; "Points"),CLASSNAMEHEADERS,0))),(IF("13"=(INDEX(ALLCLASSDATA,MATCH("FortitudeSaveMaster",CLASSFEATUREHEADERS,0),MATCH($A1505,CLASSNAMEHEADERS,0))),(INDEX(ALLCLASSDATA,MATCH("FortitudeSaveMaster",CLASSFEATUREHEADERS,0),MATCH(($A1505 &amp; "Points"),CLASSNAMEHEADERS,0))),(IF("13"=(INDEX(ALLCLASSDATA,MATCH("FortitudeSaveExpert",CLASSFEATUREHEADERS,0),MATCH($A1505,CLASSNAMEHEADERS,0))),(INDEX(ALLCLASSDATA,MATCH("FortitudeSaveExpert",CLASSFEATUREHEADERS,0),MATCH(($A1505 &amp; "Points"),CLASSNAMEHEADERS,0))),(IF("13"=(INDEX(ALLCLASSDATA,MATCH("FortitudeSaveTrained",CLASSFEATUREHEADERS,0),MATCH($A1505,CLASSNAMEHEADERS,0))),(INDEX(ALLCLASSDATA,MATCH("FortitudeSaveTrained",CLASSFEATUREHEADERS,0),MATCH(($A1505 &amp; "Points"),CLASSNAMEHEADERS,0))),"")))))))))}</f>
        <v>FORTITUDEL13</v>
      </c>
      <c r="U1504" s="230"/>
      <c r="V1504" s="230" t="str">
        <f t="array" ref="V1504:V1505">{"FORTITUDEL15";((IF("15"=(INDEX(ALLCLASSDATA,MATCH("FortitudeSaveLegendary",CLASSFEATUREHEADERS,0),MATCH($A1505,CLASSNAMEHEADERS,0))),(INDEX(ALLCLASSDATA,MATCH("FortitudeSaveLegendary",CLASSFEATUREHEADERS,0),MATCH(($A1505 &amp; "Points"),CLASSNAMEHEADERS,0))),(IF("15"=(INDEX(ALLCLASSDATA,MATCH("FortitudeSaveMaster",CLASSFEATUREHEADERS,0),MATCH($A1505,CLASSNAMEHEADERS,0))),(INDEX(ALLCLASSDATA,MATCH("FortitudeSaveMaster",CLASSFEATUREHEADERS,0),MATCH(($A1505 &amp; "Points"),CLASSNAMEHEADERS,0))),(IF("15"=(INDEX(ALLCLASSDATA,MATCH("FortitudeSaveExpert",CLASSFEATUREHEADERS,0),MATCH($A1505,CLASSNAMEHEADERS,0))),(INDEX(ALLCLASSDATA,MATCH("FortitudeSaveExpert",CLASSFEATUREHEADERS,0),MATCH(($A1505 &amp; "Points"),CLASSNAMEHEADERS,0))),(IF("15"=(INDEX(ALLCLASSDATA,MATCH("FortitudeSaveTrained",CLASSFEATUREHEADERS,0),MATCH($A1505,CLASSNAMEHEADERS,0))),(INDEX(ALLCLASSDATA,MATCH("FortitudeSaveTrained",CLASSFEATUREHEADERS,0),MATCH(($A1505 &amp; "Points"),CLASSNAMEHEADERS,0))),"")))))))))}</f>
        <v>FORTITUDEL15</v>
      </c>
      <c r="W1504" s="230"/>
      <c r="X1504" s="230" t="str">
        <f t="array" ref="X1504:X1505">{"FORTITUDEL17";((IF("17"=(INDEX(ALLCLASSDATA,MATCH("FortitudeSaveLegendary",CLASSFEATUREHEADERS,0),MATCH($A1505,CLASSNAMEHEADERS,0))),(INDEX(ALLCLASSDATA,MATCH("FortitudeSaveLegendary",CLASSFEATUREHEADERS,0),MATCH(($A1505 &amp; "Points"),CLASSNAMEHEADERS,0))),(IF("17"=(INDEX(ALLCLASSDATA,MATCH("FortitudeSaveMaster",CLASSFEATUREHEADERS,0),MATCH($A1505,CLASSNAMEHEADERS,0))),(INDEX(ALLCLASSDATA,MATCH("FortitudeSaveMaster",CLASSFEATUREHEADERS,0),MATCH(($A1505 &amp; "Points"),CLASSNAMEHEADERS,0))),(IF("17"=(INDEX(ALLCLASSDATA,MATCH("FortitudeSaveExpert",CLASSFEATUREHEADERS,0),MATCH($A1505,CLASSNAMEHEADERS,0))),(INDEX(ALLCLASSDATA,MATCH("FortitudeSaveExpert",CLASSFEATUREHEADERS,0),MATCH(($A1505 &amp; "Points"),CLASSNAMEHEADERS,0))),(IF("17"=(INDEX(ALLCLASSDATA,MATCH("FortitudeSaveTrained",CLASSFEATUREHEADERS,0),MATCH($A1505,CLASSNAMEHEADERS,0))),(INDEX(ALLCLASSDATA,MATCH("FortitudeSaveTrained",CLASSFEATUREHEADERS,0),MATCH(($A1505 &amp; "Points"),CLASSNAMEHEADERS,0))),"")))))))))}</f>
        <v>FORTITUDEL17</v>
      </c>
      <c r="Y1504" s="230"/>
      <c r="Z1504" s="230" t="str">
        <f t="array" ref="Z1504:Z1505">{"FORTITUDEL19";((IF("19"=(INDEX(ALLCLASSDATA,MATCH("FortitudeSaveLegendary",CLASSFEATUREHEADERS,0),MATCH($A1505,CLASSNAMEHEADERS,0))),(INDEX(ALLCLASSDATA,MATCH("FortitudeSaveLegendary",CLASSFEATUREHEADERS,0),MATCH(($A1505 &amp; "Points"),CLASSNAMEHEADERS,0))),(IF("19"=(INDEX(ALLCLASSDATA,MATCH("FortitudeSaveMaster",CLASSFEATUREHEADERS,0),MATCH($A1505,CLASSNAMEHEADERS,0))),(INDEX(ALLCLASSDATA,MATCH("FortitudeSaveMaster",CLASSFEATUREHEADERS,0),MATCH(($A1505 &amp; "Points"),CLASSNAMEHEADERS,0))),(IF("19"=(INDEX(ALLCLASSDATA,MATCH("FortitudeSaveExpert",CLASSFEATUREHEADERS,0),MATCH($A1505,CLASSNAMEHEADERS,0))),(INDEX(ALLCLASSDATA,MATCH("FortitudeSaveExpert",CLASSFEATUREHEADERS,0),MATCH(($A1505 &amp; "Points"),CLASSNAMEHEADERS,0))),(IF("19"=(INDEX(ALLCLASSDATA,MATCH("FortitudeSaveTrained",CLASSFEATUREHEADERS,0),MATCH($A1505,CLASSNAMEHEADERS,0))),(INDEX(ALLCLASSDATA,MATCH("FortitudeSaveTrained",CLASSFEATUREHEADERS,0),MATCH(($A1505 &amp; "Points"),CLASSNAMEHEADERS,0))),"")))))))))}</f>
        <v>FORTITUDEL19</v>
      </c>
      <c r="AA1504" s="230"/>
      <c r="AB1504" s="76" t="str">
        <f t="array" ref="AB1504:AB1505">{"FORTITUDE TOTAL";(IF(COUNTBLANK(G1505:AA1505)=17,"L",(IF(COUNTBLANK(G1505:AA1505)=18,"M",(IF(COUNTBLANK(G1505:AA1505)=19,"E",(IF(COUNTBLANK(G1505:AA1505)=20,"T",""))))))))}</f>
        <v>FORTITUDE TOTAL</v>
      </c>
      <c r="AC1504" s="76" t="str">
        <f t="array" ref="AC1504:AC1505">{"FORTITUDE TOTAL";(sum(G1505:AA1505))}</f>
        <v>FORTITUDE TOTAL</v>
      </c>
    </row>
    <row r="1505">
      <c r="A1505" s="48" t="s">
        <v>221</v>
      </c>
      <c r="B1505" s="48"/>
      <c r="C1505" s="48" t="s">
        <v>418</v>
      </c>
      <c r="D1505" s="48" t="s">
        <v>1549</v>
      </c>
      <c r="E1505" s="48" t="s">
        <v>1550</v>
      </c>
      <c r="F1505" s="5" t="s">
        <v>435</v>
      </c>
      <c r="G1505" s="47" t="s">
        <v>603</v>
      </c>
      <c r="H1505" s="5">
        <v>10.0</v>
      </c>
      <c r="I1505" s="5"/>
      <c r="J1505" s="5" t="s">
        <v>603</v>
      </c>
      <c r="K1505" s="5"/>
      <c r="L1505" s="5" t="s">
        <v>603</v>
      </c>
      <c r="M1505" s="5"/>
      <c r="N1505" s="5" t="s">
        <v>603</v>
      </c>
      <c r="O1505" s="5"/>
      <c r="P1505" s="5">
        <v>50.0</v>
      </c>
      <c r="Q1505" s="5"/>
      <c r="R1505" s="5" t="s">
        <v>603</v>
      </c>
      <c r="S1505" s="5"/>
      <c r="T1505" s="5" t="s">
        <v>603</v>
      </c>
      <c r="U1505" s="5"/>
      <c r="V1505" s="5" t="s">
        <v>603</v>
      </c>
      <c r="W1505" s="5"/>
      <c r="X1505" s="5" t="s">
        <v>603</v>
      </c>
      <c r="Y1505" s="5"/>
      <c r="Z1505" s="5" t="s">
        <v>603</v>
      </c>
      <c r="AA1505" s="5"/>
      <c r="AB1505" s="5" t="s">
        <v>436</v>
      </c>
      <c r="AC1505" s="47">
        <v>60.0</v>
      </c>
    </row>
    <row r="1506" hidden="1">
      <c r="A1506" s="222" t="str">
        <f t="array" ref="A1506:A1507">{"FormulaRow24";(INDEX(CLASSLIST,A1459,1))}</f>
        <v>FormulaRow24</v>
      </c>
      <c r="B1506" s="77" t="s">
        <v>236</v>
      </c>
      <c r="C1506" s="222" t="str">
        <f t="array" ref="C1506:C1507">{"CLASSTYPE";((INDEX(ALLCLASSDATA,MATCH("ClassType",CLASSFEATUREHEADERS,0),MATCH($A1507,CLASSNAMEHEADERS,0))))}</f>
        <v>CLASSTYPE</v>
      </c>
      <c r="D1506" s="222" t="str">
        <f t="array" ref="D1506:D1507">{"SAVES";"Saves"}</f>
        <v>SAVES</v>
      </c>
      <c r="E1506" s="222" t="str">
        <f t="array" ref="E1506:E1507">{"REFLEXSAVE";"ReflexSave"}</f>
        <v>REFLEXSAVE</v>
      </c>
      <c r="F1506" s="223" t="str">
        <f t="array" ref="F1506:F1507">{"REFLEXINITIAL";((IF(H1507=10,"T",(IF(H1507=50,"E","")))))}</f>
        <v>REFLEXINITIAL</v>
      </c>
      <c r="G1506" s="223" t="str">
        <f t="array" ref="G1506:G1507">{"REFLEXINITIALPTS";((IF("00"=(INDEX(ALLCLASSDATA,MATCH("ReflexSaveLegendary",CLASSFEATUREHEADERS,0),MATCH($A1507,CLASSNAMEHEADERS,0))),(INDEX(ALLCLASSDATA,MATCH("ReflexSaveLegendary",CLASSFEATUREHEADERS,0),MATCH(($A1507 &amp; "Points"),CLASSNAMEHEADERS,0))),(IF("00"=(INDEX(ALLCLASSDATA,MATCH("ReflexSaveMaster",CLASSFEATUREHEADERS,0),MATCH($A1507,CLASSNAMEHEADERS,0))),(INDEX(ALLCLASSDATA,MATCH("ReflexSaveMaster",CLASSFEATUREHEADERS,0),MATCH(($A1507 &amp; "Points"),CLASSNAMEHEADERS,0))),(IF("00"=(INDEX(ALLCLASSDATA,MATCH("ReflexSaveExpert",CLASSFEATUREHEADERS,0),MATCH($A1507,CLASSNAMEHEADERS,0))),(INDEX(ALLCLASSDATA,MATCH("ReflexSaveExpert",CLASSFEATUREHEADERS,0),MATCH(($A1507 &amp; "Points"),CLASSNAMEHEADERS,0))),(IF("00"=(INDEX(ALLCLASSDATA,MATCH("ReflexSaveTrained",CLASSFEATUREHEADERS,0),MATCH($A1507,CLASSNAMEHEADERS,0))),(INDEX(ALLCLASSDATA,MATCH("ReflexSaveTrained",CLASSFEATUREHEADERS,0),MATCH(($A1507 &amp; "Points"),CLASSNAMEHEADERS,0))),"")))))))))}</f>
        <v>REFLEXINITIALPTS</v>
      </c>
      <c r="H1506" s="223" t="str">
        <f t="array" ref="H1506:H1507">{"REFLEXL01";((IF("01"=(INDEX(ALLCLASSDATA,MATCH("ReflexSaveLegendary",CLASSFEATUREHEADERS,0),MATCH($A1507,CLASSNAMEHEADERS,0))),(INDEX(ALLCLASSDATA,MATCH("ReflexSaveLegendary",CLASSFEATUREHEADERS,0),MATCH(($A1507 &amp; "Points"),CLASSNAMEHEADERS,0))),(IF("01"=(INDEX(ALLCLASSDATA,MATCH("ReflexSaveMaster",CLASSFEATUREHEADERS,0),MATCH($A1507,CLASSNAMEHEADERS,0))),(INDEX(ALLCLASSDATA,MATCH("ReflexSaveMaster",CLASSFEATUREHEADERS,0),MATCH(($A1507 &amp; "Points"),CLASSNAMEHEADERS,0))),(IF("01"=(INDEX(ALLCLASSDATA,MATCH("ReflexSaveExpert",CLASSFEATUREHEADERS,0),MATCH($A1507,CLASSNAMEHEADERS,0))),(INDEX(ALLCLASSDATA,MATCH("ReflexSaveExpert",CLASSFEATUREHEADERS,0),MATCH(($A1507 &amp; "Points"),CLASSNAMEHEADERS,0))),(IF("01"=(INDEX(ALLCLASSDATA,MATCH("ReflexSaveTrained",CLASSFEATUREHEADERS,0),MATCH($A1507,CLASSNAMEHEADERS,0))),(INDEX(ALLCLASSDATA,MATCH("ReflexSaveTrained",CLASSFEATUREHEADERS,0),MATCH(($A1507 &amp; "Points"),CLASSNAMEHEADERS,0))),"")))))))))}</f>
        <v>REFLEXL01</v>
      </c>
      <c r="I1506" s="223"/>
      <c r="J1506" s="223" t="str">
        <f t="array" ref="J1506:J1507">{"REFLEXL03";((IF("03"=(INDEX(ALLCLASSDATA,MATCH("ReflexSaveLegendary",CLASSFEATUREHEADERS,0),MATCH($A1507,CLASSNAMEHEADERS,0))),(INDEX(ALLCLASSDATA,MATCH("ReflexSaveLegendary",CLASSFEATUREHEADERS,0),MATCH(($A1507 &amp; "Points"),CLASSNAMEHEADERS,0))),(IF("03"=(INDEX(ALLCLASSDATA,MATCH("ReflexSaveMaster",CLASSFEATUREHEADERS,0),MATCH($A1507,CLASSNAMEHEADERS,0))),(INDEX(ALLCLASSDATA,MATCH("ReflexSaveMaster",CLASSFEATUREHEADERS,0),MATCH(($A1507 &amp; "Points"),CLASSNAMEHEADERS,0))),(IF("03"=(INDEX(ALLCLASSDATA,MATCH("ReflexSaveExpert",CLASSFEATUREHEADERS,0),MATCH($A1507,CLASSNAMEHEADERS,0))),(INDEX(ALLCLASSDATA,MATCH("ReflexSaveExpert",CLASSFEATUREHEADERS,0),MATCH(($A1507 &amp; "Points"),CLASSNAMEHEADERS,0))),(IF("03"=(INDEX(ALLCLASSDATA,MATCH("ReflexSaveTrained",CLASSFEATUREHEADERS,0),MATCH($A1507,CLASSNAMEHEADERS,0))),(INDEX(ALLCLASSDATA,MATCH("ReflexSaveTrained",CLASSFEATUREHEADERS,0),MATCH(($A1507 &amp; "Points"),CLASSNAMEHEADERS,0))),"")))))))))}</f>
        <v>REFLEXL03</v>
      </c>
      <c r="K1506" s="223"/>
      <c r="L1506" s="223" t="str">
        <f t="array" ref="L1506:L1507">{"REFLEXL05";((IF("05"=(INDEX(ALLCLASSDATA,MATCH("ReflexSaveLegendary",CLASSFEATUREHEADERS,0),MATCH($A1507,CLASSNAMEHEADERS,0))),(INDEX(ALLCLASSDATA,MATCH("ReflexSaveLegendary",CLASSFEATUREHEADERS,0),MATCH(($A1507 &amp; "Points"),CLASSNAMEHEADERS,0))),(IF("05"=(INDEX(ALLCLASSDATA,MATCH("ReflexSaveMaster",CLASSFEATUREHEADERS,0),MATCH($A1507,CLASSNAMEHEADERS,0))),(INDEX(ALLCLASSDATA,MATCH("ReflexSaveMaster",CLASSFEATUREHEADERS,0),MATCH(($A1507 &amp; "Points"),CLASSNAMEHEADERS,0))),(IF("05"=(INDEX(ALLCLASSDATA,MATCH("ReflexSaveExpert",CLASSFEATUREHEADERS,0),MATCH($A1507,CLASSNAMEHEADERS,0))),(INDEX(ALLCLASSDATA,MATCH("ReflexSaveExpert",CLASSFEATUREHEADERS,0),MATCH(($A1507 &amp; "Points"),CLASSNAMEHEADERS,0))),(IF("05"=(INDEX(ALLCLASSDATA,MATCH("ReflexSaveTrained",CLASSFEATUREHEADERS,0),MATCH($A1507,CLASSNAMEHEADERS,0))),(INDEX(ALLCLASSDATA,MATCH("ReflexSaveTrained",CLASSFEATUREHEADERS,0),MATCH(($A1507 &amp; "Points"),CLASSNAMEHEADERS,0))),"")))))))))}</f>
        <v>REFLEXL05</v>
      </c>
      <c r="M1506" s="223"/>
      <c r="N1506" s="223" t="str">
        <f t="array" ref="N1506:N1507">{"REFLEXL07";((IF("07"=(INDEX(ALLCLASSDATA,MATCH("ReflexSaveLegendary",CLASSFEATUREHEADERS,0),MATCH($A1507,CLASSNAMEHEADERS,0))),(INDEX(ALLCLASSDATA,MATCH("ReflexSaveLegendary",CLASSFEATUREHEADERS,0),MATCH(($A1507 &amp; "Points"),CLASSNAMEHEADERS,0))),(IF("07"=(INDEX(ALLCLASSDATA,MATCH("ReflexSaveMaster",CLASSFEATUREHEADERS,0),MATCH($A1507,CLASSNAMEHEADERS,0))),(INDEX(ALLCLASSDATA,MATCH("ReflexSaveMaster",CLASSFEATUREHEADERS,0),MATCH(($A1507 &amp; "Points"),CLASSNAMEHEADERS,0))),(IF("07"=(INDEX(ALLCLASSDATA,MATCH("ReflexSaveExpert",CLASSFEATUREHEADERS,0),MATCH($A1507,CLASSNAMEHEADERS,0))),(INDEX(ALLCLASSDATA,MATCH("ReflexSaveExpert",CLASSFEATUREHEADERS,0),MATCH(($A1507 &amp; "Points"),CLASSNAMEHEADERS,0))),(IF("07"=(INDEX(ALLCLASSDATA,MATCH("ReflexSaveTrained",CLASSFEATUREHEADERS,0),MATCH($A1507,CLASSNAMEHEADERS,0))),(INDEX(ALLCLASSDATA,MATCH("ReflexSaveTrained",CLASSFEATUREHEADERS,0),MATCH(($A1507 &amp; "Points"),CLASSNAMEHEADERS,0))),"")))))))))}</f>
        <v>REFLEXL07</v>
      </c>
      <c r="O1506" s="223"/>
      <c r="P1506" s="223" t="str">
        <f t="array" ref="P1506:P1507">{"REFLEXL09";((IF("09"=(INDEX(ALLCLASSDATA,MATCH("ReflexSaveLegendary",CLASSFEATUREHEADERS,0),MATCH($A1507,CLASSNAMEHEADERS,0))),(INDEX(ALLCLASSDATA,MATCH("ReflexSaveLegendary",CLASSFEATUREHEADERS,0),MATCH(($A1507 &amp; "Points"),CLASSNAMEHEADERS,0))),(IF("09"=(INDEX(ALLCLASSDATA,MATCH("ReflexSaveMaster",CLASSFEATUREHEADERS,0),MATCH($A1507,CLASSNAMEHEADERS,0))),(INDEX(ALLCLASSDATA,MATCH("ReflexSaveMaster",CLASSFEATUREHEADERS,0),MATCH(($A1507 &amp; "Points"),CLASSNAMEHEADERS,0))),(IF("09"=(INDEX(ALLCLASSDATA,MATCH("ReflexSaveExpert",CLASSFEATUREHEADERS,0),MATCH($A1507,CLASSNAMEHEADERS,0))),(INDEX(ALLCLASSDATA,MATCH("ReflexSaveExpert",CLASSFEATUREHEADERS,0),MATCH(($A1507 &amp; "Points"),CLASSNAMEHEADERS,0))),(IF("09"=(INDEX(ALLCLASSDATA,MATCH("ReflexSaveTrained",CLASSFEATUREHEADERS,0),MATCH($A1507,CLASSNAMEHEADERS,0))),(INDEX(ALLCLASSDATA,MATCH("ReflexSaveTrained",CLASSFEATUREHEADERS,0),MATCH(($A1507 &amp; "Points"),CLASSNAMEHEADERS,0))),"")))))))))}</f>
        <v>REFLEXL09</v>
      </c>
      <c r="Q1506" s="223"/>
      <c r="R1506" s="223" t="str">
        <f t="array" ref="R1506:R1507">{"REFLEXL11";((IF("11"=(INDEX(ALLCLASSDATA,MATCH("ReflexSaveLegendary",CLASSFEATUREHEADERS,0),MATCH($A1507,CLASSNAMEHEADERS,0))),(INDEX(ALLCLASSDATA,MATCH("ReflexSaveLegendary",CLASSFEATUREHEADERS,0),MATCH(($A1507 &amp; "Points"),CLASSNAMEHEADERS,0))),(IF("11"=(INDEX(ALLCLASSDATA,MATCH("ReflexSaveMaster",CLASSFEATUREHEADERS,0),MATCH($A1507,CLASSNAMEHEADERS,0))),(INDEX(ALLCLASSDATA,MATCH("ReflexSaveMaster",CLASSFEATUREHEADERS,0),MATCH(($A1507 &amp; "Points"),CLASSNAMEHEADERS,0))),(IF("11"=(INDEX(ALLCLASSDATA,MATCH("ReflexSaveExpert",CLASSFEATUREHEADERS,0),MATCH($A1507,CLASSNAMEHEADERS,0))),(INDEX(ALLCLASSDATA,MATCH("ReflexSaveExpert",CLASSFEATUREHEADERS,0),MATCH(($A1507 &amp; "Points"),CLASSNAMEHEADERS,0))),(IF("11"=(INDEX(ALLCLASSDATA,MATCH("ReflexSaveTrained",CLASSFEATUREHEADERS,0),MATCH($A1507,CLASSNAMEHEADERS,0))),(INDEX(ALLCLASSDATA,MATCH("ReflexSaveTrained",CLASSFEATUREHEADERS,0),MATCH(($A1507 &amp; "Points"),CLASSNAMEHEADERS,0))),"")))))))))}</f>
        <v>REFLEXL11</v>
      </c>
      <c r="S1506" s="223"/>
      <c r="T1506" s="223" t="str">
        <f t="array" ref="T1506:T1507">{"REFLEXL13";((IF("13"=(INDEX(ALLCLASSDATA,MATCH("ReflexSaveLegendary",CLASSFEATUREHEADERS,0),MATCH($A1507,CLASSNAMEHEADERS,0))),(INDEX(ALLCLASSDATA,MATCH("ReflexSaveLegendary",CLASSFEATUREHEADERS,0),MATCH(($A1507 &amp; "Points"),CLASSNAMEHEADERS,0))),(IF("13"=(INDEX(ALLCLASSDATA,MATCH("ReflexSaveMaster",CLASSFEATUREHEADERS,0),MATCH($A1507,CLASSNAMEHEADERS,0))),(INDEX(ALLCLASSDATA,MATCH("ReflexSaveMaster",CLASSFEATUREHEADERS,0),MATCH(($A1507 &amp; "Points"),CLASSNAMEHEADERS,0))),(IF("13"=(INDEX(ALLCLASSDATA,MATCH("ReflexSaveExpert",CLASSFEATUREHEADERS,0),MATCH($A1507,CLASSNAMEHEADERS,0))),(INDEX(ALLCLASSDATA,MATCH("ReflexSaveExpert",CLASSFEATUREHEADERS,0),MATCH(($A1507 &amp; "Points"),CLASSNAMEHEADERS,0))),(IF("13"=(INDEX(ALLCLASSDATA,MATCH("ReflexSaveTrained",CLASSFEATUREHEADERS,0),MATCH($A1507,CLASSNAMEHEADERS,0))),(INDEX(ALLCLASSDATA,MATCH("ReflexSaveTrained",CLASSFEATUREHEADERS,0),MATCH(($A1507 &amp; "Points"),CLASSNAMEHEADERS,0))),"")))))))))}</f>
        <v>REFLEXL13</v>
      </c>
      <c r="U1506" s="223"/>
      <c r="V1506" s="223" t="str">
        <f t="array" ref="V1506:V1507">{"REFLEXL15";((IF("15"=(INDEX(ALLCLASSDATA,MATCH("ReflexSaveLegendary",CLASSFEATUREHEADERS,0),MATCH($A1507,CLASSNAMEHEADERS,0))),(INDEX(ALLCLASSDATA,MATCH("ReflexSaveLegendary",CLASSFEATUREHEADERS,0),MATCH(($A1507 &amp; "Points"),CLASSNAMEHEADERS,0))),(IF("15"=(INDEX(ALLCLASSDATA,MATCH("ReflexSaveMaster",CLASSFEATUREHEADERS,0),MATCH($A1507,CLASSNAMEHEADERS,0))),(INDEX(ALLCLASSDATA,MATCH("ReflexSaveMaster",CLASSFEATUREHEADERS,0),MATCH(($A1507 &amp; "Points"),CLASSNAMEHEADERS,0))),(IF("15"=(INDEX(ALLCLASSDATA,MATCH("ReflexSaveExpert",CLASSFEATUREHEADERS,0),MATCH($A1507,CLASSNAMEHEADERS,0))),(INDEX(ALLCLASSDATA,MATCH("ReflexSaveExpert",CLASSFEATUREHEADERS,0),MATCH(($A1507 &amp; "Points"),CLASSNAMEHEADERS,0))),(IF("15"=(INDEX(ALLCLASSDATA,MATCH("ReflexSaveTrained",CLASSFEATUREHEADERS,0),MATCH($A1507,CLASSNAMEHEADERS,0))),(INDEX(ALLCLASSDATA,MATCH("ReflexSaveTrained",CLASSFEATUREHEADERS,0),MATCH(($A1507 &amp; "Points"),CLASSNAMEHEADERS,0))),"")))))))))}</f>
        <v>REFLEXL15</v>
      </c>
      <c r="W1506" s="223"/>
      <c r="X1506" s="223" t="str">
        <f t="array" ref="X1506:X1507">{"REFLEXL17";((IF("17"=(INDEX(ALLCLASSDATA,MATCH("ReflexSaveLegendary",CLASSFEATUREHEADERS,0),MATCH($A1507,CLASSNAMEHEADERS,0))),(INDEX(ALLCLASSDATA,MATCH("ReflexSaveLegendary",CLASSFEATUREHEADERS,0),MATCH(($A1507 &amp; "Points"),CLASSNAMEHEADERS,0))),(IF("17"=(INDEX(ALLCLASSDATA,MATCH("ReflexSaveMaster",CLASSFEATUREHEADERS,0),MATCH($A1507,CLASSNAMEHEADERS,0))),(INDEX(ALLCLASSDATA,MATCH("ReflexSaveMaster",CLASSFEATUREHEADERS,0),MATCH(($A1507 &amp; "Points"),CLASSNAMEHEADERS,0))),(IF("17"=(INDEX(ALLCLASSDATA,MATCH("ReflexSaveExpert",CLASSFEATUREHEADERS,0),MATCH($A1507,CLASSNAMEHEADERS,0))),(INDEX(ALLCLASSDATA,MATCH("ReflexSaveExpert",CLASSFEATUREHEADERS,0),MATCH(($A1507 &amp; "Points"),CLASSNAMEHEADERS,0))),(IF("17"=(INDEX(ALLCLASSDATA,MATCH("ReflexSaveTrained",CLASSFEATUREHEADERS,0),MATCH($A1507,CLASSNAMEHEADERS,0))),(INDEX(ALLCLASSDATA,MATCH("ReflexSaveTrained",CLASSFEATUREHEADERS,0),MATCH(($A1507 &amp; "Points"),CLASSNAMEHEADERS,0))),"")))))))))}</f>
        <v>REFLEXL17</v>
      </c>
      <c r="Y1506" s="223"/>
      <c r="Z1506" s="223" t="str">
        <f t="array" ref="Z1506:Z1507">{"REFLEXL19";((IF("19"=(INDEX(ALLCLASSDATA,MATCH("ReflexSaveLegendary",CLASSFEATUREHEADERS,0),MATCH($A1507,CLASSNAMEHEADERS,0))),(INDEX(ALLCLASSDATA,MATCH("ReflexSaveLegendary",CLASSFEATUREHEADERS,0),MATCH(($A1507 &amp; "Points"),CLASSNAMEHEADERS,0))),(IF("19"=(INDEX(ALLCLASSDATA,MATCH("ReflexSaveMaster",CLASSFEATUREHEADERS,0),MATCH($A1507,CLASSNAMEHEADERS,0))),(INDEX(ALLCLASSDATA,MATCH("ReflexSaveMaster",CLASSFEATUREHEADERS,0),MATCH(($A1507 &amp; "Points"),CLASSNAMEHEADERS,0))),(IF("19"=(INDEX(ALLCLASSDATA,MATCH("ReflexSaveExpert",CLASSFEATUREHEADERS,0),MATCH($A1507,CLASSNAMEHEADERS,0))),(INDEX(ALLCLASSDATA,MATCH("ReflexSaveExpert",CLASSFEATUREHEADERS,0),MATCH(($A1507 &amp; "Points"),CLASSNAMEHEADERS,0))),(IF("19"=(INDEX(ALLCLASSDATA,MATCH("ReflexSaveTrained",CLASSFEATUREHEADERS,0),MATCH($A1507,CLASSNAMEHEADERS,0))),(INDEX(ALLCLASSDATA,MATCH("ReflexSaveTrained",CLASSFEATUREHEADERS,0),MATCH(($A1507 &amp; "Points"),CLASSNAMEHEADERS,0))),"")))))))))}</f>
        <v>REFLEXL19</v>
      </c>
      <c r="AA1506" s="223"/>
      <c r="AB1506" s="76" t="str">
        <f t="array" ref="AB1506:AB1507">{"REFLEX TOTAL";(IF(COUNTBLANK(G1507:AA1507)=17,"L",(IF(COUNTBLANK(G1507:AA1507)=18,"M",(IF(COUNTBLANK(G1507:AA1507)=19,"E",(IF(COUNTBLANK(G1507:AA1507)=20,"T",""))))))))}</f>
        <v>REFLEX TOTAL</v>
      </c>
      <c r="AC1506" s="76" t="str">
        <f t="array" ref="AC1506:AC1507">{"REFLEX TOTAL";(sum(G1507:AA1507))}</f>
        <v>REFLEX TOTAL</v>
      </c>
    </row>
    <row r="1507">
      <c r="A1507" s="48" t="s">
        <v>221</v>
      </c>
      <c r="B1507" s="48"/>
      <c r="C1507" s="48" t="s">
        <v>418</v>
      </c>
      <c r="D1507" s="48" t="s">
        <v>1549</v>
      </c>
      <c r="E1507" s="48" t="s">
        <v>1572</v>
      </c>
      <c r="F1507" s="5" t="s">
        <v>435</v>
      </c>
      <c r="G1507" s="47" t="s">
        <v>603</v>
      </c>
      <c r="H1507" s="5">
        <v>10.0</v>
      </c>
      <c r="I1507" s="5"/>
      <c r="J1507" s="5">
        <v>50.0</v>
      </c>
      <c r="K1507" s="5"/>
      <c r="L1507" s="5" t="s">
        <v>603</v>
      </c>
      <c r="M1507" s="5"/>
      <c r="N1507" s="5" t="s">
        <v>603</v>
      </c>
      <c r="O1507" s="5"/>
      <c r="P1507" s="5" t="s">
        <v>603</v>
      </c>
      <c r="Q1507" s="5"/>
      <c r="R1507" s="5" t="s">
        <v>603</v>
      </c>
      <c r="S1507" s="5"/>
      <c r="T1507" s="5" t="s">
        <v>603</v>
      </c>
      <c r="U1507" s="5"/>
      <c r="V1507" s="5" t="s">
        <v>603</v>
      </c>
      <c r="W1507" s="5"/>
      <c r="X1507" s="5" t="s">
        <v>603</v>
      </c>
      <c r="Y1507" s="5"/>
      <c r="Z1507" s="5" t="s">
        <v>603</v>
      </c>
      <c r="AA1507" s="5"/>
      <c r="AB1507" s="5" t="s">
        <v>436</v>
      </c>
      <c r="AC1507" s="47">
        <v>60.0</v>
      </c>
    </row>
    <row r="1508" hidden="1">
      <c r="A1508" s="222" t="str">
        <f t="array" ref="A1508:A1509">{"FormulaRow25";(INDEX(CLASSLIST,A1459,1))}</f>
        <v>FormulaRow25</v>
      </c>
      <c r="B1508" s="77" t="s">
        <v>236</v>
      </c>
      <c r="C1508" s="222" t="str">
        <f t="array" ref="C1508:C1509">{"CLASSTYPE";((INDEX(ALLCLASSDATA,MATCH("ClassType",CLASSFEATUREHEADERS,0),MATCH($A1509,CLASSNAMEHEADERS,0))))}</f>
        <v>CLASSTYPE</v>
      </c>
      <c r="D1508" s="222" t="str">
        <f t="array" ref="D1508:D1509">{"SAVES";"Saves"}</f>
        <v>SAVES</v>
      </c>
      <c r="E1508" s="222" t="str">
        <f t="array" ref="E1508:E1509">{"WILLSAVE";"WillSave"}</f>
        <v>WILLSAVE</v>
      </c>
      <c r="F1508" s="223" t="str">
        <f t="array" ref="F1508:F1509">{"WILLINITIAL";((IF(H1509=10,"T",(IF(H1509=50,"E","")))))}</f>
        <v>WILLINITIAL</v>
      </c>
      <c r="G1508" s="223" t="str">
        <f t="array" ref="G1508:G1509">{"WILLINITIALPTS";((IF("00"=(INDEX(ALLCLASSDATA,MATCH("WillSaveLegendary",CLASSFEATUREHEADERS,0),MATCH($A1509,CLASSNAMEHEADERS,0))),(INDEX(ALLCLASSDATA,MATCH("WillSaveLegendary",CLASSFEATUREHEADERS,0),MATCH(($A1509 &amp; "Points"),CLASSNAMEHEADERS,0))),(IF("00"=(INDEX(ALLCLASSDATA,MATCH("WillSaveMaster",CLASSFEATUREHEADERS,0),MATCH($A1509,CLASSNAMEHEADERS,0))),(INDEX(ALLCLASSDATA,MATCH("WillSaveMaster",CLASSFEATUREHEADERS,0),MATCH(($A1509 &amp; "Points"),CLASSNAMEHEADERS,0))),(IF("00"=(INDEX(ALLCLASSDATA,MATCH("WillSaveExpert",CLASSFEATUREHEADERS,0),MATCH($A1509,CLASSNAMEHEADERS,0))),(INDEX(ALLCLASSDATA,MATCH("WillSaveExpert",CLASSFEATUREHEADERS,0),MATCH(($A1509 &amp; "Points"),CLASSNAMEHEADERS,0))),(IF("00"=(INDEX(ALLCLASSDATA,MATCH("WillSaveTrained",CLASSFEATUREHEADERS,0),MATCH($A1509,CLASSNAMEHEADERS,0))),(INDEX(ALLCLASSDATA,MATCH("WillSaveTrained",CLASSFEATUREHEADERS,0),MATCH(($A1509 &amp; "Points"),CLASSNAMEHEADERS,0))),"")))))))))}</f>
        <v>WILLINITIALPTS</v>
      </c>
      <c r="H1508" s="223" t="str">
        <f t="array" ref="H1508:H1509">{"WILLL01";((IF("01"=(INDEX(ALLCLASSDATA,MATCH("WillSaveLegendary",CLASSFEATUREHEADERS,0),MATCH($A1509,CLASSNAMEHEADERS,0))),(INDEX(ALLCLASSDATA,MATCH("WillSaveLegendary",CLASSFEATUREHEADERS,0),MATCH(($A1509 &amp; "Points"),CLASSNAMEHEADERS,0))),(IF("01"=(INDEX(ALLCLASSDATA,MATCH("WillSaveMaster",CLASSFEATUREHEADERS,0),MATCH($A1509,CLASSNAMEHEADERS,0))),(INDEX(ALLCLASSDATA,MATCH("WillSaveMaster",CLASSFEATUREHEADERS,0),MATCH(($A1509 &amp; "Points"),CLASSNAMEHEADERS,0))),(IF("01"=(INDEX(ALLCLASSDATA,MATCH("WillSaveExpert",CLASSFEATUREHEADERS,0),MATCH($A1509,CLASSNAMEHEADERS,0))),(INDEX(ALLCLASSDATA,MATCH("WillSaveExpert",CLASSFEATUREHEADERS,0),MATCH(($A1509 &amp; "Points"),CLASSNAMEHEADERS,0))),(IF("01"=(INDEX(ALLCLASSDATA,MATCH("WillSaveTrained",CLASSFEATUREHEADERS,0),MATCH($A1509,CLASSNAMEHEADERS,0))),(INDEX(ALLCLASSDATA,MATCH("WillSaveTrained",CLASSFEATUREHEADERS,0),MATCH(($A1509 &amp; "Points"),CLASSNAMEHEADERS,0))),"")))))))))}</f>
        <v>WILLL01</v>
      </c>
      <c r="I1508" s="223"/>
      <c r="J1508" s="223" t="str">
        <f t="array" ref="J1508:J1509">{"WILLL03";((IF("03"=(INDEX(ALLCLASSDATA,MATCH("WillSaveLegendary",CLASSFEATUREHEADERS,0),MATCH($A1509,CLASSNAMEHEADERS,0))),(INDEX(ALLCLASSDATA,MATCH("WillSaveLegendary",CLASSFEATUREHEADERS,0),MATCH(($A1509 &amp; "Points"),CLASSNAMEHEADERS,0))),(IF("03"=(INDEX(ALLCLASSDATA,MATCH("WillSaveMaster",CLASSFEATUREHEADERS,0),MATCH($A1509,CLASSNAMEHEADERS,0))),(INDEX(ALLCLASSDATA,MATCH("WillSaveMaster",CLASSFEATUREHEADERS,0),MATCH(($A1509 &amp; "Points"),CLASSNAMEHEADERS,0))),(IF("03"=(INDEX(ALLCLASSDATA,MATCH("WillSaveExpert",CLASSFEATUREHEADERS,0),MATCH($A1509,CLASSNAMEHEADERS,0))),(INDEX(ALLCLASSDATA,MATCH("WillSaveExpert",CLASSFEATUREHEADERS,0),MATCH(($A1509 &amp; "Points"),CLASSNAMEHEADERS,0))),(IF("03"=(INDEX(ALLCLASSDATA,MATCH("WillSaveTrained",CLASSFEATUREHEADERS,0),MATCH($A1509,CLASSNAMEHEADERS,0))),(INDEX(ALLCLASSDATA,MATCH("WillSaveTrained",CLASSFEATUREHEADERS,0),MATCH(($A1509 &amp; "Points"),CLASSNAMEHEADERS,0))),"")))))))))}</f>
        <v>WILLL03</v>
      </c>
      <c r="K1508" s="223"/>
      <c r="L1508" s="223" t="str">
        <f t="array" ref="L1508:L1509">{"WILLL05";((IF("05"=(INDEX(ALLCLASSDATA,MATCH("WillSaveLegendary",CLASSFEATUREHEADERS,0),MATCH($A1509,CLASSNAMEHEADERS,0))),(INDEX(ALLCLASSDATA,MATCH("WillSaveLegendary",CLASSFEATUREHEADERS,0),MATCH(($A1509 &amp; "Points"),CLASSNAMEHEADERS,0))),(IF("05"=(INDEX(ALLCLASSDATA,MATCH("WillSaveMaster",CLASSFEATUREHEADERS,0),MATCH($A1509,CLASSNAMEHEADERS,0))),(INDEX(ALLCLASSDATA,MATCH("WillSaveMaster",CLASSFEATUREHEADERS,0),MATCH(($A1509 &amp; "Points"),CLASSNAMEHEADERS,0))),(IF("05"=(INDEX(ALLCLASSDATA,MATCH("WillSaveExpert",CLASSFEATUREHEADERS,0),MATCH($A1509,CLASSNAMEHEADERS,0))),(INDEX(ALLCLASSDATA,MATCH("WillSaveExpert",CLASSFEATUREHEADERS,0),MATCH(($A1509 &amp; "Points"),CLASSNAMEHEADERS,0))),(IF("05"=(INDEX(ALLCLASSDATA,MATCH("WillSaveTrained",CLASSFEATUREHEADERS,0),MATCH($A1509,CLASSNAMEHEADERS,0))),(INDEX(ALLCLASSDATA,MATCH("WillSaveTrained",CLASSFEATUREHEADERS,0),MATCH(($A1509 &amp; "Points"),CLASSNAMEHEADERS,0))),"")))))))))}</f>
        <v>WILLL05</v>
      </c>
      <c r="M1508" s="223"/>
      <c r="N1508" s="223" t="str">
        <f t="array" ref="N1508:N1509">{"WILLL07";((IF("07"=(INDEX(ALLCLASSDATA,MATCH("WillSaveLegendary",CLASSFEATUREHEADERS,0),MATCH($A1509,CLASSNAMEHEADERS,0))),(INDEX(ALLCLASSDATA,MATCH("WillSaveLegendary",CLASSFEATUREHEADERS,0),MATCH(($A1509 &amp; "Points"),CLASSNAMEHEADERS,0))),(IF("07"=(INDEX(ALLCLASSDATA,MATCH("WillSaveMaster",CLASSFEATUREHEADERS,0),MATCH($A1509,CLASSNAMEHEADERS,0))),(INDEX(ALLCLASSDATA,MATCH("WillSaveMaster",CLASSFEATUREHEADERS,0),MATCH(($A1509 &amp; "Points"),CLASSNAMEHEADERS,0))),(IF("07"=(INDEX(ALLCLASSDATA,MATCH("WillSaveExpert",CLASSFEATUREHEADERS,0),MATCH($A1509,CLASSNAMEHEADERS,0))),(INDEX(ALLCLASSDATA,MATCH("WillSaveExpert",CLASSFEATUREHEADERS,0),MATCH(($A1509 &amp; "Points"),CLASSNAMEHEADERS,0))),(IF("07"=(INDEX(ALLCLASSDATA,MATCH("WillSaveTrained",CLASSFEATUREHEADERS,0),MATCH($A1509,CLASSNAMEHEADERS,0))),(INDEX(ALLCLASSDATA,MATCH("WillSaveTrained",CLASSFEATUREHEADERS,0),MATCH(($A1509 &amp; "Points"),CLASSNAMEHEADERS,0))),"")))))))))}</f>
        <v>WILLL07</v>
      </c>
      <c r="O1508" s="223"/>
      <c r="P1508" s="223" t="str">
        <f t="array" ref="P1508:P1509">{"WILLL09";((IF("09"=(INDEX(ALLCLASSDATA,MATCH("WillSaveLegendary",CLASSFEATUREHEADERS,0),MATCH($A1509,CLASSNAMEHEADERS,0))),(INDEX(ALLCLASSDATA,MATCH("WillSaveLegendary",CLASSFEATUREHEADERS,0),MATCH(($A1509 &amp; "Points"),CLASSNAMEHEADERS,0))),(IF("09"=(INDEX(ALLCLASSDATA,MATCH("WillSaveMaster",CLASSFEATUREHEADERS,0),MATCH($A1509,CLASSNAMEHEADERS,0))),(INDEX(ALLCLASSDATA,MATCH("WillSaveMaster",CLASSFEATUREHEADERS,0),MATCH(($A1509 &amp; "Points"),CLASSNAMEHEADERS,0))),(IF("09"=(INDEX(ALLCLASSDATA,MATCH("WillSaveExpert",CLASSFEATUREHEADERS,0),MATCH($A1509,CLASSNAMEHEADERS,0))),(INDEX(ALLCLASSDATA,MATCH("WillSaveExpert",CLASSFEATUREHEADERS,0),MATCH(($A1509 &amp; "Points"),CLASSNAMEHEADERS,0))),(IF("09"=(INDEX(ALLCLASSDATA,MATCH("WillSaveTrained",CLASSFEATUREHEADERS,0),MATCH($A1509,CLASSNAMEHEADERS,0))),(INDEX(ALLCLASSDATA,MATCH("WillSaveTrained",CLASSFEATUREHEADERS,0),MATCH(($A1509 &amp; "Points"),CLASSNAMEHEADERS,0))),"")))))))))}</f>
        <v>WILLL09</v>
      </c>
      <c r="Q1508" s="223"/>
      <c r="R1508" s="223" t="str">
        <f t="array" ref="R1508:R1509">{"WILLL11";((IF("11"=(INDEX(ALLCLASSDATA,MATCH("WillSaveLegendary",CLASSFEATUREHEADERS,0),MATCH($A1509,CLASSNAMEHEADERS,0))),(INDEX(ALLCLASSDATA,MATCH("WillSaveLegendary",CLASSFEATUREHEADERS,0),MATCH(($A1509 &amp; "Points"),CLASSNAMEHEADERS,0))),(IF("11"=(INDEX(ALLCLASSDATA,MATCH("WillSaveMaster",CLASSFEATUREHEADERS,0),MATCH($A1509,CLASSNAMEHEADERS,0))),(INDEX(ALLCLASSDATA,MATCH("WillSaveMaster",CLASSFEATUREHEADERS,0),MATCH(($A1509 &amp; "Points"),CLASSNAMEHEADERS,0))),(IF("11"=(INDEX(ALLCLASSDATA,MATCH("WillSaveExpert",CLASSFEATUREHEADERS,0),MATCH($A1509,CLASSNAMEHEADERS,0))),(INDEX(ALLCLASSDATA,MATCH("WillSaveExpert",CLASSFEATUREHEADERS,0),MATCH(($A1509 &amp; "Points"),CLASSNAMEHEADERS,0))),(IF("11"=(INDEX(ALLCLASSDATA,MATCH("WillSaveTrained",CLASSFEATUREHEADERS,0),MATCH($A1509,CLASSNAMEHEADERS,0))),(INDEX(ALLCLASSDATA,MATCH("WillSaveTrained",CLASSFEATUREHEADERS,0),MATCH(($A1509 &amp; "Points"),CLASSNAMEHEADERS,0))),"")))))))))}</f>
        <v>WILLL11</v>
      </c>
      <c r="S1508" s="223"/>
      <c r="T1508" s="223" t="str">
        <f t="array" ref="T1508:T1509">{"WILLL13";((IF("13"=(INDEX(ALLCLASSDATA,MATCH("WillSaveLegendary",CLASSFEATUREHEADERS,0),MATCH($A1509,CLASSNAMEHEADERS,0))),(INDEX(ALLCLASSDATA,MATCH("WillSaveLegendary",CLASSFEATUREHEADERS,0),MATCH(($A1509 &amp; "Points"),CLASSNAMEHEADERS,0))),(IF("13"=(INDEX(ALLCLASSDATA,MATCH("WillSaveMaster",CLASSFEATUREHEADERS,0),MATCH($A1509,CLASSNAMEHEADERS,0))),(INDEX(ALLCLASSDATA,MATCH("WillSaveMaster",CLASSFEATUREHEADERS,0),MATCH(($A1509 &amp; "Points"),CLASSNAMEHEADERS,0))),(IF("13"=(INDEX(ALLCLASSDATA,MATCH("WillSaveExpert",CLASSFEATUREHEADERS,0),MATCH($A1509,CLASSNAMEHEADERS,0))),(INDEX(ALLCLASSDATA,MATCH("WillSaveExpert",CLASSFEATUREHEADERS,0),MATCH(($A1509 &amp; "Points"),CLASSNAMEHEADERS,0))),(IF("13"=(INDEX(ALLCLASSDATA,MATCH("WillSaveTrained",CLASSFEATUREHEADERS,0),MATCH($A1509,CLASSNAMEHEADERS,0))),(INDEX(ALLCLASSDATA,MATCH("WillSaveTrained",CLASSFEATUREHEADERS,0),MATCH(($A1509 &amp; "Points"),CLASSNAMEHEADERS,0))),"")))))))))}</f>
        <v>WILLL13</v>
      </c>
      <c r="U1508" s="223"/>
      <c r="V1508" s="223" t="str">
        <f t="array" ref="V1508:V1509">{"WILLL15";((IF("15"=(INDEX(ALLCLASSDATA,MATCH("WillSaveLegendary",CLASSFEATUREHEADERS,0),MATCH($A1509,CLASSNAMEHEADERS,0))),(INDEX(ALLCLASSDATA,MATCH("WillSaveLegendary",CLASSFEATUREHEADERS,0),MATCH(($A1509 &amp; "Points"),CLASSNAMEHEADERS,0))),(IF("15"=(INDEX(ALLCLASSDATA,MATCH("WillSaveMaster",CLASSFEATUREHEADERS,0),MATCH($A1509,CLASSNAMEHEADERS,0))),(INDEX(ALLCLASSDATA,MATCH("WillSaveMaster",CLASSFEATUREHEADERS,0),MATCH(($A1509 &amp; "Points"),CLASSNAMEHEADERS,0))),(IF("15"=(INDEX(ALLCLASSDATA,MATCH("WillSaveExpert",CLASSFEATUREHEADERS,0),MATCH($A1509,CLASSNAMEHEADERS,0))),(INDEX(ALLCLASSDATA,MATCH("WillSaveExpert",CLASSFEATUREHEADERS,0),MATCH(($A1509 &amp; "Points"),CLASSNAMEHEADERS,0))),(IF("15"=(INDEX(ALLCLASSDATA,MATCH("WillSaveTrained",CLASSFEATUREHEADERS,0),MATCH($A1509,CLASSNAMEHEADERS,0))),(INDEX(ALLCLASSDATA,MATCH("WillSaveTrained",CLASSFEATUREHEADERS,0),MATCH(($A1509 &amp; "Points"),CLASSNAMEHEADERS,0))),"")))))))))}</f>
        <v>WILLL15</v>
      </c>
      <c r="W1508" s="223"/>
      <c r="X1508" s="223" t="str">
        <f t="array" ref="X1508:X1509">{"WILLL17";((IF("17"=(INDEX(ALLCLASSDATA,MATCH("WillSaveLegendary",CLASSFEATUREHEADERS,0),MATCH($A1509,CLASSNAMEHEADERS,0))),(INDEX(ALLCLASSDATA,MATCH("WillSaveLegendary",CLASSFEATUREHEADERS,0),MATCH(($A1509 &amp; "Points"),CLASSNAMEHEADERS,0))),(IF("17"=(INDEX(ALLCLASSDATA,MATCH("WillSaveMaster",CLASSFEATUREHEADERS,0),MATCH($A1509,CLASSNAMEHEADERS,0))),(INDEX(ALLCLASSDATA,MATCH("WillSaveMaster",CLASSFEATUREHEADERS,0),MATCH(($A1509 &amp; "Points"),CLASSNAMEHEADERS,0))),(IF("17"=(INDEX(ALLCLASSDATA,MATCH("WillSaveExpert",CLASSFEATUREHEADERS,0),MATCH($A1509,CLASSNAMEHEADERS,0))),(INDEX(ALLCLASSDATA,MATCH("WillSaveExpert",CLASSFEATUREHEADERS,0),MATCH(($A1509 &amp; "Points"),CLASSNAMEHEADERS,0))),(IF("17"=(INDEX(ALLCLASSDATA,MATCH("WillSaveTrained",CLASSFEATUREHEADERS,0),MATCH($A1509,CLASSNAMEHEADERS,0))),(INDEX(ALLCLASSDATA,MATCH("WillSaveTrained",CLASSFEATUREHEADERS,0),MATCH(($A1509 &amp; "Points"),CLASSNAMEHEADERS,0))),"")))))))))}</f>
        <v>WILLL17</v>
      </c>
      <c r="Y1508" s="223"/>
      <c r="Z1508" s="223" t="str">
        <f t="array" ref="Z1508:Z1509">{"WILLL19";((IF("19"=(INDEX(ALLCLASSDATA,MATCH("WillSaveLegendary",CLASSFEATUREHEADERS,0),MATCH($A1509,CLASSNAMEHEADERS,0))),(INDEX(ALLCLASSDATA,MATCH("WillSaveLegendary",CLASSFEATUREHEADERS,0),MATCH(($A1509 &amp; "Points"),CLASSNAMEHEADERS,0))),(IF("19"=(INDEX(ALLCLASSDATA,MATCH("WillSaveMaster",CLASSFEATUREHEADERS,0),MATCH($A1509,CLASSNAMEHEADERS,0))),(INDEX(ALLCLASSDATA,MATCH("WillSaveMaster",CLASSFEATUREHEADERS,0),MATCH(($A1509 &amp; "Points"),CLASSNAMEHEADERS,0))),(IF("19"=(INDEX(ALLCLASSDATA,MATCH("WillSaveExpert",CLASSFEATUREHEADERS,0),MATCH($A1509,CLASSNAMEHEADERS,0))),(INDEX(ALLCLASSDATA,MATCH("WillSaveExpert",CLASSFEATUREHEADERS,0),MATCH(($A1509 &amp; "Points"),CLASSNAMEHEADERS,0))),(IF("19"=(INDEX(ALLCLASSDATA,MATCH("WillSaveTrained",CLASSFEATUREHEADERS,0),MATCH($A1509,CLASSNAMEHEADERS,0))),(INDEX(ALLCLASSDATA,MATCH("WillSaveTrained",CLASSFEATUREHEADERS,0),MATCH(($A1509 &amp; "Points"),CLASSNAMEHEADERS,0))),"")))))))))}</f>
        <v>WILLL19</v>
      </c>
      <c r="AA1508" s="223"/>
      <c r="AB1508" s="76" t="str">
        <f t="array" ref="AB1508:AB1509">{"WILL TOTAL";(IF(COUNTBLANK(G1509:AA1509)=17,"L",(IF(COUNTBLANK(G1509:AA1509)=18,"M",(IF(COUNTBLANK(G1509:AA1509)=19,"E",(IF(COUNTBLANK(G1509:AA1509)=20,"T",""))))))))}</f>
        <v>WILL TOTAL</v>
      </c>
      <c r="AC1508" s="76" t="str">
        <f t="array" ref="AC1508:AC1509">{"WILL TOTAL";(sum(G1509:AA1509))}</f>
        <v>WILL TOTAL</v>
      </c>
    </row>
    <row r="1509">
      <c r="A1509" s="48" t="s">
        <v>221</v>
      </c>
      <c r="B1509" s="48"/>
      <c r="C1509" s="48" t="s">
        <v>418</v>
      </c>
      <c r="D1509" s="97" t="s">
        <v>1549</v>
      </c>
      <c r="E1509" s="97" t="s">
        <v>1591</v>
      </c>
      <c r="F1509" s="98" t="s">
        <v>436</v>
      </c>
      <c r="G1509" s="132">
        <v>10.0</v>
      </c>
      <c r="H1509" s="98">
        <v>50.0</v>
      </c>
      <c r="I1509" s="98"/>
      <c r="J1509" s="98" t="s">
        <v>603</v>
      </c>
      <c r="K1509" s="98"/>
      <c r="L1509" s="98" t="s">
        <v>603</v>
      </c>
      <c r="M1509" s="97"/>
      <c r="N1509" s="98" t="s">
        <v>603</v>
      </c>
      <c r="O1509" s="98"/>
      <c r="P1509" s="98">
        <v>110.0</v>
      </c>
      <c r="Q1509" s="97"/>
      <c r="R1509" s="98" t="s">
        <v>603</v>
      </c>
      <c r="S1509" s="98"/>
      <c r="T1509" s="98" t="s">
        <v>603</v>
      </c>
      <c r="U1509" s="98"/>
      <c r="V1509" s="98" t="s">
        <v>603</v>
      </c>
      <c r="W1509" s="98"/>
      <c r="X1509" s="98">
        <v>190.0</v>
      </c>
      <c r="Y1509" s="98"/>
      <c r="Z1509" s="98" t="s">
        <v>603</v>
      </c>
      <c r="AA1509" s="98"/>
      <c r="AB1509" s="5" t="s">
        <v>466</v>
      </c>
      <c r="AC1509" s="47">
        <v>360.0</v>
      </c>
    </row>
    <row r="1510" hidden="1">
      <c r="A1510" s="222" t="str">
        <f t="array" ref="A1510:A1511">{"FormulaRow26";(INDEX(CLASSLIST,A1459,1))}</f>
        <v>FormulaRow26</v>
      </c>
      <c r="B1510" s="77" t="s">
        <v>236</v>
      </c>
      <c r="C1510" s="222" t="str">
        <f t="array" ref="C1510:C1511">{"CLASSTYPE";((INDEX(ALLCLASSDATA,MATCH("ClassType",CLASSFEATUREHEADERS,0),MATCH($A1511,CLASSNAMEHEADERS,0))))}</f>
        <v>CLASSTYPE</v>
      </c>
      <c r="D1510" s="228" t="str">
        <f t="array" ref="D1510:D1511">{"ATTACK";"Attack"}</f>
        <v>ATTACK</v>
      </c>
      <c r="E1510" s="228" t="str">
        <f t="array" ref="E1510:E1511">{"WEAPONSPECIAL";"WeaponCS/WS/GWS"}</f>
        <v>WEAPONSPECIAL</v>
      </c>
      <c r="F1510" s="230"/>
      <c r="G1510" s="230"/>
      <c r="H1510" s="230" t="str">
        <f t="array" ref="H1510:H1511">{"WEAPONSPECIALL01";((IF("01"=INDEX(ALLCLASSDATA,MATCH("WeaponGreaterSpecialization",CLASSFEATUREHEADERS,0),MATCH($A1511,CLASSNAMEHEADERS,0)),WeaponGWS,(IF("01"=INDEX(ALLCLASSDATA,MATCH("WeaponSpecialization",CLASSFEATUREHEADERS,0),MATCH($A1511,CLASSNAMEHEADERS,0)),WeaponWS,(IF("01"=INDEX(ALLCLASSDATA,MATCH("WeaponCriticalSpecialization",CLASSFEATUREHEADERS,0),MATCH($A1511,CLASSNAMEHEADERS,0)),WeaponCS,"")))))))}</f>
        <v>WEAPONSPECIALL01</v>
      </c>
      <c r="I1510" s="230"/>
      <c r="J1510" s="230" t="str">
        <f t="array" ref="J1510:J1511">{"WEAPONSPECIALL03";((IF("03"=INDEX(ALLCLASSDATA,MATCH("WeaponGreaterSpecialization",CLASSFEATUREHEADERS,0),MATCH($A1511,CLASSNAMEHEADERS,0)),WeaponGWS,(IF("03"=INDEX(ALLCLASSDATA,MATCH("WeaponSpecialization",CLASSFEATUREHEADERS,0),MATCH($A1511,CLASSNAMEHEADERS,0)),WeaponWS,(IF("03"=INDEX(ALLCLASSDATA,MATCH("WeaponCriticalSpecialization",CLASSFEATUREHEADERS,0),MATCH($A1511,CLASSNAMEHEADERS,0)),WeaponCS,"")))))))}</f>
        <v>WEAPONSPECIALL03</v>
      </c>
      <c r="K1510" s="230"/>
      <c r="L1510" s="230" t="str">
        <f t="array" ref="L1510:L1511">{"WEAPONSPECIALL05";((IF("05"=INDEX(ALLCLASSDATA,MATCH("WeaponGreaterSpecialization",CLASSFEATUREHEADERS,0),MATCH($A1511,CLASSNAMEHEADERS,0)),WeaponGWS,(IF("05"=INDEX(ALLCLASSDATA,MATCH("WeaponSpecialization",CLASSFEATUREHEADERS,0),MATCH($A1511,CLASSNAMEHEADERS,0)),WeaponWS,(IF("05"=INDEX(ALLCLASSDATA,MATCH("WeaponCriticalSpecialization",CLASSFEATUREHEADERS,0),MATCH($A1511,CLASSNAMEHEADERS,0)),WeaponCS,"")))))))}</f>
        <v>WEAPONSPECIALL05</v>
      </c>
      <c r="M1510" s="230"/>
      <c r="N1510" s="230" t="str">
        <f t="array" ref="N1510:N1511">{"WEAPONSPECIALL07";((IF("07"=INDEX(ALLCLASSDATA,MATCH("WeaponGreaterSpecialization",CLASSFEATUREHEADERS,0),MATCH($A1511,CLASSNAMEHEADERS,0)),WeaponGWS,(IF("07"=INDEX(ALLCLASSDATA,MATCH("WeaponSpecialization",CLASSFEATUREHEADERS,0),MATCH($A1511,CLASSNAMEHEADERS,0)),WeaponWS,(IF("07"=INDEX(ALLCLASSDATA,MATCH("WeaponCriticalSpecialization",CLASSFEATUREHEADERS,0),MATCH($A1511,CLASSNAMEHEADERS,0)),WeaponCS,"")))))))}</f>
        <v>WEAPONSPECIALL07</v>
      </c>
      <c r="O1510" s="230"/>
      <c r="P1510" s="230" t="str">
        <f t="array" ref="P1510:P1511">{"WEAPONSPECIALL09";((IF("09"=INDEX(ALLCLASSDATA,MATCH("WeaponGreaterSpecialization",CLASSFEATUREHEADERS,0),MATCH($A1511,CLASSNAMEHEADERS,0)),WeaponGWS,(IF("09"=INDEX(ALLCLASSDATA,MATCH("WeaponSpecialization",CLASSFEATUREHEADERS,0),MATCH($A1511,CLASSNAMEHEADERS,0)),WeaponWS,(IF("09"=INDEX(ALLCLASSDATA,MATCH("WeaponCriticalSpecialization",CLASSFEATUREHEADERS,0),MATCH($A1511,CLASSNAMEHEADERS,0)),WeaponCS,"")))))))}</f>
        <v>WEAPONSPECIALL09</v>
      </c>
      <c r="Q1510" s="230"/>
      <c r="R1510" s="230" t="str">
        <f t="array" ref="R1510:R1511">{"WEAPONSPECIALL11";((IF("11"=INDEX(ALLCLASSDATA,MATCH("WeaponGreaterSpecialization",CLASSFEATUREHEADERS,0),MATCH($A1511,CLASSNAMEHEADERS,0)),WeaponGWS,(IF("11"=INDEX(ALLCLASSDATA,MATCH("WeaponSpecialization",CLASSFEATUREHEADERS,0),MATCH($A1511,CLASSNAMEHEADERS,0)),WeaponWS,(IF("11"=INDEX(ALLCLASSDATA,MATCH("WeaponCriticalSpecialization",CLASSFEATUREHEADERS,0),MATCH($A1511,CLASSNAMEHEADERS,0)),WeaponCS,"")))))))}</f>
        <v>WEAPONSPECIALL11</v>
      </c>
      <c r="S1510" s="230"/>
      <c r="T1510" s="230" t="str">
        <f t="array" ref="T1510:T1511">{"WEAPONSPECIALL13";((IF("13"=INDEX(ALLCLASSDATA,MATCH("WeaponGreaterSpecialization",CLASSFEATUREHEADERS,0),MATCH($A1511,CLASSNAMEHEADERS,0)),WeaponGWS,(IF("13"=INDEX(ALLCLASSDATA,MATCH("WeaponSpecialization",CLASSFEATUREHEADERS,0),MATCH($A1511,CLASSNAMEHEADERS,0)),WeaponWS,(IF("13"=INDEX(ALLCLASSDATA,MATCH("WeaponCriticalSpecialization",CLASSFEATUREHEADERS,0),MATCH($A1511,CLASSNAMEHEADERS,0)),WeaponCS,"")))))))}</f>
        <v>WEAPONSPECIALL13</v>
      </c>
      <c r="U1510" s="230"/>
      <c r="V1510" s="230" t="str">
        <f t="array" ref="V1510:V1511">{"WEAPONSPECIALL15";((IF("15"=INDEX(ALLCLASSDATA,MATCH("WeaponGreaterSpecialization",CLASSFEATUREHEADERS,0),MATCH($A1511,CLASSNAMEHEADERS,0)),WeaponGWS,(IF("15"=INDEX(ALLCLASSDATA,MATCH("WeaponSpecialization",CLASSFEATUREHEADERS,0),MATCH($A1511,CLASSNAMEHEADERS,0)),WeaponWS,(IF("15"=INDEX(ALLCLASSDATA,MATCH("WeaponCriticalSpecialization",CLASSFEATUREHEADERS,0),MATCH($A1511,CLASSNAMEHEADERS,0)),WeaponCS,"")))))))}</f>
        <v>WEAPONSPECIALL15</v>
      </c>
      <c r="W1510" s="230"/>
      <c r="X1510" s="230" t="str">
        <f t="array" ref="X1510:X1511">{"WEAPONSPECIALL17";((IF("17"=INDEX(ALLCLASSDATA,MATCH("WeaponGreaterSpecialization",CLASSFEATUREHEADERS,0),MATCH($A1511,CLASSNAMEHEADERS,0)),WeaponGWS,(IF("17"=INDEX(ALLCLASSDATA,MATCH("WeaponSpecialization",CLASSFEATUREHEADERS,0),MATCH($A1511,CLASSNAMEHEADERS,0)),WeaponWS,(IF("17"=INDEX(ALLCLASSDATA,MATCH("WeaponCriticalSpecialization",CLASSFEATUREHEADERS,0),MATCH($A1511,CLASSNAMEHEADERS,0)),WeaponCS,"")))))))}</f>
        <v>WEAPONSPECIALL17</v>
      </c>
      <c r="Y1510" s="230"/>
      <c r="Z1510" s="230" t="str">
        <f t="array" ref="Z1510:Z1511">{"WEAPONSPECIALL19";((IF("19"=INDEX(ALLCLASSDATA,MATCH("WeaponGreaterSpecialization",CLASSFEATUREHEADERS,0),MATCH($A1511,CLASSNAMEHEADERS,0)),WeaponGWS,(IF("19"=INDEX(ALLCLASSDATA,MATCH("WeaponSpecialization",CLASSFEATUREHEADERS,0),MATCH($A1511,CLASSNAMEHEADERS,0)),WeaponWS,(IF("19"=INDEX(ALLCLASSDATA,MATCH("WeaponCriticalSpecialization",CLASSFEATUREHEADERS,0),MATCH($A1511,CLASSNAMEHEADERS,0)),WeaponCS,"")))))))}</f>
        <v>WEAPONSPECIALL19</v>
      </c>
      <c r="AA1510" s="230"/>
      <c r="AB1510" s="76"/>
      <c r="AC1510" s="76" t="str">
        <f t="array" ref="AC1510:AC1511">{"WEAPONSPECIAL TOTAL";(sum(G1511:AA1511))}</f>
        <v>WEAPONSPECIAL TOTAL</v>
      </c>
    </row>
    <row r="1511">
      <c r="A1511" s="48" t="s">
        <v>221</v>
      </c>
      <c r="B1511" s="48"/>
      <c r="C1511" s="48" t="s">
        <v>418</v>
      </c>
      <c r="D1511" s="48" t="s">
        <v>1634</v>
      </c>
      <c r="E1511" s="48" t="s">
        <v>1635</v>
      </c>
      <c r="F1511" s="5"/>
      <c r="G1511" s="47"/>
      <c r="H1511" s="5" t="s">
        <v>603</v>
      </c>
      <c r="I1511" s="5"/>
      <c r="J1511" s="5" t="s">
        <v>603</v>
      </c>
      <c r="K1511" s="5"/>
      <c r="L1511" s="5" t="s">
        <v>603</v>
      </c>
      <c r="M1511" s="5"/>
      <c r="N1511" s="5" t="s">
        <v>603</v>
      </c>
      <c r="O1511" s="5"/>
      <c r="P1511" s="5" t="s">
        <v>603</v>
      </c>
      <c r="Q1511" s="5"/>
      <c r="R1511" s="5">
        <v>50.0</v>
      </c>
      <c r="S1511" s="5"/>
      <c r="T1511" s="5">
        <v>70.0</v>
      </c>
      <c r="U1511" s="5"/>
      <c r="V1511" s="5" t="s">
        <v>603</v>
      </c>
      <c r="W1511" s="5"/>
      <c r="X1511" s="5" t="s">
        <v>603</v>
      </c>
      <c r="Y1511" s="5"/>
      <c r="Z1511" s="5" t="s">
        <v>603</v>
      </c>
      <c r="AA1511" s="5"/>
      <c r="AB1511" s="5"/>
      <c r="AC1511" s="47">
        <v>120.0</v>
      </c>
    </row>
    <row r="1512" hidden="1">
      <c r="A1512" s="222" t="str">
        <f t="array" ref="A1512:A1513">{"FormulaRow27";(INDEX(CLASSLIST,A1459,1))}</f>
        <v>FormulaRow27</v>
      </c>
      <c r="B1512" s="77" t="s">
        <v>236</v>
      </c>
      <c r="C1512" s="222" t="str">
        <f t="array" ref="C1512:C1513">{"CLASSTYPE";((INDEX(ALLCLASSDATA,MATCH("ClassType",CLASSFEATUREHEADERS,0),MATCH($A1513,CLASSNAMEHEADERS,0))))}</f>
        <v>CLASSTYPE</v>
      </c>
      <c r="D1512" s="222" t="str">
        <f t="array" ref="D1512:D1513">{"ATTACK";"Attack"}</f>
        <v>ATTACK</v>
      </c>
      <c r="E1512" s="222" t="str">
        <f t="array" ref="E1512:E1513">{"UNARMED";"Unarmed"}</f>
        <v>UNARMED</v>
      </c>
      <c r="F1512" s="223" t="str">
        <f t="array" ref="F1512:F1513">{"UNARMEDINITIAL";((IF(H1513=10,"T",(IF(H1513=50,"E","")))))}</f>
        <v>UNARMEDINITIAL</v>
      </c>
      <c r="G1512" s="223" t="str">
        <f t="array" ref="G1512:G1513">{"UNARMEDINITIALPTS";((IF("00"=(INDEX(ALLCLASSDATA,MATCH("UnarmedLegendary",CLASSFEATUREHEADERS,0),MATCH($A1513,CLASSNAMEHEADERS,0))),(INDEX(ALLCLASSDATA,MATCH("UnarmedLegendary",CLASSFEATUREHEADERS,0),MATCH(($A1513 &amp; "Points"),CLASSNAMEHEADERS,0))),(IF("00"=(INDEX(ALLCLASSDATA,MATCH("UnarmedMaster",CLASSFEATUREHEADERS,0),MATCH($A1513,CLASSNAMEHEADERS,0))),(INDEX(ALLCLASSDATA,MATCH("UnarmedMaster",CLASSFEATUREHEADERS,0),MATCH(($A1513 &amp; "Points"),CLASSNAMEHEADERS,0))),(IF("00"=(INDEX(ALLCLASSDATA,MATCH("UnarmedExpert",CLASSFEATUREHEADERS,0),MATCH($A1513,CLASSNAMEHEADERS,0))),(INDEX(ALLCLASSDATA,MATCH("UnarmedExpert",CLASSFEATUREHEADERS,0),MATCH(($A1513 &amp; "Points"),CLASSNAMEHEADERS,0))),(IF("00"=(INDEX(ALLCLASSDATA,MATCH("UnarmedTrained",CLASSFEATUREHEADERS,0),MATCH($A1513,CLASSNAMEHEADERS,0))),(INDEX(ALLCLASSDATA,MATCH("UnarmedTrained",CLASSFEATUREHEADERS,0),MATCH(($A1513 &amp; "Points"),CLASSNAMEHEADERS,0))),"")))))))))}</f>
        <v>UNARMEDINITIALPTS</v>
      </c>
      <c r="H1512" s="223" t="str">
        <f t="array" ref="H1512:H1513">{"UNARMEDL01";((IF("01"=(INDEX(ALLCLASSDATA,MATCH("UnarmedLegendary",CLASSFEATUREHEADERS,0),MATCH($A1513,CLASSNAMEHEADERS,0))),(INDEX(ALLCLASSDATA,MATCH("UnarmedLegendary",CLASSFEATUREHEADERS,0),MATCH(($A1513 &amp; "Points"),CLASSNAMEHEADERS,0))),(IF("01"=(INDEX(ALLCLASSDATA,MATCH("UnarmedMaster",CLASSFEATUREHEADERS,0),MATCH($A1513,CLASSNAMEHEADERS,0))),(INDEX(ALLCLASSDATA,MATCH("UnarmedMaster",CLASSFEATUREHEADERS,0),MATCH(($A1513 &amp; "Points"),CLASSNAMEHEADERS,0))),(IF("01"=(INDEX(ALLCLASSDATA,MATCH("UnarmedExpert",CLASSFEATUREHEADERS,0),MATCH($A1513,CLASSNAMEHEADERS,0))),(INDEX(ALLCLASSDATA,MATCH("UnarmedExpert",CLASSFEATUREHEADERS,0),MATCH(($A1513 &amp; "Points"),CLASSNAMEHEADERS,0))),(IF("01"=(INDEX(ALLCLASSDATA,MATCH("UnarmedTrained",CLASSFEATUREHEADERS,0),MATCH($A1513,CLASSNAMEHEADERS,0))),(INDEX(ALLCLASSDATA,MATCH("UnarmedTrained",CLASSFEATUREHEADERS,0),MATCH(($A1513 &amp; "Points"),CLASSNAMEHEADERS,0))),"")))))))))}</f>
        <v>UNARMEDL01</v>
      </c>
      <c r="I1512" s="223"/>
      <c r="J1512" s="223" t="str">
        <f t="array" ref="J1512:J1513">{"UNARMEDL03";((IF("03"=(INDEX(ALLCLASSDATA,MATCH("UnarmedLegendary",CLASSFEATUREHEADERS,0),MATCH($A1513,CLASSNAMEHEADERS,0))),(INDEX(ALLCLASSDATA,MATCH("UnarmedLegendary",CLASSFEATUREHEADERS,0),MATCH(($A1513 &amp; "Points"),CLASSNAMEHEADERS,0))),(IF("03"=(INDEX(ALLCLASSDATA,MATCH("UnarmedMaster",CLASSFEATUREHEADERS,0),MATCH($A1513,CLASSNAMEHEADERS,0))),(INDEX(ALLCLASSDATA,MATCH("UnarmedMaster",CLASSFEATUREHEADERS,0),MATCH(($A1513 &amp; "Points"),CLASSNAMEHEADERS,0))),(IF("03"=(INDEX(ALLCLASSDATA,MATCH("UnarmedExpert",CLASSFEATUREHEADERS,0),MATCH($A1513,CLASSNAMEHEADERS,0))),(INDEX(ALLCLASSDATA,MATCH("UnarmedExpert",CLASSFEATUREHEADERS,0),MATCH(($A1513 &amp; "Points"),CLASSNAMEHEADERS,0))),(IF("03"=(INDEX(ALLCLASSDATA,MATCH("UnarmedTrained",CLASSFEATUREHEADERS,0),MATCH($A1513,CLASSNAMEHEADERS,0))),(INDEX(ALLCLASSDATA,MATCH("UnarmedTrained",CLASSFEATUREHEADERS,0),MATCH(($A1513 &amp; "Points"),CLASSNAMEHEADERS,0))),"")))))))))}</f>
        <v>UNARMEDL03</v>
      </c>
      <c r="K1512" s="223"/>
      <c r="L1512" s="223" t="str">
        <f t="array" ref="L1512:L1513">{"UNARMEDL05";((IF("05"=(INDEX(ALLCLASSDATA,MATCH("UnarmedLegendary",CLASSFEATUREHEADERS,0),MATCH($A1513,CLASSNAMEHEADERS,0))),(INDEX(ALLCLASSDATA,MATCH("UnarmedLegendary",CLASSFEATUREHEADERS,0),MATCH(($A1513 &amp; "Points"),CLASSNAMEHEADERS,0))),(IF("05"=(INDEX(ALLCLASSDATA,MATCH("UnarmedMaster",CLASSFEATUREHEADERS,0),MATCH($A1513,CLASSNAMEHEADERS,0))),(INDEX(ALLCLASSDATA,MATCH("UnarmedMaster",CLASSFEATUREHEADERS,0),MATCH(($A1513 &amp; "Points"),CLASSNAMEHEADERS,0))),(IF("05"=(INDEX(ALLCLASSDATA,MATCH("UnarmedExpert",CLASSFEATUREHEADERS,0),MATCH($A1513,CLASSNAMEHEADERS,0))),(INDEX(ALLCLASSDATA,MATCH("UnarmedExpert",CLASSFEATUREHEADERS,0),MATCH(($A1513 &amp; "Points"),CLASSNAMEHEADERS,0))),(IF("05"=(INDEX(ALLCLASSDATA,MATCH("UnarmedTrained",CLASSFEATUREHEADERS,0),MATCH($A1513,CLASSNAMEHEADERS,0))),(INDEX(ALLCLASSDATA,MATCH("UnarmedTrained",CLASSFEATUREHEADERS,0),MATCH(($A1513 &amp; "Points"),CLASSNAMEHEADERS,0))),"")))))))))}</f>
        <v>UNARMEDL05</v>
      </c>
      <c r="M1512" s="223"/>
      <c r="N1512" s="223" t="str">
        <f t="array" ref="N1512:N1513">{"UNARMEDL07";((IF("07"=(INDEX(ALLCLASSDATA,MATCH("UnarmedLegendary",CLASSFEATUREHEADERS,0),MATCH($A1513,CLASSNAMEHEADERS,0))),(INDEX(ALLCLASSDATA,MATCH("UnarmedLegendary",CLASSFEATUREHEADERS,0),MATCH(($A1513 &amp; "Points"),CLASSNAMEHEADERS,0))),(IF("07"=(INDEX(ALLCLASSDATA,MATCH("UnarmedMaster",CLASSFEATUREHEADERS,0),MATCH($A1513,CLASSNAMEHEADERS,0))),(INDEX(ALLCLASSDATA,MATCH("UnarmedMaster",CLASSFEATUREHEADERS,0),MATCH(($A1513 &amp; "Points"),CLASSNAMEHEADERS,0))),(IF("07"=(INDEX(ALLCLASSDATA,MATCH("UnarmedExpert",CLASSFEATUREHEADERS,0),MATCH($A1513,CLASSNAMEHEADERS,0))),(INDEX(ALLCLASSDATA,MATCH("UnarmedExpert",CLASSFEATUREHEADERS,0),MATCH(($A1513 &amp; "Points"),CLASSNAMEHEADERS,0))),(IF("07"=(INDEX(ALLCLASSDATA,MATCH("UnarmedTrained",CLASSFEATUREHEADERS,0),MATCH($A1513,CLASSNAMEHEADERS,0))),(INDEX(ALLCLASSDATA,MATCH("UnarmedTrained",CLASSFEATUREHEADERS,0),MATCH(($A1513 &amp; "Points"),CLASSNAMEHEADERS,0))),"")))))))))}</f>
        <v>UNARMEDL07</v>
      </c>
      <c r="O1512" s="223"/>
      <c r="P1512" s="223" t="str">
        <f t="array" ref="P1512:P1513">{"UNARMEDL09";((IF("09"=(INDEX(ALLCLASSDATA,MATCH("UnarmedLegendary",CLASSFEATUREHEADERS,0),MATCH($A1513,CLASSNAMEHEADERS,0))),(INDEX(ALLCLASSDATA,MATCH("UnarmedLegendary",CLASSFEATUREHEADERS,0),MATCH(($A1513 &amp; "Points"),CLASSNAMEHEADERS,0))),(IF("09"=(INDEX(ALLCLASSDATA,MATCH("UnarmedMaster",CLASSFEATUREHEADERS,0),MATCH($A1513,CLASSNAMEHEADERS,0))),(INDEX(ALLCLASSDATA,MATCH("UnarmedMaster",CLASSFEATUREHEADERS,0),MATCH(($A1513 &amp; "Points"),CLASSNAMEHEADERS,0))),(IF("09"=(INDEX(ALLCLASSDATA,MATCH("UnarmedExpert",CLASSFEATUREHEADERS,0),MATCH($A1513,CLASSNAMEHEADERS,0))),(INDEX(ALLCLASSDATA,MATCH("UnarmedExpert",CLASSFEATUREHEADERS,0),MATCH(($A1513 &amp; "Points"),CLASSNAMEHEADERS,0))),(IF("09"=(INDEX(ALLCLASSDATA,MATCH("UnarmedTrained",CLASSFEATUREHEADERS,0),MATCH($A1513,CLASSNAMEHEADERS,0))),(INDEX(ALLCLASSDATA,MATCH("UnarmedTrained",CLASSFEATUREHEADERS,0),MATCH(($A1513 &amp; "Points"),CLASSNAMEHEADERS,0))),"")))))))))}</f>
        <v>UNARMEDL09</v>
      </c>
      <c r="Q1512" s="223"/>
      <c r="R1512" s="223" t="str">
        <f t="array" ref="R1512:R1513">{"UNARMEDL11";((IF("11"=(INDEX(ALLCLASSDATA,MATCH("UnarmedLegendary",CLASSFEATUREHEADERS,0),MATCH($A1513,CLASSNAMEHEADERS,0))),(INDEX(ALLCLASSDATA,MATCH("UnarmedLegendary",CLASSFEATUREHEADERS,0),MATCH(($A1513 &amp; "Points"),CLASSNAMEHEADERS,0))),(IF("11"=(INDEX(ALLCLASSDATA,MATCH("UnarmedMaster",CLASSFEATUREHEADERS,0),MATCH($A1513,CLASSNAMEHEADERS,0))),(INDEX(ALLCLASSDATA,MATCH("UnarmedMaster",CLASSFEATUREHEADERS,0),MATCH(($A1513 &amp; "Points"),CLASSNAMEHEADERS,0))),(IF("11"=(INDEX(ALLCLASSDATA,MATCH("UnarmedExpert",CLASSFEATUREHEADERS,0),MATCH($A1513,CLASSNAMEHEADERS,0))),(INDEX(ALLCLASSDATA,MATCH("UnarmedExpert",CLASSFEATUREHEADERS,0),MATCH(($A1513 &amp; "Points"),CLASSNAMEHEADERS,0))),(IF("11"=(INDEX(ALLCLASSDATA,MATCH("UnarmedTrained",CLASSFEATUREHEADERS,0),MATCH($A1513,CLASSNAMEHEADERS,0))),(INDEX(ALLCLASSDATA,MATCH("UnarmedTrained",CLASSFEATUREHEADERS,0),MATCH(($A1513 &amp; "Points"),CLASSNAMEHEADERS,0))),"")))))))))}</f>
        <v>UNARMEDL11</v>
      </c>
      <c r="S1512" s="223"/>
      <c r="T1512" s="223" t="str">
        <f t="array" ref="T1512:T1513">{"UNARMEDL13";((IF("13"=(INDEX(ALLCLASSDATA,MATCH("UnarmedLegendary",CLASSFEATUREHEADERS,0),MATCH($A1513,CLASSNAMEHEADERS,0))),(INDEX(ALLCLASSDATA,MATCH("UnarmedLegendary",CLASSFEATUREHEADERS,0),MATCH(($A1513 &amp; "Points"),CLASSNAMEHEADERS,0))),(IF("13"=(INDEX(ALLCLASSDATA,MATCH("UnarmedMaster",CLASSFEATUREHEADERS,0),MATCH($A1513,CLASSNAMEHEADERS,0))),(INDEX(ALLCLASSDATA,MATCH("UnarmedMaster",CLASSFEATUREHEADERS,0),MATCH(($A1513 &amp; "Points"),CLASSNAMEHEADERS,0))),(IF("13"=(INDEX(ALLCLASSDATA,MATCH("UnarmedExpert",CLASSFEATUREHEADERS,0),MATCH($A1513,CLASSNAMEHEADERS,0))),(INDEX(ALLCLASSDATA,MATCH("UnarmedExpert",CLASSFEATUREHEADERS,0),MATCH(($A1513 &amp; "Points"),CLASSNAMEHEADERS,0))),(IF("13"=(INDEX(ALLCLASSDATA,MATCH("UnarmedTrained",CLASSFEATUREHEADERS,0),MATCH($A1513,CLASSNAMEHEADERS,0))),(INDEX(ALLCLASSDATA,MATCH("UnarmedTrained",CLASSFEATUREHEADERS,0),MATCH(($A1513 &amp; "Points"),CLASSNAMEHEADERS,0))),"")))))))))}</f>
        <v>UNARMEDL13</v>
      </c>
      <c r="U1512" s="223"/>
      <c r="V1512" s="223" t="str">
        <f t="array" ref="V1512:V1513">{"UNARMEDL15";((IF("15"=(INDEX(ALLCLASSDATA,MATCH("UnarmedLegendary",CLASSFEATUREHEADERS,0),MATCH($A1513,CLASSNAMEHEADERS,0))),(INDEX(ALLCLASSDATA,MATCH("UnarmedLegendary",CLASSFEATUREHEADERS,0),MATCH(($A1513 &amp; "Points"),CLASSNAMEHEADERS,0))),(IF("15"=(INDEX(ALLCLASSDATA,MATCH("UnarmedMaster",CLASSFEATUREHEADERS,0),MATCH($A1513,CLASSNAMEHEADERS,0))),(INDEX(ALLCLASSDATA,MATCH("UnarmedMaster",CLASSFEATUREHEADERS,0),MATCH(($A1513 &amp; "Points"),CLASSNAMEHEADERS,0))),(IF("15"=(INDEX(ALLCLASSDATA,MATCH("UnarmedExpert",CLASSFEATUREHEADERS,0),MATCH($A1513,CLASSNAMEHEADERS,0))),(INDEX(ALLCLASSDATA,MATCH("UnarmedExpert",CLASSFEATUREHEADERS,0),MATCH(($A1513 &amp; "Points"),CLASSNAMEHEADERS,0))),(IF("15"=(INDEX(ALLCLASSDATA,MATCH("UnarmedTrained",CLASSFEATUREHEADERS,0),MATCH($A1513,CLASSNAMEHEADERS,0))),(INDEX(ALLCLASSDATA,MATCH("UnarmedTrained",CLASSFEATUREHEADERS,0),MATCH(($A1513 &amp; "Points"),CLASSNAMEHEADERS,0))),"")))))))))}</f>
        <v>UNARMEDL15</v>
      </c>
      <c r="W1512" s="223"/>
      <c r="X1512" s="223" t="str">
        <f t="array" ref="X1512:X1513">{"UNARMEDL17";((IF("17"=(INDEX(ALLCLASSDATA,MATCH("UnarmedLegendary",CLASSFEATUREHEADERS,0),MATCH($A1513,CLASSNAMEHEADERS,0))),(INDEX(ALLCLASSDATA,MATCH("UnarmedLegendary",CLASSFEATUREHEADERS,0),MATCH(($A1513 &amp; "Points"),CLASSNAMEHEADERS,0))),(IF("17"=(INDEX(ALLCLASSDATA,MATCH("UnarmedMaster",CLASSFEATUREHEADERS,0),MATCH($A1513,CLASSNAMEHEADERS,0))),(INDEX(ALLCLASSDATA,MATCH("UnarmedMaster",CLASSFEATUREHEADERS,0),MATCH(($A1513 &amp; "Points"),CLASSNAMEHEADERS,0))),(IF("17"=(INDEX(ALLCLASSDATA,MATCH("UnarmedExpert",CLASSFEATUREHEADERS,0),MATCH($A1513,CLASSNAMEHEADERS,0))),(INDEX(ALLCLASSDATA,MATCH("UnarmedExpert",CLASSFEATUREHEADERS,0),MATCH(($A1513 &amp; "Points"),CLASSNAMEHEADERS,0))),(IF("17"=(INDEX(ALLCLASSDATA,MATCH("UnarmedTrained",CLASSFEATUREHEADERS,0),MATCH($A1513,CLASSNAMEHEADERS,0))),(INDEX(ALLCLASSDATA,MATCH("UnarmedTrained",CLASSFEATUREHEADERS,0),MATCH(($A1513 &amp; "Points"),CLASSNAMEHEADERS,0))),"")))))))))}</f>
        <v>UNARMEDL17</v>
      </c>
      <c r="Y1512" s="223"/>
      <c r="Z1512" s="223" t="str">
        <f t="array" ref="Z1512:Z1513">{"UNARMEDL19";((IF("19"=(INDEX(ALLCLASSDATA,MATCH("UnarmedLegendary",CLASSFEATUREHEADERS,0),MATCH($A1513,CLASSNAMEHEADERS,0))),(INDEX(ALLCLASSDATA,MATCH("UnarmedLegendary",CLASSFEATUREHEADERS,0),MATCH(($A1513 &amp; "Points"),CLASSNAMEHEADERS,0))),(IF("19"=(INDEX(ALLCLASSDATA,MATCH("UnarmedMaster",CLASSFEATUREHEADERS,0),MATCH($A1513,CLASSNAMEHEADERS,0))),(INDEX(ALLCLASSDATA,MATCH("UnarmedMaster",CLASSFEATUREHEADERS,0),MATCH(($A1513 &amp; "Points"),CLASSNAMEHEADERS,0))),(IF("19"=(INDEX(ALLCLASSDATA,MATCH("UnarmedExpert",CLASSFEATUREHEADERS,0),MATCH($A1513,CLASSNAMEHEADERS,0))),(INDEX(ALLCLASSDATA,MATCH("UnarmedExpert",CLASSFEATUREHEADERS,0),MATCH(($A1513 &amp; "Points"),CLASSNAMEHEADERS,0))),(IF("19"=(INDEX(ALLCLASSDATA,MATCH("UnarmedTrained",CLASSFEATUREHEADERS,0),MATCH($A1513,CLASSNAMEHEADERS,0))),(INDEX(ALLCLASSDATA,MATCH("UnarmedTrained",CLASSFEATUREHEADERS,0),MATCH(($A1513 &amp; "Points"),CLASSNAMEHEADERS,0))),"")))))))))}</f>
        <v>UNARMEDL19</v>
      </c>
      <c r="AA1512" s="223"/>
      <c r="AB1512" s="76" t="str">
        <f t="array" ref="AB1512:AB1513">{"UNARMED TOTAL";(IF(COUNTBLANK(G1513:AA1513)=17,"L",(IF(COUNTBLANK(G1513:AA1513)=18,"M",(IF(COUNTBLANK(G1513:AA1513)=19,"E",(IF(COUNTBLANK(G1513:AA1513)=20,"T",""))))))))}</f>
        <v>UNARMED TOTAL</v>
      </c>
      <c r="AC1512" s="76" t="str">
        <f t="array" ref="AC1512:AC1513">{"UNARMED TOTAL";(sum(G1513:AA1513))}</f>
        <v>UNARMED TOTAL</v>
      </c>
    </row>
    <row r="1513">
      <c r="A1513" s="48" t="s">
        <v>221</v>
      </c>
      <c r="B1513" s="48"/>
      <c r="C1513" s="48" t="s">
        <v>418</v>
      </c>
      <c r="D1513" s="48" t="s">
        <v>1634</v>
      </c>
      <c r="E1513" s="48" t="s">
        <v>257</v>
      </c>
      <c r="F1513" s="5" t="s">
        <v>435</v>
      </c>
      <c r="G1513" s="47" t="s">
        <v>603</v>
      </c>
      <c r="H1513" s="5">
        <v>10.0</v>
      </c>
      <c r="I1513" s="5"/>
      <c r="J1513" s="5" t="s">
        <v>603</v>
      </c>
      <c r="K1513" s="5"/>
      <c r="L1513" s="5" t="s">
        <v>603</v>
      </c>
      <c r="M1513" s="5"/>
      <c r="N1513" s="5" t="s">
        <v>603</v>
      </c>
      <c r="O1513" s="5"/>
      <c r="P1513" s="5" t="s">
        <v>603</v>
      </c>
      <c r="Q1513" s="5"/>
      <c r="R1513" s="5" t="s">
        <v>436</v>
      </c>
      <c r="S1513" s="5"/>
      <c r="T1513" s="5" t="s">
        <v>603</v>
      </c>
      <c r="U1513" s="5"/>
      <c r="V1513" s="5" t="s">
        <v>603</v>
      </c>
      <c r="W1513" s="5"/>
      <c r="X1513" s="5" t="s">
        <v>603</v>
      </c>
      <c r="Y1513" s="5"/>
      <c r="Z1513" s="5" t="s">
        <v>603</v>
      </c>
      <c r="AA1513" s="5"/>
      <c r="AB1513" s="5" t="s">
        <v>436</v>
      </c>
      <c r="AC1513" s="47">
        <v>10.0</v>
      </c>
    </row>
    <row r="1514" hidden="1">
      <c r="A1514" s="222" t="str">
        <f t="array" ref="A1514:A1515">{"FormulaRow28";(INDEX(CLASSLIST,A1459,1))}</f>
        <v>FormulaRow28</v>
      </c>
      <c r="B1514" s="77" t="s">
        <v>236</v>
      </c>
      <c r="C1514" s="222" t="str">
        <f t="array" ref="C1514:C1515">{"CLASSTYPE";((INDEX(ALLCLASSDATA,MATCH("ClassType",CLASSFEATUREHEADERS,0),MATCH($A1515,CLASSNAMEHEADERS,0))))}</f>
        <v>CLASSTYPE</v>
      </c>
      <c r="D1514" s="222" t="str">
        <f t="array" ref="D1514:D1515">{"ATTACK";"Attack"}</f>
        <v>ATTACK</v>
      </c>
      <c r="E1514" s="222" t="str">
        <f t="array" ref="E1514:E1515">{"SIMPLELIMITED";"SimpleLimited"}</f>
        <v>SIMPLELIMITED</v>
      </c>
      <c r="F1514" s="223" t="str">
        <f t="array" ref="F1514:F1515">{"SIMPLELIMITEDINITIAL";((IF(H1515=10,"T",(IF(H1515=50,"E","")))))}</f>
        <v>SIMPLELIMITEDINITIAL</v>
      </c>
      <c r="G1514" s="223" t="str">
        <f t="array" ref="G1514:G1515">{"SIMPLELIMITEDINITIALPTS";((IF("00"=(INDEX(ALLCLASSDATA,MATCH("SimpleLimitedLegendary",CLASSFEATUREHEADERS,0),MATCH($A1515,CLASSNAMEHEADERS,0))),(INDEX(ALLCLASSDATA,MATCH("SimpleLimitedLegendary",CLASSFEATUREHEADERS,0),MATCH(($A1515 &amp; "Points"),CLASSNAMEHEADERS,0))),(IF("00"=(INDEX(ALLCLASSDATA,MATCH("SimpleLimitedMaster",CLASSFEATUREHEADERS,0),MATCH($A1515,CLASSNAMEHEADERS,0))),(INDEX(ALLCLASSDATA,MATCH("SimpleLimitedMaster",CLASSFEATUREHEADERS,0),MATCH(($A1515 &amp; "Points"),CLASSNAMEHEADERS,0))),(IF("00"=(INDEX(ALLCLASSDATA,MATCH("SimpleLimitedExpert",CLASSFEATUREHEADERS,0),MATCH($A1515,CLASSNAMEHEADERS,0))),(INDEX(ALLCLASSDATA,MATCH("SimpleLimitedExpert",CLASSFEATUREHEADERS,0),MATCH(($A1515 &amp; "Points"),CLASSNAMEHEADERS,0))),(IF("00"=(INDEX(ALLCLASSDATA,MATCH("SimpleLimitedTrained",CLASSFEATUREHEADERS,0),MATCH($A1515,CLASSNAMEHEADERS,0))),(INDEX(ALLCLASSDATA,MATCH("SimpleLimitedTrained",CLASSFEATUREHEADERS,0),MATCH(($A1515 &amp; "Points"),CLASSNAMEHEADERS,0))),"")))))))))}</f>
        <v>SIMPLELIMITEDINITIALPTS</v>
      </c>
      <c r="H1514" s="223" t="str">
        <f t="array" ref="H1514:H1515">{"SIMPLELIMITEDL01";((IF("01"=(INDEX(ALLCLASSDATA,MATCH("SimpleLimitedLegendary",CLASSFEATUREHEADERS,0),MATCH($A1515,CLASSNAMEHEADERS,0))),(INDEX(ALLCLASSDATA,MATCH("SimpleLimitedLegendary",CLASSFEATUREHEADERS,0),MATCH(($A1515 &amp; "Points"),CLASSNAMEHEADERS,0))),(IF("01"=(INDEX(ALLCLASSDATA,MATCH("SimpleLimitedMaster",CLASSFEATUREHEADERS,0),MATCH($A1515,CLASSNAMEHEADERS,0))),(INDEX(ALLCLASSDATA,MATCH("SimpleLimitedMaster",CLASSFEATUREHEADERS,0),MATCH(($A1515 &amp; "Points"),CLASSNAMEHEADERS,0))),(IF("01"=(INDEX(ALLCLASSDATA,MATCH("SimpleLimitedExpert",CLASSFEATUREHEADERS,0),MATCH($A1515,CLASSNAMEHEADERS,0))),(INDEX(ALLCLASSDATA,MATCH("SimpleLimitedExpert",CLASSFEATUREHEADERS,0),MATCH(($A1515 &amp; "Points"),CLASSNAMEHEADERS,0))),(IF("01"=(INDEX(ALLCLASSDATA,MATCH("SimpleLimitedTrained",CLASSFEATUREHEADERS,0),MATCH($A1515,CLASSNAMEHEADERS,0))),(INDEX(ALLCLASSDATA,MATCH("SimpleLimitedTrained",CLASSFEATUREHEADERS,0),MATCH(($A1515 &amp; "Points"),CLASSNAMEHEADERS,0))),"")))))))))}</f>
        <v>SIMPLELIMITEDL01</v>
      </c>
      <c r="I1514" s="223"/>
      <c r="J1514" s="223" t="str">
        <f t="array" ref="J1514:J1515">{"SIMPLELIMITEDL03";((IF("03"=(INDEX(ALLCLASSDATA,MATCH("SimpleLimitedLegendary",CLASSFEATUREHEADERS,0),MATCH($A1515,CLASSNAMEHEADERS,0))),(INDEX(ALLCLASSDATA,MATCH("SimpleLimitedLegendary",CLASSFEATUREHEADERS,0),MATCH(($A1515 &amp; "Points"),CLASSNAMEHEADERS,0))),(IF("03"=(INDEX(ALLCLASSDATA,MATCH("SimpleLimitedMaster",CLASSFEATUREHEADERS,0),MATCH($A1515,CLASSNAMEHEADERS,0))),(INDEX(ALLCLASSDATA,MATCH("SimpleLimitedMaster",CLASSFEATUREHEADERS,0),MATCH(($A1515 &amp; "Points"),CLASSNAMEHEADERS,0))),(IF("03"=(INDEX(ALLCLASSDATA,MATCH("SimpleLimitedExpert",CLASSFEATUREHEADERS,0),MATCH($A1515,CLASSNAMEHEADERS,0))),(INDEX(ALLCLASSDATA,MATCH("SimpleLimitedExpert",CLASSFEATUREHEADERS,0),MATCH(($A1515 &amp; "Points"),CLASSNAMEHEADERS,0))),(IF("03"=(INDEX(ALLCLASSDATA,MATCH("SimpleLimitedTrained",CLASSFEATUREHEADERS,0),MATCH($A1515,CLASSNAMEHEADERS,0))),(INDEX(ALLCLASSDATA,MATCH("SimpleLimitedTrained",CLASSFEATUREHEADERS,0),MATCH(($A1515 &amp; "Points"),CLASSNAMEHEADERS,0))),"")))))))))}</f>
        <v>SIMPLELIMITEDL03</v>
      </c>
      <c r="K1514" s="223"/>
      <c r="L1514" s="223" t="str">
        <f t="array" ref="L1514:L1515">{"SIMPLELIMITEDL05";((IF("05"=(INDEX(ALLCLASSDATA,MATCH("SimpleLimitedLegendary",CLASSFEATUREHEADERS,0),MATCH($A1515,CLASSNAMEHEADERS,0))),(INDEX(ALLCLASSDATA,MATCH("SimpleLimitedLegendary",CLASSFEATUREHEADERS,0),MATCH(($A1515 &amp; "Points"),CLASSNAMEHEADERS,0))),(IF("05"=(INDEX(ALLCLASSDATA,MATCH("SimpleLimitedMaster",CLASSFEATUREHEADERS,0),MATCH($A1515,CLASSNAMEHEADERS,0))),(INDEX(ALLCLASSDATA,MATCH("SimpleLimitedMaster",CLASSFEATUREHEADERS,0),MATCH(($A1515 &amp; "Points"),CLASSNAMEHEADERS,0))),(IF("05"=(INDEX(ALLCLASSDATA,MATCH("SimpleLimitedExpert",CLASSFEATUREHEADERS,0),MATCH($A1515,CLASSNAMEHEADERS,0))),(INDEX(ALLCLASSDATA,MATCH("SimpleLimitedExpert",CLASSFEATUREHEADERS,0),MATCH(($A1515 &amp; "Points"),CLASSNAMEHEADERS,0))),(IF("05"=(INDEX(ALLCLASSDATA,MATCH("SimpleLimitedTrained",CLASSFEATUREHEADERS,0),MATCH($A1515,CLASSNAMEHEADERS,0))),(INDEX(ALLCLASSDATA,MATCH("SimpleLimitedTrained",CLASSFEATUREHEADERS,0),MATCH(($A1515 &amp; "Points"),CLASSNAMEHEADERS,0))),"")))))))))}</f>
        <v>SIMPLELIMITEDL05</v>
      </c>
      <c r="M1514" s="223"/>
      <c r="N1514" s="223" t="str">
        <f t="array" ref="N1514:N1515">{"SIMPLELIMITEDL07";((IF("07"=(INDEX(ALLCLASSDATA,MATCH("SimpleLimitedLegendary",CLASSFEATUREHEADERS,0),MATCH($A1515,CLASSNAMEHEADERS,0))),(INDEX(ALLCLASSDATA,MATCH("SimpleLimitedLegendary",CLASSFEATUREHEADERS,0),MATCH(($A1515 &amp; "Points"),CLASSNAMEHEADERS,0))),(IF("07"=(INDEX(ALLCLASSDATA,MATCH("SimpleLimitedMaster",CLASSFEATUREHEADERS,0),MATCH($A1515,CLASSNAMEHEADERS,0))),(INDEX(ALLCLASSDATA,MATCH("SimpleLimitedMaster",CLASSFEATUREHEADERS,0),MATCH(($A1515 &amp; "Points"),CLASSNAMEHEADERS,0))),(IF("07"=(INDEX(ALLCLASSDATA,MATCH("SimpleLimitedExpert",CLASSFEATUREHEADERS,0),MATCH($A1515,CLASSNAMEHEADERS,0))),(INDEX(ALLCLASSDATA,MATCH("SimpleLimitedExpert",CLASSFEATUREHEADERS,0),MATCH(($A1515 &amp; "Points"),CLASSNAMEHEADERS,0))),(IF("07"=(INDEX(ALLCLASSDATA,MATCH("SimpleLimitedTrained",CLASSFEATUREHEADERS,0),MATCH($A1515,CLASSNAMEHEADERS,0))),(INDEX(ALLCLASSDATA,MATCH("SimpleLimitedTrained",CLASSFEATUREHEADERS,0),MATCH(($A1515 &amp; "Points"),CLASSNAMEHEADERS,0))),"")))))))))}</f>
        <v>SIMPLELIMITEDL07</v>
      </c>
      <c r="O1514" s="223"/>
      <c r="P1514" s="223" t="str">
        <f t="array" ref="P1514:P1515">{"SIMPLELIMITEDL09";((IF("09"=(INDEX(ALLCLASSDATA,MATCH("SimpleLimitedLegendary",CLASSFEATUREHEADERS,0),MATCH($A1515,CLASSNAMEHEADERS,0))),(INDEX(ALLCLASSDATA,MATCH("SimpleLimitedLegendary",CLASSFEATUREHEADERS,0),MATCH(($A1515 &amp; "Points"),CLASSNAMEHEADERS,0))),(IF("09"=(INDEX(ALLCLASSDATA,MATCH("SimpleLimitedMaster",CLASSFEATUREHEADERS,0),MATCH($A1515,CLASSNAMEHEADERS,0))),(INDEX(ALLCLASSDATA,MATCH("SimpleLimitedMaster",CLASSFEATUREHEADERS,0),MATCH(($A1515 &amp; "Points"),CLASSNAMEHEADERS,0))),(IF("09"=(INDEX(ALLCLASSDATA,MATCH("SimpleLimitedExpert",CLASSFEATUREHEADERS,0),MATCH($A1515,CLASSNAMEHEADERS,0))),(INDEX(ALLCLASSDATA,MATCH("SimpleLimitedExpert",CLASSFEATUREHEADERS,0),MATCH(($A1515 &amp; "Points"),CLASSNAMEHEADERS,0))),(IF("09"=(INDEX(ALLCLASSDATA,MATCH("SimpleLimitedTrained",CLASSFEATUREHEADERS,0),MATCH($A1515,CLASSNAMEHEADERS,0))),(INDEX(ALLCLASSDATA,MATCH("SimpleLimitedTrained",CLASSFEATUREHEADERS,0),MATCH(($A1515 &amp; "Points"),CLASSNAMEHEADERS,0))),"")))))))))}</f>
        <v>SIMPLELIMITEDL09</v>
      </c>
      <c r="Q1514" s="223"/>
      <c r="R1514" s="223" t="str">
        <f t="array" ref="R1514:R1515">{"SIMPLELIMITEDL11";((IF("11"=(INDEX(ALLCLASSDATA,MATCH("SimpleLimitedLegendary",CLASSFEATUREHEADERS,0),MATCH($A1515,CLASSNAMEHEADERS,0))),(INDEX(ALLCLASSDATA,MATCH("SimpleLimitedLegendary",CLASSFEATUREHEADERS,0),MATCH(($A1515 &amp; "Points"),CLASSNAMEHEADERS,0))),(IF("11"=(INDEX(ALLCLASSDATA,MATCH("SimpleLimitedMaster",CLASSFEATUREHEADERS,0),MATCH($A1515,CLASSNAMEHEADERS,0))),(INDEX(ALLCLASSDATA,MATCH("SimpleLimitedMaster",CLASSFEATUREHEADERS,0),MATCH(($A1515 &amp; "Points"),CLASSNAMEHEADERS,0))),(IF("11"=(INDEX(ALLCLASSDATA,MATCH("SimpleLimitedExpert",CLASSFEATUREHEADERS,0),MATCH($A1515,CLASSNAMEHEADERS,0))),(INDEX(ALLCLASSDATA,MATCH("SimpleLimitedExpert",CLASSFEATUREHEADERS,0),MATCH(($A1515 &amp; "Points"),CLASSNAMEHEADERS,0))),(IF("11"=(INDEX(ALLCLASSDATA,MATCH("SimpleLimitedTrained",CLASSFEATUREHEADERS,0),MATCH($A1515,CLASSNAMEHEADERS,0))),(INDEX(ALLCLASSDATA,MATCH("SimpleLimitedTrained",CLASSFEATUREHEADERS,0),MATCH(($A1515 &amp; "Points"),CLASSNAMEHEADERS,0))),"")))))))))}</f>
        <v>SIMPLELIMITEDL11</v>
      </c>
      <c r="S1514" s="223"/>
      <c r="T1514" s="223" t="str">
        <f t="array" ref="T1514:T1515">{"SIMPLELIMITEDL13";((IF("13"=(INDEX(ALLCLASSDATA,MATCH("SimpleLimitedLegendary",CLASSFEATUREHEADERS,0),MATCH($A1515,CLASSNAMEHEADERS,0))),(INDEX(ALLCLASSDATA,MATCH("SimpleLimitedLegendary",CLASSFEATUREHEADERS,0),MATCH(($A1515 &amp; "Points"),CLASSNAMEHEADERS,0))),(IF("13"=(INDEX(ALLCLASSDATA,MATCH("SimpleLimitedMaster",CLASSFEATUREHEADERS,0),MATCH($A1515,CLASSNAMEHEADERS,0))),(INDEX(ALLCLASSDATA,MATCH("SimpleLimitedMaster",CLASSFEATUREHEADERS,0),MATCH(($A1515 &amp; "Points"),CLASSNAMEHEADERS,0))),(IF("13"=(INDEX(ALLCLASSDATA,MATCH("SimpleLimitedExpert",CLASSFEATUREHEADERS,0),MATCH($A1515,CLASSNAMEHEADERS,0))),(INDEX(ALLCLASSDATA,MATCH("SimpleLimitedExpert",CLASSFEATUREHEADERS,0),MATCH(($A1515 &amp; "Points"),CLASSNAMEHEADERS,0))),(IF("13"=(INDEX(ALLCLASSDATA,MATCH("SimpleLimitedTrained",CLASSFEATUREHEADERS,0),MATCH($A1515,CLASSNAMEHEADERS,0))),(INDEX(ALLCLASSDATA,MATCH("SimpleLimitedTrained",CLASSFEATUREHEADERS,0),MATCH(($A1515 &amp; "Points"),CLASSNAMEHEADERS,0))),"")))))))))}</f>
        <v>SIMPLELIMITEDL13</v>
      </c>
      <c r="U1514" s="223"/>
      <c r="V1514" s="223" t="str">
        <f t="array" ref="V1514:V1515">{"SIMPLELIMITEDL15";((IF("15"=(INDEX(ALLCLASSDATA,MATCH("SimpleLimitedLegendary",CLASSFEATUREHEADERS,0),MATCH($A1515,CLASSNAMEHEADERS,0))),(INDEX(ALLCLASSDATA,MATCH("SimpleLimitedLegendary",CLASSFEATUREHEADERS,0),MATCH(($A1515 &amp; "Points"),CLASSNAMEHEADERS,0))),(IF("15"=(INDEX(ALLCLASSDATA,MATCH("SimpleLimitedMaster",CLASSFEATUREHEADERS,0),MATCH($A1515,CLASSNAMEHEADERS,0))),(INDEX(ALLCLASSDATA,MATCH("SimpleLimitedMaster",CLASSFEATUREHEADERS,0),MATCH(($A1515 &amp; "Points"),CLASSNAMEHEADERS,0))),(IF("15"=(INDEX(ALLCLASSDATA,MATCH("SimpleLimitedExpert",CLASSFEATUREHEADERS,0),MATCH($A1515,CLASSNAMEHEADERS,0))),(INDEX(ALLCLASSDATA,MATCH("SimpleLimitedExpert",CLASSFEATUREHEADERS,0),MATCH(($A1515 &amp; "Points"),CLASSNAMEHEADERS,0))),(IF("15"=(INDEX(ALLCLASSDATA,MATCH("SimpleLimitedTrained",CLASSFEATUREHEADERS,0),MATCH($A1515,CLASSNAMEHEADERS,0))),(INDEX(ALLCLASSDATA,MATCH("SimpleLimitedTrained",CLASSFEATUREHEADERS,0),MATCH(($A1515 &amp; "Points"),CLASSNAMEHEADERS,0))),"")))))))))}</f>
        <v>SIMPLELIMITEDL15</v>
      </c>
      <c r="W1514" s="223"/>
      <c r="X1514" s="223" t="str">
        <f t="array" ref="X1514:X1515">{"SIMPLELIMITEDL17";((IF("17"=(INDEX(ALLCLASSDATA,MATCH("SimpleLimitedLegendary",CLASSFEATUREHEADERS,0),MATCH($A1515,CLASSNAMEHEADERS,0))),(INDEX(ALLCLASSDATA,MATCH("SimpleLimitedLegendary",CLASSFEATUREHEADERS,0),MATCH(($A1515 &amp; "Points"),CLASSNAMEHEADERS,0))),(IF("17"=(INDEX(ALLCLASSDATA,MATCH("SimpleLimitedMaster",CLASSFEATUREHEADERS,0),MATCH($A1515,CLASSNAMEHEADERS,0))),(INDEX(ALLCLASSDATA,MATCH("SimpleLimitedMaster",CLASSFEATUREHEADERS,0),MATCH(($A1515 &amp; "Points"),CLASSNAMEHEADERS,0))),(IF("17"=(INDEX(ALLCLASSDATA,MATCH("SimpleLimitedExpert",CLASSFEATUREHEADERS,0),MATCH($A1515,CLASSNAMEHEADERS,0))),(INDEX(ALLCLASSDATA,MATCH("SimpleLimitedExpert",CLASSFEATUREHEADERS,0),MATCH(($A1515 &amp; "Points"),CLASSNAMEHEADERS,0))),(IF("17"=(INDEX(ALLCLASSDATA,MATCH("SimpleLimitedTrained",CLASSFEATUREHEADERS,0),MATCH($A1515,CLASSNAMEHEADERS,0))),(INDEX(ALLCLASSDATA,MATCH("SimpleLimitedTrained",CLASSFEATUREHEADERS,0),MATCH(($A1515 &amp; "Points"),CLASSNAMEHEADERS,0))),"")))))))))}</f>
        <v>SIMPLELIMITEDL17</v>
      </c>
      <c r="Y1514" s="223"/>
      <c r="Z1514" s="223" t="str">
        <f t="array" ref="Z1514:Z1515">{"SIMPLELIMITEDL19";((IF("19"=(INDEX(ALLCLASSDATA,MATCH("SimpleLimitedLegendary",CLASSFEATUREHEADERS,0),MATCH($A1515,CLASSNAMEHEADERS,0))),(INDEX(ALLCLASSDATA,MATCH("SimpleLimitedLegendary",CLASSFEATUREHEADERS,0),MATCH(($A1515 &amp; "Points"),CLASSNAMEHEADERS,0))),(IF("19"=(INDEX(ALLCLASSDATA,MATCH("SimpleLimitedMaster",CLASSFEATUREHEADERS,0),MATCH($A1515,CLASSNAMEHEADERS,0))),(INDEX(ALLCLASSDATA,MATCH("SimpleLimitedMaster",CLASSFEATUREHEADERS,0),MATCH(($A1515 &amp; "Points"),CLASSNAMEHEADERS,0))),(IF("19"=(INDEX(ALLCLASSDATA,MATCH("SimpleLimitedExpert",CLASSFEATUREHEADERS,0),MATCH($A1515,CLASSNAMEHEADERS,0))),(INDEX(ALLCLASSDATA,MATCH("SimpleLimitedExpert",CLASSFEATUREHEADERS,0),MATCH(($A1515 &amp; "Points"),CLASSNAMEHEADERS,0))),(IF("19"=(INDEX(ALLCLASSDATA,MATCH("SimpleLimitedTrained",CLASSFEATUREHEADERS,0),MATCH($A1515,CLASSNAMEHEADERS,0))),(INDEX(ALLCLASSDATA,MATCH("SimpleLimitedTrained",CLASSFEATUREHEADERS,0),MATCH(($A1515 &amp; "Points"),CLASSNAMEHEADERS,0))),"")))))))))}</f>
        <v>SIMPLELIMITEDL19</v>
      </c>
      <c r="AA1514" s="223"/>
      <c r="AB1514" s="76" t="str">
        <f t="array" ref="AB1514:AB1515">{"SIMPLELIMITED TOTAL";(IF(COUNTBLANK(G1515:AA1515)=17,"L",(IF(COUNTBLANK(G1515:AA1515)=18,"M",(IF(COUNTBLANK(G1515:AA1515)=19,"E",(IF(COUNTBLANK(G1515:AA1515)=20,"T",""))))))))}</f>
        <v>SIMPLELIMITED TOTAL</v>
      </c>
      <c r="AC1514" s="76" t="str">
        <f t="array" ref="AC1514:AC1515">{"SIMPLELIMITED TOTAL";(sum(G1515:AA1515))}</f>
        <v>SIMPLELIMITED TOTAL</v>
      </c>
    </row>
    <row r="1515">
      <c r="A1515" s="48" t="s">
        <v>221</v>
      </c>
      <c r="B1515" s="48"/>
      <c r="C1515" s="48" t="s">
        <v>418</v>
      </c>
      <c r="D1515" s="48" t="s">
        <v>1634</v>
      </c>
      <c r="E1515" s="48" t="s">
        <v>599</v>
      </c>
      <c r="F1515" s="5" t="s">
        <v>603</v>
      </c>
      <c r="G1515" s="47" t="s">
        <v>603</v>
      </c>
      <c r="H1515" s="5" t="s">
        <v>603</v>
      </c>
      <c r="I1515" s="5"/>
      <c r="J1515" s="5" t="s">
        <v>603</v>
      </c>
      <c r="K1515" s="5"/>
      <c r="L1515" s="5" t="s">
        <v>603</v>
      </c>
      <c r="M1515" s="5"/>
      <c r="N1515" s="5" t="s">
        <v>603</v>
      </c>
      <c r="O1515" s="5"/>
      <c r="P1515" s="5" t="s">
        <v>603</v>
      </c>
      <c r="Q1515" s="5"/>
      <c r="R1515" s="5" t="s">
        <v>603</v>
      </c>
      <c r="S1515" s="5"/>
      <c r="T1515" s="5" t="s">
        <v>603</v>
      </c>
      <c r="U1515" s="5"/>
      <c r="V1515" s="5" t="s">
        <v>603</v>
      </c>
      <c r="W1515" s="5"/>
      <c r="X1515" s="5" t="s">
        <v>603</v>
      </c>
      <c r="Y1515" s="5"/>
      <c r="Z1515" s="5" t="s">
        <v>603</v>
      </c>
      <c r="AA1515" s="5"/>
      <c r="AB1515" s="5" t="s">
        <v>603</v>
      </c>
      <c r="AC1515" s="47">
        <v>0.0</v>
      </c>
    </row>
    <row r="1516" hidden="1">
      <c r="A1516" s="222" t="str">
        <f t="array" ref="A1516:A1517">{"FormulaRow29";(INDEX(CLASSLIST,A1459,1))}</f>
        <v>FormulaRow29</v>
      </c>
      <c r="B1516" s="77" t="s">
        <v>236</v>
      </c>
      <c r="C1516" s="222" t="str">
        <f t="array" ref="C1516:C1517">{"CLASSTYPE";((INDEX(ALLCLASSDATA,MATCH("ClassType",CLASSFEATUREHEADERS,0),MATCH($A1517,CLASSNAMEHEADERS,0))))}</f>
        <v>CLASSTYPE</v>
      </c>
      <c r="D1516" s="222" t="str">
        <f t="array" ref="D1516:D1517">{"ATTACK";"Attack"}</f>
        <v>ATTACK</v>
      </c>
      <c r="E1516" s="222" t="str">
        <f t="array" ref="E1516:E1517">{"SIMPLE";"Simple"}</f>
        <v>SIMPLE</v>
      </c>
      <c r="F1516" s="223" t="str">
        <f t="array" ref="F1516:F1517">{"SIMPLEINITIAL";((IF(H1517=10,"T",(IF(H1517=50,"E","")))))}</f>
        <v>SIMPLEINITIAL</v>
      </c>
      <c r="G1516" s="223" t="str">
        <f t="array" ref="G1516:G1517">{"SIMPLEINITIALPTS";((IF("00"=(INDEX(ALLCLASSDATA,MATCH("SimpleLegendary",CLASSFEATUREHEADERS,0),MATCH($A1517,CLASSNAMEHEADERS,0))),(INDEX(ALLCLASSDATA,MATCH("SimpleLegendary",CLASSFEATUREHEADERS,0),MATCH(($A1517 &amp; "Points"),CLASSNAMEHEADERS,0))),(IF("00"=(INDEX(ALLCLASSDATA,MATCH("SimpleMaster",CLASSFEATUREHEADERS,0),MATCH($A1517,CLASSNAMEHEADERS,0))),(INDEX(ALLCLASSDATA,MATCH("SimpleMaster",CLASSFEATUREHEADERS,0),MATCH(($A1517 &amp; "Points"),CLASSNAMEHEADERS,0))),(IF("00"=(INDEX(ALLCLASSDATA,MATCH("SimpleExpert",CLASSFEATUREHEADERS,0),MATCH($A1517,CLASSNAMEHEADERS,0))),(INDEX(ALLCLASSDATA,MATCH("SimpleExpert",CLASSFEATUREHEADERS,0),MATCH(($A1517 &amp; "Points"),CLASSNAMEHEADERS,0))),(IF("00"=(INDEX(ALLCLASSDATA,MATCH("SimpleTrained",CLASSFEATUREHEADERS,0),MATCH($A1517,CLASSNAMEHEADERS,0))),(INDEX(ALLCLASSDATA,MATCH("SimpleTrained",CLASSFEATUREHEADERS,0),MATCH(($A1517 &amp; "Points"),CLASSNAMEHEADERS,0))),"")))))))))}</f>
        <v>SIMPLEINITIALPTS</v>
      </c>
      <c r="H1516" s="223" t="str">
        <f t="array" ref="H1516:H1517">{"SIMPLEL01";((IF("01"=(INDEX(ALLCLASSDATA,MATCH("SimpleLegendary",CLASSFEATUREHEADERS,0),MATCH($A1517,CLASSNAMEHEADERS,0))),(INDEX(ALLCLASSDATA,MATCH("SimpleLegendary",CLASSFEATUREHEADERS,0),MATCH(($A1517 &amp; "Points"),CLASSNAMEHEADERS,0))),(IF("01"=(INDEX(ALLCLASSDATA,MATCH("SimpleMaster",CLASSFEATUREHEADERS,0),MATCH($A1517,CLASSNAMEHEADERS,0))),(INDEX(ALLCLASSDATA,MATCH("SimpleMaster",CLASSFEATUREHEADERS,0),MATCH(($A1517 &amp; "Points"),CLASSNAMEHEADERS,0))),(IF("01"=(INDEX(ALLCLASSDATA,MATCH("SimpleExpert",CLASSFEATUREHEADERS,0),MATCH($A1517,CLASSNAMEHEADERS,0))),(INDEX(ALLCLASSDATA,MATCH("SimpleExpert",CLASSFEATUREHEADERS,0),MATCH(($A1517 &amp; "Points"),CLASSNAMEHEADERS,0))),(IF("01"=(INDEX(ALLCLASSDATA,MATCH("SimpleTrained",CLASSFEATUREHEADERS,0),MATCH($A1517,CLASSNAMEHEADERS,0))),(INDEX(ALLCLASSDATA,MATCH("SimpleTrained",CLASSFEATUREHEADERS,0),MATCH(($A1517 &amp; "Points"),CLASSNAMEHEADERS,0))),"")))))))))}</f>
        <v>SIMPLEL01</v>
      </c>
      <c r="I1516" s="223"/>
      <c r="J1516" s="223" t="str">
        <f t="array" ref="J1516:J1517">{"SIMPLEL03";((IF("03"=(INDEX(ALLCLASSDATA,MATCH("SimpleLegendary",CLASSFEATUREHEADERS,0),MATCH($A1517,CLASSNAMEHEADERS,0))),(INDEX(ALLCLASSDATA,MATCH("SimpleLegendary",CLASSFEATUREHEADERS,0),MATCH(($A1517 &amp; "Points"),CLASSNAMEHEADERS,0))),(IF("03"=(INDEX(ALLCLASSDATA,MATCH("SimpleMaster",CLASSFEATUREHEADERS,0),MATCH($A1517,CLASSNAMEHEADERS,0))),(INDEX(ALLCLASSDATA,MATCH("SimpleMaster",CLASSFEATUREHEADERS,0),MATCH(($A1517 &amp; "Points"),CLASSNAMEHEADERS,0))),(IF("03"=(INDEX(ALLCLASSDATA,MATCH("SimpleExpert",CLASSFEATUREHEADERS,0),MATCH($A1517,CLASSNAMEHEADERS,0))),(INDEX(ALLCLASSDATA,MATCH("SimpleExpert",CLASSFEATUREHEADERS,0),MATCH(($A1517 &amp; "Points"),CLASSNAMEHEADERS,0))),(IF("03"=(INDEX(ALLCLASSDATA,MATCH("SimpleTrained",CLASSFEATUREHEADERS,0),MATCH($A1517,CLASSNAMEHEADERS,0))),(INDEX(ALLCLASSDATA,MATCH("SimpleTrained",CLASSFEATUREHEADERS,0),MATCH(($A1517 &amp; "Points"),CLASSNAMEHEADERS,0))),"")))))))))}</f>
        <v>SIMPLEL03</v>
      </c>
      <c r="K1516" s="223"/>
      <c r="L1516" s="223" t="str">
        <f t="array" ref="L1516:L1517">{"SIMPLEL05";((IF("05"=(INDEX(ALLCLASSDATA,MATCH("SimpleLegendary",CLASSFEATUREHEADERS,0),MATCH($A1517,CLASSNAMEHEADERS,0))),(INDEX(ALLCLASSDATA,MATCH("SimpleLegendary",CLASSFEATUREHEADERS,0),MATCH(($A1517 &amp; "Points"),CLASSNAMEHEADERS,0))),(IF("05"=(INDEX(ALLCLASSDATA,MATCH("SimpleMaster",CLASSFEATUREHEADERS,0),MATCH($A1517,CLASSNAMEHEADERS,0))),(INDEX(ALLCLASSDATA,MATCH("SimpleMaster",CLASSFEATUREHEADERS,0),MATCH(($A1517 &amp; "Points"),CLASSNAMEHEADERS,0))),(IF("05"=(INDEX(ALLCLASSDATA,MATCH("SimpleExpert",CLASSFEATUREHEADERS,0),MATCH($A1517,CLASSNAMEHEADERS,0))),(INDEX(ALLCLASSDATA,MATCH("SimpleExpert",CLASSFEATUREHEADERS,0),MATCH(($A1517 &amp; "Points"),CLASSNAMEHEADERS,0))),(IF("05"=(INDEX(ALLCLASSDATA,MATCH("SimpleTrained",CLASSFEATUREHEADERS,0),MATCH($A1517,CLASSNAMEHEADERS,0))),(INDEX(ALLCLASSDATA,MATCH("SimpleTrained",CLASSFEATUREHEADERS,0),MATCH(($A1517 &amp; "Points"),CLASSNAMEHEADERS,0))),"")))))))))}</f>
        <v>SIMPLEL05</v>
      </c>
      <c r="M1516" s="223"/>
      <c r="N1516" s="223" t="str">
        <f t="array" ref="N1516:N1517">{"SIMPLEL07";((IF("07"=(INDEX(ALLCLASSDATA,MATCH("SimpleLegendary",CLASSFEATUREHEADERS,0),MATCH($A1517,CLASSNAMEHEADERS,0))),(INDEX(ALLCLASSDATA,MATCH("SimpleLegendary",CLASSFEATUREHEADERS,0),MATCH(($A1517 &amp; "Points"),CLASSNAMEHEADERS,0))),(IF("07"=(INDEX(ALLCLASSDATA,MATCH("SimpleMaster",CLASSFEATUREHEADERS,0),MATCH($A1517,CLASSNAMEHEADERS,0))),(INDEX(ALLCLASSDATA,MATCH("SimpleMaster",CLASSFEATUREHEADERS,0),MATCH(($A1517 &amp; "Points"),CLASSNAMEHEADERS,0))),(IF("07"=(INDEX(ALLCLASSDATA,MATCH("SimpleExpert",CLASSFEATUREHEADERS,0),MATCH($A1517,CLASSNAMEHEADERS,0))),(INDEX(ALLCLASSDATA,MATCH("SimpleExpert",CLASSFEATUREHEADERS,0),MATCH(($A1517 &amp; "Points"),CLASSNAMEHEADERS,0))),(IF("07"=(INDEX(ALLCLASSDATA,MATCH("SimpleTrained",CLASSFEATUREHEADERS,0),MATCH($A1517,CLASSNAMEHEADERS,0))),(INDEX(ALLCLASSDATA,MATCH("SimpleTrained",CLASSFEATUREHEADERS,0),MATCH(($A1517 &amp; "Points"),CLASSNAMEHEADERS,0))),"")))))))))}</f>
        <v>SIMPLEL07</v>
      </c>
      <c r="O1516" s="223"/>
      <c r="P1516" s="223" t="str">
        <f t="array" ref="P1516:P1517">{"SIMPLEL09";((IF("09"=(INDEX(ALLCLASSDATA,MATCH("SimpleLegendary",CLASSFEATUREHEADERS,0),MATCH($A1517,CLASSNAMEHEADERS,0))),(INDEX(ALLCLASSDATA,MATCH("SimpleLegendary",CLASSFEATUREHEADERS,0),MATCH(($A1517 &amp; "Points"),CLASSNAMEHEADERS,0))),(IF("09"=(INDEX(ALLCLASSDATA,MATCH("SimpleMaster",CLASSFEATUREHEADERS,0),MATCH($A1517,CLASSNAMEHEADERS,0))),(INDEX(ALLCLASSDATA,MATCH("SimpleMaster",CLASSFEATUREHEADERS,0),MATCH(($A1517 &amp; "Points"),CLASSNAMEHEADERS,0))),(IF("09"=(INDEX(ALLCLASSDATA,MATCH("SimpleExpert",CLASSFEATUREHEADERS,0),MATCH($A1517,CLASSNAMEHEADERS,0))),(INDEX(ALLCLASSDATA,MATCH("SimpleExpert",CLASSFEATUREHEADERS,0),MATCH(($A1517 &amp; "Points"),CLASSNAMEHEADERS,0))),(IF("09"=(INDEX(ALLCLASSDATA,MATCH("SimpleTrained",CLASSFEATUREHEADERS,0),MATCH($A1517,CLASSNAMEHEADERS,0))),(INDEX(ALLCLASSDATA,MATCH("SimpleTrained",CLASSFEATUREHEADERS,0),MATCH(($A1517 &amp; "Points"),CLASSNAMEHEADERS,0))),"")))))))))}</f>
        <v>SIMPLEL09</v>
      </c>
      <c r="Q1516" s="223"/>
      <c r="R1516" s="223" t="str">
        <f t="array" ref="R1516:R1517">{"SIMPLEL11";((IF("11"=(INDEX(ALLCLASSDATA,MATCH("SimpleLegendary",CLASSFEATUREHEADERS,0),MATCH($A1517,CLASSNAMEHEADERS,0))),(INDEX(ALLCLASSDATA,MATCH("SimpleLegendary",CLASSFEATUREHEADERS,0),MATCH(($A1517 &amp; "Points"),CLASSNAMEHEADERS,0))),(IF("11"=(INDEX(ALLCLASSDATA,MATCH("SimpleMaster",CLASSFEATUREHEADERS,0),MATCH($A1517,CLASSNAMEHEADERS,0))),(INDEX(ALLCLASSDATA,MATCH("SimpleMaster",CLASSFEATUREHEADERS,0),MATCH(($A1517 &amp; "Points"),CLASSNAMEHEADERS,0))),(IF("11"=(INDEX(ALLCLASSDATA,MATCH("SimpleExpert",CLASSFEATUREHEADERS,0),MATCH($A1517,CLASSNAMEHEADERS,0))),(INDEX(ALLCLASSDATA,MATCH("SimpleExpert",CLASSFEATUREHEADERS,0),MATCH(($A1517 &amp; "Points"),CLASSNAMEHEADERS,0))),(IF("11"=(INDEX(ALLCLASSDATA,MATCH("SimpleTrained",CLASSFEATUREHEADERS,0),MATCH($A1517,CLASSNAMEHEADERS,0))),(INDEX(ALLCLASSDATA,MATCH("SimpleTrained",CLASSFEATUREHEADERS,0),MATCH(($A1517 &amp; "Points"),CLASSNAMEHEADERS,0))),"")))))))))}</f>
        <v>SIMPLEL11</v>
      </c>
      <c r="S1516" s="223"/>
      <c r="T1516" s="223" t="str">
        <f t="array" ref="T1516:T1517">{"SIMPLEL13";((IF("13"=(INDEX(ALLCLASSDATA,MATCH("SimpleLegendary",CLASSFEATUREHEADERS,0),MATCH($A1517,CLASSNAMEHEADERS,0))),(INDEX(ALLCLASSDATA,MATCH("SimpleLegendary",CLASSFEATUREHEADERS,0),MATCH(($A1517 &amp; "Points"),CLASSNAMEHEADERS,0))),(IF("13"=(INDEX(ALLCLASSDATA,MATCH("SimpleMaster",CLASSFEATUREHEADERS,0),MATCH($A1517,CLASSNAMEHEADERS,0))),(INDEX(ALLCLASSDATA,MATCH("SimpleMaster",CLASSFEATUREHEADERS,0),MATCH(($A1517 &amp; "Points"),CLASSNAMEHEADERS,0))),(IF("13"=(INDEX(ALLCLASSDATA,MATCH("SimpleExpert",CLASSFEATUREHEADERS,0),MATCH($A1517,CLASSNAMEHEADERS,0))),(INDEX(ALLCLASSDATA,MATCH("SimpleExpert",CLASSFEATUREHEADERS,0),MATCH(($A1517 &amp; "Points"),CLASSNAMEHEADERS,0))),(IF("13"=(INDEX(ALLCLASSDATA,MATCH("SimpleTrained",CLASSFEATUREHEADERS,0),MATCH($A1517,CLASSNAMEHEADERS,0))),(INDEX(ALLCLASSDATA,MATCH("SimpleTrained",CLASSFEATUREHEADERS,0),MATCH(($A1517 &amp; "Points"),CLASSNAMEHEADERS,0))),"")))))))))}</f>
        <v>SIMPLEL13</v>
      </c>
      <c r="U1516" s="223"/>
      <c r="V1516" s="223" t="str">
        <f t="array" ref="V1516:V1517">{"SIMPLEL15";((IF("15"=(INDEX(ALLCLASSDATA,MATCH("SimpleLegendary",CLASSFEATUREHEADERS,0),MATCH($A1517,CLASSNAMEHEADERS,0))),(INDEX(ALLCLASSDATA,MATCH("SimpleLegendary",CLASSFEATUREHEADERS,0),MATCH(($A1517 &amp; "Points"),CLASSNAMEHEADERS,0))),(IF("15"=(INDEX(ALLCLASSDATA,MATCH("SimpleMaster",CLASSFEATUREHEADERS,0),MATCH($A1517,CLASSNAMEHEADERS,0))),(INDEX(ALLCLASSDATA,MATCH("SimpleMaster",CLASSFEATUREHEADERS,0),MATCH(($A1517 &amp; "Points"),CLASSNAMEHEADERS,0))),(IF("15"=(INDEX(ALLCLASSDATA,MATCH("SimpleExpert",CLASSFEATUREHEADERS,0),MATCH($A1517,CLASSNAMEHEADERS,0))),(INDEX(ALLCLASSDATA,MATCH("SimpleExpert",CLASSFEATUREHEADERS,0),MATCH(($A1517 &amp; "Points"),CLASSNAMEHEADERS,0))),(IF("15"=(INDEX(ALLCLASSDATA,MATCH("SimpleTrained",CLASSFEATUREHEADERS,0),MATCH($A1517,CLASSNAMEHEADERS,0))),(INDEX(ALLCLASSDATA,MATCH("SimpleTrained",CLASSFEATUREHEADERS,0),MATCH(($A1517 &amp; "Points"),CLASSNAMEHEADERS,0))),"")))))))))}</f>
        <v>SIMPLEL15</v>
      </c>
      <c r="W1516" s="223"/>
      <c r="X1516" s="223" t="str">
        <f t="array" ref="X1516:X1517">{"SIMPLEL17";((IF("17"=(INDEX(ALLCLASSDATA,MATCH("SimpleLegendary",CLASSFEATUREHEADERS,0),MATCH($A1517,CLASSNAMEHEADERS,0))),(INDEX(ALLCLASSDATA,MATCH("SimpleLegendary",CLASSFEATUREHEADERS,0),MATCH(($A1517 &amp; "Points"),CLASSNAMEHEADERS,0))),(IF("17"=(INDEX(ALLCLASSDATA,MATCH("SimpleMaster",CLASSFEATUREHEADERS,0),MATCH($A1517,CLASSNAMEHEADERS,0))),(INDEX(ALLCLASSDATA,MATCH("SimpleMaster",CLASSFEATUREHEADERS,0),MATCH(($A1517 &amp; "Points"),CLASSNAMEHEADERS,0))),(IF("17"=(INDEX(ALLCLASSDATA,MATCH("SimpleExpert",CLASSFEATUREHEADERS,0),MATCH($A1517,CLASSNAMEHEADERS,0))),(INDEX(ALLCLASSDATA,MATCH("SimpleExpert",CLASSFEATUREHEADERS,0),MATCH(($A1517 &amp; "Points"),CLASSNAMEHEADERS,0))),(IF("17"=(INDEX(ALLCLASSDATA,MATCH("SimpleTrained",CLASSFEATUREHEADERS,0),MATCH($A1517,CLASSNAMEHEADERS,0))),(INDEX(ALLCLASSDATA,MATCH("SimpleTrained",CLASSFEATUREHEADERS,0),MATCH(($A1517 &amp; "Points"),CLASSNAMEHEADERS,0))),"")))))))))}</f>
        <v>SIMPLEL17</v>
      </c>
      <c r="Y1516" s="223"/>
      <c r="Z1516" s="223" t="str">
        <f t="array" ref="Z1516:Z1517">{"SIMPLEL19";((IF("19"=(INDEX(ALLCLASSDATA,MATCH("SimpleLegendary",CLASSFEATUREHEADERS,0),MATCH($A1517,CLASSNAMEHEADERS,0))),(INDEX(ALLCLASSDATA,MATCH("SimpleLegendary",CLASSFEATUREHEADERS,0),MATCH(($A1517 &amp; "Points"),CLASSNAMEHEADERS,0))),(IF("19"=(INDEX(ALLCLASSDATA,MATCH("SimpleMaster",CLASSFEATUREHEADERS,0),MATCH($A1517,CLASSNAMEHEADERS,0))),(INDEX(ALLCLASSDATA,MATCH("SimpleMaster",CLASSFEATUREHEADERS,0),MATCH(($A1517 &amp; "Points"),CLASSNAMEHEADERS,0))),(IF("19"=(INDEX(ALLCLASSDATA,MATCH("SimpleExpert",CLASSFEATUREHEADERS,0),MATCH($A1517,CLASSNAMEHEADERS,0))),(INDEX(ALLCLASSDATA,MATCH("SimpleExpert",CLASSFEATUREHEADERS,0),MATCH(($A1517 &amp; "Points"),CLASSNAMEHEADERS,0))),(IF("19"=(INDEX(ALLCLASSDATA,MATCH("SimpleTrained",CLASSFEATUREHEADERS,0),MATCH($A1517,CLASSNAMEHEADERS,0))),(INDEX(ALLCLASSDATA,MATCH("SimpleTrained",CLASSFEATUREHEADERS,0),MATCH(($A1517 &amp; "Points"),CLASSNAMEHEADERS,0))),"")))))))))}</f>
        <v>SIMPLEL19</v>
      </c>
      <c r="AA1516" s="223"/>
      <c r="AB1516" s="76" t="str">
        <f t="array" ref="AB1516:AB1517">{"SIMPLE TOTAL";(IF(COUNTBLANK(G1517:AA1517)=17,"L",(IF(COUNTBLANK(G1517:AA1517)=18,"M",(IF(COUNTBLANK(G1517:AA1517)=19,"E",(IF(COUNTBLANK(G1517:AA1517)=20,"T",""))))))))}</f>
        <v>SIMPLE TOTAL</v>
      </c>
      <c r="AC1516" s="76" t="str">
        <f t="array" ref="AC1516:AC1517">{"SIMPLE TOTAL";(sum(G1517:AA1517))}</f>
        <v>SIMPLE TOTAL</v>
      </c>
    </row>
    <row r="1517">
      <c r="A1517" s="48" t="s">
        <v>221</v>
      </c>
      <c r="B1517" s="48"/>
      <c r="C1517" s="48" t="s">
        <v>418</v>
      </c>
      <c r="D1517" s="48" t="s">
        <v>1634</v>
      </c>
      <c r="E1517" s="48" t="s">
        <v>68</v>
      </c>
      <c r="F1517" s="5" t="s">
        <v>435</v>
      </c>
      <c r="G1517" s="47" t="s">
        <v>603</v>
      </c>
      <c r="H1517" s="5">
        <v>10.0</v>
      </c>
      <c r="I1517" s="5"/>
      <c r="J1517" s="5" t="s">
        <v>603</v>
      </c>
      <c r="K1517" s="5"/>
      <c r="L1517" s="5" t="s">
        <v>603</v>
      </c>
      <c r="M1517" s="5"/>
      <c r="N1517" s="5" t="s">
        <v>603</v>
      </c>
      <c r="O1517" s="5"/>
      <c r="P1517" s="5" t="s">
        <v>603</v>
      </c>
      <c r="Q1517" s="5"/>
      <c r="R1517" s="5" t="s">
        <v>436</v>
      </c>
      <c r="S1517" s="5"/>
      <c r="T1517" s="5" t="s">
        <v>603</v>
      </c>
      <c r="U1517" s="5"/>
      <c r="V1517" s="5" t="s">
        <v>603</v>
      </c>
      <c r="W1517" s="5"/>
      <c r="X1517" s="5" t="s">
        <v>603</v>
      </c>
      <c r="Y1517" s="5"/>
      <c r="Z1517" s="5" t="s">
        <v>603</v>
      </c>
      <c r="AA1517" s="5"/>
      <c r="AB1517" s="5" t="s">
        <v>436</v>
      </c>
      <c r="AC1517" s="47">
        <v>10.0</v>
      </c>
    </row>
    <row r="1518" hidden="1">
      <c r="A1518" s="222" t="str">
        <f t="array" ref="A1518:A1519">{"FormulaRow30";(INDEX(CLASSLIST,A1459,1))}</f>
        <v>FormulaRow30</v>
      </c>
      <c r="B1518" s="77" t="s">
        <v>236</v>
      </c>
      <c r="C1518" s="222" t="str">
        <f t="array" ref="C1518:C1519">{"CLASSTYPE";((INDEX(ALLCLASSDATA,MATCH("ClassType",CLASSFEATUREHEADERS,0),MATCH($A1519,CLASSNAMEHEADERS,0))))}</f>
        <v>CLASSTYPE</v>
      </c>
      <c r="D1518" s="222" t="str">
        <f t="array" ref="D1518:D1519">{"ATTACK";"Attack"}</f>
        <v>ATTACK</v>
      </c>
      <c r="E1518" s="222" t="str">
        <f t="array" ref="E1518:E1519">{"MARTIALLIMITED";"MartialLimited"}</f>
        <v>MARTIALLIMITED</v>
      </c>
      <c r="F1518" s="223" t="str">
        <f t="array" ref="F1518:F1519">{"MARTIALLIMITEDINITIAL";((IF(H1519=10,"T",(IF(H1519=50,"E","")))))}</f>
        <v>MARTIALLIMITEDINITIAL</v>
      </c>
      <c r="G1518" s="223" t="str">
        <f t="array" ref="G1518:G1519">{"MARTIALLIMITEDINITIALPTS";((IF("00"=(INDEX(ALLCLASSDATA,MATCH("MartialLimitedLegendary",CLASSFEATUREHEADERS,0),MATCH($A1519,CLASSNAMEHEADERS,0))),(INDEX(ALLCLASSDATA,MATCH("MartialLimitedLegendary",CLASSFEATUREHEADERS,0),MATCH(($A1519 &amp; "Points"),CLASSNAMEHEADERS,0))),(IF("00"=(INDEX(ALLCLASSDATA,MATCH("MartialLimitedMaster",CLASSFEATUREHEADERS,0),MATCH($A1519,CLASSNAMEHEADERS,0))),(INDEX(ALLCLASSDATA,MATCH("MartialLimitedMaster",CLASSFEATUREHEADERS,0),MATCH(($A1519 &amp; "Points"),CLASSNAMEHEADERS,0))),(IF("00"=(INDEX(ALLCLASSDATA,MATCH("MartialLimitedExpert",CLASSFEATUREHEADERS,0),MATCH($A1519,CLASSNAMEHEADERS,0))),(INDEX(ALLCLASSDATA,MATCH("MartialLimitedExpert",CLASSFEATUREHEADERS,0),MATCH(($A1519 &amp; "Points"),CLASSNAMEHEADERS,0))),(IF("00"=(INDEX(ALLCLASSDATA,MATCH("MartialLimitedTrained",CLASSFEATUREHEADERS,0),MATCH($A1519,CLASSNAMEHEADERS,0))),(INDEX(ALLCLASSDATA,MATCH("MartialLimitedTrained",CLASSFEATUREHEADERS,0),MATCH(($A1519 &amp; "Points"),CLASSNAMEHEADERS,0))),"")))))))))}</f>
        <v>MARTIALLIMITEDINITIALPTS</v>
      </c>
      <c r="H1518" s="223" t="str">
        <f t="array" ref="H1518:H1519">{"MARTIALLIMITEDL01";((IF("01"=(INDEX(ALLCLASSDATA,MATCH("MartialLimitedLegendary",CLASSFEATUREHEADERS,0),MATCH($A1519,CLASSNAMEHEADERS,0))),(INDEX(ALLCLASSDATA,MATCH("MartialLimitedLegendary",CLASSFEATUREHEADERS,0),MATCH(($A1519 &amp; "Points"),CLASSNAMEHEADERS,0))),(IF("01"=(INDEX(ALLCLASSDATA,MATCH("MartialLimitedMaster",CLASSFEATUREHEADERS,0),MATCH($A1519,CLASSNAMEHEADERS,0))),(INDEX(ALLCLASSDATA,MATCH("MartialLimitedMaster",CLASSFEATUREHEADERS,0),MATCH(($A1519 &amp; "Points"),CLASSNAMEHEADERS,0))),(IF("01"=(INDEX(ALLCLASSDATA,MATCH("MartialLimitedExpert",CLASSFEATUREHEADERS,0),MATCH($A1519,CLASSNAMEHEADERS,0))),(INDEX(ALLCLASSDATA,MATCH("MartialLimitedExpert",CLASSFEATUREHEADERS,0),MATCH(($A1519 &amp; "Points"),CLASSNAMEHEADERS,0))),(IF("01"=(INDEX(ALLCLASSDATA,MATCH("MartialLimitedTrained",CLASSFEATUREHEADERS,0),MATCH($A1519,CLASSNAMEHEADERS,0))),(INDEX(ALLCLASSDATA,MATCH("MartialLimitedTrained",CLASSFEATUREHEADERS,0),MATCH(($A1519 &amp; "Points"),CLASSNAMEHEADERS,0))),"")))))))))}</f>
        <v>MARTIALLIMITEDL01</v>
      </c>
      <c r="I1518" s="223"/>
      <c r="J1518" s="223" t="str">
        <f t="array" ref="J1518:J1519">{"MARTIALLIMITEDL03";((IF("03"=(INDEX(ALLCLASSDATA,MATCH("MartialLimitedLegendary",CLASSFEATUREHEADERS,0),MATCH($A1519,CLASSNAMEHEADERS,0))),(INDEX(ALLCLASSDATA,MATCH("MartialLimitedLegendary",CLASSFEATUREHEADERS,0),MATCH(($A1519 &amp; "Points"),CLASSNAMEHEADERS,0))),(IF("03"=(INDEX(ALLCLASSDATA,MATCH("MartialLimitedMaster",CLASSFEATUREHEADERS,0),MATCH($A1519,CLASSNAMEHEADERS,0))),(INDEX(ALLCLASSDATA,MATCH("MartialLimitedMaster",CLASSFEATUREHEADERS,0),MATCH(($A1519 &amp; "Points"),CLASSNAMEHEADERS,0))),(IF("03"=(INDEX(ALLCLASSDATA,MATCH("MartialLimitedExpert",CLASSFEATUREHEADERS,0),MATCH($A1519,CLASSNAMEHEADERS,0))),(INDEX(ALLCLASSDATA,MATCH("MartialLimitedExpert",CLASSFEATUREHEADERS,0),MATCH(($A1519 &amp; "Points"),CLASSNAMEHEADERS,0))),(IF("03"=(INDEX(ALLCLASSDATA,MATCH("MartialLimitedTrained",CLASSFEATUREHEADERS,0),MATCH($A1519,CLASSNAMEHEADERS,0))),(INDEX(ALLCLASSDATA,MATCH("MartialLimitedTrained",CLASSFEATUREHEADERS,0),MATCH(($A1519 &amp; "Points"),CLASSNAMEHEADERS,0))),"")))))))))}</f>
        <v>MARTIALLIMITEDL03</v>
      </c>
      <c r="K1518" s="223"/>
      <c r="L1518" s="223" t="str">
        <f t="array" ref="L1518:L1519">{"MARTIALLIMITEDL05";((IF("05"=(INDEX(ALLCLASSDATA,MATCH("MartialLimitedLegendary",CLASSFEATUREHEADERS,0),MATCH($A1519,CLASSNAMEHEADERS,0))),(INDEX(ALLCLASSDATA,MATCH("MartialLimitedLegendary",CLASSFEATUREHEADERS,0),MATCH(($A1519 &amp; "Points"),CLASSNAMEHEADERS,0))),(IF("05"=(INDEX(ALLCLASSDATA,MATCH("MartialLimitedMaster",CLASSFEATUREHEADERS,0),MATCH($A1519,CLASSNAMEHEADERS,0))),(INDEX(ALLCLASSDATA,MATCH("MartialLimitedMaster",CLASSFEATUREHEADERS,0),MATCH(($A1519 &amp; "Points"),CLASSNAMEHEADERS,0))),(IF("05"=(INDEX(ALLCLASSDATA,MATCH("MartialLimitedExpert",CLASSFEATUREHEADERS,0),MATCH($A1519,CLASSNAMEHEADERS,0))),(INDEX(ALLCLASSDATA,MATCH("MartialLimitedExpert",CLASSFEATUREHEADERS,0),MATCH(($A1519 &amp; "Points"),CLASSNAMEHEADERS,0))),(IF("05"=(INDEX(ALLCLASSDATA,MATCH("MartialLimitedTrained",CLASSFEATUREHEADERS,0),MATCH($A1519,CLASSNAMEHEADERS,0))),(INDEX(ALLCLASSDATA,MATCH("MartialLimitedTrained",CLASSFEATUREHEADERS,0),MATCH(($A1519 &amp; "Points"),CLASSNAMEHEADERS,0))),"")))))))))}</f>
        <v>MARTIALLIMITEDL05</v>
      </c>
      <c r="M1518" s="223"/>
      <c r="N1518" s="223" t="str">
        <f t="array" ref="N1518:N1519">{"MARTIALLIMITEDL07";((IF("07"=(INDEX(ALLCLASSDATA,MATCH("MartialLimitedLegendary",CLASSFEATUREHEADERS,0),MATCH($A1519,CLASSNAMEHEADERS,0))),(INDEX(ALLCLASSDATA,MATCH("MartialLimitedLegendary",CLASSFEATUREHEADERS,0),MATCH(($A1519 &amp; "Points"),CLASSNAMEHEADERS,0))),(IF("07"=(INDEX(ALLCLASSDATA,MATCH("MartialLimitedMaster",CLASSFEATUREHEADERS,0),MATCH($A1519,CLASSNAMEHEADERS,0))),(INDEX(ALLCLASSDATA,MATCH("MartialLimitedMaster",CLASSFEATUREHEADERS,0),MATCH(($A1519 &amp; "Points"),CLASSNAMEHEADERS,0))),(IF("07"=(INDEX(ALLCLASSDATA,MATCH("MartialLimitedExpert",CLASSFEATUREHEADERS,0),MATCH($A1519,CLASSNAMEHEADERS,0))),(INDEX(ALLCLASSDATA,MATCH("MartialLimitedExpert",CLASSFEATUREHEADERS,0),MATCH(($A1519 &amp; "Points"),CLASSNAMEHEADERS,0))),(IF("07"=(INDEX(ALLCLASSDATA,MATCH("MartialLimitedTrained",CLASSFEATUREHEADERS,0),MATCH($A1519,CLASSNAMEHEADERS,0))),(INDEX(ALLCLASSDATA,MATCH("MartialLimitedTrained",CLASSFEATUREHEADERS,0),MATCH(($A1519 &amp; "Points"),CLASSNAMEHEADERS,0))),"")))))))))}</f>
        <v>MARTIALLIMITEDL07</v>
      </c>
      <c r="O1518" s="223"/>
      <c r="P1518" s="223" t="str">
        <f t="array" ref="P1518:P1519">{"MARTIALLIMITEDL09";((IF("09"=(INDEX(ALLCLASSDATA,MATCH("MartialLimitedLegendary",CLASSFEATUREHEADERS,0),MATCH($A1519,CLASSNAMEHEADERS,0))),(INDEX(ALLCLASSDATA,MATCH("MartialLimitedLegendary",CLASSFEATUREHEADERS,0),MATCH(($A1519 &amp; "Points"),CLASSNAMEHEADERS,0))),(IF("09"=(INDEX(ALLCLASSDATA,MATCH("MartialLimitedMaster",CLASSFEATUREHEADERS,0),MATCH($A1519,CLASSNAMEHEADERS,0))),(INDEX(ALLCLASSDATA,MATCH("MartialLimitedMaster",CLASSFEATUREHEADERS,0),MATCH(($A1519 &amp; "Points"),CLASSNAMEHEADERS,0))),(IF("09"=(INDEX(ALLCLASSDATA,MATCH("MartialLimitedExpert",CLASSFEATUREHEADERS,0),MATCH($A1519,CLASSNAMEHEADERS,0))),(INDEX(ALLCLASSDATA,MATCH("MartialLimitedExpert",CLASSFEATUREHEADERS,0),MATCH(($A1519 &amp; "Points"),CLASSNAMEHEADERS,0))),(IF("09"=(INDEX(ALLCLASSDATA,MATCH("MartialLimitedTrained",CLASSFEATUREHEADERS,0),MATCH($A1519,CLASSNAMEHEADERS,0))),(INDEX(ALLCLASSDATA,MATCH("MartialLimitedTrained",CLASSFEATUREHEADERS,0),MATCH(($A1519 &amp; "Points"),CLASSNAMEHEADERS,0))),"")))))))))}</f>
        <v>MARTIALLIMITEDL09</v>
      </c>
      <c r="Q1518" s="223"/>
      <c r="R1518" s="223" t="str">
        <f t="array" ref="R1518:R1519">{"MARTIALLIMITEDL11";((IF("11"=(INDEX(ALLCLASSDATA,MATCH("MartialLimitedLegendary",CLASSFEATUREHEADERS,0),MATCH($A1519,CLASSNAMEHEADERS,0))),(INDEX(ALLCLASSDATA,MATCH("MartialLimitedLegendary",CLASSFEATUREHEADERS,0),MATCH(($A1519 &amp; "Points"),CLASSNAMEHEADERS,0))),(IF("11"=(INDEX(ALLCLASSDATA,MATCH("MartialLimitedMaster",CLASSFEATUREHEADERS,0),MATCH($A1519,CLASSNAMEHEADERS,0))),(INDEX(ALLCLASSDATA,MATCH("MartialLimitedMaster",CLASSFEATUREHEADERS,0),MATCH(($A1519 &amp; "Points"),CLASSNAMEHEADERS,0))),(IF("11"=(INDEX(ALLCLASSDATA,MATCH("MartialLimitedExpert",CLASSFEATUREHEADERS,0),MATCH($A1519,CLASSNAMEHEADERS,0))),(INDEX(ALLCLASSDATA,MATCH("MartialLimitedExpert",CLASSFEATUREHEADERS,0),MATCH(($A1519 &amp; "Points"),CLASSNAMEHEADERS,0))),(IF("11"=(INDEX(ALLCLASSDATA,MATCH("MartialLimitedTrained",CLASSFEATUREHEADERS,0),MATCH($A1519,CLASSNAMEHEADERS,0))),(INDEX(ALLCLASSDATA,MATCH("MartialLimitedTrained",CLASSFEATUREHEADERS,0),MATCH(($A1519 &amp; "Points"),CLASSNAMEHEADERS,0))),"")))))))))}</f>
        <v>MARTIALLIMITEDL11</v>
      </c>
      <c r="S1518" s="223"/>
      <c r="T1518" s="223" t="str">
        <f t="array" ref="T1518:T1519">{"MARTIALLIMITEDL13";((IF("13"=(INDEX(ALLCLASSDATA,MATCH("MartialLimitedLegendary",CLASSFEATUREHEADERS,0),MATCH($A1519,CLASSNAMEHEADERS,0))),(INDEX(ALLCLASSDATA,MATCH("MartialLimitedLegendary",CLASSFEATUREHEADERS,0),MATCH(($A1519 &amp; "Points"),CLASSNAMEHEADERS,0))),(IF("13"=(INDEX(ALLCLASSDATA,MATCH("MartialLimitedMaster",CLASSFEATUREHEADERS,0),MATCH($A1519,CLASSNAMEHEADERS,0))),(INDEX(ALLCLASSDATA,MATCH("MartialLimitedMaster",CLASSFEATUREHEADERS,0),MATCH(($A1519 &amp; "Points"),CLASSNAMEHEADERS,0))),(IF("13"=(INDEX(ALLCLASSDATA,MATCH("MartialLimitedExpert",CLASSFEATUREHEADERS,0),MATCH($A1519,CLASSNAMEHEADERS,0))),(INDEX(ALLCLASSDATA,MATCH("MartialLimitedExpert",CLASSFEATUREHEADERS,0),MATCH(($A1519 &amp; "Points"),CLASSNAMEHEADERS,0))),(IF("13"=(INDEX(ALLCLASSDATA,MATCH("MartialLimitedTrained",CLASSFEATUREHEADERS,0),MATCH($A1519,CLASSNAMEHEADERS,0))),(INDEX(ALLCLASSDATA,MATCH("MartialLimitedTrained",CLASSFEATUREHEADERS,0),MATCH(($A1519 &amp; "Points"),CLASSNAMEHEADERS,0))),"")))))))))}</f>
        <v>MARTIALLIMITEDL13</v>
      </c>
      <c r="U1518" s="223"/>
      <c r="V1518" s="223" t="str">
        <f t="array" ref="V1518:V1519">{"MARTIALLIMITEDL15";((IF("15"=(INDEX(ALLCLASSDATA,MATCH("MartialLimitedLegendary",CLASSFEATUREHEADERS,0),MATCH($A1519,CLASSNAMEHEADERS,0))),(INDEX(ALLCLASSDATA,MATCH("MartialLimitedLegendary",CLASSFEATUREHEADERS,0),MATCH(($A1519 &amp; "Points"),CLASSNAMEHEADERS,0))),(IF("15"=(INDEX(ALLCLASSDATA,MATCH("MartialLimitedMaster",CLASSFEATUREHEADERS,0),MATCH($A1519,CLASSNAMEHEADERS,0))),(INDEX(ALLCLASSDATA,MATCH("MartialLimitedMaster",CLASSFEATUREHEADERS,0),MATCH(($A1519 &amp; "Points"),CLASSNAMEHEADERS,0))),(IF("15"=(INDEX(ALLCLASSDATA,MATCH("MartialLimitedExpert",CLASSFEATUREHEADERS,0),MATCH($A1519,CLASSNAMEHEADERS,0))),(INDEX(ALLCLASSDATA,MATCH("MartialLimitedExpert",CLASSFEATUREHEADERS,0),MATCH(($A1519 &amp; "Points"),CLASSNAMEHEADERS,0))),(IF("15"=(INDEX(ALLCLASSDATA,MATCH("MartialLimitedTrained",CLASSFEATUREHEADERS,0),MATCH($A1519,CLASSNAMEHEADERS,0))),(INDEX(ALLCLASSDATA,MATCH("MartialLimitedTrained",CLASSFEATUREHEADERS,0),MATCH(($A1519 &amp; "Points"),CLASSNAMEHEADERS,0))),"")))))))))}</f>
        <v>MARTIALLIMITEDL15</v>
      </c>
      <c r="W1518" s="223"/>
      <c r="X1518" s="223" t="str">
        <f t="array" ref="X1518:X1519">{"MARTIALLIMITEDL17";((IF("17"=(INDEX(ALLCLASSDATA,MATCH("MartialLimitedLegendary",CLASSFEATUREHEADERS,0),MATCH($A1519,CLASSNAMEHEADERS,0))),(INDEX(ALLCLASSDATA,MATCH("MartialLimitedLegendary",CLASSFEATUREHEADERS,0),MATCH(($A1519 &amp; "Points"),CLASSNAMEHEADERS,0))),(IF("17"=(INDEX(ALLCLASSDATA,MATCH("MartialLimitedMaster",CLASSFEATUREHEADERS,0),MATCH($A1519,CLASSNAMEHEADERS,0))),(INDEX(ALLCLASSDATA,MATCH("MartialLimitedMaster",CLASSFEATUREHEADERS,0),MATCH(($A1519 &amp; "Points"),CLASSNAMEHEADERS,0))),(IF("17"=(INDEX(ALLCLASSDATA,MATCH("MartialLimitedExpert",CLASSFEATUREHEADERS,0),MATCH($A1519,CLASSNAMEHEADERS,0))),(INDEX(ALLCLASSDATA,MATCH("MartialLimitedExpert",CLASSFEATUREHEADERS,0),MATCH(($A1519 &amp; "Points"),CLASSNAMEHEADERS,0))),(IF("17"=(INDEX(ALLCLASSDATA,MATCH("MartialLimitedTrained",CLASSFEATUREHEADERS,0),MATCH($A1519,CLASSNAMEHEADERS,0))),(INDEX(ALLCLASSDATA,MATCH("MartialLimitedTrained",CLASSFEATUREHEADERS,0),MATCH(($A1519 &amp; "Points"),CLASSNAMEHEADERS,0))),"")))))))))}</f>
        <v>MARTIALLIMITEDL17</v>
      </c>
      <c r="Y1518" s="223"/>
      <c r="Z1518" s="223" t="str">
        <f t="array" ref="Z1518:Z1519">{"MARTIALLIMITEDL19";((IF("19"=(INDEX(ALLCLASSDATA,MATCH("MartialLimitedLegendary",CLASSFEATUREHEADERS,0),MATCH($A1519,CLASSNAMEHEADERS,0))),(INDEX(ALLCLASSDATA,MATCH("MartialLimitedLegendary",CLASSFEATUREHEADERS,0),MATCH(($A1519 &amp; "Points"),CLASSNAMEHEADERS,0))),(IF("19"=(INDEX(ALLCLASSDATA,MATCH("MartialLimitedMaster",CLASSFEATUREHEADERS,0),MATCH($A1519,CLASSNAMEHEADERS,0))),(INDEX(ALLCLASSDATA,MATCH("MartialLimitedMaster",CLASSFEATUREHEADERS,0),MATCH(($A1519 &amp; "Points"),CLASSNAMEHEADERS,0))),(IF("19"=(INDEX(ALLCLASSDATA,MATCH("MartialLimitedExpert",CLASSFEATUREHEADERS,0),MATCH($A1519,CLASSNAMEHEADERS,0))),(INDEX(ALLCLASSDATA,MATCH("MartialLimitedExpert",CLASSFEATUREHEADERS,0),MATCH(($A1519 &amp; "Points"),CLASSNAMEHEADERS,0))),(IF("19"=(INDEX(ALLCLASSDATA,MATCH("MartialLimitedTrained",CLASSFEATUREHEADERS,0),MATCH($A1519,CLASSNAMEHEADERS,0))),(INDEX(ALLCLASSDATA,MATCH("MartialLimitedTrained",CLASSFEATUREHEADERS,0),MATCH(($A1519 &amp; "Points"),CLASSNAMEHEADERS,0))),"")))))))))}</f>
        <v>MARTIALLIMITEDL19</v>
      </c>
      <c r="AA1518" s="223"/>
      <c r="AB1518" s="76" t="str">
        <f t="array" ref="AB1518:AB1519">{"MARTIALLIMITED TOTAL";(IF(COUNTBLANK(G1519:AA1519)=17,"L",(IF(COUNTBLANK(G1519:AA1519)=18,"M",(IF(COUNTBLANK(G1519:AA1519)=19,"E",(IF(COUNTBLANK(G1519:AA1519)=20,"T",""))))))))}</f>
        <v>MARTIALLIMITED TOTAL</v>
      </c>
      <c r="AC1518" s="76" t="str">
        <f t="array" ref="AC1518:AC1519">{"MARTIALLIMITED TOTAL";(sum(G1519:AA1519))}</f>
        <v>MARTIALLIMITED TOTAL</v>
      </c>
    </row>
    <row r="1519">
      <c r="A1519" s="48" t="s">
        <v>221</v>
      </c>
      <c r="B1519" s="48"/>
      <c r="C1519" s="48" t="s">
        <v>418</v>
      </c>
      <c r="D1519" s="48" t="s">
        <v>1634</v>
      </c>
      <c r="E1519" s="48" t="s">
        <v>600</v>
      </c>
      <c r="F1519" s="5" t="s">
        <v>435</v>
      </c>
      <c r="G1519" s="47" t="s">
        <v>603</v>
      </c>
      <c r="H1519" s="5">
        <v>10.0</v>
      </c>
      <c r="I1519" s="5"/>
      <c r="J1519" s="5" t="s">
        <v>603</v>
      </c>
      <c r="K1519" s="5"/>
      <c r="L1519" s="5" t="s">
        <v>603</v>
      </c>
      <c r="M1519" s="5"/>
      <c r="N1519" s="5" t="s">
        <v>603</v>
      </c>
      <c r="O1519" s="5"/>
      <c r="P1519" s="5" t="s">
        <v>603</v>
      </c>
      <c r="Q1519" s="5"/>
      <c r="R1519" s="5">
        <v>50.0</v>
      </c>
      <c r="S1519" s="5"/>
      <c r="T1519" s="5" t="s">
        <v>603</v>
      </c>
      <c r="U1519" s="5"/>
      <c r="V1519" s="5" t="s">
        <v>603</v>
      </c>
      <c r="W1519" s="5"/>
      <c r="X1519" s="5" t="s">
        <v>603</v>
      </c>
      <c r="Y1519" s="5"/>
      <c r="Z1519" s="5" t="s">
        <v>603</v>
      </c>
      <c r="AA1519" s="5"/>
      <c r="AB1519" s="5" t="s">
        <v>436</v>
      </c>
      <c r="AC1519" s="47">
        <v>60.0</v>
      </c>
    </row>
    <row r="1520" hidden="1">
      <c r="A1520" s="222" t="str">
        <f t="array" ref="A1520:A1521">{"FormulaRow31";(INDEX(CLASSLIST,A1459,1))}</f>
        <v>FormulaRow31</v>
      </c>
      <c r="B1520" s="77" t="s">
        <v>236</v>
      </c>
      <c r="C1520" s="222" t="str">
        <f t="array" ref="C1520:C1521">{"CLASSTYPE";((INDEX(ALLCLASSDATA,MATCH("ClassType",CLASSFEATUREHEADERS,0),MATCH($A1521,CLASSNAMEHEADERS,0))))}</f>
        <v>CLASSTYPE</v>
      </c>
      <c r="D1520" s="222" t="str">
        <f t="array" ref="D1520:D1521">{"ATTACK";"Attack"}</f>
        <v>ATTACK</v>
      </c>
      <c r="E1520" s="222" t="str">
        <f t="array" ref="E1520:E1521">{"MARTIAL";"Martial"}</f>
        <v>MARTIAL</v>
      </c>
      <c r="F1520" s="223" t="str">
        <f t="array" ref="F1520:F1521">{"MARTIALINITIAL";((IF(H1521=10,"T",(IF(H1521=50,"E","")))))}</f>
        <v>MARTIALINITIAL</v>
      </c>
      <c r="G1520" s="223" t="str">
        <f t="array" ref="G1520:G1521">{"MARTIALINITIALPTS";((IF("00"=(INDEX(ALLCLASSDATA,MATCH("MartialLegendary",CLASSFEATUREHEADERS,0),MATCH($A1521,CLASSNAMEHEADERS,0))),(INDEX(ALLCLASSDATA,MATCH("MartialLegendary",CLASSFEATUREHEADERS,0),MATCH(($A1521 &amp; "Points"),CLASSNAMEHEADERS,0))),(IF("00"=(INDEX(ALLCLASSDATA,MATCH("MartialMaster",CLASSFEATUREHEADERS,0),MATCH($A1521,CLASSNAMEHEADERS,0))),(INDEX(ALLCLASSDATA,MATCH("MartialMaster",CLASSFEATUREHEADERS,0),MATCH(($A1521 &amp; "Points"),CLASSNAMEHEADERS,0))),(IF("00"=(INDEX(ALLCLASSDATA,MATCH("MartialExpert",CLASSFEATUREHEADERS,0),MATCH($A1521,CLASSNAMEHEADERS,0))),(INDEX(ALLCLASSDATA,MATCH("MartialExpert",CLASSFEATUREHEADERS,0),MATCH(($A1521 &amp; "Points"),CLASSNAMEHEADERS,0))),(IF("00"=(INDEX(ALLCLASSDATA,MATCH("MartialTrained",CLASSFEATUREHEADERS,0),MATCH($A1521,CLASSNAMEHEADERS,0))),(INDEX(ALLCLASSDATA,MATCH("MartialTrained",CLASSFEATUREHEADERS,0),MATCH(($A1521 &amp; "Points"),CLASSNAMEHEADERS,0))),"")))))))))}</f>
        <v>MARTIALINITIALPTS</v>
      </c>
      <c r="H1520" s="223" t="str">
        <f t="array" ref="H1520:H1521">{"MARTIALL01";((IF("01"=(INDEX(ALLCLASSDATA,MATCH("MartialLegendary",CLASSFEATUREHEADERS,0),MATCH($A1521,CLASSNAMEHEADERS,0))),(INDEX(ALLCLASSDATA,MATCH("MartialLegendary",CLASSFEATUREHEADERS,0),MATCH(($A1521 &amp; "Points"),CLASSNAMEHEADERS,0))),(IF("01"=(INDEX(ALLCLASSDATA,MATCH("MartialMaster",CLASSFEATUREHEADERS,0),MATCH($A1521,CLASSNAMEHEADERS,0))),(INDEX(ALLCLASSDATA,MATCH("MartialMaster",CLASSFEATUREHEADERS,0),MATCH(($A1521 &amp; "Points"),CLASSNAMEHEADERS,0))),(IF("01"=(INDEX(ALLCLASSDATA,MATCH("MartialExpert",CLASSFEATUREHEADERS,0),MATCH($A1521,CLASSNAMEHEADERS,0))),(INDEX(ALLCLASSDATA,MATCH("MartialExpert",CLASSFEATUREHEADERS,0),MATCH(($A1521 &amp; "Points"),CLASSNAMEHEADERS,0))),(IF("01"=(INDEX(ALLCLASSDATA,MATCH("MartialTrained",CLASSFEATUREHEADERS,0),MATCH($A1521,CLASSNAMEHEADERS,0))),(INDEX(ALLCLASSDATA,MATCH("MartialTrained",CLASSFEATUREHEADERS,0),MATCH(($A1521 &amp; "Points"),CLASSNAMEHEADERS,0))),"")))))))))}</f>
        <v>MARTIALL01</v>
      </c>
      <c r="I1520" s="223"/>
      <c r="J1520" s="223" t="str">
        <f t="array" ref="J1520:J1521">{"MARTIALL03";((IF("03"=(INDEX(ALLCLASSDATA,MATCH("MartialLegendary",CLASSFEATUREHEADERS,0),MATCH($A1521,CLASSNAMEHEADERS,0))),(INDEX(ALLCLASSDATA,MATCH("MartialLegendary",CLASSFEATUREHEADERS,0),MATCH(($A1521 &amp; "Points"),CLASSNAMEHEADERS,0))),(IF("03"=(INDEX(ALLCLASSDATA,MATCH("MartialMaster",CLASSFEATUREHEADERS,0),MATCH($A1521,CLASSNAMEHEADERS,0))),(INDEX(ALLCLASSDATA,MATCH("MartialMaster",CLASSFEATUREHEADERS,0),MATCH(($A1521 &amp; "Points"),CLASSNAMEHEADERS,0))),(IF("03"=(INDEX(ALLCLASSDATA,MATCH("MartialExpert",CLASSFEATUREHEADERS,0),MATCH($A1521,CLASSNAMEHEADERS,0))),(INDEX(ALLCLASSDATA,MATCH("MartialExpert",CLASSFEATUREHEADERS,0),MATCH(($A1521 &amp; "Points"),CLASSNAMEHEADERS,0))),(IF("03"=(INDEX(ALLCLASSDATA,MATCH("MartialTrained",CLASSFEATUREHEADERS,0),MATCH($A1521,CLASSNAMEHEADERS,0))),(INDEX(ALLCLASSDATA,MATCH("MartialTrained",CLASSFEATUREHEADERS,0),MATCH(($A1521 &amp; "Points"),CLASSNAMEHEADERS,0))),"")))))))))}</f>
        <v>MARTIALL03</v>
      </c>
      <c r="K1520" s="223"/>
      <c r="L1520" s="223" t="str">
        <f t="array" ref="L1520:L1521">{"MARTIALL05";((IF("05"=(INDEX(ALLCLASSDATA,MATCH("MartialLegendary",CLASSFEATUREHEADERS,0),MATCH($A1521,CLASSNAMEHEADERS,0))),(INDEX(ALLCLASSDATA,MATCH("MartialLegendary",CLASSFEATUREHEADERS,0),MATCH(($A1521 &amp; "Points"),CLASSNAMEHEADERS,0))),(IF("05"=(INDEX(ALLCLASSDATA,MATCH("MartialMaster",CLASSFEATUREHEADERS,0),MATCH($A1521,CLASSNAMEHEADERS,0))),(INDEX(ALLCLASSDATA,MATCH("MartialMaster",CLASSFEATUREHEADERS,0),MATCH(($A1521 &amp; "Points"),CLASSNAMEHEADERS,0))),(IF("05"=(INDEX(ALLCLASSDATA,MATCH("MartialExpert",CLASSFEATUREHEADERS,0),MATCH($A1521,CLASSNAMEHEADERS,0))),(INDEX(ALLCLASSDATA,MATCH("MartialExpert",CLASSFEATUREHEADERS,0),MATCH(($A1521 &amp; "Points"),CLASSNAMEHEADERS,0))),(IF("05"=(INDEX(ALLCLASSDATA,MATCH("MartialTrained",CLASSFEATUREHEADERS,0),MATCH($A1521,CLASSNAMEHEADERS,0))),(INDEX(ALLCLASSDATA,MATCH("MartialTrained",CLASSFEATUREHEADERS,0),MATCH(($A1521 &amp; "Points"),CLASSNAMEHEADERS,0))),"")))))))))}</f>
        <v>MARTIALL05</v>
      </c>
      <c r="M1520" s="223"/>
      <c r="N1520" s="223" t="str">
        <f t="array" ref="N1520:N1521">{"MARTIALL07";((IF("07"=(INDEX(ALLCLASSDATA,MATCH("MartialLegendary",CLASSFEATUREHEADERS,0),MATCH($A1521,CLASSNAMEHEADERS,0))),(INDEX(ALLCLASSDATA,MATCH("MartialLegendary",CLASSFEATUREHEADERS,0),MATCH(($A1521 &amp; "Points"),CLASSNAMEHEADERS,0))),(IF("07"=(INDEX(ALLCLASSDATA,MATCH("MartialMaster",CLASSFEATUREHEADERS,0),MATCH($A1521,CLASSNAMEHEADERS,0))),(INDEX(ALLCLASSDATA,MATCH("MartialMaster",CLASSFEATUREHEADERS,0),MATCH(($A1521 &amp; "Points"),CLASSNAMEHEADERS,0))),(IF("07"=(INDEX(ALLCLASSDATA,MATCH("MartialExpert",CLASSFEATUREHEADERS,0),MATCH($A1521,CLASSNAMEHEADERS,0))),(INDEX(ALLCLASSDATA,MATCH("MartialExpert",CLASSFEATUREHEADERS,0),MATCH(($A1521 &amp; "Points"),CLASSNAMEHEADERS,0))),(IF("07"=(INDEX(ALLCLASSDATA,MATCH("MartialTrained",CLASSFEATUREHEADERS,0),MATCH($A1521,CLASSNAMEHEADERS,0))),(INDEX(ALLCLASSDATA,MATCH("MartialTrained",CLASSFEATUREHEADERS,0),MATCH(($A1521 &amp; "Points"),CLASSNAMEHEADERS,0))),"")))))))))}</f>
        <v>MARTIALL07</v>
      </c>
      <c r="O1520" s="223"/>
      <c r="P1520" s="223" t="str">
        <f t="array" ref="P1520:P1521">{"MARTIALL09";((IF("09"=(INDEX(ALLCLASSDATA,MATCH("MartialLegendary",CLASSFEATUREHEADERS,0),MATCH($A1521,CLASSNAMEHEADERS,0))),(INDEX(ALLCLASSDATA,MATCH("MartialLegendary",CLASSFEATUREHEADERS,0),MATCH(($A1521 &amp; "Points"),CLASSNAMEHEADERS,0))),(IF("09"=(INDEX(ALLCLASSDATA,MATCH("MartialMaster",CLASSFEATUREHEADERS,0),MATCH($A1521,CLASSNAMEHEADERS,0))),(INDEX(ALLCLASSDATA,MATCH("MartialMaster",CLASSFEATUREHEADERS,0),MATCH(($A1521 &amp; "Points"),CLASSNAMEHEADERS,0))),(IF("09"=(INDEX(ALLCLASSDATA,MATCH("MartialExpert",CLASSFEATUREHEADERS,0),MATCH($A1521,CLASSNAMEHEADERS,0))),(INDEX(ALLCLASSDATA,MATCH("MartialExpert",CLASSFEATUREHEADERS,0),MATCH(($A1521 &amp; "Points"),CLASSNAMEHEADERS,0))),(IF("09"=(INDEX(ALLCLASSDATA,MATCH("MartialTrained",CLASSFEATUREHEADERS,0),MATCH($A1521,CLASSNAMEHEADERS,0))),(INDEX(ALLCLASSDATA,MATCH("MartialTrained",CLASSFEATUREHEADERS,0),MATCH(($A1521 &amp; "Points"),CLASSNAMEHEADERS,0))),"")))))))))}</f>
        <v>MARTIALL09</v>
      </c>
      <c r="Q1520" s="223"/>
      <c r="R1520" s="223" t="str">
        <f t="array" ref="R1520:R1521">{"MARTIALL11";((IF("11"=(INDEX(ALLCLASSDATA,MATCH("MartialLegendary",CLASSFEATUREHEADERS,0),MATCH($A1521,CLASSNAMEHEADERS,0))),(INDEX(ALLCLASSDATA,MATCH("MartialLegendary",CLASSFEATUREHEADERS,0),MATCH(($A1521 &amp; "Points"),CLASSNAMEHEADERS,0))),(IF("11"=(INDEX(ALLCLASSDATA,MATCH("MartialMaster",CLASSFEATUREHEADERS,0),MATCH($A1521,CLASSNAMEHEADERS,0))),(INDEX(ALLCLASSDATA,MATCH("MartialMaster",CLASSFEATUREHEADERS,0),MATCH(($A1521 &amp; "Points"),CLASSNAMEHEADERS,0))),(IF("11"=(INDEX(ALLCLASSDATA,MATCH("MartialExpert",CLASSFEATUREHEADERS,0),MATCH($A1521,CLASSNAMEHEADERS,0))),(INDEX(ALLCLASSDATA,MATCH("MartialExpert",CLASSFEATUREHEADERS,0),MATCH(($A1521 &amp; "Points"),CLASSNAMEHEADERS,0))),(IF("11"=(INDEX(ALLCLASSDATA,MATCH("MartialTrained",CLASSFEATUREHEADERS,0),MATCH($A1521,CLASSNAMEHEADERS,0))),(INDEX(ALLCLASSDATA,MATCH("MartialTrained",CLASSFEATUREHEADERS,0),MATCH(($A1521 &amp; "Points"),CLASSNAMEHEADERS,0))),"")))))))))}</f>
        <v>MARTIALL11</v>
      </c>
      <c r="S1520" s="223"/>
      <c r="T1520" s="223" t="str">
        <f t="array" ref="T1520:T1521">{"MARTIALL13";((IF("13"=(INDEX(ALLCLASSDATA,MATCH("MartialLegendary",CLASSFEATUREHEADERS,0),MATCH($A1521,CLASSNAMEHEADERS,0))),(INDEX(ALLCLASSDATA,MATCH("MartialLegendary",CLASSFEATUREHEADERS,0),MATCH(($A1521 &amp; "Points"),CLASSNAMEHEADERS,0))),(IF("13"=(INDEX(ALLCLASSDATA,MATCH("MartialMaster",CLASSFEATUREHEADERS,0),MATCH($A1521,CLASSNAMEHEADERS,0))),(INDEX(ALLCLASSDATA,MATCH("MartialMaster",CLASSFEATUREHEADERS,0),MATCH(($A1521 &amp; "Points"),CLASSNAMEHEADERS,0))),(IF("13"=(INDEX(ALLCLASSDATA,MATCH("MartialExpert",CLASSFEATUREHEADERS,0),MATCH($A1521,CLASSNAMEHEADERS,0))),(INDEX(ALLCLASSDATA,MATCH("MartialExpert",CLASSFEATUREHEADERS,0),MATCH(($A1521 &amp; "Points"),CLASSNAMEHEADERS,0))),(IF("13"=(INDEX(ALLCLASSDATA,MATCH("MartialTrained",CLASSFEATUREHEADERS,0),MATCH($A1521,CLASSNAMEHEADERS,0))),(INDEX(ALLCLASSDATA,MATCH("MartialTrained",CLASSFEATUREHEADERS,0),MATCH(($A1521 &amp; "Points"),CLASSNAMEHEADERS,0))),"")))))))))}</f>
        <v>MARTIALL13</v>
      </c>
      <c r="U1520" s="223"/>
      <c r="V1520" s="223" t="str">
        <f t="array" ref="V1520:V1521">{"MARTIALL15";((IF("15"=(INDEX(ALLCLASSDATA,MATCH("MartialLegendary",CLASSFEATUREHEADERS,0),MATCH($A1521,CLASSNAMEHEADERS,0))),(INDEX(ALLCLASSDATA,MATCH("MartialLegendary",CLASSFEATUREHEADERS,0),MATCH(($A1521 &amp; "Points"),CLASSNAMEHEADERS,0))),(IF("15"=(INDEX(ALLCLASSDATA,MATCH("MartialMaster",CLASSFEATUREHEADERS,0),MATCH($A1521,CLASSNAMEHEADERS,0))),(INDEX(ALLCLASSDATA,MATCH("MartialMaster",CLASSFEATUREHEADERS,0),MATCH(($A1521 &amp; "Points"),CLASSNAMEHEADERS,0))),(IF("15"=(INDEX(ALLCLASSDATA,MATCH("MartialExpert",CLASSFEATUREHEADERS,0),MATCH($A1521,CLASSNAMEHEADERS,0))),(INDEX(ALLCLASSDATA,MATCH("MartialExpert",CLASSFEATUREHEADERS,0),MATCH(($A1521 &amp; "Points"),CLASSNAMEHEADERS,0))),(IF("15"=(INDEX(ALLCLASSDATA,MATCH("MartialTrained",CLASSFEATUREHEADERS,0),MATCH($A1521,CLASSNAMEHEADERS,0))),(INDEX(ALLCLASSDATA,MATCH("MartialTrained",CLASSFEATUREHEADERS,0),MATCH(($A1521 &amp; "Points"),CLASSNAMEHEADERS,0))),"")))))))))}</f>
        <v>MARTIALL15</v>
      </c>
      <c r="W1520" s="223"/>
      <c r="X1520" s="223" t="str">
        <f t="array" ref="X1520:X1521">{"MARTIALL17";((IF("17"=(INDEX(ALLCLASSDATA,MATCH("MartialLegendary",CLASSFEATUREHEADERS,0),MATCH($A1521,CLASSNAMEHEADERS,0))),(INDEX(ALLCLASSDATA,MATCH("MartialLegendary",CLASSFEATUREHEADERS,0),MATCH(($A1521 &amp; "Points"),CLASSNAMEHEADERS,0))),(IF("17"=(INDEX(ALLCLASSDATA,MATCH("MartialMaster",CLASSFEATUREHEADERS,0),MATCH($A1521,CLASSNAMEHEADERS,0))),(INDEX(ALLCLASSDATA,MATCH("MartialMaster",CLASSFEATUREHEADERS,0),MATCH(($A1521 &amp; "Points"),CLASSNAMEHEADERS,0))),(IF("17"=(INDEX(ALLCLASSDATA,MATCH("MartialExpert",CLASSFEATUREHEADERS,0),MATCH($A1521,CLASSNAMEHEADERS,0))),(INDEX(ALLCLASSDATA,MATCH("MartialExpert",CLASSFEATUREHEADERS,0),MATCH(($A1521 &amp; "Points"),CLASSNAMEHEADERS,0))),(IF("17"=(INDEX(ALLCLASSDATA,MATCH("MartialTrained",CLASSFEATUREHEADERS,0),MATCH($A1521,CLASSNAMEHEADERS,0))),(INDEX(ALLCLASSDATA,MATCH("MartialTrained",CLASSFEATUREHEADERS,0),MATCH(($A1521 &amp; "Points"),CLASSNAMEHEADERS,0))),"")))))))))}</f>
        <v>MARTIALL17</v>
      </c>
      <c r="Y1520" s="223"/>
      <c r="Z1520" s="223" t="str">
        <f t="array" ref="Z1520:Z1521">{"MARTIALL19";((IF("19"=(INDEX(ALLCLASSDATA,MATCH("MartialLegendary",CLASSFEATUREHEADERS,0),MATCH($A1521,CLASSNAMEHEADERS,0))),(INDEX(ALLCLASSDATA,MATCH("MartialLegendary",CLASSFEATUREHEADERS,0),MATCH(($A1521 &amp; "Points"),CLASSNAMEHEADERS,0))),(IF("19"=(INDEX(ALLCLASSDATA,MATCH("MartialMaster",CLASSFEATUREHEADERS,0),MATCH($A1521,CLASSNAMEHEADERS,0))),(INDEX(ALLCLASSDATA,MATCH("MartialMaster",CLASSFEATUREHEADERS,0),MATCH(($A1521 &amp; "Points"),CLASSNAMEHEADERS,0))),(IF("19"=(INDEX(ALLCLASSDATA,MATCH("MartialExpert",CLASSFEATUREHEADERS,0),MATCH($A1521,CLASSNAMEHEADERS,0))),(INDEX(ALLCLASSDATA,MATCH("MartialExpert",CLASSFEATUREHEADERS,0),MATCH(($A1521 &amp; "Points"),CLASSNAMEHEADERS,0))),(IF("19"=(INDEX(ALLCLASSDATA,MATCH("MartialTrained",CLASSFEATUREHEADERS,0),MATCH($A1521,CLASSNAMEHEADERS,0))),(INDEX(ALLCLASSDATA,MATCH("MartialTrained",CLASSFEATUREHEADERS,0),MATCH(($A1521 &amp; "Points"),CLASSNAMEHEADERS,0))),"")))))))))}</f>
        <v>MARTIALL19</v>
      </c>
      <c r="AA1520" s="223"/>
      <c r="AB1520" s="76" t="str">
        <f t="array" ref="AB1520:AB1521">{"MARTIAL TOTAL";(IF(COUNTBLANK(G1521:AA1521)=17,"L",(IF(COUNTBLANK(G1521:AA1521)=18,"M",(IF(COUNTBLANK(G1521:AA1521)=19,"E",(IF(COUNTBLANK(G1521:AA1521)=20,"T",""))))))))}</f>
        <v>MARTIAL TOTAL</v>
      </c>
      <c r="AC1520" s="76" t="str">
        <f t="array" ref="AC1520:AC1521">{"MARTIAL TOTAL";(sum(G1521:AA1521))}</f>
        <v>MARTIAL TOTAL</v>
      </c>
    </row>
    <row r="1521">
      <c r="A1521" s="48" t="s">
        <v>221</v>
      </c>
      <c r="B1521" s="48"/>
      <c r="C1521" s="48" t="s">
        <v>418</v>
      </c>
      <c r="D1521" s="48" t="s">
        <v>1634</v>
      </c>
      <c r="E1521" s="48" t="s">
        <v>6</v>
      </c>
      <c r="F1521" s="5" t="s">
        <v>603</v>
      </c>
      <c r="G1521" s="47" t="s">
        <v>603</v>
      </c>
      <c r="H1521" s="5" t="s">
        <v>603</v>
      </c>
      <c r="I1521" s="5"/>
      <c r="J1521" s="5" t="s">
        <v>603</v>
      </c>
      <c r="K1521" s="5"/>
      <c r="L1521" s="5" t="s">
        <v>603</v>
      </c>
      <c r="M1521" s="5"/>
      <c r="N1521" s="5" t="s">
        <v>603</v>
      </c>
      <c r="O1521" s="5"/>
      <c r="P1521" s="5" t="s">
        <v>603</v>
      </c>
      <c r="Q1521" s="48"/>
      <c r="R1521" s="5" t="s">
        <v>603</v>
      </c>
      <c r="S1521" s="5"/>
      <c r="T1521" s="5" t="s">
        <v>603</v>
      </c>
      <c r="U1521" s="5"/>
      <c r="V1521" s="5" t="s">
        <v>603</v>
      </c>
      <c r="W1521" s="5"/>
      <c r="X1521" s="5" t="s">
        <v>603</v>
      </c>
      <c r="Y1521" s="5"/>
      <c r="Z1521" s="5" t="s">
        <v>603</v>
      </c>
      <c r="AA1521" s="5"/>
      <c r="AB1521" s="5" t="s">
        <v>603</v>
      </c>
      <c r="AC1521" s="47">
        <v>0.0</v>
      </c>
    </row>
    <row r="1522" hidden="1">
      <c r="A1522" s="222" t="str">
        <f t="array" ref="A1522:A1523">{"FormulaRow32";(INDEX(CLASSLIST,A1459,1))}</f>
        <v>FormulaRow32</v>
      </c>
      <c r="B1522" s="77" t="s">
        <v>236</v>
      </c>
      <c r="C1522" s="222" t="str">
        <f t="array" ref="C1522:C1523">{"CLASSTYPE";((INDEX(ALLCLASSDATA,MATCH("ClassType",CLASSFEATUREHEADERS,0),MATCH($A1523,CLASSNAMEHEADERS,0))))}</f>
        <v>CLASSTYPE</v>
      </c>
      <c r="D1522" s="222" t="str">
        <f t="array" ref="D1522:D1523">{"ATTACK";"Attack"}</f>
        <v>ATTACK</v>
      </c>
      <c r="E1522" s="222" t="str">
        <f t="array" ref="E1522:E1523">{"ADVANCEDGROUP";"AdvancedGroup"}</f>
        <v>ADVANCEDGROUP</v>
      </c>
      <c r="F1522" s="223" t="str">
        <f t="array" ref="F1522:F1523">{"ADVANCEDGROUPINITIAL";((IF(H1523=10,"T",(IF(H1523=50,"E","")))))}</f>
        <v>ADVANCEDGROUPINITIAL</v>
      </c>
      <c r="G1522" s="223" t="str">
        <f t="array" ref="G1522:G1523">{"ADVANCEDGROUPINITIALPTS";((IF("00"=(INDEX(ALLCLASSDATA,MATCH("AdvancedGroupLegendary",CLASSFEATUREHEADERS,0),MATCH($A1523,CLASSNAMEHEADERS,0))),(INDEX(ALLCLASSDATA,MATCH("AdvancedGroupLegendary",CLASSFEATUREHEADERS,0),MATCH(($A1523 &amp; "Points"),CLASSNAMEHEADERS,0))),(IF("00"=(INDEX(ALLCLASSDATA,MATCH("AdvancedGroupMaster",CLASSFEATUREHEADERS,0),MATCH($A1523,CLASSNAMEHEADERS,0))),(INDEX(ALLCLASSDATA,MATCH("AdvancedGroupMaster",CLASSFEATUREHEADERS,0),MATCH(($A1523 &amp; "Points"),CLASSNAMEHEADERS,0))),(IF("00"=(INDEX(ALLCLASSDATA,MATCH("AdvancedGroupExpert",CLASSFEATUREHEADERS,0),MATCH($A1523,CLASSNAMEHEADERS,0))),(INDEX(ALLCLASSDATA,MATCH("AdvancedGroupExpert",CLASSFEATUREHEADERS,0),MATCH(($A1523 &amp; "Points"),CLASSNAMEHEADERS,0))),(IF("00"=(INDEX(ALLCLASSDATA,MATCH("AdvancedGroupTrained",CLASSFEATUREHEADERS,0),MATCH($A1523,CLASSNAMEHEADERS,0))),(INDEX(ALLCLASSDATA,MATCH("AdvancedGroupTrained",CLASSFEATUREHEADERS,0),MATCH(($A1523 &amp; "Points"),CLASSNAMEHEADERS,0))),"")))))))))}</f>
        <v>ADVANCEDGROUPINITIALPTS</v>
      </c>
      <c r="H1522" s="223" t="str">
        <f t="array" ref="H1522:H1523">{"ADVANCEDGROUPL01";((IF("01"=(INDEX(ALLCLASSDATA,MATCH("AdvancedGroupLegendary",CLASSFEATUREHEADERS,0),MATCH($A1523,CLASSNAMEHEADERS,0))),(INDEX(ALLCLASSDATA,MATCH("AdvancedGroupLegendary",CLASSFEATUREHEADERS,0),MATCH(($A1523 &amp; "Points"),CLASSNAMEHEADERS,0))),(IF("01"=(INDEX(ALLCLASSDATA,MATCH("AdvancedGroupMaster",CLASSFEATUREHEADERS,0),MATCH($A1523,CLASSNAMEHEADERS,0))),(INDEX(ALLCLASSDATA,MATCH("AdvancedGroupMaster",CLASSFEATUREHEADERS,0),MATCH(($A1523 &amp; "Points"),CLASSNAMEHEADERS,0))),(IF("01"=(INDEX(ALLCLASSDATA,MATCH("AdvancedGroupExpert",CLASSFEATUREHEADERS,0),MATCH($A1523,CLASSNAMEHEADERS,0))),(INDEX(ALLCLASSDATA,MATCH("AdvancedGroupExpert",CLASSFEATUREHEADERS,0),MATCH(($A1523 &amp; "Points"),CLASSNAMEHEADERS,0))),(IF("01"=(INDEX(ALLCLASSDATA,MATCH("AdvancedGroupTrained",CLASSFEATUREHEADERS,0),MATCH($A1523,CLASSNAMEHEADERS,0))),(INDEX(ALLCLASSDATA,MATCH("AdvancedGroupTrained",CLASSFEATUREHEADERS,0),MATCH(($A1523 &amp; "Points"),CLASSNAMEHEADERS,0))),"")))))))))}</f>
        <v>ADVANCEDGROUPL01</v>
      </c>
      <c r="I1522" s="223"/>
      <c r="J1522" s="223" t="str">
        <f t="array" ref="J1522:J1523">{"ADVANCEDGROUPL03";((IF("03"=(INDEX(ALLCLASSDATA,MATCH("AdvancedGroupLegendary",CLASSFEATUREHEADERS,0),MATCH($A1523,CLASSNAMEHEADERS,0))),(INDEX(ALLCLASSDATA,MATCH("AdvancedGroupLegendary",CLASSFEATUREHEADERS,0),MATCH(($A1523 &amp; "Points"),CLASSNAMEHEADERS,0))),(IF("03"=(INDEX(ALLCLASSDATA,MATCH("AdvancedGroupMaster",CLASSFEATUREHEADERS,0),MATCH($A1523,CLASSNAMEHEADERS,0))),(INDEX(ALLCLASSDATA,MATCH("AdvancedGroupMaster",CLASSFEATUREHEADERS,0),MATCH(($A1523 &amp; "Points"),CLASSNAMEHEADERS,0))),(IF("03"=(INDEX(ALLCLASSDATA,MATCH("AdvancedGroupExpert",CLASSFEATUREHEADERS,0),MATCH($A1523,CLASSNAMEHEADERS,0))),(INDEX(ALLCLASSDATA,MATCH("AdvancedGroupExpert",CLASSFEATUREHEADERS,0),MATCH(($A1523 &amp; "Points"),CLASSNAMEHEADERS,0))),(IF("03"=(INDEX(ALLCLASSDATA,MATCH("AdvancedGroupTrained",CLASSFEATUREHEADERS,0),MATCH($A1523,CLASSNAMEHEADERS,0))),(INDEX(ALLCLASSDATA,MATCH("AdvancedGroupTrained",CLASSFEATUREHEADERS,0),MATCH(($A1523 &amp; "Points"),CLASSNAMEHEADERS,0))),"")))))))))}</f>
        <v>ADVANCEDGROUPL03</v>
      </c>
      <c r="K1522" s="223"/>
      <c r="L1522" s="223" t="str">
        <f t="array" ref="L1522:L1523">{"ADVANCEDGROUPL05";((IF("05"=(INDEX(ALLCLASSDATA,MATCH("AdvancedGroupLegendary",CLASSFEATUREHEADERS,0),MATCH($A1523,CLASSNAMEHEADERS,0))),(INDEX(ALLCLASSDATA,MATCH("AdvancedGroupLegendary",CLASSFEATUREHEADERS,0),MATCH(($A1523 &amp; "Points"),CLASSNAMEHEADERS,0))),(IF("05"=(INDEX(ALLCLASSDATA,MATCH("AdvancedGroupMaster",CLASSFEATUREHEADERS,0),MATCH($A1523,CLASSNAMEHEADERS,0))),(INDEX(ALLCLASSDATA,MATCH("AdvancedGroupMaster",CLASSFEATUREHEADERS,0),MATCH(($A1523 &amp; "Points"),CLASSNAMEHEADERS,0))),(IF("05"=(INDEX(ALLCLASSDATA,MATCH("AdvancedGroupExpert",CLASSFEATUREHEADERS,0),MATCH($A1523,CLASSNAMEHEADERS,0))),(INDEX(ALLCLASSDATA,MATCH("AdvancedGroupExpert",CLASSFEATUREHEADERS,0),MATCH(($A1523 &amp; "Points"),CLASSNAMEHEADERS,0))),(IF("05"=(INDEX(ALLCLASSDATA,MATCH("AdvancedGroupTrained",CLASSFEATUREHEADERS,0),MATCH($A1523,CLASSNAMEHEADERS,0))),(INDEX(ALLCLASSDATA,MATCH("AdvancedGroupTrained",CLASSFEATUREHEADERS,0),MATCH(($A1523 &amp; "Points"),CLASSNAMEHEADERS,0))),"")))))))))}</f>
        <v>ADVANCEDGROUPL05</v>
      </c>
      <c r="M1522" s="223"/>
      <c r="N1522" s="223" t="str">
        <f t="array" ref="N1522:N1523">{"ADVANCEDGROUPL07";((IF("07"=(INDEX(ALLCLASSDATA,MATCH("AdvancedGroupLegendary",CLASSFEATUREHEADERS,0),MATCH($A1523,CLASSNAMEHEADERS,0))),(INDEX(ALLCLASSDATA,MATCH("AdvancedGroupLegendary",CLASSFEATUREHEADERS,0),MATCH(($A1523 &amp; "Points"),CLASSNAMEHEADERS,0))),(IF("07"=(INDEX(ALLCLASSDATA,MATCH("AdvancedGroupMaster",CLASSFEATUREHEADERS,0),MATCH($A1523,CLASSNAMEHEADERS,0))),(INDEX(ALLCLASSDATA,MATCH("AdvancedGroupMaster",CLASSFEATUREHEADERS,0),MATCH(($A1523 &amp; "Points"),CLASSNAMEHEADERS,0))),(IF("07"=(INDEX(ALLCLASSDATA,MATCH("AdvancedGroupExpert",CLASSFEATUREHEADERS,0),MATCH($A1523,CLASSNAMEHEADERS,0))),(INDEX(ALLCLASSDATA,MATCH("AdvancedGroupExpert",CLASSFEATUREHEADERS,0),MATCH(($A1523 &amp; "Points"),CLASSNAMEHEADERS,0))),(IF("07"=(INDEX(ALLCLASSDATA,MATCH("AdvancedGroupTrained",CLASSFEATUREHEADERS,0),MATCH($A1523,CLASSNAMEHEADERS,0))),(INDEX(ALLCLASSDATA,MATCH("AdvancedGroupTrained",CLASSFEATUREHEADERS,0),MATCH(($A1523 &amp; "Points"),CLASSNAMEHEADERS,0))),"")))))))))}</f>
        <v>ADVANCEDGROUPL07</v>
      </c>
      <c r="O1522" s="223"/>
      <c r="P1522" s="223" t="str">
        <f t="array" ref="P1522:P1523">{"ADVANCEDGROUPL09";((IF("09"=(INDEX(ALLCLASSDATA,MATCH("AdvancedGroupLegendary",CLASSFEATUREHEADERS,0),MATCH($A1523,CLASSNAMEHEADERS,0))),(INDEX(ALLCLASSDATA,MATCH("AdvancedGroupLegendary",CLASSFEATUREHEADERS,0),MATCH(($A1523 &amp; "Points"),CLASSNAMEHEADERS,0))),(IF("09"=(INDEX(ALLCLASSDATA,MATCH("AdvancedGroupMaster",CLASSFEATUREHEADERS,0),MATCH($A1523,CLASSNAMEHEADERS,0))),(INDEX(ALLCLASSDATA,MATCH("AdvancedGroupMaster",CLASSFEATUREHEADERS,0),MATCH(($A1523 &amp; "Points"),CLASSNAMEHEADERS,0))),(IF("09"=(INDEX(ALLCLASSDATA,MATCH("AdvancedGroupExpert",CLASSFEATUREHEADERS,0),MATCH($A1523,CLASSNAMEHEADERS,0))),(INDEX(ALLCLASSDATA,MATCH("AdvancedGroupExpert",CLASSFEATUREHEADERS,0),MATCH(($A1523 &amp; "Points"),CLASSNAMEHEADERS,0))),(IF("09"=(INDEX(ALLCLASSDATA,MATCH("AdvancedGroupTrained",CLASSFEATUREHEADERS,0),MATCH($A1523,CLASSNAMEHEADERS,0))),(INDEX(ALLCLASSDATA,MATCH("AdvancedGroupTrained",CLASSFEATUREHEADERS,0),MATCH(($A1523 &amp; "Points"),CLASSNAMEHEADERS,0))),"")))))))))}</f>
        <v>ADVANCEDGROUPL09</v>
      </c>
      <c r="Q1522" s="223"/>
      <c r="R1522" s="223" t="str">
        <f t="array" ref="R1522:R1523">{"ADVANCEDGROUPL11";((IF("11"=(INDEX(ALLCLASSDATA,MATCH("AdvancedGroupLegendary",CLASSFEATUREHEADERS,0),MATCH($A1523,CLASSNAMEHEADERS,0))),(INDEX(ALLCLASSDATA,MATCH("AdvancedGroupLegendary",CLASSFEATUREHEADERS,0),MATCH(($A1523 &amp; "Points"),CLASSNAMEHEADERS,0))),(IF("11"=(INDEX(ALLCLASSDATA,MATCH("AdvancedGroupMaster",CLASSFEATUREHEADERS,0),MATCH($A1523,CLASSNAMEHEADERS,0))),(INDEX(ALLCLASSDATA,MATCH("AdvancedGroupMaster",CLASSFEATUREHEADERS,0),MATCH(($A1523 &amp; "Points"),CLASSNAMEHEADERS,0))),(IF("11"=(INDEX(ALLCLASSDATA,MATCH("AdvancedGroupExpert",CLASSFEATUREHEADERS,0),MATCH($A1523,CLASSNAMEHEADERS,0))),(INDEX(ALLCLASSDATA,MATCH("AdvancedGroupExpert",CLASSFEATUREHEADERS,0),MATCH(($A1523 &amp; "Points"),CLASSNAMEHEADERS,0))),(IF("11"=(INDEX(ALLCLASSDATA,MATCH("AdvancedGroupTrained",CLASSFEATUREHEADERS,0),MATCH($A1523,CLASSNAMEHEADERS,0))),(INDEX(ALLCLASSDATA,MATCH("AdvancedGroupTrained",CLASSFEATUREHEADERS,0),MATCH(($A1523 &amp; "Points"),CLASSNAMEHEADERS,0))),"")))))))))}</f>
        <v>ADVANCEDGROUPL11</v>
      </c>
      <c r="S1522" s="223"/>
      <c r="T1522" s="223" t="str">
        <f t="array" ref="T1522:T1523">{"ADVANCEDGROUPL13";((IF("13"=(INDEX(ALLCLASSDATA,MATCH("AdvancedGroupLegendary",CLASSFEATUREHEADERS,0),MATCH($A1523,CLASSNAMEHEADERS,0))),(INDEX(ALLCLASSDATA,MATCH("AdvancedGroupLegendary",CLASSFEATUREHEADERS,0),MATCH(($A1523 &amp; "Points"),CLASSNAMEHEADERS,0))),(IF("13"=(INDEX(ALLCLASSDATA,MATCH("AdvancedGroupMaster",CLASSFEATUREHEADERS,0),MATCH($A1523,CLASSNAMEHEADERS,0))),(INDEX(ALLCLASSDATA,MATCH("AdvancedGroupMaster",CLASSFEATUREHEADERS,0),MATCH(($A1523 &amp; "Points"),CLASSNAMEHEADERS,0))),(IF("13"=(INDEX(ALLCLASSDATA,MATCH("AdvancedGroupExpert",CLASSFEATUREHEADERS,0),MATCH($A1523,CLASSNAMEHEADERS,0))),(INDEX(ALLCLASSDATA,MATCH("AdvancedGroupExpert",CLASSFEATUREHEADERS,0),MATCH(($A1523 &amp; "Points"),CLASSNAMEHEADERS,0))),(IF("13"=(INDEX(ALLCLASSDATA,MATCH("AdvancedGroupTrained",CLASSFEATUREHEADERS,0),MATCH($A1523,CLASSNAMEHEADERS,0))),(INDEX(ALLCLASSDATA,MATCH("AdvancedGroupTrained",CLASSFEATUREHEADERS,0),MATCH(($A1523 &amp; "Points"),CLASSNAMEHEADERS,0))),"")))))))))}</f>
        <v>ADVANCEDGROUPL13</v>
      </c>
      <c r="U1522" s="223"/>
      <c r="V1522" s="223" t="str">
        <f t="array" ref="V1522:V1523">{"ADVANCEDGROUPL15";((IF("15"=(INDEX(ALLCLASSDATA,MATCH("AdvancedGroupLegendary",CLASSFEATUREHEADERS,0),MATCH($A1523,CLASSNAMEHEADERS,0))),(INDEX(ALLCLASSDATA,MATCH("AdvancedGroupLegendary",CLASSFEATUREHEADERS,0),MATCH(($A1523 &amp; "Points"),CLASSNAMEHEADERS,0))),(IF("15"=(INDEX(ALLCLASSDATA,MATCH("AdvancedGroupMaster",CLASSFEATUREHEADERS,0),MATCH($A1523,CLASSNAMEHEADERS,0))),(INDEX(ALLCLASSDATA,MATCH("AdvancedGroupMaster",CLASSFEATUREHEADERS,0),MATCH(($A1523 &amp; "Points"),CLASSNAMEHEADERS,0))),(IF("15"=(INDEX(ALLCLASSDATA,MATCH("AdvancedGroupExpert",CLASSFEATUREHEADERS,0),MATCH($A1523,CLASSNAMEHEADERS,0))),(INDEX(ALLCLASSDATA,MATCH("AdvancedGroupExpert",CLASSFEATUREHEADERS,0),MATCH(($A1523 &amp; "Points"),CLASSNAMEHEADERS,0))),(IF("15"=(INDEX(ALLCLASSDATA,MATCH("AdvancedGroupTrained",CLASSFEATUREHEADERS,0),MATCH($A1523,CLASSNAMEHEADERS,0))),(INDEX(ALLCLASSDATA,MATCH("AdvancedGroupTrained",CLASSFEATUREHEADERS,0),MATCH(($A1523 &amp; "Points"),CLASSNAMEHEADERS,0))),"")))))))))}</f>
        <v>ADVANCEDGROUPL15</v>
      </c>
      <c r="W1522" s="223"/>
      <c r="X1522" s="223" t="str">
        <f t="array" ref="X1522:X1523">{"ADVANCEDGROUPL17";((IF("17"=(INDEX(ALLCLASSDATA,MATCH("AdvancedGroupLegendary",CLASSFEATUREHEADERS,0),MATCH($A1523,CLASSNAMEHEADERS,0))),(INDEX(ALLCLASSDATA,MATCH("AdvancedGroupLegendary",CLASSFEATUREHEADERS,0),MATCH(($A1523 &amp; "Points"),CLASSNAMEHEADERS,0))),(IF("17"=(INDEX(ALLCLASSDATA,MATCH("AdvancedGroupMaster",CLASSFEATUREHEADERS,0),MATCH($A1523,CLASSNAMEHEADERS,0))),(INDEX(ALLCLASSDATA,MATCH("AdvancedGroupMaster",CLASSFEATUREHEADERS,0),MATCH(($A1523 &amp; "Points"),CLASSNAMEHEADERS,0))),(IF("17"=(INDEX(ALLCLASSDATA,MATCH("AdvancedGroupExpert",CLASSFEATUREHEADERS,0),MATCH($A1523,CLASSNAMEHEADERS,0))),(INDEX(ALLCLASSDATA,MATCH("AdvancedGroupExpert",CLASSFEATUREHEADERS,0),MATCH(($A1523 &amp; "Points"),CLASSNAMEHEADERS,0))),(IF("17"=(INDEX(ALLCLASSDATA,MATCH("AdvancedGroupTrained",CLASSFEATUREHEADERS,0),MATCH($A1523,CLASSNAMEHEADERS,0))),(INDEX(ALLCLASSDATA,MATCH("AdvancedGroupTrained",CLASSFEATUREHEADERS,0),MATCH(($A1523 &amp; "Points"),CLASSNAMEHEADERS,0))),"")))))))))}</f>
        <v>ADVANCEDGROUPL17</v>
      </c>
      <c r="Y1522" s="223"/>
      <c r="Z1522" s="223" t="str">
        <f t="array" ref="Z1522:Z1523">{"ADVANCEDGROUPL19";((IF("19"=(INDEX(ALLCLASSDATA,MATCH("AdvancedGroupLegendary",CLASSFEATUREHEADERS,0),MATCH($A1523,CLASSNAMEHEADERS,0))),(INDEX(ALLCLASSDATA,MATCH("AdvancedGroupLegendary",CLASSFEATUREHEADERS,0),MATCH(($A1523 &amp; "Points"),CLASSNAMEHEADERS,0))),(IF("19"=(INDEX(ALLCLASSDATA,MATCH("AdvancedGroupMaster",CLASSFEATUREHEADERS,0),MATCH($A1523,CLASSNAMEHEADERS,0))),(INDEX(ALLCLASSDATA,MATCH("AdvancedGroupMaster",CLASSFEATUREHEADERS,0),MATCH(($A1523 &amp; "Points"),CLASSNAMEHEADERS,0))),(IF("19"=(INDEX(ALLCLASSDATA,MATCH("AdvancedGroupExpert",CLASSFEATUREHEADERS,0),MATCH($A1523,CLASSNAMEHEADERS,0))),(INDEX(ALLCLASSDATA,MATCH("AdvancedGroupExpert",CLASSFEATUREHEADERS,0),MATCH(($A1523 &amp; "Points"),CLASSNAMEHEADERS,0))),(IF("19"=(INDEX(ALLCLASSDATA,MATCH("AdvancedGroupTrained",CLASSFEATUREHEADERS,0),MATCH($A1523,CLASSNAMEHEADERS,0))),(INDEX(ALLCLASSDATA,MATCH("AdvancedGroupTrained",CLASSFEATUREHEADERS,0),MATCH(($A1523 &amp; "Points"),CLASSNAMEHEADERS,0))),"")))))))))}</f>
        <v>ADVANCEDGROUPL19</v>
      </c>
      <c r="AA1522" s="223"/>
      <c r="AB1522" s="76" t="str">
        <f t="array" ref="AB1522:AB1523">{"ADVANCEDGROUP TOTAL";(IF(COUNTBLANK(G1523:AA1523)=17,"L",(IF(COUNTBLANK(G1523:AA1523)=18,"M",(IF(COUNTBLANK(G1523:AA1523)=19,"E",(IF(COUNTBLANK(G1523:AA1523)=20,"T",""))))))))}</f>
        <v>ADVANCEDGROUP TOTAL</v>
      </c>
      <c r="AC1522" s="76" t="str">
        <f t="array" ref="AC1522:AC1523">{"ADVANCEDGROUP TOTAL";(sum(G1523:AA1523))}</f>
        <v>ADVANCEDGROUP TOTAL</v>
      </c>
    </row>
    <row r="1523">
      <c r="A1523" s="48" t="s">
        <v>221</v>
      </c>
      <c r="B1523" s="48"/>
      <c r="C1523" s="48" t="s">
        <v>418</v>
      </c>
      <c r="D1523" s="48" t="s">
        <v>1634</v>
      </c>
      <c r="E1523" s="48" t="s">
        <v>601</v>
      </c>
      <c r="F1523" s="5" t="s">
        <v>603</v>
      </c>
      <c r="G1523" s="47" t="s">
        <v>603</v>
      </c>
      <c r="H1523" s="5" t="s">
        <v>603</v>
      </c>
      <c r="I1523" s="5"/>
      <c r="J1523" s="5" t="s">
        <v>603</v>
      </c>
      <c r="K1523" s="5"/>
      <c r="L1523" s="5" t="s">
        <v>603</v>
      </c>
      <c r="M1523" s="5"/>
      <c r="N1523" s="5" t="s">
        <v>603</v>
      </c>
      <c r="O1523" s="5"/>
      <c r="P1523" s="5" t="s">
        <v>603</v>
      </c>
      <c r="Q1523" s="5"/>
      <c r="R1523" s="5" t="s">
        <v>603</v>
      </c>
      <c r="S1523" s="5"/>
      <c r="T1523" s="5" t="s">
        <v>603</v>
      </c>
      <c r="U1523" s="5"/>
      <c r="V1523" s="5" t="s">
        <v>603</v>
      </c>
      <c r="W1523" s="5"/>
      <c r="X1523" s="5" t="s">
        <v>603</v>
      </c>
      <c r="Y1523" s="5"/>
      <c r="Z1523" s="5" t="s">
        <v>603</v>
      </c>
      <c r="AA1523" s="5"/>
      <c r="AB1523" s="5" t="s">
        <v>603</v>
      </c>
      <c r="AC1523" s="47">
        <v>0.0</v>
      </c>
    </row>
    <row r="1524" hidden="1">
      <c r="A1524" s="222" t="str">
        <f t="array" ref="A1524:A1525">{"FormulaRow33";(INDEX(CLASSLIST,A1459,1))}</f>
        <v>FormulaRow33</v>
      </c>
      <c r="B1524" s="77" t="s">
        <v>236</v>
      </c>
      <c r="C1524" s="222" t="str">
        <f t="array" ref="C1524:C1525">{"CLASSTYPE";((INDEX(ALLCLASSDATA,MATCH("ClassType",CLASSFEATUREHEADERS,0),MATCH($A1525,CLASSNAMEHEADERS,0))))}</f>
        <v>CLASSTYPE</v>
      </c>
      <c r="D1524" s="222" t="str">
        <f t="array" ref="D1524:D1525">{"ATTACK";"Attack"}</f>
        <v>ATTACK</v>
      </c>
      <c r="E1524" s="222" t="str">
        <f t="array" ref="E1524:E1525">{"ADVANCED";"Advanced"}</f>
        <v>ADVANCED</v>
      </c>
      <c r="F1524" s="223" t="str">
        <f t="array" ref="F1524:F1525">{"ADVANCEDINITIAL";((IF(H1525=10,"T",(IF(H1525=50,"E","")))))}</f>
        <v>ADVANCEDINITIAL</v>
      </c>
      <c r="G1524" s="223" t="str">
        <f t="array" ref="G1524:G1525">{"ADVANCEDINITIALPTS";((IF("00"=(INDEX(ALLCLASSDATA,MATCH("AdvancedLegendary",CLASSFEATUREHEADERS,0),MATCH($A1525,CLASSNAMEHEADERS,0))),(INDEX(ALLCLASSDATA,MATCH("AdvancedLegendary",CLASSFEATUREHEADERS,0),MATCH(($A1525 &amp; "Points"),CLASSNAMEHEADERS,0))),(IF("00"=(INDEX(ALLCLASSDATA,MATCH("AdvancedMaster",CLASSFEATUREHEADERS,0),MATCH($A1525,CLASSNAMEHEADERS,0))),(INDEX(ALLCLASSDATA,MATCH("AdvancedMaster",CLASSFEATUREHEADERS,0),MATCH(($A1525 &amp; "Points"),CLASSNAMEHEADERS,0))),(IF("00"=(INDEX(ALLCLASSDATA,MATCH("AdvancedExpert",CLASSFEATUREHEADERS,0),MATCH($A1525,CLASSNAMEHEADERS,0))),(INDEX(ALLCLASSDATA,MATCH("AdvancedExpert",CLASSFEATUREHEADERS,0),MATCH(($A1525 &amp; "Points"),CLASSNAMEHEADERS,0))),(IF("00"=(INDEX(ALLCLASSDATA,MATCH("AdvancedTrained",CLASSFEATUREHEADERS,0),MATCH($A1525,CLASSNAMEHEADERS,0))),(INDEX(ALLCLASSDATA,MATCH("AdvancedTrained",CLASSFEATUREHEADERS,0),MATCH(($A1525 &amp; "Points"),CLASSNAMEHEADERS,0))),"")))))))))}</f>
        <v>ADVANCEDINITIALPTS</v>
      </c>
      <c r="H1524" s="223" t="str">
        <f t="array" ref="H1524:H1525">{"ADVANCEDL01";((IF("01"=(INDEX(ALLCLASSDATA,MATCH("AdvancedLegendary",CLASSFEATUREHEADERS,0),MATCH($A1525,CLASSNAMEHEADERS,0))),(INDEX(ALLCLASSDATA,MATCH("AdvancedLegendary",CLASSFEATUREHEADERS,0),MATCH(($A1525 &amp; "Points"),CLASSNAMEHEADERS,0))),(IF("01"=(INDEX(ALLCLASSDATA,MATCH("AdvancedMaster",CLASSFEATUREHEADERS,0),MATCH($A1525,CLASSNAMEHEADERS,0))),(INDEX(ALLCLASSDATA,MATCH("AdvancedMaster",CLASSFEATUREHEADERS,0),MATCH(($A1525 &amp; "Points"),CLASSNAMEHEADERS,0))),(IF("01"=(INDEX(ALLCLASSDATA,MATCH("AdvancedExpert",CLASSFEATUREHEADERS,0),MATCH($A1525,CLASSNAMEHEADERS,0))),(INDEX(ALLCLASSDATA,MATCH("AdvancedExpert",CLASSFEATUREHEADERS,0),MATCH(($A1525 &amp; "Points"),CLASSNAMEHEADERS,0))),(IF("01"=(INDEX(ALLCLASSDATA,MATCH("AdvancedTrained",CLASSFEATUREHEADERS,0),MATCH($A1525,CLASSNAMEHEADERS,0))),(INDEX(ALLCLASSDATA,MATCH("AdvancedTrained",CLASSFEATUREHEADERS,0),MATCH(($A1525 &amp; "Points"),CLASSNAMEHEADERS,0))),"")))))))))}</f>
        <v>ADVANCEDL01</v>
      </c>
      <c r="I1524" s="223"/>
      <c r="J1524" s="223" t="str">
        <f t="array" ref="J1524:J1525">{"ADVANCEDL03";((IF("03"=(INDEX(ALLCLASSDATA,MATCH("AdvancedLegendary",CLASSFEATUREHEADERS,0),MATCH($A1525,CLASSNAMEHEADERS,0))),(INDEX(ALLCLASSDATA,MATCH("AdvancedLegendary",CLASSFEATUREHEADERS,0),MATCH(($A1525 &amp; "Points"),CLASSNAMEHEADERS,0))),(IF("03"=(INDEX(ALLCLASSDATA,MATCH("AdvancedMaster",CLASSFEATUREHEADERS,0),MATCH($A1525,CLASSNAMEHEADERS,0))),(INDEX(ALLCLASSDATA,MATCH("AdvancedMaster",CLASSFEATUREHEADERS,0),MATCH(($A1525 &amp; "Points"),CLASSNAMEHEADERS,0))),(IF("03"=(INDEX(ALLCLASSDATA,MATCH("AdvancedExpert",CLASSFEATUREHEADERS,0),MATCH($A1525,CLASSNAMEHEADERS,0))),(INDEX(ALLCLASSDATA,MATCH("AdvancedExpert",CLASSFEATUREHEADERS,0),MATCH(($A1525 &amp; "Points"),CLASSNAMEHEADERS,0))),(IF("03"=(INDEX(ALLCLASSDATA,MATCH("AdvancedTrained",CLASSFEATUREHEADERS,0),MATCH($A1525,CLASSNAMEHEADERS,0))),(INDEX(ALLCLASSDATA,MATCH("AdvancedTrained",CLASSFEATUREHEADERS,0),MATCH(($A1525 &amp; "Points"),CLASSNAMEHEADERS,0))),"")))))))))}</f>
        <v>ADVANCEDL03</v>
      </c>
      <c r="K1524" s="223"/>
      <c r="L1524" s="223" t="str">
        <f t="array" ref="L1524:L1525">{"ADVANCEDL05";((IF("05"=(INDEX(ALLCLASSDATA,MATCH("AdvancedLegendary",CLASSFEATUREHEADERS,0),MATCH($A1525,CLASSNAMEHEADERS,0))),(INDEX(ALLCLASSDATA,MATCH("AdvancedLegendary",CLASSFEATUREHEADERS,0),MATCH(($A1525 &amp; "Points"),CLASSNAMEHEADERS,0))),(IF("05"=(INDEX(ALLCLASSDATA,MATCH("AdvancedMaster",CLASSFEATUREHEADERS,0),MATCH($A1525,CLASSNAMEHEADERS,0))),(INDEX(ALLCLASSDATA,MATCH("AdvancedMaster",CLASSFEATUREHEADERS,0),MATCH(($A1525 &amp; "Points"),CLASSNAMEHEADERS,0))),(IF("05"=(INDEX(ALLCLASSDATA,MATCH("AdvancedExpert",CLASSFEATUREHEADERS,0),MATCH($A1525,CLASSNAMEHEADERS,0))),(INDEX(ALLCLASSDATA,MATCH("AdvancedExpert",CLASSFEATUREHEADERS,0),MATCH(($A1525 &amp; "Points"),CLASSNAMEHEADERS,0))),(IF("05"=(INDEX(ALLCLASSDATA,MATCH("AdvancedTrained",CLASSFEATUREHEADERS,0),MATCH($A1525,CLASSNAMEHEADERS,0))),(INDEX(ALLCLASSDATA,MATCH("AdvancedTrained",CLASSFEATUREHEADERS,0),MATCH(($A1525 &amp; "Points"),CLASSNAMEHEADERS,0))),"")))))))))}</f>
        <v>ADVANCEDL05</v>
      </c>
      <c r="M1524" s="223"/>
      <c r="N1524" s="223" t="str">
        <f t="array" ref="N1524:N1525">{"ADVANCEDL07";((IF("07"=(INDEX(ALLCLASSDATA,MATCH("AdvancedLegendary",CLASSFEATUREHEADERS,0),MATCH($A1525,CLASSNAMEHEADERS,0))),(INDEX(ALLCLASSDATA,MATCH("AdvancedLegendary",CLASSFEATUREHEADERS,0),MATCH(($A1525 &amp; "Points"),CLASSNAMEHEADERS,0))),(IF("07"=(INDEX(ALLCLASSDATA,MATCH("AdvancedMaster",CLASSFEATUREHEADERS,0),MATCH($A1525,CLASSNAMEHEADERS,0))),(INDEX(ALLCLASSDATA,MATCH("AdvancedMaster",CLASSFEATUREHEADERS,0),MATCH(($A1525 &amp; "Points"),CLASSNAMEHEADERS,0))),(IF("07"=(INDEX(ALLCLASSDATA,MATCH("AdvancedExpert",CLASSFEATUREHEADERS,0),MATCH($A1525,CLASSNAMEHEADERS,0))),(INDEX(ALLCLASSDATA,MATCH("AdvancedExpert",CLASSFEATUREHEADERS,0),MATCH(($A1525 &amp; "Points"),CLASSNAMEHEADERS,0))),(IF("07"=(INDEX(ALLCLASSDATA,MATCH("AdvancedTrained",CLASSFEATUREHEADERS,0),MATCH($A1525,CLASSNAMEHEADERS,0))),(INDEX(ALLCLASSDATA,MATCH("AdvancedTrained",CLASSFEATUREHEADERS,0),MATCH(($A1525 &amp; "Points"),CLASSNAMEHEADERS,0))),"")))))))))}</f>
        <v>ADVANCEDL07</v>
      </c>
      <c r="O1524" s="223"/>
      <c r="P1524" s="223" t="str">
        <f t="array" ref="P1524:P1525">{"ADVANCEDL09";((IF("09"=(INDEX(ALLCLASSDATA,MATCH("AdvancedLegendary",CLASSFEATUREHEADERS,0),MATCH($A1525,CLASSNAMEHEADERS,0))),(INDEX(ALLCLASSDATA,MATCH("AdvancedLegendary",CLASSFEATUREHEADERS,0),MATCH(($A1525 &amp; "Points"),CLASSNAMEHEADERS,0))),(IF("09"=(INDEX(ALLCLASSDATA,MATCH("AdvancedMaster",CLASSFEATUREHEADERS,0),MATCH($A1525,CLASSNAMEHEADERS,0))),(INDEX(ALLCLASSDATA,MATCH("AdvancedMaster",CLASSFEATUREHEADERS,0),MATCH(($A1525 &amp; "Points"),CLASSNAMEHEADERS,0))),(IF("09"=(INDEX(ALLCLASSDATA,MATCH("AdvancedExpert",CLASSFEATUREHEADERS,0),MATCH($A1525,CLASSNAMEHEADERS,0))),(INDEX(ALLCLASSDATA,MATCH("AdvancedExpert",CLASSFEATUREHEADERS,0),MATCH(($A1525 &amp; "Points"),CLASSNAMEHEADERS,0))),(IF("09"=(INDEX(ALLCLASSDATA,MATCH("AdvancedTrained",CLASSFEATUREHEADERS,0),MATCH($A1525,CLASSNAMEHEADERS,0))),(INDEX(ALLCLASSDATA,MATCH("AdvancedTrained",CLASSFEATUREHEADERS,0),MATCH(($A1525 &amp; "Points"),CLASSNAMEHEADERS,0))),"")))))))))}</f>
        <v>ADVANCEDL09</v>
      </c>
      <c r="Q1524" s="223"/>
      <c r="R1524" s="223" t="str">
        <f t="array" ref="R1524:R1525">{"ADVANCEDL11";((IF("11"=(INDEX(ALLCLASSDATA,MATCH("AdvancedLegendary",CLASSFEATUREHEADERS,0),MATCH($A1525,CLASSNAMEHEADERS,0))),(INDEX(ALLCLASSDATA,MATCH("AdvancedLegendary",CLASSFEATUREHEADERS,0),MATCH(($A1525 &amp; "Points"),CLASSNAMEHEADERS,0))),(IF("11"=(INDEX(ALLCLASSDATA,MATCH("AdvancedMaster",CLASSFEATUREHEADERS,0),MATCH($A1525,CLASSNAMEHEADERS,0))),(INDEX(ALLCLASSDATA,MATCH("AdvancedMaster",CLASSFEATUREHEADERS,0),MATCH(($A1525 &amp; "Points"),CLASSNAMEHEADERS,0))),(IF("11"=(INDEX(ALLCLASSDATA,MATCH("AdvancedExpert",CLASSFEATUREHEADERS,0),MATCH($A1525,CLASSNAMEHEADERS,0))),(INDEX(ALLCLASSDATA,MATCH("AdvancedExpert",CLASSFEATUREHEADERS,0),MATCH(($A1525 &amp; "Points"),CLASSNAMEHEADERS,0))),(IF("11"=(INDEX(ALLCLASSDATA,MATCH("AdvancedTrained",CLASSFEATUREHEADERS,0),MATCH($A1525,CLASSNAMEHEADERS,0))),(INDEX(ALLCLASSDATA,MATCH("AdvancedTrained",CLASSFEATUREHEADERS,0),MATCH(($A1525 &amp; "Points"),CLASSNAMEHEADERS,0))),"")))))))))}</f>
        <v>ADVANCEDL11</v>
      </c>
      <c r="S1524" s="223"/>
      <c r="T1524" s="223" t="str">
        <f t="array" ref="T1524:T1525">{"ADVANCEDL13";((IF("13"=(INDEX(ALLCLASSDATA,MATCH("AdvancedLegendary",CLASSFEATUREHEADERS,0),MATCH($A1525,CLASSNAMEHEADERS,0))),(INDEX(ALLCLASSDATA,MATCH("AdvancedLegendary",CLASSFEATUREHEADERS,0),MATCH(($A1525 &amp; "Points"),CLASSNAMEHEADERS,0))),(IF("13"=(INDEX(ALLCLASSDATA,MATCH("AdvancedMaster",CLASSFEATUREHEADERS,0),MATCH($A1525,CLASSNAMEHEADERS,0))),(INDEX(ALLCLASSDATA,MATCH("AdvancedMaster",CLASSFEATUREHEADERS,0),MATCH(($A1525 &amp; "Points"),CLASSNAMEHEADERS,0))),(IF("13"=(INDEX(ALLCLASSDATA,MATCH("AdvancedExpert",CLASSFEATUREHEADERS,0),MATCH($A1525,CLASSNAMEHEADERS,0))),(INDEX(ALLCLASSDATA,MATCH("AdvancedExpert",CLASSFEATUREHEADERS,0),MATCH(($A1525 &amp; "Points"),CLASSNAMEHEADERS,0))),(IF("13"=(INDEX(ALLCLASSDATA,MATCH("AdvancedTrained",CLASSFEATUREHEADERS,0),MATCH($A1525,CLASSNAMEHEADERS,0))),(INDEX(ALLCLASSDATA,MATCH("AdvancedTrained",CLASSFEATUREHEADERS,0),MATCH(($A1525 &amp; "Points"),CLASSNAMEHEADERS,0))),"")))))))))}</f>
        <v>ADVANCEDL13</v>
      </c>
      <c r="U1524" s="223"/>
      <c r="V1524" s="223" t="str">
        <f t="array" ref="V1524:V1525">{"ADVANCEDL15";((IF("15"=(INDEX(ALLCLASSDATA,MATCH("AdvancedLegendary",CLASSFEATUREHEADERS,0),MATCH($A1525,CLASSNAMEHEADERS,0))),(INDEX(ALLCLASSDATA,MATCH("AdvancedLegendary",CLASSFEATUREHEADERS,0),MATCH(($A1525 &amp; "Points"),CLASSNAMEHEADERS,0))),(IF("15"=(INDEX(ALLCLASSDATA,MATCH("AdvancedMaster",CLASSFEATUREHEADERS,0),MATCH($A1525,CLASSNAMEHEADERS,0))),(INDEX(ALLCLASSDATA,MATCH("AdvancedMaster",CLASSFEATUREHEADERS,0),MATCH(($A1525 &amp; "Points"),CLASSNAMEHEADERS,0))),(IF("15"=(INDEX(ALLCLASSDATA,MATCH("AdvancedExpert",CLASSFEATUREHEADERS,0),MATCH($A1525,CLASSNAMEHEADERS,0))),(INDEX(ALLCLASSDATA,MATCH("AdvancedExpert",CLASSFEATUREHEADERS,0),MATCH(($A1525 &amp; "Points"),CLASSNAMEHEADERS,0))),(IF("15"=(INDEX(ALLCLASSDATA,MATCH("AdvancedTrained",CLASSFEATUREHEADERS,0),MATCH($A1525,CLASSNAMEHEADERS,0))),(INDEX(ALLCLASSDATA,MATCH("AdvancedTrained",CLASSFEATUREHEADERS,0),MATCH(($A1525 &amp; "Points"),CLASSNAMEHEADERS,0))),"")))))))))}</f>
        <v>ADVANCEDL15</v>
      </c>
      <c r="W1524" s="223"/>
      <c r="X1524" s="223" t="str">
        <f t="array" ref="X1524:X1525">{"ADVANCEDL17";((IF("17"=(INDEX(ALLCLASSDATA,MATCH("AdvancedLegendary",CLASSFEATUREHEADERS,0),MATCH($A1525,CLASSNAMEHEADERS,0))),(INDEX(ALLCLASSDATA,MATCH("AdvancedLegendary",CLASSFEATUREHEADERS,0),MATCH(($A1525 &amp; "Points"),CLASSNAMEHEADERS,0))),(IF("17"=(INDEX(ALLCLASSDATA,MATCH("AdvancedMaster",CLASSFEATUREHEADERS,0),MATCH($A1525,CLASSNAMEHEADERS,0))),(INDEX(ALLCLASSDATA,MATCH("AdvancedMaster",CLASSFEATUREHEADERS,0),MATCH(($A1525 &amp; "Points"),CLASSNAMEHEADERS,0))),(IF("17"=(INDEX(ALLCLASSDATA,MATCH("AdvancedExpert",CLASSFEATUREHEADERS,0),MATCH($A1525,CLASSNAMEHEADERS,0))),(INDEX(ALLCLASSDATA,MATCH("AdvancedExpert",CLASSFEATUREHEADERS,0),MATCH(($A1525 &amp; "Points"),CLASSNAMEHEADERS,0))),(IF("17"=(INDEX(ALLCLASSDATA,MATCH("AdvancedTrained",CLASSFEATUREHEADERS,0),MATCH($A1525,CLASSNAMEHEADERS,0))),(INDEX(ALLCLASSDATA,MATCH("AdvancedTrained",CLASSFEATUREHEADERS,0),MATCH(($A1525 &amp; "Points"),CLASSNAMEHEADERS,0))),"")))))))))}</f>
        <v>ADVANCEDL17</v>
      </c>
      <c r="Y1524" s="223"/>
      <c r="Z1524" s="223" t="str">
        <f t="array" ref="Z1524:Z1525">{"ADVANCEDL19";((IF("19"=(INDEX(ALLCLASSDATA,MATCH("AdvancedLegendary",CLASSFEATUREHEADERS,0),MATCH($A1525,CLASSNAMEHEADERS,0))),(INDEX(ALLCLASSDATA,MATCH("AdvancedLegendary",CLASSFEATUREHEADERS,0),MATCH(($A1525 &amp; "Points"),CLASSNAMEHEADERS,0))),(IF("19"=(INDEX(ALLCLASSDATA,MATCH("AdvancedMaster",CLASSFEATUREHEADERS,0),MATCH($A1525,CLASSNAMEHEADERS,0))),(INDEX(ALLCLASSDATA,MATCH("AdvancedMaster",CLASSFEATUREHEADERS,0),MATCH(($A1525 &amp; "Points"),CLASSNAMEHEADERS,0))),(IF("19"=(INDEX(ALLCLASSDATA,MATCH("AdvancedExpert",CLASSFEATUREHEADERS,0),MATCH($A1525,CLASSNAMEHEADERS,0))),(INDEX(ALLCLASSDATA,MATCH("AdvancedExpert",CLASSFEATUREHEADERS,0),MATCH(($A1525 &amp; "Points"),CLASSNAMEHEADERS,0))),(IF("19"=(INDEX(ALLCLASSDATA,MATCH("AdvancedTrained",CLASSFEATUREHEADERS,0),MATCH($A1525,CLASSNAMEHEADERS,0))),(INDEX(ALLCLASSDATA,MATCH("AdvancedTrained",CLASSFEATUREHEADERS,0),MATCH(($A1525 &amp; "Points"),CLASSNAMEHEADERS,0))),"")))))))))}</f>
        <v>ADVANCEDL19</v>
      </c>
      <c r="AA1524" s="223"/>
      <c r="AB1524" s="76" t="str">
        <f t="array" ref="AB1524:AB1525">{"ADVANCED TOTAL";(IF(COUNTBLANK(G1525:AA1525)=17,"L",(IF(COUNTBLANK(G1525:AA1525)=18,"M",(IF(COUNTBLANK(G1525:AA1525)=19,"E",(IF(COUNTBLANK(G1525:AA1525)=20,"T",""))))))))}</f>
        <v>ADVANCED TOTAL</v>
      </c>
      <c r="AC1524" s="76" t="str">
        <f t="array" ref="AC1524:AC1525">{"ADVANCED TOTAL";(sum(G1525:AA1525))}</f>
        <v>ADVANCED TOTAL</v>
      </c>
    </row>
    <row r="1525">
      <c r="A1525" s="48" t="s">
        <v>221</v>
      </c>
      <c r="B1525" s="48"/>
      <c r="C1525" s="48" t="s">
        <v>418</v>
      </c>
      <c r="D1525" s="97" t="s">
        <v>1634</v>
      </c>
      <c r="E1525" s="97" t="s">
        <v>602</v>
      </c>
      <c r="F1525" s="98" t="s">
        <v>603</v>
      </c>
      <c r="G1525" s="132" t="s">
        <v>603</v>
      </c>
      <c r="H1525" s="98" t="s">
        <v>603</v>
      </c>
      <c r="I1525" s="98"/>
      <c r="J1525" s="98" t="s">
        <v>603</v>
      </c>
      <c r="K1525" s="98"/>
      <c r="L1525" s="98" t="s">
        <v>603</v>
      </c>
      <c r="M1525" s="98"/>
      <c r="N1525" s="98" t="s">
        <v>603</v>
      </c>
      <c r="O1525" s="98"/>
      <c r="P1525" s="98" t="s">
        <v>603</v>
      </c>
      <c r="Q1525" s="98"/>
      <c r="R1525" s="98" t="s">
        <v>603</v>
      </c>
      <c r="S1525" s="98"/>
      <c r="T1525" s="98" t="s">
        <v>603</v>
      </c>
      <c r="U1525" s="98"/>
      <c r="V1525" s="98" t="s">
        <v>603</v>
      </c>
      <c r="W1525" s="98"/>
      <c r="X1525" s="98" t="s">
        <v>603</v>
      </c>
      <c r="Y1525" s="98"/>
      <c r="Z1525" s="98" t="s">
        <v>603</v>
      </c>
      <c r="AA1525" s="98"/>
      <c r="AB1525" s="5" t="s">
        <v>603</v>
      </c>
      <c r="AC1525" s="47">
        <v>0.0</v>
      </c>
    </row>
    <row r="1526" hidden="1">
      <c r="A1526" s="222" t="str">
        <f t="array" ref="A1526:A1527">{"FormulaRow34";(INDEX(CLASSLIST,A1459,1))}</f>
        <v>FormulaRow34</v>
      </c>
      <c r="B1526" s="77" t="s">
        <v>236</v>
      </c>
      <c r="C1526" s="222" t="str">
        <f t="array" ref="C1526:C1527">{"CLASSTYPE";((INDEX(ALLCLASSDATA,MATCH("ClassType",CLASSFEATUREHEADERS,0),MATCH($A1527,CLASSNAMEHEADERS,0))))}</f>
        <v>CLASSTYPE</v>
      </c>
      <c r="D1526" s="222" t="str">
        <f t="array" ref="D1526:D1527">{"DEFENSE";"Defense"}</f>
        <v>DEFENSE</v>
      </c>
      <c r="E1526" s="222" t="str">
        <f t="array" ref="E1526:E1527">{"ARMORSPECIAL";"ArmorAS"}</f>
        <v>ARMORSPECIAL</v>
      </c>
      <c r="F1526" s="223"/>
      <c r="G1526" s="223"/>
      <c r="H1526" s="223" t="str">
        <f t="array" ref="H1526:H1527">{"ARMORSPECIALL01";((IF("01"=INDEX(ALLCLASSDATA,MATCH("ArmorSpecialization",CLASSFEATUREHEADERS,0),MATCH($A1527,CLASSNAMEHEADERS,0)),ArmorAS,"")))}</f>
        <v>ARMORSPECIALL01</v>
      </c>
      <c r="I1526" s="223"/>
      <c r="J1526" s="223" t="str">
        <f t="array" ref="J1526:J1527">{"ARMORSPECIALL03";((IF("03"=INDEX(ALLCLASSDATA,MATCH("ArmorSpecialization",CLASSFEATUREHEADERS,0),MATCH($A1527,CLASSNAMEHEADERS,0)),ArmorAS,"")))}</f>
        <v>ARMORSPECIALL03</v>
      </c>
      <c r="K1526" s="223"/>
      <c r="L1526" s="223" t="str">
        <f t="array" ref="L1526:L1527">{"ARMORSPECIALL05";((IF("05"=INDEX(ALLCLASSDATA,MATCH("ArmorSpecialization",CLASSFEATUREHEADERS,0),MATCH($A1527,CLASSNAMEHEADERS,0)),ArmorAS,"")))}</f>
        <v>ARMORSPECIALL05</v>
      </c>
      <c r="M1526" s="223"/>
      <c r="N1526" s="223" t="str">
        <f t="array" ref="N1526:N1527">{"ARMORSPECIALL07";((IF("07"=INDEX(ALLCLASSDATA,MATCH("ArmorSpecialization",CLASSFEATUREHEADERS,0),MATCH($A1527,CLASSNAMEHEADERS,0)),ArmorAS,"")))}</f>
        <v>ARMORSPECIALL07</v>
      </c>
      <c r="O1526" s="223"/>
      <c r="P1526" s="223" t="str">
        <f t="array" ref="P1526:P1527">{"ARMORSPECIALL09";((IF("09"=INDEX(ALLCLASSDATA,MATCH("ArmorSpecialization",CLASSFEATUREHEADERS,0),MATCH($A1527,CLASSNAMEHEADERS,0)),ArmorAS,"")))}</f>
        <v>ARMORSPECIALL09</v>
      </c>
      <c r="Q1526" s="223"/>
      <c r="R1526" s="223" t="str">
        <f t="array" ref="R1526:R1527">{"ARMORSPECIALL11";((IF("11"=INDEX(ALLCLASSDATA,MATCH("ArmorSpecialization",CLASSFEATUREHEADERS,0),MATCH($A1527,CLASSNAMEHEADERS,0)),ArmorAS,"")))}</f>
        <v>ARMORSPECIALL11</v>
      </c>
      <c r="S1526" s="223"/>
      <c r="T1526" s="223" t="str">
        <f t="array" ref="T1526:T1527">{"ARMORSPECIALL13";((IF("13"=INDEX(ALLCLASSDATA,MATCH("ArmorSpecialization",CLASSFEATUREHEADERS,0),MATCH($A1527,CLASSNAMEHEADERS,0)),ArmorAS,"")))}</f>
        <v>ARMORSPECIALL13</v>
      </c>
      <c r="U1526" s="223"/>
      <c r="V1526" s="223" t="str">
        <f t="array" ref="V1526:V1527">{"ARMORSPECIALL15";((IF("15"=INDEX(ALLCLASSDATA,MATCH("ArmorSpecialization",CLASSFEATUREHEADERS,0),MATCH($A1527,CLASSNAMEHEADERS,0)),ArmorAS,"")))}</f>
        <v>ARMORSPECIALL15</v>
      </c>
      <c r="W1526" s="223"/>
      <c r="X1526" s="223" t="str">
        <f t="array" ref="X1526:X1527">{"ARMORSPECIALL17";((IF("17"=INDEX(ALLCLASSDATA,MATCH("ArmorSpecialization",CLASSFEATUREHEADERS,0),MATCH($A1527,CLASSNAMEHEADERS,0)),ArmorAS,"")))}</f>
        <v>ARMORSPECIALL17</v>
      </c>
      <c r="Y1526" s="223"/>
      <c r="Z1526" s="223" t="str">
        <f t="array" ref="Z1526:Z1527">{"ARMORSPECIALL19";((IF("19"=INDEX(ALLCLASSDATA,MATCH("ArmorSpecialization",CLASSFEATUREHEADERS,0),MATCH($A1527,CLASSNAMEHEADERS,0)),ArmorAS,"")))}</f>
        <v>ARMORSPECIALL19</v>
      </c>
      <c r="AA1526" s="223"/>
      <c r="AB1526" s="76"/>
      <c r="AC1526" s="76" t="str">
        <f t="array" ref="AC1526:AC1527">{"ARMORSPECIAL TOTAL";(sum(G1527:AA1527))}</f>
        <v>ARMORSPECIAL TOTAL</v>
      </c>
    </row>
    <row r="1527">
      <c r="A1527" s="48" t="s">
        <v>221</v>
      </c>
      <c r="B1527" s="48"/>
      <c r="C1527" s="48" t="s">
        <v>418</v>
      </c>
      <c r="D1527" s="48" t="s">
        <v>1900</v>
      </c>
      <c r="E1527" s="48" t="s">
        <v>51</v>
      </c>
      <c r="F1527" s="5"/>
      <c r="G1527" s="47"/>
      <c r="H1527" s="5" t="s">
        <v>603</v>
      </c>
      <c r="I1527" s="5"/>
      <c r="J1527" s="5" t="s">
        <v>603</v>
      </c>
      <c r="K1527" s="5"/>
      <c r="L1527" s="5" t="s">
        <v>603</v>
      </c>
      <c r="M1527" s="5"/>
      <c r="N1527" s="5" t="s">
        <v>603</v>
      </c>
      <c r="O1527" s="5"/>
      <c r="P1527" s="5" t="s">
        <v>603</v>
      </c>
      <c r="Q1527" s="5"/>
      <c r="R1527" s="5" t="s">
        <v>603</v>
      </c>
      <c r="S1527" s="5"/>
      <c r="T1527" s="5" t="s">
        <v>603</v>
      </c>
      <c r="U1527" s="5"/>
      <c r="V1527" s="5" t="s">
        <v>603</v>
      </c>
      <c r="W1527" s="5"/>
      <c r="X1527" s="5" t="s">
        <v>603</v>
      </c>
      <c r="Y1527" s="5"/>
      <c r="Z1527" s="5" t="s">
        <v>603</v>
      </c>
      <c r="AA1527" s="5"/>
      <c r="AB1527" s="5"/>
      <c r="AC1527" s="47">
        <v>0.0</v>
      </c>
    </row>
    <row r="1528" hidden="1">
      <c r="A1528" s="222" t="str">
        <f t="array" ref="A1528:A1529">{"FormulaRow35";(INDEX(CLASSLIST,A1459,1))}</f>
        <v>FormulaRow35</v>
      </c>
      <c r="B1528" s="77" t="s">
        <v>236</v>
      </c>
      <c r="C1528" s="222" t="str">
        <f t="array" ref="C1528:C1529">{"CLASSTYPE";((INDEX(ALLCLASSDATA,MATCH("ClassType",CLASSFEATUREHEADERS,0),MATCH($A1529,CLASSNAMEHEADERS,0))))}</f>
        <v>CLASSTYPE</v>
      </c>
      <c r="D1528" s="222" t="str">
        <f t="array" ref="D1528:D1529">{"DEFENSE";"Defense"}</f>
        <v>DEFENSE</v>
      </c>
      <c r="E1528" s="222" t="str">
        <f t="array" ref="E1528:E1529">{"UNARMORED";"Unarmored"}</f>
        <v>UNARMORED</v>
      </c>
      <c r="F1528" s="223" t="str">
        <f t="array" ref="F1528:F1529">{"UNARMOREDINITIAL";((IF(H1529=10,"T",(IF(H1529=50,"E","")))))}</f>
        <v>UNARMOREDINITIAL</v>
      </c>
      <c r="G1528" s="223" t="str">
        <f t="array" ref="G1528:G1529">{"UNARMOREDINITIALPTS";((IF("00"=(INDEX(ALLCLASSDATA,MATCH("UnarmoredLegendary",CLASSFEATUREHEADERS,0),MATCH($A1529,CLASSNAMEHEADERS,0))),(INDEX(ALLCLASSDATA,MATCH("UnarmoredLegendary",CLASSFEATUREHEADERS,0),MATCH(($A1529 &amp; "Points"),CLASSNAMEHEADERS,0))),(IF("00"=(INDEX(ALLCLASSDATA,MATCH("UnarmoredMaster",CLASSFEATUREHEADERS,0),MATCH($A1529,CLASSNAMEHEADERS,0))),(INDEX(ALLCLASSDATA,MATCH("UnarmoredMaster",CLASSFEATUREHEADERS,0),MATCH(($A1529 &amp; "Points"),CLASSNAMEHEADERS,0))),(IF("00"=(INDEX(ALLCLASSDATA,MATCH("UnarmoredExpert",CLASSFEATUREHEADERS,0),MATCH($A1529,CLASSNAMEHEADERS,0))),(INDEX(ALLCLASSDATA,MATCH("UnarmoredExpert",CLASSFEATUREHEADERS,0),MATCH(($A1529 &amp; "Points"),CLASSNAMEHEADERS,0))),(IF("00"=(INDEX(ALLCLASSDATA,MATCH("UnarmoredTrained",CLASSFEATUREHEADERS,0),MATCH($A1529,CLASSNAMEHEADERS,0))),(INDEX(ALLCLASSDATA,MATCH("UnarmoredTrained",CLASSFEATUREHEADERS,0),MATCH(($A1529 &amp; "Points"),CLASSNAMEHEADERS,0))),"")))))))))}</f>
        <v>UNARMOREDINITIALPTS</v>
      </c>
      <c r="H1528" s="223" t="str">
        <f t="array" ref="H1528:H1529">{"UNARMOREDL01";((IF("01"=(INDEX(ALLCLASSDATA,MATCH("UnarmoredLegendary",CLASSFEATUREHEADERS,0),MATCH($A1529,CLASSNAMEHEADERS,0))),(INDEX(ALLCLASSDATA,MATCH("UnarmoredLegendary",CLASSFEATUREHEADERS,0),MATCH(($A1529 &amp; "Points"),CLASSNAMEHEADERS,0))),(IF("01"=(INDEX(ALLCLASSDATA,MATCH("UnarmoredMaster",CLASSFEATUREHEADERS,0),MATCH($A1529,CLASSNAMEHEADERS,0))),(INDEX(ALLCLASSDATA,MATCH("UnarmoredMaster",CLASSFEATUREHEADERS,0),MATCH(($A1529 &amp; "Points"),CLASSNAMEHEADERS,0))),(IF("01"=(INDEX(ALLCLASSDATA,MATCH("UnarmoredExpert",CLASSFEATUREHEADERS,0),MATCH($A1529,CLASSNAMEHEADERS,0))),(INDEX(ALLCLASSDATA,MATCH("UnarmoredExpert",CLASSFEATUREHEADERS,0),MATCH(($A1529 &amp; "Points"),CLASSNAMEHEADERS,0))),(IF("01"=(INDEX(ALLCLASSDATA,MATCH("UnarmoredTrained",CLASSFEATUREHEADERS,0),MATCH($A1529,CLASSNAMEHEADERS,0))),(INDEX(ALLCLASSDATA,MATCH("UnarmoredTrained",CLASSFEATUREHEADERS,0),MATCH(($A1529 &amp; "Points"),CLASSNAMEHEADERS,0))),"")))))))))}</f>
        <v>UNARMOREDL01</v>
      </c>
      <c r="I1528" s="223"/>
      <c r="J1528" s="223" t="str">
        <f t="array" ref="J1528:J1529">{"UNARMOREDL03";((IF("03"=(INDEX(ALLCLASSDATA,MATCH("UnarmoredLegendary",CLASSFEATUREHEADERS,0),MATCH($A1529,CLASSNAMEHEADERS,0))),(INDEX(ALLCLASSDATA,MATCH("UnarmoredLegendary",CLASSFEATUREHEADERS,0),MATCH(($A1529 &amp; "Points"),CLASSNAMEHEADERS,0))),(IF("03"=(INDEX(ALLCLASSDATA,MATCH("UnarmoredMaster",CLASSFEATUREHEADERS,0),MATCH($A1529,CLASSNAMEHEADERS,0))),(INDEX(ALLCLASSDATA,MATCH("UnarmoredMaster",CLASSFEATUREHEADERS,0),MATCH(($A1529 &amp; "Points"),CLASSNAMEHEADERS,0))),(IF("03"=(INDEX(ALLCLASSDATA,MATCH("UnarmoredExpert",CLASSFEATUREHEADERS,0),MATCH($A1529,CLASSNAMEHEADERS,0))),(INDEX(ALLCLASSDATA,MATCH("UnarmoredExpert",CLASSFEATUREHEADERS,0),MATCH(($A1529 &amp; "Points"),CLASSNAMEHEADERS,0))),(IF("03"=(INDEX(ALLCLASSDATA,MATCH("UnarmoredTrained",CLASSFEATUREHEADERS,0),MATCH($A1529,CLASSNAMEHEADERS,0))),(INDEX(ALLCLASSDATA,MATCH("UnarmoredTrained",CLASSFEATUREHEADERS,0),MATCH(($A1529 &amp; "Points"),CLASSNAMEHEADERS,0))),"")))))))))}</f>
        <v>UNARMOREDL03</v>
      </c>
      <c r="K1528" s="223"/>
      <c r="L1528" s="223" t="str">
        <f t="array" ref="L1528:L1529">{"UNARMOREDL05";((IF("05"=(INDEX(ALLCLASSDATA,MATCH("UnarmoredLegendary",CLASSFEATUREHEADERS,0),MATCH($A1529,CLASSNAMEHEADERS,0))),(INDEX(ALLCLASSDATA,MATCH("UnarmoredLegendary",CLASSFEATUREHEADERS,0),MATCH(($A1529 &amp; "Points"),CLASSNAMEHEADERS,0))),(IF("05"=(INDEX(ALLCLASSDATA,MATCH("UnarmoredMaster",CLASSFEATUREHEADERS,0),MATCH($A1529,CLASSNAMEHEADERS,0))),(INDEX(ALLCLASSDATA,MATCH("UnarmoredMaster",CLASSFEATUREHEADERS,0),MATCH(($A1529 &amp; "Points"),CLASSNAMEHEADERS,0))),(IF("05"=(INDEX(ALLCLASSDATA,MATCH("UnarmoredExpert",CLASSFEATUREHEADERS,0),MATCH($A1529,CLASSNAMEHEADERS,0))),(INDEX(ALLCLASSDATA,MATCH("UnarmoredExpert",CLASSFEATUREHEADERS,0),MATCH(($A1529 &amp; "Points"),CLASSNAMEHEADERS,0))),(IF("05"=(INDEX(ALLCLASSDATA,MATCH("UnarmoredTrained",CLASSFEATUREHEADERS,0),MATCH($A1529,CLASSNAMEHEADERS,0))),(INDEX(ALLCLASSDATA,MATCH("UnarmoredTrained",CLASSFEATUREHEADERS,0),MATCH(($A1529 &amp; "Points"),CLASSNAMEHEADERS,0))),"")))))))))}</f>
        <v>UNARMOREDL05</v>
      </c>
      <c r="M1528" s="223"/>
      <c r="N1528" s="223" t="str">
        <f t="array" ref="N1528:N1529">{"UNARMOREDL07";((IF("07"=(INDEX(ALLCLASSDATA,MATCH("UnarmoredLegendary",CLASSFEATUREHEADERS,0),MATCH($A1529,CLASSNAMEHEADERS,0))),(INDEX(ALLCLASSDATA,MATCH("UnarmoredLegendary",CLASSFEATUREHEADERS,0),MATCH(($A1529 &amp; "Points"),CLASSNAMEHEADERS,0))),(IF("07"=(INDEX(ALLCLASSDATA,MATCH("UnarmoredMaster",CLASSFEATUREHEADERS,0),MATCH($A1529,CLASSNAMEHEADERS,0))),(INDEX(ALLCLASSDATA,MATCH("UnarmoredMaster",CLASSFEATUREHEADERS,0),MATCH(($A1529 &amp; "Points"),CLASSNAMEHEADERS,0))),(IF("07"=(INDEX(ALLCLASSDATA,MATCH("UnarmoredExpert",CLASSFEATUREHEADERS,0),MATCH($A1529,CLASSNAMEHEADERS,0))),(INDEX(ALLCLASSDATA,MATCH("UnarmoredExpert",CLASSFEATUREHEADERS,0),MATCH(($A1529 &amp; "Points"),CLASSNAMEHEADERS,0))),(IF("07"=(INDEX(ALLCLASSDATA,MATCH("UnarmoredTrained",CLASSFEATUREHEADERS,0),MATCH($A1529,CLASSNAMEHEADERS,0))),(INDEX(ALLCLASSDATA,MATCH("UnarmoredTrained",CLASSFEATUREHEADERS,0),MATCH(($A1529 &amp; "Points"),CLASSNAMEHEADERS,0))),"")))))))))}</f>
        <v>UNARMOREDL07</v>
      </c>
      <c r="O1528" s="223"/>
      <c r="P1528" s="223" t="str">
        <f t="array" ref="P1528:P1529">{"UNARMOREDL09";((IF("09"=(INDEX(ALLCLASSDATA,MATCH("UnarmoredLegendary",CLASSFEATUREHEADERS,0),MATCH($A1529,CLASSNAMEHEADERS,0))),(INDEX(ALLCLASSDATA,MATCH("UnarmoredLegendary",CLASSFEATUREHEADERS,0),MATCH(($A1529 &amp; "Points"),CLASSNAMEHEADERS,0))),(IF("09"=(INDEX(ALLCLASSDATA,MATCH("UnarmoredMaster",CLASSFEATUREHEADERS,0),MATCH($A1529,CLASSNAMEHEADERS,0))),(INDEX(ALLCLASSDATA,MATCH("UnarmoredMaster",CLASSFEATUREHEADERS,0),MATCH(($A1529 &amp; "Points"),CLASSNAMEHEADERS,0))),(IF("09"=(INDEX(ALLCLASSDATA,MATCH("UnarmoredExpert",CLASSFEATUREHEADERS,0),MATCH($A1529,CLASSNAMEHEADERS,0))),(INDEX(ALLCLASSDATA,MATCH("UnarmoredExpert",CLASSFEATUREHEADERS,0),MATCH(($A1529 &amp; "Points"),CLASSNAMEHEADERS,0))),(IF("09"=(INDEX(ALLCLASSDATA,MATCH("UnarmoredTrained",CLASSFEATUREHEADERS,0),MATCH($A1529,CLASSNAMEHEADERS,0))),(INDEX(ALLCLASSDATA,MATCH("UnarmoredTrained",CLASSFEATUREHEADERS,0),MATCH(($A1529 &amp; "Points"),CLASSNAMEHEADERS,0))),"")))))))))}</f>
        <v>UNARMOREDL09</v>
      </c>
      <c r="Q1528" s="223"/>
      <c r="R1528" s="223" t="str">
        <f t="array" ref="R1528:R1529">{"UNARMOREDL11";((IF("11"=(INDEX(ALLCLASSDATA,MATCH("UnarmoredLegendary",CLASSFEATUREHEADERS,0),MATCH($A1529,CLASSNAMEHEADERS,0))),(INDEX(ALLCLASSDATA,MATCH("UnarmoredLegendary",CLASSFEATUREHEADERS,0),MATCH(($A1529 &amp; "Points"),CLASSNAMEHEADERS,0))),(IF("11"=(INDEX(ALLCLASSDATA,MATCH("UnarmoredMaster",CLASSFEATUREHEADERS,0),MATCH($A1529,CLASSNAMEHEADERS,0))),(INDEX(ALLCLASSDATA,MATCH("UnarmoredMaster",CLASSFEATUREHEADERS,0),MATCH(($A1529 &amp; "Points"),CLASSNAMEHEADERS,0))),(IF("11"=(INDEX(ALLCLASSDATA,MATCH("UnarmoredExpert",CLASSFEATUREHEADERS,0),MATCH($A1529,CLASSNAMEHEADERS,0))),(INDEX(ALLCLASSDATA,MATCH("UnarmoredExpert",CLASSFEATUREHEADERS,0),MATCH(($A1529 &amp; "Points"),CLASSNAMEHEADERS,0))),(IF("11"=(INDEX(ALLCLASSDATA,MATCH("UnarmoredTrained",CLASSFEATUREHEADERS,0),MATCH($A1529,CLASSNAMEHEADERS,0))),(INDEX(ALLCLASSDATA,MATCH("UnarmoredTrained",CLASSFEATUREHEADERS,0),MATCH(($A1529 &amp; "Points"),CLASSNAMEHEADERS,0))),"")))))))))}</f>
        <v>UNARMOREDL11</v>
      </c>
      <c r="S1528" s="223"/>
      <c r="T1528" s="223" t="str">
        <f t="array" ref="T1528:T1529">{"UNARMOREDL13";((IF("13"=(INDEX(ALLCLASSDATA,MATCH("UnarmoredLegendary",CLASSFEATUREHEADERS,0),MATCH($A1529,CLASSNAMEHEADERS,0))),(INDEX(ALLCLASSDATA,MATCH("UnarmoredLegendary",CLASSFEATUREHEADERS,0),MATCH(($A1529 &amp; "Points"),CLASSNAMEHEADERS,0))),(IF("13"=(INDEX(ALLCLASSDATA,MATCH("UnarmoredMaster",CLASSFEATUREHEADERS,0),MATCH($A1529,CLASSNAMEHEADERS,0))),(INDEX(ALLCLASSDATA,MATCH("UnarmoredMaster",CLASSFEATUREHEADERS,0),MATCH(($A1529 &amp; "Points"),CLASSNAMEHEADERS,0))),(IF("13"=(INDEX(ALLCLASSDATA,MATCH("UnarmoredExpert",CLASSFEATUREHEADERS,0),MATCH($A1529,CLASSNAMEHEADERS,0))),(INDEX(ALLCLASSDATA,MATCH("UnarmoredExpert",CLASSFEATUREHEADERS,0),MATCH(($A1529 &amp; "Points"),CLASSNAMEHEADERS,0))),(IF("13"=(INDEX(ALLCLASSDATA,MATCH("UnarmoredTrained",CLASSFEATUREHEADERS,0),MATCH($A1529,CLASSNAMEHEADERS,0))),(INDEX(ALLCLASSDATA,MATCH("UnarmoredTrained",CLASSFEATUREHEADERS,0),MATCH(($A1529 &amp; "Points"),CLASSNAMEHEADERS,0))),"")))))))))}</f>
        <v>UNARMOREDL13</v>
      </c>
      <c r="U1528" s="223"/>
      <c r="V1528" s="223" t="str">
        <f t="array" ref="V1528:V1529">{"UNARMOREDL15";((IF("15"=(INDEX(ALLCLASSDATA,MATCH("UnarmoredLegendary",CLASSFEATUREHEADERS,0),MATCH($A1529,CLASSNAMEHEADERS,0))),(INDEX(ALLCLASSDATA,MATCH("UnarmoredLegendary",CLASSFEATUREHEADERS,0),MATCH(($A1529 &amp; "Points"),CLASSNAMEHEADERS,0))),(IF("15"=(INDEX(ALLCLASSDATA,MATCH("UnarmoredMaster",CLASSFEATUREHEADERS,0),MATCH($A1529,CLASSNAMEHEADERS,0))),(INDEX(ALLCLASSDATA,MATCH("UnarmoredMaster",CLASSFEATUREHEADERS,0),MATCH(($A1529 &amp; "Points"),CLASSNAMEHEADERS,0))),(IF("15"=(INDEX(ALLCLASSDATA,MATCH("UnarmoredExpert",CLASSFEATUREHEADERS,0),MATCH($A1529,CLASSNAMEHEADERS,0))),(INDEX(ALLCLASSDATA,MATCH("UnarmoredExpert",CLASSFEATUREHEADERS,0),MATCH(($A1529 &amp; "Points"),CLASSNAMEHEADERS,0))),(IF("15"=(INDEX(ALLCLASSDATA,MATCH("UnarmoredTrained",CLASSFEATUREHEADERS,0),MATCH($A1529,CLASSNAMEHEADERS,0))),(INDEX(ALLCLASSDATA,MATCH("UnarmoredTrained",CLASSFEATUREHEADERS,0),MATCH(($A1529 &amp; "Points"),CLASSNAMEHEADERS,0))),"")))))))))}</f>
        <v>UNARMOREDL15</v>
      </c>
      <c r="W1528" s="223"/>
      <c r="X1528" s="223" t="str">
        <f t="array" ref="X1528:X1529">{"UNARMOREDL17";((IF("17"=(INDEX(ALLCLASSDATA,MATCH("UnarmoredLegendary",CLASSFEATUREHEADERS,0),MATCH($A1529,CLASSNAMEHEADERS,0))),(INDEX(ALLCLASSDATA,MATCH("UnarmoredLegendary",CLASSFEATUREHEADERS,0),MATCH(($A1529 &amp; "Points"),CLASSNAMEHEADERS,0))),(IF("17"=(INDEX(ALLCLASSDATA,MATCH("UnarmoredMaster",CLASSFEATUREHEADERS,0),MATCH($A1529,CLASSNAMEHEADERS,0))),(INDEX(ALLCLASSDATA,MATCH("UnarmoredMaster",CLASSFEATUREHEADERS,0),MATCH(($A1529 &amp; "Points"),CLASSNAMEHEADERS,0))),(IF("17"=(INDEX(ALLCLASSDATA,MATCH("UnarmoredExpert",CLASSFEATUREHEADERS,0),MATCH($A1529,CLASSNAMEHEADERS,0))),(INDEX(ALLCLASSDATA,MATCH("UnarmoredExpert",CLASSFEATUREHEADERS,0),MATCH(($A1529 &amp; "Points"),CLASSNAMEHEADERS,0))),(IF("17"=(INDEX(ALLCLASSDATA,MATCH("UnarmoredTrained",CLASSFEATUREHEADERS,0),MATCH($A1529,CLASSNAMEHEADERS,0))),(INDEX(ALLCLASSDATA,MATCH("UnarmoredTrained",CLASSFEATUREHEADERS,0),MATCH(($A1529 &amp; "Points"),CLASSNAMEHEADERS,0))),"")))))))))}</f>
        <v>UNARMOREDL17</v>
      </c>
      <c r="Y1528" s="223"/>
      <c r="Z1528" s="223" t="str">
        <f t="array" ref="Z1528:Z1529">{"UNARMOREDL19";((IF("19"=(INDEX(ALLCLASSDATA,MATCH("UnarmoredLegendary",CLASSFEATUREHEADERS,0),MATCH($A1529,CLASSNAMEHEADERS,0))),(INDEX(ALLCLASSDATA,MATCH("UnarmoredLegendary",CLASSFEATUREHEADERS,0),MATCH(($A1529 &amp; "Points"),CLASSNAMEHEADERS,0))),(IF("19"=(INDEX(ALLCLASSDATA,MATCH("UnarmoredMaster",CLASSFEATUREHEADERS,0),MATCH($A1529,CLASSNAMEHEADERS,0))),(INDEX(ALLCLASSDATA,MATCH("UnarmoredMaster",CLASSFEATUREHEADERS,0),MATCH(($A1529 &amp; "Points"),CLASSNAMEHEADERS,0))),(IF("19"=(INDEX(ALLCLASSDATA,MATCH("UnarmoredExpert",CLASSFEATUREHEADERS,0),MATCH($A1529,CLASSNAMEHEADERS,0))),(INDEX(ALLCLASSDATA,MATCH("UnarmoredExpert",CLASSFEATUREHEADERS,0),MATCH(($A1529 &amp; "Points"),CLASSNAMEHEADERS,0))),(IF("19"=(INDEX(ALLCLASSDATA,MATCH("UnarmoredTrained",CLASSFEATUREHEADERS,0),MATCH($A1529,CLASSNAMEHEADERS,0))),(INDEX(ALLCLASSDATA,MATCH("UnarmoredTrained",CLASSFEATUREHEADERS,0),MATCH(($A1529 &amp; "Points"),CLASSNAMEHEADERS,0))),"")))))))))}</f>
        <v>UNARMOREDL19</v>
      </c>
      <c r="AA1528" s="223"/>
      <c r="AB1528" s="76" t="str">
        <f t="array" ref="AB1528:AB1529">{"UNARMORED TOTAL";(IF(COUNTBLANK(G1529:AA1529)=17,"L",(IF(COUNTBLANK(G1529:AA1529)=18,"M",(IF(COUNTBLANK(G1529:AA1529)=19,"E",(IF(COUNTBLANK(G1529:AA1529)=20,"T",""))))))))}</f>
        <v>UNARMORED TOTAL</v>
      </c>
      <c r="AC1528" s="76" t="str">
        <f t="array" ref="AC1528:AC1529">{"UNARMORED TOTAL";(sum(G1529:AA1529))}</f>
        <v>UNARMORED TOTAL</v>
      </c>
    </row>
    <row r="1529">
      <c r="A1529" s="48" t="s">
        <v>221</v>
      </c>
      <c r="B1529" s="48"/>
      <c r="C1529" s="48" t="s">
        <v>418</v>
      </c>
      <c r="D1529" s="48" t="s">
        <v>1900</v>
      </c>
      <c r="E1529" s="48" t="s">
        <v>78</v>
      </c>
      <c r="F1529" s="5" t="s">
        <v>435</v>
      </c>
      <c r="G1529" s="47" t="s">
        <v>603</v>
      </c>
      <c r="H1529" s="5">
        <v>10.0</v>
      </c>
      <c r="I1529" s="5"/>
      <c r="J1529" s="5" t="s">
        <v>603</v>
      </c>
      <c r="K1529" s="5"/>
      <c r="L1529" s="5" t="s">
        <v>603</v>
      </c>
      <c r="M1529" s="5"/>
      <c r="N1529" s="5" t="s">
        <v>603</v>
      </c>
      <c r="O1529" s="5"/>
      <c r="P1529" s="5" t="s">
        <v>603</v>
      </c>
      <c r="Q1529" s="5"/>
      <c r="R1529" s="5" t="s">
        <v>603</v>
      </c>
      <c r="S1529" s="5"/>
      <c r="T1529" s="5" t="s">
        <v>436</v>
      </c>
      <c r="U1529" s="5"/>
      <c r="V1529" s="5" t="s">
        <v>603</v>
      </c>
      <c r="W1529" s="5"/>
      <c r="X1529" s="5" t="s">
        <v>603</v>
      </c>
      <c r="Y1529" s="5"/>
      <c r="Z1529" s="5" t="s">
        <v>603</v>
      </c>
      <c r="AA1529" s="5"/>
      <c r="AB1529" s="5" t="s">
        <v>436</v>
      </c>
      <c r="AC1529" s="47">
        <v>10.0</v>
      </c>
    </row>
    <row r="1530" hidden="1">
      <c r="A1530" s="222" t="str">
        <f t="array" ref="A1530:A1531">{"FormulaRow36";(INDEX(CLASSLIST,A1459,1))}</f>
        <v>FormulaRow36</v>
      </c>
      <c r="B1530" s="77" t="s">
        <v>236</v>
      </c>
      <c r="C1530" s="222" t="str">
        <f t="array" ref="C1530:C1531">{"CLASSTYPE";((INDEX(ALLCLASSDATA,MATCH("ClassType",CLASSFEATUREHEADERS,0),MATCH($A1531,CLASSNAMEHEADERS,0))))}</f>
        <v>CLASSTYPE</v>
      </c>
      <c r="D1530" s="222" t="str">
        <f t="array" ref="D1530:D1531">{"DEFENSE";"Defense"}</f>
        <v>DEFENSE</v>
      </c>
      <c r="E1530" s="222" t="str">
        <f t="array" ref="E1530:E1531">{"LIGHT";"Light"}</f>
        <v>LIGHT</v>
      </c>
      <c r="F1530" s="223" t="str">
        <f t="array" ref="F1530:F1531">{"LIGHTINITIAL";((IF(H1531=10,"T",(IF(H1531=50,"E","")))))}</f>
        <v>LIGHTINITIAL</v>
      </c>
      <c r="G1530" s="223" t="str">
        <f t="array" ref="G1530:G1531">{"LIGHTINITIALPTS";((IF("00"=(INDEX(ALLCLASSDATA,MATCH("LightLegendary",CLASSFEATUREHEADERS,0),MATCH($A1531,CLASSNAMEHEADERS,0))),(INDEX(ALLCLASSDATA,MATCH("LightLegendary",CLASSFEATUREHEADERS,0),MATCH(($A1531 &amp; "Points"),CLASSNAMEHEADERS,0))),(IF("00"=(INDEX(ALLCLASSDATA,MATCH("LightMaster",CLASSFEATUREHEADERS,0),MATCH($A1531,CLASSNAMEHEADERS,0))),(INDEX(ALLCLASSDATA,MATCH("LightMaster",CLASSFEATUREHEADERS,0),MATCH(($A1531 &amp; "Points"),CLASSNAMEHEADERS,0))),(IF("00"=(INDEX(ALLCLASSDATA,MATCH("LightExpert",CLASSFEATUREHEADERS,0),MATCH($A1531,CLASSNAMEHEADERS,0))),(INDEX(ALLCLASSDATA,MATCH("LightExpert",CLASSFEATUREHEADERS,0),MATCH(($A1531 &amp; "Points"),CLASSNAMEHEADERS,0))),(IF("00"=(INDEX(ALLCLASSDATA,MATCH("LightTrained",CLASSFEATUREHEADERS,0),MATCH($A1531,CLASSNAMEHEADERS,0))),(INDEX(ALLCLASSDATA,MATCH("LightTrained",CLASSFEATUREHEADERS,0),MATCH(($A1531 &amp; "Points"),CLASSNAMEHEADERS,0))),"")))))))))}</f>
        <v>LIGHTINITIALPTS</v>
      </c>
      <c r="H1530" s="223" t="str">
        <f t="array" ref="H1530:H1531">{"LIGHTL01";((IF("01"=(INDEX(ALLCLASSDATA,MATCH("LightLegendary",CLASSFEATUREHEADERS,0),MATCH($A1531,CLASSNAMEHEADERS,0))),(INDEX(ALLCLASSDATA,MATCH("LightLegendary",CLASSFEATUREHEADERS,0),MATCH(($A1531 &amp; "Points"),CLASSNAMEHEADERS,0))),(IF("01"=(INDEX(ALLCLASSDATA,MATCH("LightMaster",CLASSFEATUREHEADERS,0),MATCH($A1531,CLASSNAMEHEADERS,0))),(INDEX(ALLCLASSDATA,MATCH("LightMaster",CLASSFEATUREHEADERS,0),MATCH(($A1531 &amp; "Points"),CLASSNAMEHEADERS,0))),(IF("01"=(INDEX(ALLCLASSDATA,MATCH("LightExpert",CLASSFEATUREHEADERS,0),MATCH($A1531,CLASSNAMEHEADERS,0))),(INDEX(ALLCLASSDATA,MATCH("LightExpert",CLASSFEATUREHEADERS,0),MATCH(($A1531 &amp; "Points"),CLASSNAMEHEADERS,0))),(IF("01"=(INDEX(ALLCLASSDATA,MATCH("LightTrained",CLASSFEATUREHEADERS,0),MATCH($A1531,CLASSNAMEHEADERS,0))),(INDEX(ALLCLASSDATA,MATCH("LightTrained",CLASSFEATUREHEADERS,0),MATCH(($A1531 &amp; "Points"),CLASSNAMEHEADERS,0))),"")))))))))}</f>
        <v>LIGHTL01</v>
      </c>
      <c r="I1530" s="223"/>
      <c r="J1530" s="223" t="str">
        <f t="array" ref="J1530:J1531">{"LIGHTL03";((IF("03"=(INDEX(ALLCLASSDATA,MATCH("LightLegendary",CLASSFEATUREHEADERS,0),MATCH($A1531,CLASSNAMEHEADERS,0))),(INDEX(ALLCLASSDATA,MATCH("LightLegendary",CLASSFEATUREHEADERS,0),MATCH(($A1531 &amp; "Points"),CLASSNAMEHEADERS,0))),(IF("03"=(INDEX(ALLCLASSDATA,MATCH("LightMaster",CLASSFEATUREHEADERS,0),MATCH($A1531,CLASSNAMEHEADERS,0))),(INDEX(ALLCLASSDATA,MATCH("LightMaster",CLASSFEATUREHEADERS,0),MATCH(($A1531 &amp; "Points"),CLASSNAMEHEADERS,0))),(IF("03"=(INDEX(ALLCLASSDATA,MATCH("LightExpert",CLASSFEATUREHEADERS,0),MATCH($A1531,CLASSNAMEHEADERS,0))),(INDEX(ALLCLASSDATA,MATCH("LightExpert",CLASSFEATUREHEADERS,0),MATCH(($A1531 &amp; "Points"),CLASSNAMEHEADERS,0))),(IF("03"=(INDEX(ALLCLASSDATA,MATCH("LightTrained",CLASSFEATUREHEADERS,0),MATCH($A1531,CLASSNAMEHEADERS,0))),(INDEX(ALLCLASSDATA,MATCH("LightTrained",CLASSFEATUREHEADERS,0),MATCH(($A1531 &amp; "Points"),CLASSNAMEHEADERS,0))),"")))))))))}</f>
        <v>LIGHTL03</v>
      </c>
      <c r="K1530" s="223"/>
      <c r="L1530" s="223" t="str">
        <f t="array" ref="L1530:L1531">{"LIGHTL05";((IF("05"=(INDEX(ALLCLASSDATA,MATCH("LightLegendary",CLASSFEATUREHEADERS,0),MATCH($A1531,CLASSNAMEHEADERS,0))),(INDEX(ALLCLASSDATA,MATCH("LightLegendary",CLASSFEATUREHEADERS,0),MATCH(($A1531 &amp; "Points"),CLASSNAMEHEADERS,0))),(IF("05"=(INDEX(ALLCLASSDATA,MATCH("LightMaster",CLASSFEATUREHEADERS,0),MATCH($A1531,CLASSNAMEHEADERS,0))),(INDEX(ALLCLASSDATA,MATCH("LightMaster",CLASSFEATUREHEADERS,0),MATCH(($A1531 &amp; "Points"),CLASSNAMEHEADERS,0))),(IF("05"=(INDEX(ALLCLASSDATA,MATCH("LightExpert",CLASSFEATUREHEADERS,0),MATCH($A1531,CLASSNAMEHEADERS,0))),(INDEX(ALLCLASSDATA,MATCH("LightExpert",CLASSFEATUREHEADERS,0),MATCH(($A1531 &amp; "Points"),CLASSNAMEHEADERS,0))),(IF("05"=(INDEX(ALLCLASSDATA,MATCH("LightTrained",CLASSFEATUREHEADERS,0),MATCH($A1531,CLASSNAMEHEADERS,0))),(INDEX(ALLCLASSDATA,MATCH("LightTrained",CLASSFEATUREHEADERS,0),MATCH(($A1531 &amp; "Points"),CLASSNAMEHEADERS,0))),"")))))))))}</f>
        <v>LIGHTL05</v>
      </c>
      <c r="M1530" s="223"/>
      <c r="N1530" s="223" t="str">
        <f t="array" ref="N1530:N1531">{"LIGHTL07";((IF("07"=(INDEX(ALLCLASSDATA,MATCH("LightLegendary",CLASSFEATUREHEADERS,0),MATCH($A1531,CLASSNAMEHEADERS,0))),(INDEX(ALLCLASSDATA,MATCH("LightLegendary",CLASSFEATUREHEADERS,0),MATCH(($A1531 &amp; "Points"),CLASSNAMEHEADERS,0))),(IF("07"=(INDEX(ALLCLASSDATA,MATCH("LightMaster",CLASSFEATUREHEADERS,0),MATCH($A1531,CLASSNAMEHEADERS,0))),(INDEX(ALLCLASSDATA,MATCH("LightMaster",CLASSFEATUREHEADERS,0),MATCH(($A1531 &amp; "Points"),CLASSNAMEHEADERS,0))),(IF("07"=(INDEX(ALLCLASSDATA,MATCH("LightExpert",CLASSFEATUREHEADERS,0),MATCH($A1531,CLASSNAMEHEADERS,0))),(INDEX(ALLCLASSDATA,MATCH("LightExpert",CLASSFEATUREHEADERS,0),MATCH(($A1531 &amp; "Points"),CLASSNAMEHEADERS,0))),(IF("07"=(INDEX(ALLCLASSDATA,MATCH("LightTrained",CLASSFEATUREHEADERS,0),MATCH($A1531,CLASSNAMEHEADERS,0))),(INDEX(ALLCLASSDATA,MATCH("LightTrained",CLASSFEATUREHEADERS,0),MATCH(($A1531 &amp; "Points"),CLASSNAMEHEADERS,0))),"")))))))))}</f>
        <v>LIGHTL07</v>
      </c>
      <c r="O1530" s="223"/>
      <c r="P1530" s="223" t="str">
        <f t="array" ref="P1530:P1531">{"LIGHTL09";((IF("09"=(INDEX(ALLCLASSDATA,MATCH("LightLegendary",CLASSFEATUREHEADERS,0),MATCH($A1531,CLASSNAMEHEADERS,0))),(INDEX(ALLCLASSDATA,MATCH("LightLegendary",CLASSFEATUREHEADERS,0),MATCH(($A1531 &amp; "Points"),CLASSNAMEHEADERS,0))),(IF("09"=(INDEX(ALLCLASSDATA,MATCH("LightMaster",CLASSFEATUREHEADERS,0),MATCH($A1531,CLASSNAMEHEADERS,0))),(INDEX(ALLCLASSDATA,MATCH("LightMaster",CLASSFEATUREHEADERS,0),MATCH(($A1531 &amp; "Points"),CLASSNAMEHEADERS,0))),(IF("09"=(INDEX(ALLCLASSDATA,MATCH("LightExpert",CLASSFEATUREHEADERS,0),MATCH($A1531,CLASSNAMEHEADERS,0))),(INDEX(ALLCLASSDATA,MATCH("LightExpert",CLASSFEATUREHEADERS,0),MATCH(($A1531 &amp; "Points"),CLASSNAMEHEADERS,0))),(IF("09"=(INDEX(ALLCLASSDATA,MATCH("LightTrained",CLASSFEATUREHEADERS,0),MATCH($A1531,CLASSNAMEHEADERS,0))),(INDEX(ALLCLASSDATA,MATCH("LightTrained",CLASSFEATUREHEADERS,0),MATCH(($A1531 &amp; "Points"),CLASSNAMEHEADERS,0))),"")))))))))}</f>
        <v>LIGHTL09</v>
      </c>
      <c r="Q1530" s="223"/>
      <c r="R1530" s="223" t="str">
        <f t="array" ref="R1530:R1531">{"LIGHTL11";((IF("11"=(INDEX(ALLCLASSDATA,MATCH("LightLegendary",CLASSFEATUREHEADERS,0),MATCH($A1531,CLASSNAMEHEADERS,0))),(INDEX(ALLCLASSDATA,MATCH("LightLegendary",CLASSFEATUREHEADERS,0),MATCH(($A1531 &amp; "Points"),CLASSNAMEHEADERS,0))),(IF("11"=(INDEX(ALLCLASSDATA,MATCH("LightMaster",CLASSFEATUREHEADERS,0),MATCH($A1531,CLASSNAMEHEADERS,0))),(INDEX(ALLCLASSDATA,MATCH("LightMaster",CLASSFEATUREHEADERS,0),MATCH(($A1531 &amp; "Points"),CLASSNAMEHEADERS,0))),(IF("11"=(INDEX(ALLCLASSDATA,MATCH("LightExpert",CLASSFEATUREHEADERS,0),MATCH($A1531,CLASSNAMEHEADERS,0))),(INDEX(ALLCLASSDATA,MATCH("LightExpert",CLASSFEATUREHEADERS,0),MATCH(($A1531 &amp; "Points"),CLASSNAMEHEADERS,0))),(IF("11"=(INDEX(ALLCLASSDATA,MATCH("LightTrained",CLASSFEATUREHEADERS,0),MATCH($A1531,CLASSNAMEHEADERS,0))),(INDEX(ALLCLASSDATA,MATCH("LightTrained",CLASSFEATUREHEADERS,0),MATCH(($A1531 &amp; "Points"),CLASSNAMEHEADERS,0))),"")))))))))}</f>
        <v>LIGHTL11</v>
      </c>
      <c r="S1530" s="223"/>
      <c r="T1530" s="223" t="str">
        <f t="array" ref="T1530:T1531">{"LIGHTL13";((IF("13"=(INDEX(ALLCLASSDATA,MATCH("LightLegendary",CLASSFEATUREHEADERS,0),MATCH($A1531,CLASSNAMEHEADERS,0))),(INDEX(ALLCLASSDATA,MATCH("LightLegendary",CLASSFEATUREHEADERS,0),MATCH(($A1531 &amp; "Points"),CLASSNAMEHEADERS,0))),(IF("13"=(INDEX(ALLCLASSDATA,MATCH("LightMaster",CLASSFEATUREHEADERS,0),MATCH($A1531,CLASSNAMEHEADERS,0))),(INDEX(ALLCLASSDATA,MATCH("LightMaster",CLASSFEATUREHEADERS,0),MATCH(($A1531 &amp; "Points"),CLASSNAMEHEADERS,0))),(IF("13"=(INDEX(ALLCLASSDATA,MATCH("LightExpert",CLASSFEATUREHEADERS,0),MATCH($A1531,CLASSNAMEHEADERS,0))),(INDEX(ALLCLASSDATA,MATCH("LightExpert",CLASSFEATUREHEADERS,0),MATCH(($A1531 &amp; "Points"),CLASSNAMEHEADERS,0))),(IF("13"=(INDEX(ALLCLASSDATA,MATCH("LightTrained",CLASSFEATUREHEADERS,0),MATCH($A1531,CLASSNAMEHEADERS,0))),(INDEX(ALLCLASSDATA,MATCH("LightTrained",CLASSFEATUREHEADERS,0),MATCH(($A1531 &amp; "Points"),CLASSNAMEHEADERS,0))),"")))))))))}</f>
        <v>LIGHTL13</v>
      </c>
      <c r="U1530" s="223"/>
      <c r="V1530" s="223" t="str">
        <f t="array" ref="V1530:V1531">{"LIGHTL15";((IF("15"=(INDEX(ALLCLASSDATA,MATCH("LightLegendary",CLASSFEATUREHEADERS,0),MATCH($A1531,CLASSNAMEHEADERS,0))),(INDEX(ALLCLASSDATA,MATCH("LightLegendary",CLASSFEATUREHEADERS,0),MATCH(($A1531 &amp; "Points"),CLASSNAMEHEADERS,0))),(IF("15"=(INDEX(ALLCLASSDATA,MATCH("LightMaster",CLASSFEATUREHEADERS,0),MATCH($A1531,CLASSNAMEHEADERS,0))),(INDEX(ALLCLASSDATA,MATCH("LightMaster",CLASSFEATUREHEADERS,0),MATCH(($A1531 &amp; "Points"),CLASSNAMEHEADERS,0))),(IF("15"=(INDEX(ALLCLASSDATA,MATCH("LightExpert",CLASSFEATUREHEADERS,0),MATCH($A1531,CLASSNAMEHEADERS,0))),(INDEX(ALLCLASSDATA,MATCH("LightExpert",CLASSFEATUREHEADERS,0),MATCH(($A1531 &amp; "Points"),CLASSNAMEHEADERS,0))),(IF("15"=(INDEX(ALLCLASSDATA,MATCH("LightTrained",CLASSFEATUREHEADERS,0),MATCH($A1531,CLASSNAMEHEADERS,0))),(INDEX(ALLCLASSDATA,MATCH("LightTrained",CLASSFEATUREHEADERS,0),MATCH(($A1531 &amp; "Points"),CLASSNAMEHEADERS,0))),"")))))))))}</f>
        <v>LIGHTL15</v>
      </c>
      <c r="W1530" s="223"/>
      <c r="X1530" s="223" t="str">
        <f t="array" ref="X1530:X1531">{"LIGHTL17";((IF("17"=(INDEX(ALLCLASSDATA,MATCH("LightLegendary",CLASSFEATUREHEADERS,0),MATCH($A1531,CLASSNAMEHEADERS,0))),(INDEX(ALLCLASSDATA,MATCH("LightLegendary",CLASSFEATUREHEADERS,0),MATCH(($A1531 &amp; "Points"),CLASSNAMEHEADERS,0))),(IF("17"=(INDEX(ALLCLASSDATA,MATCH("LightMaster",CLASSFEATUREHEADERS,0),MATCH($A1531,CLASSNAMEHEADERS,0))),(INDEX(ALLCLASSDATA,MATCH("LightMaster",CLASSFEATUREHEADERS,0),MATCH(($A1531 &amp; "Points"),CLASSNAMEHEADERS,0))),(IF("17"=(INDEX(ALLCLASSDATA,MATCH("LightExpert",CLASSFEATUREHEADERS,0),MATCH($A1531,CLASSNAMEHEADERS,0))),(INDEX(ALLCLASSDATA,MATCH("LightExpert",CLASSFEATUREHEADERS,0),MATCH(($A1531 &amp; "Points"),CLASSNAMEHEADERS,0))),(IF("17"=(INDEX(ALLCLASSDATA,MATCH("LightTrained",CLASSFEATUREHEADERS,0),MATCH($A1531,CLASSNAMEHEADERS,0))),(INDEX(ALLCLASSDATA,MATCH("LightTrained",CLASSFEATUREHEADERS,0),MATCH(($A1531 &amp; "Points"),CLASSNAMEHEADERS,0))),"")))))))))}</f>
        <v>LIGHTL17</v>
      </c>
      <c r="Y1530" s="223"/>
      <c r="Z1530" s="223" t="str">
        <f t="array" ref="Z1530:Z1531">{"LIGHTL19";((IF("19"=(INDEX(ALLCLASSDATA,MATCH("LightLegendary",CLASSFEATUREHEADERS,0),MATCH($A1531,CLASSNAMEHEADERS,0))),(INDEX(ALLCLASSDATA,MATCH("LightLegendary",CLASSFEATUREHEADERS,0),MATCH(($A1531 &amp; "Points"),CLASSNAMEHEADERS,0))),(IF("19"=(INDEX(ALLCLASSDATA,MATCH("LightMaster",CLASSFEATUREHEADERS,0),MATCH($A1531,CLASSNAMEHEADERS,0))),(INDEX(ALLCLASSDATA,MATCH("LightMaster",CLASSFEATUREHEADERS,0),MATCH(($A1531 &amp; "Points"),CLASSNAMEHEADERS,0))),(IF("19"=(INDEX(ALLCLASSDATA,MATCH("LightExpert",CLASSFEATUREHEADERS,0),MATCH($A1531,CLASSNAMEHEADERS,0))),(INDEX(ALLCLASSDATA,MATCH("LightExpert",CLASSFEATUREHEADERS,0),MATCH(($A1531 &amp; "Points"),CLASSNAMEHEADERS,0))),(IF("19"=(INDEX(ALLCLASSDATA,MATCH("LightTrained",CLASSFEATUREHEADERS,0),MATCH($A1531,CLASSNAMEHEADERS,0))),(INDEX(ALLCLASSDATA,MATCH("LightTrained",CLASSFEATUREHEADERS,0),MATCH(($A1531 &amp; "Points"),CLASSNAMEHEADERS,0))),"")))))))))}</f>
        <v>LIGHTL19</v>
      </c>
      <c r="AA1530" s="223"/>
      <c r="AB1530" s="76" t="str">
        <f t="array" ref="AB1530:AB1531">{"LIGHT TOTAL";(IF(COUNTBLANK(G1531:AA1531)=17,"L",(IF(COUNTBLANK(G1531:AA1531)=18,"M",(IF(COUNTBLANK(G1531:AA1531)=19,"E",(IF(COUNTBLANK(G1531:AA1531)=20,"T",""))))))))}</f>
        <v>LIGHT TOTAL</v>
      </c>
      <c r="AC1530" s="76" t="str">
        <f t="array" ref="AC1530:AC1531">{"LIGHT TOTAL";(sum(G1531:AA1531))}</f>
        <v>LIGHT TOTAL</v>
      </c>
    </row>
    <row r="1531">
      <c r="A1531" s="48" t="s">
        <v>221</v>
      </c>
      <c r="B1531" s="48"/>
      <c r="C1531" s="48" t="s">
        <v>418</v>
      </c>
      <c r="D1531" s="48" t="s">
        <v>1900</v>
      </c>
      <c r="E1531" s="48" t="s">
        <v>77</v>
      </c>
      <c r="F1531" s="5" t="s">
        <v>435</v>
      </c>
      <c r="G1531" s="47" t="s">
        <v>603</v>
      </c>
      <c r="H1531" s="5">
        <v>10.0</v>
      </c>
      <c r="I1531" s="5"/>
      <c r="J1531" s="5" t="s">
        <v>603</v>
      </c>
      <c r="K1531" s="5"/>
      <c r="L1531" s="5" t="s">
        <v>603</v>
      </c>
      <c r="M1531" s="5"/>
      <c r="N1531" s="5" t="s">
        <v>603</v>
      </c>
      <c r="O1531" s="5"/>
      <c r="P1531" s="5" t="s">
        <v>603</v>
      </c>
      <c r="Q1531" s="5"/>
      <c r="R1531" s="5" t="s">
        <v>603</v>
      </c>
      <c r="S1531" s="5"/>
      <c r="T1531" s="5">
        <v>50.0</v>
      </c>
      <c r="U1531" s="5"/>
      <c r="V1531" s="5" t="s">
        <v>603</v>
      </c>
      <c r="W1531" s="5"/>
      <c r="X1531" s="5" t="s">
        <v>603</v>
      </c>
      <c r="Y1531" s="5"/>
      <c r="Z1531" s="5" t="s">
        <v>603</v>
      </c>
      <c r="AA1531" s="5"/>
      <c r="AB1531" s="5" t="s">
        <v>436</v>
      </c>
      <c r="AC1531" s="47">
        <v>60.0</v>
      </c>
    </row>
    <row r="1532" hidden="1">
      <c r="A1532" s="222" t="str">
        <f t="array" ref="A1532:A1533">{"FormulaRow37";(INDEX(CLASSLIST,A1459,1))}</f>
        <v>FormulaRow37</v>
      </c>
      <c r="B1532" s="77" t="s">
        <v>236</v>
      </c>
      <c r="C1532" s="222" t="str">
        <f t="array" ref="C1532:C1533">{"CLASSTYPE";((INDEX(ALLCLASSDATA,MATCH("ClassType",CLASSFEATUREHEADERS,0),MATCH($A1533,CLASSNAMEHEADERS,0))))}</f>
        <v>CLASSTYPE</v>
      </c>
      <c r="D1532" s="222" t="str">
        <f t="array" ref="D1532:D1533">{"DEFENSE";"Defense"}</f>
        <v>DEFENSE</v>
      </c>
      <c r="E1532" s="222" t="str">
        <f t="array" ref="E1532:E1533">{"MEDIUM";"Medium"}</f>
        <v>MEDIUM</v>
      </c>
      <c r="F1532" s="223" t="str">
        <f t="array" ref="F1532:F1533">{"MEDIUMINITIAL";((IF(H1533=10,"T",(IF(H1533=50,"E","")))))}</f>
        <v>MEDIUMINITIAL</v>
      </c>
      <c r="G1532" s="223" t="str">
        <f t="array" ref="G1532:G1533">{"MEDIUMINITIALPTS";((IF("00"=(INDEX(ALLCLASSDATA,MATCH("MediumLegendary",CLASSFEATUREHEADERS,0),MATCH($A1533,CLASSNAMEHEADERS,0))),(INDEX(ALLCLASSDATA,MATCH("MediumLegendary",CLASSFEATUREHEADERS,0),MATCH(($A1533 &amp; "Points"),CLASSNAMEHEADERS,0))),(IF("00"=(INDEX(ALLCLASSDATA,MATCH("MediumMaster",CLASSFEATUREHEADERS,0),MATCH($A1533,CLASSNAMEHEADERS,0))),(INDEX(ALLCLASSDATA,MATCH("MediumMaster",CLASSFEATUREHEADERS,0),MATCH(($A1533 &amp; "Points"),CLASSNAMEHEADERS,0))),(IF("00"=(INDEX(ALLCLASSDATA,MATCH("MediumExpert",CLASSFEATUREHEADERS,0),MATCH($A1533,CLASSNAMEHEADERS,0))),(INDEX(ALLCLASSDATA,MATCH("MediumExpert",CLASSFEATUREHEADERS,0),MATCH(($A1533 &amp; "Points"),CLASSNAMEHEADERS,0))),(IF("00"=(INDEX(ALLCLASSDATA,MATCH("MediumTrained",CLASSFEATUREHEADERS,0),MATCH($A1533,CLASSNAMEHEADERS,0))),(INDEX(ALLCLASSDATA,MATCH("MediumTrained",CLASSFEATUREHEADERS,0),MATCH(($A1533 &amp; "Points"),CLASSNAMEHEADERS,0))),"")))))))))}</f>
        <v>MEDIUMINITIALPTS</v>
      </c>
      <c r="H1532" s="223" t="str">
        <f t="array" ref="H1532:H1533">{"MEDIUML01";((IF("01"=(INDEX(ALLCLASSDATA,MATCH("MediumLegendary",CLASSFEATUREHEADERS,0),MATCH($A1533,CLASSNAMEHEADERS,0))),(INDEX(ALLCLASSDATA,MATCH("MediumLegendary",CLASSFEATUREHEADERS,0),MATCH(($A1533 &amp; "Points"),CLASSNAMEHEADERS,0))),(IF("01"=(INDEX(ALLCLASSDATA,MATCH("MediumMaster",CLASSFEATUREHEADERS,0),MATCH($A1533,CLASSNAMEHEADERS,0))),(INDEX(ALLCLASSDATA,MATCH("MediumMaster",CLASSFEATUREHEADERS,0),MATCH(($A1533 &amp; "Points"),CLASSNAMEHEADERS,0))),(IF("01"=(INDEX(ALLCLASSDATA,MATCH("MediumExpert",CLASSFEATUREHEADERS,0),MATCH($A1533,CLASSNAMEHEADERS,0))),(INDEX(ALLCLASSDATA,MATCH("MediumExpert",CLASSFEATUREHEADERS,0),MATCH(($A1533 &amp; "Points"),CLASSNAMEHEADERS,0))),(IF("01"=(INDEX(ALLCLASSDATA,MATCH("MediumTrained",CLASSFEATUREHEADERS,0),MATCH($A1533,CLASSNAMEHEADERS,0))),(INDEX(ALLCLASSDATA,MATCH("MediumTrained",CLASSFEATUREHEADERS,0),MATCH(($A1533 &amp; "Points"),CLASSNAMEHEADERS,0))),"")))))))))}</f>
        <v>MEDIUML01</v>
      </c>
      <c r="I1532" s="223"/>
      <c r="J1532" s="223" t="str">
        <f t="array" ref="J1532:J1533">{"MEDIUML03";((IF("03"=(INDEX(ALLCLASSDATA,MATCH("MediumLegendary",CLASSFEATUREHEADERS,0),MATCH($A1533,CLASSNAMEHEADERS,0))),(INDEX(ALLCLASSDATA,MATCH("MediumLegendary",CLASSFEATUREHEADERS,0),MATCH(($A1533 &amp; "Points"),CLASSNAMEHEADERS,0))),(IF("03"=(INDEX(ALLCLASSDATA,MATCH("MediumMaster",CLASSFEATUREHEADERS,0),MATCH($A1533,CLASSNAMEHEADERS,0))),(INDEX(ALLCLASSDATA,MATCH("MediumMaster",CLASSFEATUREHEADERS,0),MATCH(($A1533 &amp; "Points"),CLASSNAMEHEADERS,0))),(IF("03"=(INDEX(ALLCLASSDATA,MATCH("MediumExpert",CLASSFEATUREHEADERS,0),MATCH($A1533,CLASSNAMEHEADERS,0))),(INDEX(ALLCLASSDATA,MATCH("MediumExpert",CLASSFEATUREHEADERS,0),MATCH(($A1533 &amp; "Points"),CLASSNAMEHEADERS,0))),(IF("03"=(INDEX(ALLCLASSDATA,MATCH("MediumTrained",CLASSFEATUREHEADERS,0),MATCH($A1533,CLASSNAMEHEADERS,0))),(INDEX(ALLCLASSDATA,MATCH("MediumTrained",CLASSFEATUREHEADERS,0),MATCH(($A1533 &amp; "Points"),CLASSNAMEHEADERS,0))),"")))))))))}</f>
        <v>MEDIUML03</v>
      </c>
      <c r="K1532" s="223"/>
      <c r="L1532" s="223" t="str">
        <f t="array" ref="L1532:L1533">{"MEDIUML05";((IF("05"=(INDEX(ALLCLASSDATA,MATCH("MediumLegendary",CLASSFEATUREHEADERS,0),MATCH($A1533,CLASSNAMEHEADERS,0))),(INDEX(ALLCLASSDATA,MATCH("MediumLegendary",CLASSFEATUREHEADERS,0),MATCH(($A1533 &amp; "Points"),CLASSNAMEHEADERS,0))),(IF("05"=(INDEX(ALLCLASSDATA,MATCH("MediumMaster",CLASSFEATUREHEADERS,0),MATCH($A1533,CLASSNAMEHEADERS,0))),(INDEX(ALLCLASSDATA,MATCH("MediumMaster",CLASSFEATUREHEADERS,0),MATCH(($A1533 &amp; "Points"),CLASSNAMEHEADERS,0))),(IF("05"=(INDEX(ALLCLASSDATA,MATCH("MediumExpert",CLASSFEATUREHEADERS,0),MATCH($A1533,CLASSNAMEHEADERS,0))),(INDEX(ALLCLASSDATA,MATCH("MediumExpert",CLASSFEATUREHEADERS,0),MATCH(($A1533 &amp; "Points"),CLASSNAMEHEADERS,0))),(IF("05"=(INDEX(ALLCLASSDATA,MATCH("MediumTrained",CLASSFEATUREHEADERS,0),MATCH($A1533,CLASSNAMEHEADERS,0))),(INDEX(ALLCLASSDATA,MATCH("MediumTrained",CLASSFEATUREHEADERS,0),MATCH(($A1533 &amp; "Points"),CLASSNAMEHEADERS,0))),"")))))))))}</f>
        <v>MEDIUML05</v>
      </c>
      <c r="M1532" s="223"/>
      <c r="N1532" s="223" t="str">
        <f t="array" ref="N1532:N1533">{"MEDIUML07";((IF("07"=(INDEX(ALLCLASSDATA,MATCH("MediumLegendary",CLASSFEATUREHEADERS,0),MATCH($A1533,CLASSNAMEHEADERS,0))),(INDEX(ALLCLASSDATA,MATCH("MediumLegendary",CLASSFEATUREHEADERS,0),MATCH(($A1533 &amp; "Points"),CLASSNAMEHEADERS,0))),(IF("07"=(INDEX(ALLCLASSDATA,MATCH("MediumMaster",CLASSFEATUREHEADERS,0),MATCH($A1533,CLASSNAMEHEADERS,0))),(INDEX(ALLCLASSDATA,MATCH("MediumMaster",CLASSFEATUREHEADERS,0),MATCH(($A1533 &amp; "Points"),CLASSNAMEHEADERS,0))),(IF("07"=(INDEX(ALLCLASSDATA,MATCH("MediumExpert",CLASSFEATUREHEADERS,0),MATCH($A1533,CLASSNAMEHEADERS,0))),(INDEX(ALLCLASSDATA,MATCH("MediumExpert",CLASSFEATUREHEADERS,0),MATCH(($A1533 &amp; "Points"),CLASSNAMEHEADERS,0))),(IF("07"=(INDEX(ALLCLASSDATA,MATCH("MediumTrained",CLASSFEATUREHEADERS,0),MATCH($A1533,CLASSNAMEHEADERS,0))),(INDEX(ALLCLASSDATA,MATCH("MediumTrained",CLASSFEATUREHEADERS,0),MATCH(($A1533 &amp; "Points"),CLASSNAMEHEADERS,0))),"")))))))))}</f>
        <v>MEDIUML07</v>
      </c>
      <c r="O1532" s="223"/>
      <c r="P1532" s="223" t="str">
        <f t="array" ref="P1532:P1533">{"MEDIUML09";((IF("09"=(INDEX(ALLCLASSDATA,MATCH("MediumLegendary",CLASSFEATUREHEADERS,0),MATCH($A1533,CLASSNAMEHEADERS,0))),(INDEX(ALLCLASSDATA,MATCH("MediumLegendary",CLASSFEATUREHEADERS,0),MATCH(($A1533 &amp; "Points"),CLASSNAMEHEADERS,0))),(IF("09"=(INDEX(ALLCLASSDATA,MATCH("MediumMaster",CLASSFEATUREHEADERS,0),MATCH($A1533,CLASSNAMEHEADERS,0))),(INDEX(ALLCLASSDATA,MATCH("MediumMaster",CLASSFEATUREHEADERS,0),MATCH(($A1533 &amp; "Points"),CLASSNAMEHEADERS,0))),(IF("09"=(INDEX(ALLCLASSDATA,MATCH("MediumExpert",CLASSFEATUREHEADERS,0),MATCH($A1533,CLASSNAMEHEADERS,0))),(INDEX(ALLCLASSDATA,MATCH("MediumExpert",CLASSFEATUREHEADERS,0),MATCH(($A1533 &amp; "Points"),CLASSNAMEHEADERS,0))),(IF("09"=(INDEX(ALLCLASSDATA,MATCH("MediumTrained",CLASSFEATUREHEADERS,0),MATCH($A1533,CLASSNAMEHEADERS,0))),(INDEX(ALLCLASSDATA,MATCH("MediumTrained",CLASSFEATUREHEADERS,0),MATCH(($A1533 &amp; "Points"),CLASSNAMEHEADERS,0))),"")))))))))}</f>
        <v>MEDIUML09</v>
      </c>
      <c r="Q1532" s="223"/>
      <c r="R1532" s="223" t="str">
        <f t="array" ref="R1532:R1533">{"MEDIUML11";((IF("11"=(INDEX(ALLCLASSDATA,MATCH("MediumLegendary",CLASSFEATUREHEADERS,0),MATCH($A1533,CLASSNAMEHEADERS,0))),(INDEX(ALLCLASSDATA,MATCH("MediumLegendary",CLASSFEATUREHEADERS,0),MATCH(($A1533 &amp; "Points"),CLASSNAMEHEADERS,0))),(IF("11"=(INDEX(ALLCLASSDATA,MATCH("MediumMaster",CLASSFEATUREHEADERS,0),MATCH($A1533,CLASSNAMEHEADERS,0))),(INDEX(ALLCLASSDATA,MATCH("MediumMaster",CLASSFEATUREHEADERS,0),MATCH(($A1533 &amp; "Points"),CLASSNAMEHEADERS,0))),(IF("11"=(INDEX(ALLCLASSDATA,MATCH("MediumExpert",CLASSFEATUREHEADERS,0),MATCH($A1533,CLASSNAMEHEADERS,0))),(INDEX(ALLCLASSDATA,MATCH("MediumExpert",CLASSFEATUREHEADERS,0),MATCH(($A1533 &amp; "Points"),CLASSNAMEHEADERS,0))),(IF("11"=(INDEX(ALLCLASSDATA,MATCH("MediumTrained",CLASSFEATUREHEADERS,0),MATCH($A1533,CLASSNAMEHEADERS,0))),(INDEX(ALLCLASSDATA,MATCH("MediumTrained",CLASSFEATUREHEADERS,0),MATCH(($A1533 &amp; "Points"),CLASSNAMEHEADERS,0))),"")))))))))}</f>
        <v>MEDIUML11</v>
      </c>
      <c r="S1532" s="223"/>
      <c r="T1532" s="223" t="str">
        <f t="array" ref="T1532:T1533">{"MEDIUML13";((IF("13"=(INDEX(ALLCLASSDATA,MATCH("MediumLegendary",CLASSFEATUREHEADERS,0),MATCH($A1533,CLASSNAMEHEADERS,0))),(INDEX(ALLCLASSDATA,MATCH("MediumLegendary",CLASSFEATUREHEADERS,0),MATCH(($A1533 &amp; "Points"),CLASSNAMEHEADERS,0))),(IF("13"=(INDEX(ALLCLASSDATA,MATCH("MediumMaster",CLASSFEATUREHEADERS,0),MATCH($A1533,CLASSNAMEHEADERS,0))),(INDEX(ALLCLASSDATA,MATCH("MediumMaster",CLASSFEATUREHEADERS,0),MATCH(($A1533 &amp; "Points"),CLASSNAMEHEADERS,0))),(IF("13"=(INDEX(ALLCLASSDATA,MATCH("MediumExpert",CLASSFEATUREHEADERS,0),MATCH($A1533,CLASSNAMEHEADERS,0))),(INDEX(ALLCLASSDATA,MATCH("MediumExpert",CLASSFEATUREHEADERS,0),MATCH(($A1533 &amp; "Points"),CLASSNAMEHEADERS,0))),(IF("13"=(INDEX(ALLCLASSDATA,MATCH("MediumTrained",CLASSFEATUREHEADERS,0),MATCH($A1533,CLASSNAMEHEADERS,0))),(INDEX(ALLCLASSDATA,MATCH("MediumTrained",CLASSFEATUREHEADERS,0),MATCH(($A1533 &amp; "Points"),CLASSNAMEHEADERS,0))),"")))))))))}</f>
        <v>MEDIUML13</v>
      </c>
      <c r="U1532" s="223"/>
      <c r="V1532" s="223" t="str">
        <f t="array" ref="V1532:V1533">{"MEDIUML15";((IF("15"=(INDEX(ALLCLASSDATA,MATCH("MediumLegendary",CLASSFEATUREHEADERS,0),MATCH($A1533,CLASSNAMEHEADERS,0))),(INDEX(ALLCLASSDATA,MATCH("MediumLegendary",CLASSFEATUREHEADERS,0),MATCH(($A1533 &amp; "Points"),CLASSNAMEHEADERS,0))),(IF("15"=(INDEX(ALLCLASSDATA,MATCH("MediumMaster",CLASSFEATUREHEADERS,0),MATCH($A1533,CLASSNAMEHEADERS,0))),(INDEX(ALLCLASSDATA,MATCH("MediumMaster",CLASSFEATUREHEADERS,0),MATCH(($A1533 &amp; "Points"),CLASSNAMEHEADERS,0))),(IF("15"=(INDEX(ALLCLASSDATA,MATCH("MediumExpert",CLASSFEATUREHEADERS,0),MATCH($A1533,CLASSNAMEHEADERS,0))),(INDEX(ALLCLASSDATA,MATCH("MediumExpert",CLASSFEATUREHEADERS,0),MATCH(($A1533 &amp; "Points"),CLASSNAMEHEADERS,0))),(IF("15"=(INDEX(ALLCLASSDATA,MATCH("MediumTrained",CLASSFEATUREHEADERS,0),MATCH($A1533,CLASSNAMEHEADERS,0))),(INDEX(ALLCLASSDATA,MATCH("MediumTrained",CLASSFEATUREHEADERS,0),MATCH(($A1533 &amp; "Points"),CLASSNAMEHEADERS,0))),"")))))))))}</f>
        <v>MEDIUML15</v>
      </c>
      <c r="W1532" s="223"/>
      <c r="X1532" s="223" t="str">
        <f t="array" ref="X1532:X1533">{"MEDIUML17";((IF("17"=(INDEX(ALLCLASSDATA,MATCH("MediumLegendary",CLASSFEATUREHEADERS,0),MATCH($A1533,CLASSNAMEHEADERS,0))),(INDEX(ALLCLASSDATA,MATCH("MediumLegendary",CLASSFEATUREHEADERS,0),MATCH(($A1533 &amp; "Points"),CLASSNAMEHEADERS,0))),(IF("17"=(INDEX(ALLCLASSDATA,MATCH("MediumMaster",CLASSFEATUREHEADERS,0),MATCH($A1533,CLASSNAMEHEADERS,0))),(INDEX(ALLCLASSDATA,MATCH("MediumMaster",CLASSFEATUREHEADERS,0),MATCH(($A1533 &amp; "Points"),CLASSNAMEHEADERS,0))),(IF("17"=(INDEX(ALLCLASSDATA,MATCH("MediumExpert",CLASSFEATUREHEADERS,0),MATCH($A1533,CLASSNAMEHEADERS,0))),(INDEX(ALLCLASSDATA,MATCH("MediumExpert",CLASSFEATUREHEADERS,0),MATCH(($A1533 &amp; "Points"),CLASSNAMEHEADERS,0))),(IF("17"=(INDEX(ALLCLASSDATA,MATCH("MediumTrained",CLASSFEATUREHEADERS,0),MATCH($A1533,CLASSNAMEHEADERS,0))),(INDEX(ALLCLASSDATA,MATCH("MediumTrained",CLASSFEATUREHEADERS,0),MATCH(($A1533 &amp; "Points"),CLASSNAMEHEADERS,0))),"")))))))))}</f>
        <v>MEDIUML17</v>
      </c>
      <c r="Y1532" s="223"/>
      <c r="Z1532" s="223" t="str">
        <f t="array" ref="Z1532:Z1533">{"MEDIUML19";((IF("19"=(INDEX(ALLCLASSDATA,MATCH("MediumLegendary",CLASSFEATUREHEADERS,0),MATCH($A1533,CLASSNAMEHEADERS,0))),(INDEX(ALLCLASSDATA,MATCH("MediumLegendary",CLASSFEATUREHEADERS,0),MATCH(($A1533 &amp; "Points"),CLASSNAMEHEADERS,0))),(IF("19"=(INDEX(ALLCLASSDATA,MATCH("MediumMaster",CLASSFEATUREHEADERS,0),MATCH($A1533,CLASSNAMEHEADERS,0))),(INDEX(ALLCLASSDATA,MATCH("MediumMaster",CLASSFEATUREHEADERS,0),MATCH(($A1533 &amp; "Points"),CLASSNAMEHEADERS,0))),(IF("19"=(INDEX(ALLCLASSDATA,MATCH("MediumExpert",CLASSFEATUREHEADERS,0),MATCH($A1533,CLASSNAMEHEADERS,0))),(INDEX(ALLCLASSDATA,MATCH("MediumExpert",CLASSFEATUREHEADERS,0),MATCH(($A1533 &amp; "Points"),CLASSNAMEHEADERS,0))),(IF("19"=(INDEX(ALLCLASSDATA,MATCH("MediumTrained",CLASSFEATUREHEADERS,0),MATCH($A1533,CLASSNAMEHEADERS,0))),(INDEX(ALLCLASSDATA,MATCH("MediumTrained",CLASSFEATUREHEADERS,0),MATCH(($A1533 &amp; "Points"),CLASSNAMEHEADERS,0))),"")))))))))}</f>
        <v>MEDIUML19</v>
      </c>
      <c r="AA1532" s="223"/>
      <c r="AB1532" s="76" t="str">
        <f t="array" ref="AB1532:AB1533">{"MEDIUM TOTAL";(IF(COUNTBLANK(G1533:AA1533)=17,"L",(IF(COUNTBLANK(G1533:AA1533)=18,"M",(IF(COUNTBLANK(G1533:AA1533)=19,"E",(IF(COUNTBLANK(G1533:AA1533)=20,"T",""))))))))}</f>
        <v>MEDIUM TOTAL</v>
      </c>
      <c r="AC1532" s="76" t="str">
        <f t="array" ref="AC1532:AC1533">{"MEDIUM TOTAL";(sum(G1533:AA1533))}</f>
        <v>MEDIUM TOTAL</v>
      </c>
    </row>
    <row r="1533">
      <c r="A1533" s="48" t="s">
        <v>221</v>
      </c>
      <c r="B1533" s="48"/>
      <c r="C1533" s="48" t="s">
        <v>418</v>
      </c>
      <c r="D1533" s="48" t="s">
        <v>1900</v>
      </c>
      <c r="E1533" s="48" t="s">
        <v>76</v>
      </c>
      <c r="F1533" s="5" t="s">
        <v>603</v>
      </c>
      <c r="G1533" s="47" t="s">
        <v>603</v>
      </c>
      <c r="H1533" s="5" t="s">
        <v>603</v>
      </c>
      <c r="I1533" s="5"/>
      <c r="J1533" s="5" t="s">
        <v>603</v>
      </c>
      <c r="K1533" s="5"/>
      <c r="L1533" s="5" t="s">
        <v>603</v>
      </c>
      <c r="M1533" s="5"/>
      <c r="N1533" s="5" t="s">
        <v>603</v>
      </c>
      <c r="O1533" s="5"/>
      <c r="P1533" s="5" t="s">
        <v>603</v>
      </c>
      <c r="Q1533" s="5"/>
      <c r="R1533" s="5" t="s">
        <v>603</v>
      </c>
      <c r="S1533" s="5"/>
      <c r="T1533" s="5" t="s">
        <v>603</v>
      </c>
      <c r="U1533" s="5"/>
      <c r="V1533" s="5" t="s">
        <v>603</v>
      </c>
      <c r="W1533" s="5"/>
      <c r="X1533" s="5" t="s">
        <v>603</v>
      </c>
      <c r="Y1533" s="5"/>
      <c r="Z1533" s="5" t="s">
        <v>603</v>
      </c>
      <c r="AA1533" s="5"/>
      <c r="AB1533" s="5" t="s">
        <v>603</v>
      </c>
      <c r="AC1533" s="47">
        <v>0.0</v>
      </c>
    </row>
    <row r="1534" hidden="1">
      <c r="A1534" s="222" t="str">
        <f t="array" ref="A1534:A1535">{"FormulaRow38";(INDEX(CLASSLIST,A1459,1))}</f>
        <v>FormulaRow38</v>
      </c>
      <c r="B1534" s="77" t="s">
        <v>236</v>
      </c>
      <c r="C1534" s="222" t="str">
        <f t="array" ref="C1534:C1535">{"CLASSTYPE";((INDEX(ALLCLASSDATA,MATCH("ClassType",CLASSFEATUREHEADERS,0),MATCH($A1535,CLASSNAMEHEADERS,0))))}</f>
        <v>CLASSTYPE</v>
      </c>
      <c r="D1534" s="222" t="str">
        <f t="array" ref="D1534:D1535">{"DEFENSE";"Defense"}</f>
        <v>DEFENSE</v>
      </c>
      <c r="E1534" s="222" t="str">
        <f t="array" ref="E1534:E1535">{"HEAVY";"Heavy"}</f>
        <v>HEAVY</v>
      </c>
      <c r="F1534" s="223" t="str">
        <f t="array" ref="F1534:F1535">{"HEAVYINITIAL";((IF(H1535=10,"T",(IF(H1535=50,"E","")))))}</f>
        <v>HEAVYINITIAL</v>
      </c>
      <c r="G1534" s="223" t="str">
        <f t="array" ref="G1534:G1535">{"HEAVYINITIALPTS";((IF("00"=(INDEX(ALLCLASSDATA,MATCH("HeavyLegendary",CLASSFEATUREHEADERS,0),MATCH($A1535,CLASSNAMEHEADERS,0))),(INDEX(ALLCLASSDATA,MATCH("HeavyLegendary",CLASSFEATUREHEADERS,0),MATCH(($A1535 &amp; "Points"),CLASSNAMEHEADERS,0))),(IF("00"=(INDEX(ALLCLASSDATA,MATCH("HeavyMaster",CLASSFEATUREHEADERS,0),MATCH($A1535,CLASSNAMEHEADERS,0))),(INDEX(ALLCLASSDATA,MATCH("HeavyMaster",CLASSFEATUREHEADERS,0),MATCH(($A1535 &amp; "Points"),CLASSNAMEHEADERS,0))),(IF("00"=(INDEX(ALLCLASSDATA,MATCH("HeavyExpert",CLASSFEATUREHEADERS,0),MATCH($A1535,CLASSNAMEHEADERS,0))),(INDEX(ALLCLASSDATA,MATCH("HeavyExpert",CLASSFEATUREHEADERS,0),MATCH(($A1535 &amp; "Points"),CLASSNAMEHEADERS,0))),(IF("00"=(INDEX(ALLCLASSDATA,MATCH("HeavyTrained",CLASSFEATUREHEADERS,0),MATCH($A1535,CLASSNAMEHEADERS,0))),(INDEX(ALLCLASSDATA,MATCH("HeavyTrained",CLASSFEATUREHEADERS,0),MATCH(($A1535 &amp; "Points"),CLASSNAMEHEADERS,0))),"")))))))))}</f>
        <v>HEAVYINITIALPTS</v>
      </c>
      <c r="H1534" s="223" t="str">
        <f t="array" ref="H1534:H1535">{"HEAVYL01";((IF("01"=(INDEX(ALLCLASSDATA,MATCH("HeavyLegendary",CLASSFEATUREHEADERS,0),MATCH($A1535,CLASSNAMEHEADERS,0))),(INDEX(ALLCLASSDATA,MATCH("HeavyLegendary",CLASSFEATUREHEADERS,0),MATCH(($A1535 &amp; "Points"),CLASSNAMEHEADERS,0))),(IF("01"=(INDEX(ALLCLASSDATA,MATCH("HeavyMaster",CLASSFEATUREHEADERS,0),MATCH($A1535,CLASSNAMEHEADERS,0))),(INDEX(ALLCLASSDATA,MATCH("HeavyMaster",CLASSFEATUREHEADERS,0),MATCH(($A1535 &amp; "Points"),CLASSNAMEHEADERS,0))),(IF("01"=(INDEX(ALLCLASSDATA,MATCH("HeavyExpert",CLASSFEATUREHEADERS,0),MATCH($A1535,CLASSNAMEHEADERS,0))),(INDEX(ALLCLASSDATA,MATCH("HeavyExpert",CLASSFEATUREHEADERS,0),MATCH(($A1535 &amp; "Points"),CLASSNAMEHEADERS,0))),(IF("01"=(INDEX(ALLCLASSDATA,MATCH("HeavyTrained",CLASSFEATUREHEADERS,0),MATCH($A1535,CLASSNAMEHEADERS,0))),(INDEX(ALLCLASSDATA,MATCH("HeavyTrained",CLASSFEATUREHEADERS,0),MATCH(($A1535 &amp; "Points"),CLASSNAMEHEADERS,0))),"")))))))))}</f>
        <v>HEAVYL01</v>
      </c>
      <c r="I1534" s="223"/>
      <c r="J1534" s="223" t="str">
        <f t="array" ref="J1534:J1535">{"HEAVYL03";((IF("03"=(INDEX(ALLCLASSDATA,MATCH("HeavyLegendary",CLASSFEATUREHEADERS,0),MATCH($A1535,CLASSNAMEHEADERS,0))),(INDEX(ALLCLASSDATA,MATCH("HeavyLegendary",CLASSFEATUREHEADERS,0),MATCH(($A1535 &amp; "Points"),CLASSNAMEHEADERS,0))),(IF("03"=(INDEX(ALLCLASSDATA,MATCH("HeavyMaster",CLASSFEATUREHEADERS,0),MATCH($A1535,CLASSNAMEHEADERS,0))),(INDEX(ALLCLASSDATA,MATCH("HeavyMaster",CLASSFEATUREHEADERS,0),MATCH(($A1535 &amp; "Points"),CLASSNAMEHEADERS,0))),(IF("03"=(INDEX(ALLCLASSDATA,MATCH("HeavyExpert",CLASSFEATUREHEADERS,0),MATCH($A1535,CLASSNAMEHEADERS,0))),(INDEX(ALLCLASSDATA,MATCH("HeavyExpert",CLASSFEATUREHEADERS,0),MATCH(($A1535 &amp; "Points"),CLASSNAMEHEADERS,0))),(IF("03"=(INDEX(ALLCLASSDATA,MATCH("HeavyTrained",CLASSFEATUREHEADERS,0),MATCH($A1535,CLASSNAMEHEADERS,0))),(INDEX(ALLCLASSDATA,MATCH("HeavyTrained",CLASSFEATUREHEADERS,0),MATCH(($A1535 &amp; "Points"),CLASSNAMEHEADERS,0))),"")))))))))}</f>
        <v>HEAVYL03</v>
      </c>
      <c r="K1534" s="223"/>
      <c r="L1534" s="223" t="str">
        <f t="array" ref="L1534:L1535">{"HEAVYL05";((IF("05"=(INDEX(ALLCLASSDATA,MATCH("HeavyLegendary",CLASSFEATUREHEADERS,0),MATCH($A1535,CLASSNAMEHEADERS,0))),(INDEX(ALLCLASSDATA,MATCH("HeavyLegendary",CLASSFEATUREHEADERS,0),MATCH(($A1535 &amp; "Points"),CLASSNAMEHEADERS,0))),(IF("05"=(INDEX(ALLCLASSDATA,MATCH("HeavyMaster",CLASSFEATUREHEADERS,0),MATCH($A1535,CLASSNAMEHEADERS,0))),(INDEX(ALLCLASSDATA,MATCH("HeavyMaster",CLASSFEATUREHEADERS,0),MATCH(($A1535 &amp; "Points"),CLASSNAMEHEADERS,0))),(IF("05"=(INDEX(ALLCLASSDATA,MATCH("HeavyExpert",CLASSFEATUREHEADERS,0),MATCH($A1535,CLASSNAMEHEADERS,0))),(INDEX(ALLCLASSDATA,MATCH("HeavyExpert",CLASSFEATUREHEADERS,0),MATCH(($A1535 &amp; "Points"),CLASSNAMEHEADERS,0))),(IF("05"=(INDEX(ALLCLASSDATA,MATCH("HeavyTrained",CLASSFEATUREHEADERS,0),MATCH($A1535,CLASSNAMEHEADERS,0))),(INDEX(ALLCLASSDATA,MATCH("HeavyTrained",CLASSFEATUREHEADERS,0),MATCH(($A1535 &amp; "Points"),CLASSNAMEHEADERS,0))),"")))))))))}</f>
        <v>HEAVYL05</v>
      </c>
      <c r="M1534" s="223"/>
      <c r="N1534" s="223" t="str">
        <f t="array" ref="N1534:N1535">{"HEAVYL07";((IF("07"=(INDEX(ALLCLASSDATA,MATCH("HeavyLegendary",CLASSFEATUREHEADERS,0),MATCH($A1535,CLASSNAMEHEADERS,0))),(INDEX(ALLCLASSDATA,MATCH("HeavyLegendary",CLASSFEATUREHEADERS,0),MATCH(($A1535 &amp; "Points"),CLASSNAMEHEADERS,0))),(IF("07"=(INDEX(ALLCLASSDATA,MATCH("HeavyMaster",CLASSFEATUREHEADERS,0),MATCH($A1535,CLASSNAMEHEADERS,0))),(INDEX(ALLCLASSDATA,MATCH("HeavyMaster",CLASSFEATUREHEADERS,0),MATCH(($A1535 &amp; "Points"),CLASSNAMEHEADERS,0))),(IF("07"=(INDEX(ALLCLASSDATA,MATCH("HeavyExpert",CLASSFEATUREHEADERS,0),MATCH($A1535,CLASSNAMEHEADERS,0))),(INDEX(ALLCLASSDATA,MATCH("HeavyExpert",CLASSFEATUREHEADERS,0),MATCH(($A1535 &amp; "Points"),CLASSNAMEHEADERS,0))),(IF("07"=(INDEX(ALLCLASSDATA,MATCH("HeavyTrained",CLASSFEATUREHEADERS,0),MATCH($A1535,CLASSNAMEHEADERS,0))),(INDEX(ALLCLASSDATA,MATCH("HeavyTrained",CLASSFEATUREHEADERS,0),MATCH(($A1535 &amp; "Points"),CLASSNAMEHEADERS,0))),"")))))))))}</f>
        <v>HEAVYL07</v>
      </c>
      <c r="O1534" s="223"/>
      <c r="P1534" s="223" t="str">
        <f t="array" ref="P1534:P1535">{"HEAVYL09";((IF("09"=(INDEX(ALLCLASSDATA,MATCH("HeavyLegendary",CLASSFEATUREHEADERS,0),MATCH($A1535,CLASSNAMEHEADERS,0))),(INDEX(ALLCLASSDATA,MATCH("HeavyLegendary",CLASSFEATUREHEADERS,0),MATCH(($A1535 &amp; "Points"),CLASSNAMEHEADERS,0))),(IF("09"=(INDEX(ALLCLASSDATA,MATCH("HeavyMaster",CLASSFEATUREHEADERS,0),MATCH($A1535,CLASSNAMEHEADERS,0))),(INDEX(ALLCLASSDATA,MATCH("HeavyMaster",CLASSFEATUREHEADERS,0),MATCH(($A1535 &amp; "Points"),CLASSNAMEHEADERS,0))),(IF("09"=(INDEX(ALLCLASSDATA,MATCH("HeavyExpert",CLASSFEATUREHEADERS,0),MATCH($A1535,CLASSNAMEHEADERS,0))),(INDEX(ALLCLASSDATA,MATCH("HeavyExpert",CLASSFEATUREHEADERS,0),MATCH(($A1535 &amp; "Points"),CLASSNAMEHEADERS,0))),(IF("09"=(INDEX(ALLCLASSDATA,MATCH("HeavyTrained",CLASSFEATUREHEADERS,0),MATCH($A1535,CLASSNAMEHEADERS,0))),(INDEX(ALLCLASSDATA,MATCH("HeavyTrained",CLASSFEATUREHEADERS,0),MATCH(($A1535 &amp; "Points"),CLASSNAMEHEADERS,0))),"")))))))))}</f>
        <v>HEAVYL09</v>
      </c>
      <c r="Q1534" s="223"/>
      <c r="R1534" s="223" t="str">
        <f t="array" ref="R1534:R1535">{"HEAVYL11";((IF("11"=(INDEX(ALLCLASSDATA,MATCH("HeavyLegendary",CLASSFEATUREHEADERS,0),MATCH($A1535,CLASSNAMEHEADERS,0))),(INDEX(ALLCLASSDATA,MATCH("HeavyLegendary",CLASSFEATUREHEADERS,0),MATCH(($A1535 &amp; "Points"),CLASSNAMEHEADERS,0))),(IF("11"=(INDEX(ALLCLASSDATA,MATCH("HeavyMaster",CLASSFEATUREHEADERS,0),MATCH($A1535,CLASSNAMEHEADERS,0))),(INDEX(ALLCLASSDATA,MATCH("HeavyMaster",CLASSFEATUREHEADERS,0),MATCH(($A1535 &amp; "Points"),CLASSNAMEHEADERS,0))),(IF("11"=(INDEX(ALLCLASSDATA,MATCH("HeavyExpert",CLASSFEATUREHEADERS,0),MATCH($A1535,CLASSNAMEHEADERS,0))),(INDEX(ALLCLASSDATA,MATCH("HeavyExpert",CLASSFEATUREHEADERS,0),MATCH(($A1535 &amp; "Points"),CLASSNAMEHEADERS,0))),(IF("11"=(INDEX(ALLCLASSDATA,MATCH("HeavyTrained",CLASSFEATUREHEADERS,0),MATCH($A1535,CLASSNAMEHEADERS,0))),(INDEX(ALLCLASSDATA,MATCH("HeavyTrained",CLASSFEATUREHEADERS,0),MATCH(($A1535 &amp; "Points"),CLASSNAMEHEADERS,0))),"")))))))))}</f>
        <v>HEAVYL11</v>
      </c>
      <c r="S1534" s="223"/>
      <c r="T1534" s="223" t="str">
        <f t="array" ref="T1534:T1535">{"HEAVYL13";((IF("13"=(INDEX(ALLCLASSDATA,MATCH("HeavyLegendary",CLASSFEATUREHEADERS,0),MATCH($A1535,CLASSNAMEHEADERS,0))),(INDEX(ALLCLASSDATA,MATCH("HeavyLegendary",CLASSFEATUREHEADERS,0),MATCH(($A1535 &amp; "Points"),CLASSNAMEHEADERS,0))),(IF("13"=(INDEX(ALLCLASSDATA,MATCH("HeavyMaster",CLASSFEATUREHEADERS,0),MATCH($A1535,CLASSNAMEHEADERS,0))),(INDEX(ALLCLASSDATA,MATCH("HeavyMaster",CLASSFEATUREHEADERS,0),MATCH(($A1535 &amp; "Points"),CLASSNAMEHEADERS,0))),(IF("13"=(INDEX(ALLCLASSDATA,MATCH("HeavyExpert",CLASSFEATUREHEADERS,0),MATCH($A1535,CLASSNAMEHEADERS,0))),(INDEX(ALLCLASSDATA,MATCH("HeavyExpert",CLASSFEATUREHEADERS,0),MATCH(($A1535 &amp; "Points"),CLASSNAMEHEADERS,0))),(IF("13"=(INDEX(ALLCLASSDATA,MATCH("HeavyTrained",CLASSFEATUREHEADERS,0),MATCH($A1535,CLASSNAMEHEADERS,0))),(INDEX(ALLCLASSDATA,MATCH("HeavyTrained",CLASSFEATUREHEADERS,0),MATCH(($A1535 &amp; "Points"),CLASSNAMEHEADERS,0))),"")))))))))}</f>
        <v>HEAVYL13</v>
      </c>
      <c r="U1534" s="223"/>
      <c r="V1534" s="223" t="str">
        <f t="array" ref="V1534:V1535">{"HEAVYL15";((IF("15"=(INDEX(ALLCLASSDATA,MATCH("HeavyLegendary",CLASSFEATUREHEADERS,0),MATCH($A1535,CLASSNAMEHEADERS,0))),(INDEX(ALLCLASSDATA,MATCH("HeavyLegendary",CLASSFEATUREHEADERS,0),MATCH(($A1535 &amp; "Points"),CLASSNAMEHEADERS,0))),(IF("15"=(INDEX(ALLCLASSDATA,MATCH("HeavyMaster",CLASSFEATUREHEADERS,0),MATCH($A1535,CLASSNAMEHEADERS,0))),(INDEX(ALLCLASSDATA,MATCH("HeavyMaster",CLASSFEATUREHEADERS,0),MATCH(($A1535 &amp; "Points"),CLASSNAMEHEADERS,0))),(IF("15"=(INDEX(ALLCLASSDATA,MATCH("HeavyExpert",CLASSFEATUREHEADERS,0),MATCH($A1535,CLASSNAMEHEADERS,0))),(INDEX(ALLCLASSDATA,MATCH("HeavyExpert",CLASSFEATUREHEADERS,0),MATCH(($A1535 &amp; "Points"),CLASSNAMEHEADERS,0))),(IF("15"=(INDEX(ALLCLASSDATA,MATCH("HeavyTrained",CLASSFEATUREHEADERS,0),MATCH($A1535,CLASSNAMEHEADERS,0))),(INDEX(ALLCLASSDATA,MATCH("HeavyTrained",CLASSFEATUREHEADERS,0),MATCH(($A1535 &amp; "Points"),CLASSNAMEHEADERS,0))),"")))))))))}</f>
        <v>HEAVYL15</v>
      </c>
      <c r="W1534" s="223"/>
      <c r="X1534" s="223" t="str">
        <f t="array" ref="X1534:X1535">{"HEAVYL17";((IF("17"=(INDEX(ALLCLASSDATA,MATCH("HeavyLegendary",CLASSFEATUREHEADERS,0),MATCH($A1535,CLASSNAMEHEADERS,0))),(INDEX(ALLCLASSDATA,MATCH("HeavyLegendary",CLASSFEATUREHEADERS,0),MATCH(($A1535 &amp; "Points"),CLASSNAMEHEADERS,0))),(IF("17"=(INDEX(ALLCLASSDATA,MATCH("HeavyMaster",CLASSFEATUREHEADERS,0),MATCH($A1535,CLASSNAMEHEADERS,0))),(INDEX(ALLCLASSDATA,MATCH("HeavyMaster",CLASSFEATUREHEADERS,0),MATCH(($A1535 &amp; "Points"),CLASSNAMEHEADERS,0))),(IF("17"=(INDEX(ALLCLASSDATA,MATCH("HeavyExpert",CLASSFEATUREHEADERS,0),MATCH($A1535,CLASSNAMEHEADERS,0))),(INDEX(ALLCLASSDATA,MATCH("HeavyExpert",CLASSFEATUREHEADERS,0),MATCH(($A1535 &amp; "Points"),CLASSNAMEHEADERS,0))),(IF("17"=(INDEX(ALLCLASSDATA,MATCH("HeavyTrained",CLASSFEATUREHEADERS,0),MATCH($A1535,CLASSNAMEHEADERS,0))),(INDEX(ALLCLASSDATA,MATCH("HeavyTrained",CLASSFEATUREHEADERS,0),MATCH(($A1535 &amp; "Points"),CLASSNAMEHEADERS,0))),"")))))))))}</f>
        <v>HEAVYL17</v>
      </c>
      <c r="Y1534" s="223"/>
      <c r="Z1534" s="223" t="str">
        <f t="array" ref="Z1534:Z1535">{"HEAVYL19";((IF("19"=(INDEX(ALLCLASSDATA,MATCH("HeavyLegendary",CLASSFEATUREHEADERS,0),MATCH($A1535,CLASSNAMEHEADERS,0))),(INDEX(ALLCLASSDATA,MATCH("HeavyLegendary",CLASSFEATUREHEADERS,0),MATCH(($A1535 &amp; "Points"),CLASSNAMEHEADERS,0))),(IF("19"=(INDEX(ALLCLASSDATA,MATCH("HeavyMaster",CLASSFEATUREHEADERS,0),MATCH($A1535,CLASSNAMEHEADERS,0))),(INDEX(ALLCLASSDATA,MATCH("HeavyMaster",CLASSFEATUREHEADERS,0),MATCH(($A1535 &amp; "Points"),CLASSNAMEHEADERS,0))),(IF("19"=(INDEX(ALLCLASSDATA,MATCH("HeavyExpert",CLASSFEATUREHEADERS,0),MATCH($A1535,CLASSNAMEHEADERS,0))),(INDEX(ALLCLASSDATA,MATCH("HeavyExpert",CLASSFEATUREHEADERS,0),MATCH(($A1535 &amp; "Points"),CLASSNAMEHEADERS,0))),(IF("19"=(INDEX(ALLCLASSDATA,MATCH("HeavyTrained",CLASSFEATUREHEADERS,0),MATCH($A1535,CLASSNAMEHEADERS,0))),(INDEX(ALLCLASSDATA,MATCH("HeavyTrained",CLASSFEATUREHEADERS,0),MATCH(($A1535 &amp; "Points"),CLASSNAMEHEADERS,0))),"")))))))))}</f>
        <v>HEAVYL19</v>
      </c>
      <c r="AA1534" s="223"/>
      <c r="AB1534" s="76" t="str">
        <f t="array" ref="AB1534:AB1535">{"HEAVY TOTAL";(IF(COUNTBLANK(G1535:AA1535)=17,"L",(IF(COUNTBLANK(G1535:AA1535)=18,"M",(IF(COUNTBLANK(G1535:AA1535)=19,"E",(IF(COUNTBLANK(G1535:AA1535)=20,"T",""))))))))}</f>
        <v>HEAVY TOTAL</v>
      </c>
      <c r="AC1534" s="76" t="str">
        <f t="array" ref="AC1534:AC1535">{"HEAVY TOTAL";(sum(G1535:AA1535))}</f>
        <v>HEAVY TOTAL</v>
      </c>
    </row>
    <row r="1535">
      <c r="A1535" s="48" t="s">
        <v>221</v>
      </c>
      <c r="B1535" s="48"/>
      <c r="C1535" s="48" t="s">
        <v>418</v>
      </c>
      <c r="D1535" s="97" t="s">
        <v>1900</v>
      </c>
      <c r="E1535" s="97" t="s">
        <v>533</v>
      </c>
      <c r="F1535" s="98" t="s">
        <v>603</v>
      </c>
      <c r="G1535" s="132" t="s">
        <v>603</v>
      </c>
      <c r="H1535" s="98" t="s">
        <v>603</v>
      </c>
      <c r="I1535" s="98"/>
      <c r="J1535" s="98" t="s">
        <v>603</v>
      </c>
      <c r="K1535" s="98"/>
      <c r="L1535" s="98" t="s">
        <v>603</v>
      </c>
      <c r="M1535" s="98"/>
      <c r="N1535" s="98" t="s">
        <v>603</v>
      </c>
      <c r="O1535" s="98"/>
      <c r="P1535" s="98" t="s">
        <v>603</v>
      </c>
      <c r="Q1535" s="98"/>
      <c r="R1535" s="98" t="s">
        <v>603</v>
      </c>
      <c r="S1535" s="98"/>
      <c r="T1535" s="98" t="s">
        <v>603</v>
      </c>
      <c r="U1535" s="98"/>
      <c r="V1535" s="98" t="s">
        <v>603</v>
      </c>
      <c r="W1535" s="98"/>
      <c r="X1535" s="98" t="s">
        <v>603</v>
      </c>
      <c r="Y1535" s="98"/>
      <c r="Z1535" s="98" t="s">
        <v>603</v>
      </c>
      <c r="AA1535" s="98"/>
      <c r="AB1535" s="5" t="s">
        <v>603</v>
      </c>
      <c r="AC1535" s="47">
        <v>0.0</v>
      </c>
    </row>
    <row r="1536" hidden="1">
      <c r="A1536" s="222" t="str">
        <f t="array" ref="A1536:A1537">{"FormulaRow39";(INDEX(CLASSLIST,A1459,1))}</f>
        <v>FormulaRow39</v>
      </c>
      <c r="B1536" s="77" t="s">
        <v>236</v>
      </c>
      <c r="C1536" s="222" t="str">
        <f t="array" ref="C1536:C1537">{"CLASSTYPE";((INDEX(ALLCLASSDATA,MATCH("ClassType",CLASSFEATUREHEADERS,0),MATCH($A1537,CLASSNAMEHEADERS,0))))}</f>
        <v>CLASSTYPE</v>
      </c>
      <c r="D1536" s="222" t="str">
        <f t="array" ref="D1536:D1537">{"SPELL/ALCHEMY";((IF(INDEX(ALLCLASSDATA,MATCH("CasterType",CLASSFEATUREHEADERS,0),MATCH(($A1537),CLASSNAMEHEADERS,0))="","",(IF(INDEX(ALLCLASSDATA,MATCH("CasterType",CLASSFEATUREHEADERS,0),MATCH(($A1537),CLASSNAMEHEADERS,0))="Alchemy","Alchemy","Spells")))))}</f>
        <v>SPELL/ALCHEMY</v>
      </c>
      <c r="E1536" s="222" t="str">
        <f t="array" ref="E1536:E1537">{"SPELLLIST";(IF(D1537="Spells",((INDEX(ALLCLASSDATA,MATCH("CasterType",CLASSFEATUREHEADERS,0),MATCH(($A1537),CLASSNAMEHEADERS,0))) &amp; ":" &amp; (INDEX(ALLCLASSDATA,MATCH("SpellList",CLASSFEATUREHEADERS,0),MATCH(($A1537),CLASSNAMEHEADERS,0)))),""))}</f>
        <v>SPELLLIST</v>
      </c>
      <c r="F1536" s="223" t="str">
        <f t="array" ref="F1536:F1537">{"SPL";(IF(D1537="Spells","SPL:",""))}</f>
        <v>SPL</v>
      </c>
      <c r="G1536" s="223" t="str">
        <f t="array" ref="G1536:G1537">{"CANTRIP/ALC";(IF(D1537="Spells","C",(IF(D1537="Alchemy","ALC:",""))))}</f>
        <v>CANTRIP/ALC</v>
      </c>
      <c r="H1536" s="223" t="str">
        <f t="array" ref="H1536:H1537">{"SPELL/ALC L01";(IF(D1537="Alchemy","L01",(IF(D1537="Spells","S01",""))))}</f>
        <v>SPELL/ALC L01</v>
      </c>
      <c r="I1536" s="223" t="str">
        <f t="array" ref="I1536:I1537">{"SPELL/ALC L02";(IF(D1537="Alchemy","L02",(IF(D1537="Spells","S01",""))))}</f>
        <v>SPELL/ALC L02</v>
      </c>
      <c r="J1536" s="223" t="str">
        <f t="array" ref="J1536:J1537">{"SPELL/ALC L03";(IF(D1537="Alchemy","L03",(IF(D1537="Spells","S02",""))))}</f>
        <v>SPELL/ALC L03</v>
      </c>
      <c r="K1536" s="223" t="str">
        <f t="array" ref="K1536:K1537">{"SPELL/ALC L04";(IF(D1537="Alchemy","L04",(IF(D1537="Spells","S02",""))))}</f>
        <v>SPELL/ALC L04</v>
      </c>
      <c r="L1536" s="223" t="str">
        <f t="array" ref="L1536:L1537">{"SPELL/ALC L05";(IF(D1537="Alchemy","L05",(IF(D1537="Spells","S03",""))))}</f>
        <v>SPELL/ALC L05</v>
      </c>
      <c r="M1536" s="223" t="str">
        <f t="array" ref="M1536:M1537">{"SPELL/ALC L06";(IF(D1537="Alchemy","L06",(IF(D1537="Spells","S03",""))))}</f>
        <v>SPELL/ALC L06</v>
      </c>
      <c r="N1536" s="223" t="str">
        <f t="array" ref="N1536:N1537">{"SPELL/ALC L07";(IF(D1537="Alchemy","L07",(IF(D1537="Spells","S04",""))))}</f>
        <v>SPELL/ALC L07</v>
      </c>
      <c r="O1536" s="223" t="str">
        <f t="array" ref="O1536:O1537">{"SPELL/ALC L08";(IF(D1537="Alchemy","L08",(IF(D1537="Spells","S04",""))))}</f>
        <v>SPELL/ALC L08</v>
      </c>
      <c r="P1536" s="223" t="str">
        <f t="array" ref="P1536:P1537">{"SPELL/ALC L09";(IF(D1537="Alchemy","L09",(IF(D1537="Spells","S05",""))))}</f>
        <v>SPELL/ALC L09</v>
      </c>
      <c r="Q1536" s="223" t="str">
        <f t="array" ref="Q1536:Q1537">{"SPELL/ALC L10";(IF(D1537="Alchemy","L10",(IF(D1537="Spells","S05",""))))}</f>
        <v>SPELL/ALC L10</v>
      </c>
      <c r="R1536" s="223" t="str">
        <f t="array" ref="R1536:R1537">{"SPELL/ALC L11";(IF(D1537="Alchemy","L11",(IF(D1537="Spells","S06",""))))}</f>
        <v>SPELL/ALC L11</v>
      </c>
      <c r="S1536" s="223" t="str">
        <f t="array" ref="S1536:S1537">{"SPELL/ALC L12";(IF(D1537="Alchemy","L12",(IF(D1537="Spells","S06",""))))}</f>
        <v>SPELL/ALC L12</v>
      </c>
      <c r="T1536" s="223" t="str">
        <f t="array" ref="T1536:T1537">{"SPELL/ALC L13";(IF(D1537="Alchemy","L13",(IF(D1537="Spells","S07",""))))}</f>
        <v>SPELL/ALC L13</v>
      </c>
      <c r="U1536" s="223" t="str">
        <f t="array" ref="U1536:U1537">{"SPELL/ALC L14";(IF(D1537="Alchemy","L14",(IF(D1537="Spells","S07",""))))}</f>
        <v>SPELL/ALC L14</v>
      </c>
      <c r="V1536" s="223" t="str">
        <f t="array" ref="V1536:V1537">{"SPELL/ALC L15";(IF(D1537="Alchemy","L15",(IF(D1537="Spells","S08",""))))}</f>
        <v>SPELL/ALC L15</v>
      </c>
      <c r="W1536" s="223" t="str">
        <f t="array" ref="W1536:W1537">{"SPELL/ALC L16";(IF(D1537="Alchemy","L16",(IF(D1537="Spells","S08",""))))}</f>
        <v>SPELL/ALC L16</v>
      </c>
      <c r="X1536" s="223" t="str">
        <f t="array" ref="X1536:X1537">{"SPELL/ALC L17";(IF(D1537="Alchemy","L17",(IF(D1537="Spells","S09",""))))}</f>
        <v>SPELL/ALC L17</v>
      </c>
      <c r="Y1536" s="223" t="str">
        <f t="array" ref="Y1536:Y1537">{"SPELL/ALC L18";(IF(D1537="Alchemy","L18",(IF(D1537="Spells","S09",""))))}</f>
        <v>SPELL/ALC L18</v>
      </c>
      <c r="Z1536" s="223" t="str">
        <f t="array" ref="Z1536:Z1537">{"SPELL/ALC L19";(IF(D1537="Alchemy","L19",(IF(D1537="Spells","S10",""))))}</f>
        <v>SPELL/ALC L19</v>
      </c>
      <c r="AA1536" s="223" t="str">
        <f t="array" ref="AA1536:AA1537">{"SPELL/ALC L20";(IF(D1537="Alchemy","L20",(IF(D1537="Spells","S10",""))))}</f>
        <v>SPELL/ALC L20</v>
      </c>
      <c r="AB1536" s="76"/>
      <c r="AC1536" s="76"/>
    </row>
    <row r="1537">
      <c r="A1537" s="48" t="s">
        <v>221</v>
      </c>
      <c r="B1537" s="48"/>
      <c r="C1537" s="48" t="s">
        <v>418</v>
      </c>
      <c r="D1537" s="48" t="s">
        <v>1901</v>
      </c>
      <c r="E1537" s="48" t="s">
        <v>1931</v>
      </c>
      <c r="F1537" s="278" t="s">
        <v>1903</v>
      </c>
      <c r="G1537" s="114" t="s">
        <v>653</v>
      </c>
      <c r="H1537" s="279" t="s">
        <v>1536</v>
      </c>
      <c r="I1537" s="28" t="s">
        <v>1536</v>
      </c>
      <c r="J1537" s="28" t="s">
        <v>1542</v>
      </c>
      <c r="K1537" s="28" t="s">
        <v>1542</v>
      </c>
      <c r="L1537" s="28" t="s">
        <v>1545</v>
      </c>
      <c r="M1537" s="28" t="s">
        <v>1545</v>
      </c>
      <c r="N1537" s="28" t="s">
        <v>1548</v>
      </c>
      <c r="O1537" s="28" t="s">
        <v>1548</v>
      </c>
      <c r="P1537" s="28" t="s">
        <v>1553</v>
      </c>
      <c r="Q1537" s="28" t="s">
        <v>1553</v>
      </c>
      <c r="R1537" s="28" t="s">
        <v>1556</v>
      </c>
      <c r="S1537" s="28" t="s">
        <v>1556</v>
      </c>
      <c r="T1537" s="28" t="s">
        <v>1559</v>
      </c>
      <c r="U1537" s="28" t="s">
        <v>1559</v>
      </c>
      <c r="V1537" s="28" t="s">
        <v>1562</v>
      </c>
      <c r="W1537" s="28" t="s">
        <v>1562</v>
      </c>
      <c r="X1537" s="28" t="s">
        <v>1565</v>
      </c>
      <c r="Y1537" s="28" t="s">
        <v>1565</v>
      </c>
      <c r="Z1537" s="28" t="s">
        <v>1568</v>
      </c>
      <c r="AA1537" s="28" t="s">
        <v>1568</v>
      </c>
      <c r="AB1537" s="5"/>
      <c r="AC1537" s="47"/>
    </row>
    <row r="1538" hidden="1">
      <c r="A1538" s="222" t="str">
        <f t="array" ref="A1538:A1539">{"FormulaRow40";(INDEX(CLASSLIST,A1459,1))}</f>
        <v>FormulaRow40</v>
      </c>
      <c r="B1538" s="77" t="s">
        <v>236</v>
      </c>
      <c r="C1538" s="222" t="str">
        <f t="array" ref="C1538:C1539">{"CLASSTYPE";((INDEX(ALLCLASSDATA,MATCH("ClassType",CLASSFEATUREHEADERS,0),MATCH($A1539,CLASSNAMEHEADERS,0))))}</f>
        <v>CLASSTYPE</v>
      </c>
      <c r="D1538" s="222" t="str">
        <f t="array" ref="D1538:D1539">{"SPELL/ALCHEMY";((IF(INDEX(ALLCLASSDATA,MATCH("CasterType",CLASSFEATUREHEADERS,0),MATCH(($A1539),CLASSNAMEHEADERS,0))="","",(IF(INDEX(ALLCLASSDATA,MATCH("CasterType",CLASSFEATUREHEADERS,0),MATCH(($A1539),CLASSNAMEHEADERS,0))="Alchemy","","Spells")))))}</f>
        <v>SPELL/ALCHEMY</v>
      </c>
      <c r="E1538" s="222" t="str">
        <f t="array" ref="E1538:E1539">{"SPELLLIST";(IF(D1539="Spells",((INDEX(ALLCLASSDATA,MATCH("CasterType",CLASSFEATUREHEADERS,0),MATCH(($A1539),CLASSNAMEHEADERS,0))) &amp; ":" &amp; (INDEX(ALLCLASSDATA,MATCH("SpellList",CLASSFEATUREHEADERS,0),MATCH(($A1539),CLASSNAMEHEADERS,0)))),""))}</f>
        <v>SPELLLIST</v>
      </c>
      <c r="F1538" s="222" t="str">
        <f t="array" ref="F1538:F1539">{"SLOTCOST";(IF(D1539="Spells","SlotCost:",""))}</f>
        <v>SLOTCOST</v>
      </c>
      <c r="G1538" s="222" t="str">
        <f t="array" ref="G1538:G1539">{"SLOTCOST CANTRIP";(INDEX(ALLCLASSDATA,MATCH("CantripSlots-L00",CLASSFEATUREHEADERS,0),MATCH(($A1539 &amp; "Points"),CLASSNAMEHEADERS,0)))}</f>
        <v>SLOTCOST CANTRIP</v>
      </c>
      <c r="H1538" s="222" t="str">
        <f t="array" ref="H1538:H1539">{"SLOTCOST L01";(INDEX(ALLCLASSDATA,MATCH("SPL01-L01",CLASSFEATUREHEADERS,0),MATCH(($A1539 &amp; "Points"),CLASSNAMEHEADERS,0)))}</f>
        <v>SLOTCOST L01</v>
      </c>
      <c r="I1538" s="222" t="str">
        <f t="array" ref="I1538:I1539">{"SLOTCOST L02";(INDEX(ALLCLASSDATA,MATCH("SPL01-L02",CLASSFEATUREHEADERS,0),MATCH(($A1539 &amp; "Points"),CLASSNAMEHEADERS,0)))}</f>
        <v>SLOTCOST L02</v>
      </c>
      <c r="J1538" s="222" t="str">
        <f t="array" ref="J1538:J1539">{"SLOTCOST L03";(INDEX(ALLCLASSDATA,MATCH("SPL02-L03",CLASSFEATUREHEADERS,0),MATCH(($A1539 &amp; "Points"),CLASSNAMEHEADERS,0)))}</f>
        <v>SLOTCOST L03</v>
      </c>
      <c r="K1538" s="222" t="str">
        <f t="array" ref="K1538:K1539">{"SLOTCOST L04";(INDEX(ALLCLASSDATA,MATCH("SPL02-L04",CLASSFEATUREHEADERS,0),MATCH(($A1539 &amp; "Points"),CLASSNAMEHEADERS,0)))}</f>
        <v>SLOTCOST L04</v>
      </c>
      <c r="L1538" s="222" t="str">
        <f t="array" ref="L1538:L1539">{"SLOTCOST L05";(INDEX(ALLCLASSDATA,MATCH("SPL03-L05",CLASSFEATUREHEADERS,0),MATCH(($A1539 &amp; "Points"),CLASSNAMEHEADERS,0)))}</f>
        <v>SLOTCOST L05</v>
      </c>
      <c r="M1538" s="222" t="str">
        <f t="array" ref="M1538:M1539">{"SLOTCOST L06";(INDEX(ALLCLASSDATA,MATCH("SPL03-L06",CLASSFEATUREHEADERS,0),MATCH(($A1539 &amp; "Points"),CLASSNAMEHEADERS,0)))}</f>
        <v>SLOTCOST L06</v>
      </c>
      <c r="N1538" s="222" t="str">
        <f t="array" ref="N1538:N1539">{"SLOTCOST L07";(INDEX(ALLCLASSDATA,MATCH("SPL04-L07",CLASSFEATUREHEADERS,0),MATCH(($A1539 &amp; "Points"),CLASSNAMEHEADERS,0)))}</f>
        <v>SLOTCOST L07</v>
      </c>
      <c r="O1538" s="222" t="str">
        <f t="array" ref="O1538:O1539">{"SLOTCOST L08";(INDEX(ALLCLASSDATA,MATCH("SPL04-L08",CLASSFEATUREHEADERS,0),MATCH(($A1539 &amp; "Points"),CLASSNAMEHEADERS,0)))}</f>
        <v>SLOTCOST L08</v>
      </c>
      <c r="P1538" s="222" t="str">
        <f t="array" ref="P1538:P1539">{"SLOTCOST L09";(INDEX(ALLCLASSDATA,MATCH("SPL05-L09",CLASSFEATUREHEADERS,0),MATCH(($A1539 &amp; "Points"),CLASSNAMEHEADERS,0)))}</f>
        <v>SLOTCOST L09</v>
      </c>
      <c r="Q1538" s="222" t="str">
        <f t="array" ref="Q1538:Q1539">{"SLOTCOST L10";(INDEX(ALLCLASSDATA,MATCH("SPL05-L10",CLASSFEATUREHEADERS,0),MATCH(($A1539 &amp; "Points"),CLASSNAMEHEADERS,0)))}</f>
        <v>SLOTCOST L10</v>
      </c>
      <c r="R1538" s="222" t="str">
        <f t="array" ref="R1538:R1539">{"SLOTCOST L11";(INDEX(ALLCLASSDATA,MATCH("SPL06-L11",CLASSFEATUREHEADERS,0),MATCH(($A1539 &amp; "Points"),CLASSNAMEHEADERS,0)))}</f>
        <v>SLOTCOST L11</v>
      </c>
      <c r="S1538" s="222" t="str">
        <f t="array" ref="S1538:S1539">{"SLOTCOST L12";(INDEX(ALLCLASSDATA,MATCH("SPL06-L12",CLASSFEATUREHEADERS,0),MATCH(($A1539 &amp; "Points"),CLASSNAMEHEADERS,0)))}</f>
        <v>SLOTCOST L12</v>
      </c>
      <c r="T1538" s="222" t="str">
        <f t="array" ref="T1538:T1539">{"SLOTCOST L13";(INDEX(ALLCLASSDATA,MATCH("SPL07-L13",CLASSFEATUREHEADERS,0),MATCH(($A1539 &amp; "Points"),CLASSNAMEHEADERS,0)))}</f>
        <v>SLOTCOST L13</v>
      </c>
      <c r="U1538" s="222" t="str">
        <f t="array" ref="U1538:U1539">{"SLOTCOST L14";(INDEX(ALLCLASSDATA,MATCH("SPL07-L14",CLASSFEATUREHEADERS,0),MATCH(($A1539 &amp; "Points"),CLASSNAMEHEADERS,0)))}</f>
        <v>SLOTCOST L14</v>
      </c>
      <c r="V1538" s="222" t="str">
        <f t="array" ref="V1538:V1539">{"SLOTCOST L15";(INDEX(ALLCLASSDATA,MATCH("SPL08-L15",CLASSFEATUREHEADERS,0),MATCH(($A1539 &amp; "Points"),CLASSNAMEHEADERS,0)))}</f>
        <v>SLOTCOST L15</v>
      </c>
      <c r="W1538" s="222" t="str">
        <f t="array" ref="W1538:W1539">{"SLOTCOST L16";(INDEX(ALLCLASSDATA,MATCH("SPL08-L16",CLASSFEATUREHEADERS,0),MATCH(($A1539 &amp; "Points"),CLASSNAMEHEADERS,0)))}</f>
        <v>SLOTCOST L16</v>
      </c>
      <c r="X1538" s="222" t="str">
        <f t="array" ref="X1538:X1539">{"SLOTCOST L17";(INDEX(ALLCLASSDATA,MATCH("SPL09-L17",CLASSFEATUREHEADERS,0),MATCH(($A1539 &amp; "Points"),CLASSNAMEHEADERS,0)))}</f>
        <v>SLOTCOST L17</v>
      </c>
      <c r="Y1538" s="222" t="str">
        <f t="array" ref="Y1538:Y1539">{"SLOTCOST L18";(INDEX(ALLCLASSDATA,MATCH("SPL09-L18",CLASSFEATUREHEADERS,0),MATCH(($A1539 &amp; "Points"),CLASSNAMEHEADERS,0)))}</f>
        <v>SLOTCOST L18</v>
      </c>
      <c r="Z1538" s="222" t="str">
        <f t="array" ref="Z1538:Z1539">{"SLOTCOST L19";(INDEX(ALLCLASSDATA,MATCH("SPL10-L19",CLASSFEATUREHEADERS,0),MATCH(($A1539 &amp; "Points"),CLASSNAMEHEADERS,0)))}</f>
        <v>SLOTCOST L19</v>
      </c>
      <c r="AA1538" s="222" t="str">
        <f t="array" ref="AA1538:AA1539">{"SLOTCOST L20";(INDEX(ALLCLASSDATA,MATCH("SPL10-L20",CLASSFEATUREHEADERS,0),MATCH(($A1539 &amp; "Points"),CLASSNAMEHEADERS,0)))}</f>
        <v>SLOTCOST L20</v>
      </c>
      <c r="AB1538" s="76"/>
      <c r="AC1538" s="76" t="str">
        <f t="array" ref="AC1538:AC1539">{"SLOT TOTAL";(sum(G1539:AA1539))}</f>
        <v>SLOT TOTAL</v>
      </c>
    </row>
    <row r="1539">
      <c r="A1539" s="48" t="s">
        <v>221</v>
      </c>
      <c r="B1539" s="48"/>
      <c r="C1539" s="48" t="s">
        <v>418</v>
      </c>
      <c r="D1539" s="48" t="s">
        <v>1901</v>
      </c>
      <c r="E1539" s="48" t="s">
        <v>1931</v>
      </c>
      <c r="F1539" s="278" t="s">
        <v>1904</v>
      </c>
      <c r="G1539" s="47"/>
      <c r="H1539" s="5">
        <v>20.0</v>
      </c>
      <c r="I1539" s="5">
        <v>10.0</v>
      </c>
      <c r="J1539" s="5">
        <v>20.0</v>
      </c>
      <c r="K1539" s="5">
        <v>10.0</v>
      </c>
      <c r="L1539" s="5">
        <v>20.0</v>
      </c>
      <c r="M1539" s="48">
        <v>10.0</v>
      </c>
      <c r="N1539" s="5">
        <v>20.0</v>
      </c>
      <c r="O1539" s="5">
        <v>10.0</v>
      </c>
      <c r="P1539" s="5">
        <v>20.0</v>
      </c>
      <c r="Q1539" s="5">
        <v>10.0</v>
      </c>
      <c r="R1539" s="5">
        <v>20.0</v>
      </c>
      <c r="S1539" s="5">
        <v>10.0</v>
      </c>
      <c r="T1539" s="5">
        <v>20.0</v>
      </c>
      <c r="U1539" s="5">
        <v>10.0</v>
      </c>
      <c r="V1539" s="5">
        <v>20.0</v>
      </c>
      <c r="W1539" s="5">
        <v>10.0</v>
      </c>
      <c r="X1539" s="5">
        <v>20.0</v>
      </c>
      <c r="Y1539" s="5">
        <v>10.0</v>
      </c>
      <c r="Z1539" s="5">
        <v>190.0</v>
      </c>
      <c r="AA1539" s="5" t="s">
        <v>603</v>
      </c>
      <c r="AB1539" s="5"/>
      <c r="AC1539" s="47">
        <v>460.0</v>
      </c>
    </row>
    <row r="1540" hidden="1">
      <c r="A1540" s="222" t="str">
        <f t="array" ref="A1540:A1541">{"FormulaRow41";(INDEX(CLASSLIST,A1459,1))}</f>
        <v>FormulaRow41</v>
      </c>
      <c r="B1540" s="77" t="s">
        <v>236</v>
      </c>
      <c r="C1540" s="222" t="str">
        <f t="array" ref="C1540:C1541">{"CLASSTYPE";((INDEX(ALLCLASSDATA,MATCH("ClassType",CLASSFEATUREHEADERS,0),MATCH($A1541,CLASSNAMEHEADERS,0))))}</f>
        <v>CLASSTYPE</v>
      </c>
      <c r="D1540" s="222" t="str">
        <f t="array" ref="D1540:D1541">{"SPELL/ALCHEMY";((IF(INDEX(ALLCLASSDATA,MATCH("CasterType",CLASSFEATUREHEADERS,0),MATCH(($A1541),CLASSNAMEHEADERS,0))="","",(IF(INDEX(ALLCLASSDATA,MATCH("CasterType",CLASSFEATUREHEADERS,0),MATCH(($A1541),CLASSNAMEHEADERS,0))="Alchemy","Alchemy","Spells")))))}</f>
        <v>SPELL/ALCHEMY</v>
      </c>
      <c r="E1540" s="222" t="str">
        <f t="array" ref="E1540:E1541">{"SPELLLIST";(IF(D1541="Spells",((INDEX(ALLCLASSDATA,MATCH("CasterType",CLASSFEATUREHEADERS,0),MATCH(($A1541),CLASSNAMEHEADERS,0))) &amp; ":" &amp; (INDEX(ALLCLASSDATA,MATCH("SpellList",CLASSFEATUREHEADERS,0),MATCH(($A1541),CLASSNAMEHEADERS,0)))),""))}</f>
        <v>SPELLLIST</v>
      </c>
      <c r="F1540" s="223" t="str">
        <f t="array" ref="F1540:F1541">{"LEARNEDCOST";(IF(D1541="","","LearnCost:"))}</f>
        <v>LEARNEDCOST</v>
      </c>
      <c r="G1540" s="223" t="str">
        <f t="array" ref="G1540:G1541">{"LEARNED CANTRIPS";(INDEX(ALLCLASSDATA,MATCH("CantripsLearned-L00",CLASSFEATUREHEADERS,0),MATCH(($A1541 &amp; "Points"),CLASSNAMEHEADERS,0)))}</f>
        <v>LEARNED CANTRIPS</v>
      </c>
      <c r="H1540" s="223" t="str">
        <f t="array" ref="H1540:H1541">{"LEARNED L01";(INDEX(ALLCLASSDATA,MATCH("Learned-L01",CLASSFEATUREHEADERS,0),MATCH(($A1541 &amp; "Points"),CLASSNAMEHEADERS,0)))}</f>
        <v>LEARNED L01</v>
      </c>
      <c r="I1540" s="223" t="str">
        <f t="array" ref="I1540:I1541">{"LEARNED L02";(INDEX(ALLCLASSDATA,MATCH("Learned-L02",CLASSFEATUREHEADERS,0),MATCH(($A1541 &amp; "Points"),CLASSNAMEHEADERS,0)))}</f>
        <v>LEARNED L02</v>
      </c>
      <c r="J1540" s="223" t="str">
        <f t="array" ref="J1540:J1541">{"LEARNED L03";(INDEX(ALLCLASSDATA,MATCH("Learned-L03",CLASSFEATUREHEADERS,0),MATCH(($A1541 &amp; "Points"),CLASSNAMEHEADERS,0)))}</f>
        <v>LEARNED L03</v>
      </c>
      <c r="K1540" s="223" t="str">
        <f t="array" ref="K1540:K1541">{"LEARNED L04";(INDEX(ALLCLASSDATA,MATCH("Learned-L04",CLASSFEATUREHEADERS,0),MATCH(($A1541 &amp; "Points"),CLASSNAMEHEADERS,0)))}</f>
        <v>LEARNED L04</v>
      </c>
      <c r="L1540" s="223" t="str">
        <f t="array" ref="L1540:L1541">{"LEARNED L05";(INDEX(ALLCLASSDATA,MATCH("Learned-L05",CLASSFEATUREHEADERS,0),MATCH(($A1541 &amp; "Points"),CLASSNAMEHEADERS,0)))}</f>
        <v>LEARNED L05</v>
      </c>
      <c r="M1540" s="223" t="str">
        <f t="array" ref="M1540:M1541">{"LEARNED L06";(INDEX(ALLCLASSDATA,MATCH("Learned-L06",CLASSFEATUREHEADERS,0),MATCH(($A1541 &amp; "Points"),CLASSNAMEHEADERS,0)))}</f>
        <v>LEARNED L06</v>
      </c>
      <c r="N1540" s="223" t="str">
        <f t="array" ref="N1540:N1541">{"LEARNED L07";(INDEX(ALLCLASSDATA,MATCH("Learned-L07",CLASSFEATUREHEADERS,0),MATCH(($A1541 &amp; "Points"),CLASSNAMEHEADERS,0)))}</f>
        <v>LEARNED L07</v>
      </c>
      <c r="O1540" s="223" t="str">
        <f t="array" ref="O1540:O1541">{"LEARNED L08";(INDEX(ALLCLASSDATA,MATCH("Learned-L08",CLASSFEATUREHEADERS,0),MATCH(($A1541 &amp; "Points"),CLASSNAMEHEADERS,0)))}</f>
        <v>LEARNED L08</v>
      </c>
      <c r="P1540" s="223" t="str">
        <f t="array" ref="P1540:P1541">{"LEARNED L09";(INDEX(ALLCLASSDATA,MATCH("Learned-L09",CLASSFEATUREHEADERS,0),MATCH(($A1541 &amp; "Points"),CLASSNAMEHEADERS,0)))}</f>
        <v>LEARNED L09</v>
      </c>
      <c r="Q1540" s="223" t="str">
        <f t="array" ref="Q1540:Q1541">{"LEARNED L10";(INDEX(ALLCLASSDATA,MATCH("Learned-L10",CLASSFEATUREHEADERS,0),MATCH(($A1541 &amp; "Points"),CLASSNAMEHEADERS,0)))}</f>
        <v>LEARNED L10</v>
      </c>
      <c r="R1540" s="223" t="str">
        <f t="array" ref="R1540:R1541">{"LEARNED L11";(INDEX(ALLCLASSDATA,MATCH("Learned-L11",CLASSFEATUREHEADERS,0),MATCH(($A1541 &amp; "Points"),CLASSNAMEHEADERS,0)))}</f>
        <v>LEARNED L11</v>
      </c>
      <c r="S1540" s="223" t="str">
        <f t="array" ref="S1540:S1541">{"LEARNED L12";(INDEX(ALLCLASSDATA,MATCH("Learned-L12",CLASSFEATUREHEADERS,0),MATCH(($A1541 &amp; "Points"),CLASSNAMEHEADERS,0)))}</f>
        <v>LEARNED L12</v>
      </c>
      <c r="T1540" s="223" t="str">
        <f t="array" ref="T1540:T1541">{"LEARNED L13";(INDEX(ALLCLASSDATA,MATCH("Learned-L13",CLASSFEATUREHEADERS,0),MATCH(($A1541 &amp; "Points"),CLASSNAMEHEADERS,0)))}</f>
        <v>LEARNED L13</v>
      </c>
      <c r="U1540" s="223" t="str">
        <f t="array" ref="U1540:U1541">{"LEARNED L14";(INDEX(ALLCLASSDATA,MATCH("Learned-L14",CLASSFEATUREHEADERS,0),MATCH(($A1541 &amp; "Points"),CLASSNAMEHEADERS,0)))}</f>
        <v>LEARNED L14</v>
      </c>
      <c r="V1540" s="223" t="str">
        <f t="array" ref="V1540:V1541">{"LEARNED L15";(INDEX(ALLCLASSDATA,MATCH("Learned-L15",CLASSFEATUREHEADERS,0),MATCH(($A1541 &amp; "Points"),CLASSNAMEHEADERS,0)))}</f>
        <v>LEARNED L15</v>
      </c>
      <c r="W1540" s="223" t="str">
        <f t="array" ref="W1540:W1541">{"LEARNED L16";(INDEX(ALLCLASSDATA,MATCH("Learned-L16",CLASSFEATUREHEADERS,0),MATCH(($A1541 &amp; "Points"),CLASSNAMEHEADERS,0)))}</f>
        <v>LEARNED L16</v>
      </c>
      <c r="X1540" s="223" t="str">
        <f t="array" ref="X1540:X1541">{"LEARNED L17";(INDEX(ALLCLASSDATA,MATCH("Learned-L17",CLASSFEATUREHEADERS,0),MATCH(($A1541 &amp; "Points"),CLASSNAMEHEADERS,0)))}</f>
        <v>LEARNED L17</v>
      </c>
      <c r="Y1540" s="223" t="str">
        <f t="array" ref="Y1540:Y1541">{"LEARNED L18";(INDEX(ALLCLASSDATA,MATCH("Learned-L18",CLASSFEATUREHEADERS,0),MATCH(($A1541 &amp; "Points"),CLASSNAMEHEADERS,0)))}</f>
        <v>LEARNED L18</v>
      </c>
      <c r="Z1540" s="223" t="str">
        <f t="array" ref="Z1540:Z1541">{"LEARNED L19";(INDEX(ALLCLASSDATA,MATCH("Learned-L19",CLASSFEATUREHEADERS,0),MATCH(($A1541 &amp; "Points"),CLASSNAMEHEADERS,0)))}</f>
        <v>LEARNED L19</v>
      </c>
      <c r="AA1540" s="223" t="str">
        <f t="array" ref="AA1540:AA1541">{"LEARNED L20";(INDEX(ALLCLASSDATA,MATCH("Learned-L20",CLASSFEATUREHEADERS,0),MATCH(($A1541 &amp; "Points"),CLASSNAMEHEADERS,0)))}</f>
        <v>LEARNED L20</v>
      </c>
      <c r="AB1540" s="76"/>
      <c r="AC1540" s="76" t="str">
        <f t="array" ref="AC1540:AC1541">{"LEARNED TOTAL";(sum(G1541:AA1541))}</f>
        <v>LEARNED TOTAL</v>
      </c>
    </row>
    <row r="1541">
      <c r="A1541" s="48" t="s">
        <v>221</v>
      </c>
      <c r="B1541" s="48"/>
      <c r="C1541" s="48" t="s">
        <v>418</v>
      </c>
      <c r="D1541" s="48" t="s">
        <v>1901</v>
      </c>
      <c r="E1541" s="48" t="s">
        <v>1931</v>
      </c>
      <c r="F1541" s="278" t="s">
        <v>1906</v>
      </c>
      <c r="G1541" s="47">
        <v>0.0</v>
      </c>
      <c r="H1541" s="5">
        <v>30.0</v>
      </c>
      <c r="I1541" s="5">
        <v>10.0</v>
      </c>
      <c r="J1541" s="5">
        <v>20.0</v>
      </c>
      <c r="K1541" s="5">
        <v>10.0</v>
      </c>
      <c r="L1541" s="5">
        <v>20.0</v>
      </c>
      <c r="M1541" s="5">
        <v>10.0</v>
      </c>
      <c r="N1541" s="48">
        <v>20.0</v>
      </c>
      <c r="O1541" s="5">
        <v>10.0</v>
      </c>
      <c r="P1541" s="5">
        <v>20.0</v>
      </c>
      <c r="Q1541" s="5">
        <v>10.0</v>
      </c>
      <c r="R1541" s="5">
        <v>20.0</v>
      </c>
      <c r="S1541" s="5">
        <v>10.0</v>
      </c>
      <c r="T1541" s="5">
        <v>20.0</v>
      </c>
      <c r="U1541" s="5">
        <v>10.0</v>
      </c>
      <c r="V1541" s="5">
        <v>20.0</v>
      </c>
      <c r="W1541" s="5">
        <v>10.0</v>
      </c>
      <c r="X1541" s="5">
        <v>20.0</v>
      </c>
      <c r="Y1541" s="5">
        <v>10.0</v>
      </c>
      <c r="Z1541" s="5">
        <v>0.0</v>
      </c>
      <c r="AA1541" s="5" t="s">
        <v>603</v>
      </c>
      <c r="AB1541" s="5"/>
      <c r="AC1541" s="47">
        <v>280.0</v>
      </c>
    </row>
    <row r="1542" hidden="1">
      <c r="A1542" s="222" t="str">
        <f t="array" ref="A1542:A1543">{"FormulaRow42";(INDEX(CLASSLIST,A1459,1))}</f>
        <v>FormulaRow42</v>
      </c>
      <c r="B1542" s="77" t="s">
        <v>236</v>
      </c>
      <c r="C1542" s="222" t="str">
        <f t="array" ref="C1542:C1543">{"CLASSTYPE";((INDEX(ALLCLASSDATA,MATCH("ClassType",CLASSFEATUREHEADERS,0),MATCH($A1543,CLASSNAMEHEADERS,0))))}</f>
        <v>CLASSTYPE</v>
      </c>
      <c r="D1542" s="222" t="str">
        <f t="array" ref="D1542:D1543">{"SPELL/ALCHEMY";((IF(INDEX(ALLCLASSDATA,MATCH("CasterType",CLASSFEATUREHEADERS,0),MATCH(($A1543),CLASSNAMEHEADERS,0))="","",(IF(INDEX(ALLCLASSDATA,MATCH("CasterType",CLASSFEATUREHEADERS,0),MATCH(($A1543),CLASSNAMEHEADERS,0))="Alchemy","","Spells")))))}</f>
        <v>SPELL/ALCHEMY</v>
      </c>
      <c r="E1542" s="222" t="str">
        <f t="array" ref="E1542:E1543">{"SPELLLIST";(IF(D1543="Spells",((INDEX(ALLCLASSDATA,MATCH("CasterType",CLASSFEATUREHEADERS,0),MATCH(($A1543),CLASSNAMEHEADERS,0))) &amp; ":" &amp; (INDEX(ALLCLASSDATA,MATCH("SpellList",CLASSFEATUREHEADERS,0),MATCH(($A1543),CLASSNAMEHEADERS,0)))),""))}</f>
        <v>SPELLLIST</v>
      </c>
      <c r="F1542" s="223" t="str">
        <f t="array" ref="F1542:F1543">{"SLOT/LVL";(IF(D1537="Spells","Slot/LVL:",""))}</f>
        <v>SLOT/LVL</v>
      </c>
      <c r="G1542" s="223" t="str">
        <f t="array" ref="G1542:G1543">{"CANTRIPSLOTS";(INDEX(ALLCLASSDATA,MATCH("CantripSlots-L00",CLASSFEATUREHEADERS,0),MATCH($A1543,CLASSNAMEHEADERS,0)))}</f>
        <v>CANTRIPSLOTS</v>
      </c>
      <c r="H1542" s="223" t="str">
        <f t="array" ref="H1542:H1543">{"SPL01-L01";(INDEX(ALLCLASSDATA,MATCH("SPL01-L01",CLASSFEATUREHEADERS,0),MATCH($A1543,CLASSNAMEHEADERS,0)))}</f>
        <v>SPL01-L01</v>
      </c>
      <c r="I1542" s="223" t="str">
        <f t="array" ref="I1542:I1543">{"SPL01-L02";(INDEX(ALLCLASSDATA,MATCH("SPL01-L02",CLASSFEATUREHEADERS,0),MATCH($A1543,CLASSNAMEHEADERS,0)))}</f>
        <v>SPL01-L02</v>
      </c>
      <c r="J1542" s="223" t="str">
        <f t="array" ref="J1542:J1543">{"SPL02-L03";(INDEX(ALLCLASSDATA,MATCH("SPL02-L03",CLASSFEATUREHEADERS,0),MATCH($A1543,CLASSNAMEHEADERS,0)))}</f>
        <v>SPL02-L03</v>
      </c>
      <c r="K1542" s="223" t="str">
        <f t="array" ref="K1542:K1543">{"SPL02-L04";(INDEX(ALLCLASSDATA,MATCH("SPL02-L04",CLASSFEATUREHEADERS,0),MATCH($A1543,CLASSNAMEHEADERS,0)))}</f>
        <v>SPL02-L04</v>
      </c>
      <c r="L1542" s="223" t="str">
        <f t="array" ref="L1542:L1543">{"SPL03-L05";(INDEX(ALLCLASSDATA,MATCH("SPL03-L05",CLASSFEATUREHEADERS,0),MATCH($A1543,CLASSNAMEHEADERS,0)))}</f>
        <v>SPL03-L05</v>
      </c>
      <c r="M1542" s="223" t="str">
        <f t="array" ref="M1542:M1543">{"SPL03-L06";(INDEX(ALLCLASSDATA,MATCH("SPL03-L06",CLASSFEATUREHEADERS,0),MATCH($A1543,CLASSNAMEHEADERS,0)))}</f>
        <v>SPL03-L06</v>
      </c>
      <c r="N1542" s="223" t="str">
        <f t="array" ref="N1542:N1543">{"SPL04-L07";(INDEX(ALLCLASSDATA,MATCH("SPL04-L07",CLASSFEATUREHEADERS,0),MATCH($A1543,CLASSNAMEHEADERS,0)))}</f>
        <v>SPL04-L07</v>
      </c>
      <c r="O1542" s="223" t="str">
        <f t="array" ref="O1542:O1543">{"SPL04-L08";(INDEX(ALLCLASSDATA,MATCH("SPL04-L08",CLASSFEATUREHEADERS,0),MATCH($A1543,CLASSNAMEHEADERS,0)))}</f>
        <v>SPL04-L08</v>
      </c>
      <c r="P1542" s="223" t="str">
        <f t="array" ref="P1542:P1543">{"SPL05-L09";(INDEX(ALLCLASSDATA,MATCH("SPL05-L09",CLASSFEATUREHEADERS,0),MATCH($A1543,CLASSNAMEHEADERS,0)))}</f>
        <v>SPL05-L09</v>
      </c>
      <c r="Q1542" s="223" t="str">
        <f t="array" ref="Q1542:Q1543">{"SPL05-L10";(INDEX(ALLCLASSDATA,MATCH("SPL05-L10",CLASSFEATUREHEADERS,0),MATCH($A1543,CLASSNAMEHEADERS,0)))}</f>
        <v>SPL05-L10</v>
      </c>
      <c r="R1542" s="223" t="str">
        <f t="array" ref="R1542:R1543">{"SPL06-L11";(INDEX(ALLCLASSDATA,MATCH("SPL06-L11",CLASSFEATUREHEADERS,0),MATCH($A1543,CLASSNAMEHEADERS,0)))}</f>
        <v>SPL06-L11</v>
      </c>
      <c r="S1542" s="223" t="str">
        <f t="array" ref="S1542:S1543">{"SPL06-L12";(INDEX(ALLCLASSDATA,MATCH("SPL06-L12",CLASSFEATUREHEADERS,0),MATCH($A1543,CLASSNAMEHEADERS,0)))}</f>
        <v>SPL06-L12</v>
      </c>
      <c r="T1542" s="223" t="str">
        <f t="array" ref="T1542:T1543">{"SPL07-L13";(INDEX(ALLCLASSDATA,MATCH("SPL07-L13",CLASSFEATUREHEADERS,0),MATCH($A1543,CLASSNAMEHEADERS,0)))}</f>
        <v>SPL07-L13</v>
      </c>
      <c r="U1542" s="223" t="str">
        <f t="array" ref="U1542:U1543">{"SPL07-L14";(INDEX(ALLCLASSDATA,MATCH("SPL07-L14",CLASSFEATUREHEADERS,0),MATCH($A1543,CLASSNAMEHEADERS,0)))}</f>
        <v>SPL07-L14</v>
      </c>
      <c r="V1542" s="223" t="str">
        <f t="array" ref="V1542:V1543">{"SPL08-L15";(INDEX(ALLCLASSDATA,MATCH("SPL08-L15",CLASSFEATUREHEADERS,0),MATCH($A1543,CLASSNAMEHEADERS,0)))}</f>
        <v>SPL08-L15</v>
      </c>
      <c r="W1542" s="223" t="str">
        <f t="array" ref="W1542:W1543">{"SPL08-L16";(INDEX(ALLCLASSDATA,MATCH("SPL08-L16",CLASSFEATUREHEADERS,0),MATCH($A1543,CLASSNAMEHEADERS,0)))}</f>
        <v>SPL08-L16</v>
      </c>
      <c r="X1542" s="223" t="str">
        <f t="array" ref="X1542:X1543">{"SPL09-L17";(INDEX(ALLCLASSDATA,MATCH("SPL09-L17",CLASSFEATUREHEADERS,0),MATCH($A1543,CLASSNAMEHEADERS,0)))}</f>
        <v>SPL09-L17</v>
      </c>
      <c r="Y1542" s="223" t="str">
        <f t="array" ref="Y1542:Y1543">{"SPL09-L18";(INDEX(ALLCLASSDATA,MATCH("SPL09-L18",CLASSFEATUREHEADERS,0),MATCH($A1543,CLASSNAMEHEADERS,0)))}</f>
        <v>SPL09-L18</v>
      </c>
      <c r="Z1542" s="223" t="str">
        <f t="array" ref="Z1542:Z1543">{"SPL10-L19";(INDEX(ALLCLASSDATA,MATCH("SPL10-L19",CLASSFEATUREHEADERS,0),MATCH($A1543,CLASSNAMEHEADERS,0)))}</f>
        <v>SPL10-L19</v>
      </c>
      <c r="AA1542" s="223" t="str">
        <f t="array" ref="AA1542:AA1543">{"SPL10-L20";(INDEX(ALLCLASSDATA,MATCH("SPL10-L20",CLASSFEATUREHEADERS,0),MATCH($A1543,CLASSNAMEHEADERS,0)))}</f>
        <v>SPL10-L20</v>
      </c>
      <c r="AB1542" s="76"/>
      <c r="AC1542" s="76"/>
    </row>
    <row r="1543">
      <c r="A1543" s="48" t="s">
        <v>221</v>
      </c>
      <c r="B1543" s="48"/>
      <c r="C1543" s="48" t="s">
        <v>418</v>
      </c>
      <c r="D1543" s="48" t="s">
        <v>1901</v>
      </c>
      <c r="E1543" s="48" t="s">
        <v>1931</v>
      </c>
      <c r="F1543" s="278" t="s">
        <v>1907</v>
      </c>
      <c r="G1543" s="280"/>
      <c r="H1543" s="50" t="s">
        <v>1538</v>
      </c>
      <c r="I1543" s="50" t="s">
        <v>1537</v>
      </c>
      <c r="J1543" s="50" t="s">
        <v>1538</v>
      </c>
      <c r="K1543" s="50" t="s">
        <v>1537</v>
      </c>
      <c r="L1543" s="50" t="s">
        <v>1538</v>
      </c>
      <c r="M1543" s="50" t="s">
        <v>1537</v>
      </c>
      <c r="N1543" s="50" t="s">
        <v>1538</v>
      </c>
      <c r="O1543" s="50" t="s">
        <v>1537</v>
      </c>
      <c r="P1543" s="50" t="s">
        <v>1538</v>
      </c>
      <c r="Q1543" s="50" t="s">
        <v>1537</v>
      </c>
      <c r="R1543" s="50" t="s">
        <v>1538</v>
      </c>
      <c r="S1543" s="50" t="s">
        <v>1537</v>
      </c>
      <c r="T1543" s="50" t="s">
        <v>1538</v>
      </c>
      <c r="U1543" s="50" t="s">
        <v>1537</v>
      </c>
      <c r="V1543" s="50" t="s">
        <v>1538</v>
      </c>
      <c r="W1543" s="50" t="s">
        <v>1537</v>
      </c>
      <c r="X1543" s="50" t="s">
        <v>1538</v>
      </c>
      <c r="Y1543" s="50" t="s">
        <v>1537</v>
      </c>
      <c r="Z1543" s="50" t="s">
        <v>1537</v>
      </c>
      <c r="AA1543" s="50"/>
      <c r="AB1543" s="278"/>
      <c r="AC1543" s="47"/>
    </row>
    <row r="1544" hidden="1">
      <c r="A1544" s="222" t="str">
        <f t="array" ref="A1544:A1545">{"FormulaRow43";(INDEX(CLASSLIST,A1459,1))}</f>
        <v>FormulaRow43</v>
      </c>
      <c r="B1544" s="77" t="s">
        <v>236</v>
      </c>
      <c r="C1544" s="222" t="str">
        <f t="array" ref="C1544:C1545">{"CLASSTYPE";((INDEX(ALLCLASSDATA,MATCH("ClassType",CLASSFEATUREHEADERS,0),MATCH($A1545,CLASSNAMEHEADERS,0))))}</f>
        <v>CLASSTYPE</v>
      </c>
      <c r="D1544" s="222" t="str">
        <f t="array" ref="D1544:D1545">{"SPELL/ALCHEMY";((IF(INDEX(ALLCLASSDATA,MATCH("CasterType",CLASSFEATUREHEADERS,0),MATCH(($A1545),CLASSNAMEHEADERS,0))="","",(IF(INDEX(ALLCLASSDATA,MATCH("CasterType",CLASSFEATUREHEADERS,0),MATCH(($A1545),CLASSNAMEHEADERS,0))="Alchemy","Alchemy","Spells")))))}</f>
        <v>SPELL/ALCHEMY</v>
      </c>
      <c r="E1544" s="222" t="str">
        <f t="array" ref="E1544:E1545">{"SPELLLIST";(IF(D1545="Spells",((INDEX(ALLCLASSDATA,MATCH("CasterType",CLASSFEATUREHEADERS,0),MATCH(($A1545),CLASSNAMEHEADERS,0))) &amp; ":" &amp; (INDEX(ALLCLASSDATA,MATCH("SpellList",CLASSFEATUREHEADERS,0),MATCH(($A1545),CLASSNAMEHEADERS,0)))),""))}</f>
        <v>SPELLLIST</v>
      </c>
      <c r="F1544" s="223" t="str">
        <f t="array" ref="F1544:F1545">{"LEARNED/LVL";(IF(D1545="","","Learn/LVL:"))}</f>
        <v>LEARNED/LVL</v>
      </c>
      <c r="G1544" s="223" t="str">
        <f t="array" ref="G1544:G1545">{"LEARNEDCANTRIPS";(INDEX(ALLCLASSDATA,MATCH("CantripsLearned-L00",CLASSFEATUREHEADERS,0),MATCH($A1545,CLASSNAMEHEADERS,0)))}</f>
        <v>LEARNEDCANTRIPS</v>
      </c>
      <c r="H1544" s="223" t="str">
        <f t="array" ref="H1544:H1545">{"LEARNED L01";(INDEX(ALLCLASSDATA,MATCH("Learned-L01",CLASSFEATUREHEADERS,0),MATCH($A1545,CLASSNAMEHEADERS,0)))}</f>
        <v>LEARNED L01</v>
      </c>
      <c r="I1544" s="223" t="str">
        <f t="array" ref="I1544:I1545">{"LEARNED L02";(INDEX(ALLCLASSDATA,MATCH("Learned-L02",CLASSFEATUREHEADERS,0),MATCH($A1545,CLASSNAMEHEADERS,0)))}</f>
        <v>LEARNED L02</v>
      </c>
      <c r="J1544" s="223" t="str">
        <f t="array" ref="J1544:J1545">{"LEARNED L03";(INDEX(ALLCLASSDATA,MATCH("Learned-L03",CLASSFEATUREHEADERS,0),MATCH($A1545,CLASSNAMEHEADERS,0)))}</f>
        <v>LEARNED L03</v>
      </c>
      <c r="K1544" s="223" t="str">
        <f t="array" ref="K1544:K1545">{"LEARNED L04";(INDEX(ALLCLASSDATA,MATCH("Learned-L04",CLASSFEATUREHEADERS,0),MATCH($A1545,CLASSNAMEHEADERS,0)))}</f>
        <v>LEARNED L04</v>
      </c>
      <c r="L1544" s="223" t="str">
        <f t="array" ref="L1544:L1545">{"LEARNED L05";(INDEX(ALLCLASSDATA,MATCH("Learned-L05",CLASSFEATUREHEADERS,0),MATCH($A1545,CLASSNAMEHEADERS,0)))}</f>
        <v>LEARNED L05</v>
      </c>
      <c r="M1544" s="223" t="str">
        <f t="array" ref="M1544:M1545">{"LEARNED L06";(INDEX(ALLCLASSDATA,MATCH("Learned-L06",CLASSFEATUREHEADERS,0),MATCH($A1545,CLASSNAMEHEADERS,0)))}</f>
        <v>LEARNED L06</v>
      </c>
      <c r="N1544" s="223" t="str">
        <f t="array" ref="N1544:N1545">{"LEARNED L07";(INDEX(ALLCLASSDATA,MATCH("Learned-L07",CLASSFEATUREHEADERS,0),MATCH($A1545,CLASSNAMEHEADERS,0)))}</f>
        <v>LEARNED L07</v>
      </c>
      <c r="O1544" s="223" t="str">
        <f t="array" ref="O1544:O1545">{"LEARNED L08";(INDEX(ALLCLASSDATA,MATCH("Learned-L08",CLASSFEATUREHEADERS,0),MATCH($A1545,CLASSNAMEHEADERS,0)))}</f>
        <v>LEARNED L08</v>
      </c>
      <c r="P1544" s="223" t="str">
        <f t="array" ref="P1544:P1545">{"LEARNED L09";(INDEX(ALLCLASSDATA,MATCH("Learned-L09",CLASSFEATUREHEADERS,0),MATCH($A1545,CLASSNAMEHEADERS,0)))}</f>
        <v>LEARNED L09</v>
      </c>
      <c r="Q1544" s="223" t="str">
        <f t="array" ref="Q1544:Q1545">{"LEARNED L10";(INDEX(ALLCLASSDATA,MATCH("Learned-L10",CLASSFEATUREHEADERS,0),MATCH($A1545,CLASSNAMEHEADERS,0)))}</f>
        <v>LEARNED L10</v>
      </c>
      <c r="R1544" s="223" t="str">
        <f t="array" ref="R1544:R1545">{"LEARNED L11";(INDEX(ALLCLASSDATA,MATCH("Learned-L11",CLASSFEATUREHEADERS,0),MATCH($A1545,CLASSNAMEHEADERS,0)))}</f>
        <v>LEARNED L11</v>
      </c>
      <c r="S1544" s="223" t="str">
        <f t="array" ref="S1544:S1545">{"LEARNED L12";(INDEX(ALLCLASSDATA,MATCH("Learned-L12",CLASSFEATUREHEADERS,0),MATCH($A1545,CLASSNAMEHEADERS,0)))}</f>
        <v>LEARNED L12</v>
      </c>
      <c r="T1544" s="223" t="str">
        <f t="array" ref="T1544:T1545">{"LEARNED L13";(INDEX(ALLCLASSDATA,MATCH("Learned-L13",CLASSFEATUREHEADERS,0),MATCH($A1545,CLASSNAMEHEADERS,0)))}</f>
        <v>LEARNED L13</v>
      </c>
      <c r="U1544" s="223" t="str">
        <f t="array" ref="U1544:U1545">{"LEARNED L14";(INDEX(ALLCLASSDATA,MATCH("Learned-L14",CLASSFEATUREHEADERS,0),MATCH($A1545,CLASSNAMEHEADERS,0)))}</f>
        <v>LEARNED L14</v>
      </c>
      <c r="V1544" s="223" t="str">
        <f t="array" ref="V1544:V1545">{"LEARNED L15";(INDEX(ALLCLASSDATA,MATCH("Learned-L15",CLASSFEATUREHEADERS,0),MATCH($A1545,CLASSNAMEHEADERS,0)))}</f>
        <v>LEARNED L15</v>
      </c>
      <c r="W1544" s="223" t="str">
        <f t="array" ref="W1544:W1545">{"LEARNED L16";(INDEX(ALLCLASSDATA,MATCH("Learned-L16",CLASSFEATUREHEADERS,0),MATCH($A1545,CLASSNAMEHEADERS,0)))}</f>
        <v>LEARNED L16</v>
      </c>
      <c r="X1544" s="223" t="str">
        <f t="array" ref="X1544:X1545">{"LEARNED L17";(INDEX(ALLCLASSDATA,MATCH("Learned-L17",CLASSFEATUREHEADERS,0),MATCH($A1545,CLASSNAMEHEADERS,0)))}</f>
        <v>LEARNED L17</v>
      </c>
      <c r="Y1544" s="223" t="str">
        <f t="array" ref="Y1544:Y1545">{"LEARNED L18";(INDEX(ALLCLASSDATA,MATCH("Learned-L18",CLASSFEATUREHEADERS,0),MATCH($A1545,CLASSNAMEHEADERS,0)))}</f>
        <v>LEARNED L18</v>
      </c>
      <c r="Z1544" s="223" t="str">
        <f t="array" ref="Z1544:Z1545">{"LEARNED L19";(INDEX(ALLCLASSDATA,MATCH("Learned-L19",CLASSFEATUREHEADERS,0),MATCH($A1545,CLASSNAMEHEADERS,0)))}</f>
        <v>LEARNED L19</v>
      </c>
      <c r="AA1544" s="223" t="str">
        <f t="array" ref="AA1544:AA1545">{"LEARNED L20";(INDEX(ALLCLASSDATA,MATCH("Learned-L20",CLASSFEATUREHEADERS,0),MATCH($A1545,CLASSNAMEHEADERS,0)))}</f>
        <v>LEARNED L20</v>
      </c>
      <c r="AB1544" s="76"/>
      <c r="AC1544" s="76"/>
    </row>
    <row r="1545">
      <c r="A1545" s="48" t="s">
        <v>221</v>
      </c>
      <c r="B1545" s="48"/>
      <c r="C1545" s="48" t="s">
        <v>418</v>
      </c>
      <c r="D1545" s="48" t="s">
        <v>1901</v>
      </c>
      <c r="E1545" s="48" t="s">
        <v>1931</v>
      </c>
      <c r="F1545" s="278" t="s">
        <v>1909</v>
      </c>
      <c r="G1545" s="280" t="s">
        <v>1530</v>
      </c>
      <c r="H1545" s="278" t="s">
        <v>1539</v>
      </c>
      <c r="I1545" s="278" t="s">
        <v>1537</v>
      </c>
      <c r="J1545" s="278" t="s">
        <v>1538</v>
      </c>
      <c r="K1545" s="278" t="s">
        <v>1537</v>
      </c>
      <c r="L1545" s="278" t="s">
        <v>1538</v>
      </c>
      <c r="M1545" s="278" t="s">
        <v>1537</v>
      </c>
      <c r="N1545" s="278" t="s">
        <v>1538</v>
      </c>
      <c r="O1545" s="50" t="s">
        <v>1537</v>
      </c>
      <c r="P1545" s="278" t="s">
        <v>1538</v>
      </c>
      <c r="Q1545" s="278" t="s">
        <v>1537</v>
      </c>
      <c r="R1545" s="278" t="s">
        <v>1538</v>
      </c>
      <c r="S1545" s="278" t="s">
        <v>1537</v>
      </c>
      <c r="T1545" s="278" t="s">
        <v>1538</v>
      </c>
      <c r="U1545" s="278" t="s">
        <v>1537</v>
      </c>
      <c r="V1545" s="278" t="s">
        <v>1538</v>
      </c>
      <c r="W1545" s="278" t="s">
        <v>1537</v>
      </c>
      <c r="X1545" s="278" t="s">
        <v>1538</v>
      </c>
      <c r="Y1545" s="278" t="s">
        <v>1537</v>
      </c>
      <c r="Z1545" s="278" t="s">
        <v>1538</v>
      </c>
      <c r="AA1545" s="278"/>
      <c r="AB1545" s="278"/>
      <c r="AC1545" s="47"/>
    </row>
    <row r="1546" hidden="1">
      <c r="A1546" s="222" t="str">
        <f t="array" ref="A1546:A1547">{"FormulaRow44";(INDEX(CLASSLIST,A1459,1))}</f>
        <v>FormulaRow44</v>
      </c>
      <c r="B1546" s="77" t="s">
        <v>236</v>
      </c>
      <c r="C1546" s="222" t="str">
        <f t="array" ref="C1546:C1547">{"CLASSTYPE";((INDEX(ALLCLASSDATA,MATCH("ClassType",CLASSFEATUREHEADERS,0),MATCH($A1547,CLASSNAMEHEADERS,0))))}</f>
        <v>CLASSTYPE</v>
      </c>
      <c r="D1546" s="222" t="str">
        <f t="array" ref="D1546:D1547">{"SPELL/ALCHEMY";((IF(INDEX(ALLCLASSDATA,MATCH("CasterType",CLASSFEATUREHEADERS,0),MATCH(($A1547),CLASSNAMEHEADERS,0))="","",(IF(INDEX(ALLCLASSDATA,MATCH("CasterType",CLASSFEATUREHEADERS,0),MATCH(($A1547),CLASSNAMEHEADERS,0))="Alchemy","","Spells")))))}</f>
        <v>SPELL/ALCHEMY</v>
      </c>
      <c r="E1546" s="222" t="str">
        <f t="array" ref="E1546:E1547">{"SPELLLIST";(IF(D1547="Spells",((INDEX(ALLCLASSDATA,MATCH("CasterType",CLASSFEATUREHEADERS,0),MATCH(($A1547),CLASSNAMEHEADERS,0))) &amp; ":" &amp; (INDEX(ALLCLASSDATA,MATCH("SpellList",CLASSFEATUREHEADERS,0),MATCH(($A1547),CLASSNAMEHEADERS,0)))),""))}</f>
        <v>SPELLLIST</v>
      </c>
      <c r="F1546" s="223" t="str">
        <f t="array" ref="F1546:F1547">{"TOTALSLOTS";(IF(D1547="","","TotalSlots:"))}</f>
        <v>TOTALSLOTS</v>
      </c>
      <c r="G1546" s="223" t="str">
        <f t="array" ref="G1546:G1547">{"TOTALCANTRIPSLOTS";(G1543)}</f>
        <v>TOTALCANTRIPSLOTS</v>
      </c>
      <c r="H1546" s="223" t="str">
        <f t="array" ref="H1546:H1547">{"TOTALSLOTS L01";(H1543)}</f>
        <v>TOTALSLOTS L01</v>
      </c>
      <c r="I1546" s="223" t="str">
        <f t="array" ref="I1546:I1547">{"TOTALSLOTS L02";(H1547+I1543)}</f>
        <v>TOTALSLOTS L02</v>
      </c>
      <c r="J1546" s="223" t="str">
        <f t="array" ref="J1546:J1547">{"TOTALSLOTS L03";(I1547+J1543)}</f>
        <v>TOTALSLOTS L03</v>
      </c>
      <c r="K1546" s="223" t="str">
        <f t="array" ref="K1546:K1547">{"TOTALSLOTS L04";(J1547+K1543)}</f>
        <v>TOTALSLOTS L04</v>
      </c>
      <c r="L1546" s="223" t="str">
        <f t="array" ref="L1546:L1547">{"TOTALSLOTS L05";(K1547+L1543)}</f>
        <v>TOTALSLOTS L05</v>
      </c>
      <c r="M1546" s="223" t="str">
        <f t="array" ref="M1546:M1547">{"TOTALSLOTS L06";(L1547+M1543)}</f>
        <v>TOTALSLOTS L06</v>
      </c>
      <c r="N1546" s="223" t="str">
        <f t="array" ref="N1546:N1547">{"TOTALSLOTS L07";(M1547+N1543)}</f>
        <v>TOTALSLOTS L07</v>
      </c>
      <c r="O1546" s="223" t="str">
        <f t="array" ref="O1546:O1547">{"TOTALSLOTS L08";(N1547+O1543)}</f>
        <v>TOTALSLOTS L08</v>
      </c>
      <c r="P1546" s="223" t="str">
        <f t="array" ref="P1546:P1547">{"TOTALSLOTS L09";(O1547+P1543)}</f>
        <v>TOTALSLOTS L09</v>
      </c>
      <c r="Q1546" s="223" t="str">
        <f t="array" ref="Q1546:Q1547">{"TOTALSLOTS L10";(P1547+Q1543)}</f>
        <v>TOTALSLOTS L10</v>
      </c>
      <c r="R1546" s="223" t="str">
        <f t="array" ref="R1546:R1547">{"TOTALSLOTS L11";(Q1547+R1543)}</f>
        <v>TOTALSLOTS L11</v>
      </c>
      <c r="S1546" s="223" t="str">
        <f t="array" ref="S1546:S1547">{"TOTALSLOTS L12";(R1547+S1543)}</f>
        <v>TOTALSLOTS L12</v>
      </c>
      <c r="T1546" s="223" t="str">
        <f t="array" ref="T1546:T1547">{"TOTALSLOTS L13";(S1547+T1543)}</f>
        <v>TOTALSLOTS L13</v>
      </c>
      <c r="U1546" s="223" t="str">
        <f t="array" ref="U1546:U1547">{"TOTALSLOTS L14";(T1547+U1543)}</f>
        <v>TOTALSLOTS L14</v>
      </c>
      <c r="V1546" s="223" t="str">
        <f t="array" ref="V1546:V1547">{"TOTALSLOTS L15";(U1547+V1543)}</f>
        <v>TOTALSLOTS L15</v>
      </c>
      <c r="W1546" s="223" t="str">
        <f t="array" ref="W1546:W1547">{"TOTALSLOTS L16";(V1547+W1543)}</f>
        <v>TOTALSLOTS L16</v>
      </c>
      <c r="X1546" s="223" t="str">
        <f t="array" ref="X1546:X1547">{"TOTALSLOTS L17";(W1547+X1543)}</f>
        <v>TOTALSLOTS L17</v>
      </c>
      <c r="Y1546" s="223" t="str">
        <f t="array" ref="Y1546:Y1547">{"TOTALSLOTS L18";(X1547+Y1543)}</f>
        <v>TOTALSLOTS L18</v>
      </c>
      <c r="Z1546" s="223" t="str">
        <f t="array" ref="Z1546:Z1547">{"TOTALSLOTS L19";(Y1547+Z1543)}</f>
        <v>TOTALSLOTS L19</v>
      </c>
      <c r="AA1546" s="223" t="str">
        <f t="array" ref="AA1546:AA1547">{"TOTALSLOTS L20";(Z1547+AA1543)}</f>
        <v>TOTALSLOTS L20</v>
      </c>
      <c r="AB1546" s="76"/>
      <c r="AC1546" s="76"/>
    </row>
    <row r="1547">
      <c r="A1547" s="48" t="s">
        <v>221</v>
      </c>
      <c r="B1547" s="48"/>
      <c r="C1547" s="48" t="s">
        <v>418</v>
      </c>
      <c r="D1547" s="48" t="s">
        <v>1901</v>
      </c>
      <c r="E1547" s="48" t="s">
        <v>1931</v>
      </c>
      <c r="F1547" s="278" t="s">
        <v>1910</v>
      </c>
      <c r="G1547" s="280"/>
      <c r="H1547" s="278" t="s">
        <v>1538</v>
      </c>
      <c r="I1547" s="278">
        <v>3.0</v>
      </c>
      <c r="J1547" s="278">
        <v>5.0</v>
      </c>
      <c r="K1547" s="278">
        <v>6.0</v>
      </c>
      <c r="L1547" s="278">
        <v>8.0</v>
      </c>
      <c r="M1547" s="278">
        <v>9.0</v>
      </c>
      <c r="N1547" s="278">
        <v>11.0</v>
      </c>
      <c r="O1547" s="278">
        <v>12.0</v>
      </c>
      <c r="P1547" s="278">
        <v>14.0</v>
      </c>
      <c r="Q1547" s="278">
        <v>15.0</v>
      </c>
      <c r="R1547" s="278">
        <v>17.0</v>
      </c>
      <c r="S1547" s="278">
        <v>18.0</v>
      </c>
      <c r="T1547" s="278">
        <v>20.0</v>
      </c>
      <c r="U1547" s="278">
        <v>21.0</v>
      </c>
      <c r="V1547" s="278">
        <v>23.0</v>
      </c>
      <c r="W1547" s="278">
        <v>24.0</v>
      </c>
      <c r="X1547" s="278">
        <v>26.0</v>
      </c>
      <c r="Y1547" s="278">
        <v>27.0</v>
      </c>
      <c r="Z1547" s="278">
        <v>28.0</v>
      </c>
      <c r="AA1547" s="278">
        <v>28.0</v>
      </c>
      <c r="AB1547" s="5"/>
      <c r="AC1547" s="47"/>
    </row>
    <row r="1548" hidden="1">
      <c r="A1548" s="222" t="str">
        <f t="array" ref="A1548:A1549">{"FormulaRow45";(INDEX(CLASSLIST,A1459,1))}</f>
        <v>FormulaRow45</v>
      </c>
      <c r="B1548" s="77" t="s">
        <v>236</v>
      </c>
      <c r="C1548" s="222" t="str">
        <f t="array" ref="C1548:C1549">{"CLASSTYPE";((INDEX(ALLCLASSDATA,MATCH("ClassType",CLASSFEATUREHEADERS,0),MATCH($A1549,CLASSNAMEHEADERS,0))))}</f>
        <v>CLASSTYPE</v>
      </c>
      <c r="D1548" s="222" t="str">
        <f t="array" ref="D1548:D1549">{"SPELL/ALCHEMY";((IF(INDEX(ALLCLASSDATA,MATCH("CasterType",CLASSFEATUREHEADERS,0),MATCH(($A1549),CLASSNAMEHEADERS,0))="","",(IF(INDEX(ALLCLASSDATA,MATCH("CasterType",CLASSFEATUREHEADERS,0),MATCH(($A1549),CLASSNAMEHEADERS,0))="Alchemy","Alchemy","Spells")))))}</f>
        <v>SPELL/ALCHEMY</v>
      </c>
      <c r="E1548" s="222" t="str">
        <f t="array" ref="E1548:E1549">{"SPELLLIST";(IF(D1549="Spells",((INDEX(ALLCLASSDATA,MATCH("CasterType",CLASSFEATUREHEADERS,0),MATCH(($A1549),CLASSNAMEHEADERS,0))) &amp; ":" &amp; (INDEX(ALLCLASSDATA,MATCH("SpellList",CLASSFEATUREHEADERS,0),MATCH(($A1549),CLASSNAMEHEADERS,0)))),""))}</f>
        <v>SPELLLIST</v>
      </c>
      <c r="F1548" s="223" t="str">
        <f t="array" ref="F1548:F1549">{"TOTALLEARNED";(IF(D1549="","","TotalLearned:"))}</f>
        <v>TOTALLEARNED</v>
      </c>
      <c r="G1548" s="223" t="str">
        <f t="array" ref="G1548:G1549">{"TOTALCANTRIPSLEARNED";(G1545)}</f>
        <v>TOTALCANTRIPSLEARNED</v>
      </c>
      <c r="H1548" s="223" t="str">
        <f t="array" ref="H1548:H1549">{"TOTALLEARNED L01";(H1545)}</f>
        <v>TOTALLEARNED L01</v>
      </c>
      <c r="I1548" s="223" t="str">
        <f t="array" ref="I1548:I1549">{"TOTALLEARNED L02";(H1549+I1545)}</f>
        <v>TOTALLEARNED L02</v>
      </c>
      <c r="J1548" s="223" t="str">
        <f t="array" ref="J1548:J1549">{"TOTALLEARNED L03";(I1549+J1545)}</f>
        <v>TOTALLEARNED L03</v>
      </c>
      <c r="K1548" s="223" t="str">
        <f t="array" ref="K1548:K1549">{"TOTALLEARNED L04";(J1549+K1545)}</f>
        <v>TOTALLEARNED L04</v>
      </c>
      <c r="L1548" s="223" t="str">
        <f t="array" ref="L1548:L1549">{"TOTALLEARNED L05";(K1549+L1545)}</f>
        <v>TOTALLEARNED L05</v>
      </c>
      <c r="M1548" s="223" t="str">
        <f t="array" ref="M1548:M1549">{"TOTALLEARNED L06";(L1549+M1545)}</f>
        <v>TOTALLEARNED L06</v>
      </c>
      <c r="N1548" s="223" t="str">
        <f t="array" ref="N1548:N1549">{"TOTALLEARNED L07";(M1549+N1545)}</f>
        <v>TOTALLEARNED L07</v>
      </c>
      <c r="O1548" s="223" t="str">
        <f t="array" ref="O1548:O1549">{"TOTALLEARNED L08";(N1549+O1545)}</f>
        <v>TOTALLEARNED L08</v>
      </c>
      <c r="P1548" s="223" t="str">
        <f t="array" ref="P1548:P1549">{"TOTALLEARNED L09";(O1549+P1545)}</f>
        <v>TOTALLEARNED L09</v>
      </c>
      <c r="Q1548" s="223" t="str">
        <f t="array" ref="Q1548:Q1549">{"TOTALLEARNED L10";(P1549+Q1545)}</f>
        <v>TOTALLEARNED L10</v>
      </c>
      <c r="R1548" s="223" t="str">
        <f t="array" ref="R1548:R1549">{"TOTALLEARNED L11";(Q1549+R1545)}</f>
        <v>TOTALLEARNED L11</v>
      </c>
      <c r="S1548" s="223" t="str">
        <f t="array" ref="S1548:S1549">{"TOTALLEARNED L12";(R1549+S1545)}</f>
        <v>TOTALLEARNED L12</v>
      </c>
      <c r="T1548" s="223" t="str">
        <f t="array" ref="T1548:T1549">{"TOTALLEARNED L13";(S1549+T1545)}</f>
        <v>TOTALLEARNED L13</v>
      </c>
      <c r="U1548" s="223" t="str">
        <f t="array" ref="U1548:U1549">{"TOTALLEARNED L14";(T1549+U1545)}</f>
        <v>TOTALLEARNED L14</v>
      </c>
      <c r="V1548" s="223" t="str">
        <f t="array" ref="V1548:V1549">{"TOTALLEARNED L15";(U1549+V1545)}</f>
        <v>TOTALLEARNED L15</v>
      </c>
      <c r="W1548" s="223" t="str">
        <f t="array" ref="W1548:W1549">{"TOTALLEARNED L16";(V1549+W1545)}</f>
        <v>TOTALLEARNED L16</v>
      </c>
      <c r="X1548" s="223" t="str">
        <f t="array" ref="X1548:X1549">{"TOTALLEARNED L17";(W1549+X1545)}</f>
        <v>TOTALLEARNED L17</v>
      </c>
      <c r="Y1548" s="223" t="str">
        <f t="array" ref="Y1548:Y1549">{"TOTALLEARNED L18";(X1549+Y1545)}</f>
        <v>TOTALLEARNED L18</v>
      </c>
      <c r="Z1548" s="223" t="str">
        <f t="array" ref="Z1548:Z1549">{"TOTALLEARNED L19";(Y1549+Z1545)}</f>
        <v>TOTALLEARNED L19</v>
      </c>
      <c r="AA1548" s="223" t="str">
        <f t="array" ref="AA1548:AA1549">{"TOTALLEARNED L20";(Z1549+AA1545)}</f>
        <v>TOTALLEARNED L20</v>
      </c>
      <c r="AB1548" s="76"/>
      <c r="AC1548" s="76"/>
    </row>
    <row r="1549">
      <c r="A1549" s="97" t="s">
        <v>221</v>
      </c>
      <c r="B1549" s="97"/>
      <c r="C1549" s="97" t="s">
        <v>418</v>
      </c>
      <c r="D1549" s="97" t="s">
        <v>1901</v>
      </c>
      <c r="E1549" s="97" t="s">
        <v>1931</v>
      </c>
      <c r="F1549" s="281" t="s">
        <v>1911</v>
      </c>
      <c r="G1549" s="282" t="s">
        <v>1530</v>
      </c>
      <c r="H1549" s="278" t="s">
        <v>1539</v>
      </c>
      <c r="I1549" s="278">
        <v>4.0</v>
      </c>
      <c r="J1549" s="278">
        <v>6.0</v>
      </c>
      <c r="K1549" s="278">
        <v>7.0</v>
      </c>
      <c r="L1549" s="278">
        <v>9.0</v>
      </c>
      <c r="M1549" s="278">
        <v>10.0</v>
      </c>
      <c r="N1549" s="278">
        <v>12.0</v>
      </c>
      <c r="O1549" s="278">
        <v>13.0</v>
      </c>
      <c r="P1549" s="278">
        <v>15.0</v>
      </c>
      <c r="Q1549" s="278">
        <v>16.0</v>
      </c>
      <c r="R1549" s="278">
        <v>18.0</v>
      </c>
      <c r="S1549" s="278">
        <v>19.0</v>
      </c>
      <c r="T1549" s="278">
        <v>21.0</v>
      </c>
      <c r="U1549" s="278">
        <v>22.0</v>
      </c>
      <c r="V1549" s="278">
        <v>24.0</v>
      </c>
      <c r="W1549" s="278">
        <v>25.0</v>
      </c>
      <c r="X1549" s="278">
        <v>27.0</v>
      </c>
      <c r="Y1549" s="278">
        <v>28.0</v>
      </c>
      <c r="Z1549" s="278">
        <v>30.0</v>
      </c>
      <c r="AA1549" s="278">
        <v>30.0</v>
      </c>
      <c r="AB1549" s="5"/>
      <c r="AC1549" s="47"/>
    </row>
    <row r="1550">
      <c r="A1550" s="55">
        <f>VLOOKUP($C1550, CLASSNUMBERFINDER, 2, false)</f>
        <v>18</v>
      </c>
      <c r="B1550" s="58"/>
      <c r="C1550" s="70" t="s">
        <v>223</v>
      </c>
      <c r="D1550" s="71"/>
      <c r="E1550" s="71"/>
      <c r="F1550" s="71"/>
      <c r="G1550" s="72"/>
      <c r="H1550" s="71"/>
      <c r="I1550" s="71"/>
      <c r="J1550" s="71"/>
      <c r="K1550" s="71"/>
      <c r="L1550" s="71"/>
      <c r="M1550" s="71"/>
      <c r="N1550" s="71"/>
      <c r="O1550" s="71"/>
      <c r="P1550" s="71"/>
      <c r="Q1550" s="71"/>
      <c r="R1550" s="71"/>
      <c r="S1550" s="71"/>
      <c r="T1550" s="71"/>
      <c r="U1550" s="71"/>
      <c r="V1550" s="71"/>
      <c r="W1550" s="71"/>
      <c r="X1550" s="71"/>
      <c r="Y1550" s="71"/>
      <c r="Z1550" s="71"/>
      <c r="AA1550" s="71"/>
      <c r="AB1550" s="71"/>
      <c r="AC1550" s="73"/>
    </row>
    <row r="1551" hidden="1">
      <c r="A1551" s="76" t="str">
        <f t="array" ref="A1551:A1552">{"FormulaRow01";(INDEX(CLASSLIST,A1550,1))}</f>
        <v>FormulaRow01</v>
      </c>
      <c r="B1551" s="77" t="s">
        <v>236</v>
      </c>
      <c r="C1551" s="76" t="str">
        <f t="array" ref="C1551:C1552">{"CLASSTYPE";(INDEX(ALLCLASSDATA,MATCH("ClassType",CLASSFEATUREHEADERS,0),MATCH($A1552,CLASSNAMEHEADERS,0)))}</f>
        <v>CLASSTYPE</v>
      </c>
      <c r="D1551" s="81" t="str">
        <f t="array" ref="D1551:D1552">{"TOTAL";("Total: " &amp; H1552+J1552+L1552+N1552+P1552+R1552+T1552+V1552+X1552+Z1552)}</f>
        <v>TOTAL</v>
      </c>
      <c r="E1551" s="81" t="str">
        <f t="array" ref="E1551:E1552">{"BALANCE";(IF((H1552+J1552+L1552+N1552+P1552+R1552+T1552+V1552+X1552+Z1552)=2100,"(balanced)",(IF((H1552+J1552+L1552+N1552+P1552+R1552+T1552+V1552+X1552+Z1552)&gt;2100,"OVERBUDGET: ","UNDERBUDGET: ")) &amp; (H1552+J1552+L1552+N1552+P1552+R1552+T1552+V1552+X1552+Z1552-2100)))}</f>
        <v>BALANCE</v>
      </c>
      <c r="F1551" s="81"/>
      <c r="G1551" s="81"/>
      <c r="H1551" s="81" t="str">
        <f t="array" ref="H1551:H1552">{"SUM LVL0/1/2";((SUMIF(F1553:I1632,"&lt;&gt;#REF!")+(SUMIF(J1553:AA1560,"&lt;&gt;#REF!"))))}</f>
        <v>SUM LVL0/1/2</v>
      </c>
      <c r="I1551" s="81"/>
      <c r="J1551" s="81" t="str">
        <f t="array" ref="J1551:J1552">{"SUM LVL3/4";(SUMIF(J1561:K1632,"&lt;&gt;#REF!"))}</f>
        <v>SUM LVL3/4</v>
      </c>
      <c r="K1551" s="81"/>
      <c r="L1551" s="81" t="str">
        <f t="array" ref="L1551:L1552">{"SUM LVL5/6";(SUMIF(L1561:M1632,"&lt;&gt;#REF!"))}</f>
        <v>SUM LVL5/6</v>
      </c>
      <c r="M1551" s="81"/>
      <c r="N1551" s="81" t="str">
        <f t="array" ref="N1551:N1552">{"SUM LVL7/8";(SUMIF(N1561:O1632,"&lt;&gt;#REF!"))}</f>
        <v>SUM LVL7/8</v>
      </c>
      <c r="O1551" s="81"/>
      <c r="P1551" s="81" t="str">
        <f t="array" ref="P1551:P1552">{"SUM LVL9/10";(SUMIF(P1561:Q1632,"&lt;&gt;#REF!"))}</f>
        <v>SUM LVL9/10</v>
      </c>
      <c r="Q1551" s="81"/>
      <c r="R1551" s="81" t="str">
        <f t="array" ref="R1551:R1552">{"SUM LVL11/12";(SUMIF(R1561:S1632,"&lt;&gt;#REF!"))}</f>
        <v>SUM LVL11/12</v>
      </c>
      <c r="S1551" s="81"/>
      <c r="T1551" s="81" t="str">
        <f t="array" ref="T1551:T1552">{"SUM LVL13/14";(SUMIF(T1561:U1632,"&lt;&gt;#REF!"))}</f>
        <v>SUM LVL13/14</v>
      </c>
      <c r="U1551" s="81"/>
      <c r="V1551" s="81" t="str">
        <f t="array" ref="V1551:V1552">{"SUM LVL15/16";(SUMIF(V1561:W1632,"&lt;&gt;#REF!"))}</f>
        <v>SUM LVL15/16</v>
      </c>
      <c r="W1551" s="81"/>
      <c r="X1551" s="81" t="str">
        <f t="array" ref="X1551:X1552">{"SUM LVL17/18";(SUMIF(X1561:Y1632,"&lt;&gt;#REF!"))}</f>
        <v>SUM LVL17/18</v>
      </c>
      <c r="Y1551" s="81"/>
      <c r="Z1551" s="81" t="str">
        <f t="array" ref="Z1551:Z1552">{"SUM LVL19/20";(SUMIF(Z1561:AA1632,"&lt;&gt;#REF!"))}</f>
        <v>SUM LVL19/20</v>
      </c>
      <c r="AA1551" s="81"/>
      <c r="AB1551" s="76"/>
      <c r="AC1551" s="76" t="str">
        <f t="array" ref="AC1551:AC1552">{"SUM ROWTOTALS";(SUMIF(AC1554:AC1640,"&lt;&gt;#REF!"))}</f>
        <v>SUM ROWTOTALS</v>
      </c>
    </row>
    <row r="1552">
      <c r="A1552" s="48" t="s">
        <v>223</v>
      </c>
      <c r="B1552" s="48"/>
      <c r="C1552" s="48" t="s">
        <v>418</v>
      </c>
      <c r="D1552" s="91" t="s">
        <v>416</v>
      </c>
      <c r="E1552" s="92" t="s">
        <v>419</v>
      </c>
      <c r="F1552" s="91"/>
      <c r="G1552" s="93"/>
      <c r="H1552" s="92">
        <v>430.0</v>
      </c>
      <c r="I1552" s="92"/>
      <c r="J1552" s="92">
        <v>90.0</v>
      </c>
      <c r="K1552" s="92"/>
      <c r="L1552" s="92">
        <v>60.0</v>
      </c>
      <c r="M1552" s="92"/>
      <c r="N1552" s="92">
        <v>220.0</v>
      </c>
      <c r="O1552" s="92"/>
      <c r="P1552" s="92">
        <v>110.0</v>
      </c>
      <c r="Q1552" s="92"/>
      <c r="R1552" s="92">
        <v>160.0</v>
      </c>
      <c r="S1552" s="92"/>
      <c r="T1552" s="92">
        <v>230.0</v>
      </c>
      <c r="U1552" s="92"/>
      <c r="V1552" s="92">
        <v>170.0</v>
      </c>
      <c r="W1552" s="92"/>
      <c r="X1552" s="92">
        <v>250.0</v>
      </c>
      <c r="Y1552" s="92"/>
      <c r="Z1552" s="92">
        <v>380.0</v>
      </c>
      <c r="AA1552" s="92"/>
      <c r="AB1552" s="5"/>
      <c r="AC1552" s="47">
        <v>2100.0</v>
      </c>
    </row>
    <row r="1553" hidden="1">
      <c r="A1553" s="76" t="str">
        <f t="array" ref="A1553:A1554">{"FormulaRow02";(INDEX(CLASSLIST,A1550,1))}</f>
        <v>FormulaRow02</v>
      </c>
      <c r="B1553" s="77" t="s">
        <v>236</v>
      </c>
      <c r="C1553" s="76" t="str">
        <f t="array" ref="C1553:C1554">{"CLASSTYPE";((INDEX(ALLCLASSDATA,MATCH("ClassType",CLASSFEATUREHEADERS,0),MATCH($A1554,CLASSNAMEHEADERS,0))))}</f>
        <v>CLASSTYPE</v>
      </c>
      <c r="D1553" s="81" t="str">
        <f t="array" ref="D1553:D1554">{"FEATURES";"Features"}</f>
        <v>FEATURES</v>
      </c>
      <c r="E1553" s="81" t="str">
        <f t="array" ref="E1553:E1554">{"INITIALFEATURES";"Initial Features"}</f>
        <v>INITIALFEATURES</v>
      </c>
      <c r="F1553" s="81" t="str">
        <f t="array" ref="F1553:F1554">{"KEY";"Key"}</f>
        <v>KEY</v>
      </c>
      <c r="G1553" s="81" t="str">
        <f t="array" ref="G1553:G1554">{"HP";"HP"}</f>
        <v>HP</v>
      </c>
      <c r="H1553" s="81" t="str">
        <f t="array" ref="H1553:H1554">{"CLASSFEATL01";"ClassFeatL01"}</f>
        <v>CLASSFEATL01</v>
      </c>
      <c r="I1553" s="81" t="str">
        <f t="array" ref="I1553:I1554">{"SHIELDBLOCKL01";"ShieldBlockL01"}</f>
        <v>SHIELDBLOCKL01</v>
      </c>
      <c r="J1553" s="81" t="str">
        <f t="array" ref="J1553:J1554">{"INITIALSKILLS";"InitialSkills"}</f>
        <v>INITIALSKILLS</v>
      </c>
      <c r="K1553" s="81" t="str">
        <f t="array" ref="K1553:K1554">{"SUBCLASSSKILLS";"SubclassSkills"}</f>
        <v>SUBCLASSSKILLS</v>
      </c>
      <c r="L1553" s="81" t="str">
        <f t="array" ref="L1553:L1554">{"GRANTEDSKILLS";"GrantedSkills"}</f>
        <v>GRANTEDSKILLS</v>
      </c>
      <c r="M1553" s="81"/>
      <c r="N1553" s="81"/>
      <c r="O1553" s="81"/>
      <c r="P1553" s="81" t="str">
        <f t="array" ref="P1553:P1554">{"FOCUSSPELLS";"FocusSpells:"}</f>
        <v>FOCUSSPELLS</v>
      </c>
      <c r="Q1553" s="81" t="str">
        <f t="array" ref="Q1553:Q1554">{"FOCUSSPELL1-L00";((INDEX(ALLCLASSDATA,MATCH("FocusSpell1-L00",CLASSFEATUREHEADERS,0),MATCH(($A1554),CLASSNAMEHEADERS,0))))}</f>
        <v>FOCUSSPELL1-L00</v>
      </c>
      <c r="R1553" s="81" t="str">
        <f t="array" ref="R1553:R1554">{"FOCUSSPELL2-L00";((INDEX(ALLCLASSDATA,MATCH("FocusSpell2-L00",CLASSFEATUREHEADERS,0),MATCH(($A1554),CLASSNAMEHEADERS,0))))}</f>
        <v>FOCUSSPELL2-L00</v>
      </c>
      <c r="S1553" s="81" t="str">
        <f t="array" ref="S1553:S1554">{"FOCUSSPELL3-L00";((INDEX(ALLCLASSDATA,MATCH("FocusSpell3-L00",CLASSFEATUREHEADERS,0),MATCH(($A1554),CLASSNAMEHEADERS,0))))}</f>
        <v>FOCUSSPELL3-L00</v>
      </c>
      <c r="T1553" s="81" t="str">
        <f t="array" ref="T1553:T1554">{"FOCUSSPELL4-L00";((INDEX(ALLCLASSDATA,MATCH("FocusSpell4-L00",CLASSFEATUREHEADERS,0),MATCH(($A1554),CLASSNAMEHEADERS,0))))}</f>
        <v>FOCUSSPELL4-L00</v>
      </c>
      <c r="U1553" s="81" t="str">
        <f t="array" ref="U1553:U1554">{"FOCUSSPELL5-L00";((INDEX(ALLCLASSDATA,MATCH("FocusSpell5-L00",CLASSFEATUREHEADERS,0),MATCH(($A1554),CLASSNAMEHEADERS,0))))}</f>
        <v>FOCUSSPELL5-L00</v>
      </c>
      <c r="V1553" s="81"/>
      <c r="W1553" s="81"/>
      <c r="X1553" s="81"/>
      <c r="Y1553" s="81"/>
      <c r="Z1553" s="81"/>
      <c r="AA1553" s="81"/>
      <c r="AB1553" s="76"/>
      <c r="AC1553" s="76"/>
    </row>
    <row r="1554">
      <c r="A1554" s="48" t="s">
        <v>223</v>
      </c>
      <c r="B1554" s="48"/>
      <c r="C1554" s="48" t="s">
        <v>418</v>
      </c>
      <c r="D1554" s="48" t="s">
        <v>467</v>
      </c>
      <c r="E1554" s="48" t="s">
        <v>468</v>
      </c>
      <c r="F1554" s="48" t="s">
        <v>469</v>
      </c>
      <c r="G1554" s="114" t="s">
        <v>15</v>
      </c>
      <c r="H1554" s="8" t="s">
        <v>451</v>
      </c>
      <c r="I1554" s="8" t="s">
        <v>463</v>
      </c>
      <c r="J1554" s="8" t="s">
        <v>473</v>
      </c>
      <c r="K1554" s="8" t="s">
        <v>474</v>
      </c>
      <c r="L1554" s="8" t="s">
        <v>475</v>
      </c>
      <c r="M1554" s="8"/>
      <c r="N1554" s="8"/>
      <c r="O1554" s="8"/>
      <c r="P1554" s="8" t="s">
        <v>476</v>
      </c>
      <c r="Q1554" s="8" t="s">
        <v>1599</v>
      </c>
      <c r="R1554" s="8" t="s">
        <v>1608</v>
      </c>
      <c r="S1554" s="116"/>
      <c r="T1554" s="116"/>
      <c r="U1554" s="116"/>
      <c r="V1554" s="8"/>
      <c r="W1554" s="8"/>
      <c r="X1554" s="8"/>
      <c r="Y1554" s="8"/>
      <c r="Z1554" s="5"/>
      <c r="AA1554" s="5"/>
      <c r="AB1554" s="5"/>
      <c r="AC1554" s="47"/>
    </row>
    <row r="1555" hidden="1">
      <c r="A1555" s="76" t="str">
        <f t="array" ref="A1555:A1556">{"FormulaRow03";(INDEX(CLASSLIST,A1550,1))}</f>
        <v>FormulaRow03</v>
      </c>
      <c r="B1555" s="77" t="s">
        <v>236</v>
      </c>
      <c r="C1555" s="76" t="str">
        <f t="array" ref="C1555:C1556">{"CLASSTYPE";((INDEX(ALLCLASSDATA,MATCH("ClassType",CLASSFEATUREHEADERS,0),MATCH($A1556,CLASSNAMEHEADERS,0))))}</f>
        <v>CLASSTYPE</v>
      </c>
      <c r="D1555" s="76" t="str">
        <f t="array" ref="D1555:D1556">{"FEATUREPTS";"FeaturesPts"}</f>
        <v>FEATUREPTS</v>
      </c>
      <c r="E1555" s="76" t="str">
        <f t="array" ref="E1555:E1556">{"INITIALFEATURES";"Initial Features"}</f>
        <v>INITIALFEATURES</v>
      </c>
      <c r="F1555" s="76" t="str">
        <f t="array" ref="F1555:F1556">{"KEYABILITY";((INDEX(ALLCLASSDATA,MATCH("KEYABILITY",CLASSFEATUREHEADERS,0),MATCH($A1556,CLASSNAMEHEADERS,0))))}</f>
        <v>KEYABILITY</v>
      </c>
      <c r="G1555" s="76" t="str">
        <f t="array" ref="G1555:G1556">{"HP";((INDEX(ALLCLASSDATA,MATCH("HP",CLASSFEATUREHEADERS,0),MATCH(($A1556 &amp; "Points"),CLASSNAMEHEADERS,0))))}</f>
        <v>HP</v>
      </c>
      <c r="H1555" s="76" t="str">
        <f t="array" ref="H1555:H1556">{"CLASSFEATL01";((INDEX(ALLCLASSDATA,MATCH("ClassFeatL01",CLASSFEATUREHEADERS,0),MATCH(($A1556 &amp; "Points"),CLASSNAMEHEADERS,0))))}</f>
        <v>CLASSFEATL01</v>
      </c>
      <c r="I1555" s="76" t="str">
        <f t="array" ref="I1555:I1556">{"SHIELDBLOCKL01";((INDEX(ALLCLASSDATA,MATCH("ShieldBlockL01",CLASSFEATUREHEADERS,0),MATCH(($A1556 &amp; "Points"),CLASSNAMEHEADERS,0))))}</f>
        <v>SHIELDBLOCKL01</v>
      </c>
      <c r="J1555" s="76" t="str">
        <f t="array" ref="J1555:J1556">{"INITIALSKILLINCREASES";((INDEX(ALLCLASSDATA,MATCH("InitialSkillIncreases",CLASSFEATUREHEADERS,0),MATCH(($A1556 &amp; "Points"),CLASSNAMEHEADERS,0))))}</f>
        <v>INITIALSKILLINCREASES</v>
      </c>
      <c r="K1555" s="76" t="str">
        <f t="array" ref="K1555:K1556">{"SUBCLASSSKILLINCREASES";((INDEX(ALLCLASSDATA,MATCH("SubclassSkillIncreases",CLASSFEATUREHEADERS,0),MATCH(($A1556 &amp; "Points"),CLASSNAMEHEADERS,0))))}</f>
        <v>SUBCLASSSKILLINCREASES</v>
      </c>
      <c r="L1555" s="76" t="str">
        <f t="array" ref="L1555:L1556">{"GRANTEDSKILLS";(((INDEX(ALLCLASSDATA,MATCH("SkillsGrantedTotal",CLASSFEATUREHEADERS,0),MATCH(($A1556 &amp; "Points"),CLASSNAMEHEADERS,0)))-(INDEX(ALLCLASSDATA,MATCH("InitialSkillIncreases",CLASSFEATUREHEADERS,0),MATCH(($A1556 &amp; "Points"),CLASSNAMEHEADERS,0)))-(INDEX(ALLCLASSDATA,MATCH("SubclassSkillIncreases",CLASSFEATUREHEADERS,0),MATCH(($A1556 &amp; "Points"),CLASSNAMEHEADERS,0)))))}</f>
        <v>GRANTEDSKILLS</v>
      </c>
      <c r="M1555" s="76"/>
      <c r="N1555" s="76"/>
      <c r="O1555" s="76"/>
      <c r="P1555" s="76"/>
      <c r="Q1555" s="76" t="str">
        <f t="array" ref="Q1555:Q1556">{"FOCUSSPELL1-L00";((INDEX(ALLCLASSDATA,MATCH("FocusSpell1-L00",CLASSFEATUREHEADERS,0),MATCH(($A1556 &amp; "Points"),CLASSNAMEHEADERS,0))))}</f>
        <v>FOCUSSPELL1-L00</v>
      </c>
      <c r="R1555" s="76" t="str">
        <f t="array" ref="R1555:R1556">{"FOCUSSPELL2-L00";((INDEX(ALLCLASSDATA,MATCH("FocusSpell2-L00",CLASSFEATUREHEADERS,0),MATCH(($A1556 &amp; "Points"),CLASSNAMEHEADERS,0))))}</f>
        <v>FOCUSSPELL2-L00</v>
      </c>
      <c r="S1555" s="76" t="str">
        <f t="array" ref="S1555:S1556">{"FOCUSSPELL3-L00";((INDEX(ALLCLASSDATA,MATCH("FocusSpell3-L00",CLASSFEATUREHEADERS,0),MATCH(($A1556 &amp; "Points"),CLASSNAMEHEADERS,0))))}</f>
        <v>FOCUSSPELL3-L00</v>
      </c>
      <c r="T1555" s="76" t="str">
        <f t="array" ref="T1555:T1556">{"FOCUSSPELL4-L00";((INDEX(ALLCLASSDATA,MATCH("FocusSpell4-L00",CLASSFEATUREHEADERS,0),MATCH(($A1556 &amp; "Points"),CLASSNAMEHEADERS,0))))}</f>
        <v>FOCUSSPELL4-L00</v>
      </c>
      <c r="U1555" s="76" t="str">
        <f t="array" ref="U1555:U1556">{"FOCUSSPELL5-L00";((INDEX(ALLCLASSDATA,MATCH("FocusSpell5-L00",CLASSFEATUREHEADERS,0),MATCH(($A1556 &amp; "Points"),CLASSNAMEHEADERS,0))))}</f>
        <v>FOCUSSPELL5-L00</v>
      </c>
      <c r="V1555" s="76"/>
      <c r="W1555" s="76"/>
      <c r="X1555" s="76"/>
      <c r="Y1555" s="76"/>
      <c r="Z1555" s="76"/>
      <c r="AA1555" s="76"/>
      <c r="AB1555" s="76"/>
      <c r="AC1555" s="76" t="str">
        <f t="array" ref="AC1555:AC1556">{"FEATUREPTS TOTAL";(sum(G1556:AA1556))}</f>
        <v>FEATUREPTS TOTAL</v>
      </c>
    </row>
    <row r="1556">
      <c r="A1556" s="48" t="s">
        <v>223</v>
      </c>
      <c r="B1556" s="48"/>
      <c r="C1556" s="48" t="s">
        <v>418</v>
      </c>
      <c r="D1556" s="97" t="s">
        <v>559</v>
      </c>
      <c r="E1556" s="97" t="s">
        <v>468</v>
      </c>
      <c r="F1556" s="97" t="s">
        <v>264</v>
      </c>
      <c r="G1556" s="132">
        <v>80.0</v>
      </c>
      <c r="H1556" s="98" t="s">
        <v>603</v>
      </c>
      <c r="I1556" s="98" t="s">
        <v>603</v>
      </c>
      <c r="J1556" s="98">
        <v>15.0</v>
      </c>
      <c r="K1556" s="98">
        <v>5.0</v>
      </c>
      <c r="L1556" s="98">
        <v>5.0</v>
      </c>
      <c r="M1556" s="98"/>
      <c r="N1556" s="98"/>
      <c r="O1556" s="98"/>
      <c r="P1556" s="98"/>
      <c r="Q1556" s="98">
        <v>10.0</v>
      </c>
      <c r="R1556" s="98">
        <v>10.0</v>
      </c>
      <c r="S1556" s="98"/>
      <c r="T1556" s="98"/>
      <c r="U1556" s="98"/>
      <c r="V1556" s="98"/>
      <c r="W1556" s="98"/>
      <c r="X1556" s="98"/>
      <c r="Y1556" s="98"/>
      <c r="Z1556" s="98"/>
      <c r="AA1556" s="98"/>
      <c r="AB1556" s="5"/>
      <c r="AC1556" s="47">
        <v>125.0</v>
      </c>
    </row>
    <row r="1557" hidden="1">
      <c r="A1557" s="76" t="str">
        <f t="array" ref="A1557:A1558">{"FormulaRow04";(INDEX(CLASSLIST,A1550,1))}</f>
        <v>FormulaRow04</v>
      </c>
      <c r="B1557" s="77" t="s">
        <v>236</v>
      </c>
      <c r="C1557" s="76" t="str">
        <f t="array" ref="C1557:C1558">{"CLASSTYPE";((INDEX(ALLCLASSDATA,MATCH("ClassType",CLASSFEATUREHEADERS,0),MATCH($A1558,CLASSNAMEHEADERS,0))))}</f>
        <v>CLASSTYPE</v>
      </c>
      <c r="D1557" s="81" t="str">
        <f t="array" ref="D1557:D1558">{"INITIALFEATURES";"InitialFeatures"}</f>
        <v>INITIALFEATURES</v>
      </c>
      <c r="E1557" s="81" t="str">
        <f t="array" ref="E1557:E1558">{"CLASS/SUBCLASSFEATURES";"Class/Subclass Features"}</f>
        <v>CLASS/SUBCLASSFEATURES</v>
      </c>
      <c r="F1557" s="81"/>
      <c r="G1557" s="136"/>
      <c r="H1557" s="81" t="str">
        <f t="array" ref="H1557:H1558">{"CLASSINITIALABILITY1-L00";((INDEX(ALLCLASSDATA,MATCH("ClassInitialAbility1-L00",CLASSFEATUREHEADERS,0),MATCH(($A1558),CLASSNAMEHEADERS,0))))}</f>
        <v>CLASSINITIALABILITY1-L00</v>
      </c>
      <c r="I1557" s="81" t="str">
        <f t="array" ref="I1557:I1558">{"CLASSINITIALABILITY2-L00";((INDEX(ALLCLASSDATA,MATCH("ClassInitialAbility2-L00",CLASSFEATUREHEADERS,0),MATCH(($A1558),CLASSNAMEHEADERS,0))))}</f>
        <v>CLASSINITIALABILITY2-L00</v>
      </c>
      <c r="J1557" s="81" t="str">
        <f t="array" ref="J1557:J1558">{"CLASSINITIALABILITY3-L00";((INDEX(ALLCLASSDATA,MATCH("ClassInitialAbility3-L00",CLASSFEATUREHEADERS,0),MATCH(($A1558),CLASSNAMEHEADERS,0))))}</f>
        <v>CLASSINITIALABILITY3-L00</v>
      </c>
      <c r="K1557" s="81" t="str">
        <f t="array" ref="K1557:K1558">{"CLASSINITIALABILITY4-L00";((INDEX(ALLCLASSDATA,MATCH("ClassInitialAbility4-L00",CLASSFEATUREHEADERS,0),MATCH(($A1558),CLASSNAMEHEADERS,0))))}</f>
        <v>CLASSINITIALABILITY4-L00</v>
      </c>
      <c r="L1557" s="81" t="str">
        <f t="array" ref="L1557:L1558">{"CLASSINITIALABILITY5-L00";((INDEX(ALLCLASSDATA,MATCH("ClassInitialAbility5-L00",CLASSFEATUREHEADERS,0),MATCH(($A1558),CLASSNAMEHEADERS,0))))}</f>
        <v>CLASSINITIALABILITY5-L00</v>
      </c>
      <c r="M1557" s="81" t="str">
        <f t="array" ref="M1557:M1558">{"CLASSINITIALABILITY6-L00";((INDEX(ALLCLASSDATA,MATCH("ClassInitialAbility6-L00",CLASSFEATUREHEADERS,0),MATCH(($A1558),CLASSNAMEHEADERS,0))))}</f>
        <v>CLASSINITIALABILITY6-L00</v>
      </c>
      <c r="N1557" s="81" t="str">
        <f t="array" ref="N1557:N1558">{"CLASSINITIALABILITY7-L00";((INDEX(ALLCLASSDATA,MATCH("ClassInitialAbility7-L00",CLASSFEATUREHEADERS,0),MATCH(($A1558),CLASSNAMEHEADERS,0))))}</f>
        <v>CLASSINITIALABILITY7-L00</v>
      </c>
      <c r="O1557" s="81" t="str">
        <f t="array" ref="O1557:O1558">{"CLASSINITIALABILITY8-L00";((INDEX(ALLCLASSDATA,MATCH("ClassInitialAbility8-L00",CLASSFEATUREHEADERS,0),MATCH(($A1558),CLASSNAMEHEADERS,0))))}</f>
        <v>CLASSINITIALABILITY8-L00</v>
      </c>
      <c r="P1557" s="81" t="str">
        <f t="array" ref="P1557:P1558">{"CLASSINITIALABILITY9-L00";((INDEX(ALLCLASSDATA,MATCH("ClassInitialAbility9-L00",CLASSFEATUREHEADERS,0),MATCH(($A1558),CLASSNAMEHEADERS,0))))}</f>
        <v>CLASSINITIALABILITY9-L00</v>
      </c>
      <c r="Q1557" s="81" t="str">
        <f t="array" ref="Q1557:Q1558">{"CLASSINITIALABILITY10-L00";((INDEX(ALLCLASSDATA,MATCH("ClassInitialAbility10-L00",CLASSFEATUREHEADERS,0),MATCH(($A1558),CLASSNAMEHEADERS,0))))}</f>
        <v>CLASSINITIALABILITY10-L00</v>
      </c>
      <c r="R1557" s="81" t="str">
        <f t="array" ref="R1557:R1558">{"SUBCLASSINITIAL1-L00";((INDEX(ALLCLASSDATA,MATCH("SubclassInitial1-L00",CLASSFEATUREHEADERS,0),MATCH(($A1558),CLASSNAMEHEADERS,0))))}</f>
        <v>SUBCLASSINITIAL1-L00</v>
      </c>
      <c r="S1557" s="81" t="str">
        <f t="array" ref="S1557:S1558">{"SUBCLASSINITIAL2-L00";((INDEX(ALLCLASSDATA,MATCH("SubclassInitial2-L00",CLASSFEATUREHEADERS,0),MATCH(($A1558),CLASSNAMEHEADERS,0))))}</f>
        <v>SUBCLASSINITIAL2-L00</v>
      </c>
      <c r="T1557" s="81" t="str">
        <f t="array" ref="T1557:T1558">{"SUBCLASSINITIAL3-L00";((INDEX(ALLCLASSDATA,MATCH("SubclassInitial3-L00",CLASSFEATUREHEADERS,0),MATCH(($A1558),CLASSNAMEHEADERS,0))))}</f>
        <v>SUBCLASSINITIAL3-L00</v>
      </c>
      <c r="U1557" s="81" t="str">
        <f t="array" ref="U1557:U1558">{"SUBCLASSINITIAL4-L00";((INDEX(ALLCLASSDATA,MATCH("SubclassInitial4-L00",CLASSFEATUREHEADERS,0),MATCH(($A1558),CLASSNAMEHEADERS,0))))}</f>
        <v>SUBCLASSINITIAL4-L00</v>
      </c>
      <c r="V1557" s="81" t="str">
        <f t="array" ref="V1557:V1558">{"SUBCLASSINITIAL5-L00";((INDEX(ALLCLASSDATA,MATCH("SubclassInitial5-L00",CLASSFEATUREHEADERS,0),MATCH(($A1558),CLASSNAMEHEADERS,0))))}</f>
        <v>SUBCLASSINITIAL5-L00</v>
      </c>
      <c r="W1557" s="81" t="str">
        <f t="array" ref="W1557:W1558">{"SUBCLASSINITIAL6-L00";((INDEX(ALLCLASSDATA,MATCH("SubclassInitial6-L00",CLASSFEATUREHEADERS,0),MATCH(($A1558),CLASSNAMEHEADERS,0))))}</f>
        <v>SUBCLASSINITIAL6-L00</v>
      </c>
      <c r="X1557" s="81" t="str">
        <f t="array" ref="X1557:X1558">{"SUBCLASSINITIAL7-L00";((INDEX(ALLCLASSDATA,MATCH("SubclassInitial7-L00",CLASSFEATUREHEADERS,0),MATCH(($A1558),CLASSNAMEHEADERS,0))))}</f>
        <v>SUBCLASSINITIAL7-L00</v>
      </c>
      <c r="Y1557" s="81" t="str">
        <f t="array" ref="Y1557:Y1558">{"SUBCLASSINITIAL8-L00";((INDEX(ALLCLASSDATA,MATCH("SubclassInitial8-L00",CLASSFEATUREHEADERS,0),MATCH(($A1558),CLASSNAMEHEADERS,0))))}</f>
        <v>SUBCLASSINITIAL8-L00</v>
      </c>
      <c r="Z1557" s="81" t="str">
        <f t="array" ref="Z1557:Z1558">{"SUBCLASSINITIAL9-L00";((INDEX(ALLCLASSDATA,MATCH("SubclassInitial9-L00",CLASSFEATUREHEADERS,0),MATCH(($A1558),CLASSNAMEHEADERS,0))))}</f>
        <v>SUBCLASSINITIAL9-L00</v>
      </c>
      <c r="AA1557" s="81" t="str">
        <f t="array" ref="AA1557:AA1558">{"SUBCLASSINITIAL10-L00";((INDEX(ALLCLASSDATA,MATCH("SubclassInitial10-L00",CLASSFEATUREHEADERS,0),MATCH(($A1558),CLASSNAMEHEADERS,0))))}</f>
        <v>SUBCLASSINITIAL10-L00</v>
      </c>
      <c r="AB1557" s="76"/>
      <c r="AC1557" s="76"/>
    </row>
    <row r="1558">
      <c r="A1558" s="48" t="s">
        <v>223</v>
      </c>
      <c r="B1558" s="48"/>
      <c r="C1558" s="48" t="s">
        <v>418</v>
      </c>
      <c r="D1558" s="48" t="s">
        <v>614</v>
      </c>
      <c r="E1558" s="48" t="s">
        <v>616</v>
      </c>
      <c r="F1558" s="48"/>
      <c r="G1558" s="47"/>
      <c r="H1558" s="5" t="s">
        <v>642</v>
      </c>
      <c r="I1558" s="5" t="s">
        <v>1638</v>
      </c>
      <c r="J1558" s="5" t="s">
        <v>1650</v>
      </c>
      <c r="K1558" s="5"/>
      <c r="L1558" s="5"/>
      <c r="M1558" s="5"/>
      <c r="N1558" s="5"/>
      <c r="O1558" s="5"/>
      <c r="P1558" s="5"/>
      <c r="Q1558" s="5"/>
      <c r="R1558" s="5" t="s">
        <v>1822</v>
      </c>
      <c r="S1558" s="5" t="s">
        <v>1834</v>
      </c>
      <c r="T1558" s="5" t="s">
        <v>1840</v>
      </c>
      <c r="U1558" s="5"/>
      <c r="V1558" s="5"/>
      <c r="W1558" s="5"/>
      <c r="X1558" s="5"/>
      <c r="Y1558" s="5"/>
      <c r="Z1558" s="5"/>
      <c r="AA1558" s="5"/>
      <c r="AB1558" s="5"/>
      <c r="AC1558" s="47"/>
    </row>
    <row r="1559" hidden="1">
      <c r="A1559" s="76" t="str">
        <f t="array" ref="A1559:A1560">{"FormulaRow05";(INDEX(CLASSLIST,A1550,1))}</f>
        <v>FormulaRow05</v>
      </c>
      <c r="B1559" s="77" t="s">
        <v>236</v>
      </c>
      <c r="C1559" s="76" t="str">
        <f t="array" ref="C1559:C1560">{"CLASSTYPE";((INDEX(ALLCLASSDATA,MATCH("ClassType",CLASSFEATUREHEADERS,0),MATCH($A1560,CLASSNAMEHEADERS,0))))}</f>
        <v>CLASSTYPE</v>
      </c>
      <c r="D1559" s="76" t="str">
        <f t="array" ref="D1559:D1560">{"INITIALFEATURESPTS";"InitialFeaturesPts"}</f>
        <v>INITIALFEATURESPTS</v>
      </c>
      <c r="E1559" s="76" t="str">
        <f t="array" ref="E1559:E1560">{"CLASS/SUBCLASSFEATURES";"Class/Subclass Features"}</f>
        <v>CLASS/SUBCLASSFEATURES</v>
      </c>
      <c r="F1559" s="76"/>
      <c r="G1559" s="76"/>
      <c r="H1559" s="76" t="str">
        <f t="array" ref="H1559:H1560">{"CLASSINITIALABILITY1-L00PTS";((INDEX(ALLCLASSDATA,MATCH("ClassInitialAbility1-L00",CLASSFEATUREHEADERS,0),MATCH(($A1560 &amp; "Points"),CLASSNAMEHEADERS,0))))}</f>
        <v>CLASSINITIALABILITY1-L00PTS</v>
      </c>
      <c r="I1559" s="76" t="str">
        <f t="array" ref="I1559:I1560">{"CLASSINITIALABILITY2-L00PTS";((INDEX(ALLCLASSDATA,MATCH("ClassInitialAbility2-L00",CLASSFEATUREHEADERS,0),MATCH(($A1560 &amp; "Points"),CLASSNAMEHEADERS,0))))}</f>
        <v>CLASSINITIALABILITY2-L00PTS</v>
      </c>
      <c r="J1559" s="76" t="str">
        <f t="array" ref="J1559:J1560">{"CLASSINITIALABILITY3-L00PTS";((INDEX(ALLCLASSDATA,MATCH("ClassInitialAbility3-L00",CLASSFEATUREHEADERS,0),MATCH(($A1560 &amp; "Points"),CLASSNAMEHEADERS,0))))}</f>
        <v>CLASSINITIALABILITY3-L00PTS</v>
      </c>
      <c r="K1559" s="76" t="str">
        <f t="array" ref="K1559:K1560">{"CLASSINITIALABILITY4-L00PTS";((INDEX(ALLCLASSDATA,MATCH("ClassInitialAbility4-L00",CLASSFEATUREHEADERS,0),MATCH(($A1560 &amp; "Points"),CLASSNAMEHEADERS,0))))}</f>
        <v>CLASSINITIALABILITY4-L00PTS</v>
      </c>
      <c r="L1559" s="76" t="str">
        <f t="array" ref="L1559:L1560">{"CLASSINITIALABILITY5-L00PTS";((INDEX(ALLCLASSDATA,MATCH("ClassInitialAbility5-L00",CLASSFEATUREHEADERS,0),MATCH(($A1560 &amp; "Points"),CLASSNAMEHEADERS,0))))}</f>
        <v>CLASSINITIALABILITY5-L00PTS</v>
      </c>
      <c r="M1559" s="76" t="str">
        <f t="array" ref="M1559:M1560">{"CLASSINITIALABILITY6-L00PTS";((INDEX(ALLCLASSDATA,MATCH("ClassInitialAbility6-L00",CLASSFEATUREHEADERS,0),MATCH(($A1560 &amp; "Points"),CLASSNAMEHEADERS,0))))}</f>
        <v>CLASSINITIALABILITY6-L00PTS</v>
      </c>
      <c r="N1559" s="76" t="str">
        <f t="array" ref="N1559:N1560">{"CLASSINITIALABILITY7-L00PTS";((INDEX(ALLCLASSDATA,MATCH("ClassInitialAbility7-L00",CLASSFEATUREHEADERS,0),MATCH(($A1560 &amp; "Points"),CLASSNAMEHEADERS,0))))}</f>
        <v>CLASSINITIALABILITY7-L00PTS</v>
      </c>
      <c r="O1559" s="76" t="str">
        <f t="array" ref="O1559:O1560">{"CLASSINITIALABILITY8-L00PTS";((INDEX(ALLCLASSDATA,MATCH("ClassInitialAbility8-L00",CLASSFEATUREHEADERS,0),MATCH(($A1560 &amp; "Points"),CLASSNAMEHEADERS,0))))}</f>
        <v>CLASSINITIALABILITY8-L00PTS</v>
      </c>
      <c r="P1559" s="76" t="str">
        <f t="array" ref="P1559:P1560">{"CLASSINITIALABILITY9-L00PTS";((INDEX(ALLCLASSDATA,MATCH("ClassInitialAbility9-L00",CLASSFEATUREHEADERS,0),MATCH(($A1560 &amp; "Points"),CLASSNAMEHEADERS,0))))}</f>
        <v>CLASSINITIALABILITY9-L00PTS</v>
      </c>
      <c r="Q1559" s="76" t="str">
        <f t="array" ref="Q1559:Q1560">{"CLASSINITIALABILITY10-L00PTS";((INDEX(ALLCLASSDATA,MATCH("ClassInitialAbility10-L00",CLASSFEATUREHEADERS,0),MATCH(($A1560 &amp; "Points"),CLASSNAMEHEADERS,0))))}</f>
        <v>CLASSINITIALABILITY10-L00PTS</v>
      </c>
      <c r="R1559" s="76" t="str">
        <f t="array" ref="R1559:R1560">{"SUBCLASSINITIAL1-L00PTS";((INDEX(ALLCLASSDATA,MATCH("SubclassInitial1-L00",CLASSFEATUREHEADERS,0),MATCH(($A1560 &amp; "Points"),CLASSNAMEHEADERS,0))))}</f>
        <v>SUBCLASSINITIAL1-L00PTS</v>
      </c>
      <c r="S1559" s="76" t="str">
        <f t="array" ref="S1559:S1560">{"SUBCLASSINITIAL2-L00PTS";((INDEX(ALLCLASSDATA,MATCH("SubclassInitial2-L00",CLASSFEATUREHEADERS,0),MATCH(($A1560 &amp; "Points"),CLASSNAMEHEADERS,0))))}</f>
        <v>SUBCLASSINITIAL2-L00PTS</v>
      </c>
      <c r="T1559" s="76" t="str">
        <f t="array" ref="T1559:T1560">{"SUBCLASSINITIAL3-L00PTS";((INDEX(ALLCLASSDATA,MATCH("SubclassInitial3-L00",CLASSFEATUREHEADERS,0),MATCH(($A1560 &amp; "Points"),CLASSNAMEHEADERS,0))))}</f>
        <v>SUBCLASSINITIAL3-L00PTS</v>
      </c>
      <c r="U1559" s="76" t="str">
        <f t="array" ref="U1559:U1560">{"SUBCLASSINITIAL4-L00PTS";((INDEX(ALLCLASSDATA,MATCH("SubclassInitial4-L00",CLASSFEATUREHEADERS,0),MATCH(($A1560 &amp; "Points"),CLASSNAMEHEADERS,0))))}</f>
        <v>SUBCLASSINITIAL4-L00PTS</v>
      </c>
      <c r="V1559" s="76" t="str">
        <f t="array" ref="V1559:V1560">{"SUBCLASSINITIAL5-L00PTS";((INDEX(ALLCLASSDATA,MATCH("SubclassInitial5-L00",CLASSFEATUREHEADERS,0),MATCH(($A1560 &amp; "Points"),CLASSNAMEHEADERS,0))))}</f>
        <v>SUBCLASSINITIAL5-L00PTS</v>
      </c>
      <c r="W1559" s="76" t="str">
        <f t="array" ref="W1559:W1560">{"SUBCLASSINITIAL6-L00PTS";((INDEX(ALLCLASSDATA,MATCH("SubclassInitial6-L00",CLASSFEATUREHEADERS,0),MATCH(($A1560 &amp; "Points"),CLASSNAMEHEADERS,0))))}</f>
        <v>SUBCLASSINITIAL6-L00PTS</v>
      </c>
      <c r="X1559" s="76" t="str">
        <f t="array" ref="X1559:X1560">{"SUBCLASSINITIAL7-L00PTS";((INDEX(ALLCLASSDATA,MATCH("SubclassInitial7-L00",CLASSFEATUREHEADERS,0),MATCH(($A1560 &amp; "Points"),CLASSNAMEHEADERS,0))))}</f>
        <v>SUBCLASSINITIAL7-L00PTS</v>
      </c>
      <c r="Y1559" s="76" t="str">
        <f t="array" ref="Y1559:Y1560">{"SUBCLASSINITIAL8-L00PTS";((INDEX(ALLCLASSDATA,MATCH("SubclassInitial8-L00",CLASSFEATUREHEADERS,0),MATCH(($A1560 &amp; "Points"),CLASSNAMEHEADERS,0))))}</f>
        <v>SUBCLASSINITIAL8-L00PTS</v>
      </c>
      <c r="Z1559" s="76" t="str">
        <f t="array" ref="Z1559:Z1560">{"SUBCLASSINITIAL9-L00PTS";((INDEX(ALLCLASSDATA,MATCH("SubclassInitial9-L00",CLASSFEATUREHEADERS,0),MATCH(($A1560 &amp; "Points"),CLASSNAMEHEADERS,0))))}</f>
        <v>SUBCLASSINITIAL9-L00PTS</v>
      </c>
      <c r="AA1559" s="76" t="str">
        <f t="array" ref="AA1559:AA1560">{"SUBCLASSINITIAL10-L00PTS";((INDEX(ALLCLASSDATA,MATCH("SubclassInitial10-L00",CLASSFEATUREHEADERS,0),MATCH(($A1560 &amp; "Points"),CLASSNAMEHEADERS,0))))}</f>
        <v>SUBCLASSINITIAL10-L00PTS</v>
      </c>
      <c r="AB1559" s="76"/>
      <c r="AC1559" s="76" t="str">
        <f t="array" ref="AC1559:AC1560">{"INITIALFEATUREPTS TOTAL";(sum(G1560:AA1560))}</f>
        <v>INITIALFEATUREPTS TOTAL</v>
      </c>
    </row>
    <row r="1560">
      <c r="A1560" s="48" t="s">
        <v>223</v>
      </c>
      <c r="B1560" s="48"/>
      <c r="C1560" s="48" t="s">
        <v>418</v>
      </c>
      <c r="D1560" s="97" t="s">
        <v>651</v>
      </c>
      <c r="E1560" s="97" t="s">
        <v>616</v>
      </c>
      <c r="F1560" s="97"/>
      <c r="G1560" s="132"/>
      <c r="H1560" s="98">
        <v>10.0</v>
      </c>
      <c r="I1560" s="98"/>
      <c r="J1560" s="97"/>
      <c r="K1560" s="98"/>
      <c r="L1560" s="97"/>
      <c r="M1560" s="98"/>
      <c r="N1560" s="98"/>
      <c r="O1560" s="98"/>
      <c r="P1560" s="98"/>
      <c r="Q1560" s="98"/>
      <c r="R1560" s="98"/>
      <c r="S1560" s="98">
        <v>90.0</v>
      </c>
      <c r="T1560" s="98"/>
      <c r="U1560" s="98"/>
      <c r="V1560" s="98"/>
      <c r="W1560" s="98"/>
      <c r="X1560" s="98"/>
      <c r="Y1560" s="98"/>
      <c r="Z1560" s="98"/>
      <c r="AA1560" s="98"/>
      <c r="AB1560" s="5"/>
      <c r="AC1560" s="47">
        <v>100.0</v>
      </c>
    </row>
    <row r="1561" hidden="1">
      <c r="A1561" s="76" t="str">
        <f t="array" ref="A1561:A1562">{"FormulaRow06";(INDEX(CLASSLIST,A1550,1))}</f>
        <v>FormulaRow06</v>
      </c>
      <c r="B1561" s="77" t="s">
        <v>236</v>
      </c>
      <c r="C1561" s="76" t="str">
        <f t="array" ref="C1561:C1562">{"CLASSTYPE";((INDEX(ALLCLASSDATA,MATCH("ClassType",CLASSFEATUREHEADERS,0),MATCH($A1562,CLASSNAMEHEADERS,0))))}</f>
        <v>CLASSTYPE</v>
      </c>
      <c r="D1561" s="81" t="str">
        <f t="array" ref="D1561:D1562">{"SKILLS";"Skills"}</f>
        <v>SKILLS</v>
      </c>
      <c r="E1561" s="81" t="str">
        <f t="array" ref="E1561:E1562">{"EXTRASKILLINCREASES";"Extra Skill Increases"}</f>
        <v>EXTRASKILLINCREASES</v>
      </c>
      <c r="F1561" s="81"/>
      <c r="G1561" s="81"/>
      <c r="H1561" s="81"/>
      <c r="I1561" s="81" t="str">
        <f t="array" ref="I1561:I1562">{"SKILLINCREASEEXTRA-L02";((INDEX(ALLCLASSDATA,MATCH("SkillIncreaseExtra-L02",CLASSFEATUREHEADERS,0),MATCH(($A1562 &amp; "Points"),CLASSNAMEHEADERS,0))))}</f>
        <v>SKILLINCREASEEXTRA-L02</v>
      </c>
      <c r="J1561" s="81" t="str">
        <f t="array" ref="J1561:J1562">{"SKILLINCREASEEXTRA-L03";((INDEX(ALLCLASSDATA,MATCH("SkillIncreaseExtra-L03",CLASSFEATUREHEADERS,0),MATCH(($A1562 &amp; "Points"),CLASSNAMEHEADERS,0))))}</f>
        <v>SKILLINCREASEEXTRA-L03</v>
      </c>
      <c r="K1561" s="81" t="str">
        <f t="array" ref="K1561:K1562">{"SKILLINCREASEEXTRA-L04";((INDEX(ALLCLASSDATA,MATCH("SkillIncreaseExtra-L04",CLASSFEATUREHEADERS,0),MATCH(($A1562 &amp; "Points"),CLASSNAMEHEADERS,0))))}</f>
        <v>SKILLINCREASEEXTRA-L04</v>
      </c>
      <c r="L1561" s="81" t="str">
        <f t="array" ref="L1561:L1562">{"SKILLINCREASEEXTRA-L05";((INDEX(ALLCLASSDATA,MATCH("SkillIncreaseExtra-L05",CLASSFEATUREHEADERS,0),MATCH(($A1562 &amp; "Points"),CLASSNAMEHEADERS,0))))}</f>
        <v>SKILLINCREASEEXTRA-L05</v>
      </c>
      <c r="M1561" s="81" t="str">
        <f t="array" ref="M1561:M1562">{"SKILLINCREASEEXTRA-L06";((INDEX(ALLCLASSDATA,MATCH("SkillIncreaseExtra-L06",CLASSFEATUREHEADERS,0),MATCH(($A1562 &amp; "Points"),CLASSNAMEHEADERS,0))))}</f>
        <v>SKILLINCREASEEXTRA-L06</v>
      </c>
      <c r="N1561" s="81" t="str">
        <f t="array" ref="N1561:N1562">{"SKILLINCREASEEXTRA-L07";((INDEX(ALLCLASSDATA,MATCH("SkillIncreaseExtra-L07",CLASSFEATUREHEADERS,0),MATCH(($A1562 &amp; "Points"),CLASSNAMEHEADERS,0))))}</f>
        <v>SKILLINCREASEEXTRA-L07</v>
      </c>
      <c r="O1561" s="81" t="str">
        <f t="array" ref="O1561:O1562">{"SKILLINCREASEEXTRA-L08";((INDEX(ALLCLASSDATA,MATCH("SkillIncreaseExtra-L08",CLASSFEATUREHEADERS,0),MATCH(($A1562 &amp; "Points"),CLASSNAMEHEADERS,0))))}</f>
        <v>SKILLINCREASEEXTRA-L08</v>
      </c>
      <c r="P1561" s="81" t="str">
        <f t="array" ref="P1561:P1562">{"SKILLINCREASEEXTRA-L09";((INDEX(ALLCLASSDATA,MATCH("SkillIncreaseExtra-L09",CLASSFEATUREHEADERS,0),MATCH(($A1562 &amp; "Points"),CLASSNAMEHEADERS,0))))}</f>
        <v>SKILLINCREASEEXTRA-L09</v>
      </c>
      <c r="Q1561" s="81" t="str">
        <f t="array" ref="Q1561:Q1562">{"SKILLINCREASEEXTRA-L10";((INDEX(ALLCLASSDATA,MATCH("SkillIncreaseExtra-L10",CLASSFEATUREHEADERS,0),MATCH(($A1562 &amp; "Points"),CLASSNAMEHEADERS,0))))}</f>
        <v>SKILLINCREASEEXTRA-L10</v>
      </c>
      <c r="R1561" s="81" t="str">
        <f t="array" ref="R1561:R1562">{"SKILLINCREASEEXTRA-L11";((INDEX(ALLCLASSDATA,MATCH("SkillIncreaseExtra-L11",CLASSFEATUREHEADERS,0),MATCH(($A1562 &amp; "Points"),CLASSNAMEHEADERS,0))))}</f>
        <v>SKILLINCREASEEXTRA-L11</v>
      </c>
      <c r="S1561" s="81" t="str">
        <f t="array" ref="S1561:S1562">{"SKILLINCREASEEXTRA-L12";((INDEX(ALLCLASSDATA,MATCH("SkillIncreaseExtra-L12",CLASSFEATUREHEADERS,0),MATCH(($A1562 &amp; "Points"),CLASSNAMEHEADERS,0))))}</f>
        <v>SKILLINCREASEEXTRA-L12</v>
      </c>
      <c r="T1561" s="81" t="str">
        <f t="array" ref="T1561:T1562">{"SKILLINCREASEEXTRA-L13";((INDEX(ALLCLASSDATA,MATCH("SkillIncreaseExtra-L13",CLASSFEATUREHEADERS,0),MATCH(($A1562 &amp; "Points"),CLASSNAMEHEADERS,0))))}</f>
        <v>SKILLINCREASEEXTRA-L13</v>
      </c>
      <c r="U1561" s="81" t="str">
        <f t="array" ref="U1561:U1562">{"SKILLINCREASEEXTRA-L14";((INDEX(ALLCLASSDATA,MATCH("SkillIncreaseExtra-L14",CLASSFEATUREHEADERS,0),MATCH(($A1562 &amp; "Points"),CLASSNAMEHEADERS,0))))}</f>
        <v>SKILLINCREASEEXTRA-L14</v>
      </c>
      <c r="V1561" s="81" t="str">
        <f t="array" ref="V1561:V1562">{"SKILLINCREASEEXTRA-L15";((INDEX(ALLCLASSDATA,MATCH("SkillIncreaseExtra-L15",CLASSFEATUREHEADERS,0),MATCH(($A1562 &amp; "Points"),CLASSNAMEHEADERS,0))))}</f>
        <v>SKILLINCREASEEXTRA-L15</v>
      </c>
      <c r="W1561" s="81" t="str">
        <f t="array" ref="W1561:W1562">{"SKILLINCREASEEXTRA-L16";((INDEX(ALLCLASSDATA,MATCH("SkillIncreaseExtra-L16",CLASSFEATUREHEADERS,0),MATCH(($A1562 &amp; "Points"),CLASSNAMEHEADERS,0))))}</f>
        <v>SKILLINCREASEEXTRA-L16</v>
      </c>
      <c r="X1561" s="81" t="str">
        <f t="array" ref="X1561:X1562">{"SKILLINCREASEEXTRA-L17";((INDEX(ALLCLASSDATA,MATCH("SkillIncreaseExtra-L17",CLASSFEATUREHEADERS,0),MATCH(($A1562 &amp; "Points"),CLASSNAMEHEADERS,0))))}</f>
        <v>SKILLINCREASEEXTRA-L17</v>
      </c>
      <c r="Y1561" s="81" t="str">
        <f t="array" ref="Y1561:Y1562">{"SKILLINCREASEEXTRA-L18";((INDEX(ALLCLASSDATA,MATCH("SkillIncreaseExtra-L18",CLASSFEATUREHEADERS,0),MATCH(($A1562 &amp; "Points"),CLASSNAMEHEADERS,0))))}</f>
        <v>SKILLINCREASEEXTRA-L18</v>
      </c>
      <c r="Z1561" s="81" t="str">
        <f t="array" ref="Z1561:Z1562">{"SKILLINCREASEEXTRA-L19";((INDEX(ALLCLASSDATA,MATCH("SkillIncreaseExtra-L19",CLASSFEATUREHEADERS,0),MATCH(($A1562 &amp; "Points"),CLASSNAMEHEADERS,0))))}</f>
        <v>SKILLINCREASEEXTRA-L19</v>
      </c>
      <c r="AA1561" s="81" t="str">
        <f t="array" ref="AA1561:AA1562">{"SKILLINCREASEEXTRA-L20";((INDEX(ALLCLASSDATA,MATCH("SkillIncreaseExtra-L20",CLASSFEATUREHEADERS,0),MATCH(($A1562 &amp; "Points"),CLASSNAMEHEADERS,0))))}</f>
        <v>SKILLINCREASEEXTRA-L20</v>
      </c>
      <c r="AB1561" s="76"/>
      <c r="AC1561" s="76" t="str">
        <f t="array" ref="AC1561:AC1562">{"SKILLINCREASE TOTAL";(sum(G1562:AA1562))}</f>
        <v>SKILLINCREASE TOTAL</v>
      </c>
    </row>
    <row r="1562">
      <c r="A1562" s="48" t="s">
        <v>223</v>
      </c>
      <c r="B1562" s="48"/>
      <c r="C1562" s="48" t="s">
        <v>418</v>
      </c>
      <c r="D1562" s="48" t="s">
        <v>659</v>
      </c>
      <c r="E1562" s="48" t="s">
        <v>661</v>
      </c>
      <c r="F1562" s="48"/>
      <c r="G1562" s="47"/>
      <c r="H1562" s="5"/>
      <c r="I1562" s="5" t="s">
        <v>603</v>
      </c>
      <c r="J1562" s="5" t="s">
        <v>603</v>
      </c>
      <c r="K1562" s="5" t="s">
        <v>603</v>
      </c>
      <c r="L1562" s="48" t="s">
        <v>603</v>
      </c>
      <c r="M1562" s="5" t="s">
        <v>603</v>
      </c>
      <c r="N1562" s="5" t="s">
        <v>603</v>
      </c>
      <c r="O1562" s="5" t="s">
        <v>603</v>
      </c>
      <c r="P1562" s="5" t="s">
        <v>603</v>
      </c>
      <c r="Q1562" s="5" t="s">
        <v>603</v>
      </c>
      <c r="R1562" s="5" t="s">
        <v>603</v>
      </c>
      <c r="S1562" s="5" t="s">
        <v>603</v>
      </c>
      <c r="T1562" s="5" t="s">
        <v>603</v>
      </c>
      <c r="U1562" s="5" t="s">
        <v>603</v>
      </c>
      <c r="V1562" s="5" t="s">
        <v>603</v>
      </c>
      <c r="W1562" s="5" t="s">
        <v>603</v>
      </c>
      <c r="X1562" s="5" t="s">
        <v>603</v>
      </c>
      <c r="Y1562" s="5" t="s">
        <v>603</v>
      </c>
      <c r="Z1562" s="5" t="s">
        <v>603</v>
      </c>
      <c r="AA1562" s="5" t="s">
        <v>603</v>
      </c>
      <c r="AB1562" s="5"/>
      <c r="AC1562" s="47">
        <v>0.0</v>
      </c>
    </row>
    <row r="1563" hidden="1">
      <c r="A1563" s="76" t="str">
        <f t="array" ref="A1563:A1564">{"FormulaRow07";(INDEX(CLASSLIST,A1550,1))}</f>
        <v>FormulaRow07</v>
      </c>
      <c r="B1563" s="77" t="s">
        <v>236</v>
      </c>
      <c r="C1563" s="76" t="str">
        <f t="array" ref="C1563:C1564">{"CLASSTYPE";((INDEX(ALLCLASSDATA,MATCH("ClassType",CLASSFEATUREHEADERS,0),MATCH($A1564,CLASSNAMEHEADERS,0))))}</f>
        <v>CLASSTYPE</v>
      </c>
      <c r="D1563" s="76" t="str">
        <f t="array" ref="D1563:D1564">{"SKILLS";"Skills"}</f>
        <v>SKILLS</v>
      </c>
      <c r="E1563" s="76" t="str">
        <f t="array" ref="E1563:E1564">{"EXTRASKILLFEATS";"Extra Skill Feats"}</f>
        <v>EXTRASKILLFEATS</v>
      </c>
      <c r="F1563" s="76"/>
      <c r="G1563" s="76"/>
      <c r="H1563" s="76" t="str">
        <f t="array" ref="H1563:H1564">{"SKILLFEATEXTRA-L01";((INDEX(ALLCLASSDATA,MATCH("SkillFeatExtra-L01",CLASSFEATUREHEADERS,0),MATCH(($A1564 &amp; "Points"),CLASSNAMEHEADERS,0))))}</f>
        <v>SKILLFEATEXTRA-L01</v>
      </c>
      <c r="I1563" s="76" t="str">
        <f t="array" ref="I1563:I1564">{"SKILLFEATEXTRA-L02";((INDEX(ALLCLASSDATA,MATCH("SkillFeatExtra-L02",CLASSFEATUREHEADERS,0),MATCH(($A1564 &amp; "Points"),CLASSNAMEHEADERS,0))))}</f>
        <v>SKILLFEATEXTRA-L02</v>
      </c>
      <c r="J1563" s="76" t="str">
        <f t="array" ref="J1563:J1564">{"SKILLFEATEXTRA-L03";((INDEX(ALLCLASSDATA,MATCH("SkillFeatExtra-L03",CLASSFEATUREHEADERS,0),MATCH(($A1564 &amp; "Points"),CLASSNAMEHEADERS,0))))}</f>
        <v>SKILLFEATEXTRA-L03</v>
      </c>
      <c r="K1563" s="76" t="str">
        <f t="array" ref="K1563:K1564">{"SKILLFEATEXTRA-L04";((INDEX(ALLCLASSDATA,MATCH("SkillFeatExtra-L04",CLASSFEATUREHEADERS,0),MATCH(($A1564 &amp; "Points"),CLASSNAMEHEADERS,0))))}</f>
        <v>SKILLFEATEXTRA-L04</v>
      </c>
      <c r="L1563" s="76" t="str">
        <f t="array" ref="L1563:L1564">{"SKILLFEATEXTRA-L05";((INDEX(ALLCLASSDATA,MATCH("SkillFeatExtra-L05",CLASSFEATUREHEADERS,0),MATCH(($A1564 &amp; "Points"),CLASSNAMEHEADERS,0))))}</f>
        <v>SKILLFEATEXTRA-L05</v>
      </c>
      <c r="M1563" s="76" t="str">
        <f t="array" ref="M1563:M1564">{"SKILLFEATEXTRA-L06";((INDEX(ALLCLASSDATA,MATCH("SkillFeatExtra-L06",CLASSFEATUREHEADERS,0),MATCH(($A1564 &amp; "Points"),CLASSNAMEHEADERS,0))))}</f>
        <v>SKILLFEATEXTRA-L06</v>
      </c>
      <c r="N1563" s="76" t="str">
        <f t="array" ref="N1563:N1564">{"SKILLFEATEXTRA-L07";((INDEX(ALLCLASSDATA,MATCH("SkillFeatExtra-L07",CLASSFEATUREHEADERS,0),MATCH(($A1564 &amp; "Points"),CLASSNAMEHEADERS,0))))}</f>
        <v>SKILLFEATEXTRA-L07</v>
      </c>
      <c r="O1563" s="76" t="str">
        <f t="array" ref="O1563:O1564">{"SKILLFEATEXTRA-L08";((INDEX(ALLCLASSDATA,MATCH("SkillFeatExtra-L08",CLASSFEATUREHEADERS,0),MATCH(($A1564 &amp; "Points"),CLASSNAMEHEADERS,0))))}</f>
        <v>SKILLFEATEXTRA-L08</v>
      </c>
      <c r="P1563" s="76" t="str">
        <f t="array" ref="P1563:P1564">{"SKILLFEATEXTRA-L09";((INDEX(ALLCLASSDATA,MATCH("SkillFeatExtra-L09",CLASSFEATUREHEADERS,0),MATCH(($A1564 &amp; "Points"),CLASSNAMEHEADERS,0))))}</f>
        <v>SKILLFEATEXTRA-L09</v>
      </c>
      <c r="Q1563" s="76" t="str">
        <f t="array" ref="Q1563:Q1564">{"SKILLFEATEXTRA-L10";((INDEX(ALLCLASSDATA,MATCH("SkillFeatExtra-L10",CLASSFEATUREHEADERS,0),MATCH(($A1564 &amp; "Points"),CLASSNAMEHEADERS,0))))}</f>
        <v>SKILLFEATEXTRA-L10</v>
      </c>
      <c r="R1563" s="76" t="str">
        <f t="array" ref="R1563:R1564">{"SKILLFEATEXTRA-L11";((INDEX(ALLCLASSDATA,MATCH("SkillFeatExtra-L11",CLASSFEATUREHEADERS,0),MATCH(($A1564 &amp; "Points"),CLASSNAMEHEADERS,0))))}</f>
        <v>SKILLFEATEXTRA-L11</v>
      </c>
      <c r="S1563" s="76" t="str">
        <f t="array" ref="S1563:S1564">{"SKILLFEATEXTRA-L12";((INDEX(ALLCLASSDATA,MATCH("SkillFeatExtra-L12",CLASSFEATUREHEADERS,0),MATCH(($A1564 &amp; "Points"),CLASSNAMEHEADERS,0))))}</f>
        <v>SKILLFEATEXTRA-L12</v>
      </c>
      <c r="T1563" s="76" t="str">
        <f t="array" ref="T1563:T1564">{"SKILLFEATEXTRA-L13";((INDEX(ALLCLASSDATA,MATCH("SkillFeatExtra-L13",CLASSFEATUREHEADERS,0),MATCH(($A1564 &amp; "Points"),CLASSNAMEHEADERS,0))))}</f>
        <v>SKILLFEATEXTRA-L13</v>
      </c>
      <c r="U1563" s="76" t="str">
        <f t="array" ref="U1563:U1564">{"SKILLFEATEXTRA-L14";((INDEX(ALLCLASSDATA,MATCH("SkillFeatExtra-L14",CLASSFEATUREHEADERS,0),MATCH(($A1564 &amp; "Points"),CLASSNAMEHEADERS,0))))}</f>
        <v>SKILLFEATEXTRA-L14</v>
      </c>
      <c r="V1563" s="76" t="str">
        <f t="array" ref="V1563:V1564">{"SKILLFEATEXTRA-L15";((INDEX(ALLCLASSDATA,MATCH("SkillFeatExtra-L15",CLASSFEATUREHEADERS,0),MATCH(($A1564 &amp; "Points"),CLASSNAMEHEADERS,0))))}</f>
        <v>SKILLFEATEXTRA-L15</v>
      </c>
      <c r="W1563" s="76" t="str">
        <f t="array" ref="W1563:W1564">{"SKILLFEATEXTRA-L16";((INDEX(ALLCLASSDATA,MATCH("SkillFeatExtra-L16",CLASSFEATUREHEADERS,0),MATCH(($A1564 &amp; "Points"),CLASSNAMEHEADERS,0))))}</f>
        <v>SKILLFEATEXTRA-L16</v>
      </c>
      <c r="X1563" s="76" t="str">
        <f t="array" ref="X1563:X1564">{"SKILLFEATEXTRA-L17";((INDEX(ALLCLASSDATA,MATCH("SkillFeatExtra-L17",CLASSFEATUREHEADERS,0),MATCH(($A1564 &amp; "Points"),CLASSNAMEHEADERS,0))))}</f>
        <v>SKILLFEATEXTRA-L17</v>
      </c>
      <c r="Y1563" s="76" t="str">
        <f t="array" ref="Y1563:Y1564">{"SKILLFEATEXTRA-L18";((INDEX(ALLCLASSDATA,MATCH("SkillFeatExtra-L18",CLASSFEATUREHEADERS,0),MATCH(($A1564 &amp; "Points"),CLASSNAMEHEADERS,0))))}</f>
        <v>SKILLFEATEXTRA-L18</v>
      </c>
      <c r="Z1563" s="76" t="str">
        <f t="array" ref="Z1563:Z1564">{"SKILLFEATEXTRA-L19";((INDEX(ALLCLASSDATA,MATCH("SkillFeatExtra-L19",CLASSFEATUREHEADERS,0),MATCH(($A1564 &amp; "Points"),CLASSNAMEHEADERS,0))))}</f>
        <v>SKILLFEATEXTRA-L19</v>
      </c>
      <c r="AA1563" s="76" t="str">
        <f t="array" ref="AA1563:AA1564">{"SKILLFEATEXTRA-L20";((INDEX(ALLCLASSDATA,MATCH("SkillFeatExtra-L20",CLASSFEATUREHEADERS,0),MATCH(($A1564 &amp; "Points"),CLASSNAMEHEADERS,0))))}</f>
        <v>SKILLFEATEXTRA-L20</v>
      </c>
      <c r="AB1563" s="76"/>
      <c r="AC1563" s="76" t="str">
        <f t="array" ref="AC1563:AC1564">{"SKILLFEAT TOTAL";(sum(G1564:AA1564))}</f>
        <v>SKILLFEAT TOTAL</v>
      </c>
    </row>
    <row r="1564">
      <c r="A1564" s="48" t="s">
        <v>223</v>
      </c>
      <c r="B1564" s="48"/>
      <c r="C1564" s="48" t="s">
        <v>418</v>
      </c>
      <c r="D1564" s="97" t="s">
        <v>659</v>
      </c>
      <c r="E1564" s="97" t="s">
        <v>722</v>
      </c>
      <c r="F1564" s="97"/>
      <c r="G1564" s="132"/>
      <c r="H1564" s="98" t="s">
        <v>603</v>
      </c>
      <c r="I1564" s="98" t="s">
        <v>603</v>
      </c>
      <c r="J1564" s="97" t="s">
        <v>603</v>
      </c>
      <c r="K1564" s="98" t="s">
        <v>603</v>
      </c>
      <c r="L1564" s="97" t="s">
        <v>603</v>
      </c>
      <c r="M1564" s="98" t="s">
        <v>603</v>
      </c>
      <c r="N1564" s="98" t="s">
        <v>603</v>
      </c>
      <c r="O1564" s="98" t="s">
        <v>603</v>
      </c>
      <c r="P1564" s="98" t="s">
        <v>603</v>
      </c>
      <c r="Q1564" s="98" t="s">
        <v>603</v>
      </c>
      <c r="R1564" s="98" t="s">
        <v>603</v>
      </c>
      <c r="S1564" s="98" t="s">
        <v>603</v>
      </c>
      <c r="T1564" s="98" t="s">
        <v>603</v>
      </c>
      <c r="U1564" s="98" t="s">
        <v>603</v>
      </c>
      <c r="V1564" s="98" t="s">
        <v>603</v>
      </c>
      <c r="W1564" s="98" t="s">
        <v>603</v>
      </c>
      <c r="X1564" s="98" t="s">
        <v>603</v>
      </c>
      <c r="Y1564" s="98" t="s">
        <v>603</v>
      </c>
      <c r="Z1564" s="98" t="s">
        <v>603</v>
      </c>
      <c r="AA1564" s="98" t="s">
        <v>603</v>
      </c>
      <c r="AB1564" s="5"/>
      <c r="AC1564" s="47">
        <v>0.0</v>
      </c>
    </row>
    <row r="1565" hidden="1">
      <c r="A1565" s="76" t="str">
        <f t="array" ref="A1565:A1566">{"FormulaRow08";(INDEX(CLASSLIST,A1550,1))}</f>
        <v>FormulaRow08</v>
      </c>
      <c r="B1565" s="77" t="s">
        <v>236</v>
      </c>
      <c r="C1565" s="76" t="str">
        <f t="array" ref="C1565:C1566">{"CLASSTYPE";((INDEX(ALLCLASSDATA,MATCH("ClassType",CLASSFEATUREHEADERS,0),MATCH($A1566,CLASSNAMEHEADERS,0))))}</f>
        <v>CLASSTYPE</v>
      </c>
      <c r="D1565" s="81" t="str">
        <f t="array" ref="D1565:D1566">{"CLASSABILITY";"ClassAbility"}</f>
        <v>CLASSABILITY</v>
      </c>
      <c r="E1565" s="81" t="str">
        <f t="array" ref="E1565:E1566">{"CLASSABILITY1";"ClassAbility1"}</f>
        <v>CLASSABILITY1</v>
      </c>
      <c r="F1565" s="81"/>
      <c r="G1565" s="81"/>
      <c r="H1565" s="81"/>
      <c r="I1565" s="81"/>
      <c r="J1565" s="81" t="str">
        <f t="array" ref="J1565:J1566">{"CLASSABILITY1-L03";((INDEX(ALLCLASSDATA,MATCH("ClassAbility1-L03",CLASSFEATUREHEADERS,0),MATCH(($A1566),CLASSNAMEHEADERS,0))))}</f>
        <v>CLASSABILITY1-L03</v>
      </c>
      <c r="K1565" s="81"/>
      <c r="L1565" s="81" t="str">
        <f t="array" ref="L1565:L1566">{"CLASSABILITY1-L05";((INDEX(ALLCLASSDATA,MATCH("ClassAbility1-L05",CLASSFEATUREHEADERS,0),MATCH(($A1566),CLASSNAMEHEADERS,0))))}</f>
        <v>CLASSABILITY1-L05</v>
      </c>
      <c r="M1565" s="81"/>
      <c r="N1565" s="81" t="str">
        <f t="array" ref="N1565:N1566">{"CLASSABILITY1-L07";((INDEX(ALLCLASSDATA,MATCH("ClassAbility1-L07",CLASSFEATUREHEADERS,0),MATCH(($A1566),CLASSNAMEHEADERS,0))))}</f>
        <v>CLASSABILITY1-L07</v>
      </c>
      <c r="O1565" s="81"/>
      <c r="P1565" s="81" t="str">
        <f t="array" ref="P1565:P1566">{"CLASSABILITY1-L09";((INDEX(ALLCLASSDATA,MATCH("ClassAbility1-L09",CLASSFEATUREHEADERS,0),MATCH(($A1566),CLASSNAMEHEADERS,0))))}</f>
        <v>CLASSABILITY1-L09</v>
      </c>
      <c r="Q1565" s="81"/>
      <c r="R1565" s="81" t="str">
        <f t="array" ref="R1565:R1566">{"CLASSABILITY1-L11";((INDEX(ALLCLASSDATA,MATCH("ClassAbility1-L11",CLASSFEATUREHEADERS,0),MATCH(($A1566),CLASSNAMEHEADERS,0))))}</f>
        <v>CLASSABILITY1-L11</v>
      </c>
      <c r="S1565" s="81"/>
      <c r="T1565" s="81" t="str">
        <f t="array" ref="T1565:T1566">{"CLASSABILITY1-L13";((INDEX(ALLCLASSDATA,MATCH("ClassAbility1-L13",CLASSFEATUREHEADERS,0),MATCH(($A1566),CLASSNAMEHEADERS,0))))}</f>
        <v>CLASSABILITY1-L13</v>
      </c>
      <c r="U1565" s="81"/>
      <c r="V1565" s="81" t="str">
        <f t="array" ref="V1565:V1566">{"CLASSABILITY1-L15";((INDEX(ALLCLASSDATA,MATCH("ClassAbility1-L15",CLASSFEATUREHEADERS,0),MATCH(($A1566),CLASSNAMEHEADERS,0))))}</f>
        <v>CLASSABILITY1-L15</v>
      </c>
      <c r="W1565" s="81"/>
      <c r="X1565" s="81" t="str">
        <f t="array" ref="X1565:X1566">{"CLASSABILITY1-L17";((INDEX(ALLCLASSDATA,MATCH("ClassAbility1-L17",CLASSFEATUREHEADERS,0),MATCH(($A1566),CLASSNAMEHEADERS,0))))}</f>
        <v>CLASSABILITY1-L17</v>
      </c>
      <c r="Y1565" s="81"/>
      <c r="Z1565" s="81" t="str">
        <f t="array" ref="Z1565:Z1566">{"CLASSABILITY1-L19";((INDEX(ALLCLASSDATA,MATCH("ClassAbility1-L19",CLASSFEATUREHEADERS,0),MATCH(($A1566),CLASSNAMEHEADERS,0))))}</f>
        <v>CLASSABILITY1-L19</v>
      </c>
      <c r="AA1565" s="81"/>
      <c r="AB1565" s="76"/>
      <c r="AC1565" s="76"/>
    </row>
    <row r="1566">
      <c r="A1566" s="48" t="s">
        <v>223</v>
      </c>
      <c r="B1566" s="48"/>
      <c r="C1566" s="48" t="s">
        <v>418</v>
      </c>
      <c r="D1566" s="48" t="s">
        <v>825</v>
      </c>
      <c r="E1566" s="48" t="s">
        <v>826</v>
      </c>
      <c r="F1566" s="5"/>
      <c r="G1566" s="47"/>
      <c r="H1566" s="5"/>
      <c r="I1566" s="5"/>
      <c r="J1566" s="5" t="s">
        <v>1251</v>
      </c>
      <c r="K1566" s="5"/>
      <c r="L1566" s="5"/>
      <c r="M1566" s="5"/>
      <c r="N1566" s="5" t="s">
        <v>350</v>
      </c>
      <c r="O1566" s="5"/>
      <c r="P1566" s="5" t="s">
        <v>1698</v>
      </c>
      <c r="Q1566" s="5"/>
      <c r="R1566" s="5" t="s">
        <v>359</v>
      </c>
      <c r="S1566" s="5"/>
      <c r="T1566" s="5" t="s">
        <v>369</v>
      </c>
      <c r="U1566" s="5"/>
      <c r="V1566" s="5" t="s">
        <v>353</v>
      </c>
      <c r="W1566" s="5"/>
      <c r="X1566" s="5" t="s">
        <v>338</v>
      </c>
      <c r="Y1566" s="5"/>
      <c r="Z1566" s="5" t="s">
        <v>1271</v>
      </c>
      <c r="AA1566" s="5"/>
      <c r="AB1566" s="5"/>
      <c r="AC1566" s="47"/>
    </row>
    <row r="1567" hidden="1">
      <c r="A1567" s="76" t="str">
        <f t="array" ref="A1567:A1568">{"FormulaRow09";(INDEX(CLASSLIST,A1550,1))}</f>
        <v>FormulaRow09</v>
      </c>
      <c r="B1567" s="77" t="s">
        <v>236</v>
      </c>
      <c r="C1567" s="76" t="str">
        <f t="array" ref="C1567:C1568">{"CLASSTYPE";((INDEX(ALLCLASSDATA,MATCH("ClassType",CLASSFEATUREHEADERS,0),MATCH($A1568,CLASSNAMEHEADERS,0))))}</f>
        <v>CLASSTYPE</v>
      </c>
      <c r="D1567" s="76" t="str">
        <f t="array" ref="D1567:D1568">{"CLASSABILITYPTS";"ClassAbilityPts"}</f>
        <v>CLASSABILITYPTS</v>
      </c>
      <c r="E1567" s="76" t="str">
        <f t="array" ref="E1567:E1568">{"CLASSABILITY1";"ClassAbility1"}</f>
        <v>CLASSABILITY1</v>
      </c>
      <c r="F1567" s="76"/>
      <c r="G1567" s="76"/>
      <c r="H1567" s="76"/>
      <c r="I1567" s="76"/>
      <c r="J1567" s="76" t="str">
        <f t="array" ref="J1567:J1568">{"CLASSABILITY1-L03PTS";((INDEX(ALLCLASSDATA,MATCH("ClassAbility1-L03",CLASSFEATUREHEADERS,0),MATCH(($A1568 &amp; "Points"),CLASSNAMEHEADERS,0))))}</f>
        <v>CLASSABILITY1-L03PTS</v>
      </c>
      <c r="K1567" s="76"/>
      <c r="L1567" s="76" t="str">
        <f t="array" ref="L1567:L1568">{"CLASSABILITY1-L05PTS";((INDEX(ALLCLASSDATA,MATCH("ClassAbility1-L05",CLASSFEATUREHEADERS,0),MATCH(($A1568 &amp; "Points"),CLASSNAMEHEADERS,0))))}</f>
        <v>CLASSABILITY1-L05PTS</v>
      </c>
      <c r="M1567" s="76"/>
      <c r="N1567" s="76" t="str">
        <f t="array" ref="N1567:N1568">{"CLASSABILITY1-L07PTS";((INDEX(ALLCLASSDATA,MATCH("ClassAbility1-L07",CLASSFEATUREHEADERS,0),MATCH(($A1568 &amp; "Points"),CLASSNAMEHEADERS,0))))}</f>
        <v>CLASSABILITY1-L07PTS</v>
      </c>
      <c r="O1567" s="76"/>
      <c r="P1567" s="76" t="str">
        <f t="array" ref="P1567:P1568">{"CLASSABILITY1-L09PTS";((INDEX(ALLCLASSDATA,MATCH("ClassAbility1-L09",CLASSFEATUREHEADERS,0),MATCH(($A1568 &amp; "Points"),CLASSNAMEHEADERS,0))))}</f>
        <v>CLASSABILITY1-L09PTS</v>
      </c>
      <c r="Q1567" s="76"/>
      <c r="R1567" s="76" t="str">
        <f t="array" ref="R1567:R1568">{"CLASSABILITY1-L11PTS";((INDEX(ALLCLASSDATA,MATCH("ClassAbility1-L11",CLASSFEATUREHEADERS,0),MATCH(($A1568 &amp; "Points"),CLASSNAMEHEADERS,0))))}</f>
        <v>CLASSABILITY1-L11PTS</v>
      </c>
      <c r="S1567" s="76"/>
      <c r="T1567" s="76" t="str">
        <f t="array" ref="T1567:T1568">{"CLASSABILITY1-L13PTS";((INDEX(ALLCLASSDATA,MATCH("ClassAbility1-L13",CLASSFEATUREHEADERS,0),MATCH(($A1568 &amp; "Points"),CLASSNAMEHEADERS,0))))}</f>
        <v>CLASSABILITY1-L13PTS</v>
      </c>
      <c r="U1567" s="76"/>
      <c r="V1567" s="76" t="str">
        <f t="array" ref="V1567:V1568">{"CLASSABILITY1-L15PTS";((INDEX(ALLCLASSDATA,MATCH("ClassAbility1-L15",CLASSFEATUREHEADERS,0),MATCH(($A1568 &amp; "Points"),CLASSNAMEHEADERS,0))))}</f>
        <v>CLASSABILITY1-L15PTS</v>
      </c>
      <c r="W1567" s="76"/>
      <c r="X1567" s="76" t="str">
        <f t="array" ref="X1567:X1568">{"CLASSABILITY1-L17PTS";((INDEX(ALLCLASSDATA,MATCH("ClassAbility1-L17",CLASSFEATUREHEADERS,0),MATCH(($A1568 &amp; "Points"),CLASSNAMEHEADERS,0))))}</f>
        <v>CLASSABILITY1-L17PTS</v>
      </c>
      <c r="Y1567" s="76"/>
      <c r="Z1567" s="76" t="str">
        <f t="array" ref="Z1567:Z1568">{"CLASSABILITY1-L19PTS";((INDEX(ALLCLASSDATA,MATCH("ClassAbility1-L19",CLASSFEATUREHEADERS,0),MATCH(($A1568 &amp; "Points"),CLASSNAMEHEADERS,0))))}</f>
        <v>CLASSABILITY1-L19PTS</v>
      </c>
      <c r="AA1567" s="76"/>
      <c r="AB1567" s="76"/>
      <c r="AC1567" s="76" t="str">
        <f t="array" ref="AC1567:AC1568">{"CLASSABILITY1 TOTAL";(sum(G1568:AA1568))}</f>
        <v>CLASSABILITY1 TOTAL</v>
      </c>
    </row>
    <row r="1568">
      <c r="A1568" s="48" t="s">
        <v>223</v>
      </c>
      <c r="B1568" s="48"/>
      <c r="C1568" s="48" t="s">
        <v>418</v>
      </c>
      <c r="D1568" s="48" t="s">
        <v>930</v>
      </c>
      <c r="E1568" s="48" t="s">
        <v>826</v>
      </c>
      <c r="F1568" s="5"/>
      <c r="G1568" s="5"/>
      <c r="H1568" s="5"/>
      <c r="I1568" s="5"/>
      <c r="J1568" s="48">
        <v>30.0</v>
      </c>
      <c r="K1568" s="5"/>
      <c r="L1568" s="5"/>
      <c r="M1568" s="5"/>
      <c r="N1568" s="5"/>
      <c r="O1568" s="5"/>
      <c r="P1568" s="5"/>
      <c r="Q1568" s="5"/>
      <c r="R1568" s="5"/>
      <c r="S1568" s="5"/>
      <c r="T1568" s="5"/>
      <c r="U1568" s="5"/>
      <c r="V1568" s="5"/>
      <c r="W1568" s="5"/>
      <c r="X1568" s="5"/>
      <c r="Y1568" s="5"/>
      <c r="Z1568" s="5"/>
      <c r="AA1568" s="5"/>
      <c r="AB1568" s="5"/>
      <c r="AC1568" s="47">
        <v>30.0</v>
      </c>
    </row>
    <row r="1569" hidden="1">
      <c r="A1569" s="76" t="str">
        <f t="array" ref="A1569:A1570">{"FormulaRow10";(INDEX(CLASSLIST,A1550,1))}</f>
        <v>FormulaRow10</v>
      </c>
      <c r="B1569" s="77" t="s">
        <v>236</v>
      </c>
      <c r="C1569" s="76" t="str">
        <f t="array" ref="C1569:C1570">{"CLASSTYPE";((INDEX(ALLCLASSDATA,MATCH("ClassType",CLASSFEATUREHEADERS,0),MATCH($A1570,CLASSNAMEHEADERS,0))))}</f>
        <v>CLASSTYPE</v>
      </c>
      <c r="D1569" s="76" t="str">
        <f t="array" ref="D1569:D1570">{"CLASSABILITY";"ClassAbility"}</f>
        <v>CLASSABILITY</v>
      </c>
      <c r="E1569" s="76" t="str">
        <f t="array" ref="E1569:E1570">{"CLASSABILITY2";"ClassAbility2"}</f>
        <v>CLASSABILITY2</v>
      </c>
      <c r="F1569" s="76"/>
      <c r="G1569" s="76"/>
      <c r="H1569" s="76"/>
      <c r="I1569" s="76"/>
      <c r="J1569" s="76" t="str">
        <f t="array" ref="J1569:J1570">{"CLASSABILITY2-L03";((INDEX(ALLCLASSDATA,MATCH("ClassAbility2-L03",CLASSFEATUREHEADERS,0),MATCH(($A1570),CLASSNAMEHEADERS,0))))}</f>
        <v>CLASSABILITY2-L03</v>
      </c>
      <c r="K1569" s="76"/>
      <c r="L1569" s="76" t="str">
        <f t="array" ref="L1569:L1570">{"CLASSABILITY2-L05";((INDEX(ALLCLASSDATA,MATCH("ClassAbility2-L05",CLASSFEATUREHEADERS,0),MATCH(($A1570),CLASSNAMEHEADERS,0))))}</f>
        <v>CLASSABILITY2-L05</v>
      </c>
      <c r="M1569" s="76"/>
      <c r="N1569" s="76" t="str">
        <f t="array" ref="N1569:N1570">{"CLASSABILITY2-L07";((INDEX(ALLCLASSDATA,MATCH("ClassAbility2-L07",CLASSFEATUREHEADERS,0),MATCH(($A1570),CLASSNAMEHEADERS,0))))}</f>
        <v>CLASSABILITY2-L07</v>
      </c>
      <c r="O1569" s="76"/>
      <c r="P1569" s="76" t="str">
        <f t="array" ref="P1569:P1570">{"CLASSABILITY2-L09";((INDEX(ALLCLASSDATA,MATCH("ClassAbility2-L09",CLASSFEATUREHEADERS,0),MATCH(($A1570),CLASSNAMEHEADERS,0))))}</f>
        <v>CLASSABILITY2-L09</v>
      </c>
      <c r="Q1569" s="76"/>
      <c r="R1569" s="76" t="str">
        <f t="array" ref="R1569:R1570">{"CLASSABILITY2-L11";((INDEX(ALLCLASSDATA,MATCH("ClassAbility2-L11",CLASSFEATUREHEADERS,0),MATCH(($A1570),CLASSNAMEHEADERS,0))))}</f>
        <v>CLASSABILITY2-L11</v>
      </c>
      <c r="S1569" s="76"/>
      <c r="T1569" s="76" t="str">
        <f t="array" ref="T1569:T1570">{"CLASSABILITY2-L13";((INDEX(ALLCLASSDATA,MATCH("ClassAbility2-L13",CLASSFEATUREHEADERS,0),MATCH(($A1570),CLASSNAMEHEADERS,0))))}</f>
        <v>CLASSABILITY2-L13</v>
      </c>
      <c r="U1569" s="76"/>
      <c r="V1569" s="76" t="str">
        <f t="array" ref="V1569:V1570">{"CLASSABILITY2-L15";((INDEX(ALLCLASSDATA,MATCH("ClassAbility2-L15",CLASSFEATUREHEADERS,0),MATCH(($A1570),CLASSNAMEHEADERS,0))))}</f>
        <v>CLASSABILITY2-L15</v>
      </c>
      <c r="W1569" s="76"/>
      <c r="X1569" s="76" t="str">
        <f t="array" ref="X1569:X1570">{"CLASSABILITY2-L17";((INDEX(ALLCLASSDATA,MATCH("ClassAbility2-L17",CLASSFEATUREHEADERS,0),MATCH(($A1570),CLASSNAMEHEADERS,0))))}</f>
        <v>CLASSABILITY2-L17</v>
      </c>
      <c r="Y1569" s="76"/>
      <c r="Z1569" s="76" t="str">
        <f t="array" ref="Z1569:Z1570">{"CLASSABILITY2-L19";((INDEX(ALLCLASSDATA,MATCH("ClassAbility2-L19",CLASSFEATUREHEADERS,0),MATCH(($A1570),CLASSNAMEHEADERS,0))))}</f>
        <v>CLASSABILITY2-L19</v>
      </c>
      <c r="AA1569" s="76"/>
      <c r="AB1569" s="76"/>
      <c r="AC1569" s="76"/>
    </row>
    <row r="1570">
      <c r="A1570" s="48" t="s">
        <v>223</v>
      </c>
      <c r="B1570" s="48"/>
      <c r="C1570" s="48" t="s">
        <v>418</v>
      </c>
      <c r="D1570" s="48" t="s">
        <v>825</v>
      </c>
      <c r="E1570" s="48" t="s">
        <v>1007</v>
      </c>
      <c r="F1570" s="48"/>
      <c r="G1570" s="47"/>
      <c r="H1570" s="5"/>
      <c r="I1570" s="5"/>
      <c r="J1570" s="5"/>
      <c r="K1570" s="5"/>
      <c r="L1570" s="5"/>
      <c r="M1570" s="5"/>
      <c r="N1570" s="5" t="s">
        <v>335</v>
      </c>
      <c r="O1570" s="5"/>
      <c r="P1570" s="5"/>
      <c r="Q1570" s="5"/>
      <c r="R1570" s="5" t="s">
        <v>305</v>
      </c>
      <c r="S1570" s="5"/>
      <c r="T1570" s="5" t="s">
        <v>1755</v>
      </c>
      <c r="U1570" s="5"/>
      <c r="V1570" s="5"/>
      <c r="W1570" s="5"/>
      <c r="X1570" s="5"/>
      <c r="Y1570" s="5"/>
      <c r="Z1570" s="5" t="s">
        <v>356</v>
      </c>
      <c r="AA1570" s="5"/>
      <c r="AB1570" s="5"/>
      <c r="AC1570" s="47"/>
    </row>
    <row r="1571" hidden="1">
      <c r="A1571" s="76" t="str">
        <f t="array" ref="A1571:A1572">{"FormulaRow11";(INDEX(CLASSLIST,A1550,1))}</f>
        <v>FormulaRow11</v>
      </c>
      <c r="B1571" s="77" t="s">
        <v>236</v>
      </c>
      <c r="C1571" s="76" t="str">
        <f t="array" ref="C1571:C1572">{"CLASSTYPE";((INDEX(ALLCLASSDATA,MATCH("ClassType",CLASSFEATUREHEADERS,0),MATCH($A1572,CLASSNAMEHEADERS,0))))}</f>
        <v>CLASSTYPE</v>
      </c>
      <c r="D1571" s="76" t="str">
        <f t="array" ref="D1571:D1572">{"CLASSABILITYPTS";"ClassAbilityPts"}</f>
        <v>CLASSABILITYPTS</v>
      </c>
      <c r="E1571" s="76" t="str">
        <f t="array" ref="E1571:E1572">{"CLASSABILITY2";"ClassAbility2"}</f>
        <v>CLASSABILITY2</v>
      </c>
      <c r="F1571" s="76"/>
      <c r="G1571" s="76"/>
      <c r="H1571" s="76"/>
      <c r="I1571" s="76"/>
      <c r="J1571" s="76" t="str">
        <f t="array" ref="J1571:J1572">{"CLASSABILITY2-L03PTS";((INDEX(ALLCLASSDATA,MATCH("ClassAbility2-L03",CLASSFEATUREHEADERS,0),MATCH(($A1572 &amp; "Points"),CLASSNAMEHEADERS,0))))}</f>
        <v>CLASSABILITY2-L03PTS</v>
      </c>
      <c r="K1571" s="76"/>
      <c r="L1571" s="76" t="str">
        <f t="array" ref="L1571:L1572">{"CLASSABILITY2-L05PTS";((INDEX(ALLCLASSDATA,MATCH("ClassAbility2-L05",CLASSFEATUREHEADERS,0),MATCH(($A1572 &amp; "Points"),CLASSNAMEHEADERS,0))))}</f>
        <v>CLASSABILITY2-L05PTS</v>
      </c>
      <c r="M1571" s="76"/>
      <c r="N1571" s="76" t="str">
        <f t="array" ref="N1571:N1572">{"CLASSABILITY2-L07PTS";((INDEX(ALLCLASSDATA,MATCH("ClassAbility2-L07",CLASSFEATUREHEADERS,0),MATCH(($A1572 &amp; "Points"),CLASSNAMEHEADERS,0))))}</f>
        <v>CLASSABILITY2-L07PTS</v>
      </c>
      <c r="O1571" s="76"/>
      <c r="P1571" s="76" t="str">
        <f t="array" ref="P1571:P1572">{"CLASSABILITY2-L09PTS";((INDEX(ALLCLASSDATA,MATCH("ClassAbility2-L09",CLASSFEATUREHEADERS,0),MATCH(($A1572 &amp; "Points"),CLASSNAMEHEADERS,0))))}</f>
        <v>CLASSABILITY2-L09PTS</v>
      </c>
      <c r="Q1571" s="76"/>
      <c r="R1571" s="76" t="str">
        <f t="array" ref="R1571:R1572">{"CLASSABILITY2-L11PTS";((INDEX(ALLCLASSDATA,MATCH("ClassAbility2-L11",CLASSFEATUREHEADERS,0),MATCH(($A1572 &amp; "Points"),CLASSNAMEHEADERS,0))))}</f>
        <v>CLASSABILITY2-L11PTS</v>
      </c>
      <c r="S1571" s="76"/>
      <c r="T1571" s="76" t="str">
        <f t="array" ref="T1571:T1572">{"CLASSABILITY2-L13PTS";((INDEX(ALLCLASSDATA,MATCH("ClassAbility2-L13",CLASSFEATUREHEADERS,0),MATCH(($A1572 &amp; "Points"),CLASSNAMEHEADERS,0))))}</f>
        <v>CLASSABILITY2-L13PTS</v>
      </c>
      <c r="U1571" s="76"/>
      <c r="V1571" s="76" t="str">
        <f t="array" ref="V1571:V1572">{"CLASSABILITY2-L15PTS";((INDEX(ALLCLASSDATA,MATCH("ClassAbility2-L15",CLASSFEATUREHEADERS,0),MATCH(($A1572 &amp; "Points"),CLASSNAMEHEADERS,0))))}</f>
        <v>CLASSABILITY2-L15PTS</v>
      </c>
      <c r="W1571" s="76"/>
      <c r="X1571" s="76" t="str">
        <f t="array" ref="X1571:X1572">{"CLASSABILITY2-L17PTS";((INDEX(ALLCLASSDATA,MATCH("ClassAbility2-L17",CLASSFEATUREHEADERS,0),MATCH(($A1572 &amp; "Points"),CLASSNAMEHEADERS,0))))}</f>
        <v>CLASSABILITY2-L17PTS</v>
      </c>
      <c r="Y1571" s="76"/>
      <c r="Z1571" s="76" t="str">
        <f t="array" ref="Z1571:Z1572">{"CLASSABILITY2-L19PTS";((INDEX(ALLCLASSDATA,MATCH("ClassAbility2-L19",CLASSFEATUREHEADERS,0),MATCH(($A1572 &amp; "Points"),CLASSNAMEHEADERS,0))))}</f>
        <v>CLASSABILITY2-L19PTS</v>
      </c>
      <c r="AA1571" s="76"/>
      <c r="AB1571" s="76"/>
      <c r="AC1571" s="76" t="str">
        <f t="array" ref="AC1571:AC1572">{"CLASSABILITY2 TOTAL";(sum(G1572:AA1572))}</f>
        <v>CLASSABILITY2 TOTAL</v>
      </c>
    </row>
    <row r="1572">
      <c r="A1572" s="48" t="s">
        <v>223</v>
      </c>
      <c r="B1572" s="48"/>
      <c r="C1572" s="48" t="s">
        <v>418</v>
      </c>
      <c r="D1572" s="48" t="s">
        <v>930</v>
      </c>
      <c r="E1572" s="48" t="s">
        <v>1007</v>
      </c>
      <c r="F1572" s="48"/>
      <c r="G1572" s="47"/>
      <c r="H1572" s="5"/>
      <c r="I1572" s="5"/>
      <c r="J1572" s="5"/>
      <c r="K1572" s="5"/>
      <c r="L1572" s="5"/>
      <c r="M1572" s="5"/>
      <c r="N1572" s="5"/>
      <c r="O1572" s="5"/>
      <c r="P1572" s="5"/>
      <c r="Q1572" s="5"/>
      <c r="R1572" s="5"/>
      <c r="S1572" s="5"/>
      <c r="T1572" s="5"/>
      <c r="U1572" s="5"/>
      <c r="V1572" s="5"/>
      <c r="W1572" s="5"/>
      <c r="X1572" s="5"/>
      <c r="Y1572" s="5"/>
      <c r="Z1572" s="5"/>
      <c r="AA1572" s="5"/>
      <c r="AB1572" s="5"/>
      <c r="AC1572" s="47">
        <v>0.0</v>
      </c>
    </row>
    <row r="1573" hidden="1">
      <c r="A1573" s="76" t="str">
        <f t="array" ref="A1573:A1574">{"FormulaRow12";(INDEX(CLASSLIST,A1550,1))}</f>
        <v>FormulaRow12</v>
      </c>
      <c r="B1573" s="77" t="s">
        <v>236</v>
      </c>
      <c r="C1573" s="76" t="str">
        <f t="array" ref="C1573:C1574">{"CLASSTYPE";((INDEX(ALLCLASSDATA,MATCH("ClassType",CLASSFEATUREHEADERS,0),MATCH($A1574,CLASSNAMEHEADERS,0))))}</f>
        <v>CLASSTYPE</v>
      </c>
      <c r="D1573" s="76" t="str">
        <f t="array" ref="D1573:D1574">{"CLASSABILITY";"ClassAbility"}</f>
        <v>CLASSABILITY</v>
      </c>
      <c r="E1573" s="76" t="str">
        <f t="array" ref="E1573:E1574">{"CLASSABILITY3";"ClassAbility3"}</f>
        <v>CLASSABILITY3</v>
      </c>
      <c r="F1573" s="76"/>
      <c r="G1573" s="76"/>
      <c r="H1573" s="76"/>
      <c r="I1573" s="76"/>
      <c r="J1573" s="76" t="str">
        <f t="array" ref="J1573:J1574">{"CLASSABILITY3-L03";((INDEX(ALLCLASSDATA,MATCH("ClassAbility3-L03",CLASSFEATUREHEADERS,0),MATCH(($A1574),CLASSNAMEHEADERS,0))))}</f>
        <v>CLASSABILITY3-L03</v>
      </c>
      <c r="K1573" s="76"/>
      <c r="L1573" s="76" t="str">
        <f t="array" ref="L1573:L1574">{"CLASSABILITY3-L05";((INDEX(ALLCLASSDATA,MATCH("ClassAbility3-L05",CLASSFEATUREHEADERS,0),MATCH(($A1574),CLASSNAMEHEADERS,0))))}</f>
        <v>CLASSABILITY3-L05</v>
      </c>
      <c r="M1573" s="76"/>
      <c r="N1573" s="76" t="str">
        <f t="array" ref="N1573:N1574">{"CLASSABILITY3-L07";((INDEX(ALLCLASSDATA,MATCH("ClassAbility3-L07",CLASSFEATUREHEADERS,0),MATCH(($A1574),CLASSNAMEHEADERS,0))))}</f>
        <v>CLASSABILITY3-L07</v>
      </c>
      <c r="O1573" s="76"/>
      <c r="P1573" s="76" t="str">
        <f t="array" ref="P1573:P1574">{"CLASSABILITY3-L09";((INDEX(ALLCLASSDATA,MATCH("ClassAbility3-L09",CLASSFEATUREHEADERS,0),MATCH(($A1574),CLASSNAMEHEADERS,0))))}</f>
        <v>CLASSABILITY3-L09</v>
      </c>
      <c r="Q1573" s="76"/>
      <c r="R1573" s="76" t="str">
        <f t="array" ref="R1573:R1574">{"CLASSABILITY3-L11";((INDEX(ALLCLASSDATA,MATCH("ClassAbility3-L11",CLASSFEATUREHEADERS,0),MATCH(($A1574),CLASSNAMEHEADERS,0))))}</f>
        <v>CLASSABILITY3-L11</v>
      </c>
      <c r="S1573" s="76"/>
      <c r="T1573" s="76" t="str">
        <f t="array" ref="T1573:T1574">{"CLASSABILITY3-L13";((INDEX(ALLCLASSDATA,MATCH("ClassAbility3-L13",CLASSFEATUREHEADERS,0),MATCH(($A1574),CLASSNAMEHEADERS,0))))}</f>
        <v>CLASSABILITY3-L13</v>
      </c>
      <c r="U1573" s="76"/>
      <c r="V1573" s="76" t="str">
        <f t="array" ref="V1573:V1574">{"CLASSABILITY3-L15";((INDEX(ALLCLASSDATA,MATCH("ClassAbility3-L15",CLASSFEATUREHEADERS,0),MATCH(($A1574),CLASSNAMEHEADERS,0))))}</f>
        <v>CLASSABILITY3-L15</v>
      </c>
      <c r="W1573" s="76"/>
      <c r="X1573" s="76" t="str">
        <f t="array" ref="X1573:X1574">{"CLASSABILITY3-L17";((INDEX(ALLCLASSDATA,MATCH("ClassAbility3-L17",CLASSFEATUREHEADERS,0),MATCH(($A1574),CLASSNAMEHEADERS,0))))}</f>
        <v>CLASSABILITY3-L17</v>
      </c>
      <c r="Y1573" s="76"/>
      <c r="Z1573" s="76" t="str">
        <f t="array" ref="Z1573:Z1574">{"CLASSABILITY3-L19";((INDEX(ALLCLASSDATA,MATCH("ClassAbility3-L19",CLASSFEATUREHEADERS,0),MATCH(($A1574),CLASSNAMEHEADERS,0))))}</f>
        <v>CLASSABILITY3-L19</v>
      </c>
      <c r="AA1573" s="76"/>
      <c r="AB1573" s="76"/>
      <c r="AC1573" s="76"/>
    </row>
    <row r="1574">
      <c r="A1574" s="48" t="s">
        <v>223</v>
      </c>
      <c r="B1574" s="48"/>
      <c r="C1574" s="48" t="s">
        <v>418</v>
      </c>
      <c r="D1574" s="48" t="s">
        <v>825</v>
      </c>
      <c r="E1574" s="48" t="s">
        <v>1144</v>
      </c>
      <c r="F1574" s="48"/>
      <c r="G1574" s="47"/>
      <c r="H1574" s="5"/>
      <c r="I1574" s="5"/>
      <c r="J1574" s="5"/>
      <c r="K1574" s="5"/>
      <c r="L1574" s="5"/>
      <c r="M1574" s="5"/>
      <c r="N1574" s="5"/>
      <c r="O1574" s="5"/>
      <c r="P1574" s="5"/>
      <c r="Q1574" s="5"/>
      <c r="R1574" s="5"/>
      <c r="S1574" s="5"/>
      <c r="T1574" s="5" t="s">
        <v>323</v>
      </c>
      <c r="U1574" s="5"/>
      <c r="V1574" s="5"/>
      <c r="W1574" s="5"/>
      <c r="X1574" s="5"/>
      <c r="Y1574" s="5"/>
      <c r="Z1574" s="5"/>
      <c r="AA1574" s="5"/>
      <c r="AB1574" s="5"/>
      <c r="AC1574" s="47"/>
    </row>
    <row r="1575" hidden="1">
      <c r="A1575" s="76" t="str">
        <f t="array" ref="A1575:A1576">{"FormulaRow13";(INDEX(CLASSLIST,A1550,1))}</f>
        <v>FormulaRow13</v>
      </c>
      <c r="B1575" s="77" t="s">
        <v>236</v>
      </c>
      <c r="C1575" s="76" t="str">
        <f t="array" ref="C1575:C1576">{"CLASSTYPE";((INDEX(ALLCLASSDATA,MATCH("ClassType",CLASSFEATUREHEADERS,0),MATCH($A1576,CLASSNAMEHEADERS,0))))}</f>
        <v>CLASSTYPE</v>
      </c>
      <c r="D1575" s="76" t="str">
        <f t="array" ref="D1575:D1576">{"CLASSABILITYPTS";"ClassAbilityPts"}</f>
        <v>CLASSABILITYPTS</v>
      </c>
      <c r="E1575" s="76" t="str">
        <f t="array" ref="E1575:E1576">{"CLASSABILITY3";"ClassAbility3"}</f>
        <v>CLASSABILITY3</v>
      </c>
      <c r="F1575" s="76"/>
      <c r="G1575" s="76"/>
      <c r="H1575" s="76"/>
      <c r="I1575" s="76"/>
      <c r="J1575" s="76" t="str">
        <f t="array" ref="J1575:J1576">{"CLASSABILITY3-L03PTS";((INDEX(ALLCLASSDATA,MATCH("ClassAbility3-L03",CLASSFEATUREHEADERS,0),MATCH(($A1576 &amp; "Points"),CLASSNAMEHEADERS,0))))}</f>
        <v>CLASSABILITY3-L03PTS</v>
      </c>
      <c r="K1575" s="76"/>
      <c r="L1575" s="76" t="str">
        <f t="array" ref="L1575:L1576">{"CLASSABILITY3-L05PTS";((INDEX(ALLCLASSDATA,MATCH("ClassAbility3-L05",CLASSFEATUREHEADERS,0),MATCH(($A1576 &amp; "Points"),CLASSNAMEHEADERS,0))))}</f>
        <v>CLASSABILITY3-L05PTS</v>
      </c>
      <c r="M1575" s="76"/>
      <c r="N1575" s="76" t="str">
        <f t="array" ref="N1575:N1576">{"CLASSABILITY3-L07PTS";((INDEX(ALLCLASSDATA,MATCH("ClassAbility3-L07",CLASSFEATUREHEADERS,0),MATCH(($A1576 &amp; "Points"),CLASSNAMEHEADERS,0))))}</f>
        <v>CLASSABILITY3-L07PTS</v>
      </c>
      <c r="O1575" s="76"/>
      <c r="P1575" s="76" t="str">
        <f t="array" ref="P1575:P1576">{"CLASSABILITY3-L09PTS";((INDEX(ALLCLASSDATA,MATCH("ClassAbility3-L09",CLASSFEATUREHEADERS,0),MATCH(($A1576 &amp; "Points"),CLASSNAMEHEADERS,0))))}</f>
        <v>CLASSABILITY3-L09PTS</v>
      </c>
      <c r="Q1575" s="76"/>
      <c r="R1575" s="76" t="str">
        <f t="array" ref="R1575:R1576">{"CLASSABILITY3-L11PTS";((INDEX(ALLCLASSDATA,MATCH("ClassAbility3-L11",CLASSFEATUREHEADERS,0),MATCH(($A1576 &amp; "Points"),CLASSNAMEHEADERS,0))))}</f>
        <v>CLASSABILITY3-L11PTS</v>
      </c>
      <c r="S1575" s="76"/>
      <c r="T1575" s="76" t="str">
        <f t="array" ref="T1575:T1576">{"CLASSABILITY3-L13PTS";((INDEX(ALLCLASSDATA,MATCH("ClassAbility3-L13",CLASSFEATUREHEADERS,0),MATCH(($A1576 &amp; "Points"),CLASSNAMEHEADERS,0))))}</f>
        <v>CLASSABILITY3-L13PTS</v>
      </c>
      <c r="U1575" s="76"/>
      <c r="V1575" s="76" t="str">
        <f t="array" ref="V1575:V1576">{"CLASSABILITY3-L15PTS";((INDEX(ALLCLASSDATA,MATCH("ClassAbility3-L15",CLASSFEATUREHEADERS,0),MATCH(($A1576 &amp; "Points"),CLASSNAMEHEADERS,0))))}</f>
        <v>CLASSABILITY3-L15PTS</v>
      </c>
      <c r="W1575" s="76"/>
      <c r="X1575" s="76" t="str">
        <f t="array" ref="X1575:X1576">{"CLASSABILITY3-L17PTS";((INDEX(ALLCLASSDATA,MATCH("ClassAbility3-L17",CLASSFEATUREHEADERS,0),MATCH(($A1576 &amp; "Points"),CLASSNAMEHEADERS,0))))}</f>
        <v>CLASSABILITY3-L17PTS</v>
      </c>
      <c r="Y1575" s="76"/>
      <c r="Z1575" s="76" t="str">
        <f t="array" ref="Z1575:Z1576">{"CLASSABILITY3-L19PTS";((INDEX(ALLCLASSDATA,MATCH("ClassAbility3-L19",CLASSFEATUREHEADERS,0),MATCH(($A1576 &amp; "Points"),CLASSNAMEHEADERS,0))))}</f>
        <v>CLASSABILITY3-L19PTS</v>
      </c>
      <c r="AA1575" s="76"/>
      <c r="AB1575" s="76"/>
      <c r="AC1575" s="76" t="str">
        <f t="array" ref="AC1575:AC1576">{"CLASSABILITY3 TOTAL";(sum(G1576:AA1576))}</f>
        <v>CLASSABILITY3 TOTAL</v>
      </c>
    </row>
    <row r="1576">
      <c r="A1576" s="48" t="s">
        <v>223</v>
      </c>
      <c r="B1576" s="48"/>
      <c r="C1576" s="48" t="s">
        <v>418</v>
      </c>
      <c r="D1576" s="48" t="s">
        <v>930</v>
      </c>
      <c r="E1576" s="48" t="s">
        <v>1144</v>
      </c>
      <c r="F1576" s="48"/>
      <c r="G1576" s="47"/>
      <c r="H1576" s="5"/>
      <c r="I1576" s="5"/>
      <c r="J1576" s="5"/>
      <c r="K1576" s="5"/>
      <c r="L1576" s="5"/>
      <c r="M1576" s="5"/>
      <c r="N1576" s="5"/>
      <c r="O1576" s="5"/>
      <c r="P1576" s="5"/>
      <c r="Q1576" s="5"/>
      <c r="R1576" s="5"/>
      <c r="S1576" s="5"/>
      <c r="T1576" s="5"/>
      <c r="U1576" s="5"/>
      <c r="V1576" s="5"/>
      <c r="W1576" s="5"/>
      <c r="X1576" s="5"/>
      <c r="Y1576" s="5"/>
      <c r="Z1576" s="5"/>
      <c r="AA1576" s="5"/>
      <c r="AB1576" s="5"/>
      <c r="AC1576" s="47">
        <v>0.0</v>
      </c>
    </row>
    <row r="1577" hidden="1">
      <c r="A1577" s="76" t="str">
        <f t="array" ref="A1577:A1578">{"FormulaRow14";(INDEX(CLASSLIST,A1550,1))}</f>
        <v>FormulaRow14</v>
      </c>
      <c r="B1577" s="77" t="s">
        <v>236</v>
      </c>
      <c r="C1577" s="76" t="str">
        <f t="array" ref="C1577:C1578">{"CLASSTYPE";((INDEX(ALLCLASSDATA,MATCH("ClassType",CLASSFEATUREHEADERS,0),MATCH($A1578,CLASSNAMEHEADERS,0))))}</f>
        <v>CLASSTYPE</v>
      </c>
      <c r="D1577" s="76" t="str">
        <f t="array" ref="D1577:D1578">{"CLASSABILITY";"ClassAbility"}</f>
        <v>CLASSABILITY</v>
      </c>
      <c r="E1577" s="76" t="str">
        <f t="array" ref="E1577:E1578">{"CLASSABILITY4";"ClassAbility4"}</f>
        <v>CLASSABILITY4</v>
      </c>
      <c r="F1577" s="76"/>
      <c r="G1577" s="76"/>
      <c r="H1577" s="76"/>
      <c r="I1577" s="76"/>
      <c r="J1577" s="76" t="str">
        <f t="array" ref="J1577:J1578">{"CLASSABILITY4-L03";((INDEX(ALLCLASSDATA,MATCH("ClassAbility4-L03",CLASSFEATUREHEADERS,0),MATCH(($A1578),CLASSNAMEHEADERS,0))))}</f>
        <v>CLASSABILITY4-L03</v>
      </c>
      <c r="K1577" s="76"/>
      <c r="L1577" s="76" t="str">
        <f t="array" ref="L1577:L1578">{"CLASSABILITY4-L05";((INDEX(ALLCLASSDATA,MATCH("ClassAbility4-L05",CLASSFEATUREHEADERS,0),MATCH(($A1578),CLASSNAMEHEADERS,0))))}</f>
        <v>CLASSABILITY4-L05</v>
      </c>
      <c r="M1577" s="76"/>
      <c r="N1577" s="76" t="str">
        <f t="array" ref="N1577:N1578">{"CLASSABILITY4-L07";((INDEX(ALLCLASSDATA,MATCH("ClassAbility4-L07",CLASSFEATUREHEADERS,0),MATCH(($A1578),CLASSNAMEHEADERS,0))))}</f>
        <v>CLASSABILITY4-L07</v>
      </c>
      <c r="O1577" s="76"/>
      <c r="P1577" s="76" t="str">
        <f t="array" ref="P1577:P1578">{"CLASSABILITY4-L09";((INDEX(ALLCLASSDATA,MATCH("ClassAbility4-L09",CLASSFEATUREHEADERS,0),MATCH(($A1578),CLASSNAMEHEADERS,0))))}</f>
        <v>CLASSABILITY4-L09</v>
      </c>
      <c r="Q1577" s="76"/>
      <c r="R1577" s="76" t="str">
        <f t="array" ref="R1577:R1578">{"CLASSABILITY4-L11";((INDEX(ALLCLASSDATA,MATCH("ClassAbility4-L11",CLASSFEATUREHEADERS,0),MATCH(($A1578),CLASSNAMEHEADERS,0))))}</f>
        <v>CLASSABILITY4-L11</v>
      </c>
      <c r="S1577" s="76"/>
      <c r="T1577" s="76" t="str">
        <f t="array" ref="T1577:T1578">{"CLASSABILITY4-L13";((INDEX(ALLCLASSDATA,MATCH("ClassAbility4-L13",CLASSFEATUREHEADERS,0),MATCH(($A1578),CLASSNAMEHEADERS,0))))}</f>
        <v>CLASSABILITY4-L13</v>
      </c>
      <c r="U1577" s="76"/>
      <c r="V1577" s="76" t="str">
        <f t="array" ref="V1577:V1578">{"CLASSABILITY4-L15";((INDEX(ALLCLASSDATA,MATCH("ClassAbility4-L15",CLASSFEATUREHEADERS,0),MATCH(($A1578),CLASSNAMEHEADERS,0))))}</f>
        <v>CLASSABILITY4-L15</v>
      </c>
      <c r="W1577" s="76"/>
      <c r="X1577" s="76" t="str">
        <f t="array" ref="X1577:X1578">{"CLASSABILITY4-L17";((INDEX(ALLCLASSDATA,MATCH("ClassAbility4-L17",CLASSFEATUREHEADERS,0),MATCH(($A1578),CLASSNAMEHEADERS,0))))}</f>
        <v>CLASSABILITY4-L17</v>
      </c>
      <c r="Y1577" s="76"/>
      <c r="Z1577" s="76" t="str">
        <f t="array" ref="Z1577:Z1578">{"CLASSABILITY4-L19";((INDEX(ALLCLASSDATA,MATCH("ClassAbility4-L19",CLASSFEATUREHEADERS,0),MATCH(($A1578),CLASSNAMEHEADERS,0))))}</f>
        <v>CLASSABILITY4-L19</v>
      </c>
      <c r="AA1577" s="76"/>
      <c r="AB1577" s="76"/>
      <c r="AC1577" s="76"/>
    </row>
    <row r="1578">
      <c r="A1578" s="48" t="s">
        <v>223</v>
      </c>
      <c r="B1578" s="48"/>
      <c r="C1578" s="48" t="s">
        <v>418</v>
      </c>
      <c r="D1578" s="48" t="s">
        <v>825</v>
      </c>
      <c r="E1578" s="48" t="s">
        <v>1273</v>
      </c>
      <c r="F1578" s="48"/>
      <c r="G1578" s="47"/>
      <c r="H1578" s="5"/>
      <c r="I1578" s="5"/>
      <c r="J1578" s="5"/>
      <c r="K1578" s="5"/>
      <c r="L1578" s="5"/>
      <c r="M1578" s="5"/>
      <c r="N1578" s="5"/>
      <c r="O1578" s="5"/>
      <c r="P1578" s="5"/>
      <c r="Q1578" s="5"/>
      <c r="R1578" s="5"/>
      <c r="S1578" s="5"/>
      <c r="T1578" s="5"/>
      <c r="U1578" s="5"/>
      <c r="V1578" s="5"/>
      <c r="W1578" s="5"/>
      <c r="X1578" s="5"/>
      <c r="Y1578" s="5"/>
      <c r="Z1578" s="5"/>
      <c r="AA1578" s="5"/>
      <c r="AB1578" s="5"/>
      <c r="AC1578" s="47"/>
    </row>
    <row r="1579" hidden="1">
      <c r="A1579" s="76" t="str">
        <f t="array" ref="A1579:A1580">{"FormulaRow15";(INDEX(CLASSLIST,A1550,1))}</f>
        <v>FormulaRow15</v>
      </c>
      <c r="B1579" s="77" t="s">
        <v>236</v>
      </c>
      <c r="C1579" s="76" t="str">
        <f t="array" ref="C1579:C1580">{"CLASSTYPE";((INDEX(ALLCLASSDATA,MATCH("ClassType",CLASSFEATUREHEADERS,0),MATCH($A1580,CLASSNAMEHEADERS,0))))}</f>
        <v>CLASSTYPE</v>
      </c>
      <c r="D1579" s="76" t="str">
        <f t="array" ref="D1579:D1580">{"CLASSABILITYPTS";"ClassAbilityPts"}</f>
        <v>CLASSABILITYPTS</v>
      </c>
      <c r="E1579" s="76" t="str">
        <f t="array" ref="E1579:E1580">{"CLASSABILITY4";"ClassAbility4"}</f>
        <v>CLASSABILITY4</v>
      </c>
      <c r="F1579" s="76"/>
      <c r="G1579" s="76"/>
      <c r="H1579" s="76"/>
      <c r="I1579" s="76"/>
      <c r="J1579" s="76" t="str">
        <f t="array" ref="J1579:J1580">{"CLASSABILITY4-L03PTS";((INDEX(ALLCLASSDATA,MATCH("ClassAbility4-L03",CLASSFEATUREHEADERS,0),MATCH(($A1580 &amp; "Points"),CLASSNAMEHEADERS,0))))}</f>
        <v>CLASSABILITY4-L03PTS</v>
      </c>
      <c r="K1579" s="76"/>
      <c r="L1579" s="76" t="str">
        <f t="array" ref="L1579:L1580">{"CLASSABILITY4-L05PTS";((INDEX(ALLCLASSDATA,MATCH("ClassAbility4-L05",CLASSFEATUREHEADERS,0),MATCH(($A1580 &amp; "Points"),CLASSNAMEHEADERS,0))))}</f>
        <v>CLASSABILITY4-L05PTS</v>
      </c>
      <c r="M1579" s="76"/>
      <c r="N1579" s="76" t="str">
        <f t="array" ref="N1579:N1580">{"CLASSABILITY4-L07PTS";((INDEX(ALLCLASSDATA,MATCH("ClassAbility4-L07",CLASSFEATUREHEADERS,0),MATCH(($A1580 &amp; "Points"),CLASSNAMEHEADERS,0))))}</f>
        <v>CLASSABILITY4-L07PTS</v>
      </c>
      <c r="O1579" s="76"/>
      <c r="P1579" s="76" t="str">
        <f t="array" ref="P1579:P1580">{"CLASSABILITY4-L09PTS";((INDEX(ALLCLASSDATA,MATCH("ClassAbility4-L09",CLASSFEATUREHEADERS,0),MATCH(($A1580 &amp; "Points"),CLASSNAMEHEADERS,0))))}</f>
        <v>CLASSABILITY4-L09PTS</v>
      </c>
      <c r="Q1579" s="76"/>
      <c r="R1579" s="76" t="str">
        <f t="array" ref="R1579:R1580">{"CLASSABILITY4-L11PTS";((INDEX(ALLCLASSDATA,MATCH("ClassAbility4-L11",CLASSFEATUREHEADERS,0),MATCH(($A1580 &amp; "Points"),CLASSNAMEHEADERS,0))))}</f>
        <v>CLASSABILITY4-L11PTS</v>
      </c>
      <c r="S1579" s="76"/>
      <c r="T1579" s="76" t="str">
        <f t="array" ref="T1579:T1580">{"CLASSABILITY4-L13PTS";((INDEX(ALLCLASSDATA,MATCH("ClassAbility4-L13",CLASSFEATUREHEADERS,0),MATCH(($A1580 &amp; "Points"),CLASSNAMEHEADERS,0))))}</f>
        <v>CLASSABILITY4-L13PTS</v>
      </c>
      <c r="U1579" s="76"/>
      <c r="V1579" s="76" t="str">
        <f t="array" ref="V1579:V1580">{"CLASSABILITY4-L15PTS";((INDEX(ALLCLASSDATA,MATCH("ClassAbility4-L15",CLASSFEATUREHEADERS,0),MATCH(($A1580 &amp; "Points"),CLASSNAMEHEADERS,0))))}</f>
        <v>CLASSABILITY4-L15PTS</v>
      </c>
      <c r="W1579" s="76"/>
      <c r="X1579" s="76" t="str">
        <f t="array" ref="X1579:X1580">{"CLASSABILITY4-L17PTS";((INDEX(ALLCLASSDATA,MATCH("ClassAbility4-L17",CLASSFEATUREHEADERS,0),MATCH(($A1580 &amp; "Points"),CLASSNAMEHEADERS,0))))}</f>
        <v>CLASSABILITY4-L17PTS</v>
      </c>
      <c r="Y1579" s="76"/>
      <c r="Z1579" s="76" t="str">
        <f t="array" ref="Z1579:Z1580">{"CLASSABILITY4-L19PTS";((INDEX(ALLCLASSDATA,MATCH("ClassAbility4-L19",CLASSFEATUREHEADERS,0),MATCH(($A1580 &amp; "Points"),CLASSNAMEHEADERS,0))))}</f>
        <v>CLASSABILITY4-L19PTS</v>
      </c>
      <c r="AA1579" s="76"/>
      <c r="AB1579" s="76"/>
      <c r="AC1579" s="76" t="str">
        <f t="array" ref="AC1579:AC1580">{"CLASSABILITY4 TOTAL";(sum(G1580:AA1580))}</f>
        <v>CLASSABILITY4 TOTAL</v>
      </c>
    </row>
    <row r="1580">
      <c r="A1580" s="48" t="s">
        <v>223</v>
      </c>
      <c r="B1580" s="48"/>
      <c r="C1580" s="48" t="s">
        <v>418</v>
      </c>
      <c r="D1580" s="48" t="s">
        <v>930</v>
      </c>
      <c r="E1580" s="48" t="s">
        <v>1273</v>
      </c>
      <c r="F1580" s="48"/>
      <c r="G1580" s="47"/>
      <c r="H1580" s="5"/>
      <c r="I1580" s="5"/>
      <c r="J1580" s="5"/>
      <c r="K1580" s="5"/>
      <c r="L1580" s="5"/>
      <c r="M1580" s="5"/>
      <c r="N1580" s="5"/>
      <c r="O1580" s="5"/>
      <c r="P1580" s="5"/>
      <c r="Q1580" s="5"/>
      <c r="R1580" s="5"/>
      <c r="S1580" s="5"/>
      <c r="T1580" s="5"/>
      <c r="U1580" s="5"/>
      <c r="V1580" s="5"/>
      <c r="W1580" s="5"/>
      <c r="X1580" s="5"/>
      <c r="Y1580" s="5"/>
      <c r="Z1580" s="5"/>
      <c r="AA1580" s="5"/>
      <c r="AB1580" s="5"/>
      <c r="AC1580" s="47">
        <v>0.0</v>
      </c>
    </row>
    <row r="1581" hidden="1">
      <c r="A1581" s="76" t="str">
        <f t="array" ref="A1581:A1582">{"FormulaRow16";(INDEX(CLASSLIST,A1550,1))}</f>
        <v>FormulaRow16</v>
      </c>
      <c r="B1581" s="77" t="s">
        <v>236</v>
      </c>
      <c r="C1581" s="76" t="str">
        <f t="array" ref="C1581:C1582">{"CLASSTYPE";((INDEX(ALLCLASSDATA,MATCH("ClassType",CLASSFEATUREHEADERS,0),MATCH($A1582,CLASSNAMEHEADERS,0))))}</f>
        <v>CLASSTYPE</v>
      </c>
      <c r="D1581" s="76" t="str">
        <f t="array" ref="D1581:D1582">{"CLASSABILITY";"ClassAbility"}</f>
        <v>CLASSABILITY</v>
      </c>
      <c r="E1581" s="76" t="str">
        <f t="array" ref="E1581:E1582">{"SUBCLASSABILITY1";"SubclassAbility1"}</f>
        <v>SUBCLASSABILITY1</v>
      </c>
      <c r="F1581" s="76"/>
      <c r="G1581" s="76"/>
      <c r="H1581" s="76"/>
      <c r="I1581" s="76"/>
      <c r="J1581" s="76" t="str">
        <f t="array" ref="J1581:J1582">{"SUBCLASSABILITY1-L03";((INDEX(ALLCLASSDATA,MATCH("SubclassAbility1-L03",CLASSFEATUREHEADERS,0),MATCH(($A1582),CLASSNAMEHEADERS,0))))}</f>
        <v>SUBCLASSABILITY1-L03</v>
      </c>
      <c r="K1581" s="76"/>
      <c r="L1581" s="76" t="str">
        <f t="array" ref="L1581:L1582">{"SUBCLASSABILITY1-L05";((INDEX(ALLCLASSDATA,MATCH("SubclassAbility1-L05",CLASSFEATUREHEADERS,0),MATCH(($A1582),CLASSNAMEHEADERS,0))))}</f>
        <v>SUBCLASSABILITY1-L05</v>
      </c>
      <c r="M1581" s="76"/>
      <c r="N1581" s="76" t="str">
        <f t="array" ref="N1581:N1582">{"SUBCLASSABILITY1-L07";((INDEX(ALLCLASSDATA,MATCH("SubclassAbility1-L07",CLASSFEATUREHEADERS,0),MATCH(($A1582),CLASSNAMEHEADERS,0))))}</f>
        <v>SUBCLASSABILITY1-L07</v>
      </c>
      <c r="O1581" s="76"/>
      <c r="P1581" s="76" t="str">
        <f t="array" ref="P1581:P1582">{"SUBCLASSABILITY1-L09";((INDEX(ALLCLASSDATA,MATCH("SubclassAbility1-L09",CLASSFEATUREHEADERS,0),MATCH(($A1582),CLASSNAMEHEADERS,0))))}</f>
        <v>SUBCLASSABILITY1-L09</v>
      </c>
      <c r="Q1581" s="76"/>
      <c r="R1581" s="76" t="str">
        <f t="array" ref="R1581:R1582">{"SUBCLASSABILITY1-L11";((INDEX(ALLCLASSDATA,MATCH("SubclassAbility1-L11",CLASSFEATUREHEADERS,0),MATCH(($A1582),CLASSNAMEHEADERS,0))))}</f>
        <v>SUBCLASSABILITY1-L11</v>
      </c>
      <c r="S1581" s="76"/>
      <c r="T1581" s="76" t="str">
        <f t="array" ref="T1581:T1582">{"SUBCLASSABILITY1-L13";((INDEX(ALLCLASSDATA,MATCH("SubclassAbility1-L13",CLASSFEATUREHEADERS,0),MATCH(($A1582),CLASSNAMEHEADERS,0))))}</f>
        <v>SUBCLASSABILITY1-L13</v>
      </c>
      <c r="U1581" s="76"/>
      <c r="V1581" s="76" t="str">
        <f t="array" ref="V1581:V1582">{"SUBCLASSABILITY1-L15";((INDEX(ALLCLASSDATA,MATCH("SubclassAbility1-L15",CLASSFEATUREHEADERS,0),MATCH(($A1582),CLASSNAMEHEADERS,0))))}</f>
        <v>SUBCLASSABILITY1-L15</v>
      </c>
      <c r="W1581" s="76"/>
      <c r="X1581" s="76" t="str">
        <f t="array" ref="X1581:X1582">{"SUBCLASSABILITY1-L17";((INDEX(ALLCLASSDATA,MATCH("SubclassAbility1-L17",CLASSFEATUREHEADERS,0),MATCH(($A1582),CLASSNAMEHEADERS,0))))}</f>
        <v>SUBCLASSABILITY1-L17</v>
      </c>
      <c r="Y1581" s="76"/>
      <c r="Z1581" s="76" t="str">
        <f t="array" ref="Z1581:Z1582">{"SUBCLASSABILITY1-L19";((INDEX(ALLCLASSDATA,MATCH("SubclassAbility1-L19",CLASSFEATUREHEADERS,0),MATCH(($A1582),CLASSNAMEHEADERS,0))))}</f>
        <v>SUBCLASSABILITY1-L19</v>
      </c>
      <c r="AA1581" s="76"/>
      <c r="AB1581" s="76"/>
      <c r="AC1581" s="76"/>
    </row>
    <row r="1582">
      <c r="A1582" s="48" t="s">
        <v>223</v>
      </c>
      <c r="B1582" s="48"/>
      <c r="C1582" s="48" t="s">
        <v>418</v>
      </c>
      <c r="D1582" s="48" t="s">
        <v>825</v>
      </c>
      <c r="E1582" s="28" t="s">
        <v>1355</v>
      </c>
      <c r="F1582" s="5"/>
      <c r="G1582" s="47"/>
      <c r="H1582" s="5"/>
      <c r="I1582" s="5"/>
      <c r="J1582" s="5"/>
      <c r="K1582" s="5"/>
      <c r="L1582" s="5"/>
      <c r="M1582" s="5"/>
      <c r="N1582" s="5"/>
      <c r="O1582" s="5"/>
      <c r="P1582" s="5"/>
      <c r="Q1582" s="5"/>
      <c r="R1582" s="5" t="s">
        <v>1269</v>
      </c>
      <c r="S1582" s="5"/>
      <c r="T1582" s="5"/>
      <c r="U1582" s="5"/>
      <c r="V1582" s="5"/>
      <c r="W1582" s="5"/>
      <c r="X1582" s="5" t="s">
        <v>1888</v>
      </c>
      <c r="Y1582" s="5"/>
      <c r="Z1582" s="5"/>
      <c r="AA1582" s="5"/>
      <c r="AB1582" s="5"/>
      <c r="AC1582" s="47"/>
    </row>
    <row r="1583" hidden="1">
      <c r="A1583" s="76" t="str">
        <f t="array" ref="A1583:A1584">{"FormulaRow17";(INDEX(CLASSLIST,A1550,1))}</f>
        <v>FormulaRow17</v>
      </c>
      <c r="B1583" s="77" t="s">
        <v>236</v>
      </c>
      <c r="C1583" s="76" t="str">
        <f t="array" ref="C1583:C1584">{"CLASSTYPE";((INDEX(ALLCLASSDATA,MATCH("ClassType",CLASSFEATUREHEADERS,0),MATCH($A1584,CLASSNAMEHEADERS,0))))}</f>
        <v>CLASSTYPE</v>
      </c>
      <c r="D1583" s="76" t="str">
        <f t="array" ref="D1583:D1584">{"CLASSABILITYPTS";"ClassAbilityPts"}</f>
        <v>CLASSABILITYPTS</v>
      </c>
      <c r="E1583" s="76" t="str">
        <f t="array" ref="E1583:E1584">{"SUBCLASSABILITY1";"SubclassAbility1"}</f>
        <v>SUBCLASSABILITY1</v>
      </c>
      <c r="F1583" s="76"/>
      <c r="G1583" s="76"/>
      <c r="H1583" s="76"/>
      <c r="I1583" s="76"/>
      <c r="J1583" s="76" t="str">
        <f t="array" ref="J1583:J1584">{"SUBCLASSABILITY1-L03PTS";((INDEX(ALLCLASSDATA,MATCH("SubclassAbility1-L03",CLASSFEATUREHEADERS,0),MATCH(($A1584 &amp; "Points"),CLASSNAMEHEADERS,0))))}</f>
        <v>SUBCLASSABILITY1-L03PTS</v>
      </c>
      <c r="K1583" s="76"/>
      <c r="L1583" s="76" t="str">
        <f t="array" ref="L1583:L1584">{"SUBCLASSABILITY1-L05PTS";((INDEX(ALLCLASSDATA,MATCH("SubclassAbility1-L05",CLASSFEATUREHEADERS,0),MATCH(($A1584 &amp; "Points"),CLASSNAMEHEADERS,0))))}</f>
        <v>SUBCLASSABILITY1-L05PTS</v>
      </c>
      <c r="M1583" s="76"/>
      <c r="N1583" s="76" t="str">
        <f t="array" ref="N1583:N1584">{"SUBCLASSABILITY1-L07PTS";((INDEX(ALLCLASSDATA,MATCH("SubclassAbility1-L07",CLASSFEATUREHEADERS,0),MATCH(($A1584 &amp; "Points"),CLASSNAMEHEADERS,0))))}</f>
        <v>SUBCLASSABILITY1-L07PTS</v>
      </c>
      <c r="O1583" s="76"/>
      <c r="P1583" s="76" t="str">
        <f t="array" ref="P1583:P1584">{"SUBCLASSABILITY1-L09PTS";((INDEX(ALLCLASSDATA,MATCH("SubclassAbility1-L09",CLASSFEATUREHEADERS,0),MATCH(($A1584 &amp; "Points"),CLASSNAMEHEADERS,0))))}</f>
        <v>SUBCLASSABILITY1-L09PTS</v>
      </c>
      <c r="Q1583" s="76"/>
      <c r="R1583" s="76" t="str">
        <f t="array" ref="R1583:R1584">{"SUBCLASSABILITY1-L11PTS";((INDEX(ALLCLASSDATA,MATCH("SubclassAbility1-L11",CLASSFEATUREHEADERS,0),MATCH(($A1584 &amp; "Points"),CLASSNAMEHEADERS,0))))}</f>
        <v>SUBCLASSABILITY1-L11PTS</v>
      </c>
      <c r="S1583" s="76"/>
      <c r="T1583" s="76" t="str">
        <f t="array" ref="T1583:T1584">{"SUBCLASSABILITY1-L13PTS";((INDEX(ALLCLASSDATA,MATCH("SubclassAbility1-L13",CLASSFEATUREHEADERS,0),MATCH(($A1584 &amp; "Points"),CLASSNAMEHEADERS,0))))}</f>
        <v>SUBCLASSABILITY1-L13PTS</v>
      </c>
      <c r="U1583" s="76"/>
      <c r="V1583" s="76" t="str">
        <f t="array" ref="V1583:V1584">{"SUBCLASSABILITY1-L15PTS";((INDEX(ALLCLASSDATA,MATCH("SubclassAbility1-L15",CLASSFEATUREHEADERS,0),MATCH(($A1584 &amp; "Points"),CLASSNAMEHEADERS,0))))}</f>
        <v>SUBCLASSABILITY1-L15PTS</v>
      </c>
      <c r="W1583" s="76"/>
      <c r="X1583" s="76" t="str">
        <f t="array" ref="X1583:X1584">{"SUBCLASSABILITY1-L17PTS";((INDEX(ALLCLASSDATA,MATCH("SubclassAbility1-L17",CLASSFEATUREHEADERS,0),MATCH(($A1584 &amp; "Points"),CLASSNAMEHEADERS,0))))}</f>
        <v>SUBCLASSABILITY1-L17PTS</v>
      </c>
      <c r="Y1583" s="76"/>
      <c r="Z1583" s="76" t="str">
        <f t="array" ref="Z1583:Z1584">{"SUBCLASSABILITY1-L19PTS";((INDEX(ALLCLASSDATA,MATCH("SubclassAbility1-L19",CLASSFEATUREHEADERS,0),MATCH(($A1584 &amp; "Points"),CLASSNAMEHEADERS,0))))}</f>
        <v>SUBCLASSABILITY1-L19PTS</v>
      </c>
      <c r="AA1583" s="76"/>
      <c r="AB1583" s="76"/>
      <c r="AC1583" s="76" t="str">
        <f t="array" ref="AC1583:AC1584">{"SUBCLASSABILITY1 TOTAL";(sum(G1584:AA1584))}</f>
        <v>SUBCLASSABILITY1 TOTAL</v>
      </c>
    </row>
    <row r="1584">
      <c r="A1584" s="48" t="s">
        <v>223</v>
      </c>
      <c r="B1584" s="48"/>
      <c r="C1584" s="48" t="s">
        <v>418</v>
      </c>
      <c r="D1584" s="48" t="s">
        <v>930</v>
      </c>
      <c r="E1584" s="28" t="s">
        <v>1355</v>
      </c>
      <c r="F1584" s="5"/>
      <c r="G1584" s="47"/>
      <c r="H1584" s="5"/>
      <c r="I1584" s="5"/>
      <c r="J1584" s="5"/>
      <c r="K1584" s="5"/>
      <c r="L1584" s="5"/>
      <c r="M1584" s="5"/>
      <c r="N1584" s="5"/>
      <c r="O1584" s="5"/>
      <c r="P1584" s="5"/>
      <c r="Q1584" s="5"/>
      <c r="R1584" s="5"/>
      <c r="S1584" s="5"/>
      <c r="T1584" s="5"/>
      <c r="U1584" s="5"/>
      <c r="V1584" s="5"/>
      <c r="W1584" s="5"/>
      <c r="X1584" s="5"/>
      <c r="Y1584" s="5"/>
      <c r="Z1584" s="5"/>
      <c r="AA1584" s="5"/>
      <c r="AB1584" s="5"/>
      <c r="AC1584" s="47">
        <v>0.0</v>
      </c>
    </row>
    <row r="1585" hidden="1">
      <c r="A1585" s="76" t="str">
        <f t="array" ref="A1585:A1586">{"FormulaRow18";(INDEX(CLASSLIST,A1550,1))}</f>
        <v>FormulaRow18</v>
      </c>
      <c r="B1585" s="77" t="s">
        <v>236</v>
      </c>
      <c r="C1585" s="76" t="str">
        <f t="array" ref="C1585:C1586">{"CLASSTYPE";((INDEX(ALLCLASSDATA,MATCH("ClassType",CLASSFEATUREHEADERS,0),MATCH($A1586,CLASSNAMEHEADERS,0))))}</f>
        <v>CLASSTYPE</v>
      </c>
      <c r="D1585" s="76" t="str">
        <f t="array" ref="D1585:D1586">{"CLASSABILITY";"ClassAbility"}</f>
        <v>CLASSABILITY</v>
      </c>
      <c r="E1585" s="76" t="str">
        <f t="array" ref="E1585:E1586">{"SUBCLASSABILITY2";"SubclassAbility2"}</f>
        <v>SUBCLASSABILITY2</v>
      </c>
      <c r="F1585" s="76"/>
      <c r="G1585" s="76"/>
      <c r="H1585" s="76"/>
      <c r="I1585" s="76"/>
      <c r="J1585" s="76" t="str">
        <f t="array" ref="J1585:J1586">{"SUBCLASSABILITY2-L03";((INDEX(ALLCLASSDATA,MATCH("SubclassAbility2-L03",CLASSFEATUREHEADERS,0),MATCH(($A1586),CLASSNAMEHEADERS,0))))}</f>
        <v>SUBCLASSABILITY2-L03</v>
      </c>
      <c r="K1585" s="76"/>
      <c r="L1585" s="76" t="str">
        <f t="array" ref="L1585:L1586">{"SUBCLASSABILITY2-L05";((INDEX(ALLCLASSDATA,MATCH("SubclassAbility2-L05",CLASSFEATUREHEADERS,0),MATCH(($A1586),CLASSNAMEHEADERS,0))))}</f>
        <v>SUBCLASSABILITY2-L05</v>
      </c>
      <c r="M1585" s="76"/>
      <c r="N1585" s="76" t="str">
        <f t="array" ref="N1585:N1586">{"SUBCLASSABILITY2-L07";((INDEX(ALLCLASSDATA,MATCH("SubclassAbility2-L07",CLASSFEATUREHEADERS,0),MATCH(($A1586),CLASSNAMEHEADERS,0))))}</f>
        <v>SUBCLASSABILITY2-L07</v>
      </c>
      <c r="O1585" s="76"/>
      <c r="P1585" s="76" t="str">
        <f t="array" ref="P1585:P1586">{"SUBCLASSABILITY2-L09";((INDEX(ALLCLASSDATA,MATCH("SubclassAbility2-L09",CLASSFEATUREHEADERS,0),MATCH(($A1586),CLASSNAMEHEADERS,0))))}</f>
        <v>SUBCLASSABILITY2-L09</v>
      </c>
      <c r="Q1585" s="76"/>
      <c r="R1585" s="76" t="str">
        <f t="array" ref="R1585:R1586">{"SUBCLASSABILITY2-L11";((INDEX(ALLCLASSDATA,MATCH("SubclassAbility2-L11",CLASSFEATUREHEADERS,0),MATCH(($A1586),CLASSNAMEHEADERS,0))))}</f>
        <v>SUBCLASSABILITY2-L11</v>
      </c>
      <c r="S1585" s="76"/>
      <c r="T1585" s="76" t="str">
        <f t="array" ref="T1585:T1586">{"SUBCLASSABILITY2-L13";((INDEX(ALLCLASSDATA,MATCH("SubclassAbility2-L13",CLASSFEATUREHEADERS,0),MATCH(($A1586),CLASSNAMEHEADERS,0))))}</f>
        <v>SUBCLASSABILITY2-L13</v>
      </c>
      <c r="U1585" s="76"/>
      <c r="V1585" s="76" t="str">
        <f t="array" ref="V1585:V1586">{"SUBCLASSABILITY2-L15";((INDEX(ALLCLASSDATA,MATCH("SubclassAbility2-L15",CLASSFEATUREHEADERS,0),MATCH(($A1586),CLASSNAMEHEADERS,0))))}</f>
        <v>SUBCLASSABILITY2-L15</v>
      </c>
      <c r="W1585" s="76"/>
      <c r="X1585" s="76" t="str">
        <f t="array" ref="X1585:X1586">{"SUBCLASSABILITY2-L17";((INDEX(ALLCLASSDATA,MATCH("SubclassAbility2-L17",CLASSFEATUREHEADERS,0),MATCH(($A1586),CLASSNAMEHEADERS,0))))}</f>
        <v>SUBCLASSABILITY2-L17</v>
      </c>
      <c r="Y1585" s="76"/>
      <c r="Z1585" s="76" t="str">
        <f t="array" ref="Z1585:Z1586">{"SUBCLASSABILITY2-L19";((INDEX(ALLCLASSDATA,MATCH("SubclassAbility2-L19",CLASSFEATUREHEADERS,0),MATCH(($A1586),CLASSNAMEHEADERS,0))))}</f>
        <v>SUBCLASSABILITY2-L19</v>
      </c>
      <c r="AA1585" s="76"/>
      <c r="AB1585" s="76"/>
      <c r="AC1585" s="76"/>
    </row>
    <row r="1586">
      <c r="A1586" s="48" t="s">
        <v>223</v>
      </c>
      <c r="B1586" s="48"/>
      <c r="C1586" s="48" t="s">
        <v>418</v>
      </c>
      <c r="D1586" s="48" t="s">
        <v>825</v>
      </c>
      <c r="E1586" s="28" t="s">
        <v>1370</v>
      </c>
      <c r="F1586" s="5"/>
      <c r="G1586" s="47"/>
      <c r="H1586" s="5"/>
      <c r="I1586" s="5"/>
      <c r="J1586" s="5"/>
      <c r="K1586" s="5"/>
      <c r="L1586" s="5"/>
      <c r="M1586" s="5"/>
      <c r="N1586" s="5"/>
      <c r="O1586" s="5"/>
      <c r="P1586" s="5"/>
      <c r="Q1586" s="5"/>
      <c r="R1586" s="5"/>
      <c r="S1586" s="5"/>
      <c r="T1586" s="5"/>
      <c r="U1586" s="5"/>
      <c r="V1586" s="5"/>
      <c r="W1586" s="5"/>
      <c r="X1586" s="5"/>
      <c r="Y1586" s="5"/>
      <c r="Z1586" s="5"/>
      <c r="AA1586" s="5"/>
      <c r="AB1586" s="5"/>
      <c r="AC1586" s="47"/>
    </row>
    <row r="1587" hidden="1">
      <c r="A1587" s="76" t="str">
        <f t="array" ref="A1587:A1588">{"FormulaRow19";(INDEX(CLASSLIST,A1550,1))}</f>
        <v>FormulaRow19</v>
      </c>
      <c r="B1587" s="77" t="s">
        <v>236</v>
      </c>
      <c r="C1587" s="76" t="str">
        <f t="array" ref="C1587:C1588">{"CLASSTYPE";((INDEX(ALLCLASSDATA,MATCH("ClassType",CLASSFEATUREHEADERS,0),MATCH($A1588,CLASSNAMEHEADERS,0))))}</f>
        <v>CLASSTYPE</v>
      </c>
      <c r="D1587" s="76" t="str">
        <f t="array" ref="D1587:D1588">{"CLASSABILITYPTS";"ClassAbilityPts"}</f>
        <v>CLASSABILITYPTS</v>
      </c>
      <c r="E1587" s="76" t="str">
        <f t="array" ref="E1587:E1588">{"SUBCLASSABILITY2";"SubclassAbility2"}</f>
        <v>SUBCLASSABILITY2</v>
      </c>
      <c r="F1587" s="76"/>
      <c r="G1587" s="76"/>
      <c r="H1587" s="76"/>
      <c r="I1587" s="76"/>
      <c r="J1587" s="76" t="str">
        <f t="array" ref="J1587:J1588">{"SUBCLASSABILITY2-L03PTS";((INDEX(ALLCLASSDATA,MATCH("SubclassAbility2-L03",CLASSFEATUREHEADERS,0),MATCH(($A1588 &amp; "Points"),CLASSNAMEHEADERS,0))))}</f>
        <v>SUBCLASSABILITY2-L03PTS</v>
      </c>
      <c r="K1587" s="76"/>
      <c r="L1587" s="76" t="str">
        <f t="array" ref="L1587:L1588">{"SUBCLASSABILITY2-L05PTS";((INDEX(ALLCLASSDATA,MATCH("SubclassAbility2-L05",CLASSFEATUREHEADERS,0),MATCH(($A1588 &amp; "Points"),CLASSNAMEHEADERS,0))))}</f>
        <v>SUBCLASSABILITY2-L05PTS</v>
      </c>
      <c r="M1587" s="76"/>
      <c r="N1587" s="76" t="str">
        <f t="array" ref="N1587:N1588">{"SUBCLASSABILITY2-L07PTS";((INDEX(ALLCLASSDATA,MATCH("SubclassAbility2-L07",CLASSFEATUREHEADERS,0),MATCH(($A1588 &amp; "Points"),CLASSNAMEHEADERS,0))))}</f>
        <v>SUBCLASSABILITY2-L07PTS</v>
      </c>
      <c r="O1587" s="76"/>
      <c r="P1587" s="76" t="str">
        <f t="array" ref="P1587:P1588">{"SUBCLASSABILITY2-L09PTS";((INDEX(ALLCLASSDATA,MATCH("SubclassAbility2-L09",CLASSFEATUREHEADERS,0),MATCH(($A1588 &amp; "Points"),CLASSNAMEHEADERS,0))))}</f>
        <v>SUBCLASSABILITY2-L09PTS</v>
      </c>
      <c r="Q1587" s="76"/>
      <c r="R1587" s="76" t="str">
        <f t="array" ref="R1587:R1588">{"SUBCLASSABILITY2-L11PTS";((INDEX(ALLCLASSDATA,MATCH("SubclassAbility2-L11",CLASSFEATUREHEADERS,0),MATCH(($A1588 &amp; "Points"),CLASSNAMEHEADERS,0))))}</f>
        <v>SUBCLASSABILITY2-L11PTS</v>
      </c>
      <c r="S1587" s="76"/>
      <c r="T1587" s="76" t="str">
        <f t="array" ref="T1587:T1588">{"SUBCLASSABILITY2-L13PTS";((INDEX(ALLCLASSDATA,MATCH("SubclassAbility2-L13",CLASSFEATUREHEADERS,0),MATCH(($A1588 &amp; "Points"),CLASSNAMEHEADERS,0))))}</f>
        <v>SUBCLASSABILITY2-L13PTS</v>
      </c>
      <c r="U1587" s="76"/>
      <c r="V1587" s="76" t="str">
        <f t="array" ref="V1587:V1588">{"SUBCLASSABILITY2-L15PTS";((INDEX(ALLCLASSDATA,MATCH("SubclassAbility2-L15",CLASSFEATUREHEADERS,0),MATCH(($A1588 &amp; "Points"),CLASSNAMEHEADERS,0))))}</f>
        <v>SUBCLASSABILITY2-L15PTS</v>
      </c>
      <c r="W1587" s="76"/>
      <c r="X1587" s="76" t="str">
        <f t="array" ref="X1587:X1588">{"SUBCLASSABILITY2-L17PTS";((INDEX(ALLCLASSDATA,MATCH("SubclassAbility2-L17",CLASSFEATUREHEADERS,0),MATCH(($A1588 &amp; "Points"),CLASSNAMEHEADERS,0))))}</f>
        <v>SUBCLASSABILITY2-L17PTS</v>
      </c>
      <c r="Y1587" s="76"/>
      <c r="Z1587" s="76" t="str">
        <f t="array" ref="Z1587:Z1588">{"SUBCLASSABILITY2-L19PTS";((INDEX(ALLCLASSDATA,MATCH("SubclassAbility2-L19",CLASSFEATUREHEADERS,0),MATCH(($A1588 &amp; "Points"),CLASSNAMEHEADERS,0))))}</f>
        <v>SUBCLASSABILITY2-L19PTS</v>
      </c>
      <c r="AA1587" s="76"/>
      <c r="AB1587" s="76"/>
      <c r="AC1587" s="76" t="str">
        <f t="array" ref="AC1587:AC1588">{"SUBCLASSABILITY2 TOTAL";(sum(G1588:AA1588))}</f>
        <v>SUBCLASSABILITY2 TOTAL</v>
      </c>
    </row>
    <row r="1588">
      <c r="A1588" s="48" t="s">
        <v>223</v>
      </c>
      <c r="B1588" s="48"/>
      <c r="C1588" s="48" t="s">
        <v>418</v>
      </c>
      <c r="D1588" s="97" t="s">
        <v>930</v>
      </c>
      <c r="E1588" s="215" t="s">
        <v>1370</v>
      </c>
      <c r="F1588" s="98"/>
      <c r="G1588" s="132"/>
      <c r="H1588" s="98"/>
      <c r="I1588" s="98"/>
      <c r="J1588" s="98"/>
      <c r="K1588" s="98"/>
      <c r="L1588" s="98"/>
      <c r="M1588" s="98"/>
      <c r="N1588" s="98"/>
      <c r="O1588" s="98"/>
      <c r="P1588" s="98"/>
      <c r="Q1588" s="98"/>
      <c r="R1588" s="98"/>
      <c r="S1588" s="98"/>
      <c r="T1588" s="98"/>
      <c r="U1588" s="98"/>
      <c r="V1588" s="98"/>
      <c r="W1588" s="98"/>
      <c r="X1588" s="98"/>
      <c r="Y1588" s="98"/>
      <c r="Z1588" s="98"/>
      <c r="AA1588" s="98"/>
      <c r="AB1588" s="5"/>
      <c r="AC1588" s="47">
        <v>0.0</v>
      </c>
    </row>
    <row r="1589" hidden="1">
      <c r="A1589" s="76" t="str">
        <f t="array" ref="A1589:A1590">{"FormulaRow20";(INDEX(CLASSLIST,A1550,1))}</f>
        <v>FormulaRow20</v>
      </c>
      <c r="B1589" s="77" t="s">
        <v>236</v>
      </c>
      <c r="C1589" s="76" t="str">
        <f t="array" ref="C1589:C1590">{"CLASSTYPE";((INDEX(ALLCLASSDATA,MATCH("ClassType",CLASSFEATUREHEADERS,0),MATCH($A1590,CLASSNAMEHEADERS,0))))}</f>
        <v>CLASSTYPE</v>
      </c>
      <c r="D1589" s="81" t="str">
        <f t="array" ref="D1589:D1590">{"DC";"DC"}</f>
        <v>DC</v>
      </c>
      <c r="E1589" s="81" t="str">
        <f t="array" ref="E1589:E1590">{"CLASSDC";"ClassDC"}</f>
        <v>CLASSDC</v>
      </c>
      <c r="F1589" s="81" t="str">
        <f t="array" ref="F1589:F1590">{"CLASSDCINITIAL";((IF(H1590=10,"T",(IF(H1590=50,"E","")))))}</f>
        <v>CLASSDCINITIAL</v>
      </c>
      <c r="G1589" s="81" t="str">
        <f t="array" ref="G1589:G1590">{"CLASSDCINITIALPTS";((IF("00"=(INDEX(ALLCLASSDATA,MATCH("ClassDCLegendary",CLASSFEATUREHEADERS,0),MATCH($A1590,CLASSNAMEHEADERS,0))),(INDEX(ALLCLASSDATA,MATCH("ClassDCLegendary",CLASSFEATUREHEADERS,0),MATCH(($A1590 &amp; "Points"),CLASSNAMEHEADERS,0))),(IF("00"=(INDEX(ALLCLASSDATA,MATCH("ClassDCMaster",CLASSFEATUREHEADERS,0),MATCH($A1590,CLASSNAMEHEADERS,0))),(INDEX(ALLCLASSDATA,MATCH("ClassDCMaster",CLASSFEATUREHEADERS,0),MATCH(($A1590 &amp; "Points"),CLASSNAMEHEADERS,0))),(IF("00"=(INDEX(ALLCLASSDATA,MATCH("ClassDCExpert",CLASSFEATUREHEADERS,0),MATCH($A1590,CLASSNAMEHEADERS,0))),(INDEX(ALLCLASSDATA,MATCH("ClassDCExpert",CLASSFEATUREHEADERS,0),MATCH(($A1590 &amp; "Points"),CLASSNAMEHEADERS,0))),(IF("00"=(INDEX(ALLCLASSDATA,MATCH("ClassDCTrained",CLASSFEATUREHEADERS,0),MATCH($A1590,CLASSNAMEHEADERS,0))),(INDEX(ALLCLASSDATA,MATCH("ClassDCTrained",CLASSFEATUREHEADERS,0),MATCH(($A1590 &amp; "Points"),CLASSNAMEHEADERS,0))),"")))))))))}</f>
        <v>CLASSDCINITIALPTS</v>
      </c>
      <c r="H1589" s="81" t="str">
        <f t="array" ref="H1589:H1590">{"CLASSDCL01";((IF("01"=(INDEX(ALLCLASSDATA,MATCH("ClassDCLegendary",CLASSFEATUREHEADERS,0),MATCH($A1590,CLASSNAMEHEADERS,0))),(INDEX(ALLCLASSDATA,MATCH("ClassDCLegendary",CLASSFEATUREHEADERS,0),MATCH(($A1590 &amp; "Points"),CLASSNAMEHEADERS,0))),(IF("01"=(INDEX(ALLCLASSDATA,MATCH("ClassDCMaster",CLASSFEATUREHEADERS,0),MATCH($A1590,CLASSNAMEHEADERS,0))),(INDEX(ALLCLASSDATA,MATCH("ClassDCMaster",CLASSFEATUREHEADERS,0),MATCH(($A1590 &amp; "Points"),CLASSNAMEHEADERS,0))),(IF("01"=(INDEX(ALLCLASSDATA,MATCH("ClassDCExpert",CLASSFEATUREHEADERS,0),MATCH($A1590,CLASSNAMEHEADERS,0))),(INDEX(ALLCLASSDATA,MATCH("ClassDCExpert",CLASSFEATUREHEADERS,0),MATCH(($A1590 &amp; "Points"),CLASSNAMEHEADERS,0))),(IF("01"=(INDEX(ALLCLASSDATA,MATCH("ClassDCTrained",CLASSFEATUREHEADERS,0),MATCH($A1590,CLASSNAMEHEADERS,0))),(INDEX(ALLCLASSDATA,MATCH("ClassDCTrained",CLASSFEATUREHEADERS,0),MATCH(($A1590 &amp; "Points"),CLASSNAMEHEADERS,0))),"")))))))))}</f>
        <v>CLASSDCL01</v>
      </c>
      <c r="I1589" s="81"/>
      <c r="J1589" s="81" t="str">
        <f t="array" ref="J1589:J1590">{"CLASSDCL03";((IF("03"=(INDEX(ALLCLASSDATA,MATCH("ClassDCLegendary",CLASSFEATUREHEADERS,0),MATCH($A1590,CLASSNAMEHEADERS,0))),(INDEX(ALLCLASSDATA,MATCH("ClassDCLegendary",CLASSFEATUREHEADERS,0),MATCH(($A1590 &amp; "Points"),CLASSNAMEHEADERS,0))),(IF("03"=(INDEX(ALLCLASSDATA,MATCH("ClassDCMaster",CLASSFEATUREHEADERS,0),MATCH($A1590,CLASSNAMEHEADERS,0))),(INDEX(ALLCLASSDATA,MATCH("ClassDCMaster",CLASSFEATUREHEADERS,0),MATCH(($A1590 &amp; "Points"),CLASSNAMEHEADERS,0))),(IF("03"=(INDEX(ALLCLASSDATA,MATCH("ClassDCExpert",CLASSFEATUREHEADERS,0),MATCH($A1590,CLASSNAMEHEADERS,0))),(INDEX(ALLCLASSDATA,MATCH("ClassDCExpert",CLASSFEATUREHEADERS,0),MATCH(($A1590 &amp; "Points"),CLASSNAMEHEADERS,0))),(IF("03"=(INDEX(ALLCLASSDATA,MATCH("ClassDCTrained",CLASSFEATUREHEADERS,0),MATCH($A1590,CLASSNAMEHEADERS,0))),(INDEX(ALLCLASSDATA,MATCH("ClassDCTrained",CLASSFEATUREHEADERS,0),MATCH(($A1590 &amp; "Points"),CLASSNAMEHEADERS,0))),"")))))))))}</f>
        <v>CLASSDCL03</v>
      </c>
      <c r="K1589" s="81"/>
      <c r="L1589" s="81" t="str">
        <f t="array" ref="L1589:L1590">{"CLASSDCL05";((IF("05"=(INDEX(ALLCLASSDATA,MATCH("ClassDCLegendary",CLASSFEATUREHEADERS,0),MATCH($A1590,CLASSNAMEHEADERS,0))),(INDEX(ALLCLASSDATA,MATCH("ClassDCLegendary",CLASSFEATUREHEADERS,0),MATCH(($A1590 &amp; "Points"),CLASSNAMEHEADERS,0))),(IF("05"=(INDEX(ALLCLASSDATA,MATCH("ClassDCMaster",CLASSFEATUREHEADERS,0),MATCH($A1590,CLASSNAMEHEADERS,0))),(INDEX(ALLCLASSDATA,MATCH("ClassDCMaster",CLASSFEATUREHEADERS,0),MATCH(($A1590 &amp; "Points"),CLASSNAMEHEADERS,0))),(IF("05"=(INDEX(ALLCLASSDATA,MATCH("ClassDCExpert",CLASSFEATUREHEADERS,0),MATCH($A1590,CLASSNAMEHEADERS,0))),(INDEX(ALLCLASSDATA,MATCH("ClassDCExpert",CLASSFEATUREHEADERS,0),MATCH(($A1590 &amp; "Points"),CLASSNAMEHEADERS,0))),(IF("05"=(INDEX(ALLCLASSDATA,MATCH("ClassDCTrained",CLASSFEATUREHEADERS,0),MATCH($A1590,CLASSNAMEHEADERS,0))),(INDEX(ALLCLASSDATA,MATCH("ClassDCTrained",CLASSFEATUREHEADERS,0),MATCH(($A1590 &amp; "Points"),CLASSNAMEHEADERS,0))),"")))))))))}</f>
        <v>CLASSDCL05</v>
      </c>
      <c r="M1589" s="81"/>
      <c r="N1589" s="81" t="str">
        <f t="array" ref="N1589:N1590">{"CLASSDCL07";((IF("07"=(INDEX(ALLCLASSDATA,MATCH("ClassDCLegendary",CLASSFEATUREHEADERS,0),MATCH($A1590,CLASSNAMEHEADERS,0))),(INDEX(ALLCLASSDATA,MATCH("ClassDCLegendary",CLASSFEATUREHEADERS,0),MATCH(($A1590 &amp; "Points"),CLASSNAMEHEADERS,0))),(IF("07"=(INDEX(ALLCLASSDATA,MATCH("ClassDCMaster",CLASSFEATUREHEADERS,0),MATCH($A1590,CLASSNAMEHEADERS,0))),(INDEX(ALLCLASSDATA,MATCH("ClassDCMaster",CLASSFEATUREHEADERS,0),MATCH(($A1590 &amp; "Points"),CLASSNAMEHEADERS,0))),(IF("07"=(INDEX(ALLCLASSDATA,MATCH("ClassDCExpert",CLASSFEATUREHEADERS,0),MATCH($A1590,CLASSNAMEHEADERS,0))),(INDEX(ALLCLASSDATA,MATCH("ClassDCExpert",CLASSFEATUREHEADERS,0),MATCH(($A1590 &amp; "Points"),CLASSNAMEHEADERS,0))),(IF("07"=(INDEX(ALLCLASSDATA,MATCH("ClassDCTrained",CLASSFEATUREHEADERS,0),MATCH($A1590,CLASSNAMEHEADERS,0))),(INDEX(ALLCLASSDATA,MATCH("ClassDCTrained",CLASSFEATUREHEADERS,0),MATCH(($A1590 &amp; "Points"),CLASSNAMEHEADERS,0))),"")))))))))}</f>
        <v>CLASSDCL07</v>
      </c>
      <c r="O1589" s="81"/>
      <c r="P1589" s="81" t="str">
        <f t="array" ref="P1589:P1590">{"CLASSDCL09";((IF("09"=(INDEX(ALLCLASSDATA,MATCH("ClassDCLegendary",CLASSFEATUREHEADERS,0),MATCH($A1590,CLASSNAMEHEADERS,0))),(INDEX(ALLCLASSDATA,MATCH("ClassDCLegendary",CLASSFEATUREHEADERS,0),MATCH(($A1590 &amp; "Points"),CLASSNAMEHEADERS,0))),(IF("09"=(INDEX(ALLCLASSDATA,MATCH("ClassDCMaster",CLASSFEATUREHEADERS,0),MATCH($A1590,CLASSNAMEHEADERS,0))),(INDEX(ALLCLASSDATA,MATCH("ClassDCMaster",CLASSFEATUREHEADERS,0),MATCH(($A1590 &amp; "Points"),CLASSNAMEHEADERS,0))),(IF("09"=(INDEX(ALLCLASSDATA,MATCH("ClassDCExpert",CLASSFEATUREHEADERS,0),MATCH($A1590,CLASSNAMEHEADERS,0))),(INDEX(ALLCLASSDATA,MATCH("ClassDCExpert",CLASSFEATUREHEADERS,0),MATCH(($A1590 &amp; "Points"),CLASSNAMEHEADERS,0))),(IF("09"=(INDEX(ALLCLASSDATA,MATCH("ClassDCTrained",CLASSFEATUREHEADERS,0),MATCH($A1590,CLASSNAMEHEADERS,0))),(INDEX(ALLCLASSDATA,MATCH("ClassDCTrained",CLASSFEATUREHEADERS,0),MATCH(($A1590 &amp; "Points"),CLASSNAMEHEADERS,0))),"")))))))))}</f>
        <v>CLASSDCL09</v>
      </c>
      <c r="Q1589" s="81"/>
      <c r="R1589" s="81" t="str">
        <f t="array" ref="R1589:R1590">{"CLASSDCL11";((IF("11"=(INDEX(ALLCLASSDATA,MATCH("ClassDCLegendary",CLASSFEATUREHEADERS,0),MATCH($A1590,CLASSNAMEHEADERS,0))),(INDEX(ALLCLASSDATA,MATCH("ClassDCLegendary",CLASSFEATUREHEADERS,0),MATCH(($A1590 &amp; "Points"),CLASSNAMEHEADERS,0))),(IF("11"=(INDEX(ALLCLASSDATA,MATCH("ClassDCMaster",CLASSFEATUREHEADERS,0),MATCH($A1590,CLASSNAMEHEADERS,0))),(INDEX(ALLCLASSDATA,MATCH("ClassDCMaster",CLASSFEATUREHEADERS,0),MATCH(($A1590 &amp; "Points"),CLASSNAMEHEADERS,0))),(IF("11"=(INDEX(ALLCLASSDATA,MATCH("ClassDCExpert",CLASSFEATUREHEADERS,0),MATCH($A1590,CLASSNAMEHEADERS,0))),(INDEX(ALLCLASSDATA,MATCH("ClassDCExpert",CLASSFEATUREHEADERS,0),MATCH(($A1590 &amp; "Points"),CLASSNAMEHEADERS,0))),(IF("11"=(INDEX(ALLCLASSDATA,MATCH("ClassDCTrained",CLASSFEATUREHEADERS,0),MATCH($A1590,CLASSNAMEHEADERS,0))),(INDEX(ALLCLASSDATA,MATCH("ClassDCTrained",CLASSFEATUREHEADERS,0),MATCH(($A1590 &amp; "Points"),CLASSNAMEHEADERS,0))),"")))))))))}</f>
        <v>CLASSDCL11</v>
      </c>
      <c r="S1589" s="81"/>
      <c r="T1589" s="81" t="str">
        <f t="array" ref="T1589:T1590">{"CLASSDCL13";((IF("13"=(INDEX(ALLCLASSDATA,MATCH("ClassDCLegendary",CLASSFEATUREHEADERS,0),MATCH($A1590,CLASSNAMEHEADERS,0))),(INDEX(ALLCLASSDATA,MATCH("ClassDCLegendary",CLASSFEATUREHEADERS,0),MATCH(($A1590 &amp; "Points"),CLASSNAMEHEADERS,0))),(IF("13"=(INDEX(ALLCLASSDATA,MATCH("ClassDCMaster",CLASSFEATUREHEADERS,0),MATCH($A1590,CLASSNAMEHEADERS,0))),(INDEX(ALLCLASSDATA,MATCH("ClassDCMaster",CLASSFEATUREHEADERS,0),MATCH(($A1590 &amp; "Points"),CLASSNAMEHEADERS,0))),(IF("13"=(INDEX(ALLCLASSDATA,MATCH("ClassDCExpert",CLASSFEATUREHEADERS,0),MATCH($A1590,CLASSNAMEHEADERS,0))),(INDEX(ALLCLASSDATA,MATCH("ClassDCExpert",CLASSFEATUREHEADERS,0),MATCH(($A1590 &amp; "Points"),CLASSNAMEHEADERS,0))),(IF("13"=(INDEX(ALLCLASSDATA,MATCH("ClassDCTrained",CLASSFEATUREHEADERS,0),MATCH($A1590,CLASSNAMEHEADERS,0))),(INDEX(ALLCLASSDATA,MATCH("ClassDCTrained",CLASSFEATUREHEADERS,0),MATCH(($A1590 &amp; "Points"),CLASSNAMEHEADERS,0))),"")))))))))}</f>
        <v>CLASSDCL13</v>
      </c>
      <c r="U1589" s="81"/>
      <c r="V1589" s="81" t="str">
        <f t="array" ref="V1589:V1590">{"CLASSDCL15";((IF("15"=(INDEX(ALLCLASSDATA,MATCH("ClassDCLegendary",CLASSFEATUREHEADERS,0),MATCH($A1590,CLASSNAMEHEADERS,0))),(INDEX(ALLCLASSDATA,MATCH("ClassDCLegendary",CLASSFEATUREHEADERS,0),MATCH(($A1590 &amp; "Points"),CLASSNAMEHEADERS,0))),(IF("15"=(INDEX(ALLCLASSDATA,MATCH("ClassDCMaster",CLASSFEATUREHEADERS,0),MATCH($A1590,CLASSNAMEHEADERS,0))),(INDEX(ALLCLASSDATA,MATCH("ClassDCMaster",CLASSFEATUREHEADERS,0),MATCH(($A1590 &amp; "Points"),CLASSNAMEHEADERS,0))),(IF("15"=(INDEX(ALLCLASSDATA,MATCH("ClassDCExpert",CLASSFEATUREHEADERS,0),MATCH($A1590,CLASSNAMEHEADERS,0))),(INDEX(ALLCLASSDATA,MATCH("ClassDCExpert",CLASSFEATUREHEADERS,0),MATCH(($A1590 &amp; "Points"),CLASSNAMEHEADERS,0))),(IF("15"=(INDEX(ALLCLASSDATA,MATCH("ClassDCTrained",CLASSFEATUREHEADERS,0),MATCH($A1590,CLASSNAMEHEADERS,0))),(INDEX(ALLCLASSDATA,MATCH("ClassDCTrained",CLASSFEATUREHEADERS,0),MATCH(($A1590 &amp; "Points"),CLASSNAMEHEADERS,0))),"")))))))))}</f>
        <v>CLASSDCL15</v>
      </c>
      <c r="W1589" s="81"/>
      <c r="X1589" s="81" t="str">
        <f t="array" ref="X1589:X1590">{"CLASSDCL17";((IF("17"=(INDEX(ALLCLASSDATA,MATCH("ClassDCLegendary",CLASSFEATUREHEADERS,0),MATCH($A1590,CLASSNAMEHEADERS,0))),(INDEX(ALLCLASSDATA,MATCH("ClassDCLegendary",CLASSFEATUREHEADERS,0),MATCH(($A1590 &amp; "Points"),CLASSNAMEHEADERS,0))),(IF("17"=(INDEX(ALLCLASSDATA,MATCH("ClassDCMaster",CLASSFEATUREHEADERS,0),MATCH($A1590,CLASSNAMEHEADERS,0))),(INDEX(ALLCLASSDATA,MATCH("ClassDCMaster",CLASSFEATUREHEADERS,0),MATCH(($A1590 &amp; "Points"),CLASSNAMEHEADERS,0))),(IF("17"=(INDEX(ALLCLASSDATA,MATCH("ClassDCExpert",CLASSFEATUREHEADERS,0),MATCH($A1590,CLASSNAMEHEADERS,0))),(INDEX(ALLCLASSDATA,MATCH("ClassDCExpert",CLASSFEATUREHEADERS,0),MATCH(($A1590 &amp; "Points"),CLASSNAMEHEADERS,0))),(IF("17"=(INDEX(ALLCLASSDATA,MATCH("ClassDCTrained",CLASSFEATUREHEADERS,0),MATCH($A1590,CLASSNAMEHEADERS,0))),(INDEX(ALLCLASSDATA,MATCH("ClassDCTrained",CLASSFEATUREHEADERS,0),MATCH(($A1590 &amp; "Points"),CLASSNAMEHEADERS,0))),"")))))))))}</f>
        <v>CLASSDCL17</v>
      </c>
      <c r="Y1589" s="81"/>
      <c r="Z1589" s="81" t="str">
        <f t="array" ref="Z1589:Z1590">{"CLASSDCL19";((IF("19"=(INDEX(ALLCLASSDATA,MATCH("ClassDCLegendary",CLASSFEATUREHEADERS,0),MATCH($A1590,CLASSNAMEHEADERS,0))),(INDEX(ALLCLASSDATA,MATCH("ClassDCLegendary",CLASSFEATUREHEADERS,0),MATCH(($A1590 &amp; "Points"),CLASSNAMEHEADERS,0))),(IF("19"=(INDEX(ALLCLASSDATA,MATCH("ClassDCMaster",CLASSFEATUREHEADERS,0),MATCH($A1590,CLASSNAMEHEADERS,0))),(INDEX(ALLCLASSDATA,MATCH("ClassDCMaster",CLASSFEATUREHEADERS,0),MATCH(($A1590 &amp; "Points"),CLASSNAMEHEADERS,0))),(IF("19"=(INDEX(ALLCLASSDATA,MATCH("ClassDCExpert",CLASSFEATUREHEADERS,0),MATCH($A1590,CLASSNAMEHEADERS,0))),(INDEX(ALLCLASSDATA,MATCH("ClassDCExpert",CLASSFEATUREHEADERS,0),MATCH(($A1590 &amp; "Points"),CLASSNAMEHEADERS,0))),(IF("19"=(INDEX(ALLCLASSDATA,MATCH("ClassDCTrained",CLASSFEATUREHEADERS,0),MATCH($A1590,CLASSNAMEHEADERS,0))),(INDEX(ALLCLASSDATA,MATCH("ClassDCTrained",CLASSFEATUREHEADERS,0),MATCH(($A1590 &amp; "Points"),CLASSNAMEHEADERS,0))),"")))))))))}</f>
        <v>CLASSDCL19</v>
      </c>
      <c r="AA1589" s="81"/>
      <c r="AB1589" s="76" t="str">
        <f t="array" ref="AB1589:AB1590">{"CLASSDC TOTAL";(IF(COUNTBLANK(G1590:AA1590)=17,"L",(IF(COUNTBLANK(G1590:AA1590)=18,"M",(IF(COUNTBLANK(G1590:AA1590)=19,"E",(IF(COUNTBLANK(G1590:AA1590)=20,"T",""))))))))}</f>
        <v>CLASSDC TOTAL</v>
      </c>
      <c r="AC1589" s="76" t="str">
        <f t="array" ref="AC1589:AC1590">{"CLASSDC TOTAL";(sum(G1590:AA1590))}</f>
        <v>CLASSDC TOTAL</v>
      </c>
    </row>
    <row r="1590">
      <c r="A1590" s="48" t="s">
        <v>223</v>
      </c>
      <c r="B1590" s="48"/>
      <c r="C1590" s="48" t="s">
        <v>418</v>
      </c>
      <c r="D1590" s="48" t="s">
        <v>1465</v>
      </c>
      <c r="E1590" s="48" t="s">
        <v>1466</v>
      </c>
      <c r="F1590" s="5" t="s">
        <v>603</v>
      </c>
      <c r="G1590" s="47" t="s">
        <v>603</v>
      </c>
      <c r="H1590" s="5" t="s">
        <v>603</v>
      </c>
      <c r="I1590" s="5"/>
      <c r="J1590" s="5" t="s">
        <v>603</v>
      </c>
      <c r="K1590" s="5"/>
      <c r="L1590" s="5" t="s">
        <v>603</v>
      </c>
      <c r="M1590" s="5"/>
      <c r="N1590" s="5" t="s">
        <v>603</v>
      </c>
      <c r="O1590" s="5"/>
      <c r="P1590" s="5" t="s">
        <v>603</v>
      </c>
      <c r="Q1590" s="5"/>
      <c r="R1590" s="5" t="s">
        <v>603</v>
      </c>
      <c r="S1590" s="5"/>
      <c r="T1590" s="5" t="s">
        <v>603</v>
      </c>
      <c r="U1590" s="5"/>
      <c r="V1590" s="5" t="s">
        <v>603</v>
      </c>
      <c r="W1590" s="5"/>
      <c r="X1590" s="5" t="s">
        <v>603</v>
      </c>
      <c r="Y1590" s="5"/>
      <c r="Z1590" s="5" t="s">
        <v>603</v>
      </c>
      <c r="AA1590" s="5"/>
      <c r="AB1590" s="5" t="s">
        <v>603</v>
      </c>
      <c r="AC1590" s="47">
        <v>0.0</v>
      </c>
    </row>
    <row r="1591" hidden="1">
      <c r="A1591" s="222" t="str">
        <f t="array" ref="A1591:A1592">{"FormulaRow21";(INDEX(CLASSLIST,A1550,1))}</f>
        <v>FormulaRow21</v>
      </c>
      <c r="B1591" s="77" t="s">
        <v>236</v>
      </c>
      <c r="C1591" s="222" t="str">
        <f t="array" ref="C1591:C1592">{"CLASSTYPE";((INDEX(ALLCLASSDATA,MATCH("ClassType",CLASSFEATUREHEADERS,0),MATCH($A1592,CLASSNAMEHEADERS,0))))}</f>
        <v>CLASSTYPE</v>
      </c>
      <c r="D1591" s="222" t="str">
        <f t="array" ref="D1591:D1592">{"DC";"DC"}</f>
        <v>DC</v>
      </c>
      <c r="E1591" s="222" t="str">
        <f t="array" ref="E1591:E1592">{"SPELLDC";"SpellDC"}</f>
        <v>SPELLDC</v>
      </c>
      <c r="F1591" s="223" t="str">
        <f t="array" ref="F1591:F1592">{"SPELLDCINITIAL";((IF(H1592=10,"T",(IF(H1592=50,"E","")))))}</f>
        <v>SPELLDCINITIAL</v>
      </c>
      <c r="G1591" s="223" t="str">
        <f t="array" ref="G1591:G1592">{"SPELLDCINITIALPTS";((IF("00"=(INDEX(ALLCLASSDATA,MATCH("SpellDCLegendary",CLASSFEATUREHEADERS,0),MATCH($A1592,CLASSNAMEHEADERS,0))),(INDEX(ALLCLASSDATA,MATCH("SpellDCLegendary",CLASSFEATUREHEADERS,0),MATCH(($A1592 &amp; "Points"),CLASSNAMEHEADERS,0))),(IF("00"=(INDEX(ALLCLASSDATA,MATCH("SpellDCMaster",CLASSFEATUREHEADERS,0),MATCH($A1592,CLASSNAMEHEADERS,0))),(INDEX(ALLCLASSDATA,MATCH("SpellDCMaster",CLASSFEATUREHEADERS,0),MATCH(($A1592 &amp; "Points"),CLASSNAMEHEADERS,0))),(IF("00"=(INDEX(ALLCLASSDATA,MATCH("SpellDCExpert",CLASSFEATUREHEADERS,0),MATCH($A1592,CLASSNAMEHEADERS,0))),(INDEX(ALLCLASSDATA,MATCH("SpellDCExpert",CLASSFEATUREHEADERS,0),MATCH(($A1592 &amp; "Points"),CLASSNAMEHEADERS,0))),(IF("00"=(INDEX(ALLCLASSDATA,MATCH("SpellDCTrained",CLASSFEATUREHEADERS,0),MATCH($A1592,CLASSNAMEHEADERS,0))),(INDEX(ALLCLASSDATA,MATCH("SpellDCTrained",CLASSFEATUREHEADERS,0),MATCH(($A1592 &amp; "Points"),CLASSNAMEHEADERS,0))),"")))))))))}</f>
        <v>SPELLDCINITIALPTS</v>
      </c>
      <c r="H1591" s="223" t="str">
        <f t="array" ref="H1591:H1592">{"SPELLDCL01";((IF("01"=(INDEX(ALLCLASSDATA,MATCH("SpellDCLegendary",CLASSFEATUREHEADERS,0),MATCH($A1592,CLASSNAMEHEADERS,0))),(INDEX(ALLCLASSDATA,MATCH("SpellDCLegendary",CLASSFEATUREHEADERS,0),MATCH(($A1592 &amp; "Points"),CLASSNAMEHEADERS,0))),(IF("01"=(INDEX(ALLCLASSDATA,MATCH("SpellDCMaster",CLASSFEATUREHEADERS,0),MATCH($A1592,CLASSNAMEHEADERS,0))),(INDEX(ALLCLASSDATA,MATCH("SpellDCMaster",CLASSFEATUREHEADERS,0),MATCH(($A1592 &amp; "Points"),CLASSNAMEHEADERS,0))),(IF("01"=(INDEX(ALLCLASSDATA,MATCH("SpellDCExpert",CLASSFEATUREHEADERS,0),MATCH($A1592,CLASSNAMEHEADERS,0))),(INDEX(ALLCLASSDATA,MATCH("SpellDCExpert",CLASSFEATUREHEADERS,0),MATCH(($A1592 &amp; "Points"),CLASSNAMEHEADERS,0))),(IF("01"=(INDEX(ALLCLASSDATA,MATCH("SpellDCTrained",CLASSFEATUREHEADERS,0),MATCH($A1592,CLASSNAMEHEADERS,0))),(INDEX(ALLCLASSDATA,MATCH("SpellDCTrained",CLASSFEATUREHEADERS,0),MATCH(($A1592 &amp; "Points"),CLASSNAMEHEADERS,0))),"")))))))))}</f>
        <v>SPELLDCL01</v>
      </c>
      <c r="I1591" s="223"/>
      <c r="J1591" s="223" t="str">
        <f t="array" ref="J1591:J1592">{"SPELLDCL03";((IF("03"=(INDEX(ALLCLASSDATA,MATCH("SpellDCLegendary",CLASSFEATUREHEADERS,0),MATCH($A1592,CLASSNAMEHEADERS,0))),(INDEX(ALLCLASSDATA,MATCH("SpellDCLegendary",CLASSFEATUREHEADERS,0),MATCH(($A1592 &amp; "Points"),CLASSNAMEHEADERS,0))),(IF("03"=(INDEX(ALLCLASSDATA,MATCH("SpellDCMaster",CLASSFEATUREHEADERS,0),MATCH($A1592,CLASSNAMEHEADERS,0))),(INDEX(ALLCLASSDATA,MATCH("SpellDCMaster",CLASSFEATUREHEADERS,0),MATCH(($A1592 &amp; "Points"),CLASSNAMEHEADERS,0))),(IF("03"=(INDEX(ALLCLASSDATA,MATCH("SpellDCExpert",CLASSFEATUREHEADERS,0),MATCH($A1592,CLASSNAMEHEADERS,0))),(INDEX(ALLCLASSDATA,MATCH("SpellDCExpert",CLASSFEATUREHEADERS,0),MATCH(($A1592 &amp; "Points"),CLASSNAMEHEADERS,0))),(IF("03"=(INDEX(ALLCLASSDATA,MATCH("SpellDCTrained",CLASSFEATUREHEADERS,0),MATCH($A1592,CLASSNAMEHEADERS,0))),(INDEX(ALLCLASSDATA,MATCH("SpellDCTrained",CLASSFEATUREHEADERS,0),MATCH(($A1592 &amp; "Points"),CLASSNAMEHEADERS,0))),"")))))))))}</f>
        <v>SPELLDCL03</v>
      </c>
      <c r="K1591" s="223"/>
      <c r="L1591" s="223" t="str">
        <f t="array" ref="L1591:L1592">{"SPELLDCL05";((IF("05"=(INDEX(ALLCLASSDATA,MATCH("SpellDCLegendary",CLASSFEATUREHEADERS,0),MATCH($A1592,CLASSNAMEHEADERS,0))),(INDEX(ALLCLASSDATA,MATCH("SpellDCLegendary",CLASSFEATUREHEADERS,0),MATCH(($A1592 &amp; "Points"),CLASSNAMEHEADERS,0))),(IF("05"=(INDEX(ALLCLASSDATA,MATCH("SpellDCMaster",CLASSFEATUREHEADERS,0),MATCH($A1592,CLASSNAMEHEADERS,0))),(INDEX(ALLCLASSDATA,MATCH("SpellDCMaster",CLASSFEATUREHEADERS,0),MATCH(($A1592 &amp; "Points"),CLASSNAMEHEADERS,0))),(IF("05"=(INDEX(ALLCLASSDATA,MATCH("SpellDCExpert",CLASSFEATUREHEADERS,0),MATCH($A1592,CLASSNAMEHEADERS,0))),(INDEX(ALLCLASSDATA,MATCH("SpellDCExpert",CLASSFEATUREHEADERS,0),MATCH(($A1592 &amp; "Points"),CLASSNAMEHEADERS,0))),(IF("05"=(INDEX(ALLCLASSDATA,MATCH("SpellDCTrained",CLASSFEATUREHEADERS,0),MATCH($A1592,CLASSNAMEHEADERS,0))),(INDEX(ALLCLASSDATA,MATCH("SpellDCTrained",CLASSFEATUREHEADERS,0),MATCH(($A1592 &amp; "Points"),CLASSNAMEHEADERS,0))),"")))))))))}</f>
        <v>SPELLDCL05</v>
      </c>
      <c r="M1591" s="223"/>
      <c r="N1591" s="223" t="str">
        <f t="array" ref="N1591:N1592">{"SPELLDCL07";((IF("07"=(INDEX(ALLCLASSDATA,MATCH("SpellDCLegendary",CLASSFEATUREHEADERS,0),MATCH($A1592,CLASSNAMEHEADERS,0))),(INDEX(ALLCLASSDATA,MATCH("SpellDCLegendary",CLASSFEATUREHEADERS,0),MATCH(($A1592 &amp; "Points"),CLASSNAMEHEADERS,0))),(IF("07"=(INDEX(ALLCLASSDATA,MATCH("SpellDCMaster",CLASSFEATUREHEADERS,0),MATCH($A1592,CLASSNAMEHEADERS,0))),(INDEX(ALLCLASSDATA,MATCH("SpellDCMaster",CLASSFEATUREHEADERS,0),MATCH(($A1592 &amp; "Points"),CLASSNAMEHEADERS,0))),(IF("07"=(INDEX(ALLCLASSDATA,MATCH("SpellDCExpert",CLASSFEATUREHEADERS,0),MATCH($A1592,CLASSNAMEHEADERS,0))),(INDEX(ALLCLASSDATA,MATCH("SpellDCExpert",CLASSFEATUREHEADERS,0),MATCH(($A1592 &amp; "Points"),CLASSNAMEHEADERS,0))),(IF("07"=(INDEX(ALLCLASSDATA,MATCH("SpellDCTrained",CLASSFEATUREHEADERS,0),MATCH($A1592,CLASSNAMEHEADERS,0))),(INDEX(ALLCLASSDATA,MATCH("SpellDCTrained",CLASSFEATUREHEADERS,0),MATCH(($A1592 &amp; "Points"),CLASSNAMEHEADERS,0))),"")))))))))}</f>
        <v>SPELLDCL07</v>
      </c>
      <c r="O1591" s="223"/>
      <c r="P1591" s="223" t="str">
        <f t="array" ref="P1591:P1592">{"SPELLDCL09";((IF("09"=(INDEX(ALLCLASSDATA,MATCH("SpellDCLegendary",CLASSFEATUREHEADERS,0),MATCH($A1592,CLASSNAMEHEADERS,0))),(INDEX(ALLCLASSDATA,MATCH("SpellDCLegendary",CLASSFEATUREHEADERS,0),MATCH(($A1592 &amp; "Points"),CLASSNAMEHEADERS,0))),(IF("09"=(INDEX(ALLCLASSDATA,MATCH("SpellDCMaster",CLASSFEATUREHEADERS,0),MATCH($A1592,CLASSNAMEHEADERS,0))),(INDEX(ALLCLASSDATA,MATCH("SpellDCMaster",CLASSFEATUREHEADERS,0),MATCH(($A1592 &amp; "Points"),CLASSNAMEHEADERS,0))),(IF("09"=(INDEX(ALLCLASSDATA,MATCH("SpellDCExpert",CLASSFEATUREHEADERS,0),MATCH($A1592,CLASSNAMEHEADERS,0))),(INDEX(ALLCLASSDATA,MATCH("SpellDCExpert",CLASSFEATUREHEADERS,0),MATCH(($A1592 &amp; "Points"),CLASSNAMEHEADERS,0))),(IF("09"=(INDEX(ALLCLASSDATA,MATCH("SpellDCTrained",CLASSFEATUREHEADERS,0),MATCH($A1592,CLASSNAMEHEADERS,0))),(INDEX(ALLCLASSDATA,MATCH("SpellDCTrained",CLASSFEATUREHEADERS,0),MATCH(($A1592 &amp; "Points"),CLASSNAMEHEADERS,0))),"")))))))))}</f>
        <v>SPELLDCL09</v>
      </c>
      <c r="Q1591" s="223"/>
      <c r="R1591" s="223" t="str">
        <f t="array" ref="R1591:R1592">{"SPELLDCL11";((IF("11"=(INDEX(ALLCLASSDATA,MATCH("SpellDCLegendary",CLASSFEATUREHEADERS,0),MATCH($A1592,CLASSNAMEHEADERS,0))),(INDEX(ALLCLASSDATA,MATCH("SpellDCLegendary",CLASSFEATUREHEADERS,0),MATCH(($A1592 &amp; "Points"),CLASSNAMEHEADERS,0))),(IF("11"=(INDEX(ALLCLASSDATA,MATCH("SpellDCMaster",CLASSFEATUREHEADERS,0),MATCH($A1592,CLASSNAMEHEADERS,0))),(INDEX(ALLCLASSDATA,MATCH("SpellDCMaster",CLASSFEATUREHEADERS,0),MATCH(($A1592 &amp; "Points"),CLASSNAMEHEADERS,0))),(IF("11"=(INDEX(ALLCLASSDATA,MATCH("SpellDCExpert",CLASSFEATUREHEADERS,0),MATCH($A1592,CLASSNAMEHEADERS,0))),(INDEX(ALLCLASSDATA,MATCH("SpellDCExpert",CLASSFEATUREHEADERS,0),MATCH(($A1592 &amp; "Points"),CLASSNAMEHEADERS,0))),(IF("11"=(INDEX(ALLCLASSDATA,MATCH("SpellDCTrained",CLASSFEATUREHEADERS,0),MATCH($A1592,CLASSNAMEHEADERS,0))),(INDEX(ALLCLASSDATA,MATCH("SpellDCTrained",CLASSFEATUREHEADERS,0),MATCH(($A1592 &amp; "Points"),CLASSNAMEHEADERS,0))),"")))))))))}</f>
        <v>SPELLDCL11</v>
      </c>
      <c r="S1591" s="223"/>
      <c r="T1591" s="223" t="str">
        <f t="array" ref="T1591:T1592">{"SPELLDCL13";((IF("13"=(INDEX(ALLCLASSDATA,MATCH("SpellDCLegendary",CLASSFEATUREHEADERS,0),MATCH($A1592,CLASSNAMEHEADERS,0))),(INDEX(ALLCLASSDATA,MATCH("SpellDCLegendary",CLASSFEATUREHEADERS,0),MATCH(($A1592 &amp; "Points"),CLASSNAMEHEADERS,0))),(IF("13"=(INDEX(ALLCLASSDATA,MATCH("SpellDCMaster",CLASSFEATUREHEADERS,0),MATCH($A1592,CLASSNAMEHEADERS,0))),(INDEX(ALLCLASSDATA,MATCH("SpellDCMaster",CLASSFEATUREHEADERS,0),MATCH(($A1592 &amp; "Points"),CLASSNAMEHEADERS,0))),(IF("13"=(INDEX(ALLCLASSDATA,MATCH("SpellDCExpert",CLASSFEATUREHEADERS,0),MATCH($A1592,CLASSNAMEHEADERS,0))),(INDEX(ALLCLASSDATA,MATCH("SpellDCExpert",CLASSFEATUREHEADERS,0),MATCH(($A1592 &amp; "Points"),CLASSNAMEHEADERS,0))),(IF("13"=(INDEX(ALLCLASSDATA,MATCH("SpellDCTrained",CLASSFEATUREHEADERS,0),MATCH($A1592,CLASSNAMEHEADERS,0))),(INDEX(ALLCLASSDATA,MATCH("SpellDCTrained",CLASSFEATUREHEADERS,0),MATCH(($A1592 &amp; "Points"),CLASSNAMEHEADERS,0))),"")))))))))}</f>
        <v>SPELLDCL13</v>
      </c>
      <c r="U1591" s="223"/>
      <c r="V1591" s="223" t="str">
        <f t="array" ref="V1591:V1592">{"SPELLDCL15";((IF("15"=(INDEX(ALLCLASSDATA,MATCH("SpellDCLegendary",CLASSFEATUREHEADERS,0),MATCH($A1592,CLASSNAMEHEADERS,0))),(INDEX(ALLCLASSDATA,MATCH("SpellDCLegendary",CLASSFEATUREHEADERS,0),MATCH(($A1592 &amp; "Points"),CLASSNAMEHEADERS,0))),(IF("15"=(INDEX(ALLCLASSDATA,MATCH("SpellDCMaster",CLASSFEATUREHEADERS,0),MATCH($A1592,CLASSNAMEHEADERS,0))),(INDEX(ALLCLASSDATA,MATCH("SpellDCMaster",CLASSFEATUREHEADERS,0),MATCH(($A1592 &amp; "Points"),CLASSNAMEHEADERS,0))),(IF("15"=(INDEX(ALLCLASSDATA,MATCH("SpellDCExpert",CLASSFEATUREHEADERS,0),MATCH($A1592,CLASSNAMEHEADERS,0))),(INDEX(ALLCLASSDATA,MATCH("SpellDCExpert",CLASSFEATUREHEADERS,0),MATCH(($A1592 &amp; "Points"),CLASSNAMEHEADERS,0))),(IF("15"=(INDEX(ALLCLASSDATA,MATCH("SpellDCTrained",CLASSFEATUREHEADERS,0),MATCH($A1592,CLASSNAMEHEADERS,0))),(INDEX(ALLCLASSDATA,MATCH("SpellDCTrained",CLASSFEATUREHEADERS,0),MATCH(($A1592 &amp; "Points"),CLASSNAMEHEADERS,0))),"")))))))))}</f>
        <v>SPELLDCL15</v>
      </c>
      <c r="W1591" s="223"/>
      <c r="X1591" s="223" t="str">
        <f t="array" ref="X1591:X1592">{"SPELLDCL17";((IF("17"=(INDEX(ALLCLASSDATA,MATCH("SpellDCLegendary",CLASSFEATUREHEADERS,0),MATCH($A1592,CLASSNAMEHEADERS,0))),(INDEX(ALLCLASSDATA,MATCH("SpellDCLegendary",CLASSFEATUREHEADERS,0),MATCH(($A1592 &amp; "Points"),CLASSNAMEHEADERS,0))),(IF("17"=(INDEX(ALLCLASSDATA,MATCH("SpellDCMaster",CLASSFEATUREHEADERS,0),MATCH($A1592,CLASSNAMEHEADERS,0))),(INDEX(ALLCLASSDATA,MATCH("SpellDCMaster",CLASSFEATUREHEADERS,0),MATCH(($A1592 &amp; "Points"),CLASSNAMEHEADERS,0))),(IF("17"=(INDEX(ALLCLASSDATA,MATCH("SpellDCExpert",CLASSFEATUREHEADERS,0),MATCH($A1592,CLASSNAMEHEADERS,0))),(INDEX(ALLCLASSDATA,MATCH("SpellDCExpert",CLASSFEATUREHEADERS,0),MATCH(($A1592 &amp; "Points"),CLASSNAMEHEADERS,0))),(IF("17"=(INDEX(ALLCLASSDATA,MATCH("SpellDCTrained",CLASSFEATUREHEADERS,0),MATCH($A1592,CLASSNAMEHEADERS,0))),(INDEX(ALLCLASSDATA,MATCH("SpellDCTrained",CLASSFEATUREHEADERS,0),MATCH(($A1592 &amp; "Points"),CLASSNAMEHEADERS,0))),"")))))))))}</f>
        <v>SPELLDCL17</v>
      </c>
      <c r="Y1591" s="223"/>
      <c r="Z1591" s="223" t="str">
        <f t="array" ref="Z1591:Z1592">{"SPELLDCL19";((IF("19"=(INDEX(ALLCLASSDATA,MATCH("SpellDCLegendary",CLASSFEATUREHEADERS,0),MATCH($A1592,CLASSNAMEHEADERS,0))),(INDEX(ALLCLASSDATA,MATCH("SpellDCLegendary",CLASSFEATUREHEADERS,0),MATCH(($A1592 &amp; "Points"),CLASSNAMEHEADERS,0))),(IF("19"=(INDEX(ALLCLASSDATA,MATCH("SpellDCMaster",CLASSFEATUREHEADERS,0),MATCH($A1592,CLASSNAMEHEADERS,0))),(INDEX(ALLCLASSDATA,MATCH("SpellDCMaster",CLASSFEATUREHEADERS,0),MATCH(($A1592 &amp; "Points"),CLASSNAMEHEADERS,0))),(IF("19"=(INDEX(ALLCLASSDATA,MATCH("SpellDCExpert",CLASSFEATUREHEADERS,0),MATCH($A1592,CLASSNAMEHEADERS,0))),(INDEX(ALLCLASSDATA,MATCH("SpellDCExpert",CLASSFEATUREHEADERS,0),MATCH(($A1592 &amp; "Points"),CLASSNAMEHEADERS,0))),(IF("19"=(INDEX(ALLCLASSDATA,MATCH("SpellDCTrained",CLASSFEATUREHEADERS,0),MATCH($A1592,CLASSNAMEHEADERS,0))),(INDEX(ALLCLASSDATA,MATCH("SpellDCTrained",CLASSFEATUREHEADERS,0),MATCH(($A1592 &amp; "Points"),CLASSNAMEHEADERS,0))),"")))))))))}</f>
        <v>SPELLDCL19</v>
      </c>
      <c r="AA1591" s="223"/>
      <c r="AB1591" s="76" t="str">
        <f t="array" ref="AB1591:AB1592">{"SPELLDC TOTAL";(IF(COUNTBLANK(G1592:AA1592)=17,"L",(IF(COUNTBLANK(G1592:AA1592)=18,"M",(IF(COUNTBLANK(G1592:AA1592)=19,"E",(IF(COUNTBLANK(G1592:AA1592)=20,"T",""))))))))}</f>
        <v>SPELLDC TOTAL</v>
      </c>
      <c r="AC1591" s="76" t="str">
        <f t="array" ref="AC1591:AC1592">{"SPELLDC TOTAL";(sum(G1592:AA1592))}</f>
        <v>SPELLDC TOTAL</v>
      </c>
    </row>
    <row r="1592">
      <c r="A1592" s="48" t="s">
        <v>223</v>
      </c>
      <c r="B1592" s="48"/>
      <c r="C1592" s="48" t="s">
        <v>418</v>
      </c>
      <c r="D1592" s="97" t="s">
        <v>1465</v>
      </c>
      <c r="E1592" s="97" t="s">
        <v>1485</v>
      </c>
      <c r="F1592" s="98" t="s">
        <v>435</v>
      </c>
      <c r="G1592" s="132" t="s">
        <v>603</v>
      </c>
      <c r="H1592" s="98">
        <v>10.0</v>
      </c>
      <c r="I1592" s="98"/>
      <c r="J1592" s="98" t="s">
        <v>603</v>
      </c>
      <c r="K1592" s="98"/>
      <c r="L1592" s="98" t="s">
        <v>603</v>
      </c>
      <c r="M1592" s="98"/>
      <c r="N1592" s="98">
        <v>50.0</v>
      </c>
      <c r="O1592" s="98"/>
      <c r="P1592" s="98" t="s">
        <v>603</v>
      </c>
      <c r="Q1592" s="98"/>
      <c r="R1592" s="98" t="s">
        <v>603</v>
      </c>
      <c r="S1592" s="98"/>
      <c r="T1592" s="98" t="s">
        <v>603</v>
      </c>
      <c r="U1592" s="98"/>
      <c r="V1592" s="98">
        <v>110.0</v>
      </c>
      <c r="W1592" s="98"/>
      <c r="X1592" s="98" t="s">
        <v>603</v>
      </c>
      <c r="Y1592" s="98"/>
      <c r="Z1592" s="98">
        <v>190.0</v>
      </c>
      <c r="AA1592" s="98"/>
      <c r="AB1592" s="5" t="s">
        <v>466</v>
      </c>
      <c r="AC1592" s="47">
        <v>360.0</v>
      </c>
    </row>
    <row r="1593" hidden="1">
      <c r="A1593" s="222" t="str">
        <f t="array" ref="A1593:A1594">{"FormulaRow22";(INDEX(CLASSLIST,A1550,1))}</f>
        <v>FormulaRow22</v>
      </c>
      <c r="B1593" s="77" t="s">
        <v>236</v>
      </c>
      <c r="C1593" s="222" t="str">
        <f t="array" ref="C1593:C1594">{"CLASSTYPE";((INDEX(ALLCLASSDATA,MATCH("ClassType",CLASSFEATUREHEADERS,0),MATCH($A1594,CLASSNAMEHEADERS,0))))}</f>
        <v>CLASSTYPE</v>
      </c>
      <c r="D1593" s="228" t="str">
        <f t="shared" ref="D1593:E1593" si="18">{"PERCEPTION";"Perception"}</f>
        <v>PERCEPTION</v>
      </c>
      <c r="E1593" s="228" t="str">
        <f t="shared" si="18"/>
        <v>PERCEPTION</v>
      </c>
      <c r="F1593" s="230" t="str">
        <f t="array" ref="F1593:F1594">{"PERCEPTIONINITIAL";((IF(H1594=10,"T",(IF(H1594=50,"E","")))))}</f>
        <v>PERCEPTIONINITIAL</v>
      </c>
      <c r="G1593" s="230" t="str">
        <f t="array" ref="G1593:G1594">{"PERCEPTIONINITIALPTS";((IF("00"=(INDEX(ALLCLASSDATA,MATCH("PerceptionLegendary",CLASSFEATUREHEADERS,0),MATCH($A1594,CLASSNAMEHEADERS,0))),(INDEX(ALLCLASSDATA,MATCH("PerceptionLegendary",CLASSFEATUREHEADERS,0),MATCH(($A1594 &amp; "Points"),CLASSNAMEHEADERS,0))),(IF("00"=(INDEX(ALLCLASSDATA,MATCH("PerceptionMaster",CLASSFEATUREHEADERS,0),MATCH($A1594,CLASSNAMEHEADERS,0))),(INDEX(ALLCLASSDATA,MATCH("PerceptionMaster",CLASSFEATUREHEADERS,0),MATCH(($A1594 &amp; "Points"),CLASSNAMEHEADERS,0))),(IF("00"=(INDEX(ALLCLASSDATA,MATCH("PerceptionExpert",CLASSFEATUREHEADERS,0),MATCH($A1594,CLASSNAMEHEADERS,0))),(INDEX(ALLCLASSDATA,MATCH("PerceptionExpert",CLASSFEATUREHEADERS,0),MATCH(($A1594 &amp; "Points"),CLASSNAMEHEADERS,0))),(IF("00"=(INDEX(ALLCLASSDATA,MATCH("PerceptionTrained",CLASSFEATUREHEADERS,0),MATCH($A1594,CLASSNAMEHEADERS,0))),(INDEX(ALLCLASSDATA,MATCH("PerceptionTrained",CLASSFEATUREHEADERS,0),MATCH(($A1594 &amp; "Points"),CLASSNAMEHEADERS,0))),"")))))))))}</f>
        <v>PERCEPTIONINITIALPTS</v>
      </c>
      <c r="H1593" s="230" t="str">
        <f t="array" ref="H1593:H1594">{"PERCEPTIONL01";((IF("01"=(INDEX(ALLCLASSDATA,MATCH("PerceptionLegendary",CLASSFEATUREHEADERS,0),MATCH($A1594,CLASSNAMEHEADERS,0))),(INDEX(ALLCLASSDATA,MATCH("PerceptionLegendary",CLASSFEATUREHEADERS,0),MATCH(($A1594 &amp; "Points"),CLASSNAMEHEADERS,0))),(IF("01"=(INDEX(ALLCLASSDATA,MATCH("PerceptionMaster",CLASSFEATUREHEADERS,0),MATCH($A1594,CLASSNAMEHEADERS,0))),(INDEX(ALLCLASSDATA,MATCH("PerceptionMaster",CLASSFEATUREHEADERS,0),MATCH(($A1594 &amp; "Points"),CLASSNAMEHEADERS,0))),(IF("01"=(INDEX(ALLCLASSDATA,MATCH("PerceptionExpert",CLASSFEATUREHEADERS,0),MATCH($A1594,CLASSNAMEHEADERS,0))),(INDEX(ALLCLASSDATA,MATCH("PerceptionExpert",CLASSFEATUREHEADERS,0),MATCH(($A1594 &amp; "Points"),CLASSNAMEHEADERS,0))),(IF("01"=(INDEX(ALLCLASSDATA,MATCH("PerceptionTrained",CLASSFEATUREHEADERS,0),MATCH($A1594,CLASSNAMEHEADERS,0))),(INDEX(ALLCLASSDATA,MATCH("PerceptionTrained",CLASSFEATUREHEADERS,0),MATCH(($A1594 &amp; "Points"),CLASSNAMEHEADERS,0))),"")))))))))}</f>
        <v>PERCEPTIONL01</v>
      </c>
      <c r="I1593" s="230"/>
      <c r="J1593" s="230" t="str">
        <f t="array" ref="J1593:J1594">{"PERCEPTIONL03";((IF("03"=(INDEX(ALLCLASSDATA,MATCH("PerceptionLegendary",CLASSFEATUREHEADERS,0),MATCH($A1594,CLASSNAMEHEADERS,0))),(INDEX(ALLCLASSDATA,MATCH("PerceptionLegendary",CLASSFEATUREHEADERS,0),MATCH(($A1594 &amp; "Points"),CLASSNAMEHEADERS,0))),(IF("03"=(INDEX(ALLCLASSDATA,MATCH("PerceptionMaster",CLASSFEATUREHEADERS,0),MATCH($A1594,CLASSNAMEHEADERS,0))),(INDEX(ALLCLASSDATA,MATCH("PerceptionMaster",CLASSFEATUREHEADERS,0),MATCH(($A1594 &amp; "Points"),CLASSNAMEHEADERS,0))),(IF("03"=(INDEX(ALLCLASSDATA,MATCH("PerceptionExpert",CLASSFEATUREHEADERS,0),MATCH($A1594,CLASSNAMEHEADERS,0))),(INDEX(ALLCLASSDATA,MATCH("PerceptionExpert",CLASSFEATUREHEADERS,0),MATCH(($A1594 &amp; "Points"),CLASSNAMEHEADERS,0))),(IF("03"=(INDEX(ALLCLASSDATA,MATCH("PerceptionTrained",CLASSFEATUREHEADERS,0),MATCH($A1594,CLASSNAMEHEADERS,0))),(INDEX(ALLCLASSDATA,MATCH("PerceptionTrained",CLASSFEATUREHEADERS,0),MATCH(($A1594 &amp; "Points"),CLASSNAMEHEADERS,0))),"")))))))))}</f>
        <v>PERCEPTIONL03</v>
      </c>
      <c r="K1593" s="230"/>
      <c r="L1593" s="230" t="str">
        <f t="array" ref="L1593:L1594">{"PERCEPTIONL05";((IF("05"=(INDEX(ALLCLASSDATA,MATCH("PerceptionLegendary",CLASSFEATUREHEADERS,0),MATCH($A1594,CLASSNAMEHEADERS,0))),(INDEX(ALLCLASSDATA,MATCH("PerceptionLegendary",CLASSFEATUREHEADERS,0),MATCH(($A1594 &amp; "Points"),CLASSNAMEHEADERS,0))),(IF("05"=(INDEX(ALLCLASSDATA,MATCH("PerceptionMaster",CLASSFEATUREHEADERS,0),MATCH($A1594,CLASSNAMEHEADERS,0))),(INDEX(ALLCLASSDATA,MATCH("PerceptionMaster",CLASSFEATUREHEADERS,0),MATCH(($A1594 &amp; "Points"),CLASSNAMEHEADERS,0))),(IF("05"=(INDEX(ALLCLASSDATA,MATCH("PerceptionExpert",CLASSFEATUREHEADERS,0),MATCH($A1594,CLASSNAMEHEADERS,0))),(INDEX(ALLCLASSDATA,MATCH("PerceptionExpert",CLASSFEATUREHEADERS,0),MATCH(($A1594 &amp; "Points"),CLASSNAMEHEADERS,0))),(IF("05"=(INDEX(ALLCLASSDATA,MATCH("PerceptionTrained",CLASSFEATUREHEADERS,0),MATCH($A1594,CLASSNAMEHEADERS,0))),(INDEX(ALLCLASSDATA,MATCH("PerceptionTrained",CLASSFEATUREHEADERS,0),MATCH(($A1594 &amp; "Points"),CLASSNAMEHEADERS,0))),"")))))))))}</f>
        <v>PERCEPTIONL05</v>
      </c>
      <c r="M1593" s="230"/>
      <c r="N1593" s="230" t="str">
        <f t="array" ref="N1593:N1594">{"PERCEPTIONL07";((IF("07"=(INDEX(ALLCLASSDATA,MATCH("PerceptionLegendary",CLASSFEATUREHEADERS,0),MATCH($A1594,CLASSNAMEHEADERS,0))),(INDEX(ALLCLASSDATA,MATCH("PerceptionLegendary",CLASSFEATUREHEADERS,0),MATCH(($A1594 &amp; "Points"),CLASSNAMEHEADERS,0))),(IF("07"=(INDEX(ALLCLASSDATA,MATCH("PerceptionMaster",CLASSFEATUREHEADERS,0),MATCH($A1594,CLASSNAMEHEADERS,0))),(INDEX(ALLCLASSDATA,MATCH("PerceptionMaster",CLASSFEATUREHEADERS,0),MATCH(($A1594 &amp; "Points"),CLASSNAMEHEADERS,0))),(IF("07"=(INDEX(ALLCLASSDATA,MATCH("PerceptionExpert",CLASSFEATUREHEADERS,0),MATCH($A1594,CLASSNAMEHEADERS,0))),(INDEX(ALLCLASSDATA,MATCH("PerceptionExpert",CLASSFEATUREHEADERS,0),MATCH(($A1594 &amp; "Points"),CLASSNAMEHEADERS,0))),(IF("07"=(INDEX(ALLCLASSDATA,MATCH("PerceptionTrained",CLASSFEATUREHEADERS,0),MATCH($A1594,CLASSNAMEHEADERS,0))),(INDEX(ALLCLASSDATA,MATCH("PerceptionTrained",CLASSFEATUREHEADERS,0),MATCH(($A1594 &amp; "Points"),CLASSNAMEHEADERS,0))),"")))))))))}</f>
        <v>PERCEPTIONL07</v>
      </c>
      <c r="O1593" s="230"/>
      <c r="P1593" s="230" t="str">
        <f t="array" ref="P1593:P1594">{"PERCEPTIONL09";((IF("09"=(INDEX(ALLCLASSDATA,MATCH("PerceptionLegendary",CLASSFEATUREHEADERS,0),MATCH($A1594,CLASSNAMEHEADERS,0))),(INDEX(ALLCLASSDATA,MATCH("PerceptionLegendary",CLASSFEATUREHEADERS,0),MATCH(($A1594 &amp; "Points"),CLASSNAMEHEADERS,0))),(IF("09"=(INDEX(ALLCLASSDATA,MATCH("PerceptionMaster",CLASSFEATUREHEADERS,0),MATCH($A1594,CLASSNAMEHEADERS,0))),(INDEX(ALLCLASSDATA,MATCH("PerceptionMaster",CLASSFEATUREHEADERS,0),MATCH(($A1594 &amp; "Points"),CLASSNAMEHEADERS,0))),(IF("09"=(INDEX(ALLCLASSDATA,MATCH("PerceptionExpert",CLASSFEATUREHEADERS,0),MATCH($A1594,CLASSNAMEHEADERS,0))),(INDEX(ALLCLASSDATA,MATCH("PerceptionExpert",CLASSFEATUREHEADERS,0),MATCH(($A1594 &amp; "Points"),CLASSNAMEHEADERS,0))),(IF("09"=(INDEX(ALLCLASSDATA,MATCH("PerceptionTrained",CLASSFEATUREHEADERS,0),MATCH($A1594,CLASSNAMEHEADERS,0))),(INDEX(ALLCLASSDATA,MATCH("PerceptionTrained",CLASSFEATUREHEADERS,0),MATCH(($A1594 &amp; "Points"),CLASSNAMEHEADERS,0))),"")))))))))}</f>
        <v>PERCEPTIONL09</v>
      </c>
      <c r="Q1593" s="230"/>
      <c r="R1593" s="230" t="str">
        <f t="array" ref="R1593:R1594">{"PERCEPTIONL11";((IF("11"=(INDEX(ALLCLASSDATA,MATCH("PerceptionLegendary",CLASSFEATUREHEADERS,0),MATCH($A1594,CLASSNAMEHEADERS,0))),(INDEX(ALLCLASSDATA,MATCH("PerceptionLegendary",CLASSFEATUREHEADERS,0),MATCH(($A1594 &amp; "Points"),CLASSNAMEHEADERS,0))),(IF("11"=(INDEX(ALLCLASSDATA,MATCH("PerceptionMaster",CLASSFEATUREHEADERS,0),MATCH($A1594,CLASSNAMEHEADERS,0))),(INDEX(ALLCLASSDATA,MATCH("PerceptionMaster",CLASSFEATUREHEADERS,0),MATCH(($A1594 &amp; "Points"),CLASSNAMEHEADERS,0))),(IF("11"=(INDEX(ALLCLASSDATA,MATCH("PerceptionExpert",CLASSFEATUREHEADERS,0),MATCH($A1594,CLASSNAMEHEADERS,0))),(INDEX(ALLCLASSDATA,MATCH("PerceptionExpert",CLASSFEATUREHEADERS,0),MATCH(($A1594 &amp; "Points"),CLASSNAMEHEADERS,0))),(IF("11"=(INDEX(ALLCLASSDATA,MATCH("PerceptionTrained",CLASSFEATUREHEADERS,0),MATCH($A1594,CLASSNAMEHEADERS,0))),(INDEX(ALLCLASSDATA,MATCH("PerceptionTrained",CLASSFEATUREHEADERS,0),MATCH(($A1594 &amp; "Points"),CLASSNAMEHEADERS,0))),"")))))))))}</f>
        <v>PERCEPTIONL11</v>
      </c>
      <c r="S1593" s="230"/>
      <c r="T1593" s="230" t="str">
        <f t="array" ref="T1593:T1594">{"PERCEPTIONL13";((IF("13"=(INDEX(ALLCLASSDATA,MATCH("PerceptionLegendary",CLASSFEATUREHEADERS,0),MATCH($A1594,CLASSNAMEHEADERS,0))),(INDEX(ALLCLASSDATA,MATCH("PerceptionLegendary",CLASSFEATUREHEADERS,0),MATCH(($A1594 &amp; "Points"),CLASSNAMEHEADERS,0))),(IF("13"=(INDEX(ALLCLASSDATA,MATCH("PerceptionMaster",CLASSFEATUREHEADERS,0),MATCH($A1594,CLASSNAMEHEADERS,0))),(INDEX(ALLCLASSDATA,MATCH("PerceptionMaster",CLASSFEATUREHEADERS,0),MATCH(($A1594 &amp; "Points"),CLASSNAMEHEADERS,0))),(IF("13"=(INDEX(ALLCLASSDATA,MATCH("PerceptionExpert",CLASSFEATUREHEADERS,0),MATCH($A1594,CLASSNAMEHEADERS,0))),(INDEX(ALLCLASSDATA,MATCH("PerceptionExpert",CLASSFEATUREHEADERS,0),MATCH(($A1594 &amp; "Points"),CLASSNAMEHEADERS,0))),(IF("13"=(INDEX(ALLCLASSDATA,MATCH("PerceptionTrained",CLASSFEATUREHEADERS,0),MATCH($A1594,CLASSNAMEHEADERS,0))),(INDEX(ALLCLASSDATA,MATCH("PerceptionTrained",CLASSFEATUREHEADERS,0),MATCH(($A1594 &amp; "Points"),CLASSNAMEHEADERS,0))),"")))))))))}</f>
        <v>PERCEPTIONL13</v>
      </c>
      <c r="U1593" s="230"/>
      <c r="V1593" s="230" t="str">
        <f t="array" ref="V1593:V1594">{"PERCEPTIONL15";((IF("15"=(INDEX(ALLCLASSDATA,MATCH("PerceptionLegendary",CLASSFEATUREHEADERS,0),MATCH($A1594,CLASSNAMEHEADERS,0))),(INDEX(ALLCLASSDATA,MATCH("PerceptionLegendary",CLASSFEATUREHEADERS,0),MATCH(($A1594 &amp; "Points"),CLASSNAMEHEADERS,0))),(IF("15"=(INDEX(ALLCLASSDATA,MATCH("PerceptionMaster",CLASSFEATUREHEADERS,0),MATCH($A1594,CLASSNAMEHEADERS,0))),(INDEX(ALLCLASSDATA,MATCH("PerceptionMaster",CLASSFEATUREHEADERS,0),MATCH(($A1594 &amp; "Points"),CLASSNAMEHEADERS,0))),(IF("15"=(INDEX(ALLCLASSDATA,MATCH("PerceptionExpert",CLASSFEATUREHEADERS,0),MATCH($A1594,CLASSNAMEHEADERS,0))),(INDEX(ALLCLASSDATA,MATCH("PerceptionExpert",CLASSFEATUREHEADERS,0),MATCH(($A1594 &amp; "Points"),CLASSNAMEHEADERS,0))),(IF("15"=(INDEX(ALLCLASSDATA,MATCH("PerceptionTrained",CLASSFEATUREHEADERS,0),MATCH($A1594,CLASSNAMEHEADERS,0))),(INDEX(ALLCLASSDATA,MATCH("PerceptionTrained",CLASSFEATUREHEADERS,0),MATCH(($A1594 &amp; "Points"),CLASSNAMEHEADERS,0))),"")))))))))}</f>
        <v>PERCEPTIONL15</v>
      </c>
      <c r="W1593" s="230"/>
      <c r="X1593" s="230" t="str">
        <f t="array" ref="X1593:X1594">{"PERCEPTIONL17";((IF("17"=(INDEX(ALLCLASSDATA,MATCH("PerceptionLegendary",CLASSFEATUREHEADERS,0),MATCH($A1594,CLASSNAMEHEADERS,0))),(INDEX(ALLCLASSDATA,MATCH("PerceptionLegendary",CLASSFEATUREHEADERS,0),MATCH(($A1594 &amp; "Points"),CLASSNAMEHEADERS,0))),(IF("17"=(INDEX(ALLCLASSDATA,MATCH("PerceptionMaster",CLASSFEATUREHEADERS,0),MATCH($A1594,CLASSNAMEHEADERS,0))),(INDEX(ALLCLASSDATA,MATCH("PerceptionMaster",CLASSFEATUREHEADERS,0),MATCH(($A1594 &amp; "Points"),CLASSNAMEHEADERS,0))),(IF("17"=(INDEX(ALLCLASSDATA,MATCH("PerceptionExpert",CLASSFEATUREHEADERS,0),MATCH($A1594,CLASSNAMEHEADERS,0))),(INDEX(ALLCLASSDATA,MATCH("PerceptionExpert",CLASSFEATUREHEADERS,0),MATCH(($A1594 &amp; "Points"),CLASSNAMEHEADERS,0))),(IF("17"=(INDEX(ALLCLASSDATA,MATCH("PerceptionTrained",CLASSFEATUREHEADERS,0),MATCH($A1594,CLASSNAMEHEADERS,0))),(INDEX(ALLCLASSDATA,MATCH("PerceptionTrained",CLASSFEATUREHEADERS,0),MATCH(($A1594 &amp; "Points"),CLASSNAMEHEADERS,0))),"")))))))))}</f>
        <v>PERCEPTIONL17</v>
      </c>
      <c r="Y1593" s="230"/>
      <c r="Z1593" s="230" t="str">
        <f t="array" ref="Z1593:Z1594">{"PERCEPTIONL19";((IF("19"=(INDEX(ALLCLASSDATA,MATCH("PerceptionLegendary",CLASSFEATUREHEADERS,0),MATCH($A1594,CLASSNAMEHEADERS,0))),(INDEX(ALLCLASSDATA,MATCH("PerceptionLegendary",CLASSFEATUREHEADERS,0),MATCH(($A1594 &amp; "Points"),CLASSNAMEHEADERS,0))),(IF("19"=(INDEX(ALLCLASSDATA,MATCH("PerceptionMaster",CLASSFEATUREHEADERS,0),MATCH($A1594,CLASSNAMEHEADERS,0))),(INDEX(ALLCLASSDATA,MATCH("PerceptionMaster",CLASSFEATUREHEADERS,0),MATCH(($A1594 &amp; "Points"),CLASSNAMEHEADERS,0))),(IF("19"=(INDEX(ALLCLASSDATA,MATCH("PerceptionExpert",CLASSFEATUREHEADERS,0),MATCH($A1594,CLASSNAMEHEADERS,0))),(INDEX(ALLCLASSDATA,MATCH("PerceptionExpert",CLASSFEATUREHEADERS,0),MATCH(($A1594 &amp; "Points"),CLASSNAMEHEADERS,0))),(IF("19"=(INDEX(ALLCLASSDATA,MATCH("PerceptionTrained",CLASSFEATUREHEADERS,0),MATCH($A1594,CLASSNAMEHEADERS,0))),(INDEX(ALLCLASSDATA,MATCH("PerceptionTrained",CLASSFEATUREHEADERS,0),MATCH(($A1594 &amp; "Points"),CLASSNAMEHEADERS,0))),"")))))))))}</f>
        <v>PERCEPTIONL19</v>
      </c>
      <c r="AA1593" s="230"/>
      <c r="AB1593" s="76" t="str">
        <f t="array" ref="AB1593:AB1594">{"PERCEPTION TOTAL";(IF(COUNTBLANK(G1594:AA1594)=17,"L",(IF(COUNTBLANK(G1594:AA1594)=18,"M",(IF(COUNTBLANK(G1594:AA1594)=19,"E",(IF(COUNTBLANK(G1594:AA1594)=20,"T",""))))))))}</f>
        <v>PERCEPTION TOTAL</v>
      </c>
      <c r="AC1593" s="76" t="str">
        <f t="array" ref="AC1593:AC1594">{"PERCEPTION TOTAL";(sum(G1594:AA1594))}</f>
        <v>PERCEPTION TOTAL</v>
      </c>
    </row>
    <row r="1594">
      <c r="A1594" s="48" t="s">
        <v>223</v>
      </c>
      <c r="B1594" s="48"/>
      <c r="C1594" s="48" t="s">
        <v>418</v>
      </c>
      <c r="D1594" s="97" t="s">
        <v>637</v>
      </c>
      <c r="E1594" s="97" t="s">
        <v>637</v>
      </c>
      <c r="F1594" s="98" t="s">
        <v>435</v>
      </c>
      <c r="G1594" s="132" t="s">
        <v>603</v>
      </c>
      <c r="H1594" s="98">
        <v>10.0</v>
      </c>
      <c r="I1594" s="98"/>
      <c r="J1594" s="98" t="s">
        <v>603</v>
      </c>
      <c r="K1594" s="98"/>
      <c r="L1594" s="98" t="s">
        <v>603</v>
      </c>
      <c r="M1594" s="98"/>
      <c r="N1594" s="98" t="s">
        <v>603</v>
      </c>
      <c r="O1594" s="98"/>
      <c r="P1594" s="98" t="s">
        <v>603</v>
      </c>
      <c r="Q1594" s="98"/>
      <c r="R1594" s="98">
        <v>50.0</v>
      </c>
      <c r="S1594" s="98"/>
      <c r="T1594" s="98" t="s">
        <v>603</v>
      </c>
      <c r="U1594" s="98"/>
      <c r="V1594" s="98" t="s">
        <v>603</v>
      </c>
      <c r="W1594" s="98"/>
      <c r="X1594" s="98" t="s">
        <v>603</v>
      </c>
      <c r="Y1594" s="98"/>
      <c r="Z1594" s="98" t="s">
        <v>603</v>
      </c>
      <c r="AA1594" s="98"/>
      <c r="AB1594" s="5" t="s">
        <v>436</v>
      </c>
      <c r="AC1594" s="47">
        <v>60.0</v>
      </c>
    </row>
    <row r="1595" hidden="1">
      <c r="A1595" s="222" t="str">
        <f t="array" ref="A1595:A1596">{"FormulaRow23";(INDEX(CLASSLIST,A1550,1))}</f>
        <v>FormulaRow23</v>
      </c>
      <c r="B1595" s="77" t="s">
        <v>236</v>
      </c>
      <c r="C1595" s="222" t="str">
        <f t="array" ref="C1595:C1596">{"CLASSTYPE";((INDEX(ALLCLASSDATA,MATCH("ClassType",CLASSFEATUREHEADERS,0),MATCH($A1596,CLASSNAMEHEADERS,0))))}</f>
        <v>CLASSTYPE</v>
      </c>
      <c r="D1595" s="228" t="str">
        <f t="array" ref="D1595:D1596">{"SAVES";"Saves"}</f>
        <v>SAVES</v>
      </c>
      <c r="E1595" s="228" t="str">
        <f t="array" ref="E1595:E1596">{"FORTITUDESAVE";"FortitudeSave"}</f>
        <v>FORTITUDESAVE</v>
      </c>
      <c r="F1595" s="230" t="str">
        <f t="array" ref="F1595:F1596">{"FORTITUDEINITIAL";((IF(H1596=10,"T",(IF(H1596=50,"E","")))))}</f>
        <v>FORTITUDEINITIAL</v>
      </c>
      <c r="G1595" s="230" t="str">
        <f t="array" ref="G1595:G1596">{"FORTITUDEINITIALPTS";((IF("00"=(INDEX(ALLCLASSDATA,MATCH("FortitudeSaveLegendary",CLASSFEATUREHEADERS,0),MATCH($A1596,CLASSNAMEHEADERS,0))),(INDEX(ALLCLASSDATA,MATCH("FortitudeSaveLegendary",CLASSFEATUREHEADERS,0),MATCH(($A1596 &amp; "Points"),CLASSNAMEHEADERS,0))),(IF("00"=(INDEX(ALLCLASSDATA,MATCH("FortitudeSaveMaster",CLASSFEATUREHEADERS,0),MATCH($A1596,CLASSNAMEHEADERS,0))),(INDEX(ALLCLASSDATA,MATCH("FortitudeSaveMaster",CLASSFEATUREHEADERS,0),MATCH(($A1596 &amp; "Points"),CLASSNAMEHEADERS,0))),(IF("00"=(INDEX(ALLCLASSDATA,MATCH("FortitudeSaveExpert",CLASSFEATUREHEADERS,0),MATCH($A1596,CLASSNAMEHEADERS,0))),(INDEX(ALLCLASSDATA,MATCH("FortitudeSaveExpert",CLASSFEATUREHEADERS,0),MATCH(($A1596 &amp; "Points"),CLASSNAMEHEADERS,0))),(IF("00"=(INDEX(ALLCLASSDATA,MATCH("FortitudeSaveTrained",CLASSFEATUREHEADERS,0),MATCH($A1596,CLASSNAMEHEADERS,0))),(INDEX(ALLCLASSDATA,MATCH("FortitudeSaveTrained",CLASSFEATUREHEADERS,0),MATCH(($A1596 &amp; "Points"),CLASSNAMEHEADERS,0))),"")))))))))}</f>
        <v>FORTITUDEINITIALPTS</v>
      </c>
      <c r="H1595" s="230" t="str">
        <f t="array" ref="H1595:H1596">{"FORTITUDEL01";((IF("01"=(INDEX(ALLCLASSDATA,MATCH("FortitudeSaveLegendary",CLASSFEATUREHEADERS,0),MATCH($A1596,CLASSNAMEHEADERS,0))),(INDEX(ALLCLASSDATA,MATCH("FortitudeSaveLegendary",CLASSFEATUREHEADERS,0),MATCH(($A1596 &amp; "Points"),CLASSNAMEHEADERS,0))),(IF("01"=(INDEX(ALLCLASSDATA,MATCH("FortitudeSaveMaster",CLASSFEATUREHEADERS,0),MATCH($A1596,CLASSNAMEHEADERS,0))),(INDEX(ALLCLASSDATA,MATCH("FortitudeSaveMaster",CLASSFEATUREHEADERS,0),MATCH(($A1596 &amp; "Points"),CLASSNAMEHEADERS,0))),(IF("01"=(INDEX(ALLCLASSDATA,MATCH("FortitudeSaveExpert",CLASSFEATUREHEADERS,0),MATCH($A1596,CLASSNAMEHEADERS,0))),(INDEX(ALLCLASSDATA,MATCH("FortitudeSaveExpert",CLASSFEATUREHEADERS,0),MATCH(($A1596 &amp; "Points"),CLASSNAMEHEADERS,0))),(IF("01"=(INDEX(ALLCLASSDATA,MATCH("FortitudeSaveTrained",CLASSFEATUREHEADERS,0),MATCH($A1596,CLASSNAMEHEADERS,0))),(INDEX(ALLCLASSDATA,MATCH("FortitudeSaveTrained",CLASSFEATUREHEADERS,0),MATCH(($A1596 &amp; "Points"),CLASSNAMEHEADERS,0))),"")))))))))}</f>
        <v>FORTITUDEL01</v>
      </c>
      <c r="I1595" s="230"/>
      <c r="J1595" s="230" t="str">
        <f t="array" ref="J1595:J1596">{"FORTITUDEL03";((IF("03"=(INDEX(ALLCLASSDATA,MATCH("FortitudeSaveLegendary",CLASSFEATUREHEADERS,0),MATCH($A1596,CLASSNAMEHEADERS,0))),(INDEX(ALLCLASSDATA,MATCH("FortitudeSaveLegendary",CLASSFEATUREHEADERS,0),MATCH(($A1596 &amp; "Points"),CLASSNAMEHEADERS,0))),(IF("03"=(INDEX(ALLCLASSDATA,MATCH("FortitudeSaveMaster",CLASSFEATUREHEADERS,0),MATCH($A1596,CLASSNAMEHEADERS,0))),(INDEX(ALLCLASSDATA,MATCH("FortitudeSaveMaster",CLASSFEATUREHEADERS,0),MATCH(($A1596 &amp; "Points"),CLASSNAMEHEADERS,0))),(IF("03"=(INDEX(ALLCLASSDATA,MATCH("FortitudeSaveExpert",CLASSFEATUREHEADERS,0),MATCH($A1596,CLASSNAMEHEADERS,0))),(INDEX(ALLCLASSDATA,MATCH("FortitudeSaveExpert",CLASSFEATUREHEADERS,0),MATCH(($A1596 &amp; "Points"),CLASSNAMEHEADERS,0))),(IF("03"=(INDEX(ALLCLASSDATA,MATCH("FortitudeSaveTrained",CLASSFEATUREHEADERS,0),MATCH($A1596,CLASSNAMEHEADERS,0))),(INDEX(ALLCLASSDATA,MATCH("FortitudeSaveTrained",CLASSFEATUREHEADERS,0),MATCH(($A1596 &amp; "Points"),CLASSNAMEHEADERS,0))),"")))))))))}</f>
        <v>FORTITUDEL03</v>
      </c>
      <c r="K1595" s="230"/>
      <c r="L1595" s="230" t="str">
        <f t="array" ref="L1595:L1596">{"FORTITUDEL05";((IF("05"=(INDEX(ALLCLASSDATA,MATCH("FortitudeSaveLegendary",CLASSFEATUREHEADERS,0),MATCH($A1596,CLASSNAMEHEADERS,0))),(INDEX(ALLCLASSDATA,MATCH("FortitudeSaveLegendary",CLASSFEATUREHEADERS,0),MATCH(($A1596 &amp; "Points"),CLASSNAMEHEADERS,0))),(IF("05"=(INDEX(ALLCLASSDATA,MATCH("FortitudeSaveMaster",CLASSFEATUREHEADERS,0),MATCH($A1596,CLASSNAMEHEADERS,0))),(INDEX(ALLCLASSDATA,MATCH("FortitudeSaveMaster",CLASSFEATUREHEADERS,0),MATCH(($A1596 &amp; "Points"),CLASSNAMEHEADERS,0))),(IF("05"=(INDEX(ALLCLASSDATA,MATCH("FortitudeSaveExpert",CLASSFEATUREHEADERS,0),MATCH($A1596,CLASSNAMEHEADERS,0))),(INDEX(ALLCLASSDATA,MATCH("FortitudeSaveExpert",CLASSFEATUREHEADERS,0),MATCH(($A1596 &amp; "Points"),CLASSNAMEHEADERS,0))),(IF("05"=(INDEX(ALLCLASSDATA,MATCH("FortitudeSaveTrained",CLASSFEATUREHEADERS,0),MATCH($A1596,CLASSNAMEHEADERS,0))),(INDEX(ALLCLASSDATA,MATCH("FortitudeSaveTrained",CLASSFEATUREHEADERS,0),MATCH(($A1596 &amp; "Points"),CLASSNAMEHEADERS,0))),"")))))))))}</f>
        <v>FORTITUDEL05</v>
      </c>
      <c r="M1595" s="230"/>
      <c r="N1595" s="230" t="str">
        <f t="array" ref="N1595:N1596">{"FORTITUDEL07";((IF("07"=(INDEX(ALLCLASSDATA,MATCH("FortitudeSaveLegendary",CLASSFEATUREHEADERS,0),MATCH($A1596,CLASSNAMEHEADERS,0))),(INDEX(ALLCLASSDATA,MATCH("FortitudeSaveLegendary",CLASSFEATUREHEADERS,0),MATCH(($A1596 &amp; "Points"),CLASSNAMEHEADERS,0))),(IF("07"=(INDEX(ALLCLASSDATA,MATCH("FortitudeSaveMaster",CLASSFEATUREHEADERS,0),MATCH($A1596,CLASSNAMEHEADERS,0))),(INDEX(ALLCLASSDATA,MATCH("FortitudeSaveMaster",CLASSFEATUREHEADERS,0),MATCH(($A1596 &amp; "Points"),CLASSNAMEHEADERS,0))),(IF("07"=(INDEX(ALLCLASSDATA,MATCH("FortitudeSaveExpert",CLASSFEATUREHEADERS,0),MATCH($A1596,CLASSNAMEHEADERS,0))),(INDEX(ALLCLASSDATA,MATCH("FortitudeSaveExpert",CLASSFEATUREHEADERS,0),MATCH(($A1596 &amp; "Points"),CLASSNAMEHEADERS,0))),(IF("07"=(INDEX(ALLCLASSDATA,MATCH("FortitudeSaveTrained",CLASSFEATUREHEADERS,0),MATCH($A1596,CLASSNAMEHEADERS,0))),(INDEX(ALLCLASSDATA,MATCH("FortitudeSaveTrained",CLASSFEATUREHEADERS,0),MATCH(($A1596 &amp; "Points"),CLASSNAMEHEADERS,0))),"")))))))))}</f>
        <v>FORTITUDEL07</v>
      </c>
      <c r="O1595" s="230"/>
      <c r="P1595" s="230" t="str">
        <f t="array" ref="P1595:P1596">{"FORTITUDEL09";((IF("09"=(INDEX(ALLCLASSDATA,MATCH("FortitudeSaveLegendary",CLASSFEATUREHEADERS,0),MATCH($A1596,CLASSNAMEHEADERS,0))),(INDEX(ALLCLASSDATA,MATCH("FortitudeSaveLegendary",CLASSFEATUREHEADERS,0),MATCH(($A1596 &amp; "Points"),CLASSNAMEHEADERS,0))),(IF("09"=(INDEX(ALLCLASSDATA,MATCH("FortitudeSaveMaster",CLASSFEATUREHEADERS,0),MATCH($A1596,CLASSNAMEHEADERS,0))),(INDEX(ALLCLASSDATA,MATCH("FortitudeSaveMaster",CLASSFEATUREHEADERS,0),MATCH(($A1596 &amp; "Points"),CLASSNAMEHEADERS,0))),(IF("09"=(INDEX(ALLCLASSDATA,MATCH("FortitudeSaveExpert",CLASSFEATUREHEADERS,0),MATCH($A1596,CLASSNAMEHEADERS,0))),(INDEX(ALLCLASSDATA,MATCH("FortitudeSaveExpert",CLASSFEATUREHEADERS,0),MATCH(($A1596 &amp; "Points"),CLASSNAMEHEADERS,0))),(IF("09"=(INDEX(ALLCLASSDATA,MATCH("FortitudeSaveTrained",CLASSFEATUREHEADERS,0),MATCH($A1596,CLASSNAMEHEADERS,0))),(INDEX(ALLCLASSDATA,MATCH("FortitudeSaveTrained",CLASSFEATUREHEADERS,0),MATCH(($A1596 &amp; "Points"),CLASSNAMEHEADERS,0))),"")))))))))}</f>
        <v>FORTITUDEL09</v>
      </c>
      <c r="Q1595" s="230"/>
      <c r="R1595" s="230" t="str">
        <f t="array" ref="R1595:R1596">{"FORTITUDEL11";((IF("11"=(INDEX(ALLCLASSDATA,MATCH("FortitudeSaveLegendary",CLASSFEATUREHEADERS,0),MATCH($A1596,CLASSNAMEHEADERS,0))),(INDEX(ALLCLASSDATA,MATCH("FortitudeSaveLegendary",CLASSFEATUREHEADERS,0),MATCH(($A1596 &amp; "Points"),CLASSNAMEHEADERS,0))),(IF("11"=(INDEX(ALLCLASSDATA,MATCH("FortitudeSaveMaster",CLASSFEATUREHEADERS,0),MATCH($A1596,CLASSNAMEHEADERS,0))),(INDEX(ALLCLASSDATA,MATCH("FortitudeSaveMaster",CLASSFEATUREHEADERS,0),MATCH(($A1596 &amp; "Points"),CLASSNAMEHEADERS,0))),(IF("11"=(INDEX(ALLCLASSDATA,MATCH("FortitudeSaveExpert",CLASSFEATUREHEADERS,0),MATCH($A1596,CLASSNAMEHEADERS,0))),(INDEX(ALLCLASSDATA,MATCH("FortitudeSaveExpert",CLASSFEATUREHEADERS,0),MATCH(($A1596 &amp; "Points"),CLASSNAMEHEADERS,0))),(IF("11"=(INDEX(ALLCLASSDATA,MATCH("FortitudeSaveTrained",CLASSFEATUREHEADERS,0),MATCH($A1596,CLASSNAMEHEADERS,0))),(INDEX(ALLCLASSDATA,MATCH("FortitudeSaveTrained",CLASSFEATUREHEADERS,0),MATCH(($A1596 &amp; "Points"),CLASSNAMEHEADERS,0))),"")))))))))}</f>
        <v>FORTITUDEL11</v>
      </c>
      <c r="S1595" s="230"/>
      <c r="T1595" s="230" t="str">
        <f t="array" ref="T1595:T1596">{"FORTITUDEL13";((IF("13"=(INDEX(ALLCLASSDATA,MATCH("FortitudeSaveLegendary",CLASSFEATUREHEADERS,0),MATCH($A1596,CLASSNAMEHEADERS,0))),(INDEX(ALLCLASSDATA,MATCH("FortitudeSaveLegendary",CLASSFEATUREHEADERS,0),MATCH(($A1596 &amp; "Points"),CLASSNAMEHEADERS,0))),(IF("13"=(INDEX(ALLCLASSDATA,MATCH("FortitudeSaveMaster",CLASSFEATUREHEADERS,0),MATCH($A1596,CLASSNAMEHEADERS,0))),(INDEX(ALLCLASSDATA,MATCH("FortitudeSaveMaster",CLASSFEATUREHEADERS,0),MATCH(($A1596 &amp; "Points"),CLASSNAMEHEADERS,0))),(IF("13"=(INDEX(ALLCLASSDATA,MATCH("FortitudeSaveExpert",CLASSFEATUREHEADERS,0),MATCH($A1596,CLASSNAMEHEADERS,0))),(INDEX(ALLCLASSDATA,MATCH("FortitudeSaveExpert",CLASSFEATUREHEADERS,0),MATCH(($A1596 &amp; "Points"),CLASSNAMEHEADERS,0))),(IF("13"=(INDEX(ALLCLASSDATA,MATCH("FortitudeSaveTrained",CLASSFEATUREHEADERS,0),MATCH($A1596,CLASSNAMEHEADERS,0))),(INDEX(ALLCLASSDATA,MATCH("FortitudeSaveTrained",CLASSFEATUREHEADERS,0),MATCH(($A1596 &amp; "Points"),CLASSNAMEHEADERS,0))),"")))))))))}</f>
        <v>FORTITUDEL13</v>
      </c>
      <c r="U1595" s="230"/>
      <c r="V1595" s="230" t="str">
        <f t="array" ref="V1595:V1596">{"FORTITUDEL15";((IF("15"=(INDEX(ALLCLASSDATA,MATCH("FortitudeSaveLegendary",CLASSFEATUREHEADERS,0),MATCH($A1596,CLASSNAMEHEADERS,0))),(INDEX(ALLCLASSDATA,MATCH("FortitudeSaveLegendary",CLASSFEATUREHEADERS,0),MATCH(($A1596 &amp; "Points"),CLASSNAMEHEADERS,0))),(IF("15"=(INDEX(ALLCLASSDATA,MATCH("FortitudeSaveMaster",CLASSFEATUREHEADERS,0),MATCH($A1596,CLASSNAMEHEADERS,0))),(INDEX(ALLCLASSDATA,MATCH("FortitudeSaveMaster",CLASSFEATUREHEADERS,0),MATCH(($A1596 &amp; "Points"),CLASSNAMEHEADERS,0))),(IF("15"=(INDEX(ALLCLASSDATA,MATCH("FortitudeSaveExpert",CLASSFEATUREHEADERS,0),MATCH($A1596,CLASSNAMEHEADERS,0))),(INDEX(ALLCLASSDATA,MATCH("FortitudeSaveExpert",CLASSFEATUREHEADERS,0),MATCH(($A1596 &amp; "Points"),CLASSNAMEHEADERS,0))),(IF("15"=(INDEX(ALLCLASSDATA,MATCH("FortitudeSaveTrained",CLASSFEATUREHEADERS,0),MATCH($A1596,CLASSNAMEHEADERS,0))),(INDEX(ALLCLASSDATA,MATCH("FortitudeSaveTrained",CLASSFEATUREHEADERS,0),MATCH(($A1596 &amp; "Points"),CLASSNAMEHEADERS,0))),"")))))))))}</f>
        <v>FORTITUDEL15</v>
      </c>
      <c r="W1595" s="230"/>
      <c r="X1595" s="230" t="str">
        <f t="array" ref="X1595:X1596">{"FORTITUDEL17";((IF("17"=(INDEX(ALLCLASSDATA,MATCH("FortitudeSaveLegendary",CLASSFEATUREHEADERS,0),MATCH($A1596,CLASSNAMEHEADERS,0))),(INDEX(ALLCLASSDATA,MATCH("FortitudeSaveLegendary",CLASSFEATUREHEADERS,0),MATCH(($A1596 &amp; "Points"),CLASSNAMEHEADERS,0))),(IF("17"=(INDEX(ALLCLASSDATA,MATCH("FortitudeSaveMaster",CLASSFEATUREHEADERS,0),MATCH($A1596,CLASSNAMEHEADERS,0))),(INDEX(ALLCLASSDATA,MATCH("FortitudeSaveMaster",CLASSFEATUREHEADERS,0),MATCH(($A1596 &amp; "Points"),CLASSNAMEHEADERS,0))),(IF("17"=(INDEX(ALLCLASSDATA,MATCH("FortitudeSaveExpert",CLASSFEATUREHEADERS,0),MATCH($A1596,CLASSNAMEHEADERS,0))),(INDEX(ALLCLASSDATA,MATCH("FortitudeSaveExpert",CLASSFEATUREHEADERS,0),MATCH(($A1596 &amp; "Points"),CLASSNAMEHEADERS,0))),(IF("17"=(INDEX(ALLCLASSDATA,MATCH("FortitudeSaveTrained",CLASSFEATUREHEADERS,0),MATCH($A1596,CLASSNAMEHEADERS,0))),(INDEX(ALLCLASSDATA,MATCH("FortitudeSaveTrained",CLASSFEATUREHEADERS,0),MATCH(($A1596 &amp; "Points"),CLASSNAMEHEADERS,0))),"")))))))))}</f>
        <v>FORTITUDEL17</v>
      </c>
      <c r="Y1595" s="230"/>
      <c r="Z1595" s="230" t="str">
        <f t="array" ref="Z1595:Z1596">{"FORTITUDEL19";((IF("19"=(INDEX(ALLCLASSDATA,MATCH("FortitudeSaveLegendary",CLASSFEATUREHEADERS,0),MATCH($A1596,CLASSNAMEHEADERS,0))),(INDEX(ALLCLASSDATA,MATCH("FortitudeSaveLegendary",CLASSFEATUREHEADERS,0),MATCH(($A1596 &amp; "Points"),CLASSNAMEHEADERS,0))),(IF("19"=(INDEX(ALLCLASSDATA,MATCH("FortitudeSaveMaster",CLASSFEATUREHEADERS,0),MATCH($A1596,CLASSNAMEHEADERS,0))),(INDEX(ALLCLASSDATA,MATCH("FortitudeSaveMaster",CLASSFEATUREHEADERS,0),MATCH(($A1596 &amp; "Points"),CLASSNAMEHEADERS,0))),(IF("19"=(INDEX(ALLCLASSDATA,MATCH("FortitudeSaveExpert",CLASSFEATUREHEADERS,0),MATCH($A1596,CLASSNAMEHEADERS,0))),(INDEX(ALLCLASSDATA,MATCH("FortitudeSaveExpert",CLASSFEATUREHEADERS,0),MATCH(($A1596 &amp; "Points"),CLASSNAMEHEADERS,0))),(IF("19"=(INDEX(ALLCLASSDATA,MATCH("FortitudeSaveTrained",CLASSFEATUREHEADERS,0),MATCH($A1596,CLASSNAMEHEADERS,0))),(INDEX(ALLCLASSDATA,MATCH("FortitudeSaveTrained",CLASSFEATUREHEADERS,0),MATCH(($A1596 &amp; "Points"),CLASSNAMEHEADERS,0))),"")))))))))}</f>
        <v>FORTITUDEL19</v>
      </c>
      <c r="AA1595" s="230"/>
      <c r="AB1595" s="76" t="str">
        <f t="array" ref="AB1595:AB1596">{"FORTITUDE TOTAL";(IF(COUNTBLANK(G1596:AA1596)=17,"L",(IF(COUNTBLANK(G1596:AA1596)=18,"M",(IF(COUNTBLANK(G1596:AA1596)=19,"E",(IF(COUNTBLANK(G1596:AA1596)=20,"T",""))))))))}</f>
        <v>FORTITUDE TOTAL</v>
      </c>
      <c r="AC1595" s="76" t="str">
        <f t="array" ref="AC1595:AC1596">{"FORTITUDE TOTAL";(sum(G1596:AA1596))}</f>
        <v>FORTITUDE TOTAL</v>
      </c>
    </row>
    <row r="1596">
      <c r="A1596" s="48" t="s">
        <v>223</v>
      </c>
      <c r="B1596" s="48"/>
      <c r="C1596" s="48" t="s">
        <v>418</v>
      </c>
      <c r="D1596" s="48" t="s">
        <v>1549</v>
      </c>
      <c r="E1596" s="48" t="s">
        <v>1550</v>
      </c>
      <c r="F1596" s="5" t="s">
        <v>435</v>
      </c>
      <c r="G1596" s="47" t="s">
        <v>603</v>
      </c>
      <c r="H1596" s="5">
        <v>10.0</v>
      </c>
      <c r="I1596" s="5"/>
      <c r="J1596" s="5" t="s">
        <v>603</v>
      </c>
      <c r="K1596" s="5"/>
      <c r="L1596" s="5" t="s">
        <v>603</v>
      </c>
      <c r="M1596" s="5"/>
      <c r="N1596" s="5" t="s">
        <v>603</v>
      </c>
      <c r="O1596" s="5"/>
      <c r="P1596" s="5">
        <v>50.0</v>
      </c>
      <c r="Q1596" s="5"/>
      <c r="R1596" s="5" t="s">
        <v>603</v>
      </c>
      <c r="S1596" s="5"/>
      <c r="T1596" s="5" t="s">
        <v>603</v>
      </c>
      <c r="U1596" s="5"/>
      <c r="V1596" s="5" t="s">
        <v>603</v>
      </c>
      <c r="W1596" s="5"/>
      <c r="X1596" s="5" t="s">
        <v>603</v>
      </c>
      <c r="Y1596" s="5"/>
      <c r="Z1596" s="5" t="s">
        <v>603</v>
      </c>
      <c r="AA1596" s="5"/>
      <c r="AB1596" s="5" t="s">
        <v>436</v>
      </c>
      <c r="AC1596" s="47">
        <v>60.0</v>
      </c>
    </row>
    <row r="1597" hidden="1">
      <c r="A1597" s="222" t="str">
        <f t="array" ref="A1597:A1598">{"FormulaRow24";(INDEX(CLASSLIST,A1550,1))}</f>
        <v>FormulaRow24</v>
      </c>
      <c r="B1597" s="77" t="s">
        <v>236</v>
      </c>
      <c r="C1597" s="222" t="str">
        <f t="array" ref="C1597:C1598">{"CLASSTYPE";((INDEX(ALLCLASSDATA,MATCH("ClassType",CLASSFEATUREHEADERS,0),MATCH($A1598,CLASSNAMEHEADERS,0))))}</f>
        <v>CLASSTYPE</v>
      </c>
      <c r="D1597" s="222" t="str">
        <f t="array" ref="D1597:D1598">{"SAVES";"Saves"}</f>
        <v>SAVES</v>
      </c>
      <c r="E1597" s="222" t="str">
        <f t="array" ref="E1597:E1598">{"REFLEXSAVE";"ReflexSave"}</f>
        <v>REFLEXSAVE</v>
      </c>
      <c r="F1597" s="223" t="str">
        <f t="array" ref="F1597:F1598">{"REFLEXINITIAL";((IF(H1598=10,"T",(IF(H1598=50,"E","")))))}</f>
        <v>REFLEXINITIAL</v>
      </c>
      <c r="G1597" s="223" t="str">
        <f t="array" ref="G1597:G1598">{"REFLEXINITIALPTS";((IF("00"=(INDEX(ALLCLASSDATA,MATCH("ReflexSaveLegendary",CLASSFEATUREHEADERS,0),MATCH($A1598,CLASSNAMEHEADERS,0))),(INDEX(ALLCLASSDATA,MATCH("ReflexSaveLegendary",CLASSFEATUREHEADERS,0),MATCH(($A1598 &amp; "Points"),CLASSNAMEHEADERS,0))),(IF("00"=(INDEX(ALLCLASSDATA,MATCH("ReflexSaveMaster",CLASSFEATUREHEADERS,0),MATCH($A1598,CLASSNAMEHEADERS,0))),(INDEX(ALLCLASSDATA,MATCH("ReflexSaveMaster",CLASSFEATUREHEADERS,0),MATCH(($A1598 &amp; "Points"),CLASSNAMEHEADERS,0))),(IF("00"=(INDEX(ALLCLASSDATA,MATCH("ReflexSaveExpert",CLASSFEATUREHEADERS,0),MATCH($A1598,CLASSNAMEHEADERS,0))),(INDEX(ALLCLASSDATA,MATCH("ReflexSaveExpert",CLASSFEATUREHEADERS,0),MATCH(($A1598 &amp; "Points"),CLASSNAMEHEADERS,0))),(IF("00"=(INDEX(ALLCLASSDATA,MATCH("ReflexSaveTrained",CLASSFEATUREHEADERS,0),MATCH($A1598,CLASSNAMEHEADERS,0))),(INDEX(ALLCLASSDATA,MATCH("ReflexSaveTrained",CLASSFEATUREHEADERS,0),MATCH(($A1598 &amp; "Points"),CLASSNAMEHEADERS,0))),"")))))))))}</f>
        <v>REFLEXINITIALPTS</v>
      </c>
      <c r="H1597" s="223" t="str">
        <f t="array" ref="H1597:H1598">{"REFLEXL01";((IF("01"=(INDEX(ALLCLASSDATA,MATCH("ReflexSaveLegendary",CLASSFEATUREHEADERS,0),MATCH($A1598,CLASSNAMEHEADERS,0))),(INDEX(ALLCLASSDATA,MATCH("ReflexSaveLegendary",CLASSFEATUREHEADERS,0),MATCH(($A1598 &amp; "Points"),CLASSNAMEHEADERS,0))),(IF("01"=(INDEX(ALLCLASSDATA,MATCH("ReflexSaveMaster",CLASSFEATUREHEADERS,0),MATCH($A1598,CLASSNAMEHEADERS,0))),(INDEX(ALLCLASSDATA,MATCH("ReflexSaveMaster",CLASSFEATUREHEADERS,0),MATCH(($A1598 &amp; "Points"),CLASSNAMEHEADERS,0))),(IF("01"=(INDEX(ALLCLASSDATA,MATCH("ReflexSaveExpert",CLASSFEATUREHEADERS,0),MATCH($A1598,CLASSNAMEHEADERS,0))),(INDEX(ALLCLASSDATA,MATCH("ReflexSaveExpert",CLASSFEATUREHEADERS,0),MATCH(($A1598 &amp; "Points"),CLASSNAMEHEADERS,0))),(IF("01"=(INDEX(ALLCLASSDATA,MATCH("ReflexSaveTrained",CLASSFEATUREHEADERS,0),MATCH($A1598,CLASSNAMEHEADERS,0))),(INDEX(ALLCLASSDATA,MATCH("ReflexSaveTrained",CLASSFEATUREHEADERS,0),MATCH(($A1598 &amp; "Points"),CLASSNAMEHEADERS,0))),"")))))))))}</f>
        <v>REFLEXL01</v>
      </c>
      <c r="I1597" s="223"/>
      <c r="J1597" s="223" t="str">
        <f t="array" ref="J1597:J1598">{"REFLEXL03";((IF("03"=(INDEX(ALLCLASSDATA,MATCH("ReflexSaveLegendary",CLASSFEATUREHEADERS,0),MATCH($A1598,CLASSNAMEHEADERS,0))),(INDEX(ALLCLASSDATA,MATCH("ReflexSaveLegendary",CLASSFEATUREHEADERS,0),MATCH(($A1598 &amp; "Points"),CLASSNAMEHEADERS,0))),(IF("03"=(INDEX(ALLCLASSDATA,MATCH("ReflexSaveMaster",CLASSFEATUREHEADERS,0),MATCH($A1598,CLASSNAMEHEADERS,0))),(INDEX(ALLCLASSDATA,MATCH("ReflexSaveMaster",CLASSFEATUREHEADERS,0),MATCH(($A1598 &amp; "Points"),CLASSNAMEHEADERS,0))),(IF("03"=(INDEX(ALLCLASSDATA,MATCH("ReflexSaveExpert",CLASSFEATUREHEADERS,0),MATCH($A1598,CLASSNAMEHEADERS,0))),(INDEX(ALLCLASSDATA,MATCH("ReflexSaveExpert",CLASSFEATUREHEADERS,0),MATCH(($A1598 &amp; "Points"),CLASSNAMEHEADERS,0))),(IF("03"=(INDEX(ALLCLASSDATA,MATCH("ReflexSaveTrained",CLASSFEATUREHEADERS,0),MATCH($A1598,CLASSNAMEHEADERS,0))),(INDEX(ALLCLASSDATA,MATCH("ReflexSaveTrained",CLASSFEATUREHEADERS,0),MATCH(($A1598 &amp; "Points"),CLASSNAMEHEADERS,0))),"")))))))))}</f>
        <v>REFLEXL03</v>
      </c>
      <c r="K1597" s="223"/>
      <c r="L1597" s="223" t="str">
        <f t="array" ref="L1597:L1598">{"REFLEXL05";((IF("05"=(INDEX(ALLCLASSDATA,MATCH("ReflexSaveLegendary",CLASSFEATUREHEADERS,0),MATCH($A1598,CLASSNAMEHEADERS,0))),(INDEX(ALLCLASSDATA,MATCH("ReflexSaveLegendary",CLASSFEATUREHEADERS,0),MATCH(($A1598 &amp; "Points"),CLASSNAMEHEADERS,0))),(IF("05"=(INDEX(ALLCLASSDATA,MATCH("ReflexSaveMaster",CLASSFEATUREHEADERS,0),MATCH($A1598,CLASSNAMEHEADERS,0))),(INDEX(ALLCLASSDATA,MATCH("ReflexSaveMaster",CLASSFEATUREHEADERS,0),MATCH(($A1598 &amp; "Points"),CLASSNAMEHEADERS,0))),(IF("05"=(INDEX(ALLCLASSDATA,MATCH("ReflexSaveExpert",CLASSFEATUREHEADERS,0),MATCH($A1598,CLASSNAMEHEADERS,0))),(INDEX(ALLCLASSDATA,MATCH("ReflexSaveExpert",CLASSFEATUREHEADERS,0),MATCH(($A1598 &amp; "Points"),CLASSNAMEHEADERS,0))),(IF("05"=(INDEX(ALLCLASSDATA,MATCH("ReflexSaveTrained",CLASSFEATUREHEADERS,0),MATCH($A1598,CLASSNAMEHEADERS,0))),(INDEX(ALLCLASSDATA,MATCH("ReflexSaveTrained",CLASSFEATUREHEADERS,0),MATCH(($A1598 &amp; "Points"),CLASSNAMEHEADERS,0))),"")))))))))}</f>
        <v>REFLEXL05</v>
      </c>
      <c r="M1597" s="223"/>
      <c r="N1597" s="223" t="str">
        <f t="array" ref="N1597:N1598">{"REFLEXL07";((IF("07"=(INDEX(ALLCLASSDATA,MATCH("ReflexSaveLegendary",CLASSFEATUREHEADERS,0),MATCH($A1598,CLASSNAMEHEADERS,0))),(INDEX(ALLCLASSDATA,MATCH("ReflexSaveLegendary",CLASSFEATUREHEADERS,0),MATCH(($A1598 &amp; "Points"),CLASSNAMEHEADERS,0))),(IF("07"=(INDEX(ALLCLASSDATA,MATCH("ReflexSaveMaster",CLASSFEATUREHEADERS,0),MATCH($A1598,CLASSNAMEHEADERS,0))),(INDEX(ALLCLASSDATA,MATCH("ReflexSaveMaster",CLASSFEATUREHEADERS,0),MATCH(($A1598 &amp; "Points"),CLASSNAMEHEADERS,0))),(IF("07"=(INDEX(ALLCLASSDATA,MATCH("ReflexSaveExpert",CLASSFEATUREHEADERS,0),MATCH($A1598,CLASSNAMEHEADERS,0))),(INDEX(ALLCLASSDATA,MATCH("ReflexSaveExpert",CLASSFEATUREHEADERS,0),MATCH(($A1598 &amp; "Points"),CLASSNAMEHEADERS,0))),(IF("07"=(INDEX(ALLCLASSDATA,MATCH("ReflexSaveTrained",CLASSFEATUREHEADERS,0),MATCH($A1598,CLASSNAMEHEADERS,0))),(INDEX(ALLCLASSDATA,MATCH("ReflexSaveTrained",CLASSFEATUREHEADERS,0),MATCH(($A1598 &amp; "Points"),CLASSNAMEHEADERS,0))),"")))))))))}</f>
        <v>REFLEXL07</v>
      </c>
      <c r="O1597" s="223"/>
      <c r="P1597" s="223" t="str">
        <f t="array" ref="P1597:P1598">{"REFLEXL09";((IF("09"=(INDEX(ALLCLASSDATA,MATCH("ReflexSaveLegendary",CLASSFEATUREHEADERS,0),MATCH($A1598,CLASSNAMEHEADERS,0))),(INDEX(ALLCLASSDATA,MATCH("ReflexSaveLegendary",CLASSFEATUREHEADERS,0),MATCH(($A1598 &amp; "Points"),CLASSNAMEHEADERS,0))),(IF("09"=(INDEX(ALLCLASSDATA,MATCH("ReflexSaveMaster",CLASSFEATUREHEADERS,0),MATCH($A1598,CLASSNAMEHEADERS,0))),(INDEX(ALLCLASSDATA,MATCH("ReflexSaveMaster",CLASSFEATUREHEADERS,0),MATCH(($A1598 &amp; "Points"),CLASSNAMEHEADERS,0))),(IF("09"=(INDEX(ALLCLASSDATA,MATCH("ReflexSaveExpert",CLASSFEATUREHEADERS,0),MATCH($A1598,CLASSNAMEHEADERS,0))),(INDEX(ALLCLASSDATA,MATCH("ReflexSaveExpert",CLASSFEATUREHEADERS,0),MATCH(($A1598 &amp; "Points"),CLASSNAMEHEADERS,0))),(IF("09"=(INDEX(ALLCLASSDATA,MATCH("ReflexSaveTrained",CLASSFEATUREHEADERS,0),MATCH($A1598,CLASSNAMEHEADERS,0))),(INDEX(ALLCLASSDATA,MATCH("ReflexSaveTrained",CLASSFEATUREHEADERS,0),MATCH(($A1598 &amp; "Points"),CLASSNAMEHEADERS,0))),"")))))))))}</f>
        <v>REFLEXL09</v>
      </c>
      <c r="Q1597" s="223"/>
      <c r="R1597" s="223" t="str">
        <f t="array" ref="R1597:R1598">{"REFLEXL11";((IF("11"=(INDEX(ALLCLASSDATA,MATCH("ReflexSaveLegendary",CLASSFEATUREHEADERS,0),MATCH($A1598,CLASSNAMEHEADERS,0))),(INDEX(ALLCLASSDATA,MATCH("ReflexSaveLegendary",CLASSFEATUREHEADERS,0),MATCH(($A1598 &amp; "Points"),CLASSNAMEHEADERS,0))),(IF("11"=(INDEX(ALLCLASSDATA,MATCH("ReflexSaveMaster",CLASSFEATUREHEADERS,0),MATCH($A1598,CLASSNAMEHEADERS,0))),(INDEX(ALLCLASSDATA,MATCH("ReflexSaveMaster",CLASSFEATUREHEADERS,0),MATCH(($A1598 &amp; "Points"),CLASSNAMEHEADERS,0))),(IF("11"=(INDEX(ALLCLASSDATA,MATCH("ReflexSaveExpert",CLASSFEATUREHEADERS,0),MATCH($A1598,CLASSNAMEHEADERS,0))),(INDEX(ALLCLASSDATA,MATCH("ReflexSaveExpert",CLASSFEATUREHEADERS,0),MATCH(($A1598 &amp; "Points"),CLASSNAMEHEADERS,0))),(IF("11"=(INDEX(ALLCLASSDATA,MATCH("ReflexSaveTrained",CLASSFEATUREHEADERS,0),MATCH($A1598,CLASSNAMEHEADERS,0))),(INDEX(ALLCLASSDATA,MATCH("ReflexSaveTrained",CLASSFEATUREHEADERS,0),MATCH(($A1598 &amp; "Points"),CLASSNAMEHEADERS,0))),"")))))))))}</f>
        <v>REFLEXL11</v>
      </c>
      <c r="S1597" s="223"/>
      <c r="T1597" s="223" t="str">
        <f t="array" ref="T1597:T1598">{"REFLEXL13";((IF("13"=(INDEX(ALLCLASSDATA,MATCH("ReflexSaveLegendary",CLASSFEATUREHEADERS,0),MATCH($A1598,CLASSNAMEHEADERS,0))),(INDEX(ALLCLASSDATA,MATCH("ReflexSaveLegendary",CLASSFEATUREHEADERS,0),MATCH(($A1598 &amp; "Points"),CLASSNAMEHEADERS,0))),(IF("13"=(INDEX(ALLCLASSDATA,MATCH("ReflexSaveMaster",CLASSFEATUREHEADERS,0),MATCH($A1598,CLASSNAMEHEADERS,0))),(INDEX(ALLCLASSDATA,MATCH("ReflexSaveMaster",CLASSFEATUREHEADERS,0),MATCH(($A1598 &amp; "Points"),CLASSNAMEHEADERS,0))),(IF("13"=(INDEX(ALLCLASSDATA,MATCH("ReflexSaveExpert",CLASSFEATUREHEADERS,0),MATCH($A1598,CLASSNAMEHEADERS,0))),(INDEX(ALLCLASSDATA,MATCH("ReflexSaveExpert",CLASSFEATUREHEADERS,0),MATCH(($A1598 &amp; "Points"),CLASSNAMEHEADERS,0))),(IF("13"=(INDEX(ALLCLASSDATA,MATCH("ReflexSaveTrained",CLASSFEATUREHEADERS,0),MATCH($A1598,CLASSNAMEHEADERS,0))),(INDEX(ALLCLASSDATA,MATCH("ReflexSaveTrained",CLASSFEATUREHEADERS,0),MATCH(($A1598 &amp; "Points"),CLASSNAMEHEADERS,0))),"")))))))))}</f>
        <v>REFLEXL13</v>
      </c>
      <c r="U1597" s="223"/>
      <c r="V1597" s="223" t="str">
        <f t="array" ref="V1597:V1598">{"REFLEXL15";((IF("15"=(INDEX(ALLCLASSDATA,MATCH("ReflexSaveLegendary",CLASSFEATUREHEADERS,0),MATCH($A1598,CLASSNAMEHEADERS,0))),(INDEX(ALLCLASSDATA,MATCH("ReflexSaveLegendary",CLASSFEATUREHEADERS,0),MATCH(($A1598 &amp; "Points"),CLASSNAMEHEADERS,0))),(IF("15"=(INDEX(ALLCLASSDATA,MATCH("ReflexSaveMaster",CLASSFEATUREHEADERS,0),MATCH($A1598,CLASSNAMEHEADERS,0))),(INDEX(ALLCLASSDATA,MATCH("ReflexSaveMaster",CLASSFEATUREHEADERS,0),MATCH(($A1598 &amp; "Points"),CLASSNAMEHEADERS,0))),(IF("15"=(INDEX(ALLCLASSDATA,MATCH("ReflexSaveExpert",CLASSFEATUREHEADERS,0),MATCH($A1598,CLASSNAMEHEADERS,0))),(INDEX(ALLCLASSDATA,MATCH("ReflexSaveExpert",CLASSFEATUREHEADERS,0),MATCH(($A1598 &amp; "Points"),CLASSNAMEHEADERS,0))),(IF("15"=(INDEX(ALLCLASSDATA,MATCH("ReflexSaveTrained",CLASSFEATUREHEADERS,0),MATCH($A1598,CLASSNAMEHEADERS,0))),(INDEX(ALLCLASSDATA,MATCH("ReflexSaveTrained",CLASSFEATUREHEADERS,0),MATCH(($A1598 &amp; "Points"),CLASSNAMEHEADERS,0))),"")))))))))}</f>
        <v>REFLEXL15</v>
      </c>
      <c r="W1597" s="223"/>
      <c r="X1597" s="223" t="str">
        <f t="array" ref="X1597:X1598">{"REFLEXL17";((IF("17"=(INDEX(ALLCLASSDATA,MATCH("ReflexSaveLegendary",CLASSFEATUREHEADERS,0),MATCH($A1598,CLASSNAMEHEADERS,0))),(INDEX(ALLCLASSDATA,MATCH("ReflexSaveLegendary",CLASSFEATUREHEADERS,0),MATCH(($A1598 &amp; "Points"),CLASSNAMEHEADERS,0))),(IF("17"=(INDEX(ALLCLASSDATA,MATCH("ReflexSaveMaster",CLASSFEATUREHEADERS,0),MATCH($A1598,CLASSNAMEHEADERS,0))),(INDEX(ALLCLASSDATA,MATCH("ReflexSaveMaster",CLASSFEATUREHEADERS,0),MATCH(($A1598 &amp; "Points"),CLASSNAMEHEADERS,0))),(IF("17"=(INDEX(ALLCLASSDATA,MATCH("ReflexSaveExpert",CLASSFEATUREHEADERS,0),MATCH($A1598,CLASSNAMEHEADERS,0))),(INDEX(ALLCLASSDATA,MATCH("ReflexSaveExpert",CLASSFEATUREHEADERS,0),MATCH(($A1598 &amp; "Points"),CLASSNAMEHEADERS,0))),(IF("17"=(INDEX(ALLCLASSDATA,MATCH("ReflexSaveTrained",CLASSFEATUREHEADERS,0),MATCH($A1598,CLASSNAMEHEADERS,0))),(INDEX(ALLCLASSDATA,MATCH("ReflexSaveTrained",CLASSFEATUREHEADERS,0),MATCH(($A1598 &amp; "Points"),CLASSNAMEHEADERS,0))),"")))))))))}</f>
        <v>REFLEXL17</v>
      </c>
      <c r="Y1597" s="223"/>
      <c r="Z1597" s="223" t="str">
        <f t="array" ref="Z1597:Z1598">{"REFLEXL19";((IF("19"=(INDEX(ALLCLASSDATA,MATCH("ReflexSaveLegendary",CLASSFEATUREHEADERS,0),MATCH($A1598,CLASSNAMEHEADERS,0))),(INDEX(ALLCLASSDATA,MATCH("ReflexSaveLegendary",CLASSFEATUREHEADERS,0),MATCH(($A1598 &amp; "Points"),CLASSNAMEHEADERS,0))),(IF("19"=(INDEX(ALLCLASSDATA,MATCH("ReflexSaveMaster",CLASSFEATUREHEADERS,0),MATCH($A1598,CLASSNAMEHEADERS,0))),(INDEX(ALLCLASSDATA,MATCH("ReflexSaveMaster",CLASSFEATUREHEADERS,0),MATCH(($A1598 &amp; "Points"),CLASSNAMEHEADERS,0))),(IF("19"=(INDEX(ALLCLASSDATA,MATCH("ReflexSaveExpert",CLASSFEATUREHEADERS,0),MATCH($A1598,CLASSNAMEHEADERS,0))),(INDEX(ALLCLASSDATA,MATCH("ReflexSaveExpert",CLASSFEATUREHEADERS,0),MATCH(($A1598 &amp; "Points"),CLASSNAMEHEADERS,0))),(IF("19"=(INDEX(ALLCLASSDATA,MATCH("ReflexSaveTrained",CLASSFEATUREHEADERS,0),MATCH($A1598,CLASSNAMEHEADERS,0))),(INDEX(ALLCLASSDATA,MATCH("ReflexSaveTrained",CLASSFEATUREHEADERS,0),MATCH(($A1598 &amp; "Points"),CLASSNAMEHEADERS,0))),"")))))))))}</f>
        <v>REFLEXL19</v>
      </c>
      <c r="AA1597" s="223"/>
      <c r="AB1597" s="76" t="str">
        <f t="array" ref="AB1597:AB1598">{"REFLEX TOTAL";(IF(COUNTBLANK(G1598:AA1598)=17,"L",(IF(COUNTBLANK(G1598:AA1598)=18,"M",(IF(COUNTBLANK(G1598:AA1598)=19,"E",(IF(COUNTBLANK(G1598:AA1598)=20,"T",""))))))))}</f>
        <v>REFLEX TOTAL</v>
      </c>
      <c r="AC1597" s="76" t="str">
        <f t="array" ref="AC1597:AC1598">{"REFLEX TOTAL";(sum(G1598:AA1598))}</f>
        <v>REFLEX TOTAL</v>
      </c>
    </row>
    <row r="1598">
      <c r="A1598" s="48" t="s">
        <v>223</v>
      </c>
      <c r="B1598" s="48"/>
      <c r="C1598" s="48" t="s">
        <v>418</v>
      </c>
      <c r="D1598" s="48" t="s">
        <v>1549</v>
      </c>
      <c r="E1598" s="48" t="s">
        <v>1572</v>
      </c>
      <c r="F1598" s="5" t="s">
        <v>435</v>
      </c>
      <c r="G1598" s="47" t="s">
        <v>603</v>
      </c>
      <c r="H1598" s="5">
        <v>10.0</v>
      </c>
      <c r="I1598" s="5"/>
      <c r="J1598" s="5" t="s">
        <v>603</v>
      </c>
      <c r="K1598" s="5"/>
      <c r="L1598" s="5" t="s">
        <v>603</v>
      </c>
      <c r="M1598" s="5"/>
      <c r="N1598" s="5" t="s">
        <v>603</v>
      </c>
      <c r="O1598" s="5"/>
      <c r="P1598" s="5" t="s">
        <v>603</v>
      </c>
      <c r="Q1598" s="5"/>
      <c r="R1598" s="5" t="s">
        <v>603</v>
      </c>
      <c r="S1598" s="5"/>
      <c r="T1598" s="5">
        <v>50.0</v>
      </c>
      <c r="U1598" s="5"/>
      <c r="V1598" s="5" t="s">
        <v>603</v>
      </c>
      <c r="W1598" s="5"/>
      <c r="X1598" s="5" t="s">
        <v>603</v>
      </c>
      <c r="Y1598" s="5"/>
      <c r="Z1598" s="5" t="s">
        <v>603</v>
      </c>
      <c r="AA1598" s="5"/>
      <c r="AB1598" s="5" t="s">
        <v>436</v>
      </c>
      <c r="AC1598" s="47">
        <v>60.0</v>
      </c>
    </row>
    <row r="1599" hidden="1">
      <c r="A1599" s="222" t="str">
        <f t="array" ref="A1599:A1600">{"FormulaRow25";(INDEX(CLASSLIST,A1550,1))}</f>
        <v>FormulaRow25</v>
      </c>
      <c r="B1599" s="77" t="s">
        <v>236</v>
      </c>
      <c r="C1599" s="222" t="str">
        <f t="array" ref="C1599:C1600">{"CLASSTYPE";((INDEX(ALLCLASSDATA,MATCH("ClassType",CLASSFEATUREHEADERS,0),MATCH($A1600,CLASSNAMEHEADERS,0))))}</f>
        <v>CLASSTYPE</v>
      </c>
      <c r="D1599" s="222" t="str">
        <f t="array" ref="D1599:D1600">{"SAVES";"Saves"}</f>
        <v>SAVES</v>
      </c>
      <c r="E1599" s="222" t="str">
        <f t="array" ref="E1599:E1600">{"WILLSAVE";"WillSave"}</f>
        <v>WILLSAVE</v>
      </c>
      <c r="F1599" s="223" t="str">
        <f t="array" ref="F1599:F1600">{"WILLINITIAL";((IF(H1600=10,"T",(IF(H1600=50,"E","")))))}</f>
        <v>WILLINITIAL</v>
      </c>
      <c r="G1599" s="223" t="str">
        <f t="array" ref="G1599:G1600">{"WILLINITIALPTS";((IF("00"=(INDEX(ALLCLASSDATA,MATCH("WillSaveLegendary",CLASSFEATUREHEADERS,0),MATCH($A1600,CLASSNAMEHEADERS,0))),(INDEX(ALLCLASSDATA,MATCH("WillSaveLegendary",CLASSFEATUREHEADERS,0),MATCH(($A1600 &amp; "Points"),CLASSNAMEHEADERS,0))),(IF("00"=(INDEX(ALLCLASSDATA,MATCH("WillSaveMaster",CLASSFEATUREHEADERS,0),MATCH($A1600,CLASSNAMEHEADERS,0))),(INDEX(ALLCLASSDATA,MATCH("WillSaveMaster",CLASSFEATUREHEADERS,0),MATCH(($A1600 &amp; "Points"),CLASSNAMEHEADERS,0))),(IF("00"=(INDEX(ALLCLASSDATA,MATCH("WillSaveExpert",CLASSFEATUREHEADERS,0),MATCH($A1600,CLASSNAMEHEADERS,0))),(INDEX(ALLCLASSDATA,MATCH("WillSaveExpert",CLASSFEATUREHEADERS,0),MATCH(($A1600 &amp; "Points"),CLASSNAMEHEADERS,0))),(IF("00"=(INDEX(ALLCLASSDATA,MATCH("WillSaveTrained",CLASSFEATUREHEADERS,0),MATCH($A1600,CLASSNAMEHEADERS,0))),(INDEX(ALLCLASSDATA,MATCH("WillSaveTrained",CLASSFEATUREHEADERS,0),MATCH(($A1600 &amp; "Points"),CLASSNAMEHEADERS,0))),"")))))))))}</f>
        <v>WILLINITIALPTS</v>
      </c>
      <c r="H1599" s="223" t="str">
        <f t="array" ref="H1599:H1600">{"WILLL01";((IF("01"=(INDEX(ALLCLASSDATA,MATCH("WillSaveLegendary",CLASSFEATUREHEADERS,0),MATCH($A1600,CLASSNAMEHEADERS,0))),(INDEX(ALLCLASSDATA,MATCH("WillSaveLegendary",CLASSFEATUREHEADERS,0),MATCH(($A1600 &amp; "Points"),CLASSNAMEHEADERS,0))),(IF("01"=(INDEX(ALLCLASSDATA,MATCH("WillSaveMaster",CLASSFEATUREHEADERS,0),MATCH($A1600,CLASSNAMEHEADERS,0))),(INDEX(ALLCLASSDATA,MATCH("WillSaveMaster",CLASSFEATUREHEADERS,0),MATCH(($A1600 &amp; "Points"),CLASSNAMEHEADERS,0))),(IF("01"=(INDEX(ALLCLASSDATA,MATCH("WillSaveExpert",CLASSFEATUREHEADERS,0),MATCH($A1600,CLASSNAMEHEADERS,0))),(INDEX(ALLCLASSDATA,MATCH("WillSaveExpert",CLASSFEATUREHEADERS,0),MATCH(($A1600 &amp; "Points"),CLASSNAMEHEADERS,0))),(IF("01"=(INDEX(ALLCLASSDATA,MATCH("WillSaveTrained",CLASSFEATUREHEADERS,0),MATCH($A1600,CLASSNAMEHEADERS,0))),(INDEX(ALLCLASSDATA,MATCH("WillSaveTrained",CLASSFEATUREHEADERS,0),MATCH(($A1600 &amp; "Points"),CLASSNAMEHEADERS,0))),"")))))))))}</f>
        <v>WILLL01</v>
      </c>
      <c r="I1599" s="223"/>
      <c r="J1599" s="223" t="str">
        <f t="array" ref="J1599:J1600">{"WILLL03";((IF("03"=(INDEX(ALLCLASSDATA,MATCH("WillSaveLegendary",CLASSFEATUREHEADERS,0),MATCH($A1600,CLASSNAMEHEADERS,0))),(INDEX(ALLCLASSDATA,MATCH("WillSaveLegendary",CLASSFEATUREHEADERS,0),MATCH(($A1600 &amp; "Points"),CLASSNAMEHEADERS,0))),(IF("03"=(INDEX(ALLCLASSDATA,MATCH("WillSaveMaster",CLASSFEATUREHEADERS,0),MATCH($A1600,CLASSNAMEHEADERS,0))),(INDEX(ALLCLASSDATA,MATCH("WillSaveMaster",CLASSFEATUREHEADERS,0),MATCH(($A1600 &amp; "Points"),CLASSNAMEHEADERS,0))),(IF("03"=(INDEX(ALLCLASSDATA,MATCH("WillSaveExpert",CLASSFEATUREHEADERS,0),MATCH($A1600,CLASSNAMEHEADERS,0))),(INDEX(ALLCLASSDATA,MATCH("WillSaveExpert",CLASSFEATUREHEADERS,0),MATCH(($A1600 &amp; "Points"),CLASSNAMEHEADERS,0))),(IF("03"=(INDEX(ALLCLASSDATA,MATCH("WillSaveTrained",CLASSFEATUREHEADERS,0),MATCH($A1600,CLASSNAMEHEADERS,0))),(INDEX(ALLCLASSDATA,MATCH("WillSaveTrained",CLASSFEATUREHEADERS,0),MATCH(($A1600 &amp; "Points"),CLASSNAMEHEADERS,0))),"")))))))))}</f>
        <v>WILLL03</v>
      </c>
      <c r="K1599" s="223"/>
      <c r="L1599" s="223" t="str">
        <f t="array" ref="L1599:L1600">{"WILLL05";((IF("05"=(INDEX(ALLCLASSDATA,MATCH("WillSaveLegendary",CLASSFEATUREHEADERS,0),MATCH($A1600,CLASSNAMEHEADERS,0))),(INDEX(ALLCLASSDATA,MATCH("WillSaveLegendary",CLASSFEATUREHEADERS,0),MATCH(($A1600 &amp; "Points"),CLASSNAMEHEADERS,0))),(IF("05"=(INDEX(ALLCLASSDATA,MATCH("WillSaveMaster",CLASSFEATUREHEADERS,0),MATCH($A1600,CLASSNAMEHEADERS,0))),(INDEX(ALLCLASSDATA,MATCH("WillSaveMaster",CLASSFEATUREHEADERS,0),MATCH(($A1600 &amp; "Points"),CLASSNAMEHEADERS,0))),(IF("05"=(INDEX(ALLCLASSDATA,MATCH("WillSaveExpert",CLASSFEATUREHEADERS,0),MATCH($A1600,CLASSNAMEHEADERS,0))),(INDEX(ALLCLASSDATA,MATCH("WillSaveExpert",CLASSFEATUREHEADERS,0),MATCH(($A1600 &amp; "Points"),CLASSNAMEHEADERS,0))),(IF("05"=(INDEX(ALLCLASSDATA,MATCH("WillSaveTrained",CLASSFEATUREHEADERS,0),MATCH($A1600,CLASSNAMEHEADERS,0))),(INDEX(ALLCLASSDATA,MATCH("WillSaveTrained",CLASSFEATUREHEADERS,0),MATCH(($A1600 &amp; "Points"),CLASSNAMEHEADERS,0))),"")))))))))}</f>
        <v>WILLL05</v>
      </c>
      <c r="M1599" s="223"/>
      <c r="N1599" s="223" t="str">
        <f t="array" ref="N1599:N1600">{"WILLL07";((IF("07"=(INDEX(ALLCLASSDATA,MATCH("WillSaveLegendary",CLASSFEATUREHEADERS,0),MATCH($A1600,CLASSNAMEHEADERS,0))),(INDEX(ALLCLASSDATA,MATCH("WillSaveLegendary",CLASSFEATUREHEADERS,0),MATCH(($A1600 &amp; "Points"),CLASSNAMEHEADERS,0))),(IF("07"=(INDEX(ALLCLASSDATA,MATCH("WillSaveMaster",CLASSFEATUREHEADERS,0),MATCH($A1600,CLASSNAMEHEADERS,0))),(INDEX(ALLCLASSDATA,MATCH("WillSaveMaster",CLASSFEATUREHEADERS,0),MATCH(($A1600 &amp; "Points"),CLASSNAMEHEADERS,0))),(IF("07"=(INDEX(ALLCLASSDATA,MATCH("WillSaveExpert",CLASSFEATUREHEADERS,0),MATCH($A1600,CLASSNAMEHEADERS,0))),(INDEX(ALLCLASSDATA,MATCH("WillSaveExpert",CLASSFEATUREHEADERS,0),MATCH(($A1600 &amp; "Points"),CLASSNAMEHEADERS,0))),(IF("07"=(INDEX(ALLCLASSDATA,MATCH("WillSaveTrained",CLASSFEATUREHEADERS,0),MATCH($A1600,CLASSNAMEHEADERS,0))),(INDEX(ALLCLASSDATA,MATCH("WillSaveTrained",CLASSFEATUREHEADERS,0),MATCH(($A1600 &amp; "Points"),CLASSNAMEHEADERS,0))),"")))))))))}</f>
        <v>WILLL07</v>
      </c>
      <c r="O1599" s="223"/>
      <c r="P1599" s="223" t="str">
        <f t="array" ref="P1599:P1600">{"WILLL09";((IF("09"=(INDEX(ALLCLASSDATA,MATCH("WillSaveLegendary",CLASSFEATUREHEADERS,0),MATCH($A1600,CLASSNAMEHEADERS,0))),(INDEX(ALLCLASSDATA,MATCH("WillSaveLegendary",CLASSFEATUREHEADERS,0),MATCH(($A1600 &amp; "Points"),CLASSNAMEHEADERS,0))),(IF("09"=(INDEX(ALLCLASSDATA,MATCH("WillSaveMaster",CLASSFEATUREHEADERS,0),MATCH($A1600,CLASSNAMEHEADERS,0))),(INDEX(ALLCLASSDATA,MATCH("WillSaveMaster",CLASSFEATUREHEADERS,0),MATCH(($A1600 &amp; "Points"),CLASSNAMEHEADERS,0))),(IF("09"=(INDEX(ALLCLASSDATA,MATCH("WillSaveExpert",CLASSFEATUREHEADERS,0),MATCH($A1600,CLASSNAMEHEADERS,0))),(INDEX(ALLCLASSDATA,MATCH("WillSaveExpert",CLASSFEATUREHEADERS,0),MATCH(($A1600 &amp; "Points"),CLASSNAMEHEADERS,0))),(IF("09"=(INDEX(ALLCLASSDATA,MATCH("WillSaveTrained",CLASSFEATUREHEADERS,0),MATCH($A1600,CLASSNAMEHEADERS,0))),(INDEX(ALLCLASSDATA,MATCH("WillSaveTrained",CLASSFEATUREHEADERS,0),MATCH(($A1600 &amp; "Points"),CLASSNAMEHEADERS,0))),"")))))))))}</f>
        <v>WILLL09</v>
      </c>
      <c r="Q1599" s="223"/>
      <c r="R1599" s="223" t="str">
        <f t="array" ref="R1599:R1600">{"WILLL11";((IF("11"=(INDEX(ALLCLASSDATA,MATCH("WillSaveLegendary",CLASSFEATUREHEADERS,0),MATCH($A1600,CLASSNAMEHEADERS,0))),(INDEX(ALLCLASSDATA,MATCH("WillSaveLegendary",CLASSFEATUREHEADERS,0),MATCH(($A1600 &amp; "Points"),CLASSNAMEHEADERS,0))),(IF("11"=(INDEX(ALLCLASSDATA,MATCH("WillSaveMaster",CLASSFEATUREHEADERS,0),MATCH($A1600,CLASSNAMEHEADERS,0))),(INDEX(ALLCLASSDATA,MATCH("WillSaveMaster",CLASSFEATUREHEADERS,0),MATCH(($A1600 &amp; "Points"),CLASSNAMEHEADERS,0))),(IF("11"=(INDEX(ALLCLASSDATA,MATCH("WillSaveExpert",CLASSFEATUREHEADERS,0),MATCH($A1600,CLASSNAMEHEADERS,0))),(INDEX(ALLCLASSDATA,MATCH("WillSaveExpert",CLASSFEATUREHEADERS,0),MATCH(($A1600 &amp; "Points"),CLASSNAMEHEADERS,0))),(IF("11"=(INDEX(ALLCLASSDATA,MATCH("WillSaveTrained",CLASSFEATUREHEADERS,0),MATCH($A1600,CLASSNAMEHEADERS,0))),(INDEX(ALLCLASSDATA,MATCH("WillSaveTrained",CLASSFEATUREHEADERS,0),MATCH(($A1600 &amp; "Points"),CLASSNAMEHEADERS,0))),"")))))))))}</f>
        <v>WILLL11</v>
      </c>
      <c r="S1599" s="223"/>
      <c r="T1599" s="223" t="str">
        <f t="array" ref="T1599:T1600">{"WILLL13";((IF("13"=(INDEX(ALLCLASSDATA,MATCH("WillSaveLegendary",CLASSFEATUREHEADERS,0),MATCH($A1600,CLASSNAMEHEADERS,0))),(INDEX(ALLCLASSDATA,MATCH("WillSaveLegendary",CLASSFEATUREHEADERS,0),MATCH(($A1600 &amp; "Points"),CLASSNAMEHEADERS,0))),(IF("13"=(INDEX(ALLCLASSDATA,MATCH("WillSaveMaster",CLASSFEATUREHEADERS,0),MATCH($A1600,CLASSNAMEHEADERS,0))),(INDEX(ALLCLASSDATA,MATCH("WillSaveMaster",CLASSFEATUREHEADERS,0),MATCH(($A1600 &amp; "Points"),CLASSNAMEHEADERS,0))),(IF("13"=(INDEX(ALLCLASSDATA,MATCH("WillSaveExpert",CLASSFEATUREHEADERS,0),MATCH($A1600,CLASSNAMEHEADERS,0))),(INDEX(ALLCLASSDATA,MATCH("WillSaveExpert",CLASSFEATUREHEADERS,0),MATCH(($A1600 &amp; "Points"),CLASSNAMEHEADERS,0))),(IF("13"=(INDEX(ALLCLASSDATA,MATCH("WillSaveTrained",CLASSFEATUREHEADERS,0),MATCH($A1600,CLASSNAMEHEADERS,0))),(INDEX(ALLCLASSDATA,MATCH("WillSaveTrained",CLASSFEATUREHEADERS,0),MATCH(($A1600 &amp; "Points"),CLASSNAMEHEADERS,0))),"")))))))))}</f>
        <v>WILLL13</v>
      </c>
      <c r="U1599" s="223"/>
      <c r="V1599" s="223" t="str">
        <f t="array" ref="V1599:V1600">{"WILLL15";((IF("15"=(INDEX(ALLCLASSDATA,MATCH("WillSaveLegendary",CLASSFEATUREHEADERS,0),MATCH($A1600,CLASSNAMEHEADERS,0))),(INDEX(ALLCLASSDATA,MATCH("WillSaveLegendary",CLASSFEATUREHEADERS,0),MATCH(($A1600 &amp; "Points"),CLASSNAMEHEADERS,0))),(IF("15"=(INDEX(ALLCLASSDATA,MATCH("WillSaveMaster",CLASSFEATUREHEADERS,0),MATCH($A1600,CLASSNAMEHEADERS,0))),(INDEX(ALLCLASSDATA,MATCH("WillSaveMaster",CLASSFEATUREHEADERS,0),MATCH(($A1600 &amp; "Points"),CLASSNAMEHEADERS,0))),(IF("15"=(INDEX(ALLCLASSDATA,MATCH("WillSaveExpert",CLASSFEATUREHEADERS,0),MATCH($A1600,CLASSNAMEHEADERS,0))),(INDEX(ALLCLASSDATA,MATCH("WillSaveExpert",CLASSFEATUREHEADERS,0),MATCH(($A1600 &amp; "Points"),CLASSNAMEHEADERS,0))),(IF("15"=(INDEX(ALLCLASSDATA,MATCH("WillSaveTrained",CLASSFEATUREHEADERS,0),MATCH($A1600,CLASSNAMEHEADERS,0))),(INDEX(ALLCLASSDATA,MATCH("WillSaveTrained",CLASSFEATUREHEADERS,0),MATCH(($A1600 &amp; "Points"),CLASSNAMEHEADERS,0))),"")))))))))}</f>
        <v>WILLL15</v>
      </c>
      <c r="W1599" s="223"/>
      <c r="X1599" s="223" t="str">
        <f t="array" ref="X1599:X1600">{"WILLL17";((IF("17"=(INDEX(ALLCLASSDATA,MATCH("WillSaveLegendary",CLASSFEATUREHEADERS,0),MATCH($A1600,CLASSNAMEHEADERS,0))),(INDEX(ALLCLASSDATA,MATCH("WillSaveLegendary",CLASSFEATUREHEADERS,0),MATCH(($A1600 &amp; "Points"),CLASSNAMEHEADERS,0))),(IF("17"=(INDEX(ALLCLASSDATA,MATCH("WillSaveMaster",CLASSFEATUREHEADERS,0),MATCH($A1600,CLASSNAMEHEADERS,0))),(INDEX(ALLCLASSDATA,MATCH("WillSaveMaster",CLASSFEATUREHEADERS,0),MATCH(($A1600 &amp; "Points"),CLASSNAMEHEADERS,0))),(IF("17"=(INDEX(ALLCLASSDATA,MATCH("WillSaveExpert",CLASSFEATUREHEADERS,0),MATCH($A1600,CLASSNAMEHEADERS,0))),(INDEX(ALLCLASSDATA,MATCH("WillSaveExpert",CLASSFEATUREHEADERS,0),MATCH(($A1600 &amp; "Points"),CLASSNAMEHEADERS,0))),(IF("17"=(INDEX(ALLCLASSDATA,MATCH("WillSaveTrained",CLASSFEATUREHEADERS,0),MATCH($A1600,CLASSNAMEHEADERS,0))),(INDEX(ALLCLASSDATA,MATCH("WillSaveTrained",CLASSFEATUREHEADERS,0),MATCH(($A1600 &amp; "Points"),CLASSNAMEHEADERS,0))),"")))))))))}</f>
        <v>WILLL17</v>
      </c>
      <c r="Y1599" s="223"/>
      <c r="Z1599" s="223" t="str">
        <f t="array" ref="Z1599:Z1600">{"WILLL19";((IF("19"=(INDEX(ALLCLASSDATA,MATCH("WillSaveLegendary",CLASSFEATUREHEADERS,0),MATCH($A1600,CLASSNAMEHEADERS,0))),(INDEX(ALLCLASSDATA,MATCH("WillSaveLegendary",CLASSFEATUREHEADERS,0),MATCH(($A1600 &amp; "Points"),CLASSNAMEHEADERS,0))),(IF("19"=(INDEX(ALLCLASSDATA,MATCH("WillSaveMaster",CLASSFEATUREHEADERS,0),MATCH($A1600,CLASSNAMEHEADERS,0))),(INDEX(ALLCLASSDATA,MATCH("WillSaveMaster",CLASSFEATUREHEADERS,0),MATCH(($A1600 &amp; "Points"),CLASSNAMEHEADERS,0))),(IF("19"=(INDEX(ALLCLASSDATA,MATCH("WillSaveExpert",CLASSFEATUREHEADERS,0),MATCH($A1600,CLASSNAMEHEADERS,0))),(INDEX(ALLCLASSDATA,MATCH("WillSaveExpert",CLASSFEATUREHEADERS,0),MATCH(($A1600 &amp; "Points"),CLASSNAMEHEADERS,0))),(IF("19"=(INDEX(ALLCLASSDATA,MATCH("WillSaveTrained",CLASSFEATUREHEADERS,0),MATCH($A1600,CLASSNAMEHEADERS,0))),(INDEX(ALLCLASSDATA,MATCH("WillSaveTrained",CLASSFEATUREHEADERS,0),MATCH(($A1600 &amp; "Points"),CLASSNAMEHEADERS,0))),"")))))))))}</f>
        <v>WILLL19</v>
      </c>
      <c r="AA1599" s="223"/>
      <c r="AB1599" s="76" t="str">
        <f t="array" ref="AB1599:AB1600">{"WILL TOTAL";(IF(COUNTBLANK(G1600:AA1600)=17,"L",(IF(COUNTBLANK(G1600:AA1600)=18,"M",(IF(COUNTBLANK(G1600:AA1600)=19,"E",(IF(COUNTBLANK(G1600:AA1600)=20,"T",""))))))))}</f>
        <v>WILL TOTAL</v>
      </c>
      <c r="AC1599" s="76" t="str">
        <f t="array" ref="AC1599:AC1600">{"WILL TOTAL";(sum(G1600:AA1600))}</f>
        <v>WILL TOTAL</v>
      </c>
    </row>
    <row r="1600">
      <c r="A1600" s="48" t="s">
        <v>223</v>
      </c>
      <c r="B1600" s="48"/>
      <c r="C1600" s="48" t="s">
        <v>418</v>
      </c>
      <c r="D1600" s="97" t="s">
        <v>1549</v>
      </c>
      <c r="E1600" s="97" t="s">
        <v>1591</v>
      </c>
      <c r="F1600" s="98" t="s">
        <v>436</v>
      </c>
      <c r="G1600" s="132">
        <v>10.0</v>
      </c>
      <c r="H1600" s="98">
        <v>50.0</v>
      </c>
      <c r="I1600" s="98"/>
      <c r="J1600" s="98" t="s">
        <v>603</v>
      </c>
      <c r="K1600" s="98"/>
      <c r="L1600" s="98" t="s">
        <v>603</v>
      </c>
      <c r="M1600" s="97"/>
      <c r="N1600" s="98">
        <v>110.0</v>
      </c>
      <c r="O1600" s="98"/>
      <c r="P1600" s="98" t="s">
        <v>603</v>
      </c>
      <c r="Q1600" s="97"/>
      <c r="R1600" s="98" t="s">
        <v>603</v>
      </c>
      <c r="S1600" s="98"/>
      <c r="T1600" s="98" t="s">
        <v>603</v>
      </c>
      <c r="U1600" s="98"/>
      <c r="V1600" s="98" t="s">
        <v>603</v>
      </c>
      <c r="W1600" s="98"/>
      <c r="X1600" s="98">
        <v>190.0</v>
      </c>
      <c r="Y1600" s="98"/>
      <c r="Z1600" s="98" t="s">
        <v>603</v>
      </c>
      <c r="AA1600" s="98"/>
      <c r="AB1600" s="5" t="s">
        <v>466</v>
      </c>
      <c r="AC1600" s="47">
        <v>360.0</v>
      </c>
    </row>
    <row r="1601" hidden="1">
      <c r="A1601" s="222" t="str">
        <f t="array" ref="A1601:A1602">{"FormulaRow26";(INDEX(CLASSLIST,A1550,1))}</f>
        <v>FormulaRow26</v>
      </c>
      <c r="B1601" s="77" t="s">
        <v>236</v>
      </c>
      <c r="C1601" s="222" t="str">
        <f t="array" ref="C1601:C1602">{"CLASSTYPE";((INDEX(ALLCLASSDATA,MATCH("ClassType",CLASSFEATUREHEADERS,0),MATCH($A1602,CLASSNAMEHEADERS,0))))}</f>
        <v>CLASSTYPE</v>
      </c>
      <c r="D1601" s="228" t="str">
        <f t="array" ref="D1601:D1602">{"ATTACK";"Attack"}</f>
        <v>ATTACK</v>
      </c>
      <c r="E1601" s="228" t="str">
        <f t="array" ref="E1601:E1602">{"WEAPONSPECIAL";"WeaponCS/WS/GWS"}</f>
        <v>WEAPONSPECIAL</v>
      </c>
      <c r="F1601" s="230"/>
      <c r="G1601" s="230"/>
      <c r="H1601" s="230" t="str">
        <f t="array" ref="H1601:H1602">{"WEAPONSPECIALL01";((IF("01"=INDEX(ALLCLASSDATA,MATCH("WeaponGreaterSpecialization",CLASSFEATUREHEADERS,0),MATCH($A1602,CLASSNAMEHEADERS,0)),WeaponGWS,(IF("01"=INDEX(ALLCLASSDATA,MATCH("WeaponSpecialization",CLASSFEATUREHEADERS,0),MATCH($A1602,CLASSNAMEHEADERS,0)),WeaponWS,(IF("01"=INDEX(ALLCLASSDATA,MATCH("WeaponCriticalSpecialization",CLASSFEATUREHEADERS,0),MATCH($A1602,CLASSNAMEHEADERS,0)),WeaponCS,"")))))))}</f>
        <v>WEAPONSPECIALL01</v>
      </c>
      <c r="I1601" s="230"/>
      <c r="J1601" s="230" t="str">
        <f t="array" ref="J1601:J1602">{"WEAPONSPECIALL03";((IF("03"=INDEX(ALLCLASSDATA,MATCH("WeaponGreaterSpecialization",CLASSFEATUREHEADERS,0),MATCH($A1602,CLASSNAMEHEADERS,0)),WeaponGWS,(IF("03"=INDEX(ALLCLASSDATA,MATCH("WeaponSpecialization",CLASSFEATUREHEADERS,0),MATCH($A1602,CLASSNAMEHEADERS,0)),WeaponWS,(IF("03"=INDEX(ALLCLASSDATA,MATCH("WeaponCriticalSpecialization",CLASSFEATUREHEADERS,0),MATCH($A1602,CLASSNAMEHEADERS,0)),WeaponCS,"")))))))}</f>
        <v>WEAPONSPECIALL03</v>
      </c>
      <c r="K1601" s="230"/>
      <c r="L1601" s="230" t="str">
        <f t="array" ref="L1601:L1602">{"WEAPONSPECIALL05";((IF("05"=INDEX(ALLCLASSDATA,MATCH("WeaponGreaterSpecialization",CLASSFEATUREHEADERS,0),MATCH($A1602,CLASSNAMEHEADERS,0)),WeaponGWS,(IF("05"=INDEX(ALLCLASSDATA,MATCH("WeaponSpecialization",CLASSFEATUREHEADERS,0),MATCH($A1602,CLASSNAMEHEADERS,0)),WeaponWS,(IF("05"=INDEX(ALLCLASSDATA,MATCH("WeaponCriticalSpecialization",CLASSFEATUREHEADERS,0),MATCH($A1602,CLASSNAMEHEADERS,0)),WeaponCS,"")))))))}</f>
        <v>WEAPONSPECIALL05</v>
      </c>
      <c r="M1601" s="230"/>
      <c r="N1601" s="230" t="str">
        <f t="array" ref="N1601:N1602">{"WEAPONSPECIALL07";((IF("07"=INDEX(ALLCLASSDATA,MATCH("WeaponGreaterSpecialization",CLASSFEATUREHEADERS,0),MATCH($A1602,CLASSNAMEHEADERS,0)),WeaponGWS,(IF("07"=INDEX(ALLCLASSDATA,MATCH("WeaponSpecialization",CLASSFEATUREHEADERS,0),MATCH($A1602,CLASSNAMEHEADERS,0)),WeaponWS,(IF("07"=INDEX(ALLCLASSDATA,MATCH("WeaponCriticalSpecialization",CLASSFEATUREHEADERS,0),MATCH($A1602,CLASSNAMEHEADERS,0)),WeaponCS,"")))))))}</f>
        <v>WEAPONSPECIALL07</v>
      </c>
      <c r="O1601" s="230"/>
      <c r="P1601" s="230" t="str">
        <f t="array" ref="P1601:P1602">{"WEAPONSPECIALL09";((IF("09"=INDEX(ALLCLASSDATA,MATCH("WeaponGreaterSpecialization",CLASSFEATUREHEADERS,0),MATCH($A1602,CLASSNAMEHEADERS,0)),WeaponGWS,(IF("09"=INDEX(ALLCLASSDATA,MATCH("WeaponSpecialization",CLASSFEATUREHEADERS,0),MATCH($A1602,CLASSNAMEHEADERS,0)),WeaponWS,(IF("09"=INDEX(ALLCLASSDATA,MATCH("WeaponCriticalSpecialization",CLASSFEATUREHEADERS,0),MATCH($A1602,CLASSNAMEHEADERS,0)),WeaponCS,"")))))))}</f>
        <v>WEAPONSPECIALL09</v>
      </c>
      <c r="Q1601" s="230"/>
      <c r="R1601" s="230" t="str">
        <f t="array" ref="R1601:R1602">{"WEAPONSPECIALL11";((IF("11"=INDEX(ALLCLASSDATA,MATCH("WeaponGreaterSpecialization",CLASSFEATUREHEADERS,0),MATCH($A1602,CLASSNAMEHEADERS,0)),WeaponGWS,(IF("11"=INDEX(ALLCLASSDATA,MATCH("WeaponSpecialization",CLASSFEATUREHEADERS,0),MATCH($A1602,CLASSNAMEHEADERS,0)),WeaponWS,(IF("11"=INDEX(ALLCLASSDATA,MATCH("WeaponCriticalSpecialization",CLASSFEATUREHEADERS,0),MATCH($A1602,CLASSNAMEHEADERS,0)),WeaponCS,"")))))))}</f>
        <v>WEAPONSPECIALL11</v>
      </c>
      <c r="S1601" s="230"/>
      <c r="T1601" s="230" t="str">
        <f t="array" ref="T1601:T1602">{"WEAPONSPECIALL13";((IF("13"=INDEX(ALLCLASSDATA,MATCH("WeaponGreaterSpecialization",CLASSFEATUREHEADERS,0),MATCH($A1602,CLASSNAMEHEADERS,0)),WeaponGWS,(IF("13"=INDEX(ALLCLASSDATA,MATCH("WeaponSpecialization",CLASSFEATUREHEADERS,0),MATCH($A1602,CLASSNAMEHEADERS,0)),WeaponWS,(IF("13"=INDEX(ALLCLASSDATA,MATCH("WeaponCriticalSpecialization",CLASSFEATUREHEADERS,0),MATCH($A1602,CLASSNAMEHEADERS,0)),WeaponCS,"")))))))}</f>
        <v>WEAPONSPECIALL13</v>
      </c>
      <c r="U1601" s="230"/>
      <c r="V1601" s="230" t="str">
        <f t="array" ref="V1601:V1602">{"WEAPONSPECIALL15";((IF("15"=INDEX(ALLCLASSDATA,MATCH("WeaponGreaterSpecialization",CLASSFEATUREHEADERS,0),MATCH($A1602,CLASSNAMEHEADERS,0)),WeaponGWS,(IF("15"=INDEX(ALLCLASSDATA,MATCH("WeaponSpecialization",CLASSFEATUREHEADERS,0),MATCH($A1602,CLASSNAMEHEADERS,0)),WeaponWS,(IF("15"=INDEX(ALLCLASSDATA,MATCH("WeaponCriticalSpecialization",CLASSFEATUREHEADERS,0),MATCH($A1602,CLASSNAMEHEADERS,0)),WeaponCS,"")))))))}</f>
        <v>WEAPONSPECIALL15</v>
      </c>
      <c r="W1601" s="230"/>
      <c r="X1601" s="230" t="str">
        <f t="array" ref="X1601:X1602">{"WEAPONSPECIALL17";((IF("17"=INDEX(ALLCLASSDATA,MATCH("WeaponGreaterSpecialization",CLASSFEATUREHEADERS,0),MATCH($A1602,CLASSNAMEHEADERS,0)),WeaponGWS,(IF("17"=INDEX(ALLCLASSDATA,MATCH("WeaponSpecialization",CLASSFEATUREHEADERS,0),MATCH($A1602,CLASSNAMEHEADERS,0)),WeaponWS,(IF("17"=INDEX(ALLCLASSDATA,MATCH("WeaponCriticalSpecialization",CLASSFEATUREHEADERS,0),MATCH($A1602,CLASSNAMEHEADERS,0)),WeaponCS,"")))))))}</f>
        <v>WEAPONSPECIALL17</v>
      </c>
      <c r="Y1601" s="230"/>
      <c r="Z1601" s="230" t="str">
        <f t="array" ref="Z1601:Z1602">{"WEAPONSPECIALL19";((IF("19"=INDEX(ALLCLASSDATA,MATCH("WeaponGreaterSpecialization",CLASSFEATUREHEADERS,0),MATCH($A1602,CLASSNAMEHEADERS,0)),WeaponGWS,(IF("19"=INDEX(ALLCLASSDATA,MATCH("WeaponSpecialization",CLASSFEATUREHEADERS,0),MATCH($A1602,CLASSNAMEHEADERS,0)),WeaponWS,(IF("19"=INDEX(ALLCLASSDATA,MATCH("WeaponCriticalSpecialization",CLASSFEATUREHEADERS,0),MATCH($A1602,CLASSNAMEHEADERS,0)),WeaponCS,"")))))))}</f>
        <v>WEAPONSPECIALL19</v>
      </c>
      <c r="AA1601" s="230"/>
      <c r="AB1601" s="76"/>
      <c r="AC1601" s="76" t="str">
        <f t="array" ref="AC1601:AC1602">{"WEAPONSPECIAL TOTAL";(sum(G1602:AA1602))}</f>
        <v>WEAPONSPECIAL TOTAL</v>
      </c>
    </row>
    <row r="1602">
      <c r="A1602" s="48" t="s">
        <v>223</v>
      </c>
      <c r="B1602" s="48"/>
      <c r="C1602" s="48" t="s">
        <v>418</v>
      </c>
      <c r="D1602" s="48" t="s">
        <v>1634</v>
      </c>
      <c r="E1602" s="48" t="s">
        <v>1635</v>
      </c>
      <c r="F1602" s="5"/>
      <c r="G1602" s="47"/>
      <c r="H1602" s="5" t="s">
        <v>603</v>
      </c>
      <c r="I1602" s="5"/>
      <c r="J1602" s="5" t="s">
        <v>603</v>
      </c>
      <c r="K1602" s="5"/>
      <c r="L1602" s="5" t="s">
        <v>603</v>
      </c>
      <c r="M1602" s="5"/>
      <c r="N1602" s="5" t="s">
        <v>603</v>
      </c>
      <c r="O1602" s="5"/>
      <c r="P1602" s="5" t="s">
        <v>603</v>
      </c>
      <c r="Q1602" s="5"/>
      <c r="R1602" s="5" t="s">
        <v>603</v>
      </c>
      <c r="S1602" s="5"/>
      <c r="T1602" s="5">
        <v>70.0</v>
      </c>
      <c r="U1602" s="5"/>
      <c r="V1602" s="5" t="s">
        <v>603</v>
      </c>
      <c r="W1602" s="5"/>
      <c r="X1602" s="5" t="s">
        <v>603</v>
      </c>
      <c r="Y1602" s="5"/>
      <c r="Z1602" s="5" t="s">
        <v>603</v>
      </c>
      <c r="AA1602" s="5"/>
      <c r="AB1602" s="5"/>
      <c r="AC1602" s="47">
        <v>70.0</v>
      </c>
    </row>
    <row r="1603" hidden="1">
      <c r="A1603" s="222" t="str">
        <f t="array" ref="A1603:A1604">{"FormulaRow27";(INDEX(CLASSLIST,A1550,1))}</f>
        <v>FormulaRow27</v>
      </c>
      <c r="B1603" s="77" t="s">
        <v>236</v>
      </c>
      <c r="C1603" s="222" t="str">
        <f t="array" ref="C1603:C1604">{"CLASSTYPE";((INDEX(ALLCLASSDATA,MATCH("ClassType",CLASSFEATUREHEADERS,0),MATCH($A1604,CLASSNAMEHEADERS,0))))}</f>
        <v>CLASSTYPE</v>
      </c>
      <c r="D1603" s="222" t="str">
        <f t="array" ref="D1603:D1604">{"ATTACK";"Attack"}</f>
        <v>ATTACK</v>
      </c>
      <c r="E1603" s="222" t="str">
        <f t="array" ref="E1603:E1604">{"UNARMED";"Unarmed"}</f>
        <v>UNARMED</v>
      </c>
      <c r="F1603" s="223" t="str">
        <f t="array" ref="F1603:F1604">{"UNARMEDINITIAL";((IF(H1604=10,"T",(IF(H1604=50,"E","")))))}</f>
        <v>UNARMEDINITIAL</v>
      </c>
      <c r="G1603" s="223" t="str">
        <f t="array" ref="G1603:G1604">{"UNARMEDINITIALPTS";((IF("00"=(INDEX(ALLCLASSDATA,MATCH("UnarmedLegendary",CLASSFEATUREHEADERS,0),MATCH($A1604,CLASSNAMEHEADERS,0))),(INDEX(ALLCLASSDATA,MATCH("UnarmedLegendary",CLASSFEATUREHEADERS,0),MATCH(($A1604 &amp; "Points"),CLASSNAMEHEADERS,0))),(IF("00"=(INDEX(ALLCLASSDATA,MATCH("UnarmedMaster",CLASSFEATUREHEADERS,0),MATCH($A1604,CLASSNAMEHEADERS,0))),(INDEX(ALLCLASSDATA,MATCH("UnarmedMaster",CLASSFEATUREHEADERS,0),MATCH(($A1604 &amp; "Points"),CLASSNAMEHEADERS,0))),(IF("00"=(INDEX(ALLCLASSDATA,MATCH("UnarmedExpert",CLASSFEATUREHEADERS,0),MATCH($A1604,CLASSNAMEHEADERS,0))),(INDEX(ALLCLASSDATA,MATCH("UnarmedExpert",CLASSFEATUREHEADERS,0),MATCH(($A1604 &amp; "Points"),CLASSNAMEHEADERS,0))),(IF("00"=(INDEX(ALLCLASSDATA,MATCH("UnarmedTrained",CLASSFEATUREHEADERS,0),MATCH($A1604,CLASSNAMEHEADERS,0))),(INDEX(ALLCLASSDATA,MATCH("UnarmedTrained",CLASSFEATUREHEADERS,0),MATCH(($A1604 &amp; "Points"),CLASSNAMEHEADERS,0))),"")))))))))}</f>
        <v>UNARMEDINITIALPTS</v>
      </c>
      <c r="H1603" s="223" t="str">
        <f t="array" ref="H1603:H1604">{"UNARMEDL01";((IF("01"=(INDEX(ALLCLASSDATA,MATCH("UnarmedLegendary",CLASSFEATUREHEADERS,0),MATCH($A1604,CLASSNAMEHEADERS,0))),(INDEX(ALLCLASSDATA,MATCH("UnarmedLegendary",CLASSFEATUREHEADERS,0),MATCH(($A1604 &amp; "Points"),CLASSNAMEHEADERS,0))),(IF("01"=(INDEX(ALLCLASSDATA,MATCH("UnarmedMaster",CLASSFEATUREHEADERS,0),MATCH($A1604,CLASSNAMEHEADERS,0))),(INDEX(ALLCLASSDATA,MATCH("UnarmedMaster",CLASSFEATUREHEADERS,0),MATCH(($A1604 &amp; "Points"),CLASSNAMEHEADERS,0))),(IF("01"=(INDEX(ALLCLASSDATA,MATCH("UnarmedExpert",CLASSFEATUREHEADERS,0),MATCH($A1604,CLASSNAMEHEADERS,0))),(INDEX(ALLCLASSDATA,MATCH("UnarmedExpert",CLASSFEATUREHEADERS,0),MATCH(($A1604 &amp; "Points"),CLASSNAMEHEADERS,0))),(IF("01"=(INDEX(ALLCLASSDATA,MATCH("UnarmedTrained",CLASSFEATUREHEADERS,0),MATCH($A1604,CLASSNAMEHEADERS,0))),(INDEX(ALLCLASSDATA,MATCH("UnarmedTrained",CLASSFEATUREHEADERS,0),MATCH(($A1604 &amp; "Points"),CLASSNAMEHEADERS,0))),"")))))))))}</f>
        <v>UNARMEDL01</v>
      </c>
      <c r="I1603" s="223"/>
      <c r="J1603" s="223" t="str">
        <f t="array" ref="J1603:J1604">{"UNARMEDL03";((IF("03"=(INDEX(ALLCLASSDATA,MATCH("UnarmedLegendary",CLASSFEATUREHEADERS,0),MATCH($A1604,CLASSNAMEHEADERS,0))),(INDEX(ALLCLASSDATA,MATCH("UnarmedLegendary",CLASSFEATUREHEADERS,0),MATCH(($A1604 &amp; "Points"),CLASSNAMEHEADERS,0))),(IF("03"=(INDEX(ALLCLASSDATA,MATCH("UnarmedMaster",CLASSFEATUREHEADERS,0),MATCH($A1604,CLASSNAMEHEADERS,0))),(INDEX(ALLCLASSDATA,MATCH("UnarmedMaster",CLASSFEATUREHEADERS,0),MATCH(($A1604 &amp; "Points"),CLASSNAMEHEADERS,0))),(IF("03"=(INDEX(ALLCLASSDATA,MATCH("UnarmedExpert",CLASSFEATUREHEADERS,0),MATCH($A1604,CLASSNAMEHEADERS,0))),(INDEX(ALLCLASSDATA,MATCH("UnarmedExpert",CLASSFEATUREHEADERS,0),MATCH(($A1604 &amp; "Points"),CLASSNAMEHEADERS,0))),(IF("03"=(INDEX(ALLCLASSDATA,MATCH("UnarmedTrained",CLASSFEATUREHEADERS,0),MATCH($A1604,CLASSNAMEHEADERS,0))),(INDEX(ALLCLASSDATA,MATCH("UnarmedTrained",CLASSFEATUREHEADERS,0),MATCH(($A1604 &amp; "Points"),CLASSNAMEHEADERS,0))),"")))))))))}</f>
        <v>UNARMEDL03</v>
      </c>
      <c r="K1603" s="223"/>
      <c r="L1603" s="223" t="str">
        <f t="array" ref="L1603:L1604">{"UNARMEDL05";((IF("05"=(INDEX(ALLCLASSDATA,MATCH("UnarmedLegendary",CLASSFEATUREHEADERS,0),MATCH($A1604,CLASSNAMEHEADERS,0))),(INDEX(ALLCLASSDATA,MATCH("UnarmedLegendary",CLASSFEATUREHEADERS,0),MATCH(($A1604 &amp; "Points"),CLASSNAMEHEADERS,0))),(IF("05"=(INDEX(ALLCLASSDATA,MATCH("UnarmedMaster",CLASSFEATUREHEADERS,0),MATCH($A1604,CLASSNAMEHEADERS,0))),(INDEX(ALLCLASSDATA,MATCH("UnarmedMaster",CLASSFEATUREHEADERS,0),MATCH(($A1604 &amp; "Points"),CLASSNAMEHEADERS,0))),(IF("05"=(INDEX(ALLCLASSDATA,MATCH("UnarmedExpert",CLASSFEATUREHEADERS,0),MATCH($A1604,CLASSNAMEHEADERS,0))),(INDEX(ALLCLASSDATA,MATCH("UnarmedExpert",CLASSFEATUREHEADERS,0),MATCH(($A1604 &amp; "Points"),CLASSNAMEHEADERS,0))),(IF("05"=(INDEX(ALLCLASSDATA,MATCH("UnarmedTrained",CLASSFEATUREHEADERS,0),MATCH($A1604,CLASSNAMEHEADERS,0))),(INDEX(ALLCLASSDATA,MATCH("UnarmedTrained",CLASSFEATUREHEADERS,0),MATCH(($A1604 &amp; "Points"),CLASSNAMEHEADERS,0))),"")))))))))}</f>
        <v>UNARMEDL05</v>
      </c>
      <c r="M1603" s="223"/>
      <c r="N1603" s="223" t="str">
        <f t="array" ref="N1603:N1604">{"UNARMEDL07";((IF("07"=(INDEX(ALLCLASSDATA,MATCH("UnarmedLegendary",CLASSFEATUREHEADERS,0),MATCH($A1604,CLASSNAMEHEADERS,0))),(INDEX(ALLCLASSDATA,MATCH("UnarmedLegendary",CLASSFEATUREHEADERS,0),MATCH(($A1604 &amp; "Points"),CLASSNAMEHEADERS,0))),(IF("07"=(INDEX(ALLCLASSDATA,MATCH("UnarmedMaster",CLASSFEATUREHEADERS,0),MATCH($A1604,CLASSNAMEHEADERS,0))),(INDEX(ALLCLASSDATA,MATCH("UnarmedMaster",CLASSFEATUREHEADERS,0),MATCH(($A1604 &amp; "Points"),CLASSNAMEHEADERS,0))),(IF("07"=(INDEX(ALLCLASSDATA,MATCH("UnarmedExpert",CLASSFEATUREHEADERS,0),MATCH($A1604,CLASSNAMEHEADERS,0))),(INDEX(ALLCLASSDATA,MATCH("UnarmedExpert",CLASSFEATUREHEADERS,0),MATCH(($A1604 &amp; "Points"),CLASSNAMEHEADERS,0))),(IF("07"=(INDEX(ALLCLASSDATA,MATCH("UnarmedTrained",CLASSFEATUREHEADERS,0),MATCH($A1604,CLASSNAMEHEADERS,0))),(INDEX(ALLCLASSDATA,MATCH("UnarmedTrained",CLASSFEATUREHEADERS,0),MATCH(($A1604 &amp; "Points"),CLASSNAMEHEADERS,0))),"")))))))))}</f>
        <v>UNARMEDL07</v>
      </c>
      <c r="O1603" s="223"/>
      <c r="P1603" s="223" t="str">
        <f t="array" ref="P1603:P1604">{"UNARMEDL09";((IF("09"=(INDEX(ALLCLASSDATA,MATCH("UnarmedLegendary",CLASSFEATUREHEADERS,0),MATCH($A1604,CLASSNAMEHEADERS,0))),(INDEX(ALLCLASSDATA,MATCH("UnarmedLegendary",CLASSFEATUREHEADERS,0),MATCH(($A1604 &amp; "Points"),CLASSNAMEHEADERS,0))),(IF("09"=(INDEX(ALLCLASSDATA,MATCH("UnarmedMaster",CLASSFEATUREHEADERS,0),MATCH($A1604,CLASSNAMEHEADERS,0))),(INDEX(ALLCLASSDATA,MATCH("UnarmedMaster",CLASSFEATUREHEADERS,0),MATCH(($A1604 &amp; "Points"),CLASSNAMEHEADERS,0))),(IF("09"=(INDEX(ALLCLASSDATA,MATCH("UnarmedExpert",CLASSFEATUREHEADERS,0),MATCH($A1604,CLASSNAMEHEADERS,0))),(INDEX(ALLCLASSDATA,MATCH("UnarmedExpert",CLASSFEATUREHEADERS,0),MATCH(($A1604 &amp; "Points"),CLASSNAMEHEADERS,0))),(IF("09"=(INDEX(ALLCLASSDATA,MATCH("UnarmedTrained",CLASSFEATUREHEADERS,0),MATCH($A1604,CLASSNAMEHEADERS,0))),(INDEX(ALLCLASSDATA,MATCH("UnarmedTrained",CLASSFEATUREHEADERS,0),MATCH(($A1604 &amp; "Points"),CLASSNAMEHEADERS,0))),"")))))))))}</f>
        <v>UNARMEDL09</v>
      </c>
      <c r="Q1603" s="223"/>
      <c r="R1603" s="223" t="str">
        <f t="array" ref="R1603:R1604">{"UNARMEDL11";((IF("11"=(INDEX(ALLCLASSDATA,MATCH("UnarmedLegendary",CLASSFEATUREHEADERS,0),MATCH($A1604,CLASSNAMEHEADERS,0))),(INDEX(ALLCLASSDATA,MATCH("UnarmedLegendary",CLASSFEATUREHEADERS,0),MATCH(($A1604 &amp; "Points"),CLASSNAMEHEADERS,0))),(IF("11"=(INDEX(ALLCLASSDATA,MATCH("UnarmedMaster",CLASSFEATUREHEADERS,0),MATCH($A1604,CLASSNAMEHEADERS,0))),(INDEX(ALLCLASSDATA,MATCH("UnarmedMaster",CLASSFEATUREHEADERS,0),MATCH(($A1604 &amp; "Points"),CLASSNAMEHEADERS,0))),(IF("11"=(INDEX(ALLCLASSDATA,MATCH("UnarmedExpert",CLASSFEATUREHEADERS,0),MATCH($A1604,CLASSNAMEHEADERS,0))),(INDEX(ALLCLASSDATA,MATCH("UnarmedExpert",CLASSFEATUREHEADERS,0),MATCH(($A1604 &amp; "Points"),CLASSNAMEHEADERS,0))),(IF("11"=(INDEX(ALLCLASSDATA,MATCH("UnarmedTrained",CLASSFEATUREHEADERS,0),MATCH($A1604,CLASSNAMEHEADERS,0))),(INDEX(ALLCLASSDATA,MATCH("UnarmedTrained",CLASSFEATUREHEADERS,0),MATCH(($A1604 &amp; "Points"),CLASSNAMEHEADERS,0))),"")))))))))}</f>
        <v>UNARMEDL11</v>
      </c>
      <c r="S1603" s="223"/>
      <c r="T1603" s="223" t="str">
        <f t="array" ref="T1603:T1604">{"UNARMEDL13";((IF("13"=(INDEX(ALLCLASSDATA,MATCH("UnarmedLegendary",CLASSFEATUREHEADERS,0),MATCH($A1604,CLASSNAMEHEADERS,0))),(INDEX(ALLCLASSDATA,MATCH("UnarmedLegendary",CLASSFEATUREHEADERS,0),MATCH(($A1604 &amp; "Points"),CLASSNAMEHEADERS,0))),(IF("13"=(INDEX(ALLCLASSDATA,MATCH("UnarmedMaster",CLASSFEATUREHEADERS,0),MATCH($A1604,CLASSNAMEHEADERS,0))),(INDEX(ALLCLASSDATA,MATCH("UnarmedMaster",CLASSFEATUREHEADERS,0),MATCH(($A1604 &amp; "Points"),CLASSNAMEHEADERS,0))),(IF("13"=(INDEX(ALLCLASSDATA,MATCH("UnarmedExpert",CLASSFEATUREHEADERS,0),MATCH($A1604,CLASSNAMEHEADERS,0))),(INDEX(ALLCLASSDATA,MATCH("UnarmedExpert",CLASSFEATUREHEADERS,0),MATCH(($A1604 &amp; "Points"),CLASSNAMEHEADERS,0))),(IF("13"=(INDEX(ALLCLASSDATA,MATCH("UnarmedTrained",CLASSFEATUREHEADERS,0),MATCH($A1604,CLASSNAMEHEADERS,0))),(INDEX(ALLCLASSDATA,MATCH("UnarmedTrained",CLASSFEATUREHEADERS,0),MATCH(($A1604 &amp; "Points"),CLASSNAMEHEADERS,0))),"")))))))))}</f>
        <v>UNARMEDL13</v>
      </c>
      <c r="U1603" s="223"/>
      <c r="V1603" s="223" t="str">
        <f t="array" ref="V1603:V1604">{"UNARMEDL15";((IF("15"=(INDEX(ALLCLASSDATA,MATCH("UnarmedLegendary",CLASSFEATUREHEADERS,0),MATCH($A1604,CLASSNAMEHEADERS,0))),(INDEX(ALLCLASSDATA,MATCH("UnarmedLegendary",CLASSFEATUREHEADERS,0),MATCH(($A1604 &amp; "Points"),CLASSNAMEHEADERS,0))),(IF("15"=(INDEX(ALLCLASSDATA,MATCH("UnarmedMaster",CLASSFEATUREHEADERS,0),MATCH($A1604,CLASSNAMEHEADERS,0))),(INDEX(ALLCLASSDATA,MATCH("UnarmedMaster",CLASSFEATUREHEADERS,0),MATCH(($A1604 &amp; "Points"),CLASSNAMEHEADERS,0))),(IF("15"=(INDEX(ALLCLASSDATA,MATCH("UnarmedExpert",CLASSFEATUREHEADERS,0),MATCH($A1604,CLASSNAMEHEADERS,0))),(INDEX(ALLCLASSDATA,MATCH("UnarmedExpert",CLASSFEATUREHEADERS,0),MATCH(($A1604 &amp; "Points"),CLASSNAMEHEADERS,0))),(IF("15"=(INDEX(ALLCLASSDATA,MATCH("UnarmedTrained",CLASSFEATUREHEADERS,0),MATCH($A1604,CLASSNAMEHEADERS,0))),(INDEX(ALLCLASSDATA,MATCH("UnarmedTrained",CLASSFEATUREHEADERS,0),MATCH(($A1604 &amp; "Points"),CLASSNAMEHEADERS,0))),"")))))))))}</f>
        <v>UNARMEDL15</v>
      </c>
      <c r="W1603" s="223"/>
      <c r="X1603" s="223" t="str">
        <f t="array" ref="X1603:X1604">{"UNARMEDL17";((IF("17"=(INDEX(ALLCLASSDATA,MATCH("UnarmedLegendary",CLASSFEATUREHEADERS,0),MATCH($A1604,CLASSNAMEHEADERS,0))),(INDEX(ALLCLASSDATA,MATCH("UnarmedLegendary",CLASSFEATUREHEADERS,0),MATCH(($A1604 &amp; "Points"),CLASSNAMEHEADERS,0))),(IF("17"=(INDEX(ALLCLASSDATA,MATCH("UnarmedMaster",CLASSFEATUREHEADERS,0),MATCH($A1604,CLASSNAMEHEADERS,0))),(INDEX(ALLCLASSDATA,MATCH("UnarmedMaster",CLASSFEATUREHEADERS,0),MATCH(($A1604 &amp; "Points"),CLASSNAMEHEADERS,0))),(IF("17"=(INDEX(ALLCLASSDATA,MATCH("UnarmedExpert",CLASSFEATUREHEADERS,0),MATCH($A1604,CLASSNAMEHEADERS,0))),(INDEX(ALLCLASSDATA,MATCH("UnarmedExpert",CLASSFEATUREHEADERS,0),MATCH(($A1604 &amp; "Points"),CLASSNAMEHEADERS,0))),(IF("17"=(INDEX(ALLCLASSDATA,MATCH("UnarmedTrained",CLASSFEATUREHEADERS,0),MATCH($A1604,CLASSNAMEHEADERS,0))),(INDEX(ALLCLASSDATA,MATCH("UnarmedTrained",CLASSFEATUREHEADERS,0),MATCH(($A1604 &amp; "Points"),CLASSNAMEHEADERS,0))),"")))))))))}</f>
        <v>UNARMEDL17</v>
      </c>
      <c r="Y1603" s="223"/>
      <c r="Z1603" s="223" t="str">
        <f t="array" ref="Z1603:Z1604">{"UNARMEDL19";((IF("19"=(INDEX(ALLCLASSDATA,MATCH("UnarmedLegendary",CLASSFEATUREHEADERS,0),MATCH($A1604,CLASSNAMEHEADERS,0))),(INDEX(ALLCLASSDATA,MATCH("UnarmedLegendary",CLASSFEATUREHEADERS,0),MATCH(($A1604 &amp; "Points"),CLASSNAMEHEADERS,0))),(IF("19"=(INDEX(ALLCLASSDATA,MATCH("UnarmedMaster",CLASSFEATUREHEADERS,0),MATCH($A1604,CLASSNAMEHEADERS,0))),(INDEX(ALLCLASSDATA,MATCH("UnarmedMaster",CLASSFEATUREHEADERS,0),MATCH(($A1604 &amp; "Points"),CLASSNAMEHEADERS,0))),(IF("19"=(INDEX(ALLCLASSDATA,MATCH("UnarmedExpert",CLASSFEATUREHEADERS,0),MATCH($A1604,CLASSNAMEHEADERS,0))),(INDEX(ALLCLASSDATA,MATCH("UnarmedExpert",CLASSFEATUREHEADERS,0),MATCH(($A1604 &amp; "Points"),CLASSNAMEHEADERS,0))),(IF("19"=(INDEX(ALLCLASSDATA,MATCH("UnarmedTrained",CLASSFEATUREHEADERS,0),MATCH($A1604,CLASSNAMEHEADERS,0))),(INDEX(ALLCLASSDATA,MATCH("UnarmedTrained",CLASSFEATUREHEADERS,0),MATCH(($A1604 &amp; "Points"),CLASSNAMEHEADERS,0))),"")))))))))}</f>
        <v>UNARMEDL19</v>
      </c>
      <c r="AA1603" s="223"/>
      <c r="AB1603" s="76" t="str">
        <f t="array" ref="AB1603:AB1604">{"UNARMED TOTAL";(IF(COUNTBLANK(G1604:AA1604)=17,"L",(IF(COUNTBLANK(G1604:AA1604)=18,"M",(IF(COUNTBLANK(G1604:AA1604)=19,"E",(IF(COUNTBLANK(G1604:AA1604)=20,"T",""))))))))}</f>
        <v>UNARMED TOTAL</v>
      </c>
      <c r="AC1603" s="76" t="str">
        <f t="array" ref="AC1603:AC1604">{"UNARMED TOTAL";(sum(G1604:AA1604))}</f>
        <v>UNARMED TOTAL</v>
      </c>
    </row>
    <row r="1604">
      <c r="A1604" s="48" t="s">
        <v>223</v>
      </c>
      <c r="B1604" s="48"/>
      <c r="C1604" s="48" t="s">
        <v>418</v>
      </c>
      <c r="D1604" s="48" t="s">
        <v>1634</v>
      </c>
      <c r="E1604" s="48" t="s">
        <v>257</v>
      </c>
      <c r="F1604" s="5" t="s">
        <v>435</v>
      </c>
      <c r="G1604" s="47" t="s">
        <v>603</v>
      </c>
      <c r="H1604" s="5">
        <v>10.0</v>
      </c>
      <c r="I1604" s="5"/>
      <c r="J1604" s="5" t="s">
        <v>603</v>
      </c>
      <c r="K1604" s="5"/>
      <c r="L1604" s="5" t="s">
        <v>603</v>
      </c>
      <c r="M1604" s="5"/>
      <c r="N1604" s="5" t="s">
        <v>603</v>
      </c>
      <c r="O1604" s="5"/>
      <c r="P1604" s="5" t="s">
        <v>603</v>
      </c>
      <c r="Q1604" s="5"/>
      <c r="R1604" s="5" t="s">
        <v>436</v>
      </c>
      <c r="S1604" s="5"/>
      <c r="T1604" s="5" t="s">
        <v>603</v>
      </c>
      <c r="U1604" s="5"/>
      <c r="V1604" s="5" t="s">
        <v>603</v>
      </c>
      <c r="W1604" s="5"/>
      <c r="X1604" s="5" t="s">
        <v>603</v>
      </c>
      <c r="Y1604" s="5"/>
      <c r="Z1604" s="5" t="s">
        <v>603</v>
      </c>
      <c r="AA1604" s="5"/>
      <c r="AB1604" s="5" t="s">
        <v>436</v>
      </c>
      <c r="AC1604" s="47">
        <v>10.0</v>
      </c>
    </row>
    <row r="1605" hidden="1">
      <c r="A1605" s="222" t="str">
        <f t="array" ref="A1605:A1606">{"FormulaRow28";(INDEX(CLASSLIST,A1550,1))}</f>
        <v>FormulaRow28</v>
      </c>
      <c r="B1605" s="77" t="s">
        <v>236</v>
      </c>
      <c r="C1605" s="222" t="str">
        <f t="array" ref="C1605:C1606">{"CLASSTYPE";((INDEX(ALLCLASSDATA,MATCH("ClassType",CLASSFEATUREHEADERS,0),MATCH($A1606,CLASSNAMEHEADERS,0))))}</f>
        <v>CLASSTYPE</v>
      </c>
      <c r="D1605" s="222" t="str">
        <f t="array" ref="D1605:D1606">{"ATTACK";"Attack"}</f>
        <v>ATTACK</v>
      </c>
      <c r="E1605" s="222" t="str">
        <f t="array" ref="E1605:E1606">{"SIMPLELIMITED";"SimpleLimited"}</f>
        <v>SIMPLELIMITED</v>
      </c>
      <c r="F1605" s="223" t="str">
        <f t="array" ref="F1605:F1606">{"SIMPLELIMITEDINITIAL";((IF(H1606=10,"T",(IF(H1606=50,"E","")))))}</f>
        <v>SIMPLELIMITEDINITIAL</v>
      </c>
      <c r="G1605" s="223" t="str">
        <f t="array" ref="G1605:G1606">{"SIMPLELIMITEDINITIALPTS";((IF("00"=(INDEX(ALLCLASSDATA,MATCH("SimpleLimitedLegendary",CLASSFEATUREHEADERS,0),MATCH($A1606,CLASSNAMEHEADERS,0))),(INDEX(ALLCLASSDATA,MATCH("SimpleLimitedLegendary",CLASSFEATUREHEADERS,0),MATCH(($A1606 &amp; "Points"),CLASSNAMEHEADERS,0))),(IF("00"=(INDEX(ALLCLASSDATA,MATCH("SimpleLimitedMaster",CLASSFEATUREHEADERS,0),MATCH($A1606,CLASSNAMEHEADERS,0))),(INDEX(ALLCLASSDATA,MATCH("SimpleLimitedMaster",CLASSFEATUREHEADERS,0),MATCH(($A1606 &amp; "Points"),CLASSNAMEHEADERS,0))),(IF("00"=(INDEX(ALLCLASSDATA,MATCH("SimpleLimitedExpert",CLASSFEATUREHEADERS,0),MATCH($A1606,CLASSNAMEHEADERS,0))),(INDEX(ALLCLASSDATA,MATCH("SimpleLimitedExpert",CLASSFEATUREHEADERS,0),MATCH(($A1606 &amp; "Points"),CLASSNAMEHEADERS,0))),(IF("00"=(INDEX(ALLCLASSDATA,MATCH("SimpleLimitedTrained",CLASSFEATUREHEADERS,0),MATCH($A1606,CLASSNAMEHEADERS,0))),(INDEX(ALLCLASSDATA,MATCH("SimpleLimitedTrained",CLASSFEATUREHEADERS,0),MATCH(($A1606 &amp; "Points"),CLASSNAMEHEADERS,0))),"")))))))))}</f>
        <v>SIMPLELIMITEDINITIALPTS</v>
      </c>
      <c r="H1605" s="223" t="str">
        <f t="array" ref="H1605:H1606">{"SIMPLELIMITEDL01";((IF("01"=(INDEX(ALLCLASSDATA,MATCH("SimpleLimitedLegendary",CLASSFEATUREHEADERS,0),MATCH($A1606,CLASSNAMEHEADERS,0))),(INDEX(ALLCLASSDATA,MATCH("SimpleLimitedLegendary",CLASSFEATUREHEADERS,0),MATCH(($A1606 &amp; "Points"),CLASSNAMEHEADERS,0))),(IF("01"=(INDEX(ALLCLASSDATA,MATCH("SimpleLimitedMaster",CLASSFEATUREHEADERS,0),MATCH($A1606,CLASSNAMEHEADERS,0))),(INDEX(ALLCLASSDATA,MATCH("SimpleLimitedMaster",CLASSFEATUREHEADERS,0),MATCH(($A1606 &amp; "Points"),CLASSNAMEHEADERS,0))),(IF("01"=(INDEX(ALLCLASSDATA,MATCH("SimpleLimitedExpert",CLASSFEATUREHEADERS,0),MATCH($A1606,CLASSNAMEHEADERS,0))),(INDEX(ALLCLASSDATA,MATCH("SimpleLimitedExpert",CLASSFEATUREHEADERS,0),MATCH(($A1606 &amp; "Points"),CLASSNAMEHEADERS,0))),(IF("01"=(INDEX(ALLCLASSDATA,MATCH("SimpleLimitedTrained",CLASSFEATUREHEADERS,0),MATCH($A1606,CLASSNAMEHEADERS,0))),(INDEX(ALLCLASSDATA,MATCH("SimpleLimitedTrained",CLASSFEATUREHEADERS,0),MATCH(($A1606 &amp; "Points"),CLASSNAMEHEADERS,0))),"")))))))))}</f>
        <v>SIMPLELIMITEDL01</v>
      </c>
      <c r="I1605" s="223"/>
      <c r="J1605" s="223" t="str">
        <f t="array" ref="J1605:J1606">{"SIMPLELIMITEDL03";((IF("03"=(INDEX(ALLCLASSDATA,MATCH("SimpleLimitedLegendary",CLASSFEATUREHEADERS,0),MATCH($A1606,CLASSNAMEHEADERS,0))),(INDEX(ALLCLASSDATA,MATCH("SimpleLimitedLegendary",CLASSFEATUREHEADERS,0),MATCH(($A1606 &amp; "Points"),CLASSNAMEHEADERS,0))),(IF("03"=(INDEX(ALLCLASSDATA,MATCH("SimpleLimitedMaster",CLASSFEATUREHEADERS,0),MATCH($A1606,CLASSNAMEHEADERS,0))),(INDEX(ALLCLASSDATA,MATCH("SimpleLimitedMaster",CLASSFEATUREHEADERS,0),MATCH(($A1606 &amp; "Points"),CLASSNAMEHEADERS,0))),(IF("03"=(INDEX(ALLCLASSDATA,MATCH("SimpleLimitedExpert",CLASSFEATUREHEADERS,0),MATCH($A1606,CLASSNAMEHEADERS,0))),(INDEX(ALLCLASSDATA,MATCH("SimpleLimitedExpert",CLASSFEATUREHEADERS,0),MATCH(($A1606 &amp; "Points"),CLASSNAMEHEADERS,0))),(IF("03"=(INDEX(ALLCLASSDATA,MATCH("SimpleLimitedTrained",CLASSFEATUREHEADERS,0),MATCH($A1606,CLASSNAMEHEADERS,0))),(INDEX(ALLCLASSDATA,MATCH("SimpleLimitedTrained",CLASSFEATUREHEADERS,0),MATCH(($A1606 &amp; "Points"),CLASSNAMEHEADERS,0))),"")))))))))}</f>
        <v>SIMPLELIMITEDL03</v>
      </c>
      <c r="K1605" s="223"/>
      <c r="L1605" s="223" t="str">
        <f t="array" ref="L1605:L1606">{"SIMPLELIMITEDL05";((IF("05"=(INDEX(ALLCLASSDATA,MATCH("SimpleLimitedLegendary",CLASSFEATUREHEADERS,0),MATCH($A1606,CLASSNAMEHEADERS,0))),(INDEX(ALLCLASSDATA,MATCH("SimpleLimitedLegendary",CLASSFEATUREHEADERS,0),MATCH(($A1606 &amp; "Points"),CLASSNAMEHEADERS,0))),(IF("05"=(INDEX(ALLCLASSDATA,MATCH("SimpleLimitedMaster",CLASSFEATUREHEADERS,0),MATCH($A1606,CLASSNAMEHEADERS,0))),(INDEX(ALLCLASSDATA,MATCH("SimpleLimitedMaster",CLASSFEATUREHEADERS,0),MATCH(($A1606 &amp; "Points"),CLASSNAMEHEADERS,0))),(IF("05"=(INDEX(ALLCLASSDATA,MATCH("SimpleLimitedExpert",CLASSFEATUREHEADERS,0),MATCH($A1606,CLASSNAMEHEADERS,0))),(INDEX(ALLCLASSDATA,MATCH("SimpleLimitedExpert",CLASSFEATUREHEADERS,0),MATCH(($A1606 &amp; "Points"),CLASSNAMEHEADERS,0))),(IF("05"=(INDEX(ALLCLASSDATA,MATCH("SimpleLimitedTrained",CLASSFEATUREHEADERS,0),MATCH($A1606,CLASSNAMEHEADERS,0))),(INDEX(ALLCLASSDATA,MATCH("SimpleLimitedTrained",CLASSFEATUREHEADERS,0),MATCH(($A1606 &amp; "Points"),CLASSNAMEHEADERS,0))),"")))))))))}</f>
        <v>SIMPLELIMITEDL05</v>
      </c>
      <c r="M1605" s="223"/>
      <c r="N1605" s="223" t="str">
        <f t="array" ref="N1605:N1606">{"SIMPLELIMITEDL07";((IF("07"=(INDEX(ALLCLASSDATA,MATCH("SimpleLimitedLegendary",CLASSFEATUREHEADERS,0),MATCH($A1606,CLASSNAMEHEADERS,0))),(INDEX(ALLCLASSDATA,MATCH("SimpleLimitedLegendary",CLASSFEATUREHEADERS,0),MATCH(($A1606 &amp; "Points"),CLASSNAMEHEADERS,0))),(IF("07"=(INDEX(ALLCLASSDATA,MATCH("SimpleLimitedMaster",CLASSFEATUREHEADERS,0),MATCH($A1606,CLASSNAMEHEADERS,0))),(INDEX(ALLCLASSDATA,MATCH("SimpleLimitedMaster",CLASSFEATUREHEADERS,0),MATCH(($A1606 &amp; "Points"),CLASSNAMEHEADERS,0))),(IF("07"=(INDEX(ALLCLASSDATA,MATCH("SimpleLimitedExpert",CLASSFEATUREHEADERS,0),MATCH($A1606,CLASSNAMEHEADERS,0))),(INDEX(ALLCLASSDATA,MATCH("SimpleLimitedExpert",CLASSFEATUREHEADERS,0),MATCH(($A1606 &amp; "Points"),CLASSNAMEHEADERS,0))),(IF("07"=(INDEX(ALLCLASSDATA,MATCH("SimpleLimitedTrained",CLASSFEATUREHEADERS,0),MATCH($A1606,CLASSNAMEHEADERS,0))),(INDEX(ALLCLASSDATA,MATCH("SimpleLimitedTrained",CLASSFEATUREHEADERS,0),MATCH(($A1606 &amp; "Points"),CLASSNAMEHEADERS,0))),"")))))))))}</f>
        <v>SIMPLELIMITEDL07</v>
      </c>
      <c r="O1605" s="223"/>
      <c r="P1605" s="223" t="str">
        <f t="array" ref="P1605:P1606">{"SIMPLELIMITEDL09";((IF("09"=(INDEX(ALLCLASSDATA,MATCH("SimpleLimitedLegendary",CLASSFEATUREHEADERS,0),MATCH($A1606,CLASSNAMEHEADERS,0))),(INDEX(ALLCLASSDATA,MATCH("SimpleLimitedLegendary",CLASSFEATUREHEADERS,0),MATCH(($A1606 &amp; "Points"),CLASSNAMEHEADERS,0))),(IF("09"=(INDEX(ALLCLASSDATA,MATCH("SimpleLimitedMaster",CLASSFEATUREHEADERS,0),MATCH($A1606,CLASSNAMEHEADERS,0))),(INDEX(ALLCLASSDATA,MATCH("SimpleLimitedMaster",CLASSFEATUREHEADERS,0),MATCH(($A1606 &amp; "Points"),CLASSNAMEHEADERS,0))),(IF("09"=(INDEX(ALLCLASSDATA,MATCH("SimpleLimitedExpert",CLASSFEATUREHEADERS,0),MATCH($A1606,CLASSNAMEHEADERS,0))),(INDEX(ALLCLASSDATA,MATCH("SimpleLimitedExpert",CLASSFEATUREHEADERS,0),MATCH(($A1606 &amp; "Points"),CLASSNAMEHEADERS,0))),(IF("09"=(INDEX(ALLCLASSDATA,MATCH("SimpleLimitedTrained",CLASSFEATUREHEADERS,0),MATCH($A1606,CLASSNAMEHEADERS,0))),(INDEX(ALLCLASSDATA,MATCH("SimpleLimitedTrained",CLASSFEATUREHEADERS,0),MATCH(($A1606 &amp; "Points"),CLASSNAMEHEADERS,0))),"")))))))))}</f>
        <v>SIMPLELIMITEDL09</v>
      </c>
      <c r="Q1605" s="223"/>
      <c r="R1605" s="223" t="str">
        <f t="array" ref="R1605:R1606">{"SIMPLELIMITEDL11";((IF("11"=(INDEX(ALLCLASSDATA,MATCH("SimpleLimitedLegendary",CLASSFEATUREHEADERS,0),MATCH($A1606,CLASSNAMEHEADERS,0))),(INDEX(ALLCLASSDATA,MATCH("SimpleLimitedLegendary",CLASSFEATUREHEADERS,0),MATCH(($A1606 &amp; "Points"),CLASSNAMEHEADERS,0))),(IF("11"=(INDEX(ALLCLASSDATA,MATCH("SimpleLimitedMaster",CLASSFEATUREHEADERS,0),MATCH($A1606,CLASSNAMEHEADERS,0))),(INDEX(ALLCLASSDATA,MATCH("SimpleLimitedMaster",CLASSFEATUREHEADERS,0),MATCH(($A1606 &amp; "Points"),CLASSNAMEHEADERS,0))),(IF("11"=(INDEX(ALLCLASSDATA,MATCH("SimpleLimitedExpert",CLASSFEATUREHEADERS,0),MATCH($A1606,CLASSNAMEHEADERS,0))),(INDEX(ALLCLASSDATA,MATCH("SimpleLimitedExpert",CLASSFEATUREHEADERS,0),MATCH(($A1606 &amp; "Points"),CLASSNAMEHEADERS,0))),(IF("11"=(INDEX(ALLCLASSDATA,MATCH("SimpleLimitedTrained",CLASSFEATUREHEADERS,0),MATCH($A1606,CLASSNAMEHEADERS,0))),(INDEX(ALLCLASSDATA,MATCH("SimpleLimitedTrained",CLASSFEATUREHEADERS,0),MATCH(($A1606 &amp; "Points"),CLASSNAMEHEADERS,0))),"")))))))))}</f>
        <v>SIMPLELIMITEDL11</v>
      </c>
      <c r="S1605" s="223"/>
      <c r="T1605" s="223" t="str">
        <f t="array" ref="T1605:T1606">{"SIMPLELIMITEDL13";((IF("13"=(INDEX(ALLCLASSDATA,MATCH("SimpleLimitedLegendary",CLASSFEATUREHEADERS,0),MATCH($A1606,CLASSNAMEHEADERS,0))),(INDEX(ALLCLASSDATA,MATCH("SimpleLimitedLegendary",CLASSFEATUREHEADERS,0),MATCH(($A1606 &amp; "Points"),CLASSNAMEHEADERS,0))),(IF("13"=(INDEX(ALLCLASSDATA,MATCH("SimpleLimitedMaster",CLASSFEATUREHEADERS,0),MATCH($A1606,CLASSNAMEHEADERS,0))),(INDEX(ALLCLASSDATA,MATCH("SimpleLimitedMaster",CLASSFEATUREHEADERS,0),MATCH(($A1606 &amp; "Points"),CLASSNAMEHEADERS,0))),(IF("13"=(INDEX(ALLCLASSDATA,MATCH("SimpleLimitedExpert",CLASSFEATUREHEADERS,0),MATCH($A1606,CLASSNAMEHEADERS,0))),(INDEX(ALLCLASSDATA,MATCH("SimpleLimitedExpert",CLASSFEATUREHEADERS,0),MATCH(($A1606 &amp; "Points"),CLASSNAMEHEADERS,0))),(IF("13"=(INDEX(ALLCLASSDATA,MATCH("SimpleLimitedTrained",CLASSFEATUREHEADERS,0),MATCH($A1606,CLASSNAMEHEADERS,0))),(INDEX(ALLCLASSDATA,MATCH("SimpleLimitedTrained",CLASSFEATUREHEADERS,0),MATCH(($A1606 &amp; "Points"),CLASSNAMEHEADERS,0))),"")))))))))}</f>
        <v>SIMPLELIMITEDL13</v>
      </c>
      <c r="U1605" s="223"/>
      <c r="V1605" s="223" t="str">
        <f t="array" ref="V1605:V1606">{"SIMPLELIMITEDL15";((IF("15"=(INDEX(ALLCLASSDATA,MATCH("SimpleLimitedLegendary",CLASSFEATUREHEADERS,0),MATCH($A1606,CLASSNAMEHEADERS,0))),(INDEX(ALLCLASSDATA,MATCH("SimpleLimitedLegendary",CLASSFEATUREHEADERS,0),MATCH(($A1606 &amp; "Points"),CLASSNAMEHEADERS,0))),(IF("15"=(INDEX(ALLCLASSDATA,MATCH("SimpleLimitedMaster",CLASSFEATUREHEADERS,0),MATCH($A1606,CLASSNAMEHEADERS,0))),(INDEX(ALLCLASSDATA,MATCH("SimpleLimitedMaster",CLASSFEATUREHEADERS,0),MATCH(($A1606 &amp; "Points"),CLASSNAMEHEADERS,0))),(IF("15"=(INDEX(ALLCLASSDATA,MATCH("SimpleLimitedExpert",CLASSFEATUREHEADERS,0),MATCH($A1606,CLASSNAMEHEADERS,0))),(INDEX(ALLCLASSDATA,MATCH("SimpleLimitedExpert",CLASSFEATUREHEADERS,0),MATCH(($A1606 &amp; "Points"),CLASSNAMEHEADERS,0))),(IF("15"=(INDEX(ALLCLASSDATA,MATCH("SimpleLimitedTrained",CLASSFEATUREHEADERS,0),MATCH($A1606,CLASSNAMEHEADERS,0))),(INDEX(ALLCLASSDATA,MATCH("SimpleLimitedTrained",CLASSFEATUREHEADERS,0),MATCH(($A1606 &amp; "Points"),CLASSNAMEHEADERS,0))),"")))))))))}</f>
        <v>SIMPLELIMITEDL15</v>
      </c>
      <c r="W1605" s="223"/>
      <c r="X1605" s="223" t="str">
        <f t="array" ref="X1605:X1606">{"SIMPLELIMITEDL17";((IF("17"=(INDEX(ALLCLASSDATA,MATCH("SimpleLimitedLegendary",CLASSFEATUREHEADERS,0),MATCH($A1606,CLASSNAMEHEADERS,0))),(INDEX(ALLCLASSDATA,MATCH("SimpleLimitedLegendary",CLASSFEATUREHEADERS,0),MATCH(($A1606 &amp; "Points"),CLASSNAMEHEADERS,0))),(IF("17"=(INDEX(ALLCLASSDATA,MATCH("SimpleLimitedMaster",CLASSFEATUREHEADERS,0),MATCH($A1606,CLASSNAMEHEADERS,0))),(INDEX(ALLCLASSDATA,MATCH("SimpleLimitedMaster",CLASSFEATUREHEADERS,0),MATCH(($A1606 &amp; "Points"),CLASSNAMEHEADERS,0))),(IF("17"=(INDEX(ALLCLASSDATA,MATCH("SimpleLimitedExpert",CLASSFEATUREHEADERS,0),MATCH($A1606,CLASSNAMEHEADERS,0))),(INDEX(ALLCLASSDATA,MATCH("SimpleLimitedExpert",CLASSFEATUREHEADERS,0),MATCH(($A1606 &amp; "Points"),CLASSNAMEHEADERS,0))),(IF("17"=(INDEX(ALLCLASSDATA,MATCH("SimpleLimitedTrained",CLASSFEATUREHEADERS,0),MATCH($A1606,CLASSNAMEHEADERS,0))),(INDEX(ALLCLASSDATA,MATCH("SimpleLimitedTrained",CLASSFEATUREHEADERS,0),MATCH(($A1606 &amp; "Points"),CLASSNAMEHEADERS,0))),"")))))))))}</f>
        <v>SIMPLELIMITEDL17</v>
      </c>
      <c r="Y1605" s="223"/>
      <c r="Z1605" s="223" t="str">
        <f t="array" ref="Z1605:Z1606">{"SIMPLELIMITEDL19";((IF("19"=(INDEX(ALLCLASSDATA,MATCH("SimpleLimitedLegendary",CLASSFEATUREHEADERS,0),MATCH($A1606,CLASSNAMEHEADERS,0))),(INDEX(ALLCLASSDATA,MATCH("SimpleLimitedLegendary",CLASSFEATUREHEADERS,0),MATCH(($A1606 &amp; "Points"),CLASSNAMEHEADERS,0))),(IF("19"=(INDEX(ALLCLASSDATA,MATCH("SimpleLimitedMaster",CLASSFEATUREHEADERS,0),MATCH($A1606,CLASSNAMEHEADERS,0))),(INDEX(ALLCLASSDATA,MATCH("SimpleLimitedMaster",CLASSFEATUREHEADERS,0),MATCH(($A1606 &amp; "Points"),CLASSNAMEHEADERS,0))),(IF("19"=(INDEX(ALLCLASSDATA,MATCH("SimpleLimitedExpert",CLASSFEATUREHEADERS,0),MATCH($A1606,CLASSNAMEHEADERS,0))),(INDEX(ALLCLASSDATA,MATCH("SimpleLimitedExpert",CLASSFEATUREHEADERS,0),MATCH(($A1606 &amp; "Points"),CLASSNAMEHEADERS,0))),(IF("19"=(INDEX(ALLCLASSDATA,MATCH("SimpleLimitedTrained",CLASSFEATUREHEADERS,0),MATCH($A1606,CLASSNAMEHEADERS,0))),(INDEX(ALLCLASSDATA,MATCH("SimpleLimitedTrained",CLASSFEATUREHEADERS,0),MATCH(($A1606 &amp; "Points"),CLASSNAMEHEADERS,0))),"")))))))))}</f>
        <v>SIMPLELIMITEDL19</v>
      </c>
      <c r="AA1605" s="223"/>
      <c r="AB1605" s="76" t="str">
        <f t="array" ref="AB1605:AB1606">{"SIMPLELIMITED TOTAL";(IF(COUNTBLANK(G1606:AA1606)=17,"L",(IF(COUNTBLANK(G1606:AA1606)=18,"M",(IF(COUNTBLANK(G1606:AA1606)=19,"E",(IF(COUNTBLANK(G1606:AA1606)=20,"T",""))))))))}</f>
        <v>SIMPLELIMITED TOTAL</v>
      </c>
      <c r="AC1605" s="76" t="str">
        <f t="array" ref="AC1605:AC1606">{"SIMPLELIMITED TOTAL";(sum(G1606:AA1606))}</f>
        <v>SIMPLELIMITED TOTAL</v>
      </c>
    </row>
    <row r="1606">
      <c r="A1606" s="48" t="s">
        <v>223</v>
      </c>
      <c r="B1606" s="48"/>
      <c r="C1606" s="48" t="s">
        <v>418</v>
      </c>
      <c r="D1606" s="48" t="s">
        <v>1634</v>
      </c>
      <c r="E1606" s="48" t="s">
        <v>599</v>
      </c>
      <c r="F1606" s="5" t="s">
        <v>603</v>
      </c>
      <c r="G1606" s="47" t="s">
        <v>603</v>
      </c>
      <c r="H1606" s="5" t="s">
        <v>603</v>
      </c>
      <c r="I1606" s="5"/>
      <c r="J1606" s="5" t="s">
        <v>603</v>
      </c>
      <c r="K1606" s="5"/>
      <c r="L1606" s="5" t="s">
        <v>603</v>
      </c>
      <c r="M1606" s="5"/>
      <c r="N1606" s="5" t="s">
        <v>603</v>
      </c>
      <c r="O1606" s="5"/>
      <c r="P1606" s="5" t="s">
        <v>603</v>
      </c>
      <c r="Q1606" s="5"/>
      <c r="R1606" s="5" t="s">
        <v>603</v>
      </c>
      <c r="S1606" s="5"/>
      <c r="T1606" s="5" t="s">
        <v>603</v>
      </c>
      <c r="U1606" s="5"/>
      <c r="V1606" s="5" t="s">
        <v>603</v>
      </c>
      <c r="W1606" s="5"/>
      <c r="X1606" s="5" t="s">
        <v>603</v>
      </c>
      <c r="Y1606" s="5"/>
      <c r="Z1606" s="5" t="s">
        <v>603</v>
      </c>
      <c r="AA1606" s="5"/>
      <c r="AB1606" s="5" t="s">
        <v>603</v>
      </c>
      <c r="AC1606" s="47">
        <v>0.0</v>
      </c>
    </row>
    <row r="1607" hidden="1">
      <c r="A1607" s="222" t="str">
        <f t="array" ref="A1607:A1608">{"FormulaRow29";(INDEX(CLASSLIST,A1550,1))}</f>
        <v>FormulaRow29</v>
      </c>
      <c r="B1607" s="77" t="s">
        <v>236</v>
      </c>
      <c r="C1607" s="222" t="str">
        <f t="array" ref="C1607:C1608">{"CLASSTYPE";((INDEX(ALLCLASSDATA,MATCH("ClassType",CLASSFEATUREHEADERS,0),MATCH($A1608,CLASSNAMEHEADERS,0))))}</f>
        <v>CLASSTYPE</v>
      </c>
      <c r="D1607" s="222" t="str">
        <f t="array" ref="D1607:D1608">{"ATTACK";"Attack"}</f>
        <v>ATTACK</v>
      </c>
      <c r="E1607" s="222" t="str">
        <f t="array" ref="E1607:E1608">{"SIMPLE";"Simple"}</f>
        <v>SIMPLE</v>
      </c>
      <c r="F1607" s="223" t="str">
        <f t="array" ref="F1607:F1608">{"SIMPLEINITIAL";((IF(H1608=10,"T",(IF(H1608=50,"E","")))))}</f>
        <v>SIMPLEINITIAL</v>
      </c>
      <c r="G1607" s="223" t="str">
        <f t="array" ref="G1607:G1608">{"SIMPLEINITIALPTS";((IF("00"=(INDEX(ALLCLASSDATA,MATCH("SimpleLegendary",CLASSFEATUREHEADERS,0),MATCH($A1608,CLASSNAMEHEADERS,0))),(INDEX(ALLCLASSDATA,MATCH("SimpleLegendary",CLASSFEATUREHEADERS,0),MATCH(($A1608 &amp; "Points"),CLASSNAMEHEADERS,0))),(IF("00"=(INDEX(ALLCLASSDATA,MATCH("SimpleMaster",CLASSFEATUREHEADERS,0),MATCH($A1608,CLASSNAMEHEADERS,0))),(INDEX(ALLCLASSDATA,MATCH("SimpleMaster",CLASSFEATUREHEADERS,0),MATCH(($A1608 &amp; "Points"),CLASSNAMEHEADERS,0))),(IF("00"=(INDEX(ALLCLASSDATA,MATCH("SimpleExpert",CLASSFEATUREHEADERS,0),MATCH($A1608,CLASSNAMEHEADERS,0))),(INDEX(ALLCLASSDATA,MATCH("SimpleExpert",CLASSFEATUREHEADERS,0),MATCH(($A1608 &amp; "Points"),CLASSNAMEHEADERS,0))),(IF("00"=(INDEX(ALLCLASSDATA,MATCH("SimpleTrained",CLASSFEATUREHEADERS,0),MATCH($A1608,CLASSNAMEHEADERS,0))),(INDEX(ALLCLASSDATA,MATCH("SimpleTrained",CLASSFEATUREHEADERS,0),MATCH(($A1608 &amp; "Points"),CLASSNAMEHEADERS,0))),"")))))))))}</f>
        <v>SIMPLEINITIALPTS</v>
      </c>
      <c r="H1607" s="223" t="str">
        <f t="array" ref="H1607:H1608">{"SIMPLEL01";((IF("01"=(INDEX(ALLCLASSDATA,MATCH("SimpleLegendary",CLASSFEATUREHEADERS,0),MATCH($A1608,CLASSNAMEHEADERS,0))),(INDEX(ALLCLASSDATA,MATCH("SimpleLegendary",CLASSFEATUREHEADERS,0),MATCH(($A1608 &amp; "Points"),CLASSNAMEHEADERS,0))),(IF("01"=(INDEX(ALLCLASSDATA,MATCH("SimpleMaster",CLASSFEATUREHEADERS,0),MATCH($A1608,CLASSNAMEHEADERS,0))),(INDEX(ALLCLASSDATA,MATCH("SimpleMaster",CLASSFEATUREHEADERS,0),MATCH(($A1608 &amp; "Points"),CLASSNAMEHEADERS,0))),(IF("01"=(INDEX(ALLCLASSDATA,MATCH("SimpleExpert",CLASSFEATUREHEADERS,0),MATCH($A1608,CLASSNAMEHEADERS,0))),(INDEX(ALLCLASSDATA,MATCH("SimpleExpert",CLASSFEATUREHEADERS,0),MATCH(($A1608 &amp; "Points"),CLASSNAMEHEADERS,0))),(IF("01"=(INDEX(ALLCLASSDATA,MATCH("SimpleTrained",CLASSFEATUREHEADERS,0),MATCH($A1608,CLASSNAMEHEADERS,0))),(INDEX(ALLCLASSDATA,MATCH("SimpleTrained",CLASSFEATUREHEADERS,0),MATCH(($A1608 &amp; "Points"),CLASSNAMEHEADERS,0))),"")))))))))}</f>
        <v>SIMPLEL01</v>
      </c>
      <c r="I1607" s="223"/>
      <c r="J1607" s="223" t="str">
        <f t="array" ref="J1607:J1608">{"SIMPLEL03";((IF("03"=(INDEX(ALLCLASSDATA,MATCH("SimpleLegendary",CLASSFEATUREHEADERS,0),MATCH($A1608,CLASSNAMEHEADERS,0))),(INDEX(ALLCLASSDATA,MATCH("SimpleLegendary",CLASSFEATUREHEADERS,0),MATCH(($A1608 &amp; "Points"),CLASSNAMEHEADERS,0))),(IF("03"=(INDEX(ALLCLASSDATA,MATCH("SimpleMaster",CLASSFEATUREHEADERS,0),MATCH($A1608,CLASSNAMEHEADERS,0))),(INDEX(ALLCLASSDATA,MATCH("SimpleMaster",CLASSFEATUREHEADERS,0),MATCH(($A1608 &amp; "Points"),CLASSNAMEHEADERS,0))),(IF("03"=(INDEX(ALLCLASSDATA,MATCH("SimpleExpert",CLASSFEATUREHEADERS,0),MATCH($A1608,CLASSNAMEHEADERS,0))),(INDEX(ALLCLASSDATA,MATCH("SimpleExpert",CLASSFEATUREHEADERS,0),MATCH(($A1608 &amp; "Points"),CLASSNAMEHEADERS,0))),(IF("03"=(INDEX(ALLCLASSDATA,MATCH("SimpleTrained",CLASSFEATUREHEADERS,0),MATCH($A1608,CLASSNAMEHEADERS,0))),(INDEX(ALLCLASSDATA,MATCH("SimpleTrained",CLASSFEATUREHEADERS,0),MATCH(($A1608 &amp; "Points"),CLASSNAMEHEADERS,0))),"")))))))))}</f>
        <v>SIMPLEL03</v>
      </c>
      <c r="K1607" s="223"/>
      <c r="L1607" s="223" t="str">
        <f t="array" ref="L1607:L1608">{"SIMPLEL05";((IF("05"=(INDEX(ALLCLASSDATA,MATCH("SimpleLegendary",CLASSFEATUREHEADERS,0),MATCH($A1608,CLASSNAMEHEADERS,0))),(INDEX(ALLCLASSDATA,MATCH("SimpleLegendary",CLASSFEATUREHEADERS,0),MATCH(($A1608 &amp; "Points"),CLASSNAMEHEADERS,0))),(IF("05"=(INDEX(ALLCLASSDATA,MATCH("SimpleMaster",CLASSFEATUREHEADERS,0),MATCH($A1608,CLASSNAMEHEADERS,0))),(INDEX(ALLCLASSDATA,MATCH("SimpleMaster",CLASSFEATUREHEADERS,0),MATCH(($A1608 &amp; "Points"),CLASSNAMEHEADERS,0))),(IF("05"=(INDEX(ALLCLASSDATA,MATCH("SimpleExpert",CLASSFEATUREHEADERS,0),MATCH($A1608,CLASSNAMEHEADERS,0))),(INDEX(ALLCLASSDATA,MATCH("SimpleExpert",CLASSFEATUREHEADERS,0),MATCH(($A1608 &amp; "Points"),CLASSNAMEHEADERS,0))),(IF("05"=(INDEX(ALLCLASSDATA,MATCH("SimpleTrained",CLASSFEATUREHEADERS,0),MATCH($A1608,CLASSNAMEHEADERS,0))),(INDEX(ALLCLASSDATA,MATCH("SimpleTrained",CLASSFEATUREHEADERS,0),MATCH(($A1608 &amp; "Points"),CLASSNAMEHEADERS,0))),"")))))))))}</f>
        <v>SIMPLEL05</v>
      </c>
      <c r="M1607" s="223"/>
      <c r="N1607" s="223" t="str">
        <f t="array" ref="N1607:N1608">{"SIMPLEL07";((IF("07"=(INDEX(ALLCLASSDATA,MATCH("SimpleLegendary",CLASSFEATUREHEADERS,0),MATCH($A1608,CLASSNAMEHEADERS,0))),(INDEX(ALLCLASSDATA,MATCH("SimpleLegendary",CLASSFEATUREHEADERS,0),MATCH(($A1608 &amp; "Points"),CLASSNAMEHEADERS,0))),(IF("07"=(INDEX(ALLCLASSDATA,MATCH("SimpleMaster",CLASSFEATUREHEADERS,0),MATCH($A1608,CLASSNAMEHEADERS,0))),(INDEX(ALLCLASSDATA,MATCH("SimpleMaster",CLASSFEATUREHEADERS,0),MATCH(($A1608 &amp; "Points"),CLASSNAMEHEADERS,0))),(IF("07"=(INDEX(ALLCLASSDATA,MATCH("SimpleExpert",CLASSFEATUREHEADERS,0),MATCH($A1608,CLASSNAMEHEADERS,0))),(INDEX(ALLCLASSDATA,MATCH("SimpleExpert",CLASSFEATUREHEADERS,0),MATCH(($A1608 &amp; "Points"),CLASSNAMEHEADERS,0))),(IF("07"=(INDEX(ALLCLASSDATA,MATCH("SimpleTrained",CLASSFEATUREHEADERS,0),MATCH($A1608,CLASSNAMEHEADERS,0))),(INDEX(ALLCLASSDATA,MATCH("SimpleTrained",CLASSFEATUREHEADERS,0),MATCH(($A1608 &amp; "Points"),CLASSNAMEHEADERS,0))),"")))))))))}</f>
        <v>SIMPLEL07</v>
      </c>
      <c r="O1607" s="223"/>
      <c r="P1607" s="223" t="str">
        <f t="array" ref="P1607:P1608">{"SIMPLEL09";((IF("09"=(INDEX(ALLCLASSDATA,MATCH("SimpleLegendary",CLASSFEATUREHEADERS,0),MATCH($A1608,CLASSNAMEHEADERS,0))),(INDEX(ALLCLASSDATA,MATCH("SimpleLegendary",CLASSFEATUREHEADERS,0),MATCH(($A1608 &amp; "Points"),CLASSNAMEHEADERS,0))),(IF("09"=(INDEX(ALLCLASSDATA,MATCH("SimpleMaster",CLASSFEATUREHEADERS,0),MATCH($A1608,CLASSNAMEHEADERS,0))),(INDEX(ALLCLASSDATA,MATCH("SimpleMaster",CLASSFEATUREHEADERS,0),MATCH(($A1608 &amp; "Points"),CLASSNAMEHEADERS,0))),(IF("09"=(INDEX(ALLCLASSDATA,MATCH("SimpleExpert",CLASSFEATUREHEADERS,0),MATCH($A1608,CLASSNAMEHEADERS,0))),(INDEX(ALLCLASSDATA,MATCH("SimpleExpert",CLASSFEATUREHEADERS,0),MATCH(($A1608 &amp; "Points"),CLASSNAMEHEADERS,0))),(IF("09"=(INDEX(ALLCLASSDATA,MATCH("SimpleTrained",CLASSFEATUREHEADERS,0),MATCH($A1608,CLASSNAMEHEADERS,0))),(INDEX(ALLCLASSDATA,MATCH("SimpleTrained",CLASSFEATUREHEADERS,0),MATCH(($A1608 &amp; "Points"),CLASSNAMEHEADERS,0))),"")))))))))}</f>
        <v>SIMPLEL09</v>
      </c>
      <c r="Q1607" s="223"/>
      <c r="R1607" s="223" t="str">
        <f t="array" ref="R1607:R1608">{"SIMPLEL11";((IF("11"=(INDEX(ALLCLASSDATA,MATCH("SimpleLegendary",CLASSFEATUREHEADERS,0),MATCH($A1608,CLASSNAMEHEADERS,0))),(INDEX(ALLCLASSDATA,MATCH("SimpleLegendary",CLASSFEATUREHEADERS,0),MATCH(($A1608 &amp; "Points"),CLASSNAMEHEADERS,0))),(IF("11"=(INDEX(ALLCLASSDATA,MATCH("SimpleMaster",CLASSFEATUREHEADERS,0),MATCH($A1608,CLASSNAMEHEADERS,0))),(INDEX(ALLCLASSDATA,MATCH("SimpleMaster",CLASSFEATUREHEADERS,0),MATCH(($A1608 &amp; "Points"),CLASSNAMEHEADERS,0))),(IF("11"=(INDEX(ALLCLASSDATA,MATCH("SimpleExpert",CLASSFEATUREHEADERS,0),MATCH($A1608,CLASSNAMEHEADERS,0))),(INDEX(ALLCLASSDATA,MATCH("SimpleExpert",CLASSFEATUREHEADERS,0),MATCH(($A1608 &amp; "Points"),CLASSNAMEHEADERS,0))),(IF("11"=(INDEX(ALLCLASSDATA,MATCH("SimpleTrained",CLASSFEATUREHEADERS,0),MATCH($A1608,CLASSNAMEHEADERS,0))),(INDEX(ALLCLASSDATA,MATCH("SimpleTrained",CLASSFEATUREHEADERS,0),MATCH(($A1608 &amp; "Points"),CLASSNAMEHEADERS,0))),"")))))))))}</f>
        <v>SIMPLEL11</v>
      </c>
      <c r="S1607" s="223"/>
      <c r="T1607" s="223" t="str">
        <f t="array" ref="T1607:T1608">{"SIMPLEL13";((IF("13"=(INDEX(ALLCLASSDATA,MATCH("SimpleLegendary",CLASSFEATUREHEADERS,0),MATCH($A1608,CLASSNAMEHEADERS,0))),(INDEX(ALLCLASSDATA,MATCH("SimpleLegendary",CLASSFEATUREHEADERS,0),MATCH(($A1608 &amp; "Points"),CLASSNAMEHEADERS,0))),(IF("13"=(INDEX(ALLCLASSDATA,MATCH("SimpleMaster",CLASSFEATUREHEADERS,0),MATCH($A1608,CLASSNAMEHEADERS,0))),(INDEX(ALLCLASSDATA,MATCH("SimpleMaster",CLASSFEATUREHEADERS,0),MATCH(($A1608 &amp; "Points"),CLASSNAMEHEADERS,0))),(IF("13"=(INDEX(ALLCLASSDATA,MATCH("SimpleExpert",CLASSFEATUREHEADERS,0),MATCH($A1608,CLASSNAMEHEADERS,0))),(INDEX(ALLCLASSDATA,MATCH("SimpleExpert",CLASSFEATUREHEADERS,0),MATCH(($A1608 &amp; "Points"),CLASSNAMEHEADERS,0))),(IF("13"=(INDEX(ALLCLASSDATA,MATCH("SimpleTrained",CLASSFEATUREHEADERS,0),MATCH($A1608,CLASSNAMEHEADERS,0))),(INDEX(ALLCLASSDATA,MATCH("SimpleTrained",CLASSFEATUREHEADERS,0),MATCH(($A1608 &amp; "Points"),CLASSNAMEHEADERS,0))),"")))))))))}</f>
        <v>SIMPLEL13</v>
      </c>
      <c r="U1607" s="223"/>
      <c r="V1607" s="223" t="str">
        <f t="array" ref="V1607:V1608">{"SIMPLEL15";((IF("15"=(INDEX(ALLCLASSDATA,MATCH("SimpleLegendary",CLASSFEATUREHEADERS,0),MATCH($A1608,CLASSNAMEHEADERS,0))),(INDEX(ALLCLASSDATA,MATCH("SimpleLegendary",CLASSFEATUREHEADERS,0),MATCH(($A1608 &amp; "Points"),CLASSNAMEHEADERS,0))),(IF("15"=(INDEX(ALLCLASSDATA,MATCH("SimpleMaster",CLASSFEATUREHEADERS,0),MATCH($A1608,CLASSNAMEHEADERS,0))),(INDEX(ALLCLASSDATA,MATCH("SimpleMaster",CLASSFEATUREHEADERS,0),MATCH(($A1608 &amp; "Points"),CLASSNAMEHEADERS,0))),(IF("15"=(INDEX(ALLCLASSDATA,MATCH("SimpleExpert",CLASSFEATUREHEADERS,0),MATCH($A1608,CLASSNAMEHEADERS,0))),(INDEX(ALLCLASSDATA,MATCH("SimpleExpert",CLASSFEATUREHEADERS,0),MATCH(($A1608 &amp; "Points"),CLASSNAMEHEADERS,0))),(IF("15"=(INDEX(ALLCLASSDATA,MATCH("SimpleTrained",CLASSFEATUREHEADERS,0),MATCH($A1608,CLASSNAMEHEADERS,0))),(INDEX(ALLCLASSDATA,MATCH("SimpleTrained",CLASSFEATUREHEADERS,0),MATCH(($A1608 &amp; "Points"),CLASSNAMEHEADERS,0))),"")))))))))}</f>
        <v>SIMPLEL15</v>
      </c>
      <c r="W1607" s="223"/>
      <c r="X1607" s="223" t="str">
        <f t="array" ref="X1607:X1608">{"SIMPLEL17";((IF("17"=(INDEX(ALLCLASSDATA,MATCH("SimpleLegendary",CLASSFEATUREHEADERS,0),MATCH($A1608,CLASSNAMEHEADERS,0))),(INDEX(ALLCLASSDATA,MATCH("SimpleLegendary",CLASSFEATUREHEADERS,0),MATCH(($A1608 &amp; "Points"),CLASSNAMEHEADERS,0))),(IF("17"=(INDEX(ALLCLASSDATA,MATCH("SimpleMaster",CLASSFEATUREHEADERS,0),MATCH($A1608,CLASSNAMEHEADERS,0))),(INDEX(ALLCLASSDATA,MATCH("SimpleMaster",CLASSFEATUREHEADERS,0),MATCH(($A1608 &amp; "Points"),CLASSNAMEHEADERS,0))),(IF("17"=(INDEX(ALLCLASSDATA,MATCH("SimpleExpert",CLASSFEATUREHEADERS,0),MATCH($A1608,CLASSNAMEHEADERS,0))),(INDEX(ALLCLASSDATA,MATCH("SimpleExpert",CLASSFEATUREHEADERS,0),MATCH(($A1608 &amp; "Points"),CLASSNAMEHEADERS,0))),(IF("17"=(INDEX(ALLCLASSDATA,MATCH("SimpleTrained",CLASSFEATUREHEADERS,0),MATCH($A1608,CLASSNAMEHEADERS,0))),(INDEX(ALLCLASSDATA,MATCH("SimpleTrained",CLASSFEATUREHEADERS,0),MATCH(($A1608 &amp; "Points"),CLASSNAMEHEADERS,0))),"")))))))))}</f>
        <v>SIMPLEL17</v>
      </c>
      <c r="Y1607" s="223"/>
      <c r="Z1607" s="223" t="str">
        <f t="array" ref="Z1607:Z1608">{"SIMPLEL19";((IF("19"=(INDEX(ALLCLASSDATA,MATCH("SimpleLegendary",CLASSFEATUREHEADERS,0),MATCH($A1608,CLASSNAMEHEADERS,0))),(INDEX(ALLCLASSDATA,MATCH("SimpleLegendary",CLASSFEATUREHEADERS,0),MATCH(($A1608 &amp; "Points"),CLASSNAMEHEADERS,0))),(IF("19"=(INDEX(ALLCLASSDATA,MATCH("SimpleMaster",CLASSFEATUREHEADERS,0),MATCH($A1608,CLASSNAMEHEADERS,0))),(INDEX(ALLCLASSDATA,MATCH("SimpleMaster",CLASSFEATUREHEADERS,0),MATCH(($A1608 &amp; "Points"),CLASSNAMEHEADERS,0))),(IF("19"=(INDEX(ALLCLASSDATA,MATCH("SimpleExpert",CLASSFEATUREHEADERS,0),MATCH($A1608,CLASSNAMEHEADERS,0))),(INDEX(ALLCLASSDATA,MATCH("SimpleExpert",CLASSFEATUREHEADERS,0),MATCH(($A1608 &amp; "Points"),CLASSNAMEHEADERS,0))),(IF("19"=(INDEX(ALLCLASSDATA,MATCH("SimpleTrained",CLASSFEATUREHEADERS,0),MATCH($A1608,CLASSNAMEHEADERS,0))),(INDEX(ALLCLASSDATA,MATCH("SimpleTrained",CLASSFEATUREHEADERS,0),MATCH(($A1608 &amp; "Points"),CLASSNAMEHEADERS,0))),"")))))))))}</f>
        <v>SIMPLEL19</v>
      </c>
      <c r="AA1607" s="223"/>
      <c r="AB1607" s="76" t="str">
        <f t="array" ref="AB1607:AB1608">{"SIMPLE TOTAL";(IF(COUNTBLANK(G1608:AA1608)=17,"L",(IF(COUNTBLANK(G1608:AA1608)=18,"M",(IF(COUNTBLANK(G1608:AA1608)=19,"E",(IF(COUNTBLANK(G1608:AA1608)=20,"T",""))))))))}</f>
        <v>SIMPLE TOTAL</v>
      </c>
      <c r="AC1607" s="76" t="str">
        <f t="array" ref="AC1607:AC1608">{"SIMPLE TOTAL";(sum(G1608:AA1608))}</f>
        <v>SIMPLE TOTAL</v>
      </c>
    </row>
    <row r="1608">
      <c r="A1608" s="48" t="s">
        <v>223</v>
      </c>
      <c r="B1608" s="48"/>
      <c r="C1608" s="48" t="s">
        <v>418</v>
      </c>
      <c r="D1608" s="48" t="s">
        <v>1634</v>
      </c>
      <c r="E1608" s="48" t="s">
        <v>68</v>
      </c>
      <c r="F1608" s="5" t="s">
        <v>435</v>
      </c>
      <c r="G1608" s="47" t="s">
        <v>603</v>
      </c>
      <c r="H1608" s="5">
        <v>10.0</v>
      </c>
      <c r="I1608" s="5"/>
      <c r="J1608" s="5" t="s">
        <v>603</v>
      </c>
      <c r="K1608" s="5"/>
      <c r="L1608" s="5" t="s">
        <v>603</v>
      </c>
      <c r="M1608" s="5"/>
      <c r="N1608" s="5" t="s">
        <v>603</v>
      </c>
      <c r="O1608" s="5"/>
      <c r="P1608" s="5" t="s">
        <v>603</v>
      </c>
      <c r="Q1608" s="5"/>
      <c r="R1608" s="5">
        <v>50.0</v>
      </c>
      <c r="S1608" s="5"/>
      <c r="T1608" s="5" t="s">
        <v>603</v>
      </c>
      <c r="U1608" s="5"/>
      <c r="V1608" s="5" t="s">
        <v>603</v>
      </c>
      <c r="W1608" s="5"/>
      <c r="X1608" s="5" t="s">
        <v>603</v>
      </c>
      <c r="Y1608" s="5"/>
      <c r="Z1608" s="5" t="s">
        <v>603</v>
      </c>
      <c r="AA1608" s="5"/>
      <c r="AB1608" s="5" t="s">
        <v>436</v>
      </c>
      <c r="AC1608" s="47">
        <v>60.0</v>
      </c>
    </row>
    <row r="1609" hidden="1">
      <c r="A1609" s="222" t="str">
        <f t="array" ref="A1609:A1610">{"FormulaRow30";(INDEX(CLASSLIST,A1550,1))}</f>
        <v>FormulaRow30</v>
      </c>
      <c r="B1609" s="77" t="s">
        <v>236</v>
      </c>
      <c r="C1609" s="222" t="str">
        <f t="array" ref="C1609:C1610">{"CLASSTYPE";((INDEX(ALLCLASSDATA,MATCH("ClassType",CLASSFEATUREHEADERS,0),MATCH($A1610,CLASSNAMEHEADERS,0))))}</f>
        <v>CLASSTYPE</v>
      </c>
      <c r="D1609" s="222" t="str">
        <f t="array" ref="D1609:D1610">{"ATTACK";"Attack"}</f>
        <v>ATTACK</v>
      </c>
      <c r="E1609" s="222" t="str">
        <f t="array" ref="E1609:E1610">{"MARTIALLIMITED";"MartialLimited"}</f>
        <v>MARTIALLIMITED</v>
      </c>
      <c r="F1609" s="223" t="str">
        <f t="array" ref="F1609:F1610">{"MARTIALLIMITEDINITIAL";((IF(H1610=10,"T",(IF(H1610=50,"E","")))))}</f>
        <v>MARTIALLIMITEDINITIAL</v>
      </c>
      <c r="G1609" s="223" t="str">
        <f t="array" ref="G1609:G1610">{"MARTIALLIMITEDINITIALPTS";((IF("00"=(INDEX(ALLCLASSDATA,MATCH("MartialLimitedLegendary",CLASSFEATUREHEADERS,0),MATCH($A1610,CLASSNAMEHEADERS,0))),(INDEX(ALLCLASSDATA,MATCH("MartialLimitedLegendary",CLASSFEATUREHEADERS,0),MATCH(($A1610 &amp; "Points"),CLASSNAMEHEADERS,0))),(IF("00"=(INDEX(ALLCLASSDATA,MATCH("MartialLimitedMaster",CLASSFEATUREHEADERS,0),MATCH($A1610,CLASSNAMEHEADERS,0))),(INDEX(ALLCLASSDATA,MATCH("MartialLimitedMaster",CLASSFEATUREHEADERS,0),MATCH(($A1610 &amp; "Points"),CLASSNAMEHEADERS,0))),(IF("00"=(INDEX(ALLCLASSDATA,MATCH("MartialLimitedExpert",CLASSFEATUREHEADERS,0),MATCH($A1610,CLASSNAMEHEADERS,0))),(INDEX(ALLCLASSDATA,MATCH("MartialLimitedExpert",CLASSFEATUREHEADERS,0),MATCH(($A1610 &amp; "Points"),CLASSNAMEHEADERS,0))),(IF("00"=(INDEX(ALLCLASSDATA,MATCH("MartialLimitedTrained",CLASSFEATUREHEADERS,0),MATCH($A1610,CLASSNAMEHEADERS,0))),(INDEX(ALLCLASSDATA,MATCH("MartialLimitedTrained",CLASSFEATUREHEADERS,0),MATCH(($A1610 &amp; "Points"),CLASSNAMEHEADERS,0))),"")))))))))}</f>
        <v>MARTIALLIMITEDINITIALPTS</v>
      </c>
      <c r="H1609" s="223" t="str">
        <f t="array" ref="H1609:H1610">{"MARTIALLIMITEDL01";((IF("01"=(INDEX(ALLCLASSDATA,MATCH("MartialLimitedLegendary",CLASSFEATUREHEADERS,0),MATCH($A1610,CLASSNAMEHEADERS,0))),(INDEX(ALLCLASSDATA,MATCH("MartialLimitedLegendary",CLASSFEATUREHEADERS,0),MATCH(($A1610 &amp; "Points"),CLASSNAMEHEADERS,0))),(IF("01"=(INDEX(ALLCLASSDATA,MATCH("MartialLimitedMaster",CLASSFEATUREHEADERS,0),MATCH($A1610,CLASSNAMEHEADERS,0))),(INDEX(ALLCLASSDATA,MATCH("MartialLimitedMaster",CLASSFEATUREHEADERS,0),MATCH(($A1610 &amp; "Points"),CLASSNAMEHEADERS,0))),(IF("01"=(INDEX(ALLCLASSDATA,MATCH("MartialLimitedExpert",CLASSFEATUREHEADERS,0),MATCH($A1610,CLASSNAMEHEADERS,0))),(INDEX(ALLCLASSDATA,MATCH("MartialLimitedExpert",CLASSFEATUREHEADERS,0),MATCH(($A1610 &amp; "Points"),CLASSNAMEHEADERS,0))),(IF("01"=(INDEX(ALLCLASSDATA,MATCH("MartialLimitedTrained",CLASSFEATUREHEADERS,0),MATCH($A1610,CLASSNAMEHEADERS,0))),(INDEX(ALLCLASSDATA,MATCH("MartialLimitedTrained",CLASSFEATUREHEADERS,0),MATCH(($A1610 &amp; "Points"),CLASSNAMEHEADERS,0))),"")))))))))}</f>
        <v>MARTIALLIMITEDL01</v>
      </c>
      <c r="I1609" s="223"/>
      <c r="J1609" s="223" t="str">
        <f t="array" ref="J1609:J1610">{"MARTIALLIMITEDL03";((IF("03"=(INDEX(ALLCLASSDATA,MATCH("MartialLimitedLegendary",CLASSFEATUREHEADERS,0),MATCH($A1610,CLASSNAMEHEADERS,0))),(INDEX(ALLCLASSDATA,MATCH("MartialLimitedLegendary",CLASSFEATUREHEADERS,0),MATCH(($A1610 &amp; "Points"),CLASSNAMEHEADERS,0))),(IF("03"=(INDEX(ALLCLASSDATA,MATCH("MartialLimitedMaster",CLASSFEATUREHEADERS,0),MATCH($A1610,CLASSNAMEHEADERS,0))),(INDEX(ALLCLASSDATA,MATCH("MartialLimitedMaster",CLASSFEATUREHEADERS,0),MATCH(($A1610 &amp; "Points"),CLASSNAMEHEADERS,0))),(IF("03"=(INDEX(ALLCLASSDATA,MATCH("MartialLimitedExpert",CLASSFEATUREHEADERS,0),MATCH($A1610,CLASSNAMEHEADERS,0))),(INDEX(ALLCLASSDATA,MATCH("MartialLimitedExpert",CLASSFEATUREHEADERS,0),MATCH(($A1610 &amp; "Points"),CLASSNAMEHEADERS,0))),(IF("03"=(INDEX(ALLCLASSDATA,MATCH("MartialLimitedTrained",CLASSFEATUREHEADERS,0),MATCH($A1610,CLASSNAMEHEADERS,0))),(INDEX(ALLCLASSDATA,MATCH("MartialLimitedTrained",CLASSFEATUREHEADERS,0),MATCH(($A1610 &amp; "Points"),CLASSNAMEHEADERS,0))),"")))))))))}</f>
        <v>MARTIALLIMITEDL03</v>
      </c>
      <c r="K1609" s="223"/>
      <c r="L1609" s="223" t="str">
        <f t="array" ref="L1609:L1610">{"MARTIALLIMITEDL05";((IF("05"=(INDEX(ALLCLASSDATA,MATCH("MartialLimitedLegendary",CLASSFEATUREHEADERS,0),MATCH($A1610,CLASSNAMEHEADERS,0))),(INDEX(ALLCLASSDATA,MATCH("MartialLimitedLegendary",CLASSFEATUREHEADERS,0),MATCH(($A1610 &amp; "Points"),CLASSNAMEHEADERS,0))),(IF("05"=(INDEX(ALLCLASSDATA,MATCH("MartialLimitedMaster",CLASSFEATUREHEADERS,0),MATCH($A1610,CLASSNAMEHEADERS,0))),(INDEX(ALLCLASSDATA,MATCH("MartialLimitedMaster",CLASSFEATUREHEADERS,0),MATCH(($A1610 &amp; "Points"),CLASSNAMEHEADERS,0))),(IF("05"=(INDEX(ALLCLASSDATA,MATCH("MartialLimitedExpert",CLASSFEATUREHEADERS,0),MATCH($A1610,CLASSNAMEHEADERS,0))),(INDEX(ALLCLASSDATA,MATCH("MartialLimitedExpert",CLASSFEATUREHEADERS,0),MATCH(($A1610 &amp; "Points"),CLASSNAMEHEADERS,0))),(IF("05"=(INDEX(ALLCLASSDATA,MATCH("MartialLimitedTrained",CLASSFEATUREHEADERS,0),MATCH($A1610,CLASSNAMEHEADERS,0))),(INDEX(ALLCLASSDATA,MATCH("MartialLimitedTrained",CLASSFEATUREHEADERS,0),MATCH(($A1610 &amp; "Points"),CLASSNAMEHEADERS,0))),"")))))))))}</f>
        <v>MARTIALLIMITEDL05</v>
      </c>
      <c r="M1609" s="223"/>
      <c r="N1609" s="223" t="str">
        <f t="array" ref="N1609:N1610">{"MARTIALLIMITEDL07";((IF("07"=(INDEX(ALLCLASSDATA,MATCH("MartialLimitedLegendary",CLASSFEATUREHEADERS,0),MATCH($A1610,CLASSNAMEHEADERS,0))),(INDEX(ALLCLASSDATA,MATCH("MartialLimitedLegendary",CLASSFEATUREHEADERS,0),MATCH(($A1610 &amp; "Points"),CLASSNAMEHEADERS,0))),(IF("07"=(INDEX(ALLCLASSDATA,MATCH("MartialLimitedMaster",CLASSFEATUREHEADERS,0),MATCH($A1610,CLASSNAMEHEADERS,0))),(INDEX(ALLCLASSDATA,MATCH("MartialLimitedMaster",CLASSFEATUREHEADERS,0),MATCH(($A1610 &amp; "Points"),CLASSNAMEHEADERS,0))),(IF("07"=(INDEX(ALLCLASSDATA,MATCH("MartialLimitedExpert",CLASSFEATUREHEADERS,0),MATCH($A1610,CLASSNAMEHEADERS,0))),(INDEX(ALLCLASSDATA,MATCH("MartialLimitedExpert",CLASSFEATUREHEADERS,0),MATCH(($A1610 &amp; "Points"),CLASSNAMEHEADERS,0))),(IF("07"=(INDEX(ALLCLASSDATA,MATCH("MartialLimitedTrained",CLASSFEATUREHEADERS,0),MATCH($A1610,CLASSNAMEHEADERS,0))),(INDEX(ALLCLASSDATA,MATCH("MartialLimitedTrained",CLASSFEATUREHEADERS,0),MATCH(($A1610 &amp; "Points"),CLASSNAMEHEADERS,0))),"")))))))))}</f>
        <v>MARTIALLIMITEDL07</v>
      </c>
      <c r="O1609" s="223"/>
      <c r="P1609" s="223" t="str">
        <f t="array" ref="P1609:P1610">{"MARTIALLIMITEDL09";((IF("09"=(INDEX(ALLCLASSDATA,MATCH("MartialLimitedLegendary",CLASSFEATUREHEADERS,0),MATCH($A1610,CLASSNAMEHEADERS,0))),(INDEX(ALLCLASSDATA,MATCH("MartialLimitedLegendary",CLASSFEATUREHEADERS,0),MATCH(($A1610 &amp; "Points"),CLASSNAMEHEADERS,0))),(IF("09"=(INDEX(ALLCLASSDATA,MATCH("MartialLimitedMaster",CLASSFEATUREHEADERS,0),MATCH($A1610,CLASSNAMEHEADERS,0))),(INDEX(ALLCLASSDATA,MATCH("MartialLimitedMaster",CLASSFEATUREHEADERS,0),MATCH(($A1610 &amp; "Points"),CLASSNAMEHEADERS,0))),(IF("09"=(INDEX(ALLCLASSDATA,MATCH("MartialLimitedExpert",CLASSFEATUREHEADERS,0),MATCH($A1610,CLASSNAMEHEADERS,0))),(INDEX(ALLCLASSDATA,MATCH("MartialLimitedExpert",CLASSFEATUREHEADERS,0),MATCH(($A1610 &amp; "Points"),CLASSNAMEHEADERS,0))),(IF("09"=(INDEX(ALLCLASSDATA,MATCH("MartialLimitedTrained",CLASSFEATUREHEADERS,0),MATCH($A1610,CLASSNAMEHEADERS,0))),(INDEX(ALLCLASSDATA,MATCH("MartialLimitedTrained",CLASSFEATUREHEADERS,0),MATCH(($A1610 &amp; "Points"),CLASSNAMEHEADERS,0))),"")))))))))}</f>
        <v>MARTIALLIMITEDL09</v>
      </c>
      <c r="Q1609" s="223"/>
      <c r="R1609" s="223" t="str">
        <f t="array" ref="R1609:R1610">{"MARTIALLIMITEDL11";((IF("11"=(INDEX(ALLCLASSDATA,MATCH("MartialLimitedLegendary",CLASSFEATUREHEADERS,0),MATCH($A1610,CLASSNAMEHEADERS,0))),(INDEX(ALLCLASSDATA,MATCH("MartialLimitedLegendary",CLASSFEATUREHEADERS,0),MATCH(($A1610 &amp; "Points"),CLASSNAMEHEADERS,0))),(IF("11"=(INDEX(ALLCLASSDATA,MATCH("MartialLimitedMaster",CLASSFEATUREHEADERS,0),MATCH($A1610,CLASSNAMEHEADERS,0))),(INDEX(ALLCLASSDATA,MATCH("MartialLimitedMaster",CLASSFEATUREHEADERS,0),MATCH(($A1610 &amp; "Points"),CLASSNAMEHEADERS,0))),(IF("11"=(INDEX(ALLCLASSDATA,MATCH("MartialLimitedExpert",CLASSFEATUREHEADERS,0),MATCH($A1610,CLASSNAMEHEADERS,0))),(INDEX(ALLCLASSDATA,MATCH("MartialLimitedExpert",CLASSFEATUREHEADERS,0),MATCH(($A1610 &amp; "Points"),CLASSNAMEHEADERS,0))),(IF("11"=(INDEX(ALLCLASSDATA,MATCH("MartialLimitedTrained",CLASSFEATUREHEADERS,0),MATCH($A1610,CLASSNAMEHEADERS,0))),(INDEX(ALLCLASSDATA,MATCH("MartialLimitedTrained",CLASSFEATUREHEADERS,0),MATCH(($A1610 &amp; "Points"),CLASSNAMEHEADERS,0))),"")))))))))}</f>
        <v>MARTIALLIMITEDL11</v>
      </c>
      <c r="S1609" s="223"/>
      <c r="T1609" s="223" t="str">
        <f t="array" ref="T1609:T1610">{"MARTIALLIMITEDL13";((IF("13"=(INDEX(ALLCLASSDATA,MATCH("MartialLimitedLegendary",CLASSFEATUREHEADERS,0),MATCH($A1610,CLASSNAMEHEADERS,0))),(INDEX(ALLCLASSDATA,MATCH("MartialLimitedLegendary",CLASSFEATUREHEADERS,0),MATCH(($A1610 &amp; "Points"),CLASSNAMEHEADERS,0))),(IF("13"=(INDEX(ALLCLASSDATA,MATCH("MartialLimitedMaster",CLASSFEATUREHEADERS,0),MATCH($A1610,CLASSNAMEHEADERS,0))),(INDEX(ALLCLASSDATA,MATCH("MartialLimitedMaster",CLASSFEATUREHEADERS,0),MATCH(($A1610 &amp; "Points"),CLASSNAMEHEADERS,0))),(IF("13"=(INDEX(ALLCLASSDATA,MATCH("MartialLimitedExpert",CLASSFEATUREHEADERS,0),MATCH($A1610,CLASSNAMEHEADERS,0))),(INDEX(ALLCLASSDATA,MATCH("MartialLimitedExpert",CLASSFEATUREHEADERS,0),MATCH(($A1610 &amp; "Points"),CLASSNAMEHEADERS,0))),(IF("13"=(INDEX(ALLCLASSDATA,MATCH("MartialLimitedTrained",CLASSFEATUREHEADERS,0),MATCH($A1610,CLASSNAMEHEADERS,0))),(INDEX(ALLCLASSDATA,MATCH("MartialLimitedTrained",CLASSFEATUREHEADERS,0),MATCH(($A1610 &amp; "Points"),CLASSNAMEHEADERS,0))),"")))))))))}</f>
        <v>MARTIALLIMITEDL13</v>
      </c>
      <c r="U1609" s="223"/>
      <c r="V1609" s="223" t="str">
        <f t="array" ref="V1609:V1610">{"MARTIALLIMITEDL15";((IF("15"=(INDEX(ALLCLASSDATA,MATCH("MartialLimitedLegendary",CLASSFEATUREHEADERS,0),MATCH($A1610,CLASSNAMEHEADERS,0))),(INDEX(ALLCLASSDATA,MATCH("MartialLimitedLegendary",CLASSFEATUREHEADERS,0),MATCH(($A1610 &amp; "Points"),CLASSNAMEHEADERS,0))),(IF("15"=(INDEX(ALLCLASSDATA,MATCH("MartialLimitedMaster",CLASSFEATUREHEADERS,0),MATCH($A1610,CLASSNAMEHEADERS,0))),(INDEX(ALLCLASSDATA,MATCH("MartialLimitedMaster",CLASSFEATUREHEADERS,0),MATCH(($A1610 &amp; "Points"),CLASSNAMEHEADERS,0))),(IF("15"=(INDEX(ALLCLASSDATA,MATCH("MartialLimitedExpert",CLASSFEATUREHEADERS,0),MATCH($A1610,CLASSNAMEHEADERS,0))),(INDEX(ALLCLASSDATA,MATCH("MartialLimitedExpert",CLASSFEATUREHEADERS,0),MATCH(($A1610 &amp; "Points"),CLASSNAMEHEADERS,0))),(IF("15"=(INDEX(ALLCLASSDATA,MATCH("MartialLimitedTrained",CLASSFEATUREHEADERS,0),MATCH($A1610,CLASSNAMEHEADERS,0))),(INDEX(ALLCLASSDATA,MATCH("MartialLimitedTrained",CLASSFEATUREHEADERS,0),MATCH(($A1610 &amp; "Points"),CLASSNAMEHEADERS,0))),"")))))))))}</f>
        <v>MARTIALLIMITEDL15</v>
      </c>
      <c r="W1609" s="223"/>
      <c r="X1609" s="223" t="str">
        <f t="array" ref="X1609:X1610">{"MARTIALLIMITEDL17";((IF("17"=(INDEX(ALLCLASSDATA,MATCH("MartialLimitedLegendary",CLASSFEATUREHEADERS,0),MATCH($A1610,CLASSNAMEHEADERS,0))),(INDEX(ALLCLASSDATA,MATCH("MartialLimitedLegendary",CLASSFEATUREHEADERS,0),MATCH(($A1610 &amp; "Points"),CLASSNAMEHEADERS,0))),(IF("17"=(INDEX(ALLCLASSDATA,MATCH("MartialLimitedMaster",CLASSFEATUREHEADERS,0),MATCH($A1610,CLASSNAMEHEADERS,0))),(INDEX(ALLCLASSDATA,MATCH("MartialLimitedMaster",CLASSFEATUREHEADERS,0),MATCH(($A1610 &amp; "Points"),CLASSNAMEHEADERS,0))),(IF("17"=(INDEX(ALLCLASSDATA,MATCH("MartialLimitedExpert",CLASSFEATUREHEADERS,0),MATCH($A1610,CLASSNAMEHEADERS,0))),(INDEX(ALLCLASSDATA,MATCH("MartialLimitedExpert",CLASSFEATUREHEADERS,0),MATCH(($A1610 &amp; "Points"),CLASSNAMEHEADERS,0))),(IF("17"=(INDEX(ALLCLASSDATA,MATCH("MartialLimitedTrained",CLASSFEATUREHEADERS,0),MATCH($A1610,CLASSNAMEHEADERS,0))),(INDEX(ALLCLASSDATA,MATCH("MartialLimitedTrained",CLASSFEATUREHEADERS,0),MATCH(($A1610 &amp; "Points"),CLASSNAMEHEADERS,0))),"")))))))))}</f>
        <v>MARTIALLIMITEDL17</v>
      </c>
      <c r="Y1609" s="223"/>
      <c r="Z1609" s="223" t="str">
        <f t="array" ref="Z1609:Z1610">{"MARTIALLIMITEDL19";((IF("19"=(INDEX(ALLCLASSDATA,MATCH("MartialLimitedLegendary",CLASSFEATUREHEADERS,0),MATCH($A1610,CLASSNAMEHEADERS,0))),(INDEX(ALLCLASSDATA,MATCH("MartialLimitedLegendary",CLASSFEATUREHEADERS,0),MATCH(($A1610 &amp; "Points"),CLASSNAMEHEADERS,0))),(IF("19"=(INDEX(ALLCLASSDATA,MATCH("MartialLimitedMaster",CLASSFEATUREHEADERS,0),MATCH($A1610,CLASSNAMEHEADERS,0))),(INDEX(ALLCLASSDATA,MATCH("MartialLimitedMaster",CLASSFEATUREHEADERS,0),MATCH(($A1610 &amp; "Points"),CLASSNAMEHEADERS,0))),(IF("19"=(INDEX(ALLCLASSDATA,MATCH("MartialLimitedExpert",CLASSFEATUREHEADERS,0),MATCH($A1610,CLASSNAMEHEADERS,0))),(INDEX(ALLCLASSDATA,MATCH("MartialLimitedExpert",CLASSFEATUREHEADERS,0),MATCH(($A1610 &amp; "Points"),CLASSNAMEHEADERS,0))),(IF("19"=(INDEX(ALLCLASSDATA,MATCH("MartialLimitedTrained",CLASSFEATUREHEADERS,0),MATCH($A1610,CLASSNAMEHEADERS,0))),(INDEX(ALLCLASSDATA,MATCH("MartialLimitedTrained",CLASSFEATUREHEADERS,0),MATCH(($A1610 &amp; "Points"),CLASSNAMEHEADERS,0))),"")))))))))}</f>
        <v>MARTIALLIMITEDL19</v>
      </c>
      <c r="AA1609" s="223"/>
      <c r="AB1609" s="76" t="str">
        <f t="array" ref="AB1609:AB1610">{"MARTIALLIMITED TOTAL";(IF(COUNTBLANK(G1610:AA1610)=17,"L",(IF(COUNTBLANK(G1610:AA1610)=18,"M",(IF(COUNTBLANK(G1610:AA1610)=19,"E",(IF(COUNTBLANK(G1610:AA1610)=20,"T",""))))))))}</f>
        <v>MARTIALLIMITED TOTAL</v>
      </c>
      <c r="AC1609" s="76" t="str">
        <f t="array" ref="AC1609:AC1610">{"MARTIALLIMITED TOTAL";(sum(G1610:AA1610))}</f>
        <v>MARTIALLIMITED TOTAL</v>
      </c>
    </row>
    <row r="1610">
      <c r="A1610" s="48" t="s">
        <v>223</v>
      </c>
      <c r="B1610" s="48"/>
      <c r="C1610" s="48" t="s">
        <v>418</v>
      </c>
      <c r="D1610" s="48" t="s">
        <v>1634</v>
      </c>
      <c r="E1610" s="48" t="s">
        <v>600</v>
      </c>
      <c r="F1610" s="5" t="s">
        <v>603</v>
      </c>
      <c r="G1610" s="47" t="s">
        <v>603</v>
      </c>
      <c r="H1610" s="5" t="s">
        <v>603</v>
      </c>
      <c r="I1610" s="5"/>
      <c r="J1610" s="5" t="s">
        <v>603</v>
      </c>
      <c r="K1610" s="5"/>
      <c r="L1610" s="5" t="s">
        <v>603</v>
      </c>
      <c r="M1610" s="5"/>
      <c r="N1610" s="5" t="s">
        <v>603</v>
      </c>
      <c r="O1610" s="5"/>
      <c r="P1610" s="5" t="s">
        <v>603</v>
      </c>
      <c r="Q1610" s="5"/>
      <c r="R1610" s="5" t="s">
        <v>603</v>
      </c>
      <c r="S1610" s="5"/>
      <c r="T1610" s="5" t="s">
        <v>603</v>
      </c>
      <c r="U1610" s="5"/>
      <c r="V1610" s="5" t="s">
        <v>603</v>
      </c>
      <c r="W1610" s="5"/>
      <c r="X1610" s="5" t="s">
        <v>603</v>
      </c>
      <c r="Y1610" s="5"/>
      <c r="Z1610" s="5" t="s">
        <v>603</v>
      </c>
      <c r="AA1610" s="5"/>
      <c r="AB1610" s="5" t="s">
        <v>603</v>
      </c>
      <c r="AC1610" s="47">
        <v>0.0</v>
      </c>
    </row>
    <row r="1611" hidden="1">
      <c r="A1611" s="222" t="str">
        <f t="array" ref="A1611:A1612">{"FormulaRow31";(INDEX(CLASSLIST,A1550,1))}</f>
        <v>FormulaRow31</v>
      </c>
      <c r="B1611" s="77" t="s">
        <v>236</v>
      </c>
      <c r="C1611" s="222" t="str">
        <f t="array" ref="C1611:C1612">{"CLASSTYPE";((INDEX(ALLCLASSDATA,MATCH("ClassType",CLASSFEATUREHEADERS,0),MATCH($A1612,CLASSNAMEHEADERS,0))))}</f>
        <v>CLASSTYPE</v>
      </c>
      <c r="D1611" s="222" t="str">
        <f t="array" ref="D1611:D1612">{"ATTACK";"Attack"}</f>
        <v>ATTACK</v>
      </c>
      <c r="E1611" s="222" t="str">
        <f t="array" ref="E1611:E1612">{"MARTIAL";"Martial"}</f>
        <v>MARTIAL</v>
      </c>
      <c r="F1611" s="223" t="str">
        <f t="array" ref="F1611:F1612">{"MARTIALINITIAL";((IF(H1612=10,"T",(IF(H1612=50,"E","")))))}</f>
        <v>MARTIALINITIAL</v>
      </c>
      <c r="G1611" s="223" t="str">
        <f t="array" ref="G1611:G1612">{"MARTIALINITIALPTS";((IF("00"=(INDEX(ALLCLASSDATA,MATCH("MartialLegendary",CLASSFEATUREHEADERS,0),MATCH($A1612,CLASSNAMEHEADERS,0))),(INDEX(ALLCLASSDATA,MATCH("MartialLegendary",CLASSFEATUREHEADERS,0),MATCH(($A1612 &amp; "Points"),CLASSNAMEHEADERS,0))),(IF("00"=(INDEX(ALLCLASSDATA,MATCH("MartialMaster",CLASSFEATUREHEADERS,0),MATCH($A1612,CLASSNAMEHEADERS,0))),(INDEX(ALLCLASSDATA,MATCH("MartialMaster",CLASSFEATUREHEADERS,0),MATCH(($A1612 &amp; "Points"),CLASSNAMEHEADERS,0))),(IF("00"=(INDEX(ALLCLASSDATA,MATCH("MartialExpert",CLASSFEATUREHEADERS,0),MATCH($A1612,CLASSNAMEHEADERS,0))),(INDEX(ALLCLASSDATA,MATCH("MartialExpert",CLASSFEATUREHEADERS,0),MATCH(($A1612 &amp; "Points"),CLASSNAMEHEADERS,0))),(IF("00"=(INDEX(ALLCLASSDATA,MATCH("MartialTrained",CLASSFEATUREHEADERS,0),MATCH($A1612,CLASSNAMEHEADERS,0))),(INDEX(ALLCLASSDATA,MATCH("MartialTrained",CLASSFEATUREHEADERS,0),MATCH(($A1612 &amp; "Points"),CLASSNAMEHEADERS,0))),"")))))))))}</f>
        <v>MARTIALINITIALPTS</v>
      </c>
      <c r="H1611" s="223" t="str">
        <f t="array" ref="H1611:H1612">{"MARTIALL01";((IF("01"=(INDEX(ALLCLASSDATA,MATCH("MartialLegendary",CLASSFEATUREHEADERS,0),MATCH($A1612,CLASSNAMEHEADERS,0))),(INDEX(ALLCLASSDATA,MATCH("MartialLegendary",CLASSFEATUREHEADERS,0),MATCH(($A1612 &amp; "Points"),CLASSNAMEHEADERS,0))),(IF("01"=(INDEX(ALLCLASSDATA,MATCH("MartialMaster",CLASSFEATUREHEADERS,0),MATCH($A1612,CLASSNAMEHEADERS,0))),(INDEX(ALLCLASSDATA,MATCH("MartialMaster",CLASSFEATUREHEADERS,0),MATCH(($A1612 &amp; "Points"),CLASSNAMEHEADERS,0))),(IF("01"=(INDEX(ALLCLASSDATA,MATCH("MartialExpert",CLASSFEATUREHEADERS,0),MATCH($A1612,CLASSNAMEHEADERS,0))),(INDEX(ALLCLASSDATA,MATCH("MartialExpert",CLASSFEATUREHEADERS,0),MATCH(($A1612 &amp; "Points"),CLASSNAMEHEADERS,0))),(IF("01"=(INDEX(ALLCLASSDATA,MATCH("MartialTrained",CLASSFEATUREHEADERS,0),MATCH($A1612,CLASSNAMEHEADERS,0))),(INDEX(ALLCLASSDATA,MATCH("MartialTrained",CLASSFEATUREHEADERS,0),MATCH(($A1612 &amp; "Points"),CLASSNAMEHEADERS,0))),"")))))))))}</f>
        <v>MARTIALL01</v>
      </c>
      <c r="I1611" s="223"/>
      <c r="J1611" s="223" t="str">
        <f t="array" ref="J1611:J1612">{"MARTIALL03";((IF("03"=(INDEX(ALLCLASSDATA,MATCH("MartialLegendary",CLASSFEATUREHEADERS,0),MATCH($A1612,CLASSNAMEHEADERS,0))),(INDEX(ALLCLASSDATA,MATCH("MartialLegendary",CLASSFEATUREHEADERS,0),MATCH(($A1612 &amp; "Points"),CLASSNAMEHEADERS,0))),(IF("03"=(INDEX(ALLCLASSDATA,MATCH("MartialMaster",CLASSFEATUREHEADERS,0),MATCH($A1612,CLASSNAMEHEADERS,0))),(INDEX(ALLCLASSDATA,MATCH("MartialMaster",CLASSFEATUREHEADERS,0),MATCH(($A1612 &amp; "Points"),CLASSNAMEHEADERS,0))),(IF("03"=(INDEX(ALLCLASSDATA,MATCH("MartialExpert",CLASSFEATUREHEADERS,0),MATCH($A1612,CLASSNAMEHEADERS,0))),(INDEX(ALLCLASSDATA,MATCH("MartialExpert",CLASSFEATUREHEADERS,0),MATCH(($A1612 &amp; "Points"),CLASSNAMEHEADERS,0))),(IF("03"=(INDEX(ALLCLASSDATA,MATCH("MartialTrained",CLASSFEATUREHEADERS,0),MATCH($A1612,CLASSNAMEHEADERS,0))),(INDEX(ALLCLASSDATA,MATCH("MartialTrained",CLASSFEATUREHEADERS,0),MATCH(($A1612 &amp; "Points"),CLASSNAMEHEADERS,0))),"")))))))))}</f>
        <v>MARTIALL03</v>
      </c>
      <c r="K1611" s="223"/>
      <c r="L1611" s="223" t="str">
        <f t="array" ref="L1611:L1612">{"MARTIALL05";((IF("05"=(INDEX(ALLCLASSDATA,MATCH("MartialLegendary",CLASSFEATUREHEADERS,0),MATCH($A1612,CLASSNAMEHEADERS,0))),(INDEX(ALLCLASSDATA,MATCH("MartialLegendary",CLASSFEATUREHEADERS,0),MATCH(($A1612 &amp; "Points"),CLASSNAMEHEADERS,0))),(IF("05"=(INDEX(ALLCLASSDATA,MATCH("MartialMaster",CLASSFEATUREHEADERS,0),MATCH($A1612,CLASSNAMEHEADERS,0))),(INDEX(ALLCLASSDATA,MATCH("MartialMaster",CLASSFEATUREHEADERS,0),MATCH(($A1612 &amp; "Points"),CLASSNAMEHEADERS,0))),(IF("05"=(INDEX(ALLCLASSDATA,MATCH("MartialExpert",CLASSFEATUREHEADERS,0),MATCH($A1612,CLASSNAMEHEADERS,0))),(INDEX(ALLCLASSDATA,MATCH("MartialExpert",CLASSFEATUREHEADERS,0),MATCH(($A1612 &amp; "Points"),CLASSNAMEHEADERS,0))),(IF("05"=(INDEX(ALLCLASSDATA,MATCH("MartialTrained",CLASSFEATUREHEADERS,0),MATCH($A1612,CLASSNAMEHEADERS,0))),(INDEX(ALLCLASSDATA,MATCH("MartialTrained",CLASSFEATUREHEADERS,0),MATCH(($A1612 &amp; "Points"),CLASSNAMEHEADERS,0))),"")))))))))}</f>
        <v>MARTIALL05</v>
      </c>
      <c r="M1611" s="223"/>
      <c r="N1611" s="223" t="str">
        <f t="array" ref="N1611:N1612">{"MARTIALL07";((IF("07"=(INDEX(ALLCLASSDATA,MATCH("MartialLegendary",CLASSFEATUREHEADERS,0),MATCH($A1612,CLASSNAMEHEADERS,0))),(INDEX(ALLCLASSDATA,MATCH("MartialLegendary",CLASSFEATUREHEADERS,0),MATCH(($A1612 &amp; "Points"),CLASSNAMEHEADERS,0))),(IF("07"=(INDEX(ALLCLASSDATA,MATCH("MartialMaster",CLASSFEATUREHEADERS,0),MATCH($A1612,CLASSNAMEHEADERS,0))),(INDEX(ALLCLASSDATA,MATCH("MartialMaster",CLASSFEATUREHEADERS,0),MATCH(($A1612 &amp; "Points"),CLASSNAMEHEADERS,0))),(IF("07"=(INDEX(ALLCLASSDATA,MATCH("MartialExpert",CLASSFEATUREHEADERS,0),MATCH($A1612,CLASSNAMEHEADERS,0))),(INDEX(ALLCLASSDATA,MATCH("MartialExpert",CLASSFEATUREHEADERS,0),MATCH(($A1612 &amp; "Points"),CLASSNAMEHEADERS,0))),(IF("07"=(INDEX(ALLCLASSDATA,MATCH("MartialTrained",CLASSFEATUREHEADERS,0),MATCH($A1612,CLASSNAMEHEADERS,0))),(INDEX(ALLCLASSDATA,MATCH("MartialTrained",CLASSFEATUREHEADERS,0),MATCH(($A1612 &amp; "Points"),CLASSNAMEHEADERS,0))),"")))))))))}</f>
        <v>MARTIALL07</v>
      </c>
      <c r="O1611" s="223"/>
      <c r="P1611" s="223" t="str">
        <f t="array" ref="P1611:P1612">{"MARTIALL09";((IF("09"=(INDEX(ALLCLASSDATA,MATCH("MartialLegendary",CLASSFEATUREHEADERS,0),MATCH($A1612,CLASSNAMEHEADERS,0))),(INDEX(ALLCLASSDATA,MATCH("MartialLegendary",CLASSFEATUREHEADERS,0),MATCH(($A1612 &amp; "Points"),CLASSNAMEHEADERS,0))),(IF("09"=(INDEX(ALLCLASSDATA,MATCH("MartialMaster",CLASSFEATUREHEADERS,0),MATCH($A1612,CLASSNAMEHEADERS,0))),(INDEX(ALLCLASSDATA,MATCH("MartialMaster",CLASSFEATUREHEADERS,0),MATCH(($A1612 &amp; "Points"),CLASSNAMEHEADERS,0))),(IF("09"=(INDEX(ALLCLASSDATA,MATCH("MartialExpert",CLASSFEATUREHEADERS,0),MATCH($A1612,CLASSNAMEHEADERS,0))),(INDEX(ALLCLASSDATA,MATCH("MartialExpert",CLASSFEATUREHEADERS,0),MATCH(($A1612 &amp; "Points"),CLASSNAMEHEADERS,0))),(IF("09"=(INDEX(ALLCLASSDATA,MATCH("MartialTrained",CLASSFEATUREHEADERS,0),MATCH($A1612,CLASSNAMEHEADERS,0))),(INDEX(ALLCLASSDATA,MATCH("MartialTrained",CLASSFEATUREHEADERS,0),MATCH(($A1612 &amp; "Points"),CLASSNAMEHEADERS,0))),"")))))))))}</f>
        <v>MARTIALL09</v>
      </c>
      <c r="Q1611" s="223"/>
      <c r="R1611" s="223" t="str">
        <f t="array" ref="R1611:R1612">{"MARTIALL11";((IF("11"=(INDEX(ALLCLASSDATA,MATCH("MartialLegendary",CLASSFEATUREHEADERS,0),MATCH($A1612,CLASSNAMEHEADERS,0))),(INDEX(ALLCLASSDATA,MATCH("MartialLegendary",CLASSFEATUREHEADERS,0),MATCH(($A1612 &amp; "Points"),CLASSNAMEHEADERS,0))),(IF("11"=(INDEX(ALLCLASSDATA,MATCH("MartialMaster",CLASSFEATUREHEADERS,0),MATCH($A1612,CLASSNAMEHEADERS,0))),(INDEX(ALLCLASSDATA,MATCH("MartialMaster",CLASSFEATUREHEADERS,0),MATCH(($A1612 &amp; "Points"),CLASSNAMEHEADERS,0))),(IF("11"=(INDEX(ALLCLASSDATA,MATCH("MartialExpert",CLASSFEATUREHEADERS,0),MATCH($A1612,CLASSNAMEHEADERS,0))),(INDEX(ALLCLASSDATA,MATCH("MartialExpert",CLASSFEATUREHEADERS,0),MATCH(($A1612 &amp; "Points"),CLASSNAMEHEADERS,0))),(IF("11"=(INDEX(ALLCLASSDATA,MATCH("MartialTrained",CLASSFEATUREHEADERS,0),MATCH($A1612,CLASSNAMEHEADERS,0))),(INDEX(ALLCLASSDATA,MATCH("MartialTrained",CLASSFEATUREHEADERS,0),MATCH(($A1612 &amp; "Points"),CLASSNAMEHEADERS,0))),"")))))))))}</f>
        <v>MARTIALL11</v>
      </c>
      <c r="S1611" s="223"/>
      <c r="T1611" s="223" t="str">
        <f t="array" ref="T1611:T1612">{"MARTIALL13";((IF("13"=(INDEX(ALLCLASSDATA,MATCH("MartialLegendary",CLASSFEATUREHEADERS,0),MATCH($A1612,CLASSNAMEHEADERS,0))),(INDEX(ALLCLASSDATA,MATCH("MartialLegendary",CLASSFEATUREHEADERS,0),MATCH(($A1612 &amp; "Points"),CLASSNAMEHEADERS,0))),(IF("13"=(INDEX(ALLCLASSDATA,MATCH("MartialMaster",CLASSFEATUREHEADERS,0),MATCH($A1612,CLASSNAMEHEADERS,0))),(INDEX(ALLCLASSDATA,MATCH("MartialMaster",CLASSFEATUREHEADERS,0),MATCH(($A1612 &amp; "Points"),CLASSNAMEHEADERS,0))),(IF("13"=(INDEX(ALLCLASSDATA,MATCH("MartialExpert",CLASSFEATUREHEADERS,0),MATCH($A1612,CLASSNAMEHEADERS,0))),(INDEX(ALLCLASSDATA,MATCH("MartialExpert",CLASSFEATUREHEADERS,0),MATCH(($A1612 &amp; "Points"),CLASSNAMEHEADERS,0))),(IF("13"=(INDEX(ALLCLASSDATA,MATCH("MartialTrained",CLASSFEATUREHEADERS,0),MATCH($A1612,CLASSNAMEHEADERS,0))),(INDEX(ALLCLASSDATA,MATCH("MartialTrained",CLASSFEATUREHEADERS,0),MATCH(($A1612 &amp; "Points"),CLASSNAMEHEADERS,0))),"")))))))))}</f>
        <v>MARTIALL13</v>
      </c>
      <c r="U1611" s="223"/>
      <c r="V1611" s="223" t="str">
        <f t="array" ref="V1611:V1612">{"MARTIALL15";((IF("15"=(INDEX(ALLCLASSDATA,MATCH("MartialLegendary",CLASSFEATUREHEADERS,0),MATCH($A1612,CLASSNAMEHEADERS,0))),(INDEX(ALLCLASSDATA,MATCH("MartialLegendary",CLASSFEATUREHEADERS,0),MATCH(($A1612 &amp; "Points"),CLASSNAMEHEADERS,0))),(IF("15"=(INDEX(ALLCLASSDATA,MATCH("MartialMaster",CLASSFEATUREHEADERS,0),MATCH($A1612,CLASSNAMEHEADERS,0))),(INDEX(ALLCLASSDATA,MATCH("MartialMaster",CLASSFEATUREHEADERS,0),MATCH(($A1612 &amp; "Points"),CLASSNAMEHEADERS,0))),(IF("15"=(INDEX(ALLCLASSDATA,MATCH("MartialExpert",CLASSFEATUREHEADERS,0),MATCH($A1612,CLASSNAMEHEADERS,0))),(INDEX(ALLCLASSDATA,MATCH("MartialExpert",CLASSFEATUREHEADERS,0),MATCH(($A1612 &amp; "Points"),CLASSNAMEHEADERS,0))),(IF("15"=(INDEX(ALLCLASSDATA,MATCH("MartialTrained",CLASSFEATUREHEADERS,0),MATCH($A1612,CLASSNAMEHEADERS,0))),(INDEX(ALLCLASSDATA,MATCH("MartialTrained",CLASSFEATUREHEADERS,0),MATCH(($A1612 &amp; "Points"),CLASSNAMEHEADERS,0))),"")))))))))}</f>
        <v>MARTIALL15</v>
      </c>
      <c r="W1611" s="223"/>
      <c r="X1611" s="223" t="str">
        <f t="array" ref="X1611:X1612">{"MARTIALL17";((IF("17"=(INDEX(ALLCLASSDATA,MATCH("MartialLegendary",CLASSFEATUREHEADERS,0),MATCH($A1612,CLASSNAMEHEADERS,0))),(INDEX(ALLCLASSDATA,MATCH("MartialLegendary",CLASSFEATUREHEADERS,0),MATCH(($A1612 &amp; "Points"),CLASSNAMEHEADERS,0))),(IF("17"=(INDEX(ALLCLASSDATA,MATCH("MartialMaster",CLASSFEATUREHEADERS,0),MATCH($A1612,CLASSNAMEHEADERS,0))),(INDEX(ALLCLASSDATA,MATCH("MartialMaster",CLASSFEATUREHEADERS,0),MATCH(($A1612 &amp; "Points"),CLASSNAMEHEADERS,0))),(IF("17"=(INDEX(ALLCLASSDATA,MATCH("MartialExpert",CLASSFEATUREHEADERS,0),MATCH($A1612,CLASSNAMEHEADERS,0))),(INDEX(ALLCLASSDATA,MATCH("MartialExpert",CLASSFEATUREHEADERS,0),MATCH(($A1612 &amp; "Points"),CLASSNAMEHEADERS,0))),(IF("17"=(INDEX(ALLCLASSDATA,MATCH("MartialTrained",CLASSFEATUREHEADERS,0),MATCH($A1612,CLASSNAMEHEADERS,0))),(INDEX(ALLCLASSDATA,MATCH("MartialTrained",CLASSFEATUREHEADERS,0),MATCH(($A1612 &amp; "Points"),CLASSNAMEHEADERS,0))),"")))))))))}</f>
        <v>MARTIALL17</v>
      </c>
      <c r="Y1611" s="223"/>
      <c r="Z1611" s="223" t="str">
        <f t="array" ref="Z1611:Z1612">{"MARTIALL19";((IF("19"=(INDEX(ALLCLASSDATA,MATCH("MartialLegendary",CLASSFEATUREHEADERS,0),MATCH($A1612,CLASSNAMEHEADERS,0))),(INDEX(ALLCLASSDATA,MATCH("MartialLegendary",CLASSFEATUREHEADERS,0),MATCH(($A1612 &amp; "Points"),CLASSNAMEHEADERS,0))),(IF("19"=(INDEX(ALLCLASSDATA,MATCH("MartialMaster",CLASSFEATUREHEADERS,0),MATCH($A1612,CLASSNAMEHEADERS,0))),(INDEX(ALLCLASSDATA,MATCH("MartialMaster",CLASSFEATUREHEADERS,0),MATCH(($A1612 &amp; "Points"),CLASSNAMEHEADERS,0))),(IF("19"=(INDEX(ALLCLASSDATA,MATCH("MartialExpert",CLASSFEATUREHEADERS,0),MATCH($A1612,CLASSNAMEHEADERS,0))),(INDEX(ALLCLASSDATA,MATCH("MartialExpert",CLASSFEATUREHEADERS,0),MATCH(($A1612 &amp; "Points"),CLASSNAMEHEADERS,0))),(IF("19"=(INDEX(ALLCLASSDATA,MATCH("MartialTrained",CLASSFEATUREHEADERS,0),MATCH($A1612,CLASSNAMEHEADERS,0))),(INDEX(ALLCLASSDATA,MATCH("MartialTrained",CLASSFEATUREHEADERS,0),MATCH(($A1612 &amp; "Points"),CLASSNAMEHEADERS,0))),"")))))))))}</f>
        <v>MARTIALL19</v>
      </c>
      <c r="AA1611" s="223"/>
      <c r="AB1611" s="76" t="str">
        <f t="array" ref="AB1611:AB1612">{"MARTIAL TOTAL";(IF(COUNTBLANK(G1612:AA1612)=17,"L",(IF(COUNTBLANK(G1612:AA1612)=18,"M",(IF(COUNTBLANK(G1612:AA1612)=19,"E",(IF(COUNTBLANK(G1612:AA1612)=20,"T",""))))))))}</f>
        <v>MARTIAL TOTAL</v>
      </c>
      <c r="AC1611" s="76" t="str">
        <f t="array" ref="AC1611:AC1612">{"MARTIAL TOTAL";(sum(G1612:AA1612))}</f>
        <v>MARTIAL TOTAL</v>
      </c>
    </row>
    <row r="1612">
      <c r="A1612" s="48" t="s">
        <v>223</v>
      </c>
      <c r="B1612" s="48"/>
      <c r="C1612" s="48" t="s">
        <v>418</v>
      </c>
      <c r="D1612" s="48" t="s">
        <v>1634</v>
      </c>
      <c r="E1612" s="48" t="s">
        <v>6</v>
      </c>
      <c r="F1612" s="5" t="s">
        <v>603</v>
      </c>
      <c r="G1612" s="47" t="s">
        <v>603</v>
      </c>
      <c r="H1612" s="5" t="s">
        <v>603</v>
      </c>
      <c r="I1612" s="5"/>
      <c r="J1612" s="5" t="s">
        <v>603</v>
      </c>
      <c r="K1612" s="5"/>
      <c r="L1612" s="5" t="s">
        <v>603</v>
      </c>
      <c r="M1612" s="5"/>
      <c r="N1612" s="5" t="s">
        <v>603</v>
      </c>
      <c r="O1612" s="5"/>
      <c r="P1612" s="5" t="s">
        <v>603</v>
      </c>
      <c r="Q1612" s="48"/>
      <c r="R1612" s="5" t="s">
        <v>603</v>
      </c>
      <c r="S1612" s="5"/>
      <c r="T1612" s="5" t="s">
        <v>603</v>
      </c>
      <c r="U1612" s="5"/>
      <c r="V1612" s="5" t="s">
        <v>603</v>
      </c>
      <c r="W1612" s="5"/>
      <c r="X1612" s="5" t="s">
        <v>603</v>
      </c>
      <c r="Y1612" s="5"/>
      <c r="Z1612" s="5" t="s">
        <v>603</v>
      </c>
      <c r="AA1612" s="5"/>
      <c r="AB1612" s="5" t="s">
        <v>603</v>
      </c>
      <c r="AC1612" s="47">
        <v>0.0</v>
      </c>
    </row>
    <row r="1613" hidden="1">
      <c r="A1613" s="222" t="str">
        <f t="array" ref="A1613:A1614">{"FormulaRow32";(INDEX(CLASSLIST,A1550,1))}</f>
        <v>FormulaRow32</v>
      </c>
      <c r="B1613" s="77" t="s">
        <v>236</v>
      </c>
      <c r="C1613" s="222" t="str">
        <f t="array" ref="C1613:C1614">{"CLASSTYPE";((INDEX(ALLCLASSDATA,MATCH("ClassType",CLASSFEATUREHEADERS,0),MATCH($A1614,CLASSNAMEHEADERS,0))))}</f>
        <v>CLASSTYPE</v>
      </c>
      <c r="D1613" s="222" t="str">
        <f t="array" ref="D1613:D1614">{"ATTACK";"Attack"}</f>
        <v>ATTACK</v>
      </c>
      <c r="E1613" s="222" t="str">
        <f t="array" ref="E1613:E1614">{"ADVANCEDGROUP";"AdvancedGroup"}</f>
        <v>ADVANCEDGROUP</v>
      </c>
      <c r="F1613" s="223" t="str">
        <f t="array" ref="F1613:F1614">{"ADVANCEDGROUPINITIAL";((IF(H1614=10,"T",(IF(H1614=50,"E","")))))}</f>
        <v>ADVANCEDGROUPINITIAL</v>
      </c>
      <c r="G1613" s="223" t="str">
        <f t="array" ref="G1613:G1614">{"ADVANCEDGROUPINITIALPTS";((IF("00"=(INDEX(ALLCLASSDATA,MATCH("AdvancedGroupLegendary",CLASSFEATUREHEADERS,0),MATCH($A1614,CLASSNAMEHEADERS,0))),(INDEX(ALLCLASSDATA,MATCH("AdvancedGroupLegendary",CLASSFEATUREHEADERS,0),MATCH(($A1614 &amp; "Points"),CLASSNAMEHEADERS,0))),(IF("00"=(INDEX(ALLCLASSDATA,MATCH("AdvancedGroupMaster",CLASSFEATUREHEADERS,0),MATCH($A1614,CLASSNAMEHEADERS,0))),(INDEX(ALLCLASSDATA,MATCH("AdvancedGroupMaster",CLASSFEATUREHEADERS,0),MATCH(($A1614 &amp; "Points"),CLASSNAMEHEADERS,0))),(IF("00"=(INDEX(ALLCLASSDATA,MATCH("AdvancedGroupExpert",CLASSFEATUREHEADERS,0),MATCH($A1614,CLASSNAMEHEADERS,0))),(INDEX(ALLCLASSDATA,MATCH("AdvancedGroupExpert",CLASSFEATUREHEADERS,0),MATCH(($A1614 &amp; "Points"),CLASSNAMEHEADERS,0))),(IF("00"=(INDEX(ALLCLASSDATA,MATCH("AdvancedGroupTrained",CLASSFEATUREHEADERS,0),MATCH($A1614,CLASSNAMEHEADERS,0))),(INDEX(ALLCLASSDATA,MATCH("AdvancedGroupTrained",CLASSFEATUREHEADERS,0),MATCH(($A1614 &amp; "Points"),CLASSNAMEHEADERS,0))),"")))))))))}</f>
        <v>ADVANCEDGROUPINITIALPTS</v>
      </c>
      <c r="H1613" s="223" t="str">
        <f t="array" ref="H1613:H1614">{"ADVANCEDGROUPL01";((IF("01"=(INDEX(ALLCLASSDATA,MATCH("AdvancedGroupLegendary",CLASSFEATUREHEADERS,0),MATCH($A1614,CLASSNAMEHEADERS,0))),(INDEX(ALLCLASSDATA,MATCH("AdvancedGroupLegendary",CLASSFEATUREHEADERS,0),MATCH(($A1614 &amp; "Points"),CLASSNAMEHEADERS,0))),(IF("01"=(INDEX(ALLCLASSDATA,MATCH("AdvancedGroupMaster",CLASSFEATUREHEADERS,0),MATCH($A1614,CLASSNAMEHEADERS,0))),(INDEX(ALLCLASSDATA,MATCH("AdvancedGroupMaster",CLASSFEATUREHEADERS,0),MATCH(($A1614 &amp; "Points"),CLASSNAMEHEADERS,0))),(IF("01"=(INDEX(ALLCLASSDATA,MATCH("AdvancedGroupExpert",CLASSFEATUREHEADERS,0),MATCH($A1614,CLASSNAMEHEADERS,0))),(INDEX(ALLCLASSDATA,MATCH("AdvancedGroupExpert",CLASSFEATUREHEADERS,0),MATCH(($A1614 &amp; "Points"),CLASSNAMEHEADERS,0))),(IF("01"=(INDEX(ALLCLASSDATA,MATCH("AdvancedGroupTrained",CLASSFEATUREHEADERS,0),MATCH($A1614,CLASSNAMEHEADERS,0))),(INDEX(ALLCLASSDATA,MATCH("AdvancedGroupTrained",CLASSFEATUREHEADERS,0),MATCH(($A1614 &amp; "Points"),CLASSNAMEHEADERS,0))),"")))))))))}</f>
        <v>ADVANCEDGROUPL01</v>
      </c>
      <c r="I1613" s="223"/>
      <c r="J1613" s="223" t="str">
        <f t="array" ref="J1613:J1614">{"ADVANCEDGROUPL03";((IF("03"=(INDEX(ALLCLASSDATA,MATCH("AdvancedGroupLegendary",CLASSFEATUREHEADERS,0),MATCH($A1614,CLASSNAMEHEADERS,0))),(INDEX(ALLCLASSDATA,MATCH("AdvancedGroupLegendary",CLASSFEATUREHEADERS,0),MATCH(($A1614 &amp; "Points"),CLASSNAMEHEADERS,0))),(IF("03"=(INDEX(ALLCLASSDATA,MATCH("AdvancedGroupMaster",CLASSFEATUREHEADERS,0),MATCH($A1614,CLASSNAMEHEADERS,0))),(INDEX(ALLCLASSDATA,MATCH("AdvancedGroupMaster",CLASSFEATUREHEADERS,0),MATCH(($A1614 &amp; "Points"),CLASSNAMEHEADERS,0))),(IF("03"=(INDEX(ALLCLASSDATA,MATCH("AdvancedGroupExpert",CLASSFEATUREHEADERS,0),MATCH($A1614,CLASSNAMEHEADERS,0))),(INDEX(ALLCLASSDATA,MATCH("AdvancedGroupExpert",CLASSFEATUREHEADERS,0),MATCH(($A1614 &amp; "Points"),CLASSNAMEHEADERS,0))),(IF("03"=(INDEX(ALLCLASSDATA,MATCH("AdvancedGroupTrained",CLASSFEATUREHEADERS,0),MATCH($A1614,CLASSNAMEHEADERS,0))),(INDEX(ALLCLASSDATA,MATCH("AdvancedGroupTrained",CLASSFEATUREHEADERS,0),MATCH(($A1614 &amp; "Points"),CLASSNAMEHEADERS,0))),"")))))))))}</f>
        <v>ADVANCEDGROUPL03</v>
      </c>
      <c r="K1613" s="223"/>
      <c r="L1613" s="223" t="str">
        <f t="array" ref="L1613:L1614">{"ADVANCEDGROUPL05";((IF("05"=(INDEX(ALLCLASSDATA,MATCH("AdvancedGroupLegendary",CLASSFEATUREHEADERS,0),MATCH($A1614,CLASSNAMEHEADERS,0))),(INDEX(ALLCLASSDATA,MATCH("AdvancedGroupLegendary",CLASSFEATUREHEADERS,0),MATCH(($A1614 &amp; "Points"),CLASSNAMEHEADERS,0))),(IF("05"=(INDEX(ALLCLASSDATA,MATCH("AdvancedGroupMaster",CLASSFEATUREHEADERS,0),MATCH($A1614,CLASSNAMEHEADERS,0))),(INDEX(ALLCLASSDATA,MATCH("AdvancedGroupMaster",CLASSFEATUREHEADERS,0),MATCH(($A1614 &amp; "Points"),CLASSNAMEHEADERS,0))),(IF("05"=(INDEX(ALLCLASSDATA,MATCH("AdvancedGroupExpert",CLASSFEATUREHEADERS,0),MATCH($A1614,CLASSNAMEHEADERS,0))),(INDEX(ALLCLASSDATA,MATCH("AdvancedGroupExpert",CLASSFEATUREHEADERS,0),MATCH(($A1614 &amp; "Points"),CLASSNAMEHEADERS,0))),(IF("05"=(INDEX(ALLCLASSDATA,MATCH("AdvancedGroupTrained",CLASSFEATUREHEADERS,0),MATCH($A1614,CLASSNAMEHEADERS,0))),(INDEX(ALLCLASSDATA,MATCH("AdvancedGroupTrained",CLASSFEATUREHEADERS,0),MATCH(($A1614 &amp; "Points"),CLASSNAMEHEADERS,0))),"")))))))))}</f>
        <v>ADVANCEDGROUPL05</v>
      </c>
      <c r="M1613" s="223"/>
      <c r="N1613" s="223" t="str">
        <f t="array" ref="N1613:N1614">{"ADVANCEDGROUPL07";((IF("07"=(INDEX(ALLCLASSDATA,MATCH("AdvancedGroupLegendary",CLASSFEATUREHEADERS,0),MATCH($A1614,CLASSNAMEHEADERS,0))),(INDEX(ALLCLASSDATA,MATCH("AdvancedGroupLegendary",CLASSFEATUREHEADERS,0),MATCH(($A1614 &amp; "Points"),CLASSNAMEHEADERS,0))),(IF("07"=(INDEX(ALLCLASSDATA,MATCH("AdvancedGroupMaster",CLASSFEATUREHEADERS,0),MATCH($A1614,CLASSNAMEHEADERS,0))),(INDEX(ALLCLASSDATA,MATCH("AdvancedGroupMaster",CLASSFEATUREHEADERS,0),MATCH(($A1614 &amp; "Points"),CLASSNAMEHEADERS,0))),(IF("07"=(INDEX(ALLCLASSDATA,MATCH("AdvancedGroupExpert",CLASSFEATUREHEADERS,0),MATCH($A1614,CLASSNAMEHEADERS,0))),(INDEX(ALLCLASSDATA,MATCH("AdvancedGroupExpert",CLASSFEATUREHEADERS,0),MATCH(($A1614 &amp; "Points"),CLASSNAMEHEADERS,0))),(IF("07"=(INDEX(ALLCLASSDATA,MATCH("AdvancedGroupTrained",CLASSFEATUREHEADERS,0),MATCH($A1614,CLASSNAMEHEADERS,0))),(INDEX(ALLCLASSDATA,MATCH("AdvancedGroupTrained",CLASSFEATUREHEADERS,0),MATCH(($A1614 &amp; "Points"),CLASSNAMEHEADERS,0))),"")))))))))}</f>
        <v>ADVANCEDGROUPL07</v>
      </c>
      <c r="O1613" s="223"/>
      <c r="P1613" s="223" t="str">
        <f t="array" ref="P1613:P1614">{"ADVANCEDGROUPL09";((IF("09"=(INDEX(ALLCLASSDATA,MATCH("AdvancedGroupLegendary",CLASSFEATUREHEADERS,0),MATCH($A1614,CLASSNAMEHEADERS,0))),(INDEX(ALLCLASSDATA,MATCH("AdvancedGroupLegendary",CLASSFEATUREHEADERS,0),MATCH(($A1614 &amp; "Points"),CLASSNAMEHEADERS,0))),(IF("09"=(INDEX(ALLCLASSDATA,MATCH("AdvancedGroupMaster",CLASSFEATUREHEADERS,0),MATCH($A1614,CLASSNAMEHEADERS,0))),(INDEX(ALLCLASSDATA,MATCH("AdvancedGroupMaster",CLASSFEATUREHEADERS,0),MATCH(($A1614 &amp; "Points"),CLASSNAMEHEADERS,0))),(IF("09"=(INDEX(ALLCLASSDATA,MATCH("AdvancedGroupExpert",CLASSFEATUREHEADERS,0),MATCH($A1614,CLASSNAMEHEADERS,0))),(INDEX(ALLCLASSDATA,MATCH("AdvancedGroupExpert",CLASSFEATUREHEADERS,0),MATCH(($A1614 &amp; "Points"),CLASSNAMEHEADERS,0))),(IF("09"=(INDEX(ALLCLASSDATA,MATCH("AdvancedGroupTrained",CLASSFEATUREHEADERS,0),MATCH($A1614,CLASSNAMEHEADERS,0))),(INDEX(ALLCLASSDATA,MATCH("AdvancedGroupTrained",CLASSFEATUREHEADERS,0),MATCH(($A1614 &amp; "Points"),CLASSNAMEHEADERS,0))),"")))))))))}</f>
        <v>ADVANCEDGROUPL09</v>
      </c>
      <c r="Q1613" s="223"/>
      <c r="R1613" s="223" t="str">
        <f t="array" ref="R1613:R1614">{"ADVANCEDGROUPL11";((IF("11"=(INDEX(ALLCLASSDATA,MATCH("AdvancedGroupLegendary",CLASSFEATUREHEADERS,0),MATCH($A1614,CLASSNAMEHEADERS,0))),(INDEX(ALLCLASSDATA,MATCH("AdvancedGroupLegendary",CLASSFEATUREHEADERS,0),MATCH(($A1614 &amp; "Points"),CLASSNAMEHEADERS,0))),(IF("11"=(INDEX(ALLCLASSDATA,MATCH("AdvancedGroupMaster",CLASSFEATUREHEADERS,0),MATCH($A1614,CLASSNAMEHEADERS,0))),(INDEX(ALLCLASSDATA,MATCH("AdvancedGroupMaster",CLASSFEATUREHEADERS,0),MATCH(($A1614 &amp; "Points"),CLASSNAMEHEADERS,0))),(IF("11"=(INDEX(ALLCLASSDATA,MATCH("AdvancedGroupExpert",CLASSFEATUREHEADERS,0),MATCH($A1614,CLASSNAMEHEADERS,0))),(INDEX(ALLCLASSDATA,MATCH("AdvancedGroupExpert",CLASSFEATUREHEADERS,0),MATCH(($A1614 &amp; "Points"),CLASSNAMEHEADERS,0))),(IF("11"=(INDEX(ALLCLASSDATA,MATCH("AdvancedGroupTrained",CLASSFEATUREHEADERS,0),MATCH($A1614,CLASSNAMEHEADERS,0))),(INDEX(ALLCLASSDATA,MATCH("AdvancedGroupTrained",CLASSFEATUREHEADERS,0),MATCH(($A1614 &amp; "Points"),CLASSNAMEHEADERS,0))),"")))))))))}</f>
        <v>ADVANCEDGROUPL11</v>
      </c>
      <c r="S1613" s="223"/>
      <c r="T1613" s="223" t="str">
        <f t="array" ref="T1613:T1614">{"ADVANCEDGROUPL13";((IF("13"=(INDEX(ALLCLASSDATA,MATCH("AdvancedGroupLegendary",CLASSFEATUREHEADERS,0),MATCH($A1614,CLASSNAMEHEADERS,0))),(INDEX(ALLCLASSDATA,MATCH("AdvancedGroupLegendary",CLASSFEATUREHEADERS,0),MATCH(($A1614 &amp; "Points"),CLASSNAMEHEADERS,0))),(IF("13"=(INDEX(ALLCLASSDATA,MATCH("AdvancedGroupMaster",CLASSFEATUREHEADERS,0),MATCH($A1614,CLASSNAMEHEADERS,0))),(INDEX(ALLCLASSDATA,MATCH("AdvancedGroupMaster",CLASSFEATUREHEADERS,0),MATCH(($A1614 &amp; "Points"),CLASSNAMEHEADERS,0))),(IF("13"=(INDEX(ALLCLASSDATA,MATCH("AdvancedGroupExpert",CLASSFEATUREHEADERS,0),MATCH($A1614,CLASSNAMEHEADERS,0))),(INDEX(ALLCLASSDATA,MATCH("AdvancedGroupExpert",CLASSFEATUREHEADERS,0),MATCH(($A1614 &amp; "Points"),CLASSNAMEHEADERS,0))),(IF("13"=(INDEX(ALLCLASSDATA,MATCH("AdvancedGroupTrained",CLASSFEATUREHEADERS,0),MATCH($A1614,CLASSNAMEHEADERS,0))),(INDEX(ALLCLASSDATA,MATCH("AdvancedGroupTrained",CLASSFEATUREHEADERS,0),MATCH(($A1614 &amp; "Points"),CLASSNAMEHEADERS,0))),"")))))))))}</f>
        <v>ADVANCEDGROUPL13</v>
      </c>
      <c r="U1613" s="223"/>
      <c r="V1613" s="223" t="str">
        <f t="array" ref="V1613:V1614">{"ADVANCEDGROUPL15";((IF("15"=(INDEX(ALLCLASSDATA,MATCH("AdvancedGroupLegendary",CLASSFEATUREHEADERS,0),MATCH($A1614,CLASSNAMEHEADERS,0))),(INDEX(ALLCLASSDATA,MATCH("AdvancedGroupLegendary",CLASSFEATUREHEADERS,0),MATCH(($A1614 &amp; "Points"),CLASSNAMEHEADERS,0))),(IF("15"=(INDEX(ALLCLASSDATA,MATCH("AdvancedGroupMaster",CLASSFEATUREHEADERS,0),MATCH($A1614,CLASSNAMEHEADERS,0))),(INDEX(ALLCLASSDATA,MATCH("AdvancedGroupMaster",CLASSFEATUREHEADERS,0),MATCH(($A1614 &amp; "Points"),CLASSNAMEHEADERS,0))),(IF("15"=(INDEX(ALLCLASSDATA,MATCH("AdvancedGroupExpert",CLASSFEATUREHEADERS,0),MATCH($A1614,CLASSNAMEHEADERS,0))),(INDEX(ALLCLASSDATA,MATCH("AdvancedGroupExpert",CLASSFEATUREHEADERS,0),MATCH(($A1614 &amp; "Points"),CLASSNAMEHEADERS,0))),(IF("15"=(INDEX(ALLCLASSDATA,MATCH("AdvancedGroupTrained",CLASSFEATUREHEADERS,0),MATCH($A1614,CLASSNAMEHEADERS,0))),(INDEX(ALLCLASSDATA,MATCH("AdvancedGroupTrained",CLASSFEATUREHEADERS,0),MATCH(($A1614 &amp; "Points"),CLASSNAMEHEADERS,0))),"")))))))))}</f>
        <v>ADVANCEDGROUPL15</v>
      </c>
      <c r="W1613" s="223"/>
      <c r="X1613" s="223" t="str">
        <f t="array" ref="X1613:X1614">{"ADVANCEDGROUPL17";((IF("17"=(INDEX(ALLCLASSDATA,MATCH("AdvancedGroupLegendary",CLASSFEATUREHEADERS,0),MATCH($A1614,CLASSNAMEHEADERS,0))),(INDEX(ALLCLASSDATA,MATCH("AdvancedGroupLegendary",CLASSFEATUREHEADERS,0),MATCH(($A1614 &amp; "Points"),CLASSNAMEHEADERS,0))),(IF("17"=(INDEX(ALLCLASSDATA,MATCH("AdvancedGroupMaster",CLASSFEATUREHEADERS,0),MATCH($A1614,CLASSNAMEHEADERS,0))),(INDEX(ALLCLASSDATA,MATCH("AdvancedGroupMaster",CLASSFEATUREHEADERS,0),MATCH(($A1614 &amp; "Points"),CLASSNAMEHEADERS,0))),(IF("17"=(INDEX(ALLCLASSDATA,MATCH("AdvancedGroupExpert",CLASSFEATUREHEADERS,0),MATCH($A1614,CLASSNAMEHEADERS,0))),(INDEX(ALLCLASSDATA,MATCH("AdvancedGroupExpert",CLASSFEATUREHEADERS,0),MATCH(($A1614 &amp; "Points"),CLASSNAMEHEADERS,0))),(IF("17"=(INDEX(ALLCLASSDATA,MATCH("AdvancedGroupTrained",CLASSFEATUREHEADERS,0),MATCH($A1614,CLASSNAMEHEADERS,0))),(INDEX(ALLCLASSDATA,MATCH("AdvancedGroupTrained",CLASSFEATUREHEADERS,0),MATCH(($A1614 &amp; "Points"),CLASSNAMEHEADERS,0))),"")))))))))}</f>
        <v>ADVANCEDGROUPL17</v>
      </c>
      <c r="Y1613" s="223"/>
      <c r="Z1613" s="223" t="str">
        <f t="array" ref="Z1613:Z1614">{"ADVANCEDGROUPL19";((IF("19"=(INDEX(ALLCLASSDATA,MATCH("AdvancedGroupLegendary",CLASSFEATUREHEADERS,0),MATCH($A1614,CLASSNAMEHEADERS,0))),(INDEX(ALLCLASSDATA,MATCH("AdvancedGroupLegendary",CLASSFEATUREHEADERS,0),MATCH(($A1614 &amp; "Points"),CLASSNAMEHEADERS,0))),(IF("19"=(INDEX(ALLCLASSDATA,MATCH("AdvancedGroupMaster",CLASSFEATUREHEADERS,0),MATCH($A1614,CLASSNAMEHEADERS,0))),(INDEX(ALLCLASSDATA,MATCH("AdvancedGroupMaster",CLASSFEATUREHEADERS,0),MATCH(($A1614 &amp; "Points"),CLASSNAMEHEADERS,0))),(IF("19"=(INDEX(ALLCLASSDATA,MATCH("AdvancedGroupExpert",CLASSFEATUREHEADERS,0),MATCH($A1614,CLASSNAMEHEADERS,0))),(INDEX(ALLCLASSDATA,MATCH("AdvancedGroupExpert",CLASSFEATUREHEADERS,0),MATCH(($A1614 &amp; "Points"),CLASSNAMEHEADERS,0))),(IF("19"=(INDEX(ALLCLASSDATA,MATCH("AdvancedGroupTrained",CLASSFEATUREHEADERS,0),MATCH($A1614,CLASSNAMEHEADERS,0))),(INDEX(ALLCLASSDATA,MATCH("AdvancedGroupTrained",CLASSFEATUREHEADERS,0),MATCH(($A1614 &amp; "Points"),CLASSNAMEHEADERS,0))),"")))))))))}</f>
        <v>ADVANCEDGROUPL19</v>
      </c>
      <c r="AA1613" s="223"/>
      <c r="AB1613" s="76" t="str">
        <f t="array" ref="AB1613:AB1614">{"ADVANCEDGROUP TOTAL";(IF(COUNTBLANK(G1614:AA1614)=17,"L",(IF(COUNTBLANK(G1614:AA1614)=18,"M",(IF(COUNTBLANK(G1614:AA1614)=19,"E",(IF(COUNTBLANK(G1614:AA1614)=20,"T",""))))))))}</f>
        <v>ADVANCEDGROUP TOTAL</v>
      </c>
      <c r="AC1613" s="76" t="str">
        <f t="array" ref="AC1613:AC1614">{"ADVANCEDGROUP TOTAL";(sum(G1614:AA1614))}</f>
        <v>ADVANCEDGROUP TOTAL</v>
      </c>
    </row>
    <row r="1614">
      <c r="A1614" s="48" t="s">
        <v>223</v>
      </c>
      <c r="B1614" s="48"/>
      <c r="C1614" s="48" t="s">
        <v>418</v>
      </c>
      <c r="D1614" s="48" t="s">
        <v>1634</v>
      </c>
      <c r="E1614" s="48" t="s">
        <v>601</v>
      </c>
      <c r="F1614" s="5" t="s">
        <v>603</v>
      </c>
      <c r="G1614" s="47" t="s">
        <v>603</v>
      </c>
      <c r="H1614" s="5" t="s">
        <v>603</v>
      </c>
      <c r="I1614" s="5"/>
      <c r="J1614" s="5" t="s">
        <v>603</v>
      </c>
      <c r="K1614" s="5"/>
      <c r="L1614" s="5" t="s">
        <v>603</v>
      </c>
      <c r="M1614" s="5"/>
      <c r="N1614" s="5" t="s">
        <v>603</v>
      </c>
      <c r="O1614" s="5"/>
      <c r="P1614" s="5" t="s">
        <v>603</v>
      </c>
      <c r="Q1614" s="5"/>
      <c r="R1614" s="5" t="s">
        <v>603</v>
      </c>
      <c r="S1614" s="5"/>
      <c r="T1614" s="5" t="s">
        <v>603</v>
      </c>
      <c r="U1614" s="5"/>
      <c r="V1614" s="5" t="s">
        <v>603</v>
      </c>
      <c r="W1614" s="5"/>
      <c r="X1614" s="5" t="s">
        <v>603</v>
      </c>
      <c r="Y1614" s="5"/>
      <c r="Z1614" s="5" t="s">
        <v>603</v>
      </c>
      <c r="AA1614" s="5"/>
      <c r="AB1614" s="5" t="s">
        <v>603</v>
      </c>
      <c r="AC1614" s="47">
        <v>0.0</v>
      </c>
    </row>
    <row r="1615" hidden="1">
      <c r="A1615" s="222" t="str">
        <f t="array" ref="A1615:A1616">{"FormulaRow33";(INDEX(CLASSLIST,A1550,1))}</f>
        <v>FormulaRow33</v>
      </c>
      <c r="B1615" s="77" t="s">
        <v>236</v>
      </c>
      <c r="C1615" s="222" t="str">
        <f t="array" ref="C1615:C1616">{"CLASSTYPE";((INDEX(ALLCLASSDATA,MATCH("ClassType",CLASSFEATUREHEADERS,0),MATCH($A1616,CLASSNAMEHEADERS,0))))}</f>
        <v>CLASSTYPE</v>
      </c>
      <c r="D1615" s="222" t="str">
        <f t="array" ref="D1615:D1616">{"ATTACK";"Attack"}</f>
        <v>ATTACK</v>
      </c>
      <c r="E1615" s="222" t="str">
        <f t="array" ref="E1615:E1616">{"ADVANCED";"Advanced"}</f>
        <v>ADVANCED</v>
      </c>
      <c r="F1615" s="223" t="str">
        <f t="array" ref="F1615:F1616">{"ADVANCEDINITIAL";((IF(H1616=10,"T",(IF(H1616=50,"E","")))))}</f>
        <v>ADVANCEDINITIAL</v>
      </c>
      <c r="G1615" s="223" t="str">
        <f t="array" ref="G1615:G1616">{"ADVANCEDINITIALPTS";((IF("00"=(INDEX(ALLCLASSDATA,MATCH("AdvancedLegendary",CLASSFEATUREHEADERS,0),MATCH($A1616,CLASSNAMEHEADERS,0))),(INDEX(ALLCLASSDATA,MATCH("AdvancedLegendary",CLASSFEATUREHEADERS,0),MATCH(($A1616 &amp; "Points"),CLASSNAMEHEADERS,0))),(IF("00"=(INDEX(ALLCLASSDATA,MATCH("AdvancedMaster",CLASSFEATUREHEADERS,0),MATCH($A1616,CLASSNAMEHEADERS,0))),(INDEX(ALLCLASSDATA,MATCH("AdvancedMaster",CLASSFEATUREHEADERS,0),MATCH(($A1616 &amp; "Points"),CLASSNAMEHEADERS,0))),(IF("00"=(INDEX(ALLCLASSDATA,MATCH("AdvancedExpert",CLASSFEATUREHEADERS,0),MATCH($A1616,CLASSNAMEHEADERS,0))),(INDEX(ALLCLASSDATA,MATCH("AdvancedExpert",CLASSFEATUREHEADERS,0),MATCH(($A1616 &amp; "Points"),CLASSNAMEHEADERS,0))),(IF("00"=(INDEX(ALLCLASSDATA,MATCH("AdvancedTrained",CLASSFEATUREHEADERS,0),MATCH($A1616,CLASSNAMEHEADERS,0))),(INDEX(ALLCLASSDATA,MATCH("AdvancedTrained",CLASSFEATUREHEADERS,0),MATCH(($A1616 &amp; "Points"),CLASSNAMEHEADERS,0))),"")))))))))}</f>
        <v>ADVANCEDINITIALPTS</v>
      </c>
      <c r="H1615" s="223" t="str">
        <f t="array" ref="H1615:H1616">{"ADVANCEDL01";((IF("01"=(INDEX(ALLCLASSDATA,MATCH("AdvancedLegendary",CLASSFEATUREHEADERS,0),MATCH($A1616,CLASSNAMEHEADERS,0))),(INDEX(ALLCLASSDATA,MATCH("AdvancedLegendary",CLASSFEATUREHEADERS,0),MATCH(($A1616 &amp; "Points"),CLASSNAMEHEADERS,0))),(IF("01"=(INDEX(ALLCLASSDATA,MATCH("AdvancedMaster",CLASSFEATUREHEADERS,0),MATCH($A1616,CLASSNAMEHEADERS,0))),(INDEX(ALLCLASSDATA,MATCH("AdvancedMaster",CLASSFEATUREHEADERS,0),MATCH(($A1616 &amp; "Points"),CLASSNAMEHEADERS,0))),(IF("01"=(INDEX(ALLCLASSDATA,MATCH("AdvancedExpert",CLASSFEATUREHEADERS,0),MATCH($A1616,CLASSNAMEHEADERS,0))),(INDEX(ALLCLASSDATA,MATCH("AdvancedExpert",CLASSFEATUREHEADERS,0),MATCH(($A1616 &amp; "Points"),CLASSNAMEHEADERS,0))),(IF("01"=(INDEX(ALLCLASSDATA,MATCH("AdvancedTrained",CLASSFEATUREHEADERS,0),MATCH($A1616,CLASSNAMEHEADERS,0))),(INDEX(ALLCLASSDATA,MATCH("AdvancedTrained",CLASSFEATUREHEADERS,0),MATCH(($A1616 &amp; "Points"),CLASSNAMEHEADERS,0))),"")))))))))}</f>
        <v>ADVANCEDL01</v>
      </c>
      <c r="I1615" s="223"/>
      <c r="J1615" s="223" t="str">
        <f t="array" ref="J1615:J1616">{"ADVANCEDL03";((IF("03"=(INDEX(ALLCLASSDATA,MATCH("AdvancedLegendary",CLASSFEATUREHEADERS,0),MATCH($A1616,CLASSNAMEHEADERS,0))),(INDEX(ALLCLASSDATA,MATCH("AdvancedLegendary",CLASSFEATUREHEADERS,0),MATCH(($A1616 &amp; "Points"),CLASSNAMEHEADERS,0))),(IF("03"=(INDEX(ALLCLASSDATA,MATCH("AdvancedMaster",CLASSFEATUREHEADERS,0),MATCH($A1616,CLASSNAMEHEADERS,0))),(INDEX(ALLCLASSDATA,MATCH("AdvancedMaster",CLASSFEATUREHEADERS,0),MATCH(($A1616 &amp; "Points"),CLASSNAMEHEADERS,0))),(IF("03"=(INDEX(ALLCLASSDATA,MATCH("AdvancedExpert",CLASSFEATUREHEADERS,0),MATCH($A1616,CLASSNAMEHEADERS,0))),(INDEX(ALLCLASSDATA,MATCH("AdvancedExpert",CLASSFEATUREHEADERS,0),MATCH(($A1616 &amp; "Points"),CLASSNAMEHEADERS,0))),(IF("03"=(INDEX(ALLCLASSDATA,MATCH("AdvancedTrained",CLASSFEATUREHEADERS,0),MATCH($A1616,CLASSNAMEHEADERS,0))),(INDEX(ALLCLASSDATA,MATCH("AdvancedTrained",CLASSFEATUREHEADERS,0),MATCH(($A1616 &amp; "Points"),CLASSNAMEHEADERS,0))),"")))))))))}</f>
        <v>ADVANCEDL03</v>
      </c>
      <c r="K1615" s="223"/>
      <c r="L1615" s="223" t="str">
        <f t="array" ref="L1615:L1616">{"ADVANCEDL05";((IF("05"=(INDEX(ALLCLASSDATA,MATCH("AdvancedLegendary",CLASSFEATUREHEADERS,0),MATCH($A1616,CLASSNAMEHEADERS,0))),(INDEX(ALLCLASSDATA,MATCH("AdvancedLegendary",CLASSFEATUREHEADERS,0),MATCH(($A1616 &amp; "Points"),CLASSNAMEHEADERS,0))),(IF("05"=(INDEX(ALLCLASSDATA,MATCH("AdvancedMaster",CLASSFEATUREHEADERS,0),MATCH($A1616,CLASSNAMEHEADERS,0))),(INDEX(ALLCLASSDATA,MATCH("AdvancedMaster",CLASSFEATUREHEADERS,0),MATCH(($A1616 &amp; "Points"),CLASSNAMEHEADERS,0))),(IF("05"=(INDEX(ALLCLASSDATA,MATCH("AdvancedExpert",CLASSFEATUREHEADERS,0),MATCH($A1616,CLASSNAMEHEADERS,0))),(INDEX(ALLCLASSDATA,MATCH("AdvancedExpert",CLASSFEATUREHEADERS,0),MATCH(($A1616 &amp; "Points"),CLASSNAMEHEADERS,0))),(IF("05"=(INDEX(ALLCLASSDATA,MATCH("AdvancedTrained",CLASSFEATUREHEADERS,0),MATCH($A1616,CLASSNAMEHEADERS,0))),(INDEX(ALLCLASSDATA,MATCH("AdvancedTrained",CLASSFEATUREHEADERS,0),MATCH(($A1616 &amp; "Points"),CLASSNAMEHEADERS,0))),"")))))))))}</f>
        <v>ADVANCEDL05</v>
      </c>
      <c r="M1615" s="223"/>
      <c r="N1615" s="223" t="str">
        <f t="array" ref="N1615:N1616">{"ADVANCEDL07";((IF("07"=(INDEX(ALLCLASSDATA,MATCH("AdvancedLegendary",CLASSFEATUREHEADERS,0),MATCH($A1616,CLASSNAMEHEADERS,0))),(INDEX(ALLCLASSDATA,MATCH("AdvancedLegendary",CLASSFEATUREHEADERS,0),MATCH(($A1616 &amp; "Points"),CLASSNAMEHEADERS,0))),(IF("07"=(INDEX(ALLCLASSDATA,MATCH("AdvancedMaster",CLASSFEATUREHEADERS,0),MATCH($A1616,CLASSNAMEHEADERS,0))),(INDEX(ALLCLASSDATA,MATCH("AdvancedMaster",CLASSFEATUREHEADERS,0),MATCH(($A1616 &amp; "Points"),CLASSNAMEHEADERS,0))),(IF("07"=(INDEX(ALLCLASSDATA,MATCH("AdvancedExpert",CLASSFEATUREHEADERS,0),MATCH($A1616,CLASSNAMEHEADERS,0))),(INDEX(ALLCLASSDATA,MATCH("AdvancedExpert",CLASSFEATUREHEADERS,0),MATCH(($A1616 &amp; "Points"),CLASSNAMEHEADERS,0))),(IF("07"=(INDEX(ALLCLASSDATA,MATCH("AdvancedTrained",CLASSFEATUREHEADERS,0),MATCH($A1616,CLASSNAMEHEADERS,0))),(INDEX(ALLCLASSDATA,MATCH("AdvancedTrained",CLASSFEATUREHEADERS,0),MATCH(($A1616 &amp; "Points"),CLASSNAMEHEADERS,0))),"")))))))))}</f>
        <v>ADVANCEDL07</v>
      </c>
      <c r="O1615" s="223"/>
      <c r="P1615" s="223" t="str">
        <f t="array" ref="P1615:P1616">{"ADVANCEDL09";((IF("09"=(INDEX(ALLCLASSDATA,MATCH("AdvancedLegendary",CLASSFEATUREHEADERS,0),MATCH($A1616,CLASSNAMEHEADERS,0))),(INDEX(ALLCLASSDATA,MATCH("AdvancedLegendary",CLASSFEATUREHEADERS,0),MATCH(($A1616 &amp; "Points"),CLASSNAMEHEADERS,0))),(IF("09"=(INDEX(ALLCLASSDATA,MATCH("AdvancedMaster",CLASSFEATUREHEADERS,0),MATCH($A1616,CLASSNAMEHEADERS,0))),(INDEX(ALLCLASSDATA,MATCH("AdvancedMaster",CLASSFEATUREHEADERS,0),MATCH(($A1616 &amp; "Points"),CLASSNAMEHEADERS,0))),(IF("09"=(INDEX(ALLCLASSDATA,MATCH("AdvancedExpert",CLASSFEATUREHEADERS,0),MATCH($A1616,CLASSNAMEHEADERS,0))),(INDEX(ALLCLASSDATA,MATCH("AdvancedExpert",CLASSFEATUREHEADERS,0),MATCH(($A1616 &amp; "Points"),CLASSNAMEHEADERS,0))),(IF("09"=(INDEX(ALLCLASSDATA,MATCH("AdvancedTrained",CLASSFEATUREHEADERS,0),MATCH($A1616,CLASSNAMEHEADERS,0))),(INDEX(ALLCLASSDATA,MATCH("AdvancedTrained",CLASSFEATUREHEADERS,0),MATCH(($A1616 &amp; "Points"),CLASSNAMEHEADERS,0))),"")))))))))}</f>
        <v>ADVANCEDL09</v>
      </c>
      <c r="Q1615" s="223"/>
      <c r="R1615" s="223" t="str">
        <f t="array" ref="R1615:R1616">{"ADVANCEDL11";((IF("11"=(INDEX(ALLCLASSDATA,MATCH("AdvancedLegendary",CLASSFEATUREHEADERS,0),MATCH($A1616,CLASSNAMEHEADERS,0))),(INDEX(ALLCLASSDATA,MATCH("AdvancedLegendary",CLASSFEATUREHEADERS,0),MATCH(($A1616 &amp; "Points"),CLASSNAMEHEADERS,0))),(IF("11"=(INDEX(ALLCLASSDATA,MATCH("AdvancedMaster",CLASSFEATUREHEADERS,0),MATCH($A1616,CLASSNAMEHEADERS,0))),(INDEX(ALLCLASSDATA,MATCH("AdvancedMaster",CLASSFEATUREHEADERS,0),MATCH(($A1616 &amp; "Points"),CLASSNAMEHEADERS,0))),(IF("11"=(INDEX(ALLCLASSDATA,MATCH("AdvancedExpert",CLASSFEATUREHEADERS,0),MATCH($A1616,CLASSNAMEHEADERS,0))),(INDEX(ALLCLASSDATA,MATCH("AdvancedExpert",CLASSFEATUREHEADERS,0),MATCH(($A1616 &amp; "Points"),CLASSNAMEHEADERS,0))),(IF("11"=(INDEX(ALLCLASSDATA,MATCH("AdvancedTrained",CLASSFEATUREHEADERS,0),MATCH($A1616,CLASSNAMEHEADERS,0))),(INDEX(ALLCLASSDATA,MATCH("AdvancedTrained",CLASSFEATUREHEADERS,0),MATCH(($A1616 &amp; "Points"),CLASSNAMEHEADERS,0))),"")))))))))}</f>
        <v>ADVANCEDL11</v>
      </c>
      <c r="S1615" s="223"/>
      <c r="T1615" s="223" t="str">
        <f t="array" ref="T1615:T1616">{"ADVANCEDL13";((IF("13"=(INDEX(ALLCLASSDATA,MATCH("AdvancedLegendary",CLASSFEATUREHEADERS,0),MATCH($A1616,CLASSNAMEHEADERS,0))),(INDEX(ALLCLASSDATA,MATCH("AdvancedLegendary",CLASSFEATUREHEADERS,0),MATCH(($A1616 &amp; "Points"),CLASSNAMEHEADERS,0))),(IF("13"=(INDEX(ALLCLASSDATA,MATCH("AdvancedMaster",CLASSFEATUREHEADERS,0),MATCH($A1616,CLASSNAMEHEADERS,0))),(INDEX(ALLCLASSDATA,MATCH("AdvancedMaster",CLASSFEATUREHEADERS,0),MATCH(($A1616 &amp; "Points"),CLASSNAMEHEADERS,0))),(IF("13"=(INDEX(ALLCLASSDATA,MATCH("AdvancedExpert",CLASSFEATUREHEADERS,0),MATCH($A1616,CLASSNAMEHEADERS,0))),(INDEX(ALLCLASSDATA,MATCH("AdvancedExpert",CLASSFEATUREHEADERS,0),MATCH(($A1616 &amp; "Points"),CLASSNAMEHEADERS,0))),(IF("13"=(INDEX(ALLCLASSDATA,MATCH("AdvancedTrained",CLASSFEATUREHEADERS,0),MATCH($A1616,CLASSNAMEHEADERS,0))),(INDEX(ALLCLASSDATA,MATCH("AdvancedTrained",CLASSFEATUREHEADERS,0),MATCH(($A1616 &amp; "Points"),CLASSNAMEHEADERS,0))),"")))))))))}</f>
        <v>ADVANCEDL13</v>
      </c>
      <c r="U1615" s="223"/>
      <c r="V1615" s="223" t="str">
        <f t="array" ref="V1615:V1616">{"ADVANCEDL15";((IF("15"=(INDEX(ALLCLASSDATA,MATCH("AdvancedLegendary",CLASSFEATUREHEADERS,0),MATCH($A1616,CLASSNAMEHEADERS,0))),(INDEX(ALLCLASSDATA,MATCH("AdvancedLegendary",CLASSFEATUREHEADERS,0),MATCH(($A1616 &amp; "Points"),CLASSNAMEHEADERS,0))),(IF("15"=(INDEX(ALLCLASSDATA,MATCH("AdvancedMaster",CLASSFEATUREHEADERS,0),MATCH($A1616,CLASSNAMEHEADERS,0))),(INDEX(ALLCLASSDATA,MATCH("AdvancedMaster",CLASSFEATUREHEADERS,0),MATCH(($A1616 &amp; "Points"),CLASSNAMEHEADERS,0))),(IF("15"=(INDEX(ALLCLASSDATA,MATCH("AdvancedExpert",CLASSFEATUREHEADERS,0),MATCH($A1616,CLASSNAMEHEADERS,0))),(INDEX(ALLCLASSDATA,MATCH("AdvancedExpert",CLASSFEATUREHEADERS,0),MATCH(($A1616 &amp; "Points"),CLASSNAMEHEADERS,0))),(IF("15"=(INDEX(ALLCLASSDATA,MATCH("AdvancedTrained",CLASSFEATUREHEADERS,0),MATCH($A1616,CLASSNAMEHEADERS,0))),(INDEX(ALLCLASSDATA,MATCH("AdvancedTrained",CLASSFEATUREHEADERS,0),MATCH(($A1616 &amp; "Points"),CLASSNAMEHEADERS,0))),"")))))))))}</f>
        <v>ADVANCEDL15</v>
      </c>
      <c r="W1615" s="223"/>
      <c r="X1615" s="223" t="str">
        <f t="array" ref="X1615:X1616">{"ADVANCEDL17";((IF("17"=(INDEX(ALLCLASSDATA,MATCH("AdvancedLegendary",CLASSFEATUREHEADERS,0),MATCH($A1616,CLASSNAMEHEADERS,0))),(INDEX(ALLCLASSDATA,MATCH("AdvancedLegendary",CLASSFEATUREHEADERS,0),MATCH(($A1616 &amp; "Points"),CLASSNAMEHEADERS,0))),(IF("17"=(INDEX(ALLCLASSDATA,MATCH("AdvancedMaster",CLASSFEATUREHEADERS,0),MATCH($A1616,CLASSNAMEHEADERS,0))),(INDEX(ALLCLASSDATA,MATCH("AdvancedMaster",CLASSFEATUREHEADERS,0),MATCH(($A1616 &amp; "Points"),CLASSNAMEHEADERS,0))),(IF("17"=(INDEX(ALLCLASSDATA,MATCH("AdvancedExpert",CLASSFEATUREHEADERS,0),MATCH($A1616,CLASSNAMEHEADERS,0))),(INDEX(ALLCLASSDATA,MATCH("AdvancedExpert",CLASSFEATUREHEADERS,0),MATCH(($A1616 &amp; "Points"),CLASSNAMEHEADERS,0))),(IF("17"=(INDEX(ALLCLASSDATA,MATCH("AdvancedTrained",CLASSFEATUREHEADERS,0),MATCH($A1616,CLASSNAMEHEADERS,0))),(INDEX(ALLCLASSDATA,MATCH("AdvancedTrained",CLASSFEATUREHEADERS,0),MATCH(($A1616 &amp; "Points"),CLASSNAMEHEADERS,0))),"")))))))))}</f>
        <v>ADVANCEDL17</v>
      </c>
      <c r="Y1615" s="223"/>
      <c r="Z1615" s="223" t="str">
        <f t="array" ref="Z1615:Z1616">{"ADVANCEDL19";((IF("19"=(INDEX(ALLCLASSDATA,MATCH("AdvancedLegendary",CLASSFEATUREHEADERS,0),MATCH($A1616,CLASSNAMEHEADERS,0))),(INDEX(ALLCLASSDATA,MATCH("AdvancedLegendary",CLASSFEATUREHEADERS,0),MATCH(($A1616 &amp; "Points"),CLASSNAMEHEADERS,0))),(IF("19"=(INDEX(ALLCLASSDATA,MATCH("AdvancedMaster",CLASSFEATUREHEADERS,0),MATCH($A1616,CLASSNAMEHEADERS,0))),(INDEX(ALLCLASSDATA,MATCH("AdvancedMaster",CLASSFEATUREHEADERS,0),MATCH(($A1616 &amp; "Points"),CLASSNAMEHEADERS,0))),(IF("19"=(INDEX(ALLCLASSDATA,MATCH("AdvancedExpert",CLASSFEATUREHEADERS,0),MATCH($A1616,CLASSNAMEHEADERS,0))),(INDEX(ALLCLASSDATA,MATCH("AdvancedExpert",CLASSFEATUREHEADERS,0),MATCH(($A1616 &amp; "Points"),CLASSNAMEHEADERS,0))),(IF("19"=(INDEX(ALLCLASSDATA,MATCH("AdvancedTrained",CLASSFEATUREHEADERS,0),MATCH($A1616,CLASSNAMEHEADERS,0))),(INDEX(ALLCLASSDATA,MATCH("AdvancedTrained",CLASSFEATUREHEADERS,0),MATCH(($A1616 &amp; "Points"),CLASSNAMEHEADERS,0))),"")))))))))}</f>
        <v>ADVANCEDL19</v>
      </c>
      <c r="AA1615" s="223"/>
      <c r="AB1615" s="76" t="str">
        <f t="array" ref="AB1615:AB1616">{"ADVANCED TOTAL";(IF(COUNTBLANK(G1616:AA1616)=17,"L",(IF(COUNTBLANK(G1616:AA1616)=18,"M",(IF(COUNTBLANK(G1616:AA1616)=19,"E",(IF(COUNTBLANK(G1616:AA1616)=20,"T",""))))))))}</f>
        <v>ADVANCED TOTAL</v>
      </c>
      <c r="AC1615" s="76" t="str">
        <f t="array" ref="AC1615:AC1616">{"ADVANCED TOTAL";(sum(G1616:AA1616))}</f>
        <v>ADVANCED TOTAL</v>
      </c>
    </row>
    <row r="1616">
      <c r="A1616" s="48" t="s">
        <v>223</v>
      </c>
      <c r="B1616" s="48"/>
      <c r="C1616" s="48" t="s">
        <v>418</v>
      </c>
      <c r="D1616" s="97" t="s">
        <v>1634</v>
      </c>
      <c r="E1616" s="97" t="s">
        <v>602</v>
      </c>
      <c r="F1616" s="98" t="s">
        <v>603</v>
      </c>
      <c r="G1616" s="132" t="s">
        <v>603</v>
      </c>
      <c r="H1616" s="98" t="s">
        <v>603</v>
      </c>
      <c r="I1616" s="98"/>
      <c r="J1616" s="98" t="s">
        <v>603</v>
      </c>
      <c r="K1616" s="98"/>
      <c r="L1616" s="98" t="s">
        <v>603</v>
      </c>
      <c r="M1616" s="98"/>
      <c r="N1616" s="98" t="s">
        <v>603</v>
      </c>
      <c r="O1616" s="98"/>
      <c r="P1616" s="98" t="s">
        <v>603</v>
      </c>
      <c r="Q1616" s="98"/>
      <c r="R1616" s="98" t="s">
        <v>603</v>
      </c>
      <c r="S1616" s="98"/>
      <c r="T1616" s="98" t="s">
        <v>603</v>
      </c>
      <c r="U1616" s="98"/>
      <c r="V1616" s="98" t="s">
        <v>603</v>
      </c>
      <c r="W1616" s="98"/>
      <c r="X1616" s="98" t="s">
        <v>603</v>
      </c>
      <c r="Y1616" s="98"/>
      <c r="Z1616" s="98" t="s">
        <v>603</v>
      </c>
      <c r="AA1616" s="98"/>
      <c r="AB1616" s="5" t="s">
        <v>603</v>
      </c>
      <c r="AC1616" s="47">
        <v>0.0</v>
      </c>
    </row>
    <row r="1617" hidden="1">
      <c r="A1617" s="222" t="str">
        <f t="array" ref="A1617:A1618">{"FormulaRow34";(INDEX(CLASSLIST,A1550,1))}</f>
        <v>FormulaRow34</v>
      </c>
      <c r="B1617" s="77" t="s">
        <v>236</v>
      </c>
      <c r="C1617" s="222" t="str">
        <f t="array" ref="C1617:C1618">{"CLASSTYPE";((INDEX(ALLCLASSDATA,MATCH("ClassType",CLASSFEATUREHEADERS,0),MATCH($A1618,CLASSNAMEHEADERS,0))))}</f>
        <v>CLASSTYPE</v>
      </c>
      <c r="D1617" s="222" t="str">
        <f t="array" ref="D1617:D1618">{"DEFENSE";"Defense"}</f>
        <v>DEFENSE</v>
      </c>
      <c r="E1617" s="222" t="str">
        <f t="array" ref="E1617:E1618">{"ARMORSPECIAL";"ArmorAS"}</f>
        <v>ARMORSPECIAL</v>
      </c>
      <c r="F1617" s="223"/>
      <c r="G1617" s="223"/>
      <c r="H1617" s="223" t="str">
        <f t="array" ref="H1617:H1618">{"ARMORSPECIALL01";((IF("01"=INDEX(ALLCLASSDATA,MATCH("ArmorSpecialization",CLASSFEATUREHEADERS,0),MATCH($A1618,CLASSNAMEHEADERS,0)),ArmorAS,"")))}</f>
        <v>ARMORSPECIALL01</v>
      </c>
      <c r="I1617" s="223"/>
      <c r="J1617" s="223" t="str">
        <f t="array" ref="J1617:J1618">{"ARMORSPECIALL03";((IF("03"=INDEX(ALLCLASSDATA,MATCH("ArmorSpecialization",CLASSFEATUREHEADERS,0),MATCH($A1618,CLASSNAMEHEADERS,0)),ArmorAS,"")))}</f>
        <v>ARMORSPECIALL03</v>
      </c>
      <c r="K1617" s="223"/>
      <c r="L1617" s="223" t="str">
        <f t="array" ref="L1617:L1618">{"ARMORSPECIALL05";((IF("05"=INDEX(ALLCLASSDATA,MATCH("ArmorSpecialization",CLASSFEATUREHEADERS,0),MATCH($A1618,CLASSNAMEHEADERS,0)),ArmorAS,"")))}</f>
        <v>ARMORSPECIALL05</v>
      </c>
      <c r="M1617" s="223"/>
      <c r="N1617" s="223" t="str">
        <f t="array" ref="N1617:N1618">{"ARMORSPECIALL07";((IF("07"=INDEX(ALLCLASSDATA,MATCH("ArmorSpecialization",CLASSFEATUREHEADERS,0),MATCH($A1618,CLASSNAMEHEADERS,0)),ArmorAS,"")))}</f>
        <v>ARMORSPECIALL07</v>
      </c>
      <c r="O1617" s="223"/>
      <c r="P1617" s="223" t="str">
        <f t="array" ref="P1617:P1618">{"ARMORSPECIALL09";((IF("09"=INDEX(ALLCLASSDATA,MATCH("ArmorSpecialization",CLASSFEATUREHEADERS,0),MATCH($A1618,CLASSNAMEHEADERS,0)),ArmorAS,"")))}</f>
        <v>ARMORSPECIALL09</v>
      </c>
      <c r="Q1617" s="223"/>
      <c r="R1617" s="223" t="str">
        <f t="array" ref="R1617:R1618">{"ARMORSPECIALL11";((IF("11"=INDEX(ALLCLASSDATA,MATCH("ArmorSpecialization",CLASSFEATUREHEADERS,0),MATCH($A1618,CLASSNAMEHEADERS,0)),ArmorAS,"")))}</f>
        <v>ARMORSPECIALL11</v>
      </c>
      <c r="S1617" s="223"/>
      <c r="T1617" s="223" t="str">
        <f t="array" ref="T1617:T1618">{"ARMORSPECIALL13";((IF("13"=INDEX(ALLCLASSDATA,MATCH("ArmorSpecialization",CLASSFEATUREHEADERS,0),MATCH($A1618,CLASSNAMEHEADERS,0)),ArmorAS,"")))}</f>
        <v>ARMORSPECIALL13</v>
      </c>
      <c r="U1617" s="223"/>
      <c r="V1617" s="223" t="str">
        <f t="array" ref="V1617:V1618">{"ARMORSPECIALL15";((IF("15"=INDEX(ALLCLASSDATA,MATCH("ArmorSpecialization",CLASSFEATUREHEADERS,0),MATCH($A1618,CLASSNAMEHEADERS,0)),ArmorAS,"")))}</f>
        <v>ARMORSPECIALL15</v>
      </c>
      <c r="W1617" s="223"/>
      <c r="X1617" s="223" t="str">
        <f t="array" ref="X1617:X1618">{"ARMORSPECIALL17";((IF("17"=INDEX(ALLCLASSDATA,MATCH("ArmorSpecialization",CLASSFEATUREHEADERS,0),MATCH($A1618,CLASSNAMEHEADERS,0)),ArmorAS,"")))}</f>
        <v>ARMORSPECIALL17</v>
      </c>
      <c r="Y1617" s="223"/>
      <c r="Z1617" s="223" t="str">
        <f t="array" ref="Z1617:Z1618">{"ARMORSPECIALL19";((IF("19"=INDEX(ALLCLASSDATA,MATCH("ArmorSpecialization",CLASSFEATUREHEADERS,0),MATCH($A1618,CLASSNAMEHEADERS,0)),ArmorAS,"")))}</f>
        <v>ARMORSPECIALL19</v>
      </c>
      <c r="AA1617" s="223"/>
      <c r="AB1617" s="76"/>
      <c r="AC1617" s="76" t="str">
        <f t="array" ref="AC1617:AC1618">{"ARMORSPECIAL TOTAL";(sum(G1618:AA1618))}</f>
        <v>ARMORSPECIAL TOTAL</v>
      </c>
    </row>
    <row r="1618">
      <c r="A1618" s="48" t="s">
        <v>223</v>
      </c>
      <c r="B1618" s="48"/>
      <c r="C1618" s="48" t="s">
        <v>418</v>
      </c>
      <c r="D1618" s="48" t="s">
        <v>1900</v>
      </c>
      <c r="E1618" s="48" t="s">
        <v>51</v>
      </c>
      <c r="F1618" s="5"/>
      <c r="G1618" s="47"/>
      <c r="H1618" s="5" t="s">
        <v>603</v>
      </c>
      <c r="I1618" s="5"/>
      <c r="J1618" s="5" t="s">
        <v>603</v>
      </c>
      <c r="K1618" s="5"/>
      <c r="L1618" s="5" t="s">
        <v>603</v>
      </c>
      <c r="M1618" s="5"/>
      <c r="N1618" s="5" t="s">
        <v>603</v>
      </c>
      <c r="O1618" s="5"/>
      <c r="P1618" s="5" t="s">
        <v>603</v>
      </c>
      <c r="Q1618" s="5"/>
      <c r="R1618" s="5" t="s">
        <v>603</v>
      </c>
      <c r="S1618" s="5"/>
      <c r="T1618" s="5" t="s">
        <v>603</v>
      </c>
      <c r="U1618" s="5"/>
      <c r="V1618" s="5" t="s">
        <v>603</v>
      </c>
      <c r="W1618" s="5"/>
      <c r="X1618" s="5" t="s">
        <v>603</v>
      </c>
      <c r="Y1618" s="5"/>
      <c r="Z1618" s="5" t="s">
        <v>603</v>
      </c>
      <c r="AA1618" s="5"/>
      <c r="AB1618" s="5"/>
      <c r="AC1618" s="47">
        <v>0.0</v>
      </c>
    </row>
    <row r="1619" hidden="1">
      <c r="A1619" s="222" t="str">
        <f t="array" ref="A1619:A1620">{"FormulaRow35";(INDEX(CLASSLIST,A1550,1))}</f>
        <v>FormulaRow35</v>
      </c>
      <c r="B1619" s="77" t="s">
        <v>236</v>
      </c>
      <c r="C1619" s="222" t="str">
        <f t="array" ref="C1619:C1620">{"CLASSTYPE";((INDEX(ALLCLASSDATA,MATCH("ClassType",CLASSFEATUREHEADERS,0),MATCH($A1620,CLASSNAMEHEADERS,0))))}</f>
        <v>CLASSTYPE</v>
      </c>
      <c r="D1619" s="222" t="str">
        <f t="array" ref="D1619:D1620">{"DEFENSE";"Defense"}</f>
        <v>DEFENSE</v>
      </c>
      <c r="E1619" s="222" t="str">
        <f t="array" ref="E1619:E1620">{"UNARMORED";"Unarmored"}</f>
        <v>UNARMORED</v>
      </c>
      <c r="F1619" s="223" t="str">
        <f t="array" ref="F1619:F1620">{"UNARMOREDINITIAL";((IF(H1620=10,"T",(IF(H1620=50,"E","")))))}</f>
        <v>UNARMOREDINITIAL</v>
      </c>
      <c r="G1619" s="223" t="str">
        <f t="array" ref="G1619:G1620">{"UNARMOREDINITIALPTS";((IF("00"=(INDEX(ALLCLASSDATA,MATCH("UnarmoredLegendary",CLASSFEATUREHEADERS,0),MATCH($A1620,CLASSNAMEHEADERS,0))),(INDEX(ALLCLASSDATA,MATCH("UnarmoredLegendary",CLASSFEATUREHEADERS,0),MATCH(($A1620 &amp; "Points"),CLASSNAMEHEADERS,0))),(IF("00"=(INDEX(ALLCLASSDATA,MATCH("UnarmoredMaster",CLASSFEATUREHEADERS,0),MATCH($A1620,CLASSNAMEHEADERS,0))),(INDEX(ALLCLASSDATA,MATCH("UnarmoredMaster",CLASSFEATUREHEADERS,0),MATCH(($A1620 &amp; "Points"),CLASSNAMEHEADERS,0))),(IF("00"=(INDEX(ALLCLASSDATA,MATCH("UnarmoredExpert",CLASSFEATUREHEADERS,0),MATCH($A1620,CLASSNAMEHEADERS,0))),(INDEX(ALLCLASSDATA,MATCH("UnarmoredExpert",CLASSFEATUREHEADERS,0),MATCH(($A1620 &amp; "Points"),CLASSNAMEHEADERS,0))),(IF("00"=(INDEX(ALLCLASSDATA,MATCH("UnarmoredTrained",CLASSFEATUREHEADERS,0),MATCH($A1620,CLASSNAMEHEADERS,0))),(INDEX(ALLCLASSDATA,MATCH("UnarmoredTrained",CLASSFEATUREHEADERS,0),MATCH(($A1620 &amp; "Points"),CLASSNAMEHEADERS,0))),"")))))))))}</f>
        <v>UNARMOREDINITIALPTS</v>
      </c>
      <c r="H1619" s="223" t="str">
        <f t="array" ref="H1619:H1620">{"UNARMOREDL01";((IF("01"=(INDEX(ALLCLASSDATA,MATCH("UnarmoredLegendary",CLASSFEATUREHEADERS,0),MATCH($A1620,CLASSNAMEHEADERS,0))),(INDEX(ALLCLASSDATA,MATCH("UnarmoredLegendary",CLASSFEATUREHEADERS,0),MATCH(($A1620 &amp; "Points"),CLASSNAMEHEADERS,0))),(IF("01"=(INDEX(ALLCLASSDATA,MATCH("UnarmoredMaster",CLASSFEATUREHEADERS,0),MATCH($A1620,CLASSNAMEHEADERS,0))),(INDEX(ALLCLASSDATA,MATCH("UnarmoredMaster",CLASSFEATUREHEADERS,0),MATCH(($A1620 &amp; "Points"),CLASSNAMEHEADERS,0))),(IF("01"=(INDEX(ALLCLASSDATA,MATCH("UnarmoredExpert",CLASSFEATUREHEADERS,0),MATCH($A1620,CLASSNAMEHEADERS,0))),(INDEX(ALLCLASSDATA,MATCH("UnarmoredExpert",CLASSFEATUREHEADERS,0),MATCH(($A1620 &amp; "Points"),CLASSNAMEHEADERS,0))),(IF("01"=(INDEX(ALLCLASSDATA,MATCH("UnarmoredTrained",CLASSFEATUREHEADERS,0),MATCH($A1620,CLASSNAMEHEADERS,0))),(INDEX(ALLCLASSDATA,MATCH("UnarmoredTrained",CLASSFEATUREHEADERS,0),MATCH(($A1620 &amp; "Points"),CLASSNAMEHEADERS,0))),"")))))))))}</f>
        <v>UNARMOREDL01</v>
      </c>
      <c r="I1619" s="223"/>
      <c r="J1619" s="223" t="str">
        <f t="array" ref="J1619:J1620">{"UNARMOREDL03";((IF("03"=(INDEX(ALLCLASSDATA,MATCH("UnarmoredLegendary",CLASSFEATUREHEADERS,0),MATCH($A1620,CLASSNAMEHEADERS,0))),(INDEX(ALLCLASSDATA,MATCH("UnarmoredLegendary",CLASSFEATUREHEADERS,0),MATCH(($A1620 &amp; "Points"),CLASSNAMEHEADERS,0))),(IF("03"=(INDEX(ALLCLASSDATA,MATCH("UnarmoredMaster",CLASSFEATUREHEADERS,0),MATCH($A1620,CLASSNAMEHEADERS,0))),(INDEX(ALLCLASSDATA,MATCH("UnarmoredMaster",CLASSFEATUREHEADERS,0),MATCH(($A1620 &amp; "Points"),CLASSNAMEHEADERS,0))),(IF("03"=(INDEX(ALLCLASSDATA,MATCH("UnarmoredExpert",CLASSFEATUREHEADERS,0),MATCH($A1620,CLASSNAMEHEADERS,0))),(INDEX(ALLCLASSDATA,MATCH("UnarmoredExpert",CLASSFEATUREHEADERS,0),MATCH(($A1620 &amp; "Points"),CLASSNAMEHEADERS,0))),(IF("03"=(INDEX(ALLCLASSDATA,MATCH("UnarmoredTrained",CLASSFEATUREHEADERS,0),MATCH($A1620,CLASSNAMEHEADERS,0))),(INDEX(ALLCLASSDATA,MATCH("UnarmoredTrained",CLASSFEATUREHEADERS,0),MATCH(($A1620 &amp; "Points"),CLASSNAMEHEADERS,0))),"")))))))))}</f>
        <v>UNARMOREDL03</v>
      </c>
      <c r="K1619" s="223"/>
      <c r="L1619" s="223" t="str">
        <f t="array" ref="L1619:L1620">{"UNARMOREDL05";((IF("05"=(INDEX(ALLCLASSDATA,MATCH("UnarmoredLegendary",CLASSFEATUREHEADERS,0),MATCH($A1620,CLASSNAMEHEADERS,0))),(INDEX(ALLCLASSDATA,MATCH("UnarmoredLegendary",CLASSFEATUREHEADERS,0),MATCH(($A1620 &amp; "Points"),CLASSNAMEHEADERS,0))),(IF("05"=(INDEX(ALLCLASSDATA,MATCH("UnarmoredMaster",CLASSFEATUREHEADERS,0),MATCH($A1620,CLASSNAMEHEADERS,0))),(INDEX(ALLCLASSDATA,MATCH("UnarmoredMaster",CLASSFEATUREHEADERS,0),MATCH(($A1620 &amp; "Points"),CLASSNAMEHEADERS,0))),(IF("05"=(INDEX(ALLCLASSDATA,MATCH("UnarmoredExpert",CLASSFEATUREHEADERS,0),MATCH($A1620,CLASSNAMEHEADERS,0))),(INDEX(ALLCLASSDATA,MATCH("UnarmoredExpert",CLASSFEATUREHEADERS,0),MATCH(($A1620 &amp; "Points"),CLASSNAMEHEADERS,0))),(IF("05"=(INDEX(ALLCLASSDATA,MATCH("UnarmoredTrained",CLASSFEATUREHEADERS,0),MATCH($A1620,CLASSNAMEHEADERS,0))),(INDEX(ALLCLASSDATA,MATCH("UnarmoredTrained",CLASSFEATUREHEADERS,0),MATCH(($A1620 &amp; "Points"),CLASSNAMEHEADERS,0))),"")))))))))}</f>
        <v>UNARMOREDL05</v>
      </c>
      <c r="M1619" s="223"/>
      <c r="N1619" s="223" t="str">
        <f t="array" ref="N1619:N1620">{"UNARMOREDL07";((IF("07"=(INDEX(ALLCLASSDATA,MATCH("UnarmoredLegendary",CLASSFEATUREHEADERS,0),MATCH($A1620,CLASSNAMEHEADERS,0))),(INDEX(ALLCLASSDATA,MATCH("UnarmoredLegendary",CLASSFEATUREHEADERS,0),MATCH(($A1620 &amp; "Points"),CLASSNAMEHEADERS,0))),(IF("07"=(INDEX(ALLCLASSDATA,MATCH("UnarmoredMaster",CLASSFEATUREHEADERS,0),MATCH($A1620,CLASSNAMEHEADERS,0))),(INDEX(ALLCLASSDATA,MATCH("UnarmoredMaster",CLASSFEATUREHEADERS,0),MATCH(($A1620 &amp; "Points"),CLASSNAMEHEADERS,0))),(IF("07"=(INDEX(ALLCLASSDATA,MATCH("UnarmoredExpert",CLASSFEATUREHEADERS,0),MATCH($A1620,CLASSNAMEHEADERS,0))),(INDEX(ALLCLASSDATA,MATCH("UnarmoredExpert",CLASSFEATUREHEADERS,0),MATCH(($A1620 &amp; "Points"),CLASSNAMEHEADERS,0))),(IF("07"=(INDEX(ALLCLASSDATA,MATCH("UnarmoredTrained",CLASSFEATUREHEADERS,0),MATCH($A1620,CLASSNAMEHEADERS,0))),(INDEX(ALLCLASSDATA,MATCH("UnarmoredTrained",CLASSFEATUREHEADERS,0),MATCH(($A1620 &amp; "Points"),CLASSNAMEHEADERS,0))),"")))))))))}</f>
        <v>UNARMOREDL07</v>
      </c>
      <c r="O1619" s="223"/>
      <c r="P1619" s="223" t="str">
        <f t="array" ref="P1619:P1620">{"UNARMOREDL09";((IF("09"=(INDEX(ALLCLASSDATA,MATCH("UnarmoredLegendary",CLASSFEATUREHEADERS,0),MATCH($A1620,CLASSNAMEHEADERS,0))),(INDEX(ALLCLASSDATA,MATCH("UnarmoredLegendary",CLASSFEATUREHEADERS,0),MATCH(($A1620 &amp; "Points"),CLASSNAMEHEADERS,0))),(IF("09"=(INDEX(ALLCLASSDATA,MATCH("UnarmoredMaster",CLASSFEATUREHEADERS,0),MATCH($A1620,CLASSNAMEHEADERS,0))),(INDEX(ALLCLASSDATA,MATCH("UnarmoredMaster",CLASSFEATUREHEADERS,0),MATCH(($A1620 &amp; "Points"),CLASSNAMEHEADERS,0))),(IF("09"=(INDEX(ALLCLASSDATA,MATCH("UnarmoredExpert",CLASSFEATUREHEADERS,0),MATCH($A1620,CLASSNAMEHEADERS,0))),(INDEX(ALLCLASSDATA,MATCH("UnarmoredExpert",CLASSFEATUREHEADERS,0),MATCH(($A1620 &amp; "Points"),CLASSNAMEHEADERS,0))),(IF("09"=(INDEX(ALLCLASSDATA,MATCH("UnarmoredTrained",CLASSFEATUREHEADERS,0),MATCH($A1620,CLASSNAMEHEADERS,0))),(INDEX(ALLCLASSDATA,MATCH("UnarmoredTrained",CLASSFEATUREHEADERS,0),MATCH(($A1620 &amp; "Points"),CLASSNAMEHEADERS,0))),"")))))))))}</f>
        <v>UNARMOREDL09</v>
      </c>
      <c r="Q1619" s="223"/>
      <c r="R1619" s="223" t="str">
        <f t="array" ref="R1619:R1620">{"UNARMOREDL11";((IF("11"=(INDEX(ALLCLASSDATA,MATCH("UnarmoredLegendary",CLASSFEATUREHEADERS,0),MATCH($A1620,CLASSNAMEHEADERS,0))),(INDEX(ALLCLASSDATA,MATCH("UnarmoredLegendary",CLASSFEATUREHEADERS,0),MATCH(($A1620 &amp; "Points"),CLASSNAMEHEADERS,0))),(IF("11"=(INDEX(ALLCLASSDATA,MATCH("UnarmoredMaster",CLASSFEATUREHEADERS,0),MATCH($A1620,CLASSNAMEHEADERS,0))),(INDEX(ALLCLASSDATA,MATCH("UnarmoredMaster",CLASSFEATUREHEADERS,0),MATCH(($A1620 &amp; "Points"),CLASSNAMEHEADERS,0))),(IF("11"=(INDEX(ALLCLASSDATA,MATCH("UnarmoredExpert",CLASSFEATUREHEADERS,0),MATCH($A1620,CLASSNAMEHEADERS,0))),(INDEX(ALLCLASSDATA,MATCH("UnarmoredExpert",CLASSFEATUREHEADERS,0),MATCH(($A1620 &amp; "Points"),CLASSNAMEHEADERS,0))),(IF("11"=(INDEX(ALLCLASSDATA,MATCH("UnarmoredTrained",CLASSFEATUREHEADERS,0),MATCH($A1620,CLASSNAMEHEADERS,0))),(INDEX(ALLCLASSDATA,MATCH("UnarmoredTrained",CLASSFEATUREHEADERS,0),MATCH(($A1620 &amp; "Points"),CLASSNAMEHEADERS,0))),"")))))))))}</f>
        <v>UNARMOREDL11</v>
      </c>
      <c r="S1619" s="223"/>
      <c r="T1619" s="223" t="str">
        <f t="array" ref="T1619:T1620">{"UNARMOREDL13";((IF("13"=(INDEX(ALLCLASSDATA,MATCH("UnarmoredLegendary",CLASSFEATUREHEADERS,0),MATCH($A1620,CLASSNAMEHEADERS,0))),(INDEX(ALLCLASSDATA,MATCH("UnarmoredLegendary",CLASSFEATUREHEADERS,0),MATCH(($A1620 &amp; "Points"),CLASSNAMEHEADERS,0))),(IF("13"=(INDEX(ALLCLASSDATA,MATCH("UnarmoredMaster",CLASSFEATUREHEADERS,0),MATCH($A1620,CLASSNAMEHEADERS,0))),(INDEX(ALLCLASSDATA,MATCH("UnarmoredMaster",CLASSFEATUREHEADERS,0),MATCH(($A1620 &amp; "Points"),CLASSNAMEHEADERS,0))),(IF("13"=(INDEX(ALLCLASSDATA,MATCH("UnarmoredExpert",CLASSFEATUREHEADERS,0),MATCH($A1620,CLASSNAMEHEADERS,0))),(INDEX(ALLCLASSDATA,MATCH("UnarmoredExpert",CLASSFEATUREHEADERS,0),MATCH(($A1620 &amp; "Points"),CLASSNAMEHEADERS,0))),(IF("13"=(INDEX(ALLCLASSDATA,MATCH("UnarmoredTrained",CLASSFEATUREHEADERS,0),MATCH($A1620,CLASSNAMEHEADERS,0))),(INDEX(ALLCLASSDATA,MATCH("UnarmoredTrained",CLASSFEATUREHEADERS,0),MATCH(($A1620 &amp; "Points"),CLASSNAMEHEADERS,0))),"")))))))))}</f>
        <v>UNARMOREDL13</v>
      </c>
      <c r="U1619" s="223"/>
      <c r="V1619" s="223" t="str">
        <f t="array" ref="V1619:V1620">{"UNARMOREDL15";((IF("15"=(INDEX(ALLCLASSDATA,MATCH("UnarmoredLegendary",CLASSFEATUREHEADERS,0),MATCH($A1620,CLASSNAMEHEADERS,0))),(INDEX(ALLCLASSDATA,MATCH("UnarmoredLegendary",CLASSFEATUREHEADERS,0),MATCH(($A1620 &amp; "Points"),CLASSNAMEHEADERS,0))),(IF("15"=(INDEX(ALLCLASSDATA,MATCH("UnarmoredMaster",CLASSFEATUREHEADERS,0),MATCH($A1620,CLASSNAMEHEADERS,0))),(INDEX(ALLCLASSDATA,MATCH("UnarmoredMaster",CLASSFEATUREHEADERS,0),MATCH(($A1620 &amp; "Points"),CLASSNAMEHEADERS,0))),(IF("15"=(INDEX(ALLCLASSDATA,MATCH("UnarmoredExpert",CLASSFEATUREHEADERS,0),MATCH($A1620,CLASSNAMEHEADERS,0))),(INDEX(ALLCLASSDATA,MATCH("UnarmoredExpert",CLASSFEATUREHEADERS,0),MATCH(($A1620 &amp; "Points"),CLASSNAMEHEADERS,0))),(IF("15"=(INDEX(ALLCLASSDATA,MATCH("UnarmoredTrained",CLASSFEATUREHEADERS,0),MATCH($A1620,CLASSNAMEHEADERS,0))),(INDEX(ALLCLASSDATA,MATCH("UnarmoredTrained",CLASSFEATUREHEADERS,0),MATCH(($A1620 &amp; "Points"),CLASSNAMEHEADERS,0))),"")))))))))}</f>
        <v>UNARMOREDL15</v>
      </c>
      <c r="W1619" s="223"/>
      <c r="X1619" s="223" t="str">
        <f t="array" ref="X1619:X1620">{"UNARMOREDL17";((IF("17"=(INDEX(ALLCLASSDATA,MATCH("UnarmoredLegendary",CLASSFEATUREHEADERS,0),MATCH($A1620,CLASSNAMEHEADERS,0))),(INDEX(ALLCLASSDATA,MATCH("UnarmoredLegendary",CLASSFEATUREHEADERS,0),MATCH(($A1620 &amp; "Points"),CLASSNAMEHEADERS,0))),(IF("17"=(INDEX(ALLCLASSDATA,MATCH("UnarmoredMaster",CLASSFEATUREHEADERS,0),MATCH($A1620,CLASSNAMEHEADERS,0))),(INDEX(ALLCLASSDATA,MATCH("UnarmoredMaster",CLASSFEATUREHEADERS,0),MATCH(($A1620 &amp; "Points"),CLASSNAMEHEADERS,0))),(IF("17"=(INDEX(ALLCLASSDATA,MATCH("UnarmoredExpert",CLASSFEATUREHEADERS,0),MATCH($A1620,CLASSNAMEHEADERS,0))),(INDEX(ALLCLASSDATA,MATCH("UnarmoredExpert",CLASSFEATUREHEADERS,0),MATCH(($A1620 &amp; "Points"),CLASSNAMEHEADERS,0))),(IF("17"=(INDEX(ALLCLASSDATA,MATCH("UnarmoredTrained",CLASSFEATUREHEADERS,0),MATCH($A1620,CLASSNAMEHEADERS,0))),(INDEX(ALLCLASSDATA,MATCH("UnarmoredTrained",CLASSFEATUREHEADERS,0),MATCH(($A1620 &amp; "Points"),CLASSNAMEHEADERS,0))),"")))))))))}</f>
        <v>UNARMOREDL17</v>
      </c>
      <c r="Y1619" s="223"/>
      <c r="Z1619" s="223" t="str">
        <f t="array" ref="Z1619:Z1620">{"UNARMOREDL19";((IF("19"=(INDEX(ALLCLASSDATA,MATCH("UnarmoredLegendary",CLASSFEATUREHEADERS,0),MATCH($A1620,CLASSNAMEHEADERS,0))),(INDEX(ALLCLASSDATA,MATCH("UnarmoredLegendary",CLASSFEATUREHEADERS,0),MATCH(($A1620 &amp; "Points"),CLASSNAMEHEADERS,0))),(IF("19"=(INDEX(ALLCLASSDATA,MATCH("UnarmoredMaster",CLASSFEATUREHEADERS,0),MATCH($A1620,CLASSNAMEHEADERS,0))),(INDEX(ALLCLASSDATA,MATCH("UnarmoredMaster",CLASSFEATUREHEADERS,0),MATCH(($A1620 &amp; "Points"),CLASSNAMEHEADERS,0))),(IF("19"=(INDEX(ALLCLASSDATA,MATCH("UnarmoredExpert",CLASSFEATUREHEADERS,0),MATCH($A1620,CLASSNAMEHEADERS,0))),(INDEX(ALLCLASSDATA,MATCH("UnarmoredExpert",CLASSFEATUREHEADERS,0),MATCH(($A1620 &amp; "Points"),CLASSNAMEHEADERS,0))),(IF("19"=(INDEX(ALLCLASSDATA,MATCH("UnarmoredTrained",CLASSFEATUREHEADERS,0),MATCH($A1620,CLASSNAMEHEADERS,0))),(INDEX(ALLCLASSDATA,MATCH("UnarmoredTrained",CLASSFEATUREHEADERS,0),MATCH(($A1620 &amp; "Points"),CLASSNAMEHEADERS,0))),"")))))))))}</f>
        <v>UNARMOREDL19</v>
      </c>
      <c r="AA1619" s="223"/>
      <c r="AB1619" s="76" t="str">
        <f t="array" ref="AB1619:AB1620">{"UNARMORED TOTAL";(IF(COUNTBLANK(G1620:AA1620)=17,"L",(IF(COUNTBLANK(G1620:AA1620)=18,"M",(IF(COUNTBLANK(G1620:AA1620)=19,"E",(IF(COUNTBLANK(G1620:AA1620)=20,"T",""))))))))}</f>
        <v>UNARMORED TOTAL</v>
      </c>
      <c r="AC1619" s="76" t="str">
        <f t="array" ref="AC1619:AC1620">{"UNARMORED TOTAL";(sum(G1620:AA1620))}</f>
        <v>UNARMORED TOTAL</v>
      </c>
    </row>
    <row r="1620">
      <c r="A1620" s="48" t="s">
        <v>223</v>
      </c>
      <c r="B1620" s="48"/>
      <c r="C1620" s="48" t="s">
        <v>418</v>
      </c>
      <c r="D1620" s="48" t="s">
        <v>1900</v>
      </c>
      <c r="E1620" s="48" t="s">
        <v>78</v>
      </c>
      <c r="F1620" s="5" t="s">
        <v>435</v>
      </c>
      <c r="G1620" s="47" t="s">
        <v>603</v>
      </c>
      <c r="H1620" s="5">
        <v>10.0</v>
      </c>
      <c r="I1620" s="5"/>
      <c r="J1620" s="5" t="s">
        <v>603</v>
      </c>
      <c r="K1620" s="5"/>
      <c r="L1620" s="5" t="s">
        <v>603</v>
      </c>
      <c r="M1620" s="5"/>
      <c r="N1620" s="5" t="s">
        <v>603</v>
      </c>
      <c r="O1620" s="5"/>
      <c r="P1620" s="5" t="s">
        <v>603</v>
      </c>
      <c r="Q1620" s="5"/>
      <c r="R1620" s="5" t="s">
        <v>603</v>
      </c>
      <c r="S1620" s="5"/>
      <c r="T1620" s="5" t="s">
        <v>436</v>
      </c>
      <c r="U1620" s="5"/>
      <c r="V1620" s="5" t="s">
        <v>603</v>
      </c>
      <c r="W1620" s="5"/>
      <c r="X1620" s="5" t="s">
        <v>603</v>
      </c>
      <c r="Y1620" s="5"/>
      <c r="Z1620" s="5" t="s">
        <v>603</v>
      </c>
      <c r="AA1620" s="5"/>
      <c r="AB1620" s="5" t="s">
        <v>436</v>
      </c>
      <c r="AC1620" s="47">
        <v>10.0</v>
      </c>
    </row>
    <row r="1621" hidden="1">
      <c r="A1621" s="222" t="str">
        <f t="array" ref="A1621:A1622">{"FormulaRow36";(INDEX(CLASSLIST,A1550,1))}</f>
        <v>FormulaRow36</v>
      </c>
      <c r="B1621" s="77" t="s">
        <v>236</v>
      </c>
      <c r="C1621" s="222" t="str">
        <f t="array" ref="C1621:C1622">{"CLASSTYPE";((INDEX(ALLCLASSDATA,MATCH("ClassType",CLASSFEATUREHEADERS,0),MATCH($A1622,CLASSNAMEHEADERS,0))))}</f>
        <v>CLASSTYPE</v>
      </c>
      <c r="D1621" s="222" t="str">
        <f t="array" ref="D1621:D1622">{"DEFENSE";"Defense"}</f>
        <v>DEFENSE</v>
      </c>
      <c r="E1621" s="222" t="str">
        <f t="array" ref="E1621:E1622">{"LIGHT";"Light"}</f>
        <v>LIGHT</v>
      </c>
      <c r="F1621" s="223" t="str">
        <f t="array" ref="F1621:F1622">{"LIGHTINITIAL";((IF(H1622=10,"T",(IF(H1622=50,"E","")))))}</f>
        <v>LIGHTINITIAL</v>
      </c>
      <c r="G1621" s="223" t="str">
        <f t="array" ref="G1621:G1622">{"LIGHTINITIALPTS";((IF("00"=(INDEX(ALLCLASSDATA,MATCH("LightLegendary",CLASSFEATUREHEADERS,0),MATCH($A1622,CLASSNAMEHEADERS,0))),(INDEX(ALLCLASSDATA,MATCH("LightLegendary",CLASSFEATUREHEADERS,0),MATCH(($A1622 &amp; "Points"),CLASSNAMEHEADERS,0))),(IF("00"=(INDEX(ALLCLASSDATA,MATCH("LightMaster",CLASSFEATUREHEADERS,0),MATCH($A1622,CLASSNAMEHEADERS,0))),(INDEX(ALLCLASSDATA,MATCH("LightMaster",CLASSFEATUREHEADERS,0),MATCH(($A1622 &amp; "Points"),CLASSNAMEHEADERS,0))),(IF("00"=(INDEX(ALLCLASSDATA,MATCH("LightExpert",CLASSFEATUREHEADERS,0),MATCH($A1622,CLASSNAMEHEADERS,0))),(INDEX(ALLCLASSDATA,MATCH("LightExpert",CLASSFEATUREHEADERS,0),MATCH(($A1622 &amp; "Points"),CLASSNAMEHEADERS,0))),(IF("00"=(INDEX(ALLCLASSDATA,MATCH("LightTrained",CLASSFEATUREHEADERS,0),MATCH($A1622,CLASSNAMEHEADERS,0))),(INDEX(ALLCLASSDATA,MATCH("LightTrained",CLASSFEATUREHEADERS,0),MATCH(($A1622 &amp; "Points"),CLASSNAMEHEADERS,0))),"")))))))))}</f>
        <v>LIGHTINITIALPTS</v>
      </c>
      <c r="H1621" s="223" t="str">
        <f t="array" ref="H1621:H1622">{"LIGHTL01";((IF("01"=(INDEX(ALLCLASSDATA,MATCH("LightLegendary",CLASSFEATUREHEADERS,0),MATCH($A1622,CLASSNAMEHEADERS,0))),(INDEX(ALLCLASSDATA,MATCH("LightLegendary",CLASSFEATUREHEADERS,0),MATCH(($A1622 &amp; "Points"),CLASSNAMEHEADERS,0))),(IF("01"=(INDEX(ALLCLASSDATA,MATCH("LightMaster",CLASSFEATUREHEADERS,0),MATCH($A1622,CLASSNAMEHEADERS,0))),(INDEX(ALLCLASSDATA,MATCH("LightMaster",CLASSFEATUREHEADERS,0),MATCH(($A1622 &amp; "Points"),CLASSNAMEHEADERS,0))),(IF("01"=(INDEX(ALLCLASSDATA,MATCH("LightExpert",CLASSFEATUREHEADERS,0),MATCH($A1622,CLASSNAMEHEADERS,0))),(INDEX(ALLCLASSDATA,MATCH("LightExpert",CLASSFEATUREHEADERS,0),MATCH(($A1622 &amp; "Points"),CLASSNAMEHEADERS,0))),(IF("01"=(INDEX(ALLCLASSDATA,MATCH("LightTrained",CLASSFEATUREHEADERS,0),MATCH($A1622,CLASSNAMEHEADERS,0))),(INDEX(ALLCLASSDATA,MATCH("LightTrained",CLASSFEATUREHEADERS,0),MATCH(($A1622 &amp; "Points"),CLASSNAMEHEADERS,0))),"")))))))))}</f>
        <v>LIGHTL01</v>
      </c>
      <c r="I1621" s="223"/>
      <c r="J1621" s="223" t="str">
        <f t="array" ref="J1621:J1622">{"LIGHTL03";((IF("03"=(INDEX(ALLCLASSDATA,MATCH("LightLegendary",CLASSFEATUREHEADERS,0),MATCH($A1622,CLASSNAMEHEADERS,0))),(INDEX(ALLCLASSDATA,MATCH("LightLegendary",CLASSFEATUREHEADERS,0),MATCH(($A1622 &amp; "Points"),CLASSNAMEHEADERS,0))),(IF("03"=(INDEX(ALLCLASSDATA,MATCH("LightMaster",CLASSFEATUREHEADERS,0),MATCH($A1622,CLASSNAMEHEADERS,0))),(INDEX(ALLCLASSDATA,MATCH("LightMaster",CLASSFEATUREHEADERS,0),MATCH(($A1622 &amp; "Points"),CLASSNAMEHEADERS,0))),(IF("03"=(INDEX(ALLCLASSDATA,MATCH("LightExpert",CLASSFEATUREHEADERS,0),MATCH($A1622,CLASSNAMEHEADERS,0))),(INDEX(ALLCLASSDATA,MATCH("LightExpert",CLASSFEATUREHEADERS,0),MATCH(($A1622 &amp; "Points"),CLASSNAMEHEADERS,0))),(IF("03"=(INDEX(ALLCLASSDATA,MATCH("LightTrained",CLASSFEATUREHEADERS,0),MATCH($A1622,CLASSNAMEHEADERS,0))),(INDEX(ALLCLASSDATA,MATCH("LightTrained",CLASSFEATUREHEADERS,0),MATCH(($A1622 &amp; "Points"),CLASSNAMEHEADERS,0))),"")))))))))}</f>
        <v>LIGHTL03</v>
      </c>
      <c r="K1621" s="223"/>
      <c r="L1621" s="223" t="str">
        <f t="array" ref="L1621:L1622">{"LIGHTL05";((IF("05"=(INDEX(ALLCLASSDATA,MATCH("LightLegendary",CLASSFEATUREHEADERS,0),MATCH($A1622,CLASSNAMEHEADERS,0))),(INDEX(ALLCLASSDATA,MATCH("LightLegendary",CLASSFEATUREHEADERS,0),MATCH(($A1622 &amp; "Points"),CLASSNAMEHEADERS,0))),(IF("05"=(INDEX(ALLCLASSDATA,MATCH("LightMaster",CLASSFEATUREHEADERS,0),MATCH($A1622,CLASSNAMEHEADERS,0))),(INDEX(ALLCLASSDATA,MATCH("LightMaster",CLASSFEATUREHEADERS,0),MATCH(($A1622 &amp; "Points"),CLASSNAMEHEADERS,0))),(IF("05"=(INDEX(ALLCLASSDATA,MATCH("LightExpert",CLASSFEATUREHEADERS,0),MATCH($A1622,CLASSNAMEHEADERS,0))),(INDEX(ALLCLASSDATA,MATCH("LightExpert",CLASSFEATUREHEADERS,0),MATCH(($A1622 &amp; "Points"),CLASSNAMEHEADERS,0))),(IF("05"=(INDEX(ALLCLASSDATA,MATCH("LightTrained",CLASSFEATUREHEADERS,0),MATCH($A1622,CLASSNAMEHEADERS,0))),(INDEX(ALLCLASSDATA,MATCH("LightTrained",CLASSFEATUREHEADERS,0),MATCH(($A1622 &amp; "Points"),CLASSNAMEHEADERS,0))),"")))))))))}</f>
        <v>LIGHTL05</v>
      </c>
      <c r="M1621" s="223"/>
      <c r="N1621" s="223" t="str">
        <f t="array" ref="N1621:N1622">{"LIGHTL07";((IF("07"=(INDEX(ALLCLASSDATA,MATCH("LightLegendary",CLASSFEATUREHEADERS,0),MATCH($A1622,CLASSNAMEHEADERS,0))),(INDEX(ALLCLASSDATA,MATCH("LightLegendary",CLASSFEATUREHEADERS,0),MATCH(($A1622 &amp; "Points"),CLASSNAMEHEADERS,0))),(IF("07"=(INDEX(ALLCLASSDATA,MATCH("LightMaster",CLASSFEATUREHEADERS,0),MATCH($A1622,CLASSNAMEHEADERS,0))),(INDEX(ALLCLASSDATA,MATCH("LightMaster",CLASSFEATUREHEADERS,0),MATCH(($A1622 &amp; "Points"),CLASSNAMEHEADERS,0))),(IF("07"=(INDEX(ALLCLASSDATA,MATCH("LightExpert",CLASSFEATUREHEADERS,0),MATCH($A1622,CLASSNAMEHEADERS,0))),(INDEX(ALLCLASSDATA,MATCH("LightExpert",CLASSFEATUREHEADERS,0),MATCH(($A1622 &amp; "Points"),CLASSNAMEHEADERS,0))),(IF("07"=(INDEX(ALLCLASSDATA,MATCH("LightTrained",CLASSFEATUREHEADERS,0),MATCH($A1622,CLASSNAMEHEADERS,0))),(INDEX(ALLCLASSDATA,MATCH("LightTrained",CLASSFEATUREHEADERS,0),MATCH(($A1622 &amp; "Points"),CLASSNAMEHEADERS,0))),"")))))))))}</f>
        <v>LIGHTL07</v>
      </c>
      <c r="O1621" s="223"/>
      <c r="P1621" s="223" t="str">
        <f t="array" ref="P1621:P1622">{"LIGHTL09";((IF("09"=(INDEX(ALLCLASSDATA,MATCH("LightLegendary",CLASSFEATUREHEADERS,0),MATCH($A1622,CLASSNAMEHEADERS,0))),(INDEX(ALLCLASSDATA,MATCH("LightLegendary",CLASSFEATUREHEADERS,0),MATCH(($A1622 &amp; "Points"),CLASSNAMEHEADERS,0))),(IF("09"=(INDEX(ALLCLASSDATA,MATCH("LightMaster",CLASSFEATUREHEADERS,0),MATCH($A1622,CLASSNAMEHEADERS,0))),(INDEX(ALLCLASSDATA,MATCH("LightMaster",CLASSFEATUREHEADERS,0),MATCH(($A1622 &amp; "Points"),CLASSNAMEHEADERS,0))),(IF("09"=(INDEX(ALLCLASSDATA,MATCH("LightExpert",CLASSFEATUREHEADERS,0),MATCH($A1622,CLASSNAMEHEADERS,0))),(INDEX(ALLCLASSDATA,MATCH("LightExpert",CLASSFEATUREHEADERS,0),MATCH(($A1622 &amp; "Points"),CLASSNAMEHEADERS,0))),(IF("09"=(INDEX(ALLCLASSDATA,MATCH("LightTrained",CLASSFEATUREHEADERS,0),MATCH($A1622,CLASSNAMEHEADERS,0))),(INDEX(ALLCLASSDATA,MATCH("LightTrained",CLASSFEATUREHEADERS,0),MATCH(($A1622 &amp; "Points"),CLASSNAMEHEADERS,0))),"")))))))))}</f>
        <v>LIGHTL09</v>
      </c>
      <c r="Q1621" s="223"/>
      <c r="R1621" s="223" t="str">
        <f t="array" ref="R1621:R1622">{"LIGHTL11";((IF("11"=(INDEX(ALLCLASSDATA,MATCH("LightLegendary",CLASSFEATUREHEADERS,0),MATCH($A1622,CLASSNAMEHEADERS,0))),(INDEX(ALLCLASSDATA,MATCH("LightLegendary",CLASSFEATUREHEADERS,0),MATCH(($A1622 &amp; "Points"),CLASSNAMEHEADERS,0))),(IF("11"=(INDEX(ALLCLASSDATA,MATCH("LightMaster",CLASSFEATUREHEADERS,0),MATCH($A1622,CLASSNAMEHEADERS,0))),(INDEX(ALLCLASSDATA,MATCH("LightMaster",CLASSFEATUREHEADERS,0),MATCH(($A1622 &amp; "Points"),CLASSNAMEHEADERS,0))),(IF("11"=(INDEX(ALLCLASSDATA,MATCH("LightExpert",CLASSFEATUREHEADERS,0),MATCH($A1622,CLASSNAMEHEADERS,0))),(INDEX(ALLCLASSDATA,MATCH("LightExpert",CLASSFEATUREHEADERS,0),MATCH(($A1622 &amp; "Points"),CLASSNAMEHEADERS,0))),(IF("11"=(INDEX(ALLCLASSDATA,MATCH("LightTrained",CLASSFEATUREHEADERS,0),MATCH($A1622,CLASSNAMEHEADERS,0))),(INDEX(ALLCLASSDATA,MATCH("LightTrained",CLASSFEATUREHEADERS,0),MATCH(($A1622 &amp; "Points"),CLASSNAMEHEADERS,0))),"")))))))))}</f>
        <v>LIGHTL11</v>
      </c>
      <c r="S1621" s="223"/>
      <c r="T1621" s="223" t="str">
        <f t="array" ref="T1621:T1622">{"LIGHTL13";((IF("13"=(INDEX(ALLCLASSDATA,MATCH("LightLegendary",CLASSFEATUREHEADERS,0),MATCH($A1622,CLASSNAMEHEADERS,0))),(INDEX(ALLCLASSDATA,MATCH("LightLegendary",CLASSFEATUREHEADERS,0),MATCH(($A1622 &amp; "Points"),CLASSNAMEHEADERS,0))),(IF("13"=(INDEX(ALLCLASSDATA,MATCH("LightMaster",CLASSFEATUREHEADERS,0),MATCH($A1622,CLASSNAMEHEADERS,0))),(INDEX(ALLCLASSDATA,MATCH("LightMaster",CLASSFEATUREHEADERS,0),MATCH(($A1622 &amp; "Points"),CLASSNAMEHEADERS,0))),(IF("13"=(INDEX(ALLCLASSDATA,MATCH("LightExpert",CLASSFEATUREHEADERS,0),MATCH($A1622,CLASSNAMEHEADERS,0))),(INDEX(ALLCLASSDATA,MATCH("LightExpert",CLASSFEATUREHEADERS,0),MATCH(($A1622 &amp; "Points"),CLASSNAMEHEADERS,0))),(IF("13"=(INDEX(ALLCLASSDATA,MATCH("LightTrained",CLASSFEATUREHEADERS,0),MATCH($A1622,CLASSNAMEHEADERS,0))),(INDEX(ALLCLASSDATA,MATCH("LightTrained",CLASSFEATUREHEADERS,0),MATCH(($A1622 &amp; "Points"),CLASSNAMEHEADERS,0))),"")))))))))}</f>
        <v>LIGHTL13</v>
      </c>
      <c r="U1621" s="223"/>
      <c r="V1621" s="223" t="str">
        <f t="array" ref="V1621:V1622">{"LIGHTL15";((IF("15"=(INDEX(ALLCLASSDATA,MATCH("LightLegendary",CLASSFEATUREHEADERS,0),MATCH($A1622,CLASSNAMEHEADERS,0))),(INDEX(ALLCLASSDATA,MATCH("LightLegendary",CLASSFEATUREHEADERS,0),MATCH(($A1622 &amp; "Points"),CLASSNAMEHEADERS,0))),(IF("15"=(INDEX(ALLCLASSDATA,MATCH("LightMaster",CLASSFEATUREHEADERS,0),MATCH($A1622,CLASSNAMEHEADERS,0))),(INDEX(ALLCLASSDATA,MATCH("LightMaster",CLASSFEATUREHEADERS,0),MATCH(($A1622 &amp; "Points"),CLASSNAMEHEADERS,0))),(IF("15"=(INDEX(ALLCLASSDATA,MATCH("LightExpert",CLASSFEATUREHEADERS,0),MATCH($A1622,CLASSNAMEHEADERS,0))),(INDEX(ALLCLASSDATA,MATCH("LightExpert",CLASSFEATUREHEADERS,0),MATCH(($A1622 &amp; "Points"),CLASSNAMEHEADERS,0))),(IF("15"=(INDEX(ALLCLASSDATA,MATCH("LightTrained",CLASSFEATUREHEADERS,0),MATCH($A1622,CLASSNAMEHEADERS,0))),(INDEX(ALLCLASSDATA,MATCH("LightTrained",CLASSFEATUREHEADERS,0),MATCH(($A1622 &amp; "Points"),CLASSNAMEHEADERS,0))),"")))))))))}</f>
        <v>LIGHTL15</v>
      </c>
      <c r="W1621" s="223"/>
      <c r="X1621" s="223" t="str">
        <f t="array" ref="X1621:X1622">{"LIGHTL17";((IF("17"=(INDEX(ALLCLASSDATA,MATCH("LightLegendary",CLASSFEATUREHEADERS,0),MATCH($A1622,CLASSNAMEHEADERS,0))),(INDEX(ALLCLASSDATA,MATCH("LightLegendary",CLASSFEATUREHEADERS,0),MATCH(($A1622 &amp; "Points"),CLASSNAMEHEADERS,0))),(IF("17"=(INDEX(ALLCLASSDATA,MATCH("LightMaster",CLASSFEATUREHEADERS,0),MATCH($A1622,CLASSNAMEHEADERS,0))),(INDEX(ALLCLASSDATA,MATCH("LightMaster",CLASSFEATUREHEADERS,0),MATCH(($A1622 &amp; "Points"),CLASSNAMEHEADERS,0))),(IF("17"=(INDEX(ALLCLASSDATA,MATCH("LightExpert",CLASSFEATUREHEADERS,0),MATCH($A1622,CLASSNAMEHEADERS,0))),(INDEX(ALLCLASSDATA,MATCH("LightExpert",CLASSFEATUREHEADERS,0),MATCH(($A1622 &amp; "Points"),CLASSNAMEHEADERS,0))),(IF("17"=(INDEX(ALLCLASSDATA,MATCH("LightTrained",CLASSFEATUREHEADERS,0),MATCH($A1622,CLASSNAMEHEADERS,0))),(INDEX(ALLCLASSDATA,MATCH("LightTrained",CLASSFEATUREHEADERS,0),MATCH(($A1622 &amp; "Points"),CLASSNAMEHEADERS,0))),"")))))))))}</f>
        <v>LIGHTL17</v>
      </c>
      <c r="Y1621" s="223"/>
      <c r="Z1621" s="223" t="str">
        <f t="array" ref="Z1621:Z1622">{"LIGHTL19";((IF("19"=(INDEX(ALLCLASSDATA,MATCH("LightLegendary",CLASSFEATUREHEADERS,0),MATCH($A1622,CLASSNAMEHEADERS,0))),(INDEX(ALLCLASSDATA,MATCH("LightLegendary",CLASSFEATUREHEADERS,0),MATCH(($A1622 &amp; "Points"),CLASSNAMEHEADERS,0))),(IF("19"=(INDEX(ALLCLASSDATA,MATCH("LightMaster",CLASSFEATUREHEADERS,0),MATCH($A1622,CLASSNAMEHEADERS,0))),(INDEX(ALLCLASSDATA,MATCH("LightMaster",CLASSFEATUREHEADERS,0),MATCH(($A1622 &amp; "Points"),CLASSNAMEHEADERS,0))),(IF("19"=(INDEX(ALLCLASSDATA,MATCH("LightExpert",CLASSFEATUREHEADERS,0),MATCH($A1622,CLASSNAMEHEADERS,0))),(INDEX(ALLCLASSDATA,MATCH("LightExpert",CLASSFEATUREHEADERS,0),MATCH(($A1622 &amp; "Points"),CLASSNAMEHEADERS,0))),(IF("19"=(INDEX(ALLCLASSDATA,MATCH("LightTrained",CLASSFEATUREHEADERS,0),MATCH($A1622,CLASSNAMEHEADERS,0))),(INDEX(ALLCLASSDATA,MATCH("LightTrained",CLASSFEATUREHEADERS,0),MATCH(($A1622 &amp; "Points"),CLASSNAMEHEADERS,0))),"")))))))))}</f>
        <v>LIGHTL19</v>
      </c>
      <c r="AA1621" s="223"/>
      <c r="AB1621" s="76" t="str">
        <f t="array" ref="AB1621:AB1622">{"LIGHT TOTAL";(IF(COUNTBLANK(G1622:AA1622)=17,"L",(IF(COUNTBLANK(G1622:AA1622)=18,"M",(IF(COUNTBLANK(G1622:AA1622)=19,"E",(IF(COUNTBLANK(G1622:AA1622)=20,"T",""))))))))}</f>
        <v>LIGHT TOTAL</v>
      </c>
      <c r="AC1621" s="76" t="str">
        <f t="array" ref="AC1621:AC1622">{"LIGHT TOTAL";(sum(G1622:AA1622))}</f>
        <v>LIGHT TOTAL</v>
      </c>
    </row>
    <row r="1622">
      <c r="A1622" s="48" t="s">
        <v>223</v>
      </c>
      <c r="B1622" s="48"/>
      <c r="C1622" s="48" t="s">
        <v>418</v>
      </c>
      <c r="D1622" s="48" t="s">
        <v>1900</v>
      </c>
      <c r="E1622" s="48" t="s">
        <v>77</v>
      </c>
      <c r="F1622" s="5" t="s">
        <v>435</v>
      </c>
      <c r="G1622" s="47" t="s">
        <v>603</v>
      </c>
      <c r="H1622" s="5">
        <v>10.0</v>
      </c>
      <c r="I1622" s="5"/>
      <c r="J1622" s="5" t="s">
        <v>603</v>
      </c>
      <c r="K1622" s="5"/>
      <c r="L1622" s="5" t="s">
        <v>603</v>
      </c>
      <c r="M1622" s="5"/>
      <c r="N1622" s="5" t="s">
        <v>603</v>
      </c>
      <c r="O1622" s="5"/>
      <c r="P1622" s="5" t="s">
        <v>603</v>
      </c>
      <c r="Q1622" s="5"/>
      <c r="R1622" s="5" t="s">
        <v>603</v>
      </c>
      <c r="S1622" s="5"/>
      <c r="T1622" s="5">
        <v>50.0</v>
      </c>
      <c r="U1622" s="5"/>
      <c r="V1622" s="5" t="s">
        <v>603</v>
      </c>
      <c r="W1622" s="5"/>
      <c r="X1622" s="5" t="s">
        <v>603</v>
      </c>
      <c r="Y1622" s="5"/>
      <c r="Z1622" s="5" t="s">
        <v>603</v>
      </c>
      <c r="AA1622" s="5"/>
      <c r="AB1622" s="5" t="s">
        <v>436</v>
      </c>
      <c r="AC1622" s="47">
        <v>60.0</v>
      </c>
    </row>
    <row r="1623" hidden="1">
      <c r="A1623" s="222" t="str">
        <f t="array" ref="A1623:A1624">{"FormulaRow37";(INDEX(CLASSLIST,A1550,1))}</f>
        <v>FormulaRow37</v>
      </c>
      <c r="B1623" s="77" t="s">
        <v>236</v>
      </c>
      <c r="C1623" s="222" t="str">
        <f t="array" ref="C1623:C1624">{"CLASSTYPE";((INDEX(ALLCLASSDATA,MATCH("ClassType",CLASSFEATUREHEADERS,0),MATCH($A1624,CLASSNAMEHEADERS,0))))}</f>
        <v>CLASSTYPE</v>
      </c>
      <c r="D1623" s="222" t="str">
        <f t="array" ref="D1623:D1624">{"DEFENSE";"Defense"}</f>
        <v>DEFENSE</v>
      </c>
      <c r="E1623" s="222" t="str">
        <f t="array" ref="E1623:E1624">{"MEDIUM";"Medium"}</f>
        <v>MEDIUM</v>
      </c>
      <c r="F1623" s="223" t="str">
        <f t="array" ref="F1623:F1624">{"MEDIUMINITIAL";((IF(H1624=10,"T",(IF(H1624=50,"E","")))))}</f>
        <v>MEDIUMINITIAL</v>
      </c>
      <c r="G1623" s="223" t="str">
        <f t="array" ref="G1623:G1624">{"MEDIUMINITIALPTS";((IF("00"=(INDEX(ALLCLASSDATA,MATCH("MediumLegendary",CLASSFEATUREHEADERS,0),MATCH($A1624,CLASSNAMEHEADERS,0))),(INDEX(ALLCLASSDATA,MATCH("MediumLegendary",CLASSFEATUREHEADERS,0),MATCH(($A1624 &amp; "Points"),CLASSNAMEHEADERS,0))),(IF("00"=(INDEX(ALLCLASSDATA,MATCH("MediumMaster",CLASSFEATUREHEADERS,0),MATCH($A1624,CLASSNAMEHEADERS,0))),(INDEX(ALLCLASSDATA,MATCH("MediumMaster",CLASSFEATUREHEADERS,0),MATCH(($A1624 &amp; "Points"),CLASSNAMEHEADERS,0))),(IF("00"=(INDEX(ALLCLASSDATA,MATCH("MediumExpert",CLASSFEATUREHEADERS,0),MATCH($A1624,CLASSNAMEHEADERS,0))),(INDEX(ALLCLASSDATA,MATCH("MediumExpert",CLASSFEATUREHEADERS,0),MATCH(($A1624 &amp; "Points"),CLASSNAMEHEADERS,0))),(IF("00"=(INDEX(ALLCLASSDATA,MATCH("MediumTrained",CLASSFEATUREHEADERS,0),MATCH($A1624,CLASSNAMEHEADERS,0))),(INDEX(ALLCLASSDATA,MATCH("MediumTrained",CLASSFEATUREHEADERS,0),MATCH(($A1624 &amp; "Points"),CLASSNAMEHEADERS,0))),"")))))))))}</f>
        <v>MEDIUMINITIALPTS</v>
      </c>
      <c r="H1623" s="223" t="str">
        <f t="array" ref="H1623:H1624">{"MEDIUML01";((IF("01"=(INDEX(ALLCLASSDATA,MATCH("MediumLegendary",CLASSFEATUREHEADERS,0),MATCH($A1624,CLASSNAMEHEADERS,0))),(INDEX(ALLCLASSDATA,MATCH("MediumLegendary",CLASSFEATUREHEADERS,0),MATCH(($A1624 &amp; "Points"),CLASSNAMEHEADERS,0))),(IF("01"=(INDEX(ALLCLASSDATA,MATCH("MediumMaster",CLASSFEATUREHEADERS,0),MATCH($A1624,CLASSNAMEHEADERS,0))),(INDEX(ALLCLASSDATA,MATCH("MediumMaster",CLASSFEATUREHEADERS,0),MATCH(($A1624 &amp; "Points"),CLASSNAMEHEADERS,0))),(IF("01"=(INDEX(ALLCLASSDATA,MATCH("MediumExpert",CLASSFEATUREHEADERS,0),MATCH($A1624,CLASSNAMEHEADERS,0))),(INDEX(ALLCLASSDATA,MATCH("MediumExpert",CLASSFEATUREHEADERS,0),MATCH(($A1624 &amp; "Points"),CLASSNAMEHEADERS,0))),(IF("01"=(INDEX(ALLCLASSDATA,MATCH("MediumTrained",CLASSFEATUREHEADERS,0),MATCH($A1624,CLASSNAMEHEADERS,0))),(INDEX(ALLCLASSDATA,MATCH("MediumTrained",CLASSFEATUREHEADERS,0),MATCH(($A1624 &amp; "Points"),CLASSNAMEHEADERS,0))),"")))))))))}</f>
        <v>MEDIUML01</v>
      </c>
      <c r="I1623" s="223"/>
      <c r="J1623" s="223" t="str">
        <f t="array" ref="J1623:J1624">{"MEDIUML03";((IF("03"=(INDEX(ALLCLASSDATA,MATCH("MediumLegendary",CLASSFEATUREHEADERS,0),MATCH($A1624,CLASSNAMEHEADERS,0))),(INDEX(ALLCLASSDATA,MATCH("MediumLegendary",CLASSFEATUREHEADERS,0),MATCH(($A1624 &amp; "Points"),CLASSNAMEHEADERS,0))),(IF("03"=(INDEX(ALLCLASSDATA,MATCH("MediumMaster",CLASSFEATUREHEADERS,0),MATCH($A1624,CLASSNAMEHEADERS,0))),(INDEX(ALLCLASSDATA,MATCH("MediumMaster",CLASSFEATUREHEADERS,0),MATCH(($A1624 &amp; "Points"),CLASSNAMEHEADERS,0))),(IF("03"=(INDEX(ALLCLASSDATA,MATCH("MediumExpert",CLASSFEATUREHEADERS,0),MATCH($A1624,CLASSNAMEHEADERS,0))),(INDEX(ALLCLASSDATA,MATCH("MediumExpert",CLASSFEATUREHEADERS,0),MATCH(($A1624 &amp; "Points"),CLASSNAMEHEADERS,0))),(IF("03"=(INDEX(ALLCLASSDATA,MATCH("MediumTrained",CLASSFEATUREHEADERS,0),MATCH($A1624,CLASSNAMEHEADERS,0))),(INDEX(ALLCLASSDATA,MATCH("MediumTrained",CLASSFEATUREHEADERS,0),MATCH(($A1624 &amp; "Points"),CLASSNAMEHEADERS,0))),"")))))))))}</f>
        <v>MEDIUML03</v>
      </c>
      <c r="K1623" s="223"/>
      <c r="L1623" s="223" t="str">
        <f t="array" ref="L1623:L1624">{"MEDIUML05";((IF("05"=(INDEX(ALLCLASSDATA,MATCH("MediumLegendary",CLASSFEATUREHEADERS,0),MATCH($A1624,CLASSNAMEHEADERS,0))),(INDEX(ALLCLASSDATA,MATCH("MediumLegendary",CLASSFEATUREHEADERS,0),MATCH(($A1624 &amp; "Points"),CLASSNAMEHEADERS,0))),(IF("05"=(INDEX(ALLCLASSDATA,MATCH("MediumMaster",CLASSFEATUREHEADERS,0),MATCH($A1624,CLASSNAMEHEADERS,0))),(INDEX(ALLCLASSDATA,MATCH("MediumMaster",CLASSFEATUREHEADERS,0),MATCH(($A1624 &amp; "Points"),CLASSNAMEHEADERS,0))),(IF("05"=(INDEX(ALLCLASSDATA,MATCH("MediumExpert",CLASSFEATUREHEADERS,0),MATCH($A1624,CLASSNAMEHEADERS,0))),(INDEX(ALLCLASSDATA,MATCH("MediumExpert",CLASSFEATUREHEADERS,0),MATCH(($A1624 &amp; "Points"),CLASSNAMEHEADERS,0))),(IF("05"=(INDEX(ALLCLASSDATA,MATCH("MediumTrained",CLASSFEATUREHEADERS,0),MATCH($A1624,CLASSNAMEHEADERS,0))),(INDEX(ALLCLASSDATA,MATCH("MediumTrained",CLASSFEATUREHEADERS,0),MATCH(($A1624 &amp; "Points"),CLASSNAMEHEADERS,0))),"")))))))))}</f>
        <v>MEDIUML05</v>
      </c>
      <c r="M1623" s="223"/>
      <c r="N1623" s="223" t="str">
        <f t="array" ref="N1623:N1624">{"MEDIUML07";((IF("07"=(INDEX(ALLCLASSDATA,MATCH("MediumLegendary",CLASSFEATUREHEADERS,0),MATCH($A1624,CLASSNAMEHEADERS,0))),(INDEX(ALLCLASSDATA,MATCH("MediumLegendary",CLASSFEATUREHEADERS,0),MATCH(($A1624 &amp; "Points"),CLASSNAMEHEADERS,0))),(IF("07"=(INDEX(ALLCLASSDATA,MATCH("MediumMaster",CLASSFEATUREHEADERS,0),MATCH($A1624,CLASSNAMEHEADERS,0))),(INDEX(ALLCLASSDATA,MATCH("MediumMaster",CLASSFEATUREHEADERS,0),MATCH(($A1624 &amp; "Points"),CLASSNAMEHEADERS,0))),(IF("07"=(INDEX(ALLCLASSDATA,MATCH("MediumExpert",CLASSFEATUREHEADERS,0),MATCH($A1624,CLASSNAMEHEADERS,0))),(INDEX(ALLCLASSDATA,MATCH("MediumExpert",CLASSFEATUREHEADERS,0),MATCH(($A1624 &amp; "Points"),CLASSNAMEHEADERS,0))),(IF("07"=(INDEX(ALLCLASSDATA,MATCH("MediumTrained",CLASSFEATUREHEADERS,0),MATCH($A1624,CLASSNAMEHEADERS,0))),(INDEX(ALLCLASSDATA,MATCH("MediumTrained",CLASSFEATUREHEADERS,0),MATCH(($A1624 &amp; "Points"),CLASSNAMEHEADERS,0))),"")))))))))}</f>
        <v>MEDIUML07</v>
      </c>
      <c r="O1623" s="223"/>
      <c r="P1623" s="223" t="str">
        <f t="array" ref="P1623:P1624">{"MEDIUML09";((IF("09"=(INDEX(ALLCLASSDATA,MATCH("MediumLegendary",CLASSFEATUREHEADERS,0),MATCH($A1624,CLASSNAMEHEADERS,0))),(INDEX(ALLCLASSDATA,MATCH("MediumLegendary",CLASSFEATUREHEADERS,0),MATCH(($A1624 &amp; "Points"),CLASSNAMEHEADERS,0))),(IF("09"=(INDEX(ALLCLASSDATA,MATCH("MediumMaster",CLASSFEATUREHEADERS,0),MATCH($A1624,CLASSNAMEHEADERS,0))),(INDEX(ALLCLASSDATA,MATCH("MediumMaster",CLASSFEATUREHEADERS,0),MATCH(($A1624 &amp; "Points"),CLASSNAMEHEADERS,0))),(IF("09"=(INDEX(ALLCLASSDATA,MATCH("MediumExpert",CLASSFEATUREHEADERS,0),MATCH($A1624,CLASSNAMEHEADERS,0))),(INDEX(ALLCLASSDATA,MATCH("MediumExpert",CLASSFEATUREHEADERS,0),MATCH(($A1624 &amp; "Points"),CLASSNAMEHEADERS,0))),(IF("09"=(INDEX(ALLCLASSDATA,MATCH("MediumTrained",CLASSFEATUREHEADERS,0),MATCH($A1624,CLASSNAMEHEADERS,0))),(INDEX(ALLCLASSDATA,MATCH("MediumTrained",CLASSFEATUREHEADERS,0),MATCH(($A1624 &amp; "Points"),CLASSNAMEHEADERS,0))),"")))))))))}</f>
        <v>MEDIUML09</v>
      </c>
      <c r="Q1623" s="223"/>
      <c r="R1623" s="223" t="str">
        <f t="array" ref="R1623:R1624">{"MEDIUML11";((IF("11"=(INDEX(ALLCLASSDATA,MATCH("MediumLegendary",CLASSFEATUREHEADERS,0),MATCH($A1624,CLASSNAMEHEADERS,0))),(INDEX(ALLCLASSDATA,MATCH("MediumLegendary",CLASSFEATUREHEADERS,0),MATCH(($A1624 &amp; "Points"),CLASSNAMEHEADERS,0))),(IF("11"=(INDEX(ALLCLASSDATA,MATCH("MediumMaster",CLASSFEATUREHEADERS,0),MATCH($A1624,CLASSNAMEHEADERS,0))),(INDEX(ALLCLASSDATA,MATCH("MediumMaster",CLASSFEATUREHEADERS,0),MATCH(($A1624 &amp; "Points"),CLASSNAMEHEADERS,0))),(IF("11"=(INDEX(ALLCLASSDATA,MATCH("MediumExpert",CLASSFEATUREHEADERS,0),MATCH($A1624,CLASSNAMEHEADERS,0))),(INDEX(ALLCLASSDATA,MATCH("MediumExpert",CLASSFEATUREHEADERS,0),MATCH(($A1624 &amp; "Points"),CLASSNAMEHEADERS,0))),(IF("11"=(INDEX(ALLCLASSDATA,MATCH("MediumTrained",CLASSFEATUREHEADERS,0),MATCH($A1624,CLASSNAMEHEADERS,0))),(INDEX(ALLCLASSDATA,MATCH("MediumTrained",CLASSFEATUREHEADERS,0),MATCH(($A1624 &amp; "Points"),CLASSNAMEHEADERS,0))),"")))))))))}</f>
        <v>MEDIUML11</v>
      </c>
      <c r="S1623" s="223"/>
      <c r="T1623" s="223" t="str">
        <f t="array" ref="T1623:T1624">{"MEDIUML13";((IF("13"=(INDEX(ALLCLASSDATA,MATCH("MediumLegendary",CLASSFEATUREHEADERS,0),MATCH($A1624,CLASSNAMEHEADERS,0))),(INDEX(ALLCLASSDATA,MATCH("MediumLegendary",CLASSFEATUREHEADERS,0),MATCH(($A1624 &amp; "Points"),CLASSNAMEHEADERS,0))),(IF("13"=(INDEX(ALLCLASSDATA,MATCH("MediumMaster",CLASSFEATUREHEADERS,0),MATCH($A1624,CLASSNAMEHEADERS,0))),(INDEX(ALLCLASSDATA,MATCH("MediumMaster",CLASSFEATUREHEADERS,0),MATCH(($A1624 &amp; "Points"),CLASSNAMEHEADERS,0))),(IF("13"=(INDEX(ALLCLASSDATA,MATCH("MediumExpert",CLASSFEATUREHEADERS,0),MATCH($A1624,CLASSNAMEHEADERS,0))),(INDEX(ALLCLASSDATA,MATCH("MediumExpert",CLASSFEATUREHEADERS,0),MATCH(($A1624 &amp; "Points"),CLASSNAMEHEADERS,0))),(IF("13"=(INDEX(ALLCLASSDATA,MATCH("MediumTrained",CLASSFEATUREHEADERS,0),MATCH($A1624,CLASSNAMEHEADERS,0))),(INDEX(ALLCLASSDATA,MATCH("MediumTrained",CLASSFEATUREHEADERS,0),MATCH(($A1624 &amp; "Points"),CLASSNAMEHEADERS,0))),"")))))))))}</f>
        <v>MEDIUML13</v>
      </c>
      <c r="U1623" s="223"/>
      <c r="V1623" s="223" t="str">
        <f t="array" ref="V1623:V1624">{"MEDIUML15";((IF("15"=(INDEX(ALLCLASSDATA,MATCH("MediumLegendary",CLASSFEATUREHEADERS,0),MATCH($A1624,CLASSNAMEHEADERS,0))),(INDEX(ALLCLASSDATA,MATCH("MediumLegendary",CLASSFEATUREHEADERS,0),MATCH(($A1624 &amp; "Points"),CLASSNAMEHEADERS,0))),(IF("15"=(INDEX(ALLCLASSDATA,MATCH("MediumMaster",CLASSFEATUREHEADERS,0),MATCH($A1624,CLASSNAMEHEADERS,0))),(INDEX(ALLCLASSDATA,MATCH("MediumMaster",CLASSFEATUREHEADERS,0),MATCH(($A1624 &amp; "Points"),CLASSNAMEHEADERS,0))),(IF("15"=(INDEX(ALLCLASSDATA,MATCH("MediumExpert",CLASSFEATUREHEADERS,0),MATCH($A1624,CLASSNAMEHEADERS,0))),(INDEX(ALLCLASSDATA,MATCH("MediumExpert",CLASSFEATUREHEADERS,0),MATCH(($A1624 &amp; "Points"),CLASSNAMEHEADERS,0))),(IF("15"=(INDEX(ALLCLASSDATA,MATCH("MediumTrained",CLASSFEATUREHEADERS,0),MATCH($A1624,CLASSNAMEHEADERS,0))),(INDEX(ALLCLASSDATA,MATCH("MediumTrained",CLASSFEATUREHEADERS,0),MATCH(($A1624 &amp; "Points"),CLASSNAMEHEADERS,0))),"")))))))))}</f>
        <v>MEDIUML15</v>
      </c>
      <c r="W1623" s="223"/>
      <c r="X1623" s="223" t="str">
        <f t="array" ref="X1623:X1624">{"MEDIUML17";((IF("17"=(INDEX(ALLCLASSDATA,MATCH("MediumLegendary",CLASSFEATUREHEADERS,0),MATCH($A1624,CLASSNAMEHEADERS,0))),(INDEX(ALLCLASSDATA,MATCH("MediumLegendary",CLASSFEATUREHEADERS,0),MATCH(($A1624 &amp; "Points"),CLASSNAMEHEADERS,0))),(IF("17"=(INDEX(ALLCLASSDATA,MATCH("MediumMaster",CLASSFEATUREHEADERS,0),MATCH($A1624,CLASSNAMEHEADERS,0))),(INDEX(ALLCLASSDATA,MATCH("MediumMaster",CLASSFEATUREHEADERS,0),MATCH(($A1624 &amp; "Points"),CLASSNAMEHEADERS,0))),(IF("17"=(INDEX(ALLCLASSDATA,MATCH("MediumExpert",CLASSFEATUREHEADERS,0),MATCH($A1624,CLASSNAMEHEADERS,0))),(INDEX(ALLCLASSDATA,MATCH("MediumExpert",CLASSFEATUREHEADERS,0),MATCH(($A1624 &amp; "Points"),CLASSNAMEHEADERS,0))),(IF("17"=(INDEX(ALLCLASSDATA,MATCH("MediumTrained",CLASSFEATUREHEADERS,0),MATCH($A1624,CLASSNAMEHEADERS,0))),(INDEX(ALLCLASSDATA,MATCH("MediumTrained",CLASSFEATUREHEADERS,0),MATCH(($A1624 &amp; "Points"),CLASSNAMEHEADERS,0))),"")))))))))}</f>
        <v>MEDIUML17</v>
      </c>
      <c r="Y1623" s="223"/>
      <c r="Z1623" s="223" t="str">
        <f t="array" ref="Z1623:Z1624">{"MEDIUML19";((IF("19"=(INDEX(ALLCLASSDATA,MATCH("MediumLegendary",CLASSFEATUREHEADERS,0),MATCH($A1624,CLASSNAMEHEADERS,0))),(INDEX(ALLCLASSDATA,MATCH("MediumLegendary",CLASSFEATUREHEADERS,0),MATCH(($A1624 &amp; "Points"),CLASSNAMEHEADERS,0))),(IF("19"=(INDEX(ALLCLASSDATA,MATCH("MediumMaster",CLASSFEATUREHEADERS,0),MATCH($A1624,CLASSNAMEHEADERS,0))),(INDEX(ALLCLASSDATA,MATCH("MediumMaster",CLASSFEATUREHEADERS,0),MATCH(($A1624 &amp; "Points"),CLASSNAMEHEADERS,0))),(IF("19"=(INDEX(ALLCLASSDATA,MATCH("MediumExpert",CLASSFEATUREHEADERS,0),MATCH($A1624,CLASSNAMEHEADERS,0))),(INDEX(ALLCLASSDATA,MATCH("MediumExpert",CLASSFEATUREHEADERS,0),MATCH(($A1624 &amp; "Points"),CLASSNAMEHEADERS,0))),(IF("19"=(INDEX(ALLCLASSDATA,MATCH("MediumTrained",CLASSFEATUREHEADERS,0),MATCH($A1624,CLASSNAMEHEADERS,0))),(INDEX(ALLCLASSDATA,MATCH("MediumTrained",CLASSFEATUREHEADERS,0),MATCH(($A1624 &amp; "Points"),CLASSNAMEHEADERS,0))),"")))))))))}</f>
        <v>MEDIUML19</v>
      </c>
      <c r="AA1623" s="223"/>
      <c r="AB1623" s="76" t="str">
        <f t="array" ref="AB1623:AB1624">{"MEDIUM TOTAL";(IF(COUNTBLANK(G1624:AA1624)=17,"L",(IF(COUNTBLANK(G1624:AA1624)=18,"M",(IF(COUNTBLANK(G1624:AA1624)=19,"E",(IF(COUNTBLANK(G1624:AA1624)=20,"T",""))))))))}</f>
        <v>MEDIUM TOTAL</v>
      </c>
      <c r="AC1623" s="76" t="str">
        <f t="array" ref="AC1623:AC1624">{"MEDIUM TOTAL";(sum(G1624:AA1624))}</f>
        <v>MEDIUM TOTAL</v>
      </c>
    </row>
    <row r="1624">
      <c r="A1624" s="48" t="s">
        <v>223</v>
      </c>
      <c r="B1624" s="48"/>
      <c r="C1624" s="48" t="s">
        <v>418</v>
      </c>
      <c r="D1624" s="48" t="s">
        <v>1900</v>
      </c>
      <c r="E1624" s="48" t="s">
        <v>76</v>
      </c>
      <c r="F1624" s="5" t="s">
        <v>603</v>
      </c>
      <c r="G1624" s="47" t="s">
        <v>603</v>
      </c>
      <c r="H1624" s="5" t="s">
        <v>603</v>
      </c>
      <c r="I1624" s="5"/>
      <c r="J1624" s="5" t="s">
        <v>603</v>
      </c>
      <c r="K1624" s="5"/>
      <c r="L1624" s="5" t="s">
        <v>603</v>
      </c>
      <c r="M1624" s="5"/>
      <c r="N1624" s="5" t="s">
        <v>603</v>
      </c>
      <c r="O1624" s="5"/>
      <c r="P1624" s="5" t="s">
        <v>603</v>
      </c>
      <c r="Q1624" s="5"/>
      <c r="R1624" s="5" t="s">
        <v>603</v>
      </c>
      <c r="S1624" s="5"/>
      <c r="T1624" s="5" t="s">
        <v>603</v>
      </c>
      <c r="U1624" s="5"/>
      <c r="V1624" s="5" t="s">
        <v>603</v>
      </c>
      <c r="W1624" s="5"/>
      <c r="X1624" s="5" t="s">
        <v>603</v>
      </c>
      <c r="Y1624" s="5"/>
      <c r="Z1624" s="5" t="s">
        <v>603</v>
      </c>
      <c r="AA1624" s="5"/>
      <c r="AB1624" s="5" t="s">
        <v>603</v>
      </c>
      <c r="AC1624" s="47">
        <v>0.0</v>
      </c>
    </row>
    <row r="1625" hidden="1">
      <c r="A1625" s="222" t="str">
        <f t="array" ref="A1625:A1626">{"FormulaRow38";(INDEX(CLASSLIST,A1550,1))}</f>
        <v>FormulaRow38</v>
      </c>
      <c r="B1625" s="77" t="s">
        <v>236</v>
      </c>
      <c r="C1625" s="222" t="str">
        <f t="array" ref="C1625:C1626">{"CLASSTYPE";((INDEX(ALLCLASSDATA,MATCH("ClassType",CLASSFEATUREHEADERS,0),MATCH($A1626,CLASSNAMEHEADERS,0))))}</f>
        <v>CLASSTYPE</v>
      </c>
      <c r="D1625" s="222" t="str">
        <f t="array" ref="D1625:D1626">{"DEFENSE";"Defense"}</f>
        <v>DEFENSE</v>
      </c>
      <c r="E1625" s="222" t="str">
        <f t="array" ref="E1625:E1626">{"HEAVY";"Heavy"}</f>
        <v>HEAVY</v>
      </c>
      <c r="F1625" s="223" t="str">
        <f t="array" ref="F1625:F1626">{"HEAVYINITIAL";((IF(H1626=10,"T",(IF(H1626=50,"E","")))))}</f>
        <v>HEAVYINITIAL</v>
      </c>
      <c r="G1625" s="223" t="str">
        <f t="array" ref="G1625:G1626">{"HEAVYINITIALPTS";((IF("00"=(INDEX(ALLCLASSDATA,MATCH("HeavyLegendary",CLASSFEATUREHEADERS,0),MATCH($A1626,CLASSNAMEHEADERS,0))),(INDEX(ALLCLASSDATA,MATCH("HeavyLegendary",CLASSFEATUREHEADERS,0),MATCH(($A1626 &amp; "Points"),CLASSNAMEHEADERS,0))),(IF("00"=(INDEX(ALLCLASSDATA,MATCH("HeavyMaster",CLASSFEATUREHEADERS,0),MATCH($A1626,CLASSNAMEHEADERS,0))),(INDEX(ALLCLASSDATA,MATCH("HeavyMaster",CLASSFEATUREHEADERS,0),MATCH(($A1626 &amp; "Points"),CLASSNAMEHEADERS,0))),(IF("00"=(INDEX(ALLCLASSDATA,MATCH("HeavyExpert",CLASSFEATUREHEADERS,0),MATCH($A1626,CLASSNAMEHEADERS,0))),(INDEX(ALLCLASSDATA,MATCH("HeavyExpert",CLASSFEATUREHEADERS,0),MATCH(($A1626 &amp; "Points"),CLASSNAMEHEADERS,0))),(IF("00"=(INDEX(ALLCLASSDATA,MATCH("HeavyTrained",CLASSFEATUREHEADERS,0),MATCH($A1626,CLASSNAMEHEADERS,0))),(INDEX(ALLCLASSDATA,MATCH("HeavyTrained",CLASSFEATUREHEADERS,0),MATCH(($A1626 &amp; "Points"),CLASSNAMEHEADERS,0))),"")))))))))}</f>
        <v>HEAVYINITIALPTS</v>
      </c>
      <c r="H1625" s="223" t="str">
        <f t="array" ref="H1625:H1626">{"HEAVYL01";((IF("01"=(INDEX(ALLCLASSDATA,MATCH("HeavyLegendary",CLASSFEATUREHEADERS,0),MATCH($A1626,CLASSNAMEHEADERS,0))),(INDEX(ALLCLASSDATA,MATCH("HeavyLegendary",CLASSFEATUREHEADERS,0),MATCH(($A1626 &amp; "Points"),CLASSNAMEHEADERS,0))),(IF("01"=(INDEX(ALLCLASSDATA,MATCH("HeavyMaster",CLASSFEATUREHEADERS,0),MATCH($A1626,CLASSNAMEHEADERS,0))),(INDEX(ALLCLASSDATA,MATCH("HeavyMaster",CLASSFEATUREHEADERS,0),MATCH(($A1626 &amp; "Points"),CLASSNAMEHEADERS,0))),(IF("01"=(INDEX(ALLCLASSDATA,MATCH("HeavyExpert",CLASSFEATUREHEADERS,0),MATCH($A1626,CLASSNAMEHEADERS,0))),(INDEX(ALLCLASSDATA,MATCH("HeavyExpert",CLASSFEATUREHEADERS,0),MATCH(($A1626 &amp; "Points"),CLASSNAMEHEADERS,0))),(IF("01"=(INDEX(ALLCLASSDATA,MATCH("HeavyTrained",CLASSFEATUREHEADERS,0),MATCH($A1626,CLASSNAMEHEADERS,0))),(INDEX(ALLCLASSDATA,MATCH("HeavyTrained",CLASSFEATUREHEADERS,0),MATCH(($A1626 &amp; "Points"),CLASSNAMEHEADERS,0))),"")))))))))}</f>
        <v>HEAVYL01</v>
      </c>
      <c r="I1625" s="223"/>
      <c r="J1625" s="223" t="str">
        <f t="array" ref="J1625:J1626">{"HEAVYL03";((IF("03"=(INDEX(ALLCLASSDATA,MATCH("HeavyLegendary",CLASSFEATUREHEADERS,0),MATCH($A1626,CLASSNAMEHEADERS,0))),(INDEX(ALLCLASSDATA,MATCH("HeavyLegendary",CLASSFEATUREHEADERS,0),MATCH(($A1626 &amp; "Points"),CLASSNAMEHEADERS,0))),(IF("03"=(INDEX(ALLCLASSDATA,MATCH("HeavyMaster",CLASSFEATUREHEADERS,0),MATCH($A1626,CLASSNAMEHEADERS,0))),(INDEX(ALLCLASSDATA,MATCH("HeavyMaster",CLASSFEATUREHEADERS,0),MATCH(($A1626 &amp; "Points"),CLASSNAMEHEADERS,0))),(IF("03"=(INDEX(ALLCLASSDATA,MATCH("HeavyExpert",CLASSFEATUREHEADERS,0),MATCH($A1626,CLASSNAMEHEADERS,0))),(INDEX(ALLCLASSDATA,MATCH("HeavyExpert",CLASSFEATUREHEADERS,0),MATCH(($A1626 &amp; "Points"),CLASSNAMEHEADERS,0))),(IF("03"=(INDEX(ALLCLASSDATA,MATCH("HeavyTrained",CLASSFEATUREHEADERS,0),MATCH($A1626,CLASSNAMEHEADERS,0))),(INDEX(ALLCLASSDATA,MATCH("HeavyTrained",CLASSFEATUREHEADERS,0),MATCH(($A1626 &amp; "Points"),CLASSNAMEHEADERS,0))),"")))))))))}</f>
        <v>HEAVYL03</v>
      </c>
      <c r="K1625" s="223"/>
      <c r="L1625" s="223" t="str">
        <f t="array" ref="L1625:L1626">{"HEAVYL05";((IF("05"=(INDEX(ALLCLASSDATA,MATCH("HeavyLegendary",CLASSFEATUREHEADERS,0),MATCH($A1626,CLASSNAMEHEADERS,0))),(INDEX(ALLCLASSDATA,MATCH("HeavyLegendary",CLASSFEATUREHEADERS,0),MATCH(($A1626 &amp; "Points"),CLASSNAMEHEADERS,0))),(IF("05"=(INDEX(ALLCLASSDATA,MATCH("HeavyMaster",CLASSFEATUREHEADERS,0),MATCH($A1626,CLASSNAMEHEADERS,0))),(INDEX(ALLCLASSDATA,MATCH("HeavyMaster",CLASSFEATUREHEADERS,0),MATCH(($A1626 &amp; "Points"),CLASSNAMEHEADERS,0))),(IF("05"=(INDEX(ALLCLASSDATA,MATCH("HeavyExpert",CLASSFEATUREHEADERS,0),MATCH($A1626,CLASSNAMEHEADERS,0))),(INDEX(ALLCLASSDATA,MATCH("HeavyExpert",CLASSFEATUREHEADERS,0),MATCH(($A1626 &amp; "Points"),CLASSNAMEHEADERS,0))),(IF("05"=(INDEX(ALLCLASSDATA,MATCH("HeavyTrained",CLASSFEATUREHEADERS,0),MATCH($A1626,CLASSNAMEHEADERS,0))),(INDEX(ALLCLASSDATA,MATCH("HeavyTrained",CLASSFEATUREHEADERS,0),MATCH(($A1626 &amp; "Points"),CLASSNAMEHEADERS,0))),"")))))))))}</f>
        <v>HEAVYL05</v>
      </c>
      <c r="M1625" s="223"/>
      <c r="N1625" s="223" t="str">
        <f t="array" ref="N1625:N1626">{"HEAVYL07";((IF("07"=(INDEX(ALLCLASSDATA,MATCH("HeavyLegendary",CLASSFEATUREHEADERS,0),MATCH($A1626,CLASSNAMEHEADERS,0))),(INDEX(ALLCLASSDATA,MATCH("HeavyLegendary",CLASSFEATUREHEADERS,0),MATCH(($A1626 &amp; "Points"),CLASSNAMEHEADERS,0))),(IF("07"=(INDEX(ALLCLASSDATA,MATCH("HeavyMaster",CLASSFEATUREHEADERS,0),MATCH($A1626,CLASSNAMEHEADERS,0))),(INDEX(ALLCLASSDATA,MATCH("HeavyMaster",CLASSFEATUREHEADERS,0),MATCH(($A1626 &amp; "Points"),CLASSNAMEHEADERS,0))),(IF("07"=(INDEX(ALLCLASSDATA,MATCH("HeavyExpert",CLASSFEATUREHEADERS,0),MATCH($A1626,CLASSNAMEHEADERS,0))),(INDEX(ALLCLASSDATA,MATCH("HeavyExpert",CLASSFEATUREHEADERS,0),MATCH(($A1626 &amp; "Points"),CLASSNAMEHEADERS,0))),(IF("07"=(INDEX(ALLCLASSDATA,MATCH("HeavyTrained",CLASSFEATUREHEADERS,0),MATCH($A1626,CLASSNAMEHEADERS,0))),(INDEX(ALLCLASSDATA,MATCH("HeavyTrained",CLASSFEATUREHEADERS,0),MATCH(($A1626 &amp; "Points"),CLASSNAMEHEADERS,0))),"")))))))))}</f>
        <v>HEAVYL07</v>
      </c>
      <c r="O1625" s="223"/>
      <c r="P1625" s="223" t="str">
        <f t="array" ref="P1625:P1626">{"HEAVYL09";((IF("09"=(INDEX(ALLCLASSDATA,MATCH("HeavyLegendary",CLASSFEATUREHEADERS,0),MATCH($A1626,CLASSNAMEHEADERS,0))),(INDEX(ALLCLASSDATA,MATCH("HeavyLegendary",CLASSFEATUREHEADERS,0),MATCH(($A1626 &amp; "Points"),CLASSNAMEHEADERS,0))),(IF("09"=(INDEX(ALLCLASSDATA,MATCH("HeavyMaster",CLASSFEATUREHEADERS,0),MATCH($A1626,CLASSNAMEHEADERS,0))),(INDEX(ALLCLASSDATA,MATCH("HeavyMaster",CLASSFEATUREHEADERS,0),MATCH(($A1626 &amp; "Points"),CLASSNAMEHEADERS,0))),(IF("09"=(INDEX(ALLCLASSDATA,MATCH("HeavyExpert",CLASSFEATUREHEADERS,0),MATCH($A1626,CLASSNAMEHEADERS,0))),(INDEX(ALLCLASSDATA,MATCH("HeavyExpert",CLASSFEATUREHEADERS,0),MATCH(($A1626 &amp; "Points"),CLASSNAMEHEADERS,0))),(IF("09"=(INDEX(ALLCLASSDATA,MATCH("HeavyTrained",CLASSFEATUREHEADERS,0),MATCH($A1626,CLASSNAMEHEADERS,0))),(INDEX(ALLCLASSDATA,MATCH("HeavyTrained",CLASSFEATUREHEADERS,0),MATCH(($A1626 &amp; "Points"),CLASSNAMEHEADERS,0))),"")))))))))}</f>
        <v>HEAVYL09</v>
      </c>
      <c r="Q1625" s="223"/>
      <c r="R1625" s="223" t="str">
        <f t="array" ref="R1625:R1626">{"HEAVYL11";((IF("11"=(INDEX(ALLCLASSDATA,MATCH("HeavyLegendary",CLASSFEATUREHEADERS,0),MATCH($A1626,CLASSNAMEHEADERS,0))),(INDEX(ALLCLASSDATA,MATCH("HeavyLegendary",CLASSFEATUREHEADERS,0),MATCH(($A1626 &amp; "Points"),CLASSNAMEHEADERS,0))),(IF("11"=(INDEX(ALLCLASSDATA,MATCH("HeavyMaster",CLASSFEATUREHEADERS,0),MATCH($A1626,CLASSNAMEHEADERS,0))),(INDEX(ALLCLASSDATA,MATCH("HeavyMaster",CLASSFEATUREHEADERS,0),MATCH(($A1626 &amp; "Points"),CLASSNAMEHEADERS,0))),(IF("11"=(INDEX(ALLCLASSDATA,MATCH("HeavyExpert",CLASSFEATUREHEADERS,0),MATCH($A1626,CLASSNAMEHEADERS,0))),(INDEX(ALLCLASSDATA,MATCH("HeavyExpert",CLASSFEATUREHEADERS,0),MATCH(($A1626 &amp; "Points"),CLASSNAMEHEADERS,0))),(IF("11"=(INDEX(ALLCLASSDATA,MATCH("HeavyTrained",CLASSFEATUREHEADERS,0),MATCH($A1626,CLASSNAMEHEADERS,0))),(INDEX(ALLCLASSDATA,MATCH("HeavyTrained",CLASSFEATUREHEADERS,0),MATCH(($A1626 &amp; "Points"),CLASSNAMEHEADERS,0))),"")))))))))}</f>
        <v>HEAVYL11</v>
      </c>
      <c r="S1625" s="223"/>
      <c r="T1625" s="223" t="str">
        <f t="array" ref="T1625:T1626">{"HEAVYL13";((IF("13"=(INDEX(ALLCLASSDATA,MATCH("HeavyLegendary",CLASSFEATUREHEADERS,0),MATCH($A1626,CLASSNAMEHEADERS,0))),(INDEX(ALLCLASSDATA,MATCH("HeavyLegendary",CLASSFEATUREHEADERS,0),MATCH(($A1626 &amp; "Points"),CLASSNAMEHEADERS,0))),(IF("13"=(INDEX(ALLCLASSDATA,MATCH("HeavyMaster",CLASSFEATUREHEADERS,0),MATCH($A1626,CLASSNAMEHEADERS,0))),(INDEX(ALLCLASSDATA,MATCH("HeavyMaster",CLASSFEATUREHEADERS,0),MATCH(($A1626 &amp; "Points"),CLASSNAMEHEADERS,0))),(IF("13"=(INDEX(ALLCLASSDATA,MATCH("HeavyExpert",CLASSFEATUREHEADERS,0),MATCH($A1626,CLASSNAMEHEADERS,0))),(INDEX(ALLCLASSDATA,MATCH("HeavyExpert",CLASSFEATUREHEADERS,0),MATCH(($A1626 &amp; "Points"),CLASSNAMEHEADERS,0))),(IF("13"=(INDEX(ALLCLASSDATA,MATCH("HeavyTrained",CLASSFEATUREHEADERS,0),MATCH($A1626,CLASSNAMEHEADERS,0))),(INDEX(ALLCLASSDATA,MATCH("HeavyTrained",CLASSFEATUREHEADERS,0),MATCH(($A1626 &amp; "Points"),CLASSNAMEHEADERS,0))),"")))))))))}</f>
        <v>HEAVYL13</v>
      </c>
      <c r="U1625" s="223"/>
      <c r="V1625" s="223" t="str">
        <f t="array" ref="V1625:V1626">{"HEAVYL15";((IF("15"=(INDEX(ALLCLASSDATA,MATCH("HeavyLegendary",CLASSFEATUREHEADERS,0),MATCH($A1626,CLASSNAMEHEADERS,0))),(INDEX(ALLCLASSDATA,MATCH("HeavyLegendary",CLASSFEATUREHEADERS,0),MATCH(($A1626 &amp; "Points"),CLASSNAMEHEADERS,0))),(IF("15"=(INDEX(ALLCLASSDATA,MATCH("HeavyMaster",CLASSFEATUREHEADERS,0),MATCH($A1626,CLASSNAMEHEADERS,0))),(INDEX(ALLCLASSDATA,MATCH("HeavyMaster",CLASSFEATUREHEADERS,0),MATCH(($A1626 &amp; "Points"),CLASSNAMEHEADERS,0))),(IF("15"=(INDEX(ALLCLASSDATA,MATCH("HeavyExpert",CLASSFEATUREHEADERS,0),MATCH($A1626,CLASSNAMEHEADERS,0))),(INDEX(ALLCLASSDATA,MATCH("HeavyExpert",CLASSFEATUREHEADERS,0),MATCH(($A1626 &amp; "Points"),CLASSNAMEHEADERS,0))),(IF("15"=(INDEX(ALLCLASSDATA,MATCH("HeavyTrained",CLASSFEATUREHEADERS,0),MATCH($A1626,CLASSNAMEHEADERS,0))),(INDEX(ALLCLASSDATA,MATCH("HeavyTrained",CLASSFEATUREHEADERS,0),MATCH(($A1626 &amp; "Points"),CLASSNAMEHEADERS,0))),"")))))))))}</f>
        <v>HEAVYL15</v>
      </c>
      <c r="W1625" s="223"/>
      <c r="X1625" s="223" t="str">
        <f t="array" ref="X1625:X1626">{"HEAVYL17";((IF("17"=(INDEX(ALLCLASSDATA,MATCH("HeavyLegendary",CLASSFEATUREHEADERS,0),MATCH($A1626,CLASSNAMEHEADERS,0))),(INDEX(ALLCLASSDATA,MATCH("HeavyLegendary",CLASSFEATUREHEADERS,0),MATCH(($A1626 &amp; "Points"),CLASSNAMEHEADERS,0))),(IF("17"=(INDEX(ALLCLASSDATA,MATCH("HeavyMaster",CLASSFEATUREHEADERS,0),MATCH($A1626,CLASSNAMEHEADERS,0))),(INDEX(ALLCLASSDATA,MATCH("HeavyMaster",CLASSFEATUREHEADERS,0),MATCH(($A1626 &amp; "Points"),CLASSNAMEHEADERS,0))),(IF("17"=(INDEX(ALLCLASSDATA,MATCH("HeavyExpert",CLASSFEATUREHEADERS,0),MATCH($A1626,CLASSNAMEHEADERS,0))),(INDEX(ALLCLASSDATA,MATCH("HeavyExpert",CLASSFEATUREHEADERS,0),MATCH(($A1626 &amp; "Points"),CLASSNAMEHEADERS,0))),(IF("17"=(INDEX(ALLCLASSDATA,MATCH("HeavyTrained",CLASSFEATUREHEADERS,0),MATCH($A1626,CLASSNAMEHEADERS,0))),(INDEX(ALLCLASSDATA,MATCH("HeavyTrained",CLASSFEATUREHEADERS,0),MATCH(($A1626 &amp; "Points"),CLASSNAMEHEADERS,0))),"")))))))))}</f>
        <v>HEAVYL17</v>
      </c>
      <c r="Y1625" s="223"/>
      <c r="Z1625" s="223" t="str">
        <f t="array" ref="Z1625:Z1626">{"HEAVYL19";((IF("19"=(INDEX(ALLCLASSDATA,MATCH("HeavyLegendary",CLASSFEATUREHEADERS,0),MATCH($A1626,CLASSNAMEHEADERS,0))),(INDEX(ALLCLASSDATA,MATCH("HeavyLegendary",CLASSFEATUREHEADERS,0),MATCH(($A1626 &amp; "Points"),CLASSNAMEHEADERS,0))),(IF("19"=(INDEX(ALLCLASSDATA,MATCH("HeavyMaster",CLASSFEATUREHEADERS,0),MATCH($A1626,CLASSNAMEHEADERS,0))),(INDEX(ALLCLASSDATA,MATCH("HeavyMaster",CLASSFEATUREHEADERS,0),MATCH(($A1626 &amp; "Points"),CLASSNAMEHEADERS,0))),(IF("19"=(INDEX(ALLCLASSDATA,MATCH("HeavyExpert",CLASSFEATUREHEADERS,0),MATCH($A1626,CLASSNAMEHEADERS,0))),(INDEX(ALLCLASSDATA,MATCH("HeavyExpert",CLASSFEATUREHEADERS,0),MATCH(($A1626 &amp; "Points"),CLASSNAMEHEADERS,0))),(IF("19"=(INDEX(ALLCLASSDATA,MATCH("HeavyTrained",CLASSFEATUREHEADERS,0),MATCH($A1626,CLASSNAMEHEADERS,0))),(INDEX(ALLCLASSDATA,MATCH("HeavyTrained",CLASSFEATUREHEADERS,0),MATCH(($A1626 &amp; "Points"),CLASSNAMEHEADERS,0))),"")))))))))}</f>
        <v>HEAVYL19</v>
      </c>
      <c r="AA1625" s="223"/>
      <c r="AB1625" s="76" t="str">
        <f t="array" ref="AB1625:AB1626">{"HEAVY TOTAL";(IF(COUNTBLANK(G1626:AA1626)=17,"L",(IF(COUNTBLANK(G1626:AA1626)=18,"M",(IF(COUNTBLANK(G1626:AA1626)=19,"E",(IF(COUNTBLANK(G1626:AA1626)=20,"T",""))))))))}</f>
        <v>HEAVY TOTAL</v>
      </c>
      <c r="AC1625" s="76" t="str">
        <f t="array" ref="AC1625:AC1626">{"HEAVY TOTAL";(sum(G1626:AA1626))}</f>
        <v>HEAVY TOTAL</v>
      </c>
    </row>
    <row r="1626">
      <c r="A1626" s="48" t="s">
        <v>223</v>
      </c>
      <c r="B1626" s="48"/>
      <c r="C1626" s="48" t="s">
        <v>418</v>
      </c>
      <c r="D1626" s="97" t="s">
        <v>1900</v>
      </c>
      <c r="E1626" s="97" t="s">
        <v>533</v>
      </c>
      <c r="F1626" s="98" t="s">
        <v>603</v>
      </c>
      <c r="G1626" s="132" t="s">
        <v>603</v>
      </c>
      <c r="H1626" s="98" t="s">
        <v>603</v>
      </c>
      <c r="I1626" s="98"/>
      <c r="J1626" s="98" t="s">
        <v>603</v>
      </c>
      <c r="K1626" s="98"/>
      <c r="L1626" s="98" t="s">
        <v>603</v>
      </c>
      <c r="M1626" s="98"/>
      <c r="N1626" s="98" t="s">
        <v>603</v>
      </c>
      <c r="O1626" s="98"/>
      <c r="P1626" s="98" t="s">
        <v>603</v>
      </c>
      <c r="Q1626" s="98"/>
      <c r="R1626" s="98" t="s">
        <v>603</v>
      </c>
      <c r="S1626" s="98"/>
      <c r="T1626" s="98" t="s">
        <v>603</v>
      </c>
      <c r="U1626" s="98"/>
      <c r="V1626" s="98" t="s">
        <v>603</v>
      </c>
      <c r="W1626" s="98"/>
      <c r="X1626" s="98" t="s">
        <v>603</v>
      </c>
      <c r="Y1626" s="98"/>
      <c r="Z1626" s="98" t="s">
        <v>603</v>
      </c>
      <c r="AA1626" s="98"/>
      <c r="AB1626" s="5" t="s">
        <v>603</v>
      </c>
      <c r="AC1626" s="47">
        <v>0.0</v>
      </c>
    </row>
    <row r="1627" hidden="1">
      <c r="A1627" s="222" t="str">
        <f t="array" ref="A1627:A1628">{"FormulaRow39";(INDEX(CLASSLIST,A1550,1))}</f>
        <v>FormulaRow39</v>
      </c>
      <c r="B1627" s="77" t="s">
        <v>236</v>
      </c>
      <c r="C1627" s="222" t="str">
        <f t="array" ref="C1627:C1628">{"CLASSTYPE";((INDEX(ALLCLASSDATA,MATCH("ClassType",CLASSFEATUREHEADERS,0),MATCH($A1628,CLASSNAMEHEADERS,0))))}</f>
        <v>CLASSTYPE</v>
      </c>
      <c r="D1627" s="222" t="str">
        <f t="array" ref="D1627:D1628">{"SPELL/ALCHEMY";((IF(INDEX(ALLCLASSDATA,MATCH("CasterType",CLASSFEATUREHEADERS,0),MATCH(($A1628),CLASSNAMEHEADERS,0))="","",(IF(INDEX(ALLCLASSDATA,MATCH("CasterType",CLASSFEATUREHEADERS,0),MATCH(($A1628),CLASSNAMEHEADERS,0))="Alchemy","Alchemy","Spells")))))}</f>
        <v>SPELL/ALCHEMY</v>
      </c>
      <c r="E1627" s="222" t="str">
        <f t="array" ref="E1627:E1628">{"SPELLLIST";(IF(D1628="Spells",((INDEX(ALLCLASSDATA,MATCH("CasterType",CLASSFEATUREHEADERS,0),MATCH(($A1628),CLASSNAMEHEADERS,0))) &amp; ":" &amp; (INDEX(ALLCLASSDATA,MATCH("SpellList",CLASSFEATUREHEADERS,0),MATCH(($A1628),CLASSNAMEHEADERS,0)))),""))}</f>
        <v>SPELLLIST</v>
      </c>
      <c r="F1627" s="223" t="str">
        <f t="array" ref="F1627:F1628">{"SPL";(IF(D1628="Spells","SPL:",""))}</f>
        <v>SPL</v>
      </c>
      <c r="G1627" s="223" t="str">
        <f t="array" ref="G1627:G1628">{"CANTRIP/ALC";(IF(D1628="Spells","C",(IF(D1628="Alchemy","ALC:",""))))}</f>
        <v>CANTRIP/ALC</v>
      </c>
      <c r="H1627" s="223" t="str">
        <f t="array" ref="H1627:H1628">{"SPELL/ALC L01";(IF(D1628="Alchemy","L01",(IF(D1628="Spells","S01",""))))}</f>
        <v>SPELL/ALC L01</v>
      </c>
      <c r="I1627" s="223" t="str">
        <f t="array" ref="I1627:I1628">{"SPELL/ALC L02";(IF(D1628="Alchemy","L02",(IF(D1628="Spells","S01",""))))}</f>
        <v>SPELL/ALC L02</v>
      </c>
      <c r="J1627" s="223" t="str">
        <f t="array" ref="J1627:J1628">{"SPELL/ALC L03";(IF(D1628="Alchemy","L03",(IF(D1628="Spells","S02",""))))}</f>
        <v>SPELL/ALC L03</v>
      </c>
      <c r="K1627" s="223" t="str">
        <f t="array" ref="K1627:K1628">{"SPELL/ALC L04";(IF(D1628="Alchemy","L04",(IF(D1628="Spells","S02",""))))}</f>
        <v>SPELL/ALC L04</v>
      </c>
      <c r="L1627" s="223" t="str">
        <f t="array" ref="L1627:L1628">{"SPELL/ALC L05";(IF(D1628="Alchemy","L05",(IF(D1628="Spells","S03",""))))}</f>
        <v>SPELL/ALC L05</v>
      </c>
      <c r="M1627" s="223" t="str">
        <f t="array" ref="M1627:M1628">{"SPELL/ALC L06";(IF(D1628="Alchemy","L06",(IF(D1628="Spells","S03",""))))}</f>
        <v>SPELL/ALC L06</v>
      </c>
      <c r="N1627" s="223" t="str">
        <f t="array" ref="N1627:N1628">{"SPELL/ALC L07";(IF(D1628="Alchemy","L07",(IF(D1628="Spells","S04",""))))}</f>
        <v>SPELL/ALC L07</v>
      </c>
      <c r="O1627" s="223" t="str">
        <f t="array" ref="O1627:O1628">{"SPELL/ALC L08";(IF(D1628="Alchemy","L08",(IF(D1628="Spells","S04",""))))}</f>
        <v>SPELL/ALC L08</v>
      </c>
      <c r="P1627" s="223" t="str">
        <f t="array" ref="P1627:P1628">{"SPELL/ALC L09";(IF(D1628="Alchemy","L09",(IF(D1628="Spells","S05",""))))}</f>
        <v>SPELL/ALC L09</v>
      </c>
      <c r="Q1627" s="223" t="str">
        <f t="array" ref="Q1627:Q1628">{"SPELL/ALC L10";(IF(D1628="Alchemy","L10",(IF(D1628="Spells","S05",""))))}</f>
        <v>SPELL/ALC L10</v>
      </c>
      <c r="R1627" s="223" t="str">
        <f t="array" ref="R1627:R1628">{"SPELL/ALC L11";(IF(D1628="Alchemy","L11",(IF(D1628="Spells","S06",""))))}</f>
        <v>SPELL/ALC L11</v>
      </c>
      <c r="S1627" s="223" t="str">
        <f t="array" ref="S1627:S1628">{"SPELL/ALC L12";(IF(D1628="Alchemy","L12",(IF(D1628="Spells","S06",""))))}</f>
        <v>SPELL/ALC L12</v>
      </c>
      <c r="T1627" s="223" t="str">
        <f t="array" ref="T1627:T1628">{"SPELL/ALC L13";(IF(D1628="Alchemy","L13",(IF(D1628="Spells","S07",""))))}</f>
        <v>SPELL/ALC L13</v>
      </c>
      <c r="U1627" s="223" t="str">
        <f t="array" ref="U1627:U1628">{"SPELL/ALC L14";(IF(D1628="Alchemy","L14",(IF(D1628="Spells","S07",""))))}</f>
        <v>SPELL/ALC L14</v>
      </c>
      <c r="V1627" s="223" t="str">
        <f t="array" ref="V1627:V1628">{"SPELL/ALC L15";(IF(D1628="Alchemy","L15",(IF(D1628="Spells","S08",""))))}</f>
        <v>SPELL/ALC L15</v>
      </c>
      <c r="W1627" s="223" t="str">
        <f t="array" ref="W1627:W1628">{"SPELL/ALC L16";(IF(D1628="Alchemy","L16",(IF(D1628="Spells","S08",""))))}</f>
        <v>SPELL/ALC L16</v>
      </c>
      <c r="X1627" s="223" t="str">
        <f t="array" ref="X1627:X1628">{"SPELL/ALC L17";(IF(D1628="Alchemy","L17",(IF(D1628="Spells","S09",""))))}</f>
        <v>SPELL/ALC L17</v>
      </c>
      <c r="Y1627" s="223" t="str">
        <f t="array" ref="Y1627:Y1628">{"SPELL/ALC L18";(IF(D1628="Alchemy","L18",(IF(D1628="Spells","S09",""))))}</f>
        <v>SPELL/ALC L18</v>
      </c>
      <c r="Z1627" s="223" t="str">
        <f t="array" ref="Z1627:Z1628">{"SPELL/ALC L19";(IF(D1628="Alchemy","L19",(IF(D1628="Spells","S10",""))))}</f>
        <v>SPELL/ALC L19</v>
      </c>
      <c r="AA1627" s="223" t="str">
        <f t="array" ref="AA1627:AA1628">{"SPELL/ALC L20";(IF(D1628="Alchemy","L20",(IF(D1628="Spells","S10",""))))}</f>
        <v>SPELL/ALC L20</v>
      </c>
      <c r="AB1627" s="76"/>
      <c r="AC1627" s="76"/>
    </row>
    <row r="1628">
      <c r="A1628" s="48" t="s">
        <v>223</v>
      </c>
      <c r="B1628" s="48"/>
      <c r="C1628" s="48" t="s">
        <v>418</v>
      </c>
      <c r="D1628" s="48" t="s">
        <v>1901</v>
      </c>
      <c r="E1628" s="48" t="s">
        <v>1933</v>
      </c>
      <c r="F1628" s="278" t="s">
        <v>1903</v>
      </c>
      <c r="G1628" s="114" t="s">
        <v>653</v>
      </c>
      <c r="H1628" s="279" t="s">
        <v>1536</v>
      </c>
      <c r="I1628" s="28" t="s">
        <v>1536</v>
      </c>
      <c r="J1628" s="28" t="s">
        <v>1542</v>
      </c>
      <c r="K1628" s="28" t="s">
        <v>1542</v>
      </c>
      <c r="L1628" s="28" t="s">
        <v>1545</v>
      </c>
      <c r="M1628" s="28" t="s">
        <v>1545</v>
      </c>
      <c r="N1628" s="28" t="s">
        <v>1548</v>
      </c>
      <c r="O1628" s="28" t="s">
        <v>1548</v>
      </c>
      <c r="P1628" s="28" t="s">
        <v>1553</v>
      </c>
      <c r="Q1628" s="28" t="s">
        <v>1553</v>
      </c>
      <c r="R1628" s="28" t="s">
        <v>1556</v>
      </c>
      <c r="S1628" s="28" t="s">
        <v>1556</v>
      </c>
      <c r="T1628" s="28" t="s">
        <v>1559</v>
      </c>
      <c r="U1628" s="28" t="s">
        <v>1559</v>
      </c>
      <c r="V1628" s="28" t="s">
        <v>1562</v>
      </c>
      <c r="W1628" s="28" t="s">
        <v>1562</v>
      </c>
      <c r="X1628" s="28" t="s">
        <v>1565</v>
      </c>
      <c r="Y1628" s="28" t="s">
        <v>1565</v>
      </c>
      <c r="Z1628" s="28" t="s">
        <v>1568</v>
      </c>
      <c r="AA1628" s="28" t="s">
        <v>1568</v>
      </c>
      <c r="AB1628" s="5"/>
      <c r="AC1628" s="47"/>
    </row>
    <row r="1629" hidden="1">
      <c r="A1629" s="222" t="str">
        <f t="array" ref="A1629:A1630">{"FormulaRow40";(INDEX(CLASSLIST,A1550,1))}</f>
        <v>FormulaRow40</v>
      </c>
      <c r="B1629" s="77" t="s">
        <v>236</v>
      </c>
      <c r="C1629" s="222" t="str">
        <f t="array" ref="C1629:C1630">{"CLASSTYPE";((INDEX(ALLCLASSDATA,MATCH("ClassType",CLASSFEATUREHEADERS,0),MATCH($A1630,CLASSNAMEHEADERS,0))))}</f>
        <v>CLASSTYPE</v>
      </c>
      <c r="D1629" s="222" t="str">
        <f t="array" ref="D1629:D1630">{"SPELL/ALCHEMY";((IF(INDEX(ALLCLASSDATA,MATCH("CasterType",CLASSFEATUREHEADERS,0),MATCH(($A1630),CLASSNAMEHEADERS,0))="","",(IF(INDEX(ALLCLASSDATA,MATCH("CasterType",CLASSFEATUREHEADERS,0),MATCH(($A1630),CLASSNAMEHEADERS,0))="Alchemy","","Spells")))))}</f>
        <v>SPELL/ALCHEMY</v>
      </c>
      <c r="E1629" s="222" t="str">
        <f t="array" ref="E1629:E1630">{"SPELLLIST";(IF(D1630="Spells",((INDEX(ALLCLASSDATA,MATCH("CasterType",CLASSFEATUREHEADERS,0),MATCH(($A1630),CLASSNAMEHEADERS,0))) &amp; ":" &amp; (INDEX(ALLCLASSDATA,MATCH("SpellList",CLASSFEATUREHEADERS,0),MATCH(($A1630),CLASSNAMEHEADERS,0)))),""))}</f>
        <v>SPELLLIST</v>
      </c>
      <c r="F1629" s="222" t="str">
        <f t="array" ref="F1629:F1630">{"SLOTCOST";(IF(D1630="Spells","SlotCost:",""))}</f>
        <v>SLOTCOST</v>
      </c>
      <c r="G1629" s="222" t="str">
        <f t="array" ref="G1629:G1630">{"SLOTCOST CANTRIP";(INDEX(ALLCLASSDATA,MATCH("CantripSlots-L00",CLASSFEATUREHEADERS,0),MATCH(($A1630 &amp; "Points"),CLASSNAMEHEADERS,0)))}</f>
        <v>SLOTCOST CANTRIP</v>
      </c>
      <c r="H1629" s="222" t="str">
        <f t="array" ref="H1629:H1630">{"SLOTCOST L01";(INDEX(ALLCLASSDATA,MATCH("SPL01-L01",CLASSFEATUREHEADERS,0),MATCH(($A1630 &amp; "Points"),CLASSNAMEHEADERS,0)))}</f>
        <v>SLOTCOST L01</v>
      </c>
      <c r="I1629" s="222" t="str">
        <f t="array" ref="I1629:I1630">{"SLOTCOST L02";(INDEX(ALLCLASSDATA,MATCH("SPL01-L02",CLASSFEATUREHEADERS,0),MATCH(($A1630 &amp; "Points"),CLASSNAMEHEADERS,0)))}</f>
        <v>SLOTCOST L02</v>
      </c>
      <c r="J1629" s="222" t="str">
        <f t="array" ref="J1629:J1630">{"SLOTCOST L03";(INDEX(ALLCLASSDATA,MATCH("SPL02-L03",CLASSFEATUREHEADERS,0),MATCH(($A1630 &amp; "Points"),CLASSNAMEHEADERS,0)))}</f>
        <v>SLOTCOST L03</v>
      </c>
      <c r="K1629" s="222" t="str">
        <f t="array" ref="K1629:K1630">{"SLOTCOST L04";(INDEX(ALLCLASSDATA,MATCH("SPL02-L04",CLASSFEATUREHEADERS,0),MATCH(($A1630 &amp; "Points"),CLASSNAMEHEADERS,0)))}</f>
        <v>SLOTCOST L04</v>
      </c>
      <c r="L1629" s="222" t="str">
        <f t="array" ref="L1629:L1630">{"SLOTCOST L05";(INDEX(ALLCLASSDATA,MATCH("SPL03-L05",CLASSFEATUREHEADERS,0),MATCH(($A1630 &amp; "Points"),CLASSNAMEHEADERS,0)))}</f>
        <v>SLOTCOST L05</v>
      </c>
      <c r="M1629" s="222" t="str">
        <f t="array" ref="M1629:M1630">{"SLOTCOST L06";(INDEX(ALLCLASSDATA,MATCH("SPL03-L06",CLASSFEATUREHEADERS,0),MATCH(($A1630 &amp; "Points"),CLASSNAMEHEADERS,0)))}</f>
        <v>SLOTCOST L06</v>
      </c>
      <c r="N1629" s="222" t="str">
        <f t="array" ref="N1629:N1630">{"SLOTCOST L07";(INDEX(ALLCLASSDATA,MATCH("SPL04-L07",CLASSFEATUREHEADERS,0),MATCH(($A1630 &amp; "Points"),CLASSNAMEHEADERS,0)))}</f>
        <v>SLOTCOST L07</v>
      </c>
      <c r="O1629" s="222" t="str">
        <f t="array" ref="O1629:O1630">{"SLOTCOST L08";(INDEX(ALLCLASSDATA,MATCH("SPL04-L08",CLASSFEATUREHEADERS,0),MATCH(($A1630 &amp; "Points"),CLASSNAMEHEADERS,0)))}</f>
        <v>SLOTCOST L08</v>
      </c>
      <c r="P1629" s="222" t="str">
        <f t="array" ref="P1629:P1630">{"SLOTCOST L09";(INDEX(ALLCLASSDATA,MATCH("SPL05-L09",CLASSFEATUREHEADERS,0),MATCH(($A1630 &amp; "Points"),CLASSNAMEHEADERS,0)))}</f>
        <v>SLOTCOST L09</v>
      </c>
      <c r="Q1629" s="222" t="str">
        <f t="array" ref="Q1629:Q1630">{"SLOTCOST L10";(INDEX(ALLCLASSDATA,MATCH("SPL05-L10",CLASSFEATUREHEADERS,0),MATCH(($A1630 &amp; "Points"),CLASSNAMEHEADERS,0)))}</f>
        <v>SLOTCOST L10</v>
      </c>
      <c r="R1629" s="222" t="str">
        <f t="array" ref="R1629:R1630">{"SLOTCOST L11";(INDEX(ALLCLASSDATA,MATCH("SPL06-L11",CLASSFEATUREHEADERS,0),MATCH(($A1630 &amp; "Points"),CLASSNAMEHEADERS,0)))}</f>
        <v>SLOTCOST L11</v>
      </c>
      <c r="S1629" s="222" t="str">
        <f t="array" ref="S1629:S1630">{"SLOTCOST L12";(INDEX(ALLCLASSDATA,MATCH("SPL06-L12",CLASSFEATUREHEADERS,0),MATCH(($A1630 &amp; "Points"),CLASSNAMEHEADERS,0)))}</f>
        <v>SLOTCOST L12</v>
      </c>
      <c r="T1629" s="222" t="str">
        <f t="array" ref="T1629:T1630">{"SLOTCOST L13";(INDEX(ALLCLASSDATA,MATCH("SPL07-L13",CLASSFEATUREHEADERS,0),MATCH(($A1630 &amp; "Points"),CLASSNAMEHEADERS,0)))}</f>
        <v>SLOTCOST L13</v>
      </c>
      <c r="U1629" s="222" t="str">
        <f t="array" ref="U1629:U1630">{"SLOTCOST L14";(INDEX(ALLCLASSDATA,MATCH("SPL07-L14",CLASSFEATUREHEADERS,0),MATCH(($A1630 &amp; "Points"),CLASSNAMEHEADERS,0)))}</f>
        <v>SLOTCOST L14</v>
      </c>
      <c r="V1629" s="222" t="str">
        <f t="array" ref="V1629:V1630">{"SLOTCOST L15";(INDEX(ALLCLASSDATA,MATCH("SPL08-L15",CLASSFEATUREHEADERS,0),MATCH(($A1630 &amp; "Points"),CLASSNAMEHEADERS,0)))}</f>
        <v>SLOTCOST L15</v>
      </c>
      <c r="W1629" s="222" t="str">
        <f t="array" ref="W1629:W1630">{"SLOTCOST L16";(INDEX(ALLCLASSDATA,MATCH("SPL08-L16",CLASSFEATUREHEADERS,0),MATCH(($A1630 &amp; "Points"),CLASSNAMEHEADERS,0)))}</f>
        <v>SLOTCOST L16</v>
      </c>
      <c r="X1629" s="222" t="str">
        <f t="array" ref="X1629:X1630">{"SLOTCOST L17";(INDEX(ALLCLASSDATA,MATCH("SPL09-L17",CLASSFEATUREHEADERS,0),MATCH(($A1630 &amp; "Points"),CLASSNAMEHEADERS,0)))}</f>
        <v>SLOTCOST L17</v>
      </c>
      <c r="Y1629" s="222" t="str">
        <f t="array" ref="Y1629:Y1630">{"SLOTCOST L18";(INDEX(ALLCLASSDATA,MATCH("SPL09-L18",CLASSFEATUREHEADERS,0),MATCH(($A1630 &amp; "Points"),CLASSNAMEHEADERS,0)))}</f>
        <v>SLOTCOST L18</v>
      </c>
      <c r="Z1629" s="222" t="str">
        <f t="array" ref="Z1629:Z1630">{"SLOTCOST L19";(INDEX(ALLCLASSDATA,MATCH("SPL10-L19",CLASSFEATUREHEADERS,0),MATCH(($A1630 &amp; "Points"),CLASSNAMEHEADERS,0)))}</f>
        <v>SLOTCOST L19</v>
      </c>
      <c r="AA1629" s="222" t="str">
        <f t="array" ref="AA1629:AA1630">{"SLOTCOST L20";(INDEX(ALLCLASSDATA,MATCH("SPL10-L20",CLASSFEATUREHEADERS,0),MATCH(($A1630 &amp; "Points"),CLASSNAMEHEADERS,0)))}</f>
        <v>SLOTCOST L20</v>
      </c>
      <c r="AB1629" s="76"/>
      <c r="AC1629" s="76" t="str">
        <f t="array" ref="AC1629:AC1630">{"SLOT TOTAL";(sum(G1630:AA1630))}</f>
        <v>SLOT TOTAL</v>
      </c>
    </row>
    <row r="1630">
      <c r="A1630" s="48" t="s">
        <v>223</v>
      </c>
      <c r="B1630" s="48"/>
      <c r="C1630" s="48" t="s">
        <v>418</v>
      </c>
      <c r="D1630" s="48" t="s">
        <v>1901</v>
      </c>
      <c r="E1630" s="48" t="s">
        <v>1933</v>
      </c>
      <c r="F1630" s="278" t="s">
        <v>1904</v>
      </c>
      <c r="G1630" s="47"/>
      <c r="H1630" s="5">
        <v>20.0</v>
      </c>
      <c r="I1630" s="5">
        <v>10.0</v>
      </c>
      <c r="J1630" s="5">
        <v>20.0</v>
      </c>
      <c r="K1630" s="5">
        <v>10.0</v>
      </c>
      <c r="L1630" s="5">
        <v>20.0</v>
      </c>
      <c r="M1630" s="48">
        <v>10.0</v>
      </c>
      <c r="N1630" s="5">
        <v>20.0</v>
      </c>
      <c r="O1630" s="5">
        <v>10.0</v>
      </c>
      <c r="P1630" s="5">
        <v>20.0</v>
      </c>
      <c r="Q1630" s="5">
        <v>10.0</v>
      </c>
      <c r="R1630" s="5">
        <v>20.0</v>
      </c>
      <c r="S1630" s="5">
        <v>10.0</v>
      </c>
      <c r="T1630" s="5">
        <v>20.0</v>
      </c>
      <c r="U1630" s="5">
        <v>10.0</v>
      </c>
      <c r="V1630" s="5">
        <v>20.0</v>
      </c>
      <c r="W1630" s="5">
        <v>10.0</v>
      </c>
      <c r="X1630" s="5">
        <v>20.0</v>
      </c>
      <c r="Y1630" s="5">
        <v>10.0</v>
      </c>
      <c r="Z1630" s="5">
        <v>190.0</v>
      </c>
      <c r="AA1630" s="5" t="s">
        <v>603</v>
      </c>
      <c r="AB1630" s="5"/>
      <c r="AC1630" s="47">
        <v>460.0</v>
      </c>
    </row>
    <row r="1631" hidden="1">
      <c r="A1631" s="222" t="str">
        <f t="array" ref="A1631:A1632">{"FormulaRow41";(INDEX(CLASSLIST,A1550,1))}</f>
        <v>FormulaRow41</v>
      </c>
      <c r="B1631" s="77" t="s">
        <v>236</v>
      </c>
      <c r="C1631" s="222" t="str">
        <f t="array" ref="C1631:C1632">{"CLASSTYPE";((INDEX(ALLCLASSDATA,MATCH("ClassType",CLASSFEATUREHEADERS,0),MATCH($A1632,CLASSNAMEHEADERS,0))))}</f>
        <v>CLASSTYPE</v>
      </c>
      <c r="D1631" s="222" t="str">
        <f t="array" ref="D1631:D1632">{"SPELL/ALCHEMY";((IF(INDEX(ALLCLASSDATA,MATCH("CasterType",CLASSFEATUREHEADERS,0),MATCH(($A1632),CLASSNAMEHEADERS,0))="","",(IF(INDEX(ALLCLASSDATA,MATCH("CasterType",CLASSFEATUREHEADERS,0),MATCH(($A1632),CLASSNAMEHEADERS,0))="Alchemy","Alchemy","Spells")))))}</f>
        <v>SPELL/ALCHEMY</v>
      </c>
      <c r="E1631" s="222" t="str">
        <f t="array" ref="E1631:E1632">{"SPELLLIST";(IF(D1632="Spells",((INDEX(ALLCLASSDATA,MATCH("CasterType",CLASSFEATUREHEADERS,0),MATCH(($A1632),CLASSNAMEHEADERS,0))) &amp; ":" &amp; (INDEX(ALLCLASSDATA,MATCH("SpellList",CLASSFEATUREHEADERS,0),MATCH(($A1632),CLASSNAMEHEADERS,0)))),""))}</f>
        <v>SPELLLIST</v>
      </c>
      <c r="F1631" s="223" t="str">
        <f t="array" ref="F1631:F1632">{"LEARNEDCOST";(IF(D1632="","","LearnCost:"))}</f>
        <v>LEARNEDCOST</v>
      </c>
      <c r="G1631" s="223" t="str">
        <f t="array" ref="G1631:G1632">{"LEARNED CANTRIPS";(INDEX(ALLCLASSDATA,MATCH("CantripsLearned-L00",CLASSFEATUREHEADERS,0),MATCH(($A1632 &amp; "Points"),CLASSNAMEHEADERS,0)))}</f>
        <v>LEARNED CANTRIPS</v>
      </c>
      <c r="H1631" s="223" t="str">
        <f t="array" ref="H1631:H1632">{"LEARNED L01";(INDEX(ALLCLASSDATA,MATCH("Learned-L01",CLASSFEATUREHEADERS,0),MATCH(($A1632 &amp; "Points"),CLASSNAMEHEADERS,0)))}</f>
        <v>LEARNED L01</v>
      </c>
      <c r="I1631" s="223" t="str">
        <f t="array" ref="I1631:I1632">{"LEARNED L02";(INDEX(ALLCLASSDATA,MATCH("Learned-L02",CLASSFEATUREHEADERS,0),MATCH(($A1632 &amp; "Points"),CLASSNAMEHEADERS,0)))}</f>
        <v>LEARNED L02</v>
      </c>
      <c r="J1631" s="223" t="str">
        <f t="array" ref="J1631:J1632">{"LEARNED L03";(INDEX(ALLCLASSDATA,MATCH("Learned-L03",CLASSFEATUREHEADERS,0),MATCH(($A1632 &amp; "Points"),CLASSNAMEHEADERS,0)))}</f>
        <v>LEARNED L03</v>
      </c>
      <c r="K1631" s="223" t="str">
        <f t="array" ref="K1631:K1632">{"LEARNED L04";(INDEX(ALLCLASSDATA,MATCH("Learned-L04",CLASSFEATUREHEADERS,0),MATCH(($A1632 &amp; "Points"),CLASSNAMEHEADERS,0)))}</f>
        <v>LEARNED L04</v>
      </c>
      <c r="L1631" s="223" t="str">
        <f t="array" ref="L1631:L1632">{"LEARNED L05";(INDEX(ALLCLASSDATA,MATCH("Learned-L05",CLASSFEATUREHEADERS,0),MATCH(($A1632 &amp; "Points"),CLASSNAMEHEADERS,0)))}</f>
        <v>LEARNED L05</v>
      </c>
      <c r="M1631" s="223" t="str">
        <f t="array" ref="M1631:M1632">{"LEARNED L06";(INDEX(ALLCLASSDATA,MATCH("Learned-L06",CLASSFEATUREHEADERS,0),MATCH(($A1632 &amp; "Points"),CLASSNAMEHEADERS,0)))}</f>
        <v>LEARNED L06</v>
      </c>
      <c r="N1631" s="223" t="str">
        <f t="array" ref="N1631:N1632">{"LEARNED L07";(INDEX(ALLCLASSDATA,MATCH("Learned-L07",CLASSFEATUREHEADERS,0),MATCH(($A1632 &amp; "Points"),CLASSNAMEHEADERS,0)))}</f>
        <v>LEARNED L07</v>
      </c>
      <c r="O1631" s="223" t="str">
        <f t="array" ref="O1631:O1632">{"LEARNED L08";(INDEX(ALLCLASSDATA,MATCH("Learned-L08",CLASSFEATUREHEADERS,0),MATCH(($A1632 &amp; "Points"),CLASSNAMEHEADERS,0)))}</f>
        <v>LEARNED L08</v>
      </c>
      <c r="P1631" s="223" t="str">
        <f t="array" ref="P1631:P1632">{"LEARNED L09";(INDEX(ALLCLASSDATA,MATCH("Learned-L09",CLASSFEATUREHEADERS,0),MATCH(($A1632 &amp; "Points"),CLASSNAMEHEADERS,0)))}</f>
        <v>LEARNED L09</v>
      </c>
      <c r="Q1631" s="223" t="str">
        <f t="array" ref="Q1631:Q1632">{"LEARNED L10";(INDEX(ALLCLASSDATA,MATCH("Learned-L10",CLASSFEATUREHEADERS,0),MATCH(($A1632 &amp; "Points"),CLASSNAMEHEADERS,0)))}</f>
        <v>LEARNED L10</v>
      </c>
      <c r="R1631" s="223" t="str">
        <f t="array" ref="R1631:R1632">{"LEARNED L11";(INDEX(ALLCLASSDATA,MATCH("Learned-L11",CLASSFEATUREHEADERS,0),MATCH(($A1632 &amp; "Points"),CLASSNAMEHEADERS,0)))}</f>
        <v>LEARNED L11</v>
      </c>
      <c r="S1631" s="223" t="str">
        <f t="array" ref="S1631:S1632">{"LEARNED L12";(INDEX(ALLCLASSDATA,MATCH("Learned-L12",CLASSFEATUREHEADERS,0),MATCH(($A1632 &amp; "Points"),CLASSNAMEHEADERS,0)))}</f>
        <v>LEARNED L12</v>
      </c>
      <c r="T1631" s="223" t="str">
        <f t="array" ref="T1631:T1632">{"LEARNED L13";(INDEX(ALLCLASSDATA,MATCH("Learned-L13",CLASSFEATUREHEADERS,0),MATCH(($A1632 &amp; "Points"),CLASSNAMEHEADERS,0)))}</f>
        <v>LEARNED L13</v>
      </c>
      <c r="U1631" s="223" t="str">
        <f t="array" ref="U1631:U1632">{"LEARNED L14";(INDEX(ALLCLASSDATA,MATCH("Learned-L14",CLASSFEATUREHEADERS,0),MATCH(($A1632 &amp; "Points"),CLASSNAMEHEADERS,0)))}</f>
        <v>LEARNED L14</v>
      </c>
      <c r="V1631" s="223" t="str">
        <f t="array" ref="V1631:V1632">{"LEARNED L15";(INDEX(ALLCLASSDATA,MATCH("Learned-L15",CLASSFEATUREHEADERS,0),MATCH(($A1632 &amp; "Points"),CLASSNAMEHEADERS,0)))}</f>
        <v>LEARNED L15</v>
      </c>
      <c r="W1631" s="223" t="str">
        <f t="array" ref="W1631:W1632">{"LEARNED L16";(INDEX(ALLCLASSDATA,MATCH("Learned-L16",CLASSFEATUREHEADERS,0),MATCH(($A1632 &amp; "Points"),CLASSNAMEHEADERS,0)))}</f>
        <v>LEARNED L16</v>
      </c>
      <c r="X1631" s="223" t="str">
        <f t="array" ref="X1631:X1632">{"LEARNED L17";(INDEX(ALLCLASSDATA,MATCH("Learned-L17",CLASSFEATUREHEADERS,0),MATCH(($A1632 &amp; "Points"),CLASSNAMEHEADERS,0)))}</f>
        <v>LEARNED L17</v>
      </c>
      <c r="Y1631" s="223" t="str">
        <f t="array" ref="Y1631:Y1632">{"LEARNED L18";(INDEX(ALLCLASSDATA,MATCH("Learned-L18",CLASSFEATUREHEADERS,0),MATCH(($A1632 &amp; "Points"),CLASSNAMEHEADERS,0)))}</f>
        <v>LEARNED L18</v>
      </c>
      <c r="Z1631" s="223" t="str">
        <f t="array" ref="Z1631:Z1632">{"LEARNED L19";(INDEX(ALLCLASSDATA,MATCH("Learned-L19",CLASSFEATUREHEADERS,0),MATCH(($A1632 &amp; "Points"),CLASSNAMEHEADERS,0)))}</f>
        <v>LEARNED L19</v>
      </c>
      <c r="AA1631" s="223" t="str">
        <f t="array" ref="AA1631:AA1632">{"LEARNED L20";(INDEX(ALLCLASSDATA,MATCH("Learned-L20",CLASSFEATUREHEADERS,0),MATCH(($A1632 &amp; "Points"),CLASSNAMEHEADERS,0)))}</f>
        <v>LEARNED L20</v>
      </c>
      <c r="AB1631" s="76"/>
      <c r="AC1631" s="76" t="str">
        <f t="array" ref="AC1631:AC1632">{"LEARNED TOTAL";(sum(G1632:AA1632))}</f>
        <v>LEARNED TOTAL</v>
      </c>
    </row>
    <row r="1632">
      <c r="A1632" s="48" t="s">
        <v>223</v>
      </c>
      <c r="B1632" s="48"/>
      <c r="C1632" s="48" t="s">
        <v>418</v>
      </c>
      <c r="D1632" s="48" t="s">
        <v>1901</v>
      </c>
      <c r="E1632" s="48" t="s">
        <v>1933</v>
      </c>
      <c r="F1632" s="278" t="s">
        <v>1906</v>
      </c>
      <c r="G1632" s="47">
        <v>5.0</v>
      </c>
      <c r="H1632" s="5">
        <v>20.0</v>
      </c>
      <c r="I1632" s="5">
        <v>10.0</v>
      </c>
      <c r="J1632" s="5">
        <v>20.0</v>
      </c>
      <c r="K1632" s="5">
        <v>10.0</v>
      </c>
      <c r="L1632" s="5">
        <v>20.0</v>
      </c>
      <c r="M1632" s="5">
        <v>10.0</v>
      </c>
      <c r="N1632" s="48">
        <v>20.0</v>
      </c>
      <c r="O1632" s="5">
        <v>10.0</v>
      </c>
      <c r="P1632" s="5">
        <v>20.0</v>
      </c>
      <c r="Q1632" s="5">
        <v>10.0</v>
      </c>
      <c r="R1632" s="5">
        <v>20.0</v>
      </c>
      <c r="S1632" s="5">
        <v>10.0</v>
      </c>
      <c r="T1632" s="5">
        <v>20.0</v>
      </c>
      <c r="U1632" s="5">
        <v>10.0</v>
      </c>
      <c r="V1632" s="5">
        <v>20.0</v>
      </c>
      <c r="W1632" s="5">
        <v>10.0</v>
      </c>
      <c r="X1632" s="5">
        <v>20.0</v>
      </c>
      <c r="Y1632" s="5">
        <v>10.0</v>
      </c>
      <c r="Z1632" s="5">
        <v>0.0</v>
      </c>
      <c r="AA1632" s="5" t="s">
        <v>603</v>
      </c>
      <c r="AB1632" s="5"/>
      <c r="AC1632" s="47">
        <v>275.0</v>
      </c>
    </row>
    <row r="1633" hidden="1">
      <c r="A1633" s="222" t="str">
        <f t="array" ref="A1633:A1634">{"FormulaRow42";(INDEX(CLASSLIST,A1550,1))}</f>
        <v>FormulaRow42</v>
      </c>
      <c r="B1633" s="77" t="s">
        <v>236</v>
      </c>
      <c r="C1633" s="222" t="str">
        <f t="array" ref="C1633:C1634">{"CLASSTYPE";((INDEX(ALLCLASSDATA,MATCH("ClassType",CLASSFEATUREHEADERS,0),MATCH($A1634,CLASSNAMEHEADERS,0))))}</f>
        <v>CLASSTYPE</v>
      </c>
      <c r="D1633" s="222" t="str">
        <f t="array" ref="D1633:D1634">{"SPELL/ALCHEMY";((IF(INDEX(ALLCLASSDATA,MATCH("CasterType",CLASSFEATUREHEADERS,0),MATCH(($A1634),CLASSNAMEHEADERS,0))="","",(IF(INDEX(ALLCLASSDATA,MATCH("CasterType",CLASSFEATUREHEADERS,0),MATCH(($A1634),CLASSNAMEHEADERS,0))="Alchemy","","Spells")))))}</f>
        <v>SPELL/ALCHEMY</v>
      </c>
      <c r="E1633" s="222" t="str">
        <f t="array" ref="E1633:E1634">{"SPELLLIST";(IF(D1634="Spells",((INDEX(ALLCLASSDATA,MATCH("CasterType",CLASSFEATUREHEADERS,0),MATCH(($A1634),CLASSNAMEHEADERS,0))) &amp; ":" &amp; (INDEX(ALLCLASSDATA,MATCH("SpellList",CLASSFEATUREHEADERS,0),MATCH(($A1634),CLASSNAMEHEADERS,0)))),""))}</f>
        <v>SPELLLIST</v>
      </c>
      <c r="F1633" s="223" t="str">
        <f t="array" ref="F1633:F1634">{"SLOT/LVL";(IF(D1628="Spells","Slot/LVL:",""))}</f>
        <v>SLOT/LVL</v>
      </c>
      <c r="G1633" s="223" t="str">
        <f t="array" ref="G1633:G1634">{"CANTRIPSLOTS";(INDEX(ALLCLASSDATA,MATCH("CantripSlots-L00",CLASSFEATUREHEADERS,0),MATCH($A1634,CLASSNAMEHEADERS,0)))}</f>
        <v>CANTRIPSLOTS</v>
      </c>
      <c r="H1633" s="223" t="str">
        <f t="array" ref="H1633:H1634">{"SPL01-L01";(INDEX(ALLCLASSDATA,MATCH("SPL01-L01",CLASSFEATUREHEADERS,0),MATCH($A1634,CLASSNAMEHEADERS,0)))}</f>
        <v>SPL01-L01</v>
      </c>
      <c r="I1633" s="223" t="str">
        <f t="array" ref="I1633:I1634">{"SPL01-L02";(INDEX(ALLCLASSDATA,MATCH("SPL01-L02",CLASSFEATUREHEADERS,0),MATCH($A1634,CLASSNAMEHEADERS,0)))}</f>
        <v>SPL01-L02</v>
      </c>
      <c r="J1633" s="223" t="str">
        <f t="array" ref="J1633:J1634">{"SPL02-L03";(INDEX(ALLCLASSDATA,MATCH("SPL02-L03",CLASSFEATUREHEADERS,0),MATCH($A1634,CLASSNAMEHEADERS,0)))}</f>
        <v>SPL02-L03</v>
      </c>
      <c r="K1633" s="223" t="str">
        <f t="array" ref="K1633:K1634">{"SPL02-L04";(INDEX(ALLCLASSDATA,MATCH("SPL02-L04",CLASSFEATUREHEADERS,0),MATCH($A1634,CLASSNAMEHEADERS,0)))}</f>
        <v>SPL02-L04</v>
      </c>
      <c r="L1633" s="223" t="str">
        <f t="array" ref="L1633:L1634">{"SPL03-L05";(INDEX(ALLCLASSDATA,MATCH("SPL03-L05",CLASSFEATUREHEADERS,0),MATCH($A1634,CLASSNAMEHEADERS,0)))}</f>
        <v>SPL03-L05</v>
      </c>
      <c r="M1633" s="223" t="str">
        <f t="array" ref="M1633:M1634">{"SPL03-L06";(INDEX(ALLCLASSDATA,MATCH("SPL03-L06",CLASSFEATUREHEADERS,0),MATCH($A1634,CLASSNAMEHEADERS,0)))}</f>
        <v>SPL03-L06</v>
      </c>
      <c r="N1633" s="223" t="str">
        <f t="array" ref="N1633:N1634">{"SPL04-L07";(INDEX(ALLCLASSDATA,MATCH("SPL04-L07",CLASSFEATUREHEADERS,0),MATCH($A1634,CLASSNAMEHEADERS,0)))}</f>
        <v>SPL04-L07</v>
      </c>
      <c r="O1633" s="223" t="str">
        <f t="array" ref="O1633:O1634">{"SPL04-L08";(INDEX(ALLCLASSDATA,MATCH("SPL04-L08",CLASSFEATUREHEADERS,0),MATCH($A1634,CLASSNAMEHEADERS,0)))}</f>
        <v>SPL04-L08</v>
      </c>
      <c r="P1633" s="223" t="str">
        <f t="array" ref="P1633:P1634">{"SPL05-L09";(INDEX(ALLCLASSDATA,MATCH("SPL05-L09",CLASSFEATUREHEADERS,0),MATCH($A1634,CLASSNAMEHEADERS,0)))}</f>
        <v>SPL05-L09</v>
      </c>
      <c r="Q1633" s="223" t="str">
        <f t="array" ref="Q1633:Q1634">{"SPL05-L10";(INDEX(ALLCLASSDATA,MATCH("SPL05-L10",CLASSFEATUREHEADERS,0),MATCH($A1634,CLASSNAMEHEADERS,0)))}</f>
        <v>SPL05-L10</v>
      </c>
      <c r="R1633" s="223" t="str">
        <f t="array" ref="R1633:R1634">{"SPL06-L11";(INDEX(ALLCLASSDATA,MATCH("SPL06-L11",CLASSFEATUREHEADERS,0),MATCH($A1634,CLASSNAMEHEADERS,0)))}</f>
        <v>SPL06-L11</v>
      </c>
      <c r="S1633" s="223" t="str">
        <f t="array" ref="S1633:S1634">{"SPL06-L12";(INDEX(ALLCLASSDATA,MATCH("SPL06-L12",CLASSFEATUREHEADERS,0),MATCH($A1634,CLASSNAMEHEADERS,0)))}</f>
        <v>SPL06-L12</v>
      </c>
      <c r="T1633" s="223" t="str">
        <f t="array" ref="T1633:T1634">{"SPL07-L13";(INDEX(ALLCLASSDATA,MATCH("SPL07-L13",CLASSFEATUREHEADERS,0),MATCH($A1634,CLASSNAMEHEADERS,0)))}</f>
        <v>SPL07-L13</v>
      </c>
      <c r="U1633" s="223" t="str">
        <f t="array" ref="U1633:U1634">{"SPL07-L14";(INDEX(ALLCLASSDATA,MATCH("SPL07-L14",CLASSFEATUREHEADERS,0),MATCH($A1634,CLASSNAMEHEADERS,0)))}</f>
        <v>SPL07-L14</v>
      </c>
      <c r="V1633" s="223" t="str">
        <f t="array" ref="V1633:V1634">{"SPL08-L15";(INDEX(ALLCLASSDATA,MATCH("SPL08-L15",CLASSFEATUREHEADERS,0),MATCH($A1634,CLASSNAMEHEADERS,0)))}</f>
        <v>SPL08-L15</v>
      </c>
      <c r="W1633" s="223" t="str">
        <f t="array" ref="W1633:W1634">{"SPL08-L16";(INDEX(ALLCLASSDATA,MATCH("SPL08-L16",CLASSFEATUREHEADERS,0),MATCH($A1634,CLASSNAMEHEADERS,0)))}</f>
        <v>SPL08-L16</v>
      </c>
      <c r="X1633" s="223" t="str">
        <f t="array" ref="X1633:X1634">{"SPL09-L17";(INDEX(ALLCLASSDATA,MATCH("SPL09-L17",CLASSFEATUREHEADERS,0),MATCH($A1634,CLASSNAMEHEADERS,0)))}</f>
        <v>SPL09-L17</v>
      </c>
      <c r="Y1633" s="223" t="str">
        <f t="array" ref="Y1633:Y1634">{"SPL09-L18";(INDEX(ALLCLASSDATA,MATCH("SPL09-L18",CLASSFEATUREHEADERS,0),MATCH($A1634,CLASSNAMEHEADERS,0)))}</f>
        <v>SPL09-L18</v>
      </c>
      <c r="Z1633" s="223" t="str">
        <f t="array" ref="Z1633:Z1634">{"SPL10-L19";(INDEX(ALLCLASSDATA,MATCH("SPL10-L19",CLASSFEATUREHEADERS,0),MATCH($A1634,CLASSNAMEHEADERS,0)))}</f>
        <v>SPL10-L19</v>
      </c>
      <c r="AA1633" s="223" t="str">
        <f t="array" ref="AA1633:AA1634">{"SPL10-L20";(INDEX(ALLCLASSDATA,MATCH("SPL10-L20",CLASSFEATUREHEADERS,0),MATCH($A1634,CLASSNAMEHEADERS,0)))}</f>
        <v>SPL10-L20</v>
      </c>
      <c r="AB1633" s="76"/>
      <c r="AC1633" s="76"/>
    </row>
    <row r="1634">
      <c r="A1634" s="48" t="s">
        <v>223</v>
      </c>
      <c r="B1634" s="48"/>
      <c r="C1634" s="48" t="s">
        <v>418</v>
      </c>
      <c r="D1634" s="48" t="s">
        <v>1901</v>
      </c>
      <c r="E1634" s="48" t="s">
        <v>1933</v>
      </c>
      <c r="F1634" s="278" t="s">
        <v>1907</v>
      </c>
      <c r="G1634" s="280"/>
      <c r="H1634" s="50" t="s">
        <v>1538</v>
      </c>
      <c r="I1634" s="50" t="s">
        <v>1537</v>
      </c>
      <c r="J1634" s="50" t="s">
        <v>1538</v>
      </c>
      <c r="K1634" s="50" t="s">
        <v>1537</v>
      </c>
      <c r="L1634" s="50" t="s">
        <v>1538</v>
      </c>
      <c r="M1634" s="50" t="s">
        <v>1537</v>
      </c>
      <c r="N1634" s="50" t="s">
        <v>1538</v>
      </c>
      <c r="O1634" s="50" t="s">
        <v>1537</v>
      </c>
      <c r="P1634" s="50" t="s">
        <v>1538</v>
      </c>
      <c r="Q1634" s="50" t="s">
        <v>1537</v>
      </c>
      <c r="R1634" s="50" t="s">
        <v>1538</v>
      </c>
      <c r="S1634" s="50" t="s">
        <v>1537</v>
      </c>
      <c r="T1634" s="50" t="s">
        <v>1538</v>
      </c>
      <c r="U1634" s="50" t="s">
        <v>1537</v>
      </c>
      <c r="V1634" s="50" t="s">
        <v>1538</v>
      </c>
      <c r="W1634" s="50" t="s">
        <v>1537</v>
      </c>
      <c r="X1634" s="50" t="s">
        <v>1538</v>
      </c>
      <c r="Y1634" s="50" t="s">
        <v>1537</v>
      </c>
      <c r="Z1634" s="50" t="s">
        <v>1537</v>
      </c>
      <c r="AA1634" s="50"/>
      <c r="AB1634" s="278"/>
      <c r="AC1634" s="47"/>
    </row>
    <row r="1635" hidden="1">
      <c r="A1635" s="222" t="str">
        <f t="array" ref="A1635:A1636">{"FormulaRow43";(INDEX(CLASSLIST,A1550,1))}</f>
        <v>FormulaRow43</v>
      </c>
      <c r="B1635" s="77" t="s">
        <v>236</v>
      </c>
      <c r="C1635" s="222" t="str">
        <f t="array" ref="C1635:C1636">{"CLASSTYPE";((INDEX(ALLCLASSDATA,MATCH("ClassType",CLASSFEATUREHEADERS,0),MATCH($A1636,CLASSNAMEHEADERS,0))))}</f>
        <v>CLASSTYPE</v>
      </c>
      <c r="D1635" s="222" t="str">
        <f t="array" ref="D1635:D1636">{"SPELL/ALCHEMY";((IF(INDEX(ALLCLASSDATA,MATCH("CasterType",CLASSFEATUREHEADERS,0),MATCH(($A1636),CLASSNAMEHEADERS,0))="","",(IF(INDEX(ALLCLASSDATA,MATCH("CasterType",CLASSFEATUREHEADERS,0),MATCH(($A1636),CLASSNAMEHEADERS,0))="Alchemy","Alchemy","Spells")))))}</f>
        <v>SPELL/ALCHEMY</v>
      </c>
      <c r="E1635" s="222" t="str">
        <f t="array" ref="E1635:E1636">{"SPELLLIST";(IF(D1636="Spells",((INDEX(ALLCLASSDATA,MATCH("CasterType",CLASSFEATUREHEADERS,0),MATCH(($A1636),CLASSNAMEHEADERS,0))) &amp; ":" &amp; (INDEX(ALLCLASSDATA,MATCH("SpellList",CLASSFEATUREHEADERS,0),MATCH(($A1636),CLASSNAMEHEADERS,0)))),""))}</f>
        <v>SPELLLIST</v>
      </c>
      <c r="F1635" s="223" t="str">
        <f t="array" ref="F1635:F1636">{"LEARNED/LVL";(IF(D1636="","","Learn/LVL:"))}</f>
        <v>LEARNED/LVL</v>
      </c>
      <c r="G1635" s="223" t="str">
        <f t="array" ref="G1635:G1636">{"LEARNEDCANTRIPS";(INDEX(ALLCLASSDATA,MATCH("CantripsLearned-L00",CLASSFEATUREHEADERS,0),MATCH($A1636,CLASSNAMEHEADERS,0)))}</f>
        <v>LEARNEDCANTRIPS</v>
      </c>
      <c r="H1635" s="223" t="str">
        <f t="array" ref="H1635:H1636">{"LEARNED L01";(INDEX(ALLCLASSDATA,MATCH("Learned-L01",CLASSFEATUREHEADERS,0),MATCH($A1636,CLASSNAMEHEADERS,0)))}</f>
        <v>LEARNED L01</v>
      </c>
      <c r="I1635" s="223" t="str">
        <f t="array" ref="I1635:I1636">{"LEARNED L02";(INDEX(ALLCLASSDATA,MATCH("Learned-L02",CLASSFEATUREHEADERS,0),MATCH($A1636,CLASSNAMEHEADERS,0)))}</f>
        <v>LEARNED L02</v>
      </c>
      <c r="J1635" s="223" t="str">
        <f t="array" ref="J1635:J1636">{"LEARNED L03";(INDEX(ALLCLASSDATA,MATCH("Learned-L03",CLASSFEATUREHEADERS,0),MATCH($A1636,CLASSNAMEHEADERS,0)))}</f>
        <v>LEARNED L03</v>
      </c>
      <c r="K1635" s="223" t="str">
        <f t="array" ref="K1635:K1636">{"LEARNED L04";(INDEX(ALLCLASSDATA,MATCH("Learned-L04",CLASSFEATUREHEADERS,0),MATCH($A1636,CLASSNAMEHEADERS,0)))}</f>
        <v>LEARNED L04</v>
      </c>
      <c r="L1635" s="223" t="str">
        <f t="array" ref="L1635:L1636">{"LEARNED L05";(INDEX(ALLCLASSDATA,MATCH("Learned-L05",CLASSFEATUREHEADERS,0),MATCH($A1636,CLASSNAMEHEADERS,0)))}</f>
        <v>LEARNED L05</v>
      </c>
      <c r="M1635" s="223" t="str">
        <f t="array" ref="M1635:M1636">{"LEARNED L06";(INDEX(ALLCLASSDATA,MATCH("Learned-L06",CLASSFEATUREHEADERS,0),MATCH($A1636,CLASSNAMEHEADERS,0)))}</f>
        <v>LEARNED L06</v>
      </c>
      <c r="N1635" s="223" t="str">
        <f t="array" ref="N1635:N1636">{"LEARNED L07";(INDEX(ALLCLASSDATA,MATCH("Learned-L07",CLASSFEATUREHEADERS,0),MATCH($A1636,CLASSNAMEHEADERS,0)))}</f>
        <v>LEARNED L07</v>
      </c>
      <c r="O1635" s="223" t="str">
        <f t="array" ref="O1635:O1636">{"LEARNED L08";(INDEX(ALLCLASSDATA,MATCH("Learned-L08",CLASSFEATUREHEADERS,0),MATCH($A1636,CLASSNAMEHEADERS,0)))}</f>
        <v>LEARNED L08</v>
      </c>
      <c r="P1635" s="223" t="str">
        <f t="array" ref="P1635:P1636">{"LEARNED L09";(INDEX(ALLCLASSDATA,MATCH("Learned-L09",CLASSFEATUREHEADERS,0),MATCH($A1636,CLASSNAMEHEADERS,0)))}</f>
        <v>LEARNED L09</v>
      </c>
      <c r="Q1635" s="223" t="str">
        <f t="array" ref="Q1635:Q1636">{"LEARNED L10";(INDEX(ALLCLASSDATA,MATCH("Learned-L10",CLASSFEATUREHEADERS,0),MATCH($A1636,CLASSNAMEHEADERS,0)))}</f>
        <v>LEARNED L10</v>
      </c>
      <c r="R1635" s="223" t="str">
        <f t="array" ref="R1635:R1636">{"LEARNED L11";(INDEX(ALLCLASSDATA,MATCH("Learned-L11",CLASSFEATUREHEADERS,0),MATCH($A1636,CLASSNAMEHEADERS,0)))}</f>
        <v>LEARNED L11</v>
      </c>
      <c r="S1635" s="223" t="str">
        <f t="array" ref="S1635:S1636">{"LEARNED L12";(INDEX(ALLCLASSDATA,MATCH("Learned-L12",CLASSFEATUREHEADERS,0),MATCH($A1636,CLASSNAMEHEADERS,0)))}</f>
        <v>LEARNED L12</v>
      </c>
      <c r="T1635" s="223" t="str">
        <f t="array" ref="T1635:T1636">{"LEARNED L13";(INDEX(ALLCLASSDATA,MATCH("Learned-L13",CLASSFEATUREHEADERS,0),MATCH($A1636,CLASSNAMEHEADERS,0)))}</f>
        <v>LEARNED L13</v>
      </c>
      <c r="U1635" s="223" t="str">
        <f t="array" ref="U1635:U1636">{"LEARNED L14";(INDEX(ALLCLASSDATA,MATCH("Learned-L14",CLASSFEATUREHEADERS,0),MATCH($A1636,CLASSNAMEHEADERS,0)))}</f>
        <v>LEARNED L14</v>
      </c>
      <c r="V1635" s="223" t="str">
        <f t="array" ref="V1635:V1636">{"LEARNED L15";(INDEX(ALLCLASSDATA,MATCH("Learned-L15",CLASSFEATUREHEADERS,0),MATCH($A1636,CLASSNAMEHEADERS,0)))}</f>
        <v>LEARNED L15</v>
      </c>
      <c r="W1635" s="223" t="str">
        <f t="array" ref="W1635:W1636">{"LEARNED L16";(INDEX(ALLCLASSDATA,MATCH("Learned-L16",CLASSFEATUREHEADERS,0),MATCH($A1636,CLASSNAMEHEADERS,0)))}</f>
        <v>LEARNED L16</v>
      </c>
      <c r="X1635" s="223" t="str">
        <f t="array" ref="X1635:X1636">{"LEARNED L17";(INDEX(ALLCLASSDATA,MATCH("Learned-L17",CLASSFEATUREHEADERS,0),MATCH($A1636,CLASSNAMEHEADERS,0)))}</f>
        <v>LEARNED L17</v>
      </c>
      <c r="Y1635" s="223" t="str">
        <f t="array" ref="Y1635:Y1636">{"LEARNED L18";(INDEX(ALLCLASSDATA,MATCH("Learned-L18",CLASSFEATUREHEADERS,0),MATCH($A1636,CLASSNAMEHEADERS,0)))}</f>
        <v>LEARNED L18</v>
      </c>
      <c r="Z1635" s="223" t="str">
        <f t="array" ref="Z1635:Z1636">{"LEARNED L19";(INDEX(ALLCLASSDATA,MATCH("Learned-L19",CLASSFEATUREHEADERS,0),MATCH($A1636,CLASSNAMEHEADERS,0)))}</f>
        <v>LEARNED L19</v>
      </c>
      <c r="AA1635" s="223" t="str">
        <f t="array" ref="AA1635:AA1636">{"LEARNED L20";(INDEX(ALLCLASSDATA,MATCH("Learned-L20",CLASSFEATUREHEADERS,0),MATCH($A1636,CLASSNAMEHEADERS,0)))}</f>
        <v>LEARNED L20</v>
      </c>
      <c r="AB1635" s="76"/>
      <c r="AC1635" s="76"/>
    </row>
    <row r="1636">
      <c r="A1636" s="48" t="s">
        <v>223</v>
      </c>
      <c r="B1636" s="48"/>
      <c r="C1636" s="48" t="s">
        <v>418</v>
      </c>
      <c r="D1636" s="48" t="s">
        <v>1901</v>
      </c>
      <c r="E1636" s="48" t="s">
        <v>1933</v>
      </c>
      <c r="F1636" s="278" t="s">
        <v>1909</v>
      </c>
      <c r="G1636" s="280" t="s">
        <v>1533</v>
      </c>
      <c r="H1636" s="278" t="s">
        <v>1538</v>
      </c>
      <c r="I1636" s="278" t="s">
        <v>1537</v>
      </c>
      <c r="J1636" s="278" t="s">
        <v>1538</v>
      </c>
      <c r="K1636" s="278" t="s">
        <v>1537</v>
      </c>
      <c r="L1636" s="278" t="s">
        <v>1538</v>
      </c>
      <c r="M1636" s="278" t="s">
        <v>1537</v>
      </c>
      <c r="N1636" s="278" t="s">
        <v>1538</v>
      </c>
      <c r="O1636" s="50" t="s">
        <v>1537</v>
      </c>
      <c r="P1636" s="278" t="s">
        <v>1538</v>
      </c>
      <c r="Q1636" s="278" t="s">
        <v>1537</v>
      </c>
      <c r="R1636" s="278" t="s">
        <v>1538</v>
      </c>
      <c r="S1636" s="278" t="s">
        <v>1537</v>
      </c>
      <c r="T1636" s="278" t="s">
        <v>1538</v>
      </c>
      <c r="U1636" s="278" t="s">
        <v>1537</v>
      </c>
      <c r="V1636" s="278" t="s">
        <v>1538</v>
      </c>
      <c r="W1636" s="278" t="s">
        <v>1537</v>
      </c>
      <c r="X1636" s="278" t="s">
        <v>1538</v>
      </c>
      <c r="Y1636" s="278" t="s">
        <v>1537</v>
      </c>
      <c r="Z1636" s="278" t="s">
        <v>1538</v>
      </c>
      <c r="AA1636" s="278"/>
      <c r="AB1636" s="278"/>
      <c r="AC1636" s="47"/>
    </row>
    <row r="1637" hidden="1">
      <c r="A1637" s="222" t="str">
        <f t="array" ref="A1637:A1638">{"FormulaRow44";(INDEX(CLASSLIST,A1550,1))}</f>
        <v>FormulaRow44</v>
      </c>
      <c r="B1637" s="77" t="s">
        <v>236</v>
      </c>
      <c r="C1637" s="222" t="str">
        <f t="array" ref="C1637:C1638">{"CLASSTYPE";((INDEX(ALLCLASSDATA,MATCH("ClassType",CLASSFEATUREHEADERS,0),MATCH($A1638,CLASSNAMEHEADERS,0))))}</f>
        <v>CLASSTYPE</v>
      </c>
      <c r="D1637" s="222" t="str">
        <f t="array" ref="D1637:D1638">{"SPELL/ALCHEMY";((IF(INDEX(ALLCLASSDATA,MATCH("CasterType",CLASSFEATUREHEADERS,0),MATCH(($A1638),CLASSNAMEHEADERS,0))="","",(IF(INDEX(ALLCLASSDATA,MATCH("CasterType",CLASSFEATUREHEADERS,0),MATCH(($A1638),CLASSNAMEHEADERS,0))="Alchemy","","Spells")))))}</f>
        <v>SPELL/ALCHEMY</v>
      </c>
      <c r="E1637" s="222" t="str">
        <f t="array" ref="E1637:E1638">{"SPELLLIST";(IF(D1638="Spells",((INDEX(ALLCLASSDATA,MATCH("CasterType",CLASSFEATUREHEADERS,0),MATCH(($A1638),CLASSNAMEHEADERS,0))) &amp; ":" &amp; (INDEX(ALLCLASSDATA,MATCH("SpellList",CLASSFEATUREHEADERS,0),MATCH(($A1638),CLASSNAMEHEADERS,0)))),""))}</f>
        <v>SPELLLIST</v>
      </c>
      <c r="F1637" s="223" t="str">
        <f t="array" ref="F1637:F1638">{"TOTALSLOTS";(IF(D1638="","","TotalSlots:"))}</f>
        <v>TOTALSLOTS</v>
      </c>
      <c r="G1637" s="223" t="str">
        <f t="array" ref="G1637:G1638">{"TOTALCANTRIPSLOTS";(G1634)}</f>
        <v>TOTALCANTRIPSLOTS</v>
      </c>
      <c r="H1637" s="223" t="str">
        <f t="array" ref="H1637:H1638">{"TOTALSLOTS L01";(H1634)}</f>
        <v>TOTALSLOTS L01</v>
      </c>
      <c r="I1637" s="223" t="str">
        <f t="array" ref="I1637:I1638">{"TOTALSLOTS L02";(H1638+I1634)}</f>
        <v>TOTALSLOTS L02</v>
      </c>
      <c r="J1637" s="223" t="str">
        <f t="array" ref="J1637:J1638">{"TOTALSLOTS L03";(I1638+J1634)}</f>
        <v>TOTALSLOTS L03</v>
      </c>
      <c r="K1637" s="223" t="str">
        <f t="array" ref="K1637:K1638">{"TOTALSLOTS L04";(J1638+K1634)}</f>
        <v>TOTALSLOTS L04</v>
      </c>
      <c r="L1637" s="223" t="str">
        <f t="array" ref="L1637:L1638">{"TOTALSLOTS L05";(K1638+L1634)}</f>
        <v>TOTALSLOTS L05</v>
      </c>
      <c r="M1637" s="223" t="str">
        <f t="array" ref="M1637:M1638">{"TOTALSLOTS L06";(L1638+M1634)}</f>
        <v>TOTALSLOTS L06</v>
      </c>
      <c r="N1637" s="223" t="str">
        <f t="array" ref="N1637:N1638">{"TOTALSLOTS L07";(M1638+N1634)}</f>
        <v>TOTALSLOTS L07</v>
      </c>
      <c r="O1637" s="223" t="str">
        <f t="array" ref="O1637:O1638">{"TOTALSLOTS L08";(N1638+O1634)}</f>
        <v>TOTALSLOTS L08</v>
      </c>
      <c r="P1637" s="223" t="str">
        <f t="array" ref="P1637:P1638">{"TOTALSLOTS L09";(O1638+P1634)}</f>
        <v>TOTALSLOTS L09</v>
      </c>
      <c r="Q1637" s="223" t="str">
        <f t="array" ref="Q1637:Q1638">{"TOTALSLOTS L10";(P1638+Q1634)}</f>
        <v>TOTALSLOTS L10</v>
      </c>
      <c r="R1637" s="223" t="str">
        <f t="array" ref="R1637:R1638">{"TOTALSLOTS L11";(Q1638+R1634)}</f>
        <v>TOTALSLOTS L11</v>
      </c>
      <c r="S1637" s="223" t="str">
        <f t="array" ref="S1637:S1638">{"TOTALSLOTS L12";(R1638+S1634)}</f>
        <v>TOTALSLOTS L12</v>
      </c>
      <c r="T1637" s="223" t="str">
        <f t="array" ref="T1637:T1638">{"TOTALSLOTS L13";(S1638+T1634)}</f>
        <v>TOTALSLOTS L13</v>
      </c>
      <c r="U1637" s="223" t="str">
        <f t="array" ref="U1637:U1638">{"TOTALSLOTS L14";(T1638+U1634)}</f>
        <v>TOTALSLOTS L14</v>
      </c>
      <c r="V1637" s="223" t="str">
        <f t="array" ref="V1637:V1638">{"TOTALSLOTS L15";(U1638+V1634)}</f>
        <v>TOTALSLOTS L15</v>
      </c>
      <c r="W1637" s="223" t="str">
        <f t="array" ref="W1637:W1638">{"TOTALSLOTS L16";(V1638+W1634)}</f>
        <v>TOTALSLOTS L16</v>
      </c>
      <c r="X1637" s="223" t="str">
        <f t="array" ref="X1637:X1638">{"TOTALSLOTS L17";(W1638+X1634)}</f>
        <v>TOTALSLOTS L17</v>
      </c>
      <c r="Y1637" s="223" t="str">
        <f t="array" ref="Y1637:Y1638">{"TOTALSLOTS L18";(X1638+Y1634)}</f>
        <v>TOTALSLOTS L18</v>
      </c>
      <c r="Z1637" s="223" t="str">
        <f t="array" ref="Z1637:Z1638">{"TOTALSLOTS L19";(Y1638+Z1634)}</f>
        <v>TOTALSLOTS L19</v>
      </c>
      <c r="AA1637" s="223" t="str">
        <f t="array" ref="AA1637:AA1638">{"TOTALSLOTS L20";(Z1638+AA1634)}</f>
        <v>TOTALSLOTS L20</v>
      </c>
      <c r="AB1637" s="76"/>
      <c r="AC1637" s="76"/>
    </row>
    <row r="1638">
      <c r="A1638" s="48" t="s">
        <v>223</v>
      </c>
      <c r="B1638" s="48"/>
      <c r="C1638" s="48" t="s">
        <v>418</v>
      </c>
      <c r="D1638" s="48" t="s">
        <v>1901</v>
      </c>
      <c r="E1638" s="48" t="s">
        <v>1933</v>
      </c>
      <c r="F1638" s="278" t="s">
        <v>1910</v>
      </c>
      <c r="G1638" s="280"/>
      <c r="H1638" s="278" t="s">
        <v>1538</v>
      </c>
      <c r="I1638" s="278">
        <v>3.0</v>
      </c>
      <c r="J1638" s="278">
        <v>5.0</v>
      </c>
      <c r="K1638" s="278">
        <v>6.0</v>
      </c>
      <c r="L1638" s="278">
        <v>8.0</v>
      </c>
      <c r="M1638" s="278">
        <v>9.0</v>
      </c>
      <c r="N1638" s="278">
        <v>11.0</v>
      </c>
      <c r="O1638" s="278">
        <v>12.0</v>
      </c>
      <c r="P1638" s="278">
        <v>14.0</v>
      </c>
      <c r="Q1638" s="278">
        <v>15.0</v>
      </c>
      <c r="R1638" s="278">
        <v>17.0</v>
      </c>
      <c r="S1638" s="278">
        <v>18.0</v>
      </c>
      <c r="T1638" s="278">
        <v>20.0</v>
      </c>
      <c r="U1638" s="278">
        <v>21.0</v>
      </c>
      <c r="V1638" s="278">
        <v>23.0</v>
      </c>
      <c r="W1638" s="278">
        <v>24.0</v>
      </c>
      <c r="X1638" s="278">
        <v>26.0</v>
      </c>
      <c r="Y1638" s="278">
        <v>27.0</v>
      </c>
      <c r="Z1638" s="278">
        <v>28.0</v>
      </c>
      <c r="AA1638" s="278">
        <v>28.0</v>
      </c>
      <c r="AB1638" s="5"/>
      <c r="AC1638" s="47"/>
    </row>
    <row r="1639" hidden="1">
      <c r="A1639" s="222" t="str">
        <f t="array" ref="A1639:A1640">{"FormulaRow45";(INDEX(CLASSLIST,A1550,1))}</f>
        <v>FormulaRow45</v>
      </c>
      <c r="B1639" s="77" t="s">
        <v>236</v>
      </c>
      <c r="C1639" s="222" t="str">
        <f t="array" ref="C1639:C1640">{"CLASSTYPE";((INDEX(ALLCLASSDATA,MATCH("ClassType",CLASSFEATUREHEADERS,0),MATCH($A1640,CLASSNAMEHEADERS,0))))}</f>
        <v>CLASSTYPE</v>
      </c>
      <c r="D1639" s="222" t="str">
        <f t="array" ref="D1639:D1640">{"SPELL/ALCHEMY";((IF(INDEX(ALLCLASSDATA,MATCH("CasterType",CLASSFEATUREHEADERS,0),MATCH(($A1640),CLASSNAMEHEADERS,0))="","",(IF(INDEX(ALLCLASSDATA,MATCH("CasterType",CLASSFEATUREHEADERS,0),MATCH(($A1640),CLASSNAMEHEADERS,0))="Alchemy","Alchemy","Spells")))))}</f>
        <v>SPELL/ALCHEMY</v>
      </c>
      <c r="E1639" s="222" t="str">
        <f t="array" ref="E1639:E1640">{"SPELLLIST";(IF(D1640="Spells",((INDEX(ALLCLASSDATA,MATCH("CasterType",CLASSFEATUREHEADERS,0),MATCH(($A1640),CLASSNAMEHEADERS,0))) &amp; ":" &amp; (INDEX(ALLCLASSDATA,MATCH("SpellList",CLASSFEATUREHEADERS,0),MATCH(($A1640),CLASSNAMEHEADERS,0)))),""))}</f>
        <v>SPELLLIST</v>
      </c>
      <c r="F1639" s="223" t="str">
        <f t="array" ref="F1639:F1640">{"TOTALLEARNED";(IF(D1640="","","TotalLearned:"))}</f>
        <v>TOTALLEARNED</v>
      </c>
      <c r="G1639" s="223" t="str">
        <f t="array" ref="G1639:G1640">{"TOTALCANTRIPSLEARNED";(G1636)}</f>
        <v>TOTALCANTRIPSLEARNED</v>
      </c>
      <c r="H1639" s="223" t="str">
        <f t="array" ref="H1639:H1640">{"TOTALLEARNED L01";(H1636)}</f>
        <v>TOTALLEARNED L01</v>
      </c>
      <c r="I1639" s="223" t="str">
        <f t="array" ref="I1639:I1640">{"TOTALLEARNED L02";(H1640+I1636)}</f>
        <v>TOTALLEARNED L02</v>
      </c>
      <c r="J1639" s="223" t="str">
        <f t="array" ref="J1639:J1640">{"TOTALLEARNED L03";(I1640+J1636)}</f>
        <v>TOTALLEARNED L03</v>
      </c>
      <c r="K1639" s="223" t="str">
        <f t="array" ref="K1639:K1640">{"TOTALLEARNED L04";(J1640+K1636)}</f>
        <v>TOTALLEARNED L04</v>
      </c>
      <c r="L1639" s="223" t="str">
        <f t="array" ref="L1639:L1640">{"TOTALLEARNED L05";(K1640+L1636)}</f>
        <v>TOTALLEARNED L05</v>
      </c>
      <c r="M1639" s="223" t="str">
        <f t="array" ref="M1639:M1640">{"TOTALLEARNED L06";(L1640+M1636)}</f>
        <v>TOTALLEARNED L06</v>
      </c>
      <c r="N1639" s="223" t="str">
        <f t="array" ref="N1639:N1640">{"TOTALLEARNED L07";(M1640+N1636)}</f>
        <v>TOTALLEARNED L07</v>
      </c>
      <c r="O1639" s="223" t="str">
        <f t="array" ref="O1639:O1640">{"TOTALLEARNED L08";(N1640+O1636)}</f>
        <v>TOTALLEARNED L08</v>
      </c>
      <c r="P1639" s="223" t="str">
        <f t="array" ref="P1639:P1640">{"TOTALLEARNED L09";(O1640+P1636)}</f>
        <v>TOTALLEARNED L09</v>
      </c>
      <c r="Q1639" s="223" t="str">
        <f t="array" ref="Q1639:Q1640">{"TOTALLEARNED L10";(P1640+Q1636)}</f>
        <v>TOTALLEARNED L10</v>
      </c>
      <c r="R1639" s="223" t="str">
        <f t="array" ref="R1639:R1640">{"TOTALLEARNED L11";(Q1640+R1636)}</f>
        <v>TOTALLEARNED L11</v>
      </c>
      <c r="S1639" s="223" t="str">
        <f t="array" ref="S1639:S1640">{"TOTALLEARNED L12";(R1640+S1636)}</f>
        <v>TOTALLEARNED L12</v>
      </c>
      <c r="T1639" s="223" t="str">
        <f t="array" ref="T1639:T1640">{"TOTALLEARNED L13";(S1640+T1636)}</f>
        <v>TOTALLEARNED L13</v>
      </c>
      <c r="U1639" s="223" t="str">
        <f t="array" ref="U1639:U1640">{"TOTALLEARNED L14";(T1640+U1636)}</f>
        <v>TOTALLEARNED L14</v>
      </c>
      <c r="V1639" s="223" t="str">
        <f t="array" ref="V1639:V1640">{"TOTALLEARNED L15";(U1640+V1636)}</f>
        <v>TOTALLEARNED L15</v>
      </c>
      <c r="W1639" s="223" t="str">
        <f t="array" ref="W1639:W1640">{"TOTALLEARNED L16";(V1640+W1636)}</f>
        <v>TOTALLEARNED L16</v>
      </c>
      <c r="X1639" s="223" t="str">
        <f t="array" ref="X1639:X1640">{"TOTALLEARNED L17";(W1640+X1636)}</f>
        <v>TOTALLEARNED L17</v>
      </c>
      <c r="Y1639" s="223" t="str">
        <f t="array" ref="Y1639:Y1640">{"TOTALLEARNED L18";(X1640+Y1636)}</f>
        <v>TOTALLEARNED L18</v>
      </c>
      <c r="Z1639" s="223" t="str">
        <f t="array" ref="Z1639:Z1640">{"TOTALLEARNED L19";(Y1640+Z1636)}</f>
        <v>TOTALLEARNED L19</v>
      </c>
      <c r="AA1639" s="223" t="str">
        <f t="array" ref="AA1639:AA1640">{"TOTALLEARNED L20";(Z1640+AA1636)}</f>
        <v>TOTALLEARNED L20</v>
      </c>
      <c r="AB1639" s="76"/>
      <c r="AC1639" s="76"/>
    </row>
    <row r="1640">
      <c r="A1640" s="97" t="s">
        <v>223</v>
      </c>
      <c r="B1640" s="97"/>
      <c r="C1640" s="97" t="s">
        <v>418</v>
      </c>
      <c r="D1640" s="97" t="s">
        <v>1901</v>
      </c>
      <c r="E1640" s="97" t="s">
        <v>1933</v>
      </c>
      <c r="F1640" s="281" t="s">
        <v>1911</v>
      </c>
      <c r="G1640" s="282" t="s">
        <v>1533</v>
      </c>
      <c r="H1640" s="278" t="s">
        <v>1538</v>
      </c>
      <c r="I1640" s="278">
        <v>3.0</v>
      </c>
      <c r="J1640" s="278">
        <v>5.0</v>
      </c>
      <c r="K1640" s="278">
        <v>6.0</v>
      </c>
      <c r="L1640" s="278">
        <v>8.0</v>
      </c>
      <c r="M1640" s="278">
        <v>9.0</v>
      </c>
      <c r="N1640" s="278">
        <v>11.0</v>
      </c>
      <c r="O1640" s="278">
        <v>12.0</v>
      </c>
      <c r="P1640" s="278">
        <v>14.0</v>
      </c>
      <c r="Q1640" s="278">
        <v>15.0</v>
      </c>
      <c r="R1640" s="278">
        <v>17.0</v>
      </c>
      <c r="S1640" s="278">
        <v>18.0</v>
      </c>
      <c r="T1640" s="278">
        <v>20.0</v>
      </c>
      <c r="U1640" s="278">
        <v>21.0</v>
      </c>
      <c r="V1640" s="278">
        <v>23.0</v>
      </c>
      <c r="W1640" s="278">
        <v>24.0</v>
      </c>
      <c r="X1640" s="278">
        <v>26.0</v>
      </c>
      <c r="Y1640" s="278">
        <v>27.0</v>
      </c>
      <c r="Z1640" s="278">
        <v>29.0</v>
      </c>
      <c r="AA1640" s="278">
        <v>29.0</v>
      </c>
      <c r="AB1640" s="5"/>
      <c r="AC1640" s="47"/>
    </row>
    <row r="1641">
      <c r="A1641" s="55">
        <f>VLOOKUP($C1641, CLASSNUMBERFINDER, 2, false)</f>
        <v>19</v>
      </c>
      <c r="B1641" s="58"/>
      <c r="C1641" s="70" t="s">
        <v>225</v>
      </c>
      <c r="D1641" s="71"/>
      <c r="E1641" s="71"/>
      <c r="F1641" s="71"/>
      <c r="G1641" s="72"/>
      <c r="H1641" s="71"/>
      <c r="I1641" s="71"/>
      <c r="J1641" s="71"/>
      <c r="K1641" s="71"/>
      <c r="L1641" s="71"/>
      <c r="M1641" s="71"/>
      <c r="N1641" s="71"/>
      <c r="O1641" s="71"/>
      <c r="P1641" s="71"/>
      <c r="Q1641" s="71"/>
      <c r="R1641" s="71"/>
      <c r="S1641" s="71"/>
      <c r="T1641" s="71"/>
      <c r="U1641" s="71"/>
      <c r="V1641" s="71"/>
      <c r="W1641" s="71"/>
      <c r="X1641" s="71"/>
      <c r="Y1641" s="71"/>
      <c r="Z1641" s="71"/>
      <c r="AA1641" s="71"/>
      <c r="AB1641" s="71"/>
      <c r="AC1641" s="73"/>
    </row>
    <row r="1642" hidden="1">
      <c r="A1642" s="76" t="str">
        <f t="array" ref="A1642:A1643">{"FormulaRow01";(INDEX(CLASSLIST,A1641,1))}</f>
        <v>FormulaRow01</v>
      </c>
      <c r="B1642" s="77" t="s">
        <v>236</v>
      </c>
      <c r="C1642" s="76" t="str">
        <f t="array" ref="C1642:C1643">{"CLASSTYPE";(INDEX(ALLCLASSDATA,MATCH("ClassType",CLASSFEATUREHEADERS,0),MATCH($A1643,CLASSNAMEHEADERS,0)))}</f>
        <v>CLASSTYPE</v>
      </c>
      <c r="D1642" s="81" t="str">
        <f t="array" ref="D1642:D1643">{"TOTAL";("Total: " &amp; H1643+J1643+L1643+N1643+P1643+R1643+T1643+V1643+X1643+Z1643)}</f>
        <v>TOTAL</v>
      </c>
      <c r="E1642" s="81" t="str">
        <f t="array" ref="E1642:E1643">{"BALANCE";(IF((H1643+J1643+L1643+N1643+P1643+R1643+T1643+V1643+X1643+Z1643)=2100,"(balanced)",(IF((H1643+J1643+L1643+N1643+P1643+R1643+T1643+V1643+X1643+Z1643)&gt;2100,"OVERBUDGET: ","UNDERBUDGET: ")) &amp; (H1643+J1643+L1643+N1643+P1643+R1643+T1643+V1643+X1643+Z1643-2100)))}</f>
        <v>BALANCE</v>
      </c>
      <c r="F1642" s="81"/>
      <c r="G1642" s="81"/>
      <c r="H1642" s="81" t="str">
        <f t="array" ref="H1642:H1643">{"SUM LVL0/1/2";((SUMIF(F1644:I1723,"&lt;&gt;#REF!")+(SUMIF(J1644:AA1651,"&lt;&gt;#REF!"))))}</f>
        <v>SUM LVL0/1/2</v>
      </c>
      <c r="I1642" s="81"/>
      <c r="J1642" s="81" t="str">
        <f t="array" ref="J1642:J1643">{"SUM LVL3/4";(SUMIF(J1652:K1723,"&lt;&gt;#REF!"))}</f>
        <v>SUM LVL3/4</v>
      </c>
      <c r="K1642" s="81"/>
      <c r="L1642" s="81" t="str">
        <f t="array" ref="L1642:L1643">{"SUM LVL5/6";(SUMIF(L1652:M1723,"&lt;&gt;#REF!"))}</f>
        <v>SUM LVL5/6</v>
      </c>
      <c r="M1642" s="81"/>
      <c r="N1642" s="81" t="str">
        <f t="array" ref="N1642:N1643">{"SUM LVL7/8";(SUMIF(N1652:O1723,"&lt;&gt;#REF!"))}</f>
        <v>SUM LVL7/8</v>
      </c>
      <c r="O1642" s="81"/>
      <c r="P1642" s="81" t="str">
        <f t="array" ref="P1642:P1643">{"SUM LVL9/10";(SUMIF(P1652:Q1723,"&lt;&gt;#REF!"))}</f>
        <v>SUM LVL9/10</v>
      </c>
      <c r="Q1642" s="81"/>
      <c r="R1642" s="81" t="str">
        <f t="array" ref="R1642:R1643">{"SUM LVL11/12";(SUMIF(R1652:S1723,"&lt;&gt;#REF!"))}</f>
        <v>SUM LVL11/12</v>
      </c>
      <c r="S1642" s="81"/>
      <c r="T1642" s="81" t="str">
        <f t="array" ref="T1642:T1643">{"SUM LVL13/14";(SUMIF(T1652:U1723,"&lt;&gt;#REF!"))}</f>
        <v>SUM LVL13/14</v>
      </c>
      <c r="U1642" s="81"/>
      <c r="V1642" s="81" t="str">
        <f t="array" ref="V1642:V1643">{"SUM LVL15/16";(SUMIF(V1652:W1723,"&lt;&gt;#REF!"))}</f>
        <v>SUM LVL15/16</v>
      </c>
      <c r="W1642" s="81"/>
      <c r="X1642" s="81" t="str">
        <f t="array" ref="X1642:X1643">{"SUM LVL17/18";(SUMIF(X1652:Y1723,"&lt;&gt;#REF!"))}</f>
        <v>SUM LVL17/18</v>
      </c>
      <c r="Y1642" s="81"/>
      <c r="Z1642" s="81" t="str">
        <f t="array" ref="Z1642:Z1643">{"SUM LVL19/20";(SUMIF(Z1652:AA1723,"&lt;&gt;#REF!"))}</f>
        <v>SUM LVL19/20</v>
      </c>
      <c r="AA1642" s="81"/>
      <c r="AB1642" s="76"/>
      <c r="AC1642" s="76" t="str">
        <f t="array" ref="AC1642:AC1643">{"SUM ROWTOTALS";(SUMIF(AC1645:AC1731,"&lt;&gt;#REF!"))}</f>
        <v>SUM ROWTOTALS</v>
      </c>
    </row>
    <row r="1643">
      <c r="A1643" s="48" t="s">
        <v>225</v>
      </c>
      <c r="B1643" s="48"/>
      <c r="C1643" s="48" t="s">
        <v>418</v>
      </c>
      <c r="D1643" s="91" t="s">
        <v>1924</v>
      </c>
      <c r="E1643" s="92" t="s">
        <v>1925</v>
      </c>
      <c r="F1643" s="91"/>
      <c r="G1643" s="93"/>
      <c r="H1643" s="92">
        <v>390.0</v>
      </c>
      <c r="I1643" s="92"/>
      <c r="J1643" s="92">
        <v>190.0</v>
      </c>
      <c r="K1643" s="92"/>
      <c r="L1643" s="92">
        <v>140.0</v>
      </c>
      <c r="M1643" s="92"/>
      <c r="N1643" s="92">
        <v>140.0</v>
      </c>
      <c r="O1643" s="92"/>
      <c r="P1643" s="92">
        <v>90.0</v>
      </c>
      <c r="Q1643" s="92"/>
      <c r="R1643" s="92">
        <v>300.0</v>
      </c>
      <c r="S1643" s="92"/>
      <c r="T1643" s="92">
        <v>160.0</v>
      </c>
      <c r="U1643" s="92"/>
      <c r="V1643" s="92">
        <v>200.0</v>
      </c>
      <c r="W1643" s="92"/>
      <c r="X1643" s="92">
        <v>90.0</v>
      </c>
      <c r="Y1643" s="92"/>
      <c r="Z1643" s="92">
        <v>380.0</v>
      </c>
      <c r="AA1643" s="92"/>
      <c r="AB1643" s="5"/>
      <c r="AC1643" s="47">
        <v>2080.0</v>
      </c>
    </row>
    <row r="1644" hidden="1">
      <c r="A1644" s="76" t="str">
        <f t="array" ref="A1644:A1645">{"FormulaRow02";(INDEX(CLASSLIST,A1641,1))}</f>
        <v>FormulaRow02</v>
      </c>
      <c r="B1644" s="77" t="s">
        <v>236</v>
      </c>
      <c r="C1644" s="76" t="str">
        <f t="array" ref="C1644:C1645">{"CLASSTYPE";((INDEX(ALLCLASSDATA,MATCH("ClassType",CLASSFEATUREHEADERS,0),MATCH($A1645,CLASSNAMEHEADERS,0))))}</f>
        <v>CLASSTYPE</v>
      </c>
      <c r="D1644" s="81" t="str">
        <f t="array" ref="D1644:D1645">{"FEATURES";"Features"}</f>
        <v>FEATURES</v>
      </c>
      <c r="E1644" s="81" t="str">
        <f t="array" ref="E1644:E1645">{"INITIALFEATURES";"Initial Features"}</f>
        <v>INITIALFEATURES</v>
      </c>
      <c r="F1644" s="81" t="str">
        <f t="array" ref="F1644:F1645">{"KEY";"Key"}</f>
        <v>KEY</v>
      </c>
      <c r="G1644" s="81" t="str">
        <f t="array" ref="G1644:G1645">{"HP";"HP"}</f>
        <v>HP</v>
      </c>
      <c r="H1644" s="81" t="str">
        <f t="array" ref="H1644:H1645">{"CLASSFEATL01";"ClassFeatL01"}</f>
        <v>CLASSFEATL01</v>
      </c>
      <c r="I1644" s="81" t="str">
        <f t="array" ref="I1644:I1645">{"SHIELDBLOCKL01";"ShieldBlockL01"}</f>
        <v>SHIELDBLOCKL01</v>
      </c>
      <c r="J1644" s="81" t="str">
        <f t="array" ref="J1644:J1645">{"INITIALSKILLS";"InitialSkills"}</f>
        <v>INITIALSKILLS</v>
      </c>
      <c r="K1644" s="81" t="str">
        <f t="array" ref="K1644:K1645">{"SUBCLASSSKILLS";"SubclassSkills"}</f>
        <v>SUBCLASSSKILLS</v>
      </c>
      <c r="L1644" s="81" t="str">
        <f t="array" ref="L1644:L1645">{"GRANTEDSKILLS";"GrantedSkills"}</f>
        <v>GRANTEDSKILLS</v>
      </c>
      <c r="M1644" s="81"/>
      <c r="N1644" s="81"/>
      <c r="O1644" s="81"/>
      <c r="P1644" s="81" t="str">
        <f t="array" ref="P1644:P1645">{"FOCUSSPELLS";"FocusSpells:"}</f>
        <v>FOCUSSPELLS</v>
      </c>
      <c r="Q1644" s="81" t="str">
        <f t="array" ref="Q1644:Q1645">{"FOCUSSPELL1-L00";((INDEX(ALLCLASSDATA,MATCH("FocusSpell1-L00",CLASSFEATUREHEADERS,0),MATCH(($A1645),CLASSNAMEHEADERS,0))))}</f>
        <v>FOCUSSPELL1-L00</v>
      </c>
      <c r="R1644" s="81" t="str">
        <f t="array" ref="R1644:R1645">{"FOCUSSPELL2-L00";((INDEX(ALLCLASSDATA,MATCH("FocusSpell2-L00",CLASSFEATUREHEADERS,0),MATCH(($A1645),CLASSNAMEHEADERS,0))))}</f>
        <v>FOCUSSPELL2-L00</v>
      </c>
      <c r="S1644" s="81" t="str">
        <f t="array" ref="S1644:S1645">{"FOCUSSPELL3-L00";((INDEX(ALLCLASSDATA,MATCH("FocusSpell3-L00",CLASSFEATUREHEADERS,0),MATCH(($A1645),CLASSNAMEHEADERS,0))))}</f>
        <v>FOCUSSPELL3-L00</v>
      </c>
      <c r="T1644" s="81" t="str">
        <f t="array" ref="T1644:T1645">{"FOCUSSPELL4-L00";((INDEX(ALLCLASSDATA,MATCH("FocusSpell4-L00",CLASSFEATUREHEADERS,0),MATCH(($A1645),CLASSNAMEHEADERS,0))))}</f>
        <v>FOCUSSPELL4-L00</v>
      </c>
      <c r="U1644" s="81" t="str">
        <f t="array" ref="U1644:U1645">{"FOCUSSPELL5-L00";((INDEX(ALLCLASSDATA,MATCH("FocusSpell5-L00",CLASSFEATUREHEADERS,0),MATCH(($A1645),CLASSNAMEHEADERS,0))))}</f>
        <v>FOCUSSPELL5-L00</v>
      </c>
      <c r="V1644" s="81"/>
      <c r="W1644" s="81"/>
      <c r="X1644" s="81"/>
      <c r="Y1644" s="81"/>
      <c r="Z1644" s="81"/>
      <c r="AA1644" s="81"/>
      <c r="AB1644" s="76"/>
      <c r="AC1644" s="76"/>
    </row>
    <row r="1645">
      <c r="A1645" s="48" t="s">
        <v>225</v>
      </c>
      <c r="B1645" s="48"/>
      <c r="C1645" s="48" t="s">
        <v>418</v>
      </c>
      <c r="D1645" s="48" t="s">
        <v>467</v>
      </c>
      <c r="E1645" s="48" t="s">
        <v>468</v>
      </c>
      <c r="F1645" s="48" t="s">
        <v>469</v>
      </c>
      <c r="G1645" s="114" t="s">
        <v>15</v>
      </c>
      <c r="H1645" s="8" t="s">
        <v>451</v>
      </c>
      <c r="I1645" s="8" t="s">
        <v>463</v>
      </c>
      <c r="J1645" s="8" t="s">
        <v>473</v>
      </c>
      <c r="K1645" s="8" t="s">
        <v>474</v>
      </c>
      <c r="L1645" s="8" t="s">
        <v>475</v>
      </c>
      <c r="M1645" s="8"/>
      <c r="N1645" s="8"/>
      <c r="O1645" s="8"/>
      <c r="P1645" s="8" t="s">
        <v>476</v>
      </c>
      <c r="Q1645" s="116" t="s">
        <v>1600</v>
      </c>
      <c r="R1645" s="116"/>
      <c r="S1645" s="116"/>
      <c r="T1645" s="116"/>
      <c r="U1645" s="116"/>
      <c r="V1645" s="8"/>
      <c r="W1645" s="8"/>
      <c r="X1645" s="8"/>
      <c r="Y1645" s="8"/>
      <c r="Z1645" s="5"/>
      <c r="AA1645" s="5"/>
      <c r="AB1645" s="5"/>
      <c r="AC1645" s="47"/>
    </row>
    <row r="1646" hidden="1">
      <c r="A1646" s="76" t="str">
        <f t="array" ref="A1646:A1647">{"FormulaRow03";(INDEX(CLASSLIST,A1641,1))}</f>
        <v>FormulaRow03</v>
      </c>
      <c r="B1646" s="77" t="s">
        <v>236</v>
      </c>
      <c r="C1646" s="76" t="str">
        <f t="array" ref="C1646:C1647">{"CLASSTYPE";((INDEX(ALLCLASSDATA,MATCH("ClassType",CLASSFEATUREHEADERS,0),MATCH($A1647,CLASSNAMEHEADERS,0))))}</f>
        <v>CLASSTYPE</v>
      </c>
      <c r="D1646" s="76" t="str">
        <f t="array" ref="D1646:D1647">{"FEATUREPTS";"FeaturesPts"}</f>
        <v>FEATUREPTS</v>
      </c>
      <c r="E1646" s="76" t="str">
        <f t="array" ref="E1646:E1647">{"INITIALFEATURES";"Initial Features"}</f>
        <v>INITIALFEATURES</v>
      </c>
      <c r="F1646" s="76" t="str">
        <f t="array" ref="F1646:F1647">{"KEYABILITY";((INDEX(ALLCLASSDATA,MATCH("KEYABILITY",CLASSFEATUREHEADERS,0),MATCH($A1647,CLASSNAMEHEADERS,0))))}</f>
        <v>KEYABILITY</v>
      </c>
      <c r="G1646" s="76" t="str">
        <f t="array" ref="G1646:G1647">{"HP";((INDEX(ALLCLASSDATA,MATCH("HP",CLASSFEATUREHEADERS,0),MATCH(($A1647 &amp; "Points"),CLASSNAMEHEADERS,0))))}</f>
        <v>HP</v>
      </c>
      <c r="H1646" s="76" t="str">
        <f t="array" ref="H1646:H1647">{"CLASSFEATL01";((INDEX(ALLCLASSDATA,MATCH("ClassFeatL01",CLASSFEATUREHEADERS,0),MATCH(($A1647 &amp; "Points"),CLASSNAMEHEADERS,0))))}</f>
        <v>CLASSFEATL01</v>
      </c>
      <c r="I1646" s="76" t="str">
        <f t="array" ref="I1646:I1647">{"SHIELDBLOCKL01";((INDEX(ALLCLASSDATA,MATCH("ShieldBlockL01",CLASSFEATUREHEADERS,0),MATCH(($A1647 &amp; "Points"),CLASSNAMEHEADERS,0))))}</f>
        <v>SHIELDBLOCKL01</v>
      </c>
      <c r="J1646" s="76" t="str">
        <f t="array" ref="J1646:J1647">{"INITIALSKILLINCREASES";((INDEX(ALLCLASSDATA,MATCH("InitialSkillIncreases",CLASSFEATUREHEADERS,0),MATCH(($A1647 &amp; "Points"),CLASSNAMEHEADERS,0))))}</f>
        <v>INITIALSKILLINCREASES</v>
      </c>
      <c r="K1646" s="76" t="str">
        <f t="array" ref="K1646:K1647">{"SUBCLASSSKILLINCREASES";((INDEX(ALLCLASSDATA,MATCH("SubclassSkillIncreases",CLASSFEATUREHEADERS,0),MATCH(($A1647 &amp; "Points"),CLASSNAMEHEADERS,0))))}</f>
        <v>SUBCLASSSKILLINCREASES</v>
      </c>
      <c r="L1646" s="76" t="str">
        <f t="array" ref="L1646:L1647">{"GRANTEDSKILLS";(((INDEX(ALLCLASSDATA,MATCH("SkillsGrantedTotal",CLASSFEATUREHEADERS,0),MATCH(($A1647 &amp; "Points"),CLASSNAMEHEADERS,0)))-(INDEX(ALLCLASSDATA,MATCH("InitialSkillIncreases",CLASSFEATUREHEADERS,0),MATCH(($A1647 &amp; "Points"),CLASSNAMEHEADERS,0)))-(INDEX(ALLCLASSDATA,MATCH("SubclassSkillIncreases",CLASSFEATUREHEADERS,0),MATCH(($A1647 &amp; "Points"),CLASSNAMEHEADERS,0)))))}</f>
        <v>GRANTEDSKILLS</v>
      </c>
      <c r="M1646" s="76"/>
      <c r="N1646" s="76"/>
      <c r="O1646" s="76"/>
      <c r="P1646" s="76"/>
      <c r="Q1646" s="76" t="str">
        <f t="array" ref="Q1646:Q1647">{"FOCUSSPELL1-L00";((INDEX(ALLCLASSDATA,MATCH("FocusSpell1-L00",CLASSFEATUREHEADERS,0),MATCH(($A1647 &amp; "Points"),CLASSNAMEHEADERS,0))))}</f>
        <v>FOCUSSPELL1-L00</v>
      </c>
      <c r="R1646" s="76" t="str">
        <f t="array" ref="R1646:R1647">{"FOCUSSPELL2-L00";((INDEX(ALLCLASSDATA,MATCH("FocusSpell2-L00",CLASSFEATUREHEADERS,0),MATCH(($A1647 &amp; "Points"),CLASSNAMEHEADERS,0))))}</f>
        <v>FOCUSSPELL2-L00</v>
      </c>
      <c r="S1646" s="76" t="str">
        <f t="array" ref="S1646:S1647">{"FOCUSSPELL3-L00";((INDEX(ALLCLASSDATA,MATCH("FocusSpell3-L00",CLASSFEATUREHEADERS,0),MATCH(($A1647 &amp; "Points"),CLASSNAMEHEADERS,0))))}</f>
        <v>FOCUSSPELL3-L00</v>
      </c>
      <c r="T1646" s="76" t="str">
        <f t="array" ref="T1646:T1647">{"FOCUSSPELL4-L00";((INDEX(ALLCLASSDATA,MATCH("FocusSpell4-L00",CLASSFEATUREHEADERS,0),MATCH(($A1647 &amp; "Points"),CLASSNAMEHEADERS,0))))}</f>
        <v>FOCUSSPELL4-L00</v>
      </c>
      <c r="U1646" s="76" t="str">
        <f t="array" ref="U1646:U1647">{"FOCUSSPELL5-L00";((INDEX(ALLCLASSDATA,MATCH("FocusSpell5-L00",CLASSFEATUREHEADERS,0),MATCH(($A1647 &amp; "Points"),CLASSNAMEHEADERS,0))))}</f>
        <v>FOCUSSPELL5-L00</v>
      </c>
      <c r="V1646" s="76"/>
      <c r="W1646" s="76"/>
      <c r="X1646" s="76"/>
      <c r="Y1646" s="76"/>
      <c r="Z1646" s="76"/>
      <c r="AA1646" s="76"/>
      <c r="AB1646" s="76"/>
      <c r="AC1646" s="76" t="str">
        <f t="array" ref="AC1646:AC1647">{"FEATUREPTS TOTAL";(sum(G1647:AA1647))}</f>
        <v>FEATUREPTS TOTAL</v>
      </c>
    </row>
    <row r="1647">
      <c r="A1647" s="48" t="s">
        <v>225</v>
      </c>
      <c r="B1647" s="48"/>
      <c r="C1647" s="48" t="s">
        <v>418</v>
      </c>
      <c r="D1647" s="97" t="s">
        <v>559</v>
      </c>
      <c r="E1647" s="97" t="s">
        <v>468</v>
      </c>
      <c r="F1647" s="97" t="s">
        <v>263</v>
      </c>
      <c r="G1647" s="132">
        <v>80.0</v>
      </c>
      <c r="H1647" s="98">
        <v>10.0</v>
      </c>
      <c r="I1647" s="98">
        <v>10.0</v>
      </c>
      <c r="J1647" s="98">
        <v>10.0</v>
      </c>
      <c r="K1647" s="98">
        <v>5.0</v>
      </c>
      <c r="L1647" s="98">
        <v>5.0</v>
      </c>
      <c r="M1647" s="98"/>
      <c r="N1647" s="98"/>
      <c r="O1647" s="98"/>
      <c r="P1647" s="98"/>
      <c r="Q1647" s="98">
        <v>10.0</v>
      </c>
      <c r="R1647" s="98"/>
      <c r="S1647" s="98"/>
      <c r="T1647" s="98"/>
      <c r="U1647" s="98"/>
      <c r="V1647" s="98"/>
      <c r="W1647" s="98"/>
      <c r="X1647" s="98"/>
      <c r="Y1647" s="98"/>
      <c r="Z1647" s="98"/>
      <c r="AA1647" s="98"/>
      <c r="AB1647" s="5"/>
      <c r="AC1647" s="47">
        <v>130.0</v>
      </c>
    </row>
    <row r="1648" hidden="1">
      <c r="A1648" s="76" t="str">
        <f t="array" ref="A1648:A1649">{"FormulaRow04";(INDEX(CLASSLIST,A1641,1))}</f>
        <v>FormulaRow04</v>
      </c>
      <c r="B1648" s="77" t="s">
        <v>236</v>
      </c>
      <c r="C1648" s="76" t="str">
        <f t="array" ref="C1648:C1649">{"CLASSTYPE";((INDEX(ALLCLASSDATA,MATCH("ClassType",CLASSFEATUREHEADERS,0),MATCH($A1649,CLASSNAMEHEADERS,0))))}</f>
        <v>CLASSTYPE</v>
      </c>
      <c r="D1648" s="81" t="str">
        <f t="array" ref="D1648:D1649">{"INITIALFEATURES";"InitialFeatures"}</f>
        <v>INITIALFEATURES</v>
      </c>
      <c r="E1648" s="81" t="str">
        <f t="array" ref="E1648:E1649">{"CLASS/SUBCLASSFEATURES";"Class/Subclass Features"}</f>
        <v>CLASS/SUBCLASSFEATURES</v>
      </c>
      <c r="F1648" s="81"/>
      <c r="G1648" s="136"/>
      <c r="H1648" s="81" t="str">
        <f t="array" ref="H1648:H1649">{"CLASSINITIALABILITY1-L00";((INDEX(ALLCLASSDATA,MATCH("ClassInitialAbility1-L00",CLASSFEATUREHEADERS,0),MATCH(($A1649),CLASSNAMEHEADERS,0))))}</f>
        <v>CLASSINITIALABILITY1-L00</v>
      </c>
      <c r="I1648" s="81" t="str">
        <f t="array" ref="I1648:I1649">{"CLASSINITIALABILITY2-L00";((INDEX(ALLCLASSDATA,MATCH("ClassInitialAbility2-L00",CLASSFEATUREHEADERS,0),MATCH(($A1649),CLASSNAMEHEADERS,0))))}</f>
        <v>CLASSINITIALABILITY2-L00</v>
      </c>
      <c r="J1648" s="81" t="str">
        <f t="array" ref="J1648:J1649">{"CLASSINITIALABILITY3-L00";((INDEX(ALLCLASSDATA,MATCH("ClassInitialAbility3-L00",CLASSFEATUREHEADERS,0),MATCH(($A1649),CLASSNAMEHEADERS,0))))}</f>
        <v>CLASSINITIALABILITY3-L00</v>
      </c>
      <c r="K1648" s="81" t="str">
        <f t="array" ref="K1648:K1649">{"CLASSINITIALABILITY4-L00";((INDEX(ALLCLASSDATA,MATCH("ClassInitialAbility4-L00",CLASSFEATUREHEADERS,0),MATCH(($A1649),CLASSNAMEHEADERS,0))))}</f>
        <v>CLASSINITIALABILITY4-L00</v>
      </c>
      <c r="L1648" s="81" t="str">
        <f t="array" ref="L1648:L1649">{"CLASSINITIALABILITY5-L00";((INDEX(ALLCLASSDATA,MATCH("ClassInitialAbility5-L00",CLASSFEATUREHEADERS,0),MATCH(($A1649),CLASSNAMEHEADERS,0))))}</f>
        <v>CLASSINITIALABILITY5-L00</v>
      </c>
      <c r="M1648" s="81" t="str">
        <f t="array" ref="M1648:M1649">{"CLASSINITIALABILITY6-L00";((INDEX(ALLCLASSDATA,MATCH("ClassInitialAbility6-L00",CLASSFEATUREHEADERS,0),MATCH(($A1649),CLASSNAMEHEADERS,0))))}</f>
        <v>CLASSINITIALABILITY6-L00</v>
      </c>
      <c r="N1648" s="81" t="str">
        <f t="array" ref="N1648:N1649">{"CLASSINITIALABILITY7-L00";((INDEX(ALLCLASSDATA,MATCH("ClassInitialAbility7-L00",CLASSFEATUREHEADERS,0),MATCH(($A1649),CLASSNAMEHEADERS,0))))}</f>
        <v>CLASSINITIALABILITY7-L00</v>
      </c>
      <c r="O1648" s="81" t="str">
        <f t="array" ref="O1648:O1649">{"CLASSINITIALABILITY8-L00";((INDEX(ALLCLASSDATA,MATCH("ClassInitialAbility8-L00",CLASSFEATUREHEADERS,0),MATCH(($A1649),CLASSNAMEHEADERS,0))))}</f>
        <v>CLASSINITIALABILITY8-L00</v>
      </c>
      <c r="P1648" s="81" t="str">
        <f t="array" ref="P1648:P1649">{"CLASSINITIALABILITY9-L00";((INDEX(ALLCLASSDATA,MATCH("ClassInitialAbility9-L00",CLASSFEATUREHEADERS,0),MATCH(($A1649),CLASSNAMEHEADERS,0))))}</f>
        <v>CLASSINITIALABILITY9-L00</v>
      </c>
      <c r="Q1648" s="81" t="str">
        <f t="array" ref="Q1648:Q1649">{"CLASSINITIALABILITY10-L00";((INDEX(ALLCLASSDATA,MATCH("ClassInitialAbility10-L00",CLASSFEATUREHEADERS,0),MATCH(($A1649),CLASSNAMEHEADERS,0))))}</f>
        <v>CLASSINITIALABILITY10-L00</v>
      </c>
      <c r="R1648" s="81" t="str">
        <f t="array" ref="R1648:R1649">{"SUBCLASSINITIAL1-L00";((INDEX(ALLCLASSDATA,MATCH("SubclassInitial1-L00",CLASSFEATUREHEADERS,0),MATCH(($A1649),CLASSNAMEHEADERS,0))))}</f>
        <v>SUBCLASSINITIAL1-L00</v>
      </c>
      <c r="S1648" s="81" t="str">
        <f t="array" ref="S1648:S1649">{"SUBCLASSINITIAL2-L00";((INDEX(ALLCLASSDATA,MATCH("SubclassInitial2-L00",CLASSFEATUREHEADERS,0),MATCH(($A1649),CLASSNAMEHEADERS,0))))}</f>
        <v>SUBCLASSINITIAL2-L00</v>
      </c>
      <c r="T1648" s="81" t="str">
        <f t="array" ref="T1648:T1649">{"SUBCLASSINITIAL3-L00";((INDEX(ALLCLASSDATA,MATCH("SubclassInitial3-L00",CLASSFEATUREHEADERS,0),MATCH(($A1649),CLASSNAMEHEADERS,0))))}</f>
        <v>SUBCLASSINITIAL3-L00</v>
      </c>
      <c r="U1648" s="81" t="str">
        <f t="array" ref="U1648:U1649">{"SUBCLASSINITIAL4-L00";((INDEX(ALLCLASSDATA,MATCH("SubclassInitial4-L00",CLASSFEATUREHEADERS,0),MATCH(($A1649),CLASSNAMEHEADERS,0))))}</f>
        <v>SUBCLASSINITIAL4-L00</v>
      </c>
      <c r="V1648" s="81" t="str">
        <f t="array" ref="V1648:V1649">{"SUBCLASSINITIAL5-L00";((INDEX(ALLCLASSDATA,MATCH("SubclassInitial5-L00",CLASSFEATUREHEADERS,0),MATCH(($A1649),CLASSNAMEHEADERS,0))))}</f>
        <v>SUBCLASSINITIAL5-L00</v>
      </c>
      <c r="W1648" s="81" t="str">
        <f t="array" ref="W1648:W1649">{"SUBCLASSINITIAL6-L00";((INDEX(ALLCLASSDATA,MATCH("SubclassInitial6-L00",CLASSFEATUREHEADERS,0),MATCH(($A1649),CLASSNAMEHEADERS,0))))}</f>
        <v>SUBCLASSINITIAL6-L00</v>
      </c>
      <c r="X1648" s="81" t="str">
        <f t="array" ref="X1648:X1649">{"SUBCLASSINITIAL7-L00";((INDEX(ALLCLASSDATA,MATCH("SubclassInitial7-L00",CLASSFEATUREHEADERS,0),MATCH(($A1649),CLASSNAMEHEADERS,0))))}</f>
        <v>SUBCLASSINITIAL7-L00</v>
      </c>
      <c r="Y1648" s="81" t="str">
        <f t="array" ref="Y1648:Y1649">{"SUBCLASSINITIAL8-L00";((INDEX(ALLCLASSDATA,MATCH("SubclassInitial8-L00",CLASSFEATUREHEADERS,0),MATCH(($A1649),CLASSNAMEHEADERS,0))))}</f>
        <v>SUBCLASSINITIAL8-L00</v>
      </c>
      <c r="Z1648" s="81" t="str">
        <f t="array" ref="Z1648:Z1649">{"SUBCLASSINITIAL9-L00";((INDEX(ALLCLASSDATA,MATCH("SubclassInitial9-L00",CLASSFEATUREHEADERS,0),MATCH(($A1649),CLASSNAMEHEADERS,0))))}</f>
        <v>SUBCLASSINITIAL9-L00</v>
      </c>
      <c r="AA1648" s="81" t="str">
        <f t="array" ref="AA1648:AA1649">{"SUBCLASSINITIAL10-L00";((INDEX(ALLCLASSDATA,MATCH("SubclassInitial10-L00",CLASSFEATUREHEADERS,0),MATCH(($A1649),CLASSNAMEHEADERS,0))))}</f>
        <v>SUBCLASSINITIAL10-L00</v>
      </c>
      <c r="AB1648" s="76"/>
      <c r="AC1648" s="76"/>
    </row>
    <row r="1649">
      <c r="A1649" s="48" t="s">
        <v>225</v>
      </c>
      <c r="B1649" s="48"/>
      <c r="C1649" s="48" t="s">
        <v>418</v>
      </c>
      <c r="D1649" s="48" t="s">
        <v>614</v>
      </c>
      <c r="E1649" s="48" t="s">
        <v>616</v>
      </c>
      <c r="F1649" s="48"/>
      <c r="G1649" s="47"/>
      <c r="H1649" s="5" t="s">
        <v>1625</v>
      </c>
      <c r="I1649" s="5" t="s">
        <v>387</v>
      </c>
      <c r="J1649" s="5" t="s">
        <v>1651</v>
      </c>
      <c r="K1649" s="5" t="s">
        <v>644</v>
      </c>
      <c r="L1649" s="5" t="s">
        <v>1663</v>
      </c>
      <c r="M1649" s="5" t="s">
        <v>1668</v>
      </c>
      <c r="N1649" s="5" t="s">
        <v>1671</v>
      </c>
      <c r="O1649" s="5"/>
      <c r="P1649" s="5"/>
      <c r="Q1649" s="5"/>
      <c r="R1649" s="5" t="s">
        <v>1823</v>
      </c>
      <c r="S1649" s="5"/>
      <c r="T1649" s="5"/>
      <c r="U1649" s="5"/>
      <c r="V1649" s="5"/>
      <c r="W1649" s="5"/>
      <c r="X1649" s="5"/>
      <c r="Y1649" s="5"/>
      <c r="Z1649" s="5"/>
      <c r="AA1649" s="5"/>
      <c r="AB1649" s="5"/>
      <c r="AC1649" s="47"/>
    </row>
    <row r="1650" hidden="1">
      <c r="A1650" s="76" t="str">
        <f t="array" ref="A1650:A1651">{"FormulaRow05";(INDEX(CLASSLIST,A1641,1))}</f>
        <v>FormulaRow05</v>
      </c>
      <c r="B1650" s="77" t="s">
        <v>236</v>
      </c>
      <c r="C1650" s="76" t="str">
        <f t="array" ref="C1650:C1651">{"CLASSTYPE";((INDEX(ALLCLASSDATA,MATCH("ClassType",CLASSFEATUREHEADERS,0),MATCH($A1651,CLASSNAMEHEADERS,0))))}</f>
        <v>CLASSTYPE</v>
      </c>
      <c r="D1650" s="76" t="str">
        <f t="array" ref="D1650:D1651">{"INITIALFEATURESPTS";"InitialFeaturesPts"}</f>
        <v>INITIALFEATURESPTS</v>
      </c>
      <c r="E1650" s="76" t="str">
        <f t="array" ref="E1650:E1651">{"CLASS/SUBCLASSFEATURES";"Class/Subclass Features"}</f>
        <v>CLASS/SUBCLASSFEATURES</v>
      </c>
      <c r="F1650" s="76"/>
      <c r="G1650" s="76"/>
      <c r="H1650" s="76" t="str">
        <f t="array" ref="H1650:H1651">{"CLASSINITIALABILITY1-L00PTS";((INDEX(ALLCLASSDATA,MATCH("ClassInitialAbility1-L00",CLASSFEATUREHEADERS,0),MATCH(($A1651 &amp; "Points"),CLASSNAMEHEADERS,0))))}</f>
        <v>CLASSINITIALABILITY1-L00PTS</v>
      </c>
      <c r="I1650" s="76" t="str">
        <f t="array" ref="I1650:I1651">{"CLASSINITIALABILITY2-L00PTS";((INDEX(ALLCLASSDATA,MATCH("ClassInitialAbility2-L00",CLASSFEATUREHEADERS,0),MATCH(($A1651 &amp; "Points"),CLASSNAMEHEADERS,0))))}</f>
        <v>CLASSINITIALABILITY2-L00PTS</v>
      </c>
      <c r="J1650" s="76" t="str">
        <f t="array" ref="J1650:J1651">{"CLASSINITIALABILITY3-L00PTS";((INDEX(ALLCLASSDATA,MATCH("ClassInitialAbility3-L00",CLASSFEATUREHEADERS,0),MATCH(($A1651 &amp; "Points"),CLASSNAMEHEADERS,0))))}</f>
        <v>CLASSINITIALABILITY3-L00PTS</v>
      </c>
      <c r="K1650" s="76" t="str">
        <f t="array" ref="K1650:K1651">{"CLASSINITIALABILITY4-L00PTS";((INDEX(ALLCLASSDATA,MATCH("ClassInitialAbility4-L00",CLASSFEATUREHEADERS,0),MATCH(($A1651 &amp; "Points"),CLASSNAMEHEADERS,0))))}</f>
        <v>CLASSINITIALABILITY4-L00PTS</v>
      </c>
      <c r="L1650" s="76" t="str">
        <f t="array" ref="L1650:L1651">{"CLASSINITIALABILITY5-L00PTS";((INDEX(ALLCLASSDATA,MATCH("ClassInitialAbility5-L00",CLASSFEATUREHEADERS,0),MATCH(($A1651 &amp; "Points"),CLASSNAMEHEADERS,0))))}</f>
        <v>CLASSINITIALABILITY5-L00PTS</v>
      </c>
      <c r="M1650" s="76" t="str">
        <f t="array" ref="M1650:M1651">{"CLASSINITIALABILITY6-L00PTS";((INDEX(ALLCLASSDATA,MATCH("ClassInitialAbility6-L00",CLASSFEATUREHEADERS,0),MATCH(($A1651 &amp; "Points"),CLASSNAMEHEADERS,0))))}</f>
        <v>CLASSINITIALABILITY6-L00PTS</v>
      </c>
      <c r="N1650" s="76" t="str">
        <f t="array" ref="N1650:N1651">{"CLASSINITIALABILITY7-L00PTS";((INDEX(ALLCLASSDATA,MATCH("ClassInitialAbility7-L00",CLASSFEATUREHEADERS,0),MATCH(($A1651 &amp; "Points"),CLASSNAMEHEADERS,0))))}</f>
        <v>CLASSINITIALABILITY7-L00PTS</v>
      </c>
      <c r="O1650" s="76" t="str">
        <f t="array" ref="O1650:O1651">{"CLASSINITIALABILITY8-L00PTS";((INDEX(ALLCLASSDATA,MATCH("ClassInitialAbility8-L00",CLASSFEATUREHEADERS,0),MATCH(($A1651 &amp; "Points"),CLASSNAMEHEADERS,0))))}</f>
        <v>CLASSINITIALABILITY8-L00PTS</v>
      </c>
      <c r="P1650" s="76" t="str">
        <f t="array" ref="P1650:P1651">{"CLASSINITIALABILITY9-L00PTS";((INDEX(ALLCLASSDATA,MATCH("ClassInitialAbility9-L00",CLASSFEATUREHEADERS,0),MATCH(($A1651 &amp; "Points"),CLASSNAMEHEADERS,0))))}</f>
        <v>CLASSINITIALABILITY9-L00PTS</v>
      </c>
      <c r="Q1650" s="76" t="str">
        <f t="array" ref="Q1650:Q1651">{"CLASSINITIALABILITY10-L00PTS";((INDEX(ALLCLASSDATA,MATCH("ClassInitialAbility10-L00",CLASSFEATUREHEADERS,0),MATCH(($A1651 &amp; "Points"),CLASSNAMEHEADERS,0))))}</f>
        <v>CLASSINITIALABILITY10-L00PTS</v>
      </c>
      <c r="R1650" s="76" t="str">
        <f t="array" ref="R1650:R1651">{"SUBCLASSINITIAL1-L00PTS";((INDEX(ALLCLASSDATA,MATCH("SubclassInitial1-L00",CLASSFEATUREHEADERS,0),MATCH(($A1651 &amp; "Points"),CLASSNAMEHEADERS,0))))}</f>
        <v>SUBCLASSINITIAL1-L00PTS</v>
      </c>
      <c r="S1650" s="76" t="str">
        <f t="array" ref="S1650:S1651">{"SUBCLASSINITIAL2-L00PTS";((INDEX(ALLCLASSDATA,MATCH("SubclassInitial2-L00",CLASSFEATUREHEADERS,0),MATCH(($A1651 &amp; "Points"),CLASSNAMEHEADERS,0))))}</f>
        <v>SUBCLASSINITIAL2-L00PTS</v>
      </c>
      <c r="T1650" s="76" t="str">
        <f t="array" ref="T1650:T1651">{"SUBCLASSINITIAL3-L00PTS";((INDEX(ALLCLASSDATA,MATCH("SubclassInitial3-L00",CLASSFEATUREHEADERS,0),MATCH(($A1651 &amp; "Points"),CLASSNAMEHEADERS,0))))}</f>
        <v>SUBCLASSINITIAL3-L00PTS</v>
      </c>
      <c r="U1650" s="76" t="str">
        <f t="array" ref="U1650:U1651">{"SUBCLASSINITIAL4-L00PTS";((INDEX(ALLCLASSDATA,MATCH("SubclassInitial4-L00",CLASSFEATUREHEADERS,0),MATCH(($A1651 &amp; "Points"),CLASSNAMEHEADERS,0))))}</f>
        <v>SUBCLASSINITIAL4-L00PTS</v>
      </c>
      <c r="V1650" s="76" t="str">
        <f t="array" ref="V1650:V1651">{"SUBCLASSINITIAL5-L00PTS";((INDEX(ALLCLASSDATA,MATCH("SubclassInitial5-L00",CLASSFEATUREHEADERS,0),MATCH(($A1651 &amp; "Points"),CLASSNAMEHEADERS,0))))}</f>
        <v>SUBCLASSINITIAL5-L00PTS</v>
      </c>
      <c r="W1650" s="76" t="str">
        <f t="array" ref="W1650:W1651">{"SUBCLASSINITIAL6-L00PTS";((INDEX(ALLCLASSDATA,MATCH("SubclassInitial6-L00",CLASSFEATUREHEADERS,0),MATCH(($A1651 &amp; "Points"),CLASSNAMEHEADERS,0))))}</f>
        <v>SUBCLASSINITIAL6-L00PTS</v>
      </c>
      <c r="X1650" s="76" t="str">
        <f t="array" ref="X1650:X1651">{"SUBCLASSINITIAL7-L00PTS";((INDEX(ALLCLASSDATA,MATCH("SubclassInitial7-L00",CLASSFEATUREHEADERS,0),MATCH(($A1651 &amp; "Points"),CLASSNAMEHEADERS,0))))}</f>
        <v>SUBCLASSINITIAL7-L00PTS</v>
      </c>
      <c r="Y1650" s="76" t="str">
        <f t="array" ref="Y1650:Y1651">{"SUBCLASSINITIAL8-L00PTS";((INDEX(ALLCLASSDATA,MATCH("SubclassInitial8-L00",CLASSFEATUREHEADERS,0),MATCH(($A1651 &amp; "Points"),CLASSNAMEHEADERS,0))))}</f>
        <v>SUBCLASSINITIAL8-L00PTS</v>
      </c>
      <c r="Z1650" s="76" t="str">
        <f t="array" ref="Z1650:Z1651">{"SUBCLASSINITIAL9-L00PTS";((INDEX(ALLCLASSDATA,MATCH("SubclassInitial9-L00",CLASSFEATUREHEADERS,0),MATCH(($A1651 &amp; "Points"),CLASSNAMEHEADERS,0))))}</f>
        <v>SUBCLASSINITIAL9-L00PTS</v>
      </c>
      <c r="AA1650" s="76" t="str">
        <f t="array" ref="AA1650:AA1651">{"SUBCLASSINITIAL10-L00PTS";((INDEX(ALLCLASSDATA,MATCH("SubclassInitial10-L00",CLASSFEATUREHEADERS,0),MATCH(($A1651 &amp; "Points"),CLASSNAMEHEADERS,0))))}</f>
        <v>SUBCLASSINITIAL10-L00PTS</v>
      </c>
      <c r="AB1650" s="76"/>
      <c r="AC1650" s="76" t="str">
        <f t="array" ref="AC1650:AC1651">{"INITIALFEATUREPTS TOTAL";(sum(G1651:AA1651))}</f>
        <v>INITIALFEATUREPTS TOTAL</v>
      </c>
    </row>
    <row r="1651">
      <c r="A1651" s="48" t="s">
        <v>225</v>
      </c>
      <c r="B1651" s="48"/>
      <c r="C1651" s="48" t="s">
        <v>418</v>
      </c>
      <c r="D1651" s="97" t="s">
        <v>651</v>
      </c>
      <c r="E1651" s="97" t="s">
        <v>616</v>
      </c>
      <c r="F1651" s="97"/>
      <c r="G1651" s="132"/>
      <c r="H1651" s="98"/>
      <c r="I1651" s="98"/>
      <c r="J1651" s="97">
        <v>10.0</v>
      </c>
      <c r="K1651" s="98"/>
      <c r="L1651" s="97">
        <v>10.0</v>
      </c>
      <c r="M1651" s="98"/>
      <c r="N1651" s="98"/>
      <c r="O1651" s="98"/>
      <c r="P1651" s="98"/>
      <c r="Q1651" s="98"/>
      <c r="R1651" s="98"/>
      <c r="S1651" s="98"/>
      <c r="T1651" s="98"/>
      <c r="U1651" s="98"/>
      <c r="V1651" s="98"/>
      <c r="W1651" s="98"/>
      <c r="X1651" s="98"/>
      <c r="Y1651" s="98"/>
      <c r="Z1651" s="98"/>
      <c r="AA1651" s="98"/>
      <c r="AB1651" s="5"/>
      <c r="AC1651" s="47">
        <v>20.0</v>
      </c>
    </row>
    <row r="1652" hidden="1">
      <c r="A1652" s="76" t="str">
        <f t="array" ref="A1652:A1653">{"FormulaRow06";(INDEX(CLASSLIST,A1641,1))}</f>
        <v>FormulaRow06</v>
      </c>
      <c r="B1652" s="77" t="s">
        <v>236</v>
      </c>
      <c r="C1652" s="76" t="str">
        <f t="array" ref="C1652:C1653">{"CLASSTYPE";((INDEX(ALLCLASSDATA,MATCH("ClassType",CLASSFEATUREHEADERS,0),MATCH($A1653,CLASSNAMEHEADERS,0))))}</f>
        <v>CLASSTYPE</v>
      </c>
      <c r="D1652" s="81" t="str">
        <f t="array" ref="D1652:D1653">{"SKILLS";"Skills"}</f>
        <v>SKILLS</v>
      </c>
      <c r="E1652" s="81" t="str">
        <f t="array" ref="E1652:E1653">{"EXTRASKILLINCREASES";"Extra Skill Increases"}</f>
        <v>EXTRASKILLINCREASES</v>
      </c>
      <c r="F1652" s="81"/>
      <c r="G1652" s="81"/>
      <c r="H1652" s="81"/>
      <c r="I1652" s="81" t="str">
        <f t="array" ref="I1652:I1653">{"SKILLINCREASEEXTRA-L02";((INDEX(ALLCLASSDATA,MATCH("SkillIncreaseExtra-L02",CLASSFEATUREHEADERS,0),MATCH(($A1653 &amp; "Points"),CLASSNAMEHEADERS,0))))}</f>
        <v>SKILLINCREASEEXTRA-L02</v>
      </c>
      <c r="J1652" s="81" t="str">
        <f t="array" ref="J1652:J1653">{"SKILLINCREASEEXTRA-L03";((INDEX(ALLCLASSDATA,MATCH("SkillIncreaseExtra-L03",CLASSFEATUREHEADERS,0),MATCH(($A1653 &amp; "Points"),CLASSNAMEHEADERS,0))))}</f>
        <v>SKILLINCREASEEXTRA-L03</v>
      </c>
      <c r="K1652" s="81" t="str">
        <f t="array" ref="K1652:K1653">{"SKILLINCREASEEXTRA-L04";((INDEX(ALLCLASSDATA,MATCH("SkillIncreaseExtra-L04",CLASSFEATUREHEADERS,0),MATCH(($A1653 &amp; "Points"),CLASSNAMEHEADERS,0))))}</f>
        <v>SKILLINCREASEEXTRA-L04</v>
      </c>
      <c r="L1652" s="81" t="str">
        <f t="array" ref="L1652:L1653">{"SKILLINCREASEEXTRA-L05";((INDEX(ALLCLASSDATA,MATCH("SkillIncreaseExtra-L05",CLASSFEATUREHEADERS,0),MATCH(($A1653 &amp; "Points"),CLASSNAMEHEADERS,0))))}</f>
        <v>SKILLINCREASEEXTRA-L05</v>
      </c>
      <c r="M1652" s="81" t="str">
        <f t="array" ref="M1652:M1653">{"SKILLINCREASEEXTRA-L06";((INDEX(ALLCLASSDATA,MATCH("SkillIncreaseExtra-L06",CLASSFEATUREHEADERS,0),MATCH(($A1653 &amp; "Points"),CLASSNAMEHEADERS,0))))}</f>
        <v>SKILLINCREASEEXTRA-L06</v>
      </c>
      <c r="N1652" s="81" t="str">
        <f t="array" ref="N1652:N1653">{"SKILLINCREASEEXTRA-L07";((INDEX(ALLCLASSDATA,MATCH("SkillIncreaseExtra-L07",CLASSFEATUREHEADERS,0),MATCH(($A1653 &amp; "Points"),CLASSNAMEHEADERS,0))))}</f>
        <v>SKILLINCREASEEXTRA-L07</v>
      </c>
      <c r="O1652" s="81" t="str">
        <f t="array" ref="O1652:O1653">{"SKILLINCREASEEXTRA-L08";((INDEX(ALLCLASSDATA,MATCH("SkillIncreaseExtra-L08",CLASSFEATUREHEADERS,0),MATCH(($A1653 &amp; "Points"),CLASSNAMEHEADERS,0))))}</f>
        <v>SKILLINCREASEEXTRA-L08</v>
      </c>
      <c r="P1652" s="81" t="str">
        <f t="array" ref="P1652:P1653">{"SKILLINCREASEEXTRA-L09";((INDEX(ALLCLASSDATA,MATCH("SkillIncreaseExtra-L09",CLASSFEATUREHEADERS,0),MATCH(($A1653 &amp; "Points"),CLASSNAMEHEADERS,0))))}</f>
        <v>SKILLINCREASEEXTRA-L09</v>
      </c>
      <c r="Q1652" s="81" t="str">
        <f t="array" ref="Q1652:Q1653">{"SKILLINCREASEEXTRA-L10";((INDEX(ALLCLASSDATA,MATCH("SkillIncreaseExtra-L10",CLASSFEATUREHEADERS,0),MATCH(($A1653 &amp; "Points"),CLASSNAMEHEADERS,0))))}</f>
        <v>SKILLINCREASEEXTRA-L10</v>
      </c>
      <c r="R1652" s="81" t="str">
        <f t="array" ref="R1652:R1653">{"SKILLINCREASEEXTRA-L11";((INDEX(ALLCLASSDATA,MATCH("SkillIncreaseExtra-L11",CLASSFEATUREHEADERS,0),MATCH(($A1653 &amp; "Points"),CLASSNAMEHEADERS,0))))}</f>
        <v>SKILLINCREASEEXTRA-L11</v>
      </c>
      <c r="S1652" s="81" t="str">
        <f t="array" ref="S1652:S1653">{"SKILLINCREASEEXTRA-L12";((INDEX(ALLCLASSDATA,MATCH("SkillIncreaseExtra-L12",CLASSFEATUREHEADERS,0),MATCH(($A1653 &amp; "Points"),CLASSNAMEHEADERS,0))))}</f>
        <v>SKILLINCREASEEXTRA-L12</v>
      </c>
      <c r="T1652" s="81" t="str">
        <f t="array" ref="T1652:T1653">{"SKILLINCREASEEXTRA-L13";((INDEX(ALLCLASSDATA,MATCH("SkillIncreaseExtra-L13",CLASSFEATUREHEADERS,0),MATCH(($A1653 &amp; "Points"),CLASSNAMEHEADERS,0))))}</f>
        <v>SKILLINCREASEEXTRA-L13</v>
      </c>
      <c r="U1652" s="81" t="str">
        <f t="array" ref="U1652:U1653">{"SKILLINCREASEEXTRA-L14";((INDEX(ALLCLASSDATA,MATCH("SkillIncreaseExtra-L14",CLASSFEATUREHEADERS,0),MATCH(($A1653 &amp; "Points"),CLASSNAMEHEADERS,0))))}</f>
        <v>SKILLINCREASEEXTRA-L14</v>
      </c>
      <c r="V1652" s="81" t="str">
        <f t="array" ref="V1652:V1653">{"SKILLINCREASEEXTRA-L15";((INDEX(ALLCLASSDATA,MATCH("SkillIncreaseExtra-L15",CLASSFEATUREHEADERS,0),MATCH(($A1653 &amp; "Points"),CLASSNAMEHEADERS,0))))}</f>
        <v>SKILLINCREASEEXTRA-L15</v>
      </c>
      <c r="W1652" s="81" t="str">
        <f t="array" ref="W1652:W1653">{"SKILLINCREASEEXTRA-L16";((INDEX(ALLCLASSDATA,MATCH("SkillIncreaseExtra-L16",CLASSFEATUREHEADERS,0),MATCH(($A1653 &amp; "Points"),CLASSNAMEHEADERS,0))))}</f>
        <v>SKILLINCREASEEXTRA-L16</v>
      </c>
      <c r="X1652" s="81" t="str">
        <f t="array" ref="X1652:X1653">{"SKILLINCREASEEXTRA-L17";((INDEX(ALLCLASSDATA,MATCH("SkillIncreaseExtra-L17",CLASSFEATUREHEADERS,0),MATCH(($A1653 &amp; "Points"),CLASSNAMEHEADERS,0))))}</f>
        <v>SKILLINCREASEEXTRA-L17</v>
      </c>
      <c r="Y1652" s="81" t="str">
        <f t="array" ref="Y1652:Y1653">{"SKILLINCREASEEXTRA-L18";((INDEX(ALLCLASSDATA,MATCH("SkillIncreaseExtra-L18",CLASSFEATUREHEADERS,0),MATCH(($A1653 &amp; "Points"),CLASSNAMEHEADERS,0))))}</f>
        <v>SKILLINCREASEEXTRA-L18</v>
      </c>
      <c r="Z1652" s="81" t="str">
        <f t="array" ref="Z1652:Z1653">{"SKILLINCREASEEXTRA-L19";((INDEX(ALLCLASSDATA,MATCH("SkillIncreaseExtra-L19",CLASSFEATUREHEADERS,0),MATCH(($A1653 &amp; "Points"),CLASSNAMEHEADERS,0))))}</f>
        <v>SKILLINCREASEEXTRA-L19</v>
      </c>
      <c r="AA1652" s="81" t="str">
        <f t="array" ref="AA1652:AA1653">{"SKILLINCREASEEXTRA-L20";((INDEX(ALLCLASSDATA,MATCH("SkillIncreaseExtra-L20",CLASSFEATUREHEADERS,0),MATCH(($A1653 &amp; "Points"),CLASSNAMEHEADERS,0))))}</f>
        <v>SKILLINCREASEEXTRA-L20</v>
      </c>
      <c r="AB1652" s="76"/>
      <c r="AC1652" s="76" t="str">
        <f t="array" ref="AC1652:AC1653">{"SKILLINCREASE TOTAL";(sum(G1653:AA1653))}</f>
        <v>SKILLINCREASE TOTAL</v>
      </c>
    </row>
    <row r="1653">
      <c r="A1653" s="48" t="s">
        <v>225</v>
      </c>
      <c r="B1653" s="48"/>
      <c r="C1653" s="48" t="s">
        <v>418</v>
      </c>
      <c r="D1653" s="48" t="s">
        <v>659</v>
      </c>
      <c r="E1653" s="48" t="s">
        <v>661</v>
      </c>
      <c r="F1653" s="48"/>
      <c r="G1653" s="47"/>
      <c r="H1653" s="5"/>
      <c r="I1653" s="5" t="s">
        <v>603</v>
      </c>
      <c r="J1653" s="5" t="s">
        <v>603</v>
      </c>
      <c r="K1653" s="5" t="s">
        <v>603</v>
      </c>
      <c r="L1653" s="48" t="s">
        <v>603</v>
      </c>
      <c r="M1653" s="5" t="s">
        <v>603</v>
      </c>
      <c r="N1653" s="5" t="s">
        <v>603</v>
      </c>
      <c r="O1653" s="5" t="s">
        <v>603</v>
      </c>
      <c r="P1653" s="5" t="s">
        <v>603</v>
      </c>
      <c r="Q1653" s="5" t="s">
        <v>603</v>
      </c>
      <c r="R1653" s="5" t="s">
        <v>603</v>
      </c>
      <c r="S1653" s="5" t="s">
        <v>603</v>
      </c>
      <c r="T1653" s="5" t="s">
        <v>603</v>
      </c>
      <c r="U1653" s="5" t="s">
        <v>603</v>
      </c>
      <c r="V1653" s="5" t="s">
        <v>603</v>
      </c>
      <c r="W1653" s="5" t="s">
        <v>603</v>
      </c>
      <c r="X1653" s="5" t="s">
        <v>603</v>
      </c>
      <c r="Y1653" s="5" t="s">
        <v>603</v>
      </c>
      <c r="Z1653" s="5" t="s">
        <v>603</v>
      </c>
      <c r="AA1653" s="5" t="s">
        <v>603</v>
      </c>
      <c r="AB1653" s="5"/>
      <c r="AC1653" s="47">
        <v>0.0</v>
      </c>
    </row>
    <row r="1654" hidden="1">
      <c r="A1654" s="76" t="str">
        <f t="array" ref="A1654:A1655">{"FormulaRow07";(INDEX(CLASSLIST,A1641,1))}</f>
        <v>FormulaRow07</v>
      </c>
      <c r="B1654" s="77" t="s">
        <v>236</v>
      </c>
      <c r="C1654" s="76" t="str">
        <f t="array" ref="C1654:C1655">{"CLASSTYPE";((INDEX(ALLCLASSDATA,MATCH("ClassType",CLASSFEATUREHEADERS,0),MATCH($A1655,CLASSNAMEHEADERS,0))))}</f>
        <v>CLASSTYPE</v>
      </c>
      <c r="D1654" s="76" t="str">
        <f t="array" ref="D1654:D1655">{"SKILLS";"Skills"}</f>
        <v>SKILLS</v>
      </c>
      <c r="E1654" s="76" t="str">
        <f t="array" ref="E1654:E1655">{"EXTRASKILLFEATS";"Extra Skill Feats"}</f>
        <v>EXTRASKILLFEATS</v>
      </c>
      <c r="F1654" s="76"/>
      <c r="G1654" s="76"/>
      <c r="H1654" s="76" t="str">
        <f t="array" ref="H1654:H1655">{"SKILLFEATEXTRA-L01";((INDEX(ALLCLASSDATA,MATCH("SkillFeatExtra-L01",CLASSFEATUREHEADERS,0),MATCH(($A1655 &amp; "Points"),CLASSNAMEHEADERS,0))))}</f>
        <v>SKILLFEATEXTRA-L01</v>
      </c>
      <c r="I1654" s="76" t="str">
        <f t="array" ref="I1654:I1655">{"SKILLFEATEXTRA-L02";((INDEX(ALLCLASSDATA,MATCH("SkillFeatExtra-L02",CLASSFEATUREHEADERS,0),MATCH(($A1655 &amp; "Points"),CLASSNAMEHEADERS,0))))}</f>
        <v>SKILLFEATEXTRA-L02</v>
      </c>
      <c r="J1654" s="76" t="str">
        <f t="array" ref="J1654:J1655">{"SKILLFEATEXTRA-L03";((INDEX(ALLCLASSDATA,MATCH("SkillFeatExtra-L03",CLASSFEATUREHEADERS,0),MATCH(($A1655 &amp; "Points"),CLASSNAMEHEADERS,0))))}</f>
        <v>SKILLFEATEXTRA-L03</v>
      </c>
      <c r="K1654" s="76" t="str">
        <f t="array" ref="K1654:K1655">{"SKILLFEATEXTRA-L04";((INDEX(ALLCLASSDATA,MATCH("SkillFeatExtra-L04",CLASSFEATUREHEADERS,0),MATCH(($A1655 &amp; "Points"),CLASSNAMEHEADERS,0))))}</f>
        <v>SKILLFEATEXTRA-L04</v>
      </c>
      <c r="L1654" s="76" t="str">
        <f t="array" ref="L1654:L1655">{"SKILLFEATEXTRA-L05";((INDEX(ALLCLASSDATA,MATCH("SkillFeatExtra-L05",CLASSFEATUREHEADERS,0),MATCH(($A1655 &amp; "Points"),CLASSNAMEHEADERS,0))))}</f>
        <v>SKILLFEATEXTRA-L05</v>
      </c>
      <c r="M1654" s="76" t="str">
        <f t="array" ref="M1654:M1655">{"SKILLFEATEXTRA-L06";((INDEX(ALLCLASSDATA,MATCH("SkillFeatExtra-L06",CLASSFEATUREHEADERS,0),MATCH(($A1655 &amp; "Points"),CLASSNAMEHEADERS,0))))}</f>
        <v>SKILLFEATEXTRA-L06</v>
      </c>
      <c r="N1654" s="76" t="str">
        <f t="array" ref="N1654:N1655">{"SKILLFEATEXTRA-L07";((INDEX(ALLCLASSDATA,MATCH("SkillFeatExtra-L07",CLASSFEATUREHEADERS,0),MATCH(($A1655 &amp; "Points"),CLASSNAMEHEADERS,0))))}</f>
        <v>SKILLFEATEXTRA-L07</v>
      </c>
      <c r="O1654" s="76" t="str">
        <f t="array" ref="O1654:O1655">{"SKILLFEATEXTRA-L08";((INDEX(ALLCLASSDATA,MATCH("SkillFeatExtra-L08",CLASSFEATUREHEADERS,0),MATCH(($A1655 &amp; "Points"),CLASSNAMEHEADERS,0))))}</f>
        <v>SKILLFEATEXTRA-L08</v>
      </c>
      <c r="P1654" s="76" t="str">
        <f t="array" ref="P1654:P1655">{"SKILLFEATEXTRA-L09";((INDEX(ALLCLASSDATA,MATCH("SkillFeatExtra-L09",CLASSFEATUREHEADERS,0),MATCH(($A1655 &amp; "Points"),CLASSNAMEHEADERS,0))))}</f>
        <v>SKILLFEATEXTRA-L09</v>
      </c>
      <c r="Q1654" s="76" t="str">
        <f t="array" ref="Q1654:Q1655">{"SKILLFEATEXTRA-L10";((INDEX(ALLCLASSDATA,MATCH("SkillFeatExtra-L10",CLASSFEATUREHEADERS,0),MATCH(($A1655 &amp; "Points"),CLASSNAMEHEADERS,0))))}</f>
        <v>SKILLFEATEXTRA-L10</v>
      </c>
      <c r="R1654" s="76" t="str">
        <f t="array" ref="R1654:R1655">{"SKILLFEATEXTRA-L11";((INDEX(ALLCLASSDATA,MATCH("SkillFeatExtra-L11",CLASSFEATUREHEADERS,0),MATCH(($A1655 &amp; "Points"),CLASSNAMEHEADERS,0))))}</f>
        <v>SKILLFEATEXTRA-L11</v>
      </c>
      <c r="S1654" s="76" t="str">
        <f t="array" ref="S1654:S1655">{"SKILLFEATEXTRA-L12";((INDEX(ALLCLASSDATA,MATCH("SkillFeatExtra-L12",CLASSFEATUREHEADERS,0),MATCH(($A1655 &amp; "Points"),CLASSNAMEHEADERS,0))))}</f>
        <v>SKILLFEATEXTRA-L12</v>
      </c>
      <c r="T1654" s="76" t="str">
        <f t="array" ref="T1654:T1655">{"SKILLFEATEXTRA-L13";((INDEX(ALLCLASSDATA,MATCH("SkillFeatExtra-L13",CLASSFEATUREHEADERS,0),MATCH(($A1655 &amp; "Points"),CLASSNAMEHEADERS,0))))}</f>
        <v>SKILLFEATEXTRA-L13</v>
      </c>
      <c r="U1654" s="76" t="str">
        <f t="array" ref="U1654:U1655">{"SKILLFEATEXTRA-L14";((INDEX(ALLCLASSDATA,MATCH("SkillFeatExtra-L14",CLASSFEATUREHEADERS,0),MATCH(($A1655 &amp; "Points"),CLASSNAMEHEADERS,0))))}</f>
        <v>SKILLFEATEXTRA-L14</v>
      </c>
      <c r="V1654" s="76" t="str">
        <f t="array" ref="V1654:V1655">{"SKILLFEATEXTRA-L15";((INDEX(ALLCLASSDATA,MATCH("SkillFeatExtra-L15",CLASSFEATUREHEADERS,0),MATCH(($A1655 &amp; "Points"),CLASSNAMEHEADERS,0))))}</f>
        <v>SKILLFEATEXTRA-L15</v>
      </c>
      <c r="W1654" s="76" t="str">
        <f t="array" ref="W1654:W1655">{"SKILLFEATEXTRA-L16";((INDEX(ALLCLASSDATA,MATCH("SkillFeatExtra-L16",CLASSFEATUREHEADERS,0),MATCH(($A1655 &amp; "Points"),CLASSNAMEHEADERS,0))))}</f>
        <v>SKILLFEATEXTRA-L16</v>
      </c>
      <c r="X1654" s="76" t="str">
        <f t="array" ref="X1654:X1655">{"SKILLFEATEXTRA-L17";((INDEX(ALLCLASSDATA,MATCH("SkillFeatExtra-L17",CLASSFEATUREHEADERS,0),MATCH(($A1655 &amp; "Points"),CLASSNAMEHEADERS,0))))}</f>
        <v>SKILLFEATEXTRA-L17</v>
      </c>
      <c r="Y1654" s="76" t="str">
        <f t="array" ref="Y1654:Y1655">{"SKILLFEATEXTRA-L18";((INDEX(ALLCLASSDATA,MATCH("SkillFeatExtra-L18",CLASSFEATUREHEADERS,0),MATCH(($A1655 &amp; "Points"),CLASSNAMEHEADERS,0))))}</f>
        <v>SKILLFEATEXTRA-L18</v>
      </c>
      <c r="Z1654" s="76" t="str">
        <f t="array" ref="Z1654:Z1655">{"SKILLFEATEXTRA-L19";((INDEX(ALLCLASSDATA,MATCH("SkillFeatExtra-L19",CLASSFEATUREHEADERS,0),MATCH(($A1655 &amp; "Points"),CLASSNAMEHEADERS,0))))}</f>
        <v>SKILLFEATEXTRA-L19</v>
      </c>
      <c r="AA1654" s="76" t="str">
        <f t="array" ref="AA1654:AA1655">{"SKILLFEATEXTRA-L20";((INDEX(ALLCLASSDATA,MATCH("SkillFeatExtra-L20",CLASSFEATUREHEADERS,0),MATCH(($A1655 &amp; "Points"),CLASSNAMEHEADERS,0))))}</f>
        <v>SKILLFEATEXTRA-L20</v>
      </c>
      <c r="AB1654" s="76"/>
      <c r="AC1654" s="76" t="str">
        <f t="array" ref="AC1654:AC1655">{"SKILLFEAT TOTAL";(sum(G1655:AA1655))}</f>
        <v>SKILLFEAT TOTAL</v>
      </c>
    </row>
    <row r="1655">
      <c r="A1655" s="48" t="s">
        <v>225</v>
      </c>
      <c r="B1655" s="48"/>
      <c r="C1655" s="48" t="s">
        <v>418</v>
      </c>
      <c r="D1655" s="97" t="s">
        <v>659</v>
      </c>
      <c r="E1655" s="97" t="s">
        <v>722</v>
      </c>
      <c r="F1655" s="97"/>
      <c r="G1655" s="132"/>
      <c r="H1655" s="98" t="s">
        <v>603</v>
      </c>
      <c r="I1655" s="98" t="s">
        <v>603</v>
      </c>
      <c r="J1655" s="97" t="s">
        <v>603</v>
      </c>
      <c r="K1655" s="98" t="s">
        <v>603</v>
      </c>
      <c r="L1655" s="97" t="s">
        <v>603</v>
      </c>
      <c r="M1655" s="98" t="s">
        <v>603</v>
      </c>
      <c r="N1655" s="98" t="s">
        <v>603</v>
      </c>
      <c r="O1655" s="98" t="s">
        <v>603</v>
      </c>
      <c r="P1655" s="98" t="s">
        <v>603</v>
      </c>
      <c r="Q1655" s="98" t="s">
        <v>603</v>
      </c>
      <c r="R1655" s="98" t="s">
        <v>603</v>
      </c>
      <c r="S1655" s="98" t="s">
        <v>603</v>
      </c>
      <c r="T1655" s="98" t="s">
        <v>603</v>
      </c>
      <c r="U1655" s="98" t="s">
        <v>603</v>
      </c>
      <c r="V1655" s="98" t="s">
        <v>603</v>
      </c>
      <c r="W1655" s="98" t="s">
        <v>603</v>
      </c>
      <c r="X1655" s="98" t="s">
        <v>603</v>
      </c>
      <c r="Y1655" s="98" t="s">
        <v>603</v>
      </c>
      <c r="Z1655" s="98" t="s">
        <v>603</v>
      </c>
      <c r="AA1655" s="98" t="s">
        <v>603</v>
      </c>
      <c r="AB1655" s="5"/>
      <c r="AC1655" s="47">
        <v>0.0</v>
      </c>
    </row>
    <row r="1656" hidden="1">
      <c r="A1656" s="76" t="str">
        <f t="array" ref="A1656:A1657">{"FormulaRow08";(INDEX(CLASSLIST,A1641,1))}</f>
        <v>FormulaRow08</v>
      </c>
      <c r="B1656" s="77" t="s">
        <v>236</v>
      </c>
      <c r="C1656" s="76" t="str">
        <f t="array" ref="C1656:C1657">{"CLASSTYPE";((INDEX(ALLCLASSDATA,MATCH("ClassType",CLASSFEATUREHEADERS,0),MATCH($A1657,CLASSNAMEHEADERS,0))))}</f>
        <v>CLASSTYPE</v>
      </c>
      <c r="D1656" s="81" t="str">
        <f t="array" ref="D1656:D1657">{"CLASSABILITY";"ClassAbility"}</f>
        <v>CLASSABILITY</v>
      </c>
      <c r="E1656" s="81" t="str">
        <f t="array" ref="E1656:E1657">{"CLASSABILITY1";"ClassAbility1"}</f>
        <v>CLASSABILITY1</v>
      </c>
      <c r="F1656" s="81"/>
      <c r="G1656" s="81"/>
      <c r="H1656" s="81"/>
      <c r="I1656" s="81"/>
      <c r="J1656" s="81" t="str">
        <f t="array" ref="J1656:J1657">{"CLASSABILITY1-L03";((INDEX(ALLCLASSDATA,MATCH("ClassAbility1-L03",CLASSFEATUREHEADERS,0),MATCH(($A1657),CLASSNAMEHEADERS,0))))}</f>
        <v>CLASSABILITY1-L03</v>
      </c>
      <c r="K1656" s="81"/>
      <c r="L1656" s="81" t="str">
        <f t="array" ref="L1656:L1657">{"CLASSABILITY1-L05";((INDEX(ALLCLASSDATA,MATCH("ClassAbility1-L05",CLASSFEATUREHEADERS,0),MATCH(($A1657),CLASSNAMEHEADERS,0))))}</f>
        <v>CLASSABILITY1-L05</v>
      </c>
      <c r="M1656" s="81"/>
      <c r="N1656" s="81" t="str">
        <f t="array" ref="N1656:N1657">{"CLASSABILITY1-L07";((INDEX(ALLCLASSDATA,MATCH("ClassAbility1-L07",CLASSFEATUREHEADERS,0),MATCH(($A1657),CLASSNAMEHEADERS,0))))}</f>
        <v>CLASSABILITY1-L07</v>
      </c>
      <c r="O1656" s="81"/>
      <c r="P1656" s="81" t="str">
        <f t="array" ref="P1656:P1657">{"CLASSABILITY1-L09";((INDEX(ALLCLASSDATA,MATCH("ClassAbility1-L09",CLASSFEATUREHEADERS,0),MATCH(($A1657),CLASSNAMEHEADERS,0))))}</f>
        <v>CLASSABILITY1-L09</v>
      </c>
      <c r="Q1656" s="81"/>
      <c r="R1656" s="81" t="str">
        <f t="array" ref="R1656:R1657">{"CLASSABILITY1-L11";((INDEX(ALLCLASSDATA,MATCH("ClassAbility1-L11",CLASSFEATUREHEADERS,0),MATCH(($A1657),CLASSNAMEHEADERS,0))))}</f>
        <v>CLASSABILITY1-L11</v>
      </c>
      <c r="S1656" s="81"/>
      <c r="T1656" s="81" t="str">
        <f t="array" ref="T1656:T1657">{"CLASSABILITY1-L13";((INDEX(ALLCLASSDATA,MATCH("ClassAbility1-L13",CLASSFEATUREHEADERS,0),MATCH(($A1657),CLASSNAMEHEADERS,0))))}</f>
        <v>CLASSABILITY1-L13</v>
      </c>
      <c r="U1656" s="81"/>
      <c r="V1656" s="81" t="str">
        <f t="array" ref="V1656:V1657">{"CLASSABILITY1-L15";((INDEX(ALLCLASSDATA,MATCH("ClassAbility1-L15",CLASSFEATUREHEADERS,0),MATCH(($A1657),CLASSNAMEHEADERS,0))))}</f>
        <v>CLASSABILITY1-L15</v>
      </c>
      <c r="W1656" s="81"/>
      <c r="X1656" s="81" t="str">
        <f t="array" ref="X1656:X1657">{"CLASSABILITY1-L17";((INDEX(ALLCLASSDATA,MATCH("ClassAbility1-L17",CLASSFEATUREHEADERS,0),MATCH(($A1657),CLASSNAMEHEADERS,0))))}</f>
        <v>CLASSABILITY1-L17</v>
      </c>
      <c r="Y1656" s="81"/>
      <c r="Z1656" s="81" t="str">
        <f t="array" ref="Z1656:Z1657">{"CLASSABILITY1-L19";((INDEX(ALLCLASSDATA,MATCH("ClassAbility1-L19",CLASSFEATUREHEADERS,0),MATCH(($A1657),CLASSNAMEHEADERS,0))))}</f>
        <v>CLASSABILITY1-L19</v>
      </c>
      <c r="AA1656" s="81"/>
      <c r="AB1656" s="76"/>
      <c r="AC1656" s="76"/>
    </row>
    <row r="1657">
      <c r="A1657" s="48" t="s">
        <v>225</v>
      </c>
      <c r="B1657" s="48"/>
      <c r="C1657" s="48" t="s">
        <v>418</v>
      </c>
      <c r="D1657" s="48" t="s">
        <v>825</v>
      </c>
      <c r="E1657" s="48" t="s">
        <v>826</v>
      </c>
      <c r="F1657" s="5"/>
      <c r="G1657" s="47"/>
      <c r="H1657" s="5"/>
      <c r="I1657" s="5"/>
      <c r="J1657" s="5" t="s">
        <v>305</v>
      </c>
      <c r="K1657" s="5"/>
      <c r="L1657" s="5" t="s">
        <v>323</v>
      </c>
      <c r="M1657" s="5"/>
      <c r="N1657" s="5" t="s">
        <v>350</v>
      </c>
      <c r="O1657" s="5"/>
      <c r="P1657" s="5"/>
      <c r="Q1657" s="5"/>
      <c r="R1657" s="5" t="s">
        <v>1736</v>
      </c>
      <c r="S1657" s="5"/>
      <c r="T1657" s="5" t="s">
        <v>369</v>
      </c>
      <c r="U1657" s="5"/>
      <c r="V1657" s="5" t="s">
        <v>353</v>
      </c>
      <c r="W1657" s="5"/>
      <c r="X1657" s="5"/>
      <c r="Y1657" s="5"/>
      <c r="Z1657" s="5" t="s">
        <v>1237</v>
      </c>
      <c r="AA1657" s="5"/>
      <c r="AB1657" s="5"/>
      <c r="AC1657" s="47"/>
    </row>
    <row r="1658" hidden="1">
      <c r="A1658" s="76" t="str">
        <f t="array" ref="A1658:A1659">{"FormulaRow09";(INDEX(CLASSLIST,A1641,1))}</f>
        <v>FormulaRow09</v>
      </c>
      <c r="B1658" s="77" t="s">
        <v>236</v>
      </c>
      <c r="C1658" s="76" t="str">
        <f t="array" ref="C1658:C1659">{"CLASSTYPE";((INDEX(ALLCLASSDATA,MATCH("ClassType",CLASSFEATUREHEADERS,0),MATCH($A1659,CLASSNAMEHEADERS,0))))}</f>
        <v>CLASSTYPE</v>
      </c>
      <c r="D1658" s="76" t="str">
        <f t="array" ref="D1658:D1659">{"CLASSABILITYPTS";"ClassAbilityPts"}</f>
        <v>CLASSABILITYPTS</v>
      </c>
      <c r="E1658" s="76" t="str">
        <f t="array" ref="E1658:E1659">{"CLASSABILITY1";"ClassAbility1"}</f>
        <v>CLASSABILITY1</v>
      </c>
      <c r="F1658" s="76"/>
      <c r="G1658" s="76"/>
      <c r="H1658" s="76"/>
      <c r="I1658" s="76"/>
      <c r="J1658" s="76" t="str">
        <f t="array" ref="J1658:J1659">{"CLASSABILITY1-L03PTS";((INDEX(ALLCLASSDATA,MATCH("ClassAbility1-L03",CLASSFEATUREHEADERS,0),MATCH(($A1659 &amp; "Points"),CLASSNAMEHEADERS,0))))}</f>
        <v>CLASSABILITY1-L03PTS</v>
      </c>
      <c r="K1658" s="76"/>
      <c r="L1658" s="76" t="str">
        <f t="array" ref="L1658:L1659">{"CLASSABILITY1-L05PTS";((INDEX(ALLCLASSDATA,MATCH("ClassAbility1-L05",CLASSFEATUREHEADERS,0),MATCH(($A1659 &amp; "Points"),CLASSNAMEHEADERS,0))))}</f>
        <v>CLASSABILITY1-L05PTS</v>
      </c>
      <c r="M1658" s="76"/>
      <c r="N1658" s="76" t="str">
        <f t="array" ref="N1658:N1659">{"CLASSABILITY1-L07PTS";((INDEX(ALLCLASSDATA,MATCH("ClassAbility1-L07",CLASSFEATUREHEADERS,0),MATCH(($A1659 &amp; "Points"),CLASSNAMEHEADERS,0))))}</f>
        <v>CLASSABILITY1-L07PTS</v>
      </c>
      <c r="O1658" s="76"/>
      <c r="P1658" s="76" t="str">
        <f t="array" ref="P1658:P1659">{"CLASSABILITY1-L09PTS";((INDEX(ALLCLASSDATA,MATCH("ClassAbility1-L09",CLASSFEATUREHEADERS,0),MATCH(($A1659 &amp; "Points"),CLASSNAMEHEADERS,0))))}</f>
        <v>CLASSABILITY1-L09PTS</v>
      </c>
      <c r="Q1658" s="76"/>
      <c r="R1658" s="76" t="str">
        <f t="array" ref="R1658:R1659">{"CLASSABILITY1-L11PTS";((INDEX(ALLCLASSDATA,MATCH("ClassAbility1-L11",CLASSFEATUREHEADERS,0),MATCH(($A1659 &amp; "Points"),CLASSNAMEHEADERS,0))))}</f>
        <v>CLASSABILITY1-L11PTS</v>
      </c>
      <c r="S1658" s="76"/>
      <c r="T1658" s="76" t="str">
        <f t="array" ref="T1658:T1659">{"CLASSABILITY1-L13PTS";((INDEX(ALLCLASSDATA,MATCH("ClassAbility1-L13",CLASSFEATUREHEADERS,0),MATCH(($A1659 &amp; "Points"),CLASSNAMEHEADERS,0))))}</f>
        <v>CLASSABILITY1-L13PTS</v>
      </c>
      <c r="U1658" s="76"/>
      <c r="V1658" s="76" t="str">
        <f t="array" ref="V1658:V1659">{"CLASSABILITY1-L15PTS";((INDEX(ALLCLASSDATA,MATCH("ClassAbility1-L15",CLASSFEATUREHEADERS,0),MATCH(($A1659 &amp; "Points"),CLASSNAMEHEADERS,0))))}</f>
        <v>CLASSABILITY1-L15PTS</v>
      </c>
      <c r="W1658" s="76"/>
      <c r="X1658" s="76" t="str">
        <f t="array" ref="X1658:X1659">{"CLASSABILITY1-L17PTS";((INDEX(ALLCLASSDATA,MATCH("ClassAbility1-L17",CLASSFEATUREHEADERS,0),MATCH(($A1659 &amp; "Points"),CLASSNAMEHEADERS,0))))}</f>
        <v>CLASSABILITY1-L17PTS</v>
      </c>
      <c r="Y1658" s="76"/>
      <c r="Z1658" s="76" t="str">
        <f t="array" ref="Z1658:Z1659">{"CLASSABILITY1-L19PTS";((INDEX(ALLCLASSDATA,MATCH("ClassAbility1-L19",CLASSFEATUREHEADERS,0),MATCH(($A1659 &amp; "Points"),CLASSNAMEHEADERS,0))))}</f>
        <v>CLASSABILITY1-L19PTS</v>
      </c>
      <c r="AA1658" s="76"/>
      <c r="AB1658" s="76"/>
      <c r="AC1658" s="76" t="str">
        <f t="array" ref="AC1658:AC1659">{"CLASSABILITY1 TOTAL";(sum(G1659:AA1659))}</f>
        <v>CLASSABILITY1 TOTAL</v>
      </c>
    </row>
    <row r="1659">
      <c r="A1659" s="48" t="s">
        <v>225</v>
      </c>
      <c r="B1659" s="48"/>
      <c r="C1659" s="48" t="s">
        <v>418</v>
      </c>
      <c r="D1659" s="48" t="s">
        <v>930</v>
      </c>
      <c r="E1659" s="48" t="s">
        <v>826</v>
      </c>
      <c r="F1659" s="5"/>
      <c r="G1659" s="5"/>
      <c r="H1659" s="5"/>
      <c r="I1659" s="5"/>
      <c r="J1659" s="48"/>
      <c r="K1659" s="5"/>
      <c r="L1659" s="5"/>
      <c r="M1659" s="5"/>
      <c r="N1659" s="5"/>
      <c r="O1659" s="5"/>
      <c r="P1659" s="5"/>
      <c r="Q1659" s="5"/>
      <c r="R1659" s="5"/>
      <c r="S1659" s="5"/>
      <c r="T1659" s="5"/>
      <c r="U1659" s="5"/>
      <c r="V1659" s="5"/>
      <c r="W1659" s="5"/>
      <c r="X1659" s="5"/>
      <c r="Y1659" s="5"/>
      <c r="Z1659" s="5"/>
      <c r="AA1659" s="5"/>
      <c r="AB1659" s="5"/>
      <c r="AC1659" s="47">
        <v>0.0</v>
      </c>
    </row>
    <row r="1660" hidden="1">
      <c r="A1660" s="76" t="str">
        <f t="array" ref="A1660:A1661">{"FormulaRow10";(INDEX(CLASSLIST,A1641,1))}</f>
        <v>FormulaRow10</v>
      </c>
      <c r="B1660" s="77" t="s">
        <v>236</v>
      </c>
      <c r="C1660" s="76" t="str">
        <f t="array" ref="C1660:C1661">{"CLASSTYPE";((INDEX(ALLCLASSDATA,MATCH("ClassType",CLASSFEATUREHEADERS,0),MATCH($A1661,CLASSNAMEHEADERS,0))))}</f>
        <v>CLASSTYPE</v>
      </c>
      <c r="D1660" s="76" t="str">
        <f t="array" ref="D1660:D1661">{"CLASSABILITY";"ClassAbility"}</f>
        <v>CLASSABILITY</v>
      </c>
      <c r="E1660" s="76" t="str">
        <f t="array" ref="E1660:E1661">{"CLASSABILITY2";"ClassAbility2"}</f>
        <v>CLASSABILITY2</v>
      </c>
      <c r="F1660" s="76"/>
      <c r="G1660" s="76"/>
      <c r="H1660" s="76"/>
      <c r="I1660" s="76"/>
      <c r="J1660" s="76" t="str">
        <f t="array" ref="J1660:J1661">{"CLASSABILITY2-L03";((INDEX(ALLCLASSDATA,MATCH("ClassAbility2-L03",CLASSFEATUREHEADERS,0),MATCH(($A1661),CLASSNAMEHEADERS,0))))}</f>
        <v>CLASSABILITY2-L03</v>
      </c>
      <c r="K1660" s="76"/>
      <c r="L1660" s="76" t="str">
        <f t="array" ref="L1660:L1661">{"CLASSABILITY2-L05";((INDEX(ALLCLASSDATA,MATCH("ClassAbility2-L05",CLASSFEATUREHEADERS,0),MATCH(($A1661),CLASSNAMEHEADERS,0))))}</f>
        <v>CLASSABILITY2-L05</v>
      </c>
      <c r="M1660" s="76"/>
      <c r="N1660" s="76" t="str">
        <f t="array" ref="N1660:N1661">{"CLASSABILITY2-L07";((INDEX(ALLCLASSDATA,MATCH("ClassAbility2-L07",CLASSFEATUREHEADERS,0),MATCH(($A1661),CLASSNAMEHEADERS,0))))}</f>
        <v>CLASSABILITY2-L07</v>
      </c>
      <c r="O1660" s="76"/>
      <c r="P1660" s="76" t="str">
        <f t="array" ref="P1660:P1661">{"CLASSABILITY2-L09";((INDEX(ALLCLASSDATA,MATCH("ClassAbility2-L09",CLASSFEATUREHEADERS,0),MATCH(($A1661),CLASSNAMEHEADERS,0))))}</f>
        <v>CLASSABILITY2-L09</v>
      </c>
      <c r="Q1660" s="76"/>
      <c r="R1660" s="76" t="str">
        <f t="array" ref="R1660:R1661">{"CLASSABILITY2-L11";((INDEX(ALLCLASSDATA,MATCH("ClassAbility2-L11",CLASSFEATUREHEADERS,0),MATCH(($A1661),CLASSNAMEHEADERS,0))))}</f>
        <v>CLASSABILITY2-L11</v>
      </c>
      <c r="S1660" s="76"/>
      <c r="T1660" s="76" t="str">
        <f t="array" ref="T1660:T1661">{"CLASSABILITY2-L13";((INDEX(ALLCLASSDATA,MATCH("ClassAbility2-L13",CLASSFEATUREHEADERS,0),MATCH(($A1661),CLASSNAMEHEADERS,0))))}</f>
        <v>CLASSABILITY2-L13</v>
      </c>
      <c r="U1660" s="76"/>
      <c r="V1660" s="76" t="str">
        <f t="array" ref="V1660:V1661">{"CLASSABILITY2-L15";((INDEX(ALLCLASSDATA,MATCH("ClassAbility2-L15",CLASSFEATUREHEADERS,0),MATCH(($A1661),CLASSNAMEHEADERS,0))))}</f>
        <v>CLASSABILITY2-L15</v>
      </c>
      <c r="W1660" s="76"/>
      <c r="X1660" s="76" t="str">
        <f t="array" ref="X1660:X1661">{"CLASSABILITY2-L17";((INDEX(ALLCLASSDATA,MATCH("ClassAbility2-L17",CLASSFEATUREHEADERS,0),MATCH(($A1661),CLASSNAMEHEADERS,0))))}</f>
        <v>CLASSABILITY2-L17</v>
      </c>
      <c r="Y1660" s="76"/>
      <c r="Z1660" s="76" t="str">
        <f t="array" ref="Z1660:Z1661">{"CLASSABILITY2-L19";((INDEX(ALLCLASSDATA,MATCH("ClassAbility2-L19",CLASSFEATUREHEADERS,0),MATCH(($A1661),CLASSNAMEHEADERS,0))))}</f>
        <v>CLASSABILITY2-L19</v>
      </c>
      <c r="AA1660" s="76"/>
      <c r="AB1660" s="76"/>
      <c r="AC1660" s="76"/>
    </row>
    <row r="1661">
      <c r="A1661" s="48" t="s">
        <v>225</v>
      </c>
      <c r="B1661" s="48"/>
      <c r="C1661" s="48" t="s">
        <v>418</v>
      </c>
      <c r="D1661" s="48" t="s">
        <v>825</v>
      </c>
      <c r="E1661" s="48" t="s">
        <v>1007</v>
      </c>
      <c r="F1661" s="48"/>
      <c r="G1661" s="47"/>
      <c r="H1661" s="5"/>
      <c r="I1661" s="5"/>
      <c r="J1661" s="5" t="s">
        <v>314</v>
      </c>
      <c r="K1661" s="5"/>
      <c r="L1661" s="5"/>
      <c r="M1661" s="5"/>
      <c r="N1661" s="5"/>
      <c r="O1661" s="5"/>
      <c r="P1661" s="5"/>
      <c r="Q1661" s="5"/>
      <c r="R1661" s="5" t="s">
        <v>335</v>
      </c>
      <c r="S1661" s="5"/>
      <c r="T1661" s="5" t="s">
        <v>1731</v>
      </c>
      <c r="U1661" s="5"/>
      <c r="V1661" s="5"/>
      <c r="W1661" s="5"/>
      <c r="X1661" s="5"/>
      <c r="Y1661" s="5"/>
      <c r="Z1661" s="5" t="s">
        <v>356</v>
      </c>
      <c r="AA1661" s="5"/>
      <c r="AB1661" s="5"/>
      <c r="AC1661" s="47"/>
    </row>
    <row r="1662" hidden="1">
      <c r="A1662" s="76" t="str">
        <f t="array" ref="A1662:A1663">{"FormulaRow11";(INDEX(CLASSLIST,A1641,1))}</f>
        <v>FormulaRow11</v>
      </c>
      <c r="B1662" s="77" t="s">
        <v>236</v>
      </c>
      <c r="C1662" s="76" t="str">
        <f t="array" ref="C1662:C1663">{"CLASSTYPE";((INDEX(ALLCLASSDATA,MATCH("ClassType",CLASSFEATUREHEADERS,0),MATCH($A1663,CLASSNAMEHEADERS,0))))}</f>
        <v>CLASSTYPE</v>
      </c>
      <c r="D1662" s="76" t="str">
        <f t="array" ref="D1662:D1663">{"CLASSABILITYPTS";"ClassAbilityPts"}</f>
        <v>CLASSABILITYPTS</v>
      </c>
      <c r="E1662" s="76" t="str">
        <f t="array" ref="E1662:E1663">{"CLASSABILITY2";"ClassAbility2"}</f>
        <v>CLASSABILITY2</v>
      </c>
      <c r="F1662" s="76"/>
      <c r="G1662" s="76"/>
      <c r="H1662" s="76"/>
      <c r="I1662" s="76"/>
      <c r="J1662" s="76" t="str">
        <f t="array" ref="J1662:J1663">{"CLASSABILITY2-L03PTS";((INDEX(ALLCLASSDATA,MATCH("ClassAbility2-L03",CLASSFEATUREHEADERS,0),MATCH(($A1663 &amp; "Points"),CLASSNAMEHEADERS,0))))}</f>
        <v>CLASSABILITY2-L03PTS</v>
      </c>
      <c r="K1662" s="76"/>
      <c r="L1662" s="76" t="str">
        <f t="array" ref="L1662:L1663">{"CLASSABILITY2-L05PTS";((INDEX(ALLCLASSDATA,MATCH("ClassAbility2-L05",CLASSFEATUREHEADERS,0),MATCH(($A1663 &amp; "Points"),CLASSNAMEHEADERS,0))))}</f>
        <v>CLASSABILITY2-L05PTS</v>
      </c>
      <c r="M1662" s="76"/>
      <c r="N1662" s="76" t="str">
        <f t="array" ref="N1662:N1663">{"CLASSABILITY2-L07PTS";((INDEX(ALLCLASSDATA,MATCH("ClassAbility2-L07",CLASSFEATUREHEADERS,0),MATCH(($A1663 &amp; "Points"),CLASSNAMEHEADERS,0))))}</f>
        <v>CLASSABILITY2-L07PTS</v>
      </c>
      <c r="O1662" s="76"/>
      <c r="P1662" s="76" t="str">
        <f t="array" ref="P1662:P1663">{"CLASSABILITY2-L09PTS";((INDEX(ALLCLASSDATA,MATCH("ClassAbility2-L09",CLASSFEATUREHEADERS,0),MATCH(($A1663 &amp; "Points"),CLASSNAMEHEADERS,0))))}</f>
        <v>CLASSABILITY2-L09PTS</v>
      </c>
      <c r="Q1662" s="76"/>
      <c r="R1662" s="76" t="str">
        <f t="array" ref="R1662:R1663">{"CLASSABILITY2-L11PTS";((INDEX(ALLCLASSDATA,MATCH("ClassAbility2-L11",CLASSFEATUREHEADERS,0),MATCH(($A1663 &amp; "Points"),CLASSNAMEHEADERS,0))))}</f>
        <v>CLASSABILITY2-L11PTS</v>
      </c>
      <c r="S1662" s="76"/>
      <c r="T1662" s="76" t="str">
        <f t="array" ref="T1662:T1663">{"CLASSABILITY2-L13PTS";((INDEX(ALLCLASSDATA,MATCH("ClassAbility2-L13",CLASSFEATUREHEADERS,0),MATCH(($A1663 &amp; "Points"),CLASSNAMEHEADERS,0))))}</f>
        <v>CLASSABILITY2-L13PTS</v>
      </c>
      <c r="U1662" s="76"/>
      <c r="V1662" s="76" t="str">
        <f t="array" ref="V1662:V1663">{"CLASSABILITY2-L15PTS";((INDEX(ALLCLASSDATA,MATCH("ClassAbility2-L15",CLASSFEATUREHEADERS,0),MATCH(($A1663 &amp; "Points"),CLASSNAMEHEADERS,0))))}</f>
        <v>CLASSABILITY2-L15PTS</v>
      </c>
      <c r="W1662" s="76"/>
      <c r="X1662" s="76" t="str">
        <f t="array" ref="X1662:X1663">{"CLASSABILITY2-L17PTS";((INDEX(ALLCLASSDATA,MATCH("ClassAbility2-L17",CLASSFEATUREHEADERS,0),MATCH(($A1663 &amp; "Points"),CLASSNAMEHEADERS,0))))}</f>
        <v>CLASSABILITY2-L17PTS</v>
      </c>
      <c r="Y1662" s="76"/>
      <c r="Z1662" s="76" t="str">
        <f t="array" ref="Z1662:Z1663">{"CLASSABILITY2-L19PTS";((INDEX(ALLCLASSDATA,MATCH("ClassAbility2-L19",CLASSFEATUREHEADERS,0),MATCH(($A1663 &amp; "Points"),CLASSNAMEHEADERS,0))))}</f>
        <v>CLASSABILITY2-L19PTS</v>
      </c>
      <c r="AA1662" s="76"/>
      <c r="AB1662" s="76"/>
      <c r="AC1662" s="76" t="str">
        <f t="array" ref="AC1662:AC1663">{"CLASSABILITY2 TOTAL";(sum(G1663:AA1663))}</f>
        <v>CLASSABILITY2 TOTAL</v>
      </c>
    </row>
    <row r="1663">
      <c r="A1663" s="48" t="s">
        <v>225</v>
      </c>
      <c r="B1663" s="48"/>
      <c r="C1663" s="48" t="s">
        <v>418</v>
      </c>
      <c r="D1663" s="48" t="s">
        <v>930</v>
      </c>
      <c r="E1663" s="48" t="s">
        <v>1007</v>
      </c>
      <c r="F1663" s="48"/>
      <c r="G1663" s="47"/>
      <c r="H1663" s="5"/>
      <c r="I1663" s="5"/>
      <c r="J1663" s="5"/>
      <c r="K1663" s="5"/>
      <c r="L1663" s="5"/>
      <c r="M1663" s="5"/>
      <c r="N1663" s="5"/>
      <c r="O1663" s="5"/>
      <c r="P1663" s="5"/>
      <c r="Q1663" s="5"/>
      <c r="R1663" s="5"/>
      <c r="S1663" s="5"/>
      <c r="T1663" s="5"/>
      <c r="U1663" s="5"/>
      <c r="V1663" s="5"/>
      <c r="W1663" s="5"/>
      <c r="X1663" s="5"/>
      <c r="Y1663" s="5"/>
      <c r="Z1663" s="5"/>
      <c r="AA1663" s="5"/>
      <c r="AB1663" s="5"/>
      <c r="AC1663" s="47">
        <v>0.0</v>
      </c>
    </row>
    <row r="1664" hidden="1">
      <c r="A1664" s="76" t="str">
        <f t="array" ref="A1664:A1665">{"FormulaRow12";(INDEX(CLASSLIST,A1641,1))}</f>
        <v>FormulaRow12</v>
      </c>
      <c r="B1664" s="77" t="s">
        <v>236</v>
      </c>
      <c r="C1664" s="76" t="str">
        <f t="array" ref="C1664:C1665">{"CLASSTYPE";((INDEX(ALLCLASSDATA,MATCH("ClassType",CLASSFEATUREHEADERS,0),MATCH($A1665,CLASSNAMEHEADERS,0))))}</f>
        <v>CLASSTYPE</v>
      </c>
      <c r="D1664" s="76" t="str">
        <f t="array" ref="D1664:D1665">{"CLASSABILITY";"ClassAbility"}</f>
        <v>CLASSABILITY</v>
      </c>
      <c r="E1664" s="76" t="str">
        <f t="array" ref="E1664:E1665">{"CLASSABILITY3";"ClassAbility3"}</f>
        <v>CLASSABILITY3</v>
      </c>
      <c r="F1664" s="76"/>
      <c r="G1664" s="76"/>
      <c r="H1664" s="76"/>
      <c r="I1664" s="76"/>
      <c r="J1664" s="76" t="str">
        <f t="array" ref="J1664:J1665">{"CLASSABILITY3-L03";((INDEX(ALLCLASSDATA,MATCH("ClassAbility3-L03",CLASSFEATUREHEADERS,0),MATCH(($A1665),CLASSNAMEHEADERS,0))))}</f>
        <v>CLASSABILITY3-L03</v>
      </c>
      <c r="K1664" s="76"/>
      <c r="L1664" s="76" t="str">
        <f t="array" ref="L1664:L1665">{"CLASSABILITY3-L05";((INDEX(ALLCLASSDATA,MATCH("ClassAbility3-L05",CLASSFEATUREHEADERS,0),MATCH(($A1665),CLASSNAMEHEADERS,0))))}</f>
        <v>CLASSABILITY3-L05</v>
      </c>
      <c r="M1664" s="76"/>
      <c r="N1664" s="76" t="str">
        <f t="array" ref="N1664:N1665">{"CLASSABILITY3-L07";((INDEX(ALLCLASSDATA,MATCH("ClassAbility3-L07",CLASSFEATUREHEADERS,0),MATCH(($A1665),CLASSNAMEHEADERS,0))))}</f>
        <v>CLASSABILITY3-L07</v>
      </c>
      <c r="O1664" s="76"/>
      <c r="P1664" s="76" t="str">
        <f t="array" ref="P1664:P1665">{"CLASSABILITY3-L09";((INDEX(ALLCLASSDATA,MATCH("ClassAbility3-L09",CLASSFEATUREHEADERS,0),MATCH(($A1665),CLASSNAMEHEADERS,0))))}</f>
        <v>CLASSABILITY3-L09</v>
      </c>
      <c r="Q1664" s="76"/>
      <c r="R1664" s="76" t="str">
        <f t="array" ref="R1664:R1665">{"CLASSABILITY3-L11";((INDEX(ALLCLASSDATA,MATCH("ClassAbility3-L11",CLASSFEATUREHEADERS,0),MATCH(($A1665),CLASSNAMEHEADERS,0))))}</f>
        <v>CLASSABILITY3-L11</v>
      </c>
      <c r="S1664" s="76"/>
      <c r="T1664" s="76" t="str">
        <f t="array" ref="T1664:T1665">{"CLASSABILITY3-L13";((INDEX(ALLCLASSDATA,MATCH("ClassAbility3-L13",CLASSFEATUREHEADERS,0),MATCH(($A1665),CLASSNAMEHEADERS,0))))}</f>
        <v>CLASSABILITY3-L13</v>
      </c>
      <c r="U1664" s="76"/>
      <c r="V1664" s="76" t="str">
        <f t="array" ref="V1664:V1665">{"CLASSABILITY3-L15";((INDEX(ALLCLASSDATA,MATCH("ClassAbility3-L15",CLASSFEATUREHEADERS,0),MATCH(($A1665),CLASSNAMEHEADERS,0))))}</f>
        <v>CLASSABILITY3-L15</v>
      </c>
      <c r="W1664" s="76"/>
      <c r="X1664" s="76" t="str">
        <f t="array" ref="X1664:X1665">{"CLASSABILITY3-L17";((INDEX(ALLCLASSDATA,MATCH("ClassAbility3-L17",CLASSFEATUREHEADERS,0),MATCH(($A1665),CLASSNAMEHEADERS,0))))}</f>
        <v>CLASSABILITY3-L17</v>
      </c>
      <c r="Y1664" s="76"/>
      <c r="Z1664" s="76" t="str">
        <f t="array" ref="Z1664:Z1665">{"CLASSABILITY3-L19";((INDEX(ALLCLASSDATA,MATCH("ClassAbility3-L19",CLASSFEATUREHEADERS,0),MATCH(($A1665),CLASSNAMEHEADERS,0))))}</f>
        <v>CLASSABILITY3-L19</v>
      </c>
      <c r="AA1664" s="76"/>
      <c r="AB1664" s="76"/>
      <c r="AC1664" s="76"/>
    </row>
    <row r="1665">
      <c r="A1665" s="48" t="s">
        <v>225</v>
      </c>
      <c r="B1665" s="48"/>
      <c r="C1665" s="48" t="s">
        <v>418</v>
      </c>
      <c r="D1665" s="48" t="s">
        <v>825</v>
      </c>
      <c r="E1665" s="48" t="s">
        <v>1144</v>
      </c>
      <c r="F1665" s="48"/>
      <c r="G1665" s="47"/>
      <c r="H1665" s="5"/>
      <c r="I1665" s="5"/>
      <c r="J1665" s="5"/>
      <c r="K1665" s="5"/>
      <c r="L1665" s="5"/>
      <c r="M1665" s="5"/>
      <c r="N1665" s="5"/>
      <c r="O1665" s="5"/>
      <c r="P1665" s="5"/>
      <c r="Q1665" s="5"/>
      <c r="R1665" s="5"/>
      <c r="S1665" s="5"/>
      <c r="T1665" s="5"/>
      <c r="U1665" s="5"/>
      <c r="V1665" s="5"/>
      <c r="W1665" s="5"/>
      <c r="X1665" s="5"/>
      <c r="Y1665" s="5"/>
      <c r="Z1665" s="5"/>
      <c r="AA1665" s="5"/>
      <c r="AB1665" s="5"/>
      <c r="AC1665" s="47"/>
    </row>
    <row r="1666" hidden="1">
      <c r="A1666" s="76" t="str">
        <f t="array" ref="A1666:A1667">{"FormulaRow13";(INDEX(CLASSLIST,A1641,1))}</f>
        <v>FormulaRow13</v>
      </c>
      <c r="B1666" s="77" t="s">
        <v>236</v>
      </c>
      <c r="C1666" s="76" t="str">
        <f t="array" ref="C1666:C1667">{"CLASSTYPE";((INDEX(ALLCLASSDATA,MATCH("ClassType",CLASSFEATUREHEADERS,0),MATCH($A1667,CLASSNAMEHEADERS,0))))}</f>
        <v>CLASSTYPE</v>
      </c>
      <c r="D1666" s="76" t="str">
        <f t="array" ref="D1666:D1667">{"CLASSABILITYPTS";"ClassAbilityPts"}</f>
        <v>CLASSABILITYPTS</v>
      </c>
      <c r="E1666" s="76" t="str">
        <f t="array" ref="E1666:E1667">{"CLASSABILITY3";"ClassAbility3"}</f>
        <v>CLASSABILITY3</v>
      </c>
      <c r="F1666" s="76"/>
      <c r="G1666" s="76"/>
      <c r="H1666" s="76"/>
      <c r="I1666" s="76"/>
      <c r="J1666" s="76" t="str">
        <f t="array" ref="J1666:J1667">{"CLASSABILITY3-L03PTS";((INDEX(ALLCLASSDATA,MATCH("ClassAbility3-L03",CLASSFEATUREHEADERS,0),MATCH(($A1667 &amp; "Points"),CLASSNAMEHEADERS,0))))}</f>
        <v>CLASSABILITY3-L03PTS</v>
      </c>
      <c r="K1666" s="76"/>
      <c r="L1666" s="76" t="str">
        <f t="array" ref="L1666:L1667">{"CLASSABILITY3-L05PTS";((INDEX(ALLCLASSDATA,MATCH("ClassAbility3-L05",CLASSFEATUREHEADERS,0),MATCH(($A1667 &amp; "Points"),CLASSNAMEHEADERS,0))))}</f>
        <v>CLASSABILITY3-L05PTS</v>
      </c>
      <c r="M1666" s="76"/>
      <c r="N1666" s="76" t="str">
        <f t="array" ref="N1666:N1667">{"CLASSABILITY3-L07PTS";((INDEX(ALLCLASSDATA,MATCH("ClassAbility3-L07",CLASSFEATUREHEADERS,0),MATCH(($A1667 &amp; "Points"),CLASSNAMEHEADERS,0))))}</f>
        <v>CLASSABILITY3-L07PTS</v>
      </c>
      <c r="O1666" s="76"/>
      <c r="P1666" s="76" t="str">
        <f t="array" ref="P1666:P1667">{"CLASSABILITY3-L09PTS";((INDEX(ALLCLASSDATA,MATCH("ClassAbility3-L09",CLASSFEATUREHEADERS,0),MATCH(($A1667 &amp; "Points"),CLASSNAMEHEADERS,0))))}</f>
        <v>CLASSABILITY3-L09PTS</v>
      </c>
      <c r="Q1666" s="76"/>
      <c r="R1666" s="76" t="str">
        <f t="array" ref="R1666:R1667">{"CLASSABILITY3-L11PTS";((INDEX(ALLCLASSDATA,MATCH("ClassAbility3-L11",CLASSFEATUREHEADERS,0),MATCH(($A1667 &amp; "Points"),CLASSNAMEHEADERS,0))))}</f>
        <v>CLASSABILITY3-L11PTS</v>
      </c>
      <c r="S1666" s="76"/>
      <c r="T1666" s="76" t="str">
        <f t="array" ref="T1666:T1667">{"CLASSABILITY3-L13PTS";((INDEX(ALLCLASSDATA,MATCH("ClassAbility3-L13",CLASSFEATUREHEADERS,0),MATCH(($A1667 &amp; "Points"),CLASSNAMEHEADERS,0))))}</f>
        <v>CLASSABILITY3-L13PTS</v>
      </c>
      <c r="U1666" s="76"/>
      <c r="V1666" s="76" t="str">
        <f t="array" ref="V1666:V1667">{"CLASSABILITY3-L15PTS";((INDEX(ALLCLASSDATA,MATCH("ClassAbility3-L15",CLASSFEATUREHEADERS,0),MATCH(($A1667 &amp; "Points"),CLASSNAMEHEADERS,0))))}</f>
        <v>CLASSABILITY3-L15PTS</v>
      </c>
      <c r="W1666" s="76"/>
      <c r="X1666" s="76" t="str">
        <f t="array" ref="X1666:X1667">{"CLASSABILITY3-L17PTS";((INDEX(ALLCLASSDATA,MATCH("ClassAbility3-L17",CLASSFEATUREHEADERS,0),MATCH(($A1667 &amp; "Points"),CLASSNAMEHEADERS,0))))}</f>
        <v>CLASSABILITY3-L17PTS</v>
      </c>
      <c r="Y1666" s="76"/>
      <c r="Z1666" s="76" t="str">
        <f t="array" ref="Z1666:Z1667">{"CLASSABILITY3-L19PTS";((INDEX(ALLCLASSDATA,MATCH("ClassAbility3-L19",CLASSFEATUREHEADERS,0),MATCH(($A1667 &amp; "Points"),CLASSNAMEHEADERS,0))))}</f>
        <v>CLASSABILITY3-L19PTS</v>
      </c>
      <c r="AA1666" s="76"/>
      <c r="AB1666" s="76"/>
      <c r="AC1666" s="76" t="str">
        <f t="array" ref="AC1666:AC1667">{"CLASSABILITY3 TOTAL";(sum(G1667:AA1667))}</f>
        <v>CLASSABILITY3 TOTAL</v>
      </c>
    </row>
    <row r="1667">
      <c r="A1667" s="48" t="s">
        <v>225</v>
      </c>
      <c r="B1667" s="48"/>
      <c r="C1667" s="48" t="s">
        <v>418</v>
      </c>
      <c r="D1667" s="48" t="s">
        <v>930</v>
      </c>
      <c r="E1667" s="48" t="s">
        <v>1144</v>
      </c>
      <c r="F1667" s="48"/>
      <c r="G1667" s="47"/>
      <c r="H1667" s="5"/>
      <c r="I1667" s="5"/>
      <c r="J1667" s="5"/>
      <c r="K1667" s="5"/>
      <c r="L1667" s="5"/>
      <c r="M1667" s="5"/>
      <c r="N1667" s="5"/>
      <c r="O1667" s="5"/>
      <c r="P1667" s="5"/>
      <c r="Q1667" s="5"/>
      <c r="R1667" s="5"/>
      <c r="S1667" s="5"/>
      <c r="T1667" s="5"/>
      <c r="U1667" s="5"/>
      <c r="V1667" s="5"/>
      <c r="W1667" s="5"/>
      <c r="X1667" s="5"/>
      <c r="Y1667" s="5"/>
      <c r="Z1667" s="5"/>
      <c r="AA1667" s="5"/>
      <c r="AB1667" s="5"/>
      <c r="AC1667" s="47">
        <v>0.0</v>
      </c>
    </row>
    <row r="1668" hidden="1">
      <c r="A1668" s="76" t="str">
        <f t="array" ref="A1668:A1669">{"FormulaRow14";(INDEX(CLASSLIST,A1641,1))}</f>
        <v>FormulaRow14</v>
      </c>
      <c r="B1668" s="77" t="s">
        <v>236</v>
      </c>
      <c r="C1668" s="76" t="str">
        <f t="array" ref="C1668:C1669">{"CLASSTYPE";((INDEX(ALLCLASSDATA,MATCH("ClassType",CLASSFEATUREHEADERS,0),MATCH($A1669,CLASSNAMEHEADERS,0))))}</f>
        <v>CLASSTYPE</v>
      </c>
      <c r="D1668" s="76" t="str">
        <f t="array" ref="D1668:D1669">{"CLASSABILITY";"ClassAbility"}</f>
        <v>CLASSABILITY</v>
      </c>
      <c r="E1668" s="76" t="str">
        <f t="array" ref="E1668:E1669">{"CLASSABILITY4";"ClassAbility4"}</f>
        <v>CLASSABILITY4</v>
      </c>
      <c r="F1668" s="76"/>
      <c r="G1668" s="76"/>
      <c r="H1668" s="76"/>
      <c r="I1668" s="76"/>
      <c r="J1668" s="76" t="str">
        <f t="array" ref="J1668:J1669">{"CLASSABILITY4-L03";((INDEX(ALLCLASSDATA,MATCH("ClassAbility4-L03",CLASSFEATUREHEADERS,0),MATCH(($A1669),CLASSNAMEHEADERS,0))))}</f>
        <v>CLASSABILITY4-L03</v>
      </c>
      <c r="K1668" s="76"/>
      <c r="L1668" s="76" t="str">
        <f t="array" ref="L1668:L1669">{"CLASSABILITY4-L05";((INDEX(ALLCLASSDATA,MATCH("ClassAbility4-L05",CLASSFEATUREHEADERS,0),MATCH(($A1669),CLASSNAMEHEADERS,0))))}</f>
        <v>CLASSABILITY4-L05</v>
      </c>
      <c r="M1668" s="76"/>
      <c r="N1668" s="76" t="str">
        <f t="array" ref="N1668:N1669">{"CLASSABILITY4-L07";((INDEX(ALLCLASSDATA,MATCH("ClassAbility4-L07",CLASSFEATUREHEADERS,0),MATCH(($A1669),CLASSNAMEHEADERS,0))))}</f>
        <v>CLASSABILITY4-L07</v>
      </c>
      <c r="O1668" s="76"/>
      <c r="P1668" s="76" t="str">
        <f t="array" ref="P1668:P1669">{"CLASSABILITY4-L09";((INDEX(ALLCLASSDATA,MATCH("ClassAbility4-L09",CLASSFEATUREHEADERS,0),MATCH(($A1669),CLASSNAMEHEADERS,0))))}</f>
        <v>CLASSABILITY4-L09</v>
      </c>
      <c r="Q1668" s="76"/>
      <c r="R1668" s="76" t="str">
        <f t="array" ref="R1668:R1669">{"CLASSABILITY4-L11";((INDEX(ALLCLASSDATA,MATCH("ClassAbility4-L11",CLASSFEATUREHEADERS,0),MATCH(($A1669),CLASSNAMEHEADERS,0))))}</f>
        <v>CLASSABILITY4-L11</v>
      </c>
      <c r="S1668" s="76"/>
      <c r="T1668" s="76" t="str">
        <f t="array" ref="T1668:T1669">{"CLASSABILITY4-L13";((INDEX(ALLCLASSDATA,MATCH("ClassAbility4-L13",CLASSFEATUREHEADERS,0),MATCH(($A1669),CLASSNAMEHEADERS,0))))}</f>
        <v>CLASSABILITY4-L13</v>
      </c>
      <c r="U1668" s="76"/>
      <c r="V1668" s="76" t="str">
        <f t="array" ref="V1668:V1669">{"CLASSABILITY4-L15";((INDEX(ALLCLASSDATA,MATCH("ClassAbility4-L15",CLASSFEATUREHEADERS,0),MATCH(($A1669),CLASSNAMEHEADERS,0))))}</f>
        <v>CLASSABILITY4-L15</v>
      </c>
      <c r="W1668" s="76"/>
      <c r="X1668" s="76" t="str">
        <f t="array" ref="X1668:X1669">{"CLASSABILITY4-L17";((INDEX(ALLCLASSDATA,MATCH("ClassAbility4-L17",CLASSFEATUREHEADERS,0),MATCH(($A1669),CLASSNAMEHEADERS,0))))}</f>
        <v>CLASSABILITY4-L17</v>
      </c>
      <c r="Y1668" s="76"/>
      <c r="Z1668" s="76" t="str">
        <f t="array" ref="Z1668:Z1669">{"CLASSABILITY4-L19";((INDEX(ALLCLASSDATA,MATCH("ClassAbility4-L19",CLASSFEATUREHEADERS,0),MATCH(($A1669),CLASSNAMEHEADERS,0))))}</f>
        <v>CLASSABILITY4-L19</v>
      </c>
      <c r="AA1668" s="76"/>
      <c r="AB1668" s="76"/>
      <c r="AC1668" s="76"/>
    </row>
    <row r="1669">
      <c r="A1669" s="48" t="s">
        <v>225</v>
      </c>
      <c r="B1669" s="48"/>
      <c r="C1669" s="48" t="s">
        <v>418</v>
      </c>
      <c r="D1669" s="48" t="s">
        <v>825</v>
      </c>
      <c r="E1669" s="48" t="s">
        <v>1273</v>
      </c>
      <c r="F1669" s="48"/>
      <c r="G1669" s="47"/>
      <c r="H1669" s="5"/>
      <c r="I1669" s="5"/>
      <c r="J1669" s="5"/>
      <c r="K1669" s="5"/>
      <c r="L1669" s="5"/>
      <c r="M1669" s="5"/>
      <c r="N1669" s="5"/>
      <c r="O1669" s="5"/>
      <c r="P1669" s="5"/>
      <c r="Q1669" s="5"/>
      <c r="R1669" s="5"/>
      <c r="S1669" s="5"/>
      <c r="T1669" s="5"/>
      <c r="U1669" s="5"/>
      <c r="V1669" s="5"/>
      <c r="W1669" s="5"/>
      <c r="X1669" s="5"/>
      <c r="Y1669" s="5"/>
      <c r="Z1669" s="5"/>
      <c r="AA1669" s="5"/>
      <c r="AB1669" s="5"/>
      <c r="AC1669" s="47"/>
    </row>
    <row r="1670" hidden="1">
      <c r="A1670" s="76" t="str">
        <f t="array" ref="A1670:A1671">{"FormulaRow15";(INDEX(CLASSLIST,A1641,1))}</f>
        <v>FormulaRow15</v>
      </c>
      <c r="B1670" s="77" t="s">
        <v>236</v>
      </c>
      <c r="C1670" s="76" t="str">
        <f t="array" ref="C1670:C1671">{"CLASSTYPE";((INDEX(ALLCLASSDATA,MATCH("ClassType",CLASSFEATUREHEADERS,0),MATCH($A1671,CLASSNAMEHEADERS,0))))}</f>
        <v>CLASSTYPE</v>
      </c>
      <c r="D1670" s="76" t="str">
        <f t="array" ref="D1670:D1671">{"CLASSABILITYPTS";"ClassAbilityPts"}</f>
        <v>CLASSABILITYPTS</v>
      </c>
      <c r="E1670" s="76" t="str">
        <f t="array" ref="E1670:E1671">{"CLASSABILITY4";"ClassAbility4"}</f>
        <v>CLASSABILITY4</v>
      </c>
      <c r="F1670" s="76"/>
      <c r="G1670" s="76"/>
      <c r="H1670" s="76"/>
      <c r="I1670" s="76"/>
      <c r="J1670" s="76" t="str">
        <f t="array" ref="J1670:J1671">{"CLASSABILITY4-L03PTS";((INDEX(ALLCLASSDATA,MATCH("ClassAbility4-L03",CLASSFEATUREHEADERS,0),MATCH(($A1671 &amp; "Points"),CLASSNAMEHEADERS,0))))}</f>
        <v>CLASSABILITY4-L03PTS</v>
      </c>
      <c r="K1670" s="76"/>
      <c r="L1670" s="76" t="str">
        <f t="array" ref="L1670:L1671">{"CLASSABILITY4-L05PTS";((INDEX(ALLCLASSDATA,MATCH("ClassAbility4-L05",CLASSFEATUREHEADERS,0),MATCH(($A1671 &amp; "Points"),CLASSNAMEHEADERS,0))))}</f>
        <v>CLASSABILITY4-L05PTS</v>
      </c>
      <c r="M1670" s="76"/>
      <c r="N1670" s="76" t="str">
        <f t="array" ref="N1670:N1671">{"CLASSABILITY4-L07PTS";((INDEX(ALLCLASSDATA,MATCH("ClassAbility4-L07",CLASSFEATUREHEADERS,0),MATCH(($A1671 &amp; "Points"),CLASSNAMEHEADERS,0))))}</f>
        <v>CLASSABILITY4-L07PTS</v>
      </c>
      <c r="O1670" s="76"/>
      <c r="P1670" s="76" t="str">
        <f t="array" ref="P1670:P1671">{"CLASSABILITY4-L09PTS";((INDEX(ALLCLASSDATA,MATCH("ClassAbility4-L09",CLASSFEATUREHEADERS,0),MATCH(($A1671 &amp; "Points"),CLASSNAMEHEADERS,0))))}</f>
        <v>CLASSABILITY4-L09PTS</v>
      </c>
      <c r="Q1670" s="76"/>
      <c r="R1670" s="76" t="str">
        <f t="array" ref="R1670:R1671">{"CLASSABILITY4-L11PTS";((INDEX(ALLCLASSDATA,MATCH("ClassAbility4-L11",CLASSFEATUREHEADERS,0),MATCH(($A1671 &amp; "Points"),CLASSNAMEHEADERS,0))))}</f>
        <v>CLASSABILITY4-L11PTS</v>
      </c>
      <c r="S1670" s="76"/>
      <c r="T1670" s="76" t="str">
        <f t="array" ref="T1670:T1671">{"CLASSABILITY4-L13PTS";((INDEX(ALLCLASSDATA,MATCH("ClassAbility4-L13",CLASSFEATUREHEADERS,0),MATCH(($A1671 &amp; "Points"),CLASSNAMEHEADERS,0))))}</f>
        <v>CLASSABILITY4-L13PTS</v>
      </c>
      <c r="U1670" s="76"/>
      <c r="V1670" s="76" t="str">
        <f t="array" ref="V1670:V1671">{"CLASSABILITY4-L15PTS";((INDEX(ALLCLASSDATA,MATCH("ClassAbility4-L15",CLASSFEATUREHEADERS,0),MATCH(($A1671 &amp; "Points"),CLASSNAMEHEADERS,0))))}</f>
        <v>CLASSABILITY4-L15PTS</v>
      </c>
      <c r="W1670" s="76"/>
      <c r="X1670" s="76" t="str">
        <f t="array" ref="X1670:X1671">{"CLASSABILITY4-L17PTS";((INDEX(ALLCLASSDATA,MATCH("ClassAbility4-L17",CLASSFEATUREHEADERS,0),MATCH(($A1671 &amp; "Points"),CLASSNAMEHEADERS,0))))}</f>
        <v>CLASSABILITY4-L17PTS</v>
      </c>
      <c r="Y1670" s="76"/>
      <c r="Z1670" s="76" t="str">
        <f t="array" ref="Z1670:Z1671">{"CLASSABILITY4-L19PTS";((INDEX(ALLCLASSDATA,MATCH("ClassAbility4-L19",CLASSFEATUREHEADERS,0),MATCH(($A1671 &amp; "Points"),CLASSNAMEHEADERS,0))))}</f>
        <v>CLASSABILITY4-L19PTS</v>
      </c>
      <c r="AA1670" s="76"/>
      <c r="AB1670" s="76"/>
      <c r="AC1670" s="76" t="str">
        <f t="array" ref="AC1670:AC1671">{"CLASSABILITY4 TOTAL";(sum(G1671:AA1671))}</f>
        <v>CLASSABILITY4 TOTAL</v>
      </c>
    </row>
    <row r="1671">
      <c r="A1671" s="48" t="s">
        <v>225</v>
      </c>
      <c r="B1671" s="48"/>
      <c r="C1671" s="48" t="s">
        <v>418</v>
      </c>
      <c r="D1671" s="48" t="s">
        <v>930</v>
      </c>
      <c r="E1671" s="48" t="s">
        <v>1273</v>
      </c>
      <c r="F1671" s="48"/>
      <c r="G1671" s="47"/>
      <c r="H1671" s="5"/>
      <c r="I1671" s="5"/>
      <c r="J1671" s="5"/>
      <c r="K1671" s="5"/>
      <c r="L1671" s="5"/>
      <c r="M1671" s="5"/>
      <c r="N1671" s="5"/>
      <c r="O1671" s="5"/>
      <c r="P1671" s="5"/>
      <c r="Q1671" s="5"/>
      <c r="R1671" s="5"/>
      <c r="S1671" s="5"/>
      <c r="T1671" s="5"/>
      <c r="U1671" s="5"/>
      <c r="V1671" s="5"/>
      <c r="W1671" s="5"/>
      <c r="X1671" s="5"/>
      <c r="Y1671" s="5"/>
      <c r="Z1671" s="5"/>
      <c r="AA1671" s="5"/>
      <c r="AB1671" s="5"/>
      <c r="AC1671" s="47">
        <v>0.0</v>
      </c>
    </row>
    <row r="1672" hidden="1">
      <c r="A1672" s="76" t="str">
        <f t="array" ref="A1672:A1673">{"FormulaRow16";(INDEX(CLASSLIST,A1641,1))}</f>
        <v>FormulaRow16</v>
      </c>
      <c r="B1672" s="77" t="s">
        <v>236</v>
      </c>
      <c r="C1672" s="76" t="str">
        <f t="array" ref="C1672:C1673">{"CLASSTYPE";((INDEX(ALLCLASSDATA,MATCH("ClassType",CLASSFEATUREHEADERS,0),MATCH($A1673,CLASSNAMEHEADERS,0))))}</f>
        <v>CLASSTYPE</v>
      </c>
      <c r="D1672" s="76" t="str">
        <f t="array" ref="D1672:D1673">{"CLASSABILITY";"ClassAbility"}</f>
        <v>CLASSABILITY</v>
      </c>
      <c r="E1672" s="76" t="str">
        <f t="array" ref="E1672:E1673">{"SUBCLASSABILITY1";"SubclassAbility1"}</f>
        <v>SUBCLASSABILITY1</v>
      </c>
      <c r="F1672" s="76"/>
      <c r="G1672" s="76"/>
      <c r="H1672" s="76"/>
      <c r="I1672" s="76"/>
      <c r="J1672" s="76" t="str">
        <f t="array" ref="J1672:J1673">{"SUBCLASSABILITY1-L03";((INDEX(ALLCLASSDATA,MATCH("SubclassAbility1-L03",CLASSFEATUREHEADERS,0),MATCH(($A1673),CLASSNAMEHEADERS,0))))}</f>
        <v>SUBCLASSABILITY1-L03</v>
      </c>
      <c r="K1672" s="76"/>
      <c r="L1672" s="76" t="str">
        <f t="array" ref="L1672:L1673">{"SUBCLASSABILITY1-L05";((INDEX(ALLCLASSDATA,MATCH("SubclassAbility1-L05",CLASSFEATUREHEADERS,0),MATCH(($A1673),CLASSNAMEHEADERS,0))))}</f>
        <v>SUBCLASSABILITY1-L05</v>
      </c>
      <c r="M1672" s="76"/>
      <c r="N1672" s="76" t="str">
        <f t="array" ref="N1672:N1673">{"SUBCLASSABILITY1-L07";((INDEX(ALLCLASSDATA,MATCH("SubclassAbility1-L07",CLASSFEATUREHEADERS,0),MATCH(($A1673),CLASSNAMEHEADERS,0))))}</f>
        <v>SUBCLASSABILITY1-L07</v>
      </c>
      <c r="O1672" s="76"/>
      <c r="P1672" s="76" t="str">
        <f t="array" ref="P1672:P1673">{"SUBCLASSABILITY1-L09";((INDEX(ALLCLASSDATA,MATCH("SubclassAbility1-L09",CLASSFEATUREHEADERS,0),MATCH(($A1673),CLASSNAMEHEADERS,0))))}</f>
        <v>SUBCLASSABILITY1-L09</v>
      </c>
      <c r="Q1672" s="76"/>
      <c r="R1672" s="76" t="str">
        <f t="array" ref="R1672:R1673">{"SUBCLASSABILITY1-L11";((INDEX(ALLCLASSDATA,MATCH("SubclassAbility1-L11",CLASSFEATUREHEADERS,0),MATCH(($A1673),CLASSNAMEHEADERS,0))))}</f>
        <v>SUBCLASSABILITY1-L11</v>
      </c>
      <c r="S1672" s="76"/>
      <c r="T1672" s="76" t="str">
        <f t="array" ref="T1672:T1673">{"SUBCLASSABILITY1-L13";((INDEX(ALLCLASSDATA,MATCH("SubclassAbility1-L13",CLASSFEATUREHEADERS,0),MATCH(($A1673),CLASSNAMEHEADERS,0))))}</f>
        <v>SUBCLASSABILITY1-L13</v>
      </c>
      <c r="U1672" s="76"/>
      <c r="V1672" s="76" t="str">
        <f t="array" ref="V1672:V1673">{"SUBCLASSABILITY1-L15";((INDEX(ALLCLASSDATA,MATCH("SubclassAbility1-L15",CLASSFEATUREHEADERS,0),MATCH(($A1673),CLASSNAMEHEADERS,0))))}</f>
        <v>SUBCLASSABILITY1-L15</v>
      </c>
      <c r="W1672" s="76"/>
      <c r="X1672" s="76" t="str">
        <f t="array" ref="X1672:X1673">{"SUBCLASSABILITY1-L17";((INDEX(ALLCLASSDATA,MATCH("SubclassAbility1-L17",CLASSFEATUREHEADERS,0),MATCH(($A1673),CLASSNAMEHEADERS,0))))}</f>
        <v>SUBCLASSABILITY1-L17</v>
      </c>
      <c r="Y1672" s="76"/>
      <c r="Z1672" s="76" t="str">
        <f t="array" ref="Z1672:Z1673">{"SUBCLASSABILITY1-L19";((INDEX(ALLCLASSDATA,MATCH("SubclassAbility1-L19",CLASSFEATUREHEADERS,0),MATCH(($A1673),CLASSNAMEHEADERS,0))))}</f>
        <v>SUBCLASSABILITY1-L19</v>
      </c>
      <c r="AA1672" s="76"/>
      <c r="AB1672" s="76"/>
      <c r="AC1672" s="76"/>
    </row>
    <row r="1673">
      <c r="A1673" s="48" t="s">
        <v>225</v>
      </c>
      <c r="B1673" s="48"/>
      <c r="C1673" s="48" t="s">
        <v>418</v>
      </c>
      <c r="D1673" s="48" t="s">
        <v>825</v>
      </c>
      <c r="E1673" s="28" t="s">
        <v>1355</v>
      </c>
      <c r="F1673" s="5"/>
      <c r="G1673" s="47"/>
      <c r="H1673" s="5"/>
      <c r="I1673" s="5"/>
      <c r="J1673" s="5"/>
      <c r="K1673" s="5"/>
      <c r="L1673" s="5"/>
      <c r="M1673" s="5"/>
      <c r="N1673" s="5"/>
      <c r="O1673" s="5"/>
      <c r="P1673" s="5"/>
      <c r="Q1673" s="5"/>
      <c r="R1673" s="5"/>
      <c r="S1673" s="5"/>
      <c r="T1673" s="5"/>
      <c r="U1673" s="5"/>
      <c r="V1673" s="5"/>
      <c r="W1673" s="5"/>
      <c r="X1673" s="5"/>
      <c r="Y1673" s="5"/>
      <c r="Z1673" s="5"/>
      <c r="AA1673" s="5"/>
      <c r="AB1673" s="5"/>
      <c r="AC1673" s="47"/>
    </row>
    <row r="1674" hidden="1">
      <c r="A1674" s="76" t="str">
        <f t="array" ref="A1674:A1675">{"FormulaRow17";(INDEX(CLASSLIST,A1641,1))}</f>
        <v>FormulaRow17</v>
      </c>
      <c r="B1674" s="77" t="s">
        <v>236</v>
      </c>
      <c r="C1674" s="76" t="str">
        <f t="array" ref="C1674:C1675">{"CLASSTYPE";((INDEX(ALLCLASSDATA,MATCH("ClassType",CLASSFEATUREHEADERS,0),MATCH($A1675,CLASSNAMEHEADERS,0))))}</f>
        <v>CLASSTYPE</v>
      </c>
      <c r="D1674" s="76" t="str">
        <f t="array" ref="D1674:D1675">{"CLASSABILITYPTS";"ClassAbilityPts"}</f>
        <v>CLASSABILITYPTS</v>
      </c>
      <c r="E1674" s="76" t="str">
        <f t="array" ref="E1674:E1675">{"SUBCLASSABILITY1";"SubclassAbility1"}</f>
        <v>SUBCLASSABILITY1</v>
      </c>
      <c r="F1674" s="76"/>
      <c r="G1674" s="76"/>
      <c r="H1674" s="76"/>
      <c r="I1674" s="76"/>
      <c r="J1674" s="76" t="str">
        <f t="array" ref="J1674:J1675">{"SUBCLASSABILITY1-L03PTS";((INDEX(ALLCLASSDATA,MATCH("SubclassAbility1-L03",CLASSFEATUREHEADERS,0),MATCH(($A1675 &amp; "Points"),CLASSNAMEHEADERS,0))))}</f>
        <v>SUBCLASSABILITY1-L03PTS</v>
      </c>
      <c r="K1674" s="76"/>
      <c r="L1674" s="76" t="str">
        <f t="array" ref="L1674:L1675">{"SUBCLASSABILITY1-L05PTS";((INDEX(ALLCLASSDATA,MATCH("SubclassAbility1-L05",CLASSFEATUREHEADERS,0),MATCH(($A1675 &amp; "Points"),CLASSNAMEHEADERS,0))))}</f>
        <v>SUBCLASSABILITY1-L05PTS</v>
      </c>
      <c r="M1674" s="76"/>
      <c r="N1674" s="76" t="str">
        <f t="array" ref="N1674:N1675">{"SUBCLASSABILITY1-L07PTS";((INDEX(ALLCLASSDATA,MATCH("SubclassAbility1-L07",CLASSFEATUREHEADERS,0),MATCH(($A1675 &amp; "Points"),CLASSNAMEHEADERS,0))))}</f>
        <v>SUBCLASSABILITY1-L07PTS</v>
      </c>
      <c r="O1674" s="76"/>
      <c r="P1674" s="76" t="str">
        <f t="array" ref="P1674:P1675">{"SUBCLASSABILITY1-L09PTS";((INDEX(ALLCLASSDATA,MATCH("SubclassAbility1-L09",CLASSFEATUREHEADERS,0),MATCH(($A1675 &amp; "Points"),CLASSNAMEHEADERS,0))))}</f>
        <v>SUBCLASSABILITY1-L09PTS</v>
      </c>
      <c r="Q1674" s="76"/>
      <c r="R1674" s="76" t="str">
        <f t="array" ref="R1674:R1675">{"SUBCLASSABILITY1-L11PTS";((INDEX(ALLCLASSDATA,MATCH("SubclassAbility1-L11",CLASSFEATUREHEADERS,0),MATCH(($A1675 &amp; "Points"),CLASSNAMEHEADERS,0))))}</f>
        <v>SUBCLASSABILITY1-L11PTS</v>
      </c>
      <c r="S1674" s="76"/>
      <c r="T1674" s="76" t="str">
        <f t="array" ref="T1674:T1675">{"SUBCLASSABILITY1-L13PTS";((INDEX(ALLCLASSDATA,MATCH("SubclassAbility1-L13",CLASSFEATUREHEADERS,0),MATCH(($A1675 &amp; "Points"),CLASSNAMEHEADERS,0))))}</f>
        <v>SUBCLASSABILITY1-L13PTS</v>
      </c>
      <c r="U1674" s="76"/>
      <c r="V1674" s="76" t="str">
        <f t="array" ref="V1674:V1675">{"SUBCLASSABILITY1-L15PTS";((INDEX(ALLCLASSDATA,MATCH("SubclassAbility1-L15",CLASSFEATUREHEADERS,0),MATCH(($A1675 &amp; "Points"),CLASSNAMEHEADERS,0))))}</f>
        <v>SUBCLASSABILITY1-L15PTS</v>
      </c>
      <c r="W1674" s="76"/>
      <c r="X1674" s="76" t="str">
        <f t="array" ref="X1674:X1675">{"SUBCLASSABILITY1-L17PTS";((INDEX(ALLCLASSDATA,MATCH("SubclassAbility1-L17",CLASSFEATUREHEADERS,0),MATCH(($A1675 &amp; "Points"),CLASSNAMEHEADERS,0))))}</f>
        <v>SUBCLASSABILITY1-L17PTS</v>
      </c>
      <c r="Y1674" s="76"/>
      <c r="Z1674" s="76" t="str">
        <f t="array" ref="Z1674:Z1675">{"SUBCLASSABILITY1-L19PTS";((INDEX(ALLCLASSDATA,MATCH("SubclassAbility1-L19",CLASSFEATUREHEADERS,0),MATCH(($A1675 &amp; "Points"),CLASSNAMEHEADERS,0))))}</f>
        <v>SUBCLASSABILITY1-L19PTS</v>
      </c>
      <c r="AA1674" s="76"/>
      <c r="AB1674" s="76"/>
      <c r="AC1674" s="76" t="str">
        <f t="array" ref="AC1674:AC1675">{"SUBCLASSABILITY1 TOTAL";(sum(G1675:AA1675))}</f>
        <v>SUBCLASSABILITY1 TOTAL</v>
      </c>
    </row>
    <row r="1675">
      <c r="A1675" s="48" t="s">
        <v>225</v>
      </c>
      <c r="B1675" s="48"/>
      <c r="C1675" s="48" t="s">
        <v>418</v>
      </c>
      <c r="D1675" s="48" t="s">
        <v>930</v>
      </c>
      <c r="E1675" s="28" t="s">
        <v>1355</v>
      </c>
      <c r="F1675" s="5"/>
      <c r="G1675" s="47"/>
      <c r="H1675" s="5"/>
      <c r="I1675" s="5"/>
      <c r="J1675" s="5"/>
      <c r="K1675" s="5"/>
      <c r="L1675" s="5"/>
      <c r="M1675" s="5"/>
      <c r="N1675" s="5"/>
      <c r="O1675" s="5"/>
      <c r="P1675" s="5"/>
      <c r="Q1675" s="5"/>
      <c r="R1675" s="5"/>
      <c r="S1675" s="5"/>
      <c r="T1675" s="5"/>
      <c r="U1675" s="5"/>
      <c r="V1675" s="5"/>
      <c r="W1675" s="5"/>
      <c r="X1675" s="5"/>
      <c r="Y1675" s="5"/>
      <c r="Z1675" s="5"/>
      <c r="AA1675" s="5"/>
      <c r="AB1675" s="5"/>
      <c r="AC1675" s="47">
        <v>0.0</v>
      </c>
    </row>
    <row r="1676" hidden="1">
      <c r="A1676" s="76" t="str">
        <f t="array" ref="A1676:A1677">{"FormulaRow18";(INDEX(CLASSLIST,A1641,1))}</f>
        <v>FormulaRow18</v>
      </c>
      <c r="B1676" s="77" t="s">
        <v>236</v>
      </c>
      <c r="C1676" s="76" t="str">
        <f t="array" ref="C1676:C1677">{"CLASSTYPE";((INDEX(ALLCLASSDATA,MATCH("ClassType",CLASSFEATUREHEADERS,0),MATCH($A1677,CLASSNAMEHEADERS,0))))}</f>
        <v>CLASSTYPE</v>
      </c>
      <c r="D1676" s="76" t="str">
        <f t="array" ref="D1676:D1677">{"CLASSABILITY";"ClassAbility"}</f>
        <v>CLASSABILITY</v>
      </c>
      <c r="E1676" s="76" t="str">
        <f t="array" ref="E1676:E1677">{"SUBCLASSABILITY2";"SubclassAbility2"}</f>
        <v>SUBCLASSABILITY2</v>
      </c>
      <c r="F1676" s="76"/>
      <c r="G1676" s="76"/>
      <c r="H1676" s="76"/>
      <c r="I1676" s="76"/>
      <c r="J1676" s="76" t="str">
        <f t="array" ref="J1676:J1677">{"SUBCLASSABILITY2-L03";((INDEX(ALLCLASSDATA,MATCH("SubclassAbility2-L03",CLASSFEATUREHEADERS,0),MATCH(($A1677),CLASSNAMEHEADERS,0))))}</f>
        <v>SUBCLASSABILITY2-L03</v>
      </c>
      <c r="K1676" s="76"/>
      <c r="L1676" s="76" t="str">
        <f t="array" ref="L1676:L1677">{"SUBCLASSABILITY2-L05";((INDEX(ALLCLASSDATA,MATCH("SubclassAbility2-L05",CLASSFEATUREHEADERS,0),MATCH(($A1677),CLASSNAMEHEADERS,0))))}</f>
        <v>SUBCLASSABILITY2-L05</v>
      </c>
      <c r="M1676" s="76"/>
      <c r="N1676" s="76" t="str">
        <f t="array" ref="N1676:N1677">{"SUBCLASSABILITY2-L07";((INDEX(ALLCLASSDATA,MATCH("SubclassAbility2-L07",CLASSFEATUREHEADERS,0),MATCH(($A1677),CLASSNAMEHEADERS,0))))}</f>
        <v>SUBCLASSABILITY2-L07</v>
      </c>
      <c r="O1676" s="76"/>
      <c r="P1676" s="76" t="str">
        <f t="array" ref="P1676:P1677">{"SUBCLASSABILITY2-L09";((INDEX(ALLCLASSDATA,MATCH("SubclassAbility2-L09",CLASSFEATUREHEADERS,0),MATCH(($A1677),CLASSNAMEHEADERS,0))))}</f>
        <v>SUBCLASSABILITY2-L09</v>
      </c>
      <c r="Q1676" s="76"/>
      <c r="R1676" s="76" t="str">
        <f t="array" ref="R1676:R1677">{"SUBCLASSABILITY2-L11";((INDEX(ALLCLASSDATA,MATCH("SubclassAbility2-L11",CLASSFEATUREHEADERS,0),MATCH(($A1677),CLASSNAMEHEADERS,0))))}</f>
        <v>SUBCLASSABILITY2-L11</v>
      </c>
      <c r="S1676" s="76"/>
      <c r="T1676" s="76" t="str">
        <f t="array" ref="T1676:T1677">{"SUBCLASSABILITY2-L13";((INDEX(ALLCLASSDATA,MATCH("SubclassAbility2-L13",CLASSFEATUREHEADERS,0),MATCH(($A1677),CLASSNAMEHEADERS,0))))}</f>
        <v>SUBCLASSABILITY2-L13</v>
      </c>
      <c r="U1676" s="76"/>
      <c r="V1676" s="76" t="str">
        <f t="array" ref="V1676:V1677">{"SUBCLASSABILITY2-L15";((INDEX(ALLCLASSDATA,MATCH("SubclassAbility2-L15",CLASSFEATUREHEADERS,0),MATCH(($A1677),CLASSNAMEHEADERS,0))))}</f>
        <v>SUBCLASSABILITY2-L15</v>
      </c>
      <c r="W1676" s="76"/>
      <c r="X1676" s="76" t="str">
        <f t="array" ref="X1676:X1677">{"SUBCLASSABILITY2-L17";((INDEX(ALLCLASSDATA,MATCH("SubclassAbility2-L17",CLASSFEATUREHEADERS,0),MATCH(($A1677),CLASSNAMEHEADERS,0))))}</f>
        <v>SUBCLASSABILITY2-L17</v>
      </c>
      <c r="Y1676" s="76"/>
      <c r="Z1676" s="76" t="str">
        <f t="array" ref="Z1676:Z1677">{"SUBCLASSABILITY2-L19";((INDEX(ALLCLASSDATA,MATCH("SubclassAbility2-L19",CLASSFEATUREHEADERS,0),MATCH(($A1677),CLASSNAMEHEADERS,0))))}</f>
        <v>SUBCLASSABILITY2-L19</v>
      </c>
      <c r="AA1676" s="76"/>
      <c r="AB1676" s="76"/>
      <c r="AC1676" s="76"/>
    </row>
    <row r="1677">
      <c r="A1677" s="48" t="s">
        <v>225</v>
      </c>
      <c r="B1677" s="48"/>
      <c r="C1677" s="48" t="s">
        <v>418</v>
      </c>
      <c r="D1677" s="48" t="s">
        <v>825</v>
      </c>
      <c r="E1677" s="28" t="s">
        <v>1370</v>
      </c>
      <c r="F1677" s="5"/>
      <c r="G1677" s="47"/>
      <c r="H1677" s="5"/>
      <c r="I1677" s="5"/>
      <c r="J1677" s="5"/>
      <c r="K1677" s="5"/>
      <c r="L1677" s="5"/>
      <c r="M1677" s="5"/>
      <c r="N1677" s="5"/>
      <c r="O1677" s="5"/>
      <c r="P1677" s="5"/>
      <c r="Q1677" s="5"/>
      <c r="R1677" s="5"/>
      <c r="S1677" s="5"/>
      <c r="T1677" s="5"/>
      <c r="U1677" s="5"/>
      <c r="V1677" s="5"/>
      <c r="W1677" s="5"/>
      <c r="X1677" s="5"/>
      <c r="Y1677" s="5"/>
      <c r="Z1677" s="5"/>
      <c r="AA1677" s="5"/>
      <c r="AB1677" s="5"/>
      <c r="AC1677" s="47"/>
    </row>
    <row r="1678" hidden="1">
      <c r="A1678" s="76" t="str">
        <f t="array" ref="A1678:A1679">{"FormulaRow19";(INDEX(CLASSLIST,A1641,1))}</f>
        <v>FormulaRow19</v>
      </c>
      <c r="B1678" s="77" t="s">
        <v>236</v>
      </c>
      <c r="C1678" s="76" t="str">
        <f t="array" ref="C1678:C1679">{"CLASSTYPE";((INDEX(ALLCLASSDATA,MATCH("ClassType",CLASSFEATUREHEADERS,0),MATCH($A1679,CLASSNAMEHEADERS,0))))}</f>
        <v>CLASSTYPE</v>
      </c>
      <c r="D1678" s="76" t="str">
        <f t="array" ref="D1678:D1679">{"CLASSABILITYPTS";"ClassAbilityPts"}</f>
        <v>CLASSABILITYPTS</v>
      </c>
      <c r="E1678" s="76" t="str">
        <f t="array" ref="E1678:E1679">{"SUBCLASSABILITY2";"SubclassAbility2"}</f>
        <v>SUBCLASSABILITY2</v>
      </c>
      <c r="F1678" s="76"/>
      <c r="G1678" s="76"/>
      <c r="H1678" s="76"/>
      <c r="I1678" s="76"/>
      <c r="J1678" s="76" t="str">
        <f t="array" ref="J1678:J1679">{"SUBCLASSABILITY2-L03PTS";((INDEX(ALLCLASSDATA,MATCH("SubclassAbility2-L03",CLASSFEATUREHEADERS,0),MATCH(($A1679 &amp; "Points"),CLASSNAMEHEADERS,0))))}</f>
        <v>SUBCLASSABILITY2-L03PTS</v>
      </c>
      <c r="K1678" s="76"/>
      <c r="L1678" s="76" t="str">
        <f t="array" ref="L1678:L1679">{"SUBCLASSABILITY2-L05PTS";((INDEX(ALLCLASSDATA,MATCH("SubclassAbility2-L05",CLASSFEATUREHEADERS,0),MATCH(($A1679 &amp; "Points"),CLASSNAMEHEADERS,0))))}</f>
        <v>SUBCLASSABILITY2-L05PTS</v>
      </c>
      <c r="M1678" s="76"/>
      <c r="N1678" s="76" t="str">
        <f t="array" ref="N1678:N1679">{"SUBCLASSABILITY2-L07PTS";((INDEX(ALLCLASSDATA,MATCH("SubclassAbility2-L07",CLASSFEATUREHEADERS,0),MATCH(($A1679 &amp; "Points"),CLASSNAMEHEADERS,0))))}</f>
        <v>SUBCLASSABILITY2-L07PTS</v>
      </c>
      <c r="O1678" s="76"/>
      <c r="P1678" s="76" t="str">
        <f t="array" ref="P1678:P1679">{"SUBCLASSABILITY2-L09PTS";((INDEX(ALLCLASSDATA,MATCH("SubclassAbility2-L09",CLASSFEATUREHEADERS,0),MATCH(($A1679 &amp; "Points"),CLASSNAMEHEADERS,0))))}</f>
        <v>SUBCLASSABILITY2-L09PTS</v>
      </c>
      <c r="Q1678" s="76"/>
      <c r="R1678" s="76" t="str">
        <f t="array" ref="R1678:R1679">{"SUBCLASSABILITY2-L11PTS";((INDEX(ALLCLASSDATA,MATCH("SubclassAbility2-L11",CLASSFEATUREHEADERS,0),MATCH(($A1679 &amp; "Points"),CLASSNAMEHEADERS,0))))}</f>
        <v>SUBCLASSABILITY2-L11PTS</v>
      </c>
      <c r="S1678" s="76"/>
      <c r="T1678" s="76" t="str">
        <f t="array" ref="T1678:T1679">{"SUBCLASSABILITY2-L13PTS";((INDEX(ALLCLASSDATA,MATCH("SubclassAbility2-L13",CLASSFEATUREHEADERS,0),MATCH(($A1679 &amp; "Points"),CLASSNAMEHEADERS,0))))}</f>
        <v>SUBCLASSABILITY2-L13PTS</v>
      </c>
      <c r="U1678" s="76"/>
      <c r="V1678" s="76" t="str">
        <f t="array" ref="V1678:V1679">{"SUBCLASSABILITY2-L15PTS";((INDEX(ALLCLASSDATA,MATCH("SubclassAbility2-L15",CLASSFEATUREHEADERS,0),MATCH(($A1679 &amp; "Points"),CLASSNAMEHEADERS,0))))}</f>
        <v>SUBCLASSABILITY2-L15PTS</v>
      </c>
      <c r="W1678" s="76"/>
      <c r="X1678" s="76" t="str">
        <f t="array" ref="X1678:X1679">{"SUBCLASSABILITY2-L17PTS";((INDEX(ALLCLASSDATA,MATCH("SubclassAbility2-L17",CLASSFEATUREHEADERS,0),MATCH(($A1679 &amp; "Points"),CLASSNAMEHEADERS,0))))}</f>
        <v>SUBCLASSABILITY2-L17PTS</v>
      </c>
      <c r="Y1678" s="76"/>
      <c r="Z1678" s="76" t="str">
        <f t="array" ref="Z1678:Z1679">{"SUBCLASSABILITY2-L19PTS";((INDEX(ALLCLASSDATA,MATCH("SubclassAbility2-L19",CLASSFEATUREHEADERS,0),MATCH(($A1679 &amp; "Points"),CLASSNAMEHEADERS,0))))}</f>
        <v>SUBCLASSABILITY2-L19PTS</v>
      </c>
      <c r="AA1678" s="76"/>
      <c r="AB1678" s="76"/>
      <c r="AC1678" s="76" t="str">
        <f t="array" ref="AC1678:AC1679">{"SUBCLASSABILITY2 TOTAL";(sum(G1679:AA1679))}</f>
        <v>SUBCLASSABILITY2 TOTAL</v>
      </c>
    </row>
    <row r="1679">
      <c r="A1679" s="48" t="s">
        <v>225</v>
      </c>
      <c r="B1679" s="48"/>
      <c r="C1679" s="48" t="s">
        <v>418</v>
      </c>
      <c r="D1679" s="97" t="s">
        <v>930</v>
      </c>
      <c r="E1679" s="215" t="s">
        <v>1370</v>
      </c>
      <c r="F1679" s="98"/>
      <c r="G1679" s="132"/>
      <c r="H1679" s="98"/>
      <c r="I1679" s="98"/>
      <c r="J1679" s="98"/>
      <c r="K1679" s="98"/>
      <c r="L1679" s="98"/>
      <c r="M1679" s="98"/>
      <c r="N1679" s="98"/>
      <c r="O1679" s="98"/>
      <c r="P1679" s="98"/>
      <c r="Q1679" s="98"/>
      <c r="R1679" s="98"/>
      <c r="S1679" s="98"/>
      <c r="T1679" s="98"/>
      <c r="U1679" s="98"/>
      <c r="V1679" s="98"/>
      <c r="W1679" s="98"/>
      <c r="X1679" s="98"/>
      <c r="Y1679" s="98"/>
      <c r="Z1679" s="98"/>
      <c r="AA1679" s="98"/>
      <c r="AB1679" s="5"/>
      <c r="AC1679" s="47">
        <v>0.0</v>
      </c>
    </row>
    <row r="1680" hidden="1">
      <c r="A1680" s="76" t="str">
        <f t="array" ref="A1680:A1681">{"FormulaRow20";(INDEX(CLASSLIST,A1641,1))}</f>
        <v>FormulaRow20</v>
      </c>
      <c r="B1680" s="77" t="s">
        <v>236</v>
      </c>
      <c r="C1680" s="76" t="str">
        <f t="array" ref="C1680:C1681">{"CLASSTYPE";((INDEX(ALLCLASSDATA,MATCH("ClassType",CLASSFEATUREHEADERS,0),MATCH($A1681,CLASSNAMEHEADERS,0))))}</f>
        <v>CLASSTYPE</v>
      </c>
      <c r="D1680" s="81" t="str">
        <f t="array" ref="D1680:D1681">{"DC";"DC"}</f>
        <v>DC</v>
      </c>
      <c r="E1680" s="81" t="str">
        <f t="array" ref="E1680:E1681">{"CLASSDC";"ClassDC"}</f>
        <v>CLASSDC</v>
      </c>
      <c r="F1680" s="81" t="str">
        <f t="array" ref="F1680:F1681">{"CLASSDCINITIAL";((IF(H1681=10,"T",(IF(H1681=50,"E","")))))}</f>
        <v>CLASSDCINITIAL</v>
      </c>
      <c r="G1680" s="81" t="str">
        <f t="array" ref="G1680:G1681">{"CLASSDCINITIALPTS";((IF("00"=(INDEX(ALLCLASSDATA,MATCH("ClassDCLegendary",CLASSFEATUREHEADERS,0),MATCH($A1681,CLASSNAMEHEADERS,0))),(INDEX(ALLCLASSDATA,MATCH("ClassDCLegendary",CLASSFEATUREHEADERS,0),MATCH(($A1681 &amp; "Points"),CLASSNAMEHEADERS,0))),(IF("00"=(INDEX(ALLCLASSDATA,MATCH("ClassDCMaster",CLASSFEATUREHEADERS,0),MATCH($A1681,CLASSNAMEHEADERS,0))),(INDEX(ALLCLASSDATA,MATCH("ClassDCMaster",CLASSFEATUREHEADERS,0),MATCH(($A1681 &amp; "Points"),CLASSNAMEHEADERS,0))),(IF("00"=(INDEX(ALLCLASSDATA,MATCH("ClassDCExpert",CLASSFEATUREHEADERS,0),MATCH($A1681,CLASSNAMEHEADERS,0))),(INDEX(ALLCLASSDATA,MATCH("ClassDCExpert",CLASSFEATUREHEADERS,0),MATCH(($A1681 &amp; "Points"),CLASSNAMEHEADERS,0))),(IF("00"=(INDEX(ALLCLASSDATA,MATCH("ClassDCTrained",CLASSFEATUREHEADERS,0),MATCH($A1681,CLASSNAMEHEADERS,0))),(INDEX(ALLCLASSDATA,MATCH("ClassDCTrained",CLASSFEATUREHEADERS,0),MATCH(($A1681 &amp; "Points"),CLASSNAMEHEADERS,0))),"")))))))))}</f>
        <v>CLASSDCINITIALPTS</v>
      </c>
      <c r="H1680" s="81" t="str">
        <f t="array" ref="H1680:H1681">{"CLASSDCL01";((IF("01"=(INDEX(ALLCLASSDATA,MATCH("ClassDCLegendary",CLASSFEATUREHEADERS,0),MATCH($A1681,CLASSNAMEHEADERS,0))),(INDEX(ALLCLASSDATA,MATCH("ClassDCLegendary",CLASSFEATUREHEADERS,0),MATCH(($A1681 &amp; "Points"),CLASSNAMEHEADERS,0))),(IF("01"=(INDEX(ALLCLASSDATA,MATCH("ClassDCMaster",CLASSFEATUREHEADERS,0),MATCH($A1681,CLASSNAMEHEADERS,0))),(INDEX(ALLCLASSDATA,MATCH("ClassDCMaster",CLASSFEATUREHEADERS,0),MATCH(($A1681 &amp; "Points"),CLASSNAMEHEADERS,0))),(IF("01"=(INDEX(ALLCLASSDATA,MATCH("ClassDCExpert",CLASSFEATUREHEADERS,0),MATCH($A1681,CLASSNAMEHEADERS,0))),(INDEX(ALLCLASSDATA,MATCH("ClassDCExpert",CLASSFEATUREHEADERS,0),MATCH(($A1681 &amp; "Points"),CLASSNAMEHEADERS,0))),(IF("01"=(INDEX(ALLCLASSDATA,MATCH("ClassDCTrained",CLASSFEATUREHEADERS,0),MATCH($A1681,CLASSNAMEHEADERS,0))),(INDEX(ALLCLASSDATA,MATCH("ClassDCTrained",CLASSFEATUREHEADERS,0),MATCH(($A1681 &amp; "Points"),CLASSNAMEHEADERS,0))),"")))))))))}</f>
        <v>CLASSDCL01</v>
      </c>
      <c r="I1680" s="81"/>
      <c r="J1680" s="81" t="str">
        <f t="array" ref="J1680:J1681">{"CLASSDCL03";((IF("03"=(INDEX(ALLCLASSDATA,MATCH("ClassDCLegendary",CLASSFEATUREHEADERS,0),MATCH($A1681,CLASSNAMEHEADERS,0))),(INDEX(ALLCLASSDATA,MATCH("ClassDCLegendary",CLASSFEATUREHEADERS,0),MATCH(($A1681 &amp; "Points"),CLASSNAMEHEADERS,0))),(IF("03"=(INDEX(ALLCLASSDATA,MATCH("ClassDCMaster",CLASSFEATUREHEADERS,0),MATCH($A1681,CLASSNAMEHEADERS,0))),(INDEX(ALLCLASSDATA,MATCH("ClassDCMaster",CLASSFEATUREHEADERS,0),MATCH(($A1681 &amp; "Points"),CLASSNAMEHEADERS,0))),(IF("03"=(INDEX(ALLCLASSDATA,MATCH("ClassDCExpert",CLASSFEATUREHEADERS,0),MATCH($A1681,CLASSNAMEHEADERS,0))),(INDEX(ALLCLASSDATA,MATCH("ClassDCExpert",CLASSFEATUREHEADERS,0),MATCH(($A1681 &amp; "Points"),CLASSNAMEHEADERS,0))),(IF("03"=(INDEX(ALLCLASSDATA,MATCH("ClassDCTrained",CLASSFEATUREHEADERS,0),MATCH($A1681,CLASSNAMEHEADERS,0))),(INDEX(ALLCLASSDATA,MATCH("ClassDCTrained",CLASSFEATUREHEADERS,0),MATCH(($A1681 &amp; "Points"),CLASSNAMEHEADERS,0))),"")))))))))}</f>
        <v>CLASSDCL03</v>
      </c>
      <c r="K1680" s="81"/>
      <c r="L1680" s="81" t="str">
        <f t="array" ref="L1680:L1681">{"CLASSDCL05";((IF("05"=(INDEX(ALLCLASSDATA,MATCH("ClassDCLegendary",CLASSFEATUREHEADERS,0),MATCH($A1681,CLASSNAMEHEADERS,0))),(INDEX(ALLCLASSDATA,MATCH("ClassDCLegendary",CLASSFEATUREHEADERS,0),MATCH(($A1681 &amp; "Points"),CLASSNAMEHEADERS,0))),(IF("05"=(INDEX(ALLCLASSDATA,MATCH("ClassDCMaster",CLASSFEATUREHEADERS,0),MATCH($A1681,CLASSNAMEHEADERS,0))),(INDEX(ALLCLASSDATA,MATCH("ClassDCMaster",CLASSFEATUREHEADERS,0),MATCH(($A1681 &amp; "Points"),CLASSNAMEHEADERS,0))),(IF("05"=(INDEX(ALLCLASSDATA,MATCH("ClassDCExpert",CLASSFEATUREHEADERS,0),MATCH($A1681,CLASSNAMEHEADERS,0))),(INDEX(ALLCLASSDATA,MATCH("ClassDCExpert",CLASSFEATUREHEADERS,0),MATCH(($A1681 &amp; "Points"),CLASSNAMEHEADERS,0))),(IF("05"=(INDEX(ALLCLASSDATA,MATCH("ClassDCTrained",CLASSFEATUREHEADERS,0),MATCH($A1681,CLASSNAMEHEADERS,0))),(INDEX(ALLCLASSDATA,MATCH("ClassDCTrained",CLASSFEATUREHEADERS,0),MATCH(($A1681 &amp; "Points"),CLASSNAMEHEADERS,0))),"")))))))))}</f>
        <v>CLASSDCL05</v>
      </c>
      <c r="M1680" s="81"/>
      <c r="N1680" s="81" t="str">
        <f t="array" ref="N1680:N1681">{"CLASSDCL07";((IF("07"=(INDEX(ALLCLASSDATA,MATCH("ClassDCLegendary",CLASSFEATUREHEADERS,0),MATCH($A1681,CLASSNAMEHEADERS,0))),(INDEX(ALLCLASSDATA,MATCH("ClassDCLegendary",CLASSFEATUREHEADERS,0),MATCH(($A1681 &amp; "Points"),CLASSNAMEHEADERS,0))),(IF("07"=(INDEX(ALLCLASSDATA,MATCH("ClassDCMaster",CLASSFEATUREHEADERS,0),MATCH($A1681,CLASSNAMEHEADERS,0))),(INDEX(ALLCLASSDATA,MATCH("ClassDCMaster",CLASSFEATUREHEADERS,0),MATCH(($A1681 &amp; "Points"),CLASSNAMEHEADERS,0))),(IF("07"=(INDEX(ALLCLASSDATA,MATCH("ClassDCExpert",CLASSFEATUREHEADERS,0),MATCH($A1681,CLASSNAMEHEADERS,0))),(INDEX(ALLCLASSDATA,MATCH("ClassDCExpert",CLASSFEATUREHEADERS,0),MATCH(($A1681 &amp; "Points"),CLASSNAMEHEADERS,0))),(IF("07"=(INDEX(ALLCLASSDATA,MATCH("ClassDCTrained",CLASSFEATUREHEADERS,0),MATCH($A1681,CLASSNAMEHEADERS,0))),(INDEX(ALLCLASSDATA,MATCH("ClassDCTrained",CLASSFEATUREHEADERS,0),MATCH(($A1681 &amp; "Points"),CLASSNAMEHEADERS,0))),"")))))))))}</f>
        <v>CLASSDCL07</v>
      </c>
      <c r="O1680" s="81"/>
      <c r="P1680" s="81" t="str">
        <f t="array" ref="P1680:P1681">{"CLASSDCL09";((IF("09"=(INDEX(ALLCLASSDATA,MATCH("ClassDCLegendary",CLASSFEATUREHEADERS,0),MATCH($A1681,CLASSNAMEHEADERS,0))),(INDEX(ALLCLASSDATA,MATCH("ClassDCLegendary",CLASSFEATUREHEADERS,0),MATCH(($A1681 &amp; "Points"),CLASSNAMEHEADERS,0))),(IF("09"=(INDEX(ALLCLASSDATA,MATCH("ClassDCMaster",CLASSFEATUREHEADERS,0),MATCH($A1681,CLASSNAMEHEADERS,0))),(INDEX(ALLCLASSDATA,MATCH("ClassDCMaster",CLASSFEATUREHEADERS,0),MATCH(($A1681 &amp; "Points"),CLASSNAMEHEADERS,0))),(IF("09"=(INDEX(ALLCLASSDATA,MATCH("ClassDCExpert",CLASSFEATUREHEADERS,0),MATCH($A1681,CLASSNAMEHEADERS,0))),(INDEX(ALLCLASSDATA,MATCH("ClassDCExpert",CLASSFEATUREHEADERS,0),MATCH(($A1681 &amp; "Points"),CLASSNAMEHEADERS,0))),(IF("09"=(INDEX(ALLCLASSDATA,MATCH("ClassDCTrained",CLASSFEATUREHEADERS,0),MATCH($A1681,CLASSNAMEHEADERS,0))),(INDEX(ALLCLASSDATA,MATCH("ClassDCTrained",CLASSFEATUREHEADERS,0),MATCH(($A1681 &amp; "Points"),CLASSNAMEHEADERS,0))),"")))))))))}</f>
        <v>CLASSDCL09</v>
      </c>
      <c r="Q1680" s="81"/>
      <c r="R1680" s="81" t="str">
        <f t="array" ref="R1680:R1681">{"CLASSDCL11";((IF("11"=(INDEX(ALLCLASSDATA,MATCH("ClassDCLegendary",CLASSFEATUREHEADERS,0),MATCH($A1681,CLASSNAMEHEADERS,0))),(INDEX(ALLCLASSDATA,MATCH("ClassDCLegendary",CLASSFEATUREHEADERS,0),MATCH(($A1681 &amp; "Points"),CLASSNAMEHEADERS,0))),(IF("11"=(INDEX(ALLCLASSDATA,MATCH("ClassDCMaster",CLASSFEATUREHEADERS,0),MATCH($A1681,CLASSNAMEHEADERS,0))),(INDEX(ALLCLASSDATA,MATCH("ClassDCMaster",CLASSFEATUREHEADERS,0),MATCH(($A1681 &amp; "Points"),CLASSNAMEHEADERS,0))),(IF("11"=(INDEX(ALLCLASSDATA,MATCH("ClassDCExpert",CLASSFEATUREHEADERS,0),MATCH($A1681,CLASSNAMEHEADERS,0))),(INDEX(ALLCLASSDATA,MATCH("ClassDCExpert",CLASSFEATUREHEADERS,0),MATCH(($A1681 &amp; "Points"),CLASSNAMEHEADERS,0))),(IF("11"=(INDEX(ALLCLASSDATA,MATCH("ClassDCTrained",CLASSFEATUREHEADERS,0),MATCH($A1681,CLASSNAMEHEADERS,0))),(INDEX(ALLCLASSDATA,MATCH("ClassDCTrained",CLASSFEATUREHEADERS,0),MATCH(($A1681 &amp; "Points"),CLASSNAMEHEADERS,0))),"")))))))))}</f>
        <v>CLASSDCL11</v>
      </c>
      <c r="S1680" s="81"/>
      <c r="T1680" s="81" t="str">
        <f t="array" ref="T1680:T1681">{"CLASSDCL13";((IF("13"=(INDEX(ALLCLASSDATA,MATCH("ClassDCLegendary",CLASSFEATUREHEADERS,0),MATCH($A1681,CLASSNAMEHEADERS,0))),(INDEX(ALLCLASSDATA,MATCH("ClassDCLegendary",CLASSFEATUREHEADERS,0),MATCH(($A1681 &amp; "Points"),CLASSNAMEHEADERS,0))),(IF("13"=(INDEX(ALLCLASSDATA,MATCH("ClassDCMaster",CLASSFEATUREHEADERS,0),MATCH($A1681,CLASSNAMEHEADERS,0))),(INDEX(ALLCLASSDATA,MATCH("ClassDCMaster",CLASSFEATUREHEADERS,0),MATCH(($A1681 &amp; "Points"),CLASSNAMEHEADERS,0))),(IF("13"=(INDEX(ALLCLASSDATA,MATCH("ClassDCExpert",CLASSFEATUREHEADERS,0),MATCH($A1681,CLASSNAMEHEADERS,0))),(INDEX(ALLCLASSDATA,MATCH("ClassDCExpert",CLASSFEATUREHEADERS,0),MATCH(($A1681 &amp; "Points"),CLASSNAMEHEADERS,0))),(IF("13"=(INDEX(ALLCLASSDATA,MATCH("ClassDCTrained",CLASSFEATUREHEADERS,0),MATCH($A1681,CLASSNAMEHEADERS,0))),(INDEX(ALLCLASSDATA,MATCH("ClassDCTrained",CLASSFEATUREHEADERS,0),MATCH(($A1681 &amp; "Points"),CLASSNAMEHEADERS,0))),"")))))))))}</f>
        <v>CLASSDCL13</v>
      </c>
      <c r="U1680" s="81"/>
      <c r="V1680" s="81" t="str">
        <f t="array" ref="V1680:V1681">{"CLASSDCL15";((IF("15"=(INDEX(ALLCLASSDATA,MATCH("ClassDCLegendary",CLASSFEATUREHEADERS,0),MATCH($A1681,CLASSNAMEHEADERS,0))),(INDEX(ALLCLASSDATA,MATCH("ClassDCLegendary",CLASSFEATUREHEADERS,0),MATCH(($A1681 &amp; "Points"),CLASSNAMEHEADERS,0))),(IF("15"=(INDEX(ALLCLASSDATA,MATCH("ClassDCMaster",CLASSFEATUREHEADERS,0),MATCH($A1681,CLASSNAMEHEADERS,0))),(INDEX(ALLCLASSDATA,MATCH("ClassDCMaster",CLASSFEATUREHEADERS,0),MATCH(($A1681 &amp; "Points"),CLASSNAMEHEADERS,0))),(IF("15"=(INDEX(ALLCLASSDATA,MATCH("ClassDCExpert",CLASSFEATUREHEADERS,0),MATCH($A1681,CLASSNAMEHEADERS,0))),(INDEX(ALLCLASSDATA,MATCH("ClassDCExpert",CLASSFEATUREHEADERS,0),MATCH(($A1681 &amp; "Points"),CLASSNAMEHEADERS,0))),(IF("15"=(INDEX(ALLCLASSDATA,MATCH("ClassDCTrained",CLASSFEATUREHEADERS,0),MATCH($A1681,CLASSNAMEHEADERS,0))),(INDEX(ALLCLASSDATA,MATCH("ClassDCTrained",CLASSFEATUREHEADERS,0),MATCH(($A1681 &amp; "Points"),CLASSNAMEHEADERS,0))),"")))))))))}</f>
        <v>CLASSDCL15</v>
      </c>
      <c r="W1680" s="81"/>
      <c r="X1680" s="81" t="str">
        <f t="array" ref="X1680:X1681">{"CLASSDCL17";((IF("17"=(INDEX(ALLCLASSDATA,MATCH("ClassDCLegendary",CLASSFEATUREHEADERS,0),MATCH($A1681,CLASSNAMEHEADERS,0))),(INDEX(ALLCLASSDATA,MATCH("ClassDCLegendary",CLASSFEATUREHEADERS,0),MATCH(($A1681 &amp; "Points"),CLASSNAMEHEADERS,0))),(IF("17"=(INDEX(ALLCLASSDATA,MATCH("ClassDCMaster",CLASSFEATUREHEADERS,0),MATCH($A1681,CLASSNAMEHEADERS,0))),(INDEX(ALLCLASSDATA,MATCH("ClassDCMaster",CLASSFEATUREHEADERS,0),MATCH(($A1681 &amp; "Points"),CLASSNAMEHEADERS,0))),(IF("17"=(INDEX(ALLCLASSDATA,MATCH("ClassDCExpert",CLASSFEATUREHEADERS,0),MATCH($A1681,CLASSNAMEHEADERS,0))),(INDEX(ALLCLASSDATA,MATCH("ClassDCExpert",CLASSFEATUREHEADERS,0),MATCH(($A1681 &amp; "Points"),CLASSNAMEHEADERS,0))),(IF("17"=(INDEX(ALLCLASSDATA,MATCH("ClassDCTrained",CLASSFEATUREHEADERS,0),MATCH($A1681,CLASSNAMEHEADERS,0))),(INDEX(ALLCLASSDATA,MATCH("ClassDCTrained",CLASSFEATUREHEADERS,0),MATCH(($A1681 &amp; "Points"),CLASSNAMEHEADERS,0))),"")))))))))}</f>
        <v>CLASSDCL17</v>
      </c>
      <c r="Y1680" s="81"/>
      <c r="Z1680" s="81" t="str">
        <f t="array" ref="Z1680:Z1681">{"CLASSDCL19";((IF("19"=(INDEX(ALLCLASSDATA,MATCH("ClassDCLegendary",CLASSFEATUREHEADERS,0),MATCH($A1681,CLASSNAMEHEADERS,0))),(INDEX(ALLCLASSDATA,MATCH("ClassDCLegendary",CLASSFEATUREHEADERS,0),MATCH(($A1681 &amp; "Points"),CLASSNAMEHEADERS,0))),(IF("19"=(INDEX(ALLCLASSDATA,MATCH("ClassDCMaster",CLASSFEATUREHEADERS,0),MATCH($A1681,CLASSNAMEHEADERS,0))),(INDEX(ALLCLASSDATA,MATCH("ClassDCMaster",CLASSFEATUREHEADERS,0),MATCH(($A1681 &amp; "Points"),CLASSNAMEHEADERS,0))),(IF("19"=(INDEX(ALLCLASSDATA,MATCH("ClassDCExpert",CLASSFEATUREHEADERS,0),MATCH($A1681,CLASSNAMEHEADERS,0))),(INDEX(ALLCLASSDATA,MATCH("ClassDCExpert",CLASSFEATUREHEADERS,0),MATCH(($A1681 &amp; "Points"),CLASSNAMEHEADERS,0))),(IF("19"=(INDEX(ALLCLASSDATA,MATCH("ClassDCTrained",CLASSFEATUREHEADERS,0),MATCH($A1681,CLASSNAMEHEADERS,0))),(INDEX(ALLCLASSDATA,MATCH("ClassDCTrained",CLASSFEATUREHEADERS,0),MATCH(($A1681 &amp; "Points"),CLASSNAMEHEADERS,0))),"")))))))))}</f>
        <v>CLASSDCL19</v>
      </c>
      <c r="AA1680" s="81"/>
      <c r="AB1680" s="76" t="str">
        <f t="array" ref="AB1680:AB1681">{"CLASSDC TOTAL";(IF(COUNTBLANK(G1681:AA1681)=17,"L",(IF(COUNTBLANK(G1681:AA1681)=18,"M",(IF(COUNTBLANK(G1681:AA1681)=19,"E",(IF(COUNTBLANK(G1681:AA1681)=20,"T",""))))))))}</f>
        <v>CLASSDC TOTAL</v>
      </c>
      <c r="AC1680" s="76" t="str">
        <f t="array" ref="AC1680:AC1681">{"CLASSDC TOTAL";(sum(G1681:AA1681))}</f>
        <v>CLASSDC TOTAL</v>
      </c>
    </row>
    <row r="1681">
      <c r="A1681" s="48" t="s">
        <v>225</v>
      </c>
      <c r="B1681" s="48"/>
      <c r="C1681" s="48" t="s">
        <v>418</v>
      </c>
      <c r="D1681" s="48" t="s">
        <v>1465</v>
      </c>
      <c r="E1681" s="48" t="s">
        <v>1466</v>
      </c>
      <c r="F1681" s="5" t="s">
        <v>603</v>
      </c>
      <c r="G1681" s="47" t="s">
        <v>603</v>
      </c>
      <c r="H1681" s="5" t="s">
        <v>603</v>
      </c>
      <c r="I1681" s="5"/>
      <c r="J1681" s="5" t="s">
        <v>603</v>
      </c>
      <c r="K1681" s="5"/>
      <c r="L1681" s="5" t="s">
        <v>603</v>
      </c>
      <c r="M1681" s="5"/>
      <c r="N1681" s="5" t="s">
        <v>603</v>
      </c>
      <c r="O1681" s="5"/>
      <c r="P1681" s="5" t="s">
        <v>603</v>
      </c>
      <c r="Q1681" s="5"/>
      <c r="R1681" s="5" t="s">
        <v>603</v>
      </c>
      <c r="S1681" s="5"/>
      <c r="T1681" s="5" t="s">
        <v>603</v>
      </c>
      <c r="U1681" s="5"/>
      <c r="V1681" s="5" t="s">
        <v>603</v>
      </c>
      <c r="W1681" s="5"/>
      <c r="X1681" s="5" t="s">
        <v>603</v>
      </c>
      <c r="Y1681" s="5"/>
      <c r="Z1681" s="5" t="s">
        <v>603</v>
      </c>
      <c r="AA1681" s="5"/>
      <c r="AB1681" s="5" t="s">
        <v>603</v>
      </c>
      <c r="AC1681" s="47">
        <v>0.0</v>
      </c>
    </row>
    <row r="1682" hidden="1">
      <c r="A1682" s="222" t="str">
        <f t="array" ref="A1682:A1683">{"FormulaRow21";(INDEX(CLASSLIST,A1641,1))}</f>
        <v>FormulaRow21</v>
      </c>
      <c r="B1682" s="77" t="s">
        <v>236</v>
      </c>
      <c r="C1682" s="222" t="str">
        <f t="array" ref="C1682:C1683">{"CLASSTYPE";((INDEX(ALLCLASSDATA,MATCH("ClassType",CLASSFEATUREHEADERS,0),MATCH($A1683,CLASSNAMEHEADERS,0))))}</f>
        <v>CLASSTYPE</v>
      </c>
      <c r="D1682" s="222" t="str">
        <f t="array" ref="D1682:D1683">{"DC";"DC"}</f>
        <v>DC</v>
      </c>
      <c r="E1682" s="222" t="str">
        <f t="array" ref="E1682:E1683">{"SPELLDC";"SpellDC"}</f>
        <v>SPELLDC</v>
      </c>
      <c r="F1682" s="223" t="str">
        <f t="array" ref="F1682:F1683">{"SPELLDCINITIAL";((IF(H1683=10,"T",(IF(H1683=50,"E","")))))}</f>
        <v>SPELLDCINITIAL</v>
      </c>
      <c r="G1682" s="223" t="str">
        <f t="array" ref="G1682:G1683">{"SPELLDCINITIALPTS";((IF("00"=(INDEX(ALLCLASSDATA,MATCH("SpellDCLegendary",CLASSFEATUREHEADERS,0),MATCH($A1683,CLASSNAMEHEADERS,0))),(INDEX(ALLCLASSDATA,MATCH("SpellDCLegendary",CLASSFEATUREHEADERS,0),MATCH(($A1683 &amp; "Points"),CLASSNAMEHEADERS,0))),(IF("00"=(INDEX(ALLCLASSDATA,MATCH("SpellDCMaster",CLASSFEATUREHEADERS,0),MATCH($A1683,CLASSNAMEHEADERS,0))),(INDEX(ALLCLASSDATA,MATCH("SpellDCMaster",CLASSFEATUREHEADERS,0),MATCH(($A1683 &amp; "Points"),CLASSNAMEHEADERS,0))),(IF("00"=(INDEX(ALLCLASSDATA,MATCH("SpellDCExpert",CLASSFEATUREHEADERS,0),MATCH($A1683,CLASSNAMEHEADERS,0))),(INDEX(ALLCLASSDATA,MATCH("SpellDCExpert",CLASSFEATUREHEADERS,0),MATCH(($A1683 &amp; "Points"),CLASSNAMEHEADERS,0))),(IF("00"=(INDEX(ALLCLASSDATA,MATCH("SpellDCTrained",CLASSFEATUREHEADERS,0),MATCH($A1683,CLASSNAMEHEADERS,0))),(INDEX(ALLCLASSDATA,MATCH("SpellDCTrained",CLASSFEATUREHEADERS,0),MATCH(($A1683 &amp; "Points"),CLASSNAMEHEADERS,0))),"")))))))))}</f>
        <v>SPELLDCINITIALPTS</v>
      </c>
      <c r="H1682" s="223" t="str">
        <f t="array" ref="H1682:H1683">{"SPELLDCL01";((IF("01"=(INDEX(ALLCLASSDATA,MATCH("SpellDCLegendary",CLASSFEATUREHEADERS,0),MATCH($A1683,CLASSNAMEHEADERS,0))),(INDEX(ALLCLASSDATA,MATCH("SpellDCLegendary",CLASSFEATUREHEADERS,0),MATCH(($A1683 &amp; "Points"),CLASSNAMEHEADERS,0))),(IF("01"=(INDEX(ALLCLASSDATA,MATCH("SpellDCMaster",CLASSFEATUREHEADERS,0),MATCH($A1683,CLASSNAMEHEADERS,0))),(INDEX(ALLCLASSDATA,MATCH("SpellDCMaster",CLASSFEATUREHEADERS,0),MATCH(($A1683 &amp; "Points"),CLASSNAMEHEADERS,0))),(IF("01"=(INDEX(ALLCLASSDATA,MATCH("SpellDCExpert",CLASSFEATUREHEADERS,0),MATCH($A1683,CLASSNAMEHEADERS,0))),(INDEX(ALLCLASSDATA,MATCH("SpellDCExpert",CLASSFEATUREHEADERS,0),MATCH(($A1683 &amp; "Points"),CLASSNAMEHEADERS,0))),(IF("01"=(INDEX(ALLCLASSDATA,MATCH("SpellDCTrained",CLASSFEATUREHEADERS,0),MATCH($A1683,CLASSNAMEHEADERS,0))),(INDEX(ALLCLASSDATA,MATCH("SpellDCTrained",CLASSFEATUREHEADERS,0),MATCH(($A1683 &amp; "Points"),CLASSNAMEHEADERS,0))),"")))))))))}</f>
        <v>SPELLDCL01</v>
      </c>
      <c r="I1682" s="223"/>
      <c r="J1682" s="223" t="str">
        <f t="array" ref="J1682:J1683">{"SPELLDCL03";((IF("03"=(INDEX(ALLCLASSDATA,MATCH("SpellDCLegendary",CLASSFEATUREHEADERS,0),MATCH($A1683,CLASSNAMEHEADERS,0))),(INDEX(ALLCLASSDATA,MATCH("SpellDCLegendary",CLASSFEATUREHEADERS,0),MATCH(($A1683 &amp; "Points"),CLASSNAMEHEADERS,0))),(IF("03"=(INDEX(ALLCLASSDATA,MATCH("SpellDCMaster",CLASSFEATUREHEADERS,0),MATCH($A1683,CLASSNAMEHEADERS,0))),(INDEX(ALLCLASSDATA,MATCH("SpellDCMaster",CLASSFEATUREHEADERS,0),MATCH(($A1683 &amp; "Points"),CLASSNAMEHEADERS,0))),(IF("03"=(INDEX(ALLCLASSDATA,MATCH("SpellDCExpert",CLASSFEATUREHEADERS,0),MATCH($A1683,CLASSNAMEHEADERS,0))),(INDEX(ALLCLASSDATA,MATCH("SpellDCExpert",CLASSFEATUREHEADERS,0),MATCH(($A1683 &amp; "Points"),CLASSNAMEHEADERS,0))),(IF("03"=(INDEX(ALLCLASSDATA,MATCH("SpellDCTrained",CLASSFEATUREHEADERS,0),MATCH($A1683,CLASSNAMEHEADERS,0))),(INDEX(ALLCLASSDATA,MATCH("SpellDCTrained",CLASSFEATUREHEADERS,0),MATCH(($A1683 &amp; "Points"),CLASSNAMEHEADERS,0))),"")))))))))}</f>
        <v>SPELLDCL03</v>
      </c>
      <c r="K1682" s="223"/>
      <c r="L1682" s="223" t="str">
        <f t="array" ref="L1682:L1683">{"SPELLDCL05";((IF("05"=(INDEX(ALLCLASSDATA,MATCH("SpellDCLegendary",CLASSFEATUREHEADERS,0),MATCH($A1683,CLASSNAMEHEADERS,0))),(INDEX(ALLCLASSDATA,MATCH("SpellDCLegendary",CLASSFEATUREHEADERS,0),MATCH(($A1683 &amp; "Points"),CLASSNAMEHEADERS,0))),(IF("05"=(INDEX(ALLCLASSDATA,MATCH("SpellDCMaster",CLASSFEATUREHEADERS,0),MATCH($A1683,CLASSNAMEHEADERS,0))),(INDEX(ALLCLASSDATA,MATCH("SpellDCMaster",CLASSFEATUREHEADERS,0),MATCH(($A1683 &amp; "Points"),CLASSNAMEHEADERS,0))),(IF("05"=(INDEX(ALLCLASSDATA,MATCH("SpellDCExpert",CLASSFEATUREHEADERS,0),MATCH($A1683,CLASSNAMEHEADERS,0))),(INDEX(ALLCLASSDATA,MATCH("SpellDCExpert",CLASSFEATUREHEADERS,0),MATCH(($A1683 &amp; "Points"),CLASSNAMEHEADERS,0))),(IF("05"=(INDEX(ALLCLASSDATA,MATCH("SpellDCTrained",CLASSFEATUREHEADERS,0),MATCH($A1683,CLASSNAMEHEADERS,0))),(INDEX(ALLCLASSDATA,MATCH("SpellDCTrained",CLASSFEATUREHEADERS,0),MATCH(($A1683 &amp; "Points"),CLASSNAMEHEADERS,0))),"")))))))))}</f>
        <v>SPELLDCL05</v>
      </c>
      <c r="M1682" s="223"/>
      <c r="N1682" s="223" t="str">
        <f t="array" ref="N1682:N1683">{"SPELLDCL07";((IF("07"=(INDEX(ALLCLASSDATA,MATCH("SpellDCLegendary",CLASSFEATUREHEADERS,0),MATCH($A1683,CLASSNAMEHEADERS,0))),(INDEX(ALLCLASSDATA,MATCH("SpellDCLegendary",CLASSFEATUREHEADERS,0),MATCH(($A1683 &amp; "Points"),CLASSNAMEHEADERS,0))),(IF("07"=(INDEX(ALLCLASSDATA,MATCH("SpellDCMaster",CLASSFEATUREHEADERS,0),MATCH($A1683,CLASSNAMEHEADERS,0))),(INDEX(ALLCLASSDATA,MATCH("SpellDCMaster",CLASSFEATUREHEADERS,0),MATCH(($A1683 &amp; "Points"),CLASSNAMEHEADERS,0))),(IF("07"=(INDEX(ALLCLASSDATA,MATCH("SpellDCExpert",CLASSFEATUREHEADERS,0),MATCH($A1683,CLASSNAMEHEADERS,0))),(INDEX(ALLCLASSDATA,MATCH("SpellDCExpert",CLASSFEATUREHEADERS,0),MATCH(($A1683 &amp; "Points"),CLASSNAMEHEADERS,0))),(IF("07"=(INDEX(ALLCLASSDATA,MATCH("SpellDCTrained",CLASSFEATUREHEADERS,0),MATCH($A1683,CLASSNAMEHEADERS,0))),(INDEX(ALLCLASSDATA,MATCH("SpellDCTrained",CLASSFEATUREHEADERS,0),MATCH(($A1683 &amp; "Points"),CLASSNAMEHEADERS,0))),"")))))))))}</f>
        <v>SPELLDCL07</v>
      </c>
      <c r="O1682" s="223"/>
      <c r="P1682" s="223" t="str">
        <f t="array" ref="P1682:P1683">{"SPELLDCL09";((IF("09"=(INDEX(ALLCLASSDATA,MATCH("SpellDCLegendary",CLASSFEATUREHEADERS,0),MATCH($A1683,CLASSNAMEHEADERS,0))),(INDEX(ALLCLASSDATA,MATCH("SpellDCLegendary",CLASSFEATUREHEADERS,0),MATCH(($A1683 &amp; "Points"),CLASSNAMEHEADERS,0))),(IF("09"=(INDEX(ALLCLASSDATA,MATCH("SpellDCMaster",CLASSFEATUREHEADERS,0),MATCH($A1683,CLASSNAMEHEADERS,0))),(INDEX(ALLCLASSDATA,MATCH("SpellDCMaster",CLASSFEATUREHEADERS,0),MATCH(($A1683 &amp; "Points"),CLASSNAMEHEADERS,0))),(IF("09"=(INDEX(ALLCLASSDATA,MATCH("SpellDCExpert",CLASSFEATUREHEADERS,0),MATCH($A1683,CLASSNAMEHEADERS,0))),(INDEX(ALLCLASSDATA,MATCH("SpellDCExpert",CLASSFEATUREHEADERS,0),MATCH(($A1683 &amp; "Points"),CLASSNAMEHEADERS,0))),(IF("09"=(INDEX(ALLCLASSDATA,MATCH("SpellDCTrained",CLASSFEATUREHEADERS,0),MATCH($A1683,CLASSNAMEHEADERS,0))),(INDEX(ALLCLASSDATA,MATCH("SpellDCTrained",CLASSFEATUREHEADERS,0),MATCH(($A1683 &amp; "Points"),CLASSNAMEHEADERS,0))),"")))))))))}</f>
        <v>SPELLDCL09</v>
      </c>
      <c r="Q1682" s="223"/>
      <c r="R1682" s="223" t="str">
        <f t="array" ref="R1682:R1683">{"SPELLDCL11";((IF("11"=(INDEX(ALLCLASSDATA,MATCH("SpellDCLegendary",CLASSFEATUREHEADERS,0),MATCH($A1683,CLASSNAMEHEADERS,0))),(INDEX(ALLCLASSDATA,MATCH("SpellDCLegendary",CLASSFEATUREHEADERS,0),MATCH(($A1683 &amp; "Points"),CLASSNAMEHEADERS,0))),(IF("11"=(INDEX(ALLCLASSDATA,MATCH("SpellDCMaster",CLASSFEATUREHEADERS,0),MATCH($A1683,CLASSNAMEHEADERS,0))),(INDEX(ALLCLASSDATA,MATCH("SpellDCMaster",CLASSFEATUREHEADERS,0),MATCH(($A1683 &amp; "Points"),CLASSNAMEHEADERS,0))),(IF("11"=(INDEX(ALLCLASSDATA,MATCH("SpellDCExpert",CLASSFEATUREHEADERS,0),MATCH($A1683,CLASSNAMEHEADERS,0))),(INDEX(ALLCLASSDATA,MATCH("SpellDCExpert",CLASSFEATUREHEADERS,0),MATCH(($A1683 &amp; "Points"),CLASSNAMEHEADERS,0))),(IF("11"=(INDEX(ALLCLASSDATA,MATCH("SpellDCTrained",CLASSFEATUREHEADERS,0),MATCH($A1683,CLASSNAMEHEADERS,0))),(INDEX(ALLCLASSDATA,MATCH("SpellDCTrained",CLASSFEATUREHEADERS,0),MATCH(($A1683 &amp; "Points"),CLASSNAMEHEADERS,0))),"")))))))))}</f>
        <v>SPELLDCL11</v>
      </c>
      <c r="S1682" s="223"/>
      <c r="T1682" s="223" t="str">
        <f t="array" ref="T1682:T1683">{"SPELLDCL13";((IF("13"=(INDEX(ALLCLASSDATA,MATCH("SpellDCLegendary",CLASSFEATUREHEADERS,0),MATCH($A1683,CLASSNAMEHEADERS,0))),(INDEX(ALLCLASSDATA,MATCH("SpellDCLegendary",CLASSFEATUREHEADERS,0),MATCH(($A1683 &amp; "Points"),CLASSNAMEHEADERS,0))),(IF("13"=(INDEX(ALLCLASSDATA,MATCH("SpellDCMaster",CLASSFEATUREHEADERS,0),MATCH($A1683,CLASSNAMEHEADERS,0))),(INDEX(ALLCLASSDATA,MATCH("SpellDCMaster",CLASSFEATUREHEADERS,0),MATCH(($A1683 &amp; "Points"),CLASSNAMEHEADERS,0))),(IF("13"=(INDEX(ALLCLASSDATA,MATCH("SpellDCExpert",CLASSFEATUREHEADERS,0),MATCH($A1683,CLASSNAMEHEADERS,0))),(INDEX(ALLCLASSDATA,MATCH("SpellDCExpert",CLASSFEATUREHEADERS,0),MATCH(($A1683 &amp; "Points"),CLASSNAMEHEADERS,0))),(IF("13"=(INDEX(ALLCLASSDATA,MATCH("SpellDCTrained",CLASSFEATUREHEADERS,0),MATCH($A1683,CLASSNAMEHEADERS,0))),(INDEX(ALLCLASSDATA,MATCH("SpellDCTrained",CLASSFEATUREHEADERS,0),MATCH(($A1683 &amp; "Points"),CLASSNAMEHEADERS,0))),"")))))))))}</f>
        <v>SPELLDCL13</v>
      </c>
      <c r="U1682" s="223"/>
      <c r="V1682" s="223" t="str">
        <f t="array" ref="V1682:V1683">{"SPELLDCL15";((IF("15"=(INDEX(ALLCLASSDATA,MATCH("SpellDCLegendary",CLASSFEATUREHEADERS,0),MATCH($A1683,CLASSNAMEHEADERS,0))),(INDEX(ALLCLASSDATA,MATCH("SpellDCLegendary",CLASSFEATUREHEADERS,0),MATCH(($A1683 &amp; "Points"),CLASSNAMEHEADERS,0))),(IF("15"=(INDEX(ALLCLASSDATA,MATCH("SpellDCMaster",CLASSFEATUREHEADERS,0),MATCH($A1683,CLASSNAMEHEADERS,0))),(INDEX(ALLCLASSDATA,MATCH("SpellDCMaster",CLASSFEATUREHEADERS,0),MATCH(($A1683 &amp; "Points"),CLASSNAMEHEADERS,0))),(IF("15"=(INDEX(ALLCLASSDATA,MATCH("SpellDCExpert",CLASSFEATUREHEADERS,0),MATCH($A1683,CLASSNAMEHEADERS,0))),(INDEX(ALLCLASSDATA,MATCH("SpellDCExpert",CLASSFEATUREHEADERS,0),MATCH(($A1683 &amp; "Points"),CLASSNAMEHEADERS,0))),(IF("15"=(INDEX(ALLCLASSDATA,MATCH("SpellDCTrained",CLASSFEATUREHEADERS,0),MATCH($A1683,CLASSNAMEHEADERS,0))),(INDEX(ALLCLASSDATA,MATCH("SpellDCTrained",CLASSFEATUREHEADERS,0),MATCH(($A1683 &amp; "Points"),CLASSNAMEHEADERS,0))),"")))))))))}</f>
        <v>SPELLDCL15</v>
      </c>
      <c r="W1682" s="223"/>
      <c r="X1682" s="223" t="str">
        <f t="array" ref="X1682:X1683">{"SPELLDCL17";((IF("17"=(INDEX(ALLCLASSDATA,MATCH("SpellDCLegendary",CLASSFEATUREHEADERS,0),MATCH($A1683,CLASSNAMEHEADERS,0))),(INDEX(ALLCLASSDATA,MATCH("SpellDCLegendary",CLASSFEATUREHEADERS,0),MATCH(($A1683 &amp; "Points"),CLASSNAMEHEADERS,0))),(IF("17"=(INDEX(ALLCLASSDATA,MATCH("SpellDCMaster",CLASSFEATUREHEADERS,0),MATCH($A1683,CLASSNAMEHEADERS,0))),(INDEX(ALLCLASSDATA,MATCH("SpellDCMaster",CLASSFEATUREHEADERS,0),MATCH(($A1683 &amp; "Points"),CLASSNAMEHEADERS,0))),(IF("17"=(INDEX(ALLCLASSDATA,MATCH("SpellDCExpert",CLASSFEATUREHEADERS,0),MATCH($A1683,CLASSNAMEHEADERS,0))),(INDEX(ALLCLASSDATA,MATCH("SpellDCExpert",CLASSFEATUREHEADERS,0),MATCH(($A1683 &amp; "Points"),CLASSNAMEHEADERS,0))),(IF("17"=(INDEX(ALLCLASSDATA,MATCH("SpellDCTrained",CLASSFEATUREHEADERS,0),MATCH($A1683,CLASSNAMEHEADERS,0))),(INDEX(ALLCLASSDATA,MATCH("SpellDCTrained",CLASSFEATUREHEADERS,0),MATCH(($A1683 &amp; "Points"),CLASSNAMEHEADERS,0))),"")))))))))}</f>
        <v>SPELLDCL17</v>
      </c>
      <c r="Y1682" s="223"/>
      <c r="Z1682" s="223" t="str">
        <f t="array" ref="Z1682:Z1683">{"SPELLDCL19";((IF("19"=(INDEX(ALLCLASSDATA,MATCH("SpellDCLegendary",CLASSFEATUREHEADERS,0),MATCH($A1683,CLASSNAMEHEADERS,0))),(INDEX(ALLCLASSDATA,MATCH("SpellDCLegendary",CLASSFEATUREHEADERS,0),MATCH(($A1683 &amp; "Points"),CLASSNAMEHEADERS,0))),(IF("19"=(INDEX(ALLCLASSDATA,MATCH("SpellDCMaster",CLASSFEATUREHEADERS,0),MATCH($A1683,CLASSNAMEHEADERS,0))),(INDEX(ALLCLASSDATA,MATCH("SpellDCMaster",CLASSFEATUREHEADERS,0),MATCH(($A1683 &amp; "Points"),CLASSNAMEHEADERS,0))),(IF("19"=(INDEX(ALLCLASSDATA,MATCH("SpellDCExpert",CLASSFEATUREHEADERS,0),MATCH($A1683,CLASSNAMEHEADERS,0))),(INDEX(ALLCLASSDATA,MATCH("SpellDCExpert",CLASSFEATUREHEADERS,0),MATCH(($A1683 &amp; "Points"),CLASSNAMEHEADERS,0))),(IF("19"=(INDEX(ALLCLASSDATA,MATCH("SpellDCTrained",CLASSFEATUREHEADERS,0),MATCH($A1683,CLASSNAMEHEADERS,0))),(INDEX(ALLCLASSDATA,MATCH("SpellDCTrained",CLASSFEATUREHEADERS,0),MATCH(($A1683 &amp; "Points"),CLASSNAMEHEADERS,0))),"")))))))))}</f>
        <v>SPELLDCL19</v>
      </c>
      <c r="AA1682" s="223"/>
      <c r="AB1682" s="76" t="str">
        <f t="array" ref="AB1682:AB1683">{"SPELLDC TOTAL";(IF(COUNTBLANK(G1683:AA1683)=17,"L",(IF(COUNTBLANK(G1683:AA1683)=18,"M",(IF(COUNTBLANK(G1683:AA1683)=19,"E",(IF(COUNTBLANK(G1683:AA1683)=20,"T",""))))))))}</f>
        <v>SPELLDC TOTAL</v>
      </c>
      <c r="AC1682" s="76" t="str">
        <f t="array" ref="AC1682:AC1683">{"SPELLDC TOTAL";(sum(G1683:AA1683))}</f>
        <v>SPELLDC TOTAL</v>
      </c>
    </row>
    <row r="1683">
      <c r="A1683" s="48" t="s">
        <v>225</v>
      </c>
      <c r="B1683" s="48"/>
      <c r="C1683" s="48" t="s">
        <v>418</v>
      </c>
      <c r="D1683" s="97" t="s">
        <v>1465</v>
      </c>
      <c r="E1683" s="97" t="s">
        <v>1485</v>
      </c>
      <c r="F1683" s="98" t="s">
        <v>435</v>
      </c>
      <c r="G1683" s="132" t="s">
        <v>603</v>
      </c>
      <c r="H1683" s="98">
        <v>10.0</v>
      </c>
      <c r="I1683" s="98"/>
      <c r="J1683" s="98" t="s">
        <v>603</v>
      </c>
      <c r="K1683" s="98"/>
      <c r="L1683" s="98" t="s">
        <v>603</v>
      </c>
      <c r="M1683" s="98"/>
      <c r="N1683" s="98">
        <v>50.0</v>
      </c>
      <c r="O1683" s="98"/>
      <c r="P1683" s="98" t="s">
        <v>603</v>
      </c>
      <c r="Q1683" s="98"/>
      <c r="R1683" s="98" t="s">
        <v>603</v>
      </c>
      <c r="S1683" s="98"/>
      <c r="T1683" s="98" t="s">
        <v>603</v>
      </c>
      <c r="U1683" s="98"/>
      <c r="V1683" s="98">
        <v>110.0</v>
      </c>
      <c r="W1683" s="98"/>
      <c r="X1683" s="98" t="s">
        <v>603</v>
      </c>
      <c r="Y1683" s="98"/>
      <c r="Z1683" s="98">
        <v>190.0</v>
      </c>
      <c r="AA1683" s="98"/>
      <c r="AB1683" s="5" t="s">
        <v>466</v>
      </c>
      <c r="AC1683" s="47">
        <v>360.0</v>
      </c>
    </row>
    <row r="1684" hidden="1">
      <c r="A1684" s="222" t="str">
        <f t="array" ref="A1684:A1685">{"FormulaRow22";(INDEX(CLASSLIST,A1641,1))}</f>
        <v>FormulaRow22</v>
      </c>
      <c r="B1684" s="77" t="s">
        <v>236</v>
      </c>
      <c r="C1684" s="222" t="str">
        <f t="array" ref="C1684:C1685">{"CLASSTYPE";((INDEX(ALLCLASSDATA,MATCH("ClassType",CLASSFEATUREHEADERS,0),MATCH($A1685,CLASSNAMEHEADERS,0))))}</f>
        <v>CLASSTYPE</v>
      </c>
      <c r="D1684" s="228" t="str">
        <f t="shared" ref="D1684:E1684" si="19">{"PERCEPTION";"Perception"}</f>
        <v>PERCEPTION</v>
      </c>
      <c r="E1684" s="228" t="str">
        <f t="shared" si="19"/>
        <v>PERCEPTION</v>
      </c>
      <c r="F1684" s="230" t="str">
        <f t="array" ref="F1684:F1685">{"PERCEPTIONINITIAL";((IF(H1685=10,"T",(IF(H1685=50,"E","")))))}</f>
        <v>PERCEPTIONINITIAL</v>
      </c>
      <c r="G1684" s="230" t="str">
        <f t="array" ref="G1684:G1685">{"PERCEPTIONINITIALPTS";((IF("00"=(INDEX(ALLCLASSDATA,MATCH("PerceptionLegendary",CLASSFEATUREHEADERS,0),MATCH($A1685,CLASSNAMEHEADERS,0))),(INDEX(ALLCLASSDATA,MATCH("PerceptionLegendary",CLASSFEATUREHEADERS,0),MATCH(($A1685 &amp; "Points"),CLASSNAMEHEADERS,0))),(IF("00"=(INDEX(ALLCLASSDATA,MATCH("PerceptionMaster",CLASSFEATUREHEADERS,0),MATCH($A1685,CLASSNAMEHEADERS,0))),(INDEX(ALLCLASSDATA,MATCH("PerceptionMaster",CLASSFEATUREHEADERS,0),MATCH(($A1685 &amp; "Points"),CLASSNAMEHEADERS,0))),(IF("00"=(INDEX(ALLCLASSDATA,MATCH("PerceptionExpert",CLASSFEATUREHEADERS,0),MATCH($A1685,CLASSNAMEHEADERS,0))),(INDEX(ALLCLASSDATA,MATCH("PerceptionExpert",CLASSFEATUREHEADERS,0),MATCH(($A1685 &amp; "Points"),CLASSNAMEHEADERS,0))),(IF("00"=(INDEX(ALLCLASSDATA,MATCH("PerceptionTrained",CLASSFEATUREHEADERS,0),MATCH($A1685,CLASSNAMEHEADERS,0))),(INDEX(ALLCLASSDATA,MATCH("PerceptionTrained",CLASSFEATUREHEADERS,0),MATCH(($A1685 &amp; "Points"),CLASSNAMEHEADERS,0))),"")))))))))}</f>
        <v>PERCEPTIONINITIALPTS</v>
      </c>
      <c r="H1684" s="230" t="str">
        <f t="array" ref="H1684:H1685">{"PERCEPTIONL01";((IF("01"=(INDEX(ALLCLASSDATA,MATCH("PerceptionLegendary",CLASSFEATUREHEADERS,0),MATCH($A1685,CLASSNAMEHEADERS,0))),(INDEX(ALLCLASSDATA,MATCH("PerceptionLegendary",CLASSFEATUREHEADERS,0),MATCH(($A1685 &amp; "Points"),CLASSNAMEHEADERS,0))),(IF("01"=(INDEX(ALLCLASSDATA,MATCH("PerceptionMaster",CLASSFEATUREHEADERS,0),MATCH($A1685,CLASSNAMEHEADERS,0))),(INDEX(ALLCLASSDATA,MATCH("PerceptionMaster",CLASSFEATUREHEADERS,0),MATCH(($A1685 &amp; "Points"),CLASSNAMEHEADERS,0))),(IF("01"=(INDEX(ALLCLASSDATA,MATCH("PerceptionExpert",CLASSFEATUREHEADERS,0),MATCH($A1685,CLASSNAMEHEADERS,0))),(INDEX(ALLCLASSDATA,MATCH("PerceptionExpert",CLASSFEATUREHEADERS,0),MATCH(($A1685 &amp; "Points"),CLASSNAMEHEADERS,0))),(IF("01"=(INDEX(ALLCLASSDATA,MATCH("PerceptionTrained",CLASSFEATUREHEADERS,0),MATCH($A1685,CLASSNAMEHEADERS,0))),(INDEX(ALLCLASSDATA,MATCH("PerceptionTrained",CLASSFEATUREHEADERS,0),MATCH(($A1685 &amp; "Points"),CLASSNAMEHEADERS,0))),"")))))))))}</f>
        <v>PERCEPTIONL01</v>
      </c>
      <c r="I1684" s="230"/>
      <c r="J1684" s="230" t="str">
        <f t="array" ref="J1684:J1685">{"PERCEPTIONL03";((IF("03"=(INDEX(ALLCLASSDATA,MATCH("PerceptionLegendary",CLASSFEATUREHEADERS,0),MATCH($A1685,CLASSNAMEHEADERS,0))),(INDEX(ALLCLASSDATA,MATCH("PerceptionLegendary",CLASSFEATUREHEADERS,0),MATCH(($A1685 &amp; "Points"),CLASSNAMEHEADERS,0))),(IF("03"=(INDEX(ALLCLASSDATA,MATCH("PerceptionMaster",CLASSFEATUREHEADERS,0),MATCH($A1685,CLASSNAMEHEADERS,0))),(INDEX(ALLCLASSDATA,MATCH("PerceptionMaster",CLASSFEATUREHEADERS,0),MATCH(($A1685 &amp; "Points"),CLASSNAMEHEADERS,0))),(IF("03"=(INDEX(ALLCLASSDATA,MATCH("PerceptionExpert",CLASSFEATUREHEADERS,0),MATCH($A1685,CLASSNAMEHEADERS,0))),(INDEX(ALLCLASSDATA,MATCH("PerceptionExpert",CLASSFEATUREHEADERS,0),MATCH(($A1685 &amp; "Points"),CLASSNAMEHEADERS,0))),(IF("03"=(INDEX(ALLCLASSDATA,MATCH("PerceptionTrained",CLASSFEATUREHEADERS,0),MATCH($A1685,CLASSNAMEHEADERS,0))),(INDEX(ALLCLASSDATA,MATCH("PerceptionTrained",CLASSFEATUREHEADERS,0),MATCH(($A1685 &amp; "Points"),CLASSNAMEHEADERS,0))),"")))))))))}</f>
        <v>PERCEPTIONL03</v>
      </c>
      <c r="K1684" s="230"/>
      <c r="L1684" s="230" t="str">
        <f t="array" ref="L1684:L1685">{"PERCEPTIONL05";((IF("05"=(INDEX(ALLCLASSDATA,MATCH("PerceptionLegendary",CLASSFEATUREHEADERS,0),MATCH($A1685,CLASSNAMEHEADERS,0))),(INDEX(ALLCLASSDATA,MATCH("PerceptionLegendary",CLASSFEATUREHEADERS,0),MATCH(($A1685 &amp; "Points"),CLASSNAMEHEADERS,0))),(IF("05"=(INDEX(ALLCLASSDATA,MATCH("PerceptionMaster",CLASSFEATUREHEADERS,0),MATCH($A1685,CLASSNAMEHEADERS,0))),(INDEX(ALLCLASSDATA,MATCH("PerceptionMaster",CLASSFEATUREHEADERS,0),MATCH(($A1685 &amp; "Points"),CLASSNAMEHEADERS,0))),(IF("05"=(INDEX(ALLCLASSDATA,MATCH("PerceptionExpert",CLASSFEATUREHEADERS,0),MATCH($A1685,CLASSNAMEHEADERS,0))),(INDEX(ALLCLASSDATA,MATCH("PerceptionExpert",CLASSFEATUREHEADERS,0),MATCH(($A1685 &amp; "Points"),CLASSNAMEHEADERS,0))),(IF("05"=(INDEX(ALLCLASSDATA,MATCH("PerceptionTrained",CLASSFEATUREHEADERS,0),MATCH($A1685,CLASSNAMEHEADERS,0))),(INDEX(ALLCLASSDATA,MATCH("PerceptionTrained",CLASSFEATUREHEADERS,0),MATCH(($A1685 &amp; "Points"),CLASSNAMEHEADERS,0))),"")))))))))}</f>
        <v>PERCEPTIONL05</v>
      </c>
      <c r="M1684" s="230"/>
      <c r="N1684" s="230" t="str">
        <f t="array" ref="N1684:N1685">{"PERCEPTIONL07";((IF("07"=(INDEX(ALLCLASSDATA,MATCH("PerceptionLegendary",CLASSFEATUREHEADERS,0),MATCH($A1685,CLASSNAMEHEADERS,0))),(INDEX(ALLCLASSDATA,MATCH("PerceptionLegendary",CLASSFEATUREHEADERS,0),MATCH(($A1685 &amp; "Points"),CLASSNAMEHEADERS,0))),(IF("07"=(INDEX(ALLCLASSDATA,MATCH("PerceptionMaster",CLASSFEATUREHEADERS,0),MATCH($A1685,CLASSNAMEHEADERS,0))),(INDEX(ALLCLASSDATA,MATCH("PerceptionMaster",CLASSFEATUREHEADERS,0),MATCH(($A1685 &amp; "Points"),CLASSNAMEHEADERS,0))),(IF("07"=(INDEX(ALLCLASSDATA,MATCH("PerceptionExpert",CLASSFEATUREHEADERS,0),MATCH($A1685,CLASSNAMEHEADERS,0))),(INDEX(ALLCLASSDATA,MATCH("PerceptionExpert",CLASSFEATUREHEADERS,0),MATCH(($A1685 &amp; "Points"),CLASSNAMEHEADERS,0))),(IF("07"=(INDEX(ALLCLASSDATA,MATCH("PerceptionTrained",CLASSFEATUREHEADERS,0),MATCH($A1685,CLASSNAMEHEADERS,0))),(INDEX(ALLCLASSDATA,MATCH("PerceptionTrained",CLASSFEATUREHEADERS,0),MATCH(($A1685 &amp; "Points"),CLASSNAMEHEADERS,0))),"")))))))))}</f>
        <v>PERCEPTIONL07</v>
      </c>
      <c r="O1684" s="230"/>
      <c r="P1684" s="230" t="str">
        <f t="array" ref="P1684:P1685">{"PERCEPTIONL09";((IF("09"=(INDEX(ALLCLASSDATA,MATCH("PerceptionLegendary",CLASSFEATUREHEADERS,0),MATCH($A1685,CLASSNAMEHEADERS,0))),(INDEX(ALLCLASSDATA,MATCH("PerceptionLegendary",CLASSFEATUREHEADERS,0),MATCH(($A1685 &amp; "Points"),CLASSNAMEHEADERS,0))),(IF("09"=(INDEX(ALLCLASSDATA,MATCH("PerceptionMaster",CLASSFEATUREHEADERS,0),MATCH($A1685,CLASSNAMEHEADERS,0))),(INDEX(ALLCLASSDATA,MATCH("PerceptionMaster",CLASSFEATUREHEADERS,0),MATCH(($A1685 &amp; "Points"),CLASSNAMEHEADERS,0))),(IF("09"=(INDEX(ALLCLASSDATA,MATCH("PerceptionExpert",CLASSFEATUREHEADERS,0),MATCH($A1685,CLASSNAMEHEADERS,0))),(INDEX(ALLCLASSDATA,MATCH("PerceptionExpert",CLASSFEATUREHEADERS,0),MATCH(($A1685 &amp; "Points"),CLASSNAMEHEADERS,0))),(IF("09"=(INDEX(ALLCLASSDATA,MATCH("PerceptionTrained",CLASSFEATUREHEADERS,0),MATCH($A1685,CLASSNAMEHEADERS,0))),(INDEX(ALLCLASSDATA,MATCH("PerceptionTrained",CLASSFEATUREHEADERS,0),MATCH(($A1685 &amp; "Points"),CLASSNAMEHEADERS,0))),"")))))))))}</f>
        <v>PERCEPTIONL09</v>
      </c>
      <c r="Q1684" s="230"/>
      <c r="R1684" s="230" t="str">
        <f t="array" ref="R1684:R1685">{"PERCEPTIONL11";((IF("11"=(INDEX(ALLCLASSDATA,MATCH("PerceptionLegendary",CLASSFEATUREHEADERS,0),MATCH($A1685,CLASSNAMEHEADERS,0))),(INDEX(ALLCLASSDATA,MATCH("PerceptionLegendary",CLASSFEATUREHEADERS,0),MATCH(($A1685 &amp; "Points"),CLASSNAMEHEADERS,0))),(IF("11"=(INDEX(ALLCLASSDATA,MATCH("PerceptionMaster",CLASSFEATUREHEADERS,0),MATCH($A1685,CLASSNAMEHEADERS,0))),(INDEX(ALLCLASSDATA,MATCH("PerceptionMaster",CLASSFEATUREHEADERS,0),MATCH(($A1685 &amp; "Points"),CLASSNAMEHEADERS,0))),(IF("11"=(INDEX(ALLCLASSDATA,MATCH("PerceptionExpert",CLASSFEATUREHEADERS,0),MATCH($A1685,CLASSNAMEHEADERS,0))),(INDEX(ALLCLASSDATA,MATCH("PerceptionExpert",CLASSFEATUREHEADERS,0),MATCH(($A1685 &amp; "Points"),CLASSNAMEHEADERS,0))),(IF("11"=(INDEX(ALLCLASSDATA,MATCH("PerceptionTrained",CLASSFEATUREHEADERS,0),MATCH($A1685,CLASSNAMEHEADERS,0))),(INDEX(ALLCLASSDATA,MATCH("PerceptionTrained",CLASSFEATUREHEADERS,0),MATCH(($A1685 &amp; "Points"),CLASSNAMEHEADERS,0))),"")))))))))}</f>
        <v>PERCEPTIONL11</v>
      </c>
      <c r="S1684" s="230"/>
      <c r="T1684" s="230" t="str">
        <f t="array" ref="T1684:T1685">{"PERCEPTIONL13";((IF("13"=(INDEX(ALLCLASSDATA,MATCH("PerceptionLegendary",CLASSFEATUREHEADERS,0),MATCH($A1685,CLASSNAMEHEADERS,0))),(INDEX(ALLCLASSDATA,MATCH("PerceptionLegendary",CLASSFEATUREHEADERS,0),MATCH(($A1685 &amp; "Points"),CLASSNAMEHEADERS,0))),(IF("13"=(INDEX(ALLCLASSDATA,MATCH("PerceptionMaster",CLASSFEATUREHEADERS,0),MATCH($A1685,CLASSNAMEHEADERS,0))),(INDEX(ALLCLASSDATA,MATCH("PerceptionMaster",CLASSFEATUREHEADERS,0),MATCH(($A1685 &amp; "Points"),CLASSNAMEHEADERS,0))),(IF("13"=(INDEX(ALLCLASSDATA,MATCH("PerceptionExpert",CLASSFEATUREHEADERS,0),MATCH($A1685,CLASSNAMEHEADERS,0))),(INDEX(ALLCLASSDATA,MATCH("PerceptionExpert",CLASSFEATUREHEADERS,0),MATCH(($A1685 &amp; "Points"),CLASSNAMEHEADERS,0))),(IF("13"=(INDEX(ALLCLASSDATA,MATCH("PerceptionTrained",CLASSFEATUREHEADERS,0),MATCH($A1685,CLASSNAMEHEADERS,0))),(INDEX(ALLCLASSDATA,MATCH("PerceptionTrained",CLASSFEATUREHEADERS,0),MATCH(($A1685 &amp; "Points"),CLASSNAMEHEADERS,0))),"")))))))))}</f>
        <v>PERCEPTIONL13</v>
      </c>
      <c r="U1684" s="230"/>
      <c r="V1684" s="230" t="str">
        <f t="array" ref="V1684:V1685">{"PERCEPTIONL15";((IF("15"=(INDEX(ALLCLASSDATA,MATCH("PerceptionLegendary",CLASSFEATUREHEADERS,0),MATCH($A1685,CLASSNAMEHEADERS,0))),(INDEX(ALLCLASSDATA,MATCH("PerceptionLegendary",CLASSFEATUREHEADERS,0),MATCH(($A1685 &amp; "Points"),CLASSNAMEHEADERS,0))),(IF("15"=(INDEX(ALLCLASSDATA,MATCH("PerceptionMaster",CLASSFEATUREHEADERS,0),MATCH($A1685,CLASSNAMEHEADERS,0))),(INDEX(ALLCLASSDATA,MATCH("PerceptionMaster",CLASSFEATUREHEADERS,0),MATCH(($A1685 &amp; "Points"),CLASSNAMEHEADERS,0))),(IF("15"=(INDEX(ALLCLASSDATA,MATCH("PerceptionExpert",CLASSFEATUREHEADERS,0),MATCH($A1685,CLASSNAMEHEADERS,0))),(INDEX(ALLCLASSDATA,MATCH("PerceptionExpert",CLASSFEATUREHEADERS,0),MATCH(($A1685 &amp; "Points"),CLASSNAMEHEADERS,0))),(IF("15"=(INDEX(ALLCLASSDATA,MATCH("PerceptionTrained",CLASSFEATUREHEADERS,0),MATCH($A1685,CLASSNAMEHEADERS,0))),(INDEX(ALLCLASSDATA,MATCH("PerceptionTrained",CLASSFEATUREHEADERS,0),MATCH(($A1685 &amp; "Points"),CLASSNAMEHEADERS,0))),"")))))))))}</f>
        <v>PERCEPTIONL15</v>
      </c>
      <c r="W1684" s="230"/>
      <c r="X1684" s="230" t="str">
        <f t="array" ref="X1684:X1685">{"PERCEPTIONL17";((IF("17"=(INDEX(ALLCLASSDATA,MATCH("PerceptionLegendary",CLASSFEATUREHEADERS,0),MATCH($A1685,CLASSNAMEHEADERS,0))),(INDEX(ALLCLASSDATA,MATCH("PerceptionLegendary",CLASSFEATUREHEADERS,0),MATCH(($A1685 &amp; "Points"),CLASSNAMEHEADERS,0))),(IF("17"=(INDEX(ALLCLASSDATA,MATCH("PerceptionMaster",CLASSFEATUREHEADERS,0),MATCH($A1685,CLASSNAMEHEADERS,0))),(INDEX(ALLCLASSDATA,MATCH("PerceptionMaster",CLASSFEATUREHEADERS,0),MATCH(($A1685 &amp; "Points"),CLASSNAMEHEADERS,0))),(IF("17"=(INDEX(ALLCLASSDATA,MATCH("PerceptionExpert",CLASSFEATUREHEADERS,0),MATCH($A1685,CLASSNAMEHEADERS,0))),(INDEX(ALLCLASSDATA,MATCH("PerceptionExpert",CLASSFEATUREHEADERS,0),MATCH(($A1685 &amp; "Points"),CLASSNAMEHEADERS,0))),(IF("17"=(INDEX(ALLCLASSDATA,MATCH("PerceptionTrained",CLASSFEATUREHEADERS,0),MATCH($A1685,CLASSNAMEHEADERS,0))),(INDEX(ALLCLASSDATA,MATCH("PerceptionTrained",CLASSFEATUREHEADERS,0),MATCH(($A1685 &amp; "Points"),CLASSNAMEHEADERS,0))),"")))))))))}</f>
        <v>PERCEPTIONL17</v>
      </c>
      <c r="Y1684" s="230"/>
      <c r="Z1684" s="230" t="str">
        <f t="array" ref="Z1684:Z1685">{"PERCEPTIONL19";((IF("19"=(INDEX(ALLCLASSDATA,MATCH("PerceptionLegendary",CLASSFEATUREHEADERS,0),MATCH($A1685,CLASSNAMEHEADERS,0))),(INDEX(ALLCLASSDATA,MATCH("PerceptionLegendary",CLASSFEATUREHEADERS,0),MATCH(($A1685 &amp; "Points"),CLASSNAMEHEADERS,0))),(IF("19"=(INDEX(ALLCLASSDATA,MATCH("PerceptionMaster",CLASSFEATUREHEADERS,0),MATCH($A1685,CLASSNAMEHEADERS,0))),(INDEX(ALLCLASSDATA,MATCH("PerceptionMaster",CLASSFEATUREHEADERS,0),MATCH(($A1685 &amp; "Points"),CLASSNAMEHEADERS,0))),(IF("19"=(INDEX(ALLCLASSDATA,MATCH("PerceptionExpert",CLASSFEATUREHEADERS,0),MATCH($A1685,CLASSNAMEHEADERS,0))),(INDEX(ALLCLASSDATA,MATCH("PerceptionExpert",CLASSFEATUREHEADERS,0),MATCH(($A1685 &amp; "Points"),CLASSNAMEHEADERS,0))),(IF("19"=(INDEX(ALLCLASSDATA,MATCH("PerceptionTrained",CLASSFEATUREHEADERS,0),MATCH($A1685,CLASSNAMEHEADERS,0))),(INDEX(ALLCLASSDATA,MATCH("PerceptionTrained",CLASSFEATUREHEADERS,0),MATCH(($A1685 &amp; "Points"),CLASSNAMEHEADERS,0))),"")))))))))}</f>
        <v>PERCEPTIONL19</v>
      </c>
      <c r="AA1684" s="230"/>
      <c r="AB1684" s="76" t="str">
        <f t="array" ref="AB1684:AB1685">{"PERCEPTION TOTAL";(IF(COUNTBLANK(G1685:AA1685)=17,"L",(IF(COUNTBLANK(G1685:AA1685)=18,"M",(IF(COUNTBLANK(G1685:AA1685)=19,"E",(IF(COUNTBLANK(G1685:AA1685)=20,"T",""))))))))}</f>
        <v>PERCEPTION TOTAL</v>
      </c>
      <c r="AC1684" s="76" t="str">
        <f t="array" ref="AC1684:AC1685">{"PERCEPTION TOTAL";(sum(G1685:AA1685))}</f>
        <v>PERCEPTION TOTAL</v>
      </c>
    </row>
    <row r="1685">
      <c r="A1685" s="48" t="s">
        <v>225</v>
      </c>
      <c r="B1685" s="48"/>
      <c r="C1685" s="48" t="s">
        <v>418</v>
      </c>
      <c r="D1685" s="97" t="s">
        <v>637</v>
      </c>
      <c r="E1685" s="97" t="s">
        <v>637</v>
      </c>
      <c r="F1685" s="98" t="s">
        <v>435</v>
      </c>
      <c r="G1685" s="132" t="s">
        <v>603</v>
      </c>
      <c r="H1685" s="98">
        <v>10.0</v>
      </c>
      <c r="I1685" s="98"/>
      <c r="J1685" s="98">
        <v>50.0</v>
      </c>
      <c r="K1685" s="98"/>
      <c r="L1685" s="98" t="s">
        <v>603</v>
      </c>
      <c r="M1685" s="98"/>
      <c r="N1685" s="98" t="s">
        <v>603</v>
      </c>
      <c r="O1685" s="98"/>
      <c r="P1685" s="98" t="s">
        <v>603</v>
      </c>
      <c r="Q1685" s="98"/>
      <c r="R1685" s="98" t="s">
        <v>603</v>
      </c>
      <c r="S1685" s="98"/>
      <c r="T1685" s="98" t="s">
        <v>603</v>
      </c>
      <c r="U1685" s="98"/>
      <c r="V1685" s="98" t="s">
        <v>603</v>
      </c>
      <c r="W1685" s="98"/>
      <c r="X1685" s="98" t="s">
        <v>603</v>
      </c>
      <c r="Y1685" s="98"/>
      <c r="Z1685" s="98" t="s">
        <v>603</v>
      </c>
      <c r="AA1685" s="98"/>
      <c r="AB1685" s="5" t="s">
        <v>436</v>
      </c>
      <c r="AC1685" s="47">
        <v>60.0</v>
      </c>
    </row>
    <row r="1686" hidden="1">
      <c r="A1686" s="222" t="str">
        <f t="array" ref="A1686:A1687">{"FormulaRow23";(INDEX(CLASSLIST,A1641,1))}</f>
        <v>FormulaRow23</v>
      </c>
      <c r="B1686" s="77" t="s">
        <v>236</v>
      </c>
      <c r="C1686" s="222" t="str">
        <f t="array" ref="C1686:C1687">{"CLASSTYPE";((INDEX(ALLCLASSDATA,MATCH("ClassType",CLASSFEATUREHEADERS,0),MATCH($A1687,CLASSNAMEHEADERS,0))))}</f>
        <v>CLASSTYPE</v>
      </c>
      <c r="D1686" s="228" t="str">
        <f t="array" ref="D1686:D1687">{"SAVES";"Saves"}</f>
        <v>SAVES</v>
      </c>
      <c r="E1686" s="228" t="str">
        <f t="array" ref="E1686:E1687">{"FORTITUDESAVE";"FortitudeSave"}</f>
        <v>FORTITUDESAVE</v>
      </c>
      <c r="F1686" s="230" t="str">
        <f t="array" ref="F1686:F1687">{"FORTITUDEINITIAL";((IF(H1687=10,"T",(IF(H1687=50,"E","")))))}</f>
        <v>FORTITUDEINITIAL</v>
      </c>
      <c r="G1686" s="230" t="str">
        <f t="array" ref="G1686:G1687">{"FORTITUDEINITIALPTS";((IF("00"=(INDEX(ALLCLASSDATA,MATCH("FortitudeSaveLegendary",CLASSFEATUREHEADERS,0),MATCH($A1687,CLASSNAMEHEADERS,0))),(INDEX(ALLCLASSDATA,MATCH("FortitudeSaveLegendary",CLASSFEATUREHEADERS,0),MATCH(($A1687 &amp; "Points"),CLASSNAMEHEADERS,0))),(IF("00"=(INDEX(ALLCLASSDATA,MATCH("FortitudeSaveMaster",CLASSFEATUREHEADERS,0),MATCH($A1687,CLASSNAMEHEADERS,0))),(INDEX(ALLCLASSDATA,MATCH("FortitudeSaveMaster",CLASSFEATUREHEADERS,0),MATCH(($A1687 &amp; "Points"),CLASSNAMEHEADERS,0))),(IF("00"=(INDEX(ALLCLASSDATA,MATCH("FortitudeSaveExpert",CLASSFEATUREHEADERS,0),MATCH($A1687,CLASSNAMEHEADERS,0))),(INDEX(ALLCLASSDATA,MATCH("FortitudeSaveExpert",CLASSFEATUREHEADERS,0),MATCH(($A1687 &amp; "Points"),CLASSNAMEHEADERS,0))),(IF("00"=(INDEX(ALLCLASSDATA,MATCH("FortitudeSaveTrained",CLASSFEATUREHEADERS,0),MATCH($A1687,CLASSNAMEHEADERS,0))),(INDEX(ALLCLASSDATA,MATCH("FortitudeSaveTrained",CLASSFEATUREHEADERS,0),MATCH(($A1687 &amp; "Points"),CLASSNAMEHEADERS,0))),"")))))))))}</f>
        <v>FORTITUDEINITIALPTS</v>
      </c>
      <c r="H1686" s="230" t="str">
        <f t="array" ref="H1686:H1687">{"FORTITUDEL01";((IF("01"=(INDEX(ALLCLASSDATA,MATCH("FortitudeSaveLegendary",CLASSFEATUREHEADERS,0),MATCH($A1687,CLASSNAMEHEADERS,0))),(INDEX(ALLCLASSDATA,MATCH("FortitudeSaveLegendary",CLASSFEATUREHEADERS,0),MATCH(($A1687 &amp; "Points"),CLASSNAMEHEADERS,0))),(IF("01"=(INDEX(ALLCLASSDATA,MATCH("FortitudeSaveMaster",CLASSFEATUREHEADERS,0),MATCH($A1687,CLASSNAMEHEADERS,0))),(INDEX(ALLCLASSDATA,MATCH("FortitudeSaveMaster",CLASSFEATUREHEADERS,0),MATCH(($A1687 &amp; "Points"),CLASSNAMEHEADERS,0))),(IF("01"=(INDEX(ALLCLASSDATA,MATCH("FortitudeSaveExpert",CLASSFEATUREHEADERS,0),MATCH($A1687,CLASSNAMEHEADERS,0))),(INDEX(ALLCLASSDATA,MATCH("FortitudeSaveExpert",CLASSFEATUREHEADERS,0),MATCH(($A1687 &amp; "Points"),CLASSNAMEHEADERS,0))),(IF("01"=(INDEX(ALLCLASSDATA,MATCH("FortitudeSaveTrained",CLASSFEATUREHEADERS,0),MATCH($A1687,CLASSNAMEHEADERS,0))),(INDEX(ALLCLASSDATA,MATCH("FortitudeSaveTrained",CLASSFEATUREHEADERS,0),MATCH(($A1687 &amp; "Points"),CLASSNAMEHEADERS,0))),"")))))))))}</f>
        <v>FORTITUDEL01</v>
      </c>
      <c r="I1686" s="230"/>
      <c r="J1686" s="230" t="str">
        <f t="array" ref="J1686:J1687">{"FORTITUDEL03";((IF("03"=(INDEX(ALLCLASSDATA,MATCH("FortitudeSaveLegendary",CLASSFEATUREHEADERS,0),MATCH($A1687,CLASSNAMEHEADERS,0))),(INDEX(ALLCLASSDATA,MATCH("FortitudeSaveLegendary",CLASSFEATUREHEADERS,0),MATCH(($A1687 &amp; "Points"),CLASSNAMEHEADERS,0))),(IF("03"=(INDEX(ALLCLASSDATA,MATCH("FortitudeSaveMaster",CLASSFEATUREHEADERS,0),MATCH($A1687,CLASSNAMEHEADERS,0))),(INDEX(ALLCLASSDATA,MATCH("FortitudeSaveMaster",CLASSFEATUREHEADERS,0),MATCH(($A1687 &amp; "Points"),CLASSNAMEHEADERS,0))),(IF("03"=(INDEX(ALLCLASSDATA,MATCH("FortitudeSaveExpert",CLASSFEATUREHEADERS,0),MATCH($A1687,CLASSNAMEHEADERS,0))),(INDEX(ALLCLASSDATA,MATCH("FortitudeSaveExpert",CLASSFEATUREHEADERS,0),MATCH(($A1687 &amp; "Points"),CLASSNAMEHEADERS,0))),(IF("03"=(INDEX(ALLCLASSDATA,MATCH("FortitudeSaveTrained",CLASSFEATUREHEADERS,0),MATCH($A1687,CLASSNAMEHEADERS,0))),(INDEX(ALLCLASSDATA,MATCH("FortitudeSaveTrained",CLASSFEATUREHEADERS,0),MATCH(($A1687 &amp; "Points"),CLASSNAMEHEADERS,0))),"")))))))))}</f>
        <v>FORTITUDEL03</v>
      </c>
      <c r="K1686" s="230"/>
      <c r="L1686" s="230" t="str">
        <f t="array" ref="L1686:L1687">{"FORTITUDEL05";((IF("05"=(INDEX(ALLCLASSDATA,MATCH("FortitudeSaveLegendary",CLASSFEATUREHEADERS,0),MATCH($A1687,CLASSNAMEHEADERS,0))),(INDEX(ALLCLASSDATA,MATCH("FortitudeSaveLegendary",CLASSFEATUREHEADERS,0),MATCH(($A1687 &amp; "Points"),CLASSNAMEHEADERS,0))),(IF("05"=(INDEX(ALLCLASSDATA,MATCH("FortitudeSaveMaster",CLASSFEATUREHEADERS,0),MATCH($A1687,CLASSNAMEHEADERS,0))),(INDEX(ALLCLASSDATA,MATCH("FortitudeSaveMaster",CLASSFEATUREHEADERS,0),MATCH(($A1687 &amp; "Points"),CLASSNAMEHEADERS,0))),(IF("05"=(INDEX(ALLCLASSDATA,MATCH("FortitudeSaveExpert",CLASSFEATUREHEADERS,0),MATCH($A1687,CLASSNAMEHEADERS,0))),(INDEX(ALLCLASSDATA,MATCH("FortitudeSaveExpert",CLASSFEATUREHEADERS,0),MATCH(($A1687 &amp; "Points"),CLASSNAMEHEADERS,0))),(IF("05"=(INDEX(ALLCLASSDATA,MATCH("FortitudeSaveTrained",CLASSFEATUREHEADERS,0),MATCH($A1687,CLASSNAMEHEADERS,0))),(INDEX(ALLCLASSDATA,MATCH("FortitudeSaveTrained",CLASSFEATUREHEADERS,0),MATCH(($A1687 &amp; "Points"),CLASSNAMEHEADERS,0))),"")))))))))}</f>
        <v>FORTITUDEL05</v>
      </c>
      <c r="M1686" s="230"/>
      <c r="N1686" s="230" t="str">
        <f t="array" ref="N1686:N1687">{"FORTITUDEL07";((IF("07"=(INDEX(ALLCLASSDATA,MATCH("FortitudeSaveLegendary",CLASSFEATUREHEADERS,0),MATCH($A1687,CLASSNAMEHEADERS,0))),(INDEX(ALLCLASSDATA,MATCH("FortitudeSaveLegendary",CLASSFEATUREHEADERS,0),MATCH(($A1687 &amp; "Points"),CLASSNAMEHEADERS,0))),(IF("07"=(INDEX(ALLCLASSDATA,MATCH("FortitudeSaveMaster",CLASSFEATUREHEADERS,0),MATCH($A1687,CLASSNAMEHEADERS,0))),(INDEX(ALLCLASSDATA,MATCH("FortitudeSaveMaster",CLASSFEATUREHEADERS,0),MATCH(($A1687 &amp; "Points"),CLASSNAMEHEADERS,0))),(IF("07"=(INDEX(ALLCLASSDATA,MATCH("FortitudeSaveExpert",CLASSFEATUREHEADERS,0),MATCH($A1687,CLASSNAMEHEADERS,0))),(INDEX(ALLCLASSDATA,MATCH("FortitudeSaveExpert",CLASSFEATUREHEADERS,0),MATCH(($A1687 &amp; "Points"),CLASSNAMEHEADERS,0))),(IF("07"=(INDEX(ALLCLASSDATA,MATCH("FortitudeSaveTrained",CLASSFEATUREHEADERS,0),MATCH($A1687,CLASSNAMEHEADERS,0))),(INDEX(ALLCLASSDATA,MATCH("FortitudeSaveTrained",CLASSFEATUREHEADERS,0),MATCH(($A1687 &amp; "Points"),CLASSNAMEHEADERS,0))),"")))))))))}</f>
        <v>FORTITUDEL07</v>
      </c>
      <c r="O1686" s="230"/>
      <c r="P1686" s="230" t="str">
        <f t="array" ref="P1686:P1687">{"FORTITUDEL09";((IF("09"=(INDEX(ALLCLASSDATA,MATCH("FortitudeSaveLegendary",CLASSFEATUREHEADERS,0),MATCH($A1687,CLASSNAMEHEADERS,0))),(INDEX(ALLCLASSDATA,MATCH("FortitudeSaveLegendary",CLASSFEATUREHEADERS,0),MATCH(($A1687 &amp; "Points"),CLASSNAMEHEADERS,0))),(IF("09"=(INDEX(ALLCLASSDATA,MATCH("FortitudeSaveMaster",CLASSFEATUREHEADERS,0),MATCH($A1687,CLASSNAMEHEADERS,0))),(INDEX(ALLCLASSDATA,MATCH("FortitudeSaveMaster",CLASSFEATUREHEADERS,0),MATCH(($A1687 &amp; "Points"),CLASSNAMEHEADERS,0))),(IF("09"=(INDEX(ALLCLASSDATA,MATCH("FortitudeSaveExpert",CLASSFEATUREHEADERS,0),MATCH($A1687,CLASSNAMEHEADERS,0))),(INDEX(ALLCLASSDATA,MATCH("FortitudeSaveExpert",CLASSFEATUREHEADERS,0),MATCH(($A1687 &amp; "Points"),CLASSNAMEHEADERS,0))),(IF("09"=(INDEX(ALLCLASSDATA,MATCH("FortitudeSaveTrained",CLASSFEATUREHEADERS,0),MATCH($A1687,CLASSNAMEHEADERS,0))),(INDEX(ALLCLASSDATA,MATCH("FortitudeSaveTrained",CLASSFEATUREHEADERS,0),MATCH(($A1687 &amp; "Points"),CLASSNAMEHEADERS,0))),"")))))))))}</f>
        <v>FORTITUDEL09</v>
      </c>
      <c r="Q1686" s="230"/>
      <c r="R1686" s="230" t="str">
        <f t="array" ref="R1686:R1687">{"FORTITUDEL11";((IF("11"=(INDEX(ALLCLASSDATA,MATCH("FortitudeSaveLegendary",CLASSFEATUREHEADERS,0),MATCH($A1687,CLASSNAMEHEADERS,0))),(INDEX(ALLCLASSDATA,MATCH("FortitudeSaveLegendary",CLASSFEATUREHEADERS,0),MATCH(($A1687 &amp; "Points"),CLASSNAMEHEADERS,0))),(IF("11"=(INDEX(ALLCLASSDATA,MATCH("FortitudeSaveMaster",CLASSFEATUREHEADERS,0),MATCH($A1687,CLASSNAMEHEADERS,0))),(INDEX(ALLCLASSDATA,MATCH("FortitudeSaveMaster",CLASSFEATUREHEADERS,0),MATCH(($A1687 &amp; "Points"),CLASSNAMEHEADERS,0))),(IF("11"=(INDEX(ALLCLASSDATA,MATCH("FortitudeSaveExpert",CLASSFEATUREHEADERS,0),MATCH($A1687,CLASSNAMEHEADERS,0))),(INDEX(ALLCLASSDATA,MATCH("FortitudeSaveExpert",CLASSFEATUREHEADERS,0),MATCH(($A1687 &amp; "Points"),CLASSNAMEHEADERS,0))),(IF("11"=(INDEX(ALLCLASSDATA,MATCH("FortitudeSaveTrained",CLASSFEATUREHEADERS,0),MATCH($A1687,CLASSNAMEHEADERS,0))),(INDEX(ALLCLASSDATA,MATCH("FortitudeSaveTrained",CLASSFEATUREHEADERS,0),MATCH(($A1687 &amp; "Points"),CLASSNAMEHEADERS,0))),"")))))))))}</f>
        <v>FORTITUDEL11</v>
      </c>
      <c r="S1686" s="230"/>
      <c r="T1686" s="230" t="str">
        <f t="array" ref="T1686:T1687">{"FORTITUDEL13";((IF("13"=(INDEX(ALLCLASSDATA,MATCH("FortitudeSaveLegendary",CLASSFEATUREHEADERS,0),MATCH($A1687,CLASSNAMEHEADERS,0))),(INDEX(ALLCLASSDATA,MATCH("FortitudeSaveLegendary",CLASSFEATUREHEADERS,0),MATCH(($A1687 &amp; "Points"),CLASSNAMEHEADERS,0))),(IF("13"=(INDEX(ALLCLASSDATA,MATCH("FortitudeSaveMaster",CLASSFEATUREHEADERS,0),MATCH($A1687,CLASSNAMEHEADERS,0))),(INDEX(ALLCLASSDATA,MATCH("FortitudeSaveMaster",CLASSFEATUREHEADERS,0),MATCH(($A1687 &amp; "Points"),CLASSNAMEHEADERS,0))),(IF("13"=(INDEX(ALLCLASSDATA,MATCH("FortitudeSaveExpert",CLASSFEATUREHEADERS,0),MATCH($A1687,CLASSNAMEHEADERS,0))),(INDEX(ALLCLASSDATA,MATCH("FortitudeSaveExpert",CLASSFEATUREHEADERS,0),MATCH(($A1687 &amp; "Points"),CLASSNAMEHEADERS,0))),(IF("13"=(INDEX(ALLCLASSDATA,MATCH("FortitudeSaveTrained",CLASSFEATUREHEADERS,0),MATCH($A1687,CLASSNAMEHEADERS,0))),(INDEX(ALLCLASSDATA,MATCH("FortitudeSaveTrained",CLASSFEATUREHEADERS,0),MATCH(($A1687 &amp; "Points"),CLASSNAMEHEADERS,0))),"")))))))))}</f>
        <v>FORTITUDEL13</v>
      </c>
      <c r="U1686" s="230"/>
      <c r="V1686" s="230" t="str">
        <f t="array" ref="V1686:V1687">{"FORTITUDEL15";((IF("15"=(INDEX(ALLCLASSDATA,MATCH("FortitudeSaveLegendary",CLASSFEATUREHEADERS,0),MATCH($A1687,CLASSNAMEHEADERS,0))),(INDEX(ALLCLASSDATA,MATCH("FortitudeSaveLegendary",CLASSFEATUREHEADERS,0),MATCH(($A1687 &amp; "Points"),CLASSNAMEHEADERS,0))),(IF("15"=(INDEX(ALLCLASSDATA,MATCH("FortitudeSaveMaster",CLASSFEATUREHEADERS,0),MATCH($A1687,CLASSNAMEHEADERS,0))),(INDEX(ALLCLASSDATA,MATCH("FortitudeSaveMaster",CLASSFEATUREHEADERS,0),MATCH(($A1687 &amp; "Points"),CLASSNAMEHEADERS,0))),(IF("15"=(INDEX(ALLCLASSDATA,MATCH("FortitudeSaveExpert",CLASSFEATUREHEADERS,0),MATCH($A1687,CLASSNAMEHEADERS,0))),(INDEX(ALLCLASSDATA,MATCH("FortitudeSaveExpert",CLASSFEATUREHEADERS,0),MATCH(($A1687 &amp; "Points"),CLASSNAMEHEADERS,0))),(IF("15"=(INDEX(ALLCLASSDATA,MATCH("FortitudeSaveTrained",CLASSFEATUREHEADERS,0),MATCH($A1687,CLASSNAMEHEADERS,0))),(INDEX(ALLCLASSDATA,MATCH("FortitudeSaveTrained",CLASSFEATUREHEADERS,0),MATCH(($A1687 &amp; "Points"),CLASSNAMEHEADERS,0))),"")))))))))}</f>
        <v>FORTITUDEL15</v>
      </c>
      <c r="W1686" s="230"/>
      <c r="X1686" s="230" t="str">
        <f t="array" ref="X1686:X1687">{"FORTITUDEL17";((IF("17"=(INDEX(ALLCLASSDATA,MATCH("FortitudeSaveLegendary",CLASSFEATUREHEADERS,0),MATCH($A1687,CLASSNAMEHEADERS,0))),(INDEX(ALLCLASSDATA,MATCH("FortitudeSaveLegendary",CLASSFEATUREHEADERS,0),MATCH(($A1687 &amp; "Points"),CLASSNAMEHEADERS,0))),(IF("17"=(INDEX(ALLCLASSDATA,MATCH("FortitudeSaveMaster",CLASSFEATUREHEADERS,0),MATCH($A1687,CLASSNAMEHEADERS,0))),(INDEX(ALLCLASSDATA,MATCH("FortitudeSaveMaster",CLASSFEATUREHEADERS,0),MATCH(($A1687 &amp; "Points"),CLASSNAMEHEADERS,0))),(IF("17"=(INDEX(ALLCLASSDATA,MATCH("FortitudeSaveExpert",CLASSFEATUREHEADERS,0),MATCH($A1687,CLASSNAMEHEADERS,0))),(INDEX(ALLCLASSDATA,MATCH("FortitudeSaveExpert",CLASSFEATUREHEADERS,0),MATCH(($A1687 &amp; "Points"),CLASSNAMEHEADERS,0))),(IF("17"=(INDEX(ALLCLASSDATA,MATCH("FortitudeSaveTrained",CLASSFEATUREHEADERS,0),MATCH($A1687,CLASSNAMEHEADERS,0))),(INDEX(ALLCLASSDATA,MATCH("FortitudeSaveTrained",CLASSFEATUREHEADERS,0),MATCH(($A1687 &amp; "Points"),CLASSNAMEHEADERS,0))),"")))))))))}</f>
        <v>FORTITUDEL17</v>
      </c>
      <c r="Y1686" s="230"/>
      <c r="Z1686" s="230" t="str">
        <f t="array" ref="Z1686:Z1687">{"FORTITUDEL19";((IF("19"=(INDEX(ALLCLASSDATA,MATCH("FortitudeSaveLegendary",CLASSFEATUREHEADERS,0),MATCH($A1687,CLASSNAMEHEADERS,0))),(INDEX(ALLCLASSDATA,MATCH("FortitudeSaveLegendary",CLASSFEATUREHEADERS,0),MATCH(($A1687 &amp; "Points"),CLASSNAMEHEADERS,0))),(IF("19"=(INDEX(ALLCLASSDATA,MATCH("FortitudeSaveMaster",CLASSFEATUREHEADERS,0),MATCH($A1687,CLASSNAMEHEADERS,0))),(INDEX(ALLCLASSDATA,MATCH("FortitudeSaveMaster",CLASSFEATUREHEADERS,0),MATCH(($A1687 &amp; "Points"),CLASSNAMEHEADERS,0))),(IF("19"=(INDEX(ALLCLASSDATA,MATCH("FortitudeSaveExpert",CLASSFEATUREHEADERS,0),MATCH($A1687,CLASSNAMEHEADERS,0))),(INDEX(ALLCLASSDATA,MATCH("FortitudeSaveExpert",CLASSFEATUREHEADERS,0),MATCH(($A1687 &amp; "Points"),CLASSNAMEHEADERS,0))),(IF("19"=(INDEX(ALLCLASSDATA,MATCH("FortitudeSaveTrained",CLASSFEATUREHEADERS,0),MATCH($A1687,CLASSNAMEHEADERS,0))),(INDEX(ALLCLASSDATA,MATCH("FortitudeSaveTrained",CLASSFEATUREHEADERS,0),MATCH(($A1687 &amp; "Points"),CLASSNAMEHEADERS,0))),"")))))))))}</f>
        <v>FORTITUDEL19</v>
      </c>
      <c r="AA1686" s="230"/>
      <c r="AB1686" s="76" t="str">
        <f t="array" ref="AB1686:AB1687">{"FORTITUDE TOTAL";(IF(COUNTBLANK(G1687:AA1687)=17,"L",(IF(COUNTBLANK(G1687:AA1687)=18,"M",(IF(COUNTBLANK(G1687:AA1687)=19,"E",(IF(COUNTBLANK(G1687:AA1687)=20,"T",""))))))))}</f>
        <v>FORTITUDE TOTAL</v>
      </c>
      <c r="AC1686" s="76" t="str">
        <f t="array" ref="AC1686:AC1687">{"FORTITUDE TOTAL";(sum(G1687:AA1687))}</f>
        <v>FORTITUDE TOTAL</v>
      </c>
    </row>
    <row r="1687">
      <c r="A1687" s="48" t="s">
        <v>225</v>
      </c>
      <c r="B1687" s="48"/>
      <c r="C1687" s="48" t="s">
        <v>418</v>
      </c>
      <c r="D1687" s="48" t="s">
        <v>1549</v>
      </c>
      <c r="E1687" s="48" t="s">
        <v>1550</v>
      </c>
      <c r="F1687" s="5" t="s">
        <v>435</v>
      </c>
      <c r="G1687" s="47" t="s">
        <v>603</v>
      </c>
      <c r="H1687" s="5">
        <v>10.0</v>
      </c>
      <c r="I1687" s="5"/>
      <c r="J1687" s="5">
        <v>50.0</v>
      </c>
      <c r="K1687" s="5"/>
      <c r="L1687" s="5" t="s">
        <v>603</v>
      </c>
      <c r="M1687" s="5"/>
      <c r="N1687" s="5" t="s">
        <v>603</v>
      </c>
      <c r="O1687" s="5"/>
      <c r="P1687" s="5" t="s">
        <v>603</v>
      </c>
      <c r="Q1687" s="5"/>
      <c r="R1687" s="5" t="s">
        <v>603</v>
      </c>
      <c r="S1687" s="5"/>
      <c r="T1687" s="5" t="s">
        <v>603</v>
      </c>
      <c r="U1687" s="5"/>
      <c r="V1687" s="5" t="s">
        <v>603</v>
      </c>
      <c r="W1687" s="5"/>
      <c r="X1687" s="5" t="s">
        <v>603</v>
      </c>
      <c r="Y1687" s="5"/>
      <c r="Z1687" s="5" t="s">
        <v>603</v>
      </c>
      <c r="AA1687" s="5"/>
      <c r="AB1687" s="5" t="s">
        <v>436</v>
      </c>
      <c r="AC1687" s="47">
        <v>60.0</v>
      </c>
    </row>
    <row r="1688" hidden="1">
      <c r="A1688" s="222" t="str">
        <f t="array" ref="A1688:A1689">{"FormulaRow24";(INDEX(CLASSLIST,A1641,1))}</f>
        <v>FormulaRow24</v>
      </c>
      <c r="B1688" s="77" t="s">
        <v>236</v>
      </c>
      <c r="C1688" s="222" t="str">
        <f t="array" ref="C1688:C1689">{"CLASSTYPE";((INDEX(ALLCLASSDATA,MATCH("ClassType",CLASSFEATUREHEADERS,0),MATCH($A1689,CLASSNAMEHEADERS,0))))}</f>
        <v>CLASSTYPE</v>
      </c>
      <c r="D1688" s="222" t="str">
        <f t="array" ref="D1688:D1689">{"SAVES";"Saves"}</f>
        <v>SAVES</v>
      </c>
      <c r="E1688" s="222" t="str">
        <f t="array" ref="E1688:E1689">{"REFLEXSAVE";"ReflexSave"}</f>
        <v>REFLEXSAVE</v>
      </c>
      <c r="F1688" s="223" t="str">
        <f t="array" ref="F1688:F1689">{"REFLEXINITIAL";((IF(H1689=10,"T",(IF(H1689=50,"E","")))))}</f>
        <v>REFLEXINITIAL</v>
      </c>
      <c r="G1688" s="223" t="str">
        <f t="array" ref="G1688:G1689">{"REFLEXINITIALPTS";((IF("00"=(INDEX(ALLCLASSDATA,MATCH("ReflexSaveLegendary",CLASSFEATUREHEADERS,0),MATCH($A1689,CLASSNAMEHEADERS,0))),(INDEX(ALLCLASSDATA,MATCH("ReflexSaveLegendary",CLASSFEATUREHEADERS,0),MATCH(($A1689 &amp; "Points"),CLASSNAMEHEADERS,0))),(IF("00"=(INDEX(ALLCLASSDATA,MATCH("ReflexSaveMaster",CLASSFEATUREHEADERS,0),MATCH($A1689,CLASSNAMEHEADERS,0))),(INDEX(ALLCLASSDATA,MATCH("ReflexSaveMaster",CLASSFEATUREHEADERS,0),MATCH(($A1689 &amp; "Points"),CLASSNAMEHEADERS,0))),(IF("00"=(INDEX(ALLCLASSDATA,MATCH("ReflexSaveExpert",CLASSFEATUREHEADERS,0),MATCH($A1689,CLASSNAMEHEADERS,0))),(INDEX(ALLCLASSDATA,MATCH("ReflexSaveExpert",CLASSFEATUREHEADERS,0),MATCH(($A1689 &amp; "Points"),CLASSNAMEHEADERS,0))),(IF("00"=(INDEX(ALLCLASSDATA,MATCH("ReflexSaveTrained",CLASSFEATUREHEADERS,0),MATCH($A1689,CLASSNAMEHEADERS,0))),(INDEX(ALLCLASSDATA,MATCH("ReflexSaveTrained",CLASSFEATUREHEADERS,0),MATCH(($A1689 &amp; "Points"),CLASSNAMEHEADERS,0))),"")))))))))}</f>
        <v>REFLEXINITIALPTS</v>
      </c>
      <c r="H1688" s="223" t="str">
        <f t="array" ref="H1688:H1689">{"REFLEXL01";((IF("01"=(INDEX(ALLCLASSDATA,MATCH("ReflexSaveLegendary",CLASSFEATUREHEADERS,0),MATCH($A1689,CLASSNAMEHEADERS,0))),(INDEX(ALLCLASSDATA,MATCH("ReflexSaveLegendary",CLASSFEATUREHEADERS,0),MATCH(($A1689 &amp; "Points"),CLASSNAMEHEADERS,0))),(IF("01"=(INDEX(ALLCLASSDATA,MATCH("ReflexSaveMaster",CLASSFEATUREHEADERS,0),MATCH($A1689,CLASSNAMEHEADERS,0))),(INDEX(ALLCLASSDATA,MATCH("ReflexSaveMaster",CLASSFEATUREHEADERS,0),MATCH(($A1689 &amp; "Points"),CLASSNAMEHEADERS,0))),(IF("01"=(INDEX(ALLCLASSDATA,MATCH("ReflexSaveExpert",CLASSFEATUREHEADERS,0),MATCH($A1689,CLASSNAMEHEADERS,0))),(INDEX(ALLCLASSDATA,MATCH("ReflexSaveExpert",CLASSFEATUREHEADERS,0),MATCH(($A1689 &amp; "Points"),CLASSNAMEHEADERS,0))),(IF("01"=(INDEX(ALLCLASSDATA,MATCH("ReflexSaveTrained",CLASSFEATUREHEADERS,0),MATCH($A1689,CLASSNAMEHEADERS,0))),(INDEX(ALLCLASSDATA,MATCH("ReflexSaveTrained",CLASSFEATUREHEADERS,0),MATCH(($A1689 &amp; "Points"),CLASSNAMEHEADERS,0))),"")))))))))}</f>
        <v>REFLEXL01</v>
      </c>
      <c r="I1688" s="223"/>
      <c r="J1688" s="223" t="str">
        <f t="array" ref="J1688:J1689">{"REFLEXL03";((IF("03"=(INDEX(ALLCLASSDATA,MATCH("ReflexSaveLegendary",CLASSFEATUREHEADERS,0),MATCH($A1689,CLASSNAMEHEADERS,0))),(INDEX(ALLCLASSDATA,MATCH("ReflexSaveLegendary",CLASSFEATUREHEADERS,0),MATCH(($A1689 &amp; "Points"),CLASSNAMEHEADERS,0))),(IF("03"=(INDEX(ALLCLASSDATA,MATCH("ReflexSaveMaster",CLASSFEATUREHEADERS,0),MATCH($A1689,CLASSNAMEHEADERS,0))),(INDEX(ALLCLASSDATA,MATCH("ReflexSaveMaster",CLASSFEATUREHEADERS,0),MATCH(($A1689 &amp; "Points"),CLASSNAMEHEADERS,0))),(IF("03"=(INDEX(ALLCLASSDATA,MATCH("ReflexSaveExpert",CLASSFEATUREHEADERS,0),MATCH($A1689,CLASSNAMEHEADERS,0))),(INDEX(ALLCLASSDATA,MATCH("ReflexSaveExpert",CLASSFEATUREHEADERS,0),MATCH(($A1689 &amp; "Points"),CLASSNAMEHEADERS,0))),(IF("03"=(INDEX(ALLCLASSDATA,MATCH("ReflexSaveTrained",CLASSFEATUREHEADERS,0),MATCH($A1689,CLASSNAMEHEADERS,0))),(INDEX(ALLCLASSDATA,MATCH("ReflexSaveTrained",CLASSFEATUREHEADERS,0),MATCH(($A1689 &amp; "Points"),CLASSNAMEHEADERS,0))),"")))))))))}</f>
        <v>REFLEXL03</v>
      </c>
      <c r="K1688" s="223"/>
      <c r="L1688" s="223" t="str">
        <f t="array" ref="L1688:L1689">{"REFLEXL05";((IF("05"=(INDEX(ALLCLASSDATA,MATCH("ReflexSaveLegendary",CLASSFEATUREHEADERS,0),MATCH($A1689,CLASSNAMEHEADERS,0))),(INDEX(ALLCLASSDATA,MATCH("ReflexSaveLegendary",CLASSFEATUREHEADERS,0),MATCH(($A1689 &amp; "Points"),CLASSNAMEHEADERS,0))),(IF("05"=(INDEX(ALLCLASSDATA,MATCH("ReflexSaveMaster",CLASSFEATUREHEADERS,0),MATCH($A1689,CLASSNAMEHEADERS,0))),(INDEX(ALLCLASSDATA,MATCH("ReflexSaveMaster",CLASSFEATUREHEADERS,0),MATCH(($A1689 &amp; "Points"),CLASSNAMEHEADERS,0))),(IF("05"=(INDEX(ALLCLASSDATA,MATCH("ReflexSaveExpert",CLASSFEATUREHEADERS,0),MATCH($A1689,CLASSNAMEHEADERS,0))),(INDEX(ALLCLASSDATA,MATCH("ReflexSaveExpert",CLASSFEATUREHEADERS,0),MATCH(($A1689 &amp; "Points"),CLASSNAMEHEADERS,0))),(IF("05"=(INDEX(ALLCLASSDATA,MATCH("ReflexSaveTrained",CLASSFEATUREHEADERS,0),MATCH($A1689,CLASSNAMEHEADERS,0))),(INDEX(ALLCLASSDATA,MATCH("ReflexSaveTrained",CLASSFEATUREHEADERS,0),MATCH(($A1689 &amp; "Points"),CLASSNAMEHEADERS,0))),"")))))))))}</f>
        <v>REFLEXL05</v>
      </c>
      <c r="M1688" s="223"/>
      <c r="N1688" s="223" t="str">
        <f t="array" ref="N1688:N1689">{"REFLEXL07";((IF("07"=(INDEX(ALLCLASSDATA,MATCH("ReflexSaveLegendary",CLASSFEATUREHEADERS,0),MATCH($A1689,CLASSNAMEHEADERS,0))),(INDEX(ALLCLASSDATA,MATCH("ReflexSaveLegendary",CLASSFEATUREHEADERS,0),MATCH(($A1689 &amp; "Points"),CLASSNAMEHEADERS,0))),(IF("07"=(INDEX(ALLCLASSDATA,MATCH("ReflexSaveMaster",CLASSFEATUREHEADERS,0),MATCH($A1689,CLASSNAMEHEADERS,0))),(INDEX(ALLCLASSDATA,MATCH("ReflexSaveMaster",CLASSFEATUREHEADERS,0),MATCH(($A1689 &amp; "Points"),CLASSNAMEHEADERS,0))),(IF("07"=(INDEX(ALLCLASSDATA,MATCH("ReflexSaveExpert",CLASSFEATUREHEADERS,0),MATCH($A1689,CLASSNAMEHEADERS,0))),(INDEX(ALLCLASSDATA,MATCH("ReflexSaveExpert",CLASSFEATUREHEADERS,0),MATCH(($A1689 &amp; "Points"),CLASSNAMEHEADERS,0))),(IF("07"=(INDEX(ALLCLASSDATA,MATCH("ReflexSaveTrained",CLASSFEATUREHEADERS,0),MATCH($A1689,CLASSNAMEHEADERS,0))),(INDEX(ALLCLASSDATA,MATCH("ReflexSaveTrained",CLASSFEATUREHEADERS,0),MATCH(($A1689 &amp; "Points"),CLASSNAMEHEADERS,0))),"")))))))))}</f>
        <v>REFLEXL07</v>
      </c>
      <c r="O1688" s="223"/>
      <c r="P1688" s="223" t="str">
        <f t="array" ref="P1688:P1689">{"REFLEXL09";((IF("09"=(INDEX(ALLCLASSDATA,MATCH("ReflexSaveLegendary",CLASSFEATUREHEADERS,0),MATCH($A1689,CLASSNAMEHEADERS,0))),(INDEX(ALLCLASSDATA,MATCH("ReflexSaveLegendary",CLASSFEATUREHEADERS,0),MATCH(($A1689 &amp; "Points"),CLASSNAMEHEADERS,0))),(IF("09"=(INDEX(ALLCLASSDATA,MATCH("ReflexSaveMaster",CLASSFEATUREHEADERS,0),MATCH($A1689,CLASSNAMEHEADERS,0))),(INDEX(ALLCLASSDATA,MATCH("ReflexSaveMaster",CLASSFEATUREHEADERS,0),MATCH(($A1689 &amp; "Points"),CLASSNAMEHEADERS,0))),(IF("09"=(INDEX(ALLCLASSDATA,MATCH("ReflexSaveExpert",CLASSFEATUREHEADERS,0),MATCH($A1689,CLASSNAMEHEADERS,0))),(INDEX(ALLCLASSDATA,MATCH("ReflexSaveExpert",CLASSFEATUREHEADERS,0),MATCH(($A1689 &amp; "Points"),CLASSNAMEHEADERS,0))),(IF("09"=(INDEX(ALLCLASSDATA,MATCH("ReflexSaveTrained",CLASSFEATUREHEADERS,0),MATCH($A1689,CLASSNAMEHEADERS,0))),(INDEX(ALLCLASSDATA,MATCH("ReflexSaveTrained",CLASSFEATUREHEADERS,0),MATCH(($A1689 &amp; "Points"),CLASSNAMEHEADERS,0))),"")))))))))}</f>
        <v>REFLEXL09</v>
      </c>
      <c r="Q1688" s="223"/>
      <c r="R1688" s="223" t="str">
        <f t="array" ref="R1688:R1689">{"REFLEXL11";((IF("11"=(INDEX(ALLCLASSDATA,MATCH("ReflexSaveLegendary",CLASSFEATUREHEADERS,0),MATCH($A1689,CLASSNAMEHEADERS,0))),(INDEX(ALLCLASSDATA,MATCH("ReflexSaveLegendary",CLASSFEATUREHEADERS,0),MATCH(($A1689 &amp; "Points"),CLASSNAMEHEADERS,0))),(IF("11"=(INDEX(ALLCLASSDATA,MATCH("ReflexSaveMaster",CLASSFEATUREHEADERS,0),MATCH($A1689,CLASSNAMEHEADERS,0))),(INDEX(ALLCLASSDATA,MATCH("ReflexSaveMaster",CLASSFEATUREHEADERS,0),MATCH(($A1689 &amp; "Points"),CLASSNAMEHEADERS,0))),(IF("11"=(INDEX(ALLCLASSDATA,MATCH("ReflexSaveExpert",CLASSFEATUREHEADERS,0),MATCH($A1689,CLASSNAMEHEADERS,0))),(INDEX(ALLCLASSDATA,MATCH("ReflexSaveExpert",CLASSFEATUREHEADERS,0),MATCH(($A1689 &amp; "Points"),CLASSNAMEHEADERS,0))),(IF("11"=(INDEX(ALLCLASSDATA,MATCH("ReflexSaveTrained",CLASSFEATUREHEADERS,0),MATCH($A1689,CLASSNAMEHEADERS,0))),(INDEX(ALLCLASSDATA,MATCH("ReflexSaveTrained",CLASSFEATUREHEADERS,0),MATCH(($A1689 &amp; "Points"),CLASSNAMEHEADERS,0))),"")))))))))}</f>
        <v>REFLEXL11</v>
      </c>
      <c r="S1688" s="223"/>
      <c r="T1688" s="223" t="str">
        <f t="array" ref="T1688:T1689">{"REFLEXL13";((IF("13"=(INDEX(ALLCLASSDATA,MATCH("ReflexSaveLegendary",CLASSFEATUREHEADERS,0),MATCH($A1689,CLASSNAMEHEADERS,0))),(INDEX(ALLCLASSDATA,MATCH("ReflexSaveLegendary",CLASSFEATUREHEADERS,0),MATCH(($A1689 &amp; "Points"),CLASSNAMEHEADERS,0))),(IF("13"=(INDEX(ALLCLASSDATA,MATCH("ReflexSaveMaster",CLASSFEATUREHEADERS,0),MATCH($A1689,CLASSNAMEHEADERS,0))),(INDEX(ALLCLASSDATA,MATCH("ReflexSaveMaster",CLASSFEATUREHEADERS,0),MATCH(($A1689 &amp; "Points"),CLASSNAMEHEADERS,0))),(IF("13"=(INDEX(ALLCLASSDATA,MATCH("ReflexSaveExpert",CLASSFEATUREHEADERS,0),MATCH($A1689,CLASSNAMEHEADERS,0))),(INDEX(ALLCLASSDATA,MATCH("ReflexSaveExpert",CLASSFEATUREHEADERS,0),MATCH(($A1689 &amp; "Points"),CLASSNAMEHEADERS,0))),(IF("13"=(INDEX(ALLCLASSDATA,MATCH("ReflexSaveTrained",CLASSFEATUREHEADERS,0),MATCH($A1689,CLASSNAMEHEADERS,0))),(INDEX(ALLCLASSDATA,MATCH("ReflexSaveTrained",CLASSFEATUREHEADERS,0),MATCH(($A1689 &amp; "Points"),CLASSNAMEHEADERS,0))),"")))))))))}</f>
        <v>REFLEXL13</v>
      </c>
      <c r="U1688" s="223"/>
      <c r="V1688" s="223" t="str">
        <f t="array" ref="V1688:V1689">{"REFLEXL15";((IF("15"=(INDEX(ALLCLASSDATA,MATCH("ReflexSaveLegendary",CLASSFEATUREHEADERS,0),MATCH($A1689,CLASSNAMEHEADERS,0))),(INDEX(ALLCLASSDATA,MATCH("ReflexSaveLegendary",CLASSFEATUREHEADERS,0),MATCH(($A1689 &amp; "Points"),CLASSNAMEHEADERS,0))),(IF("15"=(INDEX(ALLCLASSDATA,MATCH("ReflexSaveMaster",CLASSFEATUREHEADERS,0),MATCH($A1689,CLASSNAMEHEADERS,0))),(INDEX(ALLCLASSDATA,MATCH("ReflexSaveMaster",CLASSFEATUREHEADERS,0),MATCH(($A1689 &amp; "Points"),CLASSNAMEHEADERS,0))),(IF("15"=(INDEX(ALLCLASSDATA,MATCH("ReflexSaveExpert",CLASSFEATUREHEADERS,0),MATCH($A1689,CLASSNAMEHEADERS,0))),(INDEX(ALLCLASSDATA,MATCH("ReflexSaveExpert",CLASSFEATUREHEADERS,0),MATCH(($A1689 &amp; "Points"),CLASSNAMEHEADERS,0))),(IF("15"=(INDEX(ALLCLASSDATA,MATCH("ReflexSaveTrained",CLASSFEATUREHEADERS,0),MATCH($A1689,CLASSNAMEHEADERS,0))),(INDEX(ALLCLASSDATA,MATCH("ReflexSaveTrained",CLASSFEATUREHEADERS,0),MATCH(($A1689 &amp; "Points"),CLASSNAMEHEADERS,0))),"")))))))))}</f>
        <v>REFLEXL15</v>
      </c>
      <c r="W1688" s="223"/>
      <c r="X1688" s="223" t="str">
        <f t="array" ref="X1688:X1689">{"REFLEXL17";((IF("17"=(INDEX(ALLCLASSDATA,MATCH("ReflexSaveLegendary",CLASSFEATUREHEADERS,0),MATCH($A1689,CLASSNAMEHEADERS,0))),(INDEX(ALLCLASSDATA,MATCH("ReflexSaveLegendary",CLASSFEATUREHEADERS,0),MATCH(($A1689 &amp; "Points"),CLASSNAMEHEADERS,0))),(IF("17"=(INDEX(ALLCLASSDATA,MATCH("ReflexSaveMaster",CLASSFEATUREHEADERS,0),MATCH($A1689,CLASSNAMEHEADERS,0))),(INDEX(ALLCLASSDATA,MATCH("ReflexSaveMaster",CLASSFEATUREHEADERS,0),MATCH(($A1689 &amp; "Points"),CLASSNAMEHEADERS,0))),(IF("17"=(INDEX(ALLCLASSDATA,MATCH("ReflexSaveExpert",CLASSFEATUREHEADERS,0),MATCH($A1689,CLASSNAMEHEADERS,0))),(INDEX(ALLCLASSDATA,MATCH("ReflexSaveExpert",CLASSFEATUREHEADERS,0),MATCH(($A1689 &amp; "Points"),CLASSNAMEHEADERS,0))),(IF("17"=(INDEX(ALLCLASSDATA,MATCH("ReflexSaveTrained",CLASSFEATUREHEADERS,0),MATCH($A1689,CLASSNAMEHEADERS,0))),(INDEX(ALLCLASSDATA,MATCH("ReflexSaveTrained",CLASSFEATUREHEADERS,0),MATCH(($A1689 &amp; "Points"),CLASSNAMEHEADERS,0))),"")))))))))}</f>
        <v>REFLEXL17</v>
      </c>
      <c r="Y1688" s="223"/>
      <c r="Z1688" s="223" t="str">
        <f t="array" ref="Z1688:Z1689">{"REFLEXL19";((IF("19"=(INDEX(ALLCLASSDATA,MATCH("ReflexSaveLegendary",CLASSFEATUREHEADERS,0),MATCH($A1689,CLASSNAMEHEADERS,0))),(INDEX(ALLCLASSDATA,MATCH("ReflexSaveLegendary",CLASSFEATUREHEADERS,0),MATCH(($A1689 &amp; "Points"),CLASSNAMEHEADERS,0))),(IF("19"=(INDEX(ALLCLASSDATA,MATCH("ReflexSaveMaster",CLASSFEATUREHEADERS,0),MATCH($A1689,CLASSNAMEHEADERS,0))),(INDEX(ALLCLASSDATA,MATCH("ReflexSaveMaster",CLASSFEATUREHEADERS,0),MATCH(($A1689 &amp; "Points"),CLASSNAMEHEADERS,0))),(IF("19"=(INDEX(ALLCLASSDATA,MATCH("ReflexSaveExpert",CLASSFEATUREHEADERS,0),MATCH($A1689,CLASSNAMEHEADERS,0))),(INDEX(ALLCLASSDATA,MATCH("ReflexSaveExpert",CLASSFEATUREHEADERS,0),MATCH(($A1689 &amp; "Points"),CLASSNAMEHEADERS,0))),(IF("19"=(INDEX(ALLCLASSDATA,MATCH("ReflexSaveTrained",CLASSFEATUREHEADERS,0),MATCH($A1689,CLASSNAMEHEADERS,0))),(INDEX(ALLCLASSDATA,MATCH("ReflexSaveTrained",CLASSFEATUREHEADERS,0),MATCH(($A1689 &amp; "Points"),CLASSNAMEHEADERS,0))),"")))))))))}</f>
        <v>REFLEXL19</v>
      </c>
      <c r="AA1688" s="223"/>
      <c r="AB1688" s="76" t="str">
        <f t="array" ref="AB1688:AB1689">{"REFLEX TOTAL";(IF(COUNTBLANK(G1689:AA1689)=17,"L",(IF(COUNTBLANK(G1689:AA1689)=18,"M",(IF(COUNTBLANK(G1689:AA1689)=19,"E",(IF(COUNTBLANK(G1689:AA1689)=20,"T",""))))))))}</f>
        <v>REFLEX TOTAL</v>
      </c>
      <c r="AC1688" s="76" t="str">
        <f t="array" ref="AC1688:AC1689">{"REFLEX TOTAL";(sum(G1689:AA1689))}</f>
        <v>REFLEX TOTAL</v>
      </c>
    </row>
    <row r="1689">
      <c r="A1689" s="48" t="s">
        <v>225</v>
      </c>
      <c r="B1689" s="48"/>
      <c r="C1689" s="48" t="s">
        <v>418</v>
      </c>
      <c r="D1689" s="48" t="s">
        <v>1549</v>
      </c>
      <c r="E1689" s="48" t="s">
        <v>1572</v>
      </c>
      <c r="F1689" s="5" t="s">
        <v>435</v>
      </c>
      <c r="G1689" s="47" t="s">
        <v>603</v>
      </c>
      <c r="H1689" s="5">
        <v>10.0</v>
      </c>
      <c r="I1689" s="5"/>
      <c r="J1689" s="5" t="s">
        <v>603</v>
      </c>
      <c r="K1689" s="5"/>
      <c r="L1689" s="5">
        <v>50.0</v>
      </c>
      <c r="M1689" s="5"/>
      <c r="N1689" s="5" t="s">
        <v>603</v>
      </c>
      <c r="O1689" s="5"/>
      <c r="P1689" s="5" t="s">
        <v>603</v>
      </c>
      <c r="Q1689" s="5"/>
      <c r="R1689" s="5" t="s">
        <v>603</v>
      </c>
      <c r="S1689" s="5"/>
      <c r="T1689" s="5" t="s">
        <v>603</v>
      </c>
      <c r="U1689" s="5"/>
      <c r="V1689" s="5" t="s">
        <v>603</v>
      </c>
      <c r="W1689" s="5"/>
      <c r="X1689" s="5" t="s">
        <v>603</v>
      </c>
      <c r="Y1689" s="5"/>
      <c r="Z1689" s="5" t="s">
        <v>603</v>
      </c>
      <c r="AA1689" s="5"/>
      <c r="AB1689" s="5" t="s">
        <v>436</v>
      </c>
      <c r="AC1689" s="47">
        <v>60.0</v>
      </c>
    </row>
    <row r="1690" hidden="1">
      <c r="A1690" s="222" t="str">
        <f t="array" ref="A1690:A1691">{"FormulaRow25";(INDEX(CLASSLIST,A1641,1))}</f>
        <v>FormulaRow25</v>
      </c>
      <c r="B1690" s="77" t="s">
        <v>236</v>
      </c>
      <c r="C1690" s="222" t="str">
        <f t="array" ref="C1690:C1691">{"CLASSTYPE";((INDEX(ALLCLASSDATA,MATCH("ClassType",CLASSFEATUREHEADERS,0),MATCH($A1691,CLASSNAMEHEADERS,0))))}</f>
        <v>CLASSTYPE</v>
      </c>
      <c r="D1690" s="222" t="str">
        <f t="array" ref="D1690:D1691">{"SAVES";"Saves"}</f>
        <v>SAVES</v>
      </c>
      <c r="E1690" s="222" t="str">
        <f t="array" ref="E1690:E1691">{"WILLSAVE";"WillSave"}</f>
        <v>WILLSAVE</v>
      </c>
      <c r="F1690" s="223" t="str">
        <f t="array" ref="F1690:F1691">{"WILLINITIAL";((IF(H1691=10,"T",(IF(H1691=50,"E","")))))}</f>
        <v>WILLINITIAL</v>
      </c>
      <c r="G1690" s="223" t="str">
        <f t="array" ref="G1690:G1691">{"WILLINITIALPTS";((IF("00"=(INDEX(ALLCLASSDATA,MATCH("WillSaveLegendary",CLASSFEATUREHEADERS,0),MATCH($A1691,CLASSNAMEHEADERS,0))),(INDEX(ALLCLASSDATA,MATCH("WillSaveLegendary",CLASSFEATUREHEADERS,0),MATCH(($A1691 &amp; "Points"),CLASSNAMEHEADERS,0))),(IF("00"=(INDEX(ALLCLASSDATA,MATCH("WillSaveMaster",CLASSFEATUREHEADERS,0),MATCH($A1691,CLASSNAMEHEADERS,0))),(INDEX(ALLCLASSDATA,MATCH("WillSaveMaster",CLASSFEATUREHEADERS,0),MATCH(($A1691 &amp; "Points"),CLASSNAMEHEADERS,0))),(IF("00"=(INDEX(ALLCLASSDATA,MATCH("WillSaveExpert",CLASSFEATUREHEADERS,0),MATCH($A1691,CLASSNAMEHEADERS,0))),(INDEX(ALLCLASSDATA,MATCH("WillSaveExpert",CLASSFEATUREHEADERS,0),MATCH(($A1691 &amp; "Points"),CLASSNAMEHEADERS,0))),(IF("00"=(INDEX(ALLCLASSDATA,MATCH("WillSaveTrained",CLASSFEATUREHEADERS,0),MATCH($A1691,CLASSNAMEHEADERS,0))),(INDEX(ALLCLASSDATA,MATCH("WillSaveTrained",CLASSFEATUREHEADERS,0),MATCH(($A1691 &amp; "Points"),CLASSNAMEHEADERS,0))),"")))))))))}</f>
        <v>WILLINITIALPTS</v>
      </c>
      <c r="H1690" s="223" t="str">
        <f t="array" ref="H1690:H1691">{"WILLL01";((IF("01"=(INDEX(ALLCLASSDATA,MATCH("WillSaveLegendary",CLASSFEATUREHEADERS,0),MATCH($A1691,CLASSNAMEHEADERS,0))),(INDEX(ALLCLASSDATA,MATCH("WillSaveLegendary",CLASSFEATUREHEADERS,0),MATCH(($A1691 &amp; "Points"),CLASSNAMEHEADERS,0))),(IF("01"=(INDEX(ALLCLASSDATA,MATCH("WillSaveMaster",CLASSFEATUREHEADERS,0),MATCH($A1691,CLASSNAMEHEADERS,0))),(INDEX(ALLCLASSDATA,MATCH("WillSaveMaster",CLASSFEATUREHEADERS,0),MATCH(($A1691 &amp; "Points"),CLASSNAMEHEADERS,0))),(IF("01"=(INDEX(ALLCLASSDATA,MATCH("WillSaveExpert",CLASSFEATUREHEADERS,0),MATCH($A1691,CLASSNAMEHEADERS,0))),(INDEX(ALLCLASSDATA,MATCH("WillSaveExpert",CLASSFEATUREHEADERS,0),MATCH(($A1691 &amp; "Points"),CLASSNAMEHEADERS,0))),(IF("01"=(INDEX(ALLCLASSDATA,MATCH("WillSaveTrained",CLASSFEATUREHEADERS,0),MATCH($A1691,CLASSNAMEHEADERS,0))),(INDEX(ALLCLASSDATA,MATCH("WillSaveTrained",CLASSFEATUREHEADERS,0),MATCH(($A1691 &amp; "Points"),CLASSNAMEHEADERS,0))),"")))))))))}</f>
        <v>WILLL01</v>
      </c>
      <c r="I1690" s="223"/>
      <c r="J1690" s="223" t="str">
        <f t="array" ref="J1690:J1691">{"WILLL03";((IF("03"=(INDEX(ALLCLASSDATA,MATCH("WillSaveLegendary",CLASSFEATUREHEADERS,0),MATCH($A1691,CLASSNAMEHEADERS,0))),(INDEX(ALLCLASSDATA,MATCH("WillSaveLegendary",CLASSFEATUREHEADERS,0),MATCH(($A1691 &amp; "Points"),CLASSNAMEHEADERS,0))),(IF("03"=(INDEX(ALLCLASSDATA,MATCH("WillSaveMaster",CLASSFEATUREHEADERS,0),MATCH($A1691,CLASSNAMEHEADERS,0))),(INDEX(ALLCLASSDATA,MATCH("WillSaveMaster",CLASSFEATUREHEADERS,0),MATCH(($A1691 &amp; "Points"),CLASSNAMEHEADERS,0))),(IF("03"=(INDEX(ALLCLASSDATA,MATCH("WillSaveExpert",CLASSFEATUREHEADERS,0),MATCH($A1691,CLASSNAMEHEADERS,0))),(INDEX(ALLCLASSDATA,MATCH("WillSaveExpert",CLASSFEATUREHEADERS,0),MATCH(($A1691 &amp; "Points"),CLASSNAMEHEADERS,0))),(IF("03"=(INDEX(ALLCLASSDATA,MATCH("WillSaveTrained",CLASSFEATUREHEADERS,0),MATCH($A1691,CLASSNAMEHEADERS,0))),(INDEX(ALLCLASSDATA,MATCH("WillSaveTrained",CLASSFEATUREHEADERS,0),MATCH(($A1691 &amp; "Points"),CLASSNAMEHEADERS,0))),"")))))))))}</f>
        <v>WILLL03</v>
      </c>
      <c r="K1690" s="223"/>
      <c r="L1690" s="223" t="str">
        <f t="array" ref="L1690:L1691">{"WILLL05";((IF("05"=(INDEX(ALLCLASSDATA,MATCH("WillSaveLegendary",CLASSFEATUREHEADERS,0),MATCH($A1691,CLASSNAMEHEADERS,0))),(INDEX(ALLCLASSDATA,MATCH("WillSaveLegendary",CLASSFEATUREHEADERS,0),MATCH(($A1691 &amp; "Points"),CLASSNAMEHEADERS,0))),(IF("05"=(INDEX(ALLCLASSDATA,MATCH("WillSaveMaster",CLASSFEATUREHEADERS,0),MATCH($A1691,CLASSNAMEHEADERS,0))),(INDEX(ALLCLASSDATA,MATCH("WillSaveMaster",CLASSFEATUREHEADERS,0),MATCH(($A1691 &amp; "Points"),CLASSNAMEHEADERS,0))),(IF("05"=(INDEX(ALLCLASSDATA,MATCH("WillSaveExpert",CLASSFEATUREHEADERS,0),MATCH($A1691,CLASSNAMEHEADERS,0))),(INDEX(ALLCLASSDATA,MATCH("WillSaveExpert",CLASSFEATUREHEADERS,0),MATCH(($A1691 &amp; "Points"),CLASSNAMEHEADERS,0))),(IF("05"=(INDEX(ALLCLASSDATA,MATCH("WillSaveTrained",CLASSFEATUREHEADERS,0),MATCH($A1691,CLASSNAMEHEADERS,0))),(INDEX(ALLCLASSDATA,MATCH("WillSaveTrained",CLASSFEATUREHEADERS,0),MATCH(($A1691 &amp; "Points"),CLASSNAMEHEADERS,0))),"")))))))))}</f>
        <v>WILLL05</v>
      </c>
      <c r="M1690" s="223"/>
      <c r="N1690" s="223" t="str">
        <f t="array" ref="N1690:N1691">{"WILLL07";((IF("07"=(INDEX(ALLCLASSDATA,MATCH("WillSaveLegendary",CLASSFEATUREHEADERS,0),MATCH($A1691,CLASSNAMEHEADERS,0))),(INDEX(ALLCLASSDATA,MATCH("WillSaveLegendary",CLASSFEATUREHEADERS,0),MATCH(($A1691 &amp; "Points"),CLASSNAMEHEADERS,0))),(IF("07"=(INDEX(ALLCLASSDATA,MATCH("WillSaveMaster",CLASSFEATUREHEADERS,0),MATCH($A1691,CLASSNAMEHEADERS,0))),(INDEX(ALLCLASSDATA,MATCH("WillSaveMaster",CLASSFEATUREHEADERS,0),MATCH(($A1691 &amp; "Points"),CLASSNAMEHEADERS,0))),(IF("07"=(INDEX(ALLCLASSDATA,MATCH("WillSaveExpert",CLASSFEATUREHEADERS,0),MATCH($A1691,CLASSNAMEHEADERS,0))),(INDEX(ALLCLASSDATA,MATCH("WillSaveExpert",CLASSFEATUREHEADERS,0),MATCH(($A1691 &amp; "Points"),CLASSNAMEHEADERS,0))),(IF("07"=(INDEX(ALLCLASSDATA,MATCH("WillSaveTrained",CLASSFEATUREHEADERS,0),MATCH($A1691,CLASSNAMEHEADERS,0))),(INDEX(ALLCLASSDATA,MATCH("WillSaveTrained",CLASSFEATUREHEADERS,0),MATCH(($A1691 &amp; "Points"),CLASSNAMEHEADERS,0))),"")))))))))}</f>
        <v>WILLL07</v>
      </c>
      <c r="O1690" s="223"/>
      <c r="P1690" s="223" t="str">
        <f t="array" ref="P1690:P1691">{"WILLL09";((IF("09"=(INDEX(ALLCLASSDATA,MATCH("WillSaveLegendary",CLASSFEATUREHEADERS,0),MATCH($A1691,CLASSNAMEHEADERS,0))),(INDEX(ALLCLASSDATA,MATCH("WillSaveLegendary",CLASSFEATUREHEADERS,0),MATCH(($A1691 &amp; "Points"),CLASSNAMEHEADERS,0))),(IF("09"=(INDEX(ALLCLASSDATA,MATCH("WillSaveMaster",CLASSFEATUREHEADERS,0),MATCH($A1691,CLASSNAMEHEADERS,0))),(INDEX(ALLCLASSDATA,MATCH("WillSaveMaster",CLASSFEATUREHEADERS,0),MATCH(($A1691 &amp; "Points"),CLASSNAMEHEADERS,0))),(IF("09"=(INDEX(ALLCLASSDATA,MATCH("WillSaveExpert",CLASSFEATUREHEADERS,0),MATCH($A1691,CLASSNAMEHEADERS,0))),(INDEX(ALLCLASSDATA,MATCH("WillSaveExpert",CLASSFEATUREHEADERS,0),MATCH(($A1691 &amp; "Points"),CLASSNAMEHEADERS,0))),(IF("09"=(INDEX(ALLCLASSDATA,MATCH("WillSaveTrained",CLASSFEATUREHEADERS,0),MATCH($A1691,CLASSNAMEHEADERS,0))),(INDEX(ALLCLASSDATA,MATCH("WillSaveTrained",CLASSFEATUREHEADERS,0),MATCH(($A1691 &amp; "Points"),CLASSNAMEHEADERS,0))),"")))))))))}</f>
        <v>WILLL09</v>
      </c>
      <c r="Q1690" s="223"/>
      <c r="R1690" s="223" t="str">
        <f t="array" ref="R1690:R1691">{"WILLL11";((IF("11"=(INDEX(ALLCLASSDATA,MATCH("WillSaveLegendary",CLASSFEATUREHEADERS,0),MATCH($A1691,CLASSNAMEHEADERS,0))),(INDEX(ALLCLASSDATA,MATCH("WillSaveLegendary",CLASSFEATUREHEADERS,0),MATCH(($A1691 &amp; "Points"),CLASSNAMEHEADERS,0))),(IF("11"=(INDEX(ALLCLASSDATA,MATCH("WillSaveMaster",CLASSFEATUREHEADERS,0),MATCH($A1691,CLASSNAMEHEADERS,0))),(INDEX(ALLCLASSDATA,MATCH("WillSaveMaster",CLASSFEATUREHEADERS,0),MATCH(($A1691 &amp; "Points"),CLASSNAMEHEADERS,0))),(IF("11"=(INDEX(ALLCLASSDATA,MATCH("WillSaveExpert",CLASSFEATUREHEADERS,0),MATCH($A1691,CLASSNAMEHEADERS,0))),(INDEX(ALLCLASSDATA,MATCH("WillSaveExpert",CLASSFEATUREHEADERS,0),MATCH(($A1691 &amp; "Points"),CLASSNAMEHEADERS,0))),(IF("11"=(INDEX(ALLCLASSDATA,MATCH("WillSaveTrained",CLASSFEATUREHEADERS,0),MATCH($A1691,CLASSNAMEHEADERS,0))),(INDEX(ALLCLASSDATA,MATCH("WillSaveTrained",CLASSFEATUREHEADERS,0),MATCH(($A1691 &amp; "Points"),CLASSNAMEHEADERS,0))),"")))))))))}</f>
        <v>WILLL11</v>
      </c>
      <c r="S1690" s="223"/>
      <c r="T1690" s="223" t="str">
        <f t="array" ref="T1690:T1691">{"WILLL13";((IF("13"=(INDEX(ALLCLASSDATA,MATCH("WillSaveLegendary",CLASSFEATUREHEADERS,0),MATCH($A1691,CLASSNAMEHEADERS,0))),(INDEX(ALLCLASSDATA,MATCH("WillSaveLegendary",CLASSFEATUREHEADERS,0),MATCH(($A1691 &amp; "Points"),CLASSNAMEHEADERS,0))),(IF("13"=(INDEX(ALLCLASSDATA,MATCH("WillSaveMaster",CLASSFEATUREHEADERS,0),MATCH($A1691,CLASSNAMEHEADERS,0))),(INDEX(ALLCLASSDATA,MATCH("WillSaveMaster",CLASSFEATUREHEADERS,0),MATCH(($A1691 &amp; "Points"),CLASSNAMEHEADERS,0))),(IF("13"=(INDEX(ALLCLASSDATA,MATCH("WillSaveExpert",CLASSFEATUREHEADERS,0),MATCH($A1691,CLASSNAMEHEADERS,0))),(INDEX(ALLCLASSDATA,MATCH("WillSaveExpert",CLASSFEATUREHEADERS,0),MATCH(($A1691 &amp; "Points"),CLASSNAMEHEADERS,0))),(IF("13"=(INDEX(ALLCLASSDATA,MATCH("WillSaveTrained",CLASSFEATUREHEADERS,0),MATCH($A1691,CLASSNAMEHEADERS,0))),(INDEX(ALLCLASSDATA,MATCH("WillSaveTrained",CLASSFEATUREHEADERS,0),MATCH(($A1691 &amp; "Points"),CLASSNAMEHEADERS,0))),"")))))))))}</f>
        <v>WILLL13</v>
      </c>
      <c r="U1690" s="223"/>
      <c r="V1690" s="223" t="str">
        <f t="array" ref="V1690:V1691">{"WILLL15";((IF("15"=(INDEX(ALLCLASSDATA,MATCH("WillSaveLegendary",CLASSFEATUREHEADERS,0),MATCH($A1691,CLASSNAMEHEADERS,0))),(INDEX(ALLCLASSDATA,MATCH("WillSaveLegendary",CLASSFEATUREHEADERS,0),MATCH(($A1691 &amp; "Points"),CLASSNAMEHEADERS,0))),(IF("15"=(INDEX(ALLCLASSDATA,MATCH("WillSaveMaster",CLASSFEATUREHEADERS,0),MATCH($A1691,CLASSNAMEHEADERS,0))),(INDEX(ALLCLASSDATA,MATCH("WillSaveMaster",CLASSFEATUREHEADERS,0),MATCH(($A1691 &amp; "Points"),CLASSNAMEHEADERS,0))),(IF("15"=(INDEX(ALLCLASSDATA,MATCH("WillSaveExpert",CLASSFEATUREHEADERS,0),MATCH($A1691,CLASSNAMEHEADERS,0))),(INDEX(ALLCLASSDATA,MATCH("WillSaveExpert",CLASSFEATUREHEADERS,0),MATCH(($A1691 &amp; "Points"),CLASSNAMEHEADERS,0))),(IF("15"=(INDEX(ALLCLASSDATA,MATCH("WillSaveTrained",CLASSFEATUREHEADERS,0),MATCH($A1691,CLASSNAMEHEADERS,0))),(INDEX(ALLCLASSDATA,MATCH("WillSaveTrained",CLASSFEATUREHEADERS,0),MATCH(($A1691 &amp; "Points"),CLASSNAMEHEADERS,0))),"")))))))))}</f>
        <v>WILLL15</v>
      </c>
      <c r="W1690" s="223"/>
      <c r="X1690" s="223" t="str">
        <f t="array" ref="X1690:X1691">{"WILLL17";((IF("17"=(INDEX(ALLCLASSDATA,MATCH("WillSaveLegendary",CLASSFEATUREHEADERS,0),MATCH($A1691,CLASSNAMEHEADERS,0))),(INDEX(ALLCLASSDATA,MATCH("WillSaveLegendary",CLASSFEATUREHEADERS,0),MATCH(($A1691 &amp; "Points"),CLASSNAMEHEADERS,0))),(IF("17"=(INDEX(ALLCLASSDATA,MATCH("WillSaveMaster",CLASSFEATUREHEADERS,0),MATCH($A1691,CLASSNAMEHEADERS,0))),(INDEX(ALLCLASSDATA,MATCH("WillSaveMaster",CLASSFEATUREHEADERS,0),MATCH(($A1691 &amp; "Points"),CLASSNAMEHEADERS,0))),(IF("17"=(INDEX(ALLCLASSDATA,MATCH("WillSaveExpert",CLASSFEATUREHEADERS,0),MATCH($A1691,CLASSNAMEHEADERS,0))),(INDEX(ALLCLASSDATA,MATCH("WillSaveExpert",CLASSFEATUREHEADERS,0),MATCH(($A1691 &amp; "Points"),CLASSNAMEHEADERS,0))),(IF("17"=(INDEX(ALLCLASSDATA,MATCH("WillSaveTrained",CLASSFEATUREHEADERS,0),MATCH($A1691,CLASSNAMEHEADERS,0))),(INDEX(ALLCLASSDATA,MATCH("WillSaveTrained",CLASSFEATUREHEADERS,0),MATCH(($A1691 &amp; "Points"),CLASSNAMEHEADERS,0))),"")))))))))}</f>
        <v>WILLL17</v>
      </c>
      <c r="Y1690" s="223"/>
      <c r="Z1690" s="223" t="str">
        <f t="array" ref="Z1690:Z1691">{"WILLL19";((IF("19"=(INDEX(ALLCLASSDATA,MATCH("WillSaveLegendary",CLASSFEATUREHEADERS,0),MATCH($A1691,CLASSNAMEHEADERS,0))),(INDEX(ALLCLASSDATA,MATCH("WillSaveLegendary",CLASSFEATUREHEADERS,0),MATCH(($A1691 &amp; "Points"),CLASSNAMEHEADERS,0))),(IF("19"=(INDEX(ALLCLASSDATA,MATCH("WillSaveMaster",CLASSFEATUREHEADERS,0),MATCH($A1691,CLASSNAMEHEADERS,0))),(INDEX(ALLCLASSDATA,MATCH("WillSaveMaster",CLASSFEATUREHEADERS,0),MATCH(($A1691 &amp; "Points"),CLASSNAMEHEADERS,0))),(IF("19"=(INDEX(ALLCLASSDATA,MATCH("WillSaveExpert",CLASSFEATUREHEADERS,0),MATCH($A1691,CLASSNAMEHEADERS,0))),(INDEX(ALLCLASSDATA,MATCH("WillSaveExpert",CLASSFEATUREHEADERS,0),MATCH(($A1691 &amp; "Points"),CLASSNAMEHEADERS,0))),(IF("19"=(INDEX(ALLCLASSDATA,MATCH("WillSaveTrained",CLASSFEATUREHEADERS,0),MATCH($A1691,CLASSNAMEHEADERS,0))),(INDEX(ALLCLASSDATA,MATCH("WillSaveTrained",CLASSFEATUREHEADERS,0),MATCH(($A1691 &amp; "Points"),CLASSNAMEHEADERS,0))),"")))))))))}</f>
        <v>WILLL19</v>
      </c>
      <c r="AA1690" s="223"/>
      <c r="AB1690" s="76" t="str">
        <f t="array" ref="AB1690:AB1691">{"WILL TOTAL";(IF(COUNTBLANK(G1691:AA1691)=17,"L",(IF(COUNTBLANK(G1691:AA1691)=18,"M",(IF(COUNTBLANK(G1691:AA1691)=19,"E",(IF(COUNTBLANK(G1691:AA1691)=20,"T",""))))))))}</f>
        <v>WILL TOTAL</v>
      </c>
      <c r="AC1690" s="76" t="str">
        <f t="array" ref="AC1690:AC1691">{"WILL TOTAL";(sum(G1691:AA1691))}</f>
        <v>WILL TOTAL</v>
      </c>
    </row>
    <row r="1691">
      <c r="A1691" s="48" t="s">
        <v>225</v>
      </c>
      <c r="B1691" s="48"/>
      <c r="C1691" s="48" t="s">
        <v>418</v>
      </c>
      <c r="D1691" s="97" t="s">
        <v>1549</v>
      </c>
      <c r="E1691" s="97" t="s">
        <v>1591</v>
      </c>
      <c r="F1691" s="98" t="s">
        <v>436</v>
      </c>
      <c r="G1691" s="132">
        <v>10.0</v>
      </c>
      <c r="H1691" s="98">
        <v>50.0</v>
      </c>
      <c r="I1691" s="98"/>
      <c r="J1691" s="98" t="s">
        <v>603</v>
      </c>
      <c r="K1691" s="98"/>
      <c r="L1691" s="98" t="s">
        <v>603</v>
      </c>
      <c r="M1691" s="97"/>
      <c r="N1691" s="98" t="s">
        <v>603</v>
      </c>
      <c r="O1691" s="98"/>
      <c r="P1691" s="98" t="s">
        <v>603</v>
      </c>
      <c r="Q1691" s="97"/>
      <c r="R1691" s="98">
        <v>110.0</v>
      </c>
      <c r="S1691" s="98"/>
      <c r="T1691" s="98" t="s">
        <v>603</v>
      </c>
      <c r="U1691" s="98"/>
      <c r="V1691" s="98" t="s">
        <v>603</v>
      </c>
      <c r="W1691" s="98"/>
      <c r="X1691" s="98" t="s">
        <v>603</v>
      </c>
      <c r="Y1691" s="98"/>
      <c r="Z1691" s="98" t="s">
        <v>603</v>
      </c>
      <c r="AA1691" s="98"/>
      <c r="AB1691" s="5" t="s">
        <v>437</v>
      </c>
      <c r="AC1691" s="47">
        <v>170.0</v>
      </c>
    </row>
    <row r="1692" hidden="1">
      <c r="A1692" s="222" t="str">
        <f t="array" ref="A1692:A1693">{"FormulaRow26";(INDEX(CLASSLIST,A1641,1))}</f>
        <v>FormulaRow26</v>
      </c>
      <c r="B1692" s="77" t="s">
        <v>236</v>
      </c>
      <c r="C1692" s="222" t="str">
        <f t="array" ref="C1692:C1693">{"CLASSTYPE";((INDEX(ALLCLASSDATA,MATCH("ClassType",CLASSFEATUREHEADERS,0),MATCH($A1693,CLASSNAMEHEADERS,0))))}</f>
        <v>CLASSTYPE</v>
      </c>
      <c r="D1692" s="228" t="str">
        <f t="array" ref="D1692:D1693">{"ATTACK";"Attack"}</f>
        <v>ATTACK</v>
      </c>
      <c r="E1692" s="228" t="str">
        <f t="array" ref="E1692:E1693">{"WEAPONSPECIAL";"WeaponCS/WS/GWS"}</f>
        <v>WEAPONSPECIAL</v>
      </c>
      <c r="F1692" s="230"/>
      <c r="G1692" s="230"/>
      <c r="H1692" s="230" t="str">
        <f t="array" ref="H1692:H1693">{"WEAPONSPECIALL01";((IF("01"=INDEX(ALLCLASSDATA,MATCH("WeaponGreaterSpecialization",CLASSFEATUREHEADERS,0),MATCH($A1693,CLASSNAMEHEADERS,0)),WeaponGWS,(IF("01"=INDEX(ALLCLASSDATA,MATCH("WeaponSpecialization",CLASSFEATUREHEADERS,0),MATCH($A1693,CLASSNAMEHEADERS,0)),WeaponWS,(IF("01"=INDEX(ALLCLASSDATA,MATCH("WeaponCriticalSpecialization",CLASSFEATUREHEADERS,0),MATCH($A1693,CLASSNAMEHEADERS,0)),WeaponCS,"")))))))}</f>
        <v>WEAPONSPECIALL01</v>
      </c>
      <c r="I1692" s="230"/>
      <c r="J1692" s="230" t="str">
        <f t="array" ref="J1692:J1693">{"WEAPONSPECIALL03";((IF("03"=INDEX(ALLCLASSDATA,MATCH("WeaponGreaterSpecialization",CLASSFEATUREHEADERS,0),MATCH($A1693,CLASSNAMEHEADERS,0)),WeaponGWS,(IF("03"=INDEX(ALLCLASSDATA,MATCH("WeaponSpecialization",CLASSFEATUREHEADERS,0),MATCH($A1693,CLASSNAMEHEADERS,0)),WeaponWS,(IF("03"=INDEX(ALLCLASSDATA,MATCH("WeaponCriticalSpecialization",CLASSFEATUREHEADERS,0),MATCH($A1693,CLASSNAMEHEADERS,0)),WeaponCS,"")))))))}</f>
        <v>WEAPONSPECIALL03</v>
      </c>
      <c r="K1692" s="230"/>
      <c r="L1692" s="230" t="str">
        <f t="array" ref="L1692:L1693">{"WEAPONSPECIALL05";((IF("05"=INDEX(ALLCLASSDATA,MATCH("WeaponGreaterSpecialization",CLASSFEATUREHEADERS,0),MATCH($A1693,CLASSNAMEHEADERS,0)),WeaponGWS,(IF("05"=INDEX(ALLCLASSDATA,MATCH("WeaponSpecialization",CLASSFEATUREHEADERS,0),MATCH($A1693,CLASSNAMEHEADERS,0)),WeaponWS,(IF("05"=INDEX(ALLCLASSDATA,MATCH("WeaponCriticalSpecialization",CLASSFEATUREHEADERS,0),MATCH($A1693,CLASSNAMEHEADERS,0)),WeaponCS,"")))))))}</f>
        <v>WEAPONSPECIALL05</v>
      </c>
      <c r="M1692" s="230"/>
      <c r="N1692" s="230" t="str">
        <f t="array" ref="N1692:N1693">{"WEAPONSPECIALL07";((IF("07"=INDEX(ALLCLASSDATA,MATCH("WeaponGreaterSpecialization",CLASSFEATUREHEADERS,0),MATCH($A1693,CLASSNAMEHEADERS,0)),WeaponGWS,(IF("07"=INDEX(ALLCLASSDATA,MATCH("WeaponSpecialization",CLASSFEATUREHEADERS,0),MATCH($A1693,CLASSNAMEHEADERS,0)),WeaponWS,(IF("07"=INDEX(ALLCLASSDATA,MATCH("WeaponCriticalSpecialization",CLASSFEATUREHEADERS,0),MATCH($A1693,CLASSNAMEHEADERS,0)),WeaponCS,"")))))))}</f>
        <v>WEAPONSPECIALL07</v>
      </c>
      <c r="O1692" s="230"/>
      <c r="P1692" s="230" t="str">
        <f t="array" ref="P1692:P1693">{"WEAPONSPECIALL09";((IF("09"=INDEX(ALLCLASSDATA,MATCH("WeaponGreaterSpecialization",CLASSFEATUREHEADERS,0),MATCH($A1693,CLASSNAMEHEADERS,0)),WeaponGWS,(IF("09"=INDEX(ALLCLASSDATA,MATCH("WeaponSpecialization",CLASSFEATUREHEADERS,0),MATCH($A1693,CLASSNAMEHEADERS,0)),WeaponWS,(IF("09"=INDEX(ALLCLASSDATA,MATCH("WeaponCriticalSpecialization",CLASSFEATUREHEADERS,0),MATCH($A1693,CLASSNAMEHEADERS,0)),WeaponCS,"")))))))}</f>
        <v>WEAPONSPECIALL09</v>
      </c>
      <c r="Q1692" s="230"/>
      <c r="R1692" s="230" t="str">
        <f t="array" ref="R1692:R1693">{"WEAPONSPECIALL11";((IF("11"=INDEX(ALLCLASSDATA,MATCH("WeaponGreaterSpecialization",CLASSFEATUREHEADERS,0),MATCH($A1693,CLASSNAMEHEADERS,0)),WeaponGWS,(IF("11"=INDEX(ALLCLASSDATA,MATCH("WeaponSpecialization",CLASSFEATUREHEADERS,0),MATCH($A1693,CLASSNAMEHEADERS,0)),WeaponWS,(IF("11"=INDEX(ALLCLASSDATA,MATCH("WeaponCriticalSpecialization",CLASSFEATUREHEADERS,0),MATCH($A1693,CLASSNAMEHEADERS,0)),WeaponCS,"")))))))}</f>
        <v>WEAPONSPECIALL11</v>
      </c>
      <c r="S1692" s="230"/>
      <c r="T1692" s="230" t="str">
        <f t="array" ref="T1692:T1693">{"WEAPONSPECIALL13";((IF("13"=INDEX(ALLCLASSDATA,MATCH("WeaponGreaterSpecialization",CLASSFEATUREHEADERS,0),MATCH($A1693,CLASSNAMEHEADERS,0)),WeaponGWS,(IF("13"=INDEX(ALLCLASSDATA,MATCH("WeaponSpecialization",CLASSFEATUREHEADERS,0),MATCH($A1693,CLASSNAMEHEADERS,0)),WeaponWS,(IF("13"=INDEX(ALLCLASSDATA,MATCH("WeaponCriticalSpecialization",CLASSFEATUREHEADERS,0),MATCH($A1693,CLASSNAMEHEADERS,0)),WeaponCS,"")))))))}</f>
        <v>WEAPONSPECIALL13</v>
      </c>
      <c r="U1692" s="230"/>
      <c r="V1692" s="230" t="str">
        <f t="array" ref="V1692:V1693">{"WEAPONSPECIALL15";((IF("15"=INDEX(ALLCLASSDATA,MATCH("WeaponGreaterSpecialization",CLASSFEATUREHEADERS,0),MATCH($A1693,CLASSNAMEHEADERS,0)),WeaponGWS,(IF("15"=INDEX(ALLCLASSDATA,MATCH("WeaponSpecialization",CLASSFEATUREHEADERS,0),MATCH($A1693,CLASSNAMEHEADERS,0)),WeaponWS,(IF("15"=INDEX(ALLCLASSDATA,MATCH("WeaponCriticalSpecialization",CLASSFEATUREHEADERS,0),MATCH($A1693,CLASSNAMEHEADERS,0)),WeaponCS,"")))))))}</f>
        <v>WEAPONSPECIALL15</v>
      </c>
      <c r="W1692" s="230"/>
      <c r="X1692" s="230" t="str">
        <f t="array" ref="X1692:X1693">{"WEAPONSPECIALL17";((IF("17"=INDEX(ALLCLASSDATA,MATCH("WeaponGreaterSpecialization",CLASSFEATUREHEADERS,0),MATCH($A1693,CLASSNAMEHEADERS,0)),WeaponGWS,(IF("17"=INDEX(ALLCLASSDATA,MATCH("WeaponSpecialization",CLASSFEATUREHEADERS,0),MATCH($A1693,CLASSNAMEHEADERS,0)),WeaponWS,(IF("17"=INDEX(ALLCLASSDATA,MATCH("WeaponCriticalSpecialization",CLASSFEATUREHEADERS,0),MATCH($A1693,CLASSNAMEHEADERS,0)),WeaponCS,"")))))))}</f>
        <v>WEAPONSPECIALL17</v>
      </c>
      <c r="Y1692" s="230"/>
      <c r="Z1692" s="230" t="str">
        <f t="array" ref="Z1692:Z1693">{"WEAPONSPECIALL19";((IF("19"=INDEX(ALLCLASSDATA,MATCH("WeaponGreaterSpecialization",CLASSFEATUREHEADERS,0),MATCH($A1693,CLASSNAMEHEADERS,0)),WeaponGWS,(IF("19"=INDEX(ALLCLASSDATA,MATCH("WeaponSpecialization",CLASSFEATUREHEADERS,0),MATCH($A1693,CLASSNAMEHEADERS,0)),WeaponWS,(IF("19"=INDEX(ALLCLASSDATA,MATCH("WeaponCriticalSpecialization",CLASSFEATUREHEADERS,0),MATCH($A1693,CLASSNAMEHEADERS,0)),WeaponCS,"")))))))}</f>
        <v>WEAPONSPECIALL19</v>
      </c>
      <c r="AA1692" s="230"/>
      <c r="AB1692" s="76"/>
      <c r="AC1692" s="76" t="str">
        <f t="array" ref="AC1692:AC1693">{"WEAPONSPECIAL TOTAL";(sum(G1693:AA1693))}</f>
        <v>WEAPONSPECIAL TOTAL</v>
      </c>
    </row>
    <row r="1693">
      <c r="A1693" s="48" t="s">
        <v>225</v>
      </c>
      <c r="B1693" s="48"/>
      <c r="C1693" s="48" t="s">
        <v>418</v>
      </c>
      <c r="D1693" s="48" t="s">
        <v>1634</v>
      </c>
      <c r="E1693" s="48" t="s">
        <v>1635</v>
      </c>
      <c r="F1693" s="5"/>
      <c r="G1693" s="47"/>
      <c r="H1693" s="5" t="s">
        <v>603</v>
      </c>
      <c r="I1693" s="5"/>
      <c r="J1693" s="5" t="s">
        <v>603</v>
      </c>
      <c r="K1693" s="5"/>
      <c r="L1693" s="5" t="s">
        <v>603</v>
      </c>
      <c r="M1693" s="5"/>
      <c r="N1693" s="5" t="s">
        <v>603</v>
      </c>
      <c r="O1693" s="5"/>
      <c r="P1693" s="5" t="s">
        <v>603</v>
      </c>
      <c r="Q1693" s="5"/>
      <c r="R1693" s="5" t="s">
        <v>603</v>
      </c>
      <c r="S1693" s="5"/>
      <c r="T1693" s="5">
        <v>70.0</v>
      </c>
      <c r="U1693" s="5"/>
      <c r="V1693" s="5" t="s">
        <v>603</v>
      </c>
      <c r="W1693" s="5"/>
      <c r="X1693" s="5" t="s">
        <v>603</v>
      </c>
      <c r="Y1693" s="5"/>
      <c r="Z1693" s="5" t="s">
        <v>603</v>
      </c>
      <c r="AA1693" s="5"/>
      <c r="AB1693" s="5"/>
      <c r="AC1693" s="47">
        <v>70.0</v>
      </c>
    </row>
    <row r="1694" hidden="1">
      <c r="A1694" s="222" t="str">
        <f t="array" ref="A1694:A1695">{"FormulaRow27";(INDEX(CLASSLIST,A1641,1))}</f>
        <v>FormulaRow27</v>
      </c>
      <c r="B1694" s="77" t="s">
        <v>236</v>
      </c>
      <c r="C1694" s="222" t="str">
        <f t="array" ref="C1694:C1695">{"CLASSTYPE";((INDEX(ALLCLASSDATA,MATCH("ClassType",CLASSFEATUREHEADERS,0),MATCH($A1695,CLASSNAMEHEADERS,0))))}</f>
        <v>CLASSTYPE</v>
      </c>
      <c r="D1694" s="222" t="str">
        <f t="array" ref="D1694:D1695">{"ATTACK";"Attack"}</f>
        <v>ATTACK</v>
      </c>
      <c r="E1694" s="222" t="str">
        <f t="array" ref="E1694:E1695">{"UNARMED";"Unarmed"}</f>
        <v>UNARMED</v>
      </c>
      <c r="F1694" s="223" t="str">
        <f t="array" ref="F1694:F1695">{"UNARMEDINITIAL";((IF(H1695=10,"T",(IF(H1695=50,"E","")))))}</f>
        <v>UNARMEDINITIAL</v>
      </c>
      <c r="G1694" s="223" t="str">
        <f t="array" ref="G1694:G1695">{"UNARMEDINITIALPTS";((IF("00"=(INDEX(ALLCLASSDATA,MATCH("UnarmedLegendary",CLASSFEATUREHEADERS,0),MATCH($A1695,CLASSNAMEHEADERS,0))),(INDEX(ALLCLASSDATA,MATCH("UnarmedLegendary",CLASSFEATUREHEADERS,0),MATCH(($A1695 &amp; "Points"),CLASSNAMEHEADERS,0))),(IF("00"=(INDEX(ALLCLASSDATA,MATCH("UnarmedMaster",CLASSFEATUREHEADERS,0),MATCH($A1695,CLASSNAMEHEADERS,0))),(INDEX(ALLCLASSDATA,MATCH("UnarmedMaster",CLASSFEATUREHEADERS,0),MATCH(($A1695 &amp; "Points"),CLASSNAMEHEADERS,0))),(IF("00"=(INDEX(ALLCLASSDATA,MATCH("UnarmedExpert",CLASSFEATUREHEADERS,0),MATCH($A1695,CLASSNAMEHEADERS,0))),(INDEX(ALLCLASSDATA,MATCH("UnarmedExpert",CLASSFEATUREHEADERS,0),MATCH(($A1695 &amp; "Points"),CLASSNAMEHEADERS,0))),(IF("00"=(INDEX(ALLCLASSDATA,MATCH("UnarmedTrained",CLASSFEATUREHEADERS,0),MATCH($A1695,CLASSNAMEHEADERS,0))),(INDEX(ALLCLASSDATA,MATCH("UnarmedTrained",CLASSFEATUREHEADERS,0),MATCH(($A1695 &amp; "Points"),CLASSNAMEHEADERS,0))),"")))))))))}</f>
        <v>UNARMEDINITIALPTS</v>
      </c>
      <c r="H1694" s="223" t="str">
        <f t="array" ref="H1694:H1695">{"UNARMEDL01";((IF("01"=(INDEX(ALLCLASSDATA,MATCH("UnarmedLegendary",CLASSFEATUREHEADERS,0),MATCH($A1695,CLASSNAMEHEADERS,0))),(INDEX(ALLCLASSDATA,MATCH("UnarmedLegendary",CLASSFEATUREHEADERS,0),MATCH(($A1695 &amp; "Points"),CLASSNAMEHEADERS,0))),(IF("01"=(INDEX(ALLCLASSDATA,MATCH("UnarmedMaster",CLASSFEATUREHEADERS,0),MATCH($A1695,CLASSNAMEHEADERS,0))),(INDEX(ALLCLASSDATA,MATCH("UnarmedMaster",CLASSFEATUREHEADERS,0),MATCH(($A1695 &amp; "Points"),CLASSNAMEHEADERS,0))),(IF("01"=(INDEX(ALLCLASSDATA,MATCH("UnarmedExpert",CLASSFEATUREHEADERS,0),MATCH($A1695,CLASSNAMEHEADERS,0))),(INDEX(ALLCLASSDATA,MATCH("UnarmedExpert",CLASSFEATUREHEADERS,0),MATCH(($A1695 &amp; "Points"),CLASSNAMEHEADERS,0))),(IF("01"=(INDEX(ALLCLASSDATA,MATCH("UnarmedTrained",CLASSFEATUREHEADERS,0),MATCH($A1695,CLASSNAMEHEADERS,0))),(INDEX(ALLCLASSDATA,MATCH("UnarmedTrained",CLASSFEATUREHEADERS,0),MATCH(($A1695 &amp; "Points"),CLASSNAMEHEADERS,0))),"")))))))))}</f>
        <v>UNARMEDL01</v>
      </c>
      <c r="I1694" s="223"/>
      <c r="J1694" s="223" t="str">
        <f t="array" ref="J1694:J1695">{"UNARMEDL03";((IF("03"=(INDEX(ALLCLASSDATA,MATCH("UnarmedLegendary",CLASSFEATUREHEADERS,0),MATCH($A1695,CLASSNAMEHEADERS,0))),(INDEX(ALLCLASSDATA,MATCH("UnarmedLegendary",CLASSFEATUREHEADERS,0),MATCH(($A1695 &amp; "Points"),CLASSNAMEHEADERS,0))),(IF("03"=(INDEX(ALLCLASSDATA,MATCH("UnarmedMaster",CLASSFEATUREHEADERS,0),MATCH($A1695,CLASSNAMEHEADERS,0))),(INDEX(ALLCLASSDATA,MATCH("UnarmedMaster",CLASSFEATUREHEADERS,0),MATCH(($A1695 &amp; "Points"),CLASSNAMEHEADERS,0))),(IF("03"=(INDEX(ALLCLASSDATA,MATCH("UnarmedExpert",CLASSFEATUREHEADERS,0),MATCH($A1695,CLASSNAMEHEADERS,0))),(INDEX(ALLCLASSDATA,MATCH("UnarmedExpert",CLASSFEATUREHEADERS,0),MATCH(($A1695 &amp; "Points"),CLASSNAMEHEADERS,0))),(IF("03"=(INDEX(ALLCLASSDATA,MATCH("UnarmedTrained",CLASSFEATUREHEADERS,0),MATCH($A1695,CLASSNAMEHEADERS,0))),(INDEX(ALLCLASSDATA,MATCH("UnarmedTrained",CLASSFEATUREHEADERS,0),MATCH(($A1695 &amp; "Points"),CLASSNAMEHEADERS,0))),"")))))))))}</f>
        <v>UNARMEDL03</v>
      </c>
      <c r="K1694" s="223"/>
      <c r="L1694" s="223" t="str">
        <f t="array" ref="L1694:L1695">{"UNARMEDL05";((IF("05"=(INDEX(ALLCLASSDATA,MATCH("UnarmedLegendary",CLASSFEATUREHEADERS,0),MATCH($A1695,CLASSNAMEHEADERS,0))),(INDEX(ALLCLASSDATA,MATCH("UnarmedLegendary",CLASSFEATUREHEADERS,0),MATCH(($A1695 &amp; "Points"),CLASSNAMEHEADERS,0))),(IF("05"=(INDEX(ALLCLASSDATA,MATCH("UnarmedMaster",CLASSFEATUREHEADERS,0),MATCH($A1695,CLASSNAMEHEADERS,0))),(INDEX(ALLCLASSDATA,MATCH("UnarmedMaster",CLASSFEATUREHEADERS,0),MATCH(($A1695 &amp; "Points"),CLASSNAMEHEADERS,0))),(IF("05"=(INDEX(ALLCLASSDATA,MATCH("UnarmedExpert",CLASSFEATUREHEADERS,0),MATCH($A1695,CLASSNAMEHEADERS,0))),(INDEX(ALLCLASSDATA,MATCH("UnarmedExpert",CLASSFEATUREHEADERS,0),MATCH(($A1695 &amp; "Points"),CLASSNAMEHEADERS,0))),(IF("05"=(INDEX(ALLCLASSDATA,MATCH("UnarmedTrained",CLASSFEATUREHEADERS,0),MATCH($A1695,CLASSNAMEHEADERS,0))),(INDEX(ALLCLASSDATA,MATCH("UnarmedTrained",CLASSFEATUREHEADERS,0),MATCH(($A1695 &amp; "Points"),CLASSNAMEHEADERS,0))),"")))))))))}</f>
        <v>UNARMEDL05</v>
      </c>
      <c r="M1694" s="223"/>
      <c r="N1694" s="223" t="str">
        <f t="array" ref="N1694:N1695">{"UNARMEDL07";((IF("07"=(INDEX(ALLCLASSDATA,MATCH("UnarmedLegendary",CLASSFEATUREHEADERS,0),MATCH($A1695,CLASSNAMEHEADERS,0))),(INDEX(ALLCLASSDATA,MATCH("UnarmedLegendary",CLASSFEATUREHEADERS,0),MATCH(($A1695 &amp; "Points"),CLASSNAMEHEADERS,0))),(IF("07"=(INDEX(ALLCLASSDATA,MATCH("UnarmedMaster",CLASSFEATUREHEADERS,0),MATCH($A1695,CLASSNAMEHEADERS,0))),(INDEX(ALLCLASSDATA,MATCH("UnarmedMaster",CLASSFEATUREHEADERS,0),MATCH(($A1695 &amp; "Points"),CLASSNAMEHEADERS,0))),(IF("07"=(INDEX(ALLCLASSDATA,MATCH("UnarmedExpert",CLASSFEATUREHEADERS,0),MATCH($A1695,CLASSNAMEHEADERS,0))),(INDEX(ALLCLASSDATA,MATCH("UnarmedExpert",CLASSFEATUREHEADERS,0),MATCH(($A1695 &amp; "Points"),CLASSNAMEHEADERS,0))),(IF("07"=(INDEX(ALLCLASSDATA,MATCH("UnarmedTrained",CLASSFEATUREHEADERS,0),MATCH($A1695,CLASSNAMEHEADERS,0))),(INDEX(ALLCLASSDATA,MATCH("UnarmedTrained",CLASSFEATUREHEADERS,0),MATCH(($A1695 &amp; "Points"),CLASSNAMEHEADERS,0))),"")))))))))}</f>
        <v>UNARMEDL07</v>
      </c>
      <c r="O1694" s="223"/>
      <c r="P1694" s="223" t="str">
        <f t="array" ref="P1694:P1695">{"UNARMEDL09";((IF("09"=(INDEX(ALLCLASSDATA,MATCH("UnarmedLegendary",CLASSFEATUREHEADERS,0),MATCH($A1695,CLASSNAMEHEADERS,0))),(INDEX(ALLCLASSDATA,MATCH("UnarmedLegendary",CLASSFEATUREHEADERS,0),MATCH(($A1695 &amp; "Points"),CLASSNAMEHEADERS,0))),(IF("09"=(INDEX(ALLCLASSDATA,MATCH("UnarmedMaster",CLASSFEATUREHEADERS,0),MATCH($A1695,CLASSNAMEHEADERS,0))),(INDEX(ALLCLASSDATA,MATCH("UnarmedMaster",CLASSFEATUREHEADERS,0),MATCH(($A1695 &amp; "Points"),CLASSNAMEHEADERS,0))),(IF("09"=(INDEX(ALLCLASSDATA,MATCH("UnarmedExpert",CLASSFEATUREHEADERS,0),MATCH($A1695,CLASSNAMEHEADERS,0))),(INDEX(ALLCLASSDATA,MATCH("UnarmedExpert",CLASSFEATUREHEADERS,0),MATCH(($A1695 &amp; "Points"),CLASSNAMEHEADERS,0))),(IF("09"=(INDEX(ALLCLASSDATA,MATCH("UnarmedTrained",CLASSFEATUREHEADERS,0),MATCH($A1695,CLASSNAMEHEADERS,0))),(INDEX(ALLCLASSDATA,MATCH("UnarmedTrained",CLASSFEATUREHEADERS,0),MATCH(($A1695 &amp; "Points"),CLASSNAMEHEADERS,0))),"")))))))))}</f>
        <v>UNARMEDL09</v>
      </c>
      <c r="Q1694" s="223"/>
      <c r="R1694" s="223" t="str">
        <f t="array" ref="R1694:R1695">{"UNARMEDL11";((IF("11"=(INDEX(ALLCLASSDATA,MATCH("UnarmedLegendary",CLASSFEATUREHEADERS,0),MATCH($A1695,CLASSNAMEHEADERS,0))),(INDEX(ALLCLASSDATA,MATCH("UnarmedLegendary",CLASSFEATUREHEADERS,0),MATCH(($A1695 &amp; "Points"),CLASSNAMEHEADERS,0))),(IF("11"=(INDEX(ALLCLASSDATA,MATCH("UnarmedMaster",CLASSFEATUREHEADERS,0),MATCH($A1695,CLASSNAMEHEADERS,0))),(INDEX(ALLCLASSDATA,MATCH("UnarmedMaster",CLASSFEATUREHEADERS,0),MATCH(($A1695 &amp; "Points"),CLASSNAMEHEADERS,0))),(IF("11"=(INDEX(ALLCLASSDATA,MATCH("UnarmedExpert",CLASSFEATUREHEADERS,0),MATCH($A1695,CLASSNAMEHEADERS,0))),(INDEX(ALLCLASSDATA,MATCH("UnarmedExpert",CLASSFEATUREHEADERS,0),MATCH(($A1695 &amp; "Points"),CLASSNAMEHEADERS,0))),(IF("11"=(INDEX(ALLCLASSDATA,MATCH("UnarmedTrained",CLASSFEATUREHEADERS,0),MATCH($A1695,CLASSNAMEHEADERS,0))),(INDEX(ALLCLASSDATA,MATCH("UnarmedTrained",CLASSFEATUREHEADERS,0),MATCH(($A1695 &amp; "Points"),CLASSNAMEHEADERS,0))),"")))))))))}</f>
        <v>UNARMEDL11</v>
      </c>
      <c r="S1694" s="223"/>
      <c r="T1694" s="223" t="str">
        <f t="array" ref="T1694:T1695">{"UNARMEDL13";((IF("13"=(INDEX(ALLCLASSDATA,MATCH("UnarmedLegendary",CLASSFEATUREHEADERS,0),MATCH($A1695,CLASSNAMEHEADERS,0))),(INDEX(ALLCLASSDATA,MATCH("UnarmedLegendary",CLASSFEATUREHEADERS,0),MATCH(($A1695 &amp; "Points"),CLASSNAMEHEADERS,0))),(IF("13"=(INDEX(ALLCLASSDATA,MATCH("UnarmedMaster",CLASSFEATUREHEADERS,0),MATCH($A1695,CLASSNAMEHEADERS,0))),(INDEX(ALLCLASSDATA,MATCH("UnarmedMaster",CLASSFEATUREHEADERS,0),MATCH(($A1695 &amp; "Points"),CLASSNAMEHEADERS,0))),(IF("13"=(INDEX(ALLCLASSDATA,MATCH("UnarmedExpert",CLASSFEATUREHEADERS,0),MATCH($A1695,CLASSNAMEHEADERS,0))),(INDEX(ALLCLASSDATA,MATCH("UnarmedExpert",CLASSFEATUREHEADERS,0),MATCH(($A1695 &amp; "Points"),CLASSNAMEHEADERS,0))),(IF("13"=(INDEX(ALLCLASSDATA,MATCH("UnarmedTrained",CLASSFEATUREHEADERS,0),MATCH($A1695,CLASSNAMEHEADERS,0))),(INDEX(ALLCLASSDATA,MATCH("UnarmedTrained",CLASSFEATUREHEADERS,0),MATCH(($A1695 &amp; "Points"),CLASSNAMEHEADERS,0))),"")))))))))}</f>
        <v>UNARMEDL13</v>
      </c>
      <c r="U1694" s="223"/>
      <c r="V1694" s="223" t="str">
        <f t="array" ref="V1694:V1695">{"UNARMEDL15";((IF("15"=(INDEX(ALLCLASSDATA,MATCH("UnarmedLegendary",CLASSFEATUREHEADERS,0),MATCH($A1695,CLASSNAMEHEADERS,0))),(INDEX(ALLCLASSDATA,MATCH("UnarmedLegendary",CLASSFEATUREHEADERS,0),MATCH(($A1695 &amp; "Points"),CLASSNAMEHEADERS,0))),(IF("15"=(INDEX(ALLCLASSDATA,MATCH("UnarmedMaster",CLASSFEATUREHEADERS,0),MATCH($A1695,CLASSNAMEHEADERS,0))),(INDEX(ALLCLASSDATA,MATCH("UnarmedMaster",CLASSFEATUREHEADERS,0),MATCH(($A1695 &amp; "Points"),CLASSNAMEHEADERS,0))),(IF("15"=(INDEX(ALLCLASSDATA,MATCH("UnarmedExpert",CLASSFEATUREHEADERS,0),MATCH($A1695,CLASSNAMEHEADERS,0))),(INDEX(ALLCLASSDATA,MATCH("UnarmedExpert",CLASSFEATUREHEADERS,0),MATCH(($A1695 &amp; "Points"),CLASSNAMEHEADERS,0))),(IF("15"=(INDEX(ALLCLASSDATA,MATCH("UnarmedTrained",CLASSFEATUREHEADERS,0),MATCH($A1695,CLASSNAMEHEADERS,0))),(INDEX(ALLCLASSDATA,MATCH("UnarmedTrained",CLASSFEATUREHEADERS,0),MATCH(($A1695 &amp; "Points"),CLASSNAMEHEADERS,0))),"")))))))))}</f>
        <v>UNARMEDL15</v>
      </c>
      <c r="W1694" s="223"/>
      <c r="X1694" s="223" t="str">
        <f t="array" ref="X1694:X1695">{"UNARMEDL17";((IF("17"=(INDEX(ALLCLASSDATA,MATCH("UnarmedLegendary",CLASSFEATUREHEADERS,0),MATCH($A1695,CLASSNAMEHEADERS,0))),(INDEX(ALLCLASSDATA,MATCH("UnarmedLegendary",CLASSFEATUREHEADERS,0),MATCH(($A1695 &amp; "Points"),CLASSNAMEHEADERS,0))),(IF("17"=(INDEX(ALLCLASSDATA,MATCH("UnarmedMaster",CLASSFEATUREHEADERS,0),MATCH($A1695,CLASSNAMEHEADERS,0))),(INDEX(ALLCLASSDATA,MATCH("UnarmedMaster",CLASSFEATUREHEADERS,0),MATCH(($A1695 &amp; "Points"),CLASSNAMEHEADERS,0))),(IF("17"=(INDEX(ALLCLASSDATA,MATCH("UnarmedExpert",CLASSFEATUREHEADERS,0),MATCH($A1695,CLASSNAMEHEADERS,0))),(INDEX(ALLCLASSDATA,MATCH("UnarmedExpert",CLASSFEATUREHEADERS,0),MATCH(($A1695 &amp; "Points"),CLASSNAMEHEADERS,0))),(IF("17"=(INDEX(ALLCLASSDATA,MATCH("UnarmedTrained",CLASSFEATUREHEADERS,0),MATCH($A1695,CLASSNAMEHEADERS,0))),(INDEX(ALLCLASSDATA,MATCH("UnarmedTrained",CLASSFEATUREHEADERS,0),MATCH(($A1695 &amp; "Points"),CLASSNAMEHEADERS,0))),"")))))))))}</f>
        <v>UNARMEDL17</v>
      </c>
      <c r="Y1694" s="223"/>
      <c r="Z1694" s="223" t="str">
        <f t="array" ref="Z1694:Z1695">{"UNARMEDL19";((IF("19"=(INDEX(ALLCLASSDATA,MATCH("UnarmedLegendary",CLASSFEATUREHEADERS,0),MATCH($A1695,CLASSNAMEHEADERS,0))),(INDEX(ALLCLASSDATA,MATCH("UnarmedLegendary",CLASSFEATUREHEADERS,0),MATCH(($A1695 &amp; "Points"),CLASSNAMEHEADERS,0))),(IF("19"=(INDEX(ALLCLASSDATA,MATCH("UnarmedMaster",CLASSFEATUREHEADERS,0),MATCH($A1695,CLASSNAMEHEADERS,0))),(INDEX(ALLCLASSDATA,MATCH("UnarmedMaster",CLASSFEATUREHEADERS,0),MATCH(($A1695 &amp; "Points"),CLASSNAMEHEADERS,0))),(IF("19"=(INDEX(ALLCLASSDATA,MATCH("UnarmedExpert",CLASSFEATUREHEADERS,0),MATCH($A1695,CLASSNAMEHEADERS,0))),(INDEX(ALLCLASSDATA,MATCH("UnarmedExpert",CLASSFEATUREHEADERS,0),MATCH(($A1695 &amp; "Points"),CLASSNAMEHEADERS,0))),(IF("19"=(INDEX(ALLCLASSDATA,MATCH("UnarmedTrained",CLASSFEATUREHEADERS,0),MATCH($A1695,CLASSNAMEHEADERS,0))),(INDEX(ALLCLASSDATA,MATCH("UnarmedTrained",CLASSFEATUREHEADERS,0),MATCH(($A1695 &amp; "Points"),CLASSNAMEHEADERS,0))),"")))))))))}</f>
        <v>UNARMEDL19</v>
      </c>
      <c r="AA1694" s="223"/>
      <c r="AB1694" s="76" t="str">
        <f t="array" ref="AB1694:AB1695">{"UNARMED TOTAL";(IF(COUNTBLANK(G1695:AA1695)=17,"L",(IF(COUNTBLANK(G1695:AA1695)=18,"M",(IF(COUNTBLANK(G1695:AA1695)=19,"E",(IF(COUNTBLANK(G1695:AA1695)=20,"T",""))))))))}</f>
        <v>UNARMED TOTAL</v>
      </c>
      <c r="AC1694" s="76" t="str">
        <f t="array" ref="AC1694:AC1695">{"UNARMED TOTAL";(sum(G1695:AA1695))}</f>
        <v>UNARMED TOTAL</v>
      </c>
    </row>
    <row r="1695">
      <c r="A1695" s="48" t="s">
        <v>225</v>
      </c>
      <c r="B1695" s="48"/>
      <c r="C1695" s="48" t="s">
        <v>418</v>
      </c>
      <c r="D1695" s="48" t="s">
        <v>1634</v>
      </c>
      <c r="E1695" s="48" t="s">
        <v>257</v>
      </c>
      <c r="F1695" s="5" t="s">
        <v>435</v>
      </c>
      <c r="G1695" s="47" t="s">
        <v>603</v>
      </c>
      <c r="H1695" s="5">
        <v>10.0</v>
      </c>
      <c r="I1695" s="5"/>
      <c r="J1695" s="5" t="s">
        <v>603</v>
      </c>
      <c r="K1695" s="5"/>
      <c r="L1695" s="5" t="s">
        <v>603</v>
      </c>
      <c r="M1695" s="5"/>
      <c r="N1695" s="5" t="s">
        <v>603</v>
      </c>
      <c r="O1695" s="5"/>
      <c r="P1695" s="5" t="s">
        <v>603</v>
      </c>
      <c r="Q1695" s="5"/>
      <c r="R1695" s="5" t="s">
        <v>436</v>
      </c>
      <c r="S1695" s="5"/>
      <c r="T1695" s="5" t="s">
        <v>603</v>
      </c>
      <c r="U1695" s="5"/>
      <c r="V1695" s="5" t="s">
        <v>603</v>
      </c>
      <c r="W1695" s="5"/>
      <c r="X1695" s="5" t="s">
        <v>603</v>
      </c>
      <c r="Y1695" s="5"/>
      <c r="Z1695" s="5" t="s">
        <v>603</v>
      </c>
      <c r="AA1695" s="5"/>
      <c r="AB1695" s="5" t="s">
        <v>436</v>
      </c>
      <c r="AC1695" s="47">
        <v>10.0</v>
      </c>
    </row>
    <row r="1696" hidden="1">
      <c r="A1696" s="222" t="str">
        <f t="array" ref="A1696:A1697">{"FormulaRow28";(INDEX(CLASSLIST,A1641,1))}</f>
        <v>FormulaRow28</v>
      </c>
      <c r="B1696" s="77" t="s">
        <v>236</v>
      </c>
      <c r="C1696" s="222" t="str">
        <f t="array" ref="C1696:C1697">{"CLASSTYPE";((INDEX(ALLCLASSDATA,MATCH("ClassType",CLASSFEATUREHEADERS,0),MATCH($A1697,CLASSNAMEHEADERS,0))))}</f>
        <v>CLASSTYPE</v>
      </c>
      <c r="D1696" s="222" t="str">
        <f t="array" ref="D1696:D1697">{"ATTACK";"Attack"}</f>
        <v>ATTACK</v>
      </c>
      <c r="E1696" s="222" t="str">
        <f t="array" ref="E1696:E1697">{"SIMPLELIMITED";"SimpleLimited"}</f>
        <v>SIMPLELIMITED</v>
      </c>
      <c r="F1696" s="223" t="str">
        <f t="array" ref="F1696:F1697">{"SIMPLELIMITEDINITIAL";((IF(H1697=10,"T",(IF(H1697=50,"E","")))))}</f>
        <v>SIMPLELIMITEDINITIAL</v>
      </c>
      <c r="G1696" s="223" t="str">
        <f t="array" ref="G1696:G1697">{"SIMPLELIMITEDINITIALPTS";((IF("00"=(INDEX(ALLCLASSDATA,MATCH("SimpleLimitedLegendary",CLASSFEATUREHEADERS,0),MATCH($A1697,CLASSNAMEHEADERS,0))),(INDEX(ALLCLASSDATA,MATCH("SimpleLimitedLegendary",CLASSFEATUREHEADERS,0),MATCH(($A1697 &amp; "Points"),CLASSNAMEHEADERS,0))),(IF("00"=(INDEX(ALLCLASSDATA,MATCH("SimpleLimitedMaster",CLASSFEATUREHEADERS,0),MATCH($A1697,CLASSNAMEHEADERS,0))),(INDEX(ALLCLASSDATA,MATCH("SimpleLimitedMaster",CLASSFEATUREHEADERS,0),MATCH(($A1697 &amp; "Points"),CLASSNAMEHEADERS,0))),(IF("00"=(INDEX(ALLCLASSDATA,MATCH("SimpleLimitedExpert",CLASSFEATUREHEADERS,0),MATCH($A1697,CLASSNAMEHEADERS,0))),(INDEX(ALLCLASSDATA,MATCH("SimpleLimitedExpert",CLASSFEATUREHEADERS,0),MATCH(($A1697 &amp; "Points"),CLASSNAMEHEADERS,0))),(IF("00"=(INDEX(ALLCLASSDATA,MATCH("SimpleLimitedTrained",CLASSFEATUREHEADERS,0),MATCH($A1697,CLASSNAMEHEADERS,0))),(INDEX(ALLCLASSDATA,MATCH("SimpleLimitedTrained",CLASSFEATUREHEADERS,0),MATCH(($A1697 &amp; "Points"),CLASSNAMEHEADERS,0))),"")))))))))}</f>
        <v>SIMPLELIMITEDINITIALPTS</v>
      </c>
      <c r="H1696" s="223" t="str">
        <f t="array" ref="H1696:H1697">{"SIMPLELIMITEDL01";((IF("01"=(INDEX(ALLCLASSDATA,MATCH("SimpleLimitedLegendary",CLASSFEATUREHEADERS,0),MATCH($A1697,CLASSNAMEHEADERS,0))),(INDEX(ALLCLASSDATA,MATCH("SimpleLimitedLegendary",CLASSFEATUREHEADERS,0),MATCH(($A1697 &amp; "Points"),CLASSNAMEHEADERS,0))),(IF("01"=(INDEX(ALLCLASSDATA,MATCH("SimpleLimitedMaster",CLASSFEATUREHEADERS,0),MATCH($A1697,CLASSNAMEHEADERS,0))),(INDEX(ALLCLASSDATA,MATCH("SimpleLimitedMaster",CLASSFEATUREHEADERS,0),MATCH(($A1697 &amp; "Points"),CLASSNAMEHEADERS,0))),(IF("01"=(INDEX(ALLCLASSDATA,MATCH("SimpleLimitedExpert",CLASSFEATUREHEADERS,0),MATCH($A1697,CLASSNAMEHEADERS,0))),(INDEX(ALLCLASSDATA,MATCH("SimpleLimitedExpert",CLASSFEATUREHEADERS,0),MATCH(($A1697 &amp; "Points"),CLASSNAMEHEADERS,0))),(IF("01"=(INDEX(ALLCLASSDATA,MATCH("SimpleLimitedTrained",CLASSFEATUREHEADERS,0),MATCH($A1697,CLASSNAMEHEADERS,0))),(INDEX(ALLCLASSDATA,MATCH("SimpleLimitedTrained",CLASSFEATUREHEADERS,0),MATCH(($A1697 &amp; "Points"),CLASSNAMEHEADERS,0))),"")))))))))}</f>
        <v>SIMPLELIMITEDL01</v>
      </c>
      <c r="I1696" s="223"/>
      <c r="J1696" s="223" t="str">
        <f t="array" ref="J1696:J1697">{"SIMPLELIMITEDL03";((IF("03"=(INDEX(ALLCLASSDATA,MATCH("SimpleLimitedLegendary",CLASSFEATUREHEADERS,0),MATCH($A1697,CLASSNAMEHEADERS,0))),(INDEX(ALLCLASSDATA,MATCH("SimpleLimitedLegendary",CLASSFEATUREHEADERS,0),MATCH(($A1697 &amp; "Points"),CLASSNAMEHEADERS,0))),(IF("03"=(INDEX(ALLCLASSDATA,MATCH("SimpleLimitedMaster",CLASSFEATUREHEADERS,0),MATCH($A1697,CLASSNAMEHEADERS,0))),(INDEX(ALLCLASSDATA,MATCH("SimpleLimitedMaster",CLASSFEATUREHEADERS,0),MATCH(($A1697 &amp; "Points"),CLASSNAMEHEADERS,0))),(IF("03"=(INDEX(ALLCLASSDATA,MATCH("SimpleLimitedExpert",CLASSFEATUREHEADERS,0),MATCH($A1697,CLASSNAMEHEADERS,0))),(INDEX(ALLCLASSDATA,MATCH("SimpleLimitedExpert",CLASSFEATUREHEADERS,0),MATCH(($A1697 &amp; "Points"),CLASSNAMEHEADERS,0))),(IF("03"=(INDEX(ALLCLASSDATA,MATCH("SimpleLimitedTrained",CLASSFEATUREHEADERS,0),MATCH($A1697,CLASSNAMEHEADERS,0))),(INDEX(ALLCLASSDATA,MATCH("SimpleLimitedTrained",CLASSFEATUREHEADERS,0),MATCH(($A1697 &amp; "Points"),CLASSNAMEHEADERS,0))),"")))))))))}</f>
        <v>SIMPLELIMITEDL03</v>
      </c>
      <c r="K1696" s="223"/>
      <c r="L1696" s="223" t="str">
        <f t="array" ref="L1696:L1697">{"SIMPLELIMITEDL05";((IF("05"=(INDEX(ALLCLASSDATA,MATCH("SimpleLimitedLegendary",CLASSFEATUREHEADERS,0),MATCH($A1697,CLASSNAMEHEADERS,0))),(INDEX(ALLCLASSDATA,MATCH("SimpleLimitedLegendary",CLASSFEATUREHEADERS,0),MATCH(($A1697 &amp; "Points"),CLASSNAMEHEADERS,0))),(IF("05"=(INDEX(ALLCLASSDATA,MATCH("SimpleLimitedMaster",CLASSFEATUREHEADERS,0),MATCH($A1697,CLASSNAMEHEADERS,0))),(INDEX(ALLCLASSDATA,MATCH("SimpleLimitedMaster",CLASSFEATUREHEADERS,0),MATCH(($A1697 &amp; "Points"),CLASSNAMEHEADERS,0))),(IF("05"=(INDEX(ALLCLASSDATA,MATCH("SimpleLimitedExpert",CLASSFEATUREHEADERS,0),MATCH($A1697,CLASSNAMEHEADERS,0))),(INDEX(ALLCLASSDATA,MATCH("SimpleLimitedExpert",CLASSFEATUREHEADERS,0),MATCH(($A1697 &amp; "Points"),CLASSNAMEHEADERS,0))),(IF("05"=(INDEX(ALLCLASSDATA,MATCH("SimpleLimitedTrained",CLASSFEATUREHEADERS,0),MATCH($A1697,CLASSNAMEHEADERS,0))),(INDEX(ALLCLASSDATA,MATCH("SimpleLimitedTrained",CLASSFEATUREHEADERS,0),MATCH(($A1697 &amp; "Points"),CLASSNAMEHEADERS,0))),"")))))))))}</f>
        <v>SIMPLELIMITEDL05</v>
      </c>
      <c r="M1696" s="223"/>
      <c r="N1696" s="223" t="str">
        <f t="array" ref="N1696:N1697">{"SIMPLELIMITEDL07";((IF("07"=(INDEX(ALLCLASSDATA,MATCH("SimpleLimitedLegendary",CLASSFEATUREHEADERS,0),MATCH($A1697,CLASSNAMEHEADERS,0))),(INDEX(ALLCLASSDATA,MATCH("SimpleLimitedLegendary",CLASSFEATUREHEADERS,0),MATCH(($A1697 &amp; "Points"),CLASSNAMEHEADERS,0))),(IF("07"=(INDEX(ALLCLASSDATA,MATCH("SimpleLimitedMaster",CLASSFEATUREHEADERS,0),MATCH($A1697,CLASSNAMEHEADERS,0))),(INDEX(ALLCLASSDATA,MATCH("SimpleLimitedMaster",CLASSFEATUREHEADERS,0),MATCH(($A1697 &amp; "Points"),CLASSNAMEHEADERS,0))),(IF("07"=(INDEX(ALLCLASSDATA,MATCH("SimpleLimitedExpert",CLASSFEATUREHEADERS,0),MATCH($A1697,CLASSNAMEHEADERS,0))),(INDEX(ALLCLASSDATA,MATCH("SimpleLimitedExpert",CLASSFEATUREHEADERS,0),MATCH(($A1697 &amp; "Points"),CLASSNAMEHEADERS,0))),(IF("07"=(INDEX(ALLCLASSDATA,MATCH("SimpleLimitedTrained",CLASSFEATUREHEADERS,0),MATCH($A1697,CLASSNAMEHEADERS,0))),(INDEX(ALLCLASSDATA,MATCH("SimpleLimitedTrained",CLASSFEATUREHEADERS,0),MATCH(($A1697 &amp; "Points"),CLASSNAMEHEADERS,0))),"")))))))))}</f>
        <v>SIMPLELIMITEDL07</v>
      </c>
      <c r="O1696" s="223"/>
      <c r="P1696" s="223" t="str">
        <f t="array" ref="P1696:P1697">{"SIMPLELIMITEDL09";((IF("09"=(INDEX(ALLCLASSDATA,MATCH("SimpleLimitedLegendary",CLASSFEATUREHEADERS,0),MATCH($A1697,CLASSNAMEHEADERS,0))),(INDEX(ALLCLASSDATA,MATCH("SimpleLimitedLegendary",CLASSFEATUREHEADERS,0),MATCH(($A1697 &amp; "Points"),CLASSNAMEHEADERS,0))),(IF("09"=(INDEX(ALLCLASSDATA,MATCH("SimpleLimitedMaster",CLASSFEATUREHEADERS,0),MATCH($A1697,CLASSNAMEHEADERS,0))),(INDEX(ALLCLASSDATA,MATCH("SimpleLimitedMaster",CLASSFEATUREHEADERS,0),MATCH(($A1697 &amp; "Points"),CLASSNAMEHEADERS,0))),(IF("09"=(INDEX(ALLCLASSDATA,MATCH("SimpleLimitedExpert",CLASSFEATUREHEADERS,0),MATCH($A1697,CLASSNAMEHEADERS,0))),(INDEX(ALLCLASSDATA,MATCH("SimpleLimitedExpert",CLASSFEATUREHEADERS,0),MATCH(($A1697 &amp; "Points"),CLASSNAMEHEADERS,0))),(IF("09"=(INDEX(ALLCLASSDATA,MATCH("SimpleLimitedTrained",CLASSFEATUREHEADERS,0),MATCH($A1697,CLASSNAMEHEADERS,0))),(INDEX(ALLCLASSDATA,MATCH("SimpleLimitedTrained",CLASSFEATUREHEADERS,0),MATCH(($A1697 &amp; "Points"),CLASSNAMEHEADERS,0))),"")))))))))}</f>
        <v>SIMPLELIMITEDL09</v>
      </c>
      <c r="Q1696" s="223"/>
      <c r="R1696" s="223" t="str">
        <f t="array" ref="R1696:R1697">{"SIMPLELIMITEDL11";((IF("11"=(INDEX(ALLCLASSDATA,MATCH("SimpleLimitedLegendary",CLASSFEATUREHEADERS,0),MATCH($A1697,CLASSNAMEHEADERS,0))),(INDEX(ALLCLASSDATA,MATCH("SimpleLimitedLegendary",CLASSFEATUREHEADERS,0),MATCH(($A1697 &amp; "Points"),CLASSNAMEHEADERS,0))),(IF("11"=(INDEX(ALLCLASSDATA,MATCH("SimpleLimitedMaster",CLASSFEATUREHEADERS,0),MATCH($A1697,CLASSNAMEHEADERS,0))),(INDEX(ALLCLASSDATA,MATCH("SimpleLimitedMaster",CLASSFEATUREHEADERS,0),MATCH(($A1697 &amp; "Points"),CLASSNAMEHEADERS,0))),(IF("11"=(INDEX(ALLCLASSDATA,MATCH("SimpleLimitedExpert",CLASSFEATUREHEADERS,0),MATCH($A1697,CLASSNAMEHEADERS,0))),(INDEX(ALLCLASSDATA,MATCH("SimpleLimitedExpert",CLASSFEATUREHEADERS,0),MATCH(($A1697 &amp; "Points"),CLASSNAMEHEADERS,0))),(IF("11"=(INDEX(ALLCLASSDATA,MATCH("SimpleLimitedTrained",CLASSFEATUREHEADERS,0),MATCH($A1697,CLASSNAMEHEADERS,0))),(INDEX(ALLCLASSDATA,MATCH("SimpleLimitedTrained",CLASSFEATUREHEADERS,0),MATCH(($A1697 &amp; "Points"),CLASSNAMEHEADERS,0))),"")))))))))}</f>
        <v>SIMPLELIMITEDL11</v>
      </c>
      <c r="S1696" s="223"/>
      <c r="T1696" s="223" t="str">
        <f t="array" ref="T1696:T1697">{"SIMPLELIMITEDL13";((IF("13"=(INDEX(ALLCLASSDATA,MATCH("SimpleLimitedLegendary",CLASSFEATUREHEADERS,0),MATCH($A1697,CLASSNAMEHEADERS,0))),(INDEX(ALLCLASSDATA,MATCH("SimpleLimitedLegendary",CLASSFEATUREHEADERS,0),MATCH(($A1697 &amp; "Points"),CLASSNAMEHEADERS,0))),(IF("13"=(INDEX(ALLCLASSDATA,MATCH("SimpleLimitedMaster",CLASSFEATUREHEADERS,0),MATCH($A1697,CLASSNAMEHEADERS,0))),(INDEX(ALLCLASSDATA,MATCH("SimpleLimitedMaster",CLASSFEATUREHEADERS,0),MATCH(($A1697 &amp; "Points"),CLASSNAMEHEADERS,0))),(IF("13"=(INDEX(ALLCLASSDATA,MATCH("SimpleLimitedExpert",CLASSFEATUREHEADERS,0),MATCH($A1697,CLASSNAMEHEADERS,0))),(INDEX(ALLCLASSDATA,MATCH("SimpleLimitedExpert",CLASSFEATUREHEADERS,0),MATCH(($A1697 &amp; "Points"),CLASSNAMEHEADERS,0))),(IF("13"=(INDEX(ALLCLASSDATA,MATCH("SimpleLimitedTrained",CLASSFEATUREHEADERS,0),MATCH($A1697,CLASSNAMEHEADERS,0))),(INDEX(ALLCLASSDATA,MATCH("SimpleLimitedTrained",CLASSFEATUREHEADERS,0),MATCH(($A1697 &amp; "Points"),CLASSNAMEHEADERS,0))),"")))))))))}</f>
        <v>SIMPLELIMITEDL13</v>
      </c>
      <c r="U1696" s="223"/>
      <c r="V1696" s="223" t="str">
        <f t="array" ref="V1696:V1697">{"SIMPLELIMITEDL15";((IF("15"=(INDEX(ALLCLASSDATA,MATCH("SimpleLimitedLegendary",CLASSFEATUREHEADERS,0),MATCH($A1697,CLASSNAMEHEADERS,0))),(INDEX(ALLCLASSDATA,MATCH("SimpleLimitedLegendary",CLASSFEATUREHEADERS,0),MATCH(($A1697 &amp; "Points"),CLASSNAMEHEADERS,0))),(IF("15"=(INDEX(ALLCLASSDATA,MATCH("SimpleLimitedMaster",CLASSFEATUREHEADERS,0),MATCH($A1697,CLASSNAMEHEADERS,0))),(INDEX(ALLCLASSDATA,MATCH("SimpleLimitedMaster",CLASSFEATUREHEADERS,0),MATCH(($A1697 &amp; "Points"),CLASSNAMEHEADERS,0))),(IF("15"=(INDEX(ALLCLASSDATA,MATCH("SimpleLimitedExpert",CLASSFEATUREHEADERS,0),MATCH($A1697,CLASSNAMEHEADERS,0))),(INDEX(ALLCLASSDATA,MATCH("SimpleLimitedExpert",CLASSFEATUREHEADERS,0),MATCH(($A1697 &amp; "Points"),CLASSNAMEHEADERS,0))),(IF("15"=(INDEX(ALLCLASSDATA,MATCH("SimpleLimitedTrained",CLASSFEATUREHEADERS,0),MATCH($A1697,CLASSNAMEHEADERS,0))),(INDEX(ALLCLASSDATA,MATCH("SimpleLimitedTrained",CLASSFEATUREHEADERS,0),MATCH(($A1697 &amp; "Points"),CLASSNAMEHEADERS,0))),"")))))))))}</f>
        <v>SIMPLELIMITEDL15</v>
      </c>
      <c r="W1696" s="223"/>
      <c r="X1696" s="223" t="str">
        <f t="array" ref="X1696:X1697">{"SIMPLELIMITEDL17";((IF("17"=(INDEX(ALLCLASSDATA,MATCH("SimpleLimitedLegendary",CLASSFEATUREHEADERS,0),MATCH($A1697,CLASSNAMEHEADERS,0))),(INDEX(ALLCLASSDATA,MATCH("SimpleLimitedLegendary",CLASSFEATUREHEADERS,0),MATCH(($A1697 &amp; "Points"),CLASSNAMEHEADERS,0))),(IF("17"=(INDEX(ALLCLASSDATA,MATCH("SimpleLimitedMaster",CLASSFEATUREHEADERS,0),MATCH($A1697,CLASSNAMEHEADERS,0))),(INDEX(ALLCLASSDATA,MATCH("SimpleLimitedMaster",CLASSFEATUREHEADERS,0),MATCH(($A1697 &amp; "Points"),CLASSNAMEHEADERS,0))),(IF("17"=(INDEX(ALLCLASSDATA,MATCH("SimpleLimitedExpert",CLASSFEATUREHEADERS,0),MATCH($A1697,CLASSNAMEHEADERS,0))),(INDEX(ALLCLASSDATA,MATCH("SimpleLimitedExpert",CLASSFEATUREHEADERS,0),MATCH(($A1697 &amp; "Points"),CLASSNAMEHEADERS,0))),(IF("17"=(INDEX(ALLCLASSDATA,MATCH("SimpleLimitedTrained",CLASSFEATUREHEADERS,0),MATCH($A1697,CLASSNAMEHEADERS,0))),(INDEX(ALLCLASSDATA,MATCH("SimpleLimitedTrained",CLASSFEATUREHEADERS,0),MATCH(($A1697 &amp; "Points"),CLASSNAMEHEADERS,0))),"")))))))))}</f>
        <v>SIMPLELIMITEDL17</v>
      </c>
      <c r="Y1696" s="223"/>
      <c r="Z1696" s="223" t="str">
        <f t="array" ref="Z1696:Z1697">{"SIMPLELIMITEDL19";((IF("19"=(INDEX(ALLCLASSDATA,MATCH("SimpleLimitedLegendary",CLASSFEATUREHEADERS,0),MATCH($A1697,CLASSNAMEHEADERS,0))),(INDEX(ALLCLASSDATA,MATCH("SimpleLimitedLegendary",CLASSFEATUREHEADERS,0),MATCH(($A1697 &amp; "Points"),CLASSNAMEHEADERS,0))),(IF("19"=(INDEX(ALLCLASSDATA,MATCH("SimpleLimitedMaster",CLASSFEATUREHEADERS,0),MATCH($A1697,CLASSNAMEHEADERS,0))),(INDEX(ALLCLASSDATA,MATCH("SimpleLimitedMaster",CLASSFEATUREHEADERS,0),MATCH(($A1697 &amp; "Points"),CLASSNAMEHEADERS,0))),(IF("19"=(INDEX(ALLCLASSDATA,MATCH("SimpleLimitedExpert",CLASSFEATUREHEADERS,0),MATCH($A1697,CLASSNAMEHEADERS,0))),(INDEX(ALLCLASSDATA,MATCH("SimpleLimitedExpert",CLASSFEATUREHEADERS,0),MATCH(($A1697 &amp; "Points"),CLASSNAMEHEADERS,0))),(IF("19"=(INDEX(ALLCLASSDATA,MATCH("SimpleLimitedTrained",CLASSFEATUREHEADERS,0),MATCH($A1697,CLASSNAMEHEADERS,0))),(INDEX(ALLCLASSDATA,MATCH("SimpleLimitedTrained",CLASSFEATUREHEADERS,0),MATCH(($A1697 &amp; "Points"),CLASSNAMEHEADERS,0))),"")))))))))}</f>
        <v>SIMPLELIMITEDL19</v>
      </c>
      <c r="AA1696" s="223"/>
      <c r="AB1696" s="76" t="str">
        <f t="array" ref="AB1696:AB1697">{"SIMPLELIMITED TOTAL";(IF(COUNTBLANK(G1697:AA1697)=17,"L",(IF(COUNTBLANK(G1697:AA1697)=18,"M",(IF(COUNTBLANK(G1697:AA1697)=19,"E",(IF(COUNTBLANK(G1697:AA1697)=20,"T",""))))))))}</f>
        <v>SIMPLELIMITED TOTAL</v>
      </c>
      <c r="AC1696" s="76" t="str">
        <f t="array" ref="AC1696:AC1697">{"SIMPLELIMITED TOTAL";(sum(G1697:AA1697))}</f>
        <v>SIMPLELIMITED TOTAL</v>
      </c>
    </row>
    <row r="1697">
      <c r="A1697" s="48" t="s">
        <v>225</v>
      </c>
      <c r="B1697" s="48"/>
      <c r="C1697" s="48" t="s">
        <v>418</v>
      </c>
      <c r="D1697" s="48" t="s">
        <v>1634</v>
      </c>
      <c r="E1697" s="48" t="s">
        <v>599</v>
      </c>
      <c r="F1697" s="5" t="s">
        <v>603</v>
      </c>
      <c r="G1697" s="47" t="s">
        <v>603</v>
      </c>
      <c r="H1697" s="5" t="s">
        <v>603</v>
      </c>
      <c r="I1697" s="5"/>
      <c r="J1697" s="5" t="s">
        <v>603</v>
      </c>
      <c r="K1697" s="5"/>
      <c r="L1697" s="5" t="s">
        <v>603</v>
      </c>
      <c r="M1697" s="5"/>
      <c r="N1697" s="5" t="s">
        <v>603</v>
      </c>
      <c r="O1697" s="5"/>
      <c r="P1697" s="5" t="s">
        <v>603</v>
      </c>
      <c r="Q1697" s="5"/>
      <c r="R1697" s="5" t="s">
        <v>603</v>
      </c>
      <c r="S1697" s="5"/>
      <c r="T1697" s="5" t="s">
        <v>603</v>
      </c>
      <c r="U1697" s="5"/>
      <c r="V1697" s="5" t="s">
        <v>603</v>
      </c>
      <c r="W1697" s="5"/>
      <c r="X1697" s="5" t="s">
        <v>603</v>
      </c>
      <c r="Y1697" s="5"/>
      <c r="Z1697" s="5" t="s">
        <v>603</v>
      </c>
      <c r="AA1697" s="5"/>
      <c r="AB1697" s="5" t="s">
        <v>603</v>
      </c>
      <c r="AC1697" s="47">
        <v>0.0</v>
      </c>
    </row>
    <row r="1698" hidden="1">
      <c r="A1698" s="222" t="str">
        <f t="array" ref="A1698:A1699">{"FormulaRow29";(INDEX(CLASSLIST,A1641,1))}</f>
        <v>FormulaRow29</v>
      </c>
      <c r="B1698" s="77" t="s">
        <v>236</v>
      </c>
      <c r="C1698" s="222" t="str">
        <f t="array" ref="C1698:C1699">{"CLASSTYPE";((INDEX(ALLCLASSDATA,MATCH("ClassType",CLASSFEATUREHEADERS,0),MATCH($A1699,CLASSNAMEHEADERS,0))))}</f>
        <v>CLASSTYPE</v>
      </c>
      <c r="D1698" s="222" t="str">
        <f t="array" ref="D1698:D1699">{"ATTACK";"Attack"}</f>
        <v>ATTACK</v>
      </c>
      <c r="E1698" s="222" t="str">
        <f t="array" ref="E1698:E1699">{"SIMPLE";"Simple"}</f>
        <v>SIMPLE</v>
      </c>
      <c r="F1698" s="223" t="str">
        <f t="array" ref="F1698:F1699">{"SIMPLEINITIAL";((IF(H1699=10,"T",(IF(H1699=50,"E","")))))}</f>
        <v>SIMPLEINITIAL</v>
      </c>
      <c r="G1698" s="223" t="str">
        <f t="array" ref="G1698:G1699">{"SIMPLEINITIALPTS";((IF("00"=(INDEX(ALLCLASSDATA,MATCH("SimpleLegendary",CLASSFEATUREHEADERS,0),MATCH($A1699,CLASSNAMEHEADERS,0))),(INDEX(ALLCLASSDATA,MATCH("SimpleLegendary",CLASSFEATUREHEADERS,0),MATCH(($A1699 &amp; "Points"),CLASSNAMEHEADERS,0))),(IF("00"=(INDEX(ALLCLASSDATA,MATCH("SimpleMaster",CLASSFEATUREHEADERS,0),MATCH($A1699,CLASSNAMEHEADERS,0))),(INDEX(ALLCLASSDATA,MATCH("SimpleMaster",CLASSFEATUREHEADERS,0),MATCH(($A1699 &amp; "Points"),CLASSNAMEHEADERS,0))),(IF("00"=(INDEX(ALLCLASSDATA,MATCH("SimpleExpert",CLASSFEATUREHEADERS,0),MATCH($A1699,CLASSNAMEHEADERS,0))),(INDEX(ALLCLASSDATA,MATCH("SimpleExpert",CLASSFEATUREHEADERS,0),MATCH(($A1699 &amp; "Points"),CLASSNAMEHEADERS,0))),(IF("00"=(INDEX(ALLCLASSDATA,MATCH("SimpleTrained",CLASSFEATUREHEADERS,0),MATCH($A1699,CLASSNAMEHEADERS,0))),(INDEX(ALLCLASSDATA,MATCH("SimpleTrained",CLASSFEATUREHEADERS,0),MATCH(($A1699 &amp; "Points"),CLASSNAMEHEADERS,0))),"")))))))))}</f>
        <v>SIMPLEINITIALPTS</v>
      </c>
      <c r="H1698" s="223" t="str">
        <f t="array" ref="H1698:H1699">{"SIMPLEL01";((IF("01"=(INDEX(ALLCLASSDATA,MATCH("SimpleLegendary",CLASSFEATUREHEADERS,0),MATCH($A1699,CLASSNAMEHEADERS,0))),(INDEX(ALLCLASSDATA,MATCH("SimpleLegendary",CLASSFEATUREHEADERS,0),MATCH(($A1699 &amp; "Points"),CLASSNAMEHEADERS,0))),(IF("01"=(INDEX(ALLCLASSDATA,MATCH("SimpleMaster",CLASSFEATUREHEADERS,0),MATCH($A1699,CLASSNAMEHEADERS,0))),(INDEX(ALLCLASSDATA,MATCH("SimpleMaster",CLASSFEATUREHEADERS,0),MATCH(($A1699 &amp; "Points"),CLASSNAMEHEADERS,0))),(IF("01"=(INDEX(ALLCLASSDATA,MATCH("SimpleExpert",CLASSFEATUREHEADERS,0),MATCH($A1699,CLASSNAMEHEADERS,0))),(INDEX(ALLCLASSDATA,MATCH("SimpleExpert",CLASSFEATUREHEADERS,0),MATCH(($A1699 &amp; "Points"),CLASSNAMEHEADERS,0))),(IF("01"=(INDEX(ALLCLASSDATA,MATCH("SimpleTrained",CLASSFEATUREHEADERS,0),MATCH($A1699,CLASSNAMEHEADERS,0))),(INDEX(ALLCLASSDATA,MATCH("SimpleTrained",CLASSFEATUREHEADERS,0),MATCH(($A1699 &amp; "Points"),CLASSNAMEHEADERS,0))),"")))))))))}</f>
        <v>SIMPLEL01</v>
      </c>
      <c r="I1698" s="223"/>
      <c r="J1698" s="223" t="str">
        <f t="array" ref="J1698:J1699">{"SIMPLEL03";((IF("03"=(INDEX(ALLCLASSDATA,MATCH("SimpleLegendary",CLASSFEATUREHEADERS,0),MATCH($A1699,CLASSNAMEHEADERS,0))),(INDEX(ALLCLASSDATA,MATCH("SimpleLegendary",CLASSFEATUREHEADERS,0),MATCH(($A1699 &amp; "Points"),CLASSNAMEHEADERS,0))),(IF("03"=(INDEX(ALLCLASSDATA,MATCH("SimpleMaster",CLASSFEATUREHEADERS,0),MATCH($A1699,CLASSNAMEHEADERS,0))),(INDEX(ALLCLASSDATA,MATCH("SimpleMaster",CLASSFEATUREHEADERS,0),MATCH(($A1699 &amp; "Points"),CLASSNAMEHEADERS,0))),(IF("03"=(INDEX(ALLCLASSDATA,MATCH("SimpleExpert",CLASSFEATUREHEADERS,0),MATCH($A1699,CLASSNAMEHEADERS,0))),(INDEX(ALLCLASSDATA,MATCH("SimpleExpert",CLASSFEATUREHEADERS,0),MATCH(($A1699 &amp; "Points"),CLASSNAMEHEADERS,0))),(IF("03"=(INDEX(ALLCLASSDATA,MATCH("SimpleTrained",CLASSFEATUREHEADERS,0),MATCH($A1699,CLASSNAMEHEADERS,0))),(INDEX(ALLCLASSDATA,MATCH("SimpleTrained",CLASSFEATUREHEADERS,0),MATCH(($A1699 &amp; "Points"),CLASSNAMEHEADERS,0))),"")))))))))}</f>
        <v>SIMPLEL03</v>
      </c>
      <c r="K1698" s="223"/>
      <c r="L1698" s="223" t="str">
        <f t="array" ref="L1698:L1699">{"SIMPLEL05";((IF("05"=(INDEX(ALLCLASSDATA,MATCH("SimpleLegendary",CLASSFEATUREHEADERS,0),MATCH($A1699,CLASSNAMEHEADERS,0))),(INDEX(ALLCLASSDATA,MATCH("SimpleLegendary",CLASSFEATUREHEADERS,0),MATCH(($A1699 &amp; "Points"),CLASSNAMEHEADERS,0))),(IF("05"=(INDEX(ALLCLASSDATA,MATCH("SimpleMaster",CLASSFEATUREHEADERS,0),MATCH($A1699,CLASSNAMEHEADERS,0))),(INDEX(ALLCLASSDATA,MATCH("SimpleMaster",CLASSFEATUREHEADERS,0),MATCH(($A1699 &amp; "Points"),CLASSNAMEHEADERS,0))),(IF("05"=(INDEX(ALLCLASSDATA,MATCH("SimpleExpert",CLASSFEATUREHEADERS,0),MATCH($A1699,CLASSNAMEHEADERS,0))),(INDEX(ALLCLASSDATA,MATCH("SimpleExpert",CLASSFEATUREHEADERS,0),MATCH(($A1699 &amp; "Points"),CLASSNAMEHEADERS,0))),(IF("05"=(INDEX(ALLCLASSDATA,MATCH("SimpleTrained",CLASSFEATUREHEADERS,0),MATCH($A1699,CLASSNAMEHEADERS,0))),(INDEX(ALLCLASSDATA,MATCH("SimpleTrained",CLASSFEATUREHEADERS,0),MATCH(($A1699 &amp; "Points"),CLASSNAMEHEADERS,0))),"")))))))))}</f>
        <v>SIMPLEL05</v>
      </c>
      <c r="M1698" s="223"/>
      <c r="N1698" s="223" t="str">
        <f t="array" ref="N1698:N1699">{"SIMPLEL07";((IF("07"=(INDEX(ALLCLASSDATA,MATCH("SimpleLegendary",CLASSFEATUREHEADERS,0),MATCH($A1699,CLASSNAMEHEADERS,0))),(INDEX(ALLCLASSDATA,MATCH("SimpleLegendary",CLASSFEATUREHEADERS,0),MATCH(($A1699 &amp; "Points"),CLASSNAMEHEADERS,0))),(IF("07"=(INDEX(ALLCLASSDATA,MATCH("SimpleMaster",CLASSFEATUREHEADERS,0),MATCH($A1699,CLASSNAMEHEADERS,0))),(INDEX(ALLCLASSDATA,MATCH("SimpleMaster",CLASSFEATUREHEADERS,0),MATCH(($A1699 &amp; "Points"),CLASSNAMEHEADERS,0))),(IF("07"=(INDEX(ALLCLASSDATA,MATCH("SimpleExpert",CLASSFEATUREHEADERS,0),MATCH($A1699,CLASSNAMEHEADERS,0))),(INDEX(ALLCLASSDATA,MATCH("SimpleExpert",CLASSFEATUREHEADERS,0),MATCH(($A1699 &amp; "Points"),CLASSNAMEHEADERS,0))),(IF("07"=(INDEX(ALLCLASSDATA,MATCH("SimpleTrained",CLASSFEATUREHEADERS,0),MATCH($A1699,CLASSNAMEHEADERS,0))),(INDEX(ALLCLASSDATA,MATCH("SimpleTrained",CLASSFEATUREHEADERS,0),MATCH(($A1699 &amp; "Points"),CLASSNAMEHEADERS,0))),"")))))))))}</f>
        <v>SIMPLEL07</v>
      </c>
      <c r="O1698" s="223"/>
      <c r="P1698" s="223" t="str">
        <f t="array" ref="P1698:P1699">{"SIMPLEL09";((IF("09"=(INDEX(ALLCLASSDATA,MATCH("SimpleLegendary",CLASSFEATUREHEADERS,0),MATCH($A1699,CLASSNAMEHEADERS,0))),(INDEX(ALLCLASSDATA,MATCH("SimpleLegendary",CLASSFEATUREHEADERS,0),MATCH(($A1699 &amp; "Points"),CLASSNAMEHEADERS,0))),(IF("09"=(INDEX(ALLCLASSDATA,MATCH("SimpleMaster",CLASSFEATUREHEADERS,0),MATCH($A1699,CLASSNAMEHEADERS,0))),(INDEX(ALLCLASSDATA,MATCH("SimpleMaster",CLASSFEATUREHEADERS,0),MATCH(($A1699 &amp; "Points"),CLASSNAMEHEADERS,0))),(IF("09"=(INDEX(ALLCLASSDATA,MATCH("SimpleExpert",CLASSFEATUREHEADERS,0),MATCH($A1699,CLASSNAMEHEADERS,0))),(INDEX(ALLCLASSDATA,MATCH("SimpleExpert",CLASSFEATUREHEADERS,0),MATCH(($A1699 &amp; "Points"),CLASSNAMEHEADERS,0))),(IF("09"=(INDEX(ALLCLASSDATA,MATCH("SimpleTrained",CLASSFEATUREHEADERS,0),MATCH($A1699,CLASSNAMEHEADERS,0))),(INDEX(ALLCLASSDATA,MATCH("SimpleTrained",CLASSFEATUREHEADERS,0),MATCH(($A1699 &amp; "Points"),CLASSNAMEHEADERS,0))),"")))))))))}</f>
        <v>SIMPLEL09</v>
      </c>
      <c r="Q1698" s="223"/>
      <c r="R1698" s="223" t="str">
        <f t="array" ref="R1698:R1699">{"SIMPLEL11";((IF("11"=(INDEX(ALLCLASSDATA,MATCH("SimpleLegendary",CLASSFEATUREHEADERS,0),MATCH($A1699,CLASSNAMEHEADERS,0))),(INDEX(ALLCLASSDATA,MATCH("SimpleLegendary",CLASSFEATUREHEADERS,0),MATCH(($A1699 &amp; "Points"),CLASSNAMEHEADERS,0))),(IF("11"=(INDEX(ALLCLASSDATA,MATCH("SimpleMaster",CLASSFEATUREHEADERS,0),MATCH($A1699,CLASSNAMEHEADERS,0))),(INDEX(ALLCLASSDATA,MATCH("SimpleMaster",CLASSFEATUREHEADERS,0),MATCH(($A1699 &amp; "Points"),CLASSNAMEHEADERS,0))),(IF("11"=(INDEX(ALLCLASSDATA,MATCH("SimpleExpert",CLASSFEATUREHEADERS,0),MATCH($A1699,CLASSNAMEHEADERS,0))),(INDEX(ALLCLASSDATA,MATCH("SimpleExpert",CLASSFEATUREHEADERS,0),MATCH(($A1699 &amp; "Points"),CLASSNAMEHEADERS,0))),(IF("11"=(INDEX(ALLCLASSDATA,MATCH("SimpleTrained",CLASSFEATUREHEADERS,0),MATCH($A1699,CLASSNAMEHEADERS,0))),(INDEX(ALLCLASSDATA,MATCH("SimpleTrained",CLASSFEATUREHEADERS,0),MATCH(($A1699 &amp; "Points"),CLASSNAMEHEADERS,0))),"")))))))))}</f>
        <v>SIMPLEL11</v>
      </c>
      <c r="S1698" s="223"/>
      <c r="T1698" s="223" t="str">
        <f t="array" ref="T1698:T1699">{"SIMPLEL13";((IF("13"=(INDEX(ALLCLASSDATA,MATCH("SimpleLegendary",CLASSFEATUREHEADERS,0),MATCH($A1699,CLASSNAMEHEADERS,0))),(INDEX(ALLCLASSDATA,MATCH("SimpleLegendary",CLASSFEATUREHEADERS,0),MATCH(($A1699 &amp; "Points"),CLASSNAMEHEADERS,0))),(IF("13"=(INDEX(ALLCLASSDATA,MATCH("SimpleMaster",CLASSFEATUREHEADERS,0),MATCH($A1699,CLASSNAMEHEADERS,0))),(INDEX(ALLCLASSDATA,MATCH("SimpleMaster",CLASSFEATUREHEADERS,0),MATCH(($A1699 &amp; "Points"),CLASSNAMEHEADERS,0))),(IF("13"=(INDEX(ALLCLASSDATA,MATCH("SimpleExpert",CLASSFEATUREHEADERS,0),MATCH($A1699,CLASSNAMEHEADERS,0))),(INDEX(ALLCLASSDATA,MATCH("SimpleExpert",CLASSFEATUREHEADERS,0),MATCH(($A1699 &amp; "Points"),CLASSNAMEHEADERS,0))),(IF("13"=(INDEX(ALLCLASSDATA,MATCH("SimpleTrained",CLASSFEATUREHEADERS,0),MATCH($A1699,CLASSNAMEHEADERS,0))),(INDEX(ALLCLASSDATA,MATCH("SimpleTrained",CLASSFEATUREHEADERS,0),MATCH(($A1699 &amp; "Points"),CLASSNAMEHEADERS,0))),"")))))))))}</f>
        <v>SIMPLEL13</v>
      </c>
      <c r="U1698" s="223"/>
      <c r="V1698" s="223" t="str">
        <f t="array" ref="V1698:V1699">{"SIMPLEL15";((IF("15"=(INDEX(ALLCLASSDATA,MATCH("SimpleLegendary",CLASSFEATUREHEADERS,0),MATCH($A1699,CLASSNAMEHEADERS,0))),(INDEX(ALLCLASSDATA,MATCH("SimpleLegendary",CLASSFEATUREHEADERS,0),MATCH(($A1699 &amp; "Points"),CLASSNAMEHEADERS,0))),(IF("15"=(INDEX(ALLCLASSDATA,MATCH("SimpleMaster",CLASSFEATUREHEADERS,0),MATCH($A1699,CLASSNAMEHEADERS,0))),(INDEX(ALLCLASSDATA,MATCH("SimpleMaster",CLASSFEATUREHEADERS,0),MATCH(($A1699 &amp; "Points"),CLASSNAMEHEADERS,0))),(IF("15"=(INDEX(ALLCLASSDATA,MATCH("SimpleExpert",CLASSFEATUREHEADERS,0),MATCH($A1699,CLASSNAMEHEADERS,0))),(INDEX(ALLCLASSDATA,MATCH("SimpleExpert",CLASSFEATUREHEADERS,0),MATCH(($A1699 &amp; "Points"),CLASSNAMEHEADERS,0))),(IF("15"=(INDEX(ALLCLASSDATA,MATCH("SimpleTrained",CLASSFEATUREHEADERS,0),MATCH($A1699,CLASSNAMEHEADERS,0))),(INDEX(ALLCLASSDATA,MATCH("SimpleTrained",CLASSFEATUREHEADERS,0),MATCH(($A1699 &amp; "Points"),CLASSNAMEHEADERS,0))),"")))))))))}</f>
        <v>SIMPLEL15</v>
      </c>
      <c r="W1698" s="223"/>
      <c r="X1698" s="223" t="str">
        <f t="array" ref="X1698:X1699">{"SIMPLEL17";((IF("17"=(INDEX(ALLCLASSDATA,MATCH("SimpleLegendary",CLASSFEATUREHEADERS,0),MATCH($A1699,CLASSNAMEHEADERS,0))),(INDEX(ALLCLASSDATA,MATCH("SimpleLegendary",CLASSFEATUREHEADERS,0),MATCH(($A1699 &amp; "Points"),CLASSNAMEHEADERS,0))),(IF("17"=(INDEX(ALLCLASSDATA,MATCH("SimpleMaster",CLASSFEATUREHEADERS,0),MATCH($A1699,CLASSNAMEHEADERS,0))),(INDEX(ALLCLASSDATA,MATCH("SimpleMaster",CLASSFEATUREHEADERS,0),MATCH(($A1699 &amp; "Points"),CLASSNAMEHEADERS,0))),(IF("17"=(INDEX(ALLCLASSDATA,MATCH("SimpleExpert",CLASSFEATUREHEADERS,0),MATCH($A1699,CLASSNAMEHEADERS,0))),(INDEX(ALLCLASSDATA,MATCH("SimpleExpert",CLASSFEATUREHEADERS,0),MATCH(($A1699 &amp; "Points"),CLASSNAMEHEADERS,0))),(IF("17"=(INDEX(ALLCLASSDATA,MATCH("SimpleTrained",CLASSFEATUREHEADERS,0),MATCH($A1699,CLASSNAMEHEADERS,0))),(INDEX(ALLCLASSDATA,MATCH("SimpleTrained",CLASSFEATUREHEADERS,0),MATCH(($A1699 &amp; "Points"),CLASSNAMEHEADERS,0))),"")))))))))}</f>
        <v>SIMPLEL17</v>
      </c>
      <c r="Y1698" s="223"/>
      <c r="Z1698" s="223" t="str">
        <f t="array" ref="Z1698:Z1699">{"SIMPLEL19";((IF("19"=(INDEX(ALLCLASSDATA,MATCH("SimpleLegendary",CLASSFEATUREHEADERS,0),MATCH($A1699,CLASSNAMEHEADERS,0))),(INDEX(ALLCLASSDATA,MATCH("SimpleLegendary",CLASSFEATUREHEADERS,0),MATCH(($A1699 &amp; "Points"),CLASSNAMEHEADERS,0))),(IF("19"=(INDEX(ALLCLASSDATA,MATCH("SimpleMaster",CLASSFEATUREHEADERS,0),MATCH($A1699,CLASSNAMEHEADERS,0))),(INDEX(ALLCLASSDATA,MATCH("SimpleMaster",CLASSFEATUREHEADERS,0),MATCH(($A1699 &amp; "Points"),CLASSNAMEHEADERS,0))),(IF("19"=(INDEX(ALLCLASSDATA,MATCH("SimpleExpert",CLASSFEATUREHEADERS,0),MATCH($A1699,CLASSNAMEHEADERS,0))),(INDEX(ALLCLASSDATA,MATCH("SimpleExpert",CLASSFEATUREHEADERS,0),MATCH(($A1699 &amp; "Points"),CLASSNAMEHEADERS,0))),(IF("19"=(INDEX(ALLCLASSDATA,MATCH("SimpleTrained",CLASSFEATUREHEADERS,0),MATCH($A1699,CLASSNAMEHEADERS,0))),(INDEX(ALLCLASSDATA,MATCH("SimpleTrained",CLASSFEATUREHEADERS,0),MATCH(($A1699 &amp; "Points"),CLASSNAMEHEADERS,0))),"")))))))))}</f>
        <v>SIMPLEL19</v>
      </c>
      <c r="AA1698" s="223"/>
      <c r="AB1698" s="76" t="str">
        <f t="array" ref="AB1698:AB1699">{"SIMPLE TOTAL";(IF(COUNTBLANK(G1699:AA1699)=17,"L",(IF(COUNTBLANK(G1699:AA1699)=18,"M",(IF(COUNTBLANK(G1699:AA1699)=19,"E",(IF(COUNTBLANK(G1699:AA1699)=20,"T",""))))))))}</f>
        <v>SIMPLE TOTAL</v>
      </c>
      <c r="AC1698" s="76" t="str">
        <f t="array" ref="AC1698:AC1699">{"SIMPLE TOTAL";(sum(G1699:AA1699))}</f>
        <v>SIMPLE TOTAL</v>
      </c>
    </row>
    <row r="1699">
      <c r="A1699" s="48" t="s">
        <v>225</v>
      </c>
      <c r="B1699" s="48"/>
      <c r="C1699" s="48" t="s">
        <v>418</v>
      </c>
      <c r="D1699" s="48" t="s">
        <v>1634</v>
      </c>
      <c r="E1699" s="48" t="s">
        <v>68</v>
      </c>
      <c r="F1699" s="5" t="s">
        <v>435</v>
      </c>
      <c r="G1699" s="47" t="s">
        <v>603</v>
      </c>
      <c r="H1699" s="5">
        <v>10.0</v>
      </c>
      <c r="I1699" s="5"/>
      <c r="J1699" s="5" t="s">
        <v>603</v>
      </c>
      <c r="K1699" s="5"/>
      <c r="L1699" s="5" t="s">
        <v>603</v>
      </c>
      <c r="M1699" s="5"/>
      <c r="N1699" s="5" t="s">
        <v>603</v>
      </c>
      <c r="O1699" s="5"/>
      <c r="P1699" s="5" t="s">
        <v>603</v>
      </c>
      <c r="Q1699" s="5"/>
      <c r="R1699" s="5">
        <v>50.0</v>
      </c>
      <c r="S1699" s="5"/>
      <c r="T1699" s="5" t="s">
        <v>603</v>
      </c>
      <c r="U1699" s="5"/>
      <c r="V1699" s="5" t="s">
        <v>603</v>
      </c>
      <c r="W1699" s="5"/>
      <c r="X1699" s="5" t="s">
        <v>603</v>
      </c>
      <c r="Y1699" s="5"/>
      <c r="Z1699" s="5" t="s">
        <v>603</v>
      </c>
      <c r="AA1699" s="5"/>
      <c r="AB1699" s="5" t="s">
        <v>436</v>
      </c>
      <c r="AC1699" s="47">
        <v>60.0</v>
      </c>
    </row>
    <row r="1700" hidden="1">
      <c r="A1700" s="222" t="str">
        <f t="array" ref="A1700:A1701">{"FormulaRow30";(INDEX(CLASSLIST,A1641,1))}</f>
        <v>FormulaRow30</v>
      </c>
      <c r="B1700" s="77" t="s">
        <v>236</v>
      </c>
      <c r="C1700" s="222" t="str">
        <f t="array" ref="C1700:C1701">{"CLASSTYPE";((INDEX(ALLCLASSDATA,MATCH("ClassType",CLASSFEATUREHEADERS,0),MATCH($A1701,CLASSNAMEHEADERS,0))))}</f>
        <v>CLASSTYPE</v>
      </c>
      <c r="D1700" s="222" t="str">
        <f t="array" ref="D1700:D1701">{"ATTACK";"Attack"}</f>
        <v>ATTACK</v>
      </c>
      <c r="E1700" s="222" t="str">
        <f t="array" ref="E1700:E1701">{"MARTIALLIMITED";"MartialLimited"}</f>
        <v>MARTIALLIMITED</v>
      </c>
      <c r="F1700" s="223" t="str">
        <f t="array" ref="F1700:F1701">{"MARTIALLIMITEDINITIAL";((IF(H1701=10,"T",(IF(H1701=50,"E","")))))}</f>
        <v>MARTIALLIMITEDINITIAL</v>
      </c>
      <c r="G1700" s="223" t="str">
        <f t="array" ref="G1700:G1701">{"MARTIALLIMITEDINITIALPTS";((IF("00"=(INDEX(ALLCLASSDATA,MATCH("MartialLimitedLegendary",CLASSFEATUREHEADERS,0),MATCH($A1701,CLASSNAMEHEADERS,0))),(INDEX(ALLCLASSDATA,MATCH("MartialLimitedLegendary",CLASSFEATUREHEADERS,0),MATCH(($A1701 &amp; "Points"),CLASSNAMEHEADERS,0))),(IF("00"=(INDEX(ALLCLASSDATA,MATCH("MartialLimitedMaster",CLASSFEATUREHEADERS,0),MATCH($A1701,CLASSNAMEHEADERS,0))),(INDEX(ALLCLASSDATA,MATCH("MartialLimitedMaster",CLASSFEATUREHEADERS,0),MATCH(($A1701 &amp; "Points"),CLASSNAMEHEADERS,0))),(IF("00"=(INDEX(ALLCLASSDATA,MATCH("MartialLimitedExpert",CLASSFEATUREHEADERS,0),MATCH($A1701,CLASSNAMEHEADERS,0))),(INDEX(ALLCLASSDATA,MATCH("MartialLimitedExpert",CLASSFEATUREHEADERS,0),MATCH(($A1701 &amp; "Points"),CLASSNAMEHEADERS,0))),(IF("00"=(INDEX(ALLCLASSDATA,MATCH("MartialLimitedTrained",CLASSFEATUREHEADERS,0),MATCH($A1701,CLASSNAMEHEADERS,0))),(INDEX(ALLCLASSDATA,MATCH("MartialLimitedTrained",CLASSFEATUREHEADERS,0),MATCH(($A1701 &amp; "Points"),CLASSNAMEHEADERS,0))),"")))))))))}</f>
        <v>MARTIALLIMITEDINITIALPTS</v>
      </c>
      <c r="H1700" s="223" t="str">
        <f t="array" ref="H1700:H1701">{"MARTIALLIMITEDL01";((IF("01"=(INDEX(ALLCLASSDATA,MATCH("MartialLimitedLegendary",CLASSFEATUREHEADERS,0),MATCH($A1701,CLASSNAMEHEADERS,0))),(INDEX(ALLCLASSDATA,MATCH("MartialLimitedLegendary",CLASSFEATUREHEADERS,0),MATCH(($A1701 &amp; "Points"),CLASSNAMEHEADERS,0))),(IF("01"=(INDEX(ALLCLASSDATA,MATCH("MartialLimitedMaster",CLASSFEATUREHEADERS,0),MATCH($A1701,CLASSNAMEHEADERS,0))),(INDEX(ALLCLASSDATA,MATCH("MartialLimitedMaster",CLASSFEATUREHEADERS,0),MATCH(($A1701 &amp; "Points"),CLASSNAMEHEADERS,0))),(IF("01"=(INDEX(ALLCLASSDATA,MATCH("MartialLimitedExpert",CLASSFEATUREHEADERS,0),MATCH($A1701,CLASSNAMEHEADERS,0))),(INDEX(ALLCLASSDATA,MATCH("MartialLimitedExpert",CLASSFEATUREHEADERS,0),MATCH(($A1701 &amp; "Points"),CLASSNAMEHEADERS,0))),(IF("01"=(INDEX(ALLCLASSDATA,MATCH("MartialLimitedTrained",CLASSFEATUREHEADERS,0),MATCH($A1701,CLASSNAMEHEADERS,0))),(INDEX(ALLCLASSDATA,MATCH("MartialLimitedTrained",CLASSFEATUREHEADERS,0),MATCH(($A1701 &amp; "Points"),CLASSNAMEHEADERS,0))),"")))))))))}</f>
        <v>MARTIALLIMITEDL01</v>
      </c>
      <c r="I1700" s="223"/>
      <c r="J1700" s="223" t="str">
        <f t="array" ref="J1700:J1701">{"MARTIALLIMITEDL03";((IF("03"=(INDEX(ALLCLASSDATA,MATCH("MartialLimitedLegendary",CLASSFEATUREHEADERS,0),MATCH($A1701,CLASSNAMEHEADERS,0))),(INDEX(ALLCLASSDATA,MATCH("MartialLimitedLegendary",CLASSFEATUREHEADERS,0),MATCH(($A1701 &amp; "Points"),CLASSNAMEHEADERS,0))),(IF("03"=(INDEX(ALLCLASSDATA,MATCH("MartialLimitedMaster",CLASSFEATUREHEADERS,0),MATCH($A1701,CLASSNAMEHEADERS,0))),(INDEX(ALLCLASSDATA,MATCH("MartialLimitedMaster",CLASSFEATUREHEADERS,0),MATCH(($A1701 &amp; "Points"),CLASSNAMEHEADERS,0))),(IF("03"=(INDEX(ALLCLASSDATA,MATCH("MartialLimitedExpert",CLASSFEATUREHEADERS,0),MATCH($A1701,CLASSNAMEHEADERS,0))),(INDEX(ALLCLASSDATA,MATCH("MartialLimitedExpert",CLASSFEATUREHEADERS,0),MATCH(($A1701 &amp; "Points"),CLASSNAMEHEADERS,0))),(IF("03"=(INDEX(ALLCLASSDATA,MATCH("MartialLimitedTrained",CLASSFEATUREHEADERS,0),MATCH($A1701,CLASSNAMEHEADERS,0))),(INDEX(ALLCLASSDATA,MATCH("MartialLimitedTrained",CLASSFEATUREHEADERS,0),MATCH(($A1701 &amp; "Points"),CLASSNAMEHEADERS,0))),"")))))))))}</f>
        <v>MARTIALLIMITEDL03</v>
      </c>
      <c r="K1700" s="223"/>
      <c r="L1700" s="223" t="str">
        <f t="array" ref="L1700:L1701">{"MARTIALLIMITEDL05";((IF("05"=(INDEX(ALLCLASSDATA,MATCH("MartialLimitedLegendary",CLASSFEATUREHEADERS,0),MATCH($A1701,CLASSNAMEHEADERS,0))),(INDEX(ALLCLASSDATA,MATCH("MartialLimitedLegendary",CLASSFEATUREHEADERS,0),MATCH(($A1701 &amp; "Points"),CLASSNAMEHEADERS,0))),(IF("05"=(INDEX(ALLCLASSDATA,MATCH("MartialLimitedMaster",CLASSFEATUREHEADERS,0),MATCH($A1701,CLASSNAMEHEADERS,0))),(INDEX(ALLCLASSDATA,MATCH("MartialLimitedMaster",CLASSFEATUREHEADERS,0),MATCH(($A1701 &amp; "Points"),CLASSNAMEHEADERS,0))),(IF("05"=(INDEX(ALLCLASSDATA,MATCH("MartialLimitedExpert",CLASSFEATUREHEADERS,0),MATCH($A1701,CLASSNAMEHEADERS,0))),(INDEX(ALLCLASSDATA,MATCH("MartialLimitedExpert",CLASSFEATUREHEADERS,0),MATCH(($A1701 &amp; "Points"),CLASSNAMEHEADERS,0))),(IF("05"=(INDEX(ALLCLASSDATA,MATCH("MartialLimitedTrained",CLASSFEATUREHEADERS,0),MATCH($A1701,CLASSNAMEHEADERS,0))),(INDEX(ALLCLASSDATA,MATCH("MartialLimitedTrained",CLASSFEATUREHEADERS,0),MATCH(($A1701 &amp; "Points"),CLASSNAMEHEADERS,0))),"")))))))))}</f>
        <v>MARTIALLIMITEDL05</v>
      </c>
      <c r="M1700" s="223"/>
      <c r="N1700" s="223" t="str">
        <f t="array" ref="N1700:N1701">{"MARTIALLIMITEDL07";((IF("07"=(INDEX(ALLCLASSDATA,MATCH("MartialLimitedLegendary",CLASSFEATUREHEADERS,0),MATCH($A1701,CLASSNAMEHEADERS,0))),(INDEX(ALLCLASSDATA,MATCH("MartialLimitedLegendary",CLASSFEATUREHEADERS,0),MATCH(($A1701 &amp; "Points"),CLASSNAMEHEADERS,0))),(IF("07"=(INDEX(ALLCLASSDATA,MATCH("MartialLimitedMaster",CLASSFEATUREHEADERS,0),MATCH($A1701,CLASSNAMEHEADERS,0))),(INDEX(ALLCLASSDATA,MATCH("MartialLimitedMaster",CLASSFEATUREHEADERS,0),MATCH(($A1701 &amp; "Points"),CLASSNAMEHEADERS,0))),(IF("07"=(INDEX(ALLCLASSDATA,MATCH("MartialLimitedExpert",CLASSFEATUREHEADERS,0),MATCH($A1701,CLASSNAMEHEADERS,0))),(INDEX(ALLCLASSDATA,MATCH("MartialLimitedExpert",CLASSFEATUREHEADERS,0),MATCH(($A1701 &amp; "Points"),CLASSNAMEHEADERS,0))),(IF("07"=(INDEX(ALLCLASSDATA,MATCH("MartialLimitedTrained",CLASSFEATUREHEADERS,0),MATCH($A1701,CLASSNAMEHEADERS,0))),(INDEX(ALLCLASSDATA,MATCH("MartialLimitedTrained",CLASSFEATUREHEADERS,0),MATCH(($A1701 &amp; "Points"),CLASSNAMEHEADERS,0))),"")))))))))}</f>
        <v>MARTIALLIMITEDL07</v>
      </c>
      <c r="O1700" s="223"/>
      <c r="P1700" s="223" t="str">
        <f t="array" ref="P1700:P1701">{"MARTIALLIMITEDL09";((IF("09"=(INDEX(ALLCLASSDATA,MATCH("MartialLimitedLegendary",CLASSFEATUREHEADERS,0),MATCH($A1701,CLASSNAMEHEADERS,0))),(INDEX(ALLCLASSDATA,MATCH("MartialLimitedLegendary",CLASSFEATUREHEADERS,0),MATCH(($A1701 &amp; "Points"),CLASSNAMEHEADERS,0))),(IF("09"=(INDEX(ALLCLASSDATA,MATCH("MartialLimitedMaster",CLASSFEATUREHEADERS,0),MATCH($A1701,CLASSNAMEHEADERS,0))),(INDEX(ALLCLASSDATA,MATCH("MartialLimitedMaster",CLASSFEATUREHEADERS,0),MATCH(($A1701 &amp; "Points"),CLASSNAMEHEADERS,0))),(IF("09"=(INDEX(ALLCLASSDATA,MATCH("MartialLimitedExpert",CLASSFEATUREHEADERS,0),MATCH($A1701,CLASSNAMEHEADERS,0))),(INDEX(ALLCLASSDATA,MATCH("MartialLimitedExpert",CLASSFEATUREHEADERS,0),MATCH(($A1701 &amp; "Points"),CLASSNAMEHEADERS,0))),(IF("09"=(INDEX(ALLCLASSDATA,MATCH("MartialLimitedTrained",CLASSFEATUREHEADERS,0),MATCH($A1701,CLASSNAMEHEADERS,0))),(INDEX(ALLCLASSDATA,MATCH("MartialLimitedTrained",CLASSFEATUREHEADERS,0),MATCH(($A1701 &amp; "Points"),CLASSNAMEHEADERS,0))),"")))))))))}</f>
        <v>MARTIALLIMITEDL09</v>
      </c>
      <c r="Q1700" s="223"/>
      <c r="R1700" s="223" t="str">
        <f t="array" ref="R1700:R1701">{"MARTIALLIMITEDL11";((IF("11"=(INDEX(ALLCLASSDATA,MATCH("MartialLimitedLegendary",CLASSFEATUREHEADERS,0),MATCH($A1701,CLASSNAMEHEADERS,0))),(INDEX(ALLCLASSDATA,MATCH("MartialLimitedLegendary",CLASSFEATUREHEADERS,0),MATCH(($A1701 &amp; "Points"),CLASSNAMEHEADERS,0))),(IF("11"=(INDEX(ALLCLASSDATA,MATCH("MartialLimitedMaster",CLASSFEATUREHEADERS,0),MATCH($A1701,CLASSNAMEHEADERS,0))),(INDEX(ALLCLASSDATA,MATCH("MartialLimitedMaster",CLASSFEATUREHEADERS,0),MATCH(($A1701 &amp; "Points"),CLASSNAMEHEADERS,0))),(IF("11"=(INDEX(ALLCLASSDATA,MATCH("MartialLimitedExpert",CLASSFEATUREHEADERS,0),MATCH($A1701,CLASSNAMEHEADERS,0))),(INDEX(ALLCLASSDATA,MATCH("MartialLimitedExpert",CLASSFEATUREHEADERS,0),MATCH(($A1701 &amp; "Points"),CLASSNAMEHEADERS,0))),(IF("11"=(INDEX(ALLCLASSDATA,MATCH("MartialLimitedTrained",CLASSFEATUREHEADERS,0),MATCH($A1701,CLASSNAMEHEADERS,0))),(INDEX(ALLCLASSDATA,MATCH("MartialLimitedTrained",CLASSFEATUREHEADERS,0),MATCH(($A1701 &amp; "Points"),CLASSNAMEHEADERS,0))),"")))))))))}</f>
        <v>MARTIALLIMITEDL11</v>
      </c>
      <c r="S1700" s="223"/>
      <c r="T1700" s="223" t="str">
        <f t="array" ref="T1700:T1701">{"MARTIALLIMITEDL13";((IF("13"=(INDEX(ALLCLASSDATA,MATCH("MartialLimitedLegendary",CLASSFEATUREHEADERS,0),MATCH($A1701,CLASSNAMEHEADERS,0))),(INDEX(ALLCLASSDATA,MATCH("MartialLimitedLegendary",CLASSFEATUREHEADERS,0),MATCH(($A1701 &amp; "Points"),CLASSNAMEHEADERS,0))),(IF("13"=(INDEX(ALLCLASSDATA,MATCH("MartialLimitedMaster",CLASSFEATUREHEADERS,0),MATCH($A1701,CLASSNAMEHEADERS,0))),(INDEX(ALLCLASSDATA,MATCH("MartialLimitedMaster",CLASSFEATUREHEADERS,0),MATCH(($A1701 &amp; "Points"),CLASSNAMEHEADERS,0))),(IF("13"=(INDEX(ALLCLASSDATA,MATCH("MartialLimitedExpert",CLASSFEATUREHEADERS,0),MATCH($A1701,CLASSNAMEHEADERS,0))),(INDEX(ALLCLASSDATA,MATCH("MartialLimitedExpert",CLASSFEATUREHEADERS,0),MATCH(($A1701 &amp; "Points"),CLASSNAMEHEADERS,0))),(IF("13"=(INDEX(ALLCLASSDATA,MATCH("MartialLimitedTrained",CLASSFEATUREHEADERS,0),MATCH($A1701,CLASSNAMEHEADERS,0))),(INDEX(ALLCLASSDATA,MATCH("MartialLimitedTrained",CLASSFEATUREHEADERS,0),MATCH(($A1701 &amp; "Points"),CLASSNAMEHEADERS,0))),"")))))))))}</f>
        <v>MARTIALLIMITEDL13</v>
      </c>
      <c r="U1700" s="223"/>
      <c r="V1700" s="223" t="str">
        <f t="array" ref="V1700:V1701">{"MARTIALLIMITEDL15";((IF("15"=(INDEX(ALLCLASSDATA,MATCH("MartialLimitedLegendary",CLASSFEATUREHEADERS,0),MATCH($A1701,CLASSNAMEHEADERS,0))),(INDEX(ALLCLASSDATA,MATCH("MartialLimitedLegendary",CLASSFEATUREHEADERS,0),MATCH(($A1701 &amp; "Points"),CLASSNAMEHEADERS,0))),(IF("15"=(INDEX(ALLCLASSDATA,MATCH("MartialLimitedMaster",CLASSFEATUREHEADERS,0),MATCH($A1701,CLASSNAMEHEADERS,0))),(INDEX(ALLCLASSDATA,MATCH("MartialLimitedMaster",CLASSFEATUREHEADERS,0),MATCH(($A1701 &amp; "Points"),CLASSNAMEHEADERS,0))),(IF("15"=(INDEX(ALLCLASSDATA,MATCH("MartialLimitedExpert",CLASSFEATUREHEADERS,0),MATCH($A1701,CLASSNAMEHEADERS,0))),(INDEX(ALLCLASSDATA,MATCH("MartialLimitedExpert",CLASSFEATUREHEADERS,0),MATCH(($A1701 &amp; "Points"),CLASSNAMEHEADERS,0))),(IF("15"=(INDEX(ALLCLASSDATA,MATCH("MartialLimitedTrained",CLASSFEATUREHEADERS,0),MATCH($A1701,CLASSNAMEHEADERS,0))),(INDEX(ALLCLASSDATA,MATCH("MartialLimitedTrained",CLASSFEATUREHEADERS,0),MATCH(($A1701 &amp; "Points"),CLASSNAMEHEADERS,0))),"")))))))))}</f>
        <v>MARTIALLIMITEDL15</v>
      </c>
      <c r="W1700" s="223"/>
      <c r="X1700" s="223" t="str">
        <f t="array" ref="X1700:X1701">{"MARTIALLIMITEDL17";((IF("17"=(INDEX(ALLCLASSDATA,MATCH("MartialLimitedLegendary",CLASSFEATUREHEADERS,0),MATCH($A1701,CLASSNAMEHEADERS,0))),(INDEX(ALLCLASSDATA,MATCH("MartialLimitedLegendary",CLASSFEATUREHEADERS,0),MATCH(($A1701 &amp; "Points"),CLASSNAMEHEADERS,0))),(IF("17"=(INDEX(ALLCLASSDATA,MATCH("MartialLimitedMaster",CLASSFEATUREHEADERS,0),MATCH($A1701,CLASSNAMEHEADERS,0))),(INDEX(ALLCLASSDATA,MATCH("MartialLimitedMaster",CLASSFEATUREHEADERS,0),MATCH(($A1701 &amp; "Points"),CLASSNAMEHEADERS,0))),(IF("17"=(INDEX(ALLCLASSDATA,MATCH("MartialLimitedExpert",CLASSFEATUREHEADERS,0),MATCH($A1701,CLASSNAMEHEADERS,0))),(INDEX(ALLCLASSDATA,MATCH("MartialLimitedExpert",CLASSFEATUREHEADERS,0),MATCH(($A1701 &amp; "Points"),CLASSNAMEHEADERS,0))),(IF("17"=(INDEX(ALLCLASSDATA,MATCH("MartialLimitedTrained",CLASSFEATUREHEADERS,0),MATCH($A1701,CLASSNAMEHEADERS,0))),(INDEX(ALLCLASSDATA,MATCH("MartialLimitedTrained",CLASSFEATUREHEADERS,0),MATCH(($A1701 &amp; "Points"),CLASSNAMEHEADERS,0))),"")))))))))}</f>
        <v>MARTIALLIMITEDL17</v>
      </c>
      <c r="Y1700" s="223"/>
      <c r="Z1700" s="223" t="str">
        <f t="array" ref="Z1700:Z1701">{"MARTIALLIMITEDL19";((IF("19"=(INDEX(ALLCLASSDATA,MATCH("MartialLimitedLegendary",CLASSFEATUREHEADERS,0),MATCH($A1701,CLASSNAMEHEADERS,0))),(INDEX(ALLCLASSDATA,MATCH("MartialLimitedLegendary",CLASSFEATUREHEADERS,0),MATCH(($A1701 &amp; "Points"),CLASSNAMEHEADERS,0))),(IF("19"=(INDEX(ALLCLASSDATA,MATCH("MartialLimitedMaster",CLASSFEATUREHEADERS,0),MATCH($A1701,CLASSNAMEHEADERS,0))),(INDEX(ALLCLASSDATA,MATCH("MartialLimitedMaster",CLASSFEATUREHEADERS,0),MATCH(($A1701 &amp; "Points"),CLASSNAMEHEADERS,0))),(IF("19"=(INDEX(ALLCLASSDATA,MATCH("MartialLimitedExpert",CLASSFEATUREHEADERS,0),MATCH($A1701,CLASSNAMEHEADERS,0))),(INDEX(ALLCLASSDATA,MATCH("MartialLimitedExpert",CLASSFEATUREHEADERS,0),MATCH(($A1701 &amp; "Points"),CLASSNAMEHEADERS,0))),(IF("19"=(INDEX(ALLCLASSDATA,MATCH("MartialLimitedTrained",CLASSFEATUREHEADERS,0),MATCH($A1701,CLASSNAMEHEADERS,0))),(INDEX(ALLCLASSDATA,MATCH("MartialLimitedTrained",CLASSFEATUREHEADERS,0),MATCH(($A1701 &amp; "Points"),CLASSNAMEHEADERS,0))),"")))))))))}</f>
        <v>MARTIALLIMITEDL19</v>
      </c>
      <c r="AA1700" s="223"/>
      <c r="AB1700" s="76" t="str">
        <f t="array" ref="AB1700:AB1701">{"MARTIALLIMITED TOTAL";(IF(COUNTBLANK(G1701:AA1701)=17,"L",(IF(COUNTBLANK(G1701:AA1701)=18,"M",(IF(COUNTBLANK(G1701:AA1701)=19,"E",(IF(COUNTBLANK(G1701:AA1701)=20,"T",""))))))))}</f>
        <v>MARTIALLIMITED TOTAL</v>
      </c>
      <c r="AC1700" s="76" t="str">
        <f t="array" ref="AC1700:AC1701">{"MARTIALLIMITED TOTAL";(sum(G1701:AA1701))}</f>
        <v>MARTIALLIMITED TOTAL</v>
      </c>
    </row>
    <row r="1701">
      <c r="A1701" s="48" t="s">
        <v>225</v>
      </c>
      <c r="B1701" s="48"/>
      <c r="C1701" s="48" t="s">
        <v>418</v>
      </c>
      <c r="D1701" s="48" t="s">
        <v>1634</v>
      </c>
      <c r="E1701" s="48" t="s">
        <v>600</v>
      </c>
      <c r="F1701" s="5" t="s">
        <v>603</v>
      </c>
      <c r="G1701" s="47" t="s">
        <v>603</v>
      </c>
      <c r="H1701" s="5" t="s">
        <v>603</v>
      </c>
      <c r="I1701" s="5"/>
      <c r="J1701" s="5" t="s">
        <v>603</v>
      </c>
      <c r="K1701" s="5"/>
      <c r="L1701" s="5" t="s">
        <v>603</v>
      </c>
      <c r="M1701" s="5"/>
      <c r="N1701" s="5" t="s">
        <v>603</v>
      </c>
      <c r="O1701" s="5"/>
      <c r="P1701" s="5" t="s">
        <v>603</v>
      </c>
      <c r="Q1701" s="5"/>
      <c r="R1701" s="5" t="s">
        <v>603</v>
      </c>
      <c r="S1701" s="5"/>
      <c r="T1701" s="5" t="s">
        <v>603</v>
      </c>
      <c r="U1701" s="5"/>
      <c r="V1701" s="5" t="s">
        <v>603</v>
      </c>
      <c r="W1701" s="5"/>
      <c r="X1701" s="5" t="s">
        <v>603</v>
      </c>
      <c r="Y1701" s="5"/>
      <c r="Z1701" s="5" t="s">
        <v>603</v>
      </c>
      <c r="AA1701" s="5"/>
      <c r="AB1701" s="5" t="s">
        <v>603</v>
      </c>
      <c r="AC1701" s="47">
        <v>0.0</v>
      </c>
    </row>
    <row r="1702" hidden="1">
      <c r="A1702" s="222" t="str">
        <f t="array" ref="A1702:A1703">{"FormulaRow31";(INDEX(CLASSLIST,A1641,1))}</f>
        <v>FormulaRow31</v>
      </c>
      <c r="B1702" s="77" t="s">
        <v>236</v>
      </c>
      <c r="C1702" s="222" t="str">
        <f t="array" ref="C1702:C1703">{"CLASSTYPE";((INDEX(ALLCLASSDATA,MATCH("ClassType",CLASSFEATUREHEADERS,0),MATCH($A1703,CLASSNAMEHEADERS,0))))}</f>
        <v>CLASSTYPE</v>
      </c>
      <c r="D1702" s="222" t="str">
        <f t="array" ref="D1702:D1703">{"ATTACK";"Attack"}</f>
        <v>ATTACK</v>
      </c>
      <c r="E1702" s="222" t="str">
        <f t="array" ref="E1702:E1703">{"MARTIAL";"Martial"}</f>
        <v>MARTIAL</v>
      </c>
      <c r="F1702" s="223" t="str">
        <f t="array" ref="F1702:F1703">{"MARTIALINITIAL";((IF(H1703=10,"T",(IF(H1703=50,"E","")))))}</f>
        <v>MARTIALINITIAL</v>
      </c>
      <c r="G1702" s="223" t="str">
        <f t="array" ref="G1702:G1703">{"MARTIALINITIALPTS";((IF("00"=(INDEX(ALLCLASSDATA,MATCH("MartialLegendary",CLASSFEATUREHEADERS,0),MATCH($A1703,CLASSNAMEHEADERS,0))),(INDEX(ALLCLASSDATA,MATCH("MartialLegendary",CLASSFEATUREHEADERS,0),MATCH(($A1703 &amp; "Points"),CLASSNAMEHEADERS,0))),(IF("00"=(INDEX(ALLCLASSDATA,MATCH("MartialMaster",CLASSFEATUREHEADERS,0),MATCH($A1703,CLASSNAMEHEADERS,0))),(INDEX(ALLCLASSDATA,MATCH("MartialMaster",CLASSFEATUREHEADERS,0),MATCH(($A1703 &amp; "Points"),CLASSNAMEHEADERS,0))),(IF("00"=(INDEX(ALLCLASSDATA,MATCH("MartialExpert",CLASSFEATUREHEADERS,0),MATCH($A1703,CLASSNAMEHEADERS,0))),(INDEX(ALLCLASSDATA,MATCH("MartialExpert",CLASSFEATUREHEADERS,0),MATCH(($A1703 &amp; "Points"),CLASSNAMEHEADERS,0))),(IF("00"=(INDEX(ALLCLASSDATA,MATCH("MartialTrained",CLASSFEATUREHEADERS,0),MATCH($A1703,CLASSNAMEHEADERS,0))),(INDEX(ALLCLASSDATA,MATCH("MartialTrained",CLASSFEATUREHEADERS,0),MATCH(($A1703 &amp; "Points"),CLASSNAMEHEADERS,0))),"")))))))))}</f>
        <v>MARTIALINITIALPTS</v>
      </c>
      <c r="H1702" s="223" t="str">
        <f t="array" ref="H1702:H1703">{"MARTIALL01";((IF("01"=(INDEX(ALLCLASSDATA,MATCH("MartialLegendary",CLASSFEATUREHEADERS,0),MATCH($A1703,CLASSNAMEHEADERS,0))),(INDEX(ALLCLASSDATA,MATCH("MartialLegendary",CLASSFEATUREHEADERS,0),MATCH(($A1703 &amp; "Points"),CLASSNAMEHEADERS,0))),(IF("01"=(INDEX(ALLCLASSDATA,MATCH("MartialMaster",CLASSFEATUREHEADERS,0),MATCH($A1703,CLASSNAMEHEADERS,0))),(INDEX(ALLCLASSDATA,MATCH("MartialMaster",CLASSFEATUREHEADERS,0),MATCH(($A1703 &amp; "Points"),CLASSNAMEHEADERS,0))),(IF("01"=(INDEX(ALLCLASSDATA,MATCH("MartialExpert",CLASSFEATUREHEADERS,0),MATCH($A1703,CLASSNAMEHEADERS,0))),(INDEX(ALLCLASSDATA,MATCH("MartialExpert",CLASSFEATUREHEADERS,0),MATCH(($A1703 &amp; "Points"),CLASSNAMEHEADERS,0))),(IF("01"=(INDEX(ALLCLASSDATA,MATCH("MartialTrained",CLASSFEATUREHEADERS,0),MATCH($A1703,CLASSNAMEHEADERS,0))),(INDEX(ALLCLASSDATA,MATCH("MartialTrained",CLASSFEATUREHEADERS,0),MATCH(($A1703 &amp; "Points"),CLASSNAMEHEADERS,0))),"")))))))))}</f>
        <v>MARTIALL01</v>
      </c>
      <c r="I1702" s="223"/>
      <c r="J1702" s="223" t="str">
        <f t="array" ref="J1702:J1703">{"MARTIALL03";((IF("03"=(INDEX(ALLCLASSDATA,MATCH("MartialLegendary",CLASSFEATUREHEADERS,0),MATCH($A1703,CLASSNAMEHEADERS,0))),(INDEX(ALLCLASSDATA,MATCH("MartialLegendary",CLASSFEATUREHEADERS,0),MATCH(($A1703 &amp; "Points"),CLASSNAMEHEADERS,0))),(IF("03"=(INDEX(ALLCLASSDATA,MATCH("MartialMaster",CLASSFEATUREHEADERS,0),MATCH($A1703,CLASSNAMEHEADERS,0))),(INDEX(ALLCLASSDATA,MATCH("MartialMaster",CLASSFEATUREHEADERS,0),MATCH(($A1703 &amp; "Points"),CLASSNAMEHEADERS,0))),(IF("03"=(INDEX(ALLCLASSDATA,MATCH("MartialExpert",CLASSFEATUREHEADERS,0),MATCH($A1703,CLASSNAMEHEADERS,0))),(INDEX(ALLCLASSDATA,MATCH("MartialExpert",CLASSFEATUREHEADERS,0),MATCH(($A1703 &amp; "Points"),CLASSNAMEHEADERS,0))),(IF("03"=(INDEX(ALLCLASSDATA,MATCH("MartialTrained",CLASSFEATUREHEADERS,0),MATCH($A1703,CLASSNAMEHEADERS,0))),(INDEX(ALLCLASSDATA,MATCH("MartialTrained",CLASSFEATUREHEADERS,0),MATCH(($A1703 &amp; "Points"),CLASSNAMEHEADERS,0))),"")))))))))}</f>
        <v>MARTIALL03</v>
      </c>
      <c r="K1702" s="223"/>
      <c r="L1702" s="223" t="str">
        <f t="array" ref="L1702:L1703">{"MARTIALL05";((IF("05"=(INDEX(ALLCLASSDATA,MATCH("MartialLegendary",CLASSFEATUREHEADERS,0),MATCH($A1703,CLASSNAMEHEADERS,0))),(INDEX(ALLCLASSDATA,MATCH("MartialLegendary",CLASSFEATUREHEADERS,0),MATCH(($A1703 &amp; "Points"),CLASSNAMEHEADERS,0))),(IF("05"=(INDEX(ALLCLASSDATA,MATCH("MartialMaster",CLASSFEATUREHEADERS,0),MATCH($A1703,CLASSNAMEHEADERS,0))),(INDEX(ALLCLASSDATA,MATCH("MartialMaster",CLASSFEATUREHEADERS,0),MATCH(($A1703 &amp; "Points"),CLASSNAMEHEADERS,0))),(IF("05"=(INDEX(ALLCLASSDATA,MATCH("MartialExpert",CLASSFEATUREHEADERS,0),MATCH($A1703,CLASSNAMEHEADERS,0))),(INDEX(ALLCLASSDATA,MATCH("MartialExpert",CLASSFEATUREHEADERS,0),MATCH(($A1703 &amp; "Points"),CLASSNAMEHEADERS,0))),(IF("05"=(INDEX(ALLCLASSDATA,MATCH("MartialTrained",CLASSFEATUREHEADERS,0),MATCH($A1703,CLASSNAMEHEADERS,0))),(INDEX(ALLCLASSDATA,MATCH("MartialTrained",CLASSFEATUREHEADERS,0),MATCH(($A1703 &amp; "Points"),CLASSNAMEHEADERS,0))),"")))))))))}</f>
        <v>MARTIALL05</v>
      </c>
      <c r="M1702" s="223"/>
      <c r="N1702" s="223" t="str">
        <f t="array" ref="N1702:N1703">{"MARTIALL07";((IF("07"=(INDEX(ALLCLASSDATA,MATCH("MartialLegendary",CLASSFEATUREHEADERS,0),MATCH($A1703,CLASSNAMEHEADERS,0))),(INDEX(ALLCLASSDATA,MATCH("MartialLegendary",CLASSFEATUREHEADERS,0),MATCH(($A1703 &amp; "Points"),CLASSNAMEHEADERS,0))),(IF("07"=(INDEX(ALLCLASSDATA,MATCH("MartialMaster",CLASSFEATUREHEADERS,0),MATCH($A1703,CLASSNAMEHEADERS,0))),(INDEX(ALLCLASSDATA,MATCH("MartialMaster",CLASSFEATUREHEADERS,0),MATCH(($A1703 &amp; "Points"),CLASSNAMEHEADERS,0))),(IF("07"=(INDEX(ALLCLASSDATA,MATCH("MartialExpert",CLASSFEATUREHEADERS,0),MATCH($A1703,CLASSNAMEHEADERS,0))),(INDEX(ALLCLASSDATA,MATCH("MartialExpert",CLASSFEATUREHEADERS,0),MATCH(($A1703 &amp; "Points"),CLASSNAMEHEADERS,0))),(IF("07"=(INDEX(ALLCLASSDATA,MATCH("MartialTrained",CLASSFEATUREHEADERS,0),MATCH($A1703,CLASSNAMEHEADERS,0))),(INDEX(ALLCLASSDATA,MATCH("MartialTrained",CLASSFEATUREHEADERS,0),MATCH(($A1703 &amp; "Points"),CLASSNAMEHEADERS,0))),"")))))))))}</f>
        <v>MARTIALL07</v>
      </c>
      <c r="O1702" s="223"/>
      <c r="P1702" s="223" t="str">
        <f t="array" ref="P1702:P1703">{"MARTIALL09";((IF("09"=(INDEX(ALLCLASSDATA,MATCH("MartialLegendary",CLASSFEATUREHEADERS,0),MATCH($A1703,CLASSNAMEHEADERS,0))),(INDEX(ALLCLASSDATA,MATCH("MartialLegendary",CLASSFEATUREHEADERS,0),MATCH(($A1703 &amp; "Points"),CLASSNAMEHEADERS,0))),(IF("09"=(INDEX(ALLCLASSDATA,MATCH("MartialMaster",CLASSFEATUREHEADERS,0),MATCH($A1703,CLASSNAMEHEADERS,0))),(INDEX(ALLCLASSDATA,MATCH("MartialMaster",CLASSFEATUREHEADERS,0),MATCH(($A1703 &amp; "Points"),CLASSNAMEHEADERS,0))),(IF("09"=(INDEX(ALLCLASSDATA,MATCH("MartialExpert",CLASSFEATUREHEADERS,0),MATCH($A1703,CLASSNAMEHEADERS,0))),(INDEX(ALLCLASSDATA,MATCH("MartialExpert",CLASSFEATUREHEADERS,0),MATCH(($A1703 &amp; "Points"),CLASSNAMEHEADERS,0))),(IF("09"=(INDEX(ALLCLASSDATA,MATCH("MartialTrained",CLASSFEATUREHEADERS,0),MATCH($A1703,CLASSNAMEHEADERS,0))),(INDEX(ALLCLASSDATA,MATCH("MartialTrained",CLASSFEATUREHEADERS,0),MATCH(($A1703 &amp; "Points"),CLASSNAMEHEADERS,0))),"")))))))))}</f>
        <v>MARTIALL09</v>
      </c>
      <c r="Q1702" s="223"/>
      <c r="R1702" s="223" t="str">
        <f t="array" ref="R1702:R1703">{"MARTIALL11";((IF("11"=(INDEX(ALLCLASSDATA,MATCH("MartialLegendary",CLASSFEATUREHEADERS,0),MATCH($A1703,CLASSNAMEHEADERS,0))),(INDEX(ALLCLASSDATA,MATCH("MartialLegendary",CLASSFEATUREHEADERS,0),MATCH(($A1703 &amp; "Points"),CLASSNAMEHEADERS,0))),(IF("11"=(INDEX(ALLCLASSDATA,MATCH("MartialMaster",CLASSFEATUREHEADERS,0),MATCH($A1703,CLASSNAMEHEADERS,0))),(INDEX(ALLCLASSDATA,MATCH("MartialMaster",CLASSFEATUREHEADERS,0),MATCH(($A1703 &amp; "Points"),CLASSNAMEHEADERS,0))),(IF("11"=(INDEX(ALLCLASSDATA,MATCH("MartialExpert",CLASSFEATUREHEADERS,0),MATCH($A1703,CLASSNAMEHEADERS,0))),(INDEX(ALLCLASSDATA,MATCH("MartialExpert",CLASSFEATUREHEADERS,0),MATCH(($A1703 &amp; "Points"),CLASSNAMEHEADERS,0))),(IF("11"=(INDEX(ALLCLASSDATA,MATCH("MartialTrained",CLASSFEATUREHEADERS,0),MATCH($A1703,CLASSNAMEHEADERS,0))),(INDEX(ALLCLASSDATA,MATCH("MartialTrained",CLASSFEATUREHEADERS,0),MATCH(($A1703 &amp; "Points"),CLASSNAMEHEADERS,0))),"")))))))))}</f>
        <v>MARTIALL11</v>
      </c>
      <c r="S1702" s="223"/>
      <c r="T1702" s="223" t="str">
        <f t="array" ref="T1702:T1703">{"MARTIALL13";((IF("13"=(INDEX(ALLCLASSDATA,MATCH("MartialLegendary",CLASSFEATUREHEADERS,0),MATCH($A1703,CLASSNAMEHEADERS,0))),(INDEX(ALLCLASSDATA,MATCH("MartialLegendary",CLASSFEATUREHEADERS,0),MATCH(($A1703 &amp; "Points"),CLASSNAMEHEADERS,0))),(IF("13"=(INDEX(ALLCLASSDATA,MATCH("MartialMaster",CLASSFEATUREHEADERS,0),MATCH($A1703,CLASSNAMEHEADERS,0))),(INDEX(ALLCLASSDATA,MATCH("MartialMaster",CLASSFEATUREHEADERS,0),MATCH(($A1703 &amp; "Points"),CLASSNAMEHEADERS,0))),(IF("13"=(INDEX(ALLCLASSDATA,MATCH("MartialExpert",CLASSFEATUREHEADERS,0),MATCH($A1703,CLASSNAMEHEADERS,0))),(INDEX(ALLCLASSDATA,MATCH("MartialExpert",CLASSFEATUREHEADERS,0),MATCH(($A1703 &amp; "Points"),CLASSNAMEHEADERS,0))),(IF("13"=(INDEX(ALLCLASSDATA,MATCH("MartialTrained",CLASSFEATUREHEADERS,0),MATCH($A1703,CLASSNAMEHEADERS,0))),(INDEX(ALLCLASSDATA,MATCH("MartialTrained",CLASSFEATUREHEADERS,0),MATCH(($A1703 &amp; "Points"),CLASSNAMEHEADERS,0))),"")))))))))}</f>
        <v>MARTIALL13</v>
      </c>
      <c r="U1702" s="223"/>
      <c r="V1702" s="223" t="str">
        <f t="array" ref="V1702:V1703">{"MARTIALL15";((IF("15"=(INDEX(ALLCLASSDATA,MATCH("MartialLegendary",CLASSFEATUREHEADERS,0),MATCH($A1703,CLASSNAMEHEADERS,0))),(INDEX(ALLCLASSDATA,MATCH("MartialLegendary",CLASSFEATUREHEADERS,0),MATCH(($A1703 &amp; "Points"),CLASSNAMEHEADERS,0))),(IF("15"=(INDEX(ALLCLASSDATA,MATCH("MartialMaster",CLASSFEATUREHEADERS,0),MATCH($A1703,CLASSNAMEHEADERS,0))),(INDEX(ALLCLASSDATA,MATCH("MartialMaster",CLASSFEATUREHEADERS,0),MATCH(($A1703 &amp; "Points"),CLASSNAMEHEADERS,0))),(IF("15"=(INDEX(ALLCLASSDATA,MATCH("MartialExpert",CLASSFEATUREHEADERS,0),MATCH($A1703,CLASSNAMEHEADERS,0))),(INDEX(ALLCLASSDATA,MATCH("MartialExpert",CLASSFEATUREHEADERS,0),MATCH(($A1703 &amp; "Points"),CLASSNAMEHEADERS,0))),(IF("15"=(INDEX(ALLCLASSDATA,MATCH("MartialTrained",CLASSFEATUREHEADERS,0),MATCH($A1703,CLASSNAMEHEADERS,0))),(INDEX(ALLCLASSDATA,MATCH("MartialTrained",CLASSFEATUREHEADERS,0),MATCH(($A1703 &amp; "Points"),CLASSNAMEHEADERS,0))),"")))))))))}</f>
        <v>MARTIALL15</v>
      </c>
      <c r="W1702" s="223"/>
      <c r="X1702" s="223" t="str">
        <f t="array" ref="X1702:X1703">{"MARTIALL17";((IF("17"=(INDEX(ALLCLASSDATA,MATCH("MartialLegendary",CLASSFEATUREHEADERS,0),MATCH($A1703,CLASSNAMEHEADERS,0))),(INDEX(ALLCLASSDATA,MATCH("MartialLegendary",CLASSFEATUREHEADERS,0),MATCH(($A1703 &amp; "Points"),CLASSNAMEHEADERS,0))),(IF("17"=(INDEX(ALLCLASSDATA,MATCH("MartialMaster",CLASSFEATUREHEADERS,0),MATCH($A1703,CLASSNAMEHEADERS,0))),(INDEX(ALLCLASSDATA,MATCH("MartialMaster",CLASSFEATUREHEADERS,0),MATCH(($A1703 &amp; "Points"),CLASSNAMEHEADERS,0))),(IF("17"=(INDEX(ALLCLASSDATA,MATCH("MartialExpert",CLASSFEATUREHEADERS,0),MATCH($A1703,CLASSNAMEHEADERS,0))),(INDEX(ALLCLASSDATA,MATCH("MartialExpert",CLASSFEATUREHEADERS,0),MATCH(($A1703 &amp; "Points"),CLASSNAMEHEADERS,0))),(IF("17"=(INDEX(ALLCLASSDATA,MATCH("MartialTrained",CLASSFEATUREHEADERS,0),MATCH($A1703,CLASSNAMEHEADERS,0))),(INDEX(ALLCLASSDATA,MATCH("MartialTrained",CLASSFEATUREHEADERS,0),MATCH(($A1703 &amp; "Points"),CLASSNAMEHEADERS,0))),"")))))))))}</f>
        <v>MARTIALL17</v>
      </c>
      <c r="Y1702" s="223"/>
      <c r="Z1702" s="223" t="str">
        <f t="array" ref="Z1702:Z1703">{"MARTIALL19";((IF("19"=(INDEX(ALLCLASSDATA,MATCH("MartialLegendary",CLASSFEATUREHEADERS,0),MATCH($A1703,CLASSNAMEHEADERS,0))),(INDEX(ALLCLASSDATA,MATCH("MartialLegendary",CLASSFEATUREHEADERS,0),MATCH(($A1703 &amp; "Points"),CLASSNAMEHEADERS,0))),(IF("19"=(INDEX(ALLCLASSDATA,MATCH("MartialMaster",CLASSFEATUREHEADERS,0),MATCH($A1703,CLASSNAMEHEADERS,0))),(INDEX(ALLCLASSDATA,MATCH("MartialMaster",CLASSFEATUREHEADERS,0),MATCH(($A1703 &amp; "Points"),CLASSNAMEHEADERS,0))),(IF("19"=(INDEX(ALLCLASSDATA,MATCH("MartialExpert",CLASSFEATUREHEADERS,0),MATCH($A1703,CLASSNAMEHEADERS,0))),(INDEX(ALLCLASSDATA,MATCH("MartialExpert",CLASSFEATUREHEADERS,0),MATCH(($A1703 &amp; "Points"),CLASSNAMEHEADERS,0))),(IF("19"=(INDEX(ALLCLASSDATA,MATCH("MartialTrained",CLASSFEATUREHEADERS,0),MATCH($A1703,CLASSNAMEHEADERS,0))),(INDEX(ALLCLASSDATA,MATCH("MartialTrained",CLASSFEATUREHEADERS,0),MATCH(($A1703 &amp; "Points"),CLASSNAMEHEADERS,0))),"")))))))))}</f>
        <v>MARTIALL19</v>
      </c>
      <c r="AA1702" s="223"/>
      <c r="AB1702" s="76" t="str">
        <f t="array" ref="AB1702:AB1703">{"MARTIAL TOTAL";(IF(COUNTBLANK(G1703:AA1703)=17,"L",(IF(COUNTBLANK(G1703:AA1703)=18,"M",(IF(COUNTBLANK(G1703:AA1703)=19,"E",(IF(COUNTBLANK(G1703:AA1703)=20,"T",""))))))))}</f>
        <v>MARTIAL TOTAL</v>
      </c>
      <c r="AC1702" s="76" t="str">
        <f t="array" ref="AC1702:AC1703">{"MARTIAL TOTAL";(sum(G1703:AA1703))}</f>
        <v>MARTIAL TOTAL</v>
      </c>
    </row>
    <row r="1703">
      <c r="A1703" s="48" t="s">
        <v>225</v>
      </c>
      <c r="B1703" s="48"/>
      <c r="C1703" s="48" t="s">
        <v>418</v>
      </c>
      <c r="D1703" s="48" t="s">
        <v>1634</v>
      </c>
      <c r="E1703" s="48" t="s">
        <v>6</v>
      </c>
      <c r="F1703" s="5" t="s">
        <v>603</v>
      </c>
      <c r="G1703" s="47" t="s">
        <v>603</v>
      </c>
      <c r="H1703" s="5" t="s">
        <v>603</v>
      </c>
      <c r="I1703" s="5"/>
      <c r="J1703" s="5" t="s">
        <v>603</v>
      </c>
      <c r="K1703" s="5"/>
      <c r="L1703" s="5" t="s">
        <v>603</v>
      </c>
      <c r="M1703" s="5"/>
      <c r="N1703" s="5" t="s">
        <v>603</v>
      </c>
      <c r="O1703" s="5"/>
      <c r="P1703" s="5" t="s">
        <v>603</v>
      </c>
      <c r="Q1703" s="48"/>
      <c r="R1703" s="5" t="s">
        <v>603</v>
      </c>
      <c r="S1703" s="5"/>
      <c r="T1703" s="5" t="s">
        <v>603</v>
      </c>
      <c r="U1703" s="5"/>
      <c r="V1703" s="5" t="s">
        <v>603</v>
      </c>
      <c r="W1703" s="5"/>
      <c r="X1703" s="5" t="s">
        <v>603</v>
      </c>
      <c r="Y1703" s="5"/>
      <c r="Z1703" s="5" t="s">
        <v>603</v>
      </c>
      <c r="AA1703" s="5"/>
      <c r="AB1703" s="5" t="s">
        <v>603</v>
      </c>
      <c r="AC1703" s="47">
        <v>0.0</v>
      </c>
    </row>
    <row r="1704" hidden="1">
      <c r="A1704" s="222" t="str">
        <f t="array" ref="A1704:A1705">{"FormulaRow32";(INDEX(CLASSLIST,A1641,1))}</f>
        <v>FormulaRow32</v>
      </c>
      <c r="B1704" s="77" t="s">
        <v>236</v>
      </c>
      <c r="C1704" s="222" t="str">
        <f t="array" ref="C1704:C1705">{"CLASSTYPE";((INDEX(ALLCLASSDATA,MATCH("ClassType",CLASSFEATUREHEADERS,0),MATCH($A1705,CLASSNAMEHEADERS,0))))}</f>
        <v>CLASSTYPE</v>
      </c>
      <c r="D1704" s="222" t="str">
        <f t="array" ref="D1704:D1705">{"ATTACK";"Attack"}</f>
        <v>ATTACK</v>
      </c>
      <c r="E1704" s="222" t="str">
        <f t="array" ref="E1704:E1705">{"ADVANCEDGROUP";"AdvancedGroup"}</f>
        <v>ADVANCEDGROUP</v>
      </c>
      <c r="F1704" s="223" t="str">
        <f t="array" ref="F1704:F1705">{"ADVANCEDGROUPINITIAL";((IF(H1705=10,"T",(IF(H1705=50,"E","")))))}</f>
        <v>ADVANCEDGROUPINITIAL</v>
      </c>
      <c r="G1704" s="223" t="str">
        <f t="array" ref="G1704:G1705">{"ADVANCEDGROUPINITIALPTS";((IF("00"=(INDEX(ALLCLASSDATA,MATCH("AdvancedGroupLegendary",CLASSFEATUREHEADERS,0),MATCH($A1705,CLASSNAMEHEADERS,0))),(INDEX(ALLCLASSDATA,MATCH("AdvancedGroupLegendary",CLASSFEATUREHEADERS,0),MATCH(($A1705 &amp; "Points"),CLASSNAMEHEADERS,0))),(IF("00"=(INDEX(ALLCLASSDATA,MATCH("AdvancedGroupMaster",CLASSFEATUREHEADERS,0),MATCH($A1705,CLASSNAMEHEADERS,0))),(INDEX(ALLCLASSDATA,MATCH("AdvancedGroupMaster",CLASSFEATUREHEADERS,0),MATCH(($A1705 &amp; "Points"),CLASSNAMEHEADERS,0))),(IF("00"=(INDEX(ALLCLASSDATA,MATCH("AdvancedGroupExpert",CLASSFEATUREHEADERS,0),MATCH($A1705,CLASSNAMEHEADERS,0))),(INDEX(ALLCLASSDATA,MATCH("AdvancedGroupExpert",CLASSFEATUREHEADERS,0),MATCH(($A1705 &amp; "Points"),CLASSNAMEHEADERS,0))),(IF("00"=(INDEX(ALLCLASSDATA,MATCH("AdvancedGroupTrained",CLASSFEATUREHEADERS,0),MATCH($A1705,CLASSNAMEHEADERS,0))),(INDEX(ALLCLASSDATA,MATCH("AdvancedGroupTrained",CLASSFEATUREHEADERS,0),MATCH(($A1705 &amp; "Points"),CLASSNAMEHEADERS,0))),"")))))))))}</f>
        <v>ADVANCEDGROUPINITIALPTS</v>
      </c>
      <c r="H1704" s="223" t="str">
        <f t="array" ref="H1704:H1705">{"ADVANCEDGROUPL01";((IF("01"=(INDEX(ALLCLASSDATA,MATCH("AdvancedGroupLegendary",CLASSFEATUREHEADERS,0),MATCH($A1705,CLASSNAMEHEADERS,0))),(INDEX(ALLCLASSDATA,MATCH("AdvancedGroupLegendary",CLASSFEATUREHEADERS,0),MATCH(($A1705 &amp; "Points"),CLASSNAMEHEADERS,0))),(IF("01"=(INDEX(ALLCLASSDATA,MATCH("AdvancedGroupMaster",CLASSFEATUREHEADERS,0),MATCH($A1705,CLASSNAMEHEADERS,0))),(INDEX(ALLCLASSDATA,MATCH("AdvancedGroupMaster",CLASSFEATUREHEADERS,0),MATCH(($A1705 &amp; "Points"),CLASSNAMEHEADERS,0))),(IF("01"=(INDEX(ALLCLASSDATA,MATCH("AdvancedGroupExpert",CLASSFEATUREHEADERS,0),MATCH($A1705,CLASSNAMEHEADERS,0))),(INDEX(ALLCLASSDATA,MATCH("AdvancedGroupExpert",CLASSFEATUREHEADERS,0),MATCH(($A1705 &amp; "Points"),CLASSNAMEHEADERS,0))),(IF("01"=(INDEX(ALLCLASSDATA,MATCH("AdvancedGroupTrained",CLASSFEATUREHEADERS,0),MATCH($A1705,CLASSNAMEHEADERS,0))),(INDEX(ALLCLASSDATA,MATCH("AdvancedGroupTrained",CLASSFEATUREHEADERS,0),MATCH(($A1705 &amp; "Points"),CLASSNAMEHEADERS,0))),"")))))))))}</f>
        <v>ADVANCEDGROUPL01</v>
      </c>
      <c r="I1704" s="223"/>
      <c r="J1704" s="223" t="str">
        <f t="array" ref="J1704:J1705">{"ADVANCEDGROUPL03";((IF("03"=(INDEX(ALLCLASSDATA,MATCH("AdvancedGroupLegendary",CLASSFEATUREHEADERS,0),MATCH($A1705,CLASSNAMEHEADERS,0))),(INDEX(ALLCLASSDATA,MATCH("AdvancedGroupLegendary",CLASSFEATUREHEADERS,0),MATCH(($A1705 &amp; "Points"),CLASSNAMEHEADERS,0))),(IF("03"=(INDEX(ALLCLASSDATA,MATCH("AdvancedGroupMaster",CLASSFEATUREHEADERS,0),MATCH($A1705,CLASSNAMEHEADERS,0))),(INDEX(ALLCLASSDATA,MATCH("AdvancedGroupMaster",CLASSFEATUREHEADERS,0),MATCH(($A1705 &amp; "Points"),CLASSNAMEHEADERS,0))),(IF("03"=(INDEX(ALLCLASSDATA,MATCH("AdvancedGroupExpert",CLASSFEATUREHEADERS,0),MATCH($A1705,CLASSNAMEHEADERS,0))),(INDEX(ALLCLASSDATA,MATCH("AdvancedGroupExpert",CLASSFEATUREHEADERS,0),MATCH(($A1705 &amp; "Points"),CLASSNAMEHEADERS,0))),(IF("03"=(INDEX(ALLCLASSDATA,MATCH("AdvancedGroupTrained",CLASSFEATUREHEADERS,0),MATCH($A1705,CLASSNAMEHEADERS,0))),(INDEX(ALLCLASSDATA,MATCH("AdvancedGroupTrained",CLASSFEATUREHEADERS,0),MATCH(($A1705 &amp; "Points"),CLASSNAMEHEADERS,0))),"")))))))))}</f>
        <v>ADVANCEDGROUPL03</v>
      </c>
      <c r="K1704" s="223"/>
      <c r="L1704" s="223" t="str">
        <f t="array" ref="L1704:L1705">{"ADVANCEDGROUPL05";((IF("05"=(INDEX(ALLCLASSDATA,MATCH("AdvancedGroupLegendary",CLASSFEATUREHEADERS,0),MATCH($A1705,CLASSNAMEHEADERS,0))),(INDEX(ALLCLASSDATA,MATCH("AdvancedGroupLegendary",CLASSFEATUREHEADERS,0),MATCH(($A1705 &amp; "Points"),CLASSNAMEHEADERS,0))),(IF("05"=(INDEX(ALLCLASSDATA,MATCH("AdvancedGroupMaster",CLASSFEATUREHEADERS,0),MATCH($A1705,CLASSNAMEHEADERS,0))),(INDEX(ALLCLASSDATA,MATCH("AdvancedGroupMaster",CLASSFEATUREHEADERS,0),MATCH(($A1705 &amp; "Points"),CLASSNAMEHEADERS,0))),(IF("05"=(INDEX(ALLCLASSDATA,MATCH("AdvancedGroupExpert",CLASSFEATUREHEADERS,0),MATCH($A1705,CLASSNAMEHEADERS,0))),(INDEX(ALLCLASSDATA,MATCH("AdvancedGroupExpert",CLASSFEATUREHEADERS,0),MATCH(($A1705 &amp; "Points"),CLASSNAMEHEADERS,0))),(IF("05"=(INDEX(ALLCLASSDATA,MATCH("AdvancedGroupTrained",CLASSFEATUREHEADERS,0),MATCH($A1705,CLASSNAMEHEADERS,0))),(INDEX(ALLCLASSDATA,MATCH("AdvancedGroupTrained",CLASSFEATUREHEADERS,0),MATCH(($A1705 &amp; "Points"),CLASSNAMEHEADERS,0))),"")))))))))}</f>
        <v>ADVANCEDGROUPL05</v>
      </c>
      <c r="M1704" s="223"/>
      <c r="N1704" s="223" t="str">
        <f t="array" ref="N1704:N1705">{"ADVANCEDGROUPL07";((IF("07"=(INDEX(ALLCLASSDATA,MATCH("AdvancedGroupLegendary",CLASSFEATUREHEADERS,0),MATCH($A1705,CLASSNAMEHEADERS,0))),(INDEX(ALLCLASSDATA,MATCH("AdvancedGroupLegendary",CLASSFEATUREHEADERS,0),MATCH(($A1705 &amp; "Points"),CLASSNAMEHEADERS,0))),(IF("07"=(INDEX(ALLCLASSDATA,MATCH("AdvancedGroupMaster",CLASSFEATUREHEADERS,0),MATCH($A1705,CLASSNAMEHEADERS,0))),(INDEX(ALLCLASSDATA,MATCH("AdvancedGroupMaster",CLASSFEATUREHEADERS,0),MATCH(($A1705 &amp; "Points"),CLASSNAMEHEADERS,0))),(IF("07"=(INDEX(ALLCLASSDATA,MATCH("AdvancedGroupExpert",CLASSFEATUREHEADERS,0),MATCH($A1705,CLASSNAMEHEADERS,0))),(INDEX(ALLCLASSDATA,MATCH("AdvancedGroupExpert",CLASSFEATUREHEADERS,0),MATCH(($A1705 &amp; "Points"),CLASSNAMEHEADERS,0))),(IF("07"=(INDEX(ALLCLASSDATA,MATCH("AdvancedGroupTrained",CLASSFEATUREHEADERS,0),MATCH($A1705,CLASSNAMEHEADERS,0))),(INDEX(ALLCLASSDATA,MATCH("AdvancedGroupTrained",CLASSFEATUREHEADERS,0),MATCH(($A1705 &amp; "Points"),CLASSNAMEHEADERS,0))),"")))))))))}</f>
        <v>ADVANCEDGROUPL07</v>
      </c>
      <c r="O1704" s="223"/>
      <c r="P1704" s="223" t="str">
        <f t="array" ref="P1704:P1705">{"ADVANCEDGROUPL09";((IF("09"=(INDEX(ALLCLASSDATA,MATCH("AdvancedGroupLegendary",CLASSFEATUREHEADERS,0),MATCH($A1705,CLASSNAMEHEADERS,0))),(INDEX(ALLCLASSDATA,MATCH("AdvancedGroupLegendary",CLASSFEATUREHEADERS,0),MATCH(($A1705 &amp; "Points"),CLASSNAMEHEADERS,0))),(IF("09"=(INDEX(ALLCLASSDATA,MATCH("AdvancedGroupMaster",CLASSFEATUREHEADERS,0),MATCH($A1705,CLASSNAMEHEADERS,0))),(INDEX(ALLCLASSDATA,MATCH("AdvancedGroupMaster",CLASSFEATUREHEADERS,0),MATCH(($A1705 &amp; "Points"),CLASSNAMEHEADERS,0))),(IF("09"=(INDEX(ALLCLASSDATA,MATCH("AdvancedGroupExpert",CLASSFEATUREHEADERS,0),MATCH($A1705,CLASSNAMEHEADERS,0))),(INDEX(ALLCLASSDATA,MATCH("AdvancedGroupExpert",CLASSFEATUREHEADERS,0),MATCH(($A1705 &amp; "Points"),CLASSNAMEHEADERS,0))),(IF("09"=(INDEX(ALLCLASSDATA,MATCH("AdvancedGroupTrained",CLASSFEATUREHEADERS,0),MATCH($A1705,CLASSNAMEHEADERS,0))),(INDEX(ALLCLASSDATA,MATCH("AdvancedGroupTrained",CLASSFEATUREHEADERS,0),MATCH(($A1705 &amp; "Points"),CLASSNAMEHEADERS,0))),"")))))))))}</f>
        <v>ADVANCEDGROUPL09</v>
      </c>
      <c r="Q1704" s="223"/>
      <c r="R1704" s="223" t="str">
        <f t="array" ref="R1704:R1705">{"ADVANCEDGROUPL11";((IF("11"=(INDEX(ALLCLASSDATA,MATCH("AdvancedGroupLegendary",CLASSFEATUREHEADERS,0),MATCH($A1705,CLASSNAMEHEADERS,0))),(INDEX(ALLCLASSDATA,MATCH("AdvancedGroupLegendary",CLASSFEATUREHEADERS,0),MATCH(($A1705 &amp; "Points"),CLASSNAMEHEADERS,0))),(IF("11"=(INDEX(ALLCLASSDATA,MATCH("AdvancedGroupMaster",CLASSFEATUREHEADERS,0),MATCH($A1705,CLASSNAMEHEADERS,0))),(INDEX(ALLCLASSDATA,MATCH("AdvancedGroupMaster",CLASSFEATUREHEADERS,0),MATCH(($A1705 &amp; "Points"),CLASSNAMEHEADERS,0))),(IF("11"=(INDEX(ALLCLASSDATA,MATCH("AdvancedGroupExpert",CLASSFEATUREHEADERS,0),MATCH($A1705,CLASSNAMEHEADERS,0))),(INDEX(ALLCLASSDATA,MATCH("AdvancedGroupExpert",CLASSFEATUREHEADERS,0),MATCH(($A1705 &amp; "Points"),CLASSNAMEHEADERS,0))),(IF("11"=(INDEX(ALLCLASSDATA,MATCH("AdvancedGroupTrained",CLASSFEATUREHEADERS,0),MATCH($A1705,CLASSNAMEHEADERS,0))),(INDEX(ALLCLASSDATA,MATCH("AdvancedGroupTrained",CLASSFEATUREHEADERS,0),MATCH(($A1705 &amp; "Points"),CLASSNAMEHEADERS,0))),"")))))))))}</f>
        <v>ADVANCEDGROUPL11</v>
      </c>
      <c r="S1704" s="223"/>
      <c r="T1704" s="223" t="str">
        <f t="array" ref="T1704:T1705">{"ADVANCEDGROUPL13";((IF("13"=(INDEX(ALLCLASSDATA,MATCH("AdvancedGroupLegendary",CLASSFEATUREHEADERS,0),MATCH($A1705,CLASSNAMEHEADERS,0))),(INDEX(ALLCLASSDATA,MATCH("AdvancedGroupLegendary",CLASSFEATUREHEADERS,0),MATCH(($A1705 &amp; "Points"),CLASSNAMEHEADERS,0))),(IF("13"=(INDEX(ALLCLASSDATA,MATCH("AdvancedGroupMaster",CLASSFEATUREHEADERS,0),MATCH($A1705,CLASSNAMEHEADERS,0))),(INDEX(ALLCLASSDATA,MATCH("AdvancedGroupMaster",CLASSFEATUREHEADERS,0),MATCH(($A1705 &amp; "Points"),CLASSNAMEHEADERS,0))),(IF("13"=(INDEX(ALLCLASSDATA,MATCH("AdvancedGroupExpert",CLASSFEATUREHEADERS,0),MATCH($A1705,CLASSNAMEHEADERS,0))),(INDEX(ALLCLASSDATA,MATCH("AdvancedGroupExpert",CLASSFEATUREHEADERS,0),MATCH(($A1705 &amp; "Points"),CLASSNAMEHEADERS,0))),(IF("13"=(INDEX(ALLCLASSDATA,MATCH("AdvancedGroupTrained",CLASSFEATUREHEADERS,0),MATCH($A1705,CLASSNAMEHEADERS,0))),(INDEX(ALLCLASSDATA,MATCH("AdvancedGroupTrained",CLASSFEATUREHEADERS,0),MATCH(($A1705 &amp; "Points"),CLASSNAMEHEADERS,0))),"")))))))))}</f>
        <v>ADVANCEDGROUPL13</v>
      </c>
      <c r="U1704" s="223"/>
      <c r="V1704" s="223" t="str">
        <f t="array" ref="V1704:V1705">{"ADVANCEDGROUPL15";((IF("15"=(INDEX(ALLCLASSDATA,MATCH("AdvancedGroupLegendary",CLASSFEATUREHEADERS,0),MATCH($A1705,CLASSNAMEHEADERS,0))),(INDEX(ALLCLASSDATA,MATCH("AdvancedGroupLegendary",CLASSFEATUREHEADERS,0),MATCH(($A1705 &amp; "Points"),CLASSNAMEHEADERS,0))),(IF("15"=(INDEX(ALLCLASSDATA,MATCH("AdvancedGroupMaster",CLASSFEATUREHEADERS,0),MATCH($A1705,CLASSNAMEHEADERS,0))),(INDEX(ALLCLASSDATA,MATCH("AdvancedGroupMaster",CLASSFEATUREHEADERS,0),MATCH(($A1705 &amp; "Points"),CLASSNAMEHEADERS,0))),(IF("15"=(INDEX(ALLCLASSDATA,MATCH("AdvancedGroupExpert",CLASSFEATUREHEADERS,0),MATCH($A1705,CLASSNAMEHEADERS,0))),(INDEX(ALLCLASSDATA,MATCH("AdvancedGroupExpert",CLASSFEATUREHEADERS,0),MATCH(($A1705 &amp; "Points"),CLASSNAMEHEADERS,0))),(IF("15"=(INDEX(ALLCLASSDATA,MATCH("AdvancedGroupTrained",CLASSFEATUREHEADERS,0),MATCH($A1705,CLASSNAMEHEADERS,0))),(INDEX(ALLCLASSDATA,MATCH("AdvancedGroupTrained",CLASSFEATUREHEADERS,0),MATCH(($A1705 &amp; "Points"),CLASSNAMEHEADERS,0))),"")))))))))}</f>
        <v>ADVANCEDGROUPL15</v>
      </c>
      <c r="W1704" s="223"/>
      <c r="X1704" s="223" t="str">
        <f t="array" ref="X1704:X1705">{"ADVANCEDGROUPL17";((IF("17"=(INDEX(ALLCLASSDATA,MATCH("AdvancedGroupLegendary",CLASSFEATUREHEADERS,0),MATCH($A1705,CLASSNAMEHEADERS,0))),(INDEX(ALLCLASSDATA,MATCH("AdvancedGroupLegendary",CLASSFEATUREHEADERS,0),MATCH(($A1705 &amp; "Points"),CLASSNAMEHEADERS,0))),(IF("17"=(INDEX(ALLCLASSDATA,MATCH("AdvancedGroupMaster",CLASSFEATUREHEADERS,0),MATCH($A1705,CLASSNAMEHEADERS,0))),(INDEX(ALLCLASSDATA,MATCH("AdvancedGroupMaster",CLASSFEATUREHEADERS,0),MATCH(($A1705 &amp; "Points"),CLASSNAMEHEADERS,0))),(IF("17"=(INDEX(ALLCLASSDATA,MATCH("AdvancedGroupExpert",CLASSFEATUREHEADERS,0),MATCH($A1705,CLASSNAMEHEADERS,0))),(INDEX(ALLCLASSDATA,MATCH("AdvancedGroupExpert",CLASSFEATUREHEADERS,0),MATCH(($A1705 &amp; "Points"),CLASSNAMEHEADERS,0))),(IF("17"=(INDEX(ALLCLASSDATA,MATCH("AdvancedGroupTrained",CLASSFEATUREHEADERS,0),MATCH($A1705,CLASSNAMEHEADERS,0))),(INDEX(ALLCLASSDATA,MATCH("AdvancedGroupTrained",CLASSFEATUREHEADERS,0),MATCH(($A1705 &amp; "Points"),CLASSNAMEHEADERS,0))),"")))))))))}</f>
        <v>ADVANCEDGROUPL17</v>
      </c>
      <c r="Y1704" s="223"/>
      <c r="Z1704" s="223" t="str">
        <f t="array" ref="Z1704:Z1705">{"ADVANCEDGROUPL19";((IF("19"=(INDEX(ALLCLASSDATA,MATCH("AdvancedGroupLegendary",CLASSFEATUREHEADERS,0),MATCH($A1705,CLASSNAMEHEADERS,0))),(INDEX(ALLCLASSDATA,MATCH("AdvancedGroupLegendary",CLASSFEATUREHEADERS,0),MATCH(($A1705 &amp; "Points"),CLASSNAMEHEADERS,0))),(IF("19"=(INDEX(ALLCLASSDATA,MATCH("AdvancedGroupMaster",CLASSFEATUREHEADERS,0),MATCH($A1705,CLASSNAMEHEADERS,0))),(INDEX(ALLCLASSDATA,MATCH("AdvancedGroupMaster",CLASSFEATUREHEADERS,0),MATCH(($A1705 &amp; "Points"),CLASSNAMEHEADERS,0))),(IF("19"=(INDEX(ALLCLASSDATA,MATCH("AdvancedGroupExpert",CLASSFEATUREHEADERS,0),MATCH($A1705,CLASSNAMEHEADERS,0))),(INDEX(ALLCLASSDATA,MATCH("AdvancedGroupExpert",CLASSFEATUREHEADERS,0),MATCH(($A1705 &amp; "Points"),CLASSNAMEHEADERS,0))),(IF("19"=(INDEX(ALLCLASSDATA,MATCH("AdvancedGroupTrained",CLASSFEATUREHEADERS,0),MATCH($A1705,CLASSNAMEHEADERS,0))),(INDEX(ALLCLASSDATA,MATCH("AdvancedGroupTrained",CLASSFEATUREHEADERS,0),MATCH(($A1705 &amp; "Points"),CLASSNAMEHEADERS,0))),"")))))))))}</f>
        <v>ADVANCEDGROUPL19</v>
      </c>
      <c r="AA1704" s="223"/>
      <c r="AB1704" s="76" t="str">
        <f t="array" ref="AB1704:AB1705">{"ADVANCEDGROUP TOTAL";(IF(COUNTBLANK(G1705:AA1705)=17,"L",(IF(COUNTBLANK(G1705:AA1705)=18,"M",(IF(COUNTBLANK(G1705:AA1705)=19,"E",(IF(COUNTBLANK(G1705:AA1705)=20,"T",""))))))))}</f>
        <v>ADVANCEDGROUP TOTAL</v>
      </c>
      <c r="AC1704" s="76" t="str">
        <f t="array" ref="AC1704:AC1705">{"ADVANCEDGROUP TOTAL";(sum(G1705:AA1705))}</f>
        <v>ADVANCEDGROUP TOTAL</v>
      </c>
    </row>
    <row r="1705">
      <c r="A1705" s="48" t="s">
        <v>225</v>
      </c>
      <c r="B1705" s="48"/>
      <c r="C1705" s="48" t="s">
        <v>418</v>
      </c>
      <c r="D1705" s="48" t="s">
        <v>1634</v>
      </c>
      <c r="E1705" s="48" t="s">
        <v>601</v>
      </c>
      <c r="F1705" s="5" t="s">
        <v>603</v>
      </c>
      <c r="G1705" s="47" t="s">
        <v>603</v>
      </c>
      <c r="H1705" s="5" t="s">
        <v>603</v>
      </c>
      <c r="I1705" s="5"/>
      <c r="J1705" s="5" t="s">
        <v>603</v>
      </c>
      <c r="K1705" s="5"/>
      <c r="L1705" s="5" t="s">
        <v>603</v>
      </c>
      <c r="M1705" s="5"/>
      <c r="N1705" s="5" t="s">
        <v>603</v>
      </c>
      <c r="O1705" s="5"/>
      <c r="P1705" s="5" t="s">
        <v>603</v>
      </c>
      <c r="Q1705" s="5"/>
      <c r="R1705" s="5" t="s">
        <v>603</v>
      </c>
      <c r="S1705" s="5"/>
      <c r="T1705" s="5" t="s">
        <v>603</v>
      </c>
      <c r="U1705" s="5"/>
      <c r="V1705" s="5" t="s">
        <v>603</v>
      </c>
      <c r="W1705" s="5"/>
      <c r="X1705" s="5" t="s">
        <v>603</v>
      </c>
      <c r="Y1705" s="5"/>
      <c r="Z1705" s="5" t="s">
        <v>603</v>
      </c>
      <c r="AA1705" s="5"/>
      <c r="AB1705" s="5" t="s">
        <v>603</v>
      </c>
      <c r="AC1705" s="47">
        <v>0.0</v>
      </c>
    </row>
    <row r="1706" hidden="1">
      <c r="A1706" s="222" t="str">
        <f t="array" ref="A1706:A1707">{"FormulaRow33";(INDEX(CLASSLIST,A1641,1))}</f>
        <v>FormulaRow33</v>
      </c>
      <c r="B1706" s="77" t="s">
        <v>236</v>
      </c>
      <c r="C1706" s="222" t="str">
        <f t="array" ref="C1706:C1707">{"CLASSTYPE";((INDEX(ALLCLASSDATA,MATCH("ClassType",CLASSFEATUREHEADERS,0),MATCH($A1707,CLASSNAMEHEADERS,0))))}</f>
        <v>CLASSTYPE</v>
      </c>
      <c r="D1706" s="222" t="str">
        <f t="array" ref="D1706:D1707">{"ATTACK";"Attack"}</f>
        <v>ATTACK</v>
      </c>
      <c r="E1706" s="222" t="str">
        <f t="array" ref="E1706:E1707">{"ADVANCED";"Advanced"}</f>
        <v>ADVANCED</v>
      </c>
      <c r="F1706" s="223" t="str">
        <f t="array" ref="F1706:F1707">{"ADVANCEDINITIAL";((IF(H1707=10,"T",(IF(H1707=50,"E","")))))}</f>
        <v>ADVANCEDINITIAL</v>
      </c>
      <c r="G1706" s="223" t="str">
        <f t="array" ref="G1706:G1707">{"ADVANCEDINITIALPTS";((IF("00"=(INDEX(ALLCLASSDATA,MATCH("AdvancedLegendary",CLASSFEATUREHEADERS,0),MATCH($A1707,CLASSNAMEHEADERS,0))),(INDEX(ALLCLASSDATA,MATCH("AdvancedLegendary",CLASSFEATUREHEADERS,0),MATCH(($A1707 &amp; "Points"),CLASSNAMEHEADERS,0))),(IF("00"=(INDEX(ALLCLASSDATA,MATCH("AdvancedMaster",CLASSFEATUREHEADERS,0),MATCH($A1707,CLASSNAMEHEADERS,0))),(INDEX(ALLCLASSDATA,MATCH("AdvancedMaster",CLASSFEATUREHEADERS,0),MATCH(($A1707 &amp; "Points"),CLASSNAMEHEADERS,0))),(IF("00"=(INDEX(ALLCLASSDATA,MATCH("AdvancedExpert",CLASSFEATUREHEADERS,0),MATCH($A1707,CLASSNAMEHEADERS,0))),(INDEX(ALLCLASSDATA,MATCH("AdvancedExpert",CLASSFEATUREHEADERS,0),MATCH(($A1707 &amp; "Points"),CLASSNAMEHEADERS,0))),(IF("00"=(INDEX(ALLCLASSDATA,MATCH("AdvancedTrained",CLASSFEATUREHEADERS,0),MATCH($A1707,CLASSNAMEHEADERS,0))),(INDEX(ALLCLASSDATA,MATCH("AdvancedTrained",CLASSFEATUREHEADERS,0),MATCH(($A1707 &amp; "Points"),CLASSNAMEHEADERS,0))),"")))))))))}</f>
        <v>ADVANCEDINITIALPTS</v>
      </c>
      <c r="H1706" s="223" t="str">
        <f t="array" ref="H1706:H1707">{"ADVANCEDL01";((IF("01"=(INDEX(ALLCLASSDATA,MATCH("AdvancedLegendary",CLASSFEATUREHEADERS,0),MATCH($A1707,CLASSNAMEHEADERS,0))),(INDEX(ALLCLASSDATA,MATCH("AdvancedLegendary",CLASSFEATUREHEADERS,0),MATCH(($A1707 &amp; "Points"),CLASSNAMEHEADERS,0))),(IF("01"=(INDEX(ALLCLASSDATA,MATCH("AdvancedMaster",CLASSFEATUREHEADERS,0),MATCH($A1707,CLASSNAMEHEADERS,0))),(INDEX(ALLCLASSDATA,MATCH("AdvancedMaster",CLASSFEATUREHEADERS,0),MATCH(($A1707 &amp; "Points"),CLASSNAMEHEADERS,0))),(IF("01"=(INDEX(ALLCLASSDATA,MATCH("AdvancedExpert",CLASSFEATUREHEADERS,0),MATCH($A1707,CLASSNAMEHEADERS,0))),(INDEX(ALLCLASSDATA,MATCH("AdvancedExpert",CLASSFEATUREHEADERS,0),MATCH(($A1707 &amp; "Points"),CLASSNAMEHEADERS,0))),(IF("01"=(INDEX(ALLCLASSDATA,MATCH("AdvancedTrained",CLASSFEATUREHEADERS,0),MATCH($A1707,CLASSNAMEHEADERS,0))),(INDEX(ALLCLASSDATA,MATCH("AdvancedTrained",CLASSFEATUREHEADERS,0),MATCH(($A1707 &amp; "Points"),CLASSNAMEHEADERS,0))),"")))))))))}</f>
        <v>ADVANCEDL01</v>
      </c>
      <c r="I1706" s="223"/>
      <c r="J1706" s="223" t="str">
        <f t="array" ref="J1706:J1707">{"ADVANCEDL03";((IF("03"=(INDEX(ALLCLASSDATA,MATCH("AdvancedLegendary",CLASSFEATUREHEADERS,0),MATCH($A1707,CLASSNAMEHEADERS,0))),(INDEX(ALLCLASSDATA,MATCH("AdvancedLegendary",CLASSFEATUREHEADERS,0),MATCH(($A1707 &amp; "Points"),CLASSNAMEHEADERS,0))),(IF("03"=(INDEX(ALLCLASSDATA,MATCH("AdvancedMaster",CLASSFEATUREHEADERS,0),MATCH($A1707,CLASSNAMEHEADERS,0))),(INDEX(ALLCLASSDATA,MATCH("AdvancedMaster",CLASSFEATUREHEADERS,0),MATCH(($A1707 &amp; "Points"),CLASSNAMEHEADERS,0))),(IF("03"=(INDEX(ALLCLASSDATA,MATCH("AdvancedExpert",CLASSFEATUREHEADERS,0),MATCH($A1707,CLASSNAMEHEADERS,0))),(INDEX(ALLCLASSDATA,MATCH("AdvancedExpert",CLASSFEATUREHEADERS,0),MATCH(($A1707 &amp; "Points"),CLASSNAMEHEADERS,0))),(IF("03"=(INDEX(ALLCLASSDATA,MATCH("AdvancedTrained",CLASSFEATUREHEADERS,0),MATCH($A1707,CLASSNAMEHEADERS,0))),(INDEX(ALLCLASSDATA,MATCH("AdvancedTrained",CLASSFEATUREHEADERS,0),MATCH(($A1707 &amp; "Points"),CLASSNAMEHEADERS,0))),"")))))))))}</f>
        <v>ADVANCEDL03</v>
      </c>
      <c r="K1706" s="223"/>
      <c r="L1706" s="223" t="str">
        <f t="array" ref="L1706:L1707">{"ADVANCEDL05";((IF("05"=(INDEX(ALLCLASSDATA,MATCH("AdvancedLegendary",CLASSFEATUREHEADERS,0),MATCH($A1707,CLASSNAMEHEADERS,0))),(INDEX(ALLCLASSDATA,MATCH("AdvancedLegendary",CLASSFEATUREHEADERS,0),MATCH(($A1707 &amp; "Points"),CLASSNAMEHEADERS,0))),(IF("05"=(INDEX(ALLCLASSDATA,MATCH("AdvancedMaster",CLASSFEATUREHEADERS,0),MATCH($A1707,CLASSNAMEHEADERS,0))),(INDEX(ALLCLASSDATA,MATCH("AdvancedMaster",CLASSFEATUREHEADERS,0),MATCH(($A1707 &amp; "Points"),CLASSNAMEHEADERS,0))),(IF("05"=(INDEX(ALLCLASSDATA,MATCH("AdvancedExpert",CLASSFEATUREHEADERS,0),MATCH($A1707,CLASSNAMEHEADERS,0))),(INDEX(ALLCLASSDATA,MATCH("AdvancedExpert",CLASSFEATUREHEADERS,0),MATCH(($A1707 &amp; "Points"),CLASSNAMEHEADERS,0))),(IF("05"=(INDEX(ALLCLASSDATA,MATCH("AdvancedTrained",CLASSFEATUREHEADERS,0),MATCH($A1707,CLASSNAMEHEADERS,0))),(INDEX(ALLCLASSDATA,MATCH("AdvancedTrained",CLASSFEATUREHEADERS,0),MATCH(($A1707 &amp; "Points"),CLASSNAMEHEADERS,0))),"")))))))))}</f>
        <v>ADVANCEDL05</v>
      </c>
      <c r="M1706" s="223"/>
      <c r="N1706" s="223" t="str">
        <f t="array" ref="N1706:N1707">{"ADVANCEDL07";((IF("07"=(INDEX(ALLCLASSDATA,MATCH("AdvancedLegendary",CLASSFEATUREHEADERS,0),MATCH($A1707,CLASSNAMEHEADERS,0))),(INDEX(ALLCLASSDATA,MATCH("AdvancedLegendary",CLASSFEATUREHEADERS,0),MATCH(($A1707 &amp; "Points"),CLASSNAMEHEADERS,0))),(IF("07"=(INDEX(ALLCLASSDATA,MATCH("AdvancedMaster",CLASSFEATUREHEADERS,0),MATCH($A1707,CLASSNAMEHEADERS,0))),(INDEX(ALLCLASSDATA,MATCH("AdvancedMaster",CLASSFEATUREHEADERS,0),MATCH(($A1707 &amp; "Points"),CLASSNAMEHEADERS,0))),(IF("07"=(INDEX(ALLCLASSDATA,MATCH("AdvancedExpert",CLASSFEATUREHEADERS,0),MATCH($A1707,CLASSNAMEHEADERS,0))),(INDEX(ALLCLASSDATA,MATCH("AdvancedExpert",CLASSFEATUREHEADERS,0),MATCH(($A1707 &amp; "Points"),CLASSNAMEHEADERS,0))),(IF("07"=(INDEX(ALLCLASSDATA,MATCH("AdvancedTrained",CLASSFEATUREHEADERS,0),MATCH($A1707,CLASSNAMEHEADERS,0))),(INDEX(ALLCLASSDATA,MATCH("AdvancedTrained",CLASSFEATUREHEADERS,0),MATCH(($A1707 &amp; "Points"),CLASSNAMEHEADERS,0))),"")))))))))}</f>
        <v>ADVANCEDL07</v>
      </c>
      <c r="O1706" s="223"/>
      <c r="P1706" s="223" t="str">
        <f t="array" ref="P1706:P1707">{"ADVANCEDL09";((IF("09"=(INDEX(ALLCLASSDATA,MATCH("AdvancedLegendary",CLASSFEATUREHEADERS,0),MATCH($A1707,CLASSNAMEHEADERS,0))),(INDEX(ALLCLASSDATA,MATCH("AdvancedLegendary",CLASSFEATUREHEADERS,0),MATCH(($A1707 &amp; "Points"),CLASSNAMEHEADERS,0))),(IF("09"=(INDEX(ALLCLASSDATA,MATCH("AdvancedMaster",CLASSFEATUREHEADERS,0),MATCH($A1707,CLASSNAMEHEADERS,0))),(INDEX(ALLCLASSDATA,MATCH("AdvancedMaster",CLASSFEATUREHEADERS,0),MATCH(($A1707 &amp; "Points"),CLASSNAMEHEADERS,0))),(IF("09"=(INDEX(ALLCLASSDATA,MATCH("AdvancedExpert",CLASSFEATUREHEADERS,0),MATCH($A1707,CLASSNAMEHEADERS,0))),(INDEX(ALLCLASSDATA,MATCH("AdvancedExpert",CLASSFEATUREHEADERS,0),MATCH(($A1707 &amp; "Points"),CLASSNAMEHEADERS,0))),(IF("09"=(INDEX(ALLCLASSDATA,MATCH("AdvancedTrained",CLASSFEATUREHEADERS,0),MATCH($A1707,CLASSNAMEHEADERS,0))),(INDEX(ALLCLASSDATA,MATCH("AdvancedTrained",CLASSFEATUREHEADERS,0),MATCH(($A1707 &amp; "Points"),CLASSNAMEHEADERS,0))),"")))))))))}</f>
        <v>ADVANCEDL09</v>
      </c>
      <c r="Q1706" s="223"/>
      <c r="R1706" s="223" t="str">
        <f t="array" ref="R1706:R1707">{"ADVANCEDL11";((IF("11"=(INDEX(ALLCLASSDATA,MATCH("AdvancedLegendary",CLASSFEATUREHEADERS,0),MATCH($A1707,CLASSNAMEHEADERS,0))),(INDEX(ALLCLASSDATA,MATCH("AdvancedLegendary",CLASSFEATUREHEADERS,0),MATCH(($A1707 &amp; "Points"),CLASSNAMEHEADERS,0))),(IF("11"=(INDEX(ALLCLASSDATA,MATCH("AdvancedMaster",CLASSFEATUREHEADERS,0),MATCH($A1707,CLASSNAMEHEADERS,0))),(INDEX(ALLCLASSDATA,MATCH("AdvancedMaster",CLASSFEATUREHEADERS,0),MATCH(($A1707 &amp; "Points"),CLASSNAMEHEADERS,0))),(IF("11"=(INDEX(ALLCLASSDATA,MATCH("AdvancedExpert",CLASSFEATUREHEADERS,0),MATCH($A1707,CLASSNAMEHEADERS,0))),(INDEX(ALLCLASSDATA,MATCH("AdvancedExpert",CLASSFEATUREHEADERS,0),MATCH(($A1707 &amp; "Points"),CLASSNAMEHEADERS,0))),(IF("11"=(INDEX(ALLCLASSDATA,MATCH("AdvancedTrained",CLASSFEATUREHEADERS,0),MATCH($A1707,CLASSNAMEHEADERS,0))),(INDEX(ALLCLASSDATA,MATCH("AdvancedTrained",CLASSFEATUREHEADERS,0),MATCH(($A1707 &amp; "Points"),CLASSNAMEHEADERS,0))),"")))))))))}</f>
        <v>ADVANCEDL11</v>
      </c>
      <c r="S1706" s="223"/>
      <c r="T1706" s="223" t="str">
        <f t="array" ref="T1706:T1707">{"ADVANCEDL13";((IF("13"=(INDEX(ALLCLASSDATA,MATCH("AdvancedLegendary",CLASSFEATUREHEADERS,0),MATCH($A1707,CLASSNAMEHEADERS,0))),(INDEX(ALLCLASSDATA,MATCH("AdvancedLegendary",CLASSFEATUREHEADERS,0),MATCH(($A1707 &amp; "Points"),CLASSNAMEHEADERS,0))),(IF("13"=(INDEX(ALLCLASSDATA,MATCH("AdvancedMaster",CLASSFEATUREHEADERS,0),MATCH($A1707,CLASSNAMEHEADERS,0))),(INDEX(ALLCLASSDATA,MATCH("AdvancedMaster",CLASSFEATUREHEADERS,0),MATCH(($A1707 &amp; "Points"),CLASSNAMEHEADERS,0))),(IF("13"=(INDEX(ALLCLASSDATA,MATCH("AdvancedExpert",CLASSFEATUREHEADERS,0),MATCH($A1707,CLASSNAMEHEADERS,0))),(INDEX(ALLCLASSDATA,MATCH("AdvancedExpert",CLASSFEATUREHEADERS,0),MATCH(($A1707 &amp; "Points"),CLASSNAMEHEADERS,0))),(IF("13"=(INDEX(ALLCLASSDATA,MATCH("AdvancedTrained",CLASSFEATUREHEADERS,0),MATCH($A1707,CLASSNAMEHEADERS,0))),(INDEX(ALLCLASSDATA,MATCH("AdvancedTrained",CLASSFEATUREHEADERS,0),MATCH(($A1707 &amp; "Points"),CLASSNAMEHEADERS,0))),"")))))))))}</f>
        <v>ADVANCEDL13</v>
      </c>
      <c r="U1706" s="223"/>
      <c r="V1706" s="223" t="str">
        <f t="array" ref="V1706:V1707">{"ADVANCEDL15";((IF("15"=(INDEX(ALLCLASSDATA,MATCH("AdvancedLegendary",CLASSFEATUREHEADERS,0),MATCH($A1707,CLASSNAMEHEADERS,0))),(INDEX(ALLCLASSDATA,MATCH("AdvancedLegendary",CLASSFEATUREHEADERS,0),MATCH(($A1707 &amp; "Points"),CLASSNAMEHEADERS,0))),(IF("15"=(INDEX(ALLCLASSDATA,MATCH("AdvancedMaster",CLASSFEATUREHEADERS,0),MATCH($A1707,CLASSNAMEHEADERS,0))),(INDEX(ALLCLASSDATA,MATCH("AdvancedMaster",CLASSFEATUREHEADERS,0),MATCH(($A1707 &amp; "Points"),CLASSNAMEHEADERS,0))),(IF("15"=(INDEX(ALLCLASSDATA,MATCH("AdvancedExpert",CLASSFEATUREHEADERS,0),MATCH($A1707,CLASSNAMEHEADERS,0))),(INDEX(ALLCLASSDATA,MATCH("AdvancedExpert",CLASSFEATUREHEADERS,0),MATCH(($A1707 &amp; "Points"),CLASSNAMEHEADERS,0))),(IF("15"=(INDEX(ALLCLASSDATA,MATCH("AdvancedTrained",CLASSFEATUREHEADERS,0),MATCH($A1707,CLASSNAMEHEADERS,0))),(INDEX(ALLCLASSDATA,MATCH("AdvancedTrained",CLASSFEATUREHEADERS,0),MATCH(($A1707 &amp; "Points"),CLASSNAMEHEADERS,0))),"")))))))))}</f>
        <v>ADVANCEDL15</v>
      </c>
      <c r="W1706" s="223"/>
      <c r="X1706" s="223" t="str">
        <f t="array" ref="X1706:X1707">{"ADVANCEDL17";((IF("17"=(INDEX(ALLCLASSDATA,MATCH("AdvancedLegendary",CLASSFEATUREHEADERS,0),MATCH($A1707,CLASSNAMEHEADERS,0))),(INDEX(ALLCLASSDATA,MATCH("AdvancedLegendary",CLASSFEATUREHEADERS,0),MATCH(($A1707 &amp; "Points"),CLASSNAMEHEADERS,0))),(IF("17"=(INDEX(ALLCLASSDATA,MATCH("AdvancedMaster",CLASSFEATUREHEADERS,0),MATCH($A1707,CLASSNAMEHEADERS,0))),(INDEX(ALLCLASSDATA,MATCH("AdvancedMaster",CLASSFEATUREHEADERS,0),MATCH(($A1707 &amp; "Points"),CLASSNAMEHEADERS,0))),(IF("17"=(INDEX(ALLCLASSDATA,MATCH("AdvancedExpert",CLASSFEATUREHEADERS,0),MATCH($A1707,CLASSNAMEHEADERS,0))),(INDEX(ALLCLASSDATA,MATCH("AdvancedExpert",CLASSFEATUREHEADERS,0),MATCH(($A1707 &amp; "Points"),CLASSNAMEHEADERS,0))),(IF("17"=(INDEX(ALLCLASSDATA,MATCH("AdvancedTrained",CLASSFEATUREHEADERS,0),MATCH($A1707,CLASSNAMEHEADERS,0))),(INDEX(ALLCLASSDATA,MATCH("AdvancedTrained",CLASSFEATUREHEADERS,0),MATCH(($A1707 &amp; "Points"),CLASSNAMEHEADERS,0))),"")))))))))}</f>
        <v>ADVANCEDL17</v>
      </c>
      <c r="Y1706" s="223"/>
      <c r="Z1706" s="223" t="str">
        <f t="array" ref="Z1706:Z1707">{"ADVANCEDL19";((IF("19"=(INDEX(ALLCLASSDATA,MATCH("AdvancedLegendary",CLASSFEATUREHEADERS,0),MATCH($A1707,CLASSNAMEHEADERS,0))),(INDEX(ALLCLASSDATA,MATCH("AdvancedLegendary",CLASSFEATUREHEADERS,0),MATCH(($A1707 &amp; "Points"),CLASSNAMEHEADERS,0))),(IF("19"=(INDEX(ALLCLASSDATA,MATCH("AdvancedMaster",CLASSFEATUREHEADERS,0),MATCH($A1707,CLASSNAMEHEADERS,0))),(INDEX(ALLCLASSDATA,MATCH("AdvancedMaster",CLASSFEATUREHEADERS,0),MATCH(($A1707 &amp; "Points"),CLASSNAMEHEADERS,0))),(IF("19"=(INDEX(ALLCLASSDATA,MATCH("AdvancedExpert",CLASSFEATUREHEADERS,0),MATCH($A1707,CLASSNAMEHEADERS,0))),(INDEX(ALLCLASSDATA,MATCH("AdvancedExpert",CLASSFEATUREHEADERS,0),MATCH(($A1707 &amp; "Points"),CLASSNAMEHEADERS,0))),(IF("19"=(INDEX(ALLCLASSDATA,MATCH("AdvancedTrained",CLASSFEATUREHEADERS,0),MATCH($A1707,CLASSNAMEHEADERS,0))),(INDEX(ALLCLASSDATA,MATCH("AdvancedTrained",CLASSFEATUREHEADERS,0),MATCH(($A1707 &amp; "Points"),CLASSNAMEHEADERS,0))),"")))))))))}</f>
        <v>ADVANCEDL19</v>
      </c>
      <c r="AA1706" s="223"/>
      <c r="AB1706" s="76" t="str">
        <f t="array" ref="AB1706:AB1707">{"ADVANCED TOTAL";(IF(COUNTBLANK(G1707:AA1707)=17,"L",(IF(COUNTBLANK(G1707:AA1707)=18,"M",(IF(COUNTBLANK(G1707:AA1707)=19,"E",(IF(COUNTBLANK(G1707:AA1707)=20,"T",""))))))))}</f>
        <v>ADVANCED TOTAL</v>
      </c>
      <c r="AC1706" s="76" t="str">
        <f t="array" ref="AC1706:AC1707">{"ADVANCED TOTAL";(sum(G1707:AA1707))}</f>
        <v>ADVANCED TOTAL</v>
      </c>
    </row>
    <row r="1707">
      <c r="A1707" s="48" t="s">
        <v>225</v>
      </c>
      <c r="B1707" s="48"/>
      <c r="C1707" s="48" t="s">
        <v>418</v>
      </c>
      <c r="D1707" s="97" t="s">
        <v>1634</v>
      </c>
      <c r="E1707" s="97" t="s">
        <v>602</v>
      </c>
      <c r="F1707" s="98" t="s">
        <v>603</v>
      </c>
      <c r="G1707" s="132" t="s">
        <v>603</v>
      </c>
      <c r="H1707" s="98" t="s">
        <v>603</v>
      </c>
      <c r="I1707" s="98"/>
      <c r="J1707" s="98" t="s">
        <v>603</v>
      </c>
      <c r="K1707" s="98"/>
      <c r="L1707" s="98" t="s">
        <v>603</v>
      </c>
      <c r="M1707" s="98"/>
      <c r="N1707" s="98" t="s">
        <v>603</v>
      </c>
      <c r="O1707" s="98"/>
      <c r="P1707" s="98" t="s">
        <v>603</v>
      </c>
      <c r="Q1707" s="98"/>
      <c r="R1707" s="98" t="s">
        <v>603</v>
      </c>
      <c r="S1707" s="98"/>
      <c r="T1707" s="98" t="s">
        <v>603</v>
      </c>
      <c r="U1707" s="98"/>
      <c r="V1707" s="98" t="s">
        <v>603</v>
      </c>
      <c r="W1707" s="98"/>
      <c r="X1707" s="98" t="s">
        <v>603</v>
      </c>
      <c r="Y1707" s="98"/>
      <c r="Z1707" s="98" t="s">
        <v>603</v>
      </c>
      <c r="AA1707" s="98"/>
      <c r="AB1707" s="5" t="s">
        <v>603</v>
      </c>
      <c r="AC1707" s="47">
        <v>0.0</v>
      </c>
    </row>
    <row r="1708" hidden="1">
      <c r="A1708" s="222" t="str">
        <f t="array" ref="A1708:A1709">{"FormulaRow34";(INDEX(CLASSLIST,A1641,1))}</f>
        <v>FormulaRow34</v>
      </c>
      <c r="B1708" s="77" t="s">
        <v>236</v>
      </c>
      <c r="C1708" s="222" t="str">
        <f t="array" ref="C1708:C1709">{"CLASSTYPE";((INDEX(ALLCLASSDATA,MATCH("ClassType",CLASSFEATUREHEADERS,0),MATCH($A1709,CLASSNAMEHEADERS,0))))}</f>
        <v>CLASSTYPE</v>
      </c>
      <c r="D1708" s="222" t="str">
        <f t="array" ref="D1708:D1709">{"DEFENSE";"Defense"}</f>
        <v>DEFENSE</v>
      </c>
      <c r="E1708" s="222" t="str">
        <f t="array" ref="E1708:E1709">{"ARMORSPECIAL";"ArmorAS"}</f>
        <v>ARMORSPECIAL</v>
      </c>
      <c r="F1708" s="223"/>
      <c r="G1708" s="223"/>
      <c r="H1708" s="223" t="str">
        <f t="array" ref="H1708:H1709">{"ARMORSPECIALL01";((IF("01"=INDEX(ALLCLASSDATA,MATCH("ArmorSpecialization",CLASSFEATUREHEADERS,0),MATCH($A1709,CLASSNAMEHEADERS,0)),ArmorAS,"")))}</f>
        <v>ARMORSPECIALL01</v>
      </c>
      <c r="I1708" s="223"/>
      <c r="J1708" s="223" t="str">
        <f t="array" ref="J1708:J1709">{"ARMORSPECIALL03";((IF("03"=INDEX(ALLCLASSDATA,MATCH("ArmorSpecialization",CLASSFEATUREHEADERS,0),MATCH($A1709,CLASSNAMEHEADERS,0)),ArmorAS,"")))}</f>
        <v>ARMORSPECIALL03</v>
      </c>
      <c r="K1708" s="223"/>
      <c r="L1708" s="223" t="str">
        <f t="array" ref="L1708:L1709">{"ARMORSPECIALL05";((IF("05"=INDEX(ALLCLASSDATA,MATCH("ArmorSpecialization",CLASSFEATUREHEADERS,0),MATCH($A1709,CLASSNAMEHEADERS,0)),ArmorAS,"")))}</f>
        <v>ARMORSPECIALL05</v>
      </c>
      <c r="M1708" s="223"/>
      <c r="N1708" s="223" t="str">
        <f t="array" ref="N1708:N1709">{"ARMORSPECIALL07";((IF("07"=INDEX(ALLCLASSDATA,MATCH("ArmorSpecialization",CLASSFEATUREHEADERS,0),MATCH($A1709,CLASSNAMEHEADERS,0)),ArmorAS,"")))}</f>
        <v>ARMORSPECIALL07</v>
      </c>
      <c r="O1708" s="223"/>
      <c r="P1708" s="223" t="str">
        <f t="array" ref="P1708:P1709">{"ARMORSPECIALL09";((IF("09"=INDEX(ALLCLASSDATA,MATCH("ArmorSpecialization",CLASSFEATUREHEADERS,0),MATCH($A1709,CLASSNAMEHEADERS,0)),ArmorAS,"")))}</f>
        <v>ARMORSPECIALL09</v>
      </c>
      <c r="Q1708" s="223"/>
      <c r="R1708" s="223" t="str">
        <f t="array" ref="R1708:R1709">{"ARMORSPECIALL11";((IF("11"=INDEX(ALLCLASSDATA,MATCH("ArmorSpecialization",CLASSFEATUREHEADERS,0),MATCH($A1709,CLASSNAMEHEADERS,0)),ArmorAS,"")))}</f>
        <v>ARMORSPECIALL11</v>
      </c>
      <c r="S1708" s="223"/>
      <c r="T1708" s="223" t="str">
        <f t="array" ref="T1708:T1709">{"ARMORSPECIALL13";((IF("13"=INDEX(ALLCLASSDATA,MATCH("ArmorSpecialization",CLASSFEATUREHEADERS,0),MATCH($A1709,CLASSNAMEHEADERS,0)),ArmorAS,"")))}</f>
        <v>ARMORSPECIALL13</v>
      </c>
      <c r="U1708" s="223"/>
      <c r="V1708" s="223" t="str">
        <f t="array" ref="V1708:V1709">{"ARMORSPECIALL15";((IF("15"=INDEX(ALLCLASSDATA,MATCH("ArmorSpecialization",CLASSFEATUREHEADERS,0),MATCH($A1709,CLASSNAMEHEADERS,0)),ArmorAS,"")))}</f>
        <v>ARMORSPECIALL15</v>
      </c>
      <c r="W1708" s="223"/>
      <c r="X1708" s="223" t="str">
        <f t="array" ref="X1708:X1709">{"ARMORSPECIALL17";((IF("17"=INDEX(ALLCLASSDATA,MATCH("ArmorSpecialization",CLASSFEATUREHEADERS,0),MATCH($A1709,CLASSNAMEHEADERS,0)),ArmorAS,"")))}</f>
        <v>ARMORSPECIALL17</v>
      </c>
      <c r="Y1708" s="223"/>
      <c r="Z1708" s="223" t="str">
        <f t="array" ref="Z1708:Z1709">{"ARMORSPECIALL19";((IF("19"=INDEX(ALLCLASSDATA,MATCH("ArmorSpecialization",CLASSFEATUREHEADERS,0),MATCH($A1709,CLASSNAMEHEADERS,0)),ArmorAS,"")))}</f>
        <v>ARMORSPECIALL19</v>
      </c>
      <c r="AA1708" s="223"/>
      <c r="AB1708" s="76"/>
      <c r="AC1708" s="76" t="str">
        <f t="array" ref="AC1708:AC1709">{"ARMORSPECIAL TOTAL";(sum(G1709:AA1709))}</f>
        <v>ARMORSPECIAL TOTAL</v>
      </c>
    </row>
    <row r="1709">
      <c r="A1709" s="48" t="s">
        <v>225</v>
      </c>
      <c r="B1709" s="48"/>
      <c r="C1709" s="48" t="s">
        <v>418</v>
      </c>
      <c r="D1709" s="48" t="s">
        <v>1900</v>
      </c>
      <c r="E1709" s="48" t="s">
        <v>51</v>
      </c>
      <c r="F1709" s="5"/>
      <c r="G1709" s="47"/>
      <c r="H1709" s="5" t="s">
        <v>603</v>
      </c>
      <c r="I1709" s="5"/>
      <c r="J1709" s="5" t="s">
        <v>603</v>
      </c>
      <c r="K1709" s="5"/>
      <c r="L1709" s="5" t="s">
        <v>603</v>
      </c>
      <c r="M1709" s="5"/>
      <c r="N1709" s="5" t="s">
        <v>603</v>
      </c>
      <c r="O1709" s="5"/>
      <c r="P1709" s="5" t="s">
        <v>603</v>
      </c>
      <c r="Q1709" s="5"/>
      <c r="R1709" s="5" t="s">
        <v>603</v>
      </c>
      <c r="S1709" s="5"/>
      <c r="T1709" s="5" t="s">
        <v>603</v>
      </c>
      <c r="U1709" s="5"/>
      <c r="V1709" s="5" t="s">
        <v>603</v>
      </c>
      <c r="W1709" s="5"/>
      <c r="X1709" s="5" t="s">
        <v>603</v>
      </c>
      <c r="Y1709" s="5"/>
      <c r="Z1709" s="5" t="s">
        <v>603</v>
      </c>
      <c r="AA1709" s="5"/>
      <c r="AB1709" s="5"/>
      <c r="AC1709" s="47">
        <v>0.0</v>
      </c>
    </row>
    <row r="1710" hidden="1">
      <c r="A1710" s="222" t="str">
        <f t="array" ref="A1710:A1711">{"FormulaRow35";(INDEX(CLASSLIST,A1641,1))}</f>
        <v>FormulaRow35</v>
      </c>
      <c r="B1710" s="77" t="s">
        <v>236</v>
      </c>
      <c r="C1710" s="222" t="str">
        <f t="array" ref="C1710:C1711">{"CLASSTYPE";((INDEX(ALLCLASSDATA,MATCH("ClassType",CLASSFEATUREHEADERS,0),MATCH($A1711,CLASSNAMEHEADERS,0))))}</f>
        <v>CLASSTYPE</v>
      </c>
      <c r="D1710" s="222" t="str">
        <f t="array" ref="D1710:D1711">{"DEFENSE";"Defense"}</f>
        <v>DEFENSE</v>
      </c>
      <c r="E1710" s="222" t="str">
        <f t="array" ref="E1710:E1711">{"UNARMORED";"Unarmored"}</f>
        <v>UNARMORED</v>
      </c>
      <c r="F1710" s="223" t="str">
        <f t="array" ref="F1710:F1711">{"UNARMOREDINITIAL";((IF(H1711=10,"T",(IF(H1711=50,"E","")))))}</f>
        <v>UNARMOREDINITIAL</v>
      </c>
      <c r="G1710" s="223" t="str">
        <f t="array" ref="G1710:G1711">{"UNARMOREDINITIALPTS";((IF("00"=(INDEX(ALLCLASSDATA,MATCH("UnarmoredLegendary",CLASSFEATUREHEADERS,0),MATCH($A1711,CLASSNAMEHEADERS,0))),(INDEX(ALLCLASSDATA,MATCH("UnarmoredLegendary",CLASSFEATUREHEADERS,0),MATCH(($A1711 &amp; "Points"),CLASSNAMEHEADERS,0))),(IF("00"=(INDEX(ALLCLASSDATA,MATCH("UnarmoredMaster",CLASSFEATUREHEADERS,0),MATCH($A1711,CLASSNAMEHEADERS,0))),(INDEX(ALLCLASSDATA,MATCH("UnarmoredMaster",CLASSFEATUREHEADERS,0),MATCH(($A1711 &amp; "Points"),CLASSNAMEHEADERS,0))),(IF("00"=(INDEX(ALLCLASSDATA,MATCH("UnarmoredExpert",CLASSFEATUREHEADERS,0),MATCH($A1711,CLASSNAMEHEADERS,0))),(INDEX(ALLCLASSDATA,MATCH("UnarmoredExpert",CLASSFEATUREHEADERS,0),MATCH(($A1711 &amp; "Points"),CLASSNAMEHEADERS,0))),(IF("00"=(INDEX(ALLCLASSDATA,MATCH("UnarmoredTrained",CLASSFEATUREHEADERS,0),MATCH($A1711,CLASSNAMEHEADERS,0))),(INDEX(ALLCLASSDATA,MATCH("UnarmoredTrained",CLASSFEATUREHEADERS,0),MATCH(($A1711 &amp; "Points"),CLASSNAMEHEADERS,0))),"")))))))))}</f>
        <v>UNARMOREDINITIALPTS</v>
      </c>
      <c r="H1710" s="223" t="str">
        <f t="array" ref="H1710:H1711">{"UNARMOREDL01";((IF("01"=(INDEX(ALLCLASSDATA,MATCH("UnarmoredLegendary",CLASSFEATUREHEADERS,0),MATCH($A1711,CLASSNAMEHEADERS,0))),(INDEX(ALLCLASSDATA,MATCH("UnarmoredLegendary",CLASSFEATUREHEADERS,0),MATCH(($A1711 &amp; "Points"),CLASSNAMEHEADERS,0))),(IF("01"=(INDEX(ALLCLASSDATA,MATCH("UnarmoredMaster",CLASSFEATUREHEADERS,0),MATCH($A1711,CLASSNAMEHEADERS,0))),(INDEX(ALLCLASSDATA,MATCH("UnarmoredMaster",CLASSFEATUREHEADERS,0),MATCH(($A1711 &amp; "Points"),CLASSNAMEHEADERS,0))),(IF("01"=(INDEX(ALLCLASSDATA,MATCH("UnarmoredExpert",CLASSFEATUREHEADERS,0),MATCH($A1711,CLASSNAMEHEADERS,0))),(INDEX(ALLCLASSDATA,MATCH("UnarmoredExpert",CLASSFEATUREHEADERS,0),MATCH(($A1711 &amp; "Points"),CLASSNAMEHEADERS,0))),(IF("01"=(INDEX(ALLCLASSDATA,MATCH("UnarmoredTrained",CLASSFEATUREHEADERS,0),MATCH($A1711,CLASSNAMEHEADERS,0))),(INDEX(ALLCLASSDATA,MATCH("UnarmoredTrained",CLASSFEATUREHEADERS,0),MATCH(($A1711 &amp; "Points"),CLASSNAMEHEADERS,0))),"")))))))))}</f>
        <v>UNARMOREDL01</v>
      </c>
      <c r="I1710" s="223"/>
      <c r="J1710" s="223" t="str">
        <f t="array" ref="J1710:J1711">{"UNARMOREDL03";((IF("03"=(INDEX(ALLCLASSDATA,MATCH("UnarmoredLegendary",CLASSFEATUREHEADERS,0),MATCH($A1711,CLASSNAMEHEADERS,0))),(INDEX(ALLCLASSDATA,MATCH("UnarmoredLegendary",CLASSFEATUREHEADERS,0),MATCH(($A1711 &amp; "Points"),CLASSNAMEHEADERS,0))),(IF("03"=(INDEX(ALLCLASSDATA,MATCH("UnarmoredMaster",CLASSFEATUREHEADERS,0),MATCH($A1711,CLASSNAMEHEADERS,0))),(INDEX(ALLCLASSDATA,MATCH("UnarmoredMaster",CLASSFEATUREHEADERS,0),MATCH(($A1711 &amp; "Points"),CLASSNAMEHEADERS,0))),(IF("03"=(INDEX(ALLCLASSDATA,MATCH("UnarmoredExpert",CLASSFEATUREHEADERS,0),MATCH($A1711,CLASSNAMEHEADERS,0))),(INDEX(ALLCLASSDATA,MATCH("UnarmoredExpert",CLASSFEATUREHEADERS,0),MATCH(($A1711 &amp; "Points"),CLASSNAMEHEADERS,0))),(IF("03"=(INDEX(ALLCLASSDATA,MATCH("UnarmoredTrained",CLASSFEATUREHEADERS,0),MATCH($A1711,CLASSNAMEHEADERS,0))),(INDEX(ALLCLASSDATA,MATCH("UnarmoredTrained",CLASSFEATUREHEADERS,0),MATCH(($A1711 &amp; "Points"),CLASSNAMEHEADERS,0))),"")))))))))}</f>
        <v>UNARMOREDL03</v>
      </c>
      <c r="K1710" s="223"/>
      <c r="L1710" s="223" t="str">
        <f t="array" ref="L1710:L1711">{"UNARMOREDL05";((IF("05"=(INDEX(ALLCLASSDATA,MATCH("UnarmoredLegendary",CLASSFEATUREHEADERS,0),MATCH($A1711,CLASSNAMEHEADERS,0))),(INDEX(ALLCLASSDATA,MATCH("UnarmoredLegendary",CLASSFEATUREHEADERS,0),MATCH(($A1711 &amp; "Points"),CLASSNAMEHEADERS,0))),(IF("05"=(INDEX(ALLCLASSDATA,MATCH("UnarmoredMaster",CLASSFEATUREHEADERS,0),MATCH($A1711,CLASSNAMEHEADERS,0))),(INDEX(ALLCLASSDATA,MATCH("UnarmoredMaster",CLASSFEATUREHEADERS,0),MATCH(($A1711 &amp; "Points"),CLASSNAMEHEADERS,0))),(IF("05"=(INDEX(ALLCLASSDATA,MATCH("UnarmoredExpert",CLASSFEATUREHEADERS,0),MATCH($A1711,CLASSNAMEHEADERS,0))),(INDEX(ALLCLASSDATA,MATCH("UnarmoredExpert",CLASSFEATUREHEADERS,0),MATCH(($A1711 &amp; "Points"),CLASSNAMEHEADERS,0))),(IF("05"=(INDEX(ALLCLASSDATA,MATCH("UnarmoredTrained",CLASSFEATUREHEADERS,0),MATCH($A1711,CLASSNAMEHEADERS,0))),(INDEX(ALLCLASSDATA,MATCH("UnarmoredTrained",CLASSFEATUREHEADERS,0),MATCH(($A1711 &amp; "Points"),CLASSNAMEHEADERS,0))),"")))))))))}</f>
        <v>UNARMOREDL05</v>
      </c>
      <c r="M1710" s="223"/>
      <c r="N1710" s="223" t="str">
        <f t="array" ref="N1710:N1711">{"UNARMOREDL07";((IF("07"=(INDEX(ALLCLASSDATA,MATCH("UnarmoredLegendary",CLASSFEATUREHEADERS,0),MATCH($A1711,CLASSNAMEHEADERS,0))),(INDEX(ALLCLASSDATA,MATCH("UnarmoredLegendary",CLASSFEATUREHEADERS,0),MATCH(($A1711 &amp; "Points"),CLASSNAMEHEADERS,0))),(IF("07"=(INDEX(ALLCLASSDATA,MATCH("UnarmoredMaster",CLASSFEATUREHEADERS,0),MATCH($A1711,CLASSNAMEHEADERS,0))),(INDEX(ALLCLASSDATA,MATCH("UnarmoredMaster",CLASSFEATUREHEADERS,0),MATCH(($A1711 &amp; "Points"),CLASSNAMEHEADERS,0))),(IF("07"=(INDEX(ALLCLASSDATA,MATCH("UnarmoredExpert",CLASSFEATUREHEADERS,0),MATCH($A1711,CLASSNAMEHEADERS,0))),(INDEX(ALLCLASSDATA,MATCH("UnarmoredExpert",CLASSFEATUREHEADERS,0),MATCH(($A1711 &amp; "Points"),CLASSNAMEHEADERS,0))),(IF("07"=(INDEX(ALLCLASSDATA,MATCH("UnarmoredTrained",CLASSFEATUREHEADERS,0),MATCH($A1711,CLASSNAMEHEADERS,0))),(INDEX(ALLCLASSDATA,MATCH("UnarmoredTrained",CLASSFEATUREHEADERS,0),MATCH(($A1711 &amp; "Points"),CLASSNAMEHEADERS,0))),"")))))))))}</f>
        <v>UNARMOREDL07</v>
      </c>
      <c r="O1710" s="223"/>
      <c r="P1710" s="223" t="str">
        <f t="array" ref="P1710:P1711">{"UNARMOREDL09";((IF("09"=(INDEX(ALLCLASSDATA,MATCH("UnarmoredLegendary",CLASSFEATUREHEADERS,0),MATCH($A1711,CLASSNAMEHEADERS,0))),(INDEX(ALLCLASSDATA,MATCH("UnarmoredLegendary",CLASSFEATUREHEADERS,0),MATCH(($A1711 &amp; "Points"),CLASSNAMEHEADERS,0))),(IF("09"=(INDEX(ALLCLASSDATA,MATCH("UnarmoredMaster",CLASSFEATUREHEADERS,0),MATCH($A1711,CLASSNAMEHEADERS,0))),(INDEX(ALLCLASSDATA,MATCH("UnarmoredMaster",CLASSFEATUREHEADERS,0),MATCH(($A1711 &amp; "Points"),CLASSNAMEHEADERS,0))),(IF("09"=(INDEX(ALLCLASSDATA,MATCH("UnarmoredExpert",CLASSFEATUREHEADERS,0),MATCH($A1711,CLASSNAMEHEADERS,0))),(INDEX(ALLCLASSDATA,MATCH("UnarmoredExpert",CLASSFEATUREHEADERS,0),MATCH(($A1711 &amp; "Points"),CLASSNAMEHEADERS,0))),(IF("09"=(INDEX(ALLCLASSDATA,MATCH("UnarmoredTrained",CLASSFEATUREHEADERS,0),MATCH($A1711,CLASSNAMEHEADERS,0))),(INDEX(ALLCLASSDATA,MATCH("UnarmoredTrained",CLASSFEATUREHEADERS,0),MATCH(($A1711 &amp; "Points"),CLASSNAMEHEADERS,0))),"")))))))))}</f>
        <v>UNARMOREDL09</v>
      </c>
      <c r="Q1710" s="223"/>
      <c r="R1710" s="223" t="str">
        <f t="array" ref="R1710:R1711">{"UNARMOREDL11";((IF("11"=(INDEX(ALLCLASSDATA,MATCH("UnarmoredLegendary",CLASSFEATUREHEADERS,0),MATCH($A1711,CLASSNAMEHEADERS,0))),(INDEX(ALLCLASSDATA,MATCH("UnarmoredLegendary",CLASSFEATUREHEADERS,0),MATCH(($A1711 &amp; "Points"),CLASSNAMEHEADERS,0))),(IF("11"=(INDEX(ALLCLASSDATA,MATCH("UnarmoredMaster",CLASSFEATUREHEADERS,0),MATCH($A1711,CLASSNAMEHEADERS,0))),(INDEX(ALLCLASSDATA,MATCH("UnarmoredMaster",CLASSFEATUREHEADERS,0),MATCH(($A1711 &amp; "Points"),CLASSNAMEHEADERS,0))),(IF("11"=(INDEX(ALLCLASSDATA,MATCH("UnarmoredExpert",CLASSFEATUREHEADERS,0),MATCH($A1711,CLASSNAMEHEADERS,0))),(INDEX(ALLCLASSDATA,MATCH("UnarmoredExpert",CLASSFEATUREHEADERS,0),MATCH(($A1711 &amp; "Points"),CLASSNAMEHEADERS,0))),(IF("11"=(INDEX(ALLCLASSDATA,MATCH("UnarmoredTrained",CLASSFEATUREHEADERS,0),MATCH($A1711,CLASSNAMEHEADERS,0))),(INDEX(ALLCLASSDATA,MATCH("UnarmoredTrained",CLASSFEATUREHEADERS,0),MATCH(($A1711 &amp; "Points"),CLASSNAMEHEADERS,0))),"")))))))))}</f>
        <v>UNARMOREDL11</v>
      </c>
      <c r="S1710" s="223"/>
      <c r="T1710" s="223" t="str">
        <f t="array" ref="T1710:T1711">{"UNARMOREDL13";((IF("13"=(INDEX(ALLCLASSDATA,MATCH("UnarmoredLegendary",CLASSFEATUREHEADERS,0),MATCH($A1711,CLASSNAMEHEADERS,0))),(INDEX(ALLCLASSDATA,MATCH("UnarmoredLegendary",CLASSFEATUREHEADERS,0),MATCH(($A1711 &amp; "Points"),CLASSNAMEHEADERS,0))),(IF("13"=(INDEX(ALLCLASSDATA,MATCH("UnarmoredMaster",CLASSFEATUREHEADERS,0),MATCH($A1711,CLASSNAMEHEADERS,0))),(INDEX(ALLCLASSDATA,MATCH("UnarmoredMaster",CLASSFEATUREHEADERS,0),MATCH(($A1711 &amp; "Points"),CLASSNAMEHEADERS,0))),(IF("13"=(INDEX(ALLCLASSDATA,MATCH("UnarmoredExpert",CLASSFEATUREHEADERS,0),MATCH($A1711,CLASSNAMEHEADERS,0))),(INDEX(ALLCLASSDATA,MATCH("UnarmoredExpert",CLASSFEATUREHEADERS,0),MATCH(($A1711 &amp; "Points"),CLASSNAMEHEADERS,0))),(IF("13"=(INDEX(ALLCLASSDATA,MATCH("UnarmoredTrained",CLASSFEATUREHEADERS,0),MATCH($A1711,CLASSNAMEHEADERS,0))),(INDEX(ALLCLASSDATA,MATCH("UnarmoredTrained",CLASSFEATUREHEADERS,0),MATCH(($A1711 &amp; "Points"),CLASSNAMEHEADERS,0))),"")))))))))}</f>
        <v>UNARMOREDL13</v>
      </c>
      <c r="U1710" s="223"/>
      <c r="V1710" s="223" t="str">
        <f t="array" ref="V1710:V1711">{"UNARMOREDL15";((IF("15"=(INDEX(ALLCLASSDATA,MATCH("UnarmoredLegendary",CLASSFEATUREHEADERS,0),MATCH($A1711,CLASSNAMEHEADERS,0))),(INDEX(ALLCLASSDATA,MATCH("UnarmoredLegendary",CLASSFEATUREHEADERS,0),MATCH(($A1711 &amp; "Points"),CLASSNAMEHEADERS,0))),(IF("15"=(INDEX(ALLCLASSDATA,MATCH("UnarmoredMaster",CLASSFEATUREHEADERS,0),MATCH($A1711,CLASSNAMEHEADERS,0))),(INDEX(ALLCLASSDATA,MATCH("UnarmoredMaster",CLASSFEATUREHEADERS,0),MATCH(($A1711 &amp; "Points"),CLASSNAMEHEADERS,0))),(IF("15"=(INDEX(ALLCLASSDATA,MATCH("UnarmoredExpert",CLASSFEATUREHEADERS,0),MATCH($A1711,CLASSNAMEHEADERS,0))),(INDEX(ALLCLASSDATA,MATCH("UnarmoredExpert",CLASSFEATUREHEADERS,0),MATCH(($A1711 &amp; "Points"),CLASSNAMEHEADERS,0))),(IF("15"=(INDEX(ALLCLASSDATA,MATCH("UnarmoredTrained",CLASSFEATUREHEADERS,0),MATCH($A1711,CLASSNAMEHEADERS,0))),(INDEX(ALLCLASSDATA,MATCH("UnarmoredTrained",CLASSFEATUREHEADERS,0),MATCH(($A1711 &amp; "Points"),CLASSNAMEHEADERS,0))),"")))))))))}</f>
        <v>UNARMOREDL15</v>
      </c>
      <c r="W1710" s="223"/>
      <c r="X1710" s="223" t="str">
        <f t="array" ref="X1710:X1711">{"UNARMOREDL17";((IF("17"=(INDEX(ALLCLASSDATA,MATCH("UnarmoredLegendary",CLASSFEATUREHEADERS,0),MATCH($A1711,CLASSNAMEHEADERS,0))),(INDEX(ALLCLASSDATA,MATCH("UnarmoredLegendary",CLASSFEATUREHEADERS,0),MATCH(($A1711 &amp; "Points"),CLASSNAMEHEADERS,0))),(IF("17"=(INDEX(ALLCLASSDATA,MATCH("UnarmoredMaster",CLASSFEATUREHEADERS,0),MATCH($A1711,CLASSNAMEHEADERS,0))),(INDEX(ALLCLASSDATA,MATCH("UnarmoredMaster",CLASSFEATUREHEADERS,0),MATCH(($A1711 &amp; "Points"),CLASSNAMEHEADERS,0))),(IF("17"=(INDEX(ALLCLASSDATA,MATCH("UnarmoredExpert",CLASSFEATUREHEADERS,0),MATCH($A1711,CLASSNAMEHEADERS,0))),(INDEX(ALLCLASSDATA,MATCH("UnarmoredExpert",CLASSFEATUREHEADERS,0),MATCH(($A1711 &amp; "Points"),CLASSNAMEHEADERS,0))),(IF("17"=(INDEX(ALLCLASSDATA,MATCH("UnarmoredTrained",CLASSFEATUREHEADERS,0),MATCH($A1711,CLASSNAMEHEADERS,0))),(INDEX(ALLCLASSDATA,MATCH("UnarmoredTrained",CLASSFEATUREHEADERS,0),MATCH(($A1711 &amp; "Points"),CLASSNAMEHEADERS,0))),"")))))))))}</f>
        <v>UNARMOREDL17</v>
      </c>
      <c r="Y1710" s="223"/>
      <c r="Z1710" s="223" t="str">
        <f t="array" ref="Z1710:Z1711">{"UNARMOREDL19";((IF("19"=(INDEX(ALLCLASSDATA,MATCH("UnarmoredLegendary",CLASSFEATUREHEADERS,0),MATCH($A1711,CLASSNAMEHEADERS,0))),(INDEX(ALLCLASSDATA,MATCH("UnarmoredLegendary",CLASSFEATUREHEADERS,0),MATCH(($A1711 &amp; "Points"),CLASSNAMEHEADERS,0))),(IF("19"=(INDEX(ALLCLASSDATA,MATCH("UnarmoredMaster",CLASSFEATUREHEADERS,0),MATCH($A1711,CLASSNAMEHEADERS,0))),(INDEX(ALLCLASSDATA,MATCH("UnarmoredMaster",CLASSFEATUREHEADERS,0),MATCH(($A1711 &amp; "Points"),CLASSNAMEHEADERS,0))),(IF("19"=(INDEX(ALLCLASSDATA,MATCH("UnarmoredExpert",CLASSFEATUREHEADERS,0),MATCH($A1711,CLASSNAMEHEADERS,0))),(INDEX(ALLCLASSDATA,MATCH("UnarmoredExpert",CLASSFEATUREHEADERS,0),MATCH(($A1711 &amp; "Points"),CLASSNAMEHEADERS,0))),(IF("19"=(INDEX(ALLCLASSDATA,MATCH("UnarmoredTrained",CLASSFEATUREHEADERS,0),MATCH($A1711,CLASSNAMEHEADERS,0))),(INDEX(ALLCLASSDATA,MATCH("UnarmoredTrained",CLASSFEATUREHEADERS,0),MATCH(($A1711 &amp; "Points"),CLASSNAMEHEADERS,0))),"")))))))))}</f>
        <v>UNARMOREDL19</v>
      </c>
      <c r="AA1710" s="223"/>
      <c r="AB1710" s="76" t="str">
        <f t="array" ref="AB1710:AB1711">{"UNARMORED TOTAL";(IF(COUNTBLANK(G1711:AA1711)=17,"L",(IF(COUNTBLANK(G1711:AA1711)=18,"M",(IF(COUNTBLANK(G1711:AA1711)=19,"E",(IF(COUNTBLANK(G1711:AA1711)=20,"T",""))))))))}</f>
        <v>UNARMORED TOTAL</v>
      </c>
      <c r="AC1710" s="76" t="str">
        <f t="array" ref="AC1710:AC1711">{"UNARMORED TOTAL";(sum(G1711:AA1711))}</f>
        <v>UNARMORED TOTAL</v>
      </c>
    </row>
    <row r="1711">
      <c r="A1711" s="48" t="s">
        <v>225</v>
      </c>
      <c r="B1711" s="48"/>
      <c r="C1711" s="48" t="s">
        <v>418</v>
      </c>
      <c r="D1711" s="48" t="s">
        <v>1900</v>
      </c>
      <c r="E1711" s="48" t="s">
        <v>78</v>
      </c>
      <c r="F1711" s="5" t="s">
        <v>435</v>
      </c>
      <c r="G1711" s="47" t="s">
        <v>603</v>
      </c>
      <c r="H1711" s="5">
        <v>10.0</v>
      </c>
      <c r="I1711" s="5"/>
      <c r="J1711" s="5" t="s">
        <v>603</v>
      </c>
      <c r="K1711" s="5"/>
      <c r="L1711" s="5" t="s">
        <v>603</v>
      </c>
      <c r="M1711" s="5"/>
      <c r="N1711" s="5" t="s">
        <v>603</v>
      </c>
      <c r="O1711" s="5"/>
      <c r="P1711" s="5" t="s">
        <v>603</v>
      </c>
      <c r="Q1711" s="5"/>
      <c r="R1711" s="5" t="s">
        <v>436</v>
      </c>
      <c r="S1711" s="5"/>
      <c r="T1711" s="5" t="s">
        <v>603</v>
      </c>
      <c r="U1711" s="5"/>
      <c r="V1711" s="5" t="s">
        <v>603</v>
      </c>
      <c r="W1711" s="5"/>
      <c r="X1711" s="5" t="s">
        <v>603</v>
      </c>
      <c r="Y1711" s="5"/>
      <c r="Z1711" s="5" t="s">
        <v>603</v>
      </c>
      <c r="AA1711" s="5"/>
      <c r="AB1711" s="5" t="s">
        <v>436</v>
      </c>
      <c r="AC1711" s="47">
        <v>10.0</v>
      </c>
    </row>
    <row r="1712" hidden="1">
      <c r="A1712" s="222" t="str">
        <f t="array" ref="A1712:A1713">{"FormulaRow36";(INDEX(CLASSLIST,A1641,1))}</f>
        <v>FormulaRow36</v>
      </c>
      <c r="B1712" s="77" t="s">
        <v>236</v>
      </c>
      <c r="C1712" s="222" t="str">
        <f t="array" ref="C1712:C1713">{"CLASSTYPE";((INDEX(ALLCLASSDATA,MATCH("ClassType",CLASSFEATUREHEADERS,0),MATCH($A1713,CLASSNAMEHEADERS,0))))}</f>
        <v>CLASSTYPE</v>
      </c>
      <c r="D1712" s="222" t="str">
        <f t="array" ref="D1712:D1713">{"DEFENSE";"Defense"}</f>
        <v>DEFENSE</v>
      </c>
      <c r="E1712" s="222" t="str">
        <f t="array" ref="E1712:E1713">{"LIGHT";"Light"}</f>
        <v>LIGHT</v>
      </c>
      <c r="F1712" s="223" t="str">
        <f t="array" ref="F1712:F1713">{"LIGHTINITIAL";((IF(H1713=10,"T",(IF(H1713=50,"E","")))))}</f>
        <v>LIGHTINITIAL</v>
      </c>
      <c r="G1712" s="223" t="str">
        <f t="array" ref="G1712:G1713">{"LIGHTINITIALPTS";((IF("00"=(INDEX(ALLCLASSDATA,MATCH("LightLegendary",CLASSFEATUREHEADERS,0),MATCH($A1713,CLASSNAMEHEADERS,0))),(INDEX(ALLCLASSDATA,MATCH("LightLegendary",CLASSFEATUREHEADERS,0),MATCH(($A1713 &amp; "Points"),CLASSNAMEHEADERS,0))),(IF("00"=(INDEX(ALLCLASSDATA,MATCH("LightMaster",CLASSFEATUREHEADERS,0),MATCH($A1713,CLASSNAMEHEADERS,0))),(INDEX(ALLCLASSDATA,MATCH("LightMaster",CLASSFEATUREHEADERS,0),MATCH(($A1713 &amp; "Points"),CLASSNAMEHEADERS,0))),(IF("00"=(INDEX(ALLCLASSDATA,MATCH("LightExpert",CLASSFEATUREHEADERS,0),MATCH($A1713,CLASSNAMEHEADERS,0))),(INDEX(ALLCLASSDATA,MATCH("LightExpert",CLASSFEATUREHEADERS,0),MATCH(($A1713 &amp; "Points"),CLASSNAMEHEADERS,0))),(IF("00"=(INDEX(ALLCLASSDATA,MATCH("LightTrained",CLASSFEATUREHEADERS,0),MATCH($A1713,CLASSNAMEHEADERS,0))),(INDEX(ALLCLASSDATA,MATCH("LightTrained",CLASSFEATUREHEADERS,0),MATCH(($A1713 &amp; "Points"),CLASSNAMEHEADERS,0))),"")))))))))}</f>
        <v>LIGHTINITIALPTS</v>
      </c>
      <c r="H1712" s="223" t="str">
        <f t="array" ref="H1712:H1713">{"LIGHTL01";((IF("01"=(INDEX(ALLCLASSDATA,MATCH("LightLegendary",CLASSFEATUREHEADERS,0),MATCH($A1713,CLASSNAMEHEADERS,0))),(INDEX(ALLCLASSDATA,MATCH("LightLegendary",CLASSFEATUREHEADERS,0),MATCH(($A1713 &amp; "Points"),CLASSNAMEHEADERS,0))),(IF("01"=(INDEX(ALLCLASSDATA,MATCH("LightMaster",CLASSFEATUREHEADERS,0),MATCH($A1713,CLASSNAMEHEADERS,0))),(INDEX(ALLCLASSDATA,MATCH("LightMaster",CLASSFEATUREHEADERS,0),MATCH(($A1713 &amp; "Points"),CLASSNAMEHEADERS,0))),(IF("01"=(INDEX(ALLCLASSDATA,MATCH("LightExpert",CLASSFEATUREHEADERS,0),MATCH($A1713,CLASSNAMEHEADERS,0))),(INDEX(ALLCLASSDATA,MATCH("LightExpert",CLASSFEATUREHEADERS,0),MATCH(($A1713 &amp; "Points"),CLASSNAMEHEADERS,0))),(IF("01"=(INDEX(ALLCLASSDATA,MATCH("LightTrained",CLASSFEATUREHEADERS,0),MATCH($A1713,CLASSNAMEHEADERS,0))),(INDEX(ALLCLASSDATA,MATCH("LightTrained",CLASSFEATUREHEADERS,0),MATCH(($A1713 &amp; "Points"),CLASSNAMEHEADERS,0))),"")))))))))}</f>
        <v>LIGHTL01</v>
      </c>
      <c r="I1712" s="223"/>
      <c r="J1712" s="223" t="str">
        <f t="array" ref="J1712:J1713">{"LIGHTL03";((IF("03"=(INDEX(ALLCLASSDATA,MATCH("LightLegendary",CLASSFEATUREHEADERS,0),MATCH($A1713,CLASSNAMEHEADERS,0))),(INDEX(ALLCLASSDATA,MATCH("LightLegendary",CLASSFEATUREHEADERS,0),MATCH(($A1713 &amp; "Points"),CLASSNAMEHEADERS,0))),(IF("03"=(INDEX(ALLCLASSDATA,MATCH("LightMaster",CLASSFEATUREHEADERS,0),MATCH($A1713,CLASSNAMEHEADERS,0))),(INDEX(ALLCLASSDATA,MATCH("LightMaster",CLASSFEATUREHEADERS,0),MATCH(($A1713 &amp; "Points"),CLASSNAMEHEADERS,0))),(IF("03"=(INDEX(ALLCLASSDATA,MATCH("LightExpert",CLASSFEATUREHEADERS,0),MATCH($A1713,CLASSNAMEHEADERS,0))),(INDEX(ALLCLASSDATA,MATCH("LightExpert",CLASSFEATUREHEADERS,0),MATCH(($A1713 &amp; "Points"),CLASSNAMEHEADERS,0))),(IF("03"=(INDEX(ALLCLASSDATA,MATCH("LightTrained",CLASSFEATUREHEADERS,0),MATCH($A1713,CLASSNAMEHEADERS,0))),(INDEX(ALLCLASSDATA,MATCH("LightTrained",CLASSFEATUREHEADERS,0),MATCH(($A1713 &amp; "Points"),CLASSNAMEHEADERS,0))),"")))))))))}</f>
        <v>LIGHTL03</v>
      </c>
      <c r="K1712" s="223"/>
      <c r="L1712" s="223" t="str">
        <f t="array" ref="L1712:L1713">{"LIGHTL05";((IF("05"=(INDEX(ALLCLASSDATA,MATCH("LightLegendary",CLASSFEATUREHEADERS,0),MATCH($A1713,CLASSNAMEHEADERS,0))),(INDEX(ALLCLASSDATA,MATCH("LightLegendary",CLASSFEATUREHEADERS,0),MATCH(($A1713 &amp; "Points"),CLASSNAMEHEADERS,0))),(IF("05"=(INDEX(ALLCLASSDATA,MATCH("LightMaster",CLASSFEATUREHEADERS,0),MATCH($A1713,CLASSNAMEHEADERS,0))),(INDEX(ALLCLASSDATA,MATCH("LightMaster",CLASSFEATUREHEADERS,0),MATCH(($A1713 &amp; "Points"),CLASSNAMEHEADERS,0))),(IF("05"=(INDEX(ALLCLASSDATA,MATCH("LightExpert",CLASSFEATUREHEADERS,0),MATCH($A1713,CLASSNAMEHEADERS,0))),(INDEX(ALLCLASSDATA,MATCH("LightExpert",CLASSFEATUREHEADERS,0),MATCH(($A1713 &amp; "Points"),CLASSNAMEHEADERS,0))),(IF("05"=(INDEX(ALLCLASSDATA,MATCH("LightTrained",CLASSFEATUREHEADERS,0),MATCH($A1713,CLASSNAMEHEADERS,0))),(INDEX(ALLCLASSDATA,MATCH("LightTrained",CLASSFEATUREHEADERS,0),MATCH(($A1713 &amp; "Points"),CLASSNAMEHEADERS,0))),"")))))))))}</f>
        <v>LIGHTL05</v>
      </c>
      <c r="M1712" s="223"/>
      <c r="N1712" s="223" t="str">
        <f t="array" ref="N1712:N1713">{"LIGHTL07";((IF("07"=(INDEX(ALLCLASSDATA,MATCH("LightLegendary",CLASSFEATUREHEADERS,0),MATCH($A1713,CLASSNAMEHEADERS,0))),(INDEX(ALLCLASSDATA,MATCH("LightLegendary",CLASSFEATUREHEADERS,0),MATCH(($A1713 &amp; "Points"),CLASSNAMEHEADERS,0))),(IF("07"=(INDEX(ALLCLASSDATA,MATCH("LightMaster",CLASSFEATUREHEADERS,0),MATCH($A1713,CLASSNAMEHEADERS,0))),(INDEX(ALLCLASSDATA,MATCH("LightMaster",CLASSFEATUREHEADERS,0),MATCH(($A1713 &amp; "Points"),CLASSNAMEHEADERS,0))),(IF("07"=(INDEX(ALLCLASSDATA,MATCH("LightExpert",CLASSFEATUREHEADERS,0),MATCH($A1713,CLASSNAMEHEADERS,0))),(INDEX(ALLCLASSDATA,MATCH("LightExpert",CLASSFEATUREHEADERS,0),MATCH(($A1713 &amp; "Points"),CLASSNAMEHEADERS,0))),(IF("07"=(INDEX(ALLCLASSDATA,MATCH("LightTrained",CLASSFEATUREHEADERS,0),MATCH($A1713,CLASSNAMEHEADERS,0))),(INDEX(ALLCLASSDATA,MATCH("LightTrained",CLASSFEATUREHEADERS,0),MATCH(($A1713 &amp; "Points"),CLASSNAMEHEADERS,0))),"")))))))))}</f>
        <v>LIGHTL07</v>
      </c>
      <c r="O1712" s="223"/>
      <c r="P1712" s="223" t="str">
        <f t="array" ref="P1712:P1713">{"LIGHTL09";((IF("09"=(INDEX(ALLCLASSDATA,MATCH("LightLegendary",CLASSFEATUREHEADERS,0),MATCH($A1713,CLASSNAMEHEADERS,0))),(INDEX(ALLCLASSDATA,MATCH("LightLegendary",CLASSFEATUREHEADERS,0),MATCH(($A1713 &amp; "Points"),CLASSNAMEHEADERS,0))),(IF("09"=(INDEX(ALLCLASSDATA,MATCH("LightMaster",CLASSFEATUREHEADERS,0),MATCH($A1713,CLASSNAMEHEADERS,0))),(INDEX(ALLCLASSDATA,MATCH("LightMaster",CLASSFEATUREHEADERS,0),MATCH(($A1713 &amp; "Points"),CLASSNAMEHEADERS,0))),(IF("09"=(INDEX(ALLCLASSDATA,MATCH("LightExpert",CLASSFEATUREHEADERS,0),MATCH($A1713,CLASSNAMEHEADERS,0))),(INDEX(ALLCLASSDATA,MATCH("LightExpert",CLASSFEATUREHEADERS,0),MATCH(($A1713 &amp; "Points"),CLASSNAMEHEADERS,0))),(IF("09"=(INDEX(ALLCLASSDATA,MATCH("LightTrained",CLASSFEATUREHEADERS,0),MATCH($A1713,CLASSNAMEHEADERS,0))),(INDEX(ALLCLASSDATA,MATCH("LightTrained",CLASSFEATUREHEADERS,0),MATCH(($A1713 &amp; "Points"),CLASSNAMEHEADERS,0))),"")))))))))}</f>
        <v>LIGHTL09</v>
      </c>
      <c r="Q1712" s="223"/>
      <c r="R1712" s="223" t="str">
        <f t="array" ref="R1712:R1713">{"LIGHTL11";((IF("11"=(INDEX(ALLCLASSDATA,MATCH("LightLegendary",CLASSFEATUREHEADERS,0),MATCH($A1713,CLASSNAMEHEADERS,0))),(INDEX(ALLCLASSDATA,MATCH("LightLegendary",CLASSFEATUREHEADERS,0),MATCH(($A1713 &amp; "Points"),CLASSNAMEHEADERS,0))),(IF("11"=(INDEX(ALLCLASSDATA,MATCH("LightMaster",CLASSFEATUREHEADERS,0),MATCH($A1713,CLASSNAMEHEADERS,0))),(INDEX(ALLCLASSDATA,MATCH("LightMaster",CLASSFEATUREHEADERS,0),MATCH(($A1713 &amp; "Points"),CLASSNAMEHEADERS,0))),(IF("11"=(INDEX(ALLCLASSDATA,MATCH("LightExpert",CLASSFEATUREHEADERS,0),MATCH($A1713,CLASSNAMEHEADERS,0))),(INDEX(ALLCLASSDATA,MATCH("LightExpert",CLASSFEATUREHEADERS,0),MATCH(($A1713 &amp; "Points"),CLASSNAMEHEADERS,0))),(IF("11"=(INDEX(ALLCLASSDATA,MATCH("LightTrained",CLASSFEATUREHEADERS,0),MATCH($A1713,CLASSNAMEHEADERS,0))),(INDEX(ALLCLASSDATA,MATCH("LightTrained",CLASSFEATUREHEADERS,0),MATCH(($A1713 &amp; "Points"),CLASSNAMEHEADERS,0))),"")))))))))}</f>
        <v>LIGHTL11</v>
      </c>
      <c r="S1712" s="223"/>
      <c r="T1712" s="223" t="str">
        <f t="array" ref="T1712:T1713">{"LIGHTL13";((IF("13"=(INDEX(ALLCLASSDATA,MATCH("LightLegendary",CLASSFEATUREHEADERS,0),MATCH($A1713,CLASSNAMEHEADERS,0))),(INDEX(ALLCLASSDATA,MATCH("LightLegendary",CLASSFEATUREHEADERS,0),MATCH(($A1713 &amp; "Points"),CLASSNAMEHEADERS,0))),(IF("13"=(INDEX(ALLCLASSDATA,MATCH("LightMaster",CLASSFEATUREHEADERS,0),MATCH($A1713,CLASSNAMEHEADERS,0))),(INDEX(ALLCLASSDATA,MATCH("LightMaster",CLASSFEATUREHEADERS,0),MATCH(($A1713 &amp; "Points"),CLASSNAMEHEADERS,0))),(IF("13"=(INDEX(ALLCLASSDATA,MATCH("LightExpert",CLASSFEATUREHEADERS,0),MATCH($A1713,CLASSNAMEHEADERS,0))),(INDEX(ALLCLASSDATA,MATCH("LightExpert",CLASSFEATUREHEADERS,0),MATCH(($A1713 &amp; "Points"),CLASSNAMEHEADERS,0))),(IF("13"=(INDEX(ALLCLASSDATA,MATCH("LightTrained",CLASSFEATUREHEADERS,0),MATCH($A1713,CLASSNAMEHEADERS,0))),(INDEX(ALLCLASSDATA,MATCH("LightTrained",CLASSFEATUREHEADERS,0),MATCH(($A1713 &amp; "Points"),CLASSNAMEHEADERS,0))),"")))))))))}</f>
        <v>LIGHTL13</v>
      </c>
      <c r="U1712" s="223"/>
      <c r="V1712" s="223" t="str">
        <f t="array" ref="V1712:V1713">{"LIGHTL15";((IF("15"=(INDEX(ALLCLASSDATA,MATCH("LightLegendary",CLASSFEATUREHEADERS,0),MATCH($A1713,CLASSNAMEHEADERS,0))),(INDEX(ALLCLASSDATA,MATCH("LightLegendary",CLASSFEATUREHEADERS,0),MATCH(($A1713 &amp; "Points"),CLASSNAMEHEADERS,0))),(IF("15"=(INDEX(ALLCLASSDATA,MATCH("LightMaster",CLASSFEATUREHEADERS,0),MATCH($A1713,CLASSNAMEHEADERS,0))),(INDEX(ALLCLASSDATA,MATCH("LightMaster",CLASSFEATUREHEADERS,0),MATCH(($A1713 &amp; "Points"),CLASSNAMEHEADERS,0))),(IF("15"=(INDEX(ALLCLASSDATA,MATCH("LightExpert",CLASSFEATUREHEADERS,0),MATCH($A1713,CLASSNAMEHEADERS,0))),(INDEX(ALLCLASSDATA,MATCH("LightExpert",CLASSFEATUREHEADERS,0),MATCH(($A1713 &amp; "Points"),CLASSNAMEHEADERS,0))),(IF("15"=(INDEX(ALLCLASSDATA,MATCH("LightTrained",CLASSFEATUREHEADERS,0),MATCH($A1713,CLASSNAMEHEADERS,0))),(INDEX(ALLCLASSDATA,MATCH("LightTrained",CLASSFEATUREHEADERS,0),MATCH(($A1713 &amp; "Points"),CLASSNAMEHEADERS,0))),"")))))))))}</f>
        <v>LIGHTL15</v>
      </c>
      <c r="W1712" s="223"/>
      <c r="X1712" s="223" t="str">
        <f t="array" ref="X1712:X1713">{"LIGHTL17";((IF("17"=(INDEX(ALLCLASSDATA,MATCH("LightLegendary",CLASSFEATUREHEADERS,0),MATCH($A1713,CLASSNAMEHEADERS,0))),(INDEX(ALLCLASSDATA,MATCH("LightLegendary",CLASSFEATUREHEADERS,0),MATCH(($A1713 &amp; "Points"),CLASSNAMEHEADERS,0))),(IF("17"=(INDEX(ALLCLASSDATA,MATCH("LightMaster",CLASSFEATUREHEADERS,0),MATCH($A1713,CLASSNAMEHEADERS,0))),(INDEX(ALLCLASSDATA,MATCH("LightMaster",CLASSFEATUREHEADERS,0),MATCH(($A1713 &amp; "Points"),CLASSNAMEHEADERS,0))),(IF("17"=(INDEX(ALLCLASSDATA,MATCH("LightExpert",CLASSFEATUREHEADERS,0),MATCH($A1713,CLASSNAMEHEADERS,0))),(INDEX(ALLCLASSDATA,MATCH("LightExpert",CLASSFEATUREHEADERS,0),MATCH(($A1713 &amp; "Points"),CLASSNAMEHEADERS,0))),(IF("17"=(INDEX(ALLCLASSDATA,MATCH("LightTrained",CLASSFEATUREHEADERS,0),MATCH($A1713,CLASSNAMEHEADERS,0))),(INDEX(ALLCLASSDATA,MATCH("LightTrained",CLASSFEATUREHEADERS,0),MATCH(($A1713 &amp; "Points"),CLASSNAMEHEADERS,0))),"")))))))))}</f>
        <v>LIGHTL17</v>
      </c>
      <c r="Y1712" s="223"/>
      <c r="Z1712" s="223" t="str">
        <f t="array" ref="Z1712:Z1713">{"LIGHTL19";((IF("19"=(INDEX(ALLCLASSDATA,MATCH("LightLegendary",CLASSFEATUREHEADERS,0),MATCH($A1713,CLASSNAMEHEADERS,0))),(INDEX(ALLCLASSDATA,MATCH("LightLegendary",CLASSFEATUREHEADERS,0),MATCH(($A1713 &amp; "Points"),CLASSNAMEHEADERS,0))),(IF("19"=(INDEX(ALLCLASSDATA,MATCH("LightMaster",CLASSFEATUREHEADERS,0),MATCH($A1713,CLASSNAMEHEADERS,0))),(INDEX(ALLCLASSDATA,MATCH("LightMaster",CLASSFEATUREHEADERS,0),MATCH(($A1713 &amp; "Points"),CLASSNAMEHEADERS,0))),(IF("19"=(INDEX(ALLCLASSDATA,MATCH("LightExpert",CLASSFEATUREHEADERS,0),MATCH($A1713,CLASSNAMEHEADERS,0))),(INDEX(ALLCLASSDATA,MATCH("LightExpert",CLASSFEATUREHEADERS,0),MATCH(($A1713 &amp; "Points"),CLASSNAMEHEADERS,0))),(IF("19"=(INDEX(ALLCLASSDATA,MATCH("LightTrained",CLASSFEATUREHEADERS,0),MATCH($A1713,CLASSNAMEHEADERS,0))),(INDEX(ALLCLASSDATA,MATCH("LightTrained",CLASSFEATUREHEADERS,0),MATCH(($A1713 &amp; "Points"),CLASSNAMEHEADERS,0))),"")))))))))}</f>
        <v>LIGHTL19</v>
      </c>
      <c r="AA1712" s="223"/>
      <c r="AB1712" s="76" t="str">
        <f t="array" ref="AB1712:AB1713">{"LIGHT TOTAL";(IF(COUNTBLANK(G1713:AA1713)=17,"L",(IF(COUNTBLANK(G1713:AA1713)=18,"M",(IF(COUNTBLANK(G1713:AA1713)=19,"E",(IF(COUNTBLANK(G1713:AA1713)=20,"T",""))))))))}</f>
        <v>LIGHT TOTAL</v>
      </c>
      <c r="AC1712" s="76" t="str">
        <f t="array" ref="AC1712:AC1713">{"LIGHT TOTAL";(sum(G1713:AA1713))}</f>
        <v>LIGHT TOTAL</v>
      </c>
    </row>
    <row r="1713">
      <c r="A1713" s="48" t="s">
        <v>225</v>
      </c>
      <c r="B1713" s="48"/>
      <c r="C1713" s="48" t="s">
        <v>418</v>
      </c>
      <c r="D1713" s="48" t="s">
        <v>1900</v>
      </c>
      <c r="E1713" s="48" t="s">
        <v>77</v>
      </c>
      <c r="F1713" s="5" t="s">
        <v>435</v>
      </c>
      <c r="G1713" s="47" t="s">
        <v>603</v>
      </c>
      <c r="H1713" s="5">
        <v>10.0</v>
      </c>
      <c r="I1713" s="5"/>
      <c r="J1713" s="5" t="s">
        <v>603</v>
      </c>
      <c r="K1713" s="5"/>
      <c r="L1713" s="5" t="s">
        <v>603</v>
      </c>
      <c r="M1713" s="5"/>
      <c r="N1713" s="5" t="s">
        <v>603</v>
      </c>
      <c r="O1713" s="5"/>
      <c r="P1713" s="5" t="s">
        <v>603</v>
      </c>
      <c r="Q1713" s="5"/>
      <c r="R1713" s="5" t="s">
        <v>436</v>
      </c>
      <c r="S1713" s="5"/>
      <c r="T1713" s="5" t="s">
        <v>603</v>
      </c>
      <c r="U1713" s="5"/>
      <c r="V1713" s="5" t="s">
        <v>603</v>
      </c>
      <c r="W1713" s="5"/>
      <c r="X1713" s="5" t="s">
        <v>603</v>
      </c>
      <c r="Y1713" s="5"/>
      <c r="Z1713" s="5" t="s">
        <v>603</v>
      </c>
      <c r="AA1713" s="5"/>
      <c r="AB1713" s="5" t="s">
        <v>436</v>
      </c>
      <c r="AC1713" s="47">
        <v>10.0</v>
      </c>
    </row>
    <row r="1714" hidden="1">
      <c r="A1714" s="222" t="str">
        <f t="array" ref="A1714:A1715">{"FormulaRow37";(INDEX(CLASSLIST,A1641,1))}</f>
        <v>FormulaRow37</v>
      </c>
      <c r="B1714" s="77" t="s">
        <v>236</v>
      </c>
      <c r="C1714" s="222" t="str">
        <f t="array" ref="C1714:C1715">{"CLASSTYPE";((INDEX(ALLCLASSDATA,MATCH("ClassType",CLASSFEATUREHEADERS,0),MATCH($A1715,CLASSNAMEHEADERS,0))))}</f>
        <v>CLASSTYPE</v>
      </c>
      <c r="D1714" s="222" t="str">
        <f t="array" ref="D1714:D1715">{"DEFENSE";"Defense"}</f>
        <v>DEFENSE</v>
      </c>
      <c r="E1714" s="222" t="str">
        <f t="array" ref="E1714:E1715">{"MEDIUM";"Medium"}</f>
        <v>MEDIUM</v>
      </c>
      <c r="F1714" s="223" t="str">
        <f t="array" ref="F1714:F1715">{"MEDIUMINITIAL";((IF(H1715=10,"T",(IF(H1715=50,"E","")))))}</f>
        <v>MEDIUMINITIAL</v>
      </c>
      <c r="G1714" s="223" t="str">
        <f t="array" ref="G1714:G1715">{"MEDIUMINITIALPTS";((IF("00"=(INDEX(ALLCLASSDATA,MATCH("MediumLegendary",CLASSFEATUREHEADERS,0),MATCH($A1715,CLASSNAMEHEADERS,0))),(INDEX(ALLCLASSDATA,MATCH("MediumLegendary",CLASSFEATUREHEADERS,0),MATCH(($A1715 &amp; "Points"),CLASSNAMEHEADERS,0))),(IF("00"=(INDEX(ALLCLASSDATA,MATCH("MediumMaster",CLASSFEATUREHEADERS,0),MATCH($A1715,CLASSNAMEHEADERS,0))),(INDEX(ALLCLASSDATA,MATCH("MediumMaster",CLASSFEATUREHEADERS,0),MATCH(($A1715 &amp; "Points"),CLASSNAMEHEADERS,0))),(IF("00"=(INDEX(ALLCLASSDATA,MATCH("MediumExpert",CLASSFEATUREHEADERS,0),MATCH($A1715,CLASSNAMEHEADERS,0))),(INDEX(ALLCLASSDATA,MATCH("MediumExpert",CLASSFEATUREHEADERS,0),MATCH(($A1715 &amp; "Points"),CLASSNAMEHEADERS,0))),(IF("00"=(INDEX(ALLCLASSDATA,MATCH("MediumTrained",CLASSFEATUREHEADERS,0),MATCH($A1715,CLASSNAMEHEADERS,0))),(INDEX(ALLCLASSDATA,MATCH("MediumTrained",CLASSFEATUREHEADERS,0),MATCH(($A1715 &amp; "Points"),CLASSNAMEHEADERS,0))),"")))))))))}</f>
        <v>MEDIUMINITIALPTS</v>
      </c>
      <c r="H1714" s="223" t="str">
        <f t="array" ref="H1714:H1715">{"MEDIUML01";((IF("01"=(INDEX(ALLCLASSDATA,MATCH("MediumLegendary",CLASSFEATUREHEADERS,0),MATCH($A1715,CLASSNAMEHEADERS,0))),(INDEX(ALLCLASSDATA,MATCH("MediumLegendary",CLASSFEATUREHEADERS,0),MATCH(($A1715 &amp; "Points"),CLASSNAMEHEADERS,0))),(IF("01"=(INDEX(ALLCLASSDATA,MATCH("MediumMaster",CLASSFEATUREHEADERS,0),MATCH($A1715,CLASSNAMEHEADERS,0))),(INDEX(ALLCLASSDATA,MATCH("MediumMaster",CLASSFEATUREHEADERS,0),MATCH(($A1715 &amp; "Points"),CLASSNAMEHEADERS,0))),(IF("01"=(INDEX(ALLCLASSDATA,MATCH("MediumExpert",CLASSFEATUREHEADERS,0),MATCH($A1715,CLASSNAMEHEADERS,0))),(INDEX(ALLCLASSDATA,MATCH("MediumExpert",CLASSFEATUREHEADERS,0),MATCH(($A1715 &amp; "Points"),CLASSNAMEHEADERS,0))),(IF("01"=(INDEX(ALLCLASSDATA,MATCH("MediumTrained",CLASSFEATUREHEADERS,0),MATCH($A1715,CLASSNAMEHEADERS,0))),(INDEX(ALLCLASSDATA,MATCH("MediumTrained",CLASSFEATUREHEADERS,0),MATCH(($A1715 &amp; "Points"),CLASSNAMEHEADERS,0))),"")))))))))}</f>
        <v>MEDIUML01</v>
      </c>
      <c r="I1714" s="223"/>
      <c r="J1714" s="223" t="str">
        <f t="array" ref="J1714:J1715">{"MEDIUML03";((IF("03"=(INDEX(ALLCLASSDATA,MATCH("MediumLegendary",CLASSFEATUREHEADERS,0),MATCH($A1715,CLASSNAMEHEADERS,0))),(INDEX(ALLCLASSDATA,MATCH("MediumLegendary",CLASSFEATUREHEADERS,0),MATCH(($A1715 &amp; "Points"),CLASSNAMEHEADERS,0))),(IF("03"=(INDEX(ALLCLASSDATA,MATCH("MediumMaster",CLASSFEATUREHEADERS,0),MATCH($A1715,CLASSNAMEHEADERS,0))),(INDEX(ALLCLASSDATA,MATCH("MediumMaster",CLASSFEATUREHEADERS,0),MATCH(($A1715 &amp; "Points"),CLASSNAMEHEADERS,0))),(IF("03"=(INDEX(ALLCLASSDATA,MATCH("MediumExpert",CLASSFEATUREHEADERS,0),MATCH($A1715,CLASSNAMEHEADERS,0))),(INDEX(ALLCLASSDATA,MATCH("MediumExpert",CLASSFEATUREHEADERS,0),MATCH(($A1715 &amp; "Points"),CLASSNAMEHEADERS,0))),(IF("03"=(INDEX(ALLCLASSDATA,MATCH("MediumTrained",CLASSFEATUREHEADERS,0),MATCH($A1715,CLASSNAMEHEADERS,0))),(INDEX(ALLCLASSDATA,MATCH("MediumTrained",CLASSFEATUREHEADERS,0),MATCH(($A1715 &amp; "Points"),CLASSNAMEHEADERS,0))),"")))))))))}</f>
        <v>MEDIUML03</v>
      </c>
      <c r="K1714" s="223"/>
      <c r="L1714" s="223" t="str">
        <f t="array" ref="L1714:L1715">{"MEDIUML05";((IF("05"=(INDEX(ALLCLASSDATA,MATCH("MediumLegendary",CLASSFEATUREHEADERS,0),MATCH($A1715,CLASSNAMEHEADERS,0))),(INDEX(ALLCLASSDATA,MATCH("MediumLegendary",CLASSFEATUREHEADERS,0),MATCH(($A1715 &amp; "Points"),CLASSNAMEHEADERS,0))),(IF("05"=(INDEX(ALLCLASSDATA,MATCH("MediumMaster",CLASSFEATUREHEADERS,0),MATCH($A1715,CLASSNAMEHEADERS,0))),(INDEX(ALLCLASSDATA,MATCH("MediumMaster",CLASSFEATUREHEADERS,0),MATCH(($A1715 &amp; "Points"),CLASSNAMEHEADERS,0))),(IF("05"=(INDEX(ALLCLASSDATA,MATCH("MediumExpert",CLASSFEATUREHEADERS,0),MATCH($A1715,CLASSNAMEHEADERS,0))),(INDEX(ALLCLASSDATA,MATCH("MediumExpert",CLASSFEATUREHEADERS,0),MATCH(($A1715 &amp; "Points"),CLASSNAMEHEADERS,0))),(IF("05"=(INDEX(ALLCLASSDATA,MATCH("MediumTrained",CLASSFEATUREHEADERS,0),MATCH($A1715,CLASSNAMEHEADERS,0))),(INDEX(ALLCLASSDATA,MATCH("MediumTrained",CLASSFEATUREHEADERS,0),MATCH(($A1715 &amp; "Points"),CLASSNAMEHEADERS,0))),"")))))))))}</f>
        <v>MEDIUML05</v>
      </c>
      <c r="M1714" s="223"/>
      <c r="N1714" s="223" t="str">
        <f t="array" ref="N1714:N1715">{"MEDIUML07";((IF("07"=(INDEX(ALLCLASSDATA,MATCH("MediumLegendary",CLASSFEATUREHEADERS,0),MATCH($A1715,CLASSNAMEHEADERS,0))),(INDEX(ALLCLASSDATA,MATCH("MediumLegendary",CLASSFEATUREHEADERS,0),MATCH(($A1715 &amp; "Points"),CLASSNAMEHEADERS,0))),(IF("07"=(INDEX(ALLCLASSDATA,MATCH("MediumMaster",CLASSFEATUREHEADERS,0),MATCH($A1715,CLASSNAMEHEADERS,0))),(INDEX(ALLCLASSDATA,MATCH("MediumMaster",CLASSFEATUREHEADERS,0),MATCH(($A1715 &amp; "Points"),CLASSNAMEHEADERS,0))),(IF("07"=(INDEX(ALLCLASSDATA,MATCH("MediumExpert",CLASSFEATUREHEADERS,0),MATCH($A1715,CLASSNAMEHEADERS,0))),(INDEX(ALLCLASSDATA,MATCH("MediumExpert",CLASSFEATUREHEADERS,0),MATCH(($A1715 &amp; "Points"),CLASSNAMEHEADERS,0))),(IF("07"=(INDEX(ALLCLASSDATA,MATCH("MediumTrained",CLASSFEATUREHEADERS,0),MATCH($A1715,CLASSNAMEHEADERS,0))),(INDEX(ALLCLASSDATA,MATCH("MediumTrained",CLASSFEATUREHEADERS,0),MATCH(($A1715 &amp; "Points"),CLASSNAMEHEADERS,0))),"")))))))))}</f>
        <v>MEDIUML07</v>
      </c>
      <c r="O1714" s="223"/>
      <c r="P1714" s="223" t="str">
        <f t="array" ref="P1714:P1715">{"MEDIUML09";((IF("09"=(INDEX(ALLCLASSDATA,MATCH("MediumLegendary",CLASSFEATUREHEADERS,0),MATCH($A1715,CLASSNAMEHEADERS,0))),(INDEX(ALLCLASSDATA,MATCH("MediumLegendary",CLASSFEATUREHEADERS,0),MATCH(($A1715 &amp; "Points"),CLASSNAMEHEADERS,0))),(IF("09"=(INDEX(ALLCLASSDATA,MATCH("MediumMaster",CLASSFEATUREHEADERS,0),MATCH($A1715,CLASSNAMEHEADERS,0))),(INDEX(ALLCLASSDATA,MATCH("MediumMaster",CLASSFEATUREHEADERS,0),MATCH(($A1715 &amp; "Points"),CLASSNAMEHEADERS,0))),(IF("09"=(INDEX(ALLCLASSDATA,MATCH("MediumExpert",CLASSFEATUREHEADERS,0),MATCH($A1715,CLASSNAMEHEADERS,0))),(INDEX(ALLCLASSDATA,MATCH("MediumExpert",CLASSFEATUREHEADERS,0),MATCH(($A1715 &amp; "Points"),CLASSNAMEHEADERS,0))),(IF("09"=(INDEX(ALLCLASSDATA,MATCH("MediumTrained",CLASSFEATUREHEADERS,0),MATCH($A1715,CLASSNAMEHEADERS,0))),(INDEX(ALLCLASSDATA,MATCH("MediumTrained",CLASSFEATUREHEADERS,0),MATCH(($A1715 &amp; "Points"),CLASSNAMEHEADERS,0))),"")))))))))}</f>
        <v>MEDIUML09</v>
      </c>
      <c r="Q1714" s="223"/>
      <c r="R1714" s="223" t="str">
        <f t="array" ref="R1714:R1715">{"MEDIUML11";((IF("11"=(INDEX(ALLCLASSDATA,MATCH("MediumLegendary",CLASSFEATUREHEADERS,0),MATCH($A1715,CLASSNAMEHEADERS,0))),(INDEX(ALLCLASSDATA,MATCH("MediumLegendary",CLASSFEATUREHEADERS,0),MATCH(($A1715 &amp; "Points"),CLASSNAMEHEADERS,0))),(IF("11"=(INDEX(ALLCLASSDATA,MATCH("MediumMaster",CLASSFEATUREHEADERS,0),MATCH($A1715,CLASSNAMEHEADERS,0))),(INDEX(ALLCLASSDATA,MATCH("MediumMaster",CLASSFEATUREHEADERS,0),MATCH(($A1715 &amp; "Points"),CLASSNAMEHEADERS,0))),(IF("11"=(INDEX(ALLCLASSDATA,MATCH("MediumExpert",CLASSFEATUREHEADERS,0),MATCH($A1715,CLASSNAMEHEADERS,0))),(INDEX(ALLCLASSDATA,MATCH("MediumExpert",CLASSFEATUREHEADERS,0),MATCH(($A1715 &amp; "Points"),CLASSNAMEHEADERS,0))),(IF("11"=(INDEX(ALLCLASSDATA,MATCH("MediumTrained",CLASSFEATUREHEADERS,0),MATCH($A1715,CLASSNAMEHEADERS,0))),(INDEX(ALLCLASSDATA,MATCH("MediumTrained",CLASSFEATUREHEADERS,0),MATCH(($A1715 &amp; "Points"),CLASSNAMEHEADERS,0))),"")))))))))}</f>
        <v>MEDIUML11</v>
      </c>
      <c r="S1714" s="223"/>
      <c r="T1714" s="223" t="str">
        <f t="array" ref="T1714:T1715">{"MEDIUML13";((IF("13"=(INDEX(ALLCLASSDATA,MATCH("MediumLegendary",CLASSFEATUREHEADERS,0),MATCH($A1715,CLASSNAMEHEADERS,0))),(INDEX(ALLCLASSDATA,MATCH("MediumLegendary",CLASSFEATUREHEADERS,0),MATCH(($A1715 &amp; "Points"),CLASSNAMEHEADERS,0))),(IF("13"=(INDEX(ALLCLASSDATA,MATCH("MediumMaster",CLASSFEATUREHEADERS,0),MATCH($A1715,CLASSNAMEHEADERS,0))),(INDEX(ALLCLASSDATA,MATCH("MediumMaster",CLASSFEATUREHEADERS,0),MATCH(($A1715 &amp; "Points"),CLASSNAMEHEADERS,0))),(IF("13"=(INDEX(ALLCLASSDATA,MATCH("MediumExpert",CLASSFEATUREHEADERS,0),MATCH($A1715,CLASSNAMEHEADERS,0))),(INDEX(ALLCLASSDATA,MATCH("MediumExpert",CLASSFEATUREHEADERS,0),MATCH(($A1715 &amp; "Points"),CLASSNAMEHEADERS,0))),(IF("13"=(INDEX(ALLCLASSDATA,MATCH("MediumTrained",CLASSFEATUREHEADERS,0),MATCH($A1715,CLASSNAMEHEADERS,0))),(INDEX(ALLCLASSDATA,MATCH("MediumTrained",CLASSFEATUREHEADERS,0),MATCH(($A1715 &amp; "Points"),CLASSNAMEHEADERS,0))),"")))))))))}</f>
        <v>MEDIUML13</v>
      </c>
      <c r="U1714" s="223"/>
      <c r="V1714" s="223" t="str">
        <f t="array" ref="V1714:V1715">{"MEDIUML15";((IF("15"=(INDEX(ALLCLASSDATA,MATCH("MediumLegendary",CLASSFEATUREHEADERS,0),MATCH($A1715,CLASSNAMEHEADERS,0))),(INDEX(ALLCLASSDATA,MATCH("MediumLegendary",CLASSFEATUREHEADERS,0),MATCH(($A1715 &amp; "Points"),CLASSNAMEHEADERS,0))),(IF("15"=(INDEX(ALLCLASSDATA,MATCH("MediumMaster",CLASSFEATUREHEADERS,0),MATCH($A1715,CLASSNAMEHEADERS,0))),(INDEX(ALLCLASSDATA,MATCH("MediumMaster",CLASSFEATUREHEADERS,0),MATCH(($A1715 &amp; "Points"),CLASSNAMEHEADERS,0))),(IF("15"=(INDEX(ALLCLASSDATA,MATCH("MediumExpert",CLASSFEATUREHEADERS,0),MATCH($A1715,CLASSNAMEHEADERS,0))),(INDEX(ALLCLASSDATA,MATCH("MediumExpert",CLASSFEATUREHEADERS,0),MATCH(($A1715 &amp; "Points"),CLASSNAMEHEADERS,0))),(IF("15"=(INDEX(ALLCLASSDATA,MATCH("MediumTrained",CLASSFEATUREHEADERS,0),MATCH($A1715,CLASSNAMEHEADERS,0))),(INDEX(ALLCLASSDATA,MATCH("MediumTrained",CLASSFEATUREHEADERS,0),MATCH(($A1715 &amp; "Points"),CLASSNAMEHEADERS,0))),"")))))))))}</f>
        <v>MEDIUML15</v>
      </c>
      <c r="W1714" s="223"/>
      <c r="X1714" s="223" t="str">
        <f t="array" ref="X1714:X1715">{"MEDIUML17";((IF("17"=(INDEX(ALLCLASSDATA,MATCH("MediumLegendary",CLASSFEATUREHEADERS,0),MATCH($A1715,CLASSNAMEHEADERS,0))),(INDEX(ALLCLASSDATA,MATCH("MediumLegendary",CLASSFEATUREHEADERS,0),MATCH(($A1715 &amp; "Points"),CLASSNAMEHEADERS,0))),(IF("17"=(INDEX(ALLCLASSDATA,MATCH("MediumMaster",CLASSFEATUREHEADERS,0),MATCH($A1715,CLASSNAMEHEADERS,0))),(INDEX(ALLCLASSDATA,MATCH("MediumMaster",CLASSFEATUREHEADERS,0),MATCH(($A1715 &amp; "Points"),CLASSNAMEHEADERS,0))),(IF("17"=(INDEX(ALLCLASSDATA,MATCH("MediumExpert",CLASSFEATUREHEADERS,0),MATCH($A1715,CLASSNAMEHEADERS,0))),(INDEX(ALLCLASSDATA,MATCH("MediumExpert",CLASSFEATUREHEADERS,0),MATCH(($A1715 &amp; "Points"),CLASSNAMEHEADERS,0))),(IF("17"=(INDEX(ALLCLASSDATA,MATCH("MediumTrained",CLASSFEATUREHEADERS,0),MATCH($A1715,CLASSNAMEHEADERS,0))),(INDEX(ALLCLASSDATA,MATCH("MediumTrained",CLASSFEATUREHEADERS,0),MATCH(($A1715 &amp; "Points"),CLASSNAMEHEADERS,0))),"")))))))))}</f>
        <v>MEDIUML17</v>
      </c>
      <c r="Y1714" s="223"/>
      <c r="Z1714" s="223" t="str">
        <f t="array" ref="Z1714:Z1715">{"MEDIUML19";((IF("19"=(INDEX(ALLCLASSDATA,MATCH("MediumLegendary",CLASSFEATUREHEADERS,0),MATCH($A1715,CLASSNAMEHEADERS,0))),(INDEX(ALLCLASSDATA,MATCH("MediumLegendary",CLASSFEATUREHEADERS,0),MATCH(($A1715 &amp; "Points"),CLASSNAMEHEADERS,0))),(IF("19"=(INDEX(ALLCLASSDATA,MATCH("MediumMaster",CLASSFEATUREHEADERS,0),MATCH($A1715,CLASSNAMEHEADERS,0))),(INDEX(ALLCLASSDATA,MATCH("MediumMaster",CLASSFEATUREHEADERS,0),MATCH(($A1715 &amp; "Points"),CLASSNAMEHEADERS,0))),(IF("19"=(INDEX(ALLCLASSDATA,MATCH("MediumExpert",CLASSFEATUREHEADERS,0),MATCH($A1715,CLASSNAMEHEADERS,0))),(INDEX(ALLCLASSDATA,MATCH("MediumExpert",CLASSFEATUREHEADERS,0),MATCH(($A1715 &amp; "Points"),CLASSNAMEHEADERS,0))),(IF("19"=(INDEX(ALLCLASSDATA,MATCH("MediumTrained",CLASSFEATUREHEADERS,0),MATCH($A1715,CLASSNAMEHEADERS,0))),(INDEX(ALLCLASSDATA,MATCH("MediumTrained",CLASSFEATUREHEADERS,0),MATCH(($A1715 &amp; "Points"),CLASSNAMEHEADERS,0))),"")))))))))}</f>
        <v>MEDIUML19</v>
      </c>
      <c r="AA1714" s="223"/>
      <c r="AB1714" s="76" t="str">
        <f t="array" ref="AB1714:AB1715">{"MEDIUM TOTAL";(IF(COUNTBLANK(G1715:AA1715)=17,"L",(IF(COUNTBLANK(G1715:AA1715)=18,"M",(IF(COUNTBLANK(G1715:AA1715)=19,"E",(IF(COUNTBLANK(G1715:AA1715)=20,"T",""))))))))}</f>
        <v>MEDIUM TOTAL</v>
      </c>
      <c r="AC1714" s="76" t="str">
        <f t="array" ref="AC1714:AC1715">{"MEDIUM TOTAL";(sum(G1715:AA1715))}</f>
        <v>MEDIUM TOTAL</v>
      </c>
    </row>
    <row r="1715">
      <c r="A1715" s="48" t="s">
        <v>225</v>
      </c>
      <c r="B1715" s="48"/>
      <c r="C1715" s="48" t="s">
        <v>418</v>
      </c>
      <c r="D1715" s="48" t="s">
        <v>1900</v>
      </c>
      <c r="E1715" s="48" t="s">
        <v>76</v>
      </c>
      <c r="F1715" s="5" t="s">
        <v>435</v>
      </c>
      <c r="G1715" s="47" t="s">
        <v>603</v>
      </c>
      <c r="H1715" s="5">
        <v>10.0</v>
      </c>
      <c r="I1715" s="5"/>
      <c r="J1715" s="5" t="s">
        <v>603</v>
      </c>
      <c r="K1715" s="5"/>
      <c r="L1715" s="5" t="s">
        <v>603</v>
      </c>
      <c r="M1715" s="5"/>
      <c r="N1715" s="5" t="s">
        <v>603</v>
      </c>
      <c r="O1715" s="5"/>
      <c r="P1715" s="5" t="s">
        <v>603</v>
      </c>
      <c r="Q1715" s="5"/>
      <c r="R1715" s="5">
        <v>50.0</v>
      </c>
      <c r="S1715" s="5"/>
      <c r="T1715" s="5" t="s">
        <v>603</v>
      </c>
      <c r="U1715" s="5"/>
      <c r="V1715" s="5" t="s">
        <v>603</v>
      </c>
      <c r="W1715" s="5"/>
      <c r="X1715" s="5" t="s">
        <v>603</v>
      </c>
      <c r="Y1715" s="5"/>
      <c r="Z1715" s="5" t="s">
        <v>603</v>
      </c>
      <c r="AA1715" s="5"/>
      <c r="AB1715" s="5" t="s">
        <v>436</v>
      </c>
      <c r="AC1715" s="47">
        <v>60.0</v>
      </c>
    </row>
    <row r="1716" hidden="1">
      <c r="A1716" s="222" t="str">
        <f t="array" ref="A1716:A1717">{"FormulaRow38";(INDEX(CLASSLIST,A1641,1))}</f>
        <v>FormulaRow38</v>
      </c>
      <c r="B1716" s="77" t="s">
        <v>236</v>
      </c>
      <c r="C1716" s="222" t="str">
        <f t="array" ref="C1716:C1717">{"CLASSTYPE";((INDEX(ALLCLASSDATA,MATCH("ClassType",CLASSFEATUREHEADERS,0),MATCH($A1717,CLASSNAMEHEADERS,0))))}</f>
        <v>CLASSTYPE</v>
      </c>
      <c r="D1716" s="222" t="str">
        <f t="array" ref="D1716:D1717">{"DEFENSE";"Defense"}</f>
        <v>DEFENSE</v>
      </c>
      <c r="E1716" s="222" t="str">
        <f t="array" ref="E1716:E1717">{"HEAVY";"Heavy"}</f>
        <v>HEAVY</v>
      </c>
      <c r="F1716" s="223" t="str">
        <f t="array" ref="F1716:F1717">{"HEAVYINITIAL";((IF(H1717=10,"T",(IF(H1717=50,"E","")))))}</f>
        <v>HEAVYINITIAL</v>
      </c>
      <c r="G1716" s="223" t="str">
        <f t="array" ref="G1716:G1717">{"HEAVYINITIALPTS";((IF("00"=(INDEX(ALLCLASSDATA,MATCH("HeavyLegendary",CLASSFEATUREHEADERS,0),MATCH($A1717,CLASSNAMEHEADERS,0))),(INDEX(ALLCLASSDATA,MATCH("HeavyLegendary",CLASSFEATUREHEADERS,0),MATCH(($A1717 &amp; "Points"),CLASSNAMEHEADERS,0))),(IF("00"=(INDEX(ALLCLASSDATA,MATCH("HeavyMaster",CLASSFEATUREHEADERS,0),MATCH($A1717,CLASSNAMEHEADERS,0))),(INDEX(ALLCLASSDATA,MATCH("HeavyMaster",CLASSFEATUREHEADERS,0),MATCH(($A1717 &amp; "Points"),CLASSNAMEHEADERS,0))),(IF("00"=(INDEX(ALLCLASSDATA,MATCH("HeavyExpert",CLASSFEATUREHEADERS,0),MATCH($A1717,CLASSNAMEHEADERS,0))),(INDEX(ALLCLASSDATA,MATCH("HeavyExpert",CLASSFEATUREHEADERS,0),MATCH(($A1717 &amp; "Points"),CLASSNAMEHEADERS,0))),(IF("00"=(INDEX(ALLCLASSDATA,MATCH("HeavyTrained",CLASSFEATUREHEADERS,0),MATCH($A1717,CLASSNAMEHEADERS,0))),(INDEX(ALLCLASSDATA,MATCH("HeavyTrained",CLASSFEATUREHEADERS,0),MATCH(($A1717 &amp; "Points"),CLASSNAMEHEADERS,0))),"")))))))))}</f>
        <v>HEAVYINITIALPTS</v>
      </c>
      <c r="H1716" s="223" t="str">
        <f t="array" ref="H1716:H1717">{"HEAVYL01";((IF("01"=(INDEX(ALLCLASSDATA,MATCH("HeavyLegendary",CLASSFEATUREHEADERS,0),MATCH($A1717,CLASSNAMEHEADERS,0))),(INDEX(ALLCLASSDATA,MATCH("HeavyLegendary",CLASSFEATUREHEADERS,0),MATCH(($A1717 &amp; "Points"),CLASSNAMEHEADERS,0))),(IF("01"=(INDEX(ALLCLASSDATA,MATCH("HeavyMaster",CLASSFEATUREHEADERS,0),MATCH($A1717,CLASSNAMEHEADERS,0))),(INDEX(ALLCLASSDATA,MATCH("HeavyMaster",CLASSFEATUREHEADERS,0),MATCH(($A1717 &amp; "Points"),CLASSNAMEHEADERS,0))),(IF("01"=(INDEX(ALLCLASSDATA,MATCH("HeavyExpert",CLASSFEATUREHEADERS,0),MATCH($A1717,CLASSNAMEHEADERS,0))),(INDEX(ALLCLASSDATA,MATCH("HeavyExpert",CLASSFEATUREHEADERS,0),MATCH(($A1717 &amp; "Points"),CLASSNAMEHEADERS,0))),(IF("01"=(INDEX(ALLCLASSDATA,MATCH("HeavyTrained",CLASSFEATUREHEADERS,0),MATCH($A1717,CLASSNAMEHEADERS,0))),(INDEX(ALLCLASSDATA,MATCH("HeavyTrained",CLASSFEATUREHEADERS,0),MATCH(($A1717 &amp; "Points"),CLASSNAMEHEADERS,0))),"")))))))))}</f>
        <v>HEAVYL01</v>
      </c>
      <c r="I1716" s="223"/>
      <c r="J1716" s="223" t="str">
        <f t="array" ref="J1716:J1717">{"HEAVYL03";((IF("03"=(INDEX(ALLCLASSDATA,MATCH("HeavyLegendary",CLASSFEATUREHEADERS,0),MATCH($A1717,CLASSNAMEHEADERS,0))),(INDEX(ALLCLASSDATA,MATCH("HeavyLegendary",CLASSFEATUREHEADERS,0),MATCH(($A1717 &amp; "Points"),CLASSNAMEHEADERS,0))),(IF("03"=(INDEX(ALLCLASSDATA,MATCH("HeavyMaster",CLASSFEATUREHEADERS,0),MATCH($A1717,CLASSNAMEHEADERS,0))),(INDEX(ALLCLASSDATA,MATCH("HeavyMaster",CLASSFEATUREHEADERS,0),MATCH(($A1717 &amp; "Points"),CLASSNAMEHEADERS,0))),(IF("03"=(INDEX(ALLCLASSDATA,MATCH("HeavyExpert",CLASSFEATUREHEADERS,0),MATCH($A1717,CLASSNAMEHEADERS,0))),(INDEX(ALLCLASSDATA,MATCH("HeavyExpert",CLASSFEATUREHEADERS,0),MATCH(($A1717 &amp; "Points"),CLASSNAMEHEADERS,0))),(IF("03"=(INDEX(ALLCLASSDATA,MATCH("HeavyTrained",CLASSFEATUREHEADERS,0),MATCH($A1717,CLASSNAMEHEADERS,0))),(INDEX(ALLCLASSDATA,MATCH("HeavyTrained",CLASSFEATUREHEADERS,0),MATCH(($A1717 &amp; "Points"),CLASSNAMEHEADERS,0))),"")))))))))}</f>
        <v>HEAVYL03</v>
      </c>
      <c r="K1716" s="223"/>
      <c r="L1716" s="223" t="str">
        <f t="array" ref="L1716:L1717">{"HEAVYL05";((IF("05"=(INDEX(ALLCLASSDATA,MATCH("HeavyLegendary",CLASSFEATUREHEADERS,0),MATCH($A1717,CLASSNAMEHEADERS,0))),(INDEX(ALLCLASSDATA,MATCH("HeavyLegendary",CLASSFEATUREHEADERS,0),MATCH(($A1717 &amp; "Points"),CLASSNAMEHEADERS,0))),(IF("05"=(INDEX(ALLCLASSDATA,MATCH("HeavyMaster",CLASSFEATUREHEADERS,0),MATCH($A1717,CLASSNAMEHEADERS,0))),(INDEX(ALLCLASSDATA,MATCH("HeavyMaster",CLASSFEATUREHEADERS,0),MATCH(($A1717 &amp; "Points"),CLASSNAMEHEADERS,0))),(IF("05"=(INDEX(ALLCLASSDATA,MATCH("HeavyExpert",CLASSFEATUREHEADERS,0),MATCH($A1717,CLASSNAMEHEADERS,0))),(INDEX(ALLCLASSDATA,MATCH("HeavyExpert",CLASSFEATUREHEADERS,0),MATCH(($A1717 &amp; "Points"),CLASSNAMEHEADERS,0))),(IF("05"=(INDEX(ALLCLASSDATA,MATCH("HeavyTrained",CLASSFEATUREHEADERS,0),MATCH($A1717,CLASSNAMEHEADERS,0))),(INDEX(ALLCLASSDATA,MATCH("HeavyTrained",CLASSFEATUREHEADERS,0),MATCH(($A1717 &amp; "Points"),CLASSNAMEHEADERS,0))),"")))))))))}</f>
        <v>HEAVYL05</v>
      </c>
      <c r="M1716" s="223"/>
      <c r="N1716" s="223" t="str">
        <f t="array" ref="N1716:N1717">{"HEAVYL07";((IF("07"=(INDEX(ALLCLASSDATA,MATCH("HeavyLegendary",CLASSFEATUREHEADERS,0),MATCH($A1717,CLASSNAMEHEADERS,0))),(INDEX(ALLCLASSDATA,MATCH("HeavyLegendary",CLASSFEATUREHEADERS,0),MATCH(($A1717 &amp; "Points"),CLASSNAMEHEADERS,0))),(IF("07"=(INDEX(ALLCLASSDATA,MATCH("HeavyMaster",CLASSFEATUREHEADERS,0),MATCH($A1717,CLASSNAMEHEADERS,0))),(INDEX(ALLCLASSDATA,MATCH("HeavyMaster",CLASSFEATUREHEADERS,0),MATCH(($A1717 &amp; "Points"),CLASSNAMEHEADERS,0))),(IF("07"=(INDEX(ALLCLASSDATA,MATCH("HeavyExpert",CLASSFEATUREHEADERS,0),MATCH($A1717,CLASSNAMEHEADERS,0))),(INDEX(ALLCLASSDATA,MATCH("HeavyExpert",CLASSFEATUREHEADERS,0),MATCH(($A1717 &amp; "Points"),CLASSNAMEHEADERS,0))),(IF("07"=(INDEX(ALLCLASSDATA,MATCH("HeavyTrained",CLASSFEATUREHEADERS,0),MATCH($A1717,CLASSNAMEHEADERS,0))),(INDEX(ALLCLASSDATA,MATCH("HeavyTrained",CLASSFEATUREHEADERS,0),MATCH(($A1717 &amp; "Points"),CLASSNAMEHEADERS,0))),"")))))))))}</f>
        <v>HEAVYL07</v>
      </c>
      <c r="O1716" s="223"/>
      <c r="P1716" s="223" t="str">
        <f t="array" ref="P1716:P1717">{"HEAVYL09";((IF("09"=(INDEX(ALLCLASSDATA,MATCH("HeavyLegendary",CLASSFEATUREHEADERS,0),MATCH($A1717,CLASSNAMEHEADERS,0))),(INDEX(ALLCLASSDATA,MATCH("HeavyLegendary",CLASSFEATUREHEADERS,0),MATCH(($A1717 &amp; "Points"),CLASSNAMEHEADERS,0))),(IF("09"=(INDEX(ALLCLASSDATA,MATCH("HeavyMaster",CLASSFEATUREHEADERS,0),MATCH($A1717,CLASSNAMEHEADERS,0))),(INDEX(ALLCLASSDATA,MATCH("HeavyMaster",CLASSFEATUREHEADERS,0),MATCH(($A1717 &amp; "Points"),CLASSNAMEHEADERS,0))),(IF("09"=(INDEX(ALLCLASSDATA,MATCH("HeavyExpert",CLASSFEATUREHEADERS,0),MATCH($A1717,CLASSNAMEHEADERS,0))),(INDEX(ALLCLASSDATA,MATCH("HeavyExpert",CLASSFEATUREHEADERS,0),MATCH(($A1717 &amp; "Points"),CLASSNAMEHEADERS,0))),(IF("09"=(INDEX(ALLCLASSDATA,MATCH("HeavyTrained",CLASSFEATUREHEADERS,0),MATCH($A1717,CLASSNAMEHEADERS,0))),(INDEX(ALLCLASSDATA,MATCH("HeavyTrained",CLASSFEATUREHEADERS,0),MATCH(($A1717 &amp; "Points"),CLASSNAMEHEADERS,0))),"")))))))))}</f>
        <v>HEAVYL09</v>
      </c>
      <c r="Q1716" s="223"/>
      <c r="R1716" s="223" t="str">
        <f t="array" ref="R1716:R1717">{"HEAVYL11";((IF("11"=(INDEX(ALLCLASSDATA,MATCH("HeavyLegendary",CLASSFEATUREHEADERS,0),MATCH($A1717,CLASSNAMEHEADERS,0))),(INDEX(ALLCLASSDATA,MATCH("HeavyLegendary",CLASSFEATUREHEADERS,0),MATCH(($A1717 &amp; "Points"),CLASSNAMEHEADERS,0))),(IF("11"=(INDEX(ALLCLASSDATA,MATCH("HeavyMaster",CLASSFEATUREHEADERS,0),MATCH($A1717,CLASSNAMEHEADERS,0))),(INDEX(ALLCLASSDATA,MATCH("HeavyMaster",CLASSFEATUREHEADERS,0),MATCH(($A1717 &amp; "Points"),CLASSNAMEHEADERS,0))),(IF("11"=(INDEX(ALLCLASSDATA,MATCH("HeavyExpert",CLASSFEATUREHEADERS,0),MATCH($A1717,CLASSNAMEHEADERS,0))),(INDEX(ALLCLASSDATA,MATCH("HeavyExpert",CLASSFEATUREHEADERS,0),MATCH(($A1717 &amp; "Points"),CLASSNAMEHEADERS,0))),(IF("11"=(INDEX(ALLCLASSDATA,MATCH("HeavyTrained",CLASSFEATUREHEADERS,0),MATCH($A1717,CLASSNAMEHEADERS,0))),(INDEX(ALLCLASSDATA,MATCH("HeavyTrained",CLASSFEATUREHEADERS,0),MATCH(($A1717 &amp; "Points"),CLASSNAMEHEADERS,0))),"")))))))))}</f>
        <v>HEAVYL11</v>
      </c>
      <c r="S1716" s="223"/>
      <c r="T1716" s="223" t="str">
        <f t="array" ref="T1716:T1717">{"HEAVYL13";((IF("13"=(INDEX(ALLCLASSDATA,MATCH("HeavyLegendary",CLASSFEATUREHEADERS,0),MATCH($A1717,CLASSNAMEHEADERS,0))),(INDEX(ALLCLASSDATA,MATCH("HeavyLegendary",CLASSFEATUREHEADERS,0),MATCH(($A1717 &amp; "Points"),CLASSNAMEHEADERS,0))),(IF("13"=(INDEX(ALLCLASSDATA,MATCH("HeavyMaster",CLASSFEATUREHEADERS,0),MATCH($A1717,CLASSNAMEHEADERS,0))),(INDEX(ALLCLASSDATA,MATCH("HeavyMaster",CLASSFEATUREHEADERS,0),MATCH(($A1717 &amp; "Points"),CLASSNAMEHEADERS,0))),(IF("13"=(INDEX(ALLCLASSDATA,MATCH("HeavyExpert",CLASSFEATUREHEADERS,0),MATCH($A1717,CLASSNAMEHEADERS,0))),(INDEX(ALLCLASSDATA,MATCH("HeavyExpert",CLASSFEATUREHEADERS,0),MATCH(($A1717 &amp; "Points"),CLASSNAMEHEADERS,0))),(IF("13"=(INDEX(ALLCLASSDATA,MATCH("HeavyTrained",CLASSFEATUREHEADERS,0),MATCH($A1717,CLASSNAMEHEADERS,0))),(INDEX(ALLCLASSDATA,MATCH("HeavyTrained",CLASSFEATUREHEADERS,0),MATCH(($A1717 &amp; "Points"),CLASSNAMEHEADERS,0))),"")))))))))}</f>
        <v>HEAVYL13</v>
      </c>
      <c r="U1716" s="223"/>
      <c r="V1716" s="223" t="str">
        <f t="array" ref="V1716:V1717">{"HEAVYL15";((IF("15"=(INDEX(ALLCLASSDATA,MATCH("HeavyLegendary",CLASSFEATUREHEADERS,0),MATCH($A1717,CLASSNAMEHEADERS,0))),(INDEX(ALLCLASSDATA,MATCH("HeavyLegendary",CLASSFEATUREHEADERS,0),MATCH(($A1717 &amp; "Points"),CLASSNAMEHEADERS,0))),(IF("15"=(INDEX(ALLCLASSDATA,MATCH("HeavyMaster",CLASSFEATUREHEADERS,0),MATCH($A1717,CLASSNAMEHEADERS,0))),(INDEX(ALLCLASSDATA,MATCH("HeavyMaster",CLASSFEATUREHEADERS,0),MATCH(($A1717 &amp; "Points"),CLASSNAMEHEADERS,0))),(IF("15"=(INDEX(ALLCLASSDATA,MATCH("HeavyExpert",CLASSFEATUREHEADERS,0),MATCH($A1717,CLASSNAMEHEADERS,0))),(INDEX(ALLCLASSDATA,MATCH("HeavyExpert",CLASSFEATUREHEADERS,0),MATCH(($A1717 &amp; "Points"),CLASSNAMEHEADERS,0))),(IF("15"=(INDEX(ALLCLASSDATA,MATCH("HeavyTrained",CLASSFEATUREHEADERS,0),MATCH($A1717,CLASSNAMEHEADERS,0))),(INDEX(ALLCLASSDATA,MATCH("HeavyTrained",CLASSFEATUREHEADERS,0),MATCH(($A1717 &amp; "Points"),CLASSNAMEHEADERS,0))),"")))))))))}</f>
        <v>HEAVYL15</v>
      </c>
      <c r="W1716" s="223"/>
      <c r="X1716" s="223" t="str">
        <f t="array" ref="X1716:X1717">{"HEAVYL17";((IF("17"=(INDEX(ALLCLASSDATA,MATCH("HeavyLegendary",CLASSFEATUREHEADERS,0),MATCH($A1717,CLASSNAMEHEADERS,0))),(INDEX(ALLCLASSDATA,MATCH("HeavyLegendary",CLASSFEATUREHEADERS,0),MATCH(($A1717 &amp; "Points"),CLASSNAMEHEADERS,0))),(IF("17"=(INDEX(ALLCLASSDATA,MATCH("HeavyMaster",CLASSFEATUREHEADERS,0),MATCH($A1717,CLASSNAMEHEADERS,0))),(INDEX(ALLCLASSDATA,MATCH("HeavyMaster",CLASSFEATUREHEADERS,0),MATCH(($A1717 &amp; "Points"),CLASSNAMEHEADERS,0))),(IF("17"=(INDEX(ALLCLASSDATA,MATCH("HeavyExpert",CLASSFEATUREHEADERS,0),MATCH($A1717,CLASSNAMEHEADERS,0))),(INDEX(ALLCLASSDATA,MATCH("HeavyExpert",CLASSFEATUREHEADERS,0),MATCH(($A1717 &amp; "Points"),CLASSNAMEHEADERS,0))),(IF("17"=(INDEX(ALLCLASSDATA,MATCH("HeavyTrained",CLASSFEATUREHEADERS,0),MATCH($A1717,CLASSNAMEHEADERS,0))),(INDEX(ALLCLASSDATA,MATCH("HeavyTrained",CLASSFEATUREHEADERS,0),MATCH(($A1717 &amp; "Points"),CLASSNAMEHEADERS,0))),"")))))))))}</f>
        <v>HEAVYL17</v>
      </c>
      <c r="Y1716" s="223"/>
      <c r="Z1716" s="223" t="str">
        <f t="array" ref="Z1716:Z1717">{"HEAVYL19";((IF("19"=(INDEX(ALLCLASSDATA,MATCH("HeavyLegendary",CLASSFEATUREHEADERS,0),MATCH($A1717,CLASSNAMEHEADERS,0))),(INDEX(ALLCLASSDATA,MATCH("HeavyLegendary",CLASSFEATUREHEADERS,0),MATCH(($A1717 &amp; "Points"),CLASSNAMEHEADERS,0))),(IF("19"=(INDEX(ALLCLASSDATA,MATCH("HeavyMaster",CLASSFEATUREHEADERS,0),MATCH($A1717,CLASSNAMEHEADERS,0))),(INDEX(ALLCLASSDATA,MATCH("HeavyMaster",CLASSFEATUREHEADERS,0),MATCH(($A1717 &amp; "Points"),CLASSNAMEHEADERS,0))),(IF("19"=(INDEX(ALLCLASSDATA,MATCH("HeavyExpert",CLASSFEATUREHEADERS,0),MATCH($A1717,CLASSNAMEHEADERS,0))),(INDEX(ALLCLASSDATA,MATCH("HeavyExpert",CLASSFEATUREHEADERS,0),MATCH(($A1717 &amp; "Points"),CLASSNAMEHEADERS,0))),(IF("19"=(INDEX(ALLCLASSDATA,MATCH("HeavyTrained",CLASSFEATUREHEADERS,0),MATCH($A1717,CLASSNAMEHEADERS,0))),(INDEX(ALLCLASSDATA,MATCH("HeavyTrained",CLASSFEATUREHEADERS,0),MATCH(($A1717 &amp; "Points"),CLASSNAMEHEADERS,0))),"")))))))))}</f>
        <v>HEAVYL19</v>
      </c>
      <c r="AA1716" s="223"/>
      <c r="AB1716" s="76" t="str">
        <f t="array" ref="AB1716:AB1717">{"HEAVY TOTAL";(IF(COUNTBLANK(G1717:AA1717)=17,"L",(IF(COUNTBLANK(G1717:AA1717)=18,"M",(IF(COUNTBLANK(G1717:AA1717)=19,"E",(IF(COUNTBLANK(G1717:AA1717)=20,"T",""))))))))}</f>
        <v>HEAVY TOTAL</v>
      </c>
      <c r="AC1716" s="76" t="str">
        <f t="array" ref="AC1716:AC1717">{"HEAVY TOTAL";(sum(G1717:AA1717))}</f>
        <v>HEAVY TOTAL</v>
      </c>
    </row>
    <row r="1717">
      <c r="A1717" s="48" t="s">
        <v>225</v>
      </c>
      <c r="B1717" s="48"/>
      <c r="C1717" s="48" t="s">
        <v>418</v>
      </c>
      <c r="D1717" s="97" t="s">
        <v>1900</v>
      </c>
      <c r="E1717" s="97" t="s">
        <v>533</v>
      </c>
      <c r="F1717" s="98" t="s">
        <v>603</v>
      </c>
      <c r="G1717" s="132" t="s">
        <v>603</v>
      </c>
      <c r="H1717" s="98" t="s">
        <v>603</v>
      </c>
      <c r="I1717" s="98"/>
      <c r="J1717" s="98" t="s">
        <v>603</v>
      </c>
      <c r="K1717" s="98"/>
      <c r="L1717" s="98" t="s">
        <v>603</v>
      </c>
      <c r="M1717" s="98"/>
      <c r="N1717" s="98" t="s">
        <v>603</v>
      </c>
      <c r="O1717" s="98"/>
      <c r="P1717" s="98" t="s">
        <v>603</v>
      </c>
      <c r="Q1717" s="98"/>
      <c r="R1717" s="98" t="s">
        <v>603</v>
      </c>
      <c r="S1717" s="98"/>
      <c r="T1717" s="98" t="s">
        <v>603</v>
      </c>
      <c r="U1717" s="98"/>
      <c r="V1717" s="98" t="s">
        <v>603</v>
      </c>
      <c r="W1717" s="98"/>
      <c r="X1717" s="98" t="s">
        <v>603</v>
      </c>
      <c r="Y1717" s="98"/>
      <c r="Z1717" s="98" t="s">
        <v>603</v>
      </c>
      <c r="AA1717" s="98"/>
      <c r="AB1717" s="5" t="s">
        <v>603</v>
      </c>
      <c r="AC1717" s="47">
        <v>0.0</v>
      </c>
    </row>
    <row r="1718" hidden="1">
      <c r="A1718" s="222" t="str">
        <f t="array" ref="A1718:A1719">{"FormulaRow39";(INDEX(CLASSLIST,A1641,1))}</f>
        <v>FormulaRow39</v>
      </c>
      <c r="B1718" s="77" t="s">
        <v>236</v>
      </c>
      <c r="C1718" s="222" t="str">
        <f t="array" ref="C1718:C1719">{"CLASSTYPE";((INDEX(ALLCLASSDATA,MATCH("ClassType",CLASSFEATUREHEADERS,0),MATCH($A1719,CLASSNAMEHEADERS,0))))}</f>
        <v>CLASSTYPE</v>
      </c>
      <c r="D1718" s="222" t="str">
        <f t="array" ref="D1718:D1719">{"SPELL/ALCHEMY";((IF(INDEX(ALLCLASSDATA,MATCH("CasterType",CLASSFEATUREHEADERS,0),MATCH(($A1719),CLASSNAMEHEADERS,0))="","",(IF(INDEX(ALLCLASSDATA,MATCH("CasterType",CLASSFEATUREHEADERS,0),MATCH(($A1719),CLASSNAMEHEADERS,0))="Alchemy","Alchemy","Spells")))))}</f>
        <v>SPELL/ALCHEMY</v>
      </c>
      <c r="E1718" s="222" t="str">
        <f t="array" ref="E1718:E1719">{"SPELLLIST";(IF(D1719="Spells",((INDEX(ALLCLASSDATA,MATCH("CasterType",CLASSFEATUREHEADERS,0),MATCH(($A1719),CLASSNAMEHEADERS,0))) &amp; ":" &amp; (INDEX(ALLCLASSDATA,MATCH("SpellList",CLASSFEATUREHEADERS,0),MATCH(($A1719),CLASSNAMEHEADERS,0)))),""))}</f>
        <v>SPELLLIST</v>
      </c>
      <c r="F1718" s="223" t="str">
        <f t="array" ref="F1718:F1719">{"SPL";(IF(D1719="Spells","SPL:",""))}</f>
        <v>SPL</v>
      </c>
      <c r="G1718" s="223" t="str">
        <f t="array" ref="G1718:G1719">{"CANTRIP/ALC";(IF(D1719="Spells","C",(IF(D1719="Alchemy","ALC:",""))))}</f>
        <v>CANTRIP/ALC</v>
      </c>
      <c r="H1718" s="223" t="str">
        <f t="array" ref="H1718:H1719">{"SPELL/ALC L01";(IF(D1719="Alchemy","L01",(IF(D1719="Spells","S01",""))))}</f>
        <v>SPELL/ALC L01</v>
      </c>
      <c r="I1718" s="223" t="str">
        <f t="array" ref="I1718:I1719">{"SPELL/ALC L02";(IF(D1719="Alchemy","L02",(IF(D1719="Spells","S01",""))))}</f>
        <v>SPELL/ALC L02</v>
      </c>
      <c r="J1718" s="223" t="str">
        <f t="array" ref="J1718:J1719">{"SPELL/ALC L03";(IF(D1719="Alchemy","L03",(IF(D1719="Spells","S02",""))))}</f>
        <v>SPELL/ALC L03</v>
      </c>
      <c r="K1718" s="223" t="str">
        <f t="array" ref="K1718:K1719">{"SPELL/ALC L04";(IF(D1719="Alchemy","L04",(IF(D1719="Spells","S02",""))))}</f>
        <v>SPELL/ALC L04</v>
      </c>
      <c r="L1718" s="223" t="str">
        <f t="array" ref="L1718:L1719">{"SPELL/ALC L05";(IF(D1719="Alchemy","L05",(IF(D1719="Spells","S03",""))))}</f>
        <v>SPELL/ALC L05</v>
      </c>
      <c r="M1718" s="223" t="str">
        <f t="array" ref="M1718:M1719">{"SPELL/ALC L06";(IF(D1719="Alchemy","L06",(IF(D1719="Spells","S03",""))))}</f>
        <v>SPELL/ALC L06</v>
      </c>
      <c r="N1718" s="223" t="str">
        <f t="array" ref="N1718:N1719">{"SPELL/ALC L07";(IF(D1719="Alchemy","L07",(IF(D1719="Spells","S04",""))))}</f>
        <v>SPELL/ALC L07</v>
      </c>
      <c r="O1718" s="223" t="str">
        <f t="array" ref="O1718:O1719">{"SPELL/ALC L08";(IF(D1719="Alchemy","L08",(IF(D1719="Spells","S04",""))))}</f>
        <v>SPELL/ALC L08</v>
      </c>
      <c r="P1718" s="223" t="str">
        <f t="array" ref="P1718:P1719">{"SPELL/ALC L09";(IF(D1719="Alchemy","L09",(IF(D1719="Spells","S05",""))))}</f>
        <v>SPELL/ALC L09</v>
      </c>
      <c r="Q1718" s="223" t="str">
        <f t="array" ref="Q1718:Q1719">{"SPELL/ALC L10";(IF(D1719="Alchemy","L10",(IF(D1719="Spells","S05",""))))}</f>
        <v>SPELL/ALC L10</v>
      </c>
      <c r="R1718" s="223" t="str">
        <f t="array" ref="R1718:R1719">{"SPELL/ALC L11";(IF(D1719="Alchemy","L11",(IF(D1719="Spells","S06",""))))}</f>
        <v>SPELL/ALC L11</v>
      </c>
      <c r="S1718" s="223" t="str">
        <f t="array" ref="S1718:S1719">{"SPELL/ALC L12";(IF(D1719="Alchemy","L12",(IF(D1719="Spells","S06",""))))}</f>
        <v>SPELL/ALC L12</v>
      </c>
      <c r="T1718" s="223" t="str">
        <f t="array" ref="T1718:T1719">{"SPELL/ALC L13";(IF(D1719="Alchemy","L13",(IF(D1719="Spells","S07",""))))}</f>
        <v>SPELL/ALC L13</v>
      </c>
      <c r="U1718" s="223" t="str">
        <f t="array" ref="U1718:U1719">{"SPELL/ALC L14";(IF(D1719="Alchemy","L14",(IF(D1719="Spells","S07",""))))}</f>
        <v>SPELL/ALC L14</v>
      </c>
      <c r="V1718" s="223" t="str">
        <f t="array" ref="V1718:V1719">{"SPELL/ALC L15";(IF(D1719="Alchemy","L15",(IF(D1719="Spells","S08",""))))}</f>
        <v>SPELL/ALC L15</v>
      </c>
      <c r="W1718" s="223" t="str">
        <f t="array" ref="W1718:W1719">{"SPELL/ALC L16";(IF(D1719="Alchemy","L16",(IF(D1719="Spells","S08",""))))}</f>
        <v>SPELL/ALC L16</v>
      </c>
      <c r="X1718" s="223" t="str">
        <f t="array" ref="X1718:X1719">{"SPELL/ALC L17";(IF(D1719="Alchemy","L17",(IF(D1719="Spells","S09",""))))}</f>
        <v>SPELL/ALC L17</v>
      </c>
      <c r="Y1718" s="223" t="str">
        <f t="array" ref="Y1718:Y1719">{"SPELL/ALC L18";(IF(D1719="Alchemy","L18",(IF(D1719="Spells","S09",""))))}</f>
        <v>SPELL/ALC L18</v>
      </c>
      <c r="Z1718" s="223" t="str">
        <f t="array" ref="Z1718:Z1719">{"SPELL/ALC L19";(IF(D1719="Alchemy","L19",(IF(D1719="Spells","S10",""))))}</f>
        <v>SPELL/ALC L19</v>
      </c>
      <c r="AA1718" s="223" t="str">
        <f t="array" ref="AA1718:AA1719">{"SPELL/ALC L20";(IF(D1719="Alchemy","L20",(IF(D1719="Spells","S10",""))))}</f>
        <v>SPELL/ALC L20</v>
      </c>
      <c r="AB1718" s="76"/>
      <c r="AC1718" s="76"/>
    </row>
    <row r="1719">
      <c r="A1719" s="48" t="s">
        <v>225</v>
      </c>
      <c r="B1719" s="48"/>
      <c r="C1719" s="48" t="s">
        <v>418</v>
      </c>
      <c r="D1719" s="48" t="s">
        <v>1901</v>
      </c>
      <c r="E1719" s="48" t="s">
        <v>1918</v>
      </c>
      <c r="F1719" s="278" t="s">
        <v>1903</v>
      </c>
      <c r="G1719" s="114" t="s">
        <v>653</v>
      </c>
      <c r="H1719" s="279" t="s">
        <v>1536</v>
      </c>
      <c r="I1719" s="28" t="s">
        <v>1536</v>
      </c>
      <c r="J1719" s="28" t="s">
        <v>1542</v>
      </c>
      <c r="K1719" s="28" t="s">
        <v>1542</v>
      </c>
      <c r="L1719" s="28" t="s">
        <v>1545</v>
      </c>
      <c r="M1719" s="28" t="s">
        <v>1545</v>
      </c>
      <c r="N1719" s="28" t="s">
        <v>1548</v>
      </c>
      <c r="O1719" s="28" t="s">
        <v>1548</v>
      </c>
      <c r="P1719" s="28" t="s">
        <v>1553</v>
      </c>
      <c r="Q1719" s="28" t="s">
        <v>1553</v>
      </c>
      <c r="R1719" s="28" t="s">
        <v>1556</v>
      </c>
      <c r="S1719" s="28" t="s">
        <v>1556</v>
      </c>
      <c r="T1719" s="28" t="s">
        <v>1559</v>
      </c>
      <c r="U1719" s="28" t="s">
        <v>1559</v>
      </c>
      <c r="V1719" s="28" t="s">
        <v>1562</v>
      </c>
      <c r="W1719" s="28" t="s">
        <v>1562</v>
      </c>
      <c r="X1719" s="28" t="s">
        <v>1565</v>
      </c>
      <c r="Y1719" s="28" t="s">
        <v>1565</v>
      </c>
      <c r="Z1719" s="28" t="s">
        <v>1568</v>
      </c>
      <c r="AA1719" s="28" t="s">
        <v>1568</v>
      </c>
      <c r="AB1719" s="5"/>
      <c r="AC1719" s="47"/>
    </row>
    <row r="1720" hidden="1">
      <c r="A1720" s="222" t="str">
        <f t="array" ref="A1720:A1721">{"FormulaRow40";(INDEX(CLASSLIST,A1641,1))}</f>
        <v>FormulaRow40</v>
      </c>
      <c r="B1720" s="77" t="s">
        <v>236</v>
      </c>
      <c r="C1720" s="222" t="str">
        <f t="array" ref="C1720:C1721">{"CLASSTYPE";((INDEX(ALLCLASSDATA,MATCH("ClassType",CLASSFEATUREHEADERS,0),MATCH($A1721,CLASSNAMEHEADERS,0))))}</f>
        <v>CLASSTYPE</v>
      </c>
      <c r="D1720" s="222" t="str">
        <f t="array" ref="D1720:D1721">{"SPELL/ALCHEMY";((IF(INDEX(ALLCLASSDATA,MATCH("CasterType",CLASSFEATUREHEADERS,0),MATCH(($A1721),CLASSNAMEHEADERS,0))="","",(IF(INDEX(ALLCLASSDATA,MATCH("CasterType",CLASSFEATUREHEADERS,0),MATCH(($A1721),CLASSNAMEHEADERS,0))="Alchemy","","Spells")))))}</f>
        <v>SPELL/ALCHEMY</v>
      </c>
      <c r="E1720" s="222" t="str">
        <f t="array" ref="E1720:E1721">{"SPELLLIST";(IF(D1721="Spells",((INDEX(ALLCLASSDATA,MATCH("CasterType",CLASSFEATUREHEADERS,0),MATCH(($A1721),CLASSNAMEHEADERS,0))) &amp; ":" &amp; (INDEX(ALLCLASSDATA,MATCH("SpellList",CLASSFEATUREHEADERS,0),MATCH(($A1721),CLASSNAMEHEADERS,0)))),""))}</f>
        <v>SPELLLIST</v>
      </c>
      <c r="F1720" s="222" t="str">
        <f t="array" ref="F1720:F1721">{"SLOTCOST";(IF(D1721="Spells","SlotCost:",""))}</f>
        <v>SLOTCOST</v>
      </c>
      <c r="G1720" s="222" t="str">
        <f t="array" ref="G1720:G1721">{"SLOTCOST CANTRIP";(INDEX(ALLCLASSDATA,MATCH("CantripSlots-L00",CLASSFEATUREHEADERS,0),MATCH(($A1721 &amp; "Points"),CLASSNAMEHEADERS,0)))}</f>
        <v>SLOTCOST CANTRIP</v>
      </c>
      <c r="H1720" s="222" t="str">
        <f t="array" ref="H1720:H1721">{"SLOTCOST L01";(INDEX(ALLCLASSDATA,MATCH("SPL01-L01",CLASSFEATUREHEADERS,0),MATCH(($A1721 &amp; "Points"),CLASSNAMEHEADERS,0)))}</f>
        <v>SLOTCOST L01</v>
      </c>
      <c r="I1720" s="222" t="str">
        <f t="array" ref="I1720:I1721">{"SLOTCOST L02";(INDEX(ALLCLASSDATA,MATCH("SPL01-L02",CLASSFEATUREHEADERS,0),MATCH(($A1721 &amp; "Points"),CLASSNAMEHEADERS,0)))}</f>
        <v>SLOTCOST L02</v>
      </c>
      <c r="J1720" s="222" t="str">
        <f t="array" ref="J1720:J1721">{"SLOTCOST L03";(INDEX(ALLCLASSDATA,MATCH("SPL02-L03",CLASSFEATUREHEADERS,0),MATCH(($A1721 &amp; "Points"),CLASSNAMEHEADERS,0)))}</f>
        <v>SLOTCOST L03</v>
      </c>
      <c r="K1720" s="222" t="str">
        <f t="array" ref="K1720:K1721">{"SLOTCOST L04";(INDEX(ALLCLASSDATA,MATCH("SPL02-L04",CLASSFEATUREHEADERS,0),MATCH(($A1721 &amp; "Points"),CLASSNAMEHEADERS,0)))}</f>
        <v>SLOTCOST L04</v>
      </c>
      <c r="L1720" s="222" t="str">
        <f t="array" ref="L1720:L1721">{"SLOTCOST L05";(INDEX(ALLCLASSDATA,MATCH("SPL03-L05",CLASSFEATUREHEADERS,0),MATCH(($A1721 &amp; "Points"),CLASSNAMEHEADERS,0)))}</f>
        <v>SLOTCOST L05</v>
      </c>
      <c r="M1720" s="222" t="str">
        <f t="array" ref="M1720:M1721">{"SLOTCOST L06";(INDEX(ALLCLASSDATA,MATCH("SPL03-L06",CLASSFEATUREHEADERS,0),MATCH(($A1721 &amp; "Points"),CLASSNAMEHEADERS,0)))}</f>
        <v>SLOTCOST L06</v>
      </c>
      <c r="N1720" s="222" t="str">
        <f t="array" ref="N1720:N1721">{"SLOTCOST L07";(INDEX(ALLCLASSDATA,MATCH("SPL04-L07",CLASSFEATUREHEADERS,0),MATCH(($A1721 &amp; "Points"),CLASSNAMEHEADERS,0)))}</f>
        <v>SLOTCOST L07</v>
      </c>
      <c r="O1720" s="222" t="str">
        <f t="array" ref="O1720:O1721">{"SLOTCOST L08";(INDEX(ALLCLASSDATA,MATCH("SPL04-L08",CLASSFEATUREHEADERS,0),MATCH(($A1721 &amp; "Points"),CLASSNAMEHEADERS,0)))}</f>
        <v>SLOTCOST L08</v>
      </c>
      <c r="P1720" s="222" t="str">
        <f t="array" ref="P1720:P1721">{"SLOTCOST L09";(INDEX(ALLCLASSDATA,MATCH("SPL05-L09",CLASSFEATUREHEADERS,0),MATCH(($A1721 &amp; "Points"),CLASSNAMEHEADERS,0)))}</f>
        <v>SLOTCOST L09</v>
      </c>
      <c r="Q1720" s="222" t="str">
        <f t="array" ref="Q1720:Q1721">{"SLOTCOST L10";(INDEX(ALLCLASSDATA,MATCH("SPL05-L10",CLASSFEATUREHEADERS,0),MATCH(($A1721 &amp; "Points"),CLASSNAMEHEADERS,0)))}</f>
        <v>SLOTCOST L10</v>
      </c>
      <c r="R1720" s="222" t="str">
        <f t="array" ref="R1720:R1721">{"SLOTCOST L11";(INDEX(ALLCLASSDATA,MATCH("SPL06-L11",CLASSFEATUREHEADERS,0),MATCH(($A1721 &amp; "Points"),CLASSNAMEHEADERS,0)))}</f>
        <v>SLOTCOST L11</v>
      </c>
      <c r="S1720" s="222" t="str">
        <f t="array" ref="S1720:S1721">{"SLOTCOST L12";(INDEX(ALLCLASSDATA,MATCH("SPL06-L12",CLASSFEATUREHEADERS,0),MATCH(($A1721 &amp; "Points"),CLASSNAMEHEADERS,0)))}</f>
        <v>SLOTCOST L12</v>
      </c>
      <c r="T1720" s="222" t="str">
        <f t="array" ref="T1720:T1721">{"SLOTCOST L13";(INDEX(ALLCLASSDATA,MATCH("SPL07-L13",CLASSFEATUREHEADERS,0),MATCH(($A1721 &amp; "Points"),CLASSNAMEHEADERS,0)))}</f>
        <v>SLOTCOST L13</v>
      </c>
      <c r="U1720" s="222" t="str">
        <f t="array" ref="U1720:U1721">{"SLOTCOST L14";(INDEX(ALLCLASSDATA,MATCH("SPL07-L14",CLASSFEATUREHEADERS,0),MATCH(($A1721 &amp; "Points"),CLASSNAMEHEADERS,0)))}</f>
        <v>SLOTCOST L14</v>
      </c>
      <c r="V1720" s="222" t="str">
        <f t="array" ref="V1720:V1721">{"SLOTCOST L15";(INDEX(ALLCLASSDATA,MATCH("SPL08-L15",CLASSFEATUREHEADERS,0),MATCH(($A1721 &amp; "Points"),CLASSNAMEHEADERS,0)))}</f>
        <v>SLOTCOST L15</v>
      </c>
      <c r="W1720" s="222" t="str">
        <f t="array" ref="W1720:W1721">{"SLOTCOST L16";(INDEX(ALLCLASSDATA,MATCH("SPL08-L16",CLASSFEATUREHEADERS,0),MATCH(($A1721 &amp; "Points"),CLASSNAMEHEADERS,0)))}</f>
        <v>SLOTCOST L16</v>
      </c>
      <c r="X1720" s="222" t="str">
        <f t="array" ref="X1720:X1721">{"SLOTCOST L17";(INDEX(ALLCLASSDATA,MATCH("SPL09-L17",CLASSFEATUREHEADERS,0),MATCH(($A1721 &amp; "Points"),CLASSNAMEHEADERS,0)))}</f>
        <v>SLOTCOST L17</v>
      </c>
      <c r="Y1720" s="222" t="str">
        <f t="array" ref="Y1720:Y1721">{"SLOTCOST L18";(INDEX(ALLCLASSDATA,MATCH("SPL09-L18",CLASSFEATUREHEADERS,0),MATCH(($A1721 &amp; "Points"),CLASSNAMEHEADERS,0)))}</f>
        <v>SLOTCOST L18</v>
      </c>
      <c r="Z1720" s="222" t="str">
        <f t="array" ref="Z1720:Z1721">{"SLOTCOST L19";(INDEX(ALLCLASSDATA,MATCH("SPL10-L19",CLASSFEATUREHEADERS,0),MATCH(($A1721 &amp; "Points"),CLASSNAMEHEADERS,0)))}</f>
        <v>SLOTCOST L19</v>
      </c>
      <c r="AA1720" s="222" t="str">
        <f t="array" ref="AA1720:AA1721">{"SLOTCOST L20";(INDEX(ALLCLASSDATA,MATCH("SPL10-L20",CLASSFEATUREHEADERS,0),MATCH(($A1721 &amp; "Points"),CLASSNAMEHEADERS,0)))}</f>
        <v>SLOTCOST L20</v>
      </c>
      <c r="AB1720" s="76"/>
      <c r="AC1720" s="76" t="str">
        <f t="array" ref="AC1720:AC1721">{"SLOT TOTAL";(sum(G1721:AA1721))}</f>
        <v>SLOT TOTAL</v>
      </c>
    </row>
    <row r="1721">
      <c r="A1721" s="48" t="s">
        <v>225</v>
      </c>
      <c r="B1721" s="48"/>
      <c r="C1721" s="48" t="s">
        <v>418</v>
      </c>
      <c r="D1721" s="48" t="s">
        <v>1901</v>
      </c>
      <c r="E1721" s="48" t="s">
        <v>1918</v>
      </c>
      <c r="F1721" s="278" t="s">
        <v>1904</v>
      </c>
      <c r="G1721" s="47">
        <v>0.0</v>
      </c>
      <c r="H1721" s="5">
        <v>20.0</v>
      </c>
      <c r="I1721" s="5">
        <v>10.0</v>
      </c>
      <c r="J1721" s="5">
        <v>20.0</v>
      </c>
      <c r="K1721" s="5">
        <v>10.0</v>
      </c>
      <c r="L1721" s="5">
        <v>20.0</v>
      </c>
      <c r="M1721" s="48">
        <v>10.0</v>
      </c>
      <c r="N1721" s="5">
        <v>20.0</v>
      </c>
      <c r="O1721" s="5">
        <v>10.0</v>
      </c>
      <c r="P1721" s="5">
        <v>20.0</v>
      </c>
      <c r="Q1721" s="5">
        <v>10.0</v>
      </c>
      <c r="R1721" s="5">
        <v>20.0</v>
      </c>
      <c r="S1721" s="5">
        <v>10.0</v>
      </c>
      <c r="T1721" s="5">
        <v>20.0</v>
      </c>
      <c r="U1721" s="5">
        <v>10.0</v>
      </c>
      <c r="V1721" s="5">
        <v>20.0</v>
      </c>
      <c r="W1721" s="5">
        <v>10.0</v>
      </c>
      <c r="X1721" s="5">
        <v>20.0</v>
      </c>
      <c r="Y1721" s="5">
        <v>10.0</v>
      </c>
      <c r="Z1721" s="5">
        <v>190.0</v>
      </c>
      <c r="AA1721" s="5" t="s">
        <v>603</v>
      </c>
      <c r="AB1721" s="5"/>
      <c r="AC1721" s="47">
        <v>460.0</v>
      </c>
    </row>
    <row r="1722" hidden="1">
      <c r="A1722" s="222" t="str">
        <f t="array" ref="A1722:A1723">{"FormulaRow41";(INDEX(CLASSLIST,A1641,1))}</f>
        <v>FormulaRow41</v>
      </c>
      <c r="B1722" s="77" t="s">
        <v>236</v>
      </c>
      <c r="C1722" s="222" t="str">
        <f t="array" ref="C1722:C1723">{"CLASSTYPE";((INDEX(ALLCLASSDATA,MATCH("ClassType",CLASSFEATUREHEADERS,0),MATCH($A1723,CLASSNAMEHEADERS,0))))}</f>
        <v>CLASSTYPE</v>
      </c>
      <c r="D1722" s="222" t="str">
        <f t="array" ref="D1722:D1723">{"SPELL/ALCHEMY";((IF(INDEX(ALLCLASSDATA,MATCH("CasterType",CLASSFEATUREHEADERS,0),MATCH(($A1723),CLASSNAMEHEADERS,0))="","",(IF(INDEX(ALLCLASSDATA,MATCH("CasterType",CLASSFEATUREHEADERS,0),MATCH(($A1723),CLASSNAMEHEADERS,0))="Alchemy","Alchemy","Spells")))))}</f>
        <v>SPELL/ALCHEMY</v>
      </c>
      <c r="E1722" s="222" t="str">
        <f t="array" ref="E1722:E1723">{"SPELLLIST";(IF(D1723="Spells",((INDEX(ALLCLASSDATA,MATCH("CasterType",CLASSFEATUREHEADERS,0),MATCH(($A1723),CLASSNAMEHEADERS,0))) &amp; ":" &amp; (INDEX(ALLCLASSDATA,MATCH("SpellList",CLASSFEATUREHEADERS,0),MATCH(($A1723),CLASSNAMEHEADERS,0)))),""))}</f>
        <v>SPELLLIST</v>
      </c>
      <c r="F1722" s="223" t="str">
        <f t="array" ref="F1722:F1723">{"LEARNEDCOST";(IF(D1723="","","LearnCost:"))}</f>
        <v>LEARNEDCOST</v>
      </c>
      <c r="G1722" s="223" t="str">
        <f t="array" ref="G1722:G1723">{"LEARNED CANTRIPS";(INDEX(ALLCLASSDATA,MATCH("CantripsLearned-L00",CLASSFEATUREHEADERS,0),MATCH(($A1723 &amp; "Points"),CLASSNAMEHEADERS,0)))}</f>
        <v>LEARNED CANTRIPS</v>
      </c>
      <c r="H1722" s="223" t="str">
        <f t="array" ref="H1722:H1723">{"LEARNED L01";(INDEX(ALLCLASSDATA,MATCH("Learned-L01",CLASSFEATUREHEADERS,0),MATCH(($A1723 &amp; "Points"),CLASSNAMEHEADERS,0)))}</f>
        <v>LEARNED L01</v>
      </c>
      <c r="I1722" s="223" t="str">
        <f t="array" ref="I1722:I1723">{"LEARNED L02";(INDEX(ALLCLASSDATA,MATCH("Learned-L02",CLASSFEATUREHEADERS,0),MATCH(($A1723 &amp; "Points"),CLASSNAMEHEADERS,0)))}</f>
        <v>LEARNED L02</v>
      </c>
      <c r="J1722" s="223" t="str">
        <f t="array" ref="J1722:J1723">{"LEARNED L03";(INDEX(ALLCLASSDATA,MATCH("Learned-L03",CLASSFEATUREHEADERS,0),MATCH(($A1723 &amp; "Points"),CLASSNAMEHEADERS,0)))}</f>
        <v>LEARNED L03</v>
      </c>
      <c r="K1722" s="223" t="str">
        <f t="array" ref="K1722:K1723">{"LEARNED L04";(INDEX(ALLCLASSDATA,MATCH("Learned-L04",CLASSFEATUREHEADERS,0),MATCH(($A1723 &amp; "Points"),CLASSNAMEHEADERS,0)))}</f>
        <v>LEARNED L04</v>
      </c>
      <c r="L1722" s="223" t="str">
        <f t="array" ref="L1722:L1723">{"LEARNED L05";(INDEX(ALLCLASSDATA,MATCH("Learned-L05",CLASSFEATUREHEADERS,0),MATCH(($A1723 &amp; "Points"),CLASSNAMEHEADERS,0)))}</f>
        <v>LEARNED L05</v>
      </c>
      <c r="M1722" s="223" t="str">
        <f t="array" ref="M1722:M1723">{"LEARNED L06";(INDEX(ALLCLASSDATA,MATCH("Learned-L06",CLASSFEATUREHEADERS,0),MATCH(($A1723 &amp; "Points"),CLASSNAMEHEADERS,0)))}</f>
        <v>LEARNED L06</v>
      </c>
      <c r="N1722" s="223" t="str">
        <f t="array" ref="N1722:N1723">{"LEARNED L07";(INDEX(ALLCLASSDATA,MATCH("Learned-L07",CLASSFEATUREHEADERS,0),MATCH(($A1723 &amp; "Points"),CLASSNAMEHEADERS,0)))}</f>
        <v>LEARNED L07</v>
      </c>
      <c r="O1722" s="223" t="str">
        <f t="array" ref="O1722:O1723">{"LEARNED L08";(INDEX(ALLCLASSDATA,MATCH("Learned-L08",CLASSFEATUREHEADERS,0),MATCH(($A1723 &amp; "Points"),CLASSNAMEHEADERS,0)))}</f>
        <v>LEARNED L08</v>
      </c>
      <c r="P1722" s="223" t="str">
        <f t="array" ref="P1722:P1723">{"LEARNED L09";(INDEX(ALLCLASSDATA,MATCH("Learned-L09",CLASSFEATUREHEADERS,0),MATCH(($A1723 &amp; "Points"),CLASSNAMEHEADERS,0)))}</f>
        <v>LEARNED L09</v>
      </c>
      <c r="Q1722" s="223" t="str">
        <f t="array" ref="Q1722:Q1723">{"LEARNED L10";(INDEX(ALLCLASSDATA,MATCH("Learned-L10",CLASSFEATUREHEADERS,0),MATCH(($A1723 &amp; "Points"),CLASSNAMEHEADERS,0)))}</f>
        <v>LEARNED L10</v>
      </c>
      <c r="R1722" s="223" t="str">
        <f t="array" ref="R1722:R1723">{"LEARNED L11";(INDEX(ALLCLASSDATA,MATCH("Learned-L11",CLASSFEATUREHEADERS,0),MATCH(($A1723 &amp; "Points"),CLASSNAMEHEADERS,0)))}</f>
        <v>LEARNED L11</v>
      </c>
      <c r="S1722" s="223" t="str">
        <f t="array" ref="S1722:S1723">{"LEARNED L12";(INDEX(ALLCLASSDATA,MATCH("Learned-L12",CLASSFEATUREHEADERS,0),MATCH(($A1723 &amp; "Points"),CLASSNAMEHEADERS,0)))}</f>
        <v>LEARNED L12</v>
      </c>
      <c r="T1722" s="223" t="str">
        <f t="array" ref="T1722:T1723">{"LEARNED L13";(INDEX(ALLCLASSDATA,MATCH("Learned-L13",CLASSFEATUREHEADERS,0),MATCH(($A1723 &amp; "Points"),CLASSNAMEHEADERS,0)))}</f>
        <v>LEARNED L13</v>
      </c>
      <c r="U1722" s="223" t="str">
        <f t="array" ref="U1722:U1723">{"LEARNED L14";(INDEX(ALLCLASSDATA,MATCH("Learned-L14",CLASSFEATUREHEADERS,0),MATCH(($A1723 &amp; "Points"),CLASSNAMEHEADERS,0)))}</f>
        <v>LEARNED L14</v>
      </c>
      <c r="V1722" s="223" t="str">
        <f t="array" ref="V1722:V1723">{"LEARNED L15";(INDEX(ALLCLASSDATA,MATCH("Learned-L15",CLASSFEATUREHEADERS,0),MATCH(($A1723 &amp; "Points"),CLASSNAMEHEADERS,0)))}</f>
        <v>LEARNED L15</v>
      </c>
      <c r="W1722" s="223" t="str">
        <f t="array" ref="W1722:W1723">{"LEARNED L16";(INDEX(ALLCLASSDATA,MATCH("Learned-L16",CLASSFEATUREHEADERS,0),MATCH(($A1723 &amp; "Points"),CLASSNAMEHEADERS,0)))}</f>
        <v>LEARNED L16</v>
      </c>
      <c r="X1722" s="223" t="str">
        <f t="array" ref="X1722:X1723">{"LEARNED L17";(INDEX(ALLCLASSDATA,MATCH("Learned-L17",CLASSFEATUREHEADERS,0),MATCH(($A1723 &amp; "Points"),CLASSNAMEHEADERS,0)))}</f>
        <v>LEARNED L17</v>
      </c>
      <c r="Y1722" s="223" t="str">
        <f t="array" ref="Y1722:Y1723">{"LEARNED L18";(INDEX(ALLCLASSDATA,MATCH("Learned-L18",CLASSFEATUREHEADERS,0),MATCH(($A1723 &amp; "Points"),CLASSNAMEHEADERS,0)))}</f>
        <v>LEARNED L18</v>
      </c>
      <c r="Z1722" s="223" t="str">
        <f t="array" ref="Z1722:Z1723">{"LEARNED L19";(INDEX(ALLCLASSDATA,MATCH("Learned-L19",CLASSFEATUREHEADERS,0),MATCH(($A1723 &amp; "Points"),CLASSNAMEHEADERS,0)))}</f>
        <v>LEARNED L19</v>
      </c>
      <c r="AA1722" s="223" t="str">
        <f t="array" ref="AA1722:AA1723">{"LEARNED L20";(INDEX(ALLCLASSDATA,MATCH("Learned-L20",CLASSFEATUREHEADERS,0),MATCH(($A1723 &amp; "Points"),CLASSNAMEHEADERS,0)))}</f>
        <v>LEARNED L20</v>
      </c>
      <c r="AB1722" s="76"/>
      <c r="AC1722" s="76" t="str">
        <f t="array" ref="AC1722:AC1723">{"LEARNED TOTAL";(sum(G1723:AA1723))}</f>
        <v>LEARNED TOTAL</v>
      </c>
    </row>
    <row r="1723">
      <c r="A1723" s="48" t="s">
        <v>225</v>
      </c>
      <c r="B1723" s="48"/>
      <c r="C1723" s="48" t="s">
        <v>418</v>
      </c>
      <c r="D1723" s="48" t="s">
        <v>1901</v>
      </c>
      <c r="E1723" s="48" t="s">
        <v>1918</v>
      </c>
      <c r="F1723" s="278" t="s">
        <v>1906</v>
      </c>
      <c r="G1723" s="47"/>
      <c r="H1723" s="5">
        <v>40.0</v>
      </c>
      <c r="I1723" s="5">
        <v>20.0</v>
      </c>
      <c r="J1723" s="5">
        <v>40.0</v>
      </c>
      <c r="K1723" s="5">
        <v>20.0</v>
      </c>
      <c r="L1723" s="5">
        <v>40.0</v>
      </c>
      <c r="M1723" s="5">
        <v>20.0</v>
      </c>
      <c r="N1723" s="48">
        <v>40.0</v>
      </c>
      <c r="O1723" s="5">
        <v>20.0</v>
      </c>
      <c r="P1723" s="5">
        <v>40.0</v>
      </c>
      <c r="Q1723" s="5">
        <v>20.0</v>
      </c>
      <c r="R1723" s="5">
        <v>40.0</v>
      </c>
      <c r="S1723" s="5">
        <v>20.0</v>
      </c>
      <c r="T1723" s="5">
        <v>40.0</v>
      </c>
      <c r="U1723" s="5">
        <v>20.0</v>
      </c>
      <c r="V1723" s="5">
        <v>40.0</v>
      </c>
      <c r="W1723" s="5">
        <v>20.0</v>
      </c>
      <c r="X1723" s="5">
        <v>40.0</v>
      </c>
      <c r="Y1723" s="5">
        <v>20.0</v>
      </c>
      <c r="Z1723" s="5">
        <v>0.0</v>
      </c>
      <c r="AA1723" s="5" t="s">
        <v>603</v>
      </c>
      <c r="AB1723" s="5"/>
      <c r="AC1723" s="47">
        <v>540.0</v>
      </c>
    </row>
    <row r="1724" hidden="1">
      <c r="A1724" s="222" t="str">
        <f t="array" ref="A1724:A1725">{"FormulaRow42";(INDEX(CLASSLIST,A1641,1))}</f>
        <v>FormulaRow42</v>
      </c>
      <c r="B1724" s="77" t="s">
        <v>236</v>
      </c>
      <c r="C1724" s="222" t="str">
        <f t="array" ref="C1724:C1725">{"CLASSTYPE";((INDEX(ALLCLASSDATA,MATCH("ClassType",CLASSFEATUREHEADERS,0),MATCH($A1725,CLASSNAMEHEADERS,0))))}</f>
        <v>CLASSTYPE</v>
      </c>
      <c r="D1724" s="222" t="str">
        <f t="array" ref="D1724:D1725">{"SPELL/ALCHEMY";((IF(INDEX(ALLCLASSDATA,MATCH("CasterType",CLASSFEATUREHEADERS,0),MATCH(($A1725),CLASSNAMEHEADERS,0))="","",(IF(INDEX(ALLCLASSDATA,MATCH("CasterType",CLASSFEATUREHEADERS,0),MATCH(($A1725),CLASSNAMEHEADERS,0))="Alchemy","","Spells")))))}</f>
        <v>SPELL/ALCHEMY</v>
      </c>
      <c r="E1724" s="222" t="str">
        <f t="array" ref="E1724:E1725">{"SPELLLIST";(IF(D1725="Spells",((INDEX(ALLCLASSDATA,MATCH("CasterType",CLASSFEATUREHEADERS,0),MATCH(($A1725),CLASSNAMEHEADERS,0))) &amp; ":" &amp; (INDEX(ALLCLASSDATA,MATCH("SpellList",CLASSFEATUREHEADERS,0),MATCH(($A1725),CLASSNAMEHEADERS,0)))),""))}</f>
        <v>SPELLLIST</v>
      </c>
      <c r="F1724" s="223" t="str">
        <f t="array" ref="F1724:F1725">{"SLOT/LVL";(IF(D1719="Spells","Slot/LVL:",""))}</f>
        <v>SLOT/LVL</v>
      </c>
      <c r="G1724" s="223" t="str">
        <f t="array" ref="G1724:G1725">{"CANTRIPSLOTS";(INDEX(ALLCLASSDATA,MATCH("CantripSlots-L00",CLASSFEATUREHEADERS,0),MATCH($A1725,CLASSNAMEHEADERS,0)))}</f>
        <v>CANTRIPSLOTS</v>
      </c>
      <c r="H1724" s="223" t="str">
        <f t="array" ref="H1724:H1725">{"SPL01-L01";(INDEX(ALLCLASSDATA,MATCH("SPL01-L01",CLASSFEATUREHEADERS,0),MATCH($A1725,CLASSNAMEHEADERS,0)))}</f>
        <v>SPL01-L01</v>
      </c>
      <c r="I1724" s="223" t="str">
        <f t="array" ref="I1724:I1725">{"SPL01-L02";(INDEX(ALLCLASSDATA,MATCH("SPL01-L02",CLASSFEATUREHEADERS,0),MATCH($A1725,CLASSNAMEHEADERS,0)))}</f>
        <v>SPL01-L02</v>
      </c>
      <c r="J1724" s="223" t="str">
        <f t="array" ref="J1724:J1725">{"SPL02-L03";(INDEX(ALLCLASSDATA,MATCH("SPL02-L03",CLASSFEATUREHEADERS,0),MATCH($A1725,CLASSNAMEHEADERS,0)))}</f>
        <v>SPL02-L03</v>
      </c>
      <c r="K1724" s="223" t="str">
        <f t="array" ref="K1724:K1725">{"SPL02-L04";(INDEX(ALLCLASSDATA,MATCH("SPL02-L04",CLASSFEATUREHEADERS,0),MATCH($A1725,CLASSNAMEHEADERS,0)))}</f>
        <v>SPL02-L04</v>
      </c>
      <c r="L1724" s="223" t="str">
        <f t="array" ref="L1724:L1725">{"SPL03-L05";(INDEX(ALLCLASSDATA,MATCH("SPL03-L05",CLASSFEATUREHEADERS,0),MATCH($A1725,CLASSNAMEHEADERS,0)))}</f>
        <v>SPL03-L05</v>
      </c>
      <c r="M1724" s="223" t="str">
        <f t="array" ref="M1724:M1725">{"SPL03-L06";(INDEX(ALLCLASSDATA,MATCH("SPL03-L06",CLASSFEATUREHEADERS,0),MATCH($A1725,CLASSNAMEHEADERS,0)))}</f>
        <v>SPL03-L06</v>
      </c>
      <c r="N1724" s="223" t="str">
        <f t="array" ref="N1724:N1725">{"SPL04-L07";(INDEX(ALLCLASSDATA,MATCH("SPL04-L07",CLASSFEATUREHEADERS,0),MATCH($A1725,CLASSNAMEHEADERS,0)))}</f>
        <v>SPL04-L07</v>
      </c>
      <c r="O1724" s="223" t="str">
        <f t="array" ref="O1724:O1725">{"SPL04-L08";(INDEX(ALLCLASSDATA,MATCH("SPL04-L08",CLASSFEATUREHEADERS,0),MATCH($A1725,CLASSNAMEHEADERS,0)))}</f>
        <v>SPL04-L08</v>
      </c>
      <c r="P1724" s="223" t="str">
        <f t="array" ref="P1724:P1725">{"SPL05-L09";(INDEX(ALLCLASSDATA,MATCH("SPL05-L09",CLASSFEATUREHEADERS,0),MATCH($A1725,CLASSNAMEHEADERS,0)))}</f>
        <v>SPL05-L09</v>
      </c>
      <c r="Q1724" s="223" t="str">
        <f t="array" ref="Q1724:Q1725">{"SPL05-L10";(INDEX(ALLCLASSDATA,MATCH("SPL05-L10",CLASSFEATUREHEADERS,0),MATCH($A1725,CLASSNAMEHEADERS,0)))}</f>
        <v>SPL05-L10</v>
      </c>
      <c r="R1724" s="223" t="str">
        <f t="array" ref="R1724:R1725">{"SPL06-L11";(INDEX(ALLCLASSDATA,MATCH("SPL06-L11",CLASSFEATUREHEADERS,0),MATCH($A1725,CLASSNAMEHEADERS,0)))}</f>
        <v>SPL06-L11</v>
      </c>
      <c r="S1724" s="223" t="str">
        <f t="array" ref="S1724:S1725">{"SPL06-L12";(INDEX(ALLCLASSDATA,MATCH("SPL06-L12",CLASSFEATUREHEADERS,0),MATCH($A1725,CLASSNAMEHEADERS,0)))}</f>
        <v>SPL06-L12</v>
      </c>
      <c r="T1724" s="223" t="str">
        <f t="array" ref="T1724:T1725">{"SPL07-L13";(INDEX(ALLCLASSDATA,MATCH("SPL07-L13",CLASSFEATUREHEADERS,0),MATCH($A1725,CLASSNAMEHEADERS,0)))}</f>
        <v>SPL07-L13</v>
      </c>
      <c r="U1724" s="223" t="str">
        <f t="array" ref="U1724:U1725">{"SPL07-L14";(INDEX(ALLCLASSDATA,MATCH("SPL07-L14",CLASSFEATUREHEADERS,0),MATCH($A1725,CLASSNAMEHEADERS,0)))}</f>
        <v>SPL07-L14</v>
      </c>
      <c r="V1724" s="223" t="str">
        <f t="array" ref="V1724:V1725">{"SPL08-L15";(INDEX(ALLCLASSDATA,MATCH("SPL08-L15",CLASSFEATUREHEADERS,0),MATCH($A1725,CLASSNAMEHEADERS,0)))}</f>
        <v>SPL08-L15</v>
      </c>
      <c r="W1724" s="223" t="str">
        <f t="array" ref="W1724:W1725">{"SPL08-L16";(INDEX(ALLCLASSDATA,MATCH("SPL08-L16",CLASSFEATUREHEADERS,0),MATCH($A1725,CLASSNAMEHEADERS,0)))}</f>
        <v>SPL08-L16</v>
      </c>
      <c r="X1724" s="223" t="str">
        <f t="array" ref="X1724:X1725">{"SPL09-L17";(INDEX(ALLCLASSDATA,MATCH("SPL09-L17",CLASSFEATUREHEADERS,0),MATCH($A1725,CLASSNAMEHEADERS,0)))}</f>
        <v>SPL09-L17</v>
      </c>
      <c r="Y1724" s="223" t="str">
        <f t="array" ref="Y1724:Y1725">{"SPL09-L18";(INDEX(ALLCLASSDATA,MATCH("SPL09-L18",CLASSFEATUREHEADERS,0),MATCH($A1725,CLASSNAMEHEADERS,0)))}</f>
        <v>SPL09-L18</v>
      </c>
      <c r="Z1724" s="223" t="str">
        <f t="array" ref="Z1724:Z1725">{"SPL10-L19";(INDEX(ALLCLASSDATA,MATCH("SPL10-L19",CLASSFEATUREHEADERS,0),MATCH($A1725,CLASSNAMEHEADERS,0)))}</f>
        <v>SPL10-L19</v>
      </c>
      <c r="AA1724" s="223" t="str">
        <f t="array" ref="AA1724:AA1725">{"SPL10-L20";(INDEX(ALLCLASSDATA,MATCH("SPL10-L20",CLASSFEATUREHEADERS,0),MATCH($A1725,CLASSNAMEHEADERS,0)))}</f>
        <v>SPL10-L20</v>
      </c>
      <c r="AB1724" s="76"/>
      <c r="AC1724" s="76"/>
    </row>
    <row r="1725">
      <c r="A1725" s="48" t="s">
        <v>225</v>
      </c>
      <c r="B1725" s="48"/>
      <c r="C1725" s="48" t="s">
        <v>418</v>
      </c>
      <c r="D1725" s="48" t="s">
        <v>1901</v>
      </c>
      <c r="E1725" s="48" t="s">
        <v>1918</v>
      </c>
      <c r="F1725" s="278" t="s">
        <v>1907</v>
      </c>
      <c r="G1725" s="280" t="s">
        <v>1530</v>
      </c>
      <c r="H1725" s="50" t="s">
        <v>1538</v>
      </c>
      <c r="I1725" s="50" t="s">
        <v>1537</v>
      </c>
      <c r="J1725" s="50" t="s">
        <v>1538</v>
      </c>
      <c r="K1725" s="50" t="s">
        <v>1537</v>
      </c>
      <c r="L1725" s="50" t="s">
        <v>1538</v>
      </c>
      <c r="M1725" s="50" t="s">
        <v>1537</v>
      </c>
      <c r="N1725" s="50" t="s">
        <v>1538</v>
      </c>
      <c r="O1725" s="50" t="s">
        <v>1537</v>
      </c>
      <c r="P1725" s="50" t="s">
        <v>1538</v>
      </c>
      <c r="Q1725" s="50" t="s">
        <v>1537</v>
      </c>
      <c r="R1725" s="50" t="s">
        <v>1538</v>
      </c>
      <c r="S1725" s="50" t="s">
        <v>1537</v>
      </c>
      <c r="T1725" s="50" t="s">
        <v>1538</v>
      </c>
      <c r="U1725" s="50" t="s">
        <v>1537</v>
      </c>
      <c r="V1725" s="50" t="s">
        <v>1538</v>
      </c>
      <c r="W1725" s="50" t="s">
        <v>1537</v>
      </c>
      <c r="X1725" s="50" t="s">
        <v>1538</v>
      </c>
      <c r="Y1725" s="50" t="s">
        <v>1537</v>
      </c>
      <c r="Z1725" s="50" t="s">
        <v>1537</v>
      </c>
      <c r="AA1725" s="50"/>
      <c r="AB1725" s="278"/>
      <c r="AC1725" s="47"/>
    </row>
    <row r="1726" hidden="1">
      <c r="A1726" s="222" t="str">
        <f t="array" ref="A1726:A1727">{"FormulaRow43";(INDEX(CLASSLIST,A1641,1))}</f>
        <v>FormulaRow43</v>
      </c>
      <c r="B1726" s="77" t="s">
        <v>236</v>
      </c>
      <c r="C1726" s="222" t="str">
        <f t="array" ref="C1726:C1727">{"CLASSTYPE";((INDEX(ALLCLASSDATA,MATCH("ClassType",CLASSFEATUREHEADERS,0),MATCH($A1727,CLASSNAMEHEADERS,0))))}</f>
        <v>CLASSTYPE</v>
      </c>
      <c r="D1726" s="222" t="str">
        <f t="array" ref="D1726:D1727">{"SPELL/ALCHEMY";((IF(INDEX(ALLCLASSDATA,MATCH("CasterType",CLASSFEATUREHEADERS,0),MATCH(($A1727),CLASSNAMEHEADERS,0))="","",(IF(INDEX(ALLCLASSDATA,MATCH("CasterType",CLASSFEATUREHEADERS,0),MATCH(($A1727),CLASSNAMEHEADERS,0))="Alchemy","Alchemy","Spells")))))}</f>
        <v>SPELL/ALCHEMY</v>
      </c>
      <c r="E1726" s="222" t="str">
        <f t="array" ref="E1726:E1727">{"SPELLLIST";(IF(D1727="Spells",((INDEX(ALLCLASSDATA,MATCH("CasterType",CLASSFEATUREHEADERS,0),MATCH(($A1727),CLASSNAMEHEADERS,0))) &amp; ":" &amp; (INDEX(ALLCLASSDATA,MATCH("SpellList",CLASSFEATUREHEADERS,0),MATCH(($A1727),CLASSNAMEHEADERS,0)))),""))}</f>
        <v>SPELLLIST</v>
      </c>
      <c r="F1726" s="223" t="str">
        <f t="array" ref="F1726:F1727">{"LEARNED/LVL";(IF(D1727="","","Learn/LVL:"))}</f>
        <v>LEARNED/LVL</v>
      </c>
      <c r="G1726" s="223" t="str">
        <f t="array" ref="G1726:G1727">{"LEARNEDCANTRIPS";(INDEX(ALLCLASSDATA,MATCH("CantripsLearned-L00",CLASSFEATUREHEADERS,0),MATCH($A1727,CLASSNAMEHEADERS,0)))}</f>
        <v>LEARNEDCANTRIPS</v>
      </c>
      <c r="H1726" s="223" t="str">
        <f t="array" ref="H1726:H1727">{"LEARNED L01";(INDEX(ALLCLASSDATA,MATCH("Learned-L01",CLASSFEATUREHEADERS,0),MATCH($A1727,CLASSNAMEHEADERS,0)))}</f>
        <v>LEARNED L01</v>
      </c>
      <c r="I1726" s="223" t="str">
        <f t="array" ref="I1726:I1727">{"LEARNED L02";(INDEX(ALLCLASSDATA,MATCH("Learned-L02",CLASSFEATUREHEADERS,0),MATCH($A1727,CLASSNAMEHEADERS,0)))}</f>
        <v>LEARNED L02</v>
      </c>
      <c r="J1726" s="223" t="str">
        <f t="array" ref="J1726:J1727">{"LEARNED L03";(INDEX(ALLCLASSDATA,MATCH("Learned-L03",CLASSFEATUREHEADERS,0),MATCH($A1727,CLASSNAMEHEADERS,0)))}</f>
        <v>LEARNED L03</v>
      </c>
      <c r="K1726" s="223" t="str">
        <f t="array" ref="K1726:K1727">{"LEARNED L04";(INDEX(ALLCLASSDATA,MATCH("Learned-L04",CLASSFEATUREHEADERS,0),MATCH($A1727,CLASSNAMEHEADERS,0)))}</f>
        <v>LEARNED L04</v>
      </c>
      <c r="L1726" s="223" t="str">
        <f t="array" ref="L1726:L1727">{"LEARNED L05";(INDEX(ALLCLASSDATA,MATCH("Learned-L05",CLASSFEATUREHEADERS,0),MATCH($A1727,CLASSNAMEHEADERS,0)))}</f>
        <v>LEARNED L05</v>
      </c>
      <c r="M1726" s="223" t="str">
        <f t="array" ref="M1726:M1727">{"LEARNED L06";(INDEX(ALLCLASSDATA,MATCH("Learned-L06",CLASSFEATUREHEADERS,0),MATCH($A1727,CLASSNAMEHEADERS,0)))}</f>
        <v>LEARNED L06</v>
      </c>
      <c r="N1726" s="223" t="str">
        <f t="array" ref="N1726:N1727">{"LEARNED L07";(INDEX(ALLCLASSDATA,MATCH("Learned-L07",CLASSFEATUREHEADERS,0),MATCH($A1727,CLASSNAMEHEADERS,0)))}</f>
        <v>LEARNED L07</v>
      </c>
      <c r="O1726" s="223" t="str">
        <f t="array" ref="O1726:O1727">{"LEARNED L08";(INDEX(ALLCLASSDATA,MATCH("Learned-L08",CLASSFEATUREHEADERS,0),MATCH($A1727,CLASSNAMEHEADERS,0)))}</f>
        <v>LEARNED L08</v>
      </c>
      <c r="P1726" s="223" t="str">
        <f t="array" ref="P1726:P1727">{"LEARNED L09";(INDEX(ALLCLASSDATA,MATCH("Learned-L09",CLASSFEATUREHEADERS,0),MATCH($A1727,CLASSNAMEHEADERS,0)))}</f>
        <v>LEARNED L09</v>
      </c>
      <c r="Q1726" s="223" t="str">
        <f t="array" ref="Q1726:Q1727">{"LEARNED L10";(INDEX(ALLCLASSDATA,MATCH("Learned-L10",CLASSFEATUREHEADERS,0),MATCH($A1727,CLASSNAMEHEADERS,0)))}</f>
        <v>LEARNED L10</v>
      </c>
      <c r="R1726" s="223" t="str">
        <f t="array" ref="R1726:R1727">{"LEARNED L11";(INDEX(ALLCLASSDATA,MATCH("Learned-L11",CLASSFEATUREHEADERS,0),MATCH($A1727,CLASSNAMEHEADERS,0)))}</f>
        <v>LEARNED L11</v>
      </c>
      <c r="S1726" s="223" t="str">
        <f t="array" ref="S1726:S1727">{"LEARNED L12";(INDEX(ALLCLASSDATA,MATCH("Learned-L12",CLASSFEATUREHEADERS,0),MATCH($A1727,CLASSNAMEHEADERS,0)))}</f>
        <v>LEARNED L12</v>
      </c>
      <c r="T1726" s="223" t="str">
        <f t="array" ref="T1726:T1727">{"LEARNED L13";(INDEX(ALLCLASSDATA,MATCH("Learned-L13",CLASSFEATUREHEADERS,0),MATCH($A1727,CLASSNAMEHEADERS,0)))}</f>
        <v>LEARNED L13</v>
      </c>
      <c r="U1726" s="223" t="str">
        <f t="array" ref="U1726:U1727">{"LEARNED L14";(INDEX(ALLCLASSDATA,MATCH("Learned-L14",CLASSFEATUREHEADERS,0),MATCH($A1727,CLASSNAMEHEADERS,0)))}</f>
        <v>LEARNED L14</v>
      </c>
      <c r="V1726" s="223" t="str">
        <f t="array" ref="V1726:V1727">{"LEARNED L15";(INDEX(ALLCLASSDATA,MATCH("Learned-L15",CLASSFEATUREHEADERS,0),MATCH($A1727,CLASSNAMEHEADERS,0)))}</f>
        <v>LEARNED L15</v>
      </c>
      <c r="W1726" s="223" t="str">
        <f t="array" ref="W1726:W1727">{"LEARNED L16";(INDEX(ALLCLASSDATA,MATCH("Learned-L16",CLASSFEATUREHEADERS,0),MATCH($A1727,CLASSNAMEHEADERS,0)))}</f>
        <v>LEARNED L16</v>
      </c>
      <c r="X1726" s="223" t="str">
        <f t="array" ref="X1726:X1727">{"LEARNED L17";(INDEX(ALLCLASSDATA,MATCH("Learned-L17",CLASSFEATUREHEADERS,0),MATCH($A1727,CLASSNAMEHEADERS,0)))}</f>
        <v>LEARNED L17</v>
      </c>
      <c r="Y1726" s="223" t="str">
        <f t="array" ref="Y1726:Y1727">{"LEARNED L18";(INDEX(ALLCLASSDATA,MATCH("Learned-L18",CLASSFEATUREHEADERS,0),MATCH($A1727,CLASSNAMEHEADERS,0)))}</f>
        <v>LEARNED L18</v>
      </c>
      <c r="Z1726" s="223" t="str">
        <f t="array" ref="Z1726:Z1727">{"LEARNED L19";(INDEX(ALLCLASSDATA,MATCH("Learned-L19",CLASSFEATUREHEADERS,0),MATCH($A1727,CLASSNAMEHEADERS,0)))}</f>
        <v>LEARNED L19</v>
      </c>
      <c r="AA1726" s="223" t="str">
        <f t="array" ref="AA1726:AA1727">{"LEARNED L20";(INDEX(ALLCLASSDATA,MATCH("Learned-L20",CLASSFEATUREHEADERS,0),MATCH($A1727,CLASSNAMEHEADERS,0)))}</f>
        <v>LEARNED L20</v>
      </c>
      <c r="AB1726" s="76"/>
      <c r="AC1726" s="76"/>
    </row>
    <row r="1727">
      <c r="A1727" s="48" t="s">
        <v>225</v>
      </c>
      <c r="B1727" s="48"/>
      <c r="C1727" s="48" t="s">
        <v>418</v>
      </c>
      <c r="D1727" s="48" t="s">
        <v>1901</v>
      </c>
      <c r="E1727" s="48" t="s">
        <v>1918</v>
      </c>
      <c r="F1727" s="278" t="s">
        <v>1909</v>
      </c>
      <c r="G1727" s="280"/>
      <c r="H1727" s="278" t="s">
        <v>1573</v>
      </c>
      <c r="I1727" s="278" t="s">
        <v>1538</v>
      </c>
      <c r="J1727" s="278" t="s">
        <v>1573</v>
      </c>
      <c r="K1727" s="278" t="s">
        <v>1538</v>
      </c>
      <c r="L1727" s="278" t="s">
        <v>1573</v>
      </c>
      <c r="M1727" s="278" t="s">
        <v>1538</v>
      </c>
      <c r="N1727" s="278" t="s">
        <v>1573</v>
      </c>
      <c r="O1727" s="50" t="s">
        <v>1538</v>
      </c>
      <c r="P1727" s="278" t="s">
        <v>1573</v>
      </c>
      <c r="Q1727" s="278" t="s">
        <v>1538</v>
      </c>
      <c r="R1727" s="278" t="s">
        <v>1573</v>
      </c>
      <c r="S1727" s="278" t="s">
        <v>1538</v>
      </c>
      <c r="T1727" s="278" t="s">
        <v>1573</v>
      </c>
      <c r="U1727" s="278" t="s">
        <v>1538</v>
      </c>
      <c r="V1727" s="278" t="s">
        <v>1573</v>
      </c>
      <c r="W1727" s="278" t="s">
        <v>1538</v>
      </c>
      <c r="X1727" s="278" t="s">
        <v>1573</v>
      </c>
      <c r="Y1727" s="278" t="s">
        <v>1538</v>
      </c>
      <c r="Z1727" s="278"/>
      <c r="AA1727" s="278"/>
      <c r="AB1727" s="278"/>
      <c r="AC1727" s="47"/>
    </row>
    <row r="1728" hidden="1">
      <c r="A1728" s="222" t="str">
        <f t="array" ref="A1728:A1729">{"FormulaRow44";(INDEX(CLASSLIST,A1641,1))}</f>
        <v>FormulaRow44</v>
      </c>
      <c r="B1728" s="77" t="s">
        <v>236</v>
      </c>
      <c r="C1728" s="222" t="str">
        <f t="array" ref="C1728:C1729">{"CLASSTYPE";((INDEX(ALLCLASSDATA,MATCH("ClassType",CLASSFEATUREHEADERS,0),MATCH($A1729,CLASSNAMEHEADERS,0))))}</f>
        <v>CLASSTYPE</v>
      </c>
      <c r="D1728" s="222" t="str">
        <f t="array" ref="D1728:D1729">{"SPELL/ALCHEMY";((IF(INDEX(ALLCLASSDATA,MATCH("CasterType",CLASSFEATUREHEADERS,0),MATCH(($A1729),CLASSNAMEHEADERS,0))="","",(IF(INDEX(ALLCLASSDATA,MATCH("CasterType",CLASSFEATUREHEADERS,0),MATCH(($A1729),CLASSNAMEHEADERS,0))="Alchemy","","Spells")))))}</f>
        <v>SPELL/ALCHEMY</v>
      </c>
      <c r="E1728" s="222" t="str">
        <f t="array" ref="E1728:E1729">{"SPELLLIST";(IF(D1729="Spells",((INDEX(ALLCLASSDATA,MATCH("CasterType",CLASSFEATUREHEADERS,0),MATCH(($A1729),CLASSNAMEHEADERS,0))) &amp; ":" &amp; (INDEX(ALLCLASSDATA,MATCH("SpellList",CLASSFEATUREHEADERS,0),MATCH(($A1729),CLASSNAMEHEADERS,0)))),""))}</f>
        <v>SPELLLIST</v>
      </c>
      <c r="F1728" s="223" t="str">
        <f t="array" ref="F1728:F1729">{"TOTALSLOTS";(IF(D1729="","","TotalSlots:"))}</f>
        <v>TOTALSLOTS</v>
      </c>
      <c r="G1728" s="223" t="str">
        <f t="array" ref="G1728:G1729">{"TOTALCANTRIPSLOTS";(G1725)}</f>
        <v>TOTALCANTRIPSLOTS</v>
      </c>
      <c r="H1728" s="223" t="str">
        <f t="array" ref="H1728:H1729">{"TOTALSLOTS L01";(H1725)}</f>
        <v>TOTALSLOTS L01</v>
      </c>
      <c r="I1728" s="223" t="str">
        <f t="array" ref="I1728:I1729">{"TOTALSLOTS L02";(H1729+I1725)}</f>
        <v>TOTALSLOTS L02</v>
      </c>
      <c r="J1728" s="223" t="str">
        <f t="array" ref="J1728:J1729">{"TOTALSLOTS L03";(I1729+J1725)}</f>
        <v>TOTALSLOTS L03</v>
      </c>
      <c r="K1728" s="223" t="str">
        <f t="array" ref="K1728:K1729">{"TOTALSLOTS L04";(J1729+K1725)}</f>
        <v>TOTALSLOTS L04</v>
      </c>
      <c r="L1728" s="223" t="str">
        <f t="array" ref="L1728:L1729">{"TOTALSLOTS L05";(K1729+L1725)}</f>
        <v>TOTALSLOTS L05</v>
      </c>
      <c r="M1728" s="223" t="str">
        <f t="array" ref="M1728:M1729">{"TOTALSLOTS L06";(L1729+M1725)}</f>
        <v>TOTALSLOTS L06</v>
      </c>
      <c r="N1728" s="223" t="str">
        <f t="array" ref="N1728:N1729">{"TOTALSLOTS L07";(M1729+N1725)}</f>
        <v>TOTALSLOTS L07</v>
      </c>
      <c r="O1728" s="223" t="str">
        <f t="array" ref="O1728:O1729">{"TOTALSLOTS L08";(N1729+O1725)}</f>
        <v>TOTALSLOTS L08</v>
      </c>
      <c r="P1728" s="223" t="str">
        <f t="array" ref="P1728:P1729">{"TOTALSLOTS L09";(O1729+P1725)}</f>
        <v>TOTALSLOTS L09</v>
      </c>
      <c r="Q1728" s="223" t="str">
        <f t="array" ref="Q1728:Q1729">{"TOTALSLOTS L10";(P1729+Q1725)}</f>
        <v>TOTALSLOTS L10</v>
      </c>
      <c r="R1728" s="223" t="str">
        <f t="array" ref="R1728:R1729">{"TOTALSLOTS L11";(Q1729+R1725)}</f>
        <v>TOTALSLOTS L11</v>
      </c>
      <c r="S1728" s="223" t="str">
        <f t="array" ref="S1728:S1729">{"TOTALSLOTS L12";(R1729+S1725)}</f>
        <v>TOTALSLOTS L12</v>
      </c>
      <c r="T1728" s="223" t="str">
        <f t="array" ref="T1728:T1729">{"TOTALSLOTS L13";(S1729+T1725)}</f>
        <v>TOTALSLOTS L13</v>
      </c>
      <c r="U1728" s="223" t="str">
        <f t="array" ref="U1728:U1729">{"TOTALSLOTS L14";(T1729+U1725)}</f>
        <v>TOTALSLOTS L14</v>
      </c>
      <c r="V1728" s="223" t="str">
        <f t="array" ref="V1728:V1729">{"TOTALSLOTS L15";(U1729+V1725)}</f>
        <v>TOTALSLOTS L15</v>
      </c>
      <c r="W1728" s="223" t="str">
        <f t="array" ref="W1728:W1729">{"TOTALSLOTS L16";(V1729+W1725)}</f>
        <v>TOTALSLOTS L16</v>
      </c>
      <c r="X1728" s="223" t="str">
        <f t="array" ref="X1728:X1729">{"TOTALSLOTS L17";(W1729+X1725)}</f>
        <v>TOTALSLOTS L17</v>
      </c>
      <c r="Y1728" s="223" t="str">
        <f t="array" ref="Y1728:Y1729">{"TOTALSLOTS L18";(X1729+Y1725)}</f>
        <v>TOTALSLOTS L18</v>
      </c>
      <c r="Z1728" s="223" t="str">
        <f t="array" ref="Z1728:Z1729">{"TOTALSLOTS L19";(Y1729+Z1725)}</f>
        <v>TOTALSLOTS L19</v>
      </c>
      <c r="AA1728" s="223" t="str">
        <f t="array" ref="AA1728:AA1729">{"TOTALSLOTS L20";(Z1729+AA1725)}</f>
        <v>TOTALSLOTS L20</v>
      </c>
      <c r="AB1728" s="76"/>
      <c r="AC1728" s="76"/>
    </row>
    <row r="1729">
      <c r="A1729" s="48" t="s">
        <v>225</v>
      </c>
      <c r="B1729" s="48"/>
      <c r="C1729" s="48" t="s">
        <v>418</v>
      </c>
      <c r="D1729" s="48" t="s">
        <v>1901</v>
      </c>
      <c r="E1729" s="48" t="s">
        <v>1918</v>
      </c>
      <c r="F1729" s="278" t="s">
        <v>1910</v>
      </c>
      <c r="G1729" s="280" t="s">
        <v>1530</v>
      </c>
      <c r="H1729" s="278" t="s">
        <v>1538</v>
      </c>
      <c r="I1729" s="278">
        <v>3.0</v>
      </c>
      <c r="J1729" s="278">
        <v>5.0</v>
      </c>
      <c r="K1729" s="278">
        <v>6.0</v>
      </c>
      <c r="L1729" s="278">
        <v>8.0</v>
      </c>
      <c r="M1729" s="278">
        <v>9.0</v>
      </c>
      <c r="N1729" s="278">
        <v>11.0</v>
      </c>
      <c r="O1729" s="278">
        <v>12.0</v>
      </c>
      <c r="P1729" s="278">
        <v>14.0</v>
      </c>
      <c r="Q1729" s="278">
        <v>15.0</v>
      </c>
      <c r="R1729" s="278">
        <v>17.0</v>
      </c>
      <c r="S1729" s="278">
        <v>18.0</v>
      </c>
      <c r="T1729" s="278">
        <v>20.0</v>
      </c>
      <c r="U1729" s="278">
        <v>21.0</v>
      </c>
      <c r="V1729" s="278">
        <v>23.0</v>
      </c>
      <c r="W1729" s="278">
        <v>24.0</v>
      </c>
      <c r="X1729" s="278">
        <v>26.0</v>
      </c>
      <c r="Y1729" s="278">
        <v>27.0</v>
      </c>
      <c r="Z1729" s="278">
        <v>28.0</v>
      </c>
      <c r="AA1729" s="278">
        <v>28.0</v>
      </c>
      <c r="AB1729" s="5"/>
      <c r="AC1729" s="47"/>
    </row>
    <row r="1730" hidden="1">
      <c r="A1730" s="222" t="str">
        <f t="array" ref="A1730:A1731">{"FormulaRow45";(INDEX(CLASSLIST,A1641,1))}</f>
        <v>FormulaRow45</v>
      </c>
      <c r="B1730" s="77" t="s">
        <v>236</v>
      </c>
      <c r="C1730" s="222" t="str">
        <f t="array" ref="C1730:C1731">{"CLASSTYPE";((INDEX(ALLCLASSDATA,MATCH("ClassType",CLASSFEATUREHEADERS,0),MATCH($A1731,CLASSNAMEHEADERS,0))))}</f>
        <v>CLASSTYPE</v>
      </c>
      <c r="D1730" s="222" t="str">
        <f t="array" ref="D1730:D1731">{"SPELL/ALCHEMY";((IF(INDEX(ALLCLASSDATA,MATCH("CasterType",CLASSFEATUREHEADERS,0),MATCH(($A1731),CLASSNAMEHEADERS,0))="","",(IF(INDEX(ALLCLASSDATA,MATCH("CasterType",CLASSFEATUREHEADERS,0),MATCH(($A1731),CLASSNAMEHEADERS,0))="Alchemy","Alchemy","Spells")))))}</f>
        <v>SPELL/ALCHEMY</v>
      </c>
      <c r="E1730" s="222" t="str">
        <f t="array" ref="E1730:E1731">{"SPELLLIST";(IF(D1731="Spells",((INDEX(ALLCLASSDATA,MATCH("CasterType",CLASSFEATUREHEADERS,0),MATCH(($A1731),CLASSNAMEHEADERS,0))) &amp; ":" &amp; (INDEX(ALLCLASSDATA,MATCH("SpellList",CLASSFEATUREHEADERS,0),MATCH(($A1731),CLASSNAMEHEADERS,0)))),""))}</f>
        <v>SPELLLIST</v>
      </c>
      <c r="F1730" s="223" t="str">
        <f t="array" ref="F1730:F1731">{"TOTALLEARNED";(IF(D1731="","","TotalLearned:"))}</f>
        <v>TOTALLEARNED</v>
      </c>
      <c r="G1730" s="223" t="str">
        <f t="array" ref="G1730:G1731">{"TOTALCANTRIPSLEARNED";(G1727)}</f>
        <v>TOTALCANTRIPSLEARNED</v>
      </c>
      <c r="H1730" s="223" t="str">
        <f t="array" ref="H1730:H1731">{"TOTALLEARNED L01";(H1727)}</f>
        <v>TOTALLEARNED L01</v>
      </c>
      <c r="I1730" s="223" t="str">
        <f t="array" ref="I1730:I1731">{"TOTALLEARNED L02";(H1731+I1727)}</f>
        <v>TOTALLEARNED L02</v>
      </c>
      <c r="J1730" s="223" t="str">
        <f t="array" ref="J1730:J1731">{"TOTALLEARNED L03";(I1731+J1727)}</f>
        <v>TOTALLEARNED L03</v>
      </c>
      <c r="K1730" s="223" t="str">
        <f t="array" ref="K1730:K1731">{"TOTALLEARNED L04";(J1731+K1727)}</f>
        <v>TOTALLEARNED L04</v>
      </c>
      <c r="L1730" s="223" t="str">
        <f t="array" ref="L1730:L1731">{"TOTALLEARNED L05";(K1731+L1727)}</f>
        <v>TOTALLEARNED L05</v>
      </c>
      <c r="M1730" s="223" t="str">
        <f t="array" ref="M1730:M1731">{"TOTALLEARNED L06";(L1731+M1727)}</f>
        <v>TOTALLEARNED L06</v>
      </c>
      <c r="N1730" s="223" t="str">
        <f t="array" ref="N1730:N1731">{"TOTALLEARNED L07";(M1731+N1727)}</f>
        <v>TOTALLEARNED L07</v>
      </c>
      <c r="O1730" s="223" t="str">
        <f t="array" ref="O1730:O1731">{"TOTALLEARNED L08";(N1731+O1727)}</f>
        <v>TOTALLEARNED L08</v>
      </c>
      <c r="P1730" s="223" t="str">
        <f t="array" ref="P1730:P1731">{"TOTALLEARNED L09";(O1731+P1727)}</f>
        <v>TOTALLEARNED L09</v>
      </c>
      <c r="Q1730" s="223" t="str">
        <f t="array" ref="Q1730:Q1731">{"TOTALLEARNED L10";(P1731+Q1727)}</f>
        <v>TOTALLEARNED L10</v>
      </c>
      <c r="R1730" s="223" t="str">
        <f t="array" ref="R1730:R1731">{"TOTALLEARNED L11";(Q1731+R1727)}</f>
        <v>TOTALLEARNED L11</v>
      </c>
      <c r="S1730" s="223" t="str">
        <f t="array" ref="S1730:S1731">{"TOTALLEARNED L12";(R1731+S1727)}</f>
        <v>TOTALLEARNED L12</v>
      </c>
      <c r="T1730" s="223" t="str">
        <f t="array" ref="T1730:T1731">{"TOTALLEARNED L13";(S1731+T1727)}</f>
        <v>TOTALLEARNED L13</v>
      </c>
      <c r="U1730" s="223" t="str">
        <f t="array" ref="U1730:U1731">{"TOTALLEARNED L14";(T1731+U1727)}</f>
        <v>TOTALLEARNED L14</v>
      </c>
      <c r="V1730" s="223" t="str">
        <f t="array" ref="V1730:V1731">{"TOTALLEARNED L15";(U1731+V1727)}</f>
        <v>TOTALLEARNED L15</v>
      </c>
      <c r="W1730" s="223" t="str">
        <f t="array" ref="W1730:W1731">{"TOTALLEARNED L16";(V1731+W1727)}</f>
        <v>TOTALLEARNED L16</v>
      </c>
      <c r="X1730" s="223" t="str">
        <f t="array" ref="X1730:X1731">{"TOTALLEARNED L17";(W1731+X1727)}</f>
        <v>TOTALLEARNED L17</v>
      </c>
      <c r="Y1730" s="223" t="str">
        <f t="array" ref="Y1730:Y1731">{"TOTALLEARNED L18";(X1731+Y1727)}</f>
        <v>TOTALLEARNED L18</v>
      </c>
      <c r="Z1730" s="223" t="str">
        <f t="array" ref="Z1730:Z1731">{"TOTALLEARNED L19";(Y1731+Z1727)}</f>
        <v>TOTALLEARNED L19</v>
      </c>
      <c r="AA1730" s="223" t="str">
        <f t="array" ref="AA1730:AA1731">{"TOTALLEARNED L20";(Z1731+AA1727)}</f>
        <v>TOTALLEARNED L20</v>
      </c>
      <c r="AB1730" s="76"/>
      <c r="AC1730" s="76"/>
    </row>
    <row r="1731">
      <c r="A1731" s="97" t="s">
        <v>225</v>
      </c>
      <c r="B1731" s="97"/>
      <c r="C1731" s="97" t="s">
        <v>418</v>
      </c>
      <c r="D1731" s="97" t="s">
        <v>1901</v>
      </c>
      <c r="E1731" s="97" t="s">
        <v>1918</v>
      </c>
      <c r="F1731" s="281" t="s">
        <v>1911</v>
      </c>
      <c r="G1731" s="282"/>
      <c r="H1731" s="278" t="s">
        <v>1573</v>
      </c>
      <c r="I1731" s="278">
        <v>6.0</v>
      </c>
      <c r="J1731" s="278">
        <v>10.0</v>
      </c>
      <c r="K1731" s="278">
        <v>12.0</v>
      </c>
      <c r="L1731" s="278">
        <v>16.0</v>
      </c>
      <c r="M1731" s="278">
        <v>18.0</v>
      </c>
      <c r="N1731" s="278">
        <v>22.0</v>
      </c>
      <c r="O1731" s="278">
        <v>24.0</v>
      </c>
      <c r="P1731" s="278">
        <v>28.0</v>
      </c>
      <c r="Q1731" s="278">
        <v>30.0</v>
      </c>
      <c r="R1731" s="278">
        <v>34.0</v>
      </c>
      <c r="S1731" s="278">
        <v>36.0</v>
      </c>
      <c r="T1731" s="278">
        <v>40.0</v>
      </c>
      <c r="U1731" s="278">
        <v>42.0</v>
      </c>
      <c r="V1731" s="278">
        <v>46.0</v>
      </c>
      <c r="W1731" s="278">
        <v>48.0</v>
      </c>
      <c r="X1731" s="278">
        <v>52.0</v>
      </c>
      <c r="Y1731" s="278">
        <v>54.0</v>
      </c>
      <c r="Z1731" s="278">
        <v>54.0</v>
      </c>
      <c r="AA1731" s="278">
        <v>54.0</v>
      </c>
      <c r="AB1731" s="5"/>
      <c r="AC1731" s="47"/>
    </row>
    <row r="1732">
      <c r="A1732" s="55">
        <f>VLOOKUP($C1732, CLASSNUMBERFINDER, 2, false)</f>
        <v>20</v>
      </c>
      <c r="B1732" s="58"/>
      <c r="C1732" s="70" t="s">
        <v>227</v>
      </c>
      <c r="D1732" s="71"/>
      <c r="E1732" s="71"/>
      <c r="F1732" s="71"/>
      <c r="G1732" s="72"/>
      <c r="H1732" s="71"/>
      <c r="I1732" s="71"/>
      <c r="J1732" s="71"/>
      <c r="K1732" s="71"/>
      <c r="L1732" s="71"/>
      <c r="M1732" s="71"/>
      <c r="N1732" s="71"/>
      <c r="O1732" s="71"/>
      <c r="P1732" s="71"/>
      <c r="Q1732" s="71"/>
      <c r="R1732" s="71"/>
      <c r="S1732" s="71"/>
      <c r="T1732" s="71"/>
      <c r="U1732" s="71"/>
      <c r="V1732" s="71"/>
      <c r="W1732" s="71"/>
      <c r="X1732" s="71"/>
      <c r="Y1732" s="71"/>
      <c r="Z1732" s="71"/>
      <c r="AA1732" s="71"/>
      <c r="AB1732" s="71"/>
      <c r="AC1732" s="73"/>
    </row>
    <row r="1733" hidden="1">
      <c r="A1733" s="76" t="str">
        <f t="array" ref="A1733:A1734">{"FormulaRow01";(INDEX(CLASSLIST,A1732,1))}</f>
        <v>FormulaRow01</v>
      </c>
      <c r="B1733" s="77" t="s">
        <v>236</v>
      </c>
      <c r="C1733" s="76" t="str">
        <f t="array" ref="C1733:C1734">{"CLASSTYPE";(INDEX(ALLCLASSDATA,MATCH("ClassType",CLASSFEATUREHEADERS,0),MATCH($A1734,CLASSNAMEHEADERS,0)))}</f>
        <v>CLASSTYPE</v>
      </c>
      <c r="D1733" s="81" t="str">
        <f t="array" ref="D1733:D1734">{"TOTAL";("Total: " &amp; H1734+J1734+L1734+N1734+P1734+R1734+T1734+V1734+X1734+Z1734)}</f>
        <v>TOTAL</v>
      </c>
      <c r="E1733" s="81" t="str">
        <f t="array" ref="E1733:E1734">{"BALANCE";(IF((H1734+J1734+L1734+N1734+P1734+R1734+T1734+V1734+X1734+Z1734)=2100,"(balanced)",(IF((H1734+J1734+L1734+N1734+P1734+R1734+T1734+V1734+X1734+Z1734)&gt;2100,"OVERBUDGET: ","UNDERBUDGET: ")) &amp; (H1734+J1734+L1734+N1734+P1734+R1734+T1734+V1734+X1734+Z1734-2100)))}</f>
        <v>BALANCE</v>
      </c>
      <c r="F1733" s="81"/>
      <c r="G1733" s="81"/>
      <c r="H1733" s="81" t="str">
        <f t="array" ref="H1733:H1734">{"SUM LVL0/1/2";((SUMIF(F1735:I1814,"&lt;&gt;#REF!")+(SUMIF(J1735:AA1742,"&lt;&gt;#REF!"))))}</f>
        <v>SUM LVL0/1/2</v>
      </c>
      <c r="I1733" s="81"/>
      <c r="J1733" s="81" t="str">
        <f t="array" ref="J1733:J1734">{"SUM LVL3/4";(SUMIF(J1743:K1814,"&lt;&gt;#REF!"))}</f>
        <v>SUM LVL3/4</v>
      </c>
      <c r="K1733" s="81"/>
      <c r="L1733" s="81" t="str">
        <f t="array" ref="L1733:L1734">{"SUM LVL5/6";(SUMIF(L1743:M1814,"&lt;&gt;#REF!"))}</f>
        <v>SUM LVL5/6</v>
      </c>
      <c r="M1733" s="81"/>
      <c r="N1733" s="81" t="str">
        <f t="array" ref="N1733:N1734">{"SUM LVL7/8";(SUMIF(N1743:O1814,"&lt;&gt;#REF!"))}</f>
        <v>SUM LVL7/8</v>
      </c>
      <c r="O1733" s="81"/>
      <c r="P1733" s="81" t="str">
        <f t="array" ref="P1733:P1734">{"SUM LVL9/10";(SUMIF(P1743:Q1814,"&lt;&gt;#REF!"))}</f>
        <v>SUM LVL9/10</v>
      </c>
      <c r="Q1733" s="81"/>
      <c r="R1733" s="81" t="str">
        <f t="array" ref="R1733:R1734">{"SUM LVL11/12";(SUMIF(R1743:S1814,"&lt;&gt;#REF!"))}</f>
        <v>SUM LVL11/12</v>
      </c>
      <c r="S1733" s="81"/>
      <c r="T1733" s="81" t="str">
        <f t="array" ref="T1733:T1734">{"SUM LVL13/14";(SUMIF(T1743:U1814,"&lt;&gt;#REF!"))}</f>
        <v>SUM LVL13/14</v>
      </c>
      <c r="U1733" s="81"/>
      <c r="V1733" s="81" t="str">
        <f t="array" ref="V1733:V1734">{"SUM LVL15/16";(SUMIF(V1743:W1814,"&lt;&gt;#REF!"))}</f>
        <v>SUM LVL15/16</v>
      </c>
      <c r="W1733" s="81"/>
      <c r="X1733" s="81" t="str">
        <f t="array" ref="X1733:X1734">{"SUM LVL17/18";(SUMIF(X1743:Y1814,"&lt;&gt;#REF!"))}</f>
        <v>SUM LVL17/18</v>
      </c>
      <c r="Y1733" s="81"/>
      <c r="Z1733" s="81" t="str">
        <f t="array" ref="Z1733:Z1734">{"SUM LVL19/20";(SUMIF(Z1743:AA1814,"&lt;&gt;#REF!"))}</f>
        <v>SUM LVL19/20</v>
      </c>
      <c r="AA1733" s="81"/>
      <c r="AB1733" s="76"/>
      <c r="AC1733" s="76" t="str">
        <f t="array" ref="AC1733:AC1734">{"SUM ROWTOTALS";(SUMIF(AC1736:AC1822,"&lt;&gt;#REF!"))}</f>
        <v>SUM ROWTOTALS</v>
      </c>
    </row>
    <row r="1734">
      <c r="A1734" s="48" t="s">
        <v>227</v>
      </c>
      <c r="B1734" s="48"/>
      <c r="C1734" s="48" t="s">
        <v>418</v>
      </c>
      <c r="D1734" s="91" t="s">
        <v>416</v>
      </c>
      <c r="E1734" s="92" t="s">
        <v>419</v>
      </c>
      <c r="F1734" s="91"/>
      <c r="G1734" s="93"/>
      <c r="H1734" s="92">
        <v>460.0</v>
      </c>
      <c r="I1734" s="92"/>
      <c r="J1734" s="92">
        <v>80.0</v>
      </c>
      <c r="K1734" s="92"/>
      <c r="L1734" s="92">
        <v>150.0</v>
      </c>
      <c r="M1734" s="92"/>
      <c r="N1734" s="92">
        <v>100.0</v>
      </c>
      <c r="O1734" s="92"/>
      <c r="P1734" s="92">
        <v>100.0</v>
      </c>
      <c r="Q1734" s="92"/>
      <c r="R1734" s="92">
        <v>260.0</v>
      </c>
      <c r="S1734" s="92"/>
      <c r="T1734" s="92">
        <v>170.0</v>
      </c>
      <c r="U1734" s="92"/>
      <c r="V1734" s="92">
        <v>160.0</v>
      </c>
      <c r="W1734" s="92"/>
      <c r="X1734" s="92">
        <v>240.0</v>
      </c>
      <c r="Y1734" s="92"/>
      <c r="Z1734" s="92">
        <v>380.0</v>
      </c>
      <c r="AA1734" s="92"/>
      <c r="AB1734" s="5"/>
      <c r="AC1734" s="47">
        <v>2100.0</v>
      </c>
    </row>
    <row r="1735" hidden="1">
      <c r="A1735" s="76" t="str">
        <f t="array" ref="A1735:A1736">{"FormulaRow02";(INDEX(CLASSLIST,A1732,1))}</f>
        <v>FormulaRow02</v>
      </c>
      <c r="B1735" s="77" t="s">
        <v>236</v>
      </c>
      <c r="C1735" s="76" t="str">
        <f t="array" ref="C1735:C1736">{"CLASSTYPE";((INDEX(ALLCLASSDATA,MATCH("ClassType",CLASSFEATUREHEADERS,0),MATCH($A1736,CLASSNAMEHEADERS,0))))}</f>
        <v>CLASSTYPE</v>
      </c>
      <c r="D1735" s="81" t="str">
        <f t="array" ref="D1735:D1736">{"FEATURES";"Features"}</f>
        <v>FEATURES</v>
      </c>
      <c r="E1735" s="81" t="str">
        <f t="array" ref="E1735:E1736">{"INITIALFEATURES";"Initial Features"}</f>
        <v>INITIALFEATURES</v>
      </c>
      <c r="F1735" s="81" t="str">
        <f t="array" ref="F1735:F1736">{"KEY";"Key"}</f>
        <v>KEY</v>
      </c>
      <c r="G1735" s="81" t="str">
        <f t="array" ref="G1735:G1736">{"HP";"HP"}</f>
        <v>HP</v>
      </c>
      <c r="H1735" s="81" t="str">
        <f t="array" ref="H1735:H1736">{"CLASSFEATL01";"ClassFeatL01"}</f>
        <v>CLASSFEATL01</v>
      </c>
      <c r="I1735" s="81" t="str">
        <f t="array" ref="I1735:I1736">{"SHIELDBLOCKL01";"ShieldBlockL01"}</f>
        <v>SHIELDBLOCKL01</v>
      </c>
      <c r="J1735" s="81" t="str">
        <f t="array" ref="J1735:J1736">{"INITIALSKILLS";"InitialSkills"}</f>
        <v>INITIALSKILLS</v>
      </c>
      <c r="K1735" s="81" t="str">
        <f t="array" ref="K1735:K1736">{"SUBCLASSSKILLS";"SubclassSkills"}</f>
        <v>SUBCLASSSKILLS</v>
      </c>
      <c r="L1735" s="81" t="str">
        <f t="array" ref="L1735:L1736">{"GRANTEDSKILLS";"GrantedSkills"}</f>
        <v>GRANTEDSKILLS</v>
      </c>
      <c r="M1735" s="81"/>
      <c r="N1735" s="81"/>
      <c r="O1735" s="81"/>
      <c r="P1735" s="81" t="str">
        <f t="array" ref="P1735:P1736">{"FOCUSSPELLS";"FocusSpells:"}</f>
        <v>FOCUSSPELLS</v>
      </c>
      <c r="Q1735" s="81" t="str">
        <f t="array" ref="Q1735:Q1736">{"FOCUSSPELL1-L00";((INDEX(ALLCLASSDATA,MATCH("FocusSpell1-L00",CLASSFEATUREHEADERS,0),MATCH(($A1736),CLASSNAMEHEADERS,0))))}</f>
        <v>FOCUSSPELL1-L00</v>
      </c>
      <c r="R1735" s="81" t="str">
        <f t="array" ref="R1735:R1736">{"FOCUSSPELL2-L00";((INDEX(ALLCLASSDATA,MATCH("FocusSpell2-L00",CLASSFEATUREHEADERS,0),MATCH(($A1736),CLASSNAMEHEADERS,0))))}</f>
        <v>FOCUSSPELL2-L00</v>
      </c>
      <c r="S1735" s="81" t="str">
        <f t="array" ref="S1735:S1736">{"FOCUSSPELL3-L00";((INDEX(ALLCLASSDATA,MATCH("FocusSpell3-L00",CLASSFEATUREHEADERS,0),MATCH(($A1736),CLASSNAMEHEADERS,0))))}</f>
        <v>FOCUSSPELL3-L00</v>
      </c>
      <c r="T1735" s="81" t="str">
        <f t="array" ref="T1735:T1736">{"FOCUSSPELL4-L00";((INDEX(ALLCLASSDATA,MATCH("FocusSpell4-L00",CLASSFEATUREHEADERS,0),MATCH(($A1736),CLASSNAMEHEADERS,0))))}</f>
        <v>FOCUSSPELL4-L00</v>
      </c>
      <c r="U1735" s="81" t="str">
        <f t="array" ref="U1735:U1736">{"FOCUSSPELL5-L00";((INDEX(ALLCLASSDATA,MATCH("FocusSpell5-L00",CLASSFEATUREHEADERS,0),MATCH(($A1736),CLASSNAMEHEADERS,0))))}</f>
        <v>FOCUSSPELL5-L00</v>
      </c>
      <c r="V1735" s="81"/>
      <c r="W1735" s="81"/>
      <c r="X1735" s="81"/>
      <c r="Y1735" s="81"/>
      <c r="Z1735" s="81"/>
      <c r="AA1735" s="81"/>
      <c r="AB1735" s="76"/>
      <c r="AC1735" s="76"/>
    </row>
    <row r="1736">
      <c r="A1736" s="48" t="s">
        <v>227</v>
      </c>
      <c r="B1736" s="48"/>
      <c r="C1736" s="48" t="s">
        <v>418</v>
      </c>
      <c r="D1736" s="48" t="s">
        <v>467</v>
      </c>
      <c r="E1736" s="48" t="s">
        <v>468</v>
      </c>
      <c r="F1736" s="48" t="s">
        <v>469</v>
      </c>
      <c r="G1736" s="114" t="s">
        <v>15</v>
      </c>
      <c r="H1736" s="8" t="s">
        <v>451</v>
      </c>
      <c r="I1736" s="8" t="s">
        <v>463</v>
      </c>
      <c r="J1736" s="8" t="s">
        <v>473</v>
      </c>
      <c r="K1736" s="8" t="s">
        <v>474</v>
      </c>
      <c r="L1736" s="8" t="s">
        <v>475</v>
      </c>
      <c r="M1736" s="8"/>
      <c r="N1736" s="8"/>
      <c r="O1736" s="8"/>
      <c r="P1736" s="8" t="s">
        <v>476</v>
      </c>
      <c r="Q1736" s="116" t="s">
        <v>1601</v>
      </c>
      <c r="R1736" s="116" t="s">
        <v>1609</v>
      </c>
      <c r="S1736" s="116" t="s">
        <v>1612</v>
      </c>
      <c r="T1736" s="116"/>
      <c r="U1736" s="116"/>
      <c r="V1736" s="8"/>
      <c r="W1736" s="8"/>
      <c r="X1736" s="8"/>
      <c r="Y1736" s="8"/>
      <c r="Z1736" s="5"/>
      <c r="AA1736" s="5"/>
      <c r="AB1736" s="5"/>
      <c r="AC1736" s="47"/>
    </row>
    <row r="1737" hidden="1">
      <c r="A1737" s="76" t="str">
        <f t="array" ref="A1737:A1738">{"FormulaRow03";(INDEX(CLASSLIST,A1732,1))}</f>
        <v>FormulaRow03</v>
      </c>
      <c r="B1737" s="77" t="s">
        <v>236</v>
      </c>
      <c r="C1737" s="76" t="str">
        <f t="array" ref="C1737:C1738">{"CLASSTYPE";((INDEX(ALLCLASSDATA,MATCH("ClassType",CLASSFEATUREHEADERS,0),MATCH($A1738,CLASSNAMEHEADERS,0))))}</f>
        <v>CLASSTYPE</v>
      </c>
      <c r="D1737" s="76" t="str">
        <f t="array" ref="D1737:D1738">{"FEATUREPTS";"FeaturesPts"}</f>
        <v>FEATUREPTS</v>
      </c>
      <c r="E1737" s="76" t="str">
        <f t="array" ref="E1737:E1738">{"INITIALFEATURES";"Initial Features"}</f>
        <v>INITIALFEATURES</v>
      </c>
      <c r="F1737" s="76" t="str">
        <f t="array" ref="F1737:F1738">{"KEYABILITY";((INDEX(ALLCLASSDATA,MATCH("KEYABILITY",CLASSFEATUREHEADERS,0),MATCH($A1738,CLASSNAMEHEADERS,0))))}</f>
        <v>KEYABILITY</v>
      </c>
      <c r="G1737" s="76" t="str">
        <f t="array" ref="G1737:G1738">{"HP";((INDEX(ALLCLASSDATA,MATCH("HP",CLASSFEATUREHEADERS,0),MATCH(($A1738 &amp; "Points"),CLASSNAMEHEADERS,0))))}</f>
        <v>HP</v>
      </c>
      <c r="H1737" s="76" t="str">
        <f t="array" ref="H1737:H1738">{"CLASSFEATL01";((INDEX(ALLCLASSDATA,MATCH("ClassFeatL01",CLASSFEATUREHEADERS,0),MATCH(($A1738 &amp; "Points"),CLASSNAMEHEADERS,0))))}</f>
        <v>CLASSFEATL01</v>
      </c>
      <c r="I1737" s="76" t="str">
        <f t="array" ref="I1737:I1738">{"SHIELDBLOCKL01";((INDEX(ALLCLASSDATA,MATCH("ShieldBlockL01",CLASSFEATUREHEADERS,0),MATCH(($A1738 &amp; "Points"),CLASSNAMEHEADERS,0))))}</f>
        <v>SHIELDBLOCKL01</v>
      </c>
      <c r="J1737" s="76" t="str">
        <f t="array" ref="J1737:J1738">{"INITIALSKILLINCREASES";((INDEX(ALLCLASSDATA,MATCH("InitialSkillIncreases",CLASSFEATUREHEADERS,0),MATCH(($A1738 &amp; "Points"),CLASSNAMEHEADERS,0))))}</f>
        <v>INITIALSKILLINCREASES</v>
      </c>
      <c r="K1737" s="76" t="str">
        <f t="array" ref="K1737:K1738">{"SUBCLASSSKILLINCREASES";((INDEX(ALLCLASSDATA,MATCH("SubclassSkillIncreases",CLASSFEATUREHEADERS,0),MATCH(($A1738 &amp; "Points"),CLASSNAMEHEADERS,0))))}</f>
        <v>SUBCLASSSKILLINCREASES</v>
      </c>
      <c r="L1737" s="76" t="str">
        <f t="array" ref="L1737:L1738">{"GRANTEDSKILLS";(((INDEX(ALLCLASSDATA,MATCH("SkillsGrantedTotal",CLASSFEATUREHEADERS,0),MATCH(($A1738 &amp; "Points"),CLASSNAMEHEADERS,0)))-(INDEX(ALLCLASSDATA,MATCH("InitialSkillIncreases",CLASSFEATUREHEADERS,0),MATCH(($A1738 &amp; "Points"),CLASSNAMEHEADERS,0)))-(INDEX(ALLCLASSDATA,MATCH("SubclassSkillIncreases",CLASSFEATUREHEADERS,0),MATCH(($A1738 &amp; "Points"),CLASSNAMEHEADERS,0)))))}</f>
        <v>GRANTEDSKILLS</v>
      </c>
      <c r="M1737" s="76"/>
      <c r="N1737" s="76"/>
      <c r="O1737" s="76"/>
      <c r="P1737" s="76"/>
      <c r="Q1737" s="76" t="str">
        <f t="array" ref="Q1737:Q1738">{"FOCUSSPELL1-L00";((INDEX(ALLCLASSDATA,MATCH("FocusSpell1-L00",CLASSFEATUREHEADERS,0),MATCH(($A1738 &amp; "Points"),CLASSNAMEHEADERS,0))))}</f>
        <v>FOCUSSPELL1-L00</v>
      </c>
      <c r="R1737" s="76" t="str">
        <f t="array" ref="R1737:R1738">{"FOCUSSPELL2-L00";((INDEX(ALLCLASSDATA,MATCH("FocusSpell2-L00",CLASSFEATUREHEADERS,0),MATCH(($A1738 &amp; "Points"),CLASSNAMEHEADERS,0))))}</f>
        <v>FOCUSSPELL2-L00</v>
      </c>
      <c r="S1737" s="76" t="str">
        <f t="array" ref="S1737:S1738">{"FOCUSSPELL3-L00";((INDEX(ALLCLASSDATA,MATCH("FocusSpell3-L00",CLASSFEATUREHEADERS,0),MATCH(($A1738 &amp; "Points"),CLASSNAMEHEADERS,0))))}</f>
        <v>FOCUSSPELL3-L00</v>
      </c>
      <c r="T1737" s="76" t="str">
        <f t="array" ref="T1737:T1738">{"FOCUSSPELL4-L00";((INDEX(ALLCLASSDATA,MATCH("FocusSpell4-L00",CLASSFEATUREHEADERS,0),MATCH(($A1738 &amp; "Points"),CLASSNAMEHEADERS,0))))}</f>
        <v>FOCUSSPELL4-L00</v>
      </c>
      <c r="U1737" s="76" t="str">
        <f t="array" ref="U1737:U1738">{"FOCUSSPELL5-L00";((INDEX(ALLCLASSDATA,MATCH("FocusSpell5-L00",CLASSFEATUREHEADERS,0),MATCH(($A1738 &amp; "Points"),CLASSNAMEHEADERS,0))))}</f>
        <v>FOCUSSPELL5-L00</v>
      </c>
      <c r="V1737" s="76"/>
      <c r="W1737" s="76"/>
      <c r="X1737" s="76"/>
      <c r="Y1737" s="76"/>
      <c r="Z1737" s="76"/>
      <c r="AA1737" s="76"/>
      <c r="AB1737" s="76"/>
      <c r="AC1737" s="76" t="str">
        <f t="array" ref="AC1737:AC1738">{"FEATUREPTS TOTAL";(sum(G1738:AA1738))}</f>
        <v>FEATUREPTS TOTAL</v>
      </c>
    </row>
    <row r="1738">
      <c r="A1738" s="48" t="s">
        <v>227</v>
      </c>
      <c r="B1738" s="48"/>
      <c r="C1738" s="48" t="s">
        <v>418</v>
      </c>
      <c r="D1738" s="97" t="s">
        <v>559</v>
      </c>
      <c r="E1738" s="97" t="s">
        <v>468</v>
      </c>
      <c r="F1738" s="97" t="s">
        <v>423</v>
      </c>
      <c r="G1738" s="132">
        <v>60.0</v>
      </c>
      <c r="H1738" s="98" t="s">
        <v>603</v>
      </c>
      <c r="I1738" s="98" t="s">
        <v>603</v>
      </c>
      <c r="J1738" s="98">
        <v>15.0</v>
      </c>
      <c r="K1738" s="98"/>
      <c r="L1738" s="98">
        <v>5.0</v>
      </c>
      <c r="M1738" s="98"/>
      <c r="N1738" s="98"/>
      <c r="O1738" s="98"/>
      <c r="P1738" s="98"/>
      <c r="Q1738" s="98">
        <v>10.0</v>
      </c>
      <c r="R1738" s="98">
        <v>50.0</v>
      </c>
      <c r="S1738" s="98">
        <v>90.0</v>
      </c>
      <c r="T1738" s="98"/>
      <c r="U1738" s="98"/>
      <c r="V1738" s="98"/>
      <c r="W1738" s="98"/>
      <c r="X1738" s="98"/>
      <c r="Y1738" s="98"/>
      <c r="Z1738" s="98"/>
      <c r="AA1738" s="98"/>
      <c r="AB1738" s="5"/>
      <c r="AC1738" s="47">
        <v>230.0</v>
      </c>
    </row>
    <row r="1739" hidden="1">
      <c r="A1739" s="76" t="str">
        <f t="array" ref="A1739:A1740">{"FormulaRow04";(INDEX(CLASSLIST,A1732,1))}</f>
        <v>FormulaRow04</v>
      </c>
      <c r="B1739" s="77" t="s">
        <v>236</v>
      </c>
      <c r="C1739" s="76" t="str">
        <f t="array" ref="C1739:C1740">{"CLASSTYPE";((INDEX(ALLCLASSDATA,MATCH("ClassType",CLASSFEATUREHEADERS,0),MATCH($A1740,CLASSNAMEHEADERS,0))))}</f>
        <v>CLASSTYPE</v>
      </c>
      <c r="D1739" s="81" t="str">
        <f t="array" ref="D1739:D1740">{"INITIALFEATURES";"InitialFeatures"}</f>
        <v>INITIALFEATURES</v>
      </c>
      <c r="E1739" s="81" t="str">
        <f t="array" ref="E1739:E1740">{"CLASS/SUBCLASSFEATURES";"Class/Subclass Features"}</f>
        <v>CLASS/SUBCLASSFEATURES</v>
      </c>
      <c r="F1739" s="81"/>
      <c r="G1739" s="136"/>
      <c r="H1739" s="81" t="str">
        <f t="array" ref="H1739:H1740">{"CLASSINITIALABILITY1-L00";((INDEX(ALLCLASSDATA,MATCH("ClassInitialAbility1-L00",CLASSFEATUREHEADERS,0),MATCH(($A1740),CLASSNAMEHEADERS,0))))}</f>
        <v>CLASSINITIALABILITY1-L00</v>
      </c>
      <c r="I1739" s="81" t="str">
        <f t="array" ref="I1739:I1740">{"CLASSINITIALABILITY2-L00";((INDEX(ALLCLASSDATA,MATCH("ClassInitialAbility2-L00",CLASSFEATUREHEADERS,0),MATCH(($A1740),CLASSNAMEHEADERS,0))))}</f>
        <v>CLASSINITIALABILITY2-L00</v>
      </c>
      <c r="J1739" s="81" t="str">
        <f t="array" ref="J1739:J1740">{"CLASSINITIALABILITY3-L00";((INDEX(ALLCLASSDATA,MATCH("ClassInitialAbility3-L00",CLASSFEATUREHEADERS,0),MATCH(($A1740),CLASSNAMEHEADERS,0))))}</f>
        <v>CLASSINITIALABILITY3-L00</v>
      </c>
      <c r="K1739" s="81" t="str">
        <f t="array" ref="K1739:K1740">{"CLASSINITIALABILITY4-L00";((INDEX(ALLCLASSDATA,MATCH("ClassInitialAbility4-L00",CLASSFEATUREHEADERS,0),MATCH(($A1740),CLASSNAMEHEADERS,0))))}</f>
        <v>CLASSINITIALABILITY4-L00</v>
      </c>
      <c r="L1739" s="81" t="str">
        <f t="array" ref="L1739:L1740">{"CLASSINITIALABILITY5-L00";((INDEX(ALLCLASSDATA,MATCH("ClassInitialAbility5-L00",CLASSFEATUREHEADERS,0),MATCH(($A1740),CLASSNAMEHEADERS,0))))}</f>
        <v>CLASSINITIALABILITY5-L00</v>
      </c>
      <c r="M1739" s="81" t="str">
        <f t="array" ref="M1739:M1740">{"CLASSINITIALABILITY6-L00";((INDEX(ALLCLASSDATA,MATCH("ClassInitialAbility6-L00",CLASSFEATUREHEADERS,0),MATCH(($A1740),CLASSNAMEHEADERS,0))))}</f>
        <v>CLASSINITIALABILITY6-L00</v>
      </c>
      <c r="N1739" s="81" t="str">
        <f t="array" ref="N1739:N1740">{"CLASSINITIALABILITY7-L00";((INDEX(ALLCLASSDATA,MATCH("ClassInitialAbility7-L00",CLASSFEATUREHEADERS,0),MATCH(($A1740),CLASSNAMEHEADERS,0))))}</f>
        <v>CLASSINITIALABILITY7-L00</v>
      </c>
      <c r="O1739" s="81" t="str">
        <f t="array" ref="O1739:O1740">{"CLASSINITIALABILITY8-L00";((INDEX(ALLCLASSDATA,MATCH("ClassInitialAbility8-L00",CLASSFEATUREHEADERS,0),MATCH(($A1740),CLASSNAMEHEADERS,0))))}</f>
        <v>CLASSINITIALABILITY8-L00</v>
      </c>
      <c r="P1739" s="81" t="str">
        <f t="array" ref="P1739:P1740">{"CLASSINITIALABILITY9-L00";((INDEX(ALLCLASSDATA,MATCH("ClassInitialAbility9-L00",CLASSFEATUREHEADERS,0),MATCH(($A1740),CLASSNAMEHEADERS,0))))}</f>
        <v>CLASSINITIALABILITY9-L00</v>
      </c>
      <c r="Q1739" s="81" t="str">
        <f t="array" ref="Q1739:Q1740">{"CLASSINITIALABILITY10-L00";((INDEX(ALLCLASSDATA,MATCH("ClassInitialAbility10-L00",CLASSFEATUREHEADERS,0),MATCH(($A1740),CLASSNAMEHEADERS,0))))}</f>
        <v>CLASSINITIALABILITY10-L00</v>
      </c>
      <c r="R1739" s="81" t="str">
        <f t="array" ref="R1739:R1740">{"SUBCLASSINITIAL1-L00";((INDEX(ALLCLASSDATA,MATCH("SubclassInitial1-L00",CLASSFEATUREHEADERS,0),MATCH(($A1740),CLASSNAMEHEADERS,0))))}</f>
        <v>SUBCLASSINITIAL1-L00</v>
      </c>
      <c r="S1739" s="81" t="str">
        <f t="array" ref="S1739:S1740">{"SUBCLASSINITIAL2-L00";((INDEX(ALLCLASSDATA,MATCH("SubclassInitial2-L00",CLASSFEATUREHEADERS,0),MATCH(($A1740),CLASSNAMEHEADERS,0))))}</f>
        <v>SUBCLASSINITIAL2-L00</v>
      </c>
      <c r="T1739" s="81" t="str">
        <f t="array" ref="T1739:T1740">{"SUBCLASSINITIAL3-L00";((INDEX(ALLCLASSDATA,MATCH("SubclassInitial3-L00",CLASSFEATUREHEADERS,0),MATCH(($A1740),CLASSNAMEHEADERS,0))))}</f>
        <v>SUBCLASSINITIAL3-L00</v>
      </c>
      <c r="U1739" s="81" t="str">
        <f t="array" ref="U1739:U1740">{"SUBCLASSINITIAL4-L00";((INDEX(ALLCLASSDATA,MATCH("SubclassInitial4-L00",CLASSFEATUREHEADERS,0),MATCH(($A1740),CLASSNAMEHEADERS,0))))}</f>
        <v>SUBCLASSINITIAL4-L00</v>
      </c>
      <c r="V1739" s="81" t="str">
        <f t="array" ref="V1739:V1740">{"SUBCLASSINITIAL5-L00";((INDEX(ALLCLASSDATA,MATCH("SubclassInitial5-L00",CLASSFEATUREHEADERS,0),MATCH(($A1740),CLASSNAMEHEADERS,0))))}</f>
        <v>SUBCLASSINITIAL5-L00</v>
      </c>
      <c r="W1739" s="81" t="str">
        <f t="array" ref="W1739:W1740">{"SUBCLASSINITIAL6-L00";((INDEX(ALLCLASSDATA,MATCH("SubclassInitial6-L00",CLASSFEATUREHEADERS,0),MATCH(($A1740),CLASSNAMEHEADERS,0))))}</f>
        <v>SUBCLASSINITIAL6-L00</v>
      </c>
      <c r="X1739" s="81" t="str">
        <f t="array" ref="X1739:X1740">{"SUBCLASSINITIAL7-L00";((INDEX(ALLCLASSDATA,MATCH("SubclassInitial7-L00",CLASSFEATUREHEADERS,0),MATCH(($A1740),CLASSNAMEHEADERS,0))))}</f>
        <v>SUBCLASSINITIAL7-L00</v>
      </c>
      <c r="Y1739" s="81" t="str">
        <f t="array" ref="Y1739:Y1740">{"SUBCLASSINITIAL8-L00";((INDEX(ALLCLASSDATA,MATCH("SubclassInitial8-L00",CLASSFEATUREHEADERS,0),MATCH(($A1740),CLASSNAMEHEADERS,0))))}</f>
        <v>SUBCLASSINITIAL8-L00</v>
      </c>
      <c r="Z1739" s="81" t="str">
        <f t="array" ref="Z1739:Z1740">{"SUBCLASSINITIAL9-L00";((INDEX(ALLCLASSDATA,MATCH("SubclassInitial9-L00",CLASSFEATUREHEADERS,0),MATCH(($A1740),CLASSNAMEHEADERS,0))))}</f>
        <v>SUBCLASSINITIAL9-L00</v>
      </c>
      <c r="AA1739" s="81" t="str">
        <f t="array" ref="AA1739:AA1740">{"SUBCLASSINITIAL10-L00";((INDEX(ALLCLASSDATA,MATCH("SubclassInitial10-L00",CLASSFEATUREHEADERS,0),MATCH(($A1740),CLASSNAMEHEADERS,0))))}</f>
        <v>SUBCLASSINITIAL10-L00</v>
      </c>
      <c r="AB1739" s="76"/>
      <c r="AC1739" s="76"/>
    </row>
    <row r="1740">
      <c r="A1740" s="48" t="s">
        <v>227</v>
      </c>
      <c r="B1740" s="48"/>
      <c r="C1740" s="48" t="s">
        <v>418</v>
      </c>
      <c r="D1740" s="48" t="s">
        <v>614</v>
      </c>
      <c r="E1740" s="48" t="s">
        <v>616</v>
      </c>
      <c r="F1740" s="48"/>
      <c r="G1740" s="47"/>
      <c r="H1740" s="5" t="s">
        <v>1626</v>
      </c>
      <c r="I1740" s="5" t="s">
        <v>1638</v>
      </c>
      <c r="J1740" s="5" t="s">
        <v>1652</v>
      </c>
      <c r="K1740" s="5" t="s">
        <v>1659</v>
      </c>
      <c r="L1740" s="5"/>
      <c r="M1740" s="5"/>
      <c r="N1740" s="5"/>
      <c r="O1740" s="5"/>
      <c r="P1740" s="5"/>
      <c r="Q1740" s="5"/>
      <c r="R1740" s="284" t="s">
        <v>1824</v>
      </c>
      <c r="S1740" s="5" t="s">
        <v>1835</v>
      </c>
      <c r="T1740" s="5"/>
      <c r="U1740" s="5"/>
      <c r="V1740" s="5"/>
      <c r="W1740" s="5"/>
      <c r="X1740" s="5"/>
      <c r="Y1740" s="5"/>
      <c r="Z1740" s="5"/>
      <c r="AA1740" s="5"/>
      <c r="AB1740" s="5"/>
      <c r="AC1740" s="47"/>
    </row>
    <row r="1741" hidden="1">
      <c r="A1741" s="76" t="str">
        <f t="array" ref="A1741:A1742">{"FormulaRow05";(INDEX(CLASSLIST,A1732,1))}</f>
        <v>FormulaRow05</v>
      </c>
      <c r="B1741" s="77" t="s">
        <v>236</v>
      </c>
      <c r="C1741" s="76" t="str">
        <f t="array" ref="C1741:C1742">{"CLASSTYPE";((INDEX(ALLCLASSDATA,MATCH("ClassType",CLASSFEATUREHEADERS,0),MATCH($A1742,CLASSNAMEHEADERS,0))))}</f>
        <v>CLASSTYPE</v>
      </c>
      <c r="D1741" s="76" t="str">
        <f t="array" ref="D1741:D1742">{"INITIALFEATURESPTS";"InitialFeaturesPts"}</f>
        <v>INITIALFEATURESPTS</v>
      </c>
      <c r="E1741" s="76" t="str">
        <f t="array" ref="E1741:E1742">{"CLASS/SUBCLASSFEATURES";"Class/Subclass Features"}</f>
        <v>CLASS/SUBCLASSFEATURES</v>
      </c>
      <c r="F1741" s="76"/>
      <c r="G1741" s="76"/>
      <c r="H1741" s="76" t="str">
        <f t="array" ref="H1741:H1742">{"CLASSINITIALABILITY1-L00PTS";((INDEX(ALLCLASSDATA,MATCH("ClassInitialAbility1-L00",CLASSFEATUREHEADERS,0),MATCH(($A1742 &amp; "Points"),CLASSNAMEHEADERS,0))))}</f>
        <v>CLASSINITIALABILITY1-L00PTS</v>
      </c>
      <c r="I1741" s="76" t="str">
        <f t="array" ref="I1741:I1742">{"CLASSINITIALABILITY2-L00PTS";((INDEX(ALLCLASSDATA,MATCH("ClassInitialAbility2-L00",CLASSFEATUREHEADERS,0),MATCH(($A1742 &amp; "Points"),CLASSNAMEHEADERS,0))))}</f>
        <v>CLASSINITIALABILITY2-L00PTS</v>
      </c>
      <c r="J1741" s="76" t="str">
        <f t="array" ref="J1741:J1742">{"CLASSINITIALABILITY3-L00PTS";((INDEX(ALLCLASSDATA,MATCH("ClassInitialAbility3-L00",CLASSFEATUREHEADERS,0),MATCH(($A1742 &amp; "Points"),CLASSNAMEHEADERS,0))))}</f>
        <v>CLASSINITIALABILITY3-L00PTS</v>
      </c>
      <c r="K1741" s="76" t="str">
        <f t="array" ref="K1741:K1742">{"CLASSINITIALABILITY4-L00PTS";((INDEX(ALLCLASSDATA,MATCH("ClassInitialAbility4-L00",CLASSFEATUREHEADERS,0),MATCH(($A1742 &amp; "Points"),CLASSNAMEHEADERS,0))))}</f>
        <v>CLASSINITIALABILITY4-L00PTS</v>
      </c>
      <c r="L1741" s="76" t="str">
        <f t="array" ref="L1741:L1742">{"CLASSINITIALABILITY5-L00PTS";((INDEX(ALLCLASSDATA,MATCH("ClassInitialAbility5-L00",CLASSFEATUREHEADERS,0),MATCH(($A1742 &amp; "Points"),CLASSNAMEHEADERS,0))))}</f>
        <v>CLASSINITIALABILITY5-L00PTS</v>
      </c>
      <c r="M1741" s="76" t="str">
        <f t="array" ref="M1741:M1742">{"CLASSINITIALABILITY6-L00PTS";((INDEX(ALLCLASSDATA,MATCH("ClassInitialAbility6-L00",CLASSFEATUREHEADERS,0),MATCH(($A1742 &amp; "Points"),CLASSNAMEHEADERS,0))))}</f>
        <v>CLASSINITIALABILITY6-L00PTS</v>
      </c>
      <c r="N1741" s="76" t="str">
        <f t="array" ref="N1741:N1742">{"CLASSINITIALABILITY7-L00PTS";((INDEX(ALLCLASSDATA,MATCH("ClassInitialAbility7-L00",CLASSFEATUREHEADERS,0),MATCH(($A1742 &amp; "Points"),CLASSNAMEHEADERS,0))))}</f>
        <v>CLASSINITIALABILITY7-L00PTS</v>
      </c>
      <c r="O1741" s="76" t="str">
        <f t="array" ref="O1741:O1742">{"CLASSINITIALABILITY8-L00PTS";((INDEX(ALLCLASSDATA,MATCH("ClassInitialAbility8-L00",CLASSFEATUREHEADERS,0),MATCH(($A1742 &amp; "Points"),CLASSNAMEHEADERS,0))))}</f>
        <v>CLASSINITIALABILITY8-L00PTS</v>
      </c>
      <c r="P1741" s="76" t="str">
        <f t="array" ref="P1741:P1742">{"CLASSINITIALABILITY9-L00PTS";((INDEX(ALLCLASSDATA,MATCH("ClassInitialAbility9-L00",CLASSFEATUREHEADERS,0),MATCH(($A1742 &amp; "Points"),CLASSNAMEHEADERS,0))))}</f>
        <v>CLASSINITIALABILITY9-L00PTS</v>
      </c>
      <c r="Q1741" s="76" t="str">
        <f t="array" ref="Q1741:Q1742">{"CLASSINITIALABILITY10-L00PTS";((INDEX(ALLCLASSDATA,MATCH("ClassInitialAbility10-L00",CLASSFEATUREHEADERS,0),MATCH(($A1742 &amp; "Points"),CLASSNAMEHEADERS,0))))}</f>
        <v>CLASSINITIALABILITY10-L00PTS</v>
      </c>
      <c r="R1741" s="76" t="str">
        <f t="array" ref="R1741:R1742">{"SUBCLASSINITIAL1-L00PTS";((INDEX(ALLCLASSDATA,MATCH("SubclassInitial1-L00",CLASSFEATUREHEADERS,0),MATCH(($A1742 &amp; "Points"),CLASSNAMEHEADERS,0))))}</f>
        <v>SUBCLASSINITIAL1-L00PTS</v>
      </c>
      <c r="S1741" s="76" t="str">
        <f t="array" ref="S1741:S1742">{"SUBCLASSINITIAL2-L00PTS";((INDEX(ALLCLASSDATA,MATCH("SubclassInitial2-L00",CLASSFEATUREHEADERS,0),MATCH(($A1742 &amp; "Points"),CLASSNAMEHEADERS,0))))}</f>
        <v>SUBCLASSINITIAL2-L00PTS</v>
      </c>
      <c r="T1741" s="76" t="str">
        <f t="array" ref="T1741:T1742">{"SUBCLASSINITIAL3-L00PTS";((INDEX(ALLCLASSDATA,MATCH("SubclassInitial3-L00",CLASSFEATUREHEADERS,0),MATCH(($A1742 &amp; "Points"),CLASSNAMEHEADERS,0))))}</f>
        <v>SUBCLASSINITIAL3-L00PTS</v>
      </c>
      <c r="U1741" s="76" t="str">
        <f t="array" ref="U1741:U1742">{"SUBCLASSINITIAL4-L00PTS";((INDEX(ALLCLASSDATA,MATCH("SubclassInitial4-L00",CLASSFEATUREHEADERS,0),MATCH(($A1742 &amp; "Points"),CLASSNAMEHEADERS,0))))}</f>
        <v>SUBCLASSINITIAL4-L00PTS</v>
      </c>
      <c r="V1741" s="76" t="str">
        <f t="array" ref="V1741:V1742">{"SUBCLASSINITIAL5-L00PTS";((INDEX(ALLCLASSDATA,MATCH("SubclassInitial5-L00",CLASSFEATUREHEADERS,0),MATCH(($A1742 &amp; "Points"),CLASSNAMEHEADERS,0))))}</f>
        <v>SUBCLASSINITIAL5-L00PTS</v>
      </c>
      <c r="W1741" s="76" t="str">
        <f t="array" ref="W1741:W1742">{"SUBCLASSINITIAL6-L00PTS";((INDEX(ALLCLASSDATA,MATCH("SubclassInitial6-L00",CLASSFEATUREHEADERS,0),MATCH(($A1742 &amp; "Points"),CLASSNAMEHEADERS,0))))}</f>
        <v>SUBCLASSINITIAL6-L00PTS</v>
      </c>
      <c r="X1741" s="76" t="str">
        <f t="array" ref="X1741:X1742">{"SUBCLASSINITIAL7-L00PTS";((INDEX(ALLCLASSDATA,MATCH("SubclassInitial7-L00",CLASSFEATUREHEADERS,0),MATCH(($A1742 &amp; "Points"),CLASSNAMEHEADERS,0))))}</f>
        <v>SUBCLASSINITIAL7-L00PTS</v>
      </c>
      <c r="Y1741" s="76" t="str">
        <f t="array" ref="Y1741:Y1742">{"SUBCLASSINITIAL8-L00PTS";((INDEX(ALLCLASSDATA,MATCH("SubclassInitial8-L00",CLASSFEATUREHEADERS,0),MATCH(($A1742 &amp; "Points"),CLASSNAMEHEADERS,0))))}</f>
        <v>SUBCLASSINITIAL8-L00PTS</v>
      </c>
      <c r="Z1741" s="76" t="str">
        <f t="array" ref="Z1741:Z1742">{"SUBCLASSINITIAL9-L00PTS";((INDEX(ALLCLASSDATA,MATCH("SubclassInitial9-L00",CLASSFEATUREHEADERS,0),MATCH(($A1742 &amp; "Points"),CLASSNAMEHEADERS,0))))}</f>
        <v>SUBCLASSINITIAL9-L00PTS</v>
      </c>
      <c r="AA1741" s="76" t="str">
        <f t="array" ref="AA1741:AA1742">{"SUBCLASSINITIAL10-L00PTS";((INDEX(ALLCLASSDATA,MATCH("SubclassInitial10-L00",CLASSFEATUREHEADERS,0),MATCH(($A1742 &amp; "Points"),CLASSNAMEHEADERS,0))))}</f>
        <v>SUBCLASSINITIAL10-L00PTS</v>
      </c>
      <c r="AB1741" s="76"/>
      <c r="AC1741" s="76" t="str">
        <f t="array" ref="AC1741:AC1742">{"INITIALFEATUREPTS TOTAL";(sum(G1742:AA1742))}</f>
        <v>INITIALFEATUREPTS TOTAL</v>
      </c>
    </row>
    <row r="1742">
      <c r="A1742" s="48" t="s">
        <v>227</v>
      </c>
      <c r="B1742" s="48"/>
      <c r="C1742" s="48" t="s">
        <v>418</v>
      </c>
      <c r="D1742" s="97" t="s">
        <v>651</v>
      </c>
      <c r="E1742" s="97" t="s">
        <v>616</v>
      </c>
      <c r="F1742" s="97"/>
      <c r="G1742" s="132"/>
      <c r="H1742" s="98">
        <v>20.0</v>
      </c>
      <c r="I1742" s="98"/>
      <c r="J1742" s="97">
        <v>10.0</v>
      </c>
      <c r="K1742" s="98">
        <v>10.0</v>
      </c>
      <c r="L1742" s="97"/>
      <c r="M1742" s="98"/>
      <c r="N1742" s="98"/>
      <c r="O1742" s="98"/>
      <c r="P1742" s="98"/>
      <c r="Q1742" s="98"/>
      <c r="R1742" s="98"/>
      <c r="S1742" s="98">
        <v>10.0</v>
      </c>
      <c r="T1742" s="98"/>
      <c r="U1742" s="98"/>
      <c r="V1742" s="98"/>
      <c r="W1742" s="98"/>
      <c r="X1742" s="98"/>
      <c r="Y1742" s="98"/>
      <c r="Z1742" s="98"/>
      <c r="AA1742" s="98"/>
      <c r="AB1742" s="5"/>
      <c r="AC1742" s="47">
        <v>50.0</v>
      </c>
    </row>
    <row r="1743" hidden="1">
      <c r="A1743" s="76" t="str">
        <f t="array" ref="A1743:A1744">{"FormulaRow06";(INDEX(CLASSLIST,A1732,1))}</f>
        <v>FormulaRow06</v>
      </c>
      <c r="B1743" s="77" t="s">
        <v>236</v>
      </c>
      <c r="C1743" s="76" t="str">
        <f t="array" ref="C1743:C1744">{"CLASSTYPE";((INDEX(ALLCLASSDATA,MATCH("ClassType",CLASSFEATUREHEADERS,0),MATCH($A1744,CLASSNAMEHEADERS,0))))}</f>
        <v>CLASSTYPE</v>
      </c>
      <c r="D1743" s="81" t="str">
        <f t="array" ref="D1743:D1744">{"SKILLS";"Skills"}</f>
        <v>SKILLS</v>
      </c>
      <c r="E1743" s="81" t="str">
        <f t="array" ref="E1743:E1744">{"EXTRASKILLINCREASES";"Extra Skill Increases"}</f>
        <v>EXTRASKILLINCREASES</v>
      </c>
      <c r="F1743" s="81"/>
      <c r="G1743" s="81"/>
      <c r="H1743" s="81"/>
      <c r="I1743" s="81" t="str">
        <f t="array" ref="I1743:I1744">{"SKILLINCREASEEXTRA-L02";((INDEX(ALLCLASSDATA,MATCH("SkillIncreaseExtra-L02",CLASSFEATUREHEADERS,0),MATCH(($A1744 &amp; "Points"),CLASSNAMEHEADERS,0))))}</f>
        <v>SKILLINCREASEEXTRA-L02</v>
      </c>
      <c r="J1743" s="81" t="str">
        <f t="array" ref="J1743:J1744">{"SKILLINCREASEEXTRA-L03";((INDEX(ALLCLASSDATA,MATCH("SkillIncreaseExtra-L03",CLASSFEATUREHEADERS,0),MATCH(($A1744 &amp; "Points"),CLASSNAMEHEADERS,0))))}</f>
        <v>SKILLINCREASEEXTRA-L03</v>
      </c>
      <c r="K1743" s="81" t="str">
        <f t="array" ref="K1743:K1744">{"SKILLINCREASEEXTRA-L04";((INDEX(ALLCLASSDATA,MATCH("SkillIncreaseExtra-L04",CLASSFEATUREHEADERS,0),MATCH(($A1744 &amp; "Points"),CLASSNAMEHEADERS,0))))}</f>
        <v>SKILLINCREASEEXTRA-L04</v>
      </c>
      <c r="L1743" s="81" t="str">
        <f t="array" ref="L1743:L1744">{"SKILLINCREASEEXTRA-L05";((INDEX(ALLCLASSDATA,MATCH("SkillIncreaseExtra-L05",CLASSFEATUREHEADERS,0),MATCH(($A1744 &amp; "Points"),CLASSNAMEHEADERS,0))))}</f>
        <v>SKILLINCREASEEXTRA-L05</v>
      </c>
      <c r="M1743" s="81" t="str">
        <f t="array" ref="M1743:M1744">{"SKILLINCREASEEXTRA-L06";((INDEX(ALLCLASSDATA,MATCH("SkillIncreaseExtra-L06",CLASSFEATUREHEADERS,0),MATCH(($A1744 &amp; "Points"),CLASSNAMEHEADERS,0))))}</f>
        <v>SKILLINCREASEEXTRA-L06</v>
      </c>
      <c r="N1743" s="81" t="str">
        <f t="array" ref="N1743:N1744">{"SKILLINCREASEEXTRA-L07";((INDEX(ALLCLASSDATA,MATCH("SkillIncreaseExtra-L07",CLASSFEATUREHEADERS,0),MATCH(($A1744 &amp; "Points"),CLASSNAMEHEADERS,0))))}</f>
        <v>SKILLINCREASEEXTRA-L07</v>
      </c>
      <c r="O1743" s="81" t="str">
        <f t="array" ref="O1743:O1744">{"SKILLINCREASEEXTRA-L08";((INDEX(ALLCLASSDATA,MATCH("SkillIncreaseExtra-L08",CLASSFEATUREHEADERS,0),MATCH(($A1744 &amp; "Points"),CLASSNAMEHEADERS,0))))}</f>
        <v>SKILLINCREASEEXTRA-L08</v>
      </c>
      <c r="P1743" s="81" t="str">
        <f t="array" ref="P1743:P1744">{"SKILLINCREASEEXTRA-L09";((INDEX(ALLCLASSDATA,MATCH("SkillIncreaseExtra-L09",CLASSFEATUREHEADERS,0),MATCH(($A1744 &amp; "Points"),CLASSNAMEHEADERS,0))))}</f>
        <v>SKILLINCREASEEXTRA-L09</v>
      </c>
      <c r="Q1743" s="81" t="str">
        <f t="array" ref="Q1743:Q1744">{"SKILLINCREASEEXTRA-L10";((INDEX(ALLCLASSDATA,MATCH("SkillIncreaseExtra-L10",CLASSFEATUREHEADERS,0),MATCH(($A1744 &amp; "Points"),CLASSNAMEHEADERS,0))))}</f>
        <v>SKILLINCREASEEXTRA-L10</v>
      </c>
      <c r="R1743" s="81" t="str">
        <f t="array" ref="R1743:R1744">{"SKILLINCREASEEXTRA-L11";((INDEX(ALLCLASSDATA,MATCH("SkillIncreaseExtra-L11",CLASSFEATUREHEADERS,0),MATCH(($A1744 &amp; "Points"),CLASSNAMEHEADERS,0))))}</f>
        <v>SKILLINCREASEEXTRA-L11</v>
      </c>
      <c r="S1743" s="81" t="str">
        <f t="array" ref="S1743:S1744">{"SKILLINCREASEEXTRA-L12";((INDEX(ALLCLASSDATA,MATCH("SkillIncreaseExtra-L12",CLASSFEATUREHEADERS,0),MATCH(($A1744 &amp; "Points"),CLASSNAMEHEADERS,0))))}</f>
        <v>SKILLINCREASEEXTRA-L12</v>
      </c>
      <c r="T1743" s="81" t="str">
        <f t="array" ref="T1743:T1744">{"SKILLINCREASEEXTRA-L13";((INDEX(ALLCLASSDATA,MATCH("SkillIncreaseExtra-L13",CLASSFEATUREHEADERS,0),MATCH(($A1744 &amp; "Points"),CLASSNAMEHEADERS,0))))}</f>
        <v>SKILLINCREASEEXTRA-L13</v>
      </c>
      <c r="U1743" s="81" t="str">
        <f t="array" ref="U1743:U1744">{"SKILLINCREASEEXTRA-L14";((INDEX(ALLCLASSDATA,MATCH("SkillIncreaseExtra-L14",CLASSFEATUREHEADERS,0),MATCH(($A1744 &amp; "Points"),CLASSNAMEHEADERS,0))))}</f>
        <v>SKILLINCREASEEXTRA-L14</v>
      </c>
      <c r="V1743" s="81" t="str">
        <f t="array" ref="V1743:V1744">{"SKILLINCREASEEXTRA-L15";((INDEX(ALLCLASSDATA,MATCH("SkillIncreaseExtra-L15",CLASSFEATUREHEADERS,0),MATCH(($A1744 &amp; "Points"),CLASSNAMEHEADERS,0))))}</f>
        <v>SKILLINCREASEEXTRA-L15</v>
      </c>
      <c r="W1743" s="81" t="str">
        <f t="array" ref="W1743:W1744">{"SKILLINCREASEEXTRA-L16";((INDEX(ALLCLASSDATA,MATCH("SkillIncreaseExtra-L16",CLASSFEATUREHEADERS,0),MATCH(($A1744 &amp; "Points"),CLASSNAMEHEADERS,0))))}</f>
        <v>SKILLINCREASEEXTRA-L16</v>
      </c>
      <c r="X1743" s="81" t="str">
        <f t="array" ref="X1743:X1744">{"SKILLINCREASEEXTRA-L17";((INDEX(ALLCLASSDATA,MATCH("SkillIncreaseExtra-L17",CLASSFEATUREHEADERS,0),MATCH(($A1744 &amp; "Points"),CLASSNAMEHEADERS,0))))}</f>
        <v>SKILLINCREASEEXTRA-L17</v>
      </c>
      <c r="Y1743" s="81" t="str">
        <f t="array" ref="Y1743:Y1744">{"SKILLINCREASEEXTRA-L18";((INDEX(ALLCLASSDATA,MATCH("SkillIncreaseExtra-L18",CLASSFEATUREHEADERS,0),MATCH(($A1744 &amp; "Points"),CLASSNAMEHEADERS,0))))}</f>
        <v>SKILLINCREASEEXTRA-L18</v>
      </c>
      <c r="Z1743" s="81" t="str">
        <f t="array" ref="Z1743:Z1744">{"SKILLINCREASEEXTRA-L19";((INDEX(ALLCLASSDATA,MATCH("SkillIncreaseExtra-L19",CLASSFEATUREHEADERS,0),MATCH(($A1744 &amp; "Points"),CLASSNAMEHEADERS,0))))}</f>
        <v>SKILLINCREASEEXTRA-L19</v>
      </c>
      <c r="AA1743" s="81" t="str">
        <f t="array" ref="AA1743:AA1744">{"SKILLINCREASEEXTRA-L20";((INDEX(ALLCLASSDATA,MATCH("SkillIncreaseExtra-L20",CLASSFEATUREHEADERS,0),MATCH(($A1744 &amp; "Points"),CLASSNAMEHEADERS,0))))}</f>
        <v>SKILLINCREASEEXTRA-L20</v>
      </c>
      <c r="AB1743" s="76"/>
      <c r="AC1743" s="76" t="str">
        <f t="array" ref="AC1743:AC1744">{"SKILLINCREASE TOTAL";(sum(G1744:AA1744))}</f>
        <v>SKILLINCREASE TOTAL</v>
      </c>
    </row>
    <row r="1744">
      <c r="A1744" s="48" t="s">
        <v>227</v>
      </c>
      <c r="B1744" s="48"/>
      <c r="C1744" s="48" t="s">
        <v>418</v>
      </c>
      <c r="D1744" s="48" t="s">
        <v>659</v>
      </c>
      <c r="E1744" s="48" t="s">
        <v>661</v>
      </c>
      <c r="F1744" s="48"/>
      <c r="G1744" s="47"/>
      <c r="H1744" s="5"/>
      <c r="I1744" s="5" t="s">
        <v>603</v>
      </c>
      <c r="J1744" s="5" t="s">
        <v>603</v>
      </c>
      <c r="K1744" s="5" t="s">
        <v>603</v>
      </c>
      <c r="L1744" s="48" t="s">
        <v>603</v>
      </c>
      <c r="M1744" s="5" t="s">
        <v>603</v>
      </c>
      <c r="N1744" s="5" t="s">
        <v>603</v>
      </c>
      <c r="O1744" s="5" t="s">
        <v>603</v>
      </c>
      <c r="P1744" s="5" t="s">
        <v>603</v>
      </c>
      <c r="Q1744" s="5" t="s">
        <v>603</v>
      </c>
      <c r="R1744" s="5" t="s">
        <v>603</v>
      </c>
      <c r="S1744" s="5" t="s">
        <v>603</v>
      </c>
      <c r="T1744" s="5" t="s">
        <v>603</v>
      </c>
      <c r="U1744" s="5" t="s">
        <v>603</v>
      </c>
      <c r="V1744" s="5" t="s">
        <v>603</v>
      </c>
      <c r="W1744" s="5" t="s">
        <v>603</v>
      </c>
      <c r="X1744" s="5" t="s">
        <v>603</v>
      </c>
      <c r="Y1744" s="5" t="s">
        <v>603</v>
      </c>
      <c r="Z1744" s="5" t="s">
        <v>603</v>
      </c>
      <c r="AA1744" s="5" t="s">
        <v>603</v>
      </c>
      <c r="AB1744" s="5"/>
      <c r="AC1744" s="47">
        <v>0.0</v>
      </c>
    </row>
    <row r="1745" hidden="1">
      <c r="A1745" s="76" t="str">
        <f t="array" ref="A1745:A1746">{"FormulaRow07";(INDEX(CLASSLIST,A1732,1))}</f>
        <v>FormulaRow07</v>
      </c>
      <c r="B1745" s="77" t="s">
        <v>236</v>
      </c>
      <c r="C1745" s="76" t="str">
        <f t="array" ref="C1745:C1746">{"CLASSTYPE";((INDEX(ALLCLASSDATA,MATCH("ClassType",CLASSFEATUREHEADERS,0),MATCH($A1746,CLASSNAMEHEADERS,0))))}</f>
        <v>CLASSTYPE</v>
      </c>
      <c r="D1745" s="76" t="str">
        <f t="array" ref="D1745:D1746">{"SKILLS";"Skills"}</f>
        <v>SKILLS</v>
      </c>
      <c r="E1745" s="76" t="str">
        <f t="array" ref="E1745:E1746">{"EXTRASKILLFEATS";"Extra Skill Feats"}</f>
        <v>EXTRASKILLFEATS</v>
      </c>
      <c r="F1745" s="76"/>
      <c r="G1745" s="76"/>
      <c r="H1745" s="76" t="str">
        <f t="array" ref="H1745:H1746">{"SKILLFEATEXTRA-L01";((INDEX(ALLCLASSDATA,MATCH("SkillFeatExtra-L01",CLASSFEATUREHEADERS,0),MATCH(($A1746 &amp; "Points"),CLASSNAMEHEADERS,0))))}</f>
        <v>SKILLFEATEXTRA-L01</v>
      </c>
      <c r="I1745" s="76" t="str">
        <f t="array" ref="I1745:I1746">{"SKILLFEATEXTRA-L02";((INDEX(ALLCLASSDATA,MATCH("SkillFeatExtra-L02",CLASSFEATUREHEADERS,0),MATCH(($A1746 &amp; "Points"),CLASSNAMEHEADERS,0))))}</f>
        <v>SKILLFEATEXTRA-L02</v>
      </c>
      <c r="J1745" s="76" t="str">
        <f t="array" ref="J1745:J1746">{"SKILLFEATEXTRA-L03";((INDEX(ALLCLASSDATA,MATCH("SkillFeatExtra-L03",CLASSFEATUREHEADERS,0),MATCH(($A1746 &amp; "Points"),CLASSNAMEHEADERS,0))))}</f>
        <v>SKILLFEATEXTRA-L03</v>
      </c>
      <c r="K1745" s="76" t="str">
        <f t="array" ref="K1745:K1746">{"SKILLFEATEXTRA-L04";((INDEX(ALLCLASSDATA,MATCH("SkillFeatExtra-L04",CLASSFEATUREHEADERS,0),MATCH(($A1746 &amp; "Points"),CLASSNAMEHEADERS,0))))}</f>
        <v>SKILLFEATEXTRA-L04</v>
      </c>
      <c r="L1745" s="76" t="str">
        <f t="array" ref="L1745:L1746">{"SKILLFEATEXTRA-L05";((INDEX(ALLCLASSDATA,MATCH("SkillFeatExtra-L05",CLASSFEATUREHEADERS,0),MATCH(($A1746 &amp; "Points"),CLASSNAMEHEADERS,0))))}</f>
        <v>SKILLFEATEXTRA-L05</v>
      </c>
      <c r="M1745" s="76" t="str">
        <f t="array" ref="M1745:M1746">{"SKILLFEATEXTRA-L06";((INDEX(ALLCLASSDATA,MATCH("SkillFeatExtra-L06",CLASSFEATUREHEADERS,0),MATCH(($A1746 &amp; "Points"),CLASSNAMEHEADERS,0))))}</f>
        <v>SKILLFEATEXTRA-L06</v>
      </c>
      <c r="N1745" s="76" t="str">
        <f t="array" ref="N1745:N1746">{"SKILLFEATEXTRA-L07";((INDEX(ALLCLASSDATA,MATCH("SkillFeatExtra-L07",CLASSFEATUREHEADERS,0),MATCH(($A1746 &amp; "Points"),CLASSNAMEHEADERS,0))))}</f>
        <v>SKILLFEATEXTRA-L07</v>
      </c>
      <c r="O1745" s="76" t="str">
        <f t="array" ref="O1745:O1746">{"SKILLFEATEXTRA-L08";((INDEX(ALLCLASSDATA,MATCH("SkillFeatExtra-L08",CLASSFEATUREHEADERS,0),MATCH(($A1746 &amp; "Points"),CLASSNAMEHEADERS,0))))}</f>
        <v>SKILLFEATEXTRA-L08</v>
      </c>
      <c r="P1745" s="76" t="str">
        <f t="array" ref="P1745:P1746">{"SKILLFEATEXTRA-L09";((INDEX(ALLCLASSDATA,MATCH("SkillFeatExtra-L09",CLASSFEATUREHEADERS,0),MATCH(($A1746 &amp; "Points"),CLASSNAMEHEADERS,0))))}</f>
        <v>SKILLFEATEXTRA-L09</v>
      </c>
      <c r="Q1745" s="76" t="str">
        <f t="array" ref="Q1745:Q1746">{"SKILLFEATEXTRA-L10";((INDEX(ALLCLASSDATA,MATCH("SkillFeatExtra-L10",CLASSFEATUREHEADERS,0),MATCH(($A1746 &amp; "Points"),CLASSNAMEHEADERS,0))))}</f>
        <v>SKILLFEATEXTRA-L10</v>
      </c>
      <c r="R1745" s="76" t="str">
        <f t="array" ref="R1745:R1746">{"SKILLFEATEXTRA-L11";((INDEX(ALLCLASSDATA,MATCH("SkillFeatExtra-L11",CLASSFEATUREHEADERS,0),MATCH(($A1746 &amp; "Points"),CLASSNAMEHEADERS,0))))}</f>
        <v>SKILLFEATEXTRA-L11</v>
      </c>
      <c r="S1745" s="76" t="str">
        <f t="array" ref="S1745:S1746">{"SKILLFEATEXTRA-L12";((INDEX(ALLCLASSDATA,MATCH("SkillFeatExtra-L12",CLASSFEATUREHEADERS,0),MATCH(($A1746 &amp; "Points"),CLASSNAMEHEADERS,0))))}</f>
        <v>SKILLFEATEXTRA-L12</v>
      </c>
      <c r="T1745" s="76" t="str">
        <f t="array" ref="T1745:T1746">{"SKILLFEATEXTRA-L13";((INDEX(ALLCLASSDATA,MATCH("SkillFeatExtra-L13",CLASSFEATUREHEADERS,0),MATCH(($A1746 &amp; "Points"),CLASSNAMEHEADERS,0))))}</f>
        <v>SKILLFEATEXTRA-L13</v>
      </c>
      <c r="U1745" s="76" t="str">
        <f t="array" ref="U1745:U1746">{"SKILLFEATEXTRA-L14";((INDEX(ALLCLASSDATA,MATCH("SkillFeatExtra-L14",CLASSFEATUREHEADERS,0),MATCH(($A1746 &amp; "Points"),CLASSNAMEHEADERS,0))))}</f>
        <v>SKILLFEATEXTRA-L14</v>
      </c>
      <c r="V1745" s="76" t="str">
        <f t="array" ref="V1745:V1746">{"SKILLFEATEXTRA-L15";((INDEX(ALLCLASSDATA,MATCH("SkillFeatExtra-L15",CLASSFEATUREHEADERS,0),MATCH(($A1746 &amp; "Points"),CLASSNAMEHEADERS,0))))}</f>
        <v>SKILLFEATEXTRA-L15</v>
      </c>
      <c r="W1745" s="76" t="str">
        <f t="array" ref="W1745:W1746">{"SKILLFEATEXTRA-L16";((INDEX(ALLCLASSDATA,MATCH("SkillFeatExtra-L16",CLASSFEATUREHEADERS,0),MATCH(($A1746 &amp; "Points"),CLASSNAMEHEADERS,0))))}</f>
        <v>SKILLFEATEXTRA-L16</v>
      </c>
      <c r="X1745" s="76" t="str">
        <f t="array" ref="X1745:X1746">{"SKILLFEATEXTRA-L17";((INDEX(ALLCLASSDATA,MATCH("SkillFeatExtra-L17",CLASSFEATUREHEADERS,0),MATCH(($A1746 &amp; "Points"),CLASSNAMEHEADERS,0))))}</f>
        <v>SKILLFEATEXTRA-L17</v>
      </c>
      <c r="Y1745" s="76" t="str">
        <f t="array" ref="Y1745:Y1746">{"SKILLFEATEXTRA-L18";((INDEX(ALLCLASSDATA,MATCH("SkillFeatExtra-L18",CLASSFEATUREHEADERS,0),MATCH(($A1746 &amp; "Points"),CLASSNAMEHEADERS,0))))}</f>
        <v>SKILLFEATEXTRA-L18</v>
      </c>
      <c r="Z1745" s="76" t="str">
        <f t="array" ref="Z1745:Z1746">{"SKILLFEATEXTRA-L19";((INDEX(ALLCLASSDATA,MATCH("SkillFeatExtra-L19",CLASSFEATUREHEADERS,0),MATCH(($A1746 &amp; "Points"),CLASSNAMEHEADERS,0))))}</f>
        <v>SKILLFEATEXTRA-L19</v>
      </c>
      <c r="AA1745" s="76" t="str">
        <f t="array" ref="AA1745:AA1746">{"SKILLFEATEXTRA-L20";((INDEX(ALLCLASSDATA,MATCH("SkillFeatExtra-L20",CLASSFEATUREHEADERS,0),MATCH(($A1746 &amp; "Points"),CLASSNAMEHEADERS,0))))}</f>
        <v>SKILLFEATEXTRA-L20</v>
      </c>
      <c r="AB1745" s="76"/>
      <c r="AC1745" s="76" t="str">
        <f t="array" ref="AC1745:AC1746">{"SKILLFEAT TOTAL";(sum(G1746:AA1746))}</f>
        <v>SKILLFEAT TOTAL</v>
      </c>
    </row>
    <row r="1746">
      <c r="A1746" s="48" t="s">
        <v>227</v>
      </c>
      <c r="B1746" s="48"/>
      <c r="C1746" s="48" t="s">
        <v>418</v>
      </c>
      <c r="D1746" s="97" t="s">
        <v>659</v>
      </c>
      <c r="E1746" s="97" t="s">
        <v>722</v>
      </c>
      <c r="F1746" s="97"/>
      <c r="G1746" s="132"/>
      <c r="H1746" s="98" t="s">
        <v>603</v>
      </c>
      <c r="I1746" s="98" t="s">
        <v>603</v>
      </c>
      <c r="J1746" s="97" t="s">
        <v>603</v>
      </c>
      <c r="K1746" s="98" t="s">
        <v>603</v>
      </c>
      <c r="L1746" s="97" t="s">
        <v>603</v>
      </c>
      <c r="M1746" s="98" t="s">
        <v>603</v>
      </c>
      <c r="N1746" s="98" t="s">
        <v>603</v>
      </c>
      <c r="O1746" s="98" t="s">
        <v>603</v>
      </c>
      <c r="P1746" s="98" t="s">
        <v>603</v>
      </c>
      <c r="Q1746" s="98" t="s">
        <v>603</v>
      </c>
      <c r="R1746" s="98" t="s">
        <v>603</v>
      </c>
      <c r="S1746" s="98" t="s">
        <v>603</v>
      </c>
      <c r="T1746" s="98" t="s">
        <v>603</v>
      </c>
      <c r="U1746" s="98" t="s">
        <v>603</v>
      </c>
      <c r="V1746" s="98" t="s">
        <v>603</v>
      </c>
      <c r="W1746" s="98" t="s">
        <v>603</v>
      </c>
      <c r="X1746" s="98" t="s">
        <v>603</v>
      </c>
      <c r="Y1746" s="98" t="s">
        <v>603</v>
      </c>
      <c r="Z1746" s="98" t="s">
        <v>603</v>
      </c>
      <c r="AA1746" s="98" t="s">
        <v>603</v>
      </c>
      <c r="AB1746" s="5"/>
      <c r="AC1746" s="47">
        <v>0.0</v>
      </c>
    </row>
    <row r="1747" hidden="1">
      <c r="A1747" s="76" t="str">
        <f t="array" ref="A1747:A1748">{"FormulaRow08";(INDEX(CLASSLIST,A1732,1))}</f>
        <v>FormulaRow08</v>
      </c>
      <c r="B1747" s="77" t="s">
        <v>236</v>
      </c>
      <c r="C1747" s="76" t="str">
        <f t="array" ref="C1747:C1748">{"CLASSTYPE";((INDEX(ALLCLASSDATA,MATCH("ClassType",CLASSFEATUREHEADERS,0),MATCH($A1748,CLASSNAMEHEADERS,0))))}</f>
        <v>CLASSTYPE</v>
      </c>
      <c r="D1747" s="81" t="str">
        <f t="array" ref="D1747:D1748">{"CLASSABILITY";"ClassAbility"}</f>
        <v>CLASSABILITY</v>
      </c>
      <c r="E1747" s="81" t="str">
        <f t="array" ref="E1747:E1748">{"CLASSABILITY1";"ClassAbility1"}</f>
        <v>CLASSABILITY1</v>
      </c>
      <c r="F1747" s="81"/>
      <c r="G1747" s="81"/>
      <c r="H1747" s="81"/>
      <c r="I1747" s="81"/>
      <c r="J1747" s="81" t="str">
        <f t="array" ref="J1747:J1748">{"CLASSABILITY1-L03";((INDEX(ALLCLASSDATA,MATCH("ClassAbility1-L03",CLASSFEATUREHEADERS,0),MATCH(($A1748),CLASSNAMEHEADERS,0))))}</f>
        <v>CLASSABILITY1-L03</v>
      </c>
      <c r="K1747" s="81"/>
      <c r="L1747" s="81" t="str">
        <f t="array" ref="L1747:L1748">{"CLASSABILITY1-L05";((INDEX(ALLCLASSDATA,MATCH("ClassAbility1-L05",CLASSFEATUREHEADERS,0),MATCH(($A1748),CLASSNAMEHEADERS,0))))}</f>
        <v>CLASSABILITY1-L05</v>
      </c>
      <c r="M1747" s="81"/>
      <c r="N1747" s="81" t="str">
        <f t="array" ref="N1747:N1748">{"CLASSABILITY1-L07";((INDEX(ALLCLASSDATA,MATCH("ClassAbility1-L07",CLASSFEATUREHEADERS,0),MATCH(($A1748),CLASSNAMEHEADERS,0))))}</f>
        <v>CLASSABILITY1-L07</v>
      </c>
      <c r="O1747" s="81"/>
      <c r="P1747" s="81" t="str">
        <f t="array" ref="P1747:P1748">{"CLASSABILITY1-L09";((INDEX(ALLCLASSDATA,MATCH("ClassAbility1-L09",CLASSFEATUREHEADERS,0),MATCH(($A1748),CLASSNAMEHEADERS,0))))}</f>
        <v>CLASSABILITY1-L09</v>
      </c>
      <c r="Q1747" s="81"/>
      <c r="R1747" s="81" t="str">
        <f t="array" ref="R1747:R1748">{"CLASSABILITY1-L11";((INDEX(ALLCLASSDATA,MATCH("ClassAbility1-L11",CLASSFEATUREHEADERS,0),MATCH(($A1748),CLASSNAMEHEADERS,0))))}</f>
        <v>CLASSABILITY1-L11</v>
      </c>
      <c r="S1747" s="81"/>
      <c r="T1747" s="81" t="str">
        <f t="array" ref="T1747:T1748">{"CLASSABILITY1-L13";((INDEX(ALLCLASSDATA,MATCH("ClassAbility1-L13",CLASSFEATUREHEADERS,0),MATCH(($A1748),CLASSNAMEHEADERS,0))))}</f>
        <v>CLASSABILITY1-L13</v>
      </c>
      <c r="U1747" s="81"/>
      <c r="V1747" s="81" t="str">
        <f t="array" ref="V1747:V1748">{"CLASSABILITY1-L15";((INDEX(ALLCLASSDATA,MATCH("ClassAbility1-L15",CLASSFEATUREHEADERS,0),MATCH(($A1748),CLASSNAMEHEADERS,0))))}</f>
        <v>CLASSABILITY1-L15</v>
      </c>
      <c r="W1747" s="81"/>
      <c r="X1747" s="81" t="str">
        <f t="array" ref="X1747:X1748">{"CLASSABILITY1-L17";((INDEX(ALLCLASSDATA,MATCH("ClassAbility1-L17",CLASSFEATUREHEADERS,0),MATCH(($A1748),CLASSNAMEHEADERS,0))))}</f>
        <v>CLASSABILITY1-L17</v>
      </c>
      <c r="Y1747" s="81"/>
      <c r="Z1747" s="81" t="str">
        <f t="array" ref="Z1747:Z1748">{"CLASSABILITY1-L19";((INDEX(ALLCLASSDATA,MATCH("ClassAbility1-L19",CLASSFEATUREHEADERS,0),MATCH(($A1748),CLASSNAMEHEADERS,0))))}</f>
        <v>CLASSABILITY1-L19</v>
      </c>
      <c r="AA1747" s="81"/>
      <c r="AB1747" s="76"/>
      <c r="AC1747" s="76"/>
    </row>
    <row r="1748">
      <c r="A1748" s="48" t="s">
        <v>227</v>
      </c>
      <c r="B1748" s="48"/>
      <c r="C1748" s="48" t="s">
        <v>418</v>
      </c>
      <c r="D1748" s="48" t="s">
        <v>825</v>
      </c>
      <c r="E1748" s="48" t="s">
        <v>826</v>
      </c>
      <c r="F1748" s="5"/>
      <c r="G1748" s="47"/>
      <c r="H1748" s="5"/>
      <c r="I1748" s="5"/>
      <c r="J1748" s="5" t="s">
        <v>1251</v>
      </c>
      <c r="K1748" s="5"/>
      <c r="L1748" s="5" t="s">
        <v>1697</v>
      </c>
      <c r="M1748" s="5"/>
      <c r="N1748" s="5" t="s">
        <v>350</v>
      </c>
      <c r="O1748" s="5"/>
      <c r="P1748" s="5" t="s">
        <v>314</v>
      </c>
      <c r="Q1748" s="5"/>
      <c r="R1748" s="5" t="s">
        <v>1737</v>
      </c>
      <c r="S1748" s="5"/>
      <c r="T1748" s="5" t="s">
        <v>369</v>
      </c>
      <c r="U1748" s="5"/>
      <c r="V1748" s="5" t="s">
        <v>353</v>
      </c>
      <c r="W1748" s="5"/>
      <c r="X1748" s="5" t="s">
        <v>1778</v>
      </c>
      <c r="Y1748" s="5"/>
      <c r="Z1748" s="5" t="s">
        <v>1795</v>
      </c>
      <c r="AA1748" s="5"/>
      <c r="AB1748" s="5"/>
      <c r="AC1748" s="47"/>
    </row>
    <row r="1749" hidden="1">
      <c r="A1749" s="76" t="str">
        <f t="array" ref="A1749:A1750">{"FormulaRow09";(INDEX(CLASSLIST,A1732,1))}</f>
        <v>FormulaRow09</v>
      </c>
      <c r="B1749" s="77" t="s">
        <v>236</v>
      </c>
      <c r="C1749" s="76" t="str">
        <f t="array" ref="C1749:C1750">{"CLASSTYPE";((INDEX(ALLCLASSDATA,MATCH("ClassType",CLASSFEATUREHEADERS,0),MATCH($A1750,CLASSNAMEHEADERS,0))))}</f>
        <v>CLASSTYPE</v>
      </c>
      <c r="D1749" s="76" t="str">
        <f t="array" ref="D1749:D1750">{"CLASSABILITYPTS";"ClassAbilityPts"}</f>
        <v>CLASSABILITYPTS</v>
      </c>
      <c r="E1749" s="76" t="str">
        <f t="array" ref="E1749:E1750">{"CLASSABILITY1";"ClassAbility1"}</f>
        <v>CLASSABILITY1</v>
      </c>
      <c r="F1749" s="76"/>
      <c r="G1749" s="76"/>
      <c r="H1749" s="76"/>
      <c r="I1749" s="76"/>
      <c r="J1749" s="76" t="str">
        <f t="array" ref="J1749:J1750">{"CLASSABILITY1-L03PTS";((INDEX(ALLCLASSDATA,MATCH("ClassAbility1-L03",CLASSFEATUREHEADERS,0),MATCH(($A1750 &amp; "Points"),CLASSNAMEHEADERS,0))))}</f>
        <v>CLASSABILITY1-L03PTS</v>
      </c>
      <c r="K1749" s="76"/>
      <c r="L1749" s="76" t="str">
        <f t="array" ref="L1749:L1750">{"CLASSABILITY1-L05PTS";((INDEX(ALLCLASSDATA,MATCH("ClassAbility1-L05",CLASSFEATUREHEADERS,0),MATCH(($A1750 &amp; "Points"),CLASSNAMEHEADERS,0))))}</f>
        <v>CLASSABILITY1-L05PTS</v>
      </c>
      <c r="M1749" s="76"/>
      <c r="N1749" s="76" t="str">
        <f t="array" ref="N1749:N1750">{"CLASSABILITY1-L07PTS";((INDEX(ALLCLASSDATA,MATCH("ClassAbility1-L07",CLASSFEATUREHEADERS,0),MATCH(($A1750 &amp; "Points"),CLASSNAMEHEADERS,0))))}</f>
        <v>CLASSABILITY1-L07PTS</v>
      </c>
      <c r="O1749" s="76"/>
      <c r="P1749" s="76" t="str">
        <f t="array" ref="P1749:P1750">{"CLASSABILITY1-L09PTS";((INDEX(ALLCLASSDATA,MATCH("ClassAbility1-L09",CLASSFEATUREHEADERS,0),MATCH(($A1750 &amp; "Points"),CLASSNAMEHEADERS,0))))}</f>
        <v>CLASSABILITY1-L09PTS</v>
      </c>
      <c r="Q1749" s="76"/>
      <c r="R1749" s="76" t="str">
        <f t="array" ref="R1749:R1750">{"CLASSABILITY1-L11PTS";((INDEX(ALLCLASSDATA,MATCH("ClassAbility1-L11",CLASSFEATUREHEADERS,0),MATCH(($A1750 &amp; "Points"),CLASSNAMEHEADERS,0))))}</f>
        <v>CLASSABILITY1-L11PTS</v>
      </c>
      <c r="S1749" s="76"/>
      <c r="T1749" s="76" t="str">
        <f t="array" ref="T1749:T1750">{"CLASSABILITY1-L13PTS";((INDEX(ALLCLASSDATA,MATCH("ClassAbility1-L13",CLASSFEATUREHEADERS,0),MATCH(($A1750 &amp; "Points"),CLASSNAMEHEADERS,0))))}</f>
        <v>CLASSABILITY1-L13PTS</v>
      </c>
      <c r="U1749" s="76"/>
      <c r="V1749" s="76" t="str">
        <f t="array" ref="V1749:V1750">{"CLASSABILITY1-L15PTS";((INDEX(ALLCLASSDATA,MATCH("ClassAbility1-L15",CLASSFEATUREHEADERS,0),MATCH(($A1750 &amp; "Points"),CLASSNAMEHEADERS,0))))}</f>
        <v>CLASSABILITY1-L15PTS</v>
      </c>
      <c r="W1749" s="76"/>
      <c r="X1749" s="76" t="str">
        <f t="array" ref="X1749:X1750">{"CLASSABILITY1-L17PTS";((INDEX(ALLCLASSDATA,MATCH("ClassAbility1-L17",CLASSFEATUREHEADERS,0),MATCH(($A1750 &amp; "Points"),CLASSNAMEHEADERS,0))))}</f>
        <v>CLASSABILITY1-L17PTS</v>
      </c>
      <c r="Y1749" s="76"/>
      <c r="Z1749" s="76" t="str">
        <f t="array" ref="Z1749:Z1750">{"CLASSABILITY1-L19PTS";((INDEX(ALLCLASSDATA,MATCH("ClassAbility1-L19",CLASSFEATUREHEADERS,0),MATCH(($A1750 &amp; "Points"),CLASSNAMEHEADERS,0))))}</f>
        <v>CLASSABILITY1-L19PTS</v>
      </c>
      <c r="AA1749" s="76"/>
      <c r="AB1749" s="76"/>
      <c r="AC1749" s="76" t="str">
        <f t="array" ref="AC1749:AC1750">{"CLASSABILITY1 TOTAL";(sum(G1750:AA1750))}</f>
        <v>CLASSABILITY1 TOTAL</v>
      </c>
    </row>
    <row r="1750">
      <c r="A1750" s="48" t="s">
        <v>227</v>
      </c>
      <c r="B1750" s="48"/>
      <c r="C1750" s="48" t="s">
        <v>418</v>
      </c>
      <c r="D1750" s="48" t="s">
        <v>930</v>
      </c>
      <c r="E1750" s="48" t="s">
        <v>826</v>
      </c>
      <c r="F1750" s="5"/>
      <c r="G1750" s="5"/>
      <c r="H1750" s="5"/>
      <c r="I1750" s="5"/>
      <c r="J1750" s="48">
        <v>30.0</v>
      </c>
      <c r="K1750" s="5"/>
      <c r="L1750" s="5"/>
      <c r="M1750" s="5"/>
      <c r="N1750" s="5"/>
      <c r="O1750" s="5"/>
      <c r="P1750" s="5"/>
      <c r="Q1750" s="5"/>
      <c r="R1750" s="5"/>
      <c r="S1750" s="5"/>
      <c r="T1750" s="5"/>
      <c r="U1750" s="5"/>
      <c r="V1750" s="5"/>
      <c r="W1750" s="5"/>
      <c r="X1750" s="5"/>
      <c r="Y1750" s="5"/>
      <c r="Z1750" s="5"/>
      <c r="AA1750" s="5"/>
      <c r="AB1750" s="5"/>
      <c r="AC1750" s="47">
        <v>30.0</v>
      </c>
    </row>
    <row r="1751" hidden="1">
      <c r="A1751" s="76" t="str">
        <f t="array" ref="A1751:A1752">{"FormulaRow10";(INDEX(CLASSLIST,A1732,1))}</f>
        <v>FormulaRow10</v>
      </c>
      <c r="B1751" s="77" t="s">
        <v>236</v>
      </c>
      <c r="C1751" s="76" t="str">
        <f t="array" ref="C1751:C1752">{"CLASSTYPE";((INDEX(ALLCLASSDATA,MATCH("ClassType",CLASSFEATUREHEADERS,0),MATCH($A1752,CLASSNAMEHEADERS,0))))}</f>
        <v>CLASSTYPE</v>
      </c>
      <c r="D1751" s="76" t="str">
        <f t="array" ref="D1751:D1752">{"CLASSABILITY";"ClassAbility"}</f>
        <v>CLASSABILITY</v>
      </c>
      <c r="E1751" s="76" t="str">
        <f t="array" ref="E1751:E1752">{"CLASSABILITY2";"ClassAbility2"}</f>
        <v>CLASSABILITY2</v>
      </c>
      <c r="F1751" s="76"/>
      <c r="G1751" s="76"/>
      <c r="H1751" s="76"/>
      <c r="I1751" s="76"/>
      <c r="J1751" s="76" t="str">
        <f t="array" ref="J1751:J1752">{"CLASSABILITY2-L03";((INDEX(ALLCLASSDATA,MATCH("ClassAbility2-L03",CLASSFEATUREHEADERS,0),MATCH(($A1752),CLASSNAMEHEADERS,0))))}</f>
        <v>CLASSABILITY2-L03</v>
      </c>
      <c r="K1751" s="76"/>
      <c r="L1751" s="76" t="str">
        <f t="array" ref="L1751:L1752">{"CLASSABILITY2-L05";((INDEX(ALLCLASSDATA,MATCH("ClassAbility2-L05",CLASSFEATUREHEADERS,0),MATCH(($A1752),CLASSNAMEHEADERS,0))))}</f>
        <v>CLASSABILITY2-L05</v>
      </c>
      <c r="M1751" s="76"/>
      <c r="N1751" s="76" t="str">
        <f t="array" ref="N1751:N1752">{"CLASSABILITY2-L07";((INDEX(ALLCLASSDATA,MATCH("ClassAbility2-L07",CLASSFEATUREHEADERS,0),MATCH(($A1752),CLASSNAMEHEADERS,0))))}</f>
        <v>CLASSABILITY2-L07</v>
      </c>
      <c r="O1751" s="76"/>
      <c r="P1751" s="76" t="str">
        <f t="array" ref="P1751:P1752">{"CLASSABILITY2-L09";((INDEX(ALLCLASSDATA,MATCH("ClassAbility2-L09",CLASSFEATUREHEADERS,0),MATCH(($A1752),CLASSNAMEHEADERS,0))))}</f>
        <v>CLASSABILITY2-L09</v>
      </c>
      <c r="Q1751" s="76"/>
      <c r="R1751" s="76" t="str">
        <f t="array" ref="R1751:R1752">{"CLASSABILITY2-L11";((INDEX(ALLCLASSDATA,MATCH("ClassAbility2-L11",CLASSFEATUREHEADERS,0),MATCH(($A1752),CLASSNAMEHEADERS,0))))}</f>
        <v>CLASSABILITY2-L11</v>
      </c>
      <c r="S1751" s="76"/>
      <c r="T1751" s="76" t="str">
        <f t="array" ref="T1751:T1752">{"CLASSABILITY2-L13";((INDEX(ALLCLASSDATA,MATCH("ClassAbility2-L13",CLASSFEATUREHEADERS,0),MATCH(($A1752),CLASSNAMEHEADERS,0))))}</f>
        <v>CLASSABILITY2-L13</v>
      </c>
      <c r="U1751" s="76"/>
      <c r="V1751" s="76" t="str">
        <f t="array" ref="V1751:V1752">{"CLASSABILITY2-L15";((INDEX(ALLCLASSDATA,MATCH("ClassAbility2-L15",CLASSFEATUREHEADERS,0),MATCH(($A1752),CLASSNAMEHEADERS,0))))}</f>
        <v>CLASSABILITY2-L15</v>
      </c>
      <c r="W1751" s="76"/>
      <c r="X1751" s="76" t="str">
        <f t="array" ref="X1751:X1752">{"CLASSABILITY2-L17";((INDEX(ALLCLASSDATA,MATCH("ClassAbility2-L17",CLASSFEATUREHEADERS,0),MATCH(($A1752),CLASSNAMEHEADERS,0))))}</f>
        <v>CLASSABILITY2-L17</v>
      </c>
      <c r="Y1751" s="76"/>
      <c r="Z1751" s="76" t="str">
        <f t="array" ref="Z1751:Z1752">{"CLASSABILITY2-L19";((INDEX(ALLCLASSDATA,MATCH("ClassAbility2-L19",CLASSFEATUREHEADERS,0),MATCH(($A1752),CLASSNAMEHEADERS,0))))}</f>
        <v>CLASSABILITY2-L19</v>
      </c>
      <c r="AA1751" s="76"/>
      <c r="AB1751" s="76"/>
      <c r="AC1751" s="76"/>
    </row>
    <row r="1752">
      <c r="A1752" s="48" t="s">
        <v>227</v>
      </c>
      <c r="B1752" s="48"/>
      <c r="C1752" s="48" t="s">
        <v>418</v>
      </c>
      <c r="D1752" s="48" t="s">
        <v>825</v>
      </c>
      <c r="E1752" s="48" t="s">
        <v>1007</v>
      </c>
      <c r="F1752" s="48"/>
      <c r="G1752" s="47"/>
      <c r="H1752" s="5"/>
      <c r="I1752" s="5"/>
      <c r="J1752" s="5"/>
      <c r="K1752" s="5"/>
      <c r="L1752" s="5" t="s">
        <v>1701</v>
      </c>
      <c r="M1752" s="5"/>
      <c r="N1752" s="5"/>
      <c r="O1752" s="5"/>
      <c r="P1752" s="5"/>
      <c r="Q1752" s="5"/>
      <c r="R1752" s="5" t="s">
        <v>1742</v>
      </c>
      <c r="S1752" s="5"/>
      <c r="T1752" s="5" t="s">
        <v>1757</v>
      </c>
      <c r="U1752" s="5"/>
      <c r="V1752" s="5"/>
      <c r="W1752" s="5"/>
      <c r="X1752" s="5"/>
      <c r="Y1752" s="5"/>
      <c r="Z1752" s="5" t="s">
        <v>356</v>
      </c>
      <c r="AA1752" s="5"/>
      <c r="AB1752" s="5"/>
      <c r="AC1752" s="47"/>
    </row>
    <row r="1753" hidden="1">
      <c r="A1753" s="76" t="str">
        <f t="array" ref="A1753:A1754">{"FormulaRow11";(INDEX(CLASSLIST,A1732,1))}</f>
        <v>FormulaRow11</v>
      </c>
      <c r="B1753" s="77" t="s">
        <v>236</v>
      </c>
      <c r="C1753" s="76" t="str">
        <f t="array" ref="C1753:C1754">{"CLASSTYPE";((INDEX(ALLCLASSDATA,MATCH("ClassType",CLASSFEATUREHEADERS,0),MATCH($A1754,CLASSNAMEHEADERS,0))))}</f>
        <v>CLASSTYPE</v>
      </c>
      <c r="D1753" s="76" t="str">
        <f t="array" ref="D1753:D1754">{"CLASSABILITYPTS";"ClassAbilityPts"}</f>
        <v>CLASSABILITYPTS</v>
      </c>
      <c r="E1753" s="76" t="str">
        <f t="array" ref="E1753:E1754">{"CLASSABILITY2";"ClassAbility2"}</f>
        <v>CLASSABILITY2</v>
      </c>
      <c r="F1753" s="76"/>
      <c r="G1753" s="76"/>
      <c r="H1753" s="76"/>
      <c r="I1753" s="76"/>
      <c r="J1753" s="76" t="str">
        <f t="array" ref="J1753:J1754">{"CLASSABILITY2-L03PTS";((INDEX(ALLCLASSDATA,MATCH("ClassAbility2-L03",CLASSFEATUREHEADERS,0),MATCH(($A1754 &amp; "Points"),CLASSNAMEHEADERS,0))))}</f>
        <v>CLASSABILITY2-L03PTS</v>
      </c>
      <c r="K1753" s="76"/>
      <c r="L1753" s="76" t="str">
        <f t="array" ref="L1753:L1754">{"CLASSABILITY2-L05PTS";((INDEX(ALLCLASSDATA,MATCH("ClassAbility2-L05",CLASSFEATUREHEADERS,0),MATCH(($A1754 &amp; "Points"),CLASSNAMEHEADERS,0))))}</f>
        <v>CLASSABILITY2-L05PTS</v>
      </c>
      <c r="M1753" s="76"/>
      <c r="N1753" s="76" t="str">
        <f t="array" ref="N1753:N1754">{"CLASSABILITY2-L07PTS";((INDEX(ALLCLASSDATA,MATCH("ClassAbility2-L07",CLASSFEATUREHEADERS,0),MATCH(($A1754 &amp; "Points"),CLASSNAMEHEADERS,0))))}</f>
        <v>CLASSABILITY2-L07PTS</v>
      </c>
      <c r="O1753" s="76"/>
      <c r="P1753" s="76" t="str">
        <f t="array" ref="P1753:P1754">{"CLASSABILITY2-L09PTS";((INDEX(ALLCLASSDATA,MATCH("ClassAbility2-L09",CLASSFEATUREHEADERS,0),MATCH(($A1754 &amp; "Points"),CLASSNAMEHEADERS,0))))}</f>
        <v>CLASSABILITY2-L09PTS</v>
      </c>
      <c r="Q1753" s="76"/>
      <c r="R1753" s="76" t="str">
        <f t="array" ref="R1753:R1754">{"CLASSABILITY2-L11PTS";((INDEX(ALLCLASSDATA,MATCH("ClassAbility2-L11",CLASSFEATUREHEADERS,0),MATCH(($A1754 &amp; "Points"),CLASSNAMEHEADERS,0))))}</f>
        <v>CLASSABILITY2-L11PTS</v>
      </c>
      <c r="S1753" s="76"/>
      <c r="T1753" s="76" t="str">
        <f t="array" ref="T1753:T1754">{"CLASSABILITY2-L13PTS";((INDEX(ALLCLASSDATA,MATCH("ClassAbility2-L13",CLASSFEATUREHEADERS,0),MATCH(($A1754 &amp; "Points"),CLASSNAMEHEADERS,0))))}</f>
        <v>CLASSABILITY2-L13PTS</v>
      </c>
      <c r="U1753" s="76"/>
      <c r="V1753" s="76" t="str">
        <f t="array" ref="V1753:V1754">{"CLASSABILITY2-L15PTS";((INDEX(ALLCLASSDATA,MATCH("ClassAbility2-L15",CLASSFEATUREHEADERS,0),MATCH(($A1754 &amp; "Points"),CLASSNAMEHEADERS,0))))}</f>
        <v>CLASSABILITY2-L15PTS</v>
      </c>
      <c r="W1753" s="76"/>
      <c r="X1753" s="76" t="str">
        <f t="array" ref="X1753:X1754">{"CLASSABILITY2-L17PTS";((INDEX(ALLCLASSDATA,MATCH("ClassAbility2-L17",CLASSFEATUREHEADERS,0),MATCH(($A1754 &amp; "Points"),CLASSNAMEHEADERS,0))))}</f>
        <v>CLASSABILITY2-L17PTS</v>
      </c>
      <c r="Y1753" s="76"/>
      <c r="Z1753" s="76" t="str">
        <f t="array" ref="Z1753:Z1754">{"CLASSABILITY2-L19PTS";((INDEX(ALLCLASSDATA,MATCH("ClassAbility2-L19",CLASSFEATUREHEADERS,0),MATCH(($A1754 &amp; "Points"),CLASSNAMEHEADERS,0))))}</f>
        <v>CLASSABILITY2-L19PTS</v>
      </c>
      <c r="AA1753" s="76"/>
      <c r="AB1753" s="76"/>
      <c r="AC1753" s="76" t="str">
        <f t="array" ref="AC1753:AC1754">{"CLASSABILITY2 TOTAL";(sum(G1754:AA1754))}</f>
        <v>CLASSABILITY2 TOTAL</v>
      </c>
    </row>
    <row r="1754">
      <c r="A1754" s="48" t="s">
        <v>227</v>
      </c>
      <c r="B1754" s="48"/>
      <c r="C1754" s="48" t="s">
        <v>418</v>
      </c>
      <c r="D1754" s="48" t="s">
        <v>930</v>
      </c>
      <c r="E1754" s="48" t="s">
        <v>1007</v>
      </c>
      <c r="F1754" s="48"/>
      <c r="G1754" s="47"/>
      <c r="H1754" s="5"/>
      <c r="I1754" s="5"/>
      <c r="J1754" s="5"/>
      <c r="K1754" s="5"/>
      <c r="L1754" s="5">
        <v>50.0</v>
      </c>
      <c r="M1754" s="5"/>
      <c r="N1754" s="5"/>
      <c r="O1754" s="5"/>
      <c r="P1754" s="5"/>
      <c r="Q1754" s="5"/>
      <c r="R1754" s="5"/>
      <c r="S1754" s="5"/>
      <c r="T1754" s="5"/>
      <c r="U1754" s="5"/>
      <c r="V1754" s="5"/>
      <c r="W1754" s="5"/>
      <c r="X1754" s="5"/>
      <c r="Y1754" s="5"/>
      <c r="Z1754" s="5"/>
      <c r="AA1754" s="5"/>
      <c r="AB1754" s="5"/>
      <c r="AC1754" s="47">
        <v>50.0</v>
      </c>
    </row>
    <row r="1755" hidden="1">
      <c r="A1755" s="76" t="str">
        <f t="array" ref="A1755:A1756">{"FormulaRow12";(INDEX(CLASSLIST,A1732,1))}</f>
        <v>FormulaRow12</v>
      </c>
      <c r="B1755" s="77" t="s">
        <v>236</v>
      </c>
      <c r="C1755" s="76" t="str">
        <f t="array" ref="C1755:C1756">{"CLASSTYPE";((INDEX(ALLCLASSDATA,MATCH("ClassType",CLASSFEATUREHEADERS,0),MATCH($A1756,CLASSNAMEHEADERS,0))))}</f>
        <v>CLASSTYPE</v>
      </c>
      <c r="D1755" s="76" t="str">
        <f t="array" ref="D1755:D1756">{"CLASSABILITY";"ClassAbility"}</f>
        <v>CLASSABILITY</v>
      </c>
      <c r="E1755" s="76" t="str">
        <f t="array" ref="E1755:E1756">{"CLASSABILITY3";"ClassAbility3"}</f>
        <v>CLASSABILITY3</v>
      </c>
      <c r="F1755" s="76"/>
      <c r="G1755" s="76"/>
      <c r="H1755" s="76"/>
      <c r="I1755" s="76"/>
      <c r="J1755" s="76" t="str">
        <f t="array" ref="J1755:J1756">{"CLASSABILITY3-L03";((INDEX(ALLCLASSDATA,MATCH("ClassAbility3-L03",CLASSFEATUREHEADERS,0),MATCH(($A1756),CLASSNAMEHEADERS,0))))}</f>
        <v>CLASSABILITY3-L03</v>
      </c>
      <c r="K1755" s="76"/>
      <c r="L1755" s="76" t="str">
        <f t="array" ref="L1755:L1756">{"CLASSABILITY3-L05";((INDEX(ALLCLASSDATA,MATCH("ClassAbility3-L05",CLASSFEATUREHEADERS,0),MATCH(($A1756),CLASSNAMEHEADERS,0))))}</f>
        <v>CLASSABILITY3-L05</v>
      </c>
      <c r="M1755" s="76"/>
      <c r="N1755" s="76" t="str">
        <f t="array" ref="N1755:N1756">{"CLASSABILITY3-L07";((INDEX(ALLCLASSDATA,MATCH("ClassAbility3-L07",CLASSFEATUREHEADERS,0),MATCH(($A1756),CLASSNAMEHEADERS,0))))}</f>
        <v>CLASSABILITY3-L07</v>
      </c>
      <c r="O1755" s="76"/>
      <c r="P1755" s="76" t="str">
        <f t="array" ref="P1755:P1756">{"CLASSABILITY3-L09";((INDEX(ALLCLASSDATA,MATCH("ClassAbility3-L09",CLASSFEATUREHEADERS,0),MATCH(($A1756),CLASSNAMEHEADERS,0))))}</f>
        <v>CLASSABILITY3-L09</v>
      </c>
      <c r="Q1755" s="76"/>
      <c r="R1755" s="76" t="str">
        <f t="array" ref="R1755:R1756">{"CLASSABILITY3-L11";((INDEX(ALLCLASSDATA,MATCH("ClassAbility3-L11",CLASSFEATUREHEADERS,0),MATCH(($A1756),CLASSNAMEHEADERS,0))))}</f>
        <v>CLASSABILITY3-L11</v>
      </c>
      <c r="S1755" s="76"/>
      <c r="T1755" s="76" t="str">
        <f t="array" ref="T1755:T1756">{"CLASSABILITY3-L13";((INDEX(ALLCLASSDATA,MATCH("ClassAbility3-L13",CLASSFEATUREHEADERS,0),MATCH(($A1756),CLASSNAMEHEADERS,0))))}</f>
        <v>CLASSABILITY3-L13</v>
      </c>
      <c r="U1755" s="76"/>
      <c r="V1755" s="76" t="str">
        <f t="array" ref="V1755:V1756">{"CLASSABILITY3-L15";((INDEX(ALLCLASSDATA,MATCH("ClassAbility3-L15",CLASSFEATUREHEADERS,0),MATCH(($A1756),CLASSNAMEHEADERS,0))))}</f>
        <v>CLASSABILITY3-L15</v>
      </c>
      <c r="W1755" s="76"/>
      <c r="X1755" s="76" t="str">
        <f t="array" ref="X1755:X1756">{"CLASSABILITY3-L17";((INDEX(ALLCLASSDATA,MATCH("ClassAbility3-L17",CLASSFEATUREHEADERS,0),MATCH(($A1756),CLASSNAMEHEADERS,0))))}</f>
        <v>CLASSABILITY3-L17</v>
      </c>
      <c r="Y1755" s="76"/>
      <c r="Z1755" s="76" t="str">
        <f t="array" ref="Z1755:Z1756">{"CLASSABILITY3-L19";((INDEX(ALLCLASSDATA,MATCH("ClassAbility3-L19",CLASSFEATUREHEADERS,0),MATCH(($A1756),CLASSNAMEHEADERS,0))))}</f>
        <v>CLASSABILITY3-L19</v>
      </c>
      <c r="AA1755" s="76"/>
      <c r="AB1755" s="76"/>
      <c r="AC1755" s="76"/>
    </row>
    <row r="1756">
      <c r="A1756" s="48" t="s">
        <v>227</v>
      </c>
      <c r="B1756" s="48"/>
      <c r="C1756" s="48" t="s">
        <v>418</v>
      </c>
      <c r="D1756" s="48" t="s">
        <v>825</v>
      </c>
      <c r="E1756" s="48" t="s">
        <v>1144</v>
      </c>
      <c r="F1756" s="48"/>
      <c r="G1756" s="47"/>
      <c r="H1756" s="5"/>
      <c r="I1756" s="5"/>
      <c r="J1756" s="5"/>
      <c r="K1756" s="5"/>
      <c r="L1756" s="5"/>
      <c r="M1756" s="5"/>
      <c r="N1756" s="5"/>
      <c r="O1756" s="5"/>
      <c r="P1756" s="5"/>
      <c r="Q1756" s="5"/>
      <c r="R1756" s="5" t="s">
        <v>1746</v>
      </c>
      <c r="S1756" s="5"/>
      <c r="T1756" s="5"/>
      <c r="U1756" s="5"/>
      <c r="V1756" s="5"/>
      <c r="W1756" s="5"/>
      <c r="X1756" s="5"/>
      <c r="Y1756" s="5"/>
      <c r="Z1756" s="5"/>
      <c r="AA1756" s="5"/>
      <c r="AB1756" s="5"/>
      <c r="AC1756" s="47"/>
    </row>
    <row r="1757" hidden="1">
      <c r="A1757" s="76" t="str">
        <f t="array" ref="A1757:A1758">{"FormulaRow13";(INDEX(CLASSLIST,A1732,1))}</f>
        <v>FormulaRow13</v>
      </c>
      <c r="B1757" s="77" t="s">
        <v>236</v>
      </c>
      <c r="C1757" s="76" t="str">
        <f t="array" ref="C1757:C1758">{"CLASSTYPE";((INDEX(ALLCLASSDATA,MATCH("ClassType",CLASSFEATUREHEADERS,0),MATCH($A1758,CLASSNAMEHEADERS,0))))}</f>
        <v>CLASSTYPE</v>
      </c>
      <c r="D1757" s="76" t="str">
        <f t="array" ref="D1757:D1758">{"CLASSABILITYPTS";"ClassAbilityPts"}</f>
        <v>CLASSABILITYPTS</v>
      </c>
      <c r="E1757" s="76" t="str">
        <f t="array" ref="E1757:E1758">{"CLASSABILITY3";"ClassAbility3"}</f>
        <v>CLASSABILITY3</v>
      </c>
      <c r="F1757" s="76"/>
      <c r="G1757" s="76"/>
      <c r="H1757" s="76"/>
      <c r="I1757" s="76"/>
      <c r="J1757" s="76" t="str">
        <f t="array" ref="J1757:J1758">{"CLASSABILITY3-L03PTS";((INDEX(ALLCLASSDATA,MATCH("ClassAbility3-L03",CLASSFEATUREHEADERS,0),MATCH(($A1758 &amp; "Points"),CLASSNAMEHEADERS,0))))}</f>
        <v>CLASSABILITY3-L03PTS</v>
      </c>
      <c r="K1757" s="76"/>
      <c r="L1757" s="76" t="str">
        <f t="array" ref="L1757:L1758">{"CLASSABILITY3-L05PTS";((INDEX(ALLCLASSDATA,MATCH("ClassAbility3-L05",CLASSFEATUREHEADERS,0),MATCH(($A1758 &amp; "Points"),CLASSNAMEHEADERS,0))))}</f>
        <v>CLASSABILITY3-L05PTS</v>
      </c>
      <c r="M1757" s="76"/>
      <c r="N1757" s="76" t="str">
        <f t="array" ref="N1757:N1758">{"CLASSABILITY3-L07PTS";((INDEX(ALLCLASSDATA,MATCH("ClassAbility3-L07",CLASSFEATUREHEADERS,0),MATCH(($A1758 &amp; "Points"),CLASSNAMEHEADERS,0))))}</f>
        <v>CLASSABILITY3-L07PTS</v>
      </c>
      <c r="O1757" s="76"/>
      <c r="P1757" s="76" t="str">
        <f t="array" ref="P1757:P1758">{"CLASSABILITY3-L09PTS";((INDEX(ALLCLASSDATA,MATCH("ClassAbility3-L09",CLASSFEATUREHEADERS,0),MATCH(($A1758 &amp; "Points"),CLASSNAMEHEADERS,0))))}</f>
        <v>CLASSABILITY3-L09PTS</v>
      </c>
      <c r="Q1757" s="76"/>
      <c r="R1757" s="76" t="str">
        <f t="array" ref="R1757:R1758">{"CLASSABILITY3-L11PTS";((INDEX(ALLCLASSDATA,MATCH("ClassAbility3-L11",CLASSFEATUREHEADERS,0),MATCH(($A1758 &amp; "Points"),CLASSNAMEHEADERS,0))))}</f>
        <v>CLASSABILITY3-L11PTS</v>
      </c>
      <c r="S1757" s="76"/>
      <c r="T1757" s="76" t="str">
        <f t="array" ref="T1757:T1758">{"CLASSABILITY3-L13PTS";((INDEX(ALLCLASSDATA,MATCH("ClassAbility3-L13",CLASSFEATUREHEADERS,0),MATCH(($A1758 &amp; "Points"),CLASSNAMEHEADERS,0))))}</f>
        <v>CLASSABILITY3-L13PTS</v>
      </c>
      <c r="U1757" s="76"/>
      <c r="V1757" s="76" t="str">
        <f t="array" ref="V1757:V1758">{"CLASSABILITY3-L15PTS";((INDEX(ALLCLASSDATA,MATCH("ClassAbility3-L15",CLASSFEATUREHEADERS,0),MATCH(($A1758 &amp; "Points"),CLASSNAMEHEADERS,0))))}</f>
        <v>CLASSABILITY3-L15PTS</v>
      </c>
      <c r="W1757" s="76"/>
      <c r="X1757" s="76" t="str">
        <f t="array" ref="X1757:X1758">{"CLASSABILITY3-L17PTS";((INDEX(ALLCLASSDATA,MATCH("ClassAbility3-L17",CLASSFEATUREHEADERS,0),MATCH(($A1758 &amp; "Points"),CLASSNAMEHEADERS,0))))}</f>
        <v>CLASSABILITY3-L17PTS</v>
      </c>
      <c r="Y1757" s="76"/>
      <c r="Z1757" s="76" t="str">
        <f t="array" ref="Z1757:Z1758">{"CLASSABILITY3-L19PTS";((INDEX(ALLCLASSDATA,MATCH("ClassAbility3-L19",CLASSFEATUREHEADERS,0),MATCH(($A1758 &amp; "Points"),CLASSNAMEHEADERS,0))))}</f>
        <v>CLASSABILITY3-L19PTS</v>
      </c>
      <c r="AA1757" s="76"/>
      <c r="AB1757" s="76"/>
      <c r="AC1757" s="76" t="str">
        <f t="array" ref="AC1757:AC1758">{"CLASSABILITY3 TOTAL";(sum(G1758:AA1758))}</f>
        <v>CLASSABILITY3 TOTAL</v>
      </c>
    </row>
    <row r="1758">
      <c r="A1758" s="48" t="s">
        <v>227</v>
      </c>
      <c r="B1758" s="48"/>
      <c r="C1758" s="48" t="s">
        <v>418</v>
      </c>
      <c r="D1758" s="48" t="s">
        <v>930</v>
      </c>
      <c r="E1758" s="48" t="s">
        <v>1144</v>
      </c>
      <c r="F1758" s="48"/>
      <c r="G1758" s="47"/>
      <c r="H1758" s="5"/>
      <c r="I1758" s="5"/>
      <c r="J1758" s="5"/>
      <c r="K1758" s="5"/>
      <c r="L1758" s="5"/>
      <c r="M1758" s="5"/>
      <c r="N1758" s="5"/>
      <c r="O1758" s="5"/>
      <c r="P1758" s="5"/>
      <c r="Q1758" s="5"/>
      <c r="R1758" s="5"/>
      <c r="S1758" s="5"/>
      <c r="T1758" s="5"/>
      <c r="U1758" s="5"/>
      <c r="V1758" s="5"/>
      <c r="W1758" s="5"/>
      <c r="X1758" s="5"/>
      <c r="Y1758" s="5"/>
      <c r="Z1758" s="5"/>
      <c r="AA1758" s="5"/>
      <c r="AB1758" s="5"/>
      <c r="AC1758" s="47">
        <v>0.0</v>
      </c>
    </row>
    <row r="1759" hidden="1">
      <c r="A1759" s="76" t="str">
        <f t="array" ref="A1759:A1760">{"FormulaRow14";(INDEX(CLASSLIST,A1732,1))}</f>
        <v>FormulaRow14</v>
      </c>
      <c r="B1759" s="77" t="s">
        <v>236</v>
      </c>
      <c r="C1759" s="76" t="str">
        <f t="array" ref="C1759:C1760">{"CLASSTYPE";((INDEX(ALLCLASSDATA,MATCH("ClassType",CLASSFEATUREHEADERS,0),MATCH($A1760,CLASSNAMEHEADERS,0))))}</f>
        <v>CLASSTYPE</v>
      </c>
      <c r="D1759" s="76" t="str">
        <f t="array" ref="D1759:D1760">{"CLASSABILITY";"ClassAbility"}</f>
        <v>CLASSABILITY</v>
      </c>
      <c r="E1759" s="76" t="str">
        <f t="array" ref="E1759:E1760">{"CLASSABILITY4";"ClassAbility4"}</f>
        <v>CLASSABILITY4</v>
      </c>
      <c r="F1759" s="76"/>
      <c r="G1759" s="76"/>
      <c r="H1759" s="76"/>
      <c r="I1759" s="76"/>
      <c r="J1759" s="76" t="str">
        <f t="array" ref="J1759:J1760">{"CLASSABILITY4-L03";((INDEX(ALLCLASSDATA,MATCH("ClassAbility4-L03",CLASSFEATUREHEADERS,0),MATCH(($A1760),CLASSNAMEHEADERS,0))))}</f>
        <v>CLASSABILITY4-L03</v>
      </c>
      <c r="K1759" s="76"/>
      <c r="L1759" s="76" t="str">
        <f t="array" ref="L1759:L1760">{"CLASSABILITY4-L05";((INDEX(ALLCLASSDATA,MATCH("ClassAbility4-L05",CLASSFEATUREHEADERS,0),MATCH(($A1760),CLASSNAMEHEADERS,0))))}</f>
        <v>CLASSABILITY4-L05</v>
      </c>
      <c r="M1759" s="76"/>
      <c r="N1759" s="76" t="str">
        <f t="array" ref="N1759:N1760">{"CLASSABILITY4-L07";((INDEX(ALLCLASSDATA,MATCH("ClassAbility4-L07",CLASSFEATUREHEADERS,0),MATCH(($A1760),CLASSNAMEHEADERS,0))))}</f>
        <v>CLASSABILITY4-L07</v>
      </c>
      <c r="O1759" s="76"/>
      <c r="P1759" s="76" t="str">
        <f t="array" ref="P1759:P1760">{"CLASSABILITY4-L09";((INDEX(ALLCLASSDATA,MATCH("ClassAbility4-L09",CLASSFEATUREHEADERS,0),MATCH(($A1760),CLASSNAMEHEADERS,0))))}</f>
        <v>CLASSABILITY4-L09</v>
      </c>
      <c r="Q1759" s="76"/>
      <c r="R1759" s="76" t="str">
        <f t="array" ref="R1759:R1760">{"CLASSABILITY4-L11";((INDEX(ALLCLASSDATA,MATCH("ClassAbility4-L11",CLASSFEATUREHEADERS,0),MATCH(($A1760),CLASSNAMEHEADERS,0))))}</f>
        <v>CLASSABILITY4-L11</v>
      </c>
      <c r="S1759" s="76"/>
      <c r="T1759" s="76" t="str">
        <f t="array" ref="T1759:T1760">{"CLASSABILITY4-L13";((INDEX(ALLCLASSDATA,MATCH("ClassAbility4-L13",CLASSFEATUREHEADERS,0),MATCH(($A1760),CLASSNAMEHEADERS,0))))}</f>
        <v>CLASSABILITY4-L13</v>
      </c>
      <c r="U1759" s="76"/>
      <c r="V1759" s="76" t="str">
        <f t="array" ref="V1759:V1760">{"CLASSABILITY4-L15";((INDEX(ALLCLASSDATA,MATCH("ClassAbility4-L15",CLASSFEATUREHEADERS,0),MATCH(($A1760),CLASSNAMEHEADERS,0))))}</f>
        <v>CLASSABILITY4-L15</v>
      </c>
      <c r="W1759" s="76"/>
      <c r="X1759" s="76" t="str">
        <f t="array" ref="X1759:X1760">{"CLASSABILITY4-L17";((INDEX(ALLCLASSDATA,MATCH("ClassAbility4-L17",CLASSFEATUREHEADERS,0),MATCH(($A1760),CLASSNAMEHEADERS,0))))}</f>
        <v>CLASSABILITY4-L17</v>
      </c>
      <c r="Y1759" s="76"/>
      <c r="Z1759" s="76" t="str">
        <f t="array" ref="Z1759:Z1760">{"CLASSABILITY4-L19";((INDEX(ALLCLASSDATA,MATCH("ClassAbility4-L19",CLASSFEATUREHEADERS,0),MATCH(($A1760),CLASSNAMEHEADERS,0))))}</f>
        <v>CLASSABILITY4-L19</v>
      </c>
      <c r="AA1759" s="76"/>
      <c r="AB1759" s="76"/>
      <c r="AC1759" s="76"/>
    </row>
    <row r="1760">
      <c r="A1760" s="48" t="s">
        <v>227</v>
      </c>
      <c r="B1760" s="48"/>
      <c r="C1760" s="48" t="s">
        <v>418</v>
      </c>
      <c r="D1760" s="48" t="s">
        <v>825</v>
      </c>
      <c r="E1760" s="48" t="s">
        <v>1273</v>
      </c>
      <c r="F1760" s="48"/>
      <c r="G1760" s="47"/>
      <c r="H1760" s="5"/>
      <c r="I1760" s="5"/>
      <c r="J1760" s="5"/>
      <c r="K1760" s="5"/>
      <c r="L1760" s="5"/>
      <c r="M1760" s="5"/>
      <c r="N1760" s="5"/>
      <c r="O1760" s="5"/>
      <c r="P1760" s="5"/>
      <c r="Q1760" s="5"/>
      <c r="R1760" s="5"/>
      <c r="S1760" s="5"/>
      <c r="T1760" s="5"/>
      <c r="U1760" s="5"/>
      <c r="V1760" s="5"/>
      <c r="W1760" s="5"/>
      <c r="X1760" s="5"/>
      <c r="Y1760" s="5"/>
      <c r="Z1760" s="5"/>
      <c r="AA1760" s="5"/>
      <c r="AB1760" s="5"/>
      <c r="AC1760" s="47"/>
    </row>
    <row r="1761" hidden="1">
      <c r="A1761" s="76" t="str">
        <f t="array" ref="A1761:A1762">{"FormulaRow15";(INDEX(CLASSLIST,A1732,1))}</f>
        <v>FormulaRow15</v>
      </c>
      <c r="B1761" s="77" t="s">
        <v>236</v>
      </c>
      <c r="C1761" s="76" t="str">
        <f t="array" ref="C1761:C1762">{"CLASSTYPE";((INDEX(ALLCLASSDATA,MATCH("ClassType",CLASSFEATUREHEADERS,0),MATCH($A1762,CLASSNAMEHEADERS,0))))}</f>
        <v>CLASSTYPE</v>
      </c>
      <c r="D1761" s="76" t="str">
        <f t="array" ref="D1761:D1762">{"CLASSABILITYPTS";"ClassAbilityPts"}</f>
        <v>CLASSABILITYPTS</v>
      </c>
      <c r="E1761" s="76" t="str">
        <f t="array" ref="E1761:E1762">{"CLASSABILITY4";"ClassAbility4"}</f>
        <v>CLASSABILITY4</v>
      </c>
      <c r="F1761" s="76"/>
      <c r="G1761" s="76"/>
      <c r="H1761" s="76"/>
      <c r="I1761" s="76"/>
      <c r="J1761" s="76" t="str">
        <f t="array" ref="J1761:J1762">{"CLASSABILITY4-L03PTS";((INDEX(ALLCLASSDATA,MATCH("ClassAbility4-L03",CLASSFEATUREHEADERS,0),MATCH(($A1762 &amp; "Points"),CLASSNAMEHEADERS,0))))}</f>
        <v>CLASSABILITY4-L03PTS</v>
      </c>
      <c r="K1761" s="76"/>
      <c r="L1761" s="76" t="str">
        <f t="array" ref="L1761:L1762">{"CLASSABILITY4-L05PTS";((INDEX(ALLCLASSDATA,MATCH("ClassAbility4-L05",CLASSFEATUREHEADERS,0),MATCH(($A1762 &amp; "Points"),CLASSNAMEHEADERS,0))))}</f>
        <v>CLASSABILITY4-L05PTS</v>
      </c>
      <c r="M1761" s="76"/>
      <c r="N1761" s="76" t="str">
        <f t="array" ref="N1761:N1762">{"CLASSABILITY4-L07PTS";((INDEX(ALLCLASSDATA,MATCH("ClassAbility4-L07",CLASSFEATUREHEADERS,0),MATCH(($A1762 &amp; "Points"),CLASSNAMEHEADERS,0))))}</f>
        <v>CLASSABILITY4-L07PTS</v>
      </c>
      <c r="O1761" s="76"/>
      <c r="P1761" s="76" t="str">
        <f t="array" ref="P1761:P1762">{"CLASSABILITY4-L09PTS";((INDEX(ALLCLASSDATA,MATCH("ClassAbility4-L09",CLASSFEATUREHEADERS,0),MATCH(($A1762 &amp; "Points"),CLASSNAMEHEADERS,0))))}</f>
        <v>CLASSABILITY4-L09PTS</v>
      </c>
      <c r="Q1761" s="76"/>
      <c r="R1761" s="76" t="str">
        <f t="array" ref="R1761:R1762">{"CLASSABILITY4-L11PTS";((INDEX(ALLCLASSDATA,MATCH("ClassAbility4-L11",CLASSFEATUREHEADERS,0),MATCH(($A1762 &amp; "Points"),CLASSNAMEHEADERS,0))))}</f>
        <v>CLASSABILITY4-L11PTS</v>
      </c>
      <c r="S1761" s="76"/>
      <c r="T1761" s="76" t="str">
        <f t="array" ref="T1761:T1762">{"CLASSABILITY4-L13PTS";((INDEX(ALLCLASSDATA,MATCH("ClassAbility4-L13",CLASSFEATUREHEADERS,0),MATCH(($A1762 &amp; "Points"),CLASSNAMEHEADERS,0))))}</f>
        <v>CLASSABILITY4-L13PTS</v>
      </c>
      <c r="U1761" s="76"/>
      <c r="V1761" s="76" t="str">
        <f t="array" ref="V1761:V1762">{"CLASSABILITY4-L15PTS";((INDEX(ALLCLASSDATA,MATCH("ClassAbility4-L15",CLASSFEATUREHEADERS,0),MATCH(($A1762 &amp; "Points"),CLASSNAMEHEADERS,0))))}</f>
        <v>CLASSABILITY4-L15PTS</v>
      </c>
      <c r="W1761" s="76"/>
      <c r="X1761" s="76" t="str">
        <f t="array" ref="X1761:X1762">{"CLASSABILITY4-L17PTS";((INDEX(ALLCLASSDATA,MATCH("ClassAbility4-L17",CLASSFEATUREHEADERS,0),MATCH(($A1762 &amp; "Points"),CLASSNAMEHEADERS,0))))}</f>
        <v>CLASSABILITY4-L17PTS</v>
      </c>
      <c r="Y1761" s="76"/>
      <c r="Z1761" s="76" t="str">
        <f t="array" ref="Z1761:Z1762">{"CLASSABILITY4-L19PTS";((INDEX(ALLCLASSDATA,MATCH("ClassAbility4-L19",CLASSFEATUREHEADERS,0),MATCH(($A1762 &amp; "Points"),CLASSNAMEHEADERS,0))))}</f>
        <v>CLASSABILITY4-L19PTS</v>
      </c>
      <c r="AA1761" s="76"/>
      <c r="AB1761" s="76"/>
      <c r="AC1761" s="76" t="str">
        <f t="array" ref="AC1761:AC1762">{"CLASSABILITY4 TOTAL";(sum(G1762:AA1762))}</f>
        <v>CLASSABILITY4 TOTAL</v>
      </c>
    </row>
    <row r="1762">
      <c r="A1762" s="48" t="s">
        <v>227</v>
      </c>
      <c r="B1762" s="48"/>
      <c r="C1762" s="48" t="s">
        <v>418</v>
      </c>
      <c r="D1762" s="48" t="s">
        <v>930</v>
      </c>
      <c r="E1762" s="48" t="s">
        <v>1273</v>
      </c>
      <c r="F1762" s="48"/>
      <c r="G1762" s="47"/>
      <c r="H1762" s="5"/>
      <c r="I1762" s="5"/>
      <c r="J1762" s="5"/>
      <c r="K1762" s="5"/>
      <c r="L1762" s="5"/>
      <c r="M1762" s="5"/>
      <c r="N1762" s="5"/>
      <c r="O1762" s="5"/>
      <c r="P1762" s="5"/>
      <c r="Q1762" s="5"/>
      <c r="R1762" s="5"/>
      <c r="S1762" s="5"/>
      <c r="T1762" s="5"/>
      <c r="U1762" s="5"/>
      <c r="V1762" s="5"/>
      <c r="W1762" s="5"/>
      <c r="X1762" s="5"/>
      <c r="Y1762" s="5"/>
      <c r="Z1762" s="5"/>
      <c r="AA1762" s="5"/>
      <c r="AB1762" s="5"/>
      <c r="AC1762" s="47">
        <v>0.0</v>
      </c>
    </row>
    <row r="1763" hidden="1">
      <c r="A1763" s="76" t="str">
        <f t="array" ref="A1763:A1764">{"FormulaRow16";(INDEX(CLASSLIST,A1732,1))}</f>
        <v>FormulaRow16</v>
      </c>
      <c r="B1763" s="77" t="s">
        <v>236</v>
      </c>
      <c r="C1763" s="76" t="str">
        <f t="array" ref="C1763:C1764">{"CLASSTYPE";((INDEX(ALLCLASSDATA,MATCH("ClassType",CLASSFEATUREHEADERS,0),MATCH($A1764,CLASSNAMEHEADERS,0))))}</f>
        <v>CLASSTYPE</v>
      </c>
      <c r="D1763" s="76" t="str">
        <f t="array" ref="D1763:D1764">{"CLASSABILITY";"ClassAbility"}</f>
        <v>CLASSABILITY</v>
      </c>
      <c r="E1763" s="76" t="str">
        <f t="array" ref="E1763:E1764">{"SUBCLASSABILITY1";"SubclassAbility1"}</f>
        <v>SUBCLASSABILITY1</v>
      </c>
      <c r="F1763" s="76"/>
      <c r="G1763" s="76"/>
      <c r="H1763" s="76"/>
      <c r="I1763" s="76"/>
      <c r="J1763" s="76" t="str">
        <f t="array" ref="J1763:J1764">{"SUBCLASSABILITY1-L03";((INDEX(ALLCLASSDATA,MATCH("SubclassAbility1-L03",CLASSFEATUREHEADERS,0),MATCH(($A1764),CLASSNAMEHEADERS,0))))}</f>
        <v>SUBCLASSABILITY1-L03</v>
      </c>
      <c r="K1763" s="76"/>
      <c r="L1763" s="76" t="str">
        <f t="array" ref="L1763:L1764">{"SUBCLASSABILITY1-L05";((INDEX(ALLCLASSDATA,MATCH("SubclassAbility1-L05",CLASSFEATUREHEADERS,0),MATCH(($A1764),CLASSNAMEHEADERS,0))))}</f>
        <v>SUBCLASSABILITY1-L05</v>
      </c>
      <c r="M1763" s="76"/>
      <c r="N1763" s="76" t="str">
        <f t="array" ref="N1763:N1764">{"SUBCLASSABILITY1-L07";((INDEX(ALLCLASSDATA,MATCH("SubclassAbility1-L07",CLASSFEATUREHEADERS,0),MATCH(($A1764),CLASSNAMEHEADERS,0))))}</f>
        <v>SUBCLASSABILITY1-L07</v>
      </c>
      <c r="O1763" s="76"/>
      <c r="P1763" s="76" t="str">
        <f t="array" ref="P1763:P1764">{"SUBCLASSABILITY1-L09";((INDEX(ALLCLASSDATA,MATCH("SubclassAbility1-L09",CLASSFEATUREHEADERS,0),MATCH(($A1764),CLASSNAMEHEADERS,0))))}</f>
        <v>SUBCLASSABILITY1-L09</v>
      </c>
      <c r="Q1763" s="76"/>
      <c r="R1763" s="76" t="str">
        <f t="array" ref="R1763:R1764">{"SUBCLASSABILITY1-L11";((INDEX(ALLCLASSDATA,MATCH("SubclassAbility1-L11",CLASSFEATUREHEADERS,0),MATCH(($A1764),CLASSNAMEHEADERS,0))))}</f>
        <v>SUBCLASSABILITY1-L11</v>
      </c>
      <c r="S1763" s="76"/>
      <c r="T1763" s="76" t="str">
        <f t="array" ref="T1763:T1764">{"SUBCLASSABILITY1-L13";((INDEX(ALLCLASSDATA,MATCH("SubclassAbility1-L13",CLASSFEATUREHEADERS,0),MATCH(($A1764),CLASSNAMEHEADERS,0))))}</f>
        <v>SUBCLASSABILITY1-L13</v>
      </c>
      <c r="U1763" s="76"/>
      <c r="V1763" s="76" t="str">
        <f t="array" ref="V1763:V1764">{"SUBCLASSABILITY1-L15";((INDEX(ALLCLASSDATA,MATCH("SubclassAbility1-L15",CLASSFEATUREHEADERS,0),MATCH(($A1764),CLASSNAMEHEADERS,0))))}</f>
        <v>SUBCLASSABILITY1-L15</v>
      </c>
      <c r="W1763" s="76"/>
      <c r="X1763" s="76" t="str">
        <f t="array" ref="X1763:X1764">{"SUBCLASSABILITY1-L17";((INDEX(ALLCLASSDATA,MATCH("SubclassAbility1-L17",CLASSFEATUREHEADERS,0),MATCH(($A1764),CLASSNAMEHEADERS,0))))}</f>
        <v>SUBCLASSABILITY1-L17</v>
      </c>
      <c r="Y1763" s="76"/>
      <c r="Z1763" s="76" t="str">
        <f t="array" ref="Z1763:Z1764">{"SUBCLASSABILITY1-L19";((INDEX(ALLCLASSDATA,MATCH("SubclassAbility1-L19",CLASSFEATUREHEADERS,0),MATCH(($A1764),CLASSNAMEHEADERS,0))))}</f>
        <v>SUBCLASSABILITY1-L19</v>
      </c>
      <c r="AA1763" s="76"/>
      <c r="AB1763" s="76"/>
      <c r="AC1763" s="76"/>
    </row>
    <row r="1764">
      <c r="A1764" s="48" t="s">
        <v>227</v>
      </c>
      <c r="B1764" s="48"/>
      <c r="C1764" s="48" t="s">
        <v>418</v>
      </c>
      <c r="D1764" s="48" t="s">
        <v>825</v>
      </c>
      <c r="E1764" s="28" t="s">
        <v>1355</v>
      </c>
      <c r="F1764" s="5"/>
      <c r="G1764" s="47"/>
      <c r="H1764" s="5"/>
      <c r="I1764" s="5"/>
      <c r="J1764" s="5"/>
      <c r="K1764" s="5"/>
      <c r="L1764" s="5"/>
      <c r="M1764" s="5"/>
      <c r="N1764" s="5"/>
      <c r="O1764" s="5"/>
      <c r="P1764" s="5"/>
      <c r="Q1764" s="5"/>
      <c r="R1764" s="5"/>
      <c r="S1764" s="5"/>
      <c r="T1764" s="5"/>
      <c r="U1764" s="5"/>
      <c r="V1764" s="5"/>
      <c r="W1764" s="5"/>
      <c r="X1764" s="5"/>
      <c r="Y1764" s="5"/>
      <c r="Z1764" s="5"/>
      <c r="AA1764" s="5"/>
      <c r="AB1764" s="5"/>
      <c r="AC1764" s="47"/>
    </row>
    <row r="1765" hidden="1">
      <c r="A1765" s="76" t="str">
        <f t="array" ref="A1765:A1766">{"FormulaRow17";(INDEX(CLASSLIST,A1732,1))}</f>
        <v>FormulaRow17</v>
      </c>
      <c r="B1765" s="77" t="s">
        <v>236</v>
      </c>
      <c r="C1765" s="76" t="str">
        <f t="array" ref="C1765:C1766">{"CLASSTYPE";((INDEX(ALLCLASSDATA,MATCH("ClassType",CLASSFEATUREHEADERS,0),MATCH($A1766,CLASSNAMEHEADERS,0))))}</f>
        <v>CLASSTYPE</v>
      </c>
      <c r="D1765" s="76" t="str">
        <f t="array" ref="D1765:D1766">{"CLASSABILITYPTS";"ClassAbilityPts"}</f>
        <v>CLASSABILITYPTS</v>
      </c>
      <c r="E1765" s="76" t="str">
        <f t="array" ref="E1765:E1766">{"SUBCLASSABILITY1";"SubclassAbility1"}</f>
        <v>SUBCLASSABILITY1</v>
      </c>
      <c r="F1765" s="76"/>
      <c r="G1765" s="76"/>
      <c r="H1765" s="76"/>
      <c r="I1765" s="76"/>
      <c r="J1765" s="76" t="str">
        <f t="array" ref="J1765:J1766">{"SUBCLASSABILITY1-L03PTS";((INDEX(ALLCLASSDATA,MATCH("SubclassAbility1-L03",CLASSFEATUREHEADERS,0),MATCH(($A1766 &amp; "Points"),CLASSNAMEHEADERS,0))))}</f>
        <v>SUBCLASSABILITY1-L03PTS</v>
      </c>
      <c r="K1765" s="76"/>
      <c r="L1765" s="76" t="str">
        <f t="array" ref="L1765:L1766">{"SUBCLASSABILITY1-L05PTS";((INDEX(ALLCLASSDATA,MATCH("SubclassAbility1-L05",CLASSFEATUREHEADERS,0),MATCH(($A1766 &amp; "Points"),CLASSNAMEHEADERS,0))))}</f>
        <v>SUBCLASSABILITY1-L05PTS</v>
      </c>
      <c r="M1765" s="76"/>
      <c r="N1765" s="76" t="str">
        <f t="array" ref="N1765:N1766">{"SUBCLASSABILITY1-L07PTS";((INDEX(ALLCLASSDATA,MATCH("SubclassAbility1-L07",CLASSFEATUREHEADERS,0),MATCH(($A1766 &amp; "Points"),CLASSNAMEHEADERS,0))))}</f>
        <v>SUBCLASSABILITY1-L07PTS</v>
      </c>
      <c r="O1765" s="76"/>
      <c r="P1765" s="76" t="str">
        <f t="array" ref="P1765:P1766">{"SUBCLASSABILITY1-L09PTS";((INDEX(ALLCLASSDATA,MATCH("SubclassAbility1-L09",CLASSFEATUREHEADERS,0),MATCH(($A1766 &amp; "Points"),CLASSNAMEHEADERS,0))))}</f>
        <v>SUBCLASSABILITY1-L09PTS</v>
      </c>
      <c r="Q1765" s="76"/>
      <c r="R1765" s="76" t="str">
        <f t="array" ref="R1765:R1766">{"SUBCLASSABILITY1-L11PTS";((INDEX(ALLCLASSDATA,MATCH("SubclassAbility1-L11",CLASSFEATUREHEADERS,0),MATCH(($A1766 &amp; "Points"),CLASSNAMEHEADERS,0))))}</f>
        <v>SUBCLASSABILITY1-L11PTS</v>
      </c>
      <c r="S1765" s="76"/>
      <c r="T1765" s="76" t="str">
        <f t="array" ref="T1765:T1766">{"SUBCLASSABILITY1-L13PTS";((INDEX(ALLCLASSDATA,MATCH("SubclassAbility1-L13",CLASSFEATUREHEADERS,0),MATCH(($A1766 &amp; "Points"),CLASSNAMEHEADERS,0))))}</f>
        <v>SUBCLASSABILITY1-L13PTS</v>
      </c>
      <c r="U1765" s="76"/>
      <c r="V1765" s="76" t="str">
        <f t="array" ref="V1765:V1766">{"SUBCLASSABILITY1-L15PTS";((INDEX(ALLCLASSDATA,MATCH("SubclassAbility1-L15",CLASSFEATUREHEADERS,0),MATCH(($A1766 &amp; "Points"),CLASSNAMEHEADERS,0))))}</f>
        <v>SUBCLASSABILITY1-L15PTS</v>
      </c>
      <c r="W1765" s="76"/>
      <c r="X1765" s="76" t="str">
        <f t="array" ref="X1765:X1766">{"SUBCLASSABILITY1-L17PTS";((INDEX(ALLCLASSDATA,MATCH("SubclassAbility1-L17",CLASSFEATUREHEADERS,0),MATCH(($A1766 &amp; "Points"),CLASSNAMEHEADERS,0))))}</f>
        <v>SUBCLASSABILITY1-L17PTS</v>
      </c>
      <c r="Y1765" s="76"/>
      <c r="Z1765" s="76" t="str">
        <f t="array" ref="Z1765:Z1766">{"SUBCLASSABILITY1-L19PTS";((INDEX(ALLCLASSDATA,MATCH("SubclassAbility1-L19",CLASSFEATUREHEADERS,0),MATCH(($A1766 &amp; "Points"),CLASSNAMEHEADERS,0))))}</f>
        <v>SUBCLASSABILITY1-L19PTS</v>
      </c>
      <c r="AA1765" s="76"/>
      <c r="AB1765" s="76"/>
      <c r="AC1765" s="76" t="str">
        <f t="array" ref="AC1765:AC1766">{"SUBCLASSABILITY1 TOTAL";(sum(G1766:AA1766))}</f>
        <v>SUBCLASSABILITY1 TOTAL</v>
      </c>
    </row>
    <row r="1766">
      <c r="A1766" s="48" t="s">
        <v>227</v>
      </c>
      <c r="B1766" s="48"/>
      <c r="C1766" s="48" t="s">
        <v>418</v>
      </c>
      <c r="D1766" s="48" t="s">
        <v>930</v>
      </c>
      <c r="E1766" s="28" t="s">
        <v>1355</v>
      </c>
      <c r="F1766" s="5"/>
      <c r="G1766" s="47"/>
      <c r="H1766" s="5"/>
      <c r="I1766" s="5"/>
      <c r="J1766" s="5"/>
      <c r="K1766" s="5"/>
      <c r="L1766" s="5"/>
      <c r="M1766" s="5"/>
      <c r="N1766" s="5"/>
      <c r="O1766" s="5"/>
      <c r="P1766" s="5"/>
      <c r="Q1766" s="5"/>
      <c r="R1766" s="5"/>
      <c r="S1766" s="5"/>
      <c r="T1766" s="5"/>
      <c r="U1766" s="5"/>
      <c r="V1766" s="5"/>
      <c r="W1766" s="5"/>
      <c r="X1766" s="5"/>
      <c r="Y1766" s="5"/>
      <c r="Z1766" s="5"/>
      <c r="AA1766" s="5"/>
      <c r="AB1766" s="5"/>
      <c r="AC1766" s="47">
        <v>0.0</v>
      </c>
    </row>
    <row r="1767" hidden="1">
      <c r="A1767" s="76" t="str">
        <f t="array" ref="A1767:A1768">{"FormulaRow18";(INDEX(CLASSLIST,A1732,1))}</f>
        <v>FormulaRow18</v>
      </c>
      <c r="B1767" s="77" t="s">
        <v>236</v>
      </c>
      <c r="C1767" s="76" t="str">
        <f t="array" ref="C1767:C1768">{"CLASSTYPE";((INDEX(ALLCLASSDATA,MATCH("ClassType",CLASSFEATUREHEADERS,0),MATCH($A1768,CLASSNAMEHEADERS,0))))}</f>
        <v>CLASSTYPE</v>
      </c>
      <c r="D1767" s="76" t="str">
        <f t="array" ref="D1767:D1768">{"CLASSABILITY";"ClassAbility"}</f>
        <v>CLASSABILITY</v>
      </c>
      <c r="E1767" s="76" t="str">
        <f t="array" ref="E1767:E1768">{"SUBCLASSABILITY2";"SubclassAbility2"}</f>
        <v>SUBCLASSABILITY2</v>
      </c>
      <c r="F1767" s="76"/>
      <c r="G1767" s="76"/>
      <c r="H1767" s="76"/>
      <c r="I1767" s="76"/>
      <c r="J1767" s="76" t="str">
        <f t="array" ref="J1767:J1768">{"SUBCLASSABILITY2-L03";((INDEX(ALLCLASSDATA,MATCH("SubclassAbility2-L03",CLASSFEATUREHEADERS,0),MATCH(($A1768),CLASSNAMEHEADERS,0))))}</f>
        <v>SUBCLASSABILITY2-L03</v>
      </c>
      <c r="K1767" s="76"/>
      <c r="L1767" s="76" t="str">
        <f t="array" ref="L1767:L1768">{"SUBCLASSABILITY2-L05";((INDEX(ALLCLASSDATA,MATCH("SubclassAbility2-L05",CLASSFEATUREHEADERS,0),MATCH(($A1768),CLASSNAMEHEADERS,0))))}</f>
        <v>SUBCLASSABILITY2-L05</v>
      </c>
      <c r="M1767" s="76"/>
      <c r="N1767" s="76" t="str">
        <f t="array" ref="N1767:N1768">{"SUBCLASSABILITY2-L07";((INDEX(ALLCLASSDATA,MATCH("SubclassAbility2-L07",CLASSFEATUREHEADERS,0),MATCH(($A1768),CLASSNAMEHEADERS,0))))}</f>
        <v>SUBCLASSABILITY2-L07</v>
      </c>
      <c r="O1767" s="76"/>
      <c r="P1767" s="76" t="str">
        <f t="array" ref="P1767:P1768">{"SUBCLASSABILITY2-L09";((INDEX(ALLCLASSDATA,MATCH("SubclassAbility2-L09",CLASSFEATUREHEADERS,0),MATCH(($A1768),CLASSNAMEHEADERS,0))))}</f>
        <v>SUBCLASSABILITY2-L09</v>
      </c>
      <c r="Q1767" s="76"/>
      <c r="R1767" s="76" t="str">
        <f t="array" ref="R1767:R1768">{"SUBCLASSABILITY2-L11";((INDEX(ALLCLASSDATA,MATCH("SubclassAbility2-L11",CLASSFEATUREHEADERS,0),MATCH(($A1768),CLASSNAMEHEADERS,0))))}</f>
        <v>SUBCLASSABILITY2-L11</v>
      </c>
      <c r="S1767" s="76"/>
      <c r="T1767" s="76" t="str">
        <f t="array" ref="T1767:T1768">{"SUBCLASSABILITY2-L13";((INDEX(ALLCLASSDATA,MATCH("SubclassAbility2-L13",CLASSFEATUREHEADERS,0),MATCH(($A1768),CLASSNAMEHEADERS,0))))}</f>
        <v>SUBCLASSABILITY2-L13</v>
      </c>
      <c r="U1767" s="76"/>
      <c r="V1767" s="76" t="str">
        <f t="array" ref="V1767:V1768">{"SUBCLASSABILITY2-L15";((INDEX(ALLCLASSDATA,MATCH("SubclassAbility2-L15",CLASSFEATUREHEADERS,0),MATCH(($A1768),CLASSNAMEHEADERS,0))))}</f>
        <v>SUBCLASSABILITY2-L15</v>
      </c>
      <c r="W1767" s="76"/>
      <c r="X1767" s="76" t="str">
        <f t="array" ref="X1767:X1768">{"SUBCLASSABILITY2-L17";((INDEX(ALLCLASSDATA,MATCH("SubclassAbility2-L17",CLASSFEATUREHEADERS,0),MATCH(($A1768),CLASSNAMEHEADERS,0))))}</f>
        <v>SUBCLASSABILITY2-L17</v>
      </c>
      <c r="Y1767" s="76"/>
      <c r="Z1767" s="76" t="str">
        <f t="array" ref="Z1767:Z1768">{"SUBCLASSABILITY2-L19";((INDEX(ALLCLASSDATA,MATCH("SubclassAbility2-L19",CLASSFEATUREHEADERS,0),MATCH(($A1768),CLASSNAMEHEADERS,0))))}</f>
        <v>SUBCLASSABILITY2-L19</v>
      </c>
      <c r="AA1767" s="76"/>
      <c r="AB1767" s="76"/>
      <c r="AC1767" s="76"/>
    </row>
    <row r="1768">
      <c r="A1768" s="48" t="s">
        <v>227</v>
      </c>
      <c r="B1768" s="48"/>
      <c r="C1768" s="48" t="s">
        <v>418</v>
      </c>
      <c r="D1768" s="48" t="s">
        <v>825</v>
      </c>
      <c r="E1768" s="28" t="s">
        <v>1370</v>
      </c>
      <c r="F1768" s="5"/>
      <c r="G1768" s="47"/>
      <c r="H1768" s="5"/>
      <c r="I1768" s="5"/>
      <c r="J1768" s="5"/>
      <c r="K1768" s="5"/>
      <c r="L1768" s="5"/>
      <c r="M1768" s="5"/>
      <c r="N1768" s="5"/>
      <c r="O1768" s="5"/>
      <c r="P1768" s="5"/>
      <c r="Q1768" s="5"/>
      <c r="R1768" s="5"/>
      <c r="S1768" s="5"/>
      <c r="T1768" s="5"/>
      <c r="U1768" s="5"/>
      <c r="V1768" s="5"/>
      <c r="W1768" s="5"/>
      <c r="X1768" s="5"/>
      <c r="Y1768" s="5"/>
      <c r="Z1768" s="5"/>
      <c r="AA1768" s="5"/>
      <c r="AB1768" s="5"/>
      <c r="AC1768" s="47"/>
    </row>
    <row r="1769" hidden="1">
      <c r="A1769" s="76" t="str">
        <f t="array" ref="A1769:A1770">{"FormulaRow19";(INDEX(CLASSLIST,A1732,1))}</f>
        <v>FormulaRow19</v>
      </c>
      <c r="B1769" s="77" t="s">
        <v>236</v>
      </c>
      <c r="C1769" s="76" t="str">
        <f t="array" ref="C1769:C1770">{"CLASSTYPE";((INDEX(ALLCLASSDATA,MATCH("ClassType",CLASSFEATUREHEADERS,0),MATCH($A1770,CLASSNAMEHEADERS,0))))}</f>
        <v>CLASSTYPE</v>
      </c>
      <c r="D1769" s="76" t="str">
        <f t="array" ref="D1769:D1770">{"CLASSABILITYPTS";"ClassAbilityPts"}</f>
        <v>CLASSABILITYPTS</v>
      </c>
      <c r="E1769" s="76" t="str">
        <f t="array" ref="E1769:E1770">{"SUBCLASSABILITY2";"SubclassAbility2"}</f>
        <v>SUBCLASSABILITY2</v>
      </c>
      <c r="F1769" s="76"/>
      <c r="G1769" s="76"/>
      <c r="H1769" s="76"/>
      <c r="I1769" s="76"/>
      <c r="J1769" s="76" t="str">
        <f t="array" ref="J1769:J1770">{"SUBCLASSABILITY2-L03PTS";((INDEX(ALLCLASSDATA,MATCH("SubclassAbility2-L03",CLASSFEATUREHEADERS,0),MATCH(($A1770 &amp; "Points"),CLASSNAMEHEADERS,0))))}</f>
        <v>SUBCLASSABILITY2-L03PTS</v>
      </c>
      <c r="K1769" s="76"/>
      <c r="L1769" s="76" t="str">
        <f t="array" ref="L1769:L1770">{"SUBCLASSABILITY2-L05PTS";((INDEX(ALLCLASSDATA,MATCH("SubclassAbility2-L05",CLASSFEATUREHEADERS,0),MATCH(($A1770 &amp; "Points"),CLASSNAMEHEADERS,0))))}</f>
        <v>SUBCLASSABILITY2-L05PTS</v>
      </c>
      <c r="M1769" s="76"/>
      <c r="N1769" s="76" t="str">
        <f t="array" ref="N1769:N1770">{"SUBCLASSABILITY2-L07PTS";((INDEX(ALLCLASSDATA,MATCH("SubclassAbility2-L07",CLASSFEATUREHEADERS,0),MATCH(($A1770 &amp; "Points"),CLASSNAMEHEADERS,0))))}</f>
        <v>SUBCLASSABILITY2-L07PTS</v>
      </c>
      <c r="O1769" s="76"/>
      <c r="P1769" s="76" t="str">
        <f t="array" ref="P1769:P1770">{"SUBCLASSABILITY2-L09PTS";((INDEX(ALLCLASSDATA,MATCH("SubclassAbility2-L09",CLASSFEATUREHEADERS,0),MATCH(($A1770 &amp; "Points"),CLASSNAMEHEADERS,0))))}</f>
        <v>SUBCLASSABILITY2-L09PTS</v>
      </c>
      <c r="Q1769" s="76"/>
      <c r="R1769" s="76" t="str">
        <f t="array" ref="R1769:R1770">{"SUBCLASSABILITY2-L11PTS";((INDEX(ALLCLASSDATA,MATCH("SubclassAbility2-L11",CLASSFEATUREHEADERS,0),MATCH(($A1770 &amp; "Points"),CLASSNAMEHEADERS,0))))}</f>
        <v>SUBCLASSABILITY2-L11PTS</v>
      </c>
      <c r="S1769" s="76"/>
      <c r="T1769" s="76" t="str">
        <f t="array" ref="T1769:T1770">{"SUBCLASSABILITY2-L13PTS";((INDEX(ALLCLASSDATA,MATCH("SubclassAbility2-L13",CLASSFEATUREHEADERS,0),MATCH(($A1770 &amp; "Points"),CLASSNAMEHEADERS,0))))}</f>
        <v>SUBCLASSABILITY2-L13PTS</v>
      </c>
      <c r="U1769" s="76"/>
      <c r="V1769" s="76" t="str">
        <f t="array" ref="V1769:V1770">{"SUBCLASSABILITY2-L15PTS";((INDEX(ALLCLASSDATA,MATCH("SubclassAbility2-L15",CLASSFEATUREHEADERS,0),MATCH(($A1770 &amp; "Points"),CLASSNAMEHEADERS,0))))}</f>
        <v>SUBCLASSABILITY2-L15PTS</v>
      </c>
      <c r="W1769" s="76"/>
      <c r="X1769" s="76" t="str">
        <f t="array" ref="X1769:X1770">{"SUBCLASSABILITY2-L17PTS";((INDEX(ALLCLASSDATA,MATCH("SubclassAbility2-L17",CLASSFEATUREHEADERS,0),MATCH(($A1770 &amp; "Points"),CLASSNAMEHEADERS,0))))}</f>
        <v>SUBCLASSABILITY2-L17PTS</v>
      </c>
      <c r="Y1769" s="76"/>
      <c r="Z1769" s="76" t="str">
        <f t="array" ref="Z1769:Z1770">{"SUBCLASSABILITY2-L19PTS";((INDEX(ALLCLASSDATA,MATCH("SubclassAbility2-L19",CLASSFEATUREHEADERS,0),MATCH(($A1770 &amp; "Points"),CLASSNAMEHEADERS,0))))}</f>
        <v>SUBCLASSABILITY2-L19PTS</v>
      </c>
      <c r="AA1769" s="76"/>
      <c r="AB1769" s="76"/>
      <c r="AC1769" s="76" t="str">
        <f t="array" ref="AC1769:AC1770">{"SUBCLASSABILITY2 TOTAL";(sum(G1770:AA1770))}</f>
        <v>SUBCLASSABILITY2 TOTAL</v>
      </c>
    </row>
    <row r="1770">
      <c r="A1770" s="48" t="s">
        <v>227</v>
      </c>
      <c r="B1770" s="48"/>
      <c r="C1770" s="48" t="s">
        <v>418</v>
      </c>
      <c r="D1770" s="97" t="s">
        <v>930</v>
      </c>
      <c r="E1770" s="215" t="s">
        <v>1370</v>
      </c>
      <c r="F1770" s="98"/>
      <c r="G1770" s="132"/>
      <c r="H1770" s="98"/>
      <c r="I1770" s="98"/>
      <c r="J1770" s="98"/>
      <c r="K1770" s="98"/>
      <c r="L1770" s="98"/>
      <c r="M1770" s="98"/>
      <c r="N1770" s="98"/>
      <c r="O1770" s="98"/>
      <c r="P1770" s="98"/>
      <c r="Q1770" s="98"/>
      <c r="R1770" s="98"/>
      <c r="S1770" s="98"/>
      <c r="T1770" s="98"/>
      <c r="U1770" s="98"/>
      <c r="V1770" s="98"/>
      <c r="W1770" s="98"/>
      <c r="X1770" s="98"/>
      <c r="Y1770" s="98"/>
      <c r="Z1770" s="98"/>
      <c r="AA1770" s="98"/>
      <c r="AB1770" s="5"/>
      <c r="AC1770" s="47">
        <v>0.0</v>
      </c>
    </row>
    <row r="1771" hidden="1">
      <c r="A1771" s="76" t="str">
        <f t="array" ref="A1771:A1772">{"FormulaRow20";(INDEX(CLASSLIST,A1732,1))}</f>
        <v>FormulaRow20</v>
      </c>
      <c r="B1771" s="77" t="s">
        <v>236</v>
      </c>
      <c r="C1771" s="76" t="str">
        <f t="array" ref="C1771:C1772">{"CLASSTYPE";((INDEX(ALLCLASSDATA,MATCH("ClassType",CLASSFEATUREHEADERS,0),MATCH($A1772,CLASSNAMEHEADERS,0))))}</f>
        <v>CLASSTYPE</v>
      </c>
      <c r="D1771" s="81" t="str">
        <f t="array" ref="D1771:D1772">{"DC";"DC"}</f>
        <v>DC</v>
      </c>
      <c r="E1771" s="81" t="str">
        <f t="array" ref="E1771:E1772">{"CLASSDC";"ClassDC"}</f>
        <v>CLASSDC</v>
      </c>
      <c r="F1771" s="81" t="str">
        <f t="array" ref="F1771:F1772">{"CLASSDCINITIAL";((IF(H1772=10,"T",(IF(H1772=50,"E","")))))}</f>
        <v>CLASSDCINITIAL</v>
      </c>
      <c r="G1771" s="81" t="str">
        <f t="array" ref="G1771:G1772">{"CLASSDCINITIALPTS";((IF("00"=(INDEX(ALLCLASSDATA,MATCH("ClassDCLegendary",CLASSFEATUREHEADERS,0),MATCH($A1772,CLASSNAMEHEADERS,0))),(INDEX(ALLCLASSDATA,MATCH("ClassDCLegendary",CLASSFEATUREHEADERS,0),MATCH(($A1772 &amp; "Points"),CLASSNAMEHEADERS,0))),(IF("00"=(INDEX(ALLCLASSDATA,MATCH("ClassDCMaster",CLASSFEATUREHEADERS,0),MATCH($A1772,CLASSNAMEHEADERS,0))),(INDEX(ALLCLASSDATA,MATCH("ClassDCMaster",CLASSFEATUREHEADERS,0),MATCH(($A1772 &amp; "Points"),CLASSNAMEHEADERS,0))),(IF("00"=(INDEX(ALLCLASSDATA,MATCH("ClassDCExpert",CLASSFEATUREHEADERS,0),MATCH($A1772,CLASSNAMEHEADERS,0))),(INDEX(ALLCLASSDATA,MATCH("ClassDCExpert",CLASSFEATUREHEADERS,0),MATCH(($A1772 &amp; "Points"),CLASSNAMEHEADERS,0))),(IF("00"=(INDEX(ALLCLASSDATA,MATCH("ClassDCTrained",CLASSFEATUREHEADERS,0),MATCH($A1772,CLASSNAMEHEADERS,0))),(INDEX(ALLCLASSDATA,MATCH("ClassDCTrained",CLASSFEATUREHEADERS,0),MATCH(($A1772 &amp; "Points"),CLASSNAMEHEADERS,0))),"")))))))))}</f>
        <v>CLASSDCINITIALPTS</v>
      </c>
      <c r="H1771" s="81" t="str">
        <f t="array" ref="H1771:H1772">{"CLASSDCL01";((IF("01"=(INDEX(ALLCLASSDATA,MATCH("ClassDCLegendary",CLASSFEATUREHEADERS,0),MATCH($A1772,CLASSNAMEHEADERS,0))),(INDEX(ALLCLASSDATA,MATCH("ClassDCLegendary",CLASSFEATUREHEADERS,0),MATCH(($A1772 &amp; "Points"),CLASSNAMEHEADERS,0))),(IF("01"=(INDEX(ALLCLASSDATA,MATCH("ClassDCMaster",CLASSFEATUREHEADERS,0),MATCH($A1772,CLASSNAMEHEADERS,0))),(INDEX(ALLCLASSDATA,MATCH("ClassDCMaster",CLASSFEATUREHEADERS,0),MATCH(($A1772 &amp; "Points"),CLASSNAMEHEADERS,0))),(IF("01"=(INDEX(ALLCLASSDATA,MATCH("ClassDCExpert",CLASSFEATUREHEADERS,0),MATCH($A1772,CLASSNAMEHEADERS,0))),(INDEX(ALLCLASSDATA,MATCH("ClassDCExpert",CLASSFEATUREHEADERS,0),MATCH(($A1772 &amp; "Points"),CLASSNAMEHEADERS,0))),(IF("01"=(INDEX(ALLCLASSDATA,MATCH("ClassDCTrained",CLASSFEATUREHEADERS,0),MATCH($A1772,CLASSNAMEHEADERS,0))),(INDEX(ALLCLASSDATA,MATCH("ClassDCTrained",CLASSFEATUREHEADERS,0),MATCH(($A1772 &amp; "Points"),CLASSNAMEHEADERS,0))),"")))))))))}</f>
        <v>CLASSDCL01</v>
      </c>
      <c r="I1771" s="81"/>
      <c r="J1771" s="81" t="str">
        <f t="array" ref="J1771:J1772">{"CLASSDCL03";((IF("03"=(INDEX(ALLCLASSDATA,MATCH("ClassDCLegendary",CLASSFEATUREHEADERS,0),MATCH($A1772,CLASSNAMEHEADERS,0))),(INDEX(ALLCLASSDATA,MATCH("ClassDCLegendary",CLASSFEATUREHEADERS,0),MATCH(($A1772 &amp; "Points"),CLASSNAMEHEADERS,0))),(IF("03"=(INDEX(ALLCLASSDATA,MATCH("ClassDCMaster",CLASSFEATUREHEADERS,0),MATCH($A1772,CLASSNAMEHEADERS,0))),(INDEX(ALLCLASSDATA,MATCH("ClassDCMaster",CLASSFEATUREHEADERS,0),MATCH(($A1772 &amp; "Points"),CLASSNAMEHEADERS,0))),(IF("03"=(INDEX(ALLCLASSDATA,MATCH("ClassDCExpert",CLASSFEATUREHEADERS,0),MATCH($A1772,CLASSNAMEHEADERS,0))),(INDEX(ALLCLASSDATA,MATCH("ClassDCExpert",CLASSFEATUREHEADERS,0),MATCH(($A1772 &amp; "Points"),CLASSNAMEHEADERS,0))),(IF("03"=(INDEX(ALLCLASSDATA,MATCH("ClassDCTrained",CLASSFEATUREHEADERS,0),MATCH($A1772,CLASSNAMEHEADERS,0))),(INDEX(ALLCLASSDATA,MATCH("ClassDCTrained",CLASSFEATUREHEADERS,0),MATCH(($A1772 &amp; "Points"),CLASSNAMEHEADERS,0))),"")))))))))}</f>
        <v>CLASSDCL03</v>
      </c>
      <c r="K1771" s="81"/>
      <c r="L1771" s="81" t="str">
        <f t="array" ref="L1771:L1772">{"CLASSDCL05";((IF("05"=(INDEX(ALLCLASSDATA,MATCH("ClassDCLegendary",CLASSFEATUREHEADERS,0),MATCH($A1772,CLASSNAMEHEADERS,0))),(INDEX(ALLCLASSDATA,MATCH("ClassDCLegendary",CLASSFEATUREHEADERS,0),MATCH(($A1772 &amp; "Points"),CLASSNAMEHEADERS,0))),(IF("05"=(INDEX(ALLCLASSDATA,MATCH("ClassDCMaster",CLASSFEATUREHEADERS,0),MATCH($A1772,CLASSNAMEHEADERS,0))),(INDEX(ALLCLASSDATA,MATCH("ClassDCMaster",CLASSFEATUREHEADERS,0),MATCH(($A1772 &amp; "Points"),CLASSNAMEHEADERS,0))),(IF("05"=(INDEX(ALLCLASSDATA,MATCH("ClassDCExpert",CLASSFEATUREHEADERS,0),MATCH($A1772,CLASSNAMEHEADERS,0))),(INDEX(ALLCLASSDATA,MATCH("ClassDCExpert",CLASSFEATUREHEADERS,0),MATCH(($A1772 &amp; "Points"),CLASSNAMEHEADERS,0))),(IF("05"=(INDEX(ALLCLASSDATA,MATCH("ClassDCTrained",CLASSFEATUREHEADERS,0),MATCH($A1772,CLASSNAMEHEADERS,0))),(INDEX(ALLCLASSDATA,MATCH("ClassDCTrained",CLASSFEATUREHEADERS,0),MATCH(($A1772 &amp; "Points"),CLASSNAMEHEADERS,0))),"")))))))))}</f>
        <v>CLASSDCL05</v>
      </c>
      <c r="M1771" s="81"/>
      <c r="N1771" s="81" t="str">
        <f t="array" ref="N1771:N1772">{"CLASSDCL07";((IF("07"=(INDEX(ALLCLASSDATA,MATCH("ClassDCLegendary",CLASSFEATUREHEADERS,0),MATCH($A1772,CLASSNAMEHEADERS,0))),(INDEX(ALLCLASSDATA,MATCH("ClassDCLegendary",CLASSFEATUREHEADERS,0),MATCH(($A1772 &amp; "Points"),CLASSNAMEHEADERS,0))),(IF("07"=(INDEX(ALLCLASSDATA,MATCH("ClassDCMaster",CLASSFEATUREHEADERS,0),MATCH($A1772,CLASSNAMEHEADERS,0))),(INDEX(ALLCLASSDATA,MATCH("ClassDCMaster",CLASSFEATUREHEADERS,0),MATCH(($A1772 &amp; "Points"),CLASSNAMEHEADERS,0))),(IF("07"=(INDEX(ALLCLASSDATA,MATCH("ClassDCExpert",CLASSFEATUREHEADERS,0),MATCH($A1772,CLASSNAMEHEADERS,0))),(INDEX(ALLCLASSDATA,MATCH("ClassDCExpert",CLASSFEATUREHEADERS,0),MATCH(($A1772 &amp; "Points"),CLASSNAMEHEADERS,0))),(IF("07"=(INDEX(ALLCLASSDATA,MATCH("ClassDCTrained",CLASSFEATUREHEADERS,0),MATCH($A1772,CLASSNAMEHEADERS,0))),(INDEX(ALLCLASSDATA,MATCH("ClassDCTrained",CLASSFEATUREHEADERS,0),MATCH(($A1772 &amp; "Points"),CLASSNAMEHEADERS,0))),"")))))))))}</f>
        <v>CLASSDCL07</v>
      </c>
      <c r="O1771" s="81"/>
      <c r="P1771" s="81" t="str">
        <f t="array" ref="P1771:P1772">{"CLASSDCL09";((IF("09"=(INDEX(ALLCLASSDATA,MATCH("ClassDCLegendary",CLASSFEATUREHEADERS,0),MATCH($A1772,CLASSNAMEHEADERS,0))),(INDEX(ALLCLASSDATA,MATCH("ClassDCLegendary",CLASSFEATUREHEADERS,0),MATCH(($A1772 &amp; "Points"),CLASSNAMEHEADERS,0))),(IF("09"=(INDEX(ALLCLASSDATA,MATCH("ClassDCMaster",CLASSFEATUREHEADERS,0),MATCH($A1772,CLASSNAMEHEADERS,0))),(INDEX(ALLCLASSDATA,MATCH("ClassDCMaster",CLASSFEATUREHEADERS,0),MATCH(($A1772 &amp; "Points"),CLASSNAMEHEADERS,0))),(IF("09"=(INDEX(ALLCLASSDATA,MATCH("ClassDCExpert",CLASSFEATUREHEADERS,0),MATCH($A1772,CLASSNAMEHEADERS,0))),(INDEX(ALLCLASSDATA,MATCH("ClassDCExpert",CLASSFEATUREHEADERS,0),MATCH(($A1772 &amp; "Points"),CLASSNAMEHEADERS,0))),(IF("09"=(INDEX(ALLCLASSDATA,MATCH("ClassDCTrained",CLASSFEATUREHEADERS,0),MATCH($A1772,CLASSNAMEHEADERS,0))),(INDEX(ALLCLASSDATA,MATCH("ClassDCTrained",CLASSFEATUREHEADERS,0),MATCH(($A1772 &amp; "Points"),CLASSNAMEHEADERS,0))),"")))))))))}</f>
        <v>CLASSDCL09</v>
      </c>
      <c r="Q1771" s="81"/>
      <c r="R1771" s="81" t="str">
        <f t="array" ref="R1771:R1772">{"CLASSDCL11";((IF("11"=(INDEX(ALLCLASSDATA,MATCH("ClassDCLegendary",CLASSFEATUREHEADERS,0),MATCH($A1772,CLASSNAMEHEADERS,0))),(INDEX(ALLCLASSDATA,MATCH("ClassDCLegendary",CLASSFEATUREHEADERS,0),MATCH(($A1772 &amp; "Points"),CLASSNAMEHEADERS,0))),(IF("11"=(INDEX(ALLCLASSDATA,MATCH("ClassDCMaster",CLASSFEATUREHEADERS,0),MATCH($A1772,CLASSNAMEHEADERS,0))),(INDEX(ALLCLASSDATA,MATCH("ClassDCMaster",CLASSFEATUREHEADERS,0),MATCH(($A1772 &amp; "Points"),CLASSNAMEHEADERS,0))),(IF("11"=(INDEX(ALLCLASSDATA,MATCH("ClassDCExpert",CLASSFEATUREHEADERS,0),MATCH($A1772,CLASSNAMEHEADERS,0))),(INDEX(ALLCLASSDATA,MATCH("ClassDCExpert",CLASSFEATUREHEADERS,0),MATCH(($A1772 &amp; "Points"),CLASSNAMEHEADERS,0))),(IF("11"=(INDEX(ALLCLASSDATA,MATCH("ClassDCTrained",CLASSFEATUREHEADERS,0),MATCH($A1772,CLASSNAMEHEADERS,0))),(INDEX(ALLCLASSDATA,MATCH("ClassDCTrained",CLASSFEATUREHEADERS,0),MATCH(($A1772 &amp; "Points"),CLASSNAMEHEADERS,0))),"")))))))))}</f>
        <v>CLASSDCL11</v>
      </c>
      <c r="S1771" s="81"/>
      <c r="T1771" s="81" t="str">
        <f t="array" ref="T1771:T1772">{"CLASSDCL13";((IF("13"=(INDEX(ALLCLASSDATA,MATCH("ClassDCLegendary",CLASSFEATUREHEADERS,0),MATCH($A1772,CLASSNAMEHEADERS,0))),(INDEX(ALLCLASSDATA,MATCH("ClassDCLegendary",CLASSFEATUREHEADERS,0),MATCH(($A1772 &amp; "Points"),CLASSNAMEHEADERS,0))),(IF("13"=(INDEX(ALLCLASSDATA,MATCH("ClassDCMaster",CLASSFEATUREHEADERS,0),MATCH($A1772,CLASSNAMEHEADERS,0))),(INDEX(ALLCLASSDATA,MATCH("ClassDCMaster",CLASSFEATUREHEADERS,0),MATCH(($A1772 &amp; "Points"),CLASSNAMEHEADERS,0))),(IF("13"=(INDEX(ALLCLASSDATA,MATCH("ClassDCExpert",CLASSFEATUREHEADERS,0),MATCH($A1772,CLASSNAMEHEADERS,0))),(INDEX(ALLCLASSDATA,MATCH("ClassDCExpert",CLASSFEATUREHEADERS,0),MATCH(($A1772 &amp; "Points"),CLASSNAMEHEADERS,0))),(IF("13"=(INDEX(ALLCLASSDATA,MATCH("ClassDCTrained",CLASSFEATUREHEADERS,0),MATCH($A1772,CLASSNAMEHEADERS,0))),(INDEX(ALLCLASSDATA,MATCH("ClassDCTrained",CLASSFEATUREHEADERS,0),MATCH(($A1772 &amp; "Points"),CLASSNAMEHEADERS,0))),"")))))))))}</f>
        <v>CLASSDCL13</v>
      </c>
      <c r="U1771" s="81"/>
      <c r="V1771" s="81" t="str">
        <f t="array" ref="V1771:V1772">{"CLASSDCL15";((IF("15"=(INDEX(ALLCLASSDATA,MATCH("ClassDCLegendary",CLASSFEATUREHEADERS,0),MATCH($A1772,CLASSNAMEHEADERS,0))),(INDEX(ALLCLASSDATA,MATCH("ClassDCLegendary",CLASSFEATUREHEADERS,0),MATCH(($A1772 &amp; "Points"),CLASSNAMEHEADERS,0))),(IF("15"=(INDEX(ALLCLASSDATA,MATCH("ClassDCMaster",CLASSFEATUREHEADERS,0),MATCH($A1772,CLASSNAMEHEADERS,0))),(INDEX(ALLCLASSDATA,MATCH("ClassDCMaster",CLASSFEATUREHEADERS,0),MATCH(($A1772 &amp; "Points"),CLASSNAMEHEADERS,0))),(IF("15"=(INDEX(ALLCLASSDATA,MATCH("ClassDCExpert",CLASSFEATUREHEADERS,0),MATCH($A1772,CLASSNAMEHEADERS,0))),(INDEX(ALLCLASSDATA,MATCH("ClassDCExpert",CLASSFEATUREHEADERS,0),MATCH(($A1772 &amp; "Points"),CLASSNAMEHEADERS,0))),(IF("15"=(INDEX(ALLCLASSDATA,MATCH("ClassDCTrained",CLASSFEATUREHEADERS,0),MATCH($A1772,CLASSNAMEHEADERS,0))),(INDEX(ALLCLASSDATA,MATCH("ClassDCTrained",CLASSFEATUREHEADERS,0),MATCH(($A1772 &amp; "Points"),CLASSNAMEHEADERS,0))),"")))))))))}</f>
        <v>CLASSDCL15</v>
      </c>
      <c r="W1771" s="81"/>
      <c r="X1771" s="81" t="str">
        <f t="array" ref="X1771:X1772">{"CLASSDCL17";((IF("17"=(INDEX(ALLCLASSDATA,MATCH("ClassDCLegendary",CLASSFEATUREHEADERS,0),MATCH($A1772,CLASSNAMEHEADERS,0))),(INDEX(ALLCLASSDATA,MATCH("ClassDCLegendary",CLASSFEATUREHEADERS,0),MATCH(($A1772 &amp; "Points"),CLASSNAMEHEADERS,0))),(IF("17"=(INDEX(ALLCLASSDATA,MATCH("ClassDCMaster",CLASSFEATUREHEADERS,0),MATCH($A1772,CLASSNAMEHEADERS,0))),(INDEX(ALLCLASSDATA,MATCH("ClassDCMaster",CLASSFEATUREHEADERS,0),MATCH(($A1772 &amp; "Points"),CLASSNAMEHEADERS,0))),(IF("17"=(INDEX(ALLCLASSDATA,MATCH("ClassDCExpert",CLASSFEATUREHEADERS,0),MATCH($A1772,CLASSNAMEHEADERS,0))),(INDEX(ALLCLASSDATA,MATCH("ClassDCExpert",CLASSFEATUREHEADERS,0),MATCH(($A1772 &amp; "Points"),CLASSNAMEHEADERS,0))),(IF("17"=(INDEX(ALLCLASSDATA,MATCH("ClassDCTrained",CLASSFEATUREHEADERS,0),MATCH($A1772,CLASSNAMEHEADERS,0))),(INDEX(ALLCLASSDATA,MATCH("ClassDCTrained",CLASSFEATUREHEADERS,0),MATCH(($A1772 &amp; "Points"),CLASSNAMEHEADERS,0))),"")))))))))}</f>
        <v>CLASSDCL17</v>
      </c>
      <c r="Y1771" s="81"/>
      <c r="Z1771" s="81" t="str">
        <f t="array" ref="Z1771:Z1772">{"CLASSDCL19";((IF("19"=(INDEX(ALLCLASSDATA,MATCH("ClassDCLegendary",CLASSFEATUREHEADERS,0),MATCH($A1772,CLASSNAMEHEADERS,0))),(INDEX(ALLCLASSDATA,MATCH("ClassDCLegendary",CLASSFEATUREHEADERS,0),MATCH(($A1772 &amp; "Points"),CLASSNAMEHEADERS,0))),(IF("19"=(INDEX(ALLCLASSDATA,MATCH("ClassDCMaster",CLASSFEATUREHEADERS,0),MATCH($A1772,CLASSNAMEHEADERS,0))),(INDEX(ALLCLASSDATA,MATCH("ClassDCMaster",CLASSFEATUREHEADERS,0),MATCH(($A1772 &amp; "Points"),CLASSNAMEHEADERS,0))),(IF("19"=(INDEX(ALLCLASSDATA,MATCH("ClassDCExpert",CLASSFEATUREHEADERS,0),MATCH($A1772,CLASSNAMEHEADERS,0))),(INDEX(ALLCLASSDATA,MATCH("ClassDCExpert",CLASSFEATUREHEADERS,0),MATCH(($A1772 &amp; "Points"),CLASSNAMEHEADERS,0))),(IF("19"=(INDEX(ALLCLASSDATA,MATCH("ClassDCTrained",CLASSFEATUREHEADERS,0),MATCH($A1772,CLASSNAMEHEADERS,0))),(INDEX(ALLCLASSDATA,MATCH("ClassDCTrained",CLASSFEATUREHEADERS,0),MATCH(($A1772 &amp; "Points"),CLASSNAMEHEADERS,0))),"")))))))))}</f>
        <v>CLASSDCL19</v>
      </c>
      <c r="AA1771" s="81"/>
      <c r="AB1771" s="76" t="str">
        <f t="array" ref="AB1771:AB1772">{"CLASSDC TOTAL";(IF(COUNTBLANK(G1772:AA1772)=17,"L",(IF(COUNTBLANK(G1772:AA1772)=18,"M",(IF(COUNTBLANK(G1772:AA1772)=19,"E",(IF(COUNTBLANK(G1772:AA1772)=20,"T",""))))))))}</f>
        <v>CLASSDC TOTAL</v>
      </c>
      <c r="AC1771" s="76" t="str">
        <f t="array" ref="AC1771:AC1772">{"CLASSDC TOTAL";(sum(G1772:AA1772))}</f>
        <v>CLASSDC TOTAL</v>
      </c>
    </row>
    <row r="1772">
      <c r="A1772" s="48" t="s">
        <v>227</v>
      </c>
      <c r="B1772" s="48"/>
      <c r="C1772" s="48" t="s">
        <v>418</v>
      </c>
      <c r="D1772" s="48" t="s">
        <v>1465</v>
      </c>
      <c r="E1772" s="48" t="s">
        <v>1466</v>
      </c>
      <c r="F1772" s="5" t="s">
        <v>603</v>
      </c>
      <c r="G1772" s="47" t="s">
        <v>603</v>
      </c>
      <c r="H1772" s="5" t="s">
        <v>603</v>
      </c>
      <c r="I1772" s="5"/>
      <c r="J1772" s="5" t="s">
        <v>603</v>
      </c>
      <c r="K1772" s="5"/>
      <c r="L1772" s="5" t="s">
        <v>603</v>
      </c>
      <c r="M1772" s="5"/>
      <c r="N1772" s="5" t="s">
        <v>603</v>
      </c>
      <c r="O1772" s="5"/>
      <c r="P1772" s="5" t="s">
        <v>603</v>
      </c>
      <c r="Q1772" s="5"/>
      <c r="R1772" s="5" t="s">
        <v>603</v>
      </c>
      <c r="S1772" s="5"/>
      <c r="T1772" s="5" t="s">
        <v>603</v>
      </c>
      <c r="U1772" s="5"/>
      <c r="V1772" s="5" t="s">
        <v>603</v>
      </c>
      <c r="W1772" s="5"/>
      <c r="X1772" s="5" t="s">
        <v>603</v>
      </c>
      <c r="Y1772" s="5"/>
      <c r="Z1772" s="5" t="s">
        <v>603</v>
      </c>
      <c r="AA1772" s="5"/>
      <c r="AB1772" s="5" t="s">
        <v>603</v>
      </c>
      <c r="AC1772" s="47">
        <v>0.0</v>
      </c>
    </row>
    <row r="1773" hidden="1">
      <c r="A1773" s="222" t="str">
        <f t="array" ref="A1773:A1774">{"FormulaRow21";(INDEX(CLASSLIST,A1732,1))}</f>
        <v>FormulaRow21</v>
      </c>
      <c r="B1773" s="77" t="s">
        <v>236</v>
      </c>
      <c r="C1773" s="222" t="str">
        <f t="array" ref="C1773:C1774">{"CLASSTYPE";((INDEX(ALLCLASSDATA,MATCH("ClassType",CLASSFEATUREHEADERS,0),MATCH($A1774,CLASSNAMEHEADERS,0))))}</f>
        <v>CLASSTYPE</v>
      </c>
      <c r="D1773" s="222" t="str">
        <f t="array" ref="D1773:D1774">{"DC";"DC"}</f>
        <v>DC</v>
      </c>
      <c r="E1773" s="222" t="str">
        <f t="array" ref="E1773:E1774">{"SPELLDC";"SpellDC"}</f>
        <v>SPELLDC</v>
      </c>
      <c r="F1773" s="223" t="str">
        <f t="array" ref="F1773:F1774">{"SPELLDCINITIAL";((IF(H1774=10,"T",(IF(H1774=50,"E","")))))}</f>
        <v>SPELLDCINITIAL</v>
      </c>
      <c r="G1773" s="223" t="str">
        <f t="array" ref="G1773:G1774">{"SPELLDCINITIALPTS";((IF("00"=(INDEX(ALLCLASSDATA,MATCH("SpellDCLegendary",CLASSFEATUREHEADERS,0),MATCH($A1774,CLASSNAMEHEADERS,0))),(INDEX(ALLCLASSDATA,MATCH("SpellDCLegendary",CLASSFEATUREHEADERS,0),MATCH(($A1774 &amp; "Points"),CLASSNAMEHEADERS,0))),(IF("00"=(INDEX(ALLCLASSDATA,MATCH("SpellDCMaster",CLASSFEATUREHEADERS,0),MATCH($A1774,CLASSNAMEHEADERS,0))),(INDEX(ALLCLASSDATA,MATCH("SpellDCMaster",CLASSFEATUREHEADERS,0),MATCH(($A1774 &amp; "Points"),CLASSNAMEHEADERS,0))),(IF("00"=(INDEX(ALLCLASSDATA,MATCH("SpellDCExpert",CLASSFEATUREHEADERS,0),MATCH($A1774,CLASSNAMEHEADERS,0))),(INDEX(ALLCLASSDATA,MATCH("SpellDCExpert",CLASSFEATUREHEADERS,0),MATCH(($A1774 &amp; "Points"),CLASSNAMEHEADERS,0))),(IF("00"=(INDEX(ALLCLASSDATA,MATCH("SpellDCTrained",CLASSFEATUREHEADERS,0),MATCH($A1774,CLASSNAMEHEADERS,0))),(INDEX(ALLCLASSDATA,MATCH("SpellDCTrained",CLASSFEATUREHEADERS,0),MATCH(($A1774 &amp; "Points"),CLASSNAMEHEADERS,0))),"")))))))))}</f>
        <v>SPELLDCINITIALPTS</v>
      </c>
      <c r="H1773" s="223" t="str">
        <f t="array" ref="H1773:H1774">{"SPELLDCL01";((IF("01"=(INDEX(ALLCLASSDATA,MATCH("SpellDCLegendary",CLASSFEATUREHEADERS,0),MATCH($A1774,CLASSNAMEHEADERS,0))),(INDEX(ALLCLASSDATA,MATCH("SpellDCLegendary",CLASSFEATUREHEADERS,0),MATCH(($A1774 &amp; "Points"),CLASSNAMEHEADERS,0))),(IF("01"=(INDEX(ALLCLASSDATA,MATCH("SpellDCMaster",CLASSFEATUREHEADERS,0),MATCH($A1774,CLASSNAMEHEADERS,0))),(INDEX(ALLCLASSDATA,MATCH("SpellDCMaster",CLASSFEATUREHEADERS,0),MATCH(($A1774 &amp; "Points"),CLASSNAMEHEADERS,0))),(IF("01"=(INDEX(ALLCLASSDATA,MATCH("SpellDCExpert",CLASSFEATUREHEADERS,0),MATCH($A1774,CLASSNAMEHEADERS,0))),(INDEX(ALLCLASSDATA,MATCH("SpellDCExpert",CLASSFEATUREHEADERS,0),MATCH(($A1774 &amp; "Points"),CLASSNAMEHEADERS,0))),(IF("01"=(INDEX(ALLCLASSDATA,MATCH("SpellDCTrained",CLASSFEATUREHEADERS,0),MATCH($A1774,CLASSNAMEHEADERS,0))),(INDEX(ALLCLASSDATA,MATCH("SpellDCTrained",CLASSFEATUREHEADERS,0),MATCH(($A1774 &amp; "Points"),CLASSNAMEHEADERS,0))),"")))))))))}</f>
        <v>SPELLDCL01</v>
      </c>
      <c r="I1773" s="223"/>
      <c r="J1773" s="223" t="str">
        <f t="array" ref="J1773:J1774">{"SPELLDCL03";((IF("03"=(INDEX(ALLCLASSDATA,MATCH("SpellDCLegendary",CLASSFEATUREHEADERS,0),MATCH($A1774,CLASSNAMEHEADERS,0))),(INDEX(ALLCLASSDATA,MATCH("SpellDCLegendary",CLASSFEATUREHEADERS,0),MATCH(($A1774 &amp; "Points"),CLASSNAMEHEADERS,0))),(IF("03"=(INDEX(ALLCLASSDATA,MATCH("SpellDCMaster",CLASSFEATUREHEADERS,0),MATCH($A1774,CLASSNAMEHEADERS,0))),(INDEX(ALLCLASSDATA,MATCH("SpellDCMaster",CLASSFEATUREHEADERS,0),MATCH(($A1774 &amp; "Points"),CLASSNAMEHEADERS,0))),(IF("03"=(INDEX(ALLCLASSDATA,MATCH("SpellDCExpert",CLASSFEATUREHEADERS,0),MATCH($A1774,CLASSNAMEHEADERS,0))),(INDEX(ALLCLASSDATA,MATCH("SpellDCExpert",CLASSFEATUREHEADERS,0),MATCH(($A1774 &amp; "Points"),CLASSNAMEHEADERS,0))),(IF("03"=(INDEX(ALLCLASSDATA,MATCH("SpellDCTrained",CLASSFEATUREHEADERS,0),MATCH($A1774,CLASSNAMEHEADERS,0))),(INDEX(ALLCLASSDATA,MATCH("SpellDCTrained",CLASSFEATUREHEADERS,0),MATCH(($A1774 &amp; "Points"),CLASSNAMEHEADERS,0))),"")))))))))}</f>
        <v>SPELLDCL03</v>
      </c>
      <c r="K1773" s="223"/>
      <c r="L1773" s="223" t="str">
        <f t="array" ref="L1773:L1774">{"SPELLDCL05";((IF("05"=(INDEX(ALLCLASSDATA,MATCH("SpellDCLegendary",CLASSFEATUREHEADERS,0),MATCH($A1774,CLASSNAMEHEADERS,0))),(INDEX(ALLCLASSDATA,MATCH("SpellDCLegendary",CLASSFEATUREHEADERS,0),MATCH(($A1774 &amp; "Points"),CLASSNAMEHEADERS,0))),(IF("05"=(INDEX(ALLCLASSDATA,MATCH("SpellDCMaster",CLASSFEATUREHEADERS,0),MATCH($A1774,CLASSNAMEHEADERS,0))),(INDEX(ALLCLASSDATA,MATCH("SpellDCMaster",CLASSFEATUREHEADERS,0),MATCH(($A1774 &amp; "Points"),CLASSNAMEHEADERS,0))),(IF("05"=(INDEX(ALLCLASSDATA,MATCH("SpellDCExpert",CLASSFEATUREHEADERS,0),MATCH($A1774,CLASSNAMEHEADERS,0))),(INDEX(ALLCLASSDATA,MATCH("SpellDCExpert",CLASSFEATUREHEADERS,0),MATCH(($A1774 &amp; "Points"),CLASSNAMEHEADERS,0))),(IF("05"=(INDEX(ALLCLASSDATA,MATCH("SpellDCTrained",CLASSFEATUREHEADERS,0),MATCH($A1774,CLASSNAMEHEADERS,0))),(INDEX(ALLCLASSDATA,MATCH("SpellDCTrained",CLASSFEATUREHEADERS,0),MATCH(($A1774 &amp; "Points"),CLASSNAMEHEADERS,0))),"")))))))))}</f>
        <v>SPELLDCL05</v>
      </c>
      <c r="M1773" s="223"/>
      <c r="N1773" s="223" t="str">
        <f t="array" ref="N1773:N1774">{"SPELLDCL07";((IF("07"=(INDEX(ALLCLASSDATA,MATCH("SpellDCLegendary",CLASSFEATUREHEADERS,0),MATCH($A1774,CLASSNAMEHEADERS,0))),(INDEX(ALLCLASSDATA,MATCH("SpellDCLegendary",CLASSFEATUREHEADERS,0),MATCH(($A1774 &amp; "Points"),CLASSNAMEHEADERS,0))),(IF("07"=(INDEX(ALLCLASSDATA,MATCH("SpellDCMaster",CLASSFEATUREHEADERS,0),MATCH($A1774,CLASSNAMEHEADERS,0))),(INDEX(ALLCLASSDATA,MATCH("SpellDCMaster",CLASSFEATUREHEADERS,0),MATCH(($A1774 &amp; "Points"),CLASSNAMEHEADERS,0))),(IF("07"=(INDEX(ALLCLASSDATA,MATCH("SpellDCExpert",CLASSFEATUREHEADERS,0),MATCH($A1774,CLASSNAMEHEADERS,0))),(INDEX(ALLCLASSDATA,MATCH("SpellDCExpert",CLASSFEATUREHEADERS,0),MATCH(($A1774 &amp; "Points"),CLASSNAMEHEADERS,0))),(IF("07"=(INDEX(ALLCLASSDATA,MATCH("SpellDCTrained",CLASSFEATUREHEADERS,0),MATCH($A1774,CLASSNAMEHEADERS,0))),(INDEX(ALLCLASSDATA,MATCH("SpellDCTrained",CLASSFEATUREHEADERS,0),MATCH(($A1774 &amp; "Points"),CLASSNAMEHEADERS,0))),"")))))))))}</f>
        <v>SPELLDCL07</v>
      </c>
      <c r="O1773" s="223"/>
      <c r="P1773" s="223" t="str">
        <f t="array" ref="P1773:P1774">{"SPELLDCL09";((IF("09"=(INDEX(ALLCLASSDATA,MATCH("SpellDCLegendary",CLASSFEATUREHEADERS,0),MATCH($A1774,CLASSNAMEHEADERS,0))),(INDEX(ALLCLASSDATA,MATCH("SpellDCLegendary",CLASSFEATUREHEADERS,0),MATCH(($A1774 &amp; "Points"),CLASSNAMEHEADERS,0))),(IF("09"=(INDEX(ALLCLASSDATA,MATCH("SpellDCMaster",CLASSFEATUREHEADERS,0),MATCH($A1774,CLASSNAMEHEADERS,0))),(INDEX(ALLCLASSDATA,MATCH("SpellDCMaster",CLASSFEATUREHEADERS,0),MATCH(($A1774 &amp; "Points"),CLASSNAMEHEADERS,0))),(IF("09"=(INDEX(ALLCLASSDATA,MATCH("SpellDCExpert",CLASSFEATUREHEADERS,0),MATCH($A1774,CLASSNAMEHEADERS,0))),(INDEX(ALLCLASSDATA,MATCH("SpellDCExpert",CLASSFEATUREHEADERS,0),MATCH(($A1774 &amp; "Points"),CLASSNAMEHEADERS,0))),(IF("09"=(INDEX(ALLCLASSDATA,MATCH("SpellDCTrained",CLASSFEATUREHEADERS,0),MATCH($A1774,CLASSNAMEHEADERS,0))),(INDEX(ALLCLASSDATA,MATCH("SpellDCTrained",CLASSFEATUREHEADERS,0),MATCH(($A1774 &amp; "Points"),CLASSNAMEHEADERS,0))),"")))))))))}</f>
        <v>SPELLDCL09</v>
      </c>
      <c r="Q1773" s="223"/>
      <c r="R1773" s="223" t="str">
        <f t="array" ref="R1773:R1774">{"SPELLDCL11";((IF("11"=(INDEX(ALLCLASSDATA,MATCH("SpellDCLegendary",CLASSFEATUREHEADERS,0),MATCH($A1774,CLASSNAMEHEADERS,0))),(INDEX(ALLCLASSDATA,MATCH("SpellDCLegendary",CLASSFEATUREHEADERS,0),MATCH(($A1774 &amp; "Points"),CLASSNAMEHEADERS,0))),(IF("11"=(INDEX(ALLCLASSDATA,MATCH("SpellDCMaster",CLASSFEATUREHEADERS,0),MATCH($A1774,CLASSNAMEHEADERS,0))),(INDEX(ALLCLASSDATA,MATCH("SpellDCMaster",CLASSFEATUREHEADERS,0),MATCH(($A1774 &amp; "Points"),CLASSNAMEHEADERS,0))),(IF("11"=(INDEX(ALLCLASSDATA,MATCH("SpellDCExpert",CLASSFEATUREHEADERS,0),MATCH($A1774,CLASSNAMEHEADERS,0))),(INDEX(ALLCLASSDATA,MATCH("SpellDCExpert",CLASSFEATUREHEADERS,0),MATCH(($A1774 &amp; "Points"),CLASSNAMEHEADERS,0))),(IF("11"=(INDEX(ALLCLASSDATA,MATCH("SpellDCTrained",CLASSFEATUREHEADERS,0),MATCH($A1774,CLASSNAMEHEADERS,0))),(INDEX(ALLCLASSDATA,MATCH("SpellDCTrained",CLASSFEATUREHEADERS,0),MATCH(($A1774 &amp; "Points"),CLASSNAMEHEADERS,0))),"")))))))))}</f>
        <v>SPELLDCL11</v>
      </c>
      <c r="S1773" s="223"/>
      <c r="T1773" s="223" t="str">
        <f t="array" ref="T1773:T1774">{"SPELLDCL13";((IF("13"=(INDEX(ALLCLASSDATA,MATCH("SpellDCLegendary",CLASSFEATUREHEADERS,0),MATCH($A1774,CLASSNAMEHEADERS,0))),(INDEX(ALLCLASSDATA,MATCH("SpellDCLegendary",CLASSFEATUREHEADERS,0),MATCH(($A1774 &amp; "Points"),CLASSNAMEHEADERS,0))),(IF("13"=(INDEX(ALLCLASSDATA,MATCH("SpellDCMaster",CLASSFEATUREHEADERS,0),MATCH($A1774,CLASSNAMEHEADERS,0))),(INDEX(ALLCLASSDATA,MATCH("SpellDCMaster",CLASSFEATUREHEADERS,0),MATCH(($A1774 &amp; "Points"),CLASSNAMEHEADERS,0))),(IF("13"=(INDEX(ALLCLASSDATA,MATCH("SpellDCExpert",CLASSFEATUREHEADERS,0),MATCH($A1774,CLASSNAMEHEADERS,0))),(INDEX(ALLCLASSDATA,MATCH("SpellDCExpert",CLASSFEATUREHEADERS,0),MATCH(($A1774 &amp; "Points"),CLASSNAMEHEADERS,0))),(IF("13"=(INDEX(ALLCLASSDATA,MATCH("SpellDCTrained",CLASSFEATUREHEADERS,0),MATCH($A1774,CLASSNAMEHEADERS,0))),(INDEX(ALLCLASSDATA,MATCH("SpellDCTrained",CLASSFEATUREHEADERS,0),MATCH(($A1774 &amp; "Points"),CLASSNAMEHEADERS,0))),"")))))))))}</f>
        <v>SPELLDCL13</v>
      </c>
      <c r="U1773" s="223"/>
      <c r="V1773" s="223" t="str">
        <f t="array" ref="V1773:V1774">{"SPELLDCL15";((IF("15"=(INDEX(ALLCLASSDATA,MATCH("SpellDCLegendary",CLASSFEATUREHEADERS,0),MATCH($A1774,CLASSNAMEHEADERS,0))),(INDEX(ALLCLASSDATA,MATCH("SpellDCLegendary",CLASSFEATUREHEADERS,0),MATCH(($A1774 &amp; "Points"),CLASSNAMEHEADERS,0))),(IF("15"=(INDEX(ALLCLASSDATA,MATCH("SpellDCMaster",CLASSFEATUREHEADERS,0),MATCH($A1774,CLASSNAMEHEADERS,0))),(INDEX(ALLCLASSDATA,MATCH("SpellDCMaster",CLASSFEATUREHEADERS,0),MATCH(($A1774 &amp; "Points"),CLASSNAMEHEADERS,0))),(IF("15"=(INDEX(ALLCLASSDATA,MATCH("SpellDCExpert",CLASSFEATUREHEADERS,0),MATCH($A1774,CLASSNAMEHEADERS,0))),(INDEX(ALLCLASSDATA,MATCH("SpellDCExpert",CLASSFEATUREHEADERS,0),MATCH(($A1774 &amp; "Points"),CLASSNAMEHEADERS,0))),(IF("15"=(INDEX(ALLCLASSDATA,MATCH("SpellDCTrained",CLASSFEATUREHEADERS,0),MATCH($A1774,CLASSNAMEHEADERS,0))),(INDEX(ALLCLASSDATA,MATCH("SpellDCTrained",CLASSFEATUREHEADERS,0),MATCH(($A1774 &amp; "Points"),CLASSNAMEHEADERS,0))),"")))))))))}</f>
        <v>SPELLDCL15</v>
      </c>
      <c r="W1773" s="223"/>
      <c r="X1773" s="223" t="str">
        <f t="array" ref="X1773:X1774">{"SPELLDCL17";((IF("17"=(INDEX(ALLCLASSDATA,MATCH("SpellDCLegendary",CLASSFEATUREHEADERS,0),MATCH($A1774,CLASSNAMEHEADERS,0))),(INDEX(ALLCLASSDATA,MATCH("SpellDCLegendary",CLASSFEATUREHEADERS,0),MATCH(($A1774 &amp; "Points"),CLASSNAMEHEADERS,0))),(IF("17"=(INDEX(ALLCLASSDATA,MATCH("SpellDCMaster",CLASSFEATUREHEADERS,0),MATCH($A1774,CLASSNAMEHEADERS,0))),(INDEX(ALLCLASSDATA,MATCH("SpellDCMaster",CLASSFEATUREHEADERS,0),MATCH(($A1774 &amp; "Points"),CLASSNAMEHEADERS,0))),(IF("17"=(INDEX(ALLCLASSDATA,MATCH("SpellDCExpert",CLASSFEATUREHEADERS,0),MATCH($A1774,CLASSNAMEHEADERS,0))),(INDEX(ALLCLASSDATA,MATCH("SpellDCExpert",CLASSFEATUREHEADERS,0),MATCH(($A1774 &amp; "Points"),CLASSNAMEHEADERS,0))),(IF("17"=(INDEX(ALLCLASSDATA,MATCH("SpellDCTrained",CLASSFEATUREHEADERS,0),MATCH($A1774,CLASSNAMEHEADERS,0))),(INDEX(ALLCLASSDATA,MATCH("SpellDCTrained",CLASSFEATUREHEADERS,0),MATCH(($A1774 &amp; "Points"),CLASSNAMEHEADERS,0))),"")))))))))}</f>
        <v>SPELLDCL17</v>
      </c>
      <c r="Y1773" s="223"/>
      <c r="Z1773" s="223" t="str">
        <f t="array" ref="Z1773:Z1774">{"SPELLDCL19";((IF("19"=(INDEX(ALLCLASSDATA,MATCH("SpellDCLegendary",CLASSFEATUREHEADERS,0),MATCH($A1774,CLASSNAMEHEADERS,0))),(INDEX(ALLCLASSDATA,MATCH("SpellDCLegendary",CLASSFEATUREHEADERS,0),MATCH(($A1774 &amp; "Points"),CLASSNAMEHEADERS,0))),(IF("19"=(INDEX(ALLCLASSDATA,MATCH("SpellDCMaster",CLASSFEATUREHEADERS,0),MATCH($A1774,CLASSNAMEHEADERS,0))),(INDEX(ALLCLASSDATA,MATCH("SpellDCMaster",CLASSFEATUREHEADERS,0),MATCH(($A1774 &amp; "Points"),CLASSNAMEHEADERS,0))),(IF("19"=(INDEX(ALLCLASSDATA,MATCH("SpellDCExpert",CLASSFEATUREHEADERS,0),MATCH($A1774,CLASSNAMEHEADERS,0))),(INDEX(ALLCLASSDATA,MATCH("SpellDCExpert",CLASSFEATUREHEADERS,0),MATCH(($A1774 &amp; "Points"),CLASSNAMEHEADERS,0))),(IF("19"=(INDEX(ALLCLASSDATA,MATCH("SpellDCTrained",CLASSFEATUREHEADERS,0),MATCH($A1774,CLASSNAMEHEADERS,0))),(INDEX(ALLCLASSDATA,MATCH("SpellDCTrained",CLASSFEATUREHEADERS,0),MATCH(($A1774 &amp; "Points"),CLASSNAMEHEADERS,0))),"")))))))))}</f>
        <v>SPELLDCL19</v>
      </c>
      <c r="AA1773" s="223"/>
      <c r="AB1773" s="76" t="str">
        <f t="array" ref="AB1773:AB1774">{"SPELLDC TOTAL";(IF(COUNTBLANK(G1774:AA1774)=17,"L",(IF(COUNTBLANK(G1774:AA1774)=18,"M",(IF(COUNTBLANK(G1774:AA1774)=19,"E",(IF(COUNTBLANK(G1774:AA1774)=20,"T",""))))))))}</f>
        <v>SPELLDC TOTAL</v>
      </c>
      <c r="AC1773" s="76" t="str">
        <f t="array" ref="AC1773:AC1774">{"SPELLDC TOTAL";(sum(G1774:AA1774))}</f>
        <v>SPELLDC TOTAL</v>
      </c>
    </row>
    <row r="1774">
      <c r="A1774" s="48" t="s">
        <v>227</v>
      </c>
      <c r="B1774" s="48"/>
      <c r="C1774" s="48" t="s">
        <v>418</v>
      </c>
      <c r="D1774" s="97" t="s">
        <v>1465</v>
      </c>
      <c r="E1774" s="97" t="s">
        <v>1485</v>
      </c>
      <c r="F1774" s="98" t="s">
        <v>435</v>
      </c>
      <c r="G1774" s="132" t="s">
        <v>603</v>
      </c>
      <c r="H1774" s="98">
        <v>10.0</v>
      </c>
      <c r="I1774" s="98"/>
      <c r="J1774" s="98" t="s">
        <v>603</v>
      </c>
      <c r="K1774" s="98"/>
      <c r="L1774" s="98" t="s">
        <v>603</v>
      </c>
      <c r="M1774" s="98"/>
      <c r="N1774" s="98">
        <v>50.0</v>
      </c>
      <c r="O1774" s="98"/>
      <c r="P1774" s="98" t="s">
        <v>603</v>
      </c>
      <c r="Q1774" s="98"/>
      <c r="R1774" s="98" t="s">
        <v>603</v>
      </c>
      <c r="S1774" s="98"/>
      <c r="T1774" s="98" t="s">
        <v>603</v>
      </c>
      <c r="U1774" s="98"/>
      <c r="V1774" s="98">
        <v>110.0</v>
      </c>
      <c r="W1774" s="98"/>
      <c r="X1774" s="98" t="s">
        <v>603</v>
      </c>
      <c r="Y1774" s="98"/>
      <c r="Z1774" s="98">
        <v>190.0</v>
      </c>
      <c r="AA1774" s="98"/>
      <c r="AB1774" s="5" t="s">
        <v>466</v>
      </c>
      <c r="AC1774" s="47">
        <v>360.0</v>
      </c>
    </row>
    <row r="1775" hidden="1">
      <c r="A1775" s="222" t="str">
        <f t="array" ref="A1775:A1776">{"FormulaRow22";(INDEX(CLASSLIST,A1732,1))}</f>
        <v>FormulaRow22</v>
      </c>
      <c r="B1775" s="77" t="s">
        <v>236</v>
      </c>
      <c r="C1775" s="222" t="str">
        <f t="array" ref="C1775:C1776">{"CLASSTYPE";((INDEX(ALLCLASSDATA,MATCH("ClassType",CLASSFEATUREHEADERS,0),MATCH($A1776,CLASSNAMEHEADERS,0))))}</f>
        <v>CLASSTYPE</v>
      </c>
      <c r="D1775" s="228" t="str">
        <f t="shared" ref="D1775:E1775" si="20">{"PERCEPTION";"Perception"}</f>
        <v>PERCEPTION</v>
      </c>
      <c r="E1775" s="228" t="str">
        <f t="shared" si="20"/>
        <v>PERCEPTION</v>
      </c>
      <c r="F1775" s="230" t="str">
        <f t="array" ref="F1775:F1776">{"PERCEPTIONINITIAL";((IF(H1776=10,"T",(IF(H1776=50,"E","")))))}</f>
        <v>PERCEPTIONINITIAL</v>
      </c>
      <c r="G1775" s="230" t="str">
        <f t="array" ref="G1775:G1776">{"PERCEPTIONINITIALPTS";((IF("00"=(INDEX(ALLCLASSDATA,MATCH("PerceptionLegendary",CLASSFEATUREHEADERS,0),MATCH($A1776,CLASSNAMEHEADERS,0))),(INDEX(ALLCLASSDATA,MATCH("PerceptionLegendary",CLASSFEATUREHEADERS,0),MATCH(($A1776 &amp; "Points"),CLASSNAMEHEADERS,0))),(IF("00"=(INDEX(ALLCLASSDATA,MATCH("PerceptionMaster",CLASSFEATUREHEADERS,0),MATCH($A1776,CLASSNAMEHEADERS,0))),(INDEX(ALLCLASSDATA,MATCH("PerceptionMaster",CLASSFEATUREHEADERS,0),MATCH(($A1776 &amp; "Points"),CLASSNAMEHEADERS,0))),(IF("00"=(INDEX(ALLCLASSDATA,MATCH("PerceptionExpert",CLASSFEATUREHEADERS,0),MATCH($A1776,CLASSNAMEHEADERS,0))),(INDEX(ALLCLASSDATA,MATCH("PerceptionExpert",CLASSFEATUREHEADERS,0),MATCH(($A1776 &amp; "Points"),CLASSNAMEHEADERS,0))),(IF("00"=(INDEX(ALLCLASSDATA,MATCH("PerceptionTrained",CLASSFEATUREHEADERS,0),MATCH($A1776,CLASSNAMEHEADERS,0))),(INDEX(ALLCLASSDATA,MATCH("PerceptionTrained",CLASSFEATUREHEADERS,0),MATCH(($A1776 &amp; "Points"),CLASSNAMEHEADERS,0))),"")))))))))}</f>
        <v>PERCEPTIONINITIALPTS</v>
      </c>
      <c r="H1775" s="230" t="str">
        <f t="array" ref="H1775:H1776">{"PERCEPTIONL01";((IF("01"=(INDEX(ALLCLASSDATA,MATCH("PerceptionLegendary",CLASSFEATUREHEADERS,0),MATCH($A1776,CLASSNAMEHEADERS,0))),(INDEX(ALLCLASSDATA,MATCH("PerceptionLegendary",CLASSFEATUREHEADERS,0),MATCH(($A1776 &amp; "Points"),CLASSNAMEHEADERS,0))),(IF("01"=(INDEX(ALLCLASSDATA,MATCH("PerceptionMaster",CLASSFEATUREHEADERS,0),MATCH($A1776,CLASSNAMEHEADERS,0))),(INDEX(ALLCLASSDATA,MATCH("PerceptionMaster",CLASSFEATUREHEADERS,0),MATCH(($A1776 &amp; "Points"),CLASSNAMEHEADERS,0))),(IF("01"=(INDEX(ALLCLASSDATA,MATCH("PerceptionExpert",CLASSFEATUREHEADERS,0),MATCH($A1776,CLASSNAMEHEADERS,0))),(INDEX(ALLCLASSDATA,MATCH("PerceptionExpert",CLASSFEATUREHEADERS,0),MATCH(($A1776 &amp; "Points"),CLASSNAMEHEADERS,0))),(IF("01"=(INDEX(ALLCLASSDATA,MATCH("PerceptionTrained",CLASSFEATUREHEADERS,0),MATCH($A1776,CLASSNAMEHEADERS,0))),(INDEX(ALLCLASSDATA,MATCH("PerceptionTrained",CLASSFEATUREHEADERS,0),MATCH(($A1776 &amp; "Points"),CLASSNAMEHEADERS,0))),"")))))))))}</f>
        <v>PERCEPTIONL01</v>
      </c>
      <c r="I1775" s="230"/>
      <c r="J1775" s="230" t="str">
        <f t="array" ref="J1775:J1776">{"PERCEPTIONL03";((IF("03"=(INDEX(ALLCLASSDATA,MATCH("PerceptionLegendary",CLASSFEATUREHEADERS,0),MATCH($A1776,CLASSNAMEHEADERS,0))),(INDEX(ALLCLASSDATA,MATCH("PerceptionLegendary",CLASSFEATUREHEADERS,0),MATCH(($A1776 &amp; "Points"),CLASSNAMEHEADERS,0))),(IF("03"=(INDEX(ALLCLASSDATA,MATCH("PerceptionMaster",CLASSFEATUREHEADERS,0),MATCH($A1776,CLASSNAMEHEADERS,0))),(INDEX(ALLCLASSDATA,MATCH("PerceptionMaster",CLASSFEATUREHEADERS,0),MATCH(($A1776 &amp; "Points"),CLASSNAMEHEADERS,0))),(IF("03"=(INDEX(ALLCLASSDATA,MATCH("PerceptionExpert",CLASSFEATUREHEADERS,0),MATCH($A1776,CLASSNAMEHEADERS,0))),(INDEX(ALLCLASSDATA,MATCH("PerceptionExpert",CLASSFEATUREHEADERS,0),MATCH(($A1776 &amp; "Points"),CLASSNAMEHEADERS,0))),(IF("03"=(INDEX(ALLCLASSDATA,MATCH("PerceptionTrained",CLASSFEATUREHEADERS,0),MATCH($A1776,CLASSNAMEHEADERS,0))),(INDEX(ALLCLASSDATA,MATCH("PerceptionTrained",CLASSFEATUREHEADERS,0),MATCH(($A1776 &amp; "Points"),CLASSNAMEHEADERS,0))),"")))))))))}</f>
        <v>PERCEPTIONL03</v>
      </c>
      <c r="K1775" s="230"/>
      <c r="L1775" s="230" t="str">
        <f t="array" ref="L1775:L1776">{"PERCEPTIONL05";((IF("05"=(INDEX(ALLCLASSDATA,MATCH("PerceptionLegendary",CLASSFEATUREHEADERS,0),MATCH($A1776,CLASSNAMEHEADERS,0))),(INDEX(ALLCLASSDATA,MATCH("PerceptionLegendary",CLASSFEATUREHEADERS,0),MATCH(($A1776 &amp; "Points"),CLASSNAMEHEADERS,0))),(IF("05"=(INDEX(ALLCLASSDATA,MATCH("PerceptionMaster",CLASSFEATUREHEADERS,0),MATCH($A1776,CLASSNAMEHEADERS,0))),(INDEX(ALLCLASSDATA,MATCH("PerceptionMaster",CLASSFEATUREHEADERS,0),MATCH(($A1776 &amp; "Points"),CLASSNAMEHEADERS,0))),(IF("05"=(INDEX(ALLCLASSDATA,MATCH("PerceptionExpert",CLASSFEATUREHEADERS,0),MATCH($A1776,CLASSNAMEHEADERS,0))),(INDEX(ALLCLASSDATA,MATCH("PerceptionExpert",CLASSFEATUREHEADERS,0),MATCH(($A1776 &amp; "Points"),CLASSNAMEHEADERS,0))),(IF("05"=(INDEX(ALLCLASSDATA,MATCH("PerceptionTrained",CLASSFEATUREHEADERS,0),MATCH($A1776,CLASSNAMEHEADERS,0))),(INDEX(ALLCLASSDATA,MATCH("PerceptionTrained",CLASSFEATUREHEADERS,0),MATCH(($A1776 &amp; "Points"),CLASSNAMEHEADERS,0))),"")))))))))}</f>
        <v>PERCEPTIONL05</v>
      </c>
      <c r="M1775" s="230"/>
      <c r="N1775" s="230" t="str">
        <f t="array" ref="N1775:N1776">{"PERCEPTIONL07";((IF("07"=(INDEX(ALLCLASSDATA,MATCH("PerceptionLegendary",CLASSFEATUREHEADERS,0),MATCH($A1776,CLASSNAMEHEADERS,0))),(INDEX(ALLCLASSDATA,MATCH("PerceptionLegendary",CLASSFEATUREHEADERS,0),MATCH(($A1776 &amp; "Points"),CLASSNAMEHEADERS,0))),(IF("07"=(INDEX(ALLCLASSDATA,MATCH("PerceptionMaster",CLASSFEATUREHEADERS,0),MATCH($A1776,CLASSNAMEHEADERS,0))),(INDEX(ALLCLASSDATA,MATCH("PerceptionMaster",CLASSFEATUREHEADERS,0),MATCH(($A1776 &amp; "Points"),CLASSNAMEHEADERS,0))),(IF("07"=(INDEX(ALLCLASSDATA,MATCH("PerceptionExpert",CLASSFEATUREHEADERS,0),MATCH($A1776,CLASSNAMEHEADERS,0))),(INDEX(ALLCLASSDATA,MATCH("PerceptionExpert",CLASSFEATUREHEADERS,0),MATCH(($A1776 &amp; "Points"),CLASSNAMEHEADERS,0))),(IF("07"=(INDEX(ALLCLASSDATA,MATCH("PerceptionTrained",CLASSFEATUREHEADERS,0),MATCH($A1776,CLASSNAMEHEADERS,0))),(INDEX(ALLCLASSDATA,MATCH("PerceptionTrained",CLASSFEATUREHEADERS,0),MATCH(($A1776 &amp; "Points"),CLASSNAMEHEADERS,0))),"")))))))))}</f>
        <v>PERCEPTIONL07</v>
      </c>
      <c r="O1775" s="230"/>
      <c r="P1775" s="230" t="str">
        <f t="array" ref="P1775:P1776">{"PERCEPTIONL09";((IF("09"=(INDEX(ALLCLASSDATA,MATCH("PerceptionLegendary",CLASSFEATUREHEADERS,0),MATCH($A1776,CLASSNAMEHEADERS,0))),(INDEX(ALLCLASSDATA,MATCH("PerceptionLegendary",CLASSFEATUREHEADERS,0),MATCH(($A1776 &amp; "Points"),CLASSNAMEHEADERS,0))),(IF("09"=(INDEX(ALLCLASSDATA,MATCH("PerceptionMaster",CLASSFEATUREHEADERS,0),MATCH($A1776,CLASSNAMEHEADERS,0))),(INDEX(ALLCLASSDATA,MATCH("PerceptionMaster",CLASSFEATUREHEADERS,0),MATCH(($A1776 &amp; "Points"),CLASSNAMEHEADERS,0))),(IF("09"=(INDEX(ALLCLASSDATA,MATCH("PerceptionExpert",CLASSFEATUREHEADERS,0),MATCH($A1776,CLASSNAMEHEADERS,0))),(INDEX(ALLCLASSDATA,MATCH("PerceptionExpert",CLASSFEATUREHEADERS,0),MATCH(($A1776 &amp; "Points"),CLASSNAMEHEADERS,0))),(IF("09"=(INDEX(ALLCLASSDATA,MATCH("PerceptionTrained",CLASSFEATUREHEADERS,0),MATCH($A1776,CLASSNAMEHEADERS,0))),(INDEX(ALLCLASSDATA,MATCH("PerceptionTrained",CLASSFEATUREHEADERS,0),MATCH(($A1776 &amp; "Points"),CLASSNAMEHEADERS,0))),"")))))))))}</f>
        <v>PERCEPTIONL09</v>
      </c>
      <c r="Q1775" s="230"/>
      <c r="R1775" s="230" t="str">
        <f t="array" ref="R1775:R1776">{"PERCEPTIONL11";((IF("11"=(INDEX(ALLCLASSDATA,MATCH("PerceptionLegendary",CLASSFEATUREHEADERS,0),MATCH($A1776,CLASSNAMEHEADERS,0))),(INDEX(ALLCLASSDATA,MATCH("PerceptionLegendary",CLASSFEATUREHEADERS,0),MATCH(($A1776 &amp; "Points"),CLASSNAMEHEADERS,0))),(IF("11"=(INDEX(ALLCLASSDATA,MATCH("PerceptionMaster",CLASSFEATUREHEADERS,0),MATCH($A1776,CLASSNAMEHEADERS,0))),(INDEX(ALLCLASSDATA,MATCH("PerceptionMaster",CLASSFEATUREHEADERS,0),MATCH(($A1776 &amp; "Points"),CLASSNAMEHEADERS,0))),(IF("11"=(INDEX(ALLCLASSDATA,MATCH("PerceptionExpert",CLASSFEATUREHEADERS,0),MATCH($A1776,CLASSNAMEHEADERS,0))),(INDEX(ALLCLASSDATA,MATCH("PerceptionExpert",CLASSFEATUREHEADERS,0),MATCH(($A1776 &amp; "Points"),CLASSNAMEHEADERS,0))),(IF("11"=(INDEX(ALLCLASSDATA,MATCH("PerceptionTrained",CLASSFEATUREHEADERS,0),MATCH($A1776,CLASSNAMEHEADERS,0))),(INDEX(ALLCLASSDATA,MATCH("PerceptionTrained",CLASSFEATUREHEADERS,0),MATCH(($A1776 &amp; "Points"),CLASSNAMEHEADERS,0))),"")))))))))}</f>
        <v>PERCEPTIONL11</v>
      </c>
      <c r="S1775" s="230"/>
      <c r="T1775" s="230" t="str">
        <f t="array" ref="T1775:T1776">{"PERCEPTIONL13";((IF("13"=(INDEX(ALLCLASSDATA,MATCH("PerceptionLegendary",CLASSFEATUREHEADERS,0),MATCH($A1776,CLASSNAMEHEADERS,0))),(INDEX(ALLCLASSDATA,MATCH("PerceptionLegendary",CLASSFEATUREHEADERS,0),MATCH(($A1776 &amp; "Points"),CLASSNAMEHEADERS,0))),(IF("13"=(INDEX(ALLCLASSDATA,MATCH("PerceptionMaster",CLASSFEATUREHEADERS,0),MATCH($A1776,CLASSNAMEHEADERS,0))),(INDEX(ALLCLASSDATA,MATCH("PerceptionMaster",CLASSFEATUREHEADERS,0),MATCH(($A1776 &amp; "Points"),CLASSNAMEHEADERS,0))),(IF("13"=(INDEX(ALLCLASSDATA,MATCH("PerceptionExpert",CLASSFEATUREHEADERS,0),MATCH($A1776,CLASSNAMEHEADERS,0))),(INDEX(ALLCLASSDATA,MATCH("PerceptionExpert",CLASSFEATUREHEADERS,0),MATCH(($A1776 &amp; "Points"),CLASSNAMEHEADERS,0))),(IF("13"=(INDEX(ALLCLASSDATA,MATCH("PerceptionTrained",CLASSFEATUREHEADERS,0),MATCH($A1776,CLASSNAMEHEADERS,0))),(INDEX(ALLCLASSDATA,MATCH("PerceptionTrained",CLASSFEATUREHEADERS,0),MATCH(($A1776 &amp; "Points"),CLASSNAMEHEADERS,0))),"")))))))))}</f>
        <v>PERCEPTIONL13</v>
      </c>
      <c r="U1775" s="230"/>
      <c r="V1775" s="230" t="str">
        <f t="array" ref="V1775:V1776">{"PERCEPTIONL15";((IF("15"=(INDEX(ALLCLASSDATA,MATCH("PerceptionLegendary",CLASSFEATUREHEADERS,0),MATCH($A1776,CLASSNAMEHEADERS,0))),(INDEX(ALLCLASSDATA,MATCH("PerceptionLegendary",CLASSFEATUREHEADERS,0),MATCH(($A1776 &amp; "Points"),CLASSNAMEHEADERS,0))),(IF("15"=(INDEX(ALLCLASSDATA,MATCH("PerceptionMaster",CLASSFEATUREHEADERS,0),MATCH($A1776,CLASSNAMEHEADERS,0))),(INDEX(ALLCLASSDATA,MATCH("PerceptionMaster",CLASSFEATUREHEADERS,0),MATCH(($A1776 &amp; "Points"),CLASSNAMEHEADERS,0))),(IF("15"=(INDEX(ALLCLASSDATA,MATCH("PerceptionExpert",CLASSFEATUREHEADERS,0),MATCH($A1776,CLASSNAMEHEADERS,0))),(INDEX(ALLCLASSDATA,MATCH("PerceptionExpert",CLASSFEATUREHEADERS,0),MATCH(($A1776 &amp; "Points"),CLASSNAMEHEADERS,0))),(IF("15"=(INDEX(ALLCLASSDATA,MATCH("PerceptionTrained",CLASSFEATUREHEADERS,0),MATCH($A1776,CLASSNAMEHEADERS,0))),(INDEX(ALLCLASSDATA,MATCH("PerceptionTrained",CLASSFEATUREHEADERS,0),MATCH(($A1776 &amp; "Points"),CLASSNAMEHEADERS,0))),"")))))))))}</f>
        <v>PERCEPTIONL15</v>
      </c>
      <c r="W1775" s="230"/>
      <c r="X1775" s="230" t="str">
        <f t="array" ref="X1775:X1776">{"PERCEPTIONL17";((IF("17"=(INDEX(ALLCLASSDATA,MATCH("PerceptionLegendary",CLASSFEATUREHEADERS,0),MATCH($A1776,CLASSNAMEHEADERS,0))),(INDEX(ALLCLASSDATA,MATCH("PerceptionLegendary",CLASSFEATUREHEADERS,0),MATCH(($A1776 &amp; "Points"),CLASSNAMEHEADERS,0))),(IF("17"=(INDEX(ALLCLASSDATA,MATCH("PerceptionMaster",CLASSFEATUREHEADERS,0),MATCH($A1776,CLASSNAMEHEADERS,0))),(INDEX(ALLCLASSDATA,MATCH("PerceptionMaster",CLASSFEATUREHEADERS,0),MATCH(($A1776 &amp; "Points"),CLASSNAMEHEADERS,0))),(IF("17"=(INDEX(ALLCLASSDATA,MATCH("PerceptionExpert",CLASSFEATUREHEADERS,0),MATCH($A1776,CLASSNAMEHEADERS,0))),(INDEX(ALLCLASSDATA,MATCH("PerceptionExpert",CLASSFEATUREHEADERS,0),MATCH(($A1776 &amp; "Points"),CLASSNAMEHEADERS,0))),(IF("17"=(INDEX(ALLCLASSDATA,MATCH("PerceptionTrained",CLASSFEATUREHEADERS,0),MATCH($A1776,CLASSNAMEHEADERS,0))),(INDEX(ALLCLASSDATA,MATCH("PerceptionTrained",CLASSFEATUREHEADERS,0),MATCH(($A1776 &amp; "Points"),CLASSNAMEHEADERS,0))),"")))))))))}</f>
        <v>PERCEPTIONL17</v>
      </c>
      <c r="Y1775" s="230"/>
      <c r="Z1775" s="230" t="str">
        <f t="array" ref="Z1775:Z1776">{"PERCEPTIONL19";((IF("19"=(INDEX(ALLCLASSDATA,MATCH("PerceptionLegendary",CLASSFEATUREHEADERS,0),MATCH($A1776,CLASSNAMEHEADERS,0))),(INDEX(ALLCLASSDATA,MATCH("PerceptionLegendary",CLASSFEATUREHEADERS,0),MATCH(($A1776 &amp; "Points"),CLASSNAMEHEADERS,0))),(IF("19"=(INDEX(ALLCLASSDATA,MATCH("PerceptionMaster",CLASSFEATUREHEADERS,0),MATCH($A1776,CLASSNAMEHEADERS,0))),(INDEX(ALLCLASSDATA,MATCH("PerceptionMaster",CLASSFEATUREHEADERS,0),MATCH(($A1776 &amp; "Points"),CLASSNAMEHEADERS,0))),(IF("19"=(INDEX(ALLCLASSDATA,MATCH("PerceptionExpert",CLASSFEATUREHEADERS,0),MATCH($A1776,CLASSNAMEHEADERS,0))),(INDEX(ALLCLASSDATA,MATCH("PerceptionExpert",CLASSFEATUREHEADERS,0),MATCH(($A1776 &amp; "Points"),CLASSNAMEHEADERS,0))),(IF("19"=(INDEX(ALLCLASSDATA,MATCH("PerceptionTrained",CLASSFEATUREHEADERS,0),MATCH($A1776,CLASSNAMEHEADERS,0))),(INDEX(ALLCLASSDATA,MATCH("PerceptionTrained",CLASSFEATUREHEADERS,0),MATCH(($A1776 &amp; "Points"),CLASSNAMEHEADERS,0))),"")))))))))}</f>
        <v>PERCEPTIONL19</v>
      </c>
      <c r="AA1775" s="230"/>
      <c r="AB1775" s="76" t="str">
        <f t="array" ref="AB1775:AB1776">{"PERCEPTION TOTAL";(IF(COUNTBLANK(G1776:AA1776)=17,"L",(IF(COUNTBLANK(G1776:AA1776)=18,"M",(IF(COUNTBLANK(G1776:AA1776)=19,"E",(IF(COUNTBLANK(G1776:AA1776)=20,"T",""))))))))}</f>
        <v>PERCEPTION TOTAL</v>
      </c>
      <c r="AC1775" s="76" t="str">
        <f t="array" ref="AC1775:AC1776">{"PERCEPTION TOTAL";(sum(G1776:AA1776))}</f>
        <v>PERCEPTION TOTAL</v>
      </c>
    </row>
    <row r="1776">
      <c r="A1776" s="48" t="s">
        <v>227</v>
      </c>
      <c r="B1776" s="48"/>
      <c r="C1776" s="48" t="s">
        <v>418</v>
      </c>
      <c r="D1776" s="97" t="s">
        <v>637</v>
      </c>
      <c r="E1776" s="97" t="s">
        <v>637</v>
      </c>
      <c r="F1776" s="98" t="s">
        <v>435</v>
      </c>
      <c r="G1776" s="132" t="s">
        <v>603</v>
      </c>
      <c r="H1776" s="98">
        <v>10.0</v>
      </c>
      <c r="I1776" s="98"/>
      <c r="J1776" s="98" t="s">
        <v>603</v>
      </c>
      <c r="K1776" s="98"/>
      <c r="L1776" s="98" t="s">
        <v>603</v>
      </c>
      <c r="M1776" s="98"/>
      <c r="N1776" s="98" t="s">
        <v>603</v>
      </c>
      <c r="O1776" s="98"/>
      <c r="P1776" s="98" t="s">
        <v>603</v>
      </c>
      <c r="Q1776" s="98"/>
      <c r="R1776" s="98">
        <v>50.0</v>
      </c>
      <c r="S1776" s="98"/>
      <c r="T1776" s="98" t="s">
        <v>603</v>
      </c>
      <c r="U1776" s="98"/>
      <c r="V1776" s="98" t="s">
        <v>603</v>
      </c>
      <c r="W1776" s="98"/>
      <c r="X1776" s="98" t="s">
        <v>603</v>
      </c>
      <c r="Y1776" s="98"/>
      <c r="Z1776" s="98" t="s">
        <v>603</v>
      </c>
      <c r="AA1776" s="98"/>
      <c r="AB1776" s="5" t="s">
        <v>436</v>
      </c>
      <c r="AC1776" s="47">
        <v>60.0</v>
      </c>
    </row>
    <row r="1777" hidden="1">
      <c r="A1777" s="222" t="str">
        <f t="array" ref="A1777:A1778">{"FormulaRow23";(INDEX(CLASSLIST,A1732,1))}</f>
        <v>FormulaRow23</v>
      </c>
      <c r="B1777" s="77" t="s">
        <v>236</v>
      </c>
      <c r="C1777" s="222" t="str">
        <f t="array" ref="C1777:C1778">{"CLASSTYPE";((INDEX(ALLCLASSDATA,MATCH("ClassType",CLASSFEATUREHEADERS,0),MATCH($A1778,CLASSNAMEHEADERS,0))))}</f>
        <v>CLASSTYPE</v>
      </c>
      <c r="D1777" s="228" t="str">
        <f t="array" ref="D1777:D1778">{"SAVES";"Saves"}</f>
        <v>SAVES</v>
      </c>
      <c r="E1777" s="228" t="str">
        <f t="array" ref="E1777:E1778">{"FORTITUDESAVE";"FortitudeSave"}</f>
        <v>FORTITUDESAVE</v>
      </c>
      <c r="F1777" s="230" t="str">
        <f t="array" ref="F1777:F1778">{"FORTITUDEINITIAL";((IF(H1778=10,"T",(IF(H1778=50,"E","")))))}</f>
        <v>FORTITUDEINITIAL</v>
      </c>
      <c r="G1777" s="230" t="str">
        <f t="array" ref="G1777:G1778">{"FORTITUDEINITIALPTS";((IF("00"=(INDEX(ALLCLASSDATA,MATCH("FortitudeSaveLegendary",CLASSFEATUREHEADERS,0),MATCH($A1778,CLASSNAMEHEADERS,0))),(INDEX(ALLCLASSDATA,MATCH("FortitudeSaveLegendary",CLASSFEATUREHEADERS,0),MATCH(($A1778 &amp; "Points"),CLASSNAMEHEADERS,0))),(IF("00"=(INDEX(ALLCLASSDATA,MATCH("FortitudeSaveMaster",CLASSFEATUREHEADERS,0),MATCH($A1778,CLASSNAMEHEADERS,0))),(INDEX(ALLCLASSDATA,MATCH("FortitudeSaveMaster",CLASSFEATUREHEADERS,0),MATCH(($A1778 &amp; "Points"),CLASSNAMEHEADERS,0))),(IF("00"=(INDEX(ALLCLASSDATA,MATCH("FortitudeSaveExpert",CLASSFEATUREHEADERS,0),MATCH($A1778,CLASSNAMEHEADERS,0))),(INDEX(ALLCLASSDATA,MATCH("FortitudeSaveExpert",CLASSFEATUREHEADERS,0),MATCH(($A1778 &amp; "Points"),CLASSNAMEHEADERS,0))),(IF("00"=(INDEX(ALLCLASSDATA,MATCH("FortitudeSaveTrained",CLASSFEATUREHEADERS,0),MATCH($A1778,CLASSNAMEHEADERS,0))),(INDEX(ALLCLASSDATA,MATCH("FortitudeSaveTrained",CLASSFEATUREHEADERS,0),MATCH(($A1778 &amp; "Points"),CLASSNAMEHEADERS,0))),"")))))))))}</f>
        <v>FORTITUDEINITIALPTS</v>
      </c>
      <c r="H1777" s="230" t="str">
        <f t="array" ref="H1777:H1778">{"FORTITUDEL01";((IF("01"=(INDEX(ALLCLASSDATA,MATCH("FortitudeSaveLegendary",CLASSFEATUREHEADERS,0),MATCH($A1778,CLASSNAMEHEADERS,0))),(INDEX(ALLCLASSDATA,MATCH("FortitudeSaveLegendary",CLASSFEATUREHEADERS,0),MATCH(($A1778 &amp; "Points"),CLASSNAMEHEADERS,0))),(IF("01"=(INDEX(ALLCLASSDATA,MATCH("FortitudeSaveMaster",CLASSFEATUREHEADERS,0),MATCH($A1778,CLASSNAMEHEADERS,0))),(INDEX(ALLCLASSDATA,MATCH("FortitudeSaveMaster",CLASSFEATUREHEADERS,0),MATCH(($A1778 &amp; "Points"),CLASSNAMEHEADERS,0))),(IF("01"=(INDEX(ALLCLASSDATA,MATCH("FortitudeSaveExpert",CLASSFEATUREHEADERS,0),MATCH($A1778,CLASSNAMEHEADERS,0))),(INDEX(ALLCLASSDATA,MATCH("FortitudeSaveExpert",CLASSFEATUREHEADERS,0),MATCH(($A1778 &amp; "Points"),CLASSNAMEHEADERS,0))),(IF("01"=(INDEX(ALLCLASSDATA,MATCH("FortitudeSaveTrained",CLASSFEATUREHEADERS,0),MATCH($A1778,CLASSNAMEHEADERS,0))),(INDEX(ALLCLASSDATA,MATCH("FortitudeSaveTrained",CLASSFEATUREHEADERS,0),MATCH(($A1778 &amp; "Points"),CLASSNAMEHEADERS,0))),"")))))))))}</f>
        <v>FORTITUDEL01</v>
      </c>
      <c r="I1777" s="230"/>
      <c r="J1777" s="230" t="str">
        <f t="array" ref="J1777:J1778">{"FORTITUDEL03";((IF("03"=(INDEX(ALLCLASSDATA,MATCH("FortitudeSaveLegendary",CLASSFEATUREHEADERS,0),MATCH($A1778,CLASSNAMEHEADERS,0))),(INDEX(ALLCLASSDATA,MATCH("FortitudeSaveLegendary",CLASSFEATUREHEADERS,0),MATCH(($A1778 &amp; "Points"),CLASSNAMEHEADERS,0))),(IF("03"=(INDEX(ALLCLASSDATA,MATCH("FortitudeSaveMaster",CLASSFEATUREHEADERS,0),MATCH($A1778,CLASSNAMEHEADERS,0))),(INDEX(ALLCLASSDATA,MATCH("FortitudeSaveMaster",CLASSFEATUREHEADERS,0),MATCH(($A1778 &amp; "Points"),CLASSNAMEHEADERS,0))),(IF("03"=(INDEX(ALLCLASSDATA,MATCH("FortitudeSaveExpert",CLASSFEATUREHEADERS,0),MATCH($A1778,CLASSNAMEHEADERS,0))),(INDEX(ALLCLASSDATA,MATCH("FortitudeSaveExpert",CLASSFEATUREHEADERS,0),MATCH(($A1778 &amp; "Points"),CLASSNAMEHEADERS,0))),(IF("03"=(INDEX(ALLCLASSDATA,MATCH("FortitudeSaveTrained",CLASSFEATUREHEADERS,0),MATCH($A1778,CLASSNAMEHEADERS,0))),(INDEX(ALLCLASSDATA,MATCH("FortitudeSaveTrained",CLASSFEATUREHEADERS,0),MATCH(($A1778 &amp; "Points"),CLASSNAMEHEADERS,0))),"")))))))))}</f>
        <v>FORTITUDEL03</v>
      </c>
      <c r="K1777" s="230"/>
      <c r="L1777" s="230" t="str">
        <f t="array" ref="L1777:L1778">{"FORTITUDEL05";((IF("05"=(INDEX(ALLCLASSDATA,MATCH("FortitudeSaveLegendary",CLASSFEATUREHEADERS,0),MATCH($A1778,CLASSNAMEHEADERS,0))),(INDEX(ALLCLASSDATA,MATCH("FortitudeSaveLegendary",CLASSFEATUREHEADERS,0),MATCH(($A1778 &amp; "Points"),CLASSNAMEHEADERS,0))),(IF("05"=(INDEX(ALLCLASSDATA,MATCH("FortitudeSaveMaster",CLASSFEATUREHEADERS,0),MATCH($A1778,CLASSNAMEHEADERS,0))),(INDEX(ALLCLASSDATA,MATCH("FortitudeSaveMaster",CLASSFEATUREHEADERS,0),MATCH(($A1778 &amp; "Points"),CLASSNAMEHEADERS,0))),(IF("05"=(INDEX(ALLCLASSDATA,MATCH("FortitudeSaveExpert",CLASSFEATUREHEADERS,0),MATCH($A1778,CLASSNAMEHEADERS,0))),(INDEX(ALLCLASSDATA,MATCH("FortitudeSaveExpert",CLASSFEATUREHEADERS,0),MATCH(($A1778 &amp; "Points"),CLASSNAMEHEADERS,0))),(IF("05"=(INDEX(ALLCLASSDATA,MATCH("FortitudeSaveTrained",CLASSFEATUREHEADERS,0),MATCH($A1778,CLASSNAMEHEADERS,0))),(INDEX(ALLCLASSDATA,MATCH("FortitudeSaveTrained",CLASSFEATUREHEADERS,0),MATCH(($A1778 &amp; "Points"),CLASSNAMEHEADERS,0))),"")))))))))}</f>
        <v>FORTITUDEL05</v>
      </c>
      <c r="M1777" s="230"/>
      <c r="N1777" s="230" t="str">
        <f t="array" ref="N1777:N1778">{"FORTITUDEL07";((IF("07"=(INDEX(ALLCLASSDATA,MATCH("FortitudeSaveLegendary",CLASSFEATUREHEADERS,0),MATCH($A1778,CLASSNAMEHEADERS,0))),(INDEX(ALLCLASSDATA,MATCH("FortitudeSaveLegendary",CLASSFEATUREHEADERS,0),MATCH(($A1778 &amp; "Points"),CLASSNAMEHEADERS,0))),(IF("07"=(INDEX(ALLCLASSDATA,MATCH("FortitudeSaveMaster",CLASSFEATUREHEADERS,0),MATCH($A1778,CLASSNAMEHEADERS,0))),(INDEX(ALLCLASSDATA,MATCH("FortitudeSaveMaster",CLASSFEATUREHEADERS,0),MATCH(($A1778 &amp; "Points"),CLASSNAMEHEADERS,0))),(IF("07"=(INDEX(ALLCLASSDATA,MATCH("FortitudeSaveExpert",CLASSFEATUREHEADERS,0),MATCH($A1778,CLASSNAMEHEADERS,0))),(INDEX(ALLCLASSDATA,MATCH("FortitudeSaveExpert",CLASSFEATUREHEADERS,0),MATCH(($A1778 &amp; "Points"),CLASSNAMEHEADERS,0))),(IF("07"=(INDEX(ALLCLASSDATA,MATCH("FortitudeSaveTrained",CLASSFEATUREHEADERS,0),MATCH($A1778,CLASSNAMEHEADERS,0))),(INDEX(ALLCLASSDATA,MATCH("FortitudeSaveTrained",CLASSFEATUREHEADERS,0),MATCH(($A1778 &amp; "Points"),CLASSNAMEHEADERS,0))),"")))))))))}</f>
        <v>FORTITUDEL07</v>
      </c>
      <c r="O1777" s="230"/>
      <c r="P1777" s="230" t="str">
        <f t="array" ref="P1777:P1778">{"FORTITUDEL09";((IF("09"=(INDEX(ALLCLASSDATA,MATCH("FortitudeSaveLegendary",CLASSFEATUREHEADERS,0),MATCH($A1778,CLASSNAMEHEADERS,0))),(INDEX(ALLCLASSDATA,MATCH("FortitudeSaveLegendary",CLASSFEATUREHEADERS,0),MATCH(($A1778 &amp; "Points"),CLASSNAMEHEADERS,0))),(IF("09"=(INDEX(ALLCLASSDATA,MATCH("FortitudeSaveMaster",CLASSFEATUREHEADERS,0),MATCH($A1778,CLASSNAMEHEADERS,0))),(INDEX(ALLCLASSDATA,MATCH("FortitudeSaveMaster",CLASSFEATUREHEADERS,0),MATCH(($A1778 &amp; "Points"),CLASSNAMEHEADERS,0))),(IF("09"=(INDEX(ALLCLASSDATA,MATCH("FortitudeSaveExpert",CLASSFEATUREHEADERS,0),MATCH($A1778,CLASSNAMEHEADERS,0))),(INDEX(ALLCLASSDATA,MATCH("FortitudeSaveExpert",CLASSFEATUREHEADERS,0),MATCH(($A1778 &amp; "Points"),CLASSNAMEHEADERS,0))),(IF("09"=(INDEX(ALLCLASSDATA,MATCH("FortitudeSaveTrained",CLASSFEATUREHEADERS,0),MATCH($A1778,CLASSNAMEHEADERS,0))),(INDEX(ALLCLASSDATA,MATCH("FortitudeSaveTrained",CLASSFEATUREHEADERS,0),MATCH(($A1778 &amp; "Points"),CLASSNAMEHEADERS,0))),"")))))))))}</f>
        <v>FORTITUDEL09</v>
      </c>
      <c r="Q1777" s="230"/>
      <c r="R1777" s="230" t="str">
        <f t="array" ref="R1777:R1778">{"FORTITUDEL11";((IF("11"=(INDEX(ALLCLASSDATA,MATCH("FortitudeSaveLegendary",CLASSFEATUREHEADERS,0),MATCH($A1778,CLASSNAMEHEADERS,0))),(INDEX(ALLCLASSDATA,MATCH("FortitudeSaveLegendary",CLASSFEATUREHEADERS,0),MATCH(($A1778 &amp; "Points"),CLASSNAMEHEADERS,0))),(IF("11"=(INDEX(ALLCLASSDATA,MATCH("FortitudeSaveMaster",CLASSFEATUREHEADERS,0),MATCH($A1778,CLASSNAMEHEADERS,0))),(INDEX(ALLCLASSDATA,MATCH("FortitudeSaveMaster",CLASSFEATUREHEADERS,0),MATCH(($A1778 &amp; "Points"),CLASSNAMEHEADERS,0))),(IF("11"=(INDEX(ALLCLASSDATA,MATCH("FortitudeSaveExpert",CLASSFEATUREHEADERS,0),MATCH($A1778,CLASSNAMEHEADERS,0))),(INDEX(ALLCLASSDATA,MATCH("FortitudeSaveExpert",CLASSFEATUREHEADERS,0),MATCH(($A1778 &amp; "Points"),CLASSNAMEHEADERS,0))),(IF("11"=(INDEX(ALLCLASSDATA,MATCH("FortitudeSaveTrained",CLASSFEATUREHEADERS,0),MATCH($A1778,CLASSNAMEHEADERS,0))),(INDEX(ALLCLASSDATA,MATCH("FortitudeSaveTrained",CLASSFEATUREHEADERS,0),MATCH(($A1778 &amp; "Points"),CLASSNAMEHEADERS,0))),"")))))))))}</f>
        <v>FORTITUDEL11</v>
      </c>
      <c r="S1777" s="230"/>
      <c r="T1777" s="230" t="str">
        <f t="array" ref="T1777:T1778">{"FORTITUDEL13";((IF("13"=(INDEX(ALLCLASSDATA,MATCH("FortitudeSaveLegendary",CLASSFEATUREHEADERS,0),MATCH($A1778,CLASSNAMEHEADERS,0))),(INDEX(ALLCLASSDATA,MATCH("FortitudeSaveLegendary",CLASSFEATUREHEADERS,0),MATCH(($A1778 &amp; "Points"),CLASSNAMEHEADERS,0))),(IF("13"=(INDEX(ALLCLASSDATA,MATCH("FortitudeSaveMaster",CLASSFEATUREHEADERS,0),MATCH($A1778,CLASSNAMEHEADERS,0))),(INDEX(ALLCLASSDATA,MATCH("FortitudeSaveMaster",CLASSFEATUREHEADERS,0),MATCH(($A1778 &amp; "Points"),CLASSNAMEHEADERS,0))),(IF("13"=(INDEX(ALLCLASSDATA,MATCH("FortitudeSaveExpert",CLASSFEATUREHEADERS,0),MATCH($A1778,CLASSNAMEHEADERS,0))),(INDEX(ALLCLASSDATA,MATCH("FortitudeSaveExpert",CLASSFEATUREHEADERS,0),MATCH(($A1778 &amp; "Points"),CLASSNAMEHEADERS,0))),(IF("13"=(INDEX(ALLCLASSDATA,MATCH("FortitudeSaveTrained",CLASSFEATUREHEADERS,0),MATCH($A1778,CLASSNAMEHEADERS,0))),(INDEX(ALLCLASSDATA,MATCH("FortitudeSaveTrained",CLASSFEATUREHEADERS,0),MATCH(($A1778 &amp; "Points"),CLASSNAMEHEADERS,0))),"")))))))))}</f>
        <v>FORTITUDEL13</v>
      </c>
      <c r="U1777" s="230"/>
      <c r="V1777" s="230" t="str">
        <f t="array" ref="V1777:V1778">{"FORTITUDEL15";((IF("15"=(INDEX(ALLCLASSDATA,MATCH("FortitudeSaveLegendary",CLASSFEATUREHEADERS,0),MATCH($A1778,CLASSNAMEHEADERS,0))),(INDEX(ALLCLASSDATA,MATCH("FortitudeSaveLegendary",CLASSFEATUREHEADERS,0),MATCH(($A1778 &amp; "Points"),CLASSNAMEHEADERS,0))),(IF("15"=(INDEX(ALLCLASSDATA,MATCH("FortitudeSaveMaster",CLASSFEATUREHEADERS,0),MATCH($A1778,CLASSNAMEHEADERS,0))),(INDEX(ALLCLASSDATA,MATCH("FortitudeSaveMaster",CLASSFEATUREHEADERS,0),MATCH(($A1778 &amp; "Points"),CLASSNAMEHEADERS,0))),(IF("15"=(INDEX(ALLCLASSDATA,MATCH("FortitudeSaveExpert",CLASSFEATUREHEADERS,0),MATCH($A1778,CLASSNAMEHEADERS,0))),(INDEX(ALLCLASSDATA,MATCH("FortitudeSaveExpert",CLASSFEATUREHEADERS,0),MATCH(($A1778 &amp; "Points"),CLASSNAMEHEADERS,0))),(IF("15"=(INDEX(ALLCLASSDATA,MATCH("FortitudeSaveTrained",CLASSFEATUREHEADERS,0),MATCH($A1778,CLASSNAMEHEADERS,0))),(INDEX(ALLCLASSDATA,MATCH("FortitudeSaveTrained",CLASSFEATUREHEADERS,0),MATCH(($A1778 &amp; "Points"),CLASSNAMEHEADERS,0))),"")))))))))}</f>
        <v>FORTITUDEL15</v>
      </c>
      <c r="W1777" s="230"/>
      <c r="X1777" s="230" t="str">
        <f t="array" ref="X1777:X1778">{"FORTITUDEL17";((IF("17"=(INDEX(ALLCLASSDATA,MATCH("FortitudeSaveLegendary",CLASSFEATUREHEADERS,0),MATCH($A1778,CLASSNAMEHEADERS,0))),(INDEX(ALLCLASSDATA,MATCH("FortitudeSaveLegendary",CLASSFEATUREHEADERS,0),MATCH(($A1778 &amp; "Points"),CLASSNAMEHEADERS,0))),(IF("17"=(INDEX(ALLCLASSDATA,MATCH("FortitudeSaveMaster",CLASSFEATUREHEADERS,0),MATCH($A1778,CLASSNAMEHEADERS,0))),(INDEX(ALLCLASSDATA,MATCH("FortitudeSaveMaster",CLASSFEATUREHEADERS,0),MATCH(($A1778 &amp; "Points"),CLASSNAMEHEADERS,0))),(IF("17"=(INDEX(ALLCLASSDATA,MATCH("FortitudeSaveExpert",CLASSFEATUREHEADERS,0),MATCH($A1778,CLASSNAMEHEADERS,0))),(INDEX(ALLCLASSDATA,MATCH("FortitudeSaveExpert",CLASSFEATUREHEADERS,0),MATCH(($A1778 &amp; "Points"),CLASSNAMEHEADERS,0))),(IF("17"=(INDEX(ALLCLASSDATA,MATCH("FortitudeSaveTrained",CLASSFEATUREHEADERS,0),MATCH($A1778,CLASSNAMEHEADERS,0))),(INDEX(ALLCLASSDATA,MATCH("FortitudeSaveTrained",CLASSFEATUREHEADERS,0),MATCH(($A1778 &amp; "Points"),CLASSNAMEHEADERS,0))),"")))))))))}</f>
        <v>FORTITUDEL17</v>
      </c>
      <c r="Y1777" s="230"/>
      <c r="Z1777" s="230" t="str">
        <f t="array" ref="Z1777:Z1778">{"FORTITUDEL19";((IF("19"=(INDEX(ALLCLASSDATA,MATCH("FortitudeSaveLegendary",CLASSFEATUREHEADERS,0),MATCH($A1778,CLASSNAMEHEADERS,0))),(INDEX(ALLCLASSDATA,MATCH("FortitudeSaveLegendary",CLASSFEATUREHEADERS,0),MATCH(($A1778 &amp; "Points"),CLASSNAMEHEADERS,0))),(IF("19"=(INDEX(ALLCLASSDATA,MATCH("FortitudeSaveMaster",CLASSFEATUREHEADERS,0),MATCH($A1778,CLASSNAMEHEADERS,0))),(INDEX(ALLCLASSDATA,MATCH("FortitudeSaveMaster",CLASSFEATUREHEADERS,0),MATCH(($A1778 &amp; "Points"),CLASSNAMEHEADERS,0))),(IF("19"=(INDEX(ALLCLASSDATA,MATCH("FortitudeSaveExpert",CLASSFEATUREHEADERS,0),MATCH($A1778,CLASSNAMEHEADERS,0))),(INDEX(ALLCLASSDATA,MATCH("FortitudeSaveExpert",CLASSFEATUREHEADERS,0),MATCH(($A1778 &amp; "Points"),CLASSNAMEHEADERS,0))),(IF("19"=(INDEX(ALLCLASSDATA,MATCH("FortitudeSaveTrained",CLASSFEATUREHEADERS,0),MATCH($A1778,CLASSNAMEHEADERS,0))),(INDEX(ALLCLASSDATA,MATCH("FortitudeSaveTrained",CLASSFEATUREHEADERS,0),MATCH(($A1778 &amp; "Points"),CLASSNAMEHEADERS,0))),"")))))))))}</f>
        <v>FORTITUDEL19</v>
      </c>
      <c r="AA1777" s="230"/>
      <c r="AB1777" s="76" t="str">
        <f t="array" ref="AB1777:AB1778">{"FORTITUDE TOTAL";(IF(COUNTBLANK(G1778:AA1778)=17,"L",(IF(COUNTBLANK(G1778:AA1778)=18,"M",(IF(COUNTBLANK(G1778:AA1778)=19,"E",(IF(COUNTBLANK(G1778:AA1778)=20,"T",""))))))))}</f>
        <v>FORTITUDE TOTAL</v>
      </c>
      <c r="AC1777" s="76" t="str">
        <f t="array" ref="AC1777:AC1778">{"FORTITUDE TOTAL";(sum(G1778:AA1778))}</f>
        <v>FORTITUDE TOTAL</v>
      </c>
    </row>
    <row r="1778">
      <c r="A1778" s="48" t="s">
        <v>227</v>
      </c>
      <c r="B1778" s="48"/>
      <c r="C1778" s="48" t="s">
        <v>418</v>
      </c>
      <c r="D1778" s="48" t="s">
        <v>1549</v>
      </c>
      <c r="E1778" s="48" t="s">
        <v>1550</v>
      </c>
      <c r="F1778" s="5" t="s">
        <v>435</v>
      </c>
      <c r="G1778" s="47" t="s">
        <v>603</v>
      </c>
      <c r="H1778" s="5">
        <v>10.0</v>
      </c>
      <c r="I1778" s="5"/>
      <c r="J1778" s="5" t="s">
        <v>603</v>
      </c>
      <c r="K1778" s="5"/>
      <c r="L1778" s="5" t="s">
        <v>603</v>
      </c>
      <c r="M1778" s="5"/>
      <c r="N1778" s="5" t="s">
        <v>603</v>
      </c>
      <c r="O1778" s="5"/>
      <c r="P1778" s="5">
        <v>50.0</v>
      </c>
      <c r="Q1778" s="5"/>
      <c r="R1778" s="5" t="s">
        <v>603</v>
      </c>
      <c r="S1778" s="5"/>
      <c r="T1778" s="5" t="s">
        <v>603</v>
      </c>
      <c r="U1778" s="5"/>
      <c r="V1778" s="5" t="s">
        <v>603</v>
      </c>
      <c r="W1778" s="5"/>
      <c r="X1778" s="5" t="s">
        <v>603</v>
      </c>
      <c r="Y1778" s="5"/>
      <c r="Z1778" s="5" t="s">
        <v>603</v>
      </c>
      <c r="AA1778" s="5"/>
      <c r="AB1778" s="5" t="s">
        <v>436</v>
      </c>
      <c r="AC1778" s="47">
        <v>60.0</v>
      </c>
    </row>
    <row r="1779" hidden="1">
      <c r="A1779" s="222" t="str">
        <f t="array" ref="A1779:A1780">{"FormulaRow24";(INDEX(CLASSLIST,A1732,1))}</f>
        <v>FormulaRow24</v>
      </c>
      <c r="B1779" s="77" t="s">
        <v>236</v>
      </c>
      <c r="C1779" s="222" t="str">
        <f t="array" ref="C1779:C1780">{"CLASSTYPE";((INDEX(ALLCLASSDATA,MATCH("ClassType",CLASSFEATUREHEADERS,0),MATCH($A1780,CLASSNAMEHEADERS,0))))}</f>
        <v>CLASSTYPE</v>
      </c>
      <c r="D1779" s="222" t="str">
        <f t="array" ref="D1779:D1780">{"SAVES";"Saves"}</f>
        <v>SAVES</v>
      </c>
      <c r="E1779" s="222" t="str">
        <f t="array" ref="E1779:E1780">{"REFLEXSAVE";"ReflexSave"}</f>
        <v>REFLEXSAVE</v>
      </c>
      <c r="F1779" s="223" t="str">
        <f t="array" ref="F1779:F1780">{"REFLEXINITIAL";((IF(H1780=10,"T",(IF(H1780=50,"E","")))))}</f>
        <v>REFLEXINITIAL</v>
      </c>
      <c r="G1779" s="223" t="str">
        <f t="array" ref="G1779:G1780">{"REFLEXINITIALPTS";((IF("00"=(INDEX(ALLCLASSDATA,MATCH("ReflexSaveLegendary",CLASSFEATUREHEADERS,0),MATCH($A1780,CLASSNAMEHEADERS,0))),(INDEX(ALLCLASSDATA,MATCH("ReflexSaveLegendary",CLASSFEATUREHEADERS,0),MATCH(($A1780 &amp; "Points"),CLASSNAMEHEADERS,0))),(IF("00"=(INDEX(ALLCLASSDATA,MATCH("ReflexSaveMaster",CLASSFEATUREHEADERS,0),MATCH($A1780,CLASSNAMEHEADERS,0))),(INDEX(ALLCLASSDATA,MATCH("ReflexSaveMaster",CLASSFEATUREHEADERS,0),MATCH(($A1780 &amp; "Points"),CLASSNAMEHEADERS,0))),(IF("00"=(INDEX(ALLCLASSDATA,MATCH("ReflexSaveExpert",CLASSFEATUREHEADERS,0),MATCH($A1780,CLASSNAMEHEADERS,0))),(INDEX(ALLCLASSDATA,MATCH("ReflexSaveExpert",CLASSFEATUREHEADERS,0),MATCH(($A1780 &amp; "Points"),CLASSNAMEHEADERS,0))),(IF("00"=(INDEX(ALLCLASSDATA,MATCH("ReflexSaveTrained",CLASSFEATUREHEADERS,0),MATCH($A1780,CLASSNAMEHEADERS,0))),(INDEX(ALLCLASSDATA,MATCH("ReflexSaveTrained",CLASSFEATUREHEADERS,0),MATCH(($A1780 &amp; "Points"),CLASSNAMEHEADERS,0))),"")))))))))}</f>
        <v>REFLEXINITIALPTS</v>
      </c>
      <c r="H1779" s="223" t="str">
        <f t="array" ref="H1779:H1780">{"REFLEXL01";((IF("01"=(INDEX(ALLCLASSDATA,MATCH("ReflexSaveLegendary",CLASSFEATUREHEADERS,0),MATCH($A1780,CLASSNAMEHEADERS,0))),(INDEX(ALLCLASSDATA,MATCH("ReflexSaveLegendary",CLASSFEATUREHEADERS,0),MATCH(($A1780 &amp; "Points"),CLASSNAMEHEADERS,0))),(IF("01"=(INDEX(ALLCLASSDATA,MATCH("ReflexSaveMaster",CLASSFEATUREHEADERS,0),MATCH($A1780,CLASSNAMEHEADERS,0))),(INDEX(ALLCLASSDATA,MATCH("ReflexSaveMaster",CLASSFEATUREHEADERS,0),MATCH(($A1780 &amp; "Points"),CLASSNAMEHEADERS,0))),(IF("01"=(INDEX(ALLCLASSDATA,MATCH("ReflexSaveExpert",CLASSFEATUREHEADERS,0),MATCH($A1780,CLASSNAMEHEADERS,0))),(INDEX(ALLCLASSDATA,MATCH("ReflexSaveExpert",CLASSFEATUREHEADERS,0),MATCH(($A1780 &amp; "Points"),CLASSNAMEHEADERS,0))),(IF("01"=(INDEX(ALLCLASSDATA,MATCH("ReflexSaveTrained",CLASSFEATUREHEADERS,0),MATCH($A1780,CLASSNAMEHEADERS,0))),(INDEX(ALLCLASSDATA,MATCH("ReflexSaveTrained",CLASSFEATUREHEADERS,0),MATCH(($A1780 &amp; "Points"),CLASSNAMEHEADERS,0))),"")))))))))}</f>
        <v>REFLEXL01</v>
      </c>
      <c r="I1779" s="223"/>
      <c r="J1779" s="223" t="str">
        <f t="array" ref="J1779:J1780">{"REFLEXL03";((IF("03"=(INDEX(ALLCLASSDATA,MATCH("ReflexSaveLegendary",CLASSFEATUREHEADERS,0),MATCH($A1780,CLASSNAMEHEADERS,0))),(INDEX(ALLCLASSDATA,MATCH("ReflexSaveLegendary",CLASSFEATUREHEADERS,0),MATCH(($A1780 &amp; "Points"),CLASSNAMEHEADERS,0))),(IF("03"=(INDEX(ALLCLASSDATA,MATCH("ReflexSaveMaster",CLASSFEATUREHEADERS,0),MATCH($A1780,CLASSNAMEHEADERS,0))),(INDEX(ALLCLASSDATA,MATCH("ReflexSaveMaster",CLASSFEATUREHEADERS,0),MATCH(($A1780 &amp; "Points"),CLASSNAMEHEADERS,0))),(IF("03"=(INDEX(ALLCLASSDATA,MATCH("ReflexSaveExpert",CLASSFEATUREHEADERS,0),MATCH($A1780,CLASSNAMEHEADERS,0))),(INDEX(ALLCLASSDATA,MATCH("ReflexSaveExpert",CLASSFEATUREHEADERS,0),MATCH(($A1780 &amp; "Points"),CLASSNAMEHEADERS,0))),(IF("03"=(INDEX(ALLCLASSDATA,MATCH("ReflexSaveTrained",CLASSFEATUREHEADERS,0),MATCH($A1780,CLASSNAMEHEADERS,0))),(INDEX(ALLCLASSDATA,MATCH("ReflexSaveTrained",CLASSFEATUREHEADERS,0),MATCH(($A1780 &amp; "Points"),CLASSNAMEHEADERS,0))),"")))))))))}</f>
        <v>REFLEXL03</v>
      </c>
      <c r="K1779" s="223"/>
      <c r="L1779" s="223" t="str">
        <f t="array" ref="L1779:L1780">{"REFLEXL05";((IF("05"=(INDEX(ALLCLASSDATA,MATCH("ReflexSaveLegendary",CLASSFEATUREHEADERS,0),MATCH($A1780,CLASSNAMEHEADERS,0))),(INDEX(ALLCLASSDATA,MATCH("ReflexSaveLegendary",CLASSFEATUREHEADERS,0),MATCH(($A1780 &amp; "Points"),CLASSNAMEHEADERS,0))),(IF("05"=(INDEX(ALLCLASSDATA,MATCH("ReflexSaveMaster",CLASSFEATUREHEADERS,0),MATCH($A1780,CLASSNAMEHEADERS,0))),(INDEX(ALLCLASSDATA,MATCH("ReflexSaveMaster",CLASSFEATUREHEADERS,0),MATCH(($A1780 &amp; "Points"),CLASSNAMEHEADERS,0))),(IF("05"=(INDEX(ALLCLASSDATA,MATCH("ReflexSaveExpert",CLASSFEATUREHEADERS,0),MATCH($A1780,CLASSNAMEHEADERS,0))),(INDEX(ALLCLASSDATA,MATCH("ReflexSaveExpert",CLASSFEATUREHEADERS,0),MATCH(($A1780 &amp; "Points"),CLASSNAMEHEADERS,0))),(IF("05"=(INDEX(ALLCLASSDATA,MATCH("ReflexSaveTrained",CLASSFEATUREHEADERS,0),MATCH($A1780,CLASSNAMEHEADERS,0))),(INDEX(ALLCLASSDATA,MATCH("ReflexSaveTrained",CLASSFEATUREHEADERS,0),MATCH(($A1780 &amp; "Points"),CLASSNAMEHEADERS,0))),"")))))))))}</f>
        <v>REFLEXL05</v>
      </c>
      <c r="M1779" s="223"/>
      <c r="N1779" s="223" t="str">
        <f t="array" ref="N1779:N1780">{"REFLEXL07";((IF("07"=(INDEX(ALLCLASSDATA,MATCH("ReflexSaveLegendary",CLASSFEATUREHEADERS,0),MATCH($A1780,CLASSNAMEHEADERS,0))),(INDEX(ALLCLASSDATA,MATCH("ReflexSaveLegendary",CLASSFEATUREHEADERS,0),MATCH(($A1780 &amp; "Points"),CLASSNAMEHEADERS,0))),(IF("07"=(INDEX(ALLCLASSDATA,MATCH("ReflexSaveMaster",CLASSFEATUREHEADERS,0),MATCH($A1780,CLASSNAMEHEADERS,0))),(INDEX(ALLCLASSDATA,MATCH("ReflexSaveMaster",CLASSFEATUREHEADERS,0),MATCH(($A1780 &amp; "Points"),CLASSNAMEHEADERS,0))),(IF("07"=(INDEX(ALLCLASSDATA,MATCH("ReflexSaveExpert",CLASSFEATUREHEADERS,0),MATCH($A1780,CLASSNAMEHEADERS,0))),(INDEX(ALLCLASSDATA,MATCH("ReflexSaveExpert",CLASSFEATUREHEADERS,0),MATCH(($A1780 &amp; "Points"),CLASSNAMEHEADERS,0))),(IF("07"=(INDEX(ALLCLASSDATA,MATCH("ReflexSaveTrained",CLASSFEATUREHEADERS,0),MATCH($A1780,CLASSNAMEHEADERS,0))),(INDEX(ALLCLASSDATA,MATCH("ReflexSaveTrained",CLASSFEATUREHEADERS,0),MATCH(($A1780 &amp; "Points"),CLASSNAMEHEADERS,0))),"")))))))))}</f>
        <v>REFLEXL07</v>
      </c>
      <c r="O1779" s="223"/>
      <c r="P1779" s="223" t="str">
        <f t="array" ref="P1779:P1780">{"REFLEXL09";((IF("09"=(INDEX(ALLCLASSDATA,MATCH("ReflexSaveLegendary",CLASSFEATUREHEADERS,0),MATCH($A1780,CLASSNAMEHEADERS,0))),(INDEX(ALLCLASSDATA,MATCH("ReflexSaveLegendary",CLASSFEATUREHEADERS,0),MATCH(($A1780 &amp; "Points"),CLASSNAMEHEADERS,0))),(IF("09"=(INDEX(ALLCLASSDATA,MATCH("ReflexSaveMaster",CLASSFEATUREHEADERS,0),MATCH($A1780,CLASSNAMEHEADERS,0))),(INDEX(ALLCLASSDATA,MATCH("ReflexSaveMaster",CLASSFEATUREHEADERS,0),MATCH(($A1780 &amp; "Points"),CLASSNAMEHEADERS,0))),(IF("09"=(INDEX(ALLCLASSDATA,MATCH("ReflexSaveExpert",CLASSFEATUREHEADERS,0),MATCH($A1780,CLASSNAMEHEADERS,0))),(INDEX(ALLCLASSDATA,MATCH("ReflexSaveExpert",CLASSFEATUREHEADERS,0),MATCH(($A1780 &amp; "Points"),CLASSNAMEHEADERS,0))),(IF("09"=(INDEX(ALLCLASSDATA,MATCH("ReflexSaveTrained",CLASSFEATUREHEADERS,0),MATCH($A1780,CLASSNAMEHEADERS,0))),(INDEX(ALLCLASSDATA,MATCH("ReflexSaveTrained",CLASSFEATUREHEADERS,0),MATCH(($A1780 &amp; "Points"),CLASSNAMEHEADERS,0))),"")))))))))}</f>
        <v>REFLEXL09</v>
      </c>
      <c r="Q1779" s="223"/>
      <c r="R1779" s="223" t="str">
        <f t="array" ref="R1779:R1780">{"REFLEXL11";((IF("11"=(INDEX(ALLCLASSDATA,MATCH("ReflexSaveLegendary",CLASSFEATUREHEADERS,0),MATCH($A1780,CLASSNAMEHEADERS,0))),(INDEX(ALLCLASSDATA,MATCH("ReflexSaveLegendary",CLASSFEATUREHEADERS,0),MATCH(($A1780 &amp; "Points"),CLASSNAMEHEADERS,0))),(IF("11"=(INDEX(ALLCLASSDATA,MATCH("ReflexSaveMaster",CLASSFEATUREHEADERS,0),MATCH($A1780,CLASSNAMEHEADERS,0))),(INDEX(ALLCLASSDATA,MATCH("ReflexSaveMaster",CLASSFEATUREHEADERS,0),MATCH(($A1780 &amp; "Points"),CLASSNAMEHEADERS,0))),(IF("11"=(INDEX(ALLCLASSDATA,MATCH("ReflexSaveExpert",CLASSFEATUREHEADERS,0),MATCH($A1780,CLASSNAMEHEADERS,0))),(INDEX(ALLCLASSDATA,MATCH("ReflexSaveExpert",CLASSFEATUREHEADERS,0),MATCH(($A1780 &amp; "Points"),CLASSNAMEHEADERS,0))),(IF("11"=(INDEX(ALLCLASSDATA,MATCH("ReflexSaveTrained",CLASSFEATUREHEADERS,0),MATCH($A1780,CLASSNAMEHEADERS,0))),(INDEX(ALLCLASSDATA,MATCH("ReflexSaveTrained",CLASSFEATUREHEADERS,0),MATCH(($A1780 &amp; "Points"),CLASSNAMEHEADERS,0))),"")))))))))}</f>
        <v>REFLEXL11</v>
      </c>
      <c r="S1779" s="223"/>
      <c r="T1779" s="223" t="str">
        <f t="array" ref="T1779:T1780">{"REFLEXL13";((IF("13"=(INDEX(ALLCLASSDATA,MATCH("ReflexSaveLegendary",CLASSFEATUREHEADERS,0),MATCH($A1780,CLASSNAMEHEADERS,0))),(INDEX(ALLCLASSDATA,MATCH("ReflexSaveLegendary",CLASSFEATUREHEADERS,0),MATCH(($A1780 &amp; "Points"),CLASSNAMEHEADERS,0))),(IF("13"=(INDEX(ALLCLASSDATA,MATCH("ReflexSaveMaster",CLASSFEATUREHEADERS,0),MATCH($A1780,CLASSNAMEHEADERS,0))),(INDEX(ALLCLASSDATA,MATCH("ReflexSaveMaster",CLASSFEATUREHEADERS,0),MATCH(($A1780 &amp; "Points"),CLASSNAMEHEADERS,0))),(IF("13"=(INDEX(ALLCLASSDATA,MATCH("ReflexSaveExpert",CLASSFEATUREHEADERS,0),MATCH($A1780,CLASSNAMEHEADERS,0))),(INDEX(ALLCLASSDATA,MATCH("ReflexSaveExpert",CLASSFEATUREHEADERS,0),MATCH(($A1780 &amp; "Points"),CLASSNAMEHEADERS,0))),(IF("13"=(INDEX(ALLCLASSDATA,MATCH("ReflexSaveTrained",CLASSFEATUREHEADERS,0),MATCH($A1780,CLASSNAMEHEADERS,0))),(INDEX(ALLCLASSDATA,MATCH("ReflexSaveTrained",CLASSFEATUREHEADERS,0),MATCH(($A1780 &amp; "Points"),CLASSNAMEHEADERS,0))),"")))))))))}</f>
        <v>REFLEXL13</v>
      </c>
      <c r="U1779" s="223"/>
      <c r="V1779" s="223" t="str">
        <f t="array" ref="V1779:V1780">{"REFLEXL15";((IF("15"=(INDEX(ALLCLASSDATA,MATCH("ReflexSaveLegendary",CLASSFEATUREHEADERS,0),MATCH($A1780,CLASSNAMEHEADERS,0))),(INDEX(ALLCLASSDATA,MATCH("ReflexSaveLegendary",CLASSFEATUREHEADERS,0),MATCH(($A1780 &amp; "Points"),CLASSNAMEHEADERS,0))),(IF("15"=(INDEX(ALLCLASSDATA,MATCH("ReflexSaveMaster",CLASSFEATUREHEADERS,0),MATCH($A1780,CLASSNAMEHEADERS,0))),(INDEX(ALLCLASSDATA,MATCH("ReflexSaveMaster",CLASSFEATUREHEADERS,0),MATCH(($A1780 &amp; "Points"),CLASSNAMEHEADERS,0))),(IF("15"=(INDEX(ALLCLASSDATA,MATCH("ReflexSaveExpert",CLASSFEATUREHEADERS,0),MATCH($A1780,CLASSNAMEHEADERS,0))),(INDEX(ALLCLASSDATA,MATCH("ReflexSaveExpert",CLASSFEATUREHEADERS,0),MATCH(($A1780 &amp; "Points"),CLASSNAMEHEADERS,0))),(IF("15"=(INDEX(ALLCLASSDATA,MATCH("ReflexSaveTrained",CLASSFEATUREHEADERS,0),MATCH($A1780,CLASSNAMEHEADERS,0))),(INDEX(ALLCLASSDATA,MATCH("ReflexSaveTrained",CLASSFEATUREHEADERS,0),MATCH(($A1780 &amp; "Points"),CLASSNAMEHEADERS,0))),"")))))))))}</f>
        <v>REFLEXL15</v>
      </c>
      <c r="W1779" s="223"/>
      <c r="X1779" s="223" t="str">
        <f t="array" ref="X1779:X1780">{"REFLEXL17";((IF("17"=(INDEX(ALLCLASSDATA,MATCH("ReflexSaveLegendary",CLASSFEATUREHEADERS,0),MATCH($A1780,CLASSNAMEHEADERS,0))),(INDEX(ALLCLASSDATA,MATCH("ReflexSaveLegendary",CLASSFEATUREHEADERS,0),MATCH(($A1780 &amp; "Points"),CLASSNAMEHEADERS,0))),(IF("17"=(INDEX(ALLCLASSDATA,MATCH("ReflexSaveMaster",CLASSFEATUREHEADERS,0),MATCH($A1780,CLASSNAMEHEADERS,0))),(INDEX(ALLCLASSDATA,MATCH("ReflexSaveMaster",CLASSFEATUREHEADERS,0),MATCH(($A1780 &amp; "Points"),CLASSNAMEHEADERS,0))),(IF("17"=(INDEX(ALLCLASSDATA,MATCH("ReflexSaveExpert",CLASSFEATUREHEADERS,0),MATCH($A1780,CLASSNAMEHEADERS,0))),(INDEX(ALLCLASSDATA,MATCH("ReflexSaveExpert",CLASSFEATUREHEADERS,0),MATCH(($A1780 &amp; "Points"),CLASSNAMEHEADERS,0))),(IF("17"=(INDEX(ALLCLASSDATA,MATCH("ReflexSaveTrained",CLASSFEATUREHEADERS,0),MATCH($A1780,CLASSNAMEHEADERS,0))),(INDEX(ALLCLASSDATA,MATCH("ReflexSaveTrained",CLASSFEATUREHEADERS,0),MATCH(($A1780 &amp; "Points"),CLASSNAMEHEADERS,0))),"")))))))))}</f>
        <v>REFLEXL17</v>
      </c>
      <c r="Y1779" s="223"/>
      <c r="Z1779" s="223" t="str">
        <f t="array" ref="Z1779:Z1780">{"REFLEXL19";((IF("19"=(INDEX(ALLCLASSDATA,MATCH("ReflexSaveLegendary",CLASSFEATUREHEADERS,0),MATCH($A1780,CLASSNAMEHEADERS,0))),(INDEX(ALLCLASSDATA,MATCH("ReflexSaveLegendary",CLASSFEATUREHEADERS,0),MATCH(($A1780 &amp; "Points"),CLASSNAMEHEADERS,0))),(IF("19"=(INDEX(ALLCLASSDATA,MATCH("ReflexSaveMaster",CLASSFEATUREHEADERS,0),MATCH($A1780,CLASSNAMEHEADERS,0))),(INDEX(ALLCLASSDATA,MATCH("ReflexSaveMaster",CLASSFEATUREHEADERS,0),MATCH(($A1780 &amp; "Points"),CLASSNAMEHEADERS,0))),(IF("19"=(INDEX(ALLCLASSDATA,MATCH("ReflexSaveExpert",CLASSFEATUREHEADERS,0),MATCH($A1780,CLASSNAMEHEADERS,0))),(INDEX(ALLCLASSDATA,MATCH("ReflexSaveExpert",CLASSFEATUREHEADERS,0),MATCH(($A1780 &amp; "Points"),CLASSNAMEHEADERS,0))),(IF("19"=(INDEX(ALLCLASSDATA,MATCH("ReflexSaveTrained",CLASSFEATUREHEADERS,0),MATCH($A1780,CLASSNAMEHEADERS,0))),(INDEX(ALLCLASSDATA,MATCH("ReflexSaveTrained",CLASSFEATUREHEADERS,0),MATCH(($A1780 &amp; "Points"),CLASSNAMEHEADERS,0))),"")))))))))}</f>
        <v>REFLEXL19</v>
      </c>
      <c r="AA1779" s="223"/>
      <c r="AB1779" s="76" t="str">
        <f t="array" ref="AB1779:AB1780">{"REFLEX TOTAL";(IF(COUNTBLANK(G1780:AA1780)=17,"L",(IF(COUNTBLANK(G1780:AA1780)=18,"M",(IF(COUNTBLANK(G1780:AA1780)=19,"E",(IF(COUNTBLANK(G1780:AA1780)=20,"T",""))))))))}</f>
        <v>REFLEX TOTAL</v>
      </c>
      <c r="AC1779" s="76" t="str">
        <f t="array" ref="AC1779:AC1780">{"REFLEX TOTAL";(sum(G1780:AA1780))}</f>
        <v>REFLEX TOTAL</v>
      </c>
    </row>
    <row r="1780">
      <c r="A1780" s="48" t="s">
        <v>227</v>
      </c>
      <c r="B1780" s="48"/>
      <c r="C1780" s="48" t="s">
        <v>418</v>
      </c>
      <c r="D1780" s="48" t="s">
        <v>1549</v>
      </c>
      <c r="E1780" s="48" t="s">
        <v>1572</v>
      </c>
      <c r="F1780" s="5" t="s">
        <v>435</v>
      </c>
      <c r="G1780" s="47" t="s">
        <v>603</v>
      </c>
      <c r="H1780" s="5">
        <v>10.0</v>
      </c>
      <c r="I1780" s="5"/>
      <c r="J1780" s="5" t="s">
        <v>603</v>
      </c>
      <c r="K1780" s="5"/>
      <c r="L1780" s="5">
        <v>50.0</v>
      </c>
      <c r="M1780" s="5"/>
      <c r="N1780" s="5" t="s">
        <v>603</v>
      </c>
      <c r="O1780" s="5"/>
      <c r="P1780" s="5" t="s">
        <v>603</v>
      </c>
      <c r="Q1780" s="5"/>
      <c r="R1780" s="5" t="s">
        <v>603</v>
      </c>
      <c r="S1780" s="5"/>
      <c r="T1780" s="5" t="s">
        <v>603</v>
      </c>
      <c r="U1780" s="5"/>
      <c r="V1780" s="5" t="s">
        <v>603</v>
      </c>
      <c r="W1780" s="5"/>
      <c r="X1780" s="5" t="s">
        <v>603</v>
      </c>
      <c r="Y1780" s="5"/>
      <c r="Z1780" s="5" t="s">
        <v>603</v>
      </c>
      <c r="AA1780" s="5"/>
      <c r="AB1780" s="5" t="s">
        <v>436</v>
      </c>
      <c r="AC1780" s="47">
        <v>60.0</v>
      </c>
    </row>
    <row r="1781" hidden="1">
      <c r="A1781" s="222" t="str">
        <f t="array" ref="A1781:A1782">{"FormulaRow25";(INDEX(CLASSLIST,A1732,1))}</f>
        <v>FormulaRow25</v>
      </c>
      <c r="B1781" s="77" t="s">
        <v>236</v>
      </c>
      <c r="C1781" s="222" t="str">
        <f t="array" ref="C1781:C1782">{"CLASSTYPE";((INDEX(ALLCLASSDATA,MATCH("ClassType",CLASSFEATUREHEADERS,0),MATCH($A1782,CLASSNAMEHEADERS,0))))}</f>
        <v>CLASSTYPE</v>
      </c>
      <c r="D1781" s="222" t="str">
        <f t="array" ref="D1781:D1782">{"SAVES";"Saves"}</f>
        <v>SAVES</v>
      </c>
      <c r="E1781" s="222" t="str">
        <f t="array" ref="E1781:E1782">{"WILLSAVE";"WillSave"}</f>
        <v>WILLSAVE</v>
      </c>
      <c r="F1781" s="223" t="str">
        <f t="array" ref="F1781:F1782">{"WILLINITIAL";((IF(H1782=10,"T",(IF(H1782=50,"E","")))))}</f>
        <v>WILLINITIAL</v>
      </c>
      <c r="G1781" s="223" t="str">
        <f t="array" ref="G1781:G1782">{"WILLINITIALPTS";((IF("00"=(INDEX(ALLCLASSDATA,MATCH("WillSaveLegendary",CLASSFEATUREHEADERS,0),MATCH($A1782,CLASSNAMEHEADERS,0))),(INDEX(ALLCLASSDATA,MATCH("WillSaveLegendary",CLASSFEATUREHEADERS,0),MATCH(($A1782 &amp; "Points"),CLASSNAMEHEADERS,0))),(IF("00"=(INDEX(ALLCLASSDATA,MATCH("WillSaveMaster",CLASSFEATUREHEADERS,0),MATCH($A1782,CLASSNAMEHEADERS,0))),(INDEX(ALLCLASSDATA,MATCH("WillSaveMaster",CLASSFEATUREHEADERS,0),MATCH(($A1782 &amp; "Points"),CLASSNAMEHEADERS,0))),(IF("00"=(INDEX(ALLCLASSDATA,MATCH("WillSaveExpert",CLASSFEATUREHEADERS,0),MATCH($A1782,CLASSNAMEHEADERS,0))),(INDEX(ALLCLASSDATA,MATCH("WillSaveExpert",CLASSFEATUREHEADERS,0),MATCH(($A1782 &amp; "Points"),CLASSNAMEHEADERS,0))),(IF("00"=(INDEX(ALLCLASSDATA,MATCH("WillSaveTrained",CLASSFEATUREHEADERS,0),MATCH($A1782,CLASSNAMEHEADERS,0))),(INDEX(ALLCLASSDATA,MATCH("WillSaveTrained",CLASSFEATUREHEADERS,0),MATCH(($A1782 &amp; "Points"),CLASSNAMEHEADERS,0))),"")))))))))}</f>
        <v>WILLINITIALPTS</v>
      </c>
      <c r="H1781" s="223" t="str">
        <f t="array" ref="H1781:H1782">{"WILLL01";((IF("01"=(INDEX(ALLCLASSDATA,MATCH("WillSaveLegendary",CLASSFEATUREHEADERS,0),MATCH($A1782,CLASSNAMEHEADERS,0))),(INDEX(ALLCLASSDATA,MATCH("WillSaveLegendary",CLASSFEATUREHEADERS,0),MATCH(($A1782 &amp; "Points"),CLASSNAMEHEADERS,0))),(IF("01"=(INDEX(ALLCLASSDATA,MATCH("WillSaveMaster",CLASSFEATUREHEADERS,0),MATCH($A1782,CLASSNAMEHEADERS,0))),(INDEX(ALLCLASSDATA,MATCH("WillSaveMaster",CLASSFEATUREHEADERS,0),MATCH(($A1782 &amp; "Points"),CLASSNAMEHEADERS,0))),(IF("01"=(INDEX(ALLCLASSDATA,MATCH("WillSaveExpert",CLASSFEATUREHEADERS,0),MATCH($A1782,CLASSNAMEHEADERS,0))),(INDEX(ALLCLASSDATA,MATCH("WillSaveExpert",CLASSFEATUREHEADERS,0),MATCH(($A1782 &amp; "Points"),CLASSNAMEHEADERS,0))),(IF("01"=(INDEX(ALLCLASSDATA,MATCH("WillSaveTrained",CLASSFEATUREHEADERS,0),MATCH($A1782,CLASSNAMEHEADERS,0))),(INDEX(ALLCLASSDATA,MATCH("WillSaveTrained",CLASSFEATUREHEADERS,0),MATCH(($A1782 &amp; "Points"),CLASSNAMEHEADERS,0))),"")))))))))}</f>
        <v>WILLL01</v>
      </c>
      <c r="I1781" s="223"/>
      <c r="J1781" s="223" t="str">
        <f t="array" ref="J1781:J1782">{"WILLL03";((IF("03"=(INDEX(ALLCLASSDATA,MATCH("WillSaveLegendary",CLASSFEATUREHEADERS,0),MATCH($A1782,CLASSNAMEHEADERS,0))),(INDEX(ALLCLASSDATA,MATCH("WillSaveLegendary",CLASSFEATUREHEADERS,0),MATCH(($A1782 &amp; "Points"),CLASSNAMEHEADERS,0))),(IF("03"=(INDEX(ALLCLASSDATA,MATCH("WillSaveMaster",CLASSFEATUREHEADERS,0),MATCH($A1782,CLASSNAMEHEADERS,0))),(INDEX(ALLCLASSDATA,MATCH("WillSaveMaster",CLASSFEATUREHEADERS,0),MATCH(($A1782 &amp; "Points"),CLASSNAMEHEADERS,0))),(IF("03"=(INDEX(ALLCLASSDATA,MATCH("WillSaveExpert",CLASSFEATUREHEADERS,0),MATCH($A1782,CLASSNAMEHEADERS,0))),(INDEX(ALLCLASSDATA,MATCH("WillSaveExpert",CLASSFEATUREHEADERS,0),MATCH(($A1782 &amp; "Points"),CLASSNAMEHEADERS,0))),(IF("03"=(INDEX(ALLCLASSDATA,MATCH("WillSaveTrained",CLASSFEATUREHEADERS,0),MATCH($A1782,CLASSNAMEHEADERS,0))),(INDEX(ALLCLASSDATA,MATCH("WillSaveTrained",CLASSFEATUREHEADERS,0),MATCH(($A1782 &amp; "Points"),CLASSNAMEHEADERS,0))),"")))))))))}</f>
        <v>WILLL03</v>
      </c>
      <c r="K1781" s="223"/>
      <c r="L1781" s="223" t="str">
        <f t="array" ref="L1781:L1782">{"WILLL05";((IF("05"=(INDEX(ALLCLASSDATA,MATCH("WillSaveLegendary",CLASSFEATUREHEADERS,0),MATCH($A1782,CLASSNAMEHEADERS,0))),(INDEX(ALLCLASSDATA,MATCH("WillSaveLegendary",CLASSFEATUREHEADERS,0),MATCH(($A1782 &amp; "Points"),CLASSNAMEHEADERS,0))),(IF("05"=(INDEX(ALLCLASSDATA,MATCH("WillSaveMaster",CLASSFEATUREHEADERS,0),MATCH($A1782,CLASSNAMEHEADERS,0))),(INDEX(ALLCLASSDATA,MATCH("WillSaveMaster",CLASSFEATUREHEADERS,0),MATCH(($A1782 &amp; "Points"),CLASSNAMEHEADERS,0))),(IF("05"=(INDEX(ALLCLASSDATA,MATCH("WillSaveExpert",CLASSFEATUREHEADERS,0),MATCH($A1782,CLASSNAMEHEADERS,0))),(INDEX(ALLCLASSDATA,MATCH("WillSaveExpert",CLASSFEATUREHEADERS,0),MATCH(($A1782 &amp; "Points"),CLASSNAMEHEADERS,0))),(IF("05"=(INDEX(ALLCLASSDATA,MATCH("WillSaveTrained",CLASSFEATUREHEADERS,0),MATCH($A1782,CLASSNAMEHEADERS,0))),(INDEX(ALLCLASSDATA,MATCH("WillSaveTrained",CLASSFEATUREHEADERS,0),MATCH(($A1782 &amp; "Points"),CLASSNAMEHEADERS,0))),"")))))))))}</f>
        <v>WILLL05</v>
      </c>
      <c r="M1781" s="223"/>
      <c r="N1781" s="223" t="str">
        <f t="array" ref="N1781:N1782">{"WILLL07";((IF("07"=(INDEX(ALLCLASSDATA,MATCH("WillSaveLegendary",CLASSFEATUREHEADERS,0),MATCH($A1782,CLASSNAMEHEADERS,0))),(INDEX(ALLCLASSDATA,MATCH("WillSaveLegendary",CLASSFEATUREHEADERS,0),MATCH(($A1782 &amp; "Points"),CLASSNAMEHEADERS,0))),(IF("07"=(INDEX(ALLCLASSDATA,MATCH("WillSaveMaster",CLASSFEATUREHEADERS,0),MATCH($A1782,CLASSNAMEHEADERS,0))),(INDEX(ALLCLASSDATA,MATCH("WillSaveMaster",CLASSFEATUREHEADERS,0),MATCH(($A1782 &amp; "Points"),CLASSNAMEHEADERS,0))),(IF("07"=(INDEX(ALLCLASSDATA,MATCH("WillSaveExpert",CLASSFEATUREHEADERS,0),MATCH($A1782,CLASSNAMEHEADERS,0))),(INDEX(ALLCLASSDATA,MATCH("WillSaveExpert",CLASSFEATUREHEADERS,0),MATCH(($A1782 &amp; "Points"),CLASSNAMEHEADERS,0))),(IF("07"=(INDEX(ALLCLASSDATA,MATCH("WillSaveTrained",CLASSFEATUREHEADERS,0),MATCH($A1782,CLASSNAMEHEADERS,0))),(INDEX(ALLCLASSDATA,MATCH("WillSaveTrained",CLASSFEATUREHEADERS,0),MATCH(($A1782 &amp; "Points"),CLASSNAMEHEADERS,0))),"")))))))))}</f>
        <v>WILLL07</v>
      </c>
      <c r="O1781" s="223"/>
      <c r="P1781" s="223" t="str">
        <f t="array" ref="P1781:P1782">{"WILLL09";((IF("09"=(INDEX(ALLCLASSDATA,MATCH("WillSaveLegendary",CLASSFEATUREHEADERS,0),MATCH($A1782,CLASSNAMEHEADERS,0))),(INDEX(ALLCLASSDATA,MATCH("WillSaveLegendary",CLASSFEATUREHEADERS,0),MATCH(($A1782 &amp; "Points"),CLASSNAMEHEADERS,0))),(IF("09"=(INDEX(ALLCLASSDATA,MATCH("WillSaveMaster",CLASSFEATUREHEADERS,0),MATCH($A1782,CLASSNAMEHEADERS,0))),(INDEX(ALLCLASSDATA,MATCH("WillSaveMaster",CLASSFEATUREHEADERS,0),MATCH(($A1782 &amp; "Points"),CLASSNAMEHEADERS,0))),(IF("09"=(INDEX(ALLCLASSDATA,MATCH("WillSaveExpert",CLASSFEATUREHEADERS,0),MATCH($A1782,CLASSNAMEHEADERS,0))),(INDEX(ALLCLASSDATA,MATCH("WillSaveExpert",CLASSFEATUREHEADERS,0),MATCH(($A1782 &amp; "Points"),CLASSNAMEHEADERS,0))),(IF("09"=(INDEX(ALLCLASSDATA,MATCH("WillSaveTrained",CLASSFEATUREHEADERS,0),MATCH($A1782,CLASSNAMEHEADERS,0))),(INDEX(ALLCLASSDATA,MATCH("WillSaveTrained",CLASSFEATUREHEADERS,0),MATCH(($A1782 &amp; "Points"),CLASSNAMEHEADERS,0))),"")))))))))}</f>
        <v>WILLL09</v>
      </c>
      <c r="Q1781" s="223"/>
      <c r="R1781" s="223" t="str">
        <f t="array" ref="R1781:R1782">{"WILLL11";((IF("11"=(INDEX(ALLCLASSDATA,MATCH("WillSaveLegendary",CLASSFEATUREHEADERS,0),MATCH($A1782,CLASSNAMEHEADERS,0))),(INDEX(ALLCLASSDATA,MATCH("WillSaveLegendary",CLASSFEATUREHEADERS,0),MATCH(($A1782 &amp; "Points"),CLASSNAMEHEADERS,0))),(IF("11"=(INDEX(ALLCLASSDATA,MATCH("WillSaveMaster",CLASSFEATUREHEADERS,0),MATCH($A1782,CLASSNAMEHEADERS,0))),(INDEX(ALLCLASSDATA,MATCH("WillSaveMaster",CLASSFEATUREHEADERS,0),MATCH(($A1782 &amp; "Points"),CLASSNAMEHEADERS,0))),(IF("11"=(INDEX(ALLCLASSDATA,MATCH("WillSaveExpert",CLASSFEATUREHEADERS,0),MATCH($A1782,CLASSNAMEHEADERS,0))),(INDEX(ALLCLASSDATA,MATCH("WillSaveExpert",CLASSFEATUREHEADERS,0),MATCH(($A1782 &amp; "Points"),CLASSNAMEHEADERS,0))),(IF("11"=(INDEX(ALLCLASSDATA,MATCH("WillSaveTrained",CLASSFEATUREHEADERS,0),MATCH($A1782,CLASSNAMEHEADERS,0))),(INDEX(ALLCLASSDATA,MATCH("WillSaveTrained",CLASSFEATUREHEADERS,0),MATCH(($A1782 &amp; "Points"),CLASSNAMEHEADERS,0))),"")))))))))}</f>
        <v>WILLL11</v>
      </c>
      <c r="S1781" s="223"/>
      <c r="T1781" s="223" t="str">
        <f t="array" ref="T1781:T1782">{"WILLL13";((IF("13"=(INDEX(ALLCLASSDATA,MATCH("WillSaveLegendary",CLASSFEATUREHEADERS,0),MATCH($A1782,CLASSNAMEHEADERS,0))),(INDEX(ALLCLASSDATA,MATCH("WillSaveLegendary",CLASSFEATUREHEADERS,0),MATCH(($A1782 &amp; "Points"),CLASSNAMEHEADERS,0))),(IF("13"=(INDEX(ALLCLASSDATA,MATCH("WillSaveMaster",CLASSFEATUREHEADERS,0),MATCH($A1782,CLASSNAMEHEADERS,0))),(INDEX(ALLCLASSDATA,MATCH("WillSaveMaster",CLASSFEATUREHEADERS,0),MATCH(($A1782 &amp; "Points"),CLASSNAMEHEADERS,0))),(IF("13"=(INDEX(ALLCLASSDATA,MATCH("WillSaveExpert",CLASSFEATUREHEADERS,0),MATCH($A1782,CLASSNAMEHEADERS,0))),(INDEX(ALLCLASSDATA,MATCH("WillSaveExpert",CLASSFEATUREHEADERS,0),MATCH(($A1782 &amp; "Points"),CLASSNAMEHEADERS,0))),(IF("13"=(INDEX(ALLCLASSDATA,MATCH("WillSaveTrained",CLASSFEATUREHEADERS,0),MATCH($A1782,CLASSNAMEHEADERS,0))),(INDEX(ALLCLASSDATA,MATCH("WillSaveTrained",CLASSFEATUREHEADERS,0),MATCH(($A1782 &amp; "Points"),CLASSNAMEHEADERS,0))),"")))))))))}</f>
        <v>WILLL13</v>
      </c>
      <c r="U1781" s="223"/>
      <c r="V1781" s="223" t="str">
        <f t="array" ref="V1781:V1782">{"WILLL15";((IF("15"=(INDEX(ALLCLASSDATA,MATCH("WillSaveLegendary",CLASSFEATUREHEADERS,0),MATCH($A1782,CLASSNAMEHEADERS,0))),(INDEX(ALLCLASSDATA,MATCH("WillSaveLegendary",CLASSFEATUREHEADERS,0),MATCH(($A1782 &amp; "Points"),CLASSNAMEHEADERS,0))),(IF("15"=(INDEX(ALLCLASSDATA,MATCH("WillSaveMaster",CLASSFEATUREHEADERS,0),MATCH($A1782,CLASSNAMEHEADERS,0))),(INDEX(ALLCLASSDATA,MATCH("WillSaveMaster",CLASSFEATUREHEADERS,0),MATCH(($A1782 &amp; "Points"),CLASSNAMEHEADERS,0))),(IF("15"=(INDEX(ALLCLASSDATA,MATCH("WillSaveExpert",CLASSFEATUREHEADERS,0),MATCH($A1782,CLASSNAMEHEADERS,0))),(INDEX(ALLCLASSDATA,MATCH("WillSaveExpert",CLASSFEATUREHEADERS,0),MATCH(($A1782 &amp; "Points"),CLASSNAMEHEADERS,0))),(IF("15"=(INDEX(ALLCLASSDATA,MATCH("WillSaveTrained",CLASSFEATUREHEADERS,0),MATCH($A1782,CLASSNAMEHEADERS,0))),(INDEX(ALLCLASSDATA,MATCH("WillSaveTrained",CLASSFEATUREHEADERS,0),MATCH(($A1782 &amp; "Points"),CLASSNAMEHEADERS,0))),"")))))))))}</f>
        <v>WILLL15</v>
      </c>
      <c r="W1781" s="223"/>
      <c r="X1781" s="223" t="str">
        <f t="array" ref="X1781:X1782">{"WILLL17";((IF("17"=(INDEX(ALLCLASSDATA,MATCH("WillSaveLegendary",CLASSFEATUREHEADERS,0),MATCH($A1782,CLASSNAMEHEADERS,0))),(INDEX(ALLCLASSDATA,MATCH("WillSaveLegendary",CLASSFEATUREHEADERS,0),MATCH(($A1782 &amp; "Points"),CLASSNAMEHEADERS,0))),(IF("17"=(INDEX(ALLCLASSDATA,MATCH("WillSaveMaster",CLASSFEATUREHEADERS,0),MATCH($A1782,CLASSNAMEHEADERS,0))),(INDEX(ALLCLASSDATA,MATCH("WillSaveMaster",CLASSFEATUREHEADERS,0),MATCH(($A1782 &amp; "Points"),CLASSNAMEHEADERS,0))),(IF("17"=(INDEX(ALLCLASSDATA,MATCH("WillSaveExpert",CLASSFEATUREHEADERS,0),MATCH($A1782,CLASSNAMEHEADERS,0))),(INDEX(ALLCLASSDATA,MATCH("WillSaveExpert",CLASSFEATUREHEADERS,0),MATCH(($A1782 &amp; "Points"),CLASSNAMEHEADERS,0))),(IF("17"=(INDEX(ALLCLASSDATA,MATCH("WillSaveTrained",CLASSFEATUREHEADERS,0),MATCH($A1782,CLASSNAMEHEADERS,0))),(INDEX(ALLCLASSDATA,MATCH("WillSaveTrained",CLASSFEATUREHEADERS,0),MATCH(($A1782 &amp; "Points"),CLASSNAMEHEADERS,0))),"")))))))))}</f>
        <v>WILLL17</v>
      </c>
      <c r="Y1781" s="223"/>
      <c r="Z1781" s="223" t="str">
        <f t="array" ref="Z1781:Z1782">{"WILLL19";((IF("19"=(INDEX(ALLCLASSDATA,MATCH("WillSaveLegendary",CLASSFEATUREHEADERS,0),MATCH($A1782,CLASSNAMEHEADERS,0))),(INDEX(ALLCLASSDATA,MATCH("WillSaveLegendary",CLASSFEATUREHEADERS,0),MATCH(($A1782 &amp; "Points"),CLASSNAMEHEADERS,0))),(IF("19"=(INDEX(ALLCLASSDATA,MATCH("WillSaveMaster",CLASSFEATUREHEADERS,0),MATCH($A1782,CLASSNAMEHEADERS,0))),(INDEX(ALLCLASSDATA,MATCH("WillSaveMaster",CLASSFEATUREHEADERS,0),MATCH(($A1782 &amp; "Points"),CLASSNAMEHEADERS,0))),(IF("19"=(INDEX(ALLCLASSDATA,MATCH("WillSaveExpert",CLASSFEATUREHEADERS,0),MATCH($A1782,CLASSNAMEHEADERS,0))),(INDEX(ALLCLASSDATA,MATCH("WillSaveExpert",CLASSFEATUREHEADERS,0),MATCH(($A1782 &amp; "Points"),CLASSNAMEHEADERS,0))),(IF("19"=(INDEX(ALLCLASSDATA,MATCH("WillSaveTrained",CLASSFEATUREHEADERS,0),MATCH($A1782,CLASSNAMEHEADERS,0))),(INDEX(ALLCLASSDATA,MATCH("WillSaveTrained",CLASSFEATUREHEADERS,0),MATCH(($A1782 &amp; "Points"),CLASSNAMEHEADERS,0))),"")))))))))}</f>
        <v>WILLL19</v>
      </c>
      <c r="AA1781" s="223"/>
      <c r="AB1781" s="76" t="str">
        <f t="array" ref="AB1781:AB1782">{"WILL TOTAL";(IF(COUNTBLANK(G1782:AA1782)=17,"L",(IF(COUNTBLANK(G1782:AA1782)=18,"M",(IF(COUNTBLANK(G1782:AA1782)=19,"E",(IF(COUNTBLANK(G1782:AA1782)=20,"T",""))))))))}</f>
        <v>WILL TOTAL</v>
      </c>
      <c r="AC1781" s="76" t="str">
        <f t="array" ref="AC1781:AC1782">{"WILL TOTAL";(sum(G1782:AA1782))}</f>
        <v>WILL TOTAL</v>
      </c>
    </row>
    <row r="1782">
      <c r="A1782" s="48" t="s">
        <v>227</v>
      </c>
      <c r="B1782" s="48"/>
      <c r="C1782" s="48" t="s">
        <v>418</v>
      </c>
      <c r="D1782" s="97" t="s">
        <v>1549</v>
      </c>
      <c r="E1782" s="97" t="s">
        <v>1591</v>
      </c>
      <c r="F1782" s="98" t="s">
        <v>436</v>
      </c>
      <c r="G1782" s="132">
        <v>10.0</v>
      </c>
      <c r="H1782" s="98">
        <v>50.0</v>
      </c>
      <c r="I1782" s="98"/>
      <c r="J1782" s="98" t="s">
        <v>603</v>
      </c>
      <c r="K1782" s="98"/>
      <c r="L1782" s="98" t="s">
        <v>603</v>
      </c>
      <c r="M1782" s="97"/>
      <c r="N1782" s="98" t="s">
        <v>603</v>
      </c>
      <c r="O1782" s="98"/>
      <c r="P1782" s="98" t="s">
        <v>603</v>
      </c>
      <c r="Q1782" s="97"/>
      <c r="R1782" s="98">
        <v>110.0</v>
      </c>
      <c r="S1782" s="98"/>
      <c r="T1782" s="98" t="s">
        <v>603</v>
      </c>
      <c r="U1782" s="98"/>
      <c r="V1782" s="98" t="s">
        <v>603</v>
      </c>
      <c r="W1782" s="98"/>
      <c r="X1782" s="98">
        <v>190.0</v>
      </c>
      <c r="Y1782" s="98"/>
      <c r="Z1782" s="98" t="s">
        <v>603</v>
      </c>
      <c r="AA1782" s="98"/>
      <c r="AB1782" s="5" t="s">
        <v>466</v>
      </c>
      <c r="AC1782" s="47">
        <v>360.0</v>
      </c>
    </row>
    <row r="1783" hidden="1">
      <c r="A1783" s="222" t="str">
        <f t="array" ref="A1783:A1784">{"FormulaRow26";(INDEX(CLASSLIST,A1732,1))}</f>
        <v>FormulaRow26</v>
      </c>
      <c r="B1783" s="77" t="s">
        <v>236</v>
      </c>
      <c r="C1783" s="222" t="str">
        <f t="array" ref="C1783:C1784">{"CLASSTYPE";((INDEX(ALLCLASSDATA,MATCH("ClassType",CLASSFEATUREHEADERS,0),MATCH($A1784,CLASSNAMEHEADERS,0))))}</f>
        <v>CLASSTYPE</v>
      </c>
      <c r="D1783" s="228" t="str">
        <f t="array" ref="D1783:D1784">{"ATTACK";"Attack"}</f>
        <v>ATTACK</v>
      </c>
      <c r="E1783" s="228" t="str">
        <f t="array" ref="E1783:E1784">{"WEAPONSPECIAL";"WeaponCS/WS/GWS"}</f>
        <v>WEAPONSPECIAL</v>
      </c>
      <c r="F1783" s="230"/>
      <c r="G1783" s="230"/>
      <c r="H1783" s="230" t="str">
        <f t="array" ref="H1783:H1784">{"WEAPONSPECIALL01";((IF("01"=INDEX(ALLCLASSDATA,MATCH("WeaponGreaterSpecialization",CLASSFEATUREHEADERS,0),MATCH($A1784,CLASSNAMEHEADERS,0)),WeaponGWS,(IF("01"=INDEX(ALLCLASSDATA,MATCH("WeaponSpecialization",CLASSFEATUREHEADERS,0),MATCH($A1784,CLASSNAMEHEADERS,0)),WeaponWS,(IF("01"=INDEX(ALLCLASSDATA,MATCH("WeaponCriticalSpecialization",CLASSFEATUREHEADERS,0),MATCH($A1784,CLASSNAMEHEADERS,0)),WeaponCS,"")))))))}</f>
        <v>WEAPONSPECIALL01</v>
      </c>
      <c r="I1783" s="230"/>
      <c r="J1783" s="230" t="str">
        <f t="array" ref="J1783:J1784">{"WEAPONSPECIALL03";((IF("03"=INDEX(ALLCLASSDATA,MATCH("WeaponGreaterSpecialization",CLASSFEATUREHEADERS,0),MATCH($A1784,CLASSNAMEHEADERS,0)),WeaponGWS,(IF("03"=INDEX(ALLCLASSDATA,MATCH("WeaponSpecialization",CLASSFEATUREHEADERS,0),MATCH($A1784,CLASSNAMEHEADERS,0)),WeaponWS,(IF("03"=INDEX(ALLCLASSDATA,MATCH("WeaponCriticalSpecialization",CLASSFEATUREHEADERS,0),MATCH($A1784,CLASSNAMEHEADERS,0)),WeaponCS,"")))))))}</f>
        <v>WEAPONSPECIALL03</v>
      </c>
      <c r="K1783" s="230"/>
      <c r="L1783" s="230" t="str">
        <f t="array" ref="L1783:L1784">{"WEAPONSPECIALL05";((IF("05"=INDEX(ALLCLASSDATA,MATCH("WeaponGreaterSpecialization",CLASSFEATUREHEADERS,0),MATCH($A1784,CLASSNAMEHEADERS,0)),WeaponGWS,(IF("05"=INDEX(ALLCLASSDATA,MATCH("WeaponSpecialization",CLASSFEATUREHEADERS,0),MATCH($A1784,CLASSNAMEHEADERS,0)),WeaponWS,(IF("05"=INDEX(ALLCLASSDATA,MATCH("WeaponCriticalSpecialization",CLASSFEATUREHEADERS,0),MATCH($A1784,CLASSNAMEHEADERS,0)),WeaponCS,"")))))))}</f>
        <v>WEAPONSPECIALL05</v>
      </c>
      <c r="M1783" s="230"/>
      <c r="N1783" s="230" t="str">
        <f t="array" ref="N1783:N1784">{"WEAPONSPECIALL07";((IF("07"=INDEX(ALLCLASSDATA,MATCH("WeaponGreaterSpecialization",CLASSFEATUREHEADERS,0),MATCH($A1784,CLASSNAMEHEADERS,0)),WeaponGWS,(IF("07"=INDEX(ALLCLASSDATA,MATCH("WeaponSpecialization",CLASSFEATUREHEADERS,0),MATCH($A1784,CLASSNAMEHEADERS,0)),WeaponWS,(IF("07"=INDEX(ALLCLASSDATA,MATCH("WeaponCriticalSpecialization",CLASSFEATUREHEADERS,0),MATCH($A1784,CLASSNAMEHEADERS,0)),WeaponCS,"")))))))}</f>
        <v>WEAPONSPECIALL07</v>
      </c>
      <c r="O1783" s="230"/>
      <c r="P1783" s="230" t="str">
        <f t="array" ref="P1783:P1784">{"WEAPONSPECIALL09";((IF("09"=INDEX(ALLCLASSDATA,MATCH("WeaponGreaterSpecialization",CLASSFEATUREHEADERS,0),MATCH($A1784,CLASSNAMEHEADERS,0)),WeaponGWS,(IF("09"=INDEX(ALLCLASSDATA,MATCH("WeaponSpecialization",CLASSFEATUREHEADERS,0),MATCH($A1784,CLASSNAMEHEADERS,0)),WeaponWS,(IF("09"=INDEX(ALLCLASSDATA,MATCH("WeaponCriticalSpecialization",CLASSFEATUREHEADERS,0),MATCH($A1784,CLASSNAMEHEADERS,0)),WeaponCS,"")))))))}</f>
        <v>WEAPONSPECIALL09</v>
      </c>
      <c r="Q1783" s="230"/>
      <c r="R1783" s="230" t="str">
        <f t="array" ref="R1783:R1784">{"WEAPONSPECIALL11";((IF("11"=INDEX(ALLCLASSDATA,MATCH("WeaponGreaterSpecialization",CLASSFEATUREHEADERS,0),MATCH($A1784,CLASSNAMEHEADERS,0)),WeaponGWS,(IF("11"=INDEX(ALLCLASSDATA,MATCH("WeaponSpecialization",CLASSFEATUREHEADERS,0),MATCH($A1784,CLASSNAMEHEADERS,0)),WeaponWS,(IF("11"=INDEX(ALLCLASSDATA,MATCH("WeaponCriticalSpecialization",CLASSFEATUREHEADERS,0),MATCH($A1784,CLASSNAMEHEADERS,0)),WeaponCS,"")))))))}</f>
        <v>WEAPONSPECIALL11</v>
      </c>
      <c r="S1783" s="230"/>
      <c r="T1783" s="230" t="str">
        <f t="array" ref="T1783:T1784">{"WEAPONSPECIALL13";((IF("13"=INDEX(ALLCLASSDATA,MATCH("WeaponGreaterSpecialization",CLASSFEATUREHEADERS,0),MATCH($A1784,CLASSNAMEHEADERS,0)),WeaponGWS,(IF("13"=INDEX(ALLCLASSDATA,MATCH("WeaponSpecialization",CLASSFEATUREHEADERS,0),MATCH($A1784,CLASSNAMEHEADERS,0)),WeaponWS,(IF("13"=INDEX(ALLCLASSDATA,MATCH("WeaponCriticalSpecialization",CLASSFEATUREHEADERS,0),MATCH($A1784,CLASSNAMEHEADERS,0)),WeaponCS,"")))))))}</f>
        <v>WEAPONSPECIALL13</v>
      </c>
      <c r="U1783" s="230"/>
      <c r="V1783" s="230" t="str">
        <f t="array" ref="V1783:V1784">{"WEAPONSPECIALL15";((IF("15"=INDEX(ALLCLASSDATA,MATCH("WeaponGreaterSpecialization",CLASSFEATUREHEADERS,0),MATCH($A1784,CLASSNAMEHEADERS,0)),WeaponGWS,(IF("15"=INDEX(ALLCLASSDATA,MATCH("WeaponSpecialization",CLASSFEATUREHEADERS,0),MATCH($A1784,CLASSNAMEHEADERS,0)),WeaponWS,(IF("15"=INDEX(ALLCLASSDATA,MATCH("WeaponCriticalSpecialization",CLASSFEATUREHEADERS,0),MATCH($A1784,CLASSNAMEHEADERS,0)),WeaponCS,"")))))))}</f>
        <v>WEAPONSPECIALL15</v>
      </c>
      <c r="W1783" s="230"/>
      <c r="X1783" s="230" t="str">
        <f t="array" ref="X1783:X1784">{"WEAPONSPECIALL17";((IF("17"=INDEX(ALLCLASSDATA,MATCH("WeaponGreaterSpecialization",CLASSFEATUREHEADERS,0),MATCH($A1784,CLASSNAMEHEADERS,0)),WeaponGWS,(IF("17"=INDEX(ALLCLASSDATA,MATCH("WeaponSpecialization",CLASSFEATUREHEADERS,0),MATCH($A1784,CLASSNAMEHEADERS,0)),WeaponWS,(IF("17"=INDEX(ALLCLASSDATA,MATCH("WeaponCriticalSpecialization",CLASSFEATUREHEADERS,0),MATCH($A1784,CLASSNAMEHEADERS,0)),WeaponCS,"")))))))}</f>
        <v>WEAPONSPECIALL17</v>
      </c>
      <c r="Y1783" s="230"/>
      <c r="Z1783" s="230" t="str">
        <f t="array" ref="Z1783:Z1784">{"WEAPONSPECIALL19";((IF("19"=INDEX(ALLCLASSDATA,MATCH("WeaponGreaterSpecialization",CLASSFEATUREHEADERS,0),MATCH($A1784,CLASSNAMEHEADERS,0)),WeaponGWS,(IF("19"=INDEX(ALLCLASSDATA,MATCH("WeaponSpecialization",CLASSFEATUREHEADERS,0),MATCH($A1784,CLASSNAMEHEADERS,0)),WeaponWS,(IF("19"=INDEX(ALLCLASSDATA,MATCH("WeaponCriticalSpecialization",CLASSFEATUREHEADERS,0),MATCH($A1784,CLASSNAMEHEADERS,0)),WeaponCS,"")))))))}</f>
        <v>WEAPONSPECIALL19</v>
      </c>
      <c r="AA1783" s="230"/>
      <c r="AB1783" s="76"/>
      <c r="AC1783" s="76" t="str">
        <f t="array" ref="AC1783:AC1784">{"WEAPONSPECIAL TOTAL";(sum(G1784:AA1784))}</f>
        <v>WEAPONSPECIAL TOTAL</v>
      </c>
    </row>
    <row r="1784">
      <c r="A1784" s="48" t="s">
        <v>227</v>
      </c>
      <c r="B1784" s="48"/>
      <c r="C1784" s="48" t="s">
        <v>418</v>
      </c>
      <c r="D1784" s="48" t="s">
        <v>1634</v>
      </c>
      <c r="E1784" s="48" t="s">
        <v>1635</v>
      </c>
      <c r="F1784" s="5"/>
      <c r="G1784" s="47"/>
      <c r="H1784" s="5" t="s">
        <v>603</v>
      </c>
      <c r="I1784" s="5"/>
      <c r="J1784" s="5" t="s">
        <v>603</v>
      </c>
      <c r="K1784" s="5"/>
      <c r="L1784" s="5" t="s">
        <v>603</v>
      </c>
      <c r="M1784" s="5"/>
      <c r="N1784" s="5" t="s">
        <v>603</v>
      </c>
      <c r="O1784" s="5"/>
      <c r="P1784" s="5" t="s">
        <v>603</v>
      </c>
      <c r="Q1784" s="5"/>
      <c r="R1784" s="5" t="s">
        <v>603</v>
      </c>
      <c r="S1784" s="5"/>
      <c r="T1784" s="5">
        <v>70.0</v>
      </c>
      <c r="U1784" s="5"/>
      <c r="V1784" s="5" t="s">
        <v>603</v>
      </c>
      <c r="W1784" s="5"/>
      <c r="X1784" s="5" t="s">
        <v>603</v>
      </c>
      <c r="Y1784" s="5"/>
      <c r="Z1784" s="5" t="s">
        <v>603</v>
      </c>
      <c r="AA1784" s="5"/>
      <c r="AB1784" s="5"/>
      <c r="AC1784" s="47">
        <v>70.0</v>
      </c>
    </row>
    <row r="1785" hidden="1">
      <c r="A1785" s="222" t="str">
        <f t="array" ref="A1785:A1786">{"FormulaRow27";(INDEX(CLASSLIST,A1732,1))}</f>
        <v>FormulaRow27</v>
      </c>
      <c r="B1785" s="77" t="s">
        <v>236</v>
      </c>
      <c r="C1785" s="222" t="str">
        <f t="array" ref="C1785:C1786">{"CLASSTYPE";((INDEX(ALLCLASSDATA,MATCH("ClassType",CLASSFEATUREHEADERS,0),MATCH($A1786,CLASSNAMEHEADERS,0))))}</f>
        <v>CLASSTYPE</v>
      </c>
      <c r="D1785" s="222" t="str">
        <f t="array" ref="D1785:D1786">{"ATTACK";"Attack"}</f>
        <v>ATTACK</v>
      </c>
      <c r="E1785" s="222" t="str">
        <f t="array" ref="E1785:E1786">{"UNARMED";"Unarmed"}</f>
        <v>UNARMED</v>
      </c>
      <c r="F1785" s="223" t="str">
        <f t="array" ref="F1785:F1786">{"UNARMEDINITIAL";((IF(H1786=10,"T",(IF(H1786=50,"E","")))))}</f>
        <v>UNARMEDINITIAL</v>
      </c>
      <c r="G1785" s="223" t="str">
        <f t="array" ref="G1785:G1786">{"UNARMEDINITIALPTS";((IF("00"=(INDEX(ALLCLASSDATA,MATCH("UnarmedLegendary",CLASSFEATUREHEADERS,0),MATCH($A1786,CLASSNAMEHEADERS,0))),(INDEX(ALLCLASSDATA,MATCH("UnarmedLegendary",CLASSFEATUREHEADERS,0),MATCH(($A1786 &amp; "Points"),CLASSNAMEHEADERS,0))),(IF("00"=(INDEX(ALLCLASSDATA,MATCH("UnarmedMaster",CLASSFEATUREHEADERS,0),MATCH($A1786,CLASSNAMEHEADERS,0))),(INDEX(ALLCLASSDATA,MATCH("UnarmedMaster",CLASSFEATUREHEADERS,0),MATCH(($A1786 &amp; "Points"),CLASSNAMEHEADERS,0))),(IF("00"=(INDEX(ALLCLASSDATA,MATCH("UnarmedExpert",CLASSFEATUREHEADERS,0),MATCH($A1786,CLASSNAMEHEADERS,0))),(INDEX(ALLCLASSDATA,MATCH("UnarmedExpert",CLASSFEATUREHEADERS,0),MATCH(($A1786 &amp; "Points"),CLASSNAMEHEADERS,0))),(IF("00"=(INDEX(ALLCLASSDATA,MATCH("UnarmedTrained",CLASSFEATUREHEADERS,0),MATCH($A1786,CLASSNAMEHEADERS,0))),(INDEX(ALLCLASSDATA,MATCH("UnarmedTrained",CLASSFEATUREHEADERS,0),MATCH(($A1786 &amp; "Points"),CLASSNAMEHEADERS,0))),"")))))))))}</f>
        <v>UNARMEDINITIALPTS</v>
      </c>
      <c r="H1785" s="223" t="str">
        <f t="array" ref="H1785:H1786">{"UNARMEDL01";((IF("01"=(INDEX(ALLCLASSDATA,MATCH("UnarmedLegendary",CLASSFEATUREHEADERS,0),MATCH($A1786,CLASSNAMEHEADERS,0))),(INDEX(ALLCLASSDATA,MATCH("UnarmedLegendary",CLASSFEATUREHEADERS,0),MATCH(($A1786 &amp; "Points"),CLASSNAMEHEADERS,0))),(IF("01"=(INDEX(ALLCLASSDATA,MATCH("UnarmedMaster",CLASSFEATUREHEADERS,0),MATCH($A1786,CLASSNAMEHEADERS,0))),(INDEX(ALLCLASSDATA,MATCH("UnarmedMaster",CLASSFEATUREHEADERS,0),MATCH(($A1786 &amp; "Points"),CLASSNAMEHEADERS,0))),(IF("01"=(INDEX(ALLCLASSDATA,MATCH("UnarmedExpert",CLASSFEATUREHEADERS,0),MATCH($A1786,CLASSNAMEHEADERS,0))),(INDEX(ALLCLASSDATA,MATCH("UnarmedExpert",CLASSFEATUREHEADERS,0),MATCH(($A1786 &amp; "Points"),CLASSNAMEHEADERS,0))),(IF("01"=(INDEX(ALLCLASSDATA,MATCH("UnarmedTrained",CLASSFEATUREHEADERS,0),MATCH($A1786,CLASSNAMEHEADERS,0))),(INDEX(ALLCLASSDATA,MATCH("UnarmedTrained",CLASSFEATUREHEADERS,0),MATCH(($A1786 &amp; "Points"),CLASSNAMEHEADERS,0))),"")))))))))}</f>
        <v>UNARMEDL01</v>
      </c>
      <c r="I1785" s="223"/>
      <c r="J1785" s="223" t="str">
        <f t="array" ref="J1785:J1786">{"UNARMEDL03";((IF("03"=(INDEX(ALLCLASSDATA,MATCH("UnarmedLegendary",CLASSFEATUREHEADERS,0),MATCH($A1786,CLASSNAMEHEADERS,0))),(INDEX(ALLCLASSDATA,MATCH("UnarmedLegendary",CLASSFEATUREHEADERS,0),MATCH(($A1786 &amp; "Points"),CLASSNAMEHEADERS,0))),(IF("03"=(INDEX(ALLCLASSDATA,MATCH("UnarmedMaster",CLASSFEATUREHEADERS,0),MATCH($A1786,CLASSNAMEHEADERS,0))),(INDEX(ALLCLASSDATA,MATCH("UnarmedMaster",CLASSFEATUREHEADERS,0),MATCH(($A1786 &amp; "Points"),CLASSNAMEHEADERS,0))),(IF("03"=(INDEX(ALLCLASSDATA,MATCH("UnarmedExpert",CLASSFEATUREHEADERS,0),MATCH($A1786,CLASSNAMEHEADERS,0))),(INDEX(ALLCLASSDATA,MATCH("UnarmedExpert",CLASSFEATUREHEADERS,0),MATCH(($A1786 &amp; "Points"),CLASSNAMEHEADERS,0))),(IF("03"=(INDEX(ALLCLASSDATA,MATCH("UnarmedTrained",CLASSFEATUREHEADERS,0),MATCH($A1786,CLASSNAMEHEADERS,0))),(INDEX(ALLCLASSDATA,MATCH("UnarmedTrained",CLASSFEATUREHEADERS,0),MATCH(($A1786 &amp; "Points"),CLASSNAMEHEADERS,0))),"")))))))))}</f>
        <v>UNARMEDL03</v>
      </c>
      <c r="K1785" s="223"/>
      <c r="L1785" s="223" t="str">
        <f t="array" ref="L1785:L1786">{"UNARMEDL05";((IF("05"=(INDEX(ALLCLASSDATA,MATCH("UnarmedLegendary",CLASSFEATUREHEADERS,0),MATCH($A1786,CLASSNAMEHEADERS,0))),(INDEX(ALLCLASSDATA,MATCH("UnarmedLegendary",CLASSFEATUREHEADERS,0),MATCH(($A1786 &amp; "Points"),CLASSNAMEHEADERS,0))),(IF("05"=(INDEX(ALLCLASSDATA,MATCH("UnarmedMaster",CLASSFEATUREHEADERS,0),MATCH($A1786,CLASSNAMEHEADERS,0))),(INDEX(ALLCLASSDATA,MATCH("UnarmedMaster",CLASSFEATUREHEADERS,0),MATCH(($A1786 &amp; "Points"),CLASSNAMEHEADERS,0))),(IF("05"=(INDEX(ALLCLASSDATA,MATCH("UnarmedExpert",CLASSFEATUREHEADERS,0),MATCH($A1786,CLASSNAMEHEADERS,0))),(INDEX(ALLCLASSDATA,MATCH("UnarmedExpert",CLASSFEATUREHEADERS,0),MATCH(($A1786 &amp; "Points"),CLASSNAMEHEADERS,0))),(IF("05"=(INDEX(ALLCLASSDATA,MATCH("UnarmedTrained",CLASSFEATUREHEADERS,0),MATCH($A1786,CLASSNAMEHEADERS,0))),(INDEX(ALLCLASSDATA,MATCH("UnarmedTrained",CLASSFEATUREHEADERS,0),MATCH(($A1786 &amp; "Points"),CLASSNAMEHEADERS,0))),"")))))))))}</f>
        <v>UNARMEDL05</v>
      </c>
      <c r="M1785" s="223"/>
      <c r="N1785" s="223" t="str">
        <f t="array" ref="N1785:N1786">{"UNARMEDL07";((IF("07"=(INDEX(ALLCLASSDATA,MATCH("UnarmedLegendary",CLASSFEATUREHEADERS,0),MATCH($A1786,CLASSNAMEHEADERS,0))),(INDEX(ALLCLASSDATA,MATCH("UnarmedLegendary",CLASSFEATUREHEADERS,0),MATCH(($A1786 &amp; "Points"),CLASSNAMEHEADERS,0))),(IF("07"=(INDEX(ALLCLASSDATA,MATCH("UnarmedMaster",CLASSFEATUREHEADERS,0),MATCH($A1786,CLASSNAMEHEADERS,0))),(INDEX(ALLCLASSDATA,MATCH("UnarmedMaster",CLASSFEATUREHEADERS,0),MATCH(($A1786 &amp; "Points"),CLASSNAMEHEADERS,0))),(IF("07"=(INDEX(ALLCLASSDATA,MATCH("UnarmedExpert",CLASSFEATUREHEADERS,0),MATCH($A1786,CLASSNAMEHEADERS,0))),(INDEX(ALLCLASSDATA,MATCH("UnarmedExpert",CLASSFEATUREHEADERS,0),MATCH(($A1786 &amp; "Points"),CLASSNAMEHEADERS,0))),(IF("07"=(INDEX(ALLCLASSDATA,MATCH("UnarmedTrained",CLASSFEATUREHEADERS,0),MATCH($A1786,CLASSNAMEHEADERS,0))),(INDEX(ALLCLASSDATA,MATCH("UnarmedTrained",CLASSFEATUREHEADERS,0),MATCH(($A1786 &amp; "Points"),CLASSNAMEHEADERS,0))),"")))))))))}</f>
        <v>UNARMEDL07</v>
      </c>
      <c r="O1785" s="223"/>
      <c r="P1785" s="223" t="str">
        <f t="array" ref="P1785:P1786">{"UNARMEDL09";((IF("09"=(INDEX(ALLCLASSDATA,MATCH("UnarmedLegendary",CLASSFEATUREHEADERS,0),MATCH($A1786,CLASSNAMEHEADERS,0))),(INDEX(ALLCLASSDATA,MATCH("UnarmedLegendary",CLASSFEATUREHEADERS,0),MATCH(($A1786 &amp; "Points"),CLASSNAMEHEADERS,0))),(IF("09"=(INDEX(ALLCLASSDATA,MATCH("UnarmedMaster",CLASSFEATUREHEADERS,0),MATCH($A1786,CLASSNAMEHEADERS,0))),(INDEX(ALLCLASSDATA,MATCH("UnarmedMaster",CLASSFEATUREHEADERS,0),MATCH(($A1786 &amp; "Points"),CLASSNAMEHEADERS,0))),(IF("09"=(INDEX(ALLCLASSDATA,MATCH("UnarmedExpert",CLASSFEATUREHEADERS,0),MATCH($A1786,CLASSNAMEHEADERS,0))),(INDEX(ALLCLASSDATA,MATCH("UnarmedExpert",CLASSFEATUREHEADERS,0),MATCH(($A1786 &amp; "Points"),CLASSNAMEHEADERS,0))),(IF("09"=(INDEX(ALLCLASSDATA,MATCH("UnarmedTrained",CLASSFEATUREHEADERS,0),MATCH($A1786,CLASSNAMEHEADERS,0))),(INDEX(ALLCLASSDATA,MATCH("UnarmedTrained",CLASSFEATUREHEADERS,0),MATCH(($A1786 &amp; "Points"),CLASSNAMEHEADERS,0))),"")))))))))}</f>
        <v>UNARMEDL09</v>
      </c>
      <c r="Q1785" s="223"/>
      <c r="R1785" s="223" t="str">
        <f t="array" ref="R1785:R1786">{"UNARMEDL11";((IF("11"=(INDEX(ALLCLASSDATA,MATCH("UnarmedLegendary",CLASSFEATUREHEADERS,0),MATCH($A1786,CLASSNAMEHEADERS,0))),(INDEX(ALLCLASSDATA,MATCH("UnarmedLegendary",CLASSFEATUREHEADERS,0),MATCH(($A1786 &amp; "Points"),CLASSNAMEHEADERS,0))),(IF("11"=(INDEX(ALLCLASSDATA,MATCH("UnarmedMaster",CLASSFEATUREHEADERS,0),MATCH($A1786,CLASSNAMEHEADERS,0))),(INDEX(ALLCLASSDATA,MATCH("UnarmedMaster",CLASSFEATUREHEADERS,0),MATCH(($A1786 &amp; "Points"),CLASSNAMEHEADERS,0))),(IF("11"=(INDEX(ALLCLASSDATA,MATCH("UnarmedExpert",CLASSFEATUREHEADERS,0),MATCH($A1786,CLASSNAMEHEADERS,0))),(INDEX(ALLCLASSDATA,MATCH("UnarmedExpert",CLASSFEATUREHEADERS,0),MATCH(($A1786 &amp; "Points"),CLASSNAMEHEADERS,0))),(IF("11"=(INDEX(ALLCLASSDATA,MATCH("UnarmedTrained",CLASSFEATUREHEADERS,0),MATCH($A1786,CLASSNAMEHEADERS,0))),(INDEX(ALLCLASSDATA,MATCH("UnarmedTrained",CLASSFEATUREHEADERS,0),MATCH(($A1786 &amp; "Points"),CLASSNAMEHEADERS,0))),"")))))))))}</f>
        <v>UNARMEDL11</v>
      </c>
      <c r="S1785" s="223"/>
      <c r="T1785" s="223" t="str">
        <f t="array" ref="T1785:T1786">{"UNARMEDL13";((IF("13"=(INDEX(ALLCLASSDATA,MATCH("UnarmedLegendary",CLASSFEATUREHEADERS,0),MATCH($A1786,CLASSNAMEHEADERS,0))),(INDEX(ALLCLASSDATA,MATCH("UnarmedLegendary",CLASSFEATUREHEADERS,0),MATCH(($A1786 &amp; "Points"),CLASSNAMEHEADERS,0))),(IF("13"=(INDEX(ALLCLASSDATA,MATCH("UnarmedMaster",CLASSFEATUREHEADERS,0),MATCH($A1786,CLASSNAMEHEADERS,0))),(INDEX(ALLCLASSDATA,MATCH("UnarmedMaster",CLASSFEATUREHEADERS,0),MATCH(($A1786 &amp; "Points"),CLASSNAMEHEADERS,0))),(IF("13"=(INDEX(ALLCLASSDATA,MATCH("UnarmedExpert",CLASSFEATUREHEADERS,0),MATCH($A1786,CLASSNAMEHEADERS,0))),(INDEX(ALLCLASSDATA,MATCH("UnarmedExpert",CLASSFEATUREHEADERS,0),MATCH(($A1786 &amp; "Points"),CLASSNAMEHEADERS,0))),(IF("13"=(INDEX(ALLCLASSDATA,MATCH("UnarmedTrained",CLASSFEATUREHEADERS,0),MATCH($A1786,CLASSNAMEHEADERS,0))),(INDEX(ALLCLASSDATA,MATCH("UnarmedTrained",CLASSFEATUREHEADERS,0),MATCH(($A1786 &amp; "Points"),CLASSNAMEHEADERS,0))),"")))))))))}</f>
        <v>UNARMEDL13</v>
      </c>
      <c r="U1785" s="223"/>
      <c r="V1785" s="223" t="str">
        <f t="array" ref="V1785:V1786">{"UNARMEDL15";((IF("15"=(INDEX(ALLCLASSDATA,MATCH("UnarmedLegendary",CLASSFEATUREHEADERS,0),MATCH($A1786,CLASSNAMEHEADERS,0))),(INDEX(ALLCLASSDATA,MATCH("UnarmedLegendary",CLASSFEATUREHEADERS,0),MATCH(($A1786 &amp; "Points"),CLASSNAMEHEADERS,0))),(IF("15"=(INDEX(ALLCLASSDATA,MATCH("UnarmedMaster",CLASSFEATUREHEADERS,0),MATCH($A1786,CLASSNAMEHEADERS,0))),(INDEX(ALLCLASSDATA,MATCH("UnarmedMaster",CLASSFEATUREHEADERS,0),MATCH(($A1786 &amp; "Points"),CLASSNAMEHEADERS,0))),(IF("15"=(INDEX(ALLCLASSDATA,MATCH("UnarmedExpert",CLASSFEATUREHEADERS,0),MATCH($A1786,CLASSNAMEHEADERS,0))),(INDEX(ALLCLASSDATA,MATCH("UnarmedExpert",CLASSFEATUREHEADERS,0),MATCH(($A1786 &amp; "Points"),CLASSNAMEHEADERS,0))),(IF("15"=(INDEX(ALLCLASSDATA,MATCH("UnarmedTrained",CLASSFEATUREHEADERS,0),MATCH($A1786,CLASSNAMEHEADERS,0))),(INDEX(ALLCLASSDATA,MATCH("UnarmedTrained",CLASSFEATUREHEADERS,0),MATCH(($A1786 &amp; "Points"),CLASSNAMEHEADERS,0))),"")))))))))}</f>
        <v>UNARMEDL15</v>
      </c>
      <c r="W1785" s="223"/>
      <c r="X1785" s="223" t="str">
        <f t="array" ref="X1785:X1786">{"UNARMEDL17";((IF("17"=(INDEX(ALLCLASSDATA,MATCH("UnarmedLegendary",CLASSFEATUREHEADERS,0),MATCH($A1786,CLASSNAMEHEADERS,0))),(INDEX(ALLCLASSDATA,MATCH("UnarmedLegendary",CLASSFEATUREHEADERS,0),MATCH(($A1786 &amp; "Points"),CLASSNAMEHEADERS,0))),(IF("17"=(INDEX(ALLCLASSDATA,MATCH("UnarmedMaster",CLASSFEATUREHEADERS,0),MATCH($A1786,CLASSNAMEHEADERS,0))),(INDEX(ALLCLASSDATA,MATCH("UnarmedMaster",CLASSFEATUREHEADERS,0),MATCH(($A1786 &amp; "Points"),CLASSNAMEHEADERS,0))),(IF("17"=(INDEX(ALLCLASSDATA,MATCH("UnarmedExpert",CLASSFEATUREHEADERS,0),MATCH($A1786,CLASSNAMEHEADERS,0))),(INDEX(ALLCLASSDATA,MATCH("UnarmedExpert",CLASSFEATUREHEADERS,0),MATCH(($A1786 &amp; "Points"),CLASSNAMEHEADERS,0))),(IF("17"=(INDEX(ALLCLASSDATA,MATCH("UnarmedTrained",CLASSFEATUREHEADERS,0),MATCH($A1786,CLASSNAMEHEADERS,0))),(INDEX(ALLCLASSDATA,MATCH("UnarmedTrained",CLASSFEATUREHEADERS,0),MATCH(($A1786 &amp; "Points"),CLASSNAMEHEADERS,0))),"")))))))))}</f>
        <v>UNARMEDL17</v>
      </c>
      <c r="Y1785" s="223"/>
      <c r="Z1785" s="223" t="str">
        <f t="array" ref="Z1785:Z1786">{"UNARMEDL19";((IF("19"=(INDEX(ALLCLASSDATA,MATCH("UnarmedLegendary",CLASSFEATUREHEADERS,0),MATCH($A1786,CLASSNAMEHEADERS,0))),(INDEX(ALLCLASSDATA,MATCH("UnarmedLegendary",CLASSFEATUREHEADERS,0),MATCH(($A1786 &amp; "Points"),CLASSNAMEHEADERS,0))),(IF("19"=(INDEX(ALLCLASSDATA,MATCH("UnarmedMaster",CLASSFEATUREHEADERS,0),MATCH($A1786,CLASSNAMEHEADERS,0))),(INDEX(ALLCLASSDATA,MATCH("UnarmedMaster",CLASSFEATUREHEADERS,0),MATCH(($A1786 &amp; "Points"),CLASSNAMEHEADERS,0))),(IF("19"=(INDEX(ALLCLASSDATA,MATCH("UnarmedExpert",CLASSFEATUREHEADERS,0),MATCH($A1786,CLASSNAMEHEADERS,0))),(INDEX(ALLCLASSDATA,MATCH("UnarmedExpert",CLASSFEATUREHEADERS,0),MATCH(($A1786 &amp; "Points"),CLASSNAMEHEADERS,0))),(IF("19"=(INDEX(ALLCLASSDATA,MATCH("UnarmedTrained",CLASSFEATUREHEADERS,0),MATCH($A1786,CLASSNAMEHEADERS,0))),(INDEX(ALLCLASSDATA,MATCH("UnarmedTrained",CLASSFEATUREHEADERS,0),MATCH(($A1786 &amp; "Points"),CLASSNAMEHEADERS,0))),"")))))))))}</f>
        <v>UNARMEDL19</v>
      </c>
      <c r="AA1785" s="223"/>
      <c r="AB1785" s="76" t="str">
        <f t="array" ref="AB1785:AB1786">{"UNARMED TOTAL";(IF(COUNTBLANK(G1786:AA1786)=17,"L",(IF(COUNTBLANK(G1786:AA1786)=18,"M",(IF(COUNTBLANK(G1786:AA1786)=19,"E",(IF(COUNTBLANK(G1786:AA1786)=20,"T",""))))))))}</f>
        <v>UNARMED TOTAL</v>
      </c>
      <c r="AC1785" s="76" t="str">
        <f t="array" ref="AC1785:AC1786">{"UNARMED TOTAL";(sum(G1786:AA1786))}</f>
        <v>UNARMED TOTAL</v>
      </c>
    </row>
    <row r="1786">
      <c r="A1786" s="48" t="s">
        <v>227</v>
      </c>
      <c r="B1786" s="48"/>
      <c r="C1786" s="48" t="s">
        <v>418</v>
      </c>
      <c r="D1786" s="48" t="s">
        <v>1634</v>
      </c>
      <c r="E1786" s="48" t="s">
        <v>257</v>
      </c>
      <c r="F1786" s="5" t="s">
        <v>435</v>
      </c>
      <c r="G1786" s="47" t="s">
        <v>603</v>
      </c>
      <c r="H1786" s="5">
        <v>10.0</v>
      </c>
      <c r="I1786" s="5"/>
      <c r="J1786" s="5" t="s">
        <v>603</v>
      </c>
      <c r="K1786" s="5"/>
      <c r="L1786" s="5" t="s">
        <v>603</v>
      </c>
      <c r="M1786" s="5"/>
      <c r="N1786" s="5" t="s">
        <v>603</v>
      </c>
      <c r="O1786" s="5"/>
      <c r="P1786" s="5" t="s">
        <v>603</v>
      </c>
      <c r="Q1786" s="5"/>
      <c r="R1786" s="5" t="s">
        <v>436</v>
      </c>
      <c r="S1786" s="5"/>
      <c r="T1786" s="5" t="s">
        <v>603</v>
      </c>
      <c r="U1786" s="5"/>
      <c r="V1786" s="5" t="s">
        <v>603</v>
      </c>
      <c r="W1786" s="5"/>
      <c r="X1786" s="5" t="s">
        <v>603</v>
      </c>
      <c r="Y1786" s="5"/>
      <c r="Z1786" s="5" t="s">
        <v>603</v>
      </c>
      <c r="AA1786" s="5"/>
      <c r="AB1786" s="5" t="s">
        <v>436</v>
      </c>
      <c r="AC1786" s="47">
        <v>10.0</v>
      </c>
    </row>
    <row r="1787" hidden="1">
      <c r="A1787" s="222" t="str">
        <f t="array" ref="A1787:A1788">{"FormulaRow28";(INDEX(CLASSLIST,A1732,1))}</f>
        <v>FormulaRow28</v>
      </c>
      <c r="B1787" s="77" t="s">
        <v>236</v>
      </c>
      <c r="C1787" s="222" t="str">
        <f t="array" ref="C1787:C1788">{"CLASSTYPE";((INDEX(ALLCLASSDATA,MATCH("ClassType",CLASSFEATUREHEADERS,0),MATCH($A1788,CLASSNAMEHEADERS,0))))}</f>
        <v>CLASSTYPE</v>
      </c>
      <c r="D1787" s="222" t="str">
        <f t="array" ref="D1787:D1788">{"ATTACK";"Attack"}</f>
        <v>ATTACK</v>
      </c>
      <c r="E1787" s="222" t="str">
        <f t="array" ref="E1787:E1788">{"SIMPLELIMITED";"SimpleLimited"}</f>
        <v>SIMPLELIMITED</v>
      </c>
      <c r="F1787" s="223" t="str">
        <f t="array" ref="F1787:F1788">{"SIMPLELIMITEDINITIAL";((IF(H1788=10,"T",(IF(H1788=50,"E","")))))}</f>
        <v>SIMPLELIMITEDINITIAL</v>
      </c>
      <c r="G1787" s="223" t="str">
        <f t="array" ref="G1787:G1788">{"SIMPLELIMITEDINITIALPTS";((IF("00"=(INDEX(ALLCLASSDATA,MATCH("SimpleLimitedLegendary",CLASSFEATUREHEADERS,0),MATCH($A1788,CLASSNAMEHEADERS,0))),(INDEX(ALLCLASSDATA,MATCH("SimpleLimitedLegendary",CLASSFEATUREHEADERS,0),MATCH(($A1788 &amp; "Points"),CLASSNAMEHEADERS,0))),(IF("00"=(INDEX(ALLCLASSDATA,MATCH("SimpleLimitedMaster",CLASSFEATUREHEADERS,0),MATCH($A1788,CLASSNAMEHEADERS,0))),(INDEX(ALLCLASSDATA,MATCH("SimpleLimitedMaster",CLASSFEATUREHEADERS,0),MATCH(($A1788 &amp; "Points"),CLASSNAMEHEADERS,0))),(IF("00"=(INDEX(ALLCLASSDATA,MATCH("SimpleLimitedExpert",CLASSFEATUREHEADERS,0),MATCH($A1788,CLASSNAMEHEADERS,0))),(INDEX(ALLCLASSDATA,MATCH("SimpleLimitedExpert",CLASSFEATUREHEADERS,0),MATCH(($A1788 &amp; "Points"),CLASSNAMEHEADERS,0))),(IF("00"=(INDEX(ALLCLASSDATA,MATCH("SimpleLimitedTrained",CLASSFEATUREHEADERS,0),MATCH($A1788,CLASSNAMEHEADERS,0))),(INDEX(ALLCLASSDATA,MATCH("SimpleLimitedTrained",CLASSFEATUREHEADERS,0),MATCH(($A1788 &amp; "Points"),CLASSNAMEHEADERS,0))),"")))))))))}</f>
        <v>SIMPLELIMITEDINITIALPTS</v>
      </c>
      <c r="H1787" s="223" t="str">
        <f t="array" ref="H1787:H1788">{"SIMPLELIMITEDL01";((IF("01"=(INDEX(ALLCLASSDATA,MATCH("SimpleLimitedLegendary",CLASSFEATUREHEADERS,0),MATCH($A1788,CLASSNAMEHEADERS,0))),(INDEX(ALLCLASSDATA,MATCH("SimpleLimitedLegendary",CLASSFEATUREHEADERS,0),MATCH(($A1788 &amp; "Points"),CLASSNAMEHEADERS,0))),(IF("01"=(INDEX(ALLCLASSDATA,MATCH("SimpleLimitedMaster",CLASSFEATUREHEADERS,0),MATCH($A1788,CLASSNAMEHEADERS,0))),(INDEX(ALLCLASSDATA,MATCH("SimpleLimitedMaster",CLASSFEATUREHEADERS,0),MATCH(($A1788 &amp; "Points"),CLASSNAMEHEADERS,0))),(IF("01"=(INDEX(ALLCLASSDATA,MATCH("SimpleLimitedExpert",CLASSFEATUREHEADERS,0),MATCH($A1788,CLASSNAMEHEADERS,0))),(INDEX(ALLCLASSDATA,MATCH("SimpleLimitedExpert",CLASSFEATUREHEADERS,0),MATCH(($A1788 &amp; "Points"),CLASSNAMEHEADERS,0))),(IF("01"=(INDEX(ALLCLASSDATA,MATCH("SimpleLimitedTrained",CLASSFEATUREHEADERS,0),MATCH($A1788,CLASSNAMEHEADERS,0))),(INDEX(ALLCLASSDATA,MATCH("SimpleLimitedTrained",CLASSFEATUREHEADERS,0),MATCH(($A1788 &amp; "Points"),CLASSNAMEHEADERS,0))),"")))))))))}</f>
        <v>SIMPLELIMITEDL01</v>
      </c>
      <c r="I1787" s="223"/>
      <c r="J1787" s="223" t="str">
        <f t="array" ref="J1787:J1788">{"SIMPLELIMITEDL03";((IF("03"=(INDEX(ALLCLASSDATA,MATCH("SimpleLimitedLegendary",CLASSFEATUREHEADERS,0),MATCH($A1788,CLASSNAMEHEADERS,0))),(INDEX(ALLCLASSDATA,MATCH("SimpleLimitedLegendary",CLASSFEATUREHEADERS,0),MATCH(($A1788 &amp; "Points"),CLASSNAMEHEADERS,0))),(IF("03"=(INDEX(ALLCLASSDATA,MATCH("SimpleLimitedMaster",CLASSFEATUREHEADERS,0),MATCH($A1788,CLASSNAMEHEADERS,0))),(INDEX(ALLCLASSDATA,MATCH("SimpleLimitedMaster",CLASSFEATUREHEADERS,0),MATCH(($A1788 &amp; "Points"),CLASSNAMEHEADERS,0))),(IF("03"=(INDEX(ALLCLASSDATA,MATCH("SimpleLimitedExpert",CLASSFEATUREHEADERS,0),MATCH($A1788,CLASSNAMEHEADERS,0))),(INDEX(ALLCLASSDATA,MATCH("SimpleLimitedExpert",CLASSFEATUREHEADERS,0),MATCH(($A1788 &amp; "Points"),CLASSNAMEHEADERS,0))),(IF("03"=(INDEX(ALLCLASSDATA,MATCH("SimpleLimitedTrained",CLASSFEATUREHEADERS,0),MATCH($A1788,CLASSNAMEHEADERS,0))),(INDEX(ALLCLASSDATA,MATCH("SimpleLimitedTrained",CLASSFEATUREHEADERS,0),MATCH(($A1788 &amp; "Points"),CLASSNAMEHEADERS,0))),"")))))))))}</f>
        <v>SIMPLELIMITEDL03</v>
      </c>
      <c r="K1787" s="223"/>
      <c r="L1787" s="223" t="str">
        <f t="array" ref="L1787:L1788">{"SIMPLELIMITEDL05";((IF("05"=(INDEX(ALLCLASSDATA,MATCH("SimpleLimitedLegendary",CLASSFEATUREHEADERS,0),MATCH($A1788,CLASSNAMEHEADERS,0))),(INDEX(ALLCLASSDATA,MATCH("SimpleLimitedLegendary",CLASSFEATUREHEADERS,0),MATCH(($A1788 &amp; "Points"),CLASSNAMEHEADERS,0))),(IF("05"=(INDEX(ALLCLASSDATA,MATCH("SimpleLimitedMaster",CLASSFEATUREHEADERS,0),MATCH($A1788,CLASSNAMEHEADERS,0))),(INDEX(ALLCLASSDATA,MATCH("SimpleLimitedMaster",CLASSFEATUREHEADERS,0),MATCH(($A1788 &amp; "Points"),CLASSNAMEHEADERS,0))),(IF("05"=(INDEX(ALLCLASSDATA,MATCH("SimpleLimitedExpert",CLASSFEATUREHEADERS,0),MATCH($A1788,CLASSNAMEHEADERS,0))),(INDEX(ALLCLASSDATA,MATCH("SimpleLimitedExpert",CLASSFEATUREHEADERS,0),MATCH(($A1788 &amp; "Points"),CLASSNAMEHEADERS,0))),(IF("05"=(INDEX(ALLCLASSDATA,MATCH("SimpleLimitedTrained",CLASSFEATUREHEADERS,0),MATCH($A1788,CLASSNAMEHEADERS,0))),(INDEX(ALLCLASSDATA,MATCH("SimpleLimitedTrained",CLASSFEATUREHEADERS,0),MATCH(($A1788 &amp; "Points"),CLASSNAMEHEADERS,0))),"")))))))))}</f>
        <v>SIMPLELIMITEDL05</v>
      </c>
      <c r="M1787" s="223"/>
      <c r="N1787" s="223" t="str">
        <f t="array" ref="N1787:N1788">{"SIMPLELIMITEDL07";((IF("07"=(INDEX(ALLCLASSDATA,MATCH("SimpleLimitedLegendary",CLASSFEATUREHEADERS,0),MATCH($A1788,CLASSNAMEHEADERS,0))),(INDEX(ALLCLASSDATA,MATCH("SimpleLimitedLegendary",CLASSFEATUREHEADERS,0),MATCH(($A1788 &amp; "Points"),CLASSNAMEHEADERS,0))),(IF("07"=(INDEX(ALLCLASSDATA,MATCH("SimpleLimitedMaster",CLASSFEATUREHEADERS,0),MATCH($A1788,CLASSNAMEHEADERS,0))),(INDEX(ALLCLASSDATA,MATCH("SimpleLimitedMaster",CLASSFEATUREHEADERS,0),MATCH(($A1788 &amp; "Points"),CLASSNAMEHEADERS,0))),(IF("07"=(INDEX(ALLCLASSDATA,MATCH("SimpleLimitedExpert",CLASSFEATUREHEADERS,0),MATCH($A1788,CLASSNAMEHEADERS,0))),(INDEX(ALLCLASSDATA,MATCH("SimpleLimitedExpert",CLASSFEATUREHEADERS,0),MATCH(($A1788 &amp; "Points"),CLASSNAMEHEADERS,0))),(IF("07"=(INDEX(ALLCLASSDATA,MATCH("SimpleLimitedTrained",CLASSFEATUREHEADERS,0),MATCH($A1788,CLASSNAMEHEADERS,0))),(INDEX(ALLCLASSDATA,MATCH("SimpleLimitedTrained",CLASSFEATUREHEADERS,0),MATCH(($A1788 &amp; "Points"),CLASSNAMEHEADERS,0))),"")))))))))}</f>
        <v>SIMPLELIMITEDL07</v>
      </c>
      <c r="O1787" s="223"/>
      <c r="P1787" s="223" t="str">
        <f t="array" ref="P1787:P1788">{"SIMPLELIMITEDL09";((IF("09"=(INDEX(ALLCLASSDATA,MATCH("SimpleLimitedLegendary",CLASSFEATUREHEADERS,0),MATCH($A1788,CLASSNAMEHEADERS,0))),(INDEX(ALLCLASSDATA,MATCH("SimpleLimitedLegendary",CLASSFEATUREHEADERS,0),MATCH(($A1788 &amp; "Points"),CLASSNAMEHEADERS,0))),(IF("09"=(INDEX(ALLCLASSDATA,MATCH("SimpleLimitedMaster",CLASSFEATUREHEADERS,0),MATCH($A1788,CLASSNAMEHEADERS,0))),(INDEX(ALLCLASSDATA,MATCH("SimpleLimitedMaster",CLASSFEATUREHEADERS,0),MATCH(($A1788 &amp; "Points"),CLASSNAMEHEADERS,0))),(IF("09"=(INDEX(ALLCLASSDATA,MATCH("SimpleLimitedExpert",CLASSFEATUREHEADERS,0),MATCH($A1788,CLASSNAMEHEADERS,0))),(INDEX(ALLCLASSDATA,MATCH("SimpleLimitedExpert",CLASSFEATUREHEADERS,0),MATCH(($A1788 &amp; "Points"),CLASSNAMEHEADERS,0))),(IF("09"=(INDEX(ALLCLASSDATA,MATCH("SimpleLimitedTrained",CLASSFEATUREHEADERS,0),MATCH($A1788,CLASSNAMEHEADERS,0))),(INDEX(ALLCLASSDATA,MATCH("SimpleLimitedTrained",CLASSFEATUREHEADERS,0),MATCH(($A1788 &amp; "Points"),CLASSNAMEHEADERS,0))),"")))))))))}</f>
        <v>SIMPLELIMITEDL09</v>
      </c>
      <c r="Q1787" s="223"/>
      <c r="R1787" s="223" t="str">
        <f t="array" ref="R1787:R1788">{"SIMPLELIMITEDL11";((IF("11"=(INDEX(ALLCLASSDATA,MATCH("SimpleLimitedLegendary",CLASSFEATUREHEADERS,0),MATCH($A1788,CLASSNAMEHEADERS,0))),(INDEX(ALLCLASSDATA,MATCH("SimpleLimitedLegendary",CLASSFEATUREHEADERS,0),MATCH(($A1788 &amp; "Points"),CLASSNAMEHEADERS,0))),(IF("11"=(INDEX(ALLCLASSDATA,MATCH("SimpleLimitedMaster",CLASSFEATUREHEADERS,0),MATCH($A1788,CLASSNAMEHEADERS,0))),(INDEX(ALLCLASSDATA,MATCH("SimpleLimitedMaster",CLASSFEATUREHEADERS,0),MATCH(($A1788 &amp; "Points"),CLASSNAMEHEADERS,0))),(IF("11"=(INDEX(ALLCLASSDATA,MATCH("SimpleLimitedExpert",CLASSFEATUREHEADERS,0),MATCH($A1788,CLASSNAMEHEADERS,0))),(INDEX(ALLCLASSDATA,MATCH("SimpleLimitedExpert",CLASSFEATUREHEADERS,0),MATCH(($A1788 &amp; "Points"),CLASSNAMEHEADERS,0))),(IF("11"=(INDEX(ALLCLASSDATA,MATCH("SimpleLimitedTrained",CLASSFEATUREHEADERS,0),MATCH($A1788,CLASSNAMEHEADERS,0))),(INDEX(ALLCLASSDATA,MATCH("SimpleLimitedTrained",CLASSFEATUREHEADERS,0),MATCH(($A1788 &amp; "Points"),CLASSNAMEHEADERS,0))),"")))))))))}</f>
        <v>SIMPLELIMITEDL11</v>
      </c>
      <c r="S1787" s="223"/>
      <c r="T1787" s="223" t="str">
        <f t="array" ref="T1787:T1788">{"SIMPLELIMITEDL13";((IF("13"=(INDEX(ALLCLASSDATA,MATCH("SimpleLimitedLegendary",CLASSFEATUREHEADERS,0),MATCH($A1788,CLASSNAMEHEADERS,0))),(INDEX(ALLCLASSDATA,MATCH("SimpleLimitedLegendary",CLASSFEATUREHEADERS,0),MATCH(($A1788 &amp; "Points"),CLASSNAMEHEADERS,0))),(IF("13"=(INDEX(ALLCLASSDATA,MATCH("SimpleLimitedMaster",CLASSFEATUREHEADERS,0),MATCH($A1788,CLASSNAMEHEADERS,0))),(INDEX(ALLCLASSDATA,MATCH("SimpleLimitedMaster",CLASSFEATUREHEADERS,0),MATCH(($A1788 &amp; "Points"),CLASSNAMEHEADERS,0))),(IF("13"=(INDEX(ALLCLASSDATA,MATCH("SimpleLimitedExpert",CLASSFEATUREHEADERS,0),MATCH($A1788,CLASSNAMEHEADERS,0))),(INDEX(ALLCLASSDATA,MATCH("SimpleLimitedExpert",CLASSFEATUREHEADERS,0),MATCH(($A1788 &amp; "Points"),CLASSNAMEHEADERS,0))),(IF("13"=(INDEX(ALLCLASSDATA,MATCH("SimpleLimitedTrained",CLASSFEATUREHEADERS,0),MATCH($A1788,CLASSNAMEHEADERS,0))),(INDEX(ALLCLASSDATA,MATCH("SimpleLimitedTrained",CLASSFEATUREHEADERS,0),MATCH(($A1788 &amp; "Points"),CLASSNAMEHEADERS,0))),"")))))))))}</f>
        <v>SIMPLELIMITEDL13</v>
      </c>
      <c r="U1787" s="223"/>
      <c r="V1787" s="223" t="str">
        <f t="array" ref="V1787:V1788">{"SIMPLELIMITEDL15";((IF("15"=(INDEX(ALLCLASSDATA,MATCH("SimpleLimitedLegendary",CLASSFEATUREHEADERS,0),MATCH($A1788,CLASSNAMEHEADERS,0))),(INDEX(ALLCLASSDATA,MATCH("SimpleLimitedLegendary",CLASSFEATUREHEADERS,0),MATCH(($A1788 &amp; "Points"),CLASSNAMEHEADERS,0))),(IF("15"=(INDEX(ALLCLASSDATA,MATCH("SimpleLimitedMaster",CLASSFEATUREHEADERS,0),MATCH($A1788,CLASSNAMEHEADERS,0))),(INDEX(ALLCLASSDATA,MATCH("SimpleLimitedMaster",CLASSFEATUREHEADERS,0),MATCH(($A1788 &amp; "Points"),CLASSNAMEHEADERS,0))),(IF("15"=(INDEX(ALLCLASSDATA,MATCH("SimpleLimitedExpert",CLASSFEATUREHEADERS,0),MATCH($A1788,CLASSNAMEHEADERS,0))),(INDEX(ALLCLASSDATA,MATCH("SimpleLimitedExpert",CLASSFEATUREHEADERS,0),MATCH(($A1788 &amp; "Points"),CLASSNAMEHEADERS,0))),(IF("15"=(INDEX(ALLCLASSDATA,MATCH("SimpleLimitedTrained",CLASSFEATUREHEADERS,0),MATCH($A1788,CLASSNAMEHEADERS,0))),(INDEX(ALLCLASSDATA,MATCH("SimpleLimitedTrained",CLASSFEATUREHEADERS,0),MATCH(($A1788 &amp; "Points"),CLASSNAMEHEADERS,0))),"")))))))))}</f>
        <v>SIMPLELIMITEDL15</v>
      </c>
      <c r="W1787" s="223"/>
      <c r="X1787" s="223" t="str">
        <f t="array" ref="X1787:X1788">{"SIMPLELIMITEDL17";((IF("17"=(INDEX(ALLCLASSDATA,MATCH("SimpleLimitedLegendary",CLASSFEATUREHEADERS,0),MATCH($A1788,CLASSNAMEHEADERS,0))),(INDEX(ALLCLASSDATA,MATCH("SimpleLimitedLegendary",CLASSFEATUREHEADERS,0),MATCH(($A1788 &amp; "Points"),CLASSNAMEHEADERS,0))),(IF("17"=(INDEX(ALLCLASSDATA,MATCH("SimpleLimitedMaster",CLASSFEATUREHEADERS,0),MATCH($A1788,CLASSNAMEHEADERS,0))),(INDEX(ALLCLASSDATA,MATCH("SimpleLimitedMaster",CLASSFEATUREHEADERS,0),MATCH(($A1788 &amp; "Points"),CLASSNAMEHEADERS,0))),(IF("17"=(INDEX(ALLCLASSDATA,MATCH("SimpleLimitedExpert",CLASSFEATUREHEADERS,0),MATCH($A1788,CLASSNAMEHEADERS,0))),(INDEX(ALLCLASSDATA,MATCH("SimpleLimitedExpert",CLASSFEATUREHEADERS,0),MATCH(($A1788 &amp; "Points"),CLASSNAMEHEADERS,0))),(IF("17"=(INDEX(ALLCLASSDATA,MATCH("SimpleLimitedTrained",CLASSFEATUREHEADERS,0),MATCH($A1788,CLASSNAMEHEADERS,0))),(INDEX(ALLCLASSDATA,MATCH("SimpleLimitedTrained",CLASSFEATUREHEADERS,0),MATCH(($A1788 &amp; "Points"),CLASSNAMEHEADERS,0))),"")))))))))}</f>
        <v>SIMPLELIMITEDL17</v>
      </c>
      <c r="Y1787" s="223"/>
      <c r="Z1787" s="223" t="str">
        <f t="array" ref="Z1787:Z1788">{"SIMPLELIMITEDL19";((IF("19"=(INDEX(ALLCLASSDATA,MATCH("SimpleLimitedLegendary",CLASSFEATUREHEADERS,0),MATCH($A1788,CLASSNAMEHEADERS,0))),(INDEX(ALLCLASSDATA,MATCH("SimpleLimitedLegendary",CLASSFEATUREHEADERS,0),MATCH(($A1788 &amp; "Points"),CLASSNAMEHEADERS,0))),(IF("19"=(INDEX(ALLCLASSDATA,MATCH("SimpleLimitedMaster",CLASSFEATUREHEADERS,0),MATCH($A1788,CLASSNAMEHEADERS,0))),(INDEX(ALLCLASSDATA,MATCH("SimpleLimitedMaster",CLASSFEATUREHEADERS,0),MATCH(($A1788 &amp; "Points"),CLASSNAMEHEADERS,0))),(IF("19"=(INDEX(ALLCLASSDATA,MATCH("SimpleLimitedExpert",CLASSFEATUREHEADERS,0),MATCH($A1788,CLASSNAMEHEADERS,0))),(INDEX(ALLCLASSDATA,MATCH("SimpleLimitedExpert",CLASSFEATUREHEADERS,0),MATCH(($A1788 &amp; "Points"),CLASSNAMEHEADERS,0))),(IF("19"=(INDEX(ALLCLASSDATA,MATCH("SimpleLimitedTrained",CLASSFEATUREHEADERS,0),MATCH($A1788,CLASSNAMEHEADERS,0))),(INDEX(ALLCLASSDATA,MATCH("SimpleLimitedTrained",CLASSFEATUREHEADERS,0),MATCH(($A1788 &amp; "Points"),CLASSNAMEHEADERS,0))),"")))))))))}</f>
        <v>SIMPLELIMITEDL19</v>
      </c>
      <c r="AA1787" s="223"/>
      <c r="AB1787" s="76" t="str">
        <f t="array" ref="AB1787:AB1788">{"SIMPLELIMITED TOTAL";(IF(COUNTBLANK(G1788:AA1788)=17,"L",(IF(COUNTBLANK(G1788:AA1788)=18,"M",(IF(COUNTBLANK(G1788:AA1788)=19,"E",(IF(COUNTBLANK(G1788:AA1788)=20,"T",""))))))))}</f>
        <v>SIMPLELIMITED TOTAL</v>
      </c>
      <c r="AC1787" s="76" t="str">
        <f t="array" ref="AC1787:AC1788">{"SIMPLELIMITED TOTAL";(sum(G1788:AA1788))}</f>
        <v>SIMPLELIMITED TOTAL</v>
      </c>
    </row>
    <row r="1788">
      <c r="A1788" s="48" t="s">
        <v>227</v>
      </c>
      <c r="B1788" s="48"/>
      <c r="C1788" s="48" t="s">
        <v>418</v>
      </c>
      <c r="D1788" s="48" t="s">
        <v>1634</v>
      </c>
      <c r="E1788" s="48" t="s">
        <v>599</v>
      </c>
      <c r="F1788" s="5" t="s">
        <v>603</v>
      </c>
      <c r="G1788" s="47" t="s">
        <v>603</v>
      </c>
      <c r="H1788" s="5" t="s">
        <v>603</v>
      </c>
      <c r="I1788" s="5"/>
      <c r="J1788" s="5" t="s">
        <v>603</v>
      </c>
      <c r="K1788" s="5"/>
      <c r="L1788" s="5" t="s">
        <v>603</v>
      </c>
      <c r="M1788" s="5"/>
      <c r="N1788" s="5" t="s">
        <v>603</v>
      </c>
      <c r="O1788" s="5"/>
      <c r="P1788" s="5" t="s">
        <v>603</v>
      </c>
      <c r="Q1788" s="5"/>
      <c r="R1788" s="5" t="s">
        <v>603</v>
      </c>
      <c r="S1788" s="5"/>
      <c r="T1788" s="5" t="s">
        <v>603</v>
      </c>
      <c r="U1788" s="5"/>
      <c r="V1788" s="5" t="s">
        <v>603</v>
      </c>
      <c r="W1788" s="5"/>
      <c r="X1788" s="5" t="s">
        <v>603</v>
      </c>
      <c r="Y1788" s="5"/>
      <c r="Z1788" s="5" t="s">
        <v>603</v>
      </c>
      <c r="AA1788" s="5"/>
      <c r="AB1788" s="5" t="s">
        <v>603</v>
      </c>
      <c r="AC1788" s="47">
        <v>0.0</v>
      </c>
    </row>
    <row r="1789" hidden="1">
      <c r="A1789" s="222" t="str">
        <f t="array" ref="A1789:A1790">{"FormulaRow29";(INDEX(CLASSLIST,A1732,1))}</f>
        <v>FormulaRow29</v>
      </c>
      <c r="B1789" s="77" t="s">
        <v>236</v>
      </c>
      <c r="C1789" s="222" t="str">
        <f t="array" ref="C1789:C1790">{"CLASSTYPE";((INDEX(ALLCLASSDATA,MATCH("ClassType",CLASSFEATUREHEADERS,0),MATCH($A1790,CLASSNAMEHEADERS,0))))}</f>
        <v>CLASSTYPE</v>
      </c>
      <c r="D1789" s="222" t="str">
        <f t="array" ref="D1789:D1790">{"ATTACK";"Attack"}</f>
        <v>ATTACK</v>
      </c>
      <c r="E1789" s="222" t="str">
        <f t="array" ref="E1789:E1790">{"SIMPLE";"Simple"}</f>
        <v>SIMPLE</v>
      </c>
      <c r="F1789" s="223" t="str">
        <f t="array" ref="F1789:F1790">{"SIMPLEINITIAL";((IF(H1790=10,"T",(IF(H1790=50,"E","")))))}</f>
        <v>SIMPLEINITIAL</v>
      </c>
      <c r="G1789" s="223" t="str">
        <f t="array" ref="G1789:G1790">{"SIMPLEINITIALPTS";((IF("00"=(INDEX(ALLCLASSDATA,MATCH("SimpleLegendary",CLASSFEATUREHEADERS,0),MATCH($A1790,CLASSNAMEHEADERS,0))),(INDEX(ALLCLASSDATA,MATCH("SimpleLegendary",CLASSFEATUREHEADERS,0),MATCH(($A1790 &amp; "Points"),CLASSNAMEHEADERS,0))),(IF("00"=(INDEX(ALLCLASSDATA,MATCH("SimpleMaster",CLASSFEATUREHEADERS,0),MATCH($A1790,CLASSNAMEHEADERS,0))),(INDEX(ALLCLASSDATA,MATCH("SimpleMaster",CLASSFEATUREHEADERS,0),MATCH(($A1790 &amp; "Points"),CLASSNAMEHEADERS,0))),(IF("00"=(INDEX(ALLCLASSDATA,MATCH("SimpleExpert",CLASSFEATUREHEADERS,0),MATCH($A1790,CLASSNAMEHEADERS,0))),(INDEX(ALLCLASSDATA,MATCH("SimpleExpert",CLASSFEATUREHEADERS,0),MATCH(($A1790 &amp; "Points"),CLASSNAMEHEADERS,0))),(IF("00"=(INDEX(ALLCLASSDATA,MATCH("SimpleTrained",CLASSFEATUREHEADERS,0),MATCH($A1790,CLASSNAMEHEADERS,0))),(INDEX(ALLCLASSDATA,MATCH("SimpleTrained",CLASSFEATUREHEADERS,0),MATCH(($A1790 &amp; "Points"),CLASSNAMEHEADERS,0))),"")))))))))}</f>
        <v>SIMPLEINITIALPTS</v>
      </c>
      <c r="H1789" s="223" t="str">
        <f t="array" ref="H1789:H1790">{"SIMPLEL01";((IF("01"=(INDEX(ALLCLASSDATA,MATCH("SimpleLegendary",CLASSFEATUREHEADERS,0),MATCH($A1790,CLASSNAMEHEADERS,0))),(INDEX(ALLCLASSDATA,MATCH("SimpleLegendary",CLASSFEATUREHEADERS,0),MATCH(($A1790 &amp; "Points"),CLASSNAMEHEADERS,0))),(IF("01"=(INDEX(ALLCLASSDATA,MATCH("SimpleMaster",CLASSFEATUREHEADERS,0),MATCH($A1790,CLASSNAMEHEADERS,0))),(INDEX(ALLCLASSDATA,MATCH("SimpleMaster",CLASSFEATUREHEADERS,0),MATCH(($A1790 &amp; "Points"),CLASSNAMEHEADERS,0))),(IF("01"=(INDEX(ALLCLASSDATA,MATCH("SimpleExpert",CLASSFEATUREHEADERS,0),MATCH($A1790,CLASSNAMEHEADERS,0))),(INDEX(ALLCLASSDATA,MATCH("SimpleExpert",CLASSFEATUREHEADERS,0),MATCH(($A1790 &amp; "Points"),CLASSNAMEHEADERS,0))),(IF("01"=(INDEX(ALLCLASSDATA,MATCH("SimpleTrained",CLASSFEATUREHEADERS,0),MATCH($A1790,CLASSNAMEHEADERS,0))),(INDEX(ALLCLASSDATA,MATCH("SimpleTrained",CLASSFEATUREHEADERS,0),MATCH(($A1790 &amp; "Points"),CLASSNAMEHEADERS,0))),"")))))))))}</f>
        <v>SIMPLEL01</v>
      </c>
      <c r="I1789" s="223"/>
      <c r="J1789" s="223" t="str">
        <f t="array" ref="J1789:J1790">{"SIMPLEL03";((IF("03"=(INDEX(ALLCLASSDATA,MATCH("SimpleLegendary",CLASSFEATUREHEADERS,0),MATCH($A1790,CLASSNAMEHEADERS,0))),(INDEX(ALLCLASSDATA,MATCH("SimpleLegendary",CLASSFEATUREHEADERS,0),MATCH(($A1790 &amp; "Points"),CLASSNAMEHEADERS,0))),(IF("03"=(INDEX(ALLCLASSDATA,MATCH("SimpleMaster",CLASSFEATUREHEADERS,0),MATCH($A1790,CLASSNAMEHEADERS,0))),(INDEX(ALLCLASSDATA,MATCH("SimpleMaster",CLASSFEATUREHEADERS,0),MATCH(($A1790 &amp; "Points"),CLASSNAMEHEADERS,0))),(IF("03"=(INDEX(ALLCLASSDATA,MATCH("SimpleExpert",CLASSFEATUREHEADERS,0),MATCH($A1790,CLASSNAMEHEADERS,0))),(INDEX(ALLCLASSDATA,MATCH("SimpleExpert",CLASSFEATUREHEADERS,0),MATCH(($A1790 &amp; "Points"),CLASSNAMEHEADERS,0))),(IF("03"=(INDEX(ALLCLASSDATA,MATCH("SimpleTrained",CLASSFEATUREHEADERS,0),MATCH($A1790,CLASSNAMEHEADERS,0))),(INDEX(ALLCLASSDATA,MATCH("SimpleTrained",CLASSFEATUREHEADERS,0),MATCH(($A1790 &amp; "Points"),CLASSNAMEHEADERS,0))),"")))))))))}</f>
        <v>SIMPLEL03</v>
      </c>
      <c r="K1789" s="223"/>
      <c r="L1789" s="223" t="str">
        <f t="array" ref="L1789:L1790">{"SIMPLEL05";((IF("05"=(INDEX(ALLCLASSDATA,MATCH("SimpleLegendary",CLASSFEATUREHEADERS,0),MATCH($A1790,CLASSNAMEHEADERS,0))),(INDEX(ALLCLASSDATA,MATCH("SimpleLegendary",CLASSFEATUREHEADERS,0),MATCH(($A1790 &amp; "Points"),CLASSNAMEHEADERS,0))),(IF("05"=(INDEX(ALLCLASSDATA,MATCH("SimpleMaster",CLASSFEATUREHEADERS,0),MATCH($A1790,CLASSNAMEHEADERS,0))),(INDEX(ALLCLASSDATA,MATCH("SimpleMaster",CLASSFEATUREHEADERS,0),MATCH(($A1790 &amp; "Points"),CLASSNAMEHEADERS,0))),(IF("05"=(INDEX(ALLCLASSDATA,MATCH("SimpleExpert",CLASSFEATUREHEADERS,0),MATCH($A1790,CLASSNAMEHEADERS,0))),(INDEX(ALLCLASSDATA,MATCH("SimpleExpert",CLASSFEATUREHEADERS,0),MATCH(($A1790 &amp; "Points"),CLASSNAMEHEADERS,0))),(IF("05"=(INDEX(ALLCLASSDATA,MATCH("SimpleTrained",CLASSFEATUREHEADERS,0),MATCH($A1790,CLASSNAMEHEADERS,0))),(INDEX(ALLCLASSDATA,MATCH("SimpleTrained",CLASSFEATUREHEADERS,0),MATCH(($A1790 &amp; "Points"),CLASSNAMEHEADERS,0))),"")))))))))}</f>
        <v>SIMPLEL05</v>
      </c>
      <c r="M1789" s="223"/>
      <c r="N1789" s="223" t="str">
        <f t="array" ref="N1789:N1790">{"SIMPLEL07";((IF("07"=(INDEX(ALLCLASSDATA,MATCH("SimpleLegendary",CLASSFEATUREHEADERS,0),MATCH($A1790,CLASSNAMEHEADERS,0))),(INDEX(ALLCLASSDATA,MATCH("SimpleLegendary",CLASSFEATUREHEADERS,0),MATCH(($A1790 &amp; "Points"),CLASSNAMEHEADERS,0))),(IF("07"=(INDEX(ALLCLASSDATA,MATCH("SimpleMaster",CLASSFEATUREHEADERS,0),MATCH($A1790,CLASSNAMEHEADERS,0))),(INDEX(ALLCLASSDATA,MATCH("SimpleMaster",CLASSFEATUREHEADERS,0),MATCH(($A1790 &amp; "Points"),CLASSNAMEHEADERS,0))),(IF("07"=(INDEX(ALLCLASSDATA,MATCH("SimpleExpert",CLASSFEATUREHEADERS,0),MATCH($A1790,CLASSNAMEHEADERS,0))),(INDEX(ALLCLASSDATA,MATCH("SimpleExpert",CLASSFEATUREHEADERS,0),MATCH(($A1790 &amp; "Points"),CLASSNAMEHEADERS,0))),(IF("07"=(INDEX(ALLCLASSDATA,MATCH("SimpleTrained",CLASSFEATUREHEADERS,0),MATCH($A1790,CLASSNAMEHEADERS,0))),(INDEX(ALLCLASSDATA,MATCH("SimpleTrained",CLASSFEATUREHEADERS,0),MATCH(($A1790 &amp; "Points"),CLASSNAMEHEADERS,0))),"")))))))))}</f>
        <v>SIMPLEL07</v>
      </c>
      <c r="O1789" s="223"/>
      <c r="P1789" s="223" t="str">
        <f t="array" ref="P1789:P1790">{"SIMPLEL09";((IF("09"=(INDEX(ALLCLASSDATA,MATCH("SimpleLegendary",CLASSFEATUREHEADERS,0),MATCH($A1790,CLASSNAMEHEADERS,0))),(INDEX(ALLCLASSDATA,MATCH("SimpleLegendary",CLASSFEATUREHEADERS,0),MATCH(($A1790 &amp; "Points"),CLASSNAMEHEADERS,0))),(IF("09"=(INDEX(ALLCLASSDATA,MATCH("SimpleMaster",CLASSFEATUREHEADERS,0),MATCH($A1790,CLASSNAMEHEADERS,0))),(INDEX(ALLCLASSDATA,MATCH("SimpleMaster",CLASSFEATUREHEADERS,0),MATCH(($A1790 &amp; "Points"),CLASSNAMEHEADERS,0))),(IF("09"=(INDEX(ALLCLASSDATA,MATCH("SimpleExpert",CLASSFEATUREHEADERS,0),MATCH($A1790,CLASSNAMEHEADERS,0))),(INDEX(ALLCLASSDATA,MATCH("SimpleExpert",CLASSFEATUREHEADERS,0),MATCH(($A1790 &amp; "Points"),CLASSNAMEHEADERS,0))),(IF("09"=(INDEX(ALLCLASSDATA,MATCH("SimpleTrained",CLASSFEATUREHEADERS,0),MATCH($A1790,CLASSNAMEHEADERS,0))),(INDEX(ALLCLASSDATA,MATCH("SimpleTrained",CLASSFEATUREHEADERS,0),MATCH(($A1790 &amp; "Points"),CLASSNAMEHEADERS,0))),"")))))))))}</f>
        <v>SIMPLEL09</v>
      </c>
      <c r="Q1789" s="223"/>
      <c r="R1789" s="223" t="str">
        <f t="array" ref="R1789:R1790">{"SIMPLEL11";((IF("11"=(INDEX(ALLCLASSDATA,MATCH("SimpleLegendary",CLASSFEATUREHEADERS,0),MATCH($A1790,CLASSNAMEHEADERS,0))),(INDEX(ALLCLASSDATA,MATCH("SimpleLegendary",CLASSFEATUREHEADERS,0),MATCH(($A1790 &amp; "Points"),CLASSNAMEHEADERS,0))),(IF("11"=(INDEX(ALLCLASSDATA,MATCH("SimpleMaster",CLASSFEATUREHEADERS,0),MATCH($A1790,CLASSNAMEHEADERS,0))),(INDEX(ALLCLASSDATA,MATCH("SimpleMaster",CLASSFEATUREHEADERS,0),MATCH(($A1790 &amp; "Points"),CLASSNAMEHEADERS,0))),(IF("11"=(INDEX(ALLCLASSDATA,MATCH("SimpleExpert",CLASSFEATUREHEADERS,0),MATCH($A1790,CLASSNAMEHEADERS,0))),(INDEX(ALLCLASSDATA,MATCH("SimpleExpert",CLASSFEATUREHEADERS,0),MATCH(($A1790 &amp; "Points"),CLASSNAMEHEADERS,0))),(IF("11"=(INDEX(ALLCLASSDATA,MATCH("SimpleTrained",CLASSFEATUREHEADERS,0),MATCH($A1790,CLASSNAMEHEADERS,0))),(INDEX(ALLCLASSDATA,MATCH("SimpleTrained",CLASSFEATUREHEADERS,0),MATCH(($A1790 &amp; "Points"),CLASSNAMEHEADERS,0))),"")))))))))}</f>
        <v>SIMPLEL11</v>
      </c>
      <c r="S1789" s="223"/>
      <c r="T1789" s="223" t="str">
        <f t="array" ref="T1789:T1790">{"SIMPLEL13";((IF("13"=(INDEX(ALLCLASSDATA,MATCH("SimpleLegendary",CLASSFEATUREHEADERS,0),MATCH($A1790,CLASSNAMEHEADERS,0))),(INDEX(ALLCLASSDATA,MATCH("SimpleLegendary",CLASSFEATUREHEADERS,0),MATCH(($A1790 &amp; "Points"),CLASSNAMEHEADERS,0))),(IF("13"=(INDEX(ALLCLASSDATA,MATCH("SimpleMaster",CLASSFEATUREHEADERS,0),MATCH($A1790,CLASSNAMEHEADERS,0))),(INDEX(ALLCLASSDATA,MATCH("SimpleMaster",CLASSFEATUREHEADERS,0),MATCH(($A1790 &amp; "Points"),CLASSNAMEHEADERS,0))),(IF("13"=(INDEX(ALLCLASSDATA,MATCH("SimpleExpert",CLASSFEATUREHEADERS,0),MATCH($A1790,CLASSNAMEHEADERS,0))),(INDEX(ALLCLASSDATA,MATCH("SimpleExpert",CLASSFEATUREHEADERS,0),MATCH(($A1790 &amp; "Points"),CLASSNAMEHEADERS,0))),(IF("13"=(INDEX(ALLCLASSDATA,MATCH("SimpleTrained",CLASSFEATUREHEADERS,0),MATCH($A1790,CLASSNAMEHEADERS,0))),(INDEX(ALLCLASSDATA,MATCH("SimpleTrained",CLASSFEATUREHEADERS,0),MATCH(($A1790 &amp; "Points"),CLASSNAMEHEADERS,0))),"")))))))))}</f>
        <v>SIMPLEL13</v>
      </c>
      <c r="U1789" s="223"/>
      <c r="V1789" s="223" t="str">
        <f t="array" ref="V1789:V1790">{"SIMPLEL15";((IF("15"=(INDEX(ALLCLASSDATA,MATCH("SimpleLegendary",CLASSFEATUREHEADERS,0),MATCH($A1790,CLASSNAMEHEADERS,0))),(INDEX(ALLCLASSDATA,MATCH("SimpleLegendary",CLASSFEATUREHEADERS,0),MATCH(($A1790 &amp; "Points"),CLASSNAMEHEADERS,0))),(IF("15"=(INDEX(ALLCLASSDATA,MATCH("SimpleMaster",CLASSFEATUREHEADERS,0),MATCH($A1790,CLASSNAMEHEADERS,0))),(INDEX(ALLCLASSDATA,MATCH("SimpleMaster",CLASSFEATUREHEADERS,0),MATCH(($A1790 &amp; "Points"),CLASSNAMEHEADERS,0))),(IF("15"=(INDEX(ALLCLASSDATA,MATCH("SimpleExpert",CLASSFEATUREHEADERS,0),MATCH($A1790,CLASSNAMEHEADERS,0))),(INDEX(ALLCLASSDATA,MATCH("SimpleExpert",CLASSFEATUREHEADERS,0),MATCH(($A1790 &amp; "Points"),CLASSNAMEHEADERS,0))),(IF("15"=(INDEX(ALLCLASSDATA,MATCH("SimpleTrained",CLASSFEATUREHEADERS,0),MATCH($A1790,CLASSNAMEHEADERS,0))),(INDEX(ALLCLASSDATA,MATCH("SimpleTrained",CLASSFEATUREHEADERS,0),MATCH(($A1790 &amp; "Points"),CLASSNAMEHEADERS,0))),"")))))))))}</f>
        <v>SIMPLEL15</v>
      </c>
      <c r="W1789" s="223"/>
      <c r="X1789" s="223" t="str">
        <f t="array" ref="X1789:X1790">{"SIMPLEL17";((IF("17"=(INDEX(ALLCLASSDATA,MATCH("SimpleLegendary",CLASSFEATUREHEADERS,0),MATCH($A1790,CLASSNAMEHEADERS,0))),(INDEX(ALLCLASSDATA,MATCH("SimpleLegendary",CLASSFEATUREHEADERS,0),MATCH(($A1790 &amp; "Points"),CLASSNAMEHEADERS,0))),(IF("17"=(INDEX(ALLCLASSDATA,MATCH("SimpleMaster",CLASSFEATUREHEADERS,0),MATCH($A1790,CLASSNAMEHEADERS,0))),(INDEX(ALLCLASSDATA,MATCH("SimpleMaster",CLASSFEATUREHEADERS,0),MATCH(($A1790 &amp; "Points"),CLASSNAMEHEADERS,0))),(IF("17"=(INDEX(ALLCLASSDATA,MATCH("SimpleExpert",CLASSFEATUREHEADERS,0),MATCH($A1790,CLASSNAMEHEADERS,0))),(INDEX(ALLCLASSDATA,MATCH("SimpleExpert",CLASSFEATUREHEADERS,0),MATCH(($A1790 &amp; "Points"),CLASSNAMEHEADERS,0))),(IF("17"=(INDEX(ALLCLASSDATA,MATCH("SimpleTrained",CLASSFEATUREHEADERS,0),MATCH($A1790,CLASSNAMEHEADERS,0))),(INDEX(ALLCLASSDATA,MATCH("SimpleTrained",CLASSFEATUREHEADERS,0),MATCH(($A1790 &amp; "Points"),CLASSNAMEHEADERS,0))),"")))))))))}</f>
        <v>SIMPLEL17</v>
      </c>
      <c r="Y1789" s="223"/>
      <c r="Z1789" s="223" t="str">
        <f t="array" ref="Z1789:Z1790">{"SIMPLEL19";((IF("19"=(INDEX(ALLCLASSDATA,MATCH("SimpleLegendary",CLASSFEATUREHEADERS,0),MATCH($A1790,CLASSNAMEHEADERS,0))),(INDEX(ALLCLASSDATA,MATCH("SimpleLegendary",CLASSFEATUREHEADERS,0),MATCH(($A1790 &amp; "Points"),CLASSNAMEHEADERS,0))),(IF("19"=(INDEX(ALLCLASSDATA,MATCH("SimpleMaster",CLASSFEATUREHEADERS,0),MATCH($A1790,CLASSNAMEHEADERS,0))),(INDEX(ALLCLASSDATA,MATCH("SimpleMaster",CLASSFEATUREHEADERS,0),MATCH(($A1790 &amp; "Points"),CLASSNAMEHEADERS,0))),(IF("19"=(INDEX(ALLCLASSDATA,MATCH("SimpleExpert",CLASSFEATUREHEADERS,0),MATCH($A1790,CLASSNAMEHEADERS,0))),(INDEX(ALLCLASSDATA,MATCH("SimpleExpert",CLASSFEATUREHEADERS,0),MATCH(($A1790 &amp; "Points"),CLASSNAMEHEADERS,0))),(IF("19"=(INDEX(ALLCLASSDATA,MATCH("SimpleTrained",CLASSFEATUREHEADERS,0),MATCH($A1790,CLASSNAMEHEADERS,0))),(INDEX(ALLCLASSDATA,MATCH("SimpleTrained",CLASSFEATUREHEADERS,0),MATCH(($A1790 &amp; "Points"),CLASSNAMEHEADERS,0))),"")))))))))}</f>
        <v>SIMPLEL19</v>
      </c>
      <c r="AA1789" s="223"/>
      <c r="AB1789" s="76" t="str">
        <f t="array" ref="AB1789:AB1790">{"SIMPLE TOTAL";(IF(COUNTBLANK(G1790:AA1790)=17,"L",(IF(COUNTBLANK(G1790:AA1790)=18,"M",(IF(COUNTBLANK(G1790:AA1790)=19,"E",(IF(COUNTBLANK(G1790:AA1790)=20,"T",""))))))))}</f>
        <v>SIMPLE TOTAL</v>
      </c>
      <c r="AC1789" s="76" t="str">
        <f t="array" ref="AC1789:AC1790">{"SIMPLE TOTAL";(sum(G1790:AA1790))}</f>
        <v>SIMPLE TOTAL</v>
      </c>
    </row>
    <row r="1790">
      <c r="A1790" s="48" t="s">
        <v>227</v>
      </c>
      <c r="B1790" s="48"/>
      <c r="C1790" s="48" t="s">
        <v>418</v>
      </c>
      <c r="D1790" s="48" t="s">
        <v>1634</v>
      </c>
      <c r="E1790" s="48" t="s">
        <v>68</v>
      </c>
      <c r="F1790" s="5" t="s">
        <v>435</v>
      </c>
      <c r="G1790" s="47" t="s">
        <v>603</v>
      </c>
      <c r="H1790" s="5">
        <v>10.0</v>
      </c>
      <c r="I1790" s="5"/>
      <c r="J1790" s="5" t="s">
        <v>603</v>
      </c>
      <c r="K1790" s="5"/>
      <c r="L1790" s="5" t="s">
        <v>603</v>
      </c>
      <c r="M1790" s="5"/>
      <c r="N1790" s="5" t="s">
        <v>603</v>
      </c>
      <c r="O1790" s="5"/>
      <c r="P1790" s="5" t="s">
        <v>603</v>
      </c>
      <c r="Q1790" s="5"/>
      <c r="R1790" s="5">
        <v>50.0</v>
      </c>
      <c r="S1790" s="5"/>
      <c r="T1790" s="5" t="s">
        <v>603</v>
      </c>
      <c r="U1790" s="5"/>
      <c r="V1790" s="5" t="s">
        <v>603</v>
      </c>
      <c r="W1790" s="5"/>
      <c r="X1790" s="5" t="s">
        <v>603</v>
      </c>
      <c r="Y1790" s="5"/>
      <c r="Z1790" s="5" t="s">
        <v>603</v>
      </c>
      <c r="AA1790" s="5"/>
      <c r="AB1790" s="5" t="s">
        <v>436</v>
      </c>
      <c r="AC1790" s="47">
        <v>60.0</v>
      </c>
    </row>
    <row r="1791" hidden="1">
      <c r="A1791" s="222" t="str">
        <f t="array" ref="A1791:A1792">{"FormulaRow30";(INDEX(CLASSLIST,A1732,1))}</f>
        <v>FormulaRow30</v>
      </c>
      <c r="B1791" s="77" t="s">
        <v>236</v>
      </c>
      <c r="C1791" s="222" t="str">
        <f t="array" ref="C1791:C1792">{"CLASSTYPE";((INDEX(ALLCLASSDATA,MATCH("ClassType",CLASSFEATUREHEADERS,0),MATCH($A1792,CLASSNAMEHEADERS,0))))}</f>
        <v>CLASSTYPE</v>
      </c>
      <c r="D1791" s="222" t="str">
        <f t="array" ref="D1791:D1792">{"ATTACK";"Attack"}</f>
        <v>ATTACK</v>
      </c>
      <c r="E1791" s="222" t="str">
        <f t="array" ref="E1791:E1792">{"MARTIALLIMITED";"MartialLimited"}</f>
        <v>MARTIALLIMITED</v>
      </c>
      <c r="F1791" s="223" t="str">
        <f t="array" ref="F1791:F1792">{"MARTIALLIMITEDINITIAL";((IF(H1792=10,"T",(IF(H1792=50,"E","")))))}</f>
        <v>MARTIALLIMITEDINITIAL</v>
      </c>
      <c r="G1791" s="223" t="str">
        <f t="array" ref="G1791:G1792">{"MARTIALLIMITEDINITIALPTS";((IF("00"=(INDEX(ALLCLASSDATA,MATCH("MartialLimitedLegendary",CLASSFEATUREHEADERS,0),MATCH($A1792,CLASSNAMEHEADERS,0))),(INDEX(ALLCLASSDATA,MATCH("MartialLimitedLegendary",CLASSFEATUREHEADERS,0),MATCH(($A1792 &amp; "Points"),CLASSNAMEHEADERS,0))),(IF("00"=(INDEX(ALLCLASSDATA,MATCH("MartialLimitedMaster",CLASSFEATUREHEADERS,0),MATCH($A1792,CLASSNAMEHEADERS,0))),(INDEX(ALLCLASSDATA,MATCH("MartialLimitedMaster",CLASSFEATUREHEADERS,0),MATCH(($A1792 &amp; "Points"),CLASSNAMEHEADERS,0))),(IF("00"=(INDEX(ALLCLASSDATA,MATCH("MartialLimitedExpert",CLASSFEATUREHEADERS,0),MATCH($A1792,CLASSNAMEHEADERS,0))),(INDEX(ALLCLASSDATA,MATCH("MartialLimitedExpert",CLASSFEATUREHEADERS,0),MATCH(($A1792 &amp; "Points"),CLASSNAMEHEADERS,0))),(IF("00"=(INDEX(ALLCLASSDATA,MATCH("MartialLimitedTrained",CLASSFEATUREHEADERS,0),MATCH($A1792,CLASSNAMEHEADERS,0))),(INDEX(ALLCLASSDATA,MATCH("MartialLimitedTrained",CLASSFEATUREHEADERS,0),MATCH(($A1792 &amp; "Points"),CLASSNAMEHEADERS,0))),"")))))))))}</f>
        <v>MARTIALLIMITEDINITIALPTS</v>
      </c>
      <c r="H1791" s="223" t="str">
        <f t="array" ref="H1791:H1792">{"MARTIALLIMITEDL01";((IF("01"=(INDEX(ALLCLASSDATA,MATCH("MartialLimitedLegendary",CLASSFEATUREHEADERS,0),MATCH($A1792,CLASSNAMEHEADERS,0))),(INDEX(ALLCLASSDATA,MATCH("MartialLimitedLegendary",CLASSFEATUREHEADERS,0),MATCH(($A1792 &amp; "Points"),CLASSNAMEHEADERS,0))),(IF("01"=(INDEX(ALLCLASSDATA,MATCH("MartialLimitedMaster",CLASSFEATUREHEADERS,0),MATCH($A1792,CLASSNAMEHEADERS,0))),(INDEX(ALLCLASSDATA,MATCH("MartialLimitedMaster",CLASSFEATUREHEADERS,0),MATCH(($A1792 &amp; "Points"),CLASSNAMEHEADERS,0))),(IF("01"=(INDEX(ALLCLASSDATA,MATCH("MartialLimitedExpert",CLASSFEATUREHEADERS,0),MATCH($A1792,CLASSNAMEHEADERS,0))),(INDEX(ALLCLASSDATA,MATCH("MartialLimitedExpert",CLASSFEATUREHEADERS,0),MATCH(($A1792 &amp; "Points"),CLASSNAMEHEADERS,0))),(IF("01"=(INDEX(ALLCLASSDATA,MATCH("MartialLimitedTrained",CLASSFEATUREHEADERS,0),MATCH($A1792,CLASSNAMEHEADERS,0))),(INDEX(ALLCLASSDATA,MATCH("MartialLimitedTrained",CLASSFEATUREHEADERS,0),MATCH(($A1792 &amp; "Points"),CLASSNAMEHEADERS,0))),"")))))))))}</f>
        <v>MARTIALLIMITEDL01</v>
      </c>
      <c r="I1791" s="223"/>
      <c r="J1791" s="223" t="str">
        <f t="array" ref="J1791:J1792">{"MARTIALLIMITEDL03";((IF("03"=(INDEX(ALLCLASSDATA,MATCH("MartialLimitedLegendary",CLASSFEATUREHEADERS,0),MATCH($A1792,CLASSNAMEHEADERS,0))),(INDEX(ALLCLASSDATA,MATCH("MartialLimitedLegendary",CLASSFEATUREHEADERS,0),MATCH(($A1792 &amp; "Points"),CLASSNAMEHEADERS,0))),(IF("03"=(INDEX(ALLCLASSDATA,MATCH("MartialLimitedMaster",CLASSFEATUREHEADERS,0),MATCH($A1792,CLASSNAMEHEADERS,0))),(INDEX(ALLCLASSDATA,MATCH("MartialLimitedMaster",CLASSFEATUREHEADERS,0),MATCH(($A1792 &amp; "Points"),CLASSNAMEHEADERS,0))),(IF("03"=(INDEX(ALLCLASSDATA,MATCH("MartialLimitedExpert",CLASSFEATUREHEADERS,0),MATCH($A1792,CLASSNAMEHEADERS,0))),(INDEX(ALLCLASSDATA,MATCH("MartialLimitedExpert",CLASSFEATUREHEADERS,0),MATCH(($A1792 &amp; "Points"),CLASSNAMEHEADERS,0))),(IF("03"=(INDEX(ALLCLASSDATA,MATCH("MartialLimitedTrained",CLASSFEATUREHEADERS,0),MATCH($A1792,CLASSNAMEHEADERS,0))),(INDEX(ALLCLASSDATA,MATCH("MartialLimitedTrained",CLASSFEATUREHEADERS,0),MATCH(($A1792 &amp; "Points"),CLASSNAMEHEADERS,0))),"")))))))))}</f>
        <v>MARTIALLIMITEDL03</v>
      </c>
      <c r="K1791" s="223"/>
      <c r="L1791" s="223" t="str">
        <f t="array" ref="L1791:L1792">{"MARTIALLIMITEDL05";((IF("05"=(INDEX(ALLCLASSDATA,MATCH("MartialLimitedLegendary",CLASSFEATUREHEADERS,0),MATCH($A1792,CLASSNAMEHEADERS,0))),(INDEX(ALLCLASSDATA,MATCH("MartialLimitedLegendary",CLASSFEATUREHEADERS,0),MATCH(($A1792 &amp; "Points"),CLASSNAMEHEADERS,0))),(IF("05"=(INDEX(ALLCLASSDATA,MATCH("MartialLimitedMaster",CLASSFEATUREHEADERS,0),MATCH($A1792,CLASSNAMEHEADERS,0))),(INDEX(ALLCLASSDATA,MATCH("MartialLimitedMaster",CLASSFEATUREHEADERS,0),MATCH(($A1792 &amp; "Points"),CLASSNAMEHEADERS,0))),(IF("05"=(INDEX(ALLCLASSDATA,MATCH("MartialLimitedExpert",CLASSFEATUREHEADERS,0),MATCH($A1792,CLASSNAMEHEADERS,0))),(INDEX(ALLCLASSDATA,MATCH("MartialLimitedExpert",CLASSFEATUREHEADERS,0),MATCH(($A1792 &amp; "Points"),CLASSNAMEHEADERS,0))),(IF("05"=(INDEX(ALLCLASSDATA,MATCH("MartialLimitedTrained",CLASSFEATUREHEADERS,0),MATCH($A1792,CLASSNAMEHEADERS,0))),(INDEX(ALLCLASSDATA,MATCH("MartialLimitedTrained",CLASSFEATUREHEADERS,0),MATCH(($A1792 &amp; "Points"),CLASSNAMEHEADERS,0))),"")))))))))}</f>
        <v>MARTIALLIMITEDL05</v>
      </c>
      <c r="M1791" s="223"/>
      <c r="N1791" s="223" t="str">
        <f t="array" ref="N1791:N1792">{"MARTIALLIMITEDL07";((IF("07"=(INDEX(ALLCLASSDATA,MATCH("MartialLimitedLegendary",CLASSFEATUREHEADERS,0),MATCH($A1792,CLASSNAMEHEADERS,0))),(INDEX(ALLCLASSDATA,MATCH("MartialLimitedLegendary",CLASSFEATUREHEADERS,0),MATCH(($A1792 &amp; "Points"),CLASSNAMEHEADERS,0))),(IF("07"=(INDEX(ALLCLASSDATA,MATCH("MartialLimitedMaster",CLASSFEATUREHEADERS,0),MATCH($A1792,CLASSNAMEHEADERS,0))),(INDEX(ALLCLASSDATA,MATCH("MartialLimitedMaster",CLASSFEATUREHEADERS,0),MATCH(($A1792 &amp; "Points"),CLASSNAMEHEADERS,0))),(IF("07"=(INDEX(ALLCLASSDATA,MATCH("MartialLimitedExpert",CLASSFEATUREHEADERS,0),MATCH($A1792,CLASSNAMEHEADERS,0))),(INDEX(ALLCLASSDATA,MATCH("MartialLimitedExpert",CLASSFEATUREHEADERS,0),MATCH(($A1792 &amp; "Points"),CLASSNAMEHEADERS,0))),(IF("07"=(INDEX(ALLCLASSDATA,MATCH("MartialLimitedTrained",CLASSFEATUREHEADERS,0),MATCH($A1792,CLASSNAMEHEADERS,0))),(INDEX(ALLCLASSDATA,MATCH("MartialLimitedTrained",CLASSFEATUREHEADERS,0),MATCH(($A1792 &amp; "Points"),CLASSNAMEHEADERS,0))),"")))))))))}</f>
        <v>MARTIALLIMITEDL07</v>
      </c>
      <c r="O1791" s="223"/>
      <c r="P1791" s="223" t="str">
        <f t="array" ref="P1791:P1792">{"MARTIALLIMITEDL09";((IF("09"=(INDEX(ALLCLASSDATA,MATCH("MartialLimitedLegendary",CLASSFEATUREHEADERS,0),MATCH($A1792,CLASSNAMEHEADERS,0))),(INDEX(ALLCLASSDATA,MATCH("MartialLimitedLegendary",CLASSFEATUREHEADERS,0),MATCH(($A1792 &amp; "Points"),CLASSNAMEHEADERS,0))),(IF("09"=(INDEX(ALLCLASSDATA,MATCH("MartialLimitedMaster",CLASSFEATUREHEADERS,0),MATCH($A1792,CLASSNAMEHEADERS,0))),(INDEX(ALLCLASSDATA,MATCH("MartialLimitedMaster",CLASSFEATUREHEADERS,0),MATCH(($A1792 &amp; "Points"),CLASSNAMEHEADERS,0))),(IF("09"=(INDEX(ALLCLASSDATA,MATCH("MartialLimitedExpert",CLASSFEATUREHEADERS,0),MATCH($A1792,CLASSNAMEHEADERS,0))),(INDEX(ALLCLASSDATA,MATCH("MartialLimitedExpert",CLASSFEATUREHEADERS,0),MATCH(($A1792 &amp; "Points"),CLASSNAMEHEADERS,0))),(IF("09"=(INDEX(ALLCLASSDATA,MATCH("MartialLimitedTrained",CLASSFEATUREHEADERS,0),MATCH($A1792,CLASSNAMEHEADERS,0))),(INDEX(ALLCLASSDATA,MATCH("MartialLimitedTrained",CLASSFEATUREHEADERS,0),MATCH(($A1792 &amp; "Points"),CLASSNAMEHEADERS,0))),"")))))))))}</f>
        <v>MARTIALLIMITEDL09</v>
      </c>
      <c r="Q1791" s="223"/>
      <c r="R1791" s="223" t="str">
        <f t="array" ref="R1791:R1792">{"MARTIALLIMITEDL11";((IF("11"=(INDEX(ALLCLASSDATA,MATCH("MartialLimitedLegendary",CLASSFEATUREHEADERS,0),MATCH($A1792,CLASSNAMEHEADERS,0))),(INDEX(ALLCLASSDATA,MATCH("MartialLimitedLegendary",CLASSFEATUREHEADERS,0),MATCH(($A1792 &amp; "Points"),CLASSNAMEHEADERS,0))),(IF("11"=(INDEX(ALLCLASSDATA,MATCH("MartialLimitedMaster",CLASSFEATUREHEADERS,0),MATCH($A1792,CLASSNAMEHEADERS,0))),(INDEX(ALLCLASSDATA,MATCH("MartialLimitedMaster",CLASSFEATUREHEADERS,0),MATCH(($A1792 &amp; "Points"),CLASSNAMEHEADERS,0))),(IF("11"=(INDEX(ALLCLASSDATA,MATCH("MartialLimitedExpert",CLASSFEATUREHEADERS,0),MATCH($A1792,CLASSNAMEHEADERS,0))),(INDEX(ALLCLASSDATA,MATCH("MartialLimitedExpert",CLASSFEATUREHEADERS,0),MATCH(($A1792 &amp; "Points"),CLASSNAMEHEADERS,0))),(IF("11"=(INDEX(ALLCLASSDATA,MATCH("MartialLimitedTrained",CLASSFEATUREHEADERS,0),MATCH($A1792,CLASSNAMEHEADERS,0))),(INDEX(ALLCLASSDATA,MATCH("MartialLimitedTrained",CLASSFEATUREHEADERS,0),MATCH(($A1792 &amp; "Points"),CLASSNAMEHEADERS,0))),"")))))))))}</f>
        <v>MARTIALLIMITEDL11</v>
      </c>
      <c r="S1791" s="223"/>
      <c r="T1791" s="223" t="str">
        <f t="array" ref="T1791:T1792">{"MARTIALLIMITEDL13";((IF("13"=(INDEX(ALLCLASSDATA,MATCH("MartialLimitedLegendary",CLASSFEATUREHEADERS,0),MATCH($A1792,CLASSNAMEHEADERS,0))),(INDEX(ALLCLASSDATA,MATCH("MartialLimitedLegendary",CLASSFEATUREHEADERS,0),MATCH(($A1792 &amp; "Points"),CLASSNAMEHEADERS,0))),(IF("13"=(INDEX(ALLCLASSDATA,MATCH("MartialLimitedMaster",CLASSFEATUREHEADERS,0),MATCH($A1792,CLASSNAMEHEADERS,0))),(INDEX(ALLCLASSDATA,MATCH("MartialLimitedMaster",CLASSFEATUREHEADERS,0),MATCH(($A1792 &amp; "Points"),CLASSNAMEHEADERS,0))),(IF("13"=(INDEX(ALLCLASSDATA,MATCH("MartialLimitedExpert",CLASSFEATUREHEADERS,0),MATCH($A1792,CLASSNAMEHEADERS,0))),(INDEX(ALLCLASSDATA,MATCH("MartialLimitedExpert",CLASSFEATUREHEADERS,0),MATCH(($A1792 &amp; "Points"),CLASSNAMEHEADERS,0))),(IF("13"=(INDEX(ALLCLASSDATA,MATCH("MartialLimitedTrained",CLASSFEATUREHEADERS,0),MATCH($A1792,CLASSNAMEHEADERS,0))),(INDEX(ALLCLASSDATA,MATCH("MartialLimitedTrained",CLASSFEATUREHEADERS,0),MATCH(($A1792 &amp; "Points"),CLASSNAMEHEADERS,0))),"")))))))))}</f>
        <v>MARTIALLIMITEDL13</v>
      </c>
      <c r="U1791" s="223"/>
      <c r="V1791" s="223" t="str">
        <f t="array" ref="V1791:V1792">{"MARTIALLIMITEDL15";((IF("15"=(INDEX(ALLCLASSDATA,MATCH("MartialLimitedLegendary",CLASSFEATUREHEADERS,0),MATCH($A1792,CLASSNAMEHEADERS,0))),(INDEX(ALLCLASSDATA,MATCH("MartialLimitedLegendary",CLASSFEATUREHEADERS,0),MATCH(($A1792 &amp; "Points"),CLASSNAMEHEADERS,0))),(IF("15"=(INDEX(ALLCLASSDATA,MATCH("MartialLimitedMaster",CLASSFEATUREHEADERS,0),MATCH($A1792,CLASSNAMEHEADERS,0))),(INDEX(ALLCLASSDATA,MATCH("MartialLimitedMaster",CLASSFEATUREHEADERS,0),MATCH(($A1792 &amp; "Points"),CLASSNAMEHEADERS,0))),(IF("15"=(INDEX(ALLCLASSDATA,MATCH("MartialLimitedExpert",CLASSFEATUREHEADERS,0),MATCH($A1792,CLASSNAMEHEADERS,0))),(INDEX(ALLCLASSDATA,MATCH("MartialLimitedExpert",CLASSFEATUREHEADERS,0),MATCH(($A1792 &amp; "Points"),CLASSNAMEHEADERS,0))),(IF("15"=(INDEX(ALLCLASSDATA,MATCH("MartialLimitedTrained",CLASSFEATUREHEADERS,0),MATCH($A1792,CLASSNAMEHEADERS,0))),(INDEX(ALLCLASSDATA,MATCH("MartialLimitedTrained",CLASSFEATUREHEADERS,0),MATCH(($A1792 &amp; "Points"),CLASSNAMEHEADERS,0))),"")))))))))}</f>
        <v>MARTIALLIMITEDL15</v>
      </c>
      <c r="W1791" s="223"/>
      <c r="X1791" s="223" t="str">
        <f t="array" ref="X1791:X1792">{"MARTIALLIMITEDL17";((IF("17"=(INDEX(ALLCLASSDATA,MATCH("MartialLimitedLegendary",CLASSFEATUREHEADERS,0),MATCH($A1792,CLASSNAMEHEADERS,0))),(INDEX(ALLCLASSDATA,MATCH("MartialLimitedLegendary",CLASSFEATUREHEADERS,0),MATCH(($A1792 &amp; "Points"),CLASSNAMEHEADERS,0))),(IF("17"=(INDEX(ALLCLASSDATA,MATCH("MartialLimitedMaster",CLASSFEATUREHEADERS,0),MATCH($A1792,CLASSNAMEHEADERS,0))),(INDEX(ALLCLASSDATA,MATCH("MartialLimitedMaster",CLASSFEATUREHEADERS,0),MATCH(($A1792 &amp; "Points"),CLASSNAMEHEADERS,0))),(IF("17"=(INDEX(ALLCLASSDATA,MATCH("MartialLimitedExpert",CLASSFEATUREHEADERS,0),MATCH($A1792,CLASSNAMEHEADERS,0))),(INDEX(ALLCLASSDATA,MATCH("MartialLimitedExpert",CLASSFEATUREHEADERS,0),MATCH(($A1792 &amp; "Points"),CLASSNAMEHEADERS,0))),(IF("17"=(INDEX(ALLCLASSDATA,MATCH("MartialLimitedTrained",CLASSFEATUREHEADERS,0),MATCH($A1792,CLASSNAMEHEADERS,0))),(INDEX(ALLCLASSDATA,MATCH("MartialLimitedTrained",CLASSFEATUREHEADERS,0),MATCH(($A1792 &amp; "Points"),CLASSNAMEHEADERS,0))),"")))))))))}</f>
        <v>MARTIALLIMITEDL17</v>
      </c>
      <c r="Y1791" s="223"/>
      <c r="Z1791" s="223" t="str">
        <f t="array" ref="Z1791:Z1792">{"MARTIALLIMITEDL19";((IF("19"=(INDEX(ALLCLASSDATA,MATCH("MartialLimitedLegendary",CLASSFEATUREHEADERS,0),MATCH($A1792,CLASSNAMEHEADERS,0))),(INDEX(ALLCLASSDATA,MATCH("MartialLimitedLegendary",CLASSFEATUREHEADERS,0),MATCH(($A1792 &amp; "Points"),CLASSNAMEHEADERS,0))),(IF("19"=(INDEX(ALLCLASSDATA,MATCH("MartialLimitedMaster",CLASSFEATUREHEADERS,0),MATCH($A1792,CLASSNAMEHEADERS,0))),(INDEX(ALLCLASSDATA,MATCH("MartialLimitedMaster",CLASSFEATUREHEADERS,0),MATCH(($A1792 &amp; "Points"),CLASSNAMEHEADERS,0))),(IF("19"=(INDEX(ALLCLASSDATA,MATCH("MartialLimitedExpert",CLASSFEATUREHEADERS,0),MATCH($A1792,CLASSNAMEHEADERS,0))),(INDEX(ALLCLASSDATA,MATCH("MartialLimitedExpert",CLASSFEATUREHEADERS,0),MATCH(($A1792 &amp; "Points"),CLASSNAMEHEADERS,0))),(IF("19"=(INDEX(ALLCLASSDATA,MATCH("MartialLimitedTrained",CLASSFEATUREHEADERS,0),MATCH($A1792,CLASSNAMEHEADERS,0))),(INDEX(ALLCLASSDATA,MATCH("MartialLimitedTrained",CLASSFEATUREHEADERS,0),MATCH(($A1792 &amp; "Points"),CLASSNAMEHEADERS,0))),"")))))))))}</f>
        <v>MARTIALLIMITEDL19</v>
      </c>
      <c r="AA1791" s="223"/>
      <c r="AB1791" s="76" t="str">
        <f t="array" ref="AB1791:AB1792">{"MARTIALLIMITED TOTAL";(IF(COUNTBLANK(G1792:AA1792)=17,"L",(IF(COUNTBLANK(G1792:AA1792)=18,"M",(IF(COUNTBLANK(G1792:AA1792)=19,"E",(IF(COUNTBLANK(G1792:AA1792)=20,"T",""))))))))}</f>
        <v>MARTIALLIMITED TOTAL</v>
      </c>
      <c r="AC1791" s="76" t="str">
        <f t="array" ref="AC1791:AC1792">{"MARTIALLIMITED TOTAL";(sum(G1792:AA1792))}</f>
        <v>MARTIALLIMITED TOTAL</v>
      </c>
    </row>
    <row r="1792">
      <c r="A1792" s="48" t="s">
        <v>227</v>
      </c>
      <c r="B1792" s="48"/>
      <c r="C1792" s="48" t="s">
        <v>418</v>
      </c>
      <c r="D1792" s="48" t="s">
        <v>1634</v>
      </c>
      <c r="E1792" s="48" t="s">
        <v>600</v>
      </c>
      <c r="F1792" s="5" t="s">
        <v>603</v>
      </c>
      <c r="G1792" s="47" t="s">
        <v>603</v>
      </c>
      <c r="H1792" s="5" t="s">
        <v>603</v>
      </c>
      <c r="I1792" s="5"/>
      <c r="J1792" s="5" t="s">
        <v>603</v>
      </c>
      <c r="K1792" s="5"/>
      <c r="L1792" s="5" t="s">
        <v>603</v>
      </c>
      <c r="M1792" s="5"/>
      <c r="N1792" s="5" t="s">
        <v>603</v>
      </c>
      <c r="O1792" s="5"/>
      <c r="P1792" s="5" t="s">
        <v>603</v>
      </c>
      <c r="Q1792" s="5"/>
      <c r="R1792" s="5" t="s">
        <v>603</v>
      </c>
      <c r="S1792" s="5"/>
      <c r="T1792" s="5" t="s">
        <v>603</v>
      </c>
      <c r="U1792" s="5"/>
      <c r="V1792" s="5" t="s">
        <v>603</v>
      </c>
      <c r="W1792" s="5"/>
      <c r="X1792" s="5" t="s">
        <v>603</v>
      </c>
      <c r="Y1792" s="5"/>
      <c r="Z1792" s="5" t="s">
        <v>603</v>
      </c>
      <c r="AA1792" s="5"/>
      <c r="AB1792" s="5" t="s">
        <v>603</v>
      </c>
      <c r="AC1792" s="47">
        <v>0.0</v>
      </c>
    </row>
    <row r="1793" hidden="1">
      <c r="A1793" s="222" t="str">
        <f t="array" ref="A1793:A1794">{"FormulaRow31";(INDEX(CLASSLIST,A1732,1))}</f>
        <v>FormulaRow31</v>
      </c>
      <c r="B1793" s="77" t="s">
        <v>236</v>
      </c>
      <c r="C1793" s="222" t="str">
        <f t="array" ref="C1793:C1794">{"CLASSTYPE";((INDEX(ALLCLASSDATA,MATCH("ClassType",CLASSFEATUREHEADERS,0),MATCH($A1794,CLASSNAMEHEADERS,0))))}</f>
        <v>CLASSTYPE</v>
      </c>
      <c r="D1793" s="222" t="str">
        <f t="array" ref="D1793:D1794">{"ATTACK";"Attack"}</f>
        <v>ATTACK</v>
      </c>
      <c r="E1793" s="222" t="str">
        <f t="array" ref="E1793:E1794">{"MARTIAL";"Martial"}</f>
        <v>MARTIAL</v>
      </c>
      <c r="F1793" s="223" t="str">
        <f t="array" ref="F1793:F1794">{"MARTIALINITIAL";((IF(H1794=10,"T",(IF(H1794=50,"E","")))))}</f>
        <v>MARTIALINITIAL</v>
      </c>
      <c r="G1793" s="223" t="str">
        <f t="array" ref="G1793:G1794">{"MARTIALINITIALPTS";((IF("00"=(INDEX(ALLCLASSDATA,MATCH("MartialLegendary",CLASSFEATUREHEADERS,0),MATCH($A1794,CLASSNAMEHEADERS,0))),(INDEX(ALLCLASSDATA,MATCH("MartialLegendary",CLASSFEATUREHEADERS,0),MATCH(($A1794 &amp; "Points"),CLASSNAMEHEADERS,0))),(IF("00"=(INDEX(ALLCLASSDATA,MATCH("MartialMaster",CLASSFEATUREHEADERS,0),MATCH($A1794,CLASSNAMEHEADERS,0))),(INDEX(ALLCLASSDATA,MATCH("MartialMaster",CLASSFEATUREHEADERS,0),MATCH(($A1794 &amp; "Points"),CLASSNAMEHEADERS,0))),(IF("00"=(INDEX(ALLCLASSDATA,MATCH("MartialExpert",CLASSFEATUREHEADERS,0),MATCH($A1794,CLASSNAMEHEADERS,0))),(INDEX(ALLCLASSDATA,MATCH("MartialExpert",CLASSFEATUREHEADERS,0),MATCH(($A1794 &amp; "Points"),CLASSNAMEHEADERS,0))),(IF("00"=(INDEX(ALLCLASSDATA,MATCH("MartialTrained",CLASSFEATUREHEADERS,0),MATCH($A1794,CLASSNAMEHEADERS,0))),(INDEX(ALLCLASSDATA,MATCH("MartialTrained",CLASSFEATUREHEADERS,0),MATCH(($A1794 &amp; "Points"),CLASSNAMEHEADERS,0))),"")))))))))}</f>
        <v>MARTIALINITIALPTS</v>
      </c>
      <c r="H1793" s="223" t="str">
        <f t="array" ref="H1793:H1794">{"MARTIALL01";((IF("01"=(INDEX(ALLCLASSDATA,MATCH("MartialLegendary",CLASSFEATUREHEADERS,0),MATCH($A1794,CLASSNAMEHEADERS,0))),(INDEX(ALLCLASSDATA,MATCH("MartialLegendary",CLASSFEATUREHEADERS,0),MATCH(($A1794 &amp; "Points"),CLASSNAMEHEADERS,0))),(IF("01"=(INDEX(ALLCLASSDATA,MATCH("MartialMaster",CLASSFEATUREHEADERS,0),MATCH($A1794,CLASSNAMEHEADERS,0))),(INDEX(ALLCLASSDATA,MATCH("MartialMaster",CLASSFEATUREHEADERS,0),MATCH(($A1794 &amp; "Points"),CLASSNAMEHEADERS,0))),(IF("01"=(INDEX(ALLCLASSDATA,MATCH("MartialExpert",CLASSFEATUREHEADERS,0),MATCH($A1794,CLASSNAMEHEADERS,0))),(INDEX(ALLCLASSDATA,MATCH("MartialExpert",CLASSFEATUREHEADERS,0),MATCH(($A1794 &amp; "Points"),CLASSNAMEHEADERS,0))),(IF("01"=(INDEX(ALLCLASSDATA,MATCH("MartialTrained",CLASSFEATUREHEADERS,0),MATCH($A1794,CLASSNAMEHEADERS,0))),(INDEX(ALLCLASSDATA,MATCH("MartialTrained",CLASSFEATUREHEADERS,0),MATCH(($A1794 &amp; "Points"),CLASSNAMEHEADERS,0))),"")))))))))}</f>
        <v>MARTIALL01</v>
      </c>
      <c r="I1793" s="223"/>
      <c r="J1793" s="223" t="str">
        <f t="array" ref="J1793:J1794">{"MARTIALL03";((IF("03"=(INDEX(ALLCLASSDATA,MATCH("MartialLegendary",CLASSFEATUREHEADERS,0),MATCH($A1794,CLASSNAMEHEADERS,0))),(INDEX(ALLCLASSDATA,MATCH("MartialLegendary",CLASSFEATUREHEADERS,0),MATCH(($A1794 &amp; "Points"),CLASSNAMEHEADERS,0))),(IF("03"=(INDEX(ALLCLASSDATA,MATCH("MartialMaster",CLASSFEATUREHEADERS,0),MATCH($A1794,CLASSNAMEHEADERS,0))),(INDEX(ALLCLASSDATA,MATCH("MartialMaster",CLASSFEATUREHEADERS,0),MATCH(($A1794 &amp; "Points"),CLASSNAMEHEADERS,0))),(IF("03"=(INDEX(ALLCLASSDATA,MATCH("MartialExpert",CLASSFEATUREHEADERS,0),MATCH($A1794,CLASSNAMEHEADERS,0))),(INDEX(ALLCLASSDATA,MATCH("MartialExpert",CLASSFEATUREHEADERS,0),MATCH(($A1794 &amp; "Points"),CLASSNAMEHEADERS,0))),(IF("03"=(INDEX(ALLCLASSDATA,MATCH("MartialTrained",CLASSFEATUREHEADERS,0),MATCH($A1794,CLASSNAMEHEADERS,0))),(INDEX(ALLCLASSDATA,MATCH("MartialTrained",CLASSFEATUREHEADERS,0),MATCH(($A1794 &amp; "Points"),CLASSNAMEHEADERS,0))),"")))))))))}</f>
        <v>MARTIALL03</v>
      </c>
      <c r="K1793" s="223"/>
      <c r="L1793" s="223" t="str">
        <f t="array" ref="L1793:L1794">{"MARTIALL05";((IF("05"=(INDEX(ALLCLASSDATA,MATCH("MartialLegendary",CLASSFEATUREHEADERS,0),MATCH($A1794,CLASSNAMEHEADERS,0))),(INDEX(ALLCLASSDATA,MATCH("MartialLegendary",CLASSFEATUREHEADERS,0),MATCH(($A1794 &amp; "Points"),CLASSNAMEHEADERS,0))),(IF("05"=(INDEX(ALLCLASSDATA,MATCH("MartialMaster",CLASSFEATUREHEADERS,0),MATCH($A1794,CLASSNAMEHEADERS,0))),(INDEX(ALLCLASSDATA,MATCH("MartialMaster",CLASSFEATUREHEADERS,0),MATCH(($A1794 &amp; "Points"),CLASSNAMEHEADERS,0))),(IF("05"=(INDEX(ALLCLASSDATA,MATCH("MartialExpert",CLASSFEATUREHEADERS,0),MATCH($A1794,CLASSNAMEHEADERS,0))),(INDEX(ALLCLASSDATA,MATCH("MartialExpert",CLASSFEATUREHEADERS,0),MATCH(($A1794 &amp; "Points"),CLASSNAMEHEADERS,0))),(IF("05"=(INDEX(ALLCLASSDATA,MATCH("MartialTrained",CLASSFEATUREHEADERS,0),MATCH($A1794,CLASSNAMEHEADERS,0))),(INDEX(ALLCLASSDATA,MATCH("MartialTrained",CLASSFEATUREHEADERS,0),MATCH(($A1794 &amp; "Points"),CLASSNAMEHEADERS,0))),"")))))))))}</f>
        <v>MARTIALL05</v>
      </c>
      <c r="M1793" s="223"/>
      <c r="N1793" s="223" t="str">
        <f t="array" ref="N1793:N1794">{"MARTIALL07";((IF("07"=(INDEX(ALLCLASSDATA,MATCH("MartialLegendary",CLASSFEATUREHEADERS,0),MATCH($A1794,CLASSNAMEHEADERS,0))),(INDEX(ALLCLASSDATA,MATCH("MartialLegendary",CLASSFEATUREHEADERS,0),MATCH(($A1794 &amp; "Points"),CLASSNAMEHEADERS,0))),(IF("07"=(INDEX(ALLCLASSDATA,MATCH("MartialMaster",CLASSFEATUREHEADERS,0),MATCH($A1794,CLASSNAMEHEADERS,0))),(INDEX(ALLCLASSDATA,MATCH("MartialMaster",CLASSFEATUREHEADERS,0),MATCH(($A1794 &amp; "Points"),CLASSNAMEHEADERS,0))),(IF("07"=(INDEX(ALLCLASSDATA,MATCH("MartialExpert",CLASSFEATUREHEADERS,0),MATCH($A1794,CLASSNAMEHEADERS,0))),(INDEX(ALLCLASSDATA,MATCH("MartialExpert",CLASSFEATUREHEADERS,0),MATCH(($A1794 &amp; "Points"),CLASSNAMEHEADERS,0))),(IF("07"=(INDEX(ALLCLASSDATA,MATCH("MartialTrained",CLASSFEATUREHEADERS,0),MATCH($A1794,CLASSNAMEHEADERS,0))),(INDEX(ALLCLASSDATA,MATCH("MartialTrained",CLASSFEATUREHEADERS,0),MATCH(($A1794 &amp; "Points"),CLASSNAMEHEADERS,0))),"")))))))))}</f>
        <v>MARTIALL07</v>
      </c>
      <c r="O1793" s="223"/>
      <c r="P1793" s="223" t="str">
        <f t="array" ref="P1793:P1794">{"MARTIALL09";((IF("09"=(INDEX(ALLCLASSDATA,MATCH("MartialLegendary",CLASSFEATUREHEADERS,0),MATCH($A1794,CLASSNAMEHEADERS,0))),(INDEX(ALLCLASSDATA,MATCH("MartialLegendary",CLASSFEATUREHEADERS,0),MATCH(($A1794 &amp; "Points"),CLASSNAMEHEADERS,0))),(IF("09"=(INDEX(ALLCLASSDATA,MATCH("MartialMaster",CLASSFEATUREHEADERS,0),MATCH($A1794,CLASSNAMEHEADERS,0))),(INDEX(ALLCLASSDATA,MATCH("MartialMaster",CLASSFEATUREHEADERS,0),MATCH(($A1794 &amp; "Points"),CLASSNAMEHEADERS,0))),(IF("09"=(INDEX(ALLCLASSDATA,MATCH("MartialExpert",CLASSFEATUREHEADERS,0),MATCH($A1794,CLASSNAMEHEADERS,0))),(INDEX(ALLCLASSDATA,MATCH("MartialExpert",CLASSFEATUREHEADERS,0),MATCH(($A1794 &amp; "Points"),CLASSNAMEHEADERS,0))),(IF("09"=(INDEX(ALLCLASSDATA,MATCH("MartialTrained",CLASSFEATUREHEADERS,0),MATCH($A1794,CLASSNAMEHEADERS,0))),(INDEX(ALLCLASSDATA,MATCH("MartialTrained",CLASSFEATUREHEADERS,0),MATCH(($A1794 &amp; "Points"),CLASSNAMEHEADERS,0))),"")))))))))}</f>
        <v>MARTIALL09</v>
      </c>
      <c r="Q1793" s="223"/>
      <c r="R1793" s="223" t="str">
        <f t="array" ref="R1793:R1794">{"MARTIALL11";((IF("11"=(INDEX(ALLCLASSDATA,MATCH("MartialLegendary",CLASSFEATUREHEADERS,0),MATCH($A1794,CLASSNAMEHEADERS,0))),(INDEX(ALLCLASSDATA,MATCH("MartialLegendary",CLASSFEATUREHEADERS,0),MATCH(($A1794 &amp; "Points"),CLASSNAMEHEADERS,0))),(IF("11"=(INDEX(ALLCLASSDATA,MATCH("MartialMaster",CLASSFEATUREHEADERS,0),MATCH($A1794,CLASSNAMEHEADERS,0))),(INDEX(ALLCLASSDATA,MATCH("MartialMaster",CLASSFEATUREHEADERS,0),MATCH(($A1794 &amp; "Points"),CLASSNAMEHEADERS,0))),(IF("11"=(INDEX(ALLCLASSDATA,MATCH("MartialExpert",CLASSFEATUREHEADERS,0),MATCH($A1794,CLASSNAMEHEADERS,0))),(INDEX(ALLCLASSDATA,MATCH("MartialExpert",CLASSFEATUREHEADERS,0),MATCH(($A1794 &amp; "Points"),CLASSNAMEHEADERS,0))),(IF("11"=(INDEX(ALLCLASSDATA,MATCH("MartialTrained",CLASSFEATUREHEADERS,0),MATCH($A1794,CLASSNAMEHEADERS,0))),(INDEX(ALLCLASSDATA,MATCH("MartialTrained",CLASSFEATUREHEADERS,0),MATCH(($A1794 &amp; "Points"),CLASSNAMEHEADERS,0))),"")))))))))}</f>
        <v>MARTIALL11</v>
      </c>
      <c r="S1793" s="223"/>
      <c r="T1793" s="223" t="str">
        <f t="array" ref="T1793:T1794">{"MARTIALL13";((IF("13"=(INDEX(ALLCLASSDATA,MATCH("MartialLegendary",CLASSFEATUREHEADERS,0),MATCH($A1794,CLASSNAMEHEADERS,0))),(INDEX(ALLCLASSDATA,MATCH("MartialLegendary",CLASSFEATUREHEADERS,0),MATCH(($A1794 &amp; "Points"),CLASSNAMEHEADERS,0))),(IF("13"=(INDEX(ALLCLASSDATA,MATCH("MartialMaster",CLASSFEATUREHEADERS,0),MATCH($A1794,CLASSNAMEHEADERS,0))),(INDEX(ALLCLASSDATA,MATCH("MartialMaster",CLASSFEATUREHEADERS,0),MATCH(($A1794 &amp; "Points"),CLASSNAMEHEADERS,0))),(IF("13"=(INDEX(ALLCLASSDATA,MATCH("MartialExpert",CLASSFEATUREHEADERS,0),MATCH($A1794,CLASSNAMEHEADERS,0))),(INDEX(ALLCLASSDATA,MATCH("MartialExpert",CLASSFEATUREHEADERS,0),MATCH(($A1794 &amp; "Points"),CLASSNAMEHEADERS,0))),(IF("13"=(INDEX(ALLCLASSDATA,MATCH("MartialTrained",CLASSFEATUREHEADERS,0),MATCH($A1794,CLASSNAMEHEADERS,0))),(INDEX(ALLCLASSDATA,MATCH("MartialTrained",CLASSFEATUREHEADERS,0),MATCH(($A1794 &amp; "Points"),CLASSNAMEHEADERS,0))),"")))))))))}</f>
        <v>MARTIALL13</v>
      </c>
      <c r="U1793" s="223"/>
      <c r="V1793" s="223" t="str">
        <f t="array" ref="V1793:V1794">{"MARTIALL15";((IF("15"=(INDEX(ALLCLASSDATA,MATCH("MartialLegendary",CLASSFEATUREHEADERS,0),MATCH($A1794,CLASSNAMEHEADERS,0))),(INDEX(ALLCLASSDATA,MATCH("MartialLegendary",CLASSFEATUREHEADERS,0),MATCH(($A1794 &amp; "Points"),CLASSNAMEHEADERS,0))),(IF("15"=(INDEX(ALLCLASSDATA,MATCH("MartialMaster",CLASSFEATUREHEADERS,0),MATCH($A1794,CLASSNAMEHEADERS,0))),(INDEX(ALLCLASSDATA,MATCH("MartialMaster",CLASSFEATUREHEADERS,0),MATCH(($A1794 &amp; "Points"),CLASSNAMEHEADERS,0))),(IF("15"=(INDEX(ALLCLASSDATA,MATCH("MartialExpert",CLASSFEATUREHEADERS,0),MATCH($A1794,CLASSNAMEHEADERS,0))),(INDEX(ALLCLASSDATA,MATCH("MartialExpert",CLASSFEATUREHEADERS,0),MATCH(($A1794 &amp; "Points"),CLASSNAMEHEADERS,0))),(IF("15"=(INDEX(ALLCLASSDATA,MATCH("MartialTrained",CLASSFEATUREHEADERS,0),MATCH($A1794,CLASSNAMEHEADERS,0))),(INDEX(ALLCLASSDATA,MATCH("MartialTrained",CLASSFEATUREHEADERS,0),MATCH(($A1794 &amp; "Points"),CLASSNAMEHEADERS,0))),"")))))))))}</f>
        <v>MARTIALL15</v>
      </c>
      <c r="W1793" s="223"/>
      <c r="X1793" s="223" t="str">
        <f t="array" ref="X1793:X1794">{"MARTIALL17";((IF("17"=(INDEX(ALLCLASSDATA,MATCH("MartialLegendary",CLASSFEATUREHEADERS,0),MATCH($A1794,CLASSNAMEHEADERS,0))),(INDEX(ALLCLASSDATA,MATCH("MartialLegendary",CLASSFEATUREHEADERS,0),MATCH(($A1794 &amp; "Points"),CLASSNAMEHEADERS,0))),(IF("17"=(INDEX(ALLCLASSDATA,MATCH("MartialMaster",CLASSFEATUREHEADERS,0),MATCH($A1794,CLASSNAMEHEADERS,0))),(INDEX(ALLCLASSDATA,MATCH("MartialMaster",CLASSFEATUREHEADERS,0),MATCH(($A1794 &amp; "Points"),CLASSNAMEHEADERS,0))),(IF("17"=(INDEX(ALLCLASSDATA,MATCH("MartialExpert",CLASSFEATUREHEADERS,0),MATCH($A1794,CLASSNAMEHEADERS,0))),(INDEX(ALLCLASSDATA,MATCH("MartialExpert",CLASSFEATUREHEADERS,0),MATCH(($A1794 &amp; "Points"),CLASSNAMEHEADERS,0))),(IF("17"=(INDEX(ALLCLASSDATA,MATCH("MartialTrained",CLASSFEATUREHEADERS,0),MATCH($A1794,CLASSNAMEHEADERS,0))),(INDEX(ALLCLASSDATA,MATCH("MartialTrained",CLASSFEATUREHEADERS,0),MATCH(($A1794 &amp; "Points"),CLASSNAMEHEADERS,0))),"")))))))))}</f>
        <v>MARTIALL17</v>
      </c>
      <c r="Y1793" s="223"/>
      <c r="Z1793" s="223" t="str">
        <f t="array" ref="Z1793:Z1794">{"MARTIALL19";((IF("19"=(INDEX(ALLCLASSDATA,MATCH("MartialLegendary",CLASSFEATUREHEADERS,0),MATCH($A1794,CLASSNAMEHEADERS,0))),(INDEX(ALLCLASSDATA,MATCH("MartialLegendary",CLASSFEATUREHEADERS,0),MATCH(($A1794 &amp; "Points"),CLASSNAMEHEADERS,0))),(IF("19"=(INDEX(ALLCLASSDATA,MATCH("MartialMaster",CLASSFEATUREHEADERS,0),MATCH($A1794,CLASSNAMEHEADERS,0))),(INDEX(ALLCLASSDATA,MATCH("MartialMaster",CLASSFEATUREHEADERS,0),MATCH(($A1794 &amp; "Points"),CLASSNAMEHEADERS,0))),(IF("19"=(INDEX(ALLCLASSDATA,MATCH("MartialExpert",CLASSFEATUREHEADERS,0),MATCH($A1794,CLASSNAMEHEADERS,0))),(INDEX(ALLCLASSDATA,MATCH("MartialExpert",CLASSFEATUREHEADERS,0),MATCH(($A1794 &amp; "Points"),CLASSNAMEHEADERS,0))),(IF("19"=(INDEX(ALLCLASSDATA,MATCH("MartialTrained",CLASSFEATUREHEADERS,0),MATCH($A1794,CLASSNAMEHEADERS,0))),(INDEX(ALLCLASSDATA,MATCH("MartialTrained",CLASSFEATUREHEADERS,0),MATCH(($A1794 &amp; "Points"),CLASSNAMEHEADERS,0))),"")))))))))}</f>
        <v>MARTIALL19</v>
      </c>
      <c r="AA1793" s="223"/>
      <c r="AB1793" s="76" t="str">
        <f t="array" ref="AB1793:AB1794">{"MARTIAL TOTAL";(IF(COUNTBLANK(G1794:AA1794)=17,"L",(IF(COUNTBLANK(G1794:AA1794)=18,"M",(IF(COUNTBLANK(G1794:AA1794)=19,"E",(IF(COUNTBLANK(G1794:AA1794)=20,"T",""))))))))}</f>
        <v>MARTIAL TOTAL</v>
      </c>
      <c r="AC1793" s="76" t="str">
        <f t="array" ref="AC1793:AC1794">{"MARTIAL TOTAL";(sum(G1794:AA1794))}</f>
        <v>MARTIAL TOTAL</v>
      </c>
    </row>
    <row r="1794">
      <c r="A1794" s="48" t="s">
        <v>227</v>
      </c>
      <c r="B1794" s="48"/>
      <c r="C1794" s="48" t="s">
        <v>418</v>
      </c>
      <c r="D1794" s="48" t="s">
        <v>1634</v>
      </c>
      <c r="E1794" s="48" t="s">
        <v>6</v>
      </c>
      <c r="F1794" s="5" t="s">
        <v>603</v>
      </c>
      <c r="G1794" s="47" t="s">
        <v>603</v>
      </c>
      <c r="H1794" s="5" t="s">
        <v>603</v>
      </c>
      <c r="I1794" s="5"/>
      <c r="J1794" s="5" t="s">
        <v>603</v>
      </c>
      <c r="K1794" s="5"/>
      <c r="L1794" s="5" t="s">
        <v>603</v>
      </c>
      <c r="M1794" s="5"/>
      <c r="N1794" s="5" t="s">
        <v>603</v>
      </c>
      <c r="O1794" s="5"/>
      <c r="P1794" s="5" t="s">
        <v>603</v>
      </c>
      <c r="Q1794" s="48"/>
      <c r="R1794" s="5" t="s">
        <v>603</v>
      </c>
      <c r="S1794" s="5"/>
      <c r="T1794" s="5" t="s">
        <v>603</v>
      </c>
      <c r="U1794" s="5"/>
      <c r="V1794" s="5" t="s">
        <v>603</v>
      </c>
      <c r="W1794" s="5"/>
      <c r="X1794" s="5" t="s">
        <v>603</v>
      </c>
      <c r="Y1794" s="5"/>
      <c r="Z1794" s="5" t="s">
        <v>603</v>
      </c>
      <c r="AA1794" s="5"/>
      <c r="AB1794" s="5" t="s">
        <v>603</v>
      </c>
      <c r="AC1794" s="47">
        <v>0.0</v>
      </c>
    </row>
    <row r="1795" hidden="1">
      <c r="A1795" s="222" t="str">
        <f t="array" ref="A1795:A1796">{"FormulaRow32";(INDEX(CLASSLIST,A1732,1))}</f>
        <v>FormulaRow32</v>
      </c>
      <c r="B1795" s="77" t="s">
        <v>236</v>
      </c>
      <c r="C1795" s="222" t="str">
        <f t="array" ref="C1795:C1796">{"CLASSTYPE";((INDEX(ALLCLASSDATA,MATCH("ClassType",CLASSFEATUREHEADERS,0),MATCH($A1796,CLASSNAMEHEADERS,0))))}</f>
        <v>CLASSTYPE</v>
      </c>
      <c r="D1795" s="222" t="str">
        <f t="array" ref="D1795:D1796">{"ATTACK";"Attack"}</f>
        <v>ATTACK</v>
      </c>
      <c r="E1795" s="222" t="str">
        <f t="array" ref="E1795:E1796">{"ADVANCEDGROUP";"AdvancedGroup"}</f>
        <v>ADVANCEDGROUP</v>
      </c>
      <c r="F1795" s="223" t="str">
        <f t="array" ref="F1795:F1796">{"ADVANCEDGROUPINITIAL";((IF(H1796=10,"T",(IF(H1796=50,"E","")))))}</f>
        <v>ADVANCEDGROUPINITIAL</v>
      </c>
      <c r="G1795" s="223" t="str">
        <f t="array" ref="G1795:G1796">{"ADVANCEDGROUPINITIALPTS";((IF("00"=(INDEX(ALLCLASSDATA,MATCH("AdvancedGroupLegendary",CLASSFEATUREHEADERS,0),MATCH($A1796,CLASSNAMEHEADERS,0))),(INDEX(ALLCLASSDATA,MATCH("AdvancedGroupLegendary",CLASSFEATUREHEADERS,0),MATCH(($A1796 &amp; "Points"),CLASSNAMEHEADERS,0))),(IF("00"=(INDEX(ALLCLASSDATA,MATCH("AdvancedGroupMaster",CLASSFEATUREHEADERS,0),MATCH($A1796,CLASSNAMEHEADERS,0))),(INDEX(ALLCLASSDATA,MATCH("AdvancedGroupMaster",CLASSFEATUREHEADERS,0),MATCH(($A1796 &amp; "Points"),CLASSNAMEHEADERS,0))),(IF("00"=(INDEX(ALLCLASSDATA,MATCH("AdvancedGroupExpert",CLASSFEATUREHEADERS,0),MATCH($A1796,CLASSNAMEHEADERS,0))),(INDEX(ALLCLASSDATA,MATCH("AdvancedGroupExpert",CLASSFEATUREHEADERS,0),MATCH(($A1796 &amp; "Points"),CLASSNAMEHEADERS,0))),(IF("00"=(INDEX(ALLCLASSDATA,MATCH("AdvancedGroupTrained",CLASSFEATUREHEADERS,0),MATCH($A1796,CLASSNAMEHEADERS,0))),(INDEX(ALLCLASSDATA,MATCH("AdvancedGroupTrained",CLASSFEATUREHEADERS,0),MATCH(($A1796 &amp; "Points"),CLASSNAMEHEADERS,0))),"")))))))))}</f>
        <v>ADVANCEDGROUPINITIALPTS</v>
      </c>
      <c r="H1795" s="223" t="str">
        <f t="array" ref="H1795:H1796">{"ADVANCEDGROUPL01";((IF("01"=(INDEX(ALLCLASSDATA,MATCH("AdvancedGroupLegendary",CLASSFEATUREHEADERS,0),MATCH($A1796,CLASSNAMEHEADERS,0))),(INDEX(ALLCLASSDATA,MATCH("AdvancedGroupLegendary",CLASSFEATUREHEADERS,0),MATCH(($A1796 &amp; "Points"),CLASSNAMEHEADERS,0))),(IF("01"=(INDEX(ALLCLASSDATA,MATCH("AdvancedGroupMaster",CLASSFEATUREHEADERS,0),MATCH($A1796,CLASSNAMEHEADERS,0))),(INDEX(ALLCLASSDATA,MATCH("AdvancedGroupMaster",CLASSFEATUREHEADERS,0),MATCH(($A1796 &amp; "Points"),CLASSNAMEHEADERS,0))),(IF("01"=(INDEX(ALLCLASSDATA,MATCH("AdvancedGroupExpert",CLASSFEATUREHEADERS,0),MATCH($A1796,CLASSNAMEHEADERS,0))),(INDEX(ALLCLASSDATA,MATCH("AdvancedGroupExpert",CLASSFEATUREHEADERS,0),MATCH(($A1796 &amp; "Points"),CLASSNAMEHEADERS,0))),(IF("01"=(INDEX(ALLCLASSDATA,MATCH("AdvancedGroupTrained",CLASSFEATUREHEADERS,0),MATCH($A1796,CLASSNAMEHEADERS,0))),(INDEX(ALLCLASSDATA,MATCH("AdvancedGroupTrained",CLASSFEATUREHEADERS,0),MATCH(($A1796 &amp; "Points"),CLASSNAMEHEADERS,0))),"")))))))))}</f>
        <v>ADVANCEDGROUPL01</v>
      </c>
      <c r="I1795" s="223"/>
      <c r="J1795" s="223" t="str">
        <f t="array" ref="J1795:J1796">{"ADVANCEDGROUPL03";((IF("03"=(INDEX(ALLCLASSDATA,MATCH("AdvancedGroupLegendary",CLASSFEATUREHEADERS,0),MATCH($A1796,CLASSNAMEHEADERS,0))),(INDEX(ALLCLASSDATA,MATCH("AdvancedGroupLegendary",CLASSFEATUREHEADERS,0),MATCH(($A1796 &amp; "Points"),CLASSNAMEHEADERS,0))),(IF("03"=(INDEX(ALLCLASSDATA,MATCH("AdvancedGroupMaster",CLASSFEATUREHEADERS,0),MATCH($A1796,CLASSNAMEHEADERS,0))),(INDEX(ALLCLASSDATA,MATCH("AdvancedGroupMaster",CLASSFEATUREHEADERS,0),MATCH(($A1796 &amp; "Points"),CLASSNAMEHEADERS,0))),(IF("03"=(INDEX(ALLCLASSDATA,MATCH("AdvancedGroupExpert",CLASSFEATUREHEADERS,0),MATCH($A1796,CLASSNAMEHEADERS,0))),(INDEX(ALLCLASSDATA,MATCH("AdvancedGroupExpert",CLASSFEATUREHEADERS,0),MATCH(($A1796 &amp; "Points"),CLASSNAMEHEADERS,0))),(IF("03"=(INDEX(ALLCLASSDATA,MATCH("AdvancedGroupTrained",CLASSFEATUREHEADERS,0),MATCH($A1796,CLASSNAMEHEADERS,0))),(INDEX(ALLCLASSDATA,MATCH("AdvancedGroupTrained",CLASSFEATUREHEADERS,0),MATCH(($A1796 &amp; "Points"),CLASSNAMEHEADERS,0))),"")))))))))}</f>
        <v>ADVANCEDGROUPL03</v>
      </c>
      <c r="K1795" s="223"/>
      <c r="L1795" s="223" t="str">
        <f t="array" ref="L1795:L1796">{"ADVANCEDGROUPL05";((IF("05"=(INDEX(ALLCLASSDATA,MATCH("AdvancedGroupLegendary",CLASSFEATUREHEADERS,0),MATCH($A1796,CLASSNAMEHEADERS,0))),(INDEX(ALLCLASSDATA,MATCH("AdvancedGroupLegendary",CLASSFEATUREHEADERS,0),MATCH(($A1796 &amp; "Points"),CLASSNAMEHEADERS,0))),(IF("05"=(INDEX(ALLCLASSDATA,MATCH("AdvancedGroupMaster",CLASSFEATUREHEADERS,0),MATCH($A1796,CLASSNAMEHEADERS,0))),(INDEX(ALLCLASSDATA,MATCH("AdvancedGroupMaster",CLASSFEATUREHEADERS,0),MATCH(($A1796 &amp; "Points"),CLASSNAMEHEADERS,0))),(IF("05"=(INDEX(ALLCLASSDATA,MATCH("AdvancedGroupExpert",CLASSFEATUREHEADERS,0),MATCH($A1796,CLASSNAMEHEADERS,0))),(INDEX(ALLCLASSDATA,MATCH("AdvancedGroupExpert",CLASSFEATUREHEADERS,0),MATCH(($A1796 &amp; "Points"),CLASSNAMEHEADERS,0))),(IF("05"=(INDEX(ALLCLASSDATA,MATCH("AdvancedGroupTrained",CLASSFEATUREHEADERS,0),MATCH($A1796,CLASSNAMEHEADERS,0))),(INDEX(ALLCLASSDATA,MATCH("AdvancedGroupTrained",CLASSFEATUREHEADERS,0),MATCH(($A1796 &amp; "Points"),CLASSNAMEHEADERS,0))),"")))))))))}</f>
        <v>ADVANCEDGROUPL05</v>
      </c>
      <c r="M1795" s="223"/>
      <c r="N1795" s="223" t="str">
        <f t="array" ref="N1795:N1796">{"ADVANCEDGROUPL07";((IF("07"=(INDEX(ALLCLASSDATA,MATCH("AdvancedGroupLegendary",CLASSFEATUREHEADERS,0),MATCH($A1796,CLASSNAMEHEADERS,0))),(INDEX(ALLCLASSDATA,MATCH("AdvancedGroupLegendary",CLASSFEATUREHEADERS,0),MATCH(($A1796 &amp; "Points"),CLASSNAMEHEADERS,0))),(IF("07"=(INDEX(ALLCLASSDATA,MATCH("AdvancedGroupMaster",CLASSFEATUREHEADERS,0),MATCH($A1796,CLASSNAMEHEADERS,0))),(INDEX(ALLCLASSDATA,MATCH("AdvancedGroupMaster",CLASSFEATUREHEADERS,0),MATCH(($A1796 &amp; "Points"),CLASSNAMEHEADERS,0))),(IF("07"=(INDEX(ALLCLASSDATA,MATCH("AdvancedGroupExpert",CLASSFEATUREHEADERS,0),MATCH($A1796,CLASSNAMEHEADERS,0))),(INDEX(ALLCLASSDATA,MATCH("AdvancedGroupExpert",CLASSFEATUREHEADERS,0),MATCH(($A1796 &amp; "Points"),CLASSNAMEHEADERS,0))),(IF("07"=(INDEX(ALLCLASSDATA,MATCH("AdvancedGroupTrained",CLASSFEATUREHEADERS,0),MATCH($A1796,CLASSNAMEHEADERS,0))),(INDEX(ALLCLASSDATA,MATCH("AdvancedGroupTrained",CLASSFEATUREHEADERS,0),MATCH(($A1796 &amp; "Points"),CLASSNAMEHEADERS,0))),"")))))))))}</f>
        <v>ADVANCEDGROUPL07</v>
      </c>
      <c r="O1795" s="223"/>
      <c r="P1795" s="223" t="str">
        <f t="array" ref="P1795:P1796">{"ADVANCEDGROUPL09";((IF("09"=(INDEX(ALLCLASSDATA,MATCH("AdvancedGroupLegendary",CLASSFEATUREHEADERS,0),MATCH($A1796,CLASSNAMEHEADERS,0))),(INDEX(ALLCLASSDATA,MATCH("AdvancedGroupLegendary",CLASSFEATUREHEADERS,0),MATCH(($A1796 &amp; "Points"),CLASSNAMEHEADERS,0))),(IF("09"=(INDEX(ALLCLASSDATA,MATCH("AdvancedGroupMaster",CLASSFEATUREHEADERS,0),MATCH($A1796,CLASSNAMEHEADERS,0))),(INDEX(ALLCLASSDATA,MATCH("AdvancedGroupMaster",CLASSFEATUREHEADERS,0),MATCH(($A1796 &amp; "Points"),CLASSNAMEHEADERS,0))),(IF("09"=(INDEX(ALLCLASSDATA,MATCH("AdvancedGroupExpert",CLASSFEATUREHEADERS,0),MATCH($A1796,CLASSNAMEHEADERS,0))),(INDEX(ALLCLASSDATA,MATCH("AdvancedGroupExpert",CLASSFEATUREHEADERS,0),MATCH(($A1796 &amp; "Points"),CLASSNAMEHEADERS,0))),(IF("09"=(INDEX(ALLCLASSDATA,MATCH("AdvancedGroupTrained",CLASSFEATUREHEADERS,0),MATCH($A1796,CLASSNAMEHEADERS,0))),(INDEX(ALLCLASSDATA,MATCH("AdvancedGroupTrained",CLASSFEATUREHEADERS,0),MATCH(($A1796 &amp; "Points"),CLASSNAMEHEADERS,0))),"")))))))))}</f>
        <v>ADVANCEDGROUPL09</v>
      </c>
      <c r="Q1795" s="223"/>
      <c r="R1795" s="223" t="str">
        <f t="array" ref="R1795:R1796">{"ADVANCEDGROUPL11";((IF("11"=(INDEX(ALLCLASSDATA,MATCH("AdvancedGroupLegendary",CLASSFEATUREHEADERS,0),MATCH($A1796,CLASSNAMEHEADERS,0))),(INDEX(ALLCLASSDATA,MATCH("AdvancedGroupLegendary",CLASSFEATUREHEADERS,0),MATCH(($A1796 &amp; "Points"),CLASSNAMEHEADERS,0))),(IF("11"=(INDEX(ALLCLASSDATA,MATCH("AdvancedGroupMaster",CLASSFEATUREHEADERS,0),MATCH($A1796,CLASSNAMEHEADERS,0))),(INDEX(ALLCLASSDATA,MATCH("AdvancedGroupMaster",CLASSFEATUREHEADERS,0),MATCH(($A1796 &amp; "Points"),CLASSNAMEHEADERS,0))),(IF("11"=(INDEX(ALLCLASSDATA,MATCH("AdvancedGroupExpert",CLASSFEATUREHEADERS,0),MATCH($A1796,CLASSNAMEHEADERS,0))),(INDEX(ALLCLASSDATA,MATCH("AdvancedGroupExpert",CLASSFEATUREHEADERS,0),MATCH(($A1796 &amp; "Points"),CLASSNAMEHEADERS,0))),(IF("11"=(INDEX(ALLCLASSDATA,MATCH("AdvancedGroupTrained",CLASSFEATUREHEADERS,0),MATCH($A1796,CLASSNAMEHEADERS,0))),(INDEX(ALLCLASSDATA,MATCH("AdvancedGroupTrained",CLASSFEATUREHEADERS,0),MATCH(($A1796 &amp; "Points"),CLASSNAMEHEADERS,0))),"")))))))))}</f>
        <v>ADVANCEDGROUPL11</v>
      </c>
      <c r="S1795" s="223"/>
      <c r="T1795" s="223" t="str">
        <f t="array" ref="T1795:T1796">{"ADVANCEDGROUPL13";((IF("13"=(INDEX(ALLCLASSDATA,MATCH("AdvancedGroupLegendary",CLASSFEATUREHEADERS,0),MATCH($A1796,CLASSNAMEHEADERS,0))),(INDEX(ALLCLASSDATA,MATCH("AdvancedGroupLegendary",CLASSFEATUREHEADERS,0),MATCH(($A1796 &amp; "Points"),CLASSNAMEHEADERS,0))),(IF("13"=(INDEX(ALLCLASSDATA,MATCH("AdvancedGroupMaster",CLASSFEATUREHEADERS,0),MATCH($A1796,CLASSNAMEHEADERS,0))),(INDEX(ALLCLASSDATA,MATCH("AdvancedGroupMaster",CLASSFEATUREHEADERS,0),MATCH(($A1796 &amp; "Points"),CLASSNAMEHEADERS,0))),(IF("13"=(INDEX(ALLCLASSDATA,MATCH("AdvancedGroupExpert",CLASSFEATUREHEADERS,0),MATCH($A1796,CLASSNAMEHEADERS,0))),(INDEX(ALLCLASSDATA,MATCH("AdvancedGroupExpert",CLASSFEATUREHEADERS,0),MATCH(($A1796 &amp; "Points"),CLASSNAMEHEADERS,0))),(IF("13"=(INDEX(ALLCLASSDATA,MATCH("AdvancedGroupTrained",CLASSFEATUREHEADERS,0),MATCH($A1796,CLASSNAMEHEADERS,0))),(INDEX(ALLCLASSDATA,MATCH("AdvancedGroupTrained",CLASSFEATUREHEADERS,0),MATCH(($A1796 &amp; "Points"),CLASSNAMEHEADERS,0))),"")))))))))}</f>
        <v>ADVANCEDGROUPL13</v>
      </c>
      <c r="U1795" s="223"/>
      <c r="V1795" s="223" t="str">
        <f t="array" ref="V1795:V1796">{"ADVANCEDGROUPL15";((IF("15"=(INDEX(ALLCLASSDATA,MATCH("AdvancedGroupLegendary",CLASSFEATUREHEADERS,0),MATCH($A1796,CLASSNAMEHEADERS,0))),(INDEX(ALLCLASSDATA,MATCH("AdvancedGroupLegendary",CLASSFEATUREHEADERS,0),MATCH(($A1796 &amp; "Points"),CLASSNAMEHEADERS,0))),(IF("15"=(INDEX(ALLCLASSDATA,MATCH("AdvancedGroupMaster",CLASSFEATUREHEADERS,0),MATCH($A1796,CLASSNAMEHEADERS,0))),(INDEX(ALLCLASSDATA,MATCH("AdvancedGroupMaster",CLASSFEATUREHEADERS,0),MATCH(($A1796 &amp; "Points"),CLASSNAMEHEADERS,0))),(IF("15"=(INDEX(ALLCLASSDATA,MATCH("AdvancedGroupExpert",CLASSFEATUREHEADERS,0),MATCH($A1796,CLASSNAMEHEADERS,0))),(INDEX(ALLCLASSDATA,MATCH("AdvancedGroupExpert",CLASSFEATUREHEADERS,0),MATCH(($A1796 &amp; "Points"),CLASSNAMEHEADERS,0))),(IF("15"=(INDEX(ALLCLASSDATA,MATCH("AdvancedGroupTrained",CLASSFEATUREHEADERS,0),MATCH($A1796,CLASSNAMEHEADERS,0))),(INDEX(ALLCLASSDATA,MATCH("AdvancedGroupTrained",CLASSFEATUREHEADERS,0),MATCH(($A1796 &amp; "Points"),CLASSNAMEHEADERS,0))),"")))))))))}</f>
        <v>ADVANCEDGROUPL15</v>
      </c>
      <c r="W1795" s="223"/>
      <c r="X1795" s="223" t="str">
        <f t="array" ref="X1795:X1796">{"ADVANCEDGROUPL17";((IF("17"=(INDEX(ALLCLASSDATA,MATCH("AdvancedGroupLegendary",CLASSFEATUREHEADERS,0),MATCH($A1796,CLASSNAMEHEADERS,0))),(INDEX(ALLCLASSDATA,MATCH("AdvancedGroupLegendary",CLASSFEATUREHEADERS,0),MATCH(($A1796 &amp; "Points"),CLASSNAMEHEADERS,0))),(IF("17"=(INDEX(ALLCLASSDATA,MATCH("AdvancedGroupMaster",CLASSFEATUREHEADERS,0),MATCH($A1796,CLASSNAMEHEADERS,0))),(INDEX(ALLCLASSDATA,MATCH("AdvancedGroupMaster",CLASSFEATUREHEADERS,0),MATCH(($A1796 &amp; "Points"),CLASSNAMEHEADERS,0))),(IF("17"=(INDEX(ALLCLASSDATA,MATCH("AdvancedGroupExpert",CLASSFEATUREHEADERS,0),MATCH($A1796,CLASSNAMEHEADERS,0))),(INDEX(ALLCLASSDATA,MATCH("AdvancedGroupExpert",CLASSFEATUREHEADERS,0),MATCH(($A1796 &amp; "Points"),CLASSNAMEHEADERS,0))),(IF("17"=(INDEX(ALLCLASSDATA,MATCH("AdvancedGroupTrained",CLASSFEATUREHEADERS,0),MATCH($A1796,CLASSNAMEHEADERS,0))),(INDEX(ALLCLASSDATA,MATCH("AdvancedGroupTrained",CLASSFEATUREHEADERS,0),MATCH(($A1796 &amp; "Points"),CLASSNAMEHEADERS,0))),"")))))))))}</f>
        <v>ADVANCEDGROUPL17</v>
      </c>
      <c r="Y1795" s="223"/>
      <c r="Z1795" s="223" t="str">
        <f t="array" ref="Z1795:Z1796">{"ADVANCEDGROUPL19";((IF("19"=(INDEX(ALLCLASSDATA,MATCH("AdvancedGroupLegendary",CLASSFEATUREHEADERS,0),MATCH($A1796,CLASSNAMEHEADERS,0))),(INDEX(ALLCLASSDATA,MATCH("AdvancedGroupLegendary",CLASSFEATUREHEADERS,0),MATCH(($A1796 &amp; "Points"),CLASSNAMEHEADERS,0))),(IF("19"=(INDEX(ALLCLASSDATA,MATCH("AdvancedGroupMaster",CLASSFEATUREHEADERS,0),MATCH($A1796,CLASSNAMEHEADERS,0))),(INDEX(ALLCLASSDATA,MATCH("AdvancedGroupMaster",CLASSFEATUREHEADERS,0),MATCH(($A1796 &amp; "Points"),CLASSNAMEHEADERS,0))),(IF("19"=(INDEX(ALLCLASSDATA,MATCH("AdvancedGroupExpert",CLASSFEATUREHEADERS,0),MATCH($A1796,CLASSNAMEHEADERS,0))),(INDEX(ALLCLASSDATA,MATCH("AdvancedGroupExpert",CLASSFEATUREHEADERS,0),MATCH(($A1796 &amp; "Points"),CLASSNAMEHEADERS,0))),(IF("19"=(INDEX(ALLCLASSDATA,MATCH("AdvancedGroupTrained",CLASSFEATUREHEADERS,0),MATCH($A1796,CLASSNAMEHEADERS,0))),(INDEX(ALLCLASSDATA,MATCH("AdvancedGroupTrained",CLASSFEATUREHEADERS,0),MATCH(($A1796 &amp; "Points"),CLASSNAMEHEADERS,0))),"")))))))))}</f>
        <v>ADVANCEDGROUPL19</v>
      </c>
      <c r="AA1795" s="223"/>
      <c r="AB1795" s="76" t="str">
        <f t="array" ref="AB1795:AB1796">{"ADVANCEDGROUP TOTAL";(IF(COUNTBLANK(G1796:AA1796)=17,"L",(IF(COUNTBLANK(G1796:AA1796)=18,"M",(IF(COUNTBLANK(G1796:AA1796)=19,"E",(IF(COUNTBLANK(G1796:AA1796)=20,"T",""))))))))}</f>
        <v>ADVANCEDGROUP TOTAL</v>
      </c>
      <c r="AC1795" s="76" t="str">
        <f t="array" ref="AC1795:AC1796">{"ADVANCEDGROUP TOTAL";(sum(G1796:AA1796))}</f>
        <v>ADVANCEDGROUP TOTAL</v>
      </c>
    </row>
    <row r="1796">
      <c r="A1796" s="48" t="s">
        <v>227</v>
      </c>
      <c r="B1796" s="48"/>
      <c r="C1796" s="48" t="s">
        <v>418</v>
      </c>
      <c r="D1796" s="48" t="s">
        <v>1634</v>
      </c>
      <c r="E1796" s="48" t="s">
        <v>601</v>
      </c>
      <c r="F1796" s="5" t="s">
        <v>603</v>
      </c>
      <c r="G1796" s="47" t="s">
        <v>603</v>
      </c>
      <c r="H1796" s="5" t="s">
        <v>603</v>
      </c>
      <c r="I1796" s="5"/>
      <c r="J1796" s="5" t="s">
        <v>603</v>
      </c>
      <c r="K1796" s="5"/>
      <c r="L1796" s="5" t="s">
        <v>603</v>
      </c>
      <c r="M1796" s="5"/>
      <c r="N1796" s="5" t="s">
        <v>603</v>
      </c>
      <c r="O1796" s="5"/>
      <c r="P1796" s="5" t="s">
        <v>603</v>
      </c>
      <c r="Q1796" s="5"/>
      <c r="R1796" s="5" t="s">
        <v>603</v>
      </c>
      <c r="S1796" s="5"/>
      <c r="T1796" s="5" t="s">
        <v>603</v>
      </c>
      <c r="U1796" s="5"/>
      <c r="V1796" s="5" t="s">
        <v>603</v>
      </c>
      <c r="W1796" s="5"/>
      <c r="X1796" s="5" t="s">
        <v>603</v>
      </c>
      <c r="Y1796" s="5"/>
      <c r="Z1796" s="5" t="s">
        <v>603</v>
      </c>
      <c r="AA1796" s="5"/>
      <c r="AB1796" s="5" t="s">
        <v>603</v>
      </c>
      <c r="AC1796" s="47">
        <v>0.0</v>
      </c>
    </row>
    <row r="1797" hidden="1">
      <c r="A1797" s="222" t="str">
        <f t="array" ref="A1797:A1798">{"FormulaRow33";(INDEX(CLASSLIST,A1732,1))}</f>
        <v>FormulaRow33</v>
      </c>
      <c r="B1797" s="77" t="s">
        <v>236</v>
      </c>
      <c r="C1797" s="222" t="str">
        <f t="array" ref="C1797:C1798">{"CLASSTYPE";((INDEX(ALLCLASSDATA,MATCH("ClassType",CLASSFEATUREHEADERS,0),MATCH($A1798,CLASSNAMEHEADERS,0))))}</f>
        <v>CLASSTYPE</v>
      </c>
      <c r="D1797" s="222" t="str">
        <f t="array" ref="D1797:D1798">{"ATTACK";"Attack"}</f>
        <v>ATTACK</v>
      </c>
      <c r="E1797" s="222" t="str">
        <f t="array" ref="E1797:E1798">{"ADVANCED";"Advanced"}</f>
        <v>ADVANCED</v>
      </c>
      <c r="F1797" s="223" t="str">
        <f t="array" ref="F1797:F1798">{"ADVANCEDINITIAL";((IF(H1798=10,"T",(IF(H1798=50,"E","")))))}</f>
        <v>ADVANCEDINITIAL</v>
      </c>
      <c r="G1797" s="223" t="str">
        <f t="array" ref="G1797:G1798">{"ADVANCEDINITIALPTS";((IF("00"=(INDEX(ALLCLASSDATA,MATCH("AdvancedLegendary",CLASSFEATUREHEADERS,0),MATCH($A1798,CLASSNAMEHEADERS,0))),(INDEX(ALLCLASSDATA,MATCH("AdvancedLegendary",CLASSFEATUREHEADERS,0),MATCH(($A1798 &amp; "Points"),CLASSNAMEHEADERS,0))),(IF("00"=(INDEX(ALLCLASSDATA,MATCH("AdvancedMaster",CLASSFEATUREHEADERS,0),MATCH($A1798,CLASSNAMEHEADERS,0))),(INDEX(ALLCLASSDATA,MATCH("AdvancedMaster",CLASSFEATUREHEADERS,0),MATCH(($A1798 &amp; "Points"),CLASSNAMEHEADERS,0))),(IF("00"=(INDEX(ALLCLASSDATA,MATCH("AdvancedExpert",CLASSFEATUREHEADERS,0),MATCH($A1798,CLASSNAMEHEADERS,0))),(INDEX(ALLCLASSDATA,MATCH("AdvancedExpert",CLASSFEATUREHEADERS,0),MATCH(($A1798 &amp; "Points"),CLASSNAMEHEADERS,0))),(IF("00"=(INDEX(ALLCLASSDATA,MATCH("AdvancedTrained",CLASSFEATUREHEADERS,0),MATCH($A1798,CLASSNAMEHEADERS,0))),(INDEX(ALLCLASSDATA,MATCH("AdvancedTrained",CLASSFEATUREHEADERS,0),MATCH(($A1798 &amp; "Points"),CLASSNAMEHEADERS,0))),"")))))))))}</f>
        <v>ADVANCEDINITIALPTS</v>
      </c>
      <c r="H1797" s="223" t="str">
        <f t="array" ref="H1797:H1798">{"ADVANCEDL01";((IF("01"=(INDEX(ALLCLASSDATA,MATCH("AdvancedLegendary",CLASSFEATUREHEADERS,0),MATCH($A1798,CLASSNAMEHEADERS,0))),(INDEX(ALLCLASSDATA,MATCH("AdvancedLegendary",CLASSFEATUREHEADERS,0),MATCH(($A1798 &amp; "Points"),CLASSNAMEHEADERS,0))),(IF("01"=(INDEX(ALLCLASSDATA,MATCH("AdvancedMaster",CLASSFEATUREHEADERS,0),MATCH($A1798,CLASSNAMEHEADERS,0))),(INDEX(ALLCLASSDATA,MATCH("AdvancedMaster",CLASSFEATUREHEADERS,0),MATCH(($A1798 &amp; "Points"),CLASSNAMEHEADERS,0))),(IF("01"=(INDEX(ALLCLASSDATA,MATCH("AdvancedExpert",CLASSFEATUREHEADERS,0),MATCH($A1798,CLASSNAMEHEADERS,0))),(INDEX(ALLCLASSDATA,MATCH("AdvancedExpert",CLASSFEATUREHEADERS,0),MATCH(($A1798 &amp; "Points"),CLASSNAMEHEADERS,0))),(IF("01"=(INDEX(ALLCLASSDATA,MATCH("AdvancedTrained",CLASSFEATUREHEADERS,0),MATCH($A1798,CLASSNAMEHEADERS,0))),(INDEX(ALLCLASSDATA,MATCH("AdvancedTrained",CLASSFEATUREHEADERS,0),MATCH(($A1798 &amp; "Points"),CLASSNAMEHEADERS,0))),"")))))))))}</f>
        <v>ADVANCEDL01</v>
      </c>
      <c r="I1797" s="223"/>
      <c r="J1797" s="223" t="str">
        <f t="array" ref="J1797:J1798">{"ADVANCEDL03";((IF("03"=(INDEX(ALLCLASSDATA,MATCH("AdvancedLegendary",CLASSFEATUREHEADERS,0),MATCH($A1798,CLASSNAMEHEADERS,0))),(INDEX(ALLCLASSDATA,MATCH("AdvancedLegendary",CLASSFEATUREHEADERS,0),MATCH(($A1798 &amp; "Points"),CLASSNAMEHEADERS,0))),(IF("03"=(INDEX(ALLCLASSDATA,MATCH("AdvancedMaster",CLASSFEATUREHEADERS,0),MATCH($A1798,CLASSNAMEHEADERS,0))),(INDEX(ALLCLASSDATA,MATCH("AdvancedMaster",CLASSFEATUREHEADERS,0),MATCH(($A1798 &amp; "Points"),CLASSNAMEHEADERS,0))),(IF("03"=(INDEX(ALLCLASSDATA,MATCH("AdvancedExpert",CLASSFEATUREHEADERS,0),MATCH($A1798,CLASSNAMEHEADERS,0))),(INDEX(ALLCLASSDATA,MATCH("AdvancedExpert",CLASSFEATUREHEADERS,0),MATCH(($A1798 &amp; "Points"),CLASSNAMEHEADERS,0))),(IF("03"=(INDEX(ALLCLASSDATA,MATCH("AdvancedTrained",CLASSFEATUREHEADERS,0),MATCH($A1798,CLASSNAMEHEADERS,0))),(INDEX(ALLCLASSDATA,MATCH("AdvancedTrained",CLASSFEATUREHEADERS,0),MATCH(($A1798 &amp; "Points"),CLASSNAMEHEADERS,0))),"")))))))))}</f>
        <v>ADVANCEDL03</v>
      </c>
      <c r="K1797" s="223"/>
      <c r="L1797" s="223" t="str">
        <f t="array" ref="L1797:L1798">{"ADVANCEDL05";((IF("05"=(INDEX(ALLCLASSDATA,MATCH("AdvancedLegendary",CLASSFEATUREHEADERS,0),MATCH($A1798,CLASSNAMEHEADERS,0))),(INDEX(ALLCLASSDATA,MATCH("AdvancedLegendary",CLASSFEATUREHEADERS,0),MATCH(($A1798 &amp; "Points"),CLASSNAMEHEADERS,0))),(IF("05"=(INDEX(ALLCLASSDATA,MATCH("AdvancedMaster",CLASSFEATUREHEADERS,0),MATCH($A1798,CLASSNAMEHEADERS,0))),(INDEX(ALLCLASSDATA,MATCH("AdvancedMaster",CLASSFEATUREHEADERS,0),MATCH(($A1798 &amp; "Points"),CLASSNAMEHEADERS,0))),(IF("05"=(INDEX(ALLCLASSDATA,MATCH("AdvancedExpert",CLASSFEATUREHEADERS,0),MATCH($A1798,CLASSNAMEHEADERS,0))),(INDEX(ALLCLASSDATA,MATCH("AdvancedExpert",CLASSFEATUREHEADERS,0),MATCH(($A1798 &amp; "Points"),CLASSNAMEHEADERS,0))),(IF("05"=(INDEX(ALLCLASSDATA,MATCH("AdvancedTrained",CLASSFEATUREHEADERS,0),MATCH($A1798,CLASSNAMEHEADERS,0))),(INDEX(ALLCLASSDATA,MATCH("AdvancedTrained",CLASSFEATUREHEADERS,0),MATCH(($A1798 &amp; "Points"),CLASSNAMEHEADERS,0))),"")))))))))}</f>
        <v>ADVANCEDL05</v>
      </c>
      <c r="M1797" s="223"/>
      <c r="N1797" s="223" t="str">
        <f t="array" ref="N1797:N1798">{"ADVANCEDL07";((IF("07"=(INDEX(ALLCLASSDATA,MATCH("AdvancedLegendary",CLASSFEATUREHEADERS,0),MATCH($A1798,CLASSNAMEHEADERS,0))),(INDEX(ALLCLASSDATA,MATCH("AdvancedLegendary",CLASSFEATUREHEADERS,0),MATCH(($A1798 &amp; "Points"),CLASSNAMEHEADERS,0))),(IF("07"=(INDEX(ALLCLASSDATA,MATCH("AdvancedMaster",CLASSFEATUREHEADERS,0),MATCH($A1798,CLASSNAMEHEADERS,0))),(INDEX(ALLCLASSDATA,MATCH("AdvancedMaster",CLASSFEATUREHEADERS,0),MATCH(($A1798 &amp; "Points"),CLASSNAMEHEADERS,0))),(IF("07"=(INDEX(ALLCLASSDATA,MATCH("AdvancedExpert",CLASSFEATUREHEADERS,0),MATCH($A1798,CLASSNAMEHEADERS,0))),(INDEX(ALLCLASSDATA,MATCH("AdvancedExpert",CLASSFEATUREHEADERS,0),MATCH(($A1798 &amp; "Points"),CLASSNAMEHEADERS,0))),(IF("07"=(INDEX(ALLCLASSDATA,MATCH("AdvancedTrained",CLASSFEATUREHEADERS,0),MATCH($A1798,CLASSNAMEHEADERS,0))),(INDEX(ALLCLASSDATA,MATCH("AdvancedTrained",CLASSFEATUREHEADERS,0),MATCH(($A1798 &amp; "Points"),CLASSNAMEHEADERS,0))),"")))))))))}</f>
        <v>ADVANCEDL07</v>
      </c>
      <c r="O1797" s="223"/>
      <c r="P1797" s="223" t="str">
        <f t="array" ref="P1797:P1798">{"ADVANCEDL09";((IF("09"=(INDEX(ALLCLASSDATA,MATCH("AdvancedLegendary",CLASSFEATUREHEADERS,0),MATCH($A1798,CLASSNAMEHEADERS,0))),(INDEX(ALLCLASSDATA,MATCH("AdvancedLegendary",CLASSFEATUREHEADERS,0),MATCH(($A1798 &amp; "Points"),CLASSNAMEHEADERS,0))),(IF("09"=(INDEX(ALLCLASSDATA,MATCH("AdvancedMaster",CLASSFEATUREHEADERS,0),MATCH($A1798,CLASSNAMEHEADERS,0))),(INDEX(ALLCLASSDATA,MATCH("AdvancedMaster",CLASSFEATUREHEADERS,0),MATCH(($A1798 &amp; "Points"),CLASSNAMEHEADERS,0))),(IF("09"=(INDEX(ALLCLASSDATA,MATCH("AdvancedExpert",CLASSFEATUREHEADERS,0),MATCH($A1798,CLASSNAMEHEADERS,0))),(INDEX(ALLCLASSDATA,MATCH("AdvancedExpert",CLASSFEATUREHEADERS,0),MATCH(($A1798 &amp; "Points"),CLASSNAMEHEADERS,0))),(IF("09"=(INDEX(ALLCLASSDATA,MATCH("AdvancedTrained",CLASSFEATUREHEADERS,0),MATCH($A1798,CLASSNAMEHEADERS,0))),(INDEX(ALLCLASSDATA,MATCH("AdvancedTrained",CLASSFEATUREHEADERS,0),MATCH(($A1798 &amp; "Points"),CLASSNAMEHEADERS,0))),"")))))))))}</f>
        <v>ADVANCEDL09</v>
      </c>
      <c r="Q1797" s="223"/>
      <c r="R1797" s="223" t="str">
        <f t="array" ref="R1797:R1798">{"ADVANCEDL11";((IF("11"=(INDEX(ALLCLASSDATA,MATCH("AdvancedLegendary",CLASSFEATUREHEADERS,0),MATCH($A1798,CLASSNAMEHEADERS,0))),(INDEX(ALLCLASSDATA,MATCH("AdvancedLegendary",CLASSFEATUREHEADERS,0),MATCH(($A1798 &amp; "Points"),CLASSNAMEHEADERS,0))),(IF("11"=(INDEX(ALLCLASSDATA,MATCH("AdvancedMaster",CLASSFEATUREHEADERS,0),MATCH($A1798,CLASSNAMEHEADERS,0))),(INDEX(ALLCLASSDATA,MATCH("AdvancedMaster",CLASSFEATUREHEADERS,0),MATCH(($A1798 &amp; "Points"),CLASSNAMEHEADERS,0))),(IF("11"=(INDEX(ALLCLASSDATA,MATCH("AdvancedExpert",CLASSFEATUREHEADERS,0),MATCH($A1798,CLASSNAMEHEADERS,0))),(INDEX(ALLCLASSDATA,MATCH("AdvancedExpert",CLASSFEATUREHEADERS,0),MATCH(($A1798 &amp; "Points"),CLASSNAMEHEADERS,0))),(IF("11"=(INDEX(ALLCLASSDATA,MATCH("AdvancedTrained",CLASSFEATUREHEADERS,0),MATCH($A1798,CLASSNAMEHEADERS,0))),(INDEX(ALLCLASSDATA,MATCH("AdvancedTrained",CLASSFEATUREHEADERS,0),MATCH(($A1798 &amp; "Points"),CLASSNAMEHEADERS,0))),"")))))))))}</f>
        <v>ADVANCEDL11</v>
      </c>
      <c r="S1797" s="223"/>
      <c r="T1797" s="223" t="str">
        <f t="array" ref="T1797:T1798">{"ADVANCEDL13";((IF("13"=(INDEX(ALLCLASSDATA,MATCH("AdvancedLegendary",CLASSFEATUREHEADERS,0),MATCH($A1798,CLASSNAMEHEADERS,0))),(INDEX(ALLCLASSDATA,MATCH("AdvancedLegendary",CLASSFEATUREHEADERS,0),MATCH(($A1798 &amp; "Points"),CLASSNAMEHEADERS,0))),(IF("13"=(INDEX(ALLCLASSDATA,MATCH("AdvancedMaster",CLASSFEATUREHEADERS,0),MATCH($A1798,CLASSNAMEHEADERS,0))),(INDEX(ALLCLASSDATA,MATCH("AdvancedMaster",CLASSFEATUREHEADERS,0),MATCH(($A1798 &amp; "Points"),CLASSNAMEHEADERS,0))),(IF("13"=(INDEX(ALLCLASSDATA,MATCH("AdvancedExpert",CLASSFEATUREHEADERS,0),MATCH($A1798,CLASSNAMEHEADERS,0))),(INDEX(ALLCLASSDATA,MATCH("AdvancedExpert",CLASSFEATUREHEADERS,0),MATCH(($A1798 &amp; "Points"),CLASSNAMEHEADERS,0))),(IF("13"=(INDEX(ALLCLASSDATA,MATCH("AdvancedTrained",CLASSFEATUREHEADERS,0),MATCH($A1798,CLASSNAMEHEADERS,0))),(INDEX(ALLCLASSDATA,MATCH("AdvancedTrained",CLASSFEATUREHEADERS,0),MATCH(($A1798 &amp; "Points"),CLASSNAMEHEADERS,0))),"")))))))))}</f>
        <v>ADVANCEDL13</v>
      </c>
      <c r="U1797" s="223"/>
      <c r="V1797" s="223" t="str">
        <f t="array" ref="V1797:V1798">{"ADVANCEDL15";((IF("15"=(INDEX(ALLCLASSDATA,MATCH("AdvancedLegendary",CLASSFEATUREHEADERS,0),MATCH($A1798,CLASSNAMEHEADERS,0))),(INDEX(ALLCLASSDATA,MATCH("AdvancedLegendary",CLASSFEATUREHEADERS,0),MATCH(($A1798 &amp; "Points"),CLASSNAMEHEADERS,0))),(IF("15"=(INDEX(ALLCLASSDATA,MATCH("AdvancedMaster",CLASSFEATUREHEADERS,0),MATCH($A1798,CLASSNAMEHEADERS,0))),(INDEX(ALLCLASSDATA,MATCH("AdvancedMaster",CLASSFEATUREHEADERS,0),MATCH(($A1798 &amp; "Points"),CLASSNAMEHEADERS,0))),(IF("15"=(INDEX(ALLCLASSDATA,MATCH("AdvancedExpert",CLASSFEATUREHEADERS,0),MATCH($A1798,CLASSNAMEHEADERS,0))),(INDEX(ALLCLASSDATA,MATCH("AdvancedExpert",CLASSFEATUREHEADERS,0),MATCH(($A1798 &amp; "Points"),CLASSNAMEHEADERS,0))),(IF("15"=(INDEX(ALLCLASSDATA,MATCH("AdvancedTrained",CLASSFEATUREHEADERS,0),MATCH($A1798,CLASSNAMEHEADERS,0))),(INDEX(ALLCLASSDATA,MATCH("AdvancedTrained",CLASSFEATUREHEADERS,0),MATCH(($A1798 &amp; "Points"),CLASSNAMEHEADERS,0))),"")))))))))}</f>
        <v>ADVANCEDL15</v>
      </c>
      <c r="W1797" s="223"/>
      <c r="X1797" s="223" t="str">
        <f t="array" ref="X1797:X1798">{"ADVANCEDL17";((IF("17"=(INDEX(ALLCLASSDATA,MATCH("AdvancedLegendary",CLASSFEATUREHEADERS,0),MATCH($A1798,CLASSNAMEHEADERS,0))),(INDEX(ALLCLASSDATA,MATCH("AdvancedLegendary",CLASSFEATUREHEADERS,0),MATCH(($A1798 &amp; "Points"),CLASSNAMEHEADERS,0))),(IF("17"=(INDEX(ALLCLASSDATA,MATCH("AdvancedMaster",CLASSFEATUREHEADERS,0),MATCH($A1798,CLASSNAMEHEADERS,0))),(INDEX(ALLCLASSDATA,MATCH("AdvancedMaster",CLASSFEATUREHEADERS,0),MATCH(($A1798 &amp; "Points"),CLASSNAMEHEADERS,0))),(IF("17"=(INDEX(ALLCLASSDATA,MATCH("AdvancedExpert",CLASSFEATUREHEADERS,0),MATCH($A1798,CLASSNAMEHEADERS,0))),(INDEX(ALLCLASSDATA,MATCH("AdvancedExpert",CLASSFEATUREHEADERS,0),MATCH(($A1798 &amp; "Points"),CLASSNAMEHEADERS,0))),(IF("17"=(INDEX(ALLCLASSDATA,MATCH("AdvancedTrained",CLASSFEATUREHEADERS,0),MATCH($A1798,CLASSNAMEHEADERS,0))),(INDEX(ALLCLASSDATA,MATCH("AdvancedTrained",CLASSFEATUREHEADERS,0),MATCH(($A1798 &amp; "Points"),CLASSNAMEHEADERS,0))),"")))))))))}</f>
        <v>ADVANCEDL17</v>
      </c>
      <c r="Y1797" s="223"/>
      <c r="Z1797" s="223" t="str">
        <f t="array" ref="Z1797:Z1798">{"ADVANCEDL19";((IF("19"=(INDEX(ALLCLASSDATA,MATCH("AdvancedLegendary",CLASSFEATUREHEADERS,0),MATCH($A1798,CLASSNAMEHEADERS,0))),(INDEX(ALLCLASSDATA,MATCH("AdvancedLegendary",CLASSFEATUREHEADERS,0),MATCH(($A1798 &amp; "Points"),CLASSNAMEHEADERS,0))),(IF("19"=(INDEX(ALLCLASSDATA,MATCH("AdvancedMaster",CLASSFEATUREHEADERS,0),MATCH($A1798,CLASSNAMEHEADERS,0))),(INDEX(ALLCLASSDATA,MATCH("AdvancedMaster",CLASSFEATUREHEADERS,0),MATCH(($A1798 &amp; "Points"),CLASSNAMEHEADERS,0))),(IF("19"=(INDEX(ALLCLASSDATA,MATCH("AdvancedExpert",CLASSFEATUREHEADERS,0),MATCH($A1798,CLASSNAMEHEADERS,0))),(INDEX(ALLCLASSDATA,MATCH("AdvancedExpert",CLASSFEATUREHEADERS,0),MATCH(($A1798 &amp; "Points"),CLASSNAMEHEADERS,0))),(IF("19"=(INDEX(ALLCLASSDATA,MATCH("AdvancedTrained",CLASSFEATUREHEADERS,0),MATCH($A1798,CLASSNAMEHEADERS,0))),(INDEX(ALLCLASSDATA,MATCH("AdvancedTrained",CLASSFEATUREHEADERS,0),MATCH(($A1798 &amp; "Points"),CLASSNAMEHEADERS,0))),"")))))))))}</f>
        <v>ADVANCEDL19</v>
      </c>
      <c r="AA1797" s="223"/>
      <c r="AB1797" s="76" t="str">
        <f t="array" ref="AB1797:AB1798">{"ADVANCED TOTAL";(IF(COUNTBLANK(G1798:AA1798)=17,"L",(IF(COUNTBLANK(G1798:AA1798)=18,"M",(IF(COUNTBLANK(G1798:AA1798)=19,"E",(IF(COUNTBLANK(G1798:AA1798)=20,"T",""))))))))}</f>
        <v>ADVANCED TOTAL</v>
      </c>
      <c r="AC1797" s="76" t="str">
        <f t="array" ref="AC1797:AC1798">{"ADVANCED TOTAL";(sum(G1798:AA1798))}</f>
        <v>ADVANCED TOTAL</v>
      </c>
    </row>
    <row r="1798">
      <c r="A1798" s="48" t="s">
        <v>227</v>
      </c>
      <c r="B1798" s="48"/>
      <c r="C1798" s="48" t="s">
        <v>418</v>
      </c>
      <c r="D1798" s="97" t="s">
        <v>1634</v>
      </c>
      <c r="E1798" s="97" t="s">
        <v>602</v>
      </c>
      <c r="F1798" s="98" t="s">
        <v>603</v>
      </c>
      <c r="G1798" s="132" t="s">
        <v>603</v>
      </c>
      <c r="H1798" s="98" t="s">
        <v>603</v>
      </c>
      <c r="I1798" s="98"/>
      <c r="J1798" s="98" t="s">
        <v>603</v>
      </c>
      <c r="K1798" s="98"/>
      <c r="L1798" s="98" t="s">
        <v>603</v>
      </c>
      <c r="M1798" s="98"/>
      <c r="N1798" s="98" t="s">
        <v>603</v>
      </c>
      <c r="O1798" s="98"/>
      <c r="P1798" s="98" t="s">
        <v>603</v>
      </c>
      <c r="Q1798" s="98"/>
      <c r="R1798" s="98" t="s">
        <v>603</v>
      </c>
      <c r="S1798" s="98"/>
      <c r="T1798" s="98" t="s">
        <v>603</v>
      </c>
      <c r="U1798" s="98"/>
      <c r="V1798" s="98" t="s">
        <v>603</v>
      </c>
      <c r="W1798" s="98"/>
      <c r="X1798" s="98" t="s">
        <v>603</v>
      </c>
      <c r="Y1798" s="98"/>
      <c r="Z1798" s="98" t="s">
        <v>603</v>
      </c>
      <c r="AA1798" s="98"/>
      <c r="AB1798" s="5" t="s">
        <v>603</v>
      </c>
      <c r="AC1798" s="47">
        <v>0.0</v>
      </c>
    </row>
    <row r="1799" hidden="1">
      <c r="A1799" s="222" t="str">
        <f t="array" ref="A1799:A1800">{"FormulaRow34";(INDEX(CLASSLIST,A1732,1))}</f>
        <v>FormulaRow34</v>
      </c>
      <c r="B1799" s="77" t="s">
        <v>236</v>
      </c>
      <c r="C1799" s="222" t="str">
        <f t="array" ref="C1799:C1800">{"CLASSTYPE";((INDEX(ALLCLASSDATA,MATCH("ClassType",CLASSFEATUREHEADERS,0),MATCH($A1800,CLASSNAMEHEADERS,0))))}</f>
        <v>CLASSTYPE</v>
      </c>
      <c r="D1799" s="222" t="str">
        <f t="array" ref="D1799:D1800">{"DEFENSE";"Defense"}</f>
        <v>DEFENSE</v>
      </c>
      <c r="E1799" s="222" t="str">
        <f t="array" ref="E1799:E1800">{"ARMORSPECIAL";"ArmorAS"}</f>
        <v>ARMORSPECIAL</v>
      </c>
      <c r="F1799" s="223"/>
      <c r="G1799" s="223"/>
      <c r="H1799" s="223" t="str">
        <f t="array" ref="H1799:H1800">{"ARMORSPECIALL01";((IF("01"=INDEX(ALLCLASSDATA,MATCH("ArmorSpecialization",CLASSFEATUREHEADERS,0),MATCH($A1800,CLASSNAMEHEADERS,0)),ArmorAS,"")))}</f>
        <v>ARMORSPECIALL01</v>
      </c>
      <c r="I1799" s="223"/>
      <c r="J1799" s="223" t="str">
        <f t="array" ref="J1799:J1800">{"ARMORSPECIALL03";((IF("03"=INDEX(ALLCLASSDATA,MATCH("ArmorSpecialization",CLASSFEATUREHEADERS,0),MATCH($A1800,CLASSNAMEHEADERS,0)),ArmorAS,"")))}</f>
        <v>ARMORSPECIALL03</v>
      </c>
      <c r="K1799" s="223"/>
      <c r="L1799" s="223" t="str">
        <f t="array" ref="L1799:L1800">{"ARMORSPECIALL05";((IF("05"=INDEX(ALLCLASSDATA,MATCH("ArmorSpecialization",CLASSFEATUREHEADERS,0),MATCH($A1800,CLASSNAMEHEADERS,0)),ArmorAS,"")))}</f>
        <v>ARMORSPECIALL05</v>
      </c>
      <c r="M1799" s="223"/>
      <c r="N1799" s="223" t="str">
        <f t="array" ref="N1799:N1800">{"ARMORSPECIALL07";((IF("07"=INDEX(ALLCLASSDATA,MATCH("ArmorSpecialization",CLASSFEATUREHEADERS,0),MATCH($A1800,CLASSNAMEHEADERS,0)),ArmorAS,"")))}</f>
        <v>ARMORSPECIALL07</v>
      </c>
      <c r="O1799" s="223"/>
      <c r="P1799" s="223" t="str">
        <f t="array" ref="P1799:P1800">{"ARMORSPECIALL09";((IF("09"=INDEX(ALLCLASSDATA,MATCH("ArmorSpecialization",CLASSFEATUREHEADERS,0),MATCH($A1800,CLASSNAMEHEADERS,0)),ArmorAS,"")))}</f>
        <v>ARMORSPECIALL09</v>
      </c>
      <c r="Q1799" s="223"/>
      <c r="R1799" s="223" t="str">
        <f t="array" ref="R1799:R1800">{"ARMORSPECIALL11";((IF("11"=INDEX(ALLCLASSDATA,MATCH("ArmorSpecialization",CLASSFEATUREHEADERS,0),MATCH($A1800,CLASSNAMEHEADERS,0)),ArmorAS,"")))}</f>
        <v>ARMORSPECIALL11</v>
      </c>
      <c r="S1799" s="223"/>
      <c r="T1799" s="223" t="str">
        <f t="array" ref="T1799:T1800">{"ARMORSPECIALL13";((IF("13"=INDEX(ALLCLASSDATA,MATCH("ArmorSpecialization",CLASSFEATUREHEADERS,0),MATCH($A1800,CLASSNAMEHEADERS,0)),ArmorAS,"")))}</f>
        <v>ARMORSPECIALL13</v>
      </c>
      <c r="U1799" s="223"/>
      <c r="V1799" s="223" t="str">
        <f t="array" ref="V1799:V1800">{"ARMORSPECIALL15";((IF("15"=INDEX(ALLCLASSDATA,MATCH("ArmorSpecialization",CLASSFEATUREHEADERS,0),MATCH($A1800,CLASSNAMEHEADERS,0)),ArmorAS,"")))}</f>
        <v>ARMORSPECIALL15</v>
      </c>
      <c r="W1799" s="223"/>
      <c r="X1799" s="223" t="str">
        <f t="array" ref="X1799:X1800">{"ARMORSPECIALL17";((IF("17"=INDEX(ALLCLASSDATA,MATCH("ArmorSpecialization",CLASSFEATUREHEADERS,0),MATCH($A1800,CLASSNAMEHEADERS,0)),ArmorAS,"")))}</f>
        <v>ARMORSPECIALL17</v>
      </c>
      <c r="Y1799" s="223"/>
      <c r="Z1799" s="223" t="str">
        <f t="array" ref="Z1799:Z1800">{"ARMORSPECIALL19";((IF("19"=INDEX(ALLCLASSDATA,MATCH("ArmorSpecialization",CLASSFEATUREHEADERS,0),MATCH($A1800,CLASSNAMEHEADERS,0)),ArmorAS,"")))}</f>
        <v>ARMORSPECIALL19</v>
      </c>
      <c r="AA1799" s="223"/>
      <c r="AB1799" s="76"/>
      <c r="AC1799" s="76" t="str">
        <f t="array" ref="AC1799:AC1800">{"ARMORSPECIAL TOTAL";(sum(G1800:AA1800))}</f>
        <v>ARMORSPECIAL TOTAL</v>
      </c>
    </row>
    <row r="1800">
      <c r="A1800" s="48" t="s">
        <v>227</v>
      </c>
      <c r="B1800" s="48"/>
      <c r="C1800" s="48" t="s">
        <v>418</v>
      </c>
      <c r="D1800" s="48" t="s">
        <v>1900</v>
      </c>
      <c r="E1800" s="48" t="s">
        <v>51</v>
      </c>
      <c r="F1800" s="5"/>
      <c r="G1800" s="47"/>
      <c r="H1800" s="5" t="s">
        <v>603</v>
      </c>
      <c r="I1800" s="5"/>
      <c r="J1800" s="5" t="s">
        <v>603</v>
      </c>
      <c r="K1800" s="5"/>
      <c r="L1800" s="5" t="s">
        <v>603</v>
      </c>
      <c r="M1800" s="5"/>
      <c r="N1800" s="5" t="s">
        <v>603</v>
      </c>
      <c r="O1800" s="5"/>
      <c r="P1800" s="5" t="s">
        <v>603</v>
      </c>
      <c r="Q1800" s="5"/>
      <c r="R1800" s="5" t="s">
        <v>603</v>
      </c>
      <c r="S1800" s="5"/>
      <c r="T1800" s="5" t="s">
        <v>603</v>
      </c>
      <c r="U1800" s="5"/>
      <c r="V1800" s="5" t="s">
        <v>603</v>
      </c>
      <c r="W1800" s="5"/>
      <c r="X1800" s="5" t="s">
        <v>603</v>
      </c>
      <c r="Y1800" s="5"/>
      <c r="Z1800" s="5" t="s">
        <v>603</v>
      </c>
      <c r="AA1800" s="5"/>
      <c r="AB1800" s="5"/>
      <c r="AC1800" s="47">
        <v>0.0</v>
      </c>
    </row>
    <row r="1801" hidden="1">
      <c r="A1801" s="222" t="str">
        <f t="array" ref="A1801:A1802">{"FormulaRow35";(INDEX(CLASSLIST,A1732,1))}</f>
        <v>FormulaRow35</v>
      </c>
      <c r="B1801" s="77" t="s">
        <v>236</v>
      </c>
      <c r="C1801" s="222" t="str">
        <f t="array" ref="C1801:C1802">{"CLASSTYPE";((INDEX(ALLCLASSDATA,MATCH("ClassType",CLASSFEATUREHEADERS,0),MATCH($A1802,CLASSNAMEHEADERS,0))))}</f>
        <v>CLASSTYPE</v>
      </c>
      <c r="D1801" s="222" t="str">
        <f t="array" ref="D1801:D1802">{"DEFENSE";"Defense"}</f>
        <v>DEFENSE</v>
      </c>
      <c r="E1801" s="222" t="str">
        <f t="array" ref="E1801:E1802">{"UNARMORED";"Unarmored"}</f>
        <v>UNARMORED</v>
      </c>
      <c r="F1801" s="223" t="str">
        <f t="array" ref="F1801:F1802">{"UNARMOREDINITIAL";((IF(H1802=10,"T",(IF(H1802=50,"E","")))))}</f>
        <v>UNARMOREDINITIAL</v>
      </c>
      <c r="G1801" s="223" t="str">
        <f t="array" ref="G1801:G1802">{"UNARMOREDINITIALPTS";((IF("00"=(INDEX(ALLCLASSDATA,MATCH("UnarmoredLegendary",CLASSFEATUREHEADERS,0),MATCH($A1802,CLASSNAMEHEADERS,0))),(INDEX(ALLCLASSDATA,MATCH("UnarmoredLegendary",CLASSFEATUREHEADERS,0),MATCH(($A1802 &amp; "Points"),CLASSNAMEHEADERS,0))),(IF("00"=(INDEX(ALLCLASSDATA,MATCH("UnarmoredMaster",CLASSFEATUREHEADERS,0),MATCH($A1802,CLASSNAMEHEADERS,0))),(INDEX(ALLCLASSDATA,MATCH("UnarmoredMaster",CLASSFEATUREHEADERS,0),MATCH(($A1802 &amp; "Points"),CLASSNAMEHEADERS,0))),(IF("00"=(INDEX(ALLCLASSDATA,MATCH("UnarmoredExpert",CLASSFEATUREHEADERS,0),MATCH($A1802,CLASSNAMEHEADERS,0))),(INDEX(ALLCLASSDATA,MATCH("UnarmoredExpert",CLASSFEATUREHEADERS,0),MATCH(($A1802 &amp; "Points"),CLASSNAMEHEADERS,0))),(IF("00"=(INDEX(ALLCLASSDATA,MATCH("UnarmoredTrained",CLASSFEATUREHEADERS,0),MATCH($A1802,CLASSNAMEHEADERS,0))),(INDEX(ALLCLASSDATA,MATCH("UnarmoredTrained",CLASSFEATUREHEADERS,0),MATCH(($A1802 &amp; "Points"),CLASSNAMEHEADERS,0))),"")))))))))}</f>
        <v>UNARMOREDINITIALPTS</v>
      </c>
      <c r="H1801" s="223" t="str">
        <f t="array" ref="H1801:H1802">{"UNARMOREDL01";((IF("01"=(INDEX(ALLCLASSDATA,MATCH("UnarmoredLegendary",CLASSFEATUREHEADERS,0),MATCH($A1802,CLASSNAMEHEADERS,0))),(INDEX(ALLCLASSDATA,MATCH("UnarmoredLegendary",CLASSFEATUREHEADERS,0),MATCH(($A1802 &amp; "Points"),CLASSNAMEHEADERS,0))),(IF("01"=(INDEX(ALLCLASSDATA,MATCH("UnarmoredMaster",CLASSFEATUREHEADERS,0),MATCH($A1802,CLASSNAMEHEADERS,0))),(INDEX(ALLCLASSDATA,MATCH("UnarmoredMaster",CLASSFEATUREHEADERS,0),MATCH(($A1802 &amp; "Points"),CLASSNAMEHEADERS,0))),(IF("01"=(INDEX(ALLCLASSDATA,MATCH("UnarmoredExpert",CLASSFEATUREHEADERS,0),MATCH($A1802,CLASSNAMEHEADERS,0))),(INDEX(ALLCLASSDATA,MATCH("UnarmoredExpert",CLASSFEATUREHEADERS,0),MATCH(($A1802 &amp; "Points"),CLASSNAMEHEADERS,0))),(IF("01"=(INDEX(ALLCLASSDATA,MATCH("UnarmoredTrained",CLASSFEATUREHEADERS,0),MATCH($A1802,CLASSNAMEHEADERS,0))),(INDEX(ALLCLASSDATA,MATCH("UnarmoredTrained",CLASSFEATUREHEADERS,0),MATCH(($A1802 &amp; "Points"),CLASSNAMEHEADERS,0))),"")))))))))}</f>
        <v>UNARMOREDL01</v>
      </c>
      <c r="I1801" s="223"/>
      <c r="J1801" s="223" t="str">
        <f t="array" ref="J1801:J1802">{"UNARMOREDL03";((IF("03"=(INDEX(ALLCLASSDATA,MATCH("UnarmoredLegendary",CLASSFEATUREHEADERS,0),MATCH($A1802,CLASSNAMEHEADERS,0))),(INDEX(ALLCLASSDATA,MATCH("UnarmoredLegendary",CLASSFEATUREHEADERS,0),MATCH(($A1802 &amp; "Points"),CLASSNAMEHEADERS,0))),(IF("03"=(INDEX(ALLCLASSDATA,MATCH("UnarmoredMaster",CLASSFEATUREHEADERS,0),MATCH($A1802,CLASSNAMEHEADERS,0))),(INDEX(ALLCLASSDATA,MATCH("UnarmoredMaster",CLASSFEATUREHEADERS,0),MATCH(($A1802 &amp; "Points"),CLASSNAMEHEADERS,0))),(IF("03"=(INDEX(ALLCLASSDATA,MATCH("UnarmoredExpert",CLASSFEATUREHEADERS,0),MATCH($A1802,CLASSNAMEHEADERS,0))),(INDEX(ALLCLASSDATA,MATCH("UnarmoredExpert",CLASSFEATUREHEADERS,0),MATCH(($A1802 &amp; "Points"),CLASSNAMEHEADERS,0))),(IF("03"=(INDEX(ALLCLASSDATA,MATCH("UnarmoredTrained",CLASSFEATUREHEADERS,0),MATCH($A1802,CLASSNAMEHEADERS,0))),(INDEX(ALLCLASSDATA,MATCH("UnarmoredTrained",CLASSFEATUREHEADERS,0),MATCH(($A1802 &amp; "Points"),CLASSNAMEHEADERS,0))),"")))))))))}</f>
        <v>UNARMOREDL03</v>
      </c>
      <c r="K1801" s="223"/>
      <c r="L1801" s="223" t="str">
        <f t="array" ref="L1801:L1802">{"UNARMOREDL05";((IF("05"=(INDEX(ALLCLASSDATA,MATCH("UnarmoredLegendary",CLASSFEATUREHEADERS,0),MATCH($A1802,CLASSNAMEHEADERS,0))),(INDEX(ALLCLASSDATA,MATCH("UnarmoredLegendary",CLASSFEATUREHEADERS,0),MATCH(($A1802 &amp; "Points"),CLASSNAMEHEADERS,0))),(IF("05"=(INDEX(ALLCLASSDATA,MATCH("UnarmoredMaster",CLASSFEATUREHEADERS,0),MATCH($A1802,CLASSNAMEHEADERS,0))),(INDEX(ALLCLASSDATA,MATCH("UnarmoredMaster",CLASSFEATUREHEADERS,0),MATCH(($A1802 &amp; "Points"),CLASSNAMEHEADERS,0))),(IF("05"=(INDEX(ALLCLASSDATA,MATCH("UnarmoredExpert",CLASSFEATUREHEADERS,0),MATCH($A1802,CLASSNAMEHEADERS,0))),(INDEX(ALLCLASSDATA,MATCH("UnarmoredExpert",CLASSFEATUREHEADERS,0),MATCH(($A1802 &amp; "Points"),CLASSNAMEHEADERS,0))),(IF("05"=(INDEX(ALLCLASSDATA,MATCH("UnarmoredTrained",CLASSFEATUREHEADERS,0),MATCH($A1802,CLASSNAMEHEADERS,0))),(INDEX(ALLCLASSDATA,MATCH("UnarmoredTrained",CLASSFEATUREHEADERS,0),MATCH(($A1802 &amp; "Points"),CLASSNAMEHEADERS,0))),"")))))))))}</f>
        <v>UNARMOREDL05</v>
      </c>
      <c r="M1801" s="223"/>
      <c r="N1801" s="223" t="str">
        <f t="array" ref="N1801:N1802">{"UNARMOREDL07";((IF("07"=(INDEX(ALLCLASSDATA,MATCH("UnarmoredLegendary",CLASSFEATUREHEADERS,0),MATCH($A1802,CLASSNAMEHEADERS,0))),(INDEX(ALLCLASSDATA,MATCH("UnarmoredLegendary",CLASSFEATUREHEADERS,0),MATCH(($A1802 &amp; "Points"),CLASSNAMEHEADERS,0))),(IF("07"=(INDEX(ALLCLASSDATA,MATCH("UnarmoredMaster",CLASSFEATUREHEADERS,0),MATCH($A1802,CLASSNAMEHEADERS,0))),(INDEX(ALLCLASSDATA,MATCH("UnarmoredMaster",CLASSFEATUREHEADERS,0),MATCH(($A1802 &amp; "Points"),CLASSNAMEHEADERS,0))),(IF("07"=(INDEX(ALLCLASSDATA,MATCH("UnarmoredExpert",CLASSFEATUREHEADERS,0),MATCH($A1802,CLASSNAMEHEADERS,0))),(INDEX(ALLCLASSDATA,MATCH("UnarmoredExpert",CLASSFEATUREHEADERS,0),MATCH(($A1802 &amp; "Points"),CLASSNAMEHEADERS,0))),(IF("07"=(INDEX(ALLCLASSDATA,MATCH("UnarmoredTrained",CLASSFEATUREHEADERS,0),MATCH($A1802,CLASSNAMEHEADERS,0))),(INDEX(ALLCLASSDATA,MATCH("UnarmoredTrained",CLASSFEATUREHEADERS,0),MATCH(($A1802 &amp; "Points"),CLASSNAMEHEADERS,0))),"")))))))))}</f>
        <v>UNARMOREDL07</v>
      </c>
      <c r="O1801" s="223"/>
      <c r="P1801" s="223" t="str">
        <f t="array" ref="P1801:P1802">{"UNARMOREDL09";((IF("09"=(INDEX(ALLCLASSDATA,MATCH("UnarmoredLegendary",CLASSFEATUREHEADERS,0),MATCH($A1802,CLASSNAMEHEADERS,0))),(INDEX(ALLCLASSDATA,MATCH("UnarmoredLegendary",CLASSFEATUREHEADERS,0),MATCH(($A1802 &amp; "Points"),CLASSNAMEHEADERS,0))),(IF("09"=(INDEX(ALLCLASSDATA,MATCH("UnarmoredMaster",CLASSFEATUREHEADERS,0),MATCH($A1802,CLASSNAMEHEADERS,0))),(INDEX(ALLCLASSDATA,MATCH("UnarmoredMaster",CLASSFEATUREHEADERS,0),MATCH(($A1802 &amp; "Points"),CLASSNAMEHEADERS,0))),(IF("09"=(INDEX(ALLCLASSDATA,MATCH("UnarmoredExpert",CLASSFEATUREHEADERS,0),MATCH($A1802,CLASSNAMEHEADERS,0))),(INDEX(ALLCLASSDATA,MATCH("UnarmoredExpert",CLASSFEATUREHEADERS,0),MATCH(($A1802 &amp; "Points"),CLASSNAMEHEADERS,0))),(IF("09"=(INDEX(ALLCLASSDATA,MATCH("UnarmoredTrained",CLASSFEATUREHEADERS,0),MATCH($A1802,CLASSNAMEHEADERS,0))),(INDEX(ALLCLASSDATA,MATCH("UnarmoredTrained",CLASSFEATUREHEADERS,0),MATCH(($A1802 &amp; "Points"),CLASSNAMEHEADERS,0))),"")))))))))}</f>
        <v>UNARMOREDL09</v>
      </c>
      <c r="Q1801" s="223"/>
      <c r="R1801" s="223" t="str">
        <f t="array" ref="R1801:R1802">{"UNARMOREDL11";((IF("11"=(INDEX(ALLCLASSDATA,MATCH("UnarmoredLegendary",CLASSFEATUREHEADERS,0),MATCH($A1802,CLASSNAMEHEADERS,0))),(INDEX(ALLCLASSDATA,MATCH("UnarmoredLegendary",CLASSFEATUREHEADERS,0),MATCH(($A1802 &amp; "Points"),CLASSNAMEHEADERS,0))),(IF("11"=(INDEX(ALLCLASSDATA,MATCH("UnarmoredMaster",CLASSFEATUREHEADERS,0),MATCH($A1802,CLASSNAMEHEADERS,0))),(INDEX(ALLCLASSDATA,MATCH("UnarmoredMaster",CLASSFEATUREHEADERS,0),MATCH(($A1802 &amp; "Points"),CLASSNAMEHEADERS,0))),(IF("11"=(INDEX(ALLCLASSDATA,MATCH("UnarmoredExpert",CLASSFEATUREHEADERS,0),MATCH($A1802,CLASSNAMEHEADERS,0))),(INDEX(ALLCLASSDATA,MATCH("UnarmoredExpert",CLASSFEATUREHEADERS,0),MATCH(($A1802 &amp; "Points"),CLASSNAMEHEADERS,0))),(IF("11"=(INDEX(ALLCLASSDATA,MATCH("UnarmoredTrained",CLASSFEATUREHEADERS,0),MATCH($A1802,CLASSNAMEHEADERS,0))),(INDEX(ALLCLASSDATA,MATCH("UnarmoredTrained",CLASSFEATUREHEADERS,0),MATCH(($A1802 &amp; "Points"),CLASSNAMEHEADERS,0))),"")))))))))}</f>
        <v>UNARMOREDL11</v>
      </c>
      <c r="S1801" s="223"/>
      <c r="T1801" s="223" t="str">
        <f t="array" ref="T1801:T1802">{"UNARMOREDL13";((IF("13"=(INDEX(ALLCLASSDATA,MATCH("UnarmoredLegendary",CLASSFEATUREHEADERS,0),MATCH($A1802,CLASSNAMEHEADERS,0))),(INDEX(ALLCLASSDATA,MATCH("UnarmoredLegendary",CLASSFEATUREHEADERS,0),MATCH(($A1802 &amp; "Points"),CLASSNAMEHEADERS,0))),(IF("13"=(INDEX(ALLCLASSDATA,MATCH("UnarmoredMaster",CLASSFEATUREHEADERS,0),MATCH($A1802,CLASSNAMEHEADERS,0))),(INDEX(ALLCLASSDATA,MATCH("UnarmoredMaster",CLASSFEATUREHEADERS,0),MATCH(($A1802 &amp; "Points"),CLASSNAMEHEADERS,0))),(IF("13"=(INDEX(ALLCLASSDATA,MATCH("UnarmoredExpert",CLASSFEATUREHEADERS,0),MATCH($A1802,CLASSNAMEHEADERS,0))),(INDEX(ALLCLASSDATA,MATCH("UnarmoredExpert",CLASSFEATUREHEADERS,0),MATCH(($A1802 &amp; "Points"),CLASSNAMEHEADERS,0))),(IF("13"=(INDEX(ALLCLASSDATA,MATCH("UnarmoredTrained",CLASSFEATUREHEADERS,0),MATCH($A1802,CLASSNAMEHEADERS,0))),(INDEX(ALLCLASSDATA,MATCH("UnarmoredTrained",CLASSFEATUREHEADERS,0),MATCH(($A1802 &amp; "Points"),CLASSNAMEHEADERS,0))),"")))))))))}</f>
        <v>UNARMOREDL13</v>
      </c>
      <c r="U1801" s="223"/>
      <c r="V1801" s="223" t="str">
        <f t="array" ref="V1801:V1802">{"UNARMOREDL15";((IF("15"=(INDEX(ALLCLASSDATA,MATCH("UnarmoredLegendary",CLASSFEATUREHEADERS,0),MATCH($A1802,CLASSNAMEHEADERS,0))),(INDEX(ALLCLASSDATA,MATCH("UnarmoredLegendary",CLASSFEATUREHEADERS,0),MATCH(($A1802 &amp; "Points"),CLASSNAMEHEADERS,0))),(IF("15"=(INDEX(ALLCLASSDATA,MATCH("UnarmoredMaster",CLASSFEATUREHEADERS,0),MATCH($A1802,CLASSNAMEHEADERS,0))),(INDEX(ALLCLASSDATA,MATCH("UnarmoredMaster",CLASSFEATUREHEADERS,0),MATCH(($A1802 &amp; "Points"),CLASSNAMEHEADERS,0))),(IF("15"=(INDEX(ALLCLASSDATA,MATCH("UnarmoredExpert",CLASSFEATUREHEADERS,0),MATCH($A1802,CLASSNAMEHEADERS,0))),(INDEX(ALLCLASSDATA,MATCH("UnarmoredExpert",CLASSFEATUREHEADERS,0),MATCH(($A1802 &amp; "Points"),CLASSNAMEHEADERS,0))),(IF("15"=(INDEX(ALLCLASSDATA,MATCH("UnarmoredTrained",CLASSFEATUREHEADERS,0),MATCH($A1802,CLASSNAMEHEADERS,0))),(INDEX(ALLCLASSDATA,MATCH("UnarmoredTrained",CLASSFEATUREHEADERS,0),MATCH(($A1802 &amp; "Points"),CLASSNAMEHEADERS,0))),"")))))))))}</f>
        <v>UNARMOREDL15</v>
      </c>
      <c r="W1801" s="223"/>
      <c r="X1801" s="223" t="str">
        <f t="array" ref="X1801:X1802">{"UNARMOREDL17";((IF("17"=(INDEX(ALLCLASSDATA,MATCH("UnarmoredLegendary",CLASSFEATUREHEADERS,0),MATCH($A1802,CLASSNAMEHEADERS,0))),(INDEX(ALLCLASSDATA,MATCH("UnarmoredLegendary",CLASSFEATUREHEADERS,0),MATCH(($A1802 &amp; "Points"),CLASSNAMEHEADERS,0))),(IF("17"=(INDEX(ALLCLASSDATA,MATCH("UnarmoredMaster",CLASSFEATUREHEADERS,0),MATCH($A1802,CLASSNAMEHEADERS,0))),(INDEX(ALLCLASSDATA,MATCH("UnarmoredMaster",CLASSFEATUREHEADERS,0),MATCH(($A1802 &amp; "Points"),CLASSNAMEHEADERS,0))),(IF("17"=(INDEX(ALLCLASSDATA,MATCH("UnarmoredExpert",CLASSFEATUREHEADERS,0),MATCH($A1802,CLASSNAMEHEADERS,0))),(INDEX(ALLCLASSDATA,MATCH("UnarmoredExpert",CLASSFEATUREHEADERS,0),MATCH(($A1802 &amp; "Points"),CLASSNAMEHEADERS,0))),(IF("17"=(INDEX(ALLCLASSDATA,MATCH("UnarmoredTrained",CLASSFEATUREHEADERS,0),MATCH($A1802,CLASSNAMEHEADERS,0))),(INDEX(ALLCLASSDATA,MATCH("UnarmoredTrained",CLASSFEATUREHEADERS,0),MATCH(($A1802 &amp; "Points"),CLASSNAMEHEADERS,0))),"")))))))))}</f>
        <v>UNARMOREDL17</v>
      </c>
      <c r="Y1801" s="223"/>
      <c r="Z1801" s="223" t="str">
        <f t="array" ref="Z1801:Z1802">{"UNARMOREDL19";((IF("19"=(INDEX(ALLCLASSDATA,MATCH("UnarmoredLegendary",CLASSFEATUREHEADERS,0),MATCH($A1802,CLASSNAMEHEADERS,0))),(INDEX(ALLCLASSDATA,MATCH("UnarmoredLegendary",CLASSFEATUREHEADERS,0),MATCH(($A1802 &amp; "Points"),CLASSNAMEHEADERS,0))),(IF("19"=(INDEX(ALLCLASSDATA,MATCH("UnarmoredMaster",CLASSFEATUREHEADERS,0),MATCH($A1802,CLASSNAMEHEADERS,0))),(INDEX(ALLCLASSDATA,MATCH("UnarmoredMaster",CLASSFEATUREHEADERS,0),MATCH(($A1802 &amp; "Points"),CLASSNAMEHEADERS,0))),(IF("19"=(INDEX(ALLCLASSDATA,MATCH("UnarmoredExpert",CLASSFEATUREHEADERS,0),MATCH($A1802,CLASSNAMEHEADERS,0))),(INDEX(ALLCLASSDATA,MATCH("UnarmoredExpert",CLASSFEATUREHEADERS,0),MATCH(($A1802 &amp; "Points"),CLASSNAMEHEADERS,0))),(IF("19"=(INDEX(ALLCLASSDATA,MATCH("UnarmoredTrained",CLASSFEATUREHEADERS,0),MATCH($A1802,CLASSNAMEHEADERS,0))),(INDEX(ALLCLASSDATA,MATCH("UnarmoredTrained",CLASSFEATUREHEADERS,0),MATCH(($A1802 &amp; "Points"),CLASSNAMEHEADERS,0))),"")))))))))}</f>
        <v>UNARMOREDL19</v>
      </c>
      <c r="AA1801" s="223"/>
      <c r="AB1801" s="76" t="str">
        <f t="array" ref="AB1801:AB1802">{"UNARMORED TOTAL";(IF(COUNTBLANK(G1802:AA1802)=17,"L",(IF(COUNTBLANK(G1802:AA1802)=18,"M",(IF(COUNTBLANK(G1802:AA1802)=19,"E",(IF(COUNTBLANK(G1802:AA1802)=20,"T",""))))))))}</f>
        <v>UNARMORED TOTAL</v>
      </c>
      <c r="AC1801" s="76" t="str">
        <f t="array" ref="AC1801:AC1802">{"UNARMORED TOTAL";(sum(G1802:AA1802))}</f>
        <v>UNARMORED TOTAL</v>
      </c>
    </row>
    <row r="1802">
      <c r="A1802" s="48" t="s">
        <v>227</v>
      </c>
      <c r="B1802" s="48"/>
      <c r="C1802" s="48" t="s">
        <v>418</v>
      </c>
      <c r="D1802" s="48" t="s">
        <v>1900</v>
      </c>
      <c r="E1802" s="48" t="s">
        <v>78</v>
      </c>
      <c r="F1802" s="5" t="s">
        <v>435</v>
      </c>
      <c r="G1802" s="47" t="s">
        <v>603</v>
      </c>
      <c r="H1802" s="5">
        <v>10.0</v>
      </c>
      <c r="I1802" s="5"/>
      <c r="J1802" s="5" t="s">
        <v>603</v>
      </c>
      <c r="K1802" s="5"/>
      <c r="L1802" s="5" t="s">
        <v>603</v>
      </c>
      <c r="M1802" s="5"/>
      <c r="N1802" s="5" t="s">
        <v>603</v>
      </c>
      <c r="O1802" s="5"/>
      <c r="P1802" s="5" t="s">
        <v>603</v>
      </c>
      <c r="Q1802" s="5"/>
      <c r="R1802" s="5" t="s">
        <v>603</v>
      </c>
      <c r="S1802" s="5"/>
      <c r="T1802" s="5">
        <v>50.0</v>
      </c>
      <c r="U1802" s="5"/>
      <c r="V1802" s="5" t="s">
        <v>603</v>
      </c>
      <c r="W1802" s="5"/>
      <c r="X1802" s="5" t="s">
        <v>603</v>
      </c>
      <c r="Y1802" s="5"/>
      <c r="Z1802" s="5" t="s">
        <v>603</v>
      </c>
      <c r="AA1802" s="5"/>
      <c r="AB1802" s="5" t="s">
        <v>436</v>
      </c>
      <c r="AC1802" s="47">
        <v>60.0</v>
      </c>
    </row>
    <row r="1803" hidden="1">
      <c r="A1803" s="222" t="str">
        <f t="array" ref="A1803:A1804">{"FormulaRow36";(INDEX(CLASSLIST,A1732,1))}</f>
        <v>FormulaRow36</v>
      </c>
      <c r="B1803" s="77" t="s">
        <v>236</v>
      </c>
      <c r="C1803" s="222" t="str">
        <f t="array" ref="C1803:C1804">{"CLASSTYPE";((INDEX(ALLCLASSDATA,MATCH("ClassType",CLASSFEATUREHEADERS,0),MATCH($A1804,CLASSNAMEHEADERS,0))))}</f>
        <v>CLASSTYPE</v>
      </c>
      <c r="D1803" s="222" t="str">
        <f t="array" ref="D1803:D1804">{"DEFENSE";"Defense"}</f>
        <v>DEFENSE</v>
      </c>
      <c r="E1803" s="222" t="str">
        <f t="array" ref="E1803:E1804">{"LIGHT";"Light"}</f>
        <v>LIGHT</v>
      </c>
      <c r="F1803" s="223" t="str">
        <f t="array" ref="F1803:F1804">{"LIGHTINITIAL";((IF(H1804=10,"T",(IF(H1804=50,"E","")))))}</f>
        <v>LIGHTINITIAL</v>
      </c>
      <c r="G1803" s="223" t="str">
        <f t="array" ref="G1803:G1804">{"LIGHTINITIALPTS";((IF("00"=(INDEX(ALLCLASSDATA,MATCH("LightLegendary",CLASSFEATUREHEADERS,0),MATCH($A1804,CLASSNAMEHEADERS,0))),(INDEX(ALLCLASSDATA,MATCH("LightLegendary",CLASSFEATUREHEADERS,0),MATCH(($A1804 &amp; "Points"),CLASSNAMEHEADERS,0))),(IF("00"=(INDEX(ALLCLASSDATA,MATCH("LightMaster",CLASSFEATUREHEADERS,0),MATCH($A1804,CLASSNAMEHEADERS,0))),(INDEX(ALLCLASSDATA,MATCH("LightMaster",CLASSFEATUREHEADERS,0),MATCH(($A1804 &amp; "Points"),CLASSNAMEHEADERS,0))),(IF("00"=(INDEX(ALLCLASSDATA,MATCH("LightExpert",CLASSFEATUREHEADERS,0),MATCH($A1804,CLASSNAMEHEADERS,0))),(INDEX(ALLCLASSDATA,MATCH("LightExpert",CLASSFEATUREHEADERS,0),MATCH(($A1804 &amp; "Points"),CLASSNAMEHEADERS,0))),(IF("00"=(INDEX(ALLCLASSDATA,MATCH("LightTrained",CLASSFEATUREHEADERS,0),MATCH($A1804,CLASSNAMEHEADERS,0))),(INDEX(ALLCLASSDATA,MATCH("LightTrained",CLASSFEATUREHEADERS,0),MATCH(($A1804 &amp; "Points"),CLASSNAMEHEADERS,0))),"")))))))))}</f>
        <v>LIGHTINITIALPTS</v>
      </c>
      <c r="H1803" s="223" t="str">
        <f t="array" ref="H1803:H1804">{"LIGHTL01";((IF("01"=(INDEX(ALLCLASSDATA,MATCH("LightLegendary",CLASSFEATUREHEADERS,0),MATCH($A1804,CLASSNAMEHEADERS,0))),(INDEX(ALLCLASSDATA,MATCH("LightLegendary",CLASSFEATUREHEADERS,0),MATCH(($A1804 &amp; "Points"),CLASSNAMEHEADERS,0))),(IF("01"=(INDEX(ALLCLASSDATA,MATCH("LightMaster",CLASSFEATUREHEADERS,0),MATCH($A1804,CLASSNAMEHEADERS,0))),(INDEX(ALLCLASSDATA,MATCH("LightMaster",CLASSFEATUREHEADERS,0),MATCH(($A1804 &amp; "Points"),CLASSNAMEHEADERS,0))),(IF("01"=(INDEX(ALLCLASSDATA,MATCH("LightExpert",CLASSFEATUREHEADERS,0),MATCH($A1804,CLASSNAMEHEADERS,0))),(INDEX(ALLCLASSDATA,MATCH("LightExpert",CLASSFEATUREHEADERS,0),MATCH(($A1804 &amp; "Points"),CLASSNAMEHEADERS,0))),(IF("01"=(INDEX(ALLCLASSDATA,MATCH("LightTrained",CLASSFEATUREHEADERS,0),MATCH($A1804,CLASSNAMEHEADERS,0))),(INDEX(ALLCLASSDATA,MATCH("LightTrained",CLASSFEATUREHEADERS,0),MATCH(($A1804 &amp; "Points"),CLASSNAMEHEADERS,0))),"")))))))))}</f>
        <v>LIGHTL01</v>
      </c>
      <c r="I1803" s="223"/>
      <c r="J1803" s="223" t="str">
        <f t="array" ref="J1803:J1804">{"LIGHTL03";((IF("03"=(INDEX(ALLCLASSDATA,MATCH("LightLegendary",CLASSFEATUREHEADERS,0),MATCH($A1804,CLASSNAMEHEADERS,0))),(INDEX(ALLCLASSDATA,MATCH("LightLegendary",CLASSFEATUREHEADERS,0),MATCH(($A1804 &amp; "Points"),CLASSNAMEHEADERS,0))),(IF("03"=(INDEX(ALLCLASSDATA,MATCH("LightMaster",CLASSFEATUREHEADERS,0),MATCH($A1804,CLASSNAMEHEADERS,0))),(INDEX(ALLCLASSDATA,MATCH("LightMaster",CLASSFEATUREHEADERS,0),MATCH(($A1804 &amp; "Points"),CLASSNAMEHEADERS,0))),(IF("03"=(INDEX(ALLCLASSDATA,MATCH("LightExpert",CLASSFEATUREHEADERS,0),MATCH($A1804,CLASSNAMEHEADERS,0))),(INDEX(ALLCLASSDATA,MATCH("LightExpert",CLASSFEATUREHEADERS,0),MATCH(($A1804 &amp; "Points"),CLASSNAMEHEADERS,0))),(IF("03"=(INDEX(ALLCLASSDATA,MATCH("LightTrained",CLASSFEATUREHEADERS,0),MATCH($A1804,CLASSNAMEHEADERS,0))),(INDEX(ALLCLASSDATA,MATCH("LightTrained",CLASSFEATUREHEADERS,0),MATCH(($A1804 &amp; "Points"),CLASSNAMEHEADERS,0))),"")))))))))}</f>
        <v>LIGHTL03</v>
      </c>
      <c r="K1803" s="223"/>
      <c r="L1803" s="223" t="str">
        <f t="array" ref="L1803:L1804">{"LIGHTL05";((IF("05"=(INDEX(ALLCLASSDATA,MATCH("LightLegendary",CLASSFEATUREHEADERS,0),MATCH($A1804,CLASSNAMEHEADERS,0))),(INDEX(ALLCLASSDATA,MATCH("LightLegendary",CLASSFEATUREHEADERS,0),MATCH(($A1804 &amp; "Points"),CLASSNAMEHEADERS,0))),(IF("05"=(INDEX(ALLCLASSDATA,MATCH("LightMaster",CLASSFEATUREHEADERS,0),MATCH($A1804,CLASSNAMEHEADERS,0))),(INDEX(ALLCLASSDATA,MATCH("LightMaster",CLASSFEATUREHEADERS,0),MATCH(($A1804 &amp; "Points"),CLASSNAMEHEADERS,0))),(IF("05"=(INDEX(ALLCLASSDATA,MATCH("LightExpert",CLASSFEATUREHEADERS,0),MATCH($A1804,CLASSNAMEHEADERS,0))),(INDEX(ALLCLASSDATA,MATCH("LightExpert",CLASSFEATUREHEADERS,0),MATCH(($A1804 &amp; "Points"),CLASSNAMEHEADERS,0))),(IF("05"=(INDEX(ALLCLASSDATA,MATCH("LightTrained",CLASSFEATUREHEADERS,0),MATCH($A1804,CLASSNAMEHEADERS,0))),(INDEX(ALLCLASSDATA,MATCH("LightTrained",CLASSFEATUREHEADERS,0),MATCH(($A1804 &amp; "Points"),CLASSNAMEHEADERS,0))),"")))))))))}</f>
        <v>LIGHTL05</v>
      </c>
      <c r="M1803" s="223"/>
      <c r="N1803" s="223" t="str">
        <f t="array" ref="N1803:N1804">{"LIGHTL07";((IF("07"=(INDEX(ALLCLASSDATA,MATCH("LightLegendary",CLASSFEATUREHEADERS,0),MATCH($A1804,CLASSNAMEHEADERS,0))),(INDEX(ALLCLASSDATA,MATCH("LightLegendary",CLASSFEATUREHEADERS,0),MATCH(($A1804 &amp; "Points"),CLASSNAMEHEADERS,0))),(IF("07"=(INDEX(ALLCLASSDATA,MATCH("LightMaster",CLASSFEATUREHEADERS,0),MATCH($A1804,CLASSNAMEHEADERS,0))),(INDEX(ALLCLASSDATA,MATCH("LightMaster",CLASSFEATUREHEADERS,0),MATCH(($A1804 &amp; "Points"),CLASSNAMEHEADERS,0))),(IF("07"=(INDEX(ALLCLASSDATA,MATCH("LightExpert",CLASSFEATUREHEADERS,0),MATCH($A1804,CLASSNAMEHEADERS,0))),(INDEX(ALLCLASSDATA,MATCH("LightExpert",CLASSFEATUREHEADERS,0),MATCH(($A1804 &amp; "Points"),CLASSNAMEHEADERS,0))),(IF("07"=(INDEX(ALLCLASSDATA,MATCH("LightTrained",CLASSFEATUREHEADERS,0),MATCH($A1804,CLASSNAMEHEADERS,0))),(INDEX(ALLCLASSDATA,MATCH("LightTrained",CLASSFEATUREHEADERS,0),MATCH(($A1804 &amp; "Points"),CLASSNAMEHEADERS,0))),"")))))))))}</f>
        <v>LIGHTL07</v>
      </c>
      <c r="O1803" s="223"/>
      <c r="P1803" s="223" t="str">
        <f t="array" ref="P1803:P1804">{"LIGHTL09";((IF("09"=(INDEX(ALLCLASSDATA,MATCH("LightLegendary",CLASSFEATUREHEADERS,0),MATCH($A1804,CLASSNAMEHEADERS,0))),(INDEX(ALLCLASSDATA,MATCH("LightLegendary",CLASSFEATUREHEADERS,0),MATCH(($A1804 &amp; "Points"),CLASSNAMEHEADERS,0))),(IF("09"=(INDEX(ALLCLASSDATA,MATCH("LightMaster",CLASSFEATUREHEADERS,0),MATCH($A1804,CLASSNAMEHEADERS,0))),(INDEX(ALLCLASSDATA,MATCH("LightMaster",CLASSFEATUREHEADERS,0),MATCH(($A1804 &amp; "Points"),CLASSNAMEHEADERS,0))),(IF("09"=(INDEX(ALLCLASSDATA,MATCH("LightExpert",CLASSFEATUREHEADERS,0),MATCH($A1804,CLASSNAMEHEADERS,0))),(INDEX(ALLCLASSDATA,MATCH("LightExpert",CLASSFEATUREHEADERS,0),MATCH(($A1804 &amp; "Points"),CLASSNAMEHEADERS,0))),(IF("09"=(INDEX(ALLCLASSDATA,MATCH("LightTrained",CLASSFEATUREHEADERS,0),MATCH($A1804,CLASSNAMEHEADERS,0))),(INDEX(ALLCLASSDATA,MATCH("LightTrained",CLASSFEATUREHEADERS,0),MATCH(($A1804 &amp; "Points"),CLASSNAMEHEADERS,0))),"")))))))))}</f>
        <v>LIGHTL09</v>
      </c>
      <c r="Q1803" s="223"/>
      <c r="R1803" s="223" t="str">
        <f t="array" ref="R1803:R1804">{"LIGHTL11";((IF("11"=(INDEX(ALLCLASSDATA,MATCH("LightLegendary",CLASSFEATUREHEADERS,0),MATCH($A1804,CLASSNAMEHEADERS,0))),(INDEX(ALLCLASSDATA,MATCH("LightLegendary",CLASSFEATUREHEADERS,0),MATCH(($A1804 &amp; "Points"),CLASSNAMEHEADERS,0))),(IF("11"=(INDEX(ALLCLASSDATA,MATCH("LightMaster",CLASSFEATUREHEADERS,0),MATCH($A1804,CLASSNAMEHEADERS,0))),(INDEX(ALLCLASSDATA,MATCH("LightMaster",CLASSFEATUREHEADERS,0),MATCH(($A1804 &amp; "Points"),CLASSNAMEHEADERS,0))),(IF("11"=(INDEX(ALLCLASSDATA,MATCH("LightExpert",CLASSFEATUREHEADERS,0),MATCH($A1804,CLASSNAMEHEADERS,0))),(INDEX(ALLCLASSDATA,MATCH("LightExpert",CLASSFEATUREHEADERS,0),MATCH(($A1804 &amp; "Points"),CLASSNAMEHEADERS,0))),(IF("11"=(INDEX(ALLCLASSDATA,MATCH("LightTrained",CLASSFEATUREHEADERS,0),MATCH($A1804,CLASSNAMEHEADERS,0))),(INDEX(ALLCLASSDATA,MATCH("LightTrained",CLASSFEATUREHEADERS,0),MATCH(($A1804 &amp; "Points"),CLASSNAMEHEADERS,0))),"")))))))))}</f>
        <v>LIGHTL11</v>
      </c>
      <c r="S1803" s="223"/>
      <c r="T1803" s="223" t="str">
        <f t="array" ref="T1803:T1804">{"LIGHTL13";((IF("13"=(INDEX(ALLCLASSDATA,MATCH("LightLegendary",CLASSFEATUREHEADERS,0),MATCH($A1804,CLASSNAMEHEADERS,0))),(INDEX(ALLCLASSDATA,MATCH("LightLegendary",CLASSFEATUREHEADERS,0),MATCH(($A1804 &amp; "Points"),CLASSNAMEHEADERS,0))),(IF("13"=(INDEX(ALLCLASSDATA,MATCH("LightMaster",CLASSFEATUREHEADERS,0),MATCH($A1804,CLASSNAMEHEADERS,0))),(INDEX(ALLCLASSDATA,MATCH("LightMaster",CLASSFEATUREHEADERS,0),MATCH(($A1804 &amp; "Points"),CLASSNAMEHEADERS,0))),(IF("13"=(INDEX(ALLCLASSDATA,MATCH("LightExpert",CLASSFEATUREHEADERS,0),MATCH($A1804,CLASSNAMEHEADERS,0))),(INDEX(ALLCLASSDATA,MATCH("LightExpert",CLASSFEATUREHEADERS,0),MATCH(($A1804 &amp; "Points"),CLASSNAMEHEADERS,0))),(IF("13"=(INDEX(ALLCLASSDATA,MATCH("LightTrained",CLASSFEATUREHEADERS,0),MATCH($A1804,CLASSNAMEHEADERS,0))),(INDEX(ALLCLASSDATA,MATCH("LightTrained",CLASSFEATUREHEADERS,0),MATCH(($A1804 &amp; "Points"),CLASSNAMEHEADERS,0))),"")))))))))}</f>
        <v>LIGHTL13</v>
      </c>
      <c r="U1803" s="223"/>
      <c r="V1803" s="223" t="str">
        <f t="array" ref="V1803:V1804">{"LIGHTL15";((IF("15"=(INDEX(ALLCLASSDATA,MATCH("LightLegendary",CLASSFEATUREHEADERS,0),MATCH($A1804,CLASSNAMEHEADERS,0))),(INDEX(ALLCLASSDATA,MATCH("LightLegendary",CLASSFEATUREHEADERS,0),MATCH(($A1804 &amp; "Points"),CLASSNAMEHEADERS,0))),(IF("15"=(INDEX(ALLCLASSDATA,MATCH("LightMaster",CLASSFEATUREHEADERS,0),MATCH($A1804,CLASSNAMEHEADERS,0))),(INDEX(ALLCLASSDATA,MATCH("LightMaster",CLASSFEATUREHEADERS,0),MATCH(($A1804 &amp; "Points"),CLASSNAMEHEADERS,0))),(IF("15"=(INDEX(ALLCLASSDATA,MATCH("LightExpert",CLASSFEATUREHEADERS,0),MATCH($A1804,CLASSNAMEHEADERS,0))),(INDEX(ALLCLASSDATA,MATCH("LightExpert",CLASSFEATUREHEADERS,0),MATCH(($A1804 &amp; "Points"),CLASSNAMEHEADERS,0))),(IF("15"=(INDEX(ALLCLASSDATA,MATCH("LightTrained",CLASSFEATUREHEADERS,0),MATCH($A1804,CLASSNAMEHEADERS,0))),(INDEX(ALLCLASSDATA,MATCH("LightTrained",CLASSFEATUREHEADERS,0),MATCH(($A1804 &amp; "Points"),CLASSNAMEHEADERS,0))),"")))))))))}</f>
        <v>LIGHTL15</v>
      </c>
      <c r="W1803" s="223"/>
      <c r="X1803" s="223" t="str">
        <f t="array" ref="X1803:X1804">{"LIGHTL17";((IF("17"=(INDEX(ALLCLASSDATA,MATCH("LightLegendary",CLASSFEATUREHEADERS,0),MATCH($A1804,CLASSNAMEHEADERS,0))),(INDEX(ALLCLASSDATA,MATCH("LightLegendary",CLASSFEATUREHEADERS,0),MATCH(($A1804 &amp; "Points"),CLASSNAMEHEADERS,0))),(IF("17"=(INDEX(ALLCLASSDATA,MATCH("LightMaster",CLASSFEATUREHEADERS,0),MATCH($A1804,CLASSNAMEHEADERS,0))),(INDEX(ALLCLASSDATA,MATCH("LightMaster",CLASSFEATUREHEADERS,0),MATCH(($A1804 &amp; "Points"),CLASSNAMEHEADERS,0))),(IF("17"=(INDEX(ALLCLASSDATA,MATCH("LightExpert",CLASSFEATUREHEADERS,0),MATCH($A1804,CLASSNAMEHEADERS,0))),(INDEX(ALLCLASSDATA,MATCH("LightExpert",CLASSFEATUREHEADERS,0),MATCH(($A1804 &amp; "Points"),CLASSNAMEHEADERS,0))),(IF("17"=(INDEX(ALLCLASSDATA,MATCH("LightTrained",CLASSFEATUREHEADERS,0),MATCH($A1804,CLASSNAMEHEADERS,0))),(INDEX(ALLCLASSDATA,MATCH("LightTrained",CLASSFEATUREHEADERS,0),MATCH(($A1804 &amp; "Points"),CLASSNAMEHEADERS,0))),"")))))))))}</f>
        <v>LIGHTL17</v>
      </c>
      <c r="Y1803" s="223"/>
      <c r="Z1803" s="223" t="str">
        <f t="array" ref="Z1803:Z1804">{"LIGHTL19";((IF("19"=(INDEX(ALLCLASSDATA,MATCH("LightLegendary",CLASSFEATUREHEADERS,0),MATCH($A1804,CLASSNAMEHEADERS,0))),(INDEX(ALLCLASSDATA,MATCH("LightLegendary",CLASSFEATUREHEADERS,0),MATCH(($A1804 &amp; "Points"),CLASSNAMEHEADERS,0))),(IF("19"=(INDEX(ALLCLASSDATA,MATCH("LightMaster",CLASSFEATUREHEADERS,0),MATCH($A1804,CLASSNAMEHEADERS,0))),(INDEX(ALLCLASSDATA,MATCH("LightMaster",CLASSFEATUREHEADERS,0),MATCH(($A1804 &amp; "Points"),CLASSNAMEHEADERS,0))),(IF("19"=(INDEX(ALLCLASSDATA,MATCH("LightExpert",CLASSFEATUREHEADERS,0),MATCH($A1804,CLASSNAMEHEADERS,0))),(INDEX(ALLCLASSDATA,MATCH("LightExpert",CLASSFEATUREHEADERS,0),MATCH(($A1804 &amp; "Points"),CLASSNAMEHEADERS,0))),(IF("19"=(INDEX(ALLCLASSDATA,MATCH("LightTrained",CLASSFEATUREHEADERS,0),MATCH($A1804,CLASSNAMEHEADERS,0))),(INDEX(ALLCLASSDATA,MATCH("LightTrained",CLASSFEATUREHEADERS,0),MATCH(($A1804 &amp; "Points"),CLASSNAMEHEADERS,0))),"")))))))))}</f>
        <v>LIGHTL19</v>
      </c>
      <c r="AA1803" s="223"/>
      <c r="AB1803" s="76" t="str">
        <f t="array" ref="AB1803:AB1804">{"LIGHT TOTAL";(IF(COUNTBLANK(G1804:AA1804)=17,"L",(IF(COUNTBLANK(G1804:AA1804)=18,"M",(IF(COUNTBLANK(G1804:AA1804)=19,"E",(IF(COUNTBLANK(G1804:AA1804)=20,"T",""))))))))}</f>
        <v>LIGHT TOTAL</v>
      </c>
      <c r="AC1803" s="76" t="str">
        <f t="array" ref="AC1803:AC1804">{"LIGHT TOTAL";(sum(G1804:AA1804))}</f>
        <v>LIGHT TOTAL</v>
      </c>
    </row>
    <row r="1804">
      <c r="A1804" s="48" t="s">
        <v>227</v>
      </c>
      <c r="B1804" s="48"/>
      <c r="C1804" s="48" t="s">
        <v>418</v>
      </c>
      <c r="D1804" s="48" t="s">
        <v>1900</v>
      </c>
      <c r="E1804" s="48" t="s">
        <v>77</v>
      </c>
      <c r="F1804" s="5" t="s">
        <v>603</v>
      </c>
      <c r="G1804" s="47" t="s">
        <v>603</v>
      </c>
      <c r="H1804" s="5" t="s">
        <v>603</v>
      </c>
      <c r="I1804" s="5"/>
      <c r="J1804" s="5" t="s">
        <v>603</v>
      </c>
      <c r="K1804" s="5"/>
      <c r="L1804" s="5" t="s">
        <v>603</v>
      </c>
      <c r="M1804" s="5"/>
      <c r="N1804" s="5" t="s">
        <v>603</v>
      </c>
      <c r="O1804" s="5"/>
      <c r="P1804" s="5" t="s">
        <v>603</v>
      </c>
      <c r="Q1804" s="5"/>
      <c r="R1804" s="5" t="s">
        <v>603</v>
      </c>
      <c r="S1804" s="5"/>
      <c r="T1804" s="5" t="s">
        <v>603</v>
      </c>
      <c r="U1804" s="5"/>
      <c r="V1804" s="5" t="s">
        <v>603</v>
      </c>
      <c r="W1804" s="5"/>
      <c r="X1804" s="5" t="s">
        <v>603</v>
      </c>
      <c r="Y1804" s="5"/>
      <c r="Z1804" s="5" t="s">
        <v>603</v>
      </c>
      <c r="AA1804" s="5"/>
      <c r="AB1804" s="5" t="s">
        <v>603</v>
      </c>
      <c r="AC1804" s="47">
        <v>0.0</v>
      </c>
    </row>
    <row r="1805" hidden="1">
      <c r="A1805" s="222" t="str">
        <f t="array" ref="A1805:A1806">{"FormulaRow37";(INDEX(CLASSLIST,A1732,1))}</f>
        <v>FormulaRow37</v>
      </c>
      <c r="B1805" s="77" t="s">
        <v>236</v>
      </c>
      <c r="C1805" s="222" t="str">
        <f t="array" ref="C1805:C1806">{"CLASSTYPE";((INDEX(ALLCLASSDATA,MATCH("ClassType",CLASSFEATUREHEADERS,0),MATCH($A1806,CLASSNAMEHEADERS,0))))}</f>
        <v>CLASSTYPE</v>
      </c>
      <c r="D1805" s="222" t="str">
        <f t="array" ref="D1805:D1806">{"DEFENSE";"Defense"}</f>
        <v>DEFENSE</v>
      </c>
      <c r="E1805" s="222" t="str">
        <f t="array" ref="E1805:E1806">{"MEDIUM";"Medium"}</f>
        <v>MEDIUM</v>
      </c>
      <c r="F1805" s="223" t="str">
        <f t="array" ref="F1805:F1806">{"MEDIUMINITIAL";((IF(H1806=10,"T",(IF(H1806=50,"E","")))))}</f>
        <v>MEDIUMINITIAL</v>
      </c>
      <c r="G1805" s="223" t="str">
        <f t="array" ref="G1805:G1806">{"MEDIUMINITIALPTS";((IF("00"=(INDEX(ALLCLASSDATA,MATCH("MediumLegendary",CLASSFEATUREHEADERS,0),MATCH($A1806,CLASSNAMEHEADERS,0))),(INDEX(ALLCLASSDATA,MATCH("MediumLegendary",CLASSFEATUREHEADERS,0),MATCH(($A1806 &amp; "Points"),CLASSNAMEHEADERS,0))),(IF("00"=(INDEX(ALLCLASSDATA,MATCH("MediumMaster",CLASSFEATUREHEADERS,0),MATCH($A1806,CLASSNAMEHEADERS,0))),(INDEX(ALLCLASSDATA,MATCH("MediumMaster",CLASSFEATUREHEADERS,0),MATCH(($A1806 &amp; "Points"),CLASSNAMEHEADERS,0))),(IF("00"=(INDEX(ALLCLASSDATA,MATCH("MediumExpert",CLASSFEATUREHEADERS,0),MATCH($A1806,CLASSNAMEHEADERS,0))),(INDEX(ALLCLASSDATA,MATCH("MediumExpert",CLASSFEATUREHEADERS,0),MATCH(($A1806 &amp; "Points"),CLASSNAMEHEADERS,0))),(IF("00"=(INDEX(ALLCLASSDATA,MATCH("MediumTrained",CLASSFEATUREHEADERS,0),MATCH($A1806,CLASSNAMEHEADERS,0))),(INDEX(ALLCLASSDATA,MATCH("MediumTrained",CLASSFEATUREHEADERS,0),MATCH(($A1806 &amp; "Points"),CLASSNAMEHEADERS,0))),"")))))))))}</f>
        <v>MEDIUMINITIALPTS</v>
      </c>
      <c r="H1805" s="223" t="str">
        <f t="array" ref="H1805:H1806">{"MEDIUML01";((IF("01"=(INDEX(ALLCLASSDATA,MATCH("MediumLegendary",CLASSFEATUREHEADERS,0),MATCH($A1806,CLASSNAMEHEADERS,0))),(INDEX(ALLCLASSDATA,MATCH("MediumLegendary",CLASSFEATUREHEADERS,0),MATCH(($A1806 &amp; "Points"),CLASSNAMEHEADERS,0))),(IF("01"=(INDEX(ALLCLASSDATA,MATCH("MediumMaster",CLASSFEATUREHEADERS,0),MATCH($A1806,CLASSNAMEHEADERS,0))),(INDEX(ALLCLASSDATA,MATCH("MediumMaster",CLASSFEATUREHEADERS,0),MATCH(($A1806 &amp; "Points"),CLASSNAMEHEADERS,0))),(IF("01"=(INDEX(ALLCLASSDATA,MATCH("MediumExpert",CLASSFEATUREHEADERS,0),MATCH($A1806,CLASSNAMEHEADERS,0))),(INDEX(ALLCLASSDATA,MATCH("MediumExpert",CLASSFEATUREHEADERS,0),MATCH(($A1806 &amp; "Points"),CLASSNAMEHEADERS,0))),(IF("01"=(INDEX(ALLCLASSDATA,MATCH("MediumTrained",CLASSFEATUREHEADERS,0),MATCH($A1806,CLASSNAMEHEADERS,0))),(INDEX(ALLCLASSDATA,MATCH("MediumTrained",CLASSFEATUREHEADERS,0),MATCH(($A1806 &amp; "Points"),CLASSNAMEHEADERS,0))),"")))))))))}</f>
        <v>MEDIUML01</v>
      </c>
      <c r="I1805" s="223"/>
      <c r="J1805" s="223" t="str">
        <f t="array" ref="J1805:J1806">{"MEDIUML03";((IF("03"=(INDEX(ALLCLASSDATA,MATCH("MediumLegendary",CLASSFEATUREHEADERS,0),MATCH($A1806,CLASSNAMEHEADERS,0))),(INDEX(ALLCLASSDATA,MATCH("MediumLegendary",CLASSFEATUREHEADERS,0),MATCH(($A1806 &amp; "Points"),CLASSNAMEHEADERS,0))),(IF("03"=(INDEX(ALLCLASSDATA,MATCH("MediumMaster",CLASSFEATUREHEADERS,0),MATCH($A1806,CLASSNAMEHEADERS,0))),(INDEX(ALLCLASSDATA,MATCH("MediumMaster",CLASSFEATUREHEADERS,0),MATCH(($A1806 &amp; "Points"),CLASSNAMEHEADERS,0))),(IF("03"=(INDEX(ALLCLASSDATA,MATCH("MediumExpert",CLASSFEATUREHEADERS,0),MATCH($A1806,CLASSNAMEHEADERS,0))),(INDEX(ALLCLASSDATA,MATCH("MediumExpert",CLASSFEATUREHEADERS,0),MATCH(($A1806 &amp; "Points"),CLASSNAMEHEADERS,0))),(IF("03"=(INDEX(ALLCLASSDATA,MATCH("MediumTrained",CLASSFEATUREHEADERS,0),MATCH($A1806,CLASSNAMEHEADERS,0))),(INDEX(ALLCLASSDATA,MATCH("MediumTrained",CLASSFEATUREHEADERS,0),MATCH(($A1806 &amp; "Points"),CLASSNAMEHEADERS,0))),"")))))))))}</f>
        <v>MEDIUML03</v>
      </c>
      <c r="K1805" s="223"/>
      <c r="L1805" s="223" t="str">
        <f t="array" ref="L1805:L1806">{"MEDIUML05";((IF("05"=(INDEX(ALLCLASSDATA,MATCH("MediumLegendary",CLASSFEATUREHEADERS,0),MATCH($A1806,CLASSNAMEHEADERS,0))),(INDEX(ALLCLASSDATA,MATCH("MediumLegendary",CLASSFEATUREHEADERS,0),MATCH(($A1806 &amp; "Points"),CLASSNAMEHEADERS,0))),(IF("05"=(INDEX(ALLCLASSDATA,MATCH("MediumMaster",CLASSFEATUREHEADERS,0),MATCH($A1806,CLASSNAMEHEADERS,0))),(INDEX(ALLCLASSDATA,MATCH("MediumMaster",CLASSFEATUREHEADERS,0),MATCH(($A1806 &amp; "Points"),CLASSNAMEHEADERS,0))),(IF("05"=(INDEX(ALLCLASSDATA,MATCH("MediumExpert",CLASSFEATUREHEADERS,0),MATCH($A1806,CLASSNAMEHEADERS,0))),(INDEX(ALLCLASSDATA,MATCH("MediumExpert",CLASSFEATUREHEADERS,0),MATCH(($A1806 &amp; "Points"),CLASSNAMEHEADERS,0))),(IF("05"=(INDEX(ALLCLASSDATA,MATCH("MediumTrained",CLASSFEATUREHEADERS,0),MATCH($A1806,CLASSNAMEHEADERS,0))),(INDEX(ALLCLASSDATA,MATCH("MediumTrained",CLASSFEATUREHEADERS,0),MATCH(($A1806 &amp; "Points"),CLASSNAMEHEADERS,0))),"")))))))))}</f>
        <v>MEDIUML05</v>
      </c>
      <c r="M1805" s="223"/>
      <c r="N1805" s="223" t="str">
        <f t="array" ref="N1805:N1806">{"MEDIUML07";((IF("07"=(INDEX(ALLCLASSDATA,MATCH("MediumLegendary",CLASSFEATUREHEADERS,0),MATCH($A1806,CLASSNAMEHEADERS,0))),(INDEX(ALLCLASSDATA,MATCH("MediumLegendary",CLASSFEATUREHEADERS,0),MATCH(($A1806 &amp; "Points"),CLASSNAMEHEADERS,0))),(IF("07"=(INDEX(ALLCLASSDATA,MATCH("MediumMaster",CLASSFEATUREHEADERS,0),MATCH($A1806,CLASSNAMEHEADERS,0))),(INDEX(ALLCLASSDATA,MATCH("MediumMaster",CLASSFEATUREHEADERS,0),MATCH(($A1806 &amp; "Points"),CLASSNAMEHEADERS,0))),(IF("07"=(INDEX(ALLCLASSDATA,MATCH("MediumExpert",CLASSFEATUREHEADERS,0),MATCH($A1806,CLASSNAMEHEADERS,0))),(INDEX(ALLCLASSDATA,MATCH("MediumExpert",CLASSFEATUREHEADERS,0),MATCH(($A1806 &amp; "Points"),CLASSNAMEHEADERS,0))),(IF("07"=(INDEX(ALLCLASSDATA,MATCH("MediumTrained",CLASSFEATUREHEADERS,0),MATCH($A1806,CLASSNAMEHEADERS,0))),(INDEX(ALLCLASSDATA,MATCH("MediumTrained",CLASSFEATUREHEADERS,0),MATCH(($A1806 &amp; "Points"),CLASSNAMEHEADERS,0))),"")))))))))}</f>
        <v>MEDIUML07</v>
      </c>
      <c r="O1805" s="223"/>
      <c r="P1805" s="223" t="str">
        <f t="array" ref="P1805:P1806">{"MEDIUML09";((IF("09"=(INDEX(ALLCLASSDATA,MATCH("MediumLegendary",CLASSFEATUREHEADERS,0),MATCH($A1806,CLASSNAMEHEADERS,0))),(INDEX(ALLCLASSDATA,MATCH("MediumLegendary",CLASSFEATUREHEADERS,0),MATCH(($A1806 &amp; "Points"),CLASSNAMEHEADERS,0))),(IF("09"=(INDEX(ALLCLASSDATA,MATCH("MediumMaster",CLASSFEATUREHEADERS,0),MATCH($A1806,CLASSNAMEHEADERS,0))),(INDEX(ALLCLASSDATA,MATCH("MediumMaster",CLASSFEATUREHEADERS,0),MATCH(($A1806 &amp; "Points"),CLASSNAMEHEADERS,0))),(IF("09"=(INDEX(ALLCLASSDATA,MATCH("MediumExpert",CLASSFEATUREHEADERS,0),MATCH($A1806,CLASSNAMEHEADERS,0))),(INDEX(ALLCLASSDATA,MATCH("MediumExpert",CLASSFEATUREHEADERS,0),MATCH(($A1806 &amp; "Points"),CLASSNAMEHEADERS,0))),(IF("09"=(INDEX(ALLCLASSDATA,MATCH("MediumTrained",CLASSFEATUREHEADERS,0),MATCH($A1806,CLASSNAMEHEADERS,0))),(INDEX(ALLCLASSDATA,MATCH("MediumTrained",CLASSFEATUREHEADERS,0),MATCH(($A1806 &amp; "Points"),CLASSNAMEHEADERS,0))),"")))))))))}</f>
        <v>MEDIUML09</v>
      </c>
      <c r="Q1805" s="223"/>
      <c r="R1805" s="223" t="str">
        <f t="array" ref="R1805:R1806">{"MEDIUML11";((IF("11"=(INDEX(ALLCLASSDATA,MATCH("MediumLegendary",CLASSFEATUREHEADERS,0),MATCH($A1806,CLASSNAMEHEADERS,0))),(INDEX(ALLCLASSDATA,MATCH("MediumLegendary",CLASSFEATUREHEADERS,0),MATCH(($A1806 &amp; "Points"),CLASSNAMEHEADERS,0))),(IF("11"=(INDEX(ALLCLASSDATA,MATCH("MediumMaster",CLASSFEATUREHEADERS,0),MATCH($A1806,CLASSNAMEHEADERS,0))),(INDEX(ALLCLASSDATA,MATCH("MediumMaster",CLASSFEATUREHEADERS,0),MATCH(($A1806 &amp; "Points"),CLASSNAMEHEADERS,0))),(IF("11"=(INDEX(ALLCLASSDATA,MATCH("MediumExpert",CLASSFEATUREHEADERS,0),MATCH($A1806,CLASSNAMEHEADERS,0))),(INDEX(ALLCLASSDATA,MATCH("MediumExpert",CLASSFEATUREHEADERS,0),MATCH(($A1806 &amp; "Points"),CLASSNAMEHEADERS,0))),(IF("11"=(INDEX(ALLCLASSDATA,MATCH("MediumTrained",CLASSFEATUREHEADERS,0),MATCH($A1806,CLASSNAMEHEADERS,0))),(INDEX(ALLCLASSDATA,MATCH("MediumTrained",CLASSFEATUREHEADERS,0),MATCH(($A1806 &amp; "Points"),CLASSNAMEHEADERS,0))),"")))))))))}</f>
        <v>MEDIUML11</v>
      </c>
      <c r="S1805" s="223"/>
      <c r="T1805" s="223" t="str">
        <f t="array" ref="T1805:T1806">{"MEDIUML13";((IF("13"=(INDEX(ALLCLASSDATA,MATCH("MediumLegendary",CLASSFEATUREHEADERS,0),MATCH($A1806,CLASSNAMEHEADERS,0))),(INDEX(ALLCLASSDATA,MATCH("MediumLegendary",CLASSFEATUREHEADERS,0),MATCH(($A1806 &amp; "Points"),CLASSNAMEHEADERS,0))),(IF("13"=(INDEX(ALLCLASSDATA,MATCH("MediumMaster",CLASSFEATUREHEADERS,0),MATCH($A1806,CLASSNAMEHEADERS,0))),(INDEX(ALLCLASSDATA,MATCH("MediumMaster",CLASSFEATUREHEADERS,0),MATCH(($A1806 &amp; "Points"),CLASSNAMEHEADERS,0))),(IF("13"=(INDEX(ALLCLASSDATA,MATCH("MediumExpert",CLASSFEATUREHEADERS,0),MATCH($A1806,CLASSNAMEHEADERS,0))),(INDEX(ALLCLASSDATA,MATCH("MediumExpert",CLASSFEATUREHEADERS,0),MATCH(($A1806 &amp; "Points"),CLASSNAMEHEADERS,0))),(IF("13"=(INDEX(ALLCLASSDATA,MATCH("MediumTrained",CLASSFEATUREHEADERS,0),MATCH($A1806,CLASSNAMEHEADERS,0))),(INDEX(ALLCLASSDATA,MATCH("MediumTrained",CLASSFEATUREHEADERS,0),MATCH(($A1806 &amp; "Points"),CLASSNAMEHEADERS,0))),"")))))))))}</f>
        <v>MEDIUML13</v>
      </c>
      <c r="U1805" s="223"/>
      <c r="V1805" s="223" t="str">
        <f t="array" ref="V1805:V1806">{"MEDIUML15";((IF("15"=(INDEX(ALLCLASSDATA,MATCH("MediumLegendary",CLASSFEATUREHEADERS,0),MATCH($A1806,CLASSNAMEHEADERS,0))),(INDEX(ALLCLASSDATA,MATCH("MediumLegendary",CLASSFEATUREHEADERS,0),MATCH(($A1806 &amp; "Points"),CLASSNAMEHEADERS,0))),(IF("15"=(INDEX(ALLCLASSDATA,MATCH("MediumMaster",CLASSFEATUREHEADERS,0),MATCH($A1806,CLASSNAMEHEADERS,0))),(INDEX(ALLCLASSDATA,MATCH("MediumMaster",CLASSFEATUREHEADERS,0),MATCH(($A1806 &amp; "Points"),CLASSNAMEHEADERS,0))),(IF("15"=(INDEX(ALLCLASSDATA,MATCH("MediumExpert",CLASSFEATUREHEADERS,0),MATCH($A1806,CLASSNAMEHEADERS,0))),(INDEX(ALLCLASSDATA,MATCH("MediumExpert",CLASSFEATUREHEADERS,0),MATCH(($A1806 &amp; "Points"),CLASSNAMEHEADERS,0))),(IF("15"=(INDEX(ALLCLASSDATA,MATCH("MediumTrained",CLASSFEATUREHEADERS,0),MATCH($A1806,CLASSNAMEHEADERS,0))),(INDEX(ALLCLASSDATA,MATCH("MediumTrained",CLASSFEATUREHEADERS,0),MATCH(($A1806 &amp; "Points"),CLASSNAMEHEADERS,0))),"")))))))))}</f>
        <v>MEDIUML15</v>
      </c>
      <c r="W1805" s="223"/>
      <c r="X1805" s="223" t="str">
        <f t="array" ref="X1805:X1806">{"MEDIUML17";((IF("17"=(INDEX(ALLCLASSDATA,MATCH("MediumLegendary",CLASSFEATUREHEADERS,0),MATCH($A1806,CLASSNAMEHEADERS,0))),(INDEX(ALLCLASSDATA,MATCH("MediumLegendary",CLASSFEATUREHEADERS,0),MATCH(($A1806 &amp; "Points"),CLASSNAMEHEADERS,0))),(IF("17"=(INDEX(ALLCLASSDATA,MATCH("MediumMaster",CLASSFEATUREHEADERS,0),MATCH($A1806,CLASSNAMEHEADERS,0))),(INDEX(ALLCLASSDATA,MATCH("MediumMaster",CLASSFEATUREHEADERS,0),MATCH(($A1806 &amp; "Points"),CLASSNAMEHEADERS,0))),(IF("17"=(INDEX(ALLCLASSDATA,MATCH("MediumExpert",CLASSFEATUREHEADERS,0),MATCH($A1806,CLASSNAMEHEADERS,0))),(INDEX(ALLCLASSDATA,MATCH("MediumExpert",CLASSFEATUREHEADERS,0),MATCH(($A1806 &amp; "Points"),CLASSNAMEHEADERS,0))),(IF("17"=(INDEX(ALLCLASSDATA,MATCH("MediumTrained",CLASSFEATUREHEADERS,0),MATCH($A1806,CLASSNAMEHEADERS,0))),(INDEX(ALLCLASSDATA,MATCH("MediumTrained",CLASSFEATUREHEADERS,0),MATCH(($A1806 &amp; "Points"),CLASSNAMEHEADERS,0))),"")))))))))}</f>
        <v>MEDIUML17</v>
      </c>
      <c r="Y1805" s="223"/>
      <c r="Z1805" s="223" t="str">
        <f t="array" ref="Z1805:Z1806">{"MEDIUML19";((IF("19"=(INDEX(ALLCLASSDATA,MATCH("MediumLegendary",CLASSFEATUREHEADERS,0),MATCH($A1806,CLASSNAMEHEADERS,0))),(INDEX(ALLCLASSDATA,MATCH("MediumLegendary",CLASSFEATUREHEADERS,0),MATCH(($A1806 &amp; "Points"),CLASSNAMEHEADERS,0))),(IF("19"=(INDEX(ALLCLASSDATA,MATCH("MediumMaster",CLASSFEATUREHEADERS,0),MATCH($A1806,CLASSNAMEHEADERS,0))),(INDEX(ALLCLASSDATA,MATCH("MediumMaster",CLASSFEATUREHEADERS,0),MATCH(($A1806 &amp; "Points"),CLASSNAMEHEADERS,0))),(IF("19"=(INDEX(ALLCLASSDATA,MATCH("MediumExpert",CLASSFEATUREHEADERS,0),MATCH($A1806,CLASSNAMEHEADERS,0))),(INDEX(ALLCLASSDATA,MATCH("MediumExpert",CLASSFEATUREHEADERS,0),MATCH(($A1806 &amp; "Points"),CLASSNAMEHEADERS,0))),(IF("19"=(INDEX(ALLCLASSDATA,MATCH("MediumTrained",CLASSFEATUREHEADERS,0),MATCH($A1806,CLASSNAMEHEADERS,0))),(INDEX(ALLCLASSDATA,MATCH("MediumTrained",CLASSFEATUREHEADERS,0),MATCH(($A1806 &amp; "Points"),CLASSNAMEHEADERS,0))),"")))))))))}</f>
        <v>MEDIUML19</v>
      </c>
      <c r="AA1805" s="223"/>
      <c r="AB1805" s="76" t="str">
        <f t="array" ref="AB1805:AB1806">{"MEDIUM TOTAL";(IF(COUNTBLANK(G1806:AA1806)=17,"L",(IF(COUNTBLANK(G1806:AA1806)=18,"M",(IF(COUNTBLANK(G1806:AA1806)=19,"E",(IF(COUNTBLANK(G1806:AA1806)=20,"T",""))))))))}</f>
        <v>MEDIUM TOTAL</v>
      </c>
      <c r="AC1805" s="76" t="str">
        <f t="array" ref="AC1805:AC1806">{"MEDIUM TOTAL";(sum(G1806:AA1806))}</f>
        <v>MEDIUM TOTAL</v>
      </c>
    </row>
    <row r="1806">
      <c r="A1806" s="48" t="s">
        <v>227</v>
      </c>
      <c r="B1806" s="48"/>
      <c r="C1806" s="48" t="s">
        <v>418</v>
      </c>
      <c r="D1806" s="48" t="s">
        <v>1900</v>
      </c>
      <c r="E1806" s="48" t="s">
        <v>76</v>
      </c>
      <c r="F1806" s="5" t="s">
        <v>603</v>
      </c>
      <c r="G1806" s="47" t="s">
        <v>603</v>
      </c>
      <c r="H1806" s="5" t="s">
        <v>603</v>
      </c>
      <c r="I1806" s="5"/>
      <c r="J1806" s="5" t="s">
        <v>603</v>
      </c>
      <c r="K1806" s="5"/>
      <c r="L1806" s="5" t="s">
        <v>603</v>
      </c>
      <c r="M1806" s="5"/>
      <c r="N1806" s="5" t="s">
        <v>603</v>
      </c>
      <c r="O1806" s="5"/>
      <c r="P1806" s="5" t="s">
        <v>603</v>
      </c>
      <c r="Q1806" s="5"/>
      <c r="R1806" s="5" t="s">
        <v>603</v>
      </c>
      <c r="S1806" s="5"/>
      <c r="T1806" s="5" t="s">
        <v>603</v>
      </c>
      <c r="U1806" s="5"/>
      <c r="V1806" s="5" t="s">
        <v>603</v>
      </c>
      <c r="W1806" s="5"/>
      <c r="X1806" s="5" t="s">
        <v>603</v>
      </c>
      <c r="Y1806" s="5"/>
      <c r="Z1806" s="5" t="s">
        <v>603</v>
      </c>
      <c r="AA1806" s="5"/>
      <c r="AB1806" s="5" t="s">
        <v>603</v>
      </c>
      <c r="AC1806" s="47">
        <v>0.0</v>
      </c>
    </row>
    <row r="1807" hidden="1">
      <c r="A1807" s="222" t="str">
        <f t="array" ref="A1807:A1808">{"FormulaRow38";(INDEX(CLASSLIST,A1732,1))}</f>
        <v>FormulaRow38</v>
      </c>
      <c r="B1807" s="77" t="s">
        <v>236</v>
      </c>
      <c r="C1807" s="222" t="str">
        <f t="array" ref="C1807:C1808">{"CLASSTYPE";((INDEX(ALLCLASSDATA,MATCH("ClassType",CLASSFEATUREHEADERS,0),MATCH($A1808,CLASSNAMEHEADERS,0))))}</f>
        <v>CLASSTYPE</v>
      </c>
      <c r="D1807" s="222" t="str">
        <f t="array" ref="D1807:D1808">{"DEFENSE";"Defense"}</f>
        <v>DEFENSE</v>
      </c>
      <c r="E1807" s="222" t="str">
        <f t="array" ref="E1807:E1808">{"HEAVY";"Heavy"}</f>
        <v>HEAVY</v>
      </c>
      <c r="F1807" s="223" t="str">
        <f t="array" ref="F1807:F1808">{"HEAVYINITIAL";((IF(H1808=10,"T",(IF(H1808=50,"E","")))))}</f>
        <v>HEAVYINITIAL</v>
      </c>
      <c r="G1807" s="223" t="str">
        <f t="array" ref="G1807:G1808">{"HEAVYINITIALPTS";((IF("00"=(INDEX(ALLCLASSDATA,MATCH("HeavyLegendary",CLASSFEATUREHEADERS,0),MATCH($A1808,CLASSNAMEHEADERS,0))),(INDEX(ALLCLASSDATA,MATCH("HeavyLegendary",CLASSFEATUREHEADERS,0),MATCH(($A1808 &amp; "Points"),CLASSNAMEHEADERS,0))),(IF("00"=(INDEX(ALLCLASSDATA,MATCH("HeavyMaster",CLASSFEATUREHEADERS,0),MATCH($A1808,CLASSNAMEHEADERS,0))),(INDEX(ALLCLASSDATA,MATCH("HeavyMaster",CLASSFEATUREHEADERS,0),MATCH(($A1808 &amp; "Points"),CLASSNAMEHEADERS,0))),(IF("00"=(INDEX(ALLCLASSDATA,MATCH("HeavyExpert",CLASSFEATUREHEADERS,0),MATCH($A1808,CLASSNAMEHEADERS,0))),(INDEX(ALLCLASSDATA,MATCH("HeavyExpert",CLASSFEATUREHEADERS,0),MATCH(($A1808 &amp; "Points"),CLASSNAMEHEADERS,0))),(IF("00"=(INDEX(ALLCLASSDATA,MATCH("HeavyTrained",CLASSFEATUREHEADERS,0),MATCH($A1808,CLASSNAMEHEADERS,0))),(INDEX(ALLCLASSDATA,MATCH("HeavyTrained",CLASSFEATUREHEADERS,0),MATCH(($A1808 &amp; "Points"),CLASSNAMEHEADERS,0))),"")))))))))}</f>
        <v>HEAVYINITIALPTS</v>
      </c>
      <c r="H1807" s="223" t="str">
        <f t="array" ref="H1807:H1808">{"HEAVYL01";((IF("01"=(INDEX(ALLCLASSDATA,MATCH("HeavyLegendary",CLASSFEATUREHEADERS,0),MATCH($A1808,CLASSNAMEHEADERS,0))),(INDEX(ALLCLASSDATA,MATCH("HeavyLegendary",CLASSFEATUREHEADERS,0),MATCH(($A1808 &amp; "Points"),CLASSNAMEHEADERS,0))),(IF("01"=(INDEX(ALLCLASSDATA,MATCH("HeavyMaster",CLASSFEATUREHEADERS,0),MATCH($A1808,CLASSNAMEHEADERS,0))),(INDEX(ALLCLASSDATA,MATCH("HeavyMaster",CLASSFEATUREHEADERS,0),MATCH(($A1808 &amp; "Points"),CLASSNAMEHEADERS,0))),(IF("01"=(INDEX(ALLCLASSDATA,MATCH("HeavyExpert",CLASSFEATUREHEADERS,0),MATCH($A1808,CLASSNAMEHEADERS,0))),(INDEX(ALLCLASSDATA,MATCH("HeavyExpert",CLASSFEATUREHEADERS,0),MATCH(($A1808 &amp; "Points"),CLASSNAMEHEADERS,0))),(IF("01"=(INDEX(ALLCLASSDATA,MATCH("HeavyTrained",CLASSFEATUREHEADERS,0),MATCH($A1808,CLASSNAMEHEADERS,0))),(INDEX(ALLCLASSDATA,MATCH("HeavyTrained",CLASSFEATUREHEADERS,0),MATCH(($A1808 &amp; "Points"),CLASSNAMEHEADERS,0))),"")))))))))}</f>
        <v>HEAVYL01</v>
      </c>
      <c r="I1807" s="223"/>
      <c r="J1807" s="223" t="str">
        <f t="array" ref="J1807:J1808">{"HEAVYL03";((IF("03"=(INDEX(ALLCLASSDATA,MATCH("HeavyLegendary",CLASSFEATUREHEADERS,0),MATCH($A1808,CLASSNAMEHEADERS,0))),(INDEX(ALLCLASSDATA,MATCH("HeavyLegendary",CLASSFEATUREHEADERS,0),MATCH(($A1808 &amp; "Points"),CLASSNAMEHEADERS,0))),(IF("03"=(INDEX(ALLCLASSDATA,MATCH("HeavyMaster",CLASSFEATUREHEADERS,0),MATCH($A1808,CLASSNAMEHEADERS,0))),(INDEX(ALLCLASSDATA,MATCH("HeavyMaster",CLASSFEATUREHEADERS,0),MATCH(($A1808 &amp; "Points"),CLASSNAMEHEADERS,0))),(IF("03"=(INDEX(ALLCLASSDATA,MATCH("HeavyExpert",CLASSFEATUREHEADERS,0),MATCH($A1808,CLASSNAMEHEADERS,0))),(INDEX(ALLCLASSDATA,MATCH("HeavyExpert",CLASSFEATUREHEADERS,0),MATCH(($A1808 &amp; "Points"),CLASSNAMEHEADERS,0))),(IF("03"=(INDEX(ALLCLASSDATA,MATCH("HeavyTrained",CLASSFEATUREHEADERS,0),MATCH($A1808,CLASSNAMEHEADERS,0))),(INDEX(ALLCLASSDATA,MATCH("HeavyTrained",CLASSFEATUREHEADERS,0),MATCH(($A1808 &amp; "Points"),CLASSNAMEHEADERS,0))),"")))))))))}</f>
        <v>HEAVYL03</v>
      </c>
      <c r="K1807" s="223"/>
      <c r="L1807" s="223" t="str">
        <f t="array" ref="L1807:L1808">{"HEAVYL05";((IF("05"=(INDEX(ALLCLASSDATA,MATCH("HeavyLegendary",CLASSFEATUREHEADERS,0),MATCH($A1808,CLASSNAMEHEADERS,0))),(INDEX(ALLCLASSDATA,MATCH("HeavyLegendary",CLASSFEATUREHEADERS,0),MATCH(($A1808 &amp; "Points"),CLASSNAMEHEADERS,0))),(IF("05"=(INDEX(ALLCLASSDATA,MATCH("HeavyMaster",CLASSFEATUREHEADERS,0),MATCH($A1808,CLASSNAMEHEADERS,0))),(INDEX(ALLCLASSDATA,MATCH("HeavyMaster",CLASSFEATUREHEADERS,0),MATCH(($A1808 &amp; "Points"),CLASSNAMEHEADERS,0))),(IF("05"=(INDEX(ALLCLASSDATA,MATCH("HeavyExpert",CLASSFEATUREHEADERS,0),MATCH($A1808,CLASSNAMEHEADERS,0))),(INDEX(ALLCLASSDATA,MATCH("HeavyExpert",CLASSFEATUREHEADERS,0),MATCH(($A1808 &amp; "Points"),CLASSNAMEHEADERS,0))),(IF("05"=(INDEX(ALLCLASSDATA,MATCH("HeavyTrained",CLASSFEATUREHEADERS,0),MATCH($A1808,CLASSNAMEHEADERS,0))),(INDEX(ALLCLASSDATA,MATCH("HeavyTrained",CLASSFEATUREHEADERS,0),MATCH(($A1808 &amp; "Points"),CLASSNAMEHEADERS,0))),"")))))))))}</f>
        <v>HEAVYL05</v>
      </c>
      <c r="M1807" s="223"/>
      <c r="N1807" s="223" t="str">
        <f t="array" ref="N1807:N1808">{"HEAVYL07";((IF("07"=(INDEX(ALLCLASSDATA,MATCH("HeavyLegendary",CLASSFEATUREHEADERS,0),MATCH($A1808,CLASSNAMEHEADERS,0))),(INDEX(ALLCLASSDATA,MATCH("HeavyLegendary",CLASSFEATUREHEADERS,0),MATCH(($A1808 &amp; "Points"),CLASSNAMEHEADERS,0))),(IF("07"=(INDEX(ALLCLASSDATA,MATCH("HeavyMaster",CLASSFEATUREHEADERS,0),MATCH($A1808,CLASSNAMEHEADERS,0))),(INDEX(ALLCLASSDATA,MATCH("HeavyMaster",CLASSFEATUREHEADERS,0),MATCH(($A1808 &amp; "Points"),CLASSNAMEHEADERS,0))),(IF("07"=(INDEX(ALLCLASSDATA,MATCH("HeavyExpert",CLASSFEATUREHEADERS,0),MATCH($A1808,CLASSNAMEHEADERS,0))),(INDEX(ALLCLASSDATA,MATCH("HeavyExpert",CLASSFEATUREHEADERS,0),MATCH(($A1808 &amp; "Points"),CLASSNAMEHEADERS,0))),(IF("07"=(INDEX(ALLCLASSDATA,MATCH("HeavyTrained",CLASSFEATUREHEADERS,0),MATCH($A1808,CLASSNAMEHEADERS,0))),(INDEX(ALLCLASSDATA,MATCH("HeavyTrained",CLASSFEATUREHEADERS,0),MATCH(($A1808 &amp; "Points"),CLASSNAMEHEADERS,0))),"")))))))))}</f>
        <v>HEAVYL07</v>
      </c>
      <c r="O1807" s="223"/>
      <c r="P1807" s="223" t="str">
        <f t="array" ref="P1807:P1808">{"HEAVYL09";((IF("09"=(INDEX(ALLCLASSDATA,MATCH("HeavyLegendary",CLASSFEATUREHEADERS,0),MATCH($A1808,CLASSNAMEHEADERS,0))),(INDEX(ALLCLASSDATA,MATCH("HeavyLegendary",CLASSFEATUREHEADERS,0),MATCH(($A1808 &amp; "Points"),CLASSNAMEHEADERS,0))),(IF("09"=(INDEX(ALLCLASSDATA,MATCH("HeavyMaster",CLASSFEATUREHEADERS,0),MATCH($A1808,CLASSNAMEHEADERS,0))),(INDEX(ALLCLASSDATA,MATCH("HeavyMaster",CLASSFEATUREHEADERS,0),MATCH(($A1808 &amp; "Points"),CLASSNAMEHEADERS,0))),(IF("09"=(INDEX(ALLCLASSDATA,MATCH("HeavyExpert",CLASSFEATUREHEADERS,0),MATCH($A1808,CLASSNAMEHEADERS,0))),(INDEX(ALLCLASSDATA,MATCH("HeavyExpert",CLASSFEATUREHEADERS,0),MATCH(($A1808 &amp; "Points"),CLASSNAMEHEADERS,0))),(IF("09"=(INDEX(ALLCLASSDATA,MATCH("HeavyTrained",CLASSFEATUREHEADERS,0),MATCH($A1808,CLASSNAMEHEADERS,0))),(INDEX(ALLCLASSDATA,MATCH("HeavyTrained",CLASSFEATUREHEADERS,0),MATCH(($A1808 &amp; "Points"),CLASSNAMEHEADERS,0))),"")))))))))}</f>
        <v>HEAVYL09</v>
      </c>
      <c r="Q1807" s="223"/>
      <c r="R1807" s="223" t="str">
        <f t="array" ref="R1807:R1808">{"HEAVYL11";((IF("11"=(INDEX(ALLCLASSDATA,MATCH("HeavyLegendary",CLASSFEATUREHEADERS,0),MATCH($A1808,CLASSNAMEHEADERS,0))),(INDEX(ALLCLASSDATA,MATCH("HeavyLegendary",CLASSFEATUREHEADERS,0),MATCH(($A1808 &amp; "Points"),CLASSNAMEHEADERS,0))),(IF("11"=(INDEX(ALLCLASSDATA,MATCH("HeavyMaster",CLASSFEATUREHEADERS,0),MATCH($A1808,CLASSNAMEHEADERS,0))),(INDEX(ALLCLASSDATA,MATCH("HeavyMaster",CLASSFEATUREHEADERS,0),MATCH(($A1808 &amp; "Points"),CLASSNAMEHEADERS,0))),(IF("11"=(INDEX(ALLCLASSDATA,MATCH("HeavyExpert",CLASSFEATUREHEADERS,0),MATCH($A1808,CLASSNAMEHEADERS,0))),(INDEX(ALLCLASSDATA,MATCH("HeavyExpert",CLASSFEATUREHEADERS,0),MATCH(($A1808 &amp; "Points"),CLASSNAMEHEADERS,0))),(IF("11"=(INDEX(ALLCLASSDATA,MATCH("HeavyTrained",CLASSFEATUREHEADERS,0),MATCH($A1808,CLASSNAMEHEADERS,0))),(INDEX(ALLCLASSDATA,MATCH("HeavyTrained",CLASSFEATUREHEADERS,0),MATCH(($A1808 &amp; "Points"),CLASSNAMEHEADERS,0))),"")))))))))}</f>
        <v>HEAVYL11</v>
      </c>
      <c r="S1807" s="223"/>
      <c r="T1807" s="223" t="str">
        <f t="array" ref="T1807:T1808">{"HEAVYL13";((IF("13"=(INDEX(ALLCLASSDATA,MATCH("HeavyLegendary",CLASSFEATUREHEADERS,0),MATCH($A1808,CLASSNAMEHEADERS,0))),(INDEX(ALLCLASSDATA,MATCH("HeavyLegendary",CLASSFEATUREHEADERS,0),MATCH(($A1808 &amp; "Points"),CLASSNAMEHEADERS,0))),(IF("13"=(INDEX(ALLCLASSDATA,MATCH("HeavyMaster",CLASSFEATUREHEADERS,0),MATCH($A1808,CLASSNAMEHEADERS,0))),(INDEX(ALLCLASSDATA,MATCH("HeavyMaster",CLASSFEATUREHEADERS,0),MATCH(($A1808 &amp; "Points"),CLASSNAMEHEADERS,0))),(IF("13"=(INDEX(ALLCLASSDATA,MATCH("HeavyExpert",CLASSFEATUREHEADERS,0),MATCH($A1808,CLASSNAMEHEADERS,0))),(INDEX(ALLCLASSDATA,MATCH("HeavyExpert",CLASSFEATUREHEADERS,0),MATCH(($A1808 &amp; "Points"),CLASSNAMEHEADERS,0))),(IF("13"=(INDEX(ALLCLASSDATA,MATCH("HeavyTrained",CLASSFEATUREHEADERS,0),MATCH($A1808,CLASSNAMEHEADERS,0))),(INDEX(ALLCLASSDATA,MATCH("HeavyTrained",CLASSFEATUREHEADERS,0),MATCH(($A1808 &amp; "Points"),CLASSNAMEHEADERS,0))),"")))))))))}</f>
        <v>HEAVYL13</v>
      </c>
      <c r="U1807" s="223"/>
      <c r="V1807" s="223" t="str">
        <f t="array" ref="V1807:V1808">{"HEAVYL15";((IF("15"=(INDEX(ALLCLASSDATA,MATCH("HeavyLegendary",CLASSFEATUREHEADERS,0),MATCH($A1808,CLASSNAMEHEADERS,0))),(INDEX(ALLCLASSDATA,MATCH("HeavyLegendary",CLASSFEATUREHEADERS,0),MATCH(($A1808 &amp; "Points"),CLASSNAMEHEADERS,0))),(IF("15"=(INDEX(ALLCLASSDATA,MATCH("HeavyMaster",CLASSFEATUREHEADERS,0),MATCH($A1808,CLASSNAMEHEADERS,0))),(INDEX(ALLCLASSDATA,MATCH("HeavyMaster",CLASSFEATUREHEADERS,0),MATCH(($A1808 &amp; "Points"),CLASSNAMEHEADERS,0))),(IF("15"=(INDEX(ALLCLASSDATA,MATCH("HeavyExpert",CLASSFEATUREHEADERS,0),MATCH($A1808,CLASSNAMEHEADERS,0))),(INDEX(ALLCLASSDATA,MATCH("HeavyExpert",CLASSFEATUREHEADERS,0),MATCH(($A1808 &amp; "Points"),CLASSNAMEHEADERS,0))),(IF("15"=(INDEX(ALLCLASSDATA,MATCH("HeavyTrained",CLASSFEATUREHEADERS,0),MATCH($A1808,CLASSNAMEHEADERS,0))),(INDEX(ALLCLASSDATA,MATCH("HeavyTrained",CLASSFEATUREHEADERS,0),MATCH(($A1808 &amp; "Points"),CLASSNAMEHEADERS,0))),"")))))))))}</f>
        <v>HEAVYL15</v>
      </c>
      <c r="W1807" s="223"/>
      <c r="X1807" s="223" t="str">
        <f t="array" ref="X1807:X1808">{"HEAVYL17";((IF("17"=(INDEX(ALLCLASSDATA,MATCH("HeavyLegendary",CLASSFEATUREHEADERS,0),MATCH($A1808,CLASSNAMEHEADERS,0))),(INDEX(ALLCLASSDATA,MATCH("HeavyLegendary",CLASSFEATUREHEADERS,0),MATCH(($A1808 &amp; "Points"),CLASSNAMEHEADERS,0))),(IF("17"=(INDEX(ALLCLASSDATA,MATCH("HeavyMaster",CLASSFEATUREHEADERS,0),MATCH($A1808,CLASSNAMEHEADERS,0))),(INDEX(ALLCLASSDATA,MATCH("HeavyMaster",CLASSFEATUREHEADERS,0),MATCH(($A1808 &amp; "Points"),CLASSNAMEHEADERS,0))),(IF("17"=(INDEX(ALLCLASSDATA,MATCH("HeavyExpert",CLASSFEATUREHEADERS,0),MATCH($A1808,CLASSNAMEHEADERS,0))),(INDEX(ALLCLASSDATA,MATCH("HeavyExpert",CLASSFEATUREHEADERS,0),MATCH(($A1808 &amp; "Points"),CLASSNAMEHEADERS,0))),(IF("17"=(INDEX(ALLCLASSDATA,MATCH("HeavyTrained",CLASSFEATUREHEADERS,0),MATCH($A1808,CLASSNAMEHEADERS,0))),(INDEX(ALLCLASSDATA,MATCH("HeavyTrained",CLASSFEATUREHEADERS,0),MATCH(($A1808 &amp; "Points"),CLASSNAMEHEADERS,0))),"")))))))))}</f>
        <v>HEAVYL17</v>
      </c>
      <c r="Y1807" s="223"/>
      <c r="Z1807" s="223" t="str">
        <f t="array" ref="Z1807:Z1808">{"HEAVYL19";((IF("19"=(INDEX(ALLCLASSDATA,MATCH("HeavyLegendary",CLASSFEATUREHEADERS,0),MATCH($A1808,CLASSNAMEHEADERS,0))),(INDEX(ALLCLASSDATA,MATCH("HeavyLegendary",CLASSFEATUREHEADERS,0),MATCH(($A1808 &amp; "Points"),CLASSNAMEHEADERS,0))),(IF("19"=(INDEX(ALLCLASSDATA,MATCH("HeavyMaster",CLASSFEATUREHEADERS,0),MATCH($A1808,CLASSNAMEHEADERS,0))),(INDEX(ALLCLASSDATA,MATCH("HeavyMaster",CLASSFEATUREHEADERS,0),MATCH(($A1808 &amp; "Points"),CLASSNAMEHEADERS,0))),(IF("19"=(INDEX(ALLCLASSDATA,MATCH("HeavyExpert",CLASSFEATUREHEADERS,0),MATCH($A1808,CLASSNAMEHEADERS,0))),(INDEX(ALLCLASSDATA,MATCH("HeavyExpert",CLASSFEATUREHEADERS,0),MATCH(($A1808 &amp; "Points"),CLASSNAMEHEADERS,0))),(IF("19"=(INDEX(ALLCLASSDATA,MATCH("HeavyTrained",CLASSFEATUREHEADERS,0),MATCH($A1808,CLASSNAMEHEADERS,0))),(INDEX(ALLCLASSDATA,MATCH("HeavyTrained",CLASSFEATUREHEADERS,0),MATCH(($A1808 &amp; "Points"),CLASSNAMEHEADERS,0))),"")))))))))}</f>
        <v>HEAVYL19</v>
      </c>
      <c r="AA1807" s="223"/>
      <c r="AB1807" s="76" t="str">
        <f t="array" ref="AB1807:AB1808">{"HEAVY TOTAL";(IF(COUNTBLANK(G1808:AA1808)=17,"L",(IF(COUNTBLANK(G1808:AA1808)=18,"M",(IF(COUNTBLANK(G1808:AA1808)=19,"E",(IF(COUNTBLANK(G1808:AA1808)=20,"T",""))))))))}</f>
        <v>HEAVY TOTAL</v>
      </c>
      <c r="AC1807" s="76" t="str">
        <f t="array" ref="AC1807:AC1808">{"HEAVY TOTAL";(sum(G1808:AA1808))}</f>
        <v>HEAVY TOTAL</v>
      </c>
    </row>
    <row r="1808">
      <c r="A1808" s="48" t="s">
        <v>227</v>
      </c>
      <c r="B1808" s="48"/>
      <c r="C1808" s="48" t="s">
        <v>418</v>
      </c>
      <c r="D1808" s="97" t="s">
        <v>1900</v>
      </c>
      <c r="E1808" s="97" t="s">
        <v>533</v>
      </c>
      <c r="F1808" s="98" t="s">
        <v>603</v>
      </c>
      <c r="G1808" s="132" t="s">
        <v>603</v>
      </c>
      <c r="H1808" s="98" t="s">
        <v>603</v>
      </c>
      <c r="I1808" s="98"/>
      <c r="J1808" s="98" t="s">
        <v>603</v>
      </c>
      <c r="K1808" s="98"/>
      <c r="L1808" s="98" t="s">
        <v>603</v>
      </c>
      <c r="M1808" s="98"/>
      <c r="N1808" s="98" t="s">
        <v>603</v>
      </c>
      <c r="O1808" s="98"/>
      <c r="P1808" s="98" t="s">
        <v>603</v>
      </c>
      <c r="Q1808" s="98"/>
      <c r="R1808" s="98" t="s">
        <v>603</v>
      </c>
      <c r="S1808" s="98"/>
      <c r="T1808" s="98" t="s">
        <v>603</v>
      </c>
      <c r="U1808" s="98"/>
      <c r="V1808" s="98" t="s">
        <v>603</v>
      </c>
      <c r="W1808" s="98"/>
      <c r="X1808" s="98" t="s">
        <v>603</v>
      </c>
      <c r="Y1808" s="98"/>
      <c r="Z1808" s="98" t="s">
        <v>603</v>
      </c>
      <c r="AA1808" s="98"/>
      <c r="AB1808" s="5" t="s">
        <v>603</v>
      </c>
      <c r="AC1808" s="47">
        <v>0.0</v>
      </c>
    </row>
    <row r="1809" hidden="1">
      <c r="A1809" s="222" t="str">
        <f t="array" ref="A1809:A1810">{"FormulaRow39";(INDEX(CLASSLIST,A1732,1))}</f>
        <v>FormulaRow39</v>
      </c>
      <c r="B1809" s="77" t="s">
        <v>236</v>
      </c>
      <c r="C1809" s="222" t="str">
        <f t="array" ref="C1809:C1810">{"CLASSTYPE";((INDEX(ALLCLASSDATA,MATCH("ClassType",CLASSFEATUREHEADERS,0),MATCH($A1810,CLASSNAMEHEADERS,0))))}</f>
        <v>CLASSTYPE</v>
      </c>
      <c r="D1809" s="222" t="str">
        <f t="array" ref="D1809:D1810">{"SPELL/ALCHEMY";((IF(INDEX(ALLCLASSDATA,MATCH("CasterType",CLASSFEATUREHEADERS,0),MATCH(($A1810),CLASSNAMEHEADERS,0))="","",(IF(INDEX(ALLCLASSDATA,MATCH("CasterType",CLASSFEATUREHEADERS,0),MATCH(($A1810),CLASSNAMEHEADERS,0))="Alchemy","Alchemy","Spells")))))}</f>
        <v>SPELL/ALCHEMY</v>
      </c>
      <c r="E1809" s="222" t="str">
        <f t="array" ref="E1809:E1810">{"SPELLLIST";(IF(D1810="Spells",((INDEX(ALLCLASSDATA,MATCH("CasterType",CLASSFEATUREHEADERS,0),MATCH(($A1810),CLASSNAMEHEADERS,0))) &amp; ":" &amp; (INDEX(ALLCLASSDATA,MATCH("SpellList",CLASSFEATUREHEADERS,0),MATCH(($A1810),CLASSNAMEHEADERS,0)))),""))}</f>
        <v>SPELLLIST</v>
      </c>
      <c r="F1809" s="223" t="str">
        <f t="array" ref="F1809:F1810">{"SPL";(IF(D1810="Spells","SPL:",""))}</f>
        <v>SPL</v>
      </c>
      <c r="G1809" s="223" t="str">
        <f t="array" ref="G1809:G1810">{"CANTRIP/ALC";(IF(D1810="Spells","C",(IF(D1810="Alchemy","ALC:",""))))}</f>
        <v>CANTRIP/ALC</v>
      </c>
      <c r="H1809" s="223" t="str">
        <f t="array" ref="H1809:H1810">{"SPELL/ALC L01";(IF(D1810="Alchemy","L01",(IF(D1810="Spells","S01",""))))}</f>
        <v>SPELL/ALC L01</v>
      </c>
      <c r="I1809" s="223" t="str">
        <f t="array" ref="I1809:I1810">{"SPELL/ALC L02";(IF(D1810="Alchemy","L02",(IF(D1810="Spells","S01",""))))}</f>
        <v>SPELL/ALC L02</v>
      </c>
      <c r="J1809" s="223" t="str">
        <f t="array" ref="J1809:J1810">{"SPELL/ALC L03";(IF(D1810="Alchemy","L03",(IF(D1810="Spells","S02",""))))}</f>
        <v>SPELL/ALC L03</v>
      </c>
      <c r="K1809" s="223" t="str">
        <f t="array" ref="K1809:K1810">{"SPELL/ALC L04";(IF(D1810="Alchemy","L04",(IF(D1810="Spells","S02",""))))}</f>
        <v>SPELL/ALC L04</v>
      </c>
      <c r="L1809" s="223" t="str">
        <f t="array" ref="L1809:L1810">{"SPELL/ALC L05";(IF(D1810="Alchemy","L05",(IF(D1810="Spells","S03",""))))}</f>
        <v>SPELL/ALC L05</v>
      </c>
      <c r="M1809" s="223" t="str">
        <f t="array" ref="M1809:M1810">{"SPELL/ALC L06";(IF(D1810="Alchemy","L06",(IF(D1810="Spells","S03",""))))}</f>
        <v>SPELL/ALC L06</v>
      </c>
      <c r="N1809" s="223" t="str">
        <f t="array" ref="N1809:N1810">{"SPELL/ALC L07";(IF(D1810="Alchemy","L07",(IF(D1810="Spells","S04",""))))}</f>
        <v>SPELL/ALC L07</v>
      </c>
      <c r="O1809" s="223" t="str">
        <f t="array" ref="O1809:O1810">{"SPELL/ALC L08";(IF(D1810="Alchemy","L08",(IF(D1810="Spells","S04",""))))}</f>
        <v>SPELL/ALC L08</v>
      </c>
      <c r="P1809" s="223" t="str">
        <f t="array" ref="P1809:P1810">{"SPELL/ALC L09";(IF(D1810="Alchemy","L09",(IF(D1810="Spells","S05",""))))}</f>
        <v>SPELL/ALC L09</v>
      </c>
      <c r="Q1809" s="223" t="str">
        <f t="array" ref="Q1809:Q1810">{"SPELL/ALC L10";(IF(D1810="Alchemy","L10",(IF(D1810="Spells","S05",""))))}</f>
        <v>SPELL/ALC L10</v>
      </c>
      <c r="R1809" s="223" t="str">
        <f t="array" ref="R1809:R1810">{"SPELL/ALC L11";(IF(D1810="Alchemy","L11",(IF(D1810="Spells","S06",""))))}</f>
        <v>SPELL/ALC L11</v>
      </c>
      <c r="S1809" s="223" t="str">
        <f t="array" ref="S1809:S1810">{"SPELL/ALC L12";(IF(D1810="Alchemy","L12",(IF(D1810="Spells","S06",""))))}</f>
        <v>SPELL/ALC L12</v>
      </c>
      <c r="T1809" s="223" t="str">
        <f t="array" ref="T1809:T1810">{"SPELL/ALC L13";(IF(D1810="Alchemy","L13",(IF(D1810="Spells","S07",""))))}</f>
        <v>SPELL/ALC L13</v>
      </c>
      <c r="U1809" s="223" t="str">
        <f t="array" ref="U1809:U1810">{"SPELL/ALC L14";(IF(D1810="Alchemy","L14",(IF(D1810="Spells","S07",""))))}</f>
        <v>SPELL/ALC L14</v>
      </c>
      <c r="V1809" s="223" t="str">
        <f t="array" ref="V1809:V1810">{"SPELL/ALC L15";(IF(D1810="Alchemy","L15",(IF(D1810="Spells","S08",""))))}</f>
        <v>SPELL/ALC L15</v>
      </c>
      <c r="W1809" s="223" t="str">
        <f t="array" ref="W1809:W1810">{"SPELL/ALC L16";(IF(D1810="Alchemy","L16",(IF(D1810="Spells","S08",""))))}</f>
        <v>SPELL/ALC L16</v>
      </c>
      <c r="X1809" s="223" t="str">
        <f t="array" ref="X1809:X1810">{"SPELL/ALC L17";(IF(D1810="Alchemy","L17",(IF(D1810="Spells","S09",""))))}</f>
        <v>SPELL/ALC L17</v>
      </c>
      <c r="Y1809" s="223" t="str">
        <f t="array" ref="Y1809:Y1810">{"SPELL/ALC L18";(IF(D1810="Alchemy","L18",(IF(D1810="Spells","S09",""))))}</f>
        <v>SPELL/ALC L18</v>
      </c>
      <c r="Z1809" s="223" t="str">
        <f t="array" ref="Z1809:Z1810">{"SPELL/ALC L19";(IF(D1810="Alchemy","L19",(IF(D1810="Spells","S10",""))))}</f>
        <v>SPELL/ALC L19</v>
      </c>
      <c r="AA1809" s="223" t="str">
        <f t="array" ref="AA1809:AA1810">{"SPELL/ALC L20";(IF(D1810="Alchemy","L20",(IF(D1810="Spells","S10",""))))}</f>
        <v>SPELL/ALC L20</v>
      </c>
      <c r="AB1809" s="76"/>
      <c r="AC1809" s="76"/>
    </row>
    <row r="1810">
      <c r="A1810" s="48" t="s">
        <v>227</v>
      </c>
      <c r="B1810" s="48"/>
      <c r="C1810" s="48" t="s">
        <v>418</v>
      </c>
      <c r="D1810" s="48" t="s">
        <v>1901</v>
      </c>
      <c r="E1810" s="48" t="s">
        <v>1931</v>
      </c>
      <c r="F1810" s="278" t="s">
        <v>1903</v>
      </c>
      <c r="G1810" s="114" t="s">
        <v>653</v>
      </c>
      <c r="H1810" s="279" t="s">
        <v>1536</v>
      </c>
      <c r="I1810" s="28" t="s">
        <v>1536</v>
      </c>
      <c r="J1810" s="28" t="s">
        <v>1542</v>
      </c>
      <c r="K1810" s="28" t="s">
        <v>1542</v>
      </c>
      <c r="L1810" s="28" t="s">
        <v>1545</v>
      </c>
      <c r="M1810" s="28" t="s">
        <v>1545</v>
      </c>
      <c r="N1810" s="28" t="s">
        <v>1548</v>
      </c>
      <c r="O1810" s="28" t="s">
        <v>1548</v>
      </c>
      <c r="P1810" s="28" t="s">
        <v>1553</v>
      </c>
      <c r="Q1810" s="28" t="s">
        <v>1553</v>
      </c>
      <c r="R1810" s="28" t="s">
        <v>1556</v>
      </c>
      <c r="S1810" s="28" t="s">
        <v>1556</v>
      </c>
      <c r="T1810" s="28" t="s">
        <v>1559</v>
      </c>
      <c r="U1810" s="28" t="s">
        <v>1559</v>
      </c>
      <c r="V1810" s="28" t="s">
        <v>1562</v>
      </c>
      <c r="W1810" s="28" t="s">
        <v>1562</v>
      </c>
      <c r="X1810" s="28" t="s">
        <v>1565</v>
      </c>
      <c r="Y1810" s="28" t="s">
        <v>1565</v>
      </c>
      <c r="Z1810" s="28" t="s">
        <v>1568</v>
      </c>
      <c r="AA1810" s="28" t="s">
        <v>1568</v>
      </c>
      <c r="AB1810" s="5"/>
      <c r="AC1810" s="47"/>
    </row>
    <row r="1811" hidden="1">
      <c r="A1811" s="222" t="str">
        <f t="array" ref="A1811:A1812">{"FormulaRow40";(INDEX(CLASSLIST,A1732,1))}</f>
        <v>FormulaRow40</v>
      </c>
      <c r="B1811" s="77" t="s">
        <v>236</v>
      </c>
      <c r="C1811" s="222" t="str">
        <f t="array" ref="C1811:C1812">{"CLASSTYPE";((INDEX(ALLCLASSDATA,MATCH("ClassType",CLASSFEATUREHEADERS,0),MATCH($A1812,CLASSNAMEHEADERS,0))))}</f>
        <v>CLASSTYPE</v>
      </c>
      <c r="D1811" s="222" t="str">
        <f t="array" ref="D1811:D1812">{"SPELL/ALCHEMY";((IF(INDEX(ALLCLASSDATA,MATCH("CasterType",CLASSFEATUREHEADERS,0),MATCH(($A1812),CLASSNAMEHEADERS,0))="","",(IF(INDEX(ALLCLASSDATA,MATCH("CasterType",CLASSFEATUREHEADERS,0),MATCH(($A1812),CLASSNAMEHEADERS,0))="Alchemy","","Spells")))))}</f>
        <v>SPELL/ALCHEMY</v>
      </c>
      <c r="E1811" s="222" t="str">
        <f t="array" ref="E1811:E1812">{"SPELLLIST";(IF(D1812="Spells",((INDEX(ALLCLASSDATA,MATCH("CasterType",CLASSFEATUREHEADERS,0),MATCH(($A1812),CLASSNAMEHEADERS,0))) &amp; ":" &amp; (INDEX(ALLCLASSDATA,MATCH("SpellList",CLASSFEATUREHEADERS,0),MATCH(($A1812),CLASSNAMEHEADERS,0)))),""))}</f>
        <v>SPELLLIST</v>
      </c>
      <c r="F1811" s="222" t="str">
        <f t="array" ref="F1811:F1812">{"SLOTCOST";(IF(D1812="Spells","SlotCost:",""))}</f>
        <v>SLOTCOST</v>
      </c>
      <c r="G1811" s="222" t="str">
        <f t="array" ref="G1811:G1812">{"SLOTCOST CANTRIP";(INDEX(ALLCLASSDATA,MATCH("CantripSlots-L00",CLASSFEATUREHEADERS,0),MATCH(($A1812 &amp; "Points"),CLASSNAMEHEADERS,0)))}</f>
        <v>SLOTCOST CANTRIP</v>
      </c>
      <c r="H1811" s="222" t="str">
        <f t="array" ref="H1811:H1812">{"SLOTCOST L01";(INDEX(ALLCLASSDATA,MATCH("SPL01-L01",CLASSFEATUREHEADERS,0),MATCH(($A1812 &amp; "Points"),CLASSNAMEHEADERS,0)))}</f>
        <v>SLOTCOST L01</v>
      </c>
      <c r="I1811" s="222" t="str">
        <f t="array" ref="I1811:I1812">{"SLOTCOST L02";(INDEX(ALLCLASSDATA,MATCH("SPL01-L02",CLASSFEATUREHEADERS,0),MATCH(($A1812 &amp; "Points"),CLASSNAMEHEADERS,0)))}</f>
        <v>SLOTCOST L02</v>
      </c>
      <c r="J1811" s="222" t="str">
        <f t="array" ref="J1811:J1812">{"SLOTCOST L03";(INDEX(ALLCLASSDATA,MATCH("SPL02-L03",CLASSFEATUREHEADERS,0),MATCH(($A1812 &amp; "Points"),CLASSNAMEHEADERS,0)))}</f>
        <v>SLOTCOST L03</v>
      </c>
      <c r="K1811" s="222" t="str">
        <f t="array" ref="K1811:K1812">{"SLOTCOST L04";(INDEX(ALLCLASSDATA,MATCH("SPL02-L04",CLASSFEATUREHEADERS,0),MATCH(($A1812 &amp; "Points"),CLASSNAMEHEADERS,0)))}</f>
        <v>SLOTCOST L04</v>
      </c>
      <c r="L1811" s="222" t="str">
        <f t="array" ref="L1811:L1812">{"SLOTCOST L05";(INDEX(ALLCLASSDATA,MATCH("SPL03-L05",CLASSFEATUREHEADERS,0),MATCH(($A1812 &amp; "Points"),CLASSNAMEHEADERS,0)))}</f>
        <v>SLOTCOST L05</v>
      </c>
      <c r="M1811" s="222" t="str">
        <f t="array" ref="M1811:M1812">{"SLOTCOST L06";(INDEX(ALLCLASSDATA,MATCH("SPL03-L06",CLASSFEATUREHEADERS,0),MATCH(($A1812 &amp; "Points"),CLASSNAMEHEADERS,0)))}</f>
        <v>SLOTCOST L06</v>
      </c>
      <c r="N1811" s="222" t="str">
        <f t="array" ref="N1811:N1812">{"SLOTCOST L07";(INDEX(ALLCLASSDATA,MATCH("SPL04-L07",CLASSFEATUREHEADERS,0),MATCH(($A1812 &amp; "Points"),CLASSNAMEHEADERS,0)))}</f>
        <v>SLOTCOST L07</v>
      </c>
      <c r="O1811" s="222" t="str">
        <f t="array" ref="O1811:O1812">{"SLOTCOST L08";(INDEX(ALLCLASSDATA,MATCH("SPL04-L08",CLASSFEATUREHEADERS,0),MATCH(($A1812 &amp; "Points"),CLASSNAMEHEADERS,0)))}</f>
        <v>SLOTCOST L08</v>
      </c>
      <c r="P1811" s="222" t="str">
        <f t="array" ref="P1811:P1812">{"SLOTCOST L09";(INDEX(ALLCLASSDATA,MATCH("SPL05-L09",CLASSFEATUREHEADERS,0),MATCH(($A1812 &amp; "Points"),CLASSNAMEHEADERS,0)))}</f>
        <v>SLOTCOST L09</v>
      </c>
      <c r="Q1811" s="222" t="str">
        <f t="array" ref="Q1811:Q1812">{"SLOTCOST L10";(INDEX(ALLCLASSDATA,MATCH("SPL05-L10",CLASSFEATUREHEADERS,0),MATCH(($A1812 &amp; "Points"),CLASSNAMEHEADERS,0)))}</f>
        <v>SLOTCOST L10</v>
      </c>
      <c r="R1811" s="222" t="str">
        <f t="array" ref="R1811:R1812">{"SLOTCOST L11";(INDEX(ALLCLASSDATA,MATCH("SPL06-L11",CLASSFEATUREHEADERS,0),MATCH(($A1812 &amp; "Points"),CLASSNAMEHEADERS,0)))}</f>
        <v>SLOTCOST L11</v>
      </c>
      <c r="S1811" s="222" t="str">
        <f t="array" ref="S1811:S1812">{"SLOTCOST L12";(INDEX(ALLCLASSDATA,MATCH("SPL06-L12",CLASSFEATUREHEADERS,0),MATCH(($A1812 &amp; "Points"),CLASSNAMEHEADERS,0)))}</f>
        <v>SLOTCOST L12</v>
      </c>
      <c r="T1811" s="222" t="str">
        <f t="array" ref="T1811:T1812">{"SLOTCOST L13";(INDEX(ALLCLASSDATA,MATCH("SPL07-L13",CLASSFEATUREHEADERS,0),MATCH(($A1812 &amp; "Points"),CLASSNAMEHEADERS,0)))}</f>
        <v>SLOTCOST L13</v>
      </c>
      <c r="U1811" s="222" t="str">
        <f t="array" ref="U1811:U1812">{"SLOTCOST L14";(INDEX(ALLCLASSDATA,MATCH("SPL07-L14",CLASSFEATUREHEADERS,0),MATCH(($A1812 &amp; "Points"),CLASSNAMEHEADERS,0)))}</f>
        <v>SLOTCOST L14</v>
      </c>
      <c r="V1811" s="222" t="str">
        <f t="array" ref="V1811:V1812">{"SLOTCOST L15";(INDEX(ALLCLASSDATA,MATCH("SPL08-L15",CLASSFEATUREHEADERS,0),MATCH(($A1812 &amp; "Points"),CLASSNAMEHEADERS,0)))}</f>
        <v>SLOTCOST L15</v>
      </c>
      <c r="W1811" s="222" t="str">
        <f t="array" ref="W1811:W1812">{"SLOTCOST L16";(INDEX(ALLCLASSDATA,MATCH("SPL08-L16",CLASSFEATUREHEADERS,0),MATCH(($A1812 &amp; "Points"),CLASSNAMEHEADERS,0)))}</f>
        <v>SLOTCOST L16</v>
      </c>
      <c r="X1811" s="222" t="str">
        <f t="array" ref="X1811:X1812">{"SLOTCOST L17";(INDEX(ALLCLASSDATA,MATCH("SPL09-L17",CLASSFEATUREHEADERS,0),MATCH(($A1812 &amp; "Points"),CLASSNAMEHEADERS,0)))}</f>
        <v>SLOTCOST L17</v>
      </c>
      <c r="Y1811" s="222" t="str">
        <f t="array" ref="Y1811:Y1812">{"SLOTCOST L18";(INDEX(ALLCLASSDATA,MATCH("SPL09-L18",CLASSFEATUREHEADERS,0),MATCH(($A1812 &amp; "Points"),CLASSNAMEHEADERS,0)))}</f>
        <v>SLOTCOST L18</v>
      </c>
      <c r="Z1811" s="222" t="str">
        <f t="array" ref="Z1811:Z1812">{"SLOTCOST L19";(INDEX(ALLCLASSDATA,MATCH("SPL10-L19",CLASSFEATUREHEADERS,0),MATCH(($A1812 &amp; "Points"),CLASSNAMEHEADERS,0)))}</f>
        <v>SLOTCOST L19</v>
      </c>
      <c r="AA1811" s="222" t="str">
        <f t="array" ref="AA1811:AA1812">{"SLOTCOST L20";(INDEX(ALLCLASSDATA,MATCH("SPL10-L20",CLASSFEATUREHEADERS,0),MATCH(($A1812 &amp; "Points"),CLASSNAMEHEADERS,0)))}</f>
        <v>SLOTCOST L20</v>
      </c>
      <c r="AB1811" s="76"/>
      <c r="AC1811" s="76" t="str">
        <f t="array" ref="AC1811:AC1812">{"SLOT TOTAL";(sum(G1812:AA1812))}</f>
        <v>SLOT TOTAL</v>
      </c>
    </row>
    <row r="1812">
      <c r="A1812" s="48" t="s">
        <v>227</v>
      </c>
      <c r="B1812" s="48"/>
      <c r="C1812" s="48" t="s">
        <v>418</v>
      </c>
      <c r="D1812" s="48" t="s">
        <v>1901</v>
      </c>
      <c r="E1812" s="48" t="s">
        <v>1931</v>
      </c>
      <c r="F1812" s="278" t="s">
        <v>1904</v>
      </c>
      <c r="G1812" s="47"/>
      <c r="H1812" s="5">
        <v>10.0</v>
      </c>
      <c r="I1812" s="5">
        <v>10.0</v>
      </c>
      <c r="J1812" s="5">
        <v>10.0</v>
      </c>
      <c r="K1812" s="5">
        <v>10.0</v>
      </c>
      <c r="L1812" s="5">
        <v>10.0</v>
      </c>
      <c r="M1812" s="48">
        <v>10.0</v>
      </c>
      <c r="N1812" s="5">
        <v>10.0</v>
      </c>
      <c r="O1812" s="5">
        <v>10.0</v>
      </c>
      <c r="P1812" s="5">
        <v>10.0</v>
      </c>
      <c r="Q1812" s="5">
        <v>10.0</v>
      </c>
      <c r="R1812" s="5">
        <v>10.0</v>
      </c>
      <c r="S1812" s="5">
        <v>10.0</v>
      </c>
      <c r="T1812" s="5">
        <v>10.0</v>
      </c>
      <c r="U1812" s="5">
        <v>10.0</v>
      </c>
      <c r="V1812" s="5">
        <v>10.0</v>
      </c>
      <c r="W1812" s="5">
        <v>10.0</v>
      </c>
      <c r="X1812" s="5">
        <v>10.0</v>
      </c>
      <c r="Y1812" s="5">
        <v>10.0</v>
      </c>
      <c r="Z1812" s="5">
        <v>190.0</v>
      </c>
      <c r="AA1812" s="5" t="s">
        <v>603</v>
      </c>
      <c r="AB1812" s="5"/>
      <c r="AC1812" s="47">
        <v>370.0</v>
      </c>
    </row>
    <row r="1813" hidden="1">
      <c r="A1813" s="222" t="str">
        <f t="array" ref="A1813:A1814">{"FormulaRow41";(INDEX(CLASSLIST,A1732,1))}</f>
        <v>FormulaRow41</v>
      </c>
      <c r="B1813" s="77" t="s">
        <v>236</v>
      </c>
      <c r="C1813" s="222" t="str">
        <f t="array" ref="C1813:C1814">{"CLASSTYPE";((INDEX(ALLCLASSDATA,MATCH("ClassType",CLASSFEATUREHEADERS,0),MATCH($A1814,CLASSNAMEHEADERS,0))))}</f>
        <v>CLASSTYPE</v>
      </c>
      <c r="D1813" s="222" t="str">
        <f t="array" ref="D1813:D1814">{"SPELL/ALCHEMY";((IF(INDEX(ALLCLASSDATA,MATCH("CasterType",CLASSFEATUREHEADERS,0),MATCH(($A1814),CLASSNAMEHEADERS,0))="","",(IF(INDEX(ALLCLASSDATA,MATCH("CasterType",CLASSFEATUREHEADERS,0),MATCH(($A1814),CLASSNAMEHEADERS,0))="Alchemy","Alchemy","Spells")))))}</f>
        <v>SPELL/ALCHEMY</v>
      </c>
      <c r="E1813" s="222" t="str">
        <f t="array" ref="E1813:E1814">{"SPELLLIST";(IF(D1814="Spells",((INDEX(ALLCLASSDATA,MATCH("CasterType",CLASSFEATUREHEADERS,0),MATCH(($A1814),CLASSNAMEHEADERS,0))) &amp; ":" &amp; (INDEX(ALLCLASSDATA,MATCH("SpellList",CLASSFEATUREHEADERS,0),MATCH(($A1814),CLASSNAMEHEADERS,0)))),""))}</f>
        <v>SPELLLIST</v>
      </c>
      <c r="F1813" s="223" t="str">
        <f t="array" ref="F1813:F1814">{"LEARNEDCOST";(IF(D1814="","","LearnCost:"))}</f>
        <v>LEARNEDCOST</v>
      </c>
      <c r="G1813" s="223" t="str">
        <f t="array" ref="G1813:G1814">{"LEARNED CANTRIPS";(INDEX(ALLCLASSDATA,MATCH("CantripsLearned-L00",CLASSFEATUREHEADERS,0),MATCH(($A1814 &amp; "Points"),CLASSNAMEHEADERS,0)))}</f>
        <v>LEARNED CANTRIPS</v>
      </c>
      <c r="H1813" s="223" t="str">
        <f t="array" ref="H1813:H1814">{"LEARNED L01";(INDEX(ALLCLASSDATA,MATCH("Learned-L01",CLASSFEATUREHEADERS,0),MATCH(($A1814 &amp; "Points"),CLASSNAMEHEADERS,0)))}</f>
        <v>LEARNED L01</v>
      </c>
      <c r="I1813" s="223" t="str">
        <f t="array" ref="I1813:I1814">{"LEARNED L02";(INDEX(ALLCLASSDATA,MATCH("Learned-L02",CLASSFEATUREHEADERS,0),MATCH(($A1814 &amp; "Points"),CLASSNAMEHEADERS,0)))}</f>
        <v>LEARNED L02</v>
      </c>
      <c r="J1813" s="223" t="str">
        <f t="array" ref="J1813:J1814">{"LEARNED L03";(INDEX(ALLCLASSDATA,MATCH("Learned-L03",CLASSFEATUREHEADERS,0),MATCH(($A1814 &amp; "Points"),CLASSNAMEHEADERS,0)))}</f>
        <v>LEARNED L03</v>
      </c>
      <c r="K1813" s="223" t="str">
        <f t="array" ref="K1813:K1814">{"LEARNED L04";(INDEX(ALLCLASSDATA,MATCH("Learned-L04",CLASSFEATUREHEADERS,0),MATCH(($A1814 &amp; "Points"),CLASSNAMEHEADERS,0)))}</f>
        <v>LEARNED L04</v>
      </c>
      <c r="L1813" s="223" t="str">
        <f t="array" ref="L1813:L1814">{"LEARNED L05";(INDEX(ALLCLASSDATA,MATCH("Learned-L05",CLASSFEATUREHEADERS,0),MATCH(($A1814 &amp; "Points"),CLASSNAMEHEADERS,0)))}</f>
        <v>LEARNED L05</v>
      </c>
      <c r="M1813" s="223" t="str">
        <f t="array" ref="M1813:M1814">{"LEARNED L06";(INDEX(ALLCLASSDATA,MATCH("Learned-L06",CLASSFEATUREHEADERS,0),MATCH(($A1814 &amp; "Points"),CLASSNAMEHEADERS,0)))}</f>
        <v>LEARNED L06</v>
      </c>
      <c r="N1813" s="223" t="str">
        <f t="array" ref="N1813:N1814">{"LEARNED L07";(INDEX(ALLCLASSDATA,MATCH("Learned-L07",CLASSFEATUREHEADERS,0),MATCH(($A1814 &amp; "Points"),CLASSNAMEHEADERS,0)))}</f>
        <v>LEARNED L07</v>
      </c>
      <c r="O1813" s="223" t="str">
        <f t="array" ref="O1813:O1814">{"LEARNED L08";(INDEX(ALLCLASSDATA,MATCH("Learned-L08",CLASSFEATUREHEADERS,0),MATCH(($A1814 &amp; "Points"),CLASSNAMEHEADERS,0)))}</f>
        <v>LEARNED L08</v>
      </c>
      <c r="P1813" s="223" t="str">
        <f t="array" ref="P1813:P1814">{"LEARNED L09";(INDEX(ALLCLASSDATA,MATCH("Learned-L09",CLASSFEATUREHEADERS,0),MATCH(($A1814 &amp; "Points"),CLASSNAMEHEADERS,0)))}</f>
        <v>LEARNED L09</v>
      </c>
      <c r="Q1813" s="223" t="str">
        <f t="array" ref="Q1813:Q1814">{"LEARNED L10";(INDEX(ALLCLASSDATA,MATCH("Learned-L10",CLASSFEATUREHEADERS,0),MATCH(($A1814 &amp; "Points"),CLASSNAMEHEADERS,0)))}</f>
        <v>LEARNED L10</v>
      </c>
      <c r="R1813" s="223" t="str">
        <f t="array" ref="R1813:R1814">{"LEARNED L11";(INDEX(ALLCLASSDATA,MATCH("Learned-L11",CLASSFEATUREHEADERS,0),MATCH(($A1814 &amp; "Points"),CLASSNAMEHEADERS,0)))}</f>
        <v>LEARNED L11</v>
      </c>
      <c r="S1813" s="223" t="str">
        <f t="array" ref="S1813:S1814">{"LEARNED L12";(INDEX(ALLCLASSDATA,MATCH("Learned-L12",CLASSFEATUREHEADERS,0),MATCH(($A1814 &amp; "Points"),CLASSNAMEHEADERS,0)))}</f>
        <v>LEARNED L12</v>
      </c>
      <c r="T1813" s="223" t="str">
        <f t="array" ref="T1813:T1814">{"LEARNED L13";(INDEX(ALLCLASSDATA,MATCH("Learned-L13",CLASSFEATUREHEADERS,0),MATCH(($A1814 &amp; "Points"),CLASSNAMEHEADERS,0)))}</f>
        <v>LEARNED L13</v>
      </c>
      <c r="U1813" s="223" t="str">
        <f t="array" ref="U1813:U1814">{"LEARNED L14";(INDEX(ALLCLASSDATA,MATCH("Learned-L14",CLASSFEATUREHEADERS,0),MATCH(($A1814 &amp; "Points"),CLASSNAMEHEADERS,0)))}</f>
        <v>LEARNED L14</v>
      </c>
      <c r="V1813" s="223" t="str">
        <f t="array" ref="V1813:V1814">{"LEARNED L15";(INDEX(ALLCLASSDATA,MATCH("Learned-L15",CLASSFEATUREHEADERS,0),MATCH(($A1814 &amp; "Points"),CLASSNAMEHEADERS,0)))}</f>
        <v>LEARNED L15</v>
      </c>
      <c r="W1813" s="223" t="str">
        <f t="array" ref="W1813:W1814">{"LEARNED L16";(INDEX(ALLCLASSDATA,MATCH("Learned-L16",CLASSFEATUREHEADERS,0),MATCH(($A1814 &amp; "Points"),CLASSNAMEHEADERS,0)))}</f>
        <v>LEARNED L16</v>
      </c>
      <c r="X1813" s="223" t="str">
        <f t="array" ref="X1813:X1814">{"LEARNED L17";(INDEX(ALLCLASSDATA,MATCH("Learned-L17",CLASSFEATUREHEADERS,0),MATCH(($A1814 &amp; "Points"),CLASSNAMEHEADERS,0)))}</f>
        <v>LEARNED L17</v>
      </c>
      <c r="Y1813" s="223" t="str">
        <f t="array" ref="Y1813:Y1814">{"LEARNED L18";(INDEX(ALLCLASSDATA,MATCH("Learned-L18",CLASSFEATUREHEADERS,0),MATCH(($A1814 &amp; "Points"),CLASSNAMEHEADERS,0)))}</f>
        <v>LEARNED L18</v>
      </c>
      <c r="Z1813" s="223" t="str">
        <f t="array" ref="Z1813:Z1814">{"LEARNED L19";(INDEX(ALLCLASSDATA,MATCH("Learned-L19",CLASSFEATUREHEADERS,0),MATCH(($A1814 &amp; "Points"),CLASSNAMEHEADERS,0)))}</f>
        <v>LEARNED L19</v>
      </c>
      <c r="AA1813" s="223" t="str">
        <f t="array" ref="AA1813:AA1814">{"LEARNED L20";(INDEX(ALLCLASSDATA,MATCH("Learned-L20",CLASSFEATUREHEADERS,0),MATCH(($A1814 &amp; "Points"),CLASSNAMEHEADERS,0)))}</f>
        <v>LEARNED L20</v>
      </c>
      <c r="AB1813" s="76"/>
      <c r="AC1813" s="76" t="str">
        <f t="array" ref="AC1813:AC1814">{"LEARNED TOTAL";(sum(G1814:AA1814))}</f>
        <v>LEARNED TOTAL</v>
      </c>
    </row>
    <row r="1814">
      <c r="A1814" s="48" t="s">
        <v>227</v>
      </c>
      <c r="B1814" s="48"/>
      <c r="C1814" s="48" t="s">
        <v>418</v>
      </c>
      <c r="D1814" s="48" t="s">
        <v>1901</v>
      </c>
      <c r="E1814" s="48" t="s">
        <v>1931</v>
      </c>
      <c r="F1814" s="278" t="s">
        <v>1906</v>
      </c>
      <c r="G1814" s="47">
        <v>0.0</v>
      </c>
      <c r="H1814" s="5">
        <v>20.0</v>
      </c>
      <c r="I1814" s="5">
        <v>10.0</v>
      </c>
      <c r="J1814" s="5">
        <v>20.0</v>
      </c>
      <c r="K1814" s="5">
        <v>10.0</v>
      </c>
      <c r="L1814" s="5">
        <v>20.0</v>
      </c>
      <c r="M1814" s="5">
        <v>10.0</v>
      </c>
      <c r="N1814" s="48">
        <v>20.0</v>
      </c>
      <c r="O1814" s="5">
        <v>10.0</v>
      </c>
      <c r="P1814" s="5">
        <v>20.0</v>
      </c>
      <c r="Q1814" s="5">
        <v>10.0</v>
      </c>
      <c r="R1814" s="5">
        <v>20.0</v>
      </c>
      <c r="S1814" s="5">
        <v>10.0</v>
      </c>
      <c r="T1814" s="5">
        <v>20.0</v>
      </c>
      <c r="U1814" s="5">
        <v>10.0</v>
      </c>
      <c r="V1814" s="5">
        <v>20.0</v>
      </c>
      <c r="W1814" s="5">
        <v>10.0</v>
      </c>
      <c r="X1814" s="5">
        <v>20.0</v>
      </c>
      <c r="Y1814" s="5">
        <v>10.0</v>
      </c>
      <c r="Z1814" s="5">
        <v>0.0</v>
      </c>
      <c r="AA1814" s="5" t="s">
        <v>603</v>
      </c>
      <c r="AB1814" s="5"/>
      <c r="AC1814" s="47">
        <v>270.0</v>
      </c>
    </row>
    <row r="1815" hidden="1">
      <c r="A1815" s="222" t="str">
        <f t="array" ref="A1815:A1816">{"FormulaRow42";(INDEX(CLASSLIST,A1732,1))}</f>
        <v>FormulaRow42</v>
      </c>
      <c r="B1815" s="77" t="s">
        <v>236</v>
      </c>
      <c r="C1815" s="222" t="str">
        <f t="array" ref="C1815:C1816">{"CLASSTYPE";((INDEX(ALLCLASSDATA,MATCH("ClassType",CLASSFEATUREHEADERS,0),MATCH($A1816,CLASSNAMEHEADERS,0))))}</f>
        <v>CLASSTYPE</v>
      </c>
      <c r="D1815" s="222" t="str">
        <f t="array" ref="D1815:D1816">{"SPELL/ALCHEMY";((IF(INDEX(ALLCLASSDATA,MATCH("CasterType",CLASSFEATUREHEADERS,0),MATCH(($A1816),CLASSNAMEHEADERS,0))="","",(IF(INDEX(ALLCLASSDATA,MATCH("CasterType",CLASSFEATUREHEADERS,0),MATCH(($A1816),CLASSNAMEHEADERS,0))="Alchemy","","Spells")))))}</f>
        <v>SPELL/ALCHEMY</v>
      </c>
      <c r="E1815" s="222" t="str">
        <f t="array" ref="E1815:E1816">{"SPELLLIST";(IF(D1816="Spells",((INDEX(ALLCLASSDATA,MATCH("CasterType",CLASSFEATUREHEADERS,0),MATCH(($A1816),CLASSNAMEHEADERS,0))) &amp; ":" &amp; (INDEX(ALLCLASSDATA,MATCH("SpellList",CLASSFEATUREHEADERS,0),MATCH(($A1816),CLASSNAMEHEADERS,0)))),""))}</f>
        <v>SPELLLIST</v>
      </c>
      <c r="F1815" s="223" t="str">
        <f t="array" ref="F1815:F1816">{"SLOT/LVL";(IF(D1810="Spells","Slot/LVL:",""))}</f>
        <v>SLOT/LVL</v>
      </c>
      <c r="G1815" s="223" t="str">
        <f t="array" ref="G1815:G1816">{"CANTRIPSLOTS";(INDEX(ALLCLASSDATA,MATCH("CantripSlots-L00",CLASSFEATUREHEADERS,0),MATCH($A1816,CLASSNAMEHEADERS,0)))}</f>
        <v>CANTRIPSLOTS</v>
      </c>
      <c r="H1815" s="223" t="str">
        <f t="array" ref="H1815:H1816">{"SPL01-L01";(INDEX(ALLCLASSDATA,MATCH("SPL01-L01",CLASSFEATUREHEADERS,0),MATCH($A1816,CLASSNAMEHEADERS,0)))}</f>
        <v>SPL01-L01</v>
      </c>
      <c r="I1815" s="223" t="str">
        <f t="array" ref="I1815:I1816">{"SPL01-L02";(INDEX(ALLCLASSDATA,MATCH("SPL01-L02",CLASSFEATUREHEADERS,0),MATCH($A1816,CLASSNAMEHEADERS,0)))}</f>
        <v>SPL01-L02</v>
      </c>
      <c r="J1815" s="223" t="str">
        <f t="array" ref="J1815:J1816">{"SPL02-L03";(INDEX(ALLCLASSDATA,MATCH("SPL02-L03",CLASSFEATUREHEADERS,0),MATCH($A1816,CLASSNAMEHEADERS,0)))}</f>
        <v>SPL02-L03</v>
      </c>
      <c r="K1815" s="223" t="str">
        <f t="array" ref="K1815:K1816">{"SPL02-L04";(INDEX(ALLCLASSDATA,MATCH("SPL02-L04",CLASSFEATUREHEADERS,0),MATCH($A1816,CLASSNAMEHEADERS,0)))}</f>
        <v>SPL02-L04</v>
      </c>
      <c r="L1815" s="223" t="str">
        <f t="array" ref="L1815:L1816">{"SPL03-L05";(INDEX(ALLCLASSDATA,MATCH("SPL03-L05",CLASSFEATUREHEADERS,0),MATCH($A1816,CLASSNAMEHEADERS,0)))}</f>
        <v>SPL03-L05</v>
      </c>
      <c r="M1815" s="223" t="str">
        <f t="array" ref="M1815:M1816">{"SPL03-L06";(INDEX(ALLCLASSDATA,MATCH("SPL03-L06",CLASSFEATUREHEADERS,0),MATCH($A1816,CLASSNAMEHEADERS,0)))}</f>
        <v>SPL03-L06</v>
      </c>
      <c r="N1815" s="223" t="str">
        <f t="array" ref="N1815:N1816">{"SPL04-L07";(INDEX(ALLCLASSDATA,MATCH("SPL04-L07",CLASSFEATUREHEADERS,0),MATCH($A1816,CLASSNAMEHEADERS,0)))}</f>
        <v>SPL04-L07</v>
      </c>
      <c r="O1815" s="223" t="str">
        <f t="array" ref="O1815:O1816">{"SPL04-L08";(INDEX(ALLCLASSDATA,MATCH("SPL04-L08",CLASSFEATUREHEADERS,0),MATCH($A1816,CLASSNAMEHEADERS,0)))}</f>
        <v>SPL04-L08</v>
      </c>
      <c r="P1815" s="223" t="str">
        <f t="array" ref="P1815:P1816">{"SPL05-L09";(INDEX(ALLCLASSDATA,MATCH("SPL05-L09",CLASSFEATUREHEADERS,0),MATCH($A1816,CLASSNAMEHEADERS,0)))}</f>
        <v>SPL05-L09</v>
      </c>
      <c r="Q1815" s="223" t="str">
        <f t="array" ref="Q1815:Q1816">{"SPL05-L10";(INDEX(ALLCLASSDATA,MATCH("SPL05-L10",CLASSFEATUREHEADERS,0),MATCH($A1816,CLASSNAMEHEADERS,0)))}</f>
        <v>SPL05-L10</v>
      </c>
      <c r="R1815" s="223" t="str">
        <f t="array" ref="R1815:R1816">{"SPL06-L11";(INDEX(ALLCLASSDATA,MATCH("SPL06-L11",CLASSFEATUREHEADERS,0),MATCH($A1816,CLASSNAMEHEADERS,0)))}</f>
        <v>SPL06-L11</v>
      </c>
      <c r="S1815" s="223" t="str">
        <f t="array" ref="S1815:S1816">{"SPL06-L12";(INDEX(ALLCLASSDATA,MATCH("SPL06-L12",CLASSFEATUREHEADERS,0),MATCH($A1816,CLASSNAMEHEADERS,0)))}</f>
        <v>SPL06-L12</v>
      </c>
      <c r="T1815" s="223" t="str">
        <f t="array" ref="T1815:T1816">{"SPL07-L13";(INDEX(ALLCLASSDATA,MATCH("SPL07-L13",CLASSFEATUREHEADERS,0),MATCH($A1816,CLASSNAMEHEADERS,0)))}</f>
        <v>SPL07-L13</v>
      </c>
      <c r="U1815" s="223" t="str">
        <f t="array" ref="U1815:U1816">{"SPL07-L14";(INDEX(ALLCLASSDATA,MATCH("SPL07-L14",CLASSFEATUREHEADERS,0),MATCH($A1816,CLASSNAMEHEADERS,0)))}</f>
        <v>SPL07-L14</v>
      </c>
      <c r="V1815" s="223" t="str">
        <f t="array" ref="V1815:V1816">{"SPL08-L15";(INDEX(ALLCLASSDATA,MATCH("SPL08-L15",CLASSFEATUREHEADERS,0),MATCH($A1816,CLASSNAMEHEADERS,0)))}</f>
        <v>SPL08-L15</v>
      </c>
      <c r="W1815" s="223" t="str">
        <f t="array" ref="W1815:W1816">{"SPL08-L16";(INDEX(ALLCLASSDATA,MATCH("SPL08-L16",CLASSFEATUREHEADERS,0),MATCH($A1816,CLASSNAMEHEADERS,0)))}</f>
        <v>SPL08-L16</v>
      </c>
      <c r="X1815" s="223" t="str">
        <f t="array" ref="X1815:X1816">{"SPL09-L17";(INDEX(ALLCLASSDATA,MATCH("SPL09-L17",CLASSFEATUREHEADERS,0),MATCH($A1816,CLASSNAMEHEADERS,0)))}</f>
        <v>SPL09-L17</v>
      </c>
      <c r="Y1815" s="223" t="str">
        <f t="array" ref="Y1815:Y1816">{"SPL09-L18";(INDEX(ALLCLASSDATA,MATCH("SPL09-L18",CLASSFEATUREHEADERS,0),MATCH($A1816,CLASSNAMEHEADERS,0)))}</f>
        <v>SPL09-L18</v>
      </c>
      <c r="Z1815" s="223" t="str">
        <f t="array" ref="Z1815:Z1816">{"SPL10-L19";(INDEX(ALLCLASSDATA,MATCH("SPL10-L19",CLASSFEATUREHEADERS,0),MATCH($A1816,CLASSNAMEHEADERS,0)))}</f>
        <v>SPL10-L19</v>
      </c>
      <c r="AA1815" s="223" t="str">
        <f t="array" ref="AA1815:AA1816">{"SPL10-L20";(INDEX(ALLCLASSDATA,MATCH("SPL10-L20",CLASSFEATUREHEADERS,0),MATCH($A1816,CLASSNAMEHEADERS,0)))}</f>
        <v>SPL10-L20</v>
      </c>
      <c r="AB1815" s="76"/>
      <c r="AC1815" s="76"/>
    </row>
    <row r="1816">
      <c r="A1816" s="48" t="s">
        <v>227</v>
      </c>
      <c r="B1816" s="48"/>
      <c r="C1816" s="48" t="s">
        <v>418</v>
      </c>
      <c r="D1816" s="48" t="s">
        <v>1901</v>
      </c>
      <c r="E1816" s="48" t="s">
        <v>1931</v>
      </c>
      <c r="F1816" s="278" t="s">
        <v>1907</v>
      </c>
      <c r="G1816" s="280"/>
      <c r="H1816" s="50" t="s">
        <v>1537</v>
      </c>
      <c r="I1816" s="50" t="s">
        <v>1537</v>
      </c>
      <c r="J1816" s="50" t="s">
        <v>1537</v>
      </c>
      <c r="K1816" s="50" t="s">
        <v>1537</v>
      </c>
      <c r="L1816" s="50" t="s">
        <v>1537</v>
      </c>
      <c r="M1816" s="50" t="s">
        <v>1537</v>
      </c>
      <c r="N1816" s="50" t="s">
        <v>1537</v>
      </c>
      <c r="O1816" s="50" t="s">
        <v>1537</v>
      </c>
      <c r="P1816" s="50" t="s">
        <v>1537</v>
      </c>
      <c r="Q1816" s="50" t="s">
        <v>1537</v>
      </c>
      <c r="R1816" s="50" t="s">
        <v>1537</v>
      </c>
      <c r="S1816" s="50" t="s">
        <v>1537</v>
      </c>
      <c r="T1816" s="50" t="s">
        <v>1537</v>
      </c>
      <c r="U1816" s="50" t="s">
        <v>1537</v>
      </c>
      <c r="V1816" s="50" t="s">
        <v>1537</v>
      </c>
      <c r="W1816" s="50" t="s">
        <v>1537</v>
      </c>
      <c r="X1816" s="50" t="s">
        <v>1537</v>
      </c>
      <c r="Y1816" s="50" t="s">
        <v>1537</v>
      </c>
      <c r="Z1816" s="50" t="s">
        <v>1537</v>
      </c>
      <c r="AA1816" s="50"/>
      <c r="AB1816" s="278"/>
      <c r="AC1816" s="47"/>
    </row>
    <row r="1817" hidden="1">
      <c r="A1817" s="222" t="str">
        <f t="array" ref="A1817:A1818">{"FormulaRow43";(INDEX(CLASSLIST,A1732,1))}</f>
        <v>FormulaRow43</v>
      </c>
      <c r="B1817" s="77" t="s">
        <v>236</v>
      </c>
      <c r="C1817" s="222" t="str">
        <f t="array" ref="C1817:C1818">{"CLASSTYPE";((INDEX(ALLCLASSDATA,MATCH("ClassType",CLASSFEATUREHEADERS,0),MATCH($A1818,CLASSNAMEHEADERS,0))))}</f>
        <v>CLASSTYPE</v>
      </c>
      <c r="D1817" s="222" t="str">
        <f t="array" ref="D1817:D1818">{"SPELL/ALCHEMY";((IF(INDEX(ALLCLASSDATA,MATCH("CasterType",CLASSFEATUREHEADERS,0),MATCH(($A1818),CLASSNAMEHEADERS,0))="","",(IF(INDEX(ALLCLASSDATA,MATCH("CasterType",CLASSFEATUREHEADERS,0),MATCH(($A1818),CLASSNAMEHEADERS,0))="Alchemy","Alchemy","Spells")))))}</f>
        <v>SPELL/ALCHEMY</v>
      </c>
      <c r="E1817" s="222" t="str">
        <f t="array" ref="E1817:E1818">{"SPELLLIST";(IF(D1818="Spells",((INDEX(ALLCLASSDATA,MATCH("CasterType",CLASSFEATUREHEADERS,0),MATCH(($A1818),CLASSNAMEHEADERS,0))) &amp; ":" &amp; (INDEX(ALLCLASSDATA,MATCH("SpellList",CLASSFEATUREHEADERS,0),MATCH(($A1818),CLASSNAMEHEADERS,0)))),""))}</f>
        <v>SPELLLIST</v>
      </c>
      <c r="F1817" s="223" t="str">
        <f t="array" ref="F1817:F1818">{"LEARNED/LVL";(IF(D1818="","","Learn/LVL:"))}</f>
        <v>LEARNED/LVL</v>
      </c>
      <c r="G1817" s="223" t="str">
        <f t="array" ref="G1817:G1818">{"LEARNEDCANTRIPS";(INDEX(ALLCLASSDATA,MATCH("CantripsLearned-L00",CLASSFEATUREHEADERS,0),MATCH($A1818,CLASSNAMEHEADERS,0)))}</f>
        <v>LEARNEDCANTRIPS</v>
      </c>
      <c r="H1817" s="223" t="str">
        <f t="array" ref="H1817:H1818">{"LEARNED L01";(INDEX(ALLCLASSDATA,MATCH("Learned-L01",CLASSFEATUREHEADERS,0),MATCH($A1818,CLASSNAMEHEADERS,0)))}</f>
        <v>LEARNED L01</v>
      </c>
      <c r="I1817" s="223" t="str">
        <f t="array" ref="I1817:I1818">{"LEARNED L02";(INDEX(ALLCLASSDATA,MATCH("Learned-L02",CLASSFEATUREHEADERS,0),MATCH($A1818,CLASSNAMEHEADERS,0)))}</f>
        <v>LEARNED L02</v>
      </c>
      <c r="J1817" s="223" t="str">
        <f t="array" ref="J1817:J1818">{"LEARNED L03";(INDEX(ALLCLASSDATA,MATCH("Learned-L03",CLASSFEATUREHEADERS,0),MATCH($A1818,CLASSNAMEHEADERS,0)))}</f>
        <v>LEARNED L03</v>
      </c>
      <c r="K1817" s="223" t="str">
        <f t="array" ref="K1817:K1818">{"LEARNED L04";(INDEX(ALLCLASSDATA,MATCH("Learned-L04",CLASSFEATUREHEADERS,0),MATCH($A1818,CLASSNAMEHEADERS,0)))}</f>
        <v>LEARNED L04</v>
      </c>
      <c r="L1817" s="223" t="str">
        <f t="array" ref="L1817:L1818">{"LEARNED L05";(INDEX(ALLCLASSDATA,MATCH("Learned-L05",CLASSFEATUREHEADERS,0),MATCH($A1818,CLASSNAMEHEADERS,0)))}</f>
        <v>LEARNED L05</v>
      </c>
      <c r="M1817" s="223" t="str">
        <f t="array" ref="M1817:M1818">{"LEARNED L06";(INDEX(ALLCLASSDATA,MATCH("Learned-L06",CLASSFEATUREHEADERS,0),MATCH($A1818,CLASSNAMEHEADERS,0)))}</f>
        <v>LEARNED L06</v>
      </c>
      <c r="N1817" s="223" t="str">
        <f t="array" ref="N1817:N1818">{"LEARNED L07";(INDEX(ALLCLASSDATA,MATCH("Learned-L07",CLASSFEATUREHEADERS,0),MATCH($A1818,CLASSNAMEHEADERS,0)))}</f>
        <v>LEARNED L07</v>
      </c>
      <c r="O1817" s="223" t="str">
        <f t="array" ref="O1817:O1818">{"LEARNED L08";(INDEX(ALLCLASSDATA,MATCH("Learned-L08",CLASSFEATUREHEADERS,0),MATCH($A1818,CLASSNAMEHEADERS,0)))}</f>
        <v>LEARNED L08</v>
      </c>
      <c r="P1817" s="223" t="str">
        <f t="array" ref="P1817:P1818">{"LEARNED L09";(INDEX(ALLCLASSDATA,MATCH("Learned-L09",CLASSFEATUREHEADERS,0),MATCH($A1818,CLASSNAMEHEADERS,0)))}</f>
        <v>LEARNED L09</v>
      </c>
      <c r="Q1817" s="223" t="str">
        <f t="array" ref="Q1817:Q1818">{"LEARNED L10";(INDEX(ALLCLASSDATA,MATCH("Learned-L10",CLASSFEATUREHEADERS,0),MATCH($A1818,CLASSNAMEHEADERS,0)))}</f>
        <v>LEARNED L10</v>
      </c>
      <c r="R1817" s="223" t="str">
        <f t="array" ref="R1817:R1818">{"LEARNED L11";(INDEX(ALLCLASSDATA,MATCH("Learned-L11",CLASSFEATUREHEADERS,0),MATCH($A1818,CLASSNAMEHEADERS,0)))}</f>
        <v>LEARNED L11</v>
      </c>
      <c r="S1817" s="223" t="str">
        <f t="array" ref="S1817:S1818">{"LEARNED L12";(INDEX(ALLCLASSDATA,MATCH("Learned-L12",CLASSFEATUREHEADERS,0),MATCH($A1818,CLASSNAMEHEADERS,0)))}</f>
        <v>LEARNED L12</v>
      </c>
      <c r="T1817" s="223" t="str">
        <f t="array" ref="T1817:T1818">{"LEARNED L13";(INDEX(ALLCLASSDATA,MATCH("Learned-L13",CLASSFEATUREHEADERS,0),MATCH($A1818,CLASSNAMEHEADERS,0)))}</f>
        <v>LEARNED L13</v>
      </c>
      <c r="U1817" s="223" t="str">
        <f t="array" ref="U1817:U1818">{"LEARNED L14";(INDEX(ALLCLASSDATA,MATCH("Learned-L14",CLASSFEATUREHEADERS,0),MATCH($A1818,CLASSNAMEHEADERS,0)))}</f>
        <v>LEARNED L14</v>
      </c>
      <c r="V1817" s="223" t="str">
        <f t="array" ref="V1817:V1818">{"LEARNED L15";(INDEX(ALLCLASSDATA,MATCH("Learned-L15",CLASSFEATUREHEADERS,0),MATCH($A1818,CLASSNAMEHEADERS,0)))}</f>
        <v>LEARNED L15</v>
      </c>
      <c r="W1817" s="223" t="str">
        <f t="array" ref="W1817:W1818">{"LEARNED L16";(INDEX(ALLCLASSDATA,MATCH("Learned-L16",CLASSFEATUREHEADERS,0),MATCH($A1818,CLASSNAMEHEADERS,0)))}</f>
        <v>LEARNED L16</v>
      </c>
      <c r="X1817" s="223" t="str">
        <f t="array" ref="X1817:X1818">{"LEARNED L17";(INDEX(ALLCLASSDATA,MATCH("Learned-L17",CLASSFEATUREHEADERS,0),MATCH($A1818,CLASSNAMEHEADERS,0)))}</f>
        <v>LEARNED L17</v>
      </c>
      <c r="Y1817" s="223" t="str">
        <f t="array" ref="Y1817:Y1818">{"LEARNED L18";(INDEX(ALLCLASSDATA,MATCH("Learned-L18",CLASSFEATUREHEADERS,0),MATCH($A1818,CLASSNAMEHEADERS,0)))}</f>
        <v>LEARNED L18</v>
      </c>
      <c r="Z1817" s="223" t="str">
        <f t="array" ref="Z1817:Z1818">{"LEARNED L19";(INDEX(ALLCLASSDATA,MATCH("Learned-L19",CLASSFEATUREHEADERS,0),MATCH($A1818,CLASSNAMEHEADERS,0)))}</f>
        <v>LEARNED L19</v>
      </c>
      <c r="AA1817" s="223" t="str">
        <f t="array" ref="AA1817:AA1818">{"LEARNED L20";(INDEX(ALLCLASSDATA,MATCH("Learned-L20",CLASSFEATUREHEADERS,0),MATCH($A1818,CLASSNAMEHEADERS,0)))}</f>
        <v>LEARNED L20</v>
      </c>
      <c r="AB1817" s="76"/>
      <c r="AC1817" s="76"/>
    </row>
    <row r="1818">
      <c r="A1818" s="48" t="s">
        <v>227</v>
      </c>
      <c r="B1818" s="48"/>
      <c r="C1818" s="48" t="s">
        <v>418</v>
      </c>
      <c r="D1818" s="48" t="s">
        <v>1901</v>
      </c>
      <c r="E1818" s="48" t="s">
        <v>1931</v>
      </c>
      <c r="F1818" s="278" t="s">
        <v>1909</v>
      </c>
      <c r="G1818" s="280" t="s">
        <v>1530</v>
      </c>
      <c r="H1818" s="278" t="s">
        <v>1538</v>
      </c>
      <c r="I1818" s="278" t="s">
        <v>1537</v>
      </c>
      <c r="J1818" s="278" t="s">
        <v>1538</v>
      </c>
      <c r="K1818" s="278" t="s">
        <v>1537</v>
      </c>
      <c r="L1818" s="278" t="s">
        <v>1538</v>
      </c>
      <c r="M1818" s="278" t="s">
        <v>1537</v>
      </c>
      <c r="N1818" s="278" t="s">
        <v>1538</v>
      </c>
      <c r="O1818" s="50" t="s">
        <v>1537</v>
      </c>
      <c r="P1818" s="278" t="s">
        <v>1538</v>
      </c>
      <c r="Q1818" s="278" t="s">
        <v>1537</v>
      </c>
      <c r="R1818" s="278" t="s">
        <v>1538</v>
      </c>
      <c r="S1818" s="278" t="s">
        <v>1537</v>
      </c>
      <c r="T1818" s="278" t="s">
        <v>1538</v>
      </c>
      <c r="U1818" s="278" t="s">
        <v>1537</v>
      </c>
      <c r="V1818" s="278" t="s">
        <v>1538</v>
      </c>
      <c r="W1818" s="278" t="s">
        <v>1537</v>
      </c>
      <c r="X1818" s="278" t="s">
        <v>1538</v>
      </c>
      <c r="Y1818" s="278" t="s">
        <v>1537</v>
      </c>
      <c r="Z1818" s="278" t="s">
        <v>1538</v>
      </c>
      <c r="AA1818" s="278"/>
      <c r="AB1818" s="278"/>
      <c r="AC1818" s="47"/>
    </row>
    <row r="1819" hidden="1">
      <c r="A1819" s="222" t="str">
        <f t="array" ref="A1819:A1820">{"FormulaRow44";(INDEX(CLASSLIST,A1732,1))}</f>
        <v>FormulaRow44</v>
      </c>
      <c r="B1819" s="77" t="s">
        <v>236</v>
      </c>
      <c r="C1819" s="222" t="str">
        <f t="array" ref="C1819:C1820">{"CLASSTYPE";((INDEX(ALLCLASSDATA,MATCH("ClassType",CLASSFEATUREHEADERS,0),MATCH($A1820,CLASSNAMEHEADERS,0))))}</f>
        <v>CLASSTYPE</v>
      </c>
      <c r="D1819" s="222" t="str">
        <f t="array" ref="D1819:D1820">{"SPELL/ALCHEMY";((IF(INDEX(ALLCLASSDATA,MATCH("CasterType",CLASSFEATUREHEADERS,0),MATCH(($A1820),CLASSNAMEHEADERS,0))="","",(IF(INDEX(ALLCLASSDATA,MATCH("CasterType",CLASSFEATUREHEADERS,0),MATCH(($A1820),CLASSNAMEHEADERS,0))="Alchemy","","Spells")))))}</f>
        <v>SPELL/ALCHEMY</v>
      </c>
      <c r="E1819" s="222" t="str">
        <f t="array" ref="E1819:E1820">{"SPELLLIST";(IF(D1820="Spells",((INDEX(ALLCLASSDATA,MATCH("CasterType",CLASSFEATUREHEADERS,0),MATCH(($A1820),CLASSNAMEHEADERS,0))) &amp; ":" &amp; (INDEX(ALLCLASSDATA,MATCH("SpellList",CLASSFEATUREHEADERS,0),MATCH(($A1820),CLASSNAMEHEADERS,0)))),""))}</f>
        <v>SPELLLIST</v>
      </c>
      <c r="F1819" s="223" t="str">
        <f t="array" ref="F1819:F1820">{"TOTALSLOTS";(IF(D1820="","","TotalSlots:"))}</f>
        <v>TOTALSLOTS</v>
      </c>
      <c r="G1819" s="223" t="str">
        <f t="array" ref="G1819:G1820">{"TOTALCANTRIPSLOTS";(G1816)}</f>
        <v>TOTALCANTRIPSLOTS</v>
      </c>
      <c r="H1819" s="223" t="str">
        <f t="array" ref="H1819:H1820">{"TOTALSLOTS L01";(H1816)}</f>
        <v>TOTALSLOTS L01</v>
      </c>
      <c r="I1819" s="223" t="str">
        <f t="array" ref="I1819:I1820">{"TOTALSLOTS L02";(H1820+I1816)}</f>
        <v>TOTALSLOTS L02</v>
      </c>
      <c r="J1819" s="223" t="str">
        <f t="array" ref="J1819:J1820">{"TOTALSLOTS L03";(I1820+J1816)}</f>
        <v>TOTALSLOTS L03</v>
      </c>
      <c r="K1819" s="223" t="str">
        <f t="array" ref="K1819:K1820">{"TOTALSLOTS L04";(J1820+K1816)}</f>
        <v>TOTALSLOTS L04</v>
      </c>
      <c r="L1819" s="223" t="str">
        <f t="array" ref="L1819:L1820">{"TOTALSLOTS L05";(K1820+L1816)}</f>
        <v>TOTALSLOTS L05</v>
      </c>
      <c r="M1819" s="223" t="str">
        <f t="array" ref="M1819:M1820">{"TOTALSLOTS L06";(L1820+M1816)}</f>
        <v>TOTALSLOTS L06</v>
      </c>
      <c r="N1819" s="223" t="str">
        <f t="array" ref="N1819:N1820">{"TOTALSLOTS L07";(M1820+N1816)}</f>
        <v>TOTALSLOTS L07</v>
      </c>
      <c r="O1819" s="223" t="str">
        <f t="array" ref="O1819:O1820">{"TOTALSLOTS L08";(N1820+O1816)}</f>
        <v>TOTALSLOTS L08</v>
      </c>
      <c r="P1819" s="223" t="str">
        <f t="array" ref="P1819:P1820">{"TOTALSLOTS L09";(O1820+P1816)}</f>
        <v>TOTALSLOTS L09</v>
      </c>
      <c r="Q1819" s="223" t="str">
        <f t="array" ref="Q1819:Q1820">{"TOTALSLOTS L10";(P1820+Q1816)}</f>
        <v>TOTALSLOTS L10</v>
      </c>
      <c r="R1819" s="223" t="str">
        <f t="array" ref="R1819:R1820">{"TOTALSLOTS L11";(Q1820+R1816)}</f>
        <v>TOTALSLOTS L11</v>
      </c>
      <c r="S1819" s="223" t="str">
        <f t="array" ref="S1819:S1820">{"TOTALSLOTS L12";(R1820+S1816)}</f>
        <v>TOTALSLOTS L12</v>
      </c>
      <c r="T1819" s="223" t="str">
        <f t="array" ref="T1819:T1820">{"TOTALSLOTS L13";(S1820+T1816)}</f>
        <v>TOTALSLOTS L13</v>
      </c>
      <c r="U1819" s="223" t="str">
        <f t="array" ref="U1819:U1820">{"TOTALSLOTS L14";(T1820+U1816)}</f>
        <v>TOTALSLOTS L14</v>
      </c>
      <c r="V1819" s="223" t="str">
        <f t="array" ref="V1819:V1820">{"TOTALSLOTS L15";(U1820+V1816)}</f>
        <v>TOTALSLOTS L15</v>
      </c>
      <c r="W1819" s="223" t="str">
        <f t="array" ref="W1819:W1820">{"TOTALSLOTS L16";(V1820+W1816)}</f>
        <v>TOTALSLOTS L16</v>
      </c>
      <c r="X1819" s="223" t="str">
        <f t="array" ref="X1819:X1820">{"TOTALSLOTS L17";(W1820+X1816)}</f>
        <v>TOTALSLOTS L17</v>
      </c>
      <c r="Y1819" s="223" t="str">
        <f t="array" ref="Y1819:Y1820">{"TOTALSLOTS L18";(X1820+Y1816)}</f>
        <v>TOTALSLOTS L18</v>
      </c>
      <c r="Z1819" s="223" t="str">
        <f t="array" ref="Z1819:Z1820">{"TOTALSLOTS L19";(Y1820+Z1816)}</f>
        <v>TOTALSLOTS L19</v>
      </c>
      <c r="AA1819" s="223" t="str">
        <f t="array" ref="AA1819:AA1820">{"TOTALSLOTS L20";(Z1820+AA1816)}</f>
        <v>TOTALSLOTS L20</v>
      </c>
      <c r="AB1819" s="76"/>
      <c r="AC1819" s="76"/>
    </row>
    <row r="1820">
      <c r="A1820" s="48" t="s">
        <v>227</v>
      </c>
      <c r="B1820" s="48"/>
      <c r="C1820" s="48" t="s">
        <v>418</v>
      </c>
      <c r="D1820" s="48" t="s">
        <v>1901</v>
      </c>
      <c r="E1820" s="48" t="s">
        <v>1931</v>
      </c>
      <c r="F1820" s="278" t="s">
        <v>1910</v>
      </c>
      <c r="G1820" s="280"/>
      <c r="H1820" s="278" t="s">
        <v>1537</v>
      </c>
      <c r="I1820" s="278">
        <v>2.0</v>
      </c>
      <c r="J1820" s="278">
        <v>3.0</v>
      </c>
      <c r="K1820" s="278">
        <v>4.0</v>
      </c>
      <c r="L1820" s="278">
        <v>5.0</v>
      </c>
      <c r="M1820" s="278">
        <v>6.0</v>
      </c>
      <c r="N1820" s="278">
        <v>7.0</v>
      </c>
      <c r="O1820" s="278">
        <v>8.0</v>
      </c>
      <c r="P1820" s="278">
        <v>9.0</v>
      </c>
      <c r="Q1820" s="278">
        <v>10.0</v>
      </c>
      <c r="R1820" s="278">
        <v>11.0</v>
      </c>
      <c r="S1820" s="278">
        <v>12.0</v>
      </c>
      <c r="T1820" s="278">
        <v>13.0</v>
      </c>
      <c r="U1820" s="278">
        <v>14.0</v>
      </c>
      <c r="V1820" s="278">
        <v>15.0</v>
      </c>
      <c r="W1820" s="278">
        <v>16.0</v>
      </c>
      <c r="X1820" s="278">
        <v>17.0</v>
      </c>
      <c r="Y1820" s="278">
        <v>18.0</v>
      </c>
      <c r="Z1820" s="278">
        <v>19.0</v>
      </c>
      <c r="AA1820" s="278">
        <v>19.0</v>
      </c>
      <c r="AB1820" s="5"/>
      <c r="AC1820" s="47"/>
    </row>
    <row r="1821" hidden="1">
      <c r="A1821" s="222" t="str">
        <f t="array" ref="A1821:A1822">{"FormulaRow45";(INDEX(CLASSLIST,A1732,1))}</f>
        <v>FormulaRow45</v>
      </c>
      <c r="B1821" s="77" t="s">
        <v>236</v>
      </c>
      <c r="C1821" s="222" t="str">
        <f t="array" ref="C1821:C1822">{"CLASSTYPE";((INDEX(ALLCLASSDATA,MATCH("ClassType",CLASSFEATUREHEADERS,0),MATCH($A1822,CLASSNAMEHEADERS,0))))}</f>
        <v>CLASSTYPE</v>
      </c>
      <c r="D1821" s="222" t="str">
        <f t="array" ref="D1821:D1822">{"SPELL/ALCHEMY";((IF(INDEX(ALLCLASSDATA,MATCH("CasterType",CLASSFEATUREHEADERS,0),MATCH(($A1822),CLASSNAMEHEADERS,0))="","",(IF(INDEX(ALLCLASSDATA,MATCH("CasterType",CLASSFEATUREHEADERS,0),MATCH(($A1822),CLASSNAMEHEADERS,0))="Alchemy","Alchemy","Spells")))))}</f>
        <v>SPELL/ALCHEMY</v>
      </c>
      <c r="E1821" s="222" t="str">
        <f t="array" ref="E1821:E1822">{"SPELLLIST";(IF(D1822="Spells",((INDEX(ALLCLASSDATA,MATCH("CasterType",CLASSFEATUREHEADERS,0),MATCH(($A1822),CLASSNAMEHEADERS,0))) &amp; ":" &amp; (INDEX(ALLCLASSDATA,MATCH("SpellList",CLASSFEATUREHEADERS,0),MATCH(($A1822),CLASSNAMEHEADERS,0)))),""))}</f>
        <v>SPELLLIST</v>
      </c>
      <c r="F1821" s="223" t="str">
        <f t="array" ref="F1821:F1822">{"TOTALLEARNED";(IF(D1822="","","TotalLearned:"))}</f>
        <v>TOTALLEARNED</v>
      </c>
      <c r="G1821" s="223" t="str">
        <f t="array" ref="G1821:G1822">{"TOTALCANTRIPSLEARNED";(G1818)}</f>
        <v>TOTALCANTRIPSLEARNED</v>
      </c>
      <c r="H1821" s="223" t="str">
        <f t="array" ref="H1821:H1822">{"TOTALLEARNED L01";(H1818)}</f>
        <v>TOTALLEARNED L01</v>
      </c>
      <c r="I1821" s="223" t="str">
        <f t="array" ref="I1821:I1822">{"TOTALLEARNED L02";(H1822+I1818)}</f>
        <v>TOTALLEARNED L02</v>
      </c>
      <c r="J1821" s="223" t="str">
        <f t="array" ref="J1821:J1822">{"TOTALLEARNED L03";(I1822+J1818)}</f>
        <v>TOTALLEARNED L03</v>
      </c>
      <c r="K1821" s="223" t="str">
        <f t="array" ref="K1821:K1822">{"TOTALLEARNED L04";(J1822+K1818)}</f>
        <v>TOTALLEARNED L04</v>
      </c>
      <c r="L1821" s="223" t="str">
        <f t="array" ref="L1821:L1822">{"TOTALLEARNED L05";(K1822+L1818)}</f>
        <v>TOTALLEARNED L05</v>
      </c>
      <c r="M1821" s="223" t="str">
        <f t="array" ref="M1821:M1822">{"TOTALLEARNED L06";(L1822+M1818)}</f>
        <v>TOTALLEARNED L06</v>
      </c>
      <c r="N1821" s="223" t="str">
        <f t="array" ref="N1821:N1822">{"TOTALLEARNED L07";(M1822+N1818)}</f>
        <v>TOTALLEARNED L07</v>
      </c>
      <c r="O1821" s="223" t="str">
        <f t="array" ref="O1821:O1822">{"TOTALLEARNED L08";(N1822+O1818)}</f>
        <v>TOTALLEARNED L08</v>
      </c>
      <c r="P1821" s="223" t="str">
        <f t="array" ref="P1821:P1822">{"TOTALLEARNED L09";(O1822+P1818)}</f>
        <v>TOTALLEARNED L09</v>
      </c>
      <c r="Q1821" s="223" t="str">
        <f t="array" ref="Q1821:Q1822">{"TOTALLEARNED L10";(P1822+Q1818)}</f>
        <v>TOTALLEARNED L10</v>
      </c>
      <c r="R1821" s="223" t="str">
        <f t="array" ref="R1821:R1822">{"TOTALLEARNED L11";(Q1822+R1818)}</f>
        <v>TOTALLEARNED L11</v>
      </c>
      <c r="S1821" s="223" t="str">
        <f t="array" ref="S1821:S1822">{"TOTALLEARNED L12";(R1822+S1818)}</f>
        <v>TOTALLEARNED L12</v>
      </c>
      <c r="T1821" s="223" t="str">
        <f t="array" ref="T1821:T1822">{"TOTALLEARNED L13";(S1822+T1818)}</f>
        <v>TOTALLEARNED L13</v>
      </c>
      <c r="U1821" s="223" t="str">
        <f t="array" ref="U1821:U1822">{"TOTALLEARNED L14";(T1822+U1818)}</f>
        <v>TOTALLEARNED L14</v>
      </c>
      <c r="V1821" s="223" t="str">
        <f t="array" ref="V1821:V1822">{"TOTALLEARNED L15";(U1822+V1818)}</f>
        <v>TOTALLEARNED L15</v>
      </c>
      <c r="W1821" s="223" t="str">
        <f t="array" ref="W1821:W1822">{"TOTALLEARNED L16";(V1822+W1818)}</f>
        <v>TOTALLEARNED L16</v>
      </c>
      <c r="X1821" s="223" t="str">
        <f t="array" ref="X1821:X1822">{"TOTALLEARNED L17";(W1822+X1818)}</f>
        <v>TOTALLEARNED L17</v>
      </c>
      <c r="Y1821" s="223" t="str">
        <f t="array" ref="Y1821:Y1822">{"TOTALLEARNED L18";(X1822+Y1818)}</f>
        <v>TOTALLEARNED L18</v>
      </c>
      <c r="Z1821" s="223" t="str">
        <f t="array" ref="Z1821:Z1822">{"TOTALLEARNED L19";(Y1822+Z1818)}</f>
        <v>TOTALLEARNED L19</v>
      </c>
      <c r="AA1821" s="223" t="str">
        <f t="array" ref="AA1821:AA1822">{"TOTALLEARNED L20";(Z1822+AA1818)}</f>
        <v>TOTALLEARNED L20</v>
      </c>
      <c r="AB1821" s="76"/>
      <c r="AC1821" s="76"/>
    </row>
    <row r="1822">
      <c r="A1822" s="97" t="s">
        <v>227</v>
      </c>
      <c r="B1822" s="97"/>
      <c r="C1822" s="97" t="s">
        <v>418</v>
      </c>
      <c r="D1822" s="97" t="s">
        <v>1901</v>
      </c>
      <c r="E1822" s="97" t="s">
        <v>1931</v>
      </c>
      <c r="F1822" s="281" t="s">
        <v>1911</v>
      </c>
      <c r="G1822" s="282" t="s">
        <v>1530</v>
      </c>
      <c r="H1822" s="278" t="s">
        <v>1538</v>
      </c>
      <c r="I1822" s="278">
        <v>3.0</v>
      </c>
      <c r="J1822" s="278">
        <v>5.0</v>
      </c>
      <c r="K1822" s="278">
        <v>6.0</v>
      </c>
      <c r="L1822" s="278">
        <v>8.0</v>
      </c>
      <c r="M1822" s="278">
        <v>9.0</v>
      </c>
      <c r="N1822" s="278">
        <v>11.0</v>
      </c>
      <c r="O1822" s="278">
        <v>12.0</v>
      </c>
      <c r="P1822" s="278">
        <v>14.0</v>
      </c>
      <c r="Q1822" s="278">
        <v>15.0</v>
      </c>
      <c r="R1822" s="278">
        <v>17.0</v>
      </c>
      <c r="S1822" s="278">
        <v>18.0</v>
      </c>
      <c r="T1822" s="278">
        <v>20.0</v>
      </c>
      <c r="U1822" s="278">
        <v>21.0</v>
      </c>
      <c r="V1822" s="278">
        <v>23.0</v>
      </c>
      <c r="W1822" s="278">
        <v>24.0</v>
      </c>
      <c r="X1822" s="278">
        <v>26.0</v>
      </c>
      <c r="Y1822" s="278">
        <v>27.0</v>
      </c>
      <c r="Z1822" s="278">
        <v>29.0</v>
      </c>
      <c r="AA1822" s="278">
        <v>29.0</v>
      </c>
      <c r="AB1822" s="5"/>
      <c r="AC1822" s="47"/>
    </row>
    <row r="1823">
      <c r="A1823" s="55">
        <f>VLOOKUP($C1823, CLASSNUMBERFINDER, 2, false)</f>
        <v>21</v>
      </c>
      <c r="B1823" s="58"/>
      <c r="C1823" s="70" t="s">
        <v>229</v>
      </c>
      <c r="D1823" s="71"/>
      <c r="E1823" s="71"/>
      <c r="F1823" s="71"/>
      <c r="G1823" s="72"/>
      <c r="H1823" s="71"/>
      <c r="I1823" s="71"/>
      <c r="J1823" s="71"/>
      <c r="K1823" s="71"/>
      <c r="L1823" s="71"/>
      <c r="M1823" s="71"/>
      <c r="N1823" s="71"/>
      <c r="O1823" s="71"/>
      <c r="P1823" s="71"/>
      <c r="Q1823" s="71"/>
      <c r="R1823" s="71"/>
      <c r="S1823" s="71"/>
      <c r="T1823" s="71"/>
      <c r="U1823" s="71"/>
      <c r="V1823" s="71"/>
      <c r="W1823" s="71"/>
      <c r="X1823" s="71"/>
      <c r="Y1823" s="71"/>
      <c r="Z1823" s="71"/>
      <c r="AA1823" s="71"/>
      <c r="AB1823" s="71"/>
      <c r="AC1823" s="73"/>
    </row>
    <row r="1824" hidden="1">
      <c r="A1824" s="76" t="str">
        <f t="array" ref="A1824:A1825">{"FormulaRow01";(INDEX(CLASSLIST,A1823,1))}</f>
        <v>FormulaRow01</v>
      </c>
      <c r="B1824" s="77" t="s">
        <v>236</v>
      </c>
      <c r="C1824" s="76" t="str">
        <f t="array" ref="C1824:C1825">{"CLASSTYPE";(INDEX(ALLCLASSDATA,MATCH("ClassType",CLASSFEATUREHEADERS,0),MATCH($A1825,CLASSNAMEHEADERS,0)))}</f>
        <v>CLASSTYPE</v>
      </c>
      <c r="D1824" s="81" t="str">
        <f t="array" ref="D1824:D1825">{"TOTAL";("Total: " &amp; H1825+J1825+L1825+N1825+P1825+R1825+T1825+V1825+X1825+Z1825)}</f>
        <v>TOTAL</v>
      </c>
      <c r="E1824" s="81" t="str">
        <f t="array" ref="E1824:E1825">{"BALANCE";(IF((H1825+J1825+L1825+N1825+P1825+R1825+T1825+V1825+X1825+Z1825)=2100,"(balanced)",(IF((H1825+J1825+L1825+N1825+P1825+R1825+T1825+V1825+X1825+Z1825)&gt;2100,"OVERBUDGET: ","UNDERBUDGET: ")) &amp; (H1825+J1825+L1825+N1825+P1825+R1825+T1825+V1825+X1825+Z1825-2100)))}</f>
        <v>BALANCE</v>
      </c>
      <c r="F1824" s="81"/>
      <c r="G1824" s="81"/>
      <c r="H1824" s="81" t="str">
        <f t="array" ref="H1824:H1825">{"SUM LVL0/1/2";((SUMIF(F1826:I1905,"&lt;&gt;#REF!")+(SUMIF(J1826:AA1833,"&lt;&gt;#REF!"))))}</f>
        <v>SUM LVL0/1/2</v>
      </c>
      <c r="I1824" s="81"/>
      <c r="J1824" s="81" t="str">
        <f t="array" ref="J1824:J1825">{"SUM LVL3/4";(SUMIF(J1834:K1905,"&lt;&gt;#REF!"))}</f>
        <v>SUM LVL3/4</v>
      </c>
      <c r="K1824" s="81"/>
      <c r="L1824" s="81" t="str">
        <f t="array" ref="L1824:L1825">{"SUM LVL5/6";(SUMIF(L1834:M1905,"&lt;&gt;#REF!"))}</f>
        <v>SUM LVL5/6</v>
      </c>
      <c r="M1824" s="81"/>
      <c r="N1824" s="81" t="str">
        <f t="array" ref="N1824:N1825">{"SUM LVL7/8";(SUMIF(N1834:O1905,"&lt;&gt;#REF!"))}</f>
        <v>SUM LVL7/8</v>
      </c>
      <c r="O1824" s="81"/>
      <c r="P1824" s="81" t="str">
        <f t="array" ref="P1824:P1825">{"SUM LVL9/10";(SUMIF(P1834:Q1905,"&lt;&gt;#REF!"))}</f>
        <v>SUM LVL9/10</v>
      </c>
      <c r="Q1824" s="81"/>
      <c r="R1824" s="81" t="str">
        <f t="array" ref="R1824:R1825">{"SUM LVL11/12";(SUMIF(R1834:S1905,"&lt;&gt;#REF!"))}</f>
        <v>SUM LVL11/12</v>
      </c>
      <c r="S1824" s="81"/>
      <c r="T1824" s="81" t="str">
        <f t="array" ref="T1824:T1825">{"SUM LVL13/14";(SUMIF(T1834:U1905,"&lt;&gt;#REF!"))}</f>
        <v>SUM LVL13/14</v>
      </c>
      <c r="U1824" s="81"/>
      <c r="V1824" s="81" t="str">
        <f t="array" ref="V1824:V1825">{"SUM LVL15/16";(SUMIF(V1834:W1905,"&lt;&gt;#REF!"))}</f>
        <v>SUM LVL15/16</v>
      </c>
      <c r="W1824" s="81"/>
      <c r="X1824" s="81" t="str">
        <f t="array" ref="X1824:X1825">{"SUM LVL17/18";(SUMIF(X1834:Y1905,"&lt;&gt;#REF!"))}</f>
        <v>SUM LVL17/18</v>
      </c>
      <c r="Y1824" s="81"/>
      <c r="Z1824" s="81" t="str">
        <f t="array" ref="Z1824:Z1825">{"SUM LVL19/20";(SUMIF(Z1834:AA1905,"&lt;&gt;#REF!"))}</f>
        <v>SUM LVL19/20</v>
      </c>
      <c r="AA1824" s="81"/>
      <c r="AB1824" s="76"/>
      <c r="AC1824" s="76" t="str">
        <f t="array" ref="AC1824:AC1825">{"SUM ROWTOTALS";(SUMIF(AC1827:AC1913,"&lt;&gt;#REF!"))}</f>
        <v>SUM ROWTOTALS</v>
      </c>
    </row>
    <row r="1825">
      <c r="A1825" s="48" t="s">
        <v>229</v>
      </c>
      <c r="B1825" s="48"/>
      <c r="C1825" s="48" t="s">
        <v>418</v>
      </c>
      <c r="D1825" s="91" t="s">
        <v>416</v>
      </c>
      <c r="E1825" s="92" t="s">
        <v>419</v>
      </c>
      <c r="F1825" s="91"/>
      <c r="G1825" s="93"/>
      <c r="H1825" s="92">
        <v>450.0</v>
      </c>
      <c r="I1825" s="92"/>
      <c r="J1825" s="92">
        <v>80.0</v>
      </c>
      <c r="K1825" s="92"/>
      <c r="L1825" s="92">
        <v>130.0</v>
      </c>
      <c r="M1825" s="92"/>
      <c r="N1825" s="92">
        <v>130.0</v>
      </c>
      <c r="O1825" s="92"/>
      <c r="P1825" s="92">
        <v>130.0</v>
      </c>
      <c r="Q1825" s="92"/>
      <c r="R1825" s="92">
        <v>180.0</v>
      </c>
      <c r="S1825" s="92"/>
      <c r="T1825" s="92">
        <v>200.0</v>
      </c>
      <c r="U1825" s="92"/>
      <c r="V1825" s="92">
        <v>190.0</v>
      </c>
      <c r="W1825" s="92"/>
      <c r="X1825" s="92">
        <v>190.0</v>
      </c>
      <c r="Y1825" s="92"/>
      <c r="Z1825" s="92">
        <v>420.0</v>
      </c>
      <c r="AA1825" s="92"/>
      <c r="AB1825" s="5"/>
      <c r="AC1825" s="47">
        <v>2100.0</v>
      </c>
    </row>
    <row r="1826" hidden="1">
      <c r="A1826" s="76" t="str">
        <f t="array" ref="A1826:A1827">{"FormulaRow02";(INDEX(CLASSLIST,A1823,1))}</f>
        <v>FormulaRow02</v>
      </c>
      <c r="B1826" s="77" t="s">
        <v>236</v>
      </c>
      <c r="C1826" s="76" t="str">
        <f t="array" ref="C1826:C1827">{"CLASSTYPE";((INDEX(ALLCLASSDATA,MATCH("ClassType",CLASSFEATUREHEADERS,0),MATCH($A1827,CLASSNAMEHEADERS,0))))}</f>
        <v>CLASSTYPE</v>
      </c>
      <c r="D1826" s="81" t="str">
        <f t="array" ref="D1826:D1827">{"FEATURES";"Features"}</f>
        <v>FEATURES</v>
      </c>
      <c r="E1826" s="81" t="str">
        <f t="array" ref="E1826:E1827">{"INITIALFEATURES";"Initial Features"}</f>
        <v>INITIALFEATURES</v>
      </c>
      <c r="F1826" s="81" t="str">
        <f t="array" ref="F1826:F1827">{"KEY";"Key"}</f>
        <v>KEY</v>
      </c>
      <c r="G1826" s="81" t="str">
        <f t="array" ref="G1826:G1827">{"HP";"HP"}</f>
        <v>HP</v>
      </c>
      <c r="H1826" s="81" t="str">
        <f t="array" ref="H1826:H1827">{"CLASSFEATL01";"ClassFeatL01"}</f>
        <v>CLASSFEATL01</v>
      </c>
      <c r="I1826" s="81" t="str">
        <f t="array" ref="I1826:I1827">{"SHIELDBLOCKL01";"ShieldBlockL01"}</f>
        <v>SHIELDBLOCKL01</v>
      </c>
      <c r="J1826" s="81" t="str">
        <f t="array" ref="J1826:J1827">{"INITIALSKILLS";"InitialSkills"}</f>
        <v>INITIALSKILLS</v>
      </c>
      <c r="K1826" s="81" t="str">
        <f t="array" ref="K1826:K1827">{"SUBCLASSSKILLS";"SubclassSkills"}</f>
        <v>SUBCLASSSKILLS</v>
      </c>
      <c r="L1826" s="81" t="str">
        <f t="array" ref="L1826:L1827">{"GRANTEDSKILLS";"GrantedSkills"}</f>
        <v>GRANTEDSKILLS</v>
      </c>
      <c r="M1826" s="81"/>
      <c r="N1826" s="81"/>
      <c r="O1826" s="81"/>
      <c r="P1826" s="81" t="str">
        <f t="array" ref="P1826:P1827">{"FOCUSSPELLS";"FocusSpells:"}</f>
        <v>FOCUSSPELLS</v>
      </c>
      <c r="Q1826" s="81" t="str">
        <f t="array" ref="Q1826:Q1827">{"FOCUSSPELL1-L00";((INDEX(ALLCLASSDATA,MATCH("FocusSpell1-L00",CLASSFEATUREHEADERS,0),MATCH(($A1827),CLASSNAMEHEADERS,0))))}</f>
        <v>FOCUSSPELL1-L00</v>
      </c>
      <c r="R1826" s="81" t="str">
        <f t="array" ref="R1826:R1827">{"FOCUSSPELL2-L00";((INDEX(ALLCLASSDATA,MATCH("FocusSpell2-L00",CLASSFEATUREHEADERS,0),MATCH(($A1827),CLASSNAMEHEADERS,0))))}</f>
        <v>FOCUSSPELL2-L00</v>
      </c>
      <c r="S1826" s="81" t="str">
        <f t="array" ref="S1826:S1827">{"FOCUSSPELL3-L00";((INDEX(ALLCLASSDATA,MATCH("FocusSpell3-L00",CLASSFEATUREHEADERS,0),MATCH(($A1827),CLASSNAMEHEADERS,0))))}</f>
        <v>FOCUSSPELL3-L00</v>
      </c>
      <c r="T1826" s="81" t="str">
        <f t="array" ref="T1826:T1827">{"FOCUSSPELL4-L00";((INDEX(ALLCLASSDATA,MATCH("FocusSpell4-L00",CLASSFEATUREHEADERS,0),MATCH(($A1827),CLASSNAMEHEADERS,0))))}</f>
        <v>FOCUSSPELL4-L00</v>
      </c>
      <c r="U1826" s="81" t="str">
        <f t="array" ref="U1826:U1827">{"FOCUSSPELL5-L00";((INDEX(ALLCLASSDATA,MATCH("FocusSpell5-L00",CLASSFEATUREHEADERS,0),MATCH(($A1827),CLASSNAMEHEADERS,0))))}</f>
        <v>FOCUSSPELL5-L00</v>
      </c>
      <c r="V1826" s="81"/>
      <c r="W1826" s="81"/>
      <c r="X1826" s="81"/>
      <c r="Y1826" s="81"/>
      <c r="Z1826" s="81"/>
      <c r="AA1826" s="81"/>
      <c r="AB1826" s="76"/>
      <c r="AC1826" s="76"/>
    </row>
    <row r="1827">
      <c r="A1827" s="48" t="s">
        <v>229</v>
      </c>
      <c r="B1827" s="48"/>
      <c r="C1827" s="48" t="s">
        <v>418</v>
      </c>
      <c r="D1827" s="48" t="s">
        <v>467</v>
      </c>
      <c r="E1827" s="48" t="s">
        <v>468</v>
      </c>
      <c r="F1827" s="48" t="s">
        <v>469</v>
      </c>
      <c r="G1827" s="114" t="s">
        <v>15</v>
      </c>
      <c r="H1827" s="8" t="s">
        <v>451</v>
      </c>
      <c r="I1827" s="8" t="s">
        <v>463</v>
      </c>
      <c r="J1827" s="8" t="s">
        <v>473</v>
      </c>
      <c r="K1827" s="8" t="s">
        <v>474</v>
      </c>
      <c r="L1827" s="8" t="s">
        <v>475</v>
      </c>
      <c r="M1827" s="8"/>
      <c r="N1827" s="8"/>
      <c r="O1827" s="8"/>
      <c r="P1827" s="8" t="s">
        <v>476</v>
      </c>
      <c r="Q1827" s="116" t="s">
        <v>1602</v>
      </c>
      <c r="R1827" s="116"/>
      <c r="S1827" s="116"/>
      <c r="T1827" s="116"/>
      <c r="U1827" s="116"/>
      <c r="V1827" s="8"/>
      <c r="W1827" s="8"/>
      <c r="X1827" s="8"/>
      <c r="Y1827" s="8"/>
      <c r="Z1827" s="5"/>
      <c r="AA1827" s="5"/>
      <c r="AB1827" s="5"/>
      <c r="AC1827" s="47"/>
    </row>
    <row r="1828" hidden="1">
      <c r="A1828" s="76" t="str">
        <f t="array" ref="A1828:A1829">{"FormulaRow03";(INDEX(CLASSLIST,A1823,1))}</f>
        <v>FormulaRow03</v>
      </c>
      <c r="B1828" s="77" t="s">
        <v>236</v>
      </c>
      <c r="C1828" s="76" t="str">
        <f t="array" ref="C1828:C1829">{"CLASSTYPE";((INDEX(ALLCLASSDATA,MATCH("ClassType",CLASSFEATUREHEADERS,0),MATCH($A1829,CLASSNAMEHEADERS,0))))}</f>
        <v>CLASSTYPE</v>
      </c>
      <c r="D1828" s="76" t="str">
        <f t="array" ref="D1828:D1829">{"FEATUREPTS";"FeaturesPts"}</f>
        <v>FEATUREPTS</v>
      </c>
      <c r="E1828" s="76" t="str">
        <f t="array" ref="E1828:E1829">{"INITIALFEATURES";"Initial Features"}</f>
        <v>INITIALFEATURES</v>
      </c>
      <c r="F1828" s="76" t="str">
        <f t="array" ref="F1828:F1829">{"KEYABILITY";((INDEX(ALLCLASSDATA,MATCH("KEYABILITY",CLASSFEATUREHEADERS,0),MATCH($A1829,CLASSNAMEHEADERS,0))))}</f>
        <v>KEYABILITY</v>
      </c>
      <c r="G1828" s="76" t="str">
        <f t="array" ref="G1828:G1829">{"HP";((INDEX(ALLCLASSDATA,MATCH("HP",CLASSFEATUREHEADERS,0),MATCH(($A1829 &amp; "Points"),CLASSNAMEHEADERS,0))))}</f>
        <v>HP</v>
      </c>
      <c r="H1828" s="76" t="str">
        <f t="array" ref="H1828:H1829">{"CLASSFEATL01";((INDEX(ALLCLASSDATA,MATCH("ClassFeatL01",CLASSFEATUREHEADERS,0),MATCH(($A1829 &amp; "Points"),CLASSNAMEHEADERS,0))))}</f>
        <v>CLASSFEATL01</v>
      </c>
      <c r="I1828" s="76" t="str">
        <f t="array" ref="I1828:I1829">{"SHIELDBLOCKL01";((INDEX(ALLCLASSDATA,MATCH("ShieldBlockL01",CLASSFEATUREHEADERS,0),MATCH(($A1829 &amp; "Points"),CLASSNAMEHEADERS,0))))}</f>
        <v>SHIELDBLOCKL01</v>
      </c>
      <c r="J1828" s="76" t="str">
        <f t="array" ref="J1828:J1829">{"INITIALSKILLINCREASES";((INDEX(ALLCLASSDATA,MATCH("InitialSkillIncreases",CLASSFEATUREHEADERS,0),MATCH(($A1829 &amp; "Points"),CLASSNAMEHEADERS,0))))}</f>
        <v>INITIALSKILLINCREASES</v>
      </c>
      <c r="K1828" s="76" t="str">
        <f t="array" ref="K1828:K1829">{"SUBCLASSSKILLINCREASES";((INDEX(ALLCLASSDATA,MATCH("SubclassSkillIncreases",CLASSFEATUREHEADERS,0),MATCH(($A1829 &amp; "Points"),CLASSNAMEHEADERS,0))))}</f>
        <v>SUBCLASSSKILLINCREASES</v>
      </c>
      <c r="L1828" s="76" t="str">
        <f t="array" ref="L1828:L1829">{"GRANTEDSKILLS";(((INDEX(ALLCLASSDATA,MATCH("SkillsGrantedTotal",CLASSFEATUREHEADERS,0),MATCH(($A1829 &amp; "Points"),CLASSNAMEHEADERS,0)))-(INDEX(ALLCLASSDATA,MATCH("InitialSkillIncreases",CLASSFEATUREHEADERS,0),MATCH(($A1829 &amp; "Points"),CLASSNAMEHEADERS,0)))-(INDEX(ALLCLASSDATA,MATCH("SubclassSkillIncreases",CLASSFEATUREHEADERS,0),MATCH(($A1829 &amp; "Points"),CLASSNAMEHEADERS,0)))))}</f>
        <v>GRANTEDSKILLS</v>
      </c>
      <c r="M1828" s="76"/>
      <c r="N1828" s="76"/>
      <c r="O1828" s="76"/>
      <c r="P1828" s="76"/>
      <c r="Q1828" s="76" t="str">
        <f t="array" ref="Q1828:Q1829">{"FOCUSSPELL1-L00";((INDEX(ALLCLASSDATA,MATCH("FocusSpell1-L00",CLASSFEATUREHEADERS,0),MATCH(($A1829 &amp; "Points"),CLASSNAMEHEADERS,0))))}</f>
        <v>FOCUSSPELL1-L00</v>
      </c>
      <c r="R1828" s="76" t="str">
        <f t="array" ref="R1828:R1829">{"FOCUSSPELL2-L00";((INDEX(ALLCLASSDATA,MATCH("FocusSpell2-L00",CLASSFEATUREHEADERS,0),MATCH(($A1829 &amp; "Points"),CLASSNAMEHEADERS,0))))}</f>
        <v>FOCUSSPELL2-L00</v>
      </c>
      <c r="S1828" s="76" t="str">
        <f t="array" ref="S1828:S1829">{"FOCUSSPELL3-L00";((INDEX(ALLCLASSDATA,MATCH("FocusSpell3-L00",CLASSFEATUREHEADERS,0),MATCH(($A1829 &amp; "Points"),CLASSNAMEHEADERS,0))))}</f>
        <v>FOCUSSPELL3-L00</v>
      </c>
      <c r="T1828" s="76" t="str">
        <f t="array" ref="T1828:T1829">{"FOCUSSPELL4-L00";((INDEX(ALLCLASSDATA,MATCH("FocusSpell4-L00",CLASSFEATUREHEADERS,0),MATCH(($A1829 &amp; "Points"),CLASSNAMEHEADERS,0))))}</f>
        <v>FOCUSSPELL4-L00</v>
      </c>
      <c r="U1828" s="76" t="str">
        <f t="array" ref="U1828:U1829">{"FOCUSSPELL5-L00";((INDEX(ALLCLASSDATA,MATCH("FocusSpell5-L00",CLASSFEATUREHEADERS,0),MATCH(($A1829 &amp; "Points"),CLASSNAMEHEADERS,0))))}</f>
        <v>FOCUSSPELL5-L00</v>
      </c>
      <c r="V1828" s="76"/>
      <c r="W1828" s="76"/>
      <c r="X1828" s="76"/>
      <c r="Y1828" s="76"/>
      <c r="Z1828" s="76"/>
      <c r="AA1828" s="76"/>
      <c r="AB1828" s="76"/>
      <c r="AC1828" s="76" t="str">
        <f t="array" ref="AC1828:AC1829">{"FEATUREPTS TOTAL";(sum(G1829:AA1829))}</f>
        <v>FEATUREPTS TOTAL</v>
      </c>
    </row>
    <row r="1829">
      <c r="A1829" s="48" t="s">
        <v>229</v>
      </c>
      <c r="B1829" s="48"/>
      <c r="C1829" s="48" t="s">
        <v>418</v>
      </c>
      <c r="D1829" s="97" t="s">
        <v>559</v>
      </c>
      <c r="E1829" s="97" t="s">
        <v>468</v>
      </c>
      <c r="F1829" s="97" t="s">
        <v>262</v>
      </c>
      <c r="G1829" s="132">
        <v>60.0</v>
      </c>
      <c r="H1829" s="98" t="s">
        <v>603</v>
      </c>
      <c r="I1829" s="98" t="s">
        <v>603</v>
      </c>
      <c r="J1829" s="98">
        <v>10.0</v>
      </c>
      <c r="K1829" s="98"/>
      <c r="L1829" s="98">
        <v>5.0</v>
      </c>
      <c r="M1829" s="98"/>
      <c r="N1829" s="98"/>
      <c r="O1829" s="98"/>
      <c r="P1829" s="98"/>
      <c r="Q1829" s="98">
        <v>10.0</v>
      </c>
      <c r="R1829" s="98"/>
      <c r="S1829" s="98"/>
      <c r="T1829" s="98"/>
      <c r="U1829" s="98"/>
      <c r="V1829" s="98"/>
      <c r="W1829" s="98"/>
      <c r="X1829" s="98"/>
      <c r="Y1829" s="98"/>
      <c r="Z1829" s="98"/>
      <c r="AA1829" s="98"/>
      <c r="AB1829" s="5"/>
      <c r="AC1829" s="47">
        <v>85.0</v>
      </c>
    </row>
    <row r="1830" hidden="1">
      <c r="A1830" s="76" t="str">
        <f t="array" ref="A1830:A1831">{"FormulaRow04";(INDEX(CLASSLIST,A1823,1))}</f>
        <v>FormulaRow04</v>
      </c>
      <c r="B1830" s="77" t="s">
        <v>236</v>
      </c>
      <c r="C1830" s="76" t="str">
        <f t="array" ref="C1830:C1831">{"CLASSTYPE";((INDEX(ALLCLASSDATA,MATCH("ClassType",CLASSFEATUREHEADERS,0),MATCH($A1831,CLASSNAMEHEADERS,0))))}</f>
        <v>CLASSTYPE</v>
      </c>
      <c r="D1830" s="81" t="str">
        <f t="array" ref="D1830:D1831">{"INITIALFEATURES";"InitialFeatures"}</f>
        <v>INITIALFEATURES</v>
      </c>
      <c r="E1830" s="81" t="str">
        <f t="array" ref="E1830:E1831">{"CLASS/SUBCLASSFEATURES";"Class/Subclass Features"}</f>
        <v>CLASS/SUBCLASSFEATURES</v>
      </c>
      <c r="F1830" s="81"/>
      <c r="G1830" s="136"/>
      <c r="H1830" s="81" t="str">
        <f t="array" ref="H1830:H1831">{"CLASSINITIALABILITY1-L00";((INDEX(ALLCLASSDATA,MATCH("ClassInitialAbility1-L00",CLASSFEATUREHEADERS,0),MATCH(($A1831),CLASSNAMEHEADERS,0))))}</f>
        <v>CLASSINITIALABILITY1-L00</v>
      </c>
      <c r="I1830" s="81" t="str">
        <f t="array" ref="I1830:I1831">{"CLASSINITIALABILITY2-L00";((INDEX(ALLCLASSDATA,MATCH("ClassInitialAbility2-L00",CLASSFEATUREHEADERS,0),MATCH(($A1831),CLASSNAMEHEADERS,0))))}</f>
        <v>CLASSINITIALABILITY2-L00</v>
      </c>
      <c r="J1830" s="81" t="str">
        <f t="array" ref="J1830:J1831">{"CLASSINITIALABILITY3-L00";((INDEX(ALLCLASSDATA,MATCH("ClassInitialAbility3-L00",CLASSFEATUREHEADERS,0),MATCH(($A1831),CLASSNAMEHEADERS,0))))}</f>
        <v>CLASSINITIALABILITY3-L00</v>
      </c>
      <c r="K1830" s="81" t="str">
        <f t="array" ref="K1830:K1831">{"CLASSINITIALABILITY4-L00";((INDEX(ALLCLASSDATA,MATCH("ClassInitialAbility4-L00",CLASSFEATUREHEADERS,0),MATCH(($A1831),CLASSNAMEHEADERS,0))))}</f>
        <v>CLASSINITIALABILITY4-L00</v>
      </c>
      <c r="L1830" s="81" t="str">
        <f t="array" ref="L1830:L1831">{"CLASSINITIALABILITY5-L00";((INDEX(ALLCLASSDATA,MATCH("ClassInitialAbility5-L00",CLASSFEATUREHEADERS,0),MATCH(($A1831),CLASSNAMEHEADERS,0))))}</f>
        <v>CLASSINITIALABILITY5-L00</v>
      </c>
      <c r="M1830" s="81" t="str">
        <f t="array" ref="M1830:M1831">{"CLASSINITIALABILITY6-L00";((INDEX(ALLCLASSDATA,MATCH("ClassInitialAbility6-L00",CLASSFEATUREHEADERS,0),MATCH(($A1831),CLASSNAMEHEADERS,0))))}</f>
        <v>CLASSINITIALABILITY6-L00</v>
      </c>
      <c r="N1830" s="81" t="str">
        <f t="array" ref="N1830:N1831">{"CLASSINITIALABILITY7-L00";((INDEX(ALLCLASSDATA,MATCH("ClassInitialAbility7-L00",CLASSFEATUREHEADERS,0),MATCH(($A1831),CLASSNAMEHEADERS,0))))}</f>
        <v>CLASSINITIALABILITY7-L00</v>
      </c>
      <c r="O1830" s="81" t="str">
        <f t="array" ref="O1830:O1831">{"CLASSINITIALABILITY8-L00";((INDEX(ALLCLASSDATA,MATCH("ClassInitialAbility8-L00",CLASSFEATUREHEADERS,0),MATCH(($A1831),CLASSNAMEHEADERS,0))))}</f>
        <v>CLASSINITIALABILITY8-L00</v>
      </c>
      <c r="P1830" s="81" t="str">
        <f t="array" ref="P1830:P1831">{"CLASSINITIALABILITY9-L00";((INDEX(ALLCLASSDATA,MATCH("ClassInitialAbility9-L00",CLASSFEATUREHEADERS,0),MATCH(($A1831),CLASSNAMEHEADERS,0))))}</f>
        <v>CLASSINITIALABILITY9-L00</v>
      </c>
      <c r="Q1830" s="81" t="str">
        <f t="array" ref="Q1830:Q1831">{"CLASSINITIALABILITY10-L00";((INDEX(ALLCLASSDATA,MATCH("ClassInitialAbility10-L00",CLASSFEATUREHEADERS,0),MATCH(($A1831),CLASSNAMEHEADERS,0))))}</f>
        <v>CLASSINITIALABILITY10-L00</v>
      </c>
      <c r="R1830" s="81" t="str">
        <f t="array" ref="R1830:R1831">{"SUBCLASSINITIAL1-L00";((INDEX(ALLCLASSDATA,MATCH("SubclassInitial1-L00",CLASSFEATUREHEADERS,0),MATCH(($A1831),CLASSNAMEHEADERS,0))))}</f>
        <v>SUBCLASSINITIAL1-L00</v>
      </c>
      <c r="S1830" s="81" t="str">
        <f t="array" ref="S1830:S1831">{"SUBCLASSINITIAL2-L00";((INDEX(ALLCLASSDATA,MATCH("SubclassInitial2-L00",CLASSFEATUREHEADERS,0),MATCH(($A1831),CLASSNAMEHEADERS,0))))}</f>
        <v>SUBCLASSINITIAL2-L00</v>
      </c>
      <c r="T1830" s="81" t="str">
        <f t="array" ref="T1830:T1831">{"SUBCLASSINITIAL3-L00";((INDEX(ALLCLASSDATA,MATCH("SubclassInitial3-L00",CLASSFEATUREHEADERS,0),MATCH(($A1831),CLASSNAMEHEADERS,0))))}</f>
        <v>SUBCLASSINITIAL3-L00</v>
      </c>
      <c r="U1830" s="81" t="str">
        <f t="array" ref="U1830:U1831">{"SUBCLASSINITIAL4-L00";((INDEX(ALLCLASSDATA,MATCH("SubclassInitial4-L00",CLASSFEATUREHEADERS,0),MATCH(($A1831),CLASSNAMEHEADERS,0))))}</f>
        <v>SUBCLASSINITIAL4-L00</v>
      </c>
      <c r="V1830" s="81" t="str">
        <f t="array" ref="V1830:V1831">{"SUBCLASSINITIAL5-L00";((INDEX(ALLCLASSDATA,MATCH("SubclassInitial5-L00",CLASSFEATUREHEADERS,0),MATCH(($A1831),CLASSNAMEHEADERS,0))))}</f>
        <v>SUBCLASSINITIAL5-L00</v>
      </c>
      <c r="W1830" s="81" t="str">
        <f t="array" ref="W1830:W1831">{"SUBCLASSINITIAL6-L00";((INDEX(ALLCLASSDATA,MATCH("SubclassInitial6-L00",CLASSFEATUREHEADERS,0),MATCH(($A1831),CLASSNAMEHEADERS,0))))}</f>
        <v>SUBCLASSINITIAL6-L00</v>
      </c>
      <c r="X1830" s="81" t="str">
        <f t="array" ref="X1830:X1831">{"SUBCLASSINITIAL7-L00";((INDEX(ALLCLASSDATA,MATCH("SubclassInitial7-L00",CLASSFEATUREHEADERS,0),MATCH(($A1831),CLASSNAMEHEADERS,0))))}</f>
        <v>SUBCLASSINITIAL7-L00</v>
      </c>
      <c r="Y1830" s="81" t="str">
        <f t="array" ref="Y1830:Y1831">{"SUBCLASSINITIAL8-L00";((INDEX(ALLCLASSDATA,MATCH("SubclassInitial8-L00",CLASSFEATUREHEADERS,0),MATCH(($A1831),CLASSNAMEHEADERS,0))))}</f>
        <v>SUBCLASSINITIAL8-L00</v>
      </c>
      <c r="Z1830" s="81" t="str">
        <f t="array" ref="Z1830:Z1831">{"SUBCLASSINITIAL9-L00";((INDEX(ALLCLASSDATA,MATCH("SubclassInitial9-L00",CLASSFEATUREHEADERS,0),MATCH(($A1831),CLASSNAMEHEADERS,0))))}</f>
        <v>SUBCLASSINITIAL9-L00</v>
      </c>
      <c r="AA1830" s="81" t="str">
        <f t="array" ref="AA1830:AA1831">{"SUBCLASSINITIAL10-L00";((INDEX(ALLCLASSDATA,MATCH("SubclassInitial10-L00",CLASSFEATUREHEADERS,0),MATCH(($A1831),CLASSNAMEHEADERS,0))))}</f>
        <v>SUBCLASSINITIAL10-L00</v>
      </c>
      <c r="AB1830" s="76"/>
      <c r="AC1830" s="76"/>
    </row>
    <row r="1831">
      <c r="A1831" s="48" t="s">
        <v>229</v>
      </c>
      <c r="B1831" s="48"/>
      <c r="C1831" s="48" t="s">
        <v>418</v>
      </c>
      <c r="D1831" s="48" t="s">
        <v>614</v>
      </c>
      <c r="E1831" s="48" t="s">
        <v>616</v>
      </c>
      <c r="F1831" s="48"/>
      <c r="G1831" s="47"/>
      <c r="H1831" s="5" t="s">
        <v>1623</v>
      </c>
      <c r="I1831" s="5" t="s">
        <v>1639</v>
      </c>
      <c r="J1831" s="5" t="s">
        <v>1176</v>
      </c>
      <c r="K1831" s="5"/>
      <c r="L1831" s="5"/>
      <c r="M1831" s="5"/>
      <c r="N1831" s="5"/>
      <c r="O1831" s="5"/>
      <c r="P1831" s="5"/>
      <c r="Q1831" s="5"/>
      <c r="R1831" s="5" t="s">
        <v>1825</v>
      </c>
      <c r="S1831" s="284" t="s">
        <v>1836</v>
      </c>
      <c r="T1831" s="5"/>
      <c r="U1831" s="5"/>
      <c r="V1831" s="5"/>
      <c r="W1831" s="5"/>
      <c r="X1831" s="5"/>
      <c r="Y1831" s="5"/>
      <c r="Z1831" s="5"/>
      <c r="AA1831" s="5"/>
      <c r="AB1831" s="5"/>
      <c r="AC1831" s="47"/>
    </row>
    <row r="1832" hidden="1">
      <c r="A1832" s="76" t="str">
        <f t="array" ref="A1832:A1833">{"FormulaRow05";(INDEX(CLASSLIST,A1823,1))}</f>
        <v>FormulaRow05</v>
      </c>
      <c r="B1832" s="77" t="s">
        <v>236</v>
      </c>
      <c r="C1832" s="76" t="str">
        <f t="array" ref="C1832:C1833">{"CLASSTYPE";((INDEX(ALLCLASSDATA,MATCH("ClassType",CLASSFEATUREHEADERS,0),MATCH($A1833,CLASSNAMEHEADERS,0))))}</f>
        <v>CLASSTYPE</v>
      </c>
      <c r="D1832" s="76" t="str">
        <f t="array" ref="D1832:D1833">{"INITIALFEATURESPTS";"InitialFeaturesPts"}</f>
        <v>INITIALFEATURESPTS</v>
      </c>
      <c r="E1832" s="76" t="str">
        <f t="array" ref="E1832:E1833">{"CLASS/SUBCLASSFEATURES";"Class/Subclass Features"}</f>
        <v>CLASS/SUBCLASSFEATURES</v>
      </c>
      <c r="F1832" s="76"/>
      <c r="G1832" s="76"/>
      <c r="H1832" s="76" t="str">
        <f t="array" ref="H1832:H1833">{"CLASSINITIALABILITY1-L00PTS";((INDEX(ALLCLASSDATA,MATCH("ClassInitialAbility1-L00",CLASSFEATUREHEADERS,0),MATCH(($A1833 &amp; "Points"),CLASSNAMEHEADERS,0))))}</f>
        <v>CLASSINITIALABILITY1-L00PTS</v>
      </c>
      <c r="I1832" s="76" t="str">
        <f t="array" ref="I1832:I1833">{"CLASSINITIALABILITY2-L00PTS";((INDEX(ALLCLASSDATA,MATCH("ClassInitialAbility2-L00",CLASSFEATUREHEADERS,0),MATCH(($A1833 &amp; "Points"),CLASSNAMEHEADERS,0))))}</f>
        <v>CLASSINITIALABILITY2-L00PTS</v>
      </c>
      <c r="J1832" s="76" t="str">
        <f t="array" ref="J1832:J1833">{"CLASSINITIALABILITY3-L00PTS";((INDEX(ALLCLASSDATA,MATCH("ClassInitialAbility3-L00",CLASSFEATUREHEADERS,0),MATCH(($A1833 &amp; "Points"),CLASSNAMEHEADERS,0))))}</f>
        <v>CLASSINITIALABILITY3-L00PTS</v>
      </c>
      <c r="K1832" s="76" t="str">
        <f t="array" ref="K1832:K1833">{"CLASSINITIALABILITY4-L00PTS";((INDEX(ALLCLASSDATA,MATCH("ClassInitialAbility4-L00",CLASSFEATUREHEADERS,0),MATCH(($A1833 &amp; "Points"),CLASSNAMEHEADERS,0))))}</f>
        <v>CLASSINITIALABILITY4-L00PTS</v>
      </c>
      <c r="L1832" s="76" t="str">
        <f t="array" ref="L1832:L1833">{"CLASSINITIALABILITY5-L00PTS";((INDEX(ALLCLASSDATA,MATCH("ClassInitialAbility5-L00",CLASSFEATUREHEADERS,0),MATCH(($A1833 &amp; "Points"),CLASSNAMEHEADERS,0))))}</f>
        <v>CLASSINITIALABILITY5-L00PTS</v>
      </c>
      <c r="M1832" s="76" t="str">
        <f t="array" ref="M1832:M1833">{"CLASSINITIALABILITY6-L00PTS";((INDEX(ALLCLASSDATA,MATCH("ClassInitialAbility6-L00",CLASSFEATUREHEADERS,0),MATCH(($A1833 &amp; "Points"),CLASSNAMEHEADERS,0))))}</f>
        <v>CLASSINITIALABILITY6-L00PTS</v>
      </c>
      <c r="N1832" s="76" t="str">
        <f t="array" ref="N1832:N1833">{"CLASSINITIALABILITY7-L00PTS";((INDEX(ALLCLASSDATA,MATCH("ClassInitialAbility7-L00",CLASSFEATUREHEADERS,0),MATCH(($A1833 &amp; "Points"),CLASSNAMEHEADERS,0))))}</f>
        <v>CLASSINITIALABILITY7-L00PTS</v>
      </c>
      <c r="O1832" s="76" t="str">
        <f t="array" ref="O1832:O1833">{"CLASSINITIALABILITY8-L00PTS";((INDEX(ALLCLASSDATA,MATCH("ClassInitialAbility8-L00",CLASSFEATUREHEADERS,0),MATCH(($A1833 &amp; "Points"),CLASSNAMEHEADERS,0))))}</f>
        <v>CLASSINITIALABILITY8-L00PTS</v>
      </c>
      <c r="P1832" s="76" t="str">
        <f t="array" ref="P1832:P1833">{"CLASSINITIALABILITY9-L00PTS";((INDEX(ALLCLASSDATA,MATCH("ClassInitialAbility9-L00",CLASSFEATUREHEADERS,0),MATCH(($A1833 &amp; "Points"),CLASSNAMEHEADERS,0))))}</f>
        <v>CLASSINITIALABILITY9-L00PTS</v>
      </c>
      <c r="Q1832" s="76" t="str">
        <f t="array" ref="Q1832:Q1833">{"CLASSINITIALABILITY10-L00PTS";((INDEX(ALLCLASSDATA,MATCH("ClassInitialAbility10-L00",CLASSFEATUREHEADERS,0),MATCH(($A1833 &amp; "Points"),CLASSNAMEHEADERS,0))))}</f>
        <v>CLASSINITIALABILITY10-L00PTS</v>
      </c>
      <c r="R1832" s="76" t="str">
        <f t="array" ref="R1832:R1833">{"SUBCLASSINITIAL1-L00PTS";((INDEX(ALLCLASSDATA,MATCH("SubclassInitial1-L00",CLASSFEATUREHEADERS,0),MATCH(($A1833 &amp; "Points"),CLASSNAMEHEADERS,0))))}</f>
        <v>SUBCLASSINITIAL1-L00PTS</v>
      </c>
      <c r="S1832" s="76" t="str">
        <f t="array" ref="S1832:S1833">{"SUBCLASSINITIAL2-L00PTS";((INDEX(ALLCLASSDATA,MATCH("SubclassInitial2-L00",CLASSFEATUREHEADERS,0),MATCH(($A1833 &amp; "Points"),CLASSNAMEHEADERS,0))))}</f>
        <v>SUBCLASSINITIAL2-L00PTS</v>
      </c>
      <c r="T1832" s="76" t="str">
        <f t="array" ref="T1832:T1833">{"SUBCLASSINITIAL3-L00PTS";((INDEX(ALLCLASSDATA,MATCH("SubclassInitial3-L00",CLASSFEATUREHEADERS,0),MATCH(($A1833 &amp; "Points"),CLASSNAMEHEADERS,0))))}</f>
        <v>SUBCLASSINITIAL3-L00PTS</v>
      </c>
      <c r="U1832" s="76" t="str">
        <f t="array" ref="U1832:U1833">{"SUBCLASSINITIAL4-L00PTS";((INDEX(ALLCLASSDATA,MATCH("SubclassInitial4-L00",CLASSFEATUREHEADERS,0),MATCH(($A1833 &amp; "Points"),CLASSNAMEHEADERS,0))))}</f>
        <v>SUBCLASSINITIAL4-L00PTS</v>
      </c>
      <c r="V1832" s="76" t="str">
        <f t="array" ref="V1832:V1833">{"SUBCLASSINITIAL5-L00PTS";((INDEX(ALLCLASSDATA,MATCH("SubclassInitial5-L00",CLASSFEATUREHEADERS,0),MATCH(($A1833 &amp; "Points"),CLASSNAMEHEADERS,0))))}</f>
        <v>SUBCLASSINITIAL5-L00PTS</v>
      </c>
      <c r="W1832" s="76" t="str">
        <f t="array" ref="W1832:W1833">{"SUBCLASSINITIAL6-L00PTS";((INDEX(ALLCLASSDATA,MATCH("SubclassInitial6-L00",CLASSFEATUREHEADERS,0),MATCH(($A1833 &amp; "Points"),CLASSNAMEHEADERS,0))))}</f>
        <v>SUBCLASSINITIAL6-L00PTS</v>
      </c>
      <c r="X1832" s="76" t="str">
        <f t="array" ref="X1832:X1833">{"SUBCLASSINITIAL7-L00PTS";((INDEX(ALLCLASSDATA,MATCH("SubclassInitial7-L00",CLASSFEATUREHEADERS,0),MATCH(($A1833 &amp; "Points"),CLASSNAMEHEADERS,0))))}</f>
        <v>SUBCLASSINITIAL7-L00PTS</v>
      </c>
      <c r="Y1832" s="76" t="str">
        <f t="array" ref="Y1832:Y1833">{"SUBCLASSINITIAL8-L00PTS";((INDEX(ALLCLASSDATA,MATCH("SubclassInitial8-L00",CLASSFEATUREHEADERS,0),MATCH(($A1833 &amp; "Points"),CLASSNAMEHEADERS,0))))}</f>
        <v>SUBCLASSINITIAL8-L00PTS</v>
      </c>
      <c r="Z1832" s="76" t="str">
        <f t="array" ref="Z1832:Z1833">{"SUBCLASSINITIAL9-L00PTS";((INDEX(ALLCLASSDATA,MATCH("SubclassInitial9-L00",CLASSFEATUREHEADERS,0),MATCH(($A1833 &amp; "Points"),CLASSNAMEHEADERS,0))))}</f>
        <v>SUBCLASSINITIAL9-L00PTS</v>
      </c>
      <c r="AA1832" s="76" t="str">
        <f t="array" ref="AA1832:AA1833">{"SUBCLASSINITIAL10-L00PTS";((INDEX(ALLCLASSDATA,MATCH("SubclassInitial10-L00",CLASSFEATUREHEADERS,0),MATCH(($A1833 &amp; "Points"),CLASSNAMEHEADERS,0))))}</f>
        <v>SUBCLASSINITIAL10-L00PTS</v>
      </c>
      <c r="AB1832" s="76"/>
      <c r="AC1832" s="76" t="str">
        <f t="array" ref="AC1832:AC1833">{"INITIALFEATUREPTS TOTAL";(sum(G1833:AA1833))}</f>
        <v>INITIALFEATUREPTS TOTAL</v>
      </c>
    </row>
    <row r="1833">
      <c r="A1833" s="48" t="s">
        <v>229</v>
      </c>
      <c r="B1833" s="48"/>
      <c r="C1833" s="48" t="s">
        <v>418</v>
      </c>
      <c r="D1833" s="97" t="s">
        <v>651</v>
      </c>
      <c r="E1833" s="97" t="s">
        <v>616</v>
      </c>
      <c r="F1833" s="97"/>
      <c r="G1833" s="132"/>
      <c r="H1833" s="98"/>
      <c r="I1833" s="98"/>
      <c r="J1833" s="97">
        <v>10.0</v>
      </c>
      <c r="K1833" s="98"/>
      <c r="L1833" s="97"/>
      <c r="M1833" s="98"/>
      <c r="N1833" s="98"/>
      <c r="O1833" s="98"/>
      <c r="P1833" s="98"/>
      <c r="Q1833" s="98"/>
      <c r="R1833" s="98">
        <v>10.0</v>
      </c>
      <c r="S1833" s="98">
        <v>70.0</v>
      </c>
      <c r="T1833" s="98"/>
      <c r="U1833" s="98"/>
      <c r="V1833" s="98"/>
      <c r="W1833" s="98"/>
      <c r="X1833" s="98"/>
      <c r="Y1833" s="98"/>
      <c r="Z1833" s="98"/>
      <c r="AA1833" s="98"/>
      <c r="AB1833" s="5"/>
      <c r="AC1833" s="47">
        <v>90.0</v>
      </c>
    </row>
    <row r="1834" hidden="1">
      <c r="A1834" s="76" t="str">
        <f t="array" ref="A1834:A1835">{"FormulaRow06";(INDEX(CLASSLIST,A1823,1))}</f>
        <v>FormulaRow06</v>
      </c>
      <c r="B1834" s="77" t="s">
        <v>236</v>
      </c>
      <c r="C1834" s="76" t="str">
        <f t="array" ref="C1834:C1835">{"CLASSTYPE";((INDEX(ALLCLASSDATA,MATCH("ClassType",CLASSFEATUREHEADERS,0),MATCH($A1835,CLASSNAMEHEADERS,0))))}</f>
        <v>CLASSTYPE</v>
      </c>
      <c r="D1834" s="81" t="str">
        <f t="array" ref="D1834:D1835">{"SKILLS";"Skills"}</f>
        <v>SKILLS</v>
      </c>
      <c r="E1834" s="81" t="str">
        <f t="array" ref="E1834:E1835">{"EXTRASKILLINCREASES";"Extra Skill Increases"}</f>
        <v>EXTRASKILLINCREASES</v>
      </c>
      <c r="F1834" s="81"/>
      <c r="G1834" s="81"/>
      <c r="H1834" s="81"/>
      <c r="I1834" s="81" t="str">
        <f t="array" ref="I1834:I1835">{"SKILLINCREASEEXTRA-L02";((INDEX(ALLCLASSDATA,MATCH("SkillIncreaseExtra-L02",CLASSFEATUREHEADERS,0),MATCH(($A1835 &amp; "Points"),CLASSNAMEHEADERS,0))))}</f>
        <v>SKILLINCREASEEXTRA-L02</v>
      </c>
      <c r="J1834" s="81" t="str">
        <f t="array" ref="J1834:J1835">{"SKILLINCREASEEXTRA-L03";((INDEX(ALLCLASSDATA,MATCH("SkillIncreaseExtra-L03",CLASSFEATUREHEADERS,0),MATCH(($A1835 &amp; "Points"),CLASSNAMEHEADERS,0))))}</f>
        <v>SKILLINCREASEEXTRA-L03</v>
      </c>
      <c r="K1834" s="81" t="str">
        <f t="array" ref="K1834:K1835">{"SKILLINCREASEEXTRA-L04";((INDEX(ALLCLASSDATA,MATCH("SkillIncreaseExtra-L04",CLASSFEATUREHEADERS,0),MATCH(($A1835 &amp; "Points"),CLASSNAMEHEADERS,0))))}</f>
        <v>SKILLINCREASEEXTRA-L04</v>
      </c>
      <c r="L1834" s="81" t="str">
        <f t="array" ref="L1834:L1835">{"SKILLINCREASEEXTRA-L05";((INDEX(ALLCLASSDATA,MATCH("SkillIncreaseExtra-L05",CLASSFEATUREHEADERS,0),MATCH(($A1835 &amp; "Points"),CLASSNAMEHEADERS,0))))}</f>
        <v>SKILLINCREASEEXTRA-L05</v>
      </c>
      <c r="M1834" s="81" t="str">
        <f t="array" ref="M1834:M1835">{"SKILLINCREASEEXTRA-L06";((INDEX(ALLCLASSDATA,MATCH("SkillIncreaseExtra-L06",CLASSFEATUREHEADERS,0),MATCH(($A1835 &amp; "Points"),CLASSNAMEHEADERS,0))))}</f>
        <v>SKILLINCREASEEXTRA-L06</v>
      </c>
      <c r="N1834" s="81" t="str">
        <f t="array" ref="N1834:N1835">{"SKILLINCREASEEXTRA-L07";((INDEX(ALLCLASSDATA,MATCH("SkillIncreaseExtra-L07",CLASSFEATUREHEADERS,0),MATCH(($A1835 &amp; "Points"),CLASSNAMEHEADERS,0))))}</f>
        <v>SKILLINCREASEEXTRA-L07</v>
      </c>
      <c r="O1834" s="81" t="str">
        <f t="array" ref="O1834:O1835">{"SKILLINCREASEEXTRA-L08";((INDEX(ALLCLASSDATA,MATCH("SkillIncreaseExtra-L08",CLASSFEATUREHEADERS,0),MATCH(($A1835 &amp; "Points"),CLASSNAMEHEADERS,0))))}</f>
        <v>SKILLINCREASEEXTRA-L08</v>
      </c>
      <c r="P1834" s="81" t="str">
        <f t="array" ref="P1834:P1835">{"SKILLINCREASEEXTRA-L09";((INDEX(ALLCLASSDATA,MATCH("SkillIncreaseExtra-L09",CLASSFEATUREHEADERS,0),MATCH(($A1835 &amp; "Points"),CLASSNAMEHEADERS,0))))}</f>
        <v>SKILLINCREASEEXTRA-L09</v>
      </c>
      <c r="Q1834" s="81" t="str">
        <f t="array" ref="Q1834:Q1835">{"SKILLINCREASEEXTRA-L10";((INDEX(ALLCLASSDATA,MATCH("SkillIncreaseExtra-L10",CLASSFEATUREHEADERS,0),MATCH(($A1835 &amp; "Points"),CLASSNAMEHEADERS,0))))}</f>
        <v>SKILLINCREASEEXTRA-L10</v>
      </c>
      <c r="R1834" s="81" t="str">
        <f t="array" ref="R1834:R1835">{"SKILLINCREASEEXTRA-L11";((INDEX(ALLCLASSDATA,MATCH("SkillIncreaseExtra-L11",CLASSFEATUREHEADERS,0),MATCH(($A1835 &amp; "Points"),CLASSNAMEHEADERS,0))))}</f>
        <v>SKILLINCREASEEXTRA-L11</v>
      </c>
      <c r="S1834" s="81" t="str">
        <f t="array" ref="S1834:S1835">{"SKILLINCREASEEXTRA-L12";((INDEX(ALLCLASSDATA,MATCH("SkillIncreaseExtra-L12",CLASSFEATUREHEADERS,0),MATCH(($A1835 &amp; "Points"),CLASSNAMEHEADERS,0))))}</f>
        <v>SKILLINCREASEEXTRA-L12</v>
      </c>
      <c r="T1834" s="81" t="str">
        <f t="array" ref="T1834:T1835">{"SKILLINCREASEEXTRA-L13";((INDEX(ALLCLASSDATA,MATCH("SkillIncreaseExtra-L13",CLASSFEATUREHEADERS,0),MATCH(($A1835 &amp; "Points"),CLASSNAMEHEADERS,0))))}</f>
        <v>SKILLINCREASEEXTRA-L13</v>
      </c>
      <c r="U1834" s="81" t="str">
        <f t="array" ref="U1834:U1835">{"SKILLINCREASEEXTRA-L14";((INDEX(ALLCLASSDATA,MATCH("SkillIncreaseExtra-L14",CLASSFEATUREHEADERS,0),MATCH(($A1835 &amp; "Points"),CLASSNAMEHEADERS,0))))}</f>
        <v>SKILLINCREASEEXTRA-L14</v>
      </c>
      <c r="V1834" s="81" t="str">
        <f t="array" ref="V1834:V1835">{"SKILLINCREASEEXTRA-L15";((INDEX(ALLCLASSDATA,MATCH("SkillIncreaseExtra-L15",CLASSFEATUREHEADERS,0),MATCH(($A1835 &amp; "Points"),CLASSNAMEHEADERS,0))))}</f>
        <v>SKILLINCREASEEXTRA-L15</v>
      </c>
      <c r="W1834" s="81" t="str">
        <f t="array" ref="W1834:W1835">{"SKILLINCREASEEXTRA-L16";((INDEX(ALLCLASSDATA,MATCH("SkillIncreaseExtra-L16",CLASSFEATUREHEADERS,0),MATCH(($A1835 &amp; "Points"),CLASSNAMEHEADERS,0))))}</f>
        <v>SKILLINCREASEEXTRA-L16</v>
      </c>
      <c r="X1834" s="81" t="str">
        <f t="array" ref="X1834:X1835">{"SKILLINCREASEEXTRA-L17";((INDEX(ALLCLASSDATA,MATCH("SkillIncreaseExtra-L17",CLASSFEATUREHEADERS,0),MATCH(($A1835 &amp; "Points"),CLASSNAMEHEADERS,0))))}</f>
        <v>SKILLINCREASEEXTRA-L17</v>
      </c>
      <c r="Y1834" s="81" t="str">
        <f t="array" ref="Y1834:Y1835">{"SKILLINCREASEEXTRA-L18";((INDEX(ALLCLASSDATA,MATCH("SkillIncreaseExtra-L18",CLASSFEATUREHEADERS,0),MATCH(($A1835 &amp; "Points"),CLASSNAMEHEADERS,0))))}</f>
        <v>SKILLINCREASEEXTRA-L18</v>
      </c>
      <c r="Z1834" s="81" t="str">
        <f t="array" ref="Z1834:Z1835">{"SKILLINCREASEEXTRA-L19";((INDEX(ALLCLASSDATA,MATCH("SkillIncreaseExtra-L19",CLASSFEATUREHEADERS,0),MATCH(($A1835 &amp; "Points"),CLASSNAMEHEADERS,0))))}</f>
        <v>SKILLINCREASEEXTRA-L19</v>
      </c>
      <c r="AA1834" s="81" t="str">
        <f t="array" ref="AA1834:AA1835">{"SKILLINCREASEEXTRA-L20";((INDEX(ALLCLASSDATA,MATCH("SkillIncreaseExtra-L20",CLASSFEATUREHEADERS,0),MATCH(($A1835 &amp; "Points"),CLASSNAMEHEADERS,0))))}</f>
        <v>SKILLINCREASEEXTRA-L20</v>
      </c>
      <c r="AB1834" s="76"/>
      <c r="AC1834" s="76" t="str">
        <f t="array" ref="AC1834:AC1835">{"SKILLINCREASE TOTAL";(sum(G1835:AA1835))}</f>
        <v>SKILLINCREASE TOTAL</v>
      </c>
    </row>
    <row r="1835">
      <c r="A1835" s="48" t="s">
        <v>229</v>
      </c>
      <c r="B1835" s="48"/>
      <c r="C1835" s="48" t="s">
        <v>418</v>
      </c>
      <c r="D1835" s="48" t="s">
        <v>659</v>
      </c>
      <c r="E1835" s="48" t="s">
        <v>661</v>
      </c>
      <c r="F1835" s="48"/>
      <c r="G1835" s="47"/>
      <c r="H1835" s="5"/>
      <c r="I1835" s="5" t="s">
        <v>603</v>
      </c>
      <c r="J1835" s="5" t="s">
        <v>603</v>
      </c>
      <c r="K1835" s="5" t="s">
        <v>603</v>
      </c>
      <c r="L1835" s="48" t="s">
        <v>603</v>
      </c>
      <c r="M1835" s="5" t="s">
        <v>603</v>
      </c>
      <c r="N1835" s="5" t="s">
        <v>603</v>
      </c>
      <c r="O1835" s="5" t="s">
        <v>603</v>
      </c>
      <c r="P1835" s="5" t="s">
        <v>603</v>
      </c>
      <c r="Q1835" s="5" t="s">
        <v>603</v>
      </c>
      <c r="R1835" s="5" t="s">
        <v>603</v>
      </c>
      <c r="S1835" s="5" t="s">
        <v>603</v>
      </c>
      <c r="T1835" s="5" t="s">
        <v>603</v>
      </c>
      <c r="U1835" s="5" t="s">
        <v>603</v>
      </c>
      <c r="V1835" s="5" t="s">
        <v>603</v>
      </c>
      <c r="W1835" s="5" t="s">
        <v>603</v>
      </c>
      <c r="X1835" s="5" t="s">
        <v>603</v>
      </c>
      <c r="Y1835" s="5" t="s">
        <v>603</v>
      </c>
      <c r="Z1835" s="5" t="s">
        <v>603</v>
      </c>
      <c r="AA1835" s="5" t="s">
        <v>603</v>
      </c>
      <c r="AB1835" s="5"/>
      <c r="AC1835" s="47">
        <v>0.0</v>
      </c>
    </row>
    <row r="1836" hidden="1">
      <c r="A1836" s="76" t="str">
        <f t="array" ref="A1836:A1837">{"FormulaRow07";(INDEX(CLASSLIST,A1823,1))}</f>
        <v>FormulaRow07</v>
      </c>
      <c r="B1836" s="77" t="s">
        <v>236</v>
      </c>
      <c r="C1836" s="76" t="str">
        <f t="array" ref="C1836:C1837">{"CLASSTYPE";((INDEX(ALLCLASSDATA,MATCH("ClassType",CLASSFEATUREHEADERS,0),MATCH($A1837,CLASSNAMEHEADERS,0))))}</f>
        <v>CLASSTYPE</v>
      </c>
      <c r="D1836" s="76" t="str">
        <f t="array" ref="D1836:D1837">{"SKILLS";"Skills"}</f>
        <v>SKILLS</v>
      </c>
      <c r="E1836" s="76" t="str">
        <f t="array" ref="E1836:E1837">{"EXTRASKILLFEATS";"Extra Skill Feats"}</f>
        <v>EXTRASKILLFEATS</v>
      </c>
      <c r="F1836" s="76"/>
      <c r="G1836" s="76"/>
      <c r="H1836" s="76" t="str">
        <f t="array" ref="H1836:H1837">{"SKILLFEATEXTRA-L01";((INDEX(ALLCLASSDATA,MATCH("SkillFeatExtra-L01",CLASSFEATUREHEADERS,0),MATCH(($A1837 &amp; "Points"),CLASSNAMEHEADERS,0))))}</f>
        <v>SKILLFEATEXTRA-L01</v>
      </c>
      <c r="I1836" s="76" t="str">
        <f t="array" ref="I1836:I1837">{"SKILLFEATEXTRA-L02";((INDEX(ALLCLASSDATA,MATCH("SkillFeatExtra-L02",CLASSFEATUREHEADERS,0),MATCH(($A1837 &amp; "Points"),CLASSNAMEHEADERS,0))))}</f>
        <v>SKILLFEATEXTRA-L02</v>
      </c>
      <c r="J1836" s="76" t="str">
        <f t="array" ref="J1836:J1837">{"SKILLFEATEXTRA-L03";((INDEX(ALLCLASSDATA,MATCH("SkillFeatExtra-L03",CLASSFEATUREHEADERS,0),MATCH(($A1837 &amp; "Points"),CLASSNAMEHEADERS,0))))}</f>
        <v>SKILLFEATEXTRA-L03</v>
      </c>
      <c r="K1836" s="76" t="str">
        <f t="array" ref="K1836:K1837">{"SKILLFEATEXTRA-L04";((INDEX(ALLCLASSDATA,MATCH("SkillFeatExtra-L04",CLASSFEATUREHEADERS,0),MATCH(($A1837 &amp; "Points"),CLASSNAMEHEADERS,0))))}</f>
        <v>SKILLFEATEXTRA-L04</v>
      </c>
      <c r="L1836" s="76" t="str">
        <f t="array" ref="L1836:L1837">{"SKILLFEATEXTRA-L05";((INDEX(ALLCLASSDATA,MATCH("SkillFeatExtra-L05",CLASSFEATUREHEADERS,0),MATCH(($A1837 &amp; "Points"),CLASSNAMEHEADERS,0))))}</f>
        <v>SKILLFEATEXTRA-L05</v>
      </c>
      <c r="M1836" s="76" t="str">
        <f t="array" ref="M1836:M1837">{"SKILLFEATEXTRA-L06";((INDEX(ALLCLASSDATA,MATCH("SkillFeatExtra-L06",CLASSFEATUREHEADERS,0),MATCH(($A1837 &amp; "Points"),CLASSNAMEHEADERS,0))))}</f>
        <v>SKILLFEATEXTRA-L06</v>
      </c>
      <c r="N1836" s="76" t="str">
        <f t="array" ref="N1836:N1837">{"SKILLFEATEXTRA-L07";((INDEX(ALLCLASSDATA,MATCH("SkillFeatExtra-L07",CLASSFEATUREHEADERS,0),MATCH(($A1837 &amp; "Points"),CLASSNAMEHEADERS,0))))}</f>
        <v>SKILLFEATEXTRA-L07</v>
      </c>
      <c r="O1836" s="76" t="str">
        <f t="array" ref="O1836:O1837">{"SKILLFEATEXTRA-L08";((INDEX(ALLCLASSDATA,MATCH("SkillFeatExtra-L08",CLASSFEATUREHEADERS,0),MATCH(($A1837 &amp; "Points"),CLASSNAMEHEADERS,0))))}</f>
        <v>SKILLFEATEXTRA-L08</v>
      </c>
      <c r="P1836" s="76" t="str">
        <f t="array" ref="P1836:P1837">{"SKILLFEATEXTRA-L09";((INDEX(ALLCLASSDATA,MATCH("SkillFeatExtra-L09",CLASSFEATUREHEADERS,0),MATCH(($A1837 &amp; "Points"),CLASSNAMEHEADERS,0))))}</f>
        <v>SKILLFEATEXTRA-L09</v>
      </c>
      <c r="Q1836" s="76" t="str">
        <f t="array" ref="Q1836:Q1837">{"SKILLFEATEXTRA-L10";((INDEX(ALLCLASSDATA,MATCH("SkillFeatExtra-L10",CLASSFEATUREHEADERS,0),MATCH(($A1837 &amp; "Points"),CLASSNAMEHEADERS,0))))}</f>
        <v>SKILLFEATEXTRA-L10</v>
      </c>
      <c r="R1836" s="76" t="str">
        <f t="array" ref="R1836:R1837">{"SKILLFEATEXTRA-L11";((INDEX(ALLCLASSDATA,MATCH("SkillFeatExtra-L11",CLASSFEATUREHEADERS,0),MATCH(($A1837 &amp; "Points"),CLASSNAMEHEADERS,0))))}</f>
        <v>SKILLFEATEXTRA-L11</v>
      </c>
      <c r="S1836" s="76" t="str">
        <f t="array" ref="S1836:S1837">{"SKILLFEATEXTRA-L12";((INDEX(ALLCLASSDATA,MATCH("SkillFeatExtra-L12",CLASSFEATUREHEADERS,0),MATCH(($A1837 &amp; "Points"),CLASSNAMEHEADERS,0))))}</f>
        <v>SKILLFEATEXTRA-L12</v>
      </c>
      <c r="T1836" s="76" t="str">
        <f t="array" ref="T1836:T1837">{"SKILLFEATEXTRA-L13";((INDEX(ALLCLASSDATA,MATCH("SkillFeatExtra-L13",CLASSFEATUREHEADERS,0),MATCH(($A1837 &amp; "Points"),CLASSNAMEHEADERS,0))))}</f>
        <v>SKILLFEATEXTRA-L13</v>
      </c>
      <c r="U1836" s="76" t="str">
        <f t="array" ref="U1836:U1837">{"SKILLFEATEXTRA-L14";((INDEX(ALLCLASSDATA,MATCH("SkillFeatExtra-L14",CLASSFEATUREHEADERS,0),MATCH(($A1837 &amp; "Points"),CLASSNAMEHEADERS,0))))}</f>
        <v>SKILLFEATEXTRA-L14</v>
      </c>
      <c r="V1836" s="76" t="str">
        <f t="array" ref="V1836:V1837">{"SKILLFEATEXTRA-L15";((INDEX(ALLCLASSDATA,MATCH("SkillFeatExtra-L15",CLASSFEATUREHEADERS,0),MATCH(($A1837 &amp; "Points"),CLASSNAMEHEADERS,0))))}</f>
        <v>SKILLFEATEXTRA-L15</v>
      </c>
      <c r="W1836" s="76" t="str">
        <f t="array" ref="W1836:W1837">{"SKILLFEATEXTRA-L16";((INDEX(ALLCLASSDATA,MATCH("SkillFeatExtra-L16",CLASSFEATUREHEADERS,0),MATCH(($A1837 &amp; "Points"),CLASSNAMEHEADERS,0))))}</f>
        <v>SKILLFEATEXTRA-L16</v>
      </c>
      <c r="X1836" s="76" t="str">
        <f t="array" ref="X1836:X1837">{"SKILLFEATEXTRA-L17";((INDEX(ALLCLASSDATA,MATCH("SkillFeatExtra-L17",CLASSFEATUREHEADERS,0),MATCH(($A1837 &amp; "Points"),CLASSNAMEHEADERS,0))))}</f>
        <v>SKILLFEATEXTRA-L17</v>
      </c>
      <c r="Y1836" s="76" t="str">
        <f t="array" ref="Y1836:Y1837">{"SKILLFEATEXTRA-L18";((INDEX(ALLCLASSDATA,MATCH("SkillFeatExtra-L18",CLASSFEATUREHEADERS,0),MATCH(($A1837 &amp; "Points"),CLASSNAMEHEADERS,0))))}</f>
        <v>SKILLFEATEXTRA-L18</v>
      </c>
      <c r="Z1836" s="76" t="str">
        <f t="array" ref="Z1836:Z1837">{"SKILLFEATEXTRA-L19";((INDEX(ALLCLASSDATA,MATCH("SkillFeatExtra-L19",CLASSFEATUREHEADERS,0),MATCH(($A1837 &amp; "Points"),CLASSNAMEHEADERS,0))))}</f>
        <v>SKILLFEATEXTRA-L19</v>
      </c>
      <c r="AA1836" s="76" t="str">
        <f t="array" ref="AA1836:AA1837">{"SKILLFEATEXTRA-L20";((INDEX(ALLCLASSDATA,MATCH("SkillFeatExtra-L20",CLASSFEATUREHEADERS,0),MATCH(($A1837 &amp; "Points"),CLASSNAMEHEADERS,0))))}</f>
        <v>SKILLFEATEXTRA-L20</v>
      </c>
      <c r="AB1836" s="76"/>
      <c r="AC1836" s="76" t="str">
        <f t="array" ref="AC1836:AC1837">{"SKILLFEAT TOTAL";(sum(G1837:AA1837))}</f>
        <v>SKILLFEAT TOTAL</v>
      </c>
    </row>
    <row r="1837">
      <c r="A1837" s="48" t="s">
        <v>229</v>
      </c>
      <c r="B1837" s="48"/>
      <c r="C1837" s="48" t="s">
        <v>418</v>
      </c>
      <c r="D1837" s="97" t="s">
        <v>659</v>
      </c>
      <c r="E1837" s="97" t="s">
        <v>722</v>
      </c>
      <c r="F1837" s="97"/>
      <c r="G1837" s="132"/>
      <c r="H1837" s="98" t="s">
        <v>603</v>
      </c>
      <c r="I1837" s="98" t="s">
        <v>603</v>
      </c>
      <c r="J1837" s="97" t="s">
        <v>603</v>
      </c>
      <c r="K1837" s="98" t="s">
        <v>603</v>
      </c>
      <c r="L1837" s="97" t="s">
        <v>603</v>
      </c>
      <c r="M1837" s="98" t="s">
        <v>603</v>
      </c>
      <c r="N1837" s="98" t="s">
        <v>603</v>
      </c>
      <c r="O1837" s="98" t="s">
        <v>603</v>
      </c>
      <c r="P1837" s="98" t="s">
        <v>603</v>
      </c>
      <c r="Q1837" s="98" t="s">
        <v>603</v>
      </c>
      <c r="R1837" s="98" t="s">
        <v>603</v>
      </c>
      <c r="S1837" s="98" t="s">
        <v>603</v>
      </c>
      <c r="T1837" s="98" t="s">
        <v>603</v>
      </c>
      <c r="U1837" s="98" t="s">
        <v>603</v>
      </c>
      <c r="V1837" s="98" t="s">
        <v>603</v>
      </c>
      <c r="W1837" s="98" t="s">
        <v>603</v>
      </c>
      <c r="X1837" s="98" t="s">
        <v>603</v>
      </c>
      <c r="Y1837" s="98" t="s">
        <v>603</v>
      </c>
      <c r="Z1837" s="98" t="s">
        <v>603</v>
      </c>
      <c r="AA1837" s="98" t="s">
        <v>603</v>
      </c>
      <c r="AB1837" s="5"/>
      <c r="AC1837" s="47">
        <v>0.0</v>
      </c>
    </row>
    <row r="1838" hidden="1">
      <c r="A1838" s="76" t="str">
        <f t="array" ref="A1838:A1839">{"FormulaRow08";(INDEX(CLASSLIST,A1823,1))}</f>
        <v>FormulaRow08</v>
      </c>
      <c r="B1838" s="77" t="s">
        <v>236</v>
      </c>
      <c r="C1838" s="76" t="str">
        <f t="array" ref="C1838:C1839">{"CLASSTYPE";((INDEX(ALLCLASSDATA,MATCH("ClassType",CLASSFEATUREHEADERS,0),MATCH($A1839,CLASSNAMEHEADERS,0))))}</f>
        <v>CLASSTYPE</v>
      </c>
      <c r="D1838" s="81" t="str">
        <f t="array" ref="D1838:D1839">{"CLASSABILITY";"ClassAbility"}</f>
        <v>CLASSABILITY</v>
      </c>
      <c r="E1838" s="81" t="str">
        <f t="array" ref="E1838:E1839">{"CLASSABILITY1";"ClassAbility1"}</f>
        <v>CLASSABILITY1</v>
      </c>
      <c r="F1838" s="81"/>
      <c r="G1838" s="81"/>
      <c r="H1838" s="81"/>
      <c r="I1838" s="81"/>
      <c r="J1838" s="81" t="str">
        <f t="array" ref="J1838:J1839">{"CLASSABILITY1-L03";((INDEX(ALLCLASSDATA,MATCH("ClassAbility1-L03",CLASSFEATUREHEADERS,0),MATCH(($A1839),CLASSNAMEHEADERS,0))))}</f>
        <v>CLASSABILITY1-L03</v>
      </c>
      <c r="K1838" s="81"/>
      <c r="L1838" s="81" t="str">
        <f t="array" ref="L1838:L1839">{"CLASSABILITY1-L05";((INDEX(ALLCLASSDATA,MATCH("ClassAbility1-L05",CLASSFEATUREHEADERS,0),MATCH(($A1839),CLASSNAMEHEADERS,0))))}</f>
        <v>CLASSABILITY1-L05</v>
      </c>
      <c r="M1838" s="81"/>
      <c r="N1838" s="81" t="str">
        <f t="array" ref="N1838:N1839">{"CLASSABILITY1-L07";((INDEX(ALLCLASSDATA,MATCH("ClassAbility1-L07",CLASSFEATUREHEADERS,0),MATCH(($A1839),CLASSNAMEHEADERS,0))))}</f>
        <v>CLASSABILITY1-L07</v>
      </c>
      <c r="O1838" s="81"/>
      <c r="P1838" s="81" t="str">
        <f t="array" ref="P1838:P1839">{"CLASSABILITY1-L09";((INDEX(ALLCLASSDATA,MATCH("ClassAbility1-L09",CLASSFEATUREHEADERS,0),MATCH(($A1839),CLASSNAMEHEADERS,0))))}</f>
        <v>CLASSABILITY1-L09</v>
      </c>
      <c r="Q1838" s="81"/>
      <c r="R1838" s="81" t="str">
        <f t="array" ref="R1838:R1839">{"CLASSABILITY1-L11";((INDEX(ALLCLASSDATA,MATCH("ClassAbility1-L11",CLASSFEATUREHEADERS,0),MATCH(($A1839),CLASSNAMEHEADERS,0))))}</f>
        <v>CLASSABILITY1-L11</v>
      </c>
      <c r="S1838" s="81"/>
      <c r="T1838" s="81" t="str">
        <f t="array" ref="T1838:T1839">{"CLASSABILITY1-L13";((INDEX(ALLCLASSDATA,MATCH("ClassAbility1-L13",CLASSFEATUREHEADERS,0),MATCH(($A1839),CLASSNAMEHEADERS,0))))}</f>
        <v>CLASSABILITY1-L13</v>
      </c>
      <c r="U1838" s="81"/>
      <c r="V1838" s="81" t="str">
        <f t="array" ref="V1838:V1839">{"CLASSABILITY1-L15";((INDEX(ALLCLASSDATA,MATCH("ClassAbility1-L15",CLASSFEATUREHEADERS,0),MATCH(($A1839),CLASSNAMEHEADERS,0))))}</f>
        <v>CLASSABILITY1-L15</v>
      </c>
      <c r="W1838" s="81"/>
      <c r="X1838" s="81" t="str">
        <f t="array" ref="X1838:X1839">{"CLASSABILITY1-L17";((INDEX(ALLCLASSDATA,MATCH("ClassAbility1-L17",CLASSFEATUREHEADERS,0),MATCH(($A1839),CLASSNAMEHEADERS,0))))}</f>
        <v>CLASSABILITY1-L17</v>
      </c>
      <c r="Y1838" s="81"/>
      <c r="Z1838" s="81" t="str">
        <f t="array" ref="Z1838:Z1839">{"CLASSABILITY1-L19";((INDEX(ALLCLASSDATA,MATCH("ClassAbility1-L19",CLASSFEATUREHEADERS,0),MATCH(($A1839),CLASSNAMEHEADERS,0))))}</f>
        <v>CLASSABILITY1-L19</v>
      </c>
      <c r="AA1838" s="81"/>
      <c r="AB1838" s="76"/>
      <c r="AC1838" s="76"/>
    </row>
    <row r="1839">
      <c r="A1839" s="48" t="s">
        <v>229</v>
      </c>
      <c r="B1839" s="48"/>
      <c r="C1839" s="48" t="s">
        <v>418</v>
      </c>
      <c r="D1839" s="48" t="s">
        <v>825</v>
      </c>
      <c r="E1839" s="48" t="s">
        <v>826</v>
      </c>
      <c r="F1839" s="5"/>
      <c r="G1839" s="47"/>
      <c r="H1839" s="5"/>
      <c r="I1839" s="5"/>
      <c r="J1839" s="5"/>
      <c r="K1839" s="5"/>
      <c r="L1839" s="5" t="s">
        <v>323</v>
      </c>
      <c r="M1839" s="5"/>
      <c r="N1839" s="5" t="s">
        <v>350</v>
      </c>
      <c r="O1839" s="5"/>
      <c r="P1839" s="5" t="s">
        <v>1698</v>
      </c>
      <c r="Q1839" s="5"/>
      <c r="R1839" s="5" t="s">
        <v>1738</v>
      </c>
      <c r="S1839" s="5"/>
      <c r="T1839" s="5" t="s">
        <v>369</v>
      </c>
      <c r="U1839" s="5"/>
      <c r="V1839" s="5" t="s">
        <v>353</v>
      </c>
      <c r="W1839" s="5"/>
      <c r="X1839" s="5" t="s">
        <v>335</v>
      </c>
      <c r="Y1839" s="5"/>
      <c r="Z1839" s="5" t="s">
        <v>1173</v>
      </c>
      <c r="AA1839" s="5"/>
      <c r="AB1839" s="5"/>
      <c r="AC1839" s="47"/>
    </row>
    <row r="1840" hidden="1">
      <c r="A1840" s="76" t="str">
        <f t="array" ref="A1840:A1841">{"FormulaRow09";(INDEX(CLASSLIST,A1823,1))}</f>
        <v>FormulaRow09</v>
      </c>
      <c r="B1840" s="77" t="s">
        <v>236</v>
      </c>
      <c r="C1840" s="76" t="str">
        <f t="array" ref="C1840:C1841">{"CLASSTYPE";((INDEX(ALLCLASSDATA,MATCH("ClassType",CLASSFEATUREHEADERS,0),MATCH($A1841,CLASSNAMEHEADERS,0))))}</f>
        <v>CLASSTYPE</v>
      </c>
      <c r="D1840" s="76" t="str">
        <f t="array" ref="D1840:D1841">{"CLASSABILITYPTS";"ClassAbilityPts"}</f>
        <v>CLASSABILITYPTS</v>
      </c>
      <c r="E1840" s="76" t="str">
        <f t="array" ref="E1840:E1841">{"CLASSABILITY1";"ClassAbility1"}</f>
        <v>CLASSABILITY1</v>
      </c>
      <c r="F1840" s="76"/>
      <c r="G1840" s="76"/>
      <c r="H1840" s="76"/>
      <c r="I1840" s="76"/>
      <c r="J1840" s="76" t="str">
        <f t="array" ref="J1840:J1841">{"CLASSABILITY1-L03PTS";((INDEX(ALLCLASSDATA,MATCH("ClassAbility1-L03",CLASSFEATUREHEADERS,0),MATCH(($A1841 &amp; "Points"),CLASSNAMEHEADERS,0))))}</f>
        <v>CLASSABILITY1-L03PTS</v>
      </c>
      <c r="K1840" s="76"/>
      <c r="L1840" s="76" t="str">
        <f t="array" ref="L1840:L1841">{"CLASSABILITY1-L05PTS";((INDEX(ALLCLASSDATA,MATCH("ClassAbility1-L05",CLASSFEATUREHEADERS,0),MATCH(($A1841 &amp; "Points"),CLASSNAMEHEADERS,0))))}</f>
        <v>CLASSABILITY1-L05PTS</v>
      </c>
      <c r="M1840" s="76"/>
      <c r="N1840" s="76" t="str">
        <f t="array" ref="N1840:N1841">{"CLASSABILITY1-L07PTS";((INDEX(ALLCLASSDATA,MATCH("ClassAbility1-L07",CLASSFEATUREHEADERS,0),MATCH(($A1841 &amp; "Points"),CLASSNAMEHEADERS,0))))}</f>
        <v>CLASSABILITY1-L07PTS</v>
      </c>
      <c r="O1840" s="76"/>
      <c r="P1840" s="76" t="str">
        <f t="array" ref="P1840:P1841">{"CLASSABILITY1-L09PTS";((INDEX(ALLCLASSDATA,MATCH("ClassAbility1-L09",CLASSFEATUREHEADERS,0),MATCH(($A1841 &amp; "Points"),CLASSNAMEHEADERS,0))))}</f>
        <v>CLASSABILITY1-L09PTS</v>
      </c>
      <c r="Q1840" s="76"/>
      <c r="R1840" s="76" t="str">
        <f t="array" ref="R1840:R1841">{"CLASSABILITY1-L11PTS";((INDEX(ALLCLASSDATA,MATCH("ClassAbility1-L11",CLASSFEATUREHEADERS,0),MATCH(($A1841 &amp; "Points"),CLASSNAMEHEADERS,0))))}</f>
        <v>CLASSABILITY1-L11PTS</v>
      </c>
      <c r="S1840" s="76"/>
      <c r="T1840" s="76" t="str">
        <f t="array" ref="T1840:T1841">{"CLASSABILITY1-L13PTS";((INDEX(ALLCLASSDATA,MATCH("ClassAbility1-L13",CLASSFEATUREHEADERS,0),MATCH(($A1841 &amp; "Points"),CLASSNAMEHEADERS,0))))}</f>
        <v>CLASSABILITY1-L13PTS</v>
      </c>
      <c r="U1840" s="76"/>
      <c r="V1840" s="76" t="str">
        <f t="array" ref="V1840:V1841">{"CLASSABILITY1-L15PTS";((INDEX(ALLCLASSDATA,MATCH("ClassAbility1-L15",CLASSFEATUREHEADERS,0),MATCH(($A1841 &amp; "Points"),CLASSNAMEHEADERS,0))))}</f>
        <v>CLASSABILITY1-L15PTS</v>
      </c>
      <c r="W1840" s="76"/>
      <c r="X1840" s="76" t="str">
        <f t="array" ref="X1840:X1841">{"CLASSABILITY1-L17PTS";((INDEX(ALLCLASSDATA,MATCH("ClassAbility1-L17",CLASSFEATUREHEADERS,0),MATCH(($A1841 &amp; "Points"),CLASSNAMEHEADERS,0))))}</f>
        <v>CLASSABILITY1-L17PTS</v>
      </c>
      <c r="Y1840" s="76"/>
      <c r="Z1840" s="76" t="str">
        <f t="array" ref="Z1840:Z1841">{"CLASSABILITY1-L19PTS";((INDEX(ALLCLASSDATA,MATCH("ClassAbility1-L19",CLASSFEATUREHEADERS,0),MATCH(($A1841 &amp; "Points"),CLASSNAMEHEADERS,0))))}</f>
        <v>CLASSABILITY1-L19PTS</v>
      </c>
      <c r="AA1840" s="76"/>
      <c r="AB1840" s="76"/>
      <c r="AC1840" s="76" t="str">
        <f t="array" ref="AC1840:AC1841">{"CLASSABILITY1 TOTAL";(sum(G1841:AA1841))}</f>
        <v>CLASSABILITY1 TOTAL</v>
      </c>
    </row>
    <row r="1841">
      <c r="A1841" s="48" t="s">
        <v>229</v>
      </c>
      <c r="B1841" s="48"/>
      <c r="C1841" s="48" t="s">
        <v>418</v>
      </c>
      <c r="D1841" s="48" t="s">
        <v>930</v>
      </c>
      <c r="E1841" s="48" t="s">
        <v>826</v>
      </c>
      <c r="F1841" s="5"/>
      <c r="G1841" s="5"/>
      <c r="H1841" s="5"/>
      <c r="I1841" s="5"/>
      <c r="J1841" s="48"/>
      <c r="K1841" s="5"/>
      <c r="L1841" s="5"/>
      <c r="M1841" s="5"/>
      <c r="N1841" s="5"/>
      <c r="O1841" s="5"/>
      <c r="P1841" s="5"/>
      <c r="Q1841" s="5"/>
      <c r="R1841" s="5"/>
      <c r="S1841" s="5"/>
      <c r="T1841" s="5"/>
      <c r="U1841" s="5"/>
      <c r="V1841" s="5"/>
      <c r="W1841" s="5"/>
      <c r="X1841" s="5"/>
      <c r="Y1841" s="5"/>
      <c r="Z1841" s="5"/>
      <c r="AA1841" s="5"/>
      <c r="AB1841" s="5"/>
      <c r="AC1841" s="47">
        <v>0.0</v>
      </c>
    </row>
    <row r="1842" hidden="1">
      <c r="A1842" s="76" t="str">
        <f t="array" ref="A1842:A1843">{"FormulaRow10";(INDEX(CLASSLIST,A1823,1))}</f>
        <v>FormulaRow10</v>
      </c>
      <c r="B1842" s="77" t="s">
        <v>236</v>
      </c>
      <c r="C1842" s="76" t="str">
        <f t="array" ref="C1842:C1843">{"CLASSTYPE";((INDEX(ALLCLASSDATA,MATCH("ClassType",CLASSFEATUREHEADERS,0),MATCH($A1843,CLASSNAMEHEADERS,0))))}</f>
        <v>CLASSTYPE</v>
      </c>
      <c r="D1842" s="76" t="str">
        <f t="array" ref="D1842:D1843">{"CLASSABILITY";"ClassAbility"}</f>
        <v>CLASSABILITY</v>
      </c>
      <c r="E1842" s="76" t="str">
        <f t="array" ref="E1842:E1843">{"CLASSABILITY2";"ClassAbility2"}</f>
        <v>CLASSABILITY2</v>
      </c>
      <c r="F1842" s="76"/>
      <c r="G1842" s="76"/>
      <c r="H1842" s="76"/>
      <c r="I1842" s="76"/>
      <c r="J1842" s="76" t="str">
        <f t="array" ref="J1842:J1843">{"CLASSABILITY2-L03";((INDEX(ALLCLASSDATA,MATCH("ClassAbility2-L03",CLASSFEATUREHEADERS,0),MATCH(($A1843),CLASSNAMEHEADERS,0))))}</f>
        <v>CLASSABILITY2-L03</v>
      </c>
      <c r="K1842" s="76"/>
      <c r="L1842" s="76" t="str">
        <f t="array" ref="L1842:L1843">{"CLASSABILITY2-L05";((INDEX(ALLCLASSDATA,MATCH("ClassAbility2-L05",CLASSFEATUREHEADERS,0),MATCH(($A1843),CLASSNAMEHEADERS,0))))}</f>
        <v>CLASSABILITY2-L05</v>
      </c>
      <c r="M1842" s="76"/>
      <c r="N1842" s="76" t="str">
        <f t="array" ref="N1842:N1843">{"CLASSABILITY2-L07";((INDEX(ALLCLASSDATA,MATCH("ClassAbility2-L07",CLASSFEATUREHEADERS,0),MATCH(($A1843),CLASSNAMEHEADERS,0))))}</f>
        <v>CLASSABILITY2-L07</v>
      </c>
      <c r="O1842" s="76"/>
      <c r="P1842" s="76" t="str">
        <f t="array" ref="P1842:P1843">{"CLASSABILITY2-L09";((INDEX(ALLCLASSDATA,MATCH("ClassAbility2-L09",CLASSFEATUREHEADERS,0),MATCH(($A1843),CLASSNAMEHEADERS,0))))}</f>
        <v>CLASSABILITY2-L09</v>
      </c>
      <c r="Q1842" s="76"/>
      <c r="R1842" s="76" t="str">
        <f t="array" ref="R1842:R1843">{"CLASSABILITY2-L11";((INDEX(ALLCLASSDATA,MATCH("ClassAbility2-L11",CLASSFEATUREHEADERS,0),MATCH(($A1843),CLASSNAMEHEADERS,0))))}</f>
        <v>CLASSABILITY2-L11</v>
      </c>
      <c r="S1842" s="76"/>
      <c r="T1842" s="76" t="str">
        <f t="array" ref="T1842:T1843">{"CLASSABILITY2-L13";((INDEX(ALLCLASSDATA,MATCH("ClassAbility2-L13",CLASSFEATUREHEADERS,0),MATCH(($A1843),CLASSNAMEHEADERS,0))))}</f>
        <v>CLASSABILITY2-L13</v>
      </c>
      <c r="U1842" s="76"/>
      <c r="V1842" s="76" t="str">
        <f t="array" ref="V1842:V1843">{"CLASSABILITY2-L15";((INDEX(ALLCLASSDATA,MATCH("ClassAbility2-L15",CLASSFEATUREHEADERS,0),MATCH(($A1843),CLASSNAMEHEADERS,0))))}</f>
        <v>CLASSABILITY2-L15</v>
      </c>
      <c r="W1842" s="76"/>
      <c r="X1842" s="76" t="str">
        <f t="array" ref="X1842:X1843">{"CLASSABILITY2-L17";((INDEX(ALLCLASSDATA,MATCH("ClassAbility2-L17",CLASSFEATUREHEADERS,0),MATCH(($A1843),CLASSNAMEHEADERS,0))))}</f>
        <v>CLASSABILITY2-L17</v>
      </c>
      <c r="Y1842" s="76"/>
      <c r="Z1842" s="76" t="str">
        <f t="array" ref="Z1842:Z1843">{"CLASSABILITY2-L19";((INDEX(ALLCLASSDATA,MATCH("ClassAbility2-L19",CLASSFEATUREHEADERS,0),MATCH(($A1843),CLASSNAMEHEADERS,0))))}</f>
        <v>CLASSABILITY2-L19</v>
      </c>
      <c r="AA1842" s="76"/>
      <c r="AB1842" s="76"/>
      <c r="AC1842" s="76"/>
    </row>
    <row r="1843">
      <c r="A1843" s="48" t="s">
        <v>229</v>
      </c>
      <c r="B1843" s="48"/>
      <c r="C1843" s="48" t="s">
        <v>418</v>
      </c>
      <c r="D1843" s="48" t="s">
        <v>825</v>
      </c>
      <c r="E1843" s="48" t="s">
        <v>1007</v>
      </c>
      <c r="F1843" s="48"/>
      <c r="G1843" s="47"/>
      <c r="H1843" s="5"/>
      <c r="I1843" s="5"/>
      <c r="J1843" s="5"/>
      <c r="K1843" s="5"/>
      <c r="L1843" s="5"/>
      <c r="M1843" s="5"/>
      <c r="N1843" s="5"/>
      <c r="O1843" s="5"/>
      <c r="P1843" s="5"/>
      <c r="Q1843" s="5"/>
      <c r="R1843" s="5" t="s">
        <v>305</v>
      </c>
      <c r="S1843" s="5"/>
      <c r="T1843" s="5" t="s">
        <v>1756</v>
      </c>
      <c r="U1843" s="5"/>
      <c r="V1843" s="5"/>
      <c r="W1843" s="5"/>
      <c r="X1843" s="5"/>
      <c r="Y1843" s="5"/>
      <c r="Z1843" s="5" t="s">
        <v>356</v>
      </c>
      <c r="AA1843" s="5"/>
      <c r="AB1843" s="5"/>
      <c r="AC1843" s="47"/>
    </row>
    <row r="1844" hidden="1">
      <c r="A1844" s="76" t="str">
        <f t="array" ref="A1844:A1845">{"FormulaRow11";(INDEX(CLASSLIST,A1823,1))}</f>
        <v>FormulaRow11</v>
      </c>
      <c r="B1844" s="77" t="s">
        <v>236</v>
      </c>
      <c r="C1844" s="76" t="str">
        <f t="array" ref="C1844:C1845">{"CLASSTYPE";((INDEX(ALLCLASSDATA,MATCH("ClassType",CLASSFEATUREHEADERS,0),MATCH($A1845,CLASSNAMEHEADERS,0))))}</f>
        <v>CLASSTYPE</v>
      </c>
      <c r="D1844" s="76" t="str">
        <f t="array" ref="D1844:D1845">{"CLASSABILITYPTS";"ClassAbilityPts"}</f>
        <v>CLASSABILITYPTS</v>
      </c>
      <c r="E1844" s="76" t="str">
        <f t="array" ref="E1844:E1845">{"CLASSABILITY2";"ClassAbility2"}</f>
        <v>CLASSABILITY2</v>
      </c>
      <c r="F1844" s="76"/>
      <c r="G1844" s="76"/>
      <c r="H1844" s="76"/>
      <c r="I1844" s="76"/>
      <c r="J1844" s="76" t="str">
        <f t="array" ref="J1844:J1845">{"CLASSABILITY2-L03PTS";((INDEX(ALLCLASSDATA,MATCH("ClassAbility2-L03",CLASSFEATUREHEADERS,0),MATCH(($A1845 &amp; "Points"),CLASSNAMEHEADERS,0))))}</f>
        <v>CLASSABILITY2-L03PTS</v>
      </c>
      <c r="K1844" s="76"/>
      <c r="L1844" s="76" t="str">
        <f t="array" ref="L1844:L1845">{"CLASSABILITY2-L05PTS";((INDEX(ALLCLASSDATA,MATCH("ClassAbility2-L05",CLASSFEATUREHEADERS,0),MATCH(($A1845 &amp; "Points"),CLASSNAMEHEADERS,0))))}</f>
        <v>CLASSABILITY2-L05PTS</v>
      </c>
      <c r="M1844" s="76"/>
      <c r="N1844" s="76" t="str">
        <f t="array" ref="N1844:N1845">{"CLASSABILITY2-L07PTS";((INDEX(ALLCLASSDATA,MATCH("ClassAbility2-L07",CLASSFEATUREHEADERS,0),MATCH(($A1845 &amp; "Points"),CLASSNAMEHEADERS,0))))}</f>
        <v>CLASSABILITY2-L07PTS</v>
      </c>
      <c r="O1844" s="76"/>
      <c r="P1844" s="76" t="str">
        <f t="array" ref="P1844:P1845">{"CLASSABILITY2-L09PTS";((INDEX(ALLCLASSDATA,MATCH("ClassAbility2-L09",CLASSFEATUREHEADERS,0),MATCH(($A1845 &amp; "Points"),CLASSNAMEHEADERS,0))))}</f>
        <v>CLASSABILITY2-L09PTS</v>
      </c>
      <c r="Q1844" s="76"/>
      <c r="R1844" s="76" t="str">
        <f t="array" ref="R1844:R1845">{"CLASSABILITY2-L11PTS";((INDEX(ALLCLASSDATA,MATCH("ClassAbility2-L11",CLASSFEATUREHEADERS,0),MATCH(($A1845 &amp; "Points"),CLASSNAMEHEADERS,0))))}</f>
        <v>CLASSABILITY2-L11PTS</v>
      </c>
      <c r="S1844" s="76"/>
      <c r="T1844" s="76" t="str">
        <f t="array" ref="T1844:T1845">{"CLASSABILITY2-L13PTS";((INDEX(ALLCLASSDATA,MATCH("ClassAbility2-L13",CLASSFEATUREHEADERS,0),MATCH(($A1845 &amp; "Points"),CLASSNAMEHEADERS,0))))}</f>
        <v>CLASSABILITY2-L13PTS</v>
      </c>
      <c r="U1844" s="76"/>
      <c r="V1844" s="76" t="str">
        <f t="array" ref="V1844:V1845">{"CLASSABILITY2-L15PTS";((INDEX(ALLCLASSDATA,MATCH("ClassAbility2-L15",CLASSFEATUREHEADERS,0),MATCH(($A1845 &amp; "Points"),CLASSNAMEHEADERS,0))))}</f>
        <v>CLASSABILITY2-L15PTS</v>
      </c>
      <c r="W1844" s="76"/>
      <c r="X1844" s="76" t="str">
        <f t="array" ref="X1844:X1845">{"CLASSABILITY2-L17PTS";((INDEX(ALLCLASSDATA,MATCH("ClassAbility2-L17",CLASSFEATUREHEADERS,0),MATCH(($A1845 &amp; "Points"),CLASSNAMEHEADERS,0))))}</f>
        <v>CLASSABILITY2-L17PTS</v>
      </c>
      <c r="Y1844" s="76"/>
      <c r="Z1844" s="76" t="str">
        <f t="array" ref="Z1844:Z1845">{"CLASSABILITY2-L19PTS";((INDEX(ALLCLASSDATA,MATCH("ClassAbility2-L19",CLASSFEATUREHEADERS,0),MATCH(($A1845 &amp; "Points"),CLASSNAMEHEADERS,0))))}</f>
        <v>CLASSABILITY2-L19PTS</v>
      </c>
      <c r="AA1844" s="76"/>
      <c r="AB1844" s="76"/>
      <c r="AC1844" s="76" t="str">
        <f t="array" ref="AC1844:AC1845">{"CLASSABILITY2 TOTAL";(sum(G1845:AA1845))}</f>
        <v>CLASSABILITY2 TOTAL</v>
      </c>
    </row>
    <row r="1845">
      <c r="A1845" s="48" t="s">
        <v>229</v>
      </c>
      <c r="B1845" s="48"/>
      <c r="C1845" s="48" t="s">
        <v>418</v>
      </c>
      <c r="D1845" s="48" t="s">
        <v>930</v>
      </c>
      <c r="E1845" s="48" t="s">
        <v>1007</v>
      </c>
      <c r="F1845" s="48"/>
      <c r="G1845" s="47"/>
      <c r="H1845" s="5"/>
      <c r="I1845" s="5"/>
      <c r="J1845" s="5"/>
      <c r="K1845" s="5"/>
      <c r="L1845" s="5"/>
      <c r="M1845" s="5"/>
      <c r="N1845" s="5"/>
      <c r="O1845" s="5"/>
      <c r="P1845" s="5"/>
      <c r="Q1845" s="5"/>
      <c r="R1845" s="5"/>
      <c r="S1845" s="5"/>
      <c r="T1845" s="5"/>
      <c r="U1845" s="5"/>
      <c r="V1845" s="5"/>
      <c r="W1845" s="5"/>
      <c r="X1845" s="5"/>
      <c r="Y1845" s="5"/>
      <c r="Z1845" s="5"/>
      <c r="AA1845" s="5"/>
      <c r="AB1845" s="5"/>
      <c r="AC1845" s="47">
        <v>0.0</v>
      </c>
    </row>
    <row r="1846" hidden="1">
      <c r="A1846" s="76" t="str">
        <f t="array" ref="A1846:A1847">{"FormulaRow12";(INDEX(CLASSLIST,A1823,1))}</f>
        <v>FormulaRow12</v>
      </c>
      <c r="B1846" s="77" t="s">
        <v>236</v>
      </c>
      <c r="C1846" s="76" t="str">
        <f t="array" ref="C1846:C1847">{"CLASSTYPE";((INDEX(ALLCLASSDATA,MATCH("ClassType",CLASSFEATUREHEADERS,0),MATCH($A1847,CLASSNAMEHEADERS,0))))}</f>
        <v>CLASSTYPE</v>
      </c>
      <c r="D1846" s="76" t="str">
        <f t="array" ref="D1846:D1847">{"CLASSABILITY";"ClassAbility"}</f>
        <v>CLASSABILITY</v>
      </c>
      <c r="E1846" s="76" t="str">
        <f t="array" ref="E1846:E1847">{"CLASSABILITY3";"ClassAbility3"}</f>
        <v>CLASSABILITY3</v>
      </c>
      <c r="F1846" s="76"/>
      <c r="G1846" s="76"/>
      <c r="H1846" s="76"/>
      <c r="I1846" s="76"/>
      <c r="J1846" s="76" t="str">
        <f t="array" ref="J1846:J1847">{"CLASSABILITY3-L03";((INDEX(ALLCLASSDATA,MATCH("ClassAbility3-L03",CLASSFEATUREHEADERS,0),MATCH(($A1847),CLASSNAMEHEADERS,0))))}</f>
        <v>CLASSABILITY3-L03</v>
      </c>
      <c r="K1846" s="76"/>
      <c r="L1846" s="76" t="str">
        <f t="array" ref="L1846:L1847">{"CLASSABILITY3-L05";((INDEX(ALLCLASSDATA,MATCH("ClassAbility3-L05",CLASSFEATUREHEADERS,0),MATCH(($A1847),CLASSNAMEHEADERS,0))))}</f>
        <v>CLASSABILITY3-L05</v>
      </c>
      <c r="M1846" s="76"/>
      <c r="N1846" s="76" t="str">
        <f t="array" ref="N1846:N1847">{"CLASSABILITY3-L07";((INDEX(ALLCLASSDATA,MATCH("ClassAbility3-L07",CLASSFEATUREHEADERS,0),MATCH(($A1847),CLASSNAMEHEADERS,0))))}</f>
        <v>CLASSABILITY3-L07</v>
      </c>
      <c r="O1846" s="76"/>
      <c r="P1846" s="76" t="str">
        <f t="array" ref="P1846:P1847">{"CLASSABILITY3-L09";((INDEX(ALLCLASSDATA,MATCH("ClassAbility3-L09",CLASSFEATUREHEADERS,0),MATCH(($A1847),CLASSNAMEHEADERS,0))))}</f>
        <v>CLASSABILITY3-L09</v>
      </c>
      <c r="Q1846" s="76"/>
      <c r="R1846" s="76" t="str">
        <f t="array" ref="R1846:R1847">{"CLASSABILITY3-L11";((INDEX(ALLCLASSDATA,MATCH("ClassAbility3-L11",CLASSFEATUREHEADERS,0),MATCH(($A1847),CLASSNAMEHEADERS,0))))}</f>
        <v>CLASSABILITY3-L11</v>
      </c>
      <c r="S1846" s="76"/>
      <c r="T1846" s="76" t="str">
        <f t="array" ref="T1846:T1847">{"CLASSABILITY3-L13";((INDEX(ALLCLASSDATA,MATCH("ClassAbility3-L13",CLASSFEATUREHEADERS,0),MATCH(($A1847),CLASSNAMEHEADERS,0))))}</f>
        <v>CLASSABILITY3-L13</v>
      </c>
      <c r="U1846" s="76"/>
      <c r="V1846" s="76" t="str">
        <f t="array" ref="V1846:V1847">{"CLASSABILITY3-L15";((INDEX(ALLCLASSDATA,MATCH("ClassAbility3-L15",CLASSFEATUREHEADERS,0),MATCH(($A1847),CLASSNAMEHEADERS,0))))}</f>
        <v>CLASSABILITY3-L15</v>
      </c>
      <c r="W1846" s="76"/>
      <c r="X1846" s="76" t="str">
        <f t="array" ref="X1846:X1847">{"CLASSABILITY3-L17";((INDEX(ALLCLASSDATA,MATCH("ClassAbility3-L17",CLASSFEATUREHEADERS,0),MATCH(($A1847),CLASSNAMEHEADERS,0))))}</f>
        <v>CLASSABILITY3-L17</v>
      </c>
      <c r="Y1846" s="76"/>
      <c r="Z1846" s="76" t="str">
        <f t="array" ref="Z1846:Z1847">{"CLASSABILITY3-L19";((INDEX(ALLCLASSDATA,MATCH("ClassAbility3-L19",CLASSFEATUREHEADERS,0),MATCH(($A1847),CLASSNAMEHEADERS,0))))}</f>
        <v>CLASSABILITY3-L19</v>
      </c>
      <c r="AA1846" s="76"/>
      <c r="AB1846" s="76"/>
      <c r="AC1846" s="76"/>
    </row>
    <row r="1847">
      <c r="A1847" s="48" t="s">
        <v>229</v>
      </c>
      <c r="B1847" s="48"/>
      <c r="C1847" s="48" t="s">
        <v>418</v>
      </c>
      <c r="D1847" s="48" t="s">
        <v>825</v>
      </c>
      <c r="E1847" s="48" t="s">
        <v>1144</v>
      </c>
      <c r="F1847" s="48"/>
      <c r="G1847" s="47"/>
      <c r="H1847" s="5"/>
      <c r="I1847" s="5"/>
      <c r="J1847" s="5"/>
      <c r="K1847" s="5"/>
      <c r="L1847" s="5"/>
      <c r="M1847" s="5"/>
      <c r="N1847" s="5"/>
      <c r="O1847" s="5"/>
      <c r="P1847" s="5"/>
      <c r="Q1847" s="5"/>
      <c r="R1847" s="5"/>
      <c r="S1847" s="5"/>
      <c r="T1847" s="5"/>
      <c r="U1847" s="5"/>
      <c r="V1847" s="5"/>
      <c r="W1847" s="5"/>
      <c r="X1847" s="5"/>
      <c r="Y1847" s="5"/>
      <c r="Z1847" s="5"/>
      <c r="AA1847" s="5"/>
      <c r="AB1847" s="5"/>
      <c r="AC1847" s="47"/>
    </row>
    <row r="1848" hidden="1">
      <c r="A1848" s="76" t="str">
        <f t="array" ref="A1848:A1849">{"FormulaRow13";(INDEX(CLASSLIST,A1823,1))}</f>
        <v>FormulaRow13</v>
      </c>
      <c r="B1848" s="77" t="s">
        <v>236</v>
      </c>
      <c r="C1848" s="76" t="str">
        <f t="array" ref="C1848:C1849">{"CLASSTYPE";((INDEX(ALLCLASSDATA,MATCH("ClassType",CLASSFEATUREHEADERS,0),MATCH($A1849,CLASSNAMEHEADERS,0))))}</f>
        <v>CLASSTYPE</v>
      </c>
      <c r="D1848" s="76" t="str">
        <f t="array" ref="D1848:D1849">{"CLASSABILITYPTS";"ClassAbilityPts"}</f>
        <v>CLASSABILITYPTS</v>
      </c>
      <c r="E1848" s="76" t="str">
        <f t="array" ref="E1848:E1849">{"CLASSABILITY3";"ClassAbility3"}</f>
        <v>CLASSABILITY3</v>
      </c>
      <c r="F1848" s="76"/>
      <c r="G1848" s="76"/>
      <c r="H1848" s="76"/>
      <c r="I1848" s="76"/>
      <c r="J1848" s="76" t="str">
        <f t="array" ref="J1848:J1849">{"CLASSABILITY3-L03PTS";((INDEX(ALLCLASSDATA,MATCH("ClassAbility3-L03",CLASSFEATUREHEADERS,0),MATCH(($A1849 &amp; "Points"),CLASSNAMEHEADERS,0))))}</f>
        <v>CLASSABILITY3-L03PTS</v>
      </c>
      <c r="K1848" s="76"/>
      <c r="L1848" s="76" t="str">
        <f t="array" ref="L1848:L1849">{"CLASSABILITY3-L05PTS";((INDEX(ALLCLASSDATA,MATCH("ClassAbility3-L05",CLASSFEATUREHEADERS,0),MATCH(($A1849 &amp; "Points"),CLASSNAMEHEADERS,0))))}</f>
        <v>CLASSABILITY3-L05PTS</v>
      </c>
      <c r="M1848" s="76"/>
      <c r="N1848" s="76" t="str">
        <f t="array" ref="N1848:N1849">{"CLASSABILITY3-L07PTS";((INDEX(ALLCLASSDATA,MATCH("ClassAbility3-L07",CLASSFEATUREHEADERS,0),MATCH(($A1849 &amp; "Points"),CLASSNAMEHEADERS,0))))}</f>
        <v>CLASSABILITY3-L07PTS</v>
      </c>
      <c r="O1848" s="76"/>
      <c r="P1848" s="76" t="str">
        <f t="array" ref="P1848:P1849">{"CLASSABILITY3-L09PTS";((INDEX(ALLCLASSDATA,MATCH("ClassAbility3-L09",CLASSFEATUREHEADERS,0),MATCH(($A1849 &amp; "Points"),CLASSNAMEHEADERS,0))))}</f>
        <v>CLASSABILITY3-L09PTS</v>
      </c>
      <c r="Q1848" s="76"/>
      <c r="R1848" s="76" t="str">
        <f t="array" ref="R1848:R1849">{"CLASSABILITY3-L11PTS";((INDEX(ALLCLASSDATA,MATCH("ClassAbility3-L11",CLASSFEATUREHEADERS,0),MATCH(($A1849 &amp; "Points"),CLASSNAMEHEADERS,0))))}</f>
        <v>CLASSABILITY3-L11PTS</v>
      </c>
      <c r="S1848" s="76"/>
      <c r="T1848" s="76" t="str">
        <f t="array" ref="T1848:T1849">{"CLASSABILITY3-L13PTS";((INDEX(ALLCLASSDATA,MATCH("ClassAbility3-L13",CLASSFEATUREHEADERS,0),MATCH(($A1849 &amp; "Points"),CLASSNAMEHEADERS,0))))}</f>
        <v>CLASSABILITY3-L13PTS</v>
      </c>
      <c r="U1848" s="76"/>
      <c r="V1848" s="76" t="str">
        <f t="array" ref="V1848:V1849">{"CLASSABILITY3-L15PTS";((INDEX(ALLCLASSDATA,MATCH("ClassAbility3-L15",CLASSFEATUREHEADERS,0),MATCH(($A1849 &amp; "Points"),CLASSNAMEHEADERS,0))))}</f>
        <v>CLASSABILITY3-L15PTS</v>
      </c>
      <c r="W1848" s="76"/>
      <c r="X1848" s="76" t="str">
        <f t="array" ref="X1848:X1849">{"CLASSABILITY3-L17PTS";((INDEX(ALLCLASSDATA,MATCH("ClassAbility3-L17",CLASSFEATUREHEADERS,0),MATCH(($A1849 &amp; "Points"),CLASSNAMEHEADERS,0))))}</f>
        <v>CLASSABILITY3-L17PTS</v>
      </c>
      <c r="Y1848" s="76"/>
      <c r="Z1848" s="76" t="str">
        <f t="array" ref="Z1848:Z1849">{"CLASSABILITY3-L19PTS";((INDEX(ALLCLASSDATA,MATCH("ClassAbility3-L19",CLASSFEATUREHEADERS,0),MATCH(($A1849 &amp; "Points"),CLASSNAMEHEADERS,0))))}</f>
        <v>CLASSABILITY3-L19PTS</v>
      </c>
      <c r="AA1848" s="76"/>
      <c r="AB1848" s="76"/>
      <c r="AC1848" s="76" t="str">
        <f t="array" ref="AC1848:AC1849">{"CLASSABILITY3 TOTAL";(sum(G1849:AA1849))}</f>
        <v>CLASSABILITY3 TOTAL</v>
      </c>
    </row>
    <row r="1849">
      <c r="A1849" s="48" t="s">
        <v>229</v>
      </c>
      <c r="B1849" s="48"/>
      <c r="C1849" s="48" t="s">
        <v>418</v>
      </c>
      <c r="D1849" s="48" t="s">
        <v>930</v>
      </c>
      <c r="E1849" s="48" t="s">
        <v>1144</v>
      </c>
      <c r="F1849" s="48"/>
      <c r="G1849" s="47"/>
      <c r="H1849" s="5"/>
      <c r="I1849" s="5"/>
      <c r="J1849" s="5"/>
      <c r="K1849" s="5"/>
      <c r="L1849" s="5"/>
      <c r="M1849" s="5"/>
      <c r="N1849" s="5"/>
      <c r="O1849" s="5"/>
      <c r="P1849" s="5"/>
      <c r="Q1849" s="5"/>
      <c r="R1849" s="5"/>
      <c r="S1849" s="5"/>
      <c r="T1849" s="5"/>
      <c r="U1849" s="5"/>
      <c r="V1849" s="5"/>
      <c r="W1849" s="5"/>
      <c r="X1849" s="5"/>
      <c r="Y1849" s="5"/>
      <c r="Z1849" s="5"/>
      <c r="AA1849" s="5"/>
      <c r="AB1849" s="5"/>
      <c r="AC1849" s="47">
        <v>0.0</v>
      </c>
    </row>
    <row r="1850" hidden="1">
      <c r="A1850" s="76" t="str">
        <f t="array" ref="A1850:A1851">{"FormulaRow14";(INDEX(CLASSLIST,A1823,1))}</f>
        <v>FormulaRow14</v>
      </c>
      <c r="B1850" s="77" t="s">
        <v>236</v>
      </c>
      <c r="C1850" s="76" t="str">
        <f t="array" ref="C1850:C1851">{"CLASSTYPE";((INDEX(ALLCLASSDATA,MATCH("ClassType",CLASSFEATUREHEADERS,0),MATCH($A1851,CLASSNAMEHEADERS,0))))}</f>
        <v>CLASSTYPE</v>
      </c>
      <c r="D1850" s="76" t="str">
        <f t="array" ref="D1850:D1851">{"CLASSABILITY";"ClassAbility"}</f>
        <v>CLASSABILITY</v>
      </c>
      <c r="E1850" s="76" t="str">
        <f t="array" ref="E1850:E1851">{"CLASSABILITY4";"ClassAbility4"}</f>
        <v>CLASSABILITY4</v>
      </c>
      <c r="F1850" s="76"/>
      <c r="G1850" s="76"/>
      <c r="H1850" s="76"/>
      <c r="I1850" s="76"/>
      <c r="J1850" s="76" t="str">
        <f t="array" ref="J1850:J1851">{"CLASSABILITY4-L03";((INDEX(ALLCLASSDATA,MATCH("ClassAbility4-L03",CLASSFEATUREHEADERS,0),MATCH(($A1851),CLASSNAMEHEADERS,0))))}</f>
        <v>CLASSABILITY4-L03</v>
      </c>
      <c r="K1850" s="76"/>
      <c r="L1850" s="76" t="str">
        <f t="array" ref="L1850:L1851">{"CLASSABILITY4-L05";((INDEX(ALLCLASSDATA,MATCH("ClassAbility4-L05",CLASSFEATUREHEADERS,0),MATCH(($A1851),CLASSNAMEHEADERS,0))))}</f>
        <v>CLASSABILITY4-L05</v>
      </c>
      <c r="M1850" s="76"/>
      <c r="N1850" s="76" t="str">
        <f t="array" ref="N1850:N1851">{"CLASSABILITY4-L07";((INDEX(ALLCLASSDATA,MATCH("ClassAbility4-L07",CLASSFEATUREHEADERS,0),MATCH(($A1851),CLASSNAMEHEADERS,0))))}</f>
        <v>CLASSABILITY4-L07</v>
      </c>
      <c r="O1850" s="76"/>
      <c r="P1850" s="76" t="str">
        <f t="array" ref="P1850:P1851">{"CLASSABILITY4-L09";((INDEX(ALLCLASSDATA,MATCH("ClassAbility4-L09",CLASSFEATUREHEADERS,0),MATCH(($A1851),CLASSNAMEHEADERS,0))))}</f>
        <v>CLASSABILITY4-L09</v>
      </c>
      <c r="Q1850" s="76"/>
      <c r="R1850" s="76" t="str">
        <f t="array" ref="R1850:R1851">{"CLASSABILITY4-L11";((INDEX(ALLCLASSDATA,MATCH("ClassAbility4-L11",CLASSFEATUREHEADERS,0),MATCH(($A1851),CLASSNAMEHEADERS,0))))}</f>
        <v>CLASSABILITY4-L11</v>
      </c>
      <c r="S1850" s="76"/>
      <c r="T1850" s="76" t="str">
        <f t="array" ref="T1850:T1851">{"CLASSABILITY4-L13";((INDEX(ALLCLASSDATA,MATCH("ClassAbility4-L13",CLASSFEATUREHEADERS,0),MATCH(($A1851),CLASSNAMEHEADERS,0))))}</f>
        <v>CLASSABILITY4-L13</v>
      </c>
      <c r="U1850" s="76"/>
      <c r="V1850" s="76" t="str">
        <f t="array" ref="V1850:V1851">{"CLASSABILITY4-L15";((INDEX(ALLCLASSDATA,MATCH("ClassAbility4-L15",CLASSFEATUREHEADERS,0),MATCH(($A1851),CLASSNAMEHEADERS,0))))}</f>
        <v>CLASSABILITY4-L15</v>
      </c>
      <c r="W1850" s="76"/>
      <c r="X1850" s="76" t="str">
        <f t="array" ref="X1850:X1851">{"CLASSABILITY4-L17";((INDEX(ALLCLASSDATA,MATCH("ClassAbility4-L17",CLASSFEATUREHEADERS,0),MATCH(($A1851),CLASSNAMEHEADERS,0))))}</f>
        <v>CLASSABILITY4-L17</v>
      </c>
      <c r="Y1850" s="76"/>
      <c r="Z1850" s="76" t="str">
        <f t="array" ref="Z1850:Z1851">{"CLASSABILITY4-L19";((INDEX(ALLCLASSDATA,MATCH("ClassAbility4-L19",CLASSFEATUREHEADERS,0),MATCH(($A1851),CLASSNAMEHEADERS,0))))}</f>
        <v>CLASSABILITY4-L19</v>
      </c>
      <c r="AA1850" s="76"/>
      <c r="AB1850" s="76"/>
      <c r="AC1850" s="76"/>
    </row>
    <row r="1851">
      <c r="A1851" s="48" t="s">
        <v>229</v>
      </c>
      <c r="B1851" s="48"/>
      <c r="C1851" s="48" t="s">
        <v>418</v>
      </c>
      <c r="D1851" s="48" t="s">
        <v>825</v>
      </c>
      <c r="E1851" s="48" t="s">
        <v>1273</v>
      </c>
      <c r="F1851" s="48"/>
      <c r="G1851" s="47"/>
      <c r="H1851" s="5"/>
      <c r="I1851" s="5"/>
      <c r="J1851" s="5"/>
      <c r="K1851" s="5"/>
      <c r="L1851" s="5"/>
      <c r="M1851" s="5"/>
      <c r="N1851" s="5"/>
      <c r="O1851" s="5"/>
      <c r="P1851" s="5"/>
      <c r="Q1851" s="5"/>
      <c r="R1851" s="5"/>
      <c r="S1851" s="5"/>
      <c r="T1851" s="5"/>
      <c r="U1851" s="5"/>
      <c r="V1851" s="5"/>
      <c r="W1851" s="5"/>
      <c r="X1851" s="5"/>
      <c r="Y1851" s="5"/>
      <c r="Z1851" s="5"/>
      <c r="AA1851" s="5"/>
      <c r="AB1851" s="5"/>
      <c r="AC1851" s="47"/>
    </row>
    <row r="1852" hidden="1">
      <c r="A1852" s="76" t="str">
        <f t="array" ref="A1852:A1853">{"FormulaRow15";(INDEX(CLASSLIST,A1823,1))}</f>
        <v>FormulaRow15</v>
      </c>
      <c r="B1852" s="77" t="s">
        <v>236</v>
      </c>
      <c r="C1852" s="76" t="str">
        <f t="array" ref="C1852:C1853">{"CLASSTYPE";((INDEX(ALLCLASSDATA,MATCH("ClassType",CLASSFEATUREHEADERS,0),MATCH($A1853,CLASSNAMEHEADERS,0))))}</f>
        <v>CLASSTYPE</v>
      </c>
      <c r="D1852" s="76" t="str">
        <f t="array" ref="D1852:D1853">{"CLASSABILITYPTS";"ClassAbilityPts"}</f>
        <v>CLASSABILITYPTS</v>
      </c>
      <c r="E1852" s="76" t="str">
        <f t="array" ref="E1852:E1853">{"CLASSABILITY4";"ClassAbility4"}</f>
        <v>CLASSABILITY4</v>
      </c>
      <c r="F1852" s="76"/>
      <c r="G1852" s="76"/>
      <c r="H1852" s="76"/>
      <c r="I1852" s="76"/>
      <c r="J1852" s="76" t="str">
        <f t="array" ref="J1852:J1853">{"CLASSABILITY4-L03PTS";((INDEX(ALLCLASSDATA,MATCH("ClassAbility4-L03",CLASSFEATUREHEADERS,0),MATCH(($A1853 &amp; "Points"),CLASSNAMEHEADERS,0))))}</f>
        <v>CLASSABILITY4-L03PTS</v>
      </c>
      <c r="K1852" s="76"/>
      <c r="L1852" s="76" t="str">
        <f t="array" ref="L1852:L1853">{"CLASSABILITY4-L05PTS";((INDEX(ALLCLASSDATA,MATCH("ClassAbility4-L05",CLASSFEATUREHEADERS,0),MATCH(($A1853 &amp; "Points"),CLASSNAMEHEADERS,0))))}</f>
        <v>CLASSABILITY4-L05PTS</v>
      </c>
      <c r="M1852" s="76"/>
      <c r="N1852" s="76" t="str">
        <f t="array" ref="N1852:N1853">{"CLASSABILITY4-L07PTS";((INDEX(ALLCLASSDATA,MATCH("ClassAbility4-L07",CLASSFEATUREHEADERS,0),MATCH(($A1853 &amp; "Points"),CLASSNAMEHEADERS,0))))}</f>
        <v>CLASSABILITY4-L07PTS</v>
      </c>
      <c r="O1852" s="76"/>
      <c r="P1852" s="76" t="str">
        <f t="array" ref="P1852:P1853">{"CLASSABILITY4-L09PTS";((INDEX(ALLCLASSDATA,MATCH("ClassAbility4-L09",CLASSFEATUREHEADERS,0),MATCH(($A1853 &amp; "Points"),CLASSNAMEHEADERS,0))))}</f>
        <v>CLASSABILITY4-L09PTS</v>
      </c>
      <c r="Q1852" s="76"/>
      <c r="R1852" s="76" t="str">
        <f t="array" ref="R1852:R1853">{"CLASSABILITY4-L11PTS";((INDEX(ALLCLASSDATA,MATCH("ClassAbility4-L11",CLASSFEATUREHEADERS,0),MATCH(($A1853 &amp; "Points"),CLASSNAMEHEADERS,0))))}</f>
        <v>CLASSABILITY4-L11PTS</v>
      </c>
      <c r="S1852" s="76"/>
      <c r="T1852" s="76" t="str">
        <f t="array" ref="T1852:T1853">{"CLASSABILITY4-L13PTS";((INDEX(ALLCLASSDATA,MATCH("ClassAbility4-L13",CLASSFEATUREHEADERS,0),MATCH(($A1853 &amp; "Points"),CLASSNAMEHEADERS,0))))}</f>
        <v>CLASSABILITY4-L13PTS</v>
      </c>
      <c r="U1852" s="76"/>
      <c r="V1852" s="76" t="str">
        <f t="array" ref="V1852:V1853">{"CLASSABILITY4-L15PTS";((INDEX(ALLCLASSDATA,MATCH("ClassAbility4-L15",CLASSFEATUREHEADERS,0),MATCH(($A1853 &amp; "Points"),CLASSNAMEHEADERS,0))))}</f>
        <v>CLASSABILITY4-L15PTS</v>
      </c>
      <c r="W1852" s="76"/>
      <c r="X1852" s="76" t="str">
        <f t="array" ref="X1852:X1853">{"CLASSABILITY4-L17PTS";((INDEX(ALLCLASSDATA,MATCH("ClassAbility4-L17",CLASSFEATUREHEADERS,0),MATCH(($A1853 &amp; "Points"),CLASSNAMEHEADERS,0))))}</f>
        <v>CLASSABILITY4-L17PTS</v>
      </c>
      <c r="Y1852" s="76"/>
      <c r="Z1852" s="76" t="str">
        <f t="array" ref="Z1852:Z1853">{"CLASSABILITY4-L19PTS";((INDEX(ALLCLASSDATA,MATCH("ClassAbility4-L19",CLASSFEATUREHEADERS,0),MATCH(($A1853 &amp; "Points"),CLASSNAMEHEADERS,0))))}</f>
        <v>CLASSABILITY4-L19PTS</v>
      </c>
      <c r="AA1852" s="76"/>
      <c r="AB1852" s="76"/>
      <c r="AC1852" s="76" t="str">
        <f t="array" ref="AC1852:AC1853">{"CLASSABILITY4 TOTAL";(sum(G1853:AA1853))}</f>
        <v>CLASSABILITY4 TOTAL</v>
      </c>
    </row>
    <row r="1853">
      <c r="A1853" s="48" t="s">
        <v>229</v>
      </c>
      <c r="B1853" s="48"/>
      <c r="C1853" s="48" t="s">
        <v>418</v>
      </c>
      <c r="D1853" s="48" t="s">
        <v>930</v>
      </c>
      <c r="E1853" s="48" t="s">
        <v>1273</v>
      </c>
      <c r="F1853" s="48"/>
      <c r="G1853" s="47"/>
      <c r="H1853" s="5"/>
      <c r="I1853" s="5"/>
      <c r="J1853" s="5"/>
      <c r="K1853" s="5"/>
      <c r="L1853" s="5"/>
      <c r="M1853" s="5"/>
      <c r="N1853" s="5"/>
      <c r="O1853" s="5"/>
      <c r="P1853" s="5"/>
      <c r="Q1853" s="5"/>
      <c r="R1853" s="5"/>
      <c r="S1853" s="5"/>
      <c r="T1853" s="5"/>
      <c r="U1853" s="5"/>
      <c r="V1853" s="5"/>
      <c r="W1853" s="5"/>
      <c r="X1853" s="5"/>
      <c r="Y1853" s="5"/>
      <c r="Z1853" s="5"/>
      <c r="AA1853" s="5"/>
      <c r="AB1853" s="5"/>
      <c r="AC1853" s="47">
        <v>0.0</v>
      </c>
    </row>
    <row r="1854" hidden="1">
      <c r="A1854" s="76" t="str">
        <f t="array" ref="A1854:A1855">{"FormulaRow16";(INDEX(CLASSLIST,A1823,1))}</f>
        <v>FormulaRow16</v>
      </c>
      <c r="B1854" s="77" t="s">
        <v>236</v>
      </c>
      <c r="C1854" s="76" t="str">
        <f t="array" ref="C1854:C1855">{"CLASSTYPE";((INDEX(ALLCLASSDATA,MATCH("ClassType",CLASSFEATUREHEADERS,0),MATCH($A1855,CLASSNAMEHEADERS,0))))}</f>
        <v>CLASSTYPE</v>
      </c>
      <c r="D1854" s="76" t="str">
        <f t="array" ref="D1854:D1855">{"CLASSABILITY";"ClassAbility"}</f>
        <v>CLASSABILITY</v>
      </c>
      <c r="E1854" s="76" t="str">
        <f t="array" ref="E1854:E1855">{"SUBCLASSABILITY1";"SubclassAbility1"}</f>
        <v>SUBCLASSABILITY1</v>
      </c>
      <c r="F1854" s="76"/>
      <c r="G1854" s="76"/>
      <c r="H1854" s="76"/>
      <c r="I1854" s="76"/>
      <c r="J1854" s="76" t="str">
        <f t="array" ref="J1854:J1855">{"SUBCLASSABILITY1-L03";((INDEX(ALLCLASSDATA,MATCH("SubclassAbility1-L03",CLASSFEATUREHEADERS,0),MATCH(($A1855),CLASSNAMEHEADERS,0))))}</f>
        <v>SUBCLASSABILITY1-L03</v>
      </c>
      <c r="K1854" s="76"/>
      <c r="L1854" s="76" t="str">
        <f t="array" ref="L1854:L1855">{"SUBCLASSABILITY1-L05";((INDEX(ALLCLASSDATA,MATCH("SubclassAbility1-L05",CLASSFEATUREHEADERS,0),MATCH(($A1855),CLASSNAMEHEADERS,0))))}</f>
        <v>SUBCLASSABILITY1-L05</v>
      </c>
      <c r="M1854" s="76"/>
      <c r="N1854" s="76" t="str">
        <f t="array" ref="N1854:N1855">{"SUBCLASSABILITY1-L07";((INDEX(ALLCLASSDATA,MATCH("SubclassAbility1-L07",CLASSFEATUREHEADERS,0),MATCH(($A1855),CLASSNAMEHEADERS,0))))}</f>
        <v>SUBCLASSABILITY1-L07</v>
      </c>
      <c r="O1854" s="76"/>
      <c r="P1854" s="76" t="str">
        <f t="array" ref="P1854:P1855">{"SUBCLASSABILITY1-L09";((INDEX(ALLCLASSDATA,MATCH("SubclassAbility1-L09",CLASSFEATUREHEADERS,0),MATCH(($A1855),CLASSNAMEHEADERS,0))))}</f>
        <v>SUBCLASSABILITY1-L09</v>
      </c>
      <c r="Q1854" s="76"/>
      <c r="R1854" s="76" t="str">
        <f t="array" ref="R1854:R1855">{"SUBCLASSABILITY1-L11";((INDEX(ALLCLASSDATA,MATCH("SubclassAbility1-L11",CLASSFEATUREHEADERS,0),MATCH(($A1855),CLASSNAMEHEADERS,0))))}</f>
        <v>SUBCLASSABILITY1-L11</v>
      </c>
      <c r="S1854" s="76"/>
      <c r="T1854" s="76" t="str">
        <f t="array" ref="T1854:T1855">{"SUBCLASSABILITY1-L13";((INDEX(ALLCLASSDATA,MATCH("SubclassAbility1-L13",CLASSFEATUREHEADERS,0),MATCH(($A1855),CLASSNAMEHEADERS,0))))}</f>
        <v>SUBCLASSABILITY1-L13</v>
      </c>
      <c r="U1854" s="76"/>
      <c r="V1854" s="76" t="str">
        <f t="array" ref="V1854:V1855">{"SUBCLASSABILITY1-L15";((INDEX(ALLCLASSDATA,MATCH("SubclassAbility1-L15",CLASSFEATUREHEADERS,0),MATCH(($A1855),CLASSNAMEHEADERS,0))))}</f>
        <v>SUBCLASSABILITY1-L15</v>
      </c>
      <c r="W1854" s="76"/>
      <c r="X1854" s="76" t="str">
        <f t="array" ref="X1854:X1855">{"SUBCLASSABILITY1-L17";((INDEX(ALLCLASSDATA,MATCH("SubclassAbility1-L17",CLASSFEATUREHEADERS,0),MATCH(($A1855),CLASSNAMEHEADERS,0))))}</f>
        <v>SUBCLASSABILITY1-L17</v>
      </c>
      <c r="Y1854" s="76"/>
      <c r="Z1854" s="76" t="str">
        <f t="array" ref="Z1854:Z1855">{"SUBCLASSABILITY1-L19";((INDEX(ALLCLASSDATA,MATCH("SubclassAbility1-L19",CLASSFEATUREHEADERS,0),MATCH(($A1855),CLASSNAMEHEADERS,0))))}</f>
        <v>SUBCLASSABILITY1-L19</v>
      </c>
      <c r="AA1854" s="76"/>
      <c r="AB1854" s="76"/>
      <c r="AC1854" s="76"/>
    </row>
    <row r="1855">
      <c r="A1855" s="48" t="s">
        <v>229</v>
      </c>
      <c r="B1855" s="48"/>
      <c r="C1855" s="48" t="s">
        <v>418</v>
      </c>
      <c r="D1855" s="48" t="s">
        <v>825</v>
      </c>
      <c r="E1855" s="28" t="s">
        <v>1355</v>
      </c>
      <c r="F1855" s="5"/>
      <c r="G1855" s="47"/>
      <c r="H1855" s="5"/>
      <c r="I1855" s="5"/>
      <c r="J1855" s="5"/>
      <c r="K1855" s="5"/>
      <c r="L1855" s="5"/>
      <c r="M1855" s="5"/>
      <c r="N1855" s="5"/>
      <c r="O1855" s="5"/>
      <c r="P1855" s="5"/>
      <c r="Q1855" s="5"/>
      <c r="R1855" s="5"/>
      <c r="S1855" s="5"/>
      <c r="T1855" s="5"/>
      <c r="U1855" s="5"/>
      <c r="V1855" s="5"/>
      <c r="W1855" s="5"/>
      <c r="X1855" s="5"/>
      <c r="Y1855" s="5"/>
      <c r="Z1855" s="5"/>
      <c r="AA1855" s="5"/>
      <c r="AB1855" s="5"/>
      <c r="AC1855" s="47"/>
    </row>
    <row r="1856" hidden="1">
      <c r="A1856" s="76" t="str">
        <f t="array" ref="A1856:A1857">{"FormulaRow17";(INDEX(CLASSLIST,A1823,1))}</f>
        <v>FormulaRow17</v>
      </c>
      <c r="B1856" s="77" t="s">
        <v>236</v>
      </c>
      <c r="C1856" s="76" t="str">
        <f t="array" ref="C1856:C1857">{"CLASSTYPE";((INDEX(ALLCLASSDATA,MATCH("ClassType",CLASSFEATUREHEADERS,0),MATCH($A1857,CLASSNAMEHEADERS,0))))}</f>
        <v>CLASSTYPE</v>
      </c>
      <c r="D1856" s="76" t="str">
        <f t="array" ref="D1856:D1857">{"CLASSABILITYPTS";"ClassAbilityPts"}</f>
        <v>CLASSABILITYPTS</v>
      </c>
      <c r="E1856" s="76" t="str">
        <f t="array" ref="E1856:E1857">{"SUBCLASSABILITY1";"SubclassAbility1"}</f>
        <v>SUBCLASSABILITY1</v>
      </c>
      <c r="F1856" s="76"/>
      <c r="G1856" s="76"/>
      <c r="H1856" s="76"/>
      <c r="I1856" s="76"/>
      <c r="J1856" s="76" t="str">
        <f t="array" ref="J1856:J1857">{"SUBCLASSABILITY1-L03PTS";((INDEX(ALLCLASSDATA,MATCH("SubclassAbility1-L03",CLASSFEATUREHEADERS,0),MATCH(($A1857 &amp; "Points"),CLASSNAMEHEADERS,0))))}</f>
        <v>SUBCLASSABILITY1-L03PTS</v>
      </c>
      <c r="K1856" s="76"/>
      <c r="L1856" s="76" t="str">
        <f t="array" ref="L1856:L1857">{"SUBCLASSABILITY1-L05PTS";((INDEX(ALLCLASSDATA,MATCH("SubclassAbility1-L05",CLASSFEATUREHEADERS,0),MATCH(($A1857 &amp; "Points"),CLASSNAMEHEADERS,0))))}</f>
        <v>SUBCLASSABILITY1-L05PTS</v>
      </c>
      <c r="M1856" s="76"/>
      <c r="N1856" s="76" t="str">
        <f t="array" ref="N1856:N1857">{"SUBCLASSABILITY1-L07PTS";((INDEX(ALLCLASSDATA,MATCH("SubclassAbility1-L07",CLASSFEATUREHEADERS,0),MATCH(($A1857 &amp; "Points"),CLASSNAMEHEADERS,0))))}</f>
        <v>SUBCLASSABILITY1-L07PTS</v>
      </c>
      <c r="O1856" s="76"/>
      <c r="P1856" s="76" t="str">
        <f t="array" ref="P1856:P1857">{"SUBCLASSABILITY1-L09PTS";((INDEX(ALLCLASSDATA,MATCH("SubclassAbility1-L09",CLASSFEATUREHEADERS,0),MATCH(($A1857 &amp; "Points"),CLASSNAMEHEADERS,0))))}</f>
        <v>SUBCLASSABILITY1-L09PTS</v>
      </c>
      <c r="Q1856" s="76"/>
      <c r="R1856" s="76" t="str">
        <f t="array" ref="R1856:R1857">{"SUBCLASSABILITY1-L11PTS";((INDEX(ALLCLASSDATA,MATCH("SubclassAbility1-L11",CLASSFEATUREHEADERS,0),MATCH(($A1857 &amp; "Points"),CLASSNAMEHEADERS,0))))}</f>
        <v>SUBCLASSABILITY1-L11PTS</v>
      </c>
      <c r="S1856" s="76"/>
      <c r="T1856" s="76" t="str">
        <f t="array" ref="T1856:T1857">{"SUBCLASSABILITY1-L13PTS";((INDEX(ALLCLASSDATA,MATCH("SubclassAbility1-L13",CLASSFEATUREHEADERS,0),MATCH(($A1857 &amp; "Points"),CLASSNAMEHEADERS,0))))}</f>
        <v>SUBCLASSABILITY1-L13PTS</v>
      </c>
      <c r="U1856" s="76"/>
      <c r="V1856" s="76" t="str">
        <f t="array" ref="V1856:V1857">{"SUBCLASSABILITY1-L15PTS";((INDEX(ALLCLASSDATA,MATCH("SubclassAbility1-L15",CLASSFEATUREHEADERS,0),MATCH(($A1857 &amp; "Points"),CLASSNAMEHEADERS,0))))}</f>
        <v>SUBCLASSABILITY1-L15PTS</v>
      </c>
      <c r="W1856" s="76"/>
      <c r="X1856" s="76" t="str">
        <f t="array" ref="X1856:X1857">{"SUBCLASSABILITY1-L17PTS";((INDEX(ALLCLASSDATA,MATCH("SubclassAbility1-L17",CLASSFEATUREHEADERS,0),MATCH(($A1857 &amp; "Points"),CLASSNAMEHEADERS,0))))}</f>
        <v>SUBCLASSABILITY1-L17PTS</v>
      </c>
      <c r="Y1856" s="76"/>
      <c r="Z1856" s="76" t="str">
        <f t="array" ref="Z1856:Z1857">{"SUBCLASSABILITY1-L19PTS";((INDEX(ALLCLASSDATA,MATCH("SubclassAbility1-L19",CLASSFEATUREHEADERS,0),MATCH(($A1857 &amp; "Points"),CLASSNAMEHEADERS,0))))}</f>
        <v>SUBCLASSABILITY1-L19PTS</v>
      </c>
      <c r="AA1856" s="76"/>
      <c r="AB1856" s="76"/>
      <c r="AC1856" s="76" t="str">
        <f t="array" ref="AC1856:AC1857">{"SUBCLASSABILITY1 TOTAL";(sum(G1857:AA1857))}</f>
        <v>SUBCLASSABILITY1 TOTAL</v>
      </c>
    </row>
    <row r="1857">
      <c r="A1857" s="48" t="s">
        <v>229</v>
      </c>
      <c r="B1857" s="48"/>
      <c r="C1857" s="48" t="s">
        <v>418</v>
      </c>
      <c r="D1857" s="48" t="s">
        <v>930</v>
      </c>
      <c r="E1857" s="28" t="s">
        <v>1355</v>
      </c>
      <c r="F1857" s="5"/>
      <c r="G1857" s="47"/>
      <c r="H1857" s="5"/>
      <c r="I1857" s="5"/>
      <c r="J1857" s="5"/>
      <c r="K1857" s="5"/>
      <c r="L1857" s="5"/>
      <c r="M1857" s="5"/>
      <c r="N1857" s="5"/>
      <c r="O1857" s="5"/>
      <c r="P1857" s="5"/>
      <c r="Q1857" s="5"/>
      <c r="R1857" s="5"/>
      <c r="S1857" s="5"/>
      <c r="T1857" s="5"/>
      <c r="U1857" s="5"/>
      <c r="V1857" s="5"/>
      <c r="W1857" s="5"/>
      <c r="X1857" s="5"/>
      <c r="Y1857" s="5"/>
      <c r="Z1857" s="5"/>
      <c r="AA1857" s="5"/>
      <c r="AB1857" s="5"/>
      <c r="AC1857" s="47">
        <v>0.0</v>
      </c>
    </row>
    <row r="1858" hidden="1">
      <c r="A1858" s="76" t="str">
        <f t="array" ref="A1858:A1859">{"FormulaRow18";(INDEX(CLASSLIST,A1823,1))}</f>
        <v>FormulaRow18</v>
      </c>
      <c r="B1858" s="77" t="s">
        <v>236</v>
      </c>
      <c r="C1858" s="76" t="str">
        <f t="array" ref="C1858:C1859">{"CLASSTYPE";((INDEX(ALLCLASSDATA,MATCH("ClassType",CLASSFEATUREHEADERS,0),MATCH($A1859,CLASSNAMEHEADERS,0))))}</f>
        <v>CLASSTYPE</v>
      </c>
      <c r="D1858" s="76" t="str">
        <f t="array" ref="D1858:D1859">{"CLASSABILITY";"ClassAbility"}</f>
        <v>CLASSABILITY</v>
      </c>
      <c r="E1858" s="76" t="str">
        <f t="array" ref="E1858:E1859">{"SUBCLASSABILITY2";"SubclassAbility2"}</f>
        <v>SUBCLASSABILITY2</v>
      </c>
      <c r="F1858" s="76"/>
      <c r="G1858" s="76"/>
      <c r="H1858" s="76"/>
      <c r="I1858" s="76"/>
      <c r="J1858" s="76" t="str">
        <f t="array" ref="J1858:J1859">{"SUBCLASSABILITY2-L03";((INDEX(ALLCLASSDATA,MATCH("SubclassAbility2-L03",CLASSFEATUREHEADERS,0),MATCH(($A1859),CLASSNAMEHEADERS,0))))}</f>
        <v>SUBCLASSABILITY2-L03</v>
      </c>
      <c r="K1858" s="76"/>
      <c r="L1858" s="76" t="str">
        <f t="array" ref="L1858:L1859">{"SUBCLASSABILITY2-L05";((INDEX(ALLCLASSDATA,MATCH("SubclassAbility2-L05",CLASSFEATUREHEADERS,0),MATCH(($A1859),CLASSNAMEHEADERS,0))))}</f>
        <v>SUBCLASSABILITY2-L05</v>
      </c>
      <c r="M1858" s="76"/>
      <c r="N1858" s="76" t="str">
        <f t="array" ref="N1858:N1859">{"SUBCLASSABILITY2-L07";((INDEX(ALLCLASSDATA,MATCH("SubclassAbility2-L07",CLASSFEATUREHEADERS,0),MATCH(($A1859),CLASSNAMEHEADERS,0))))}</f>
        <v>SUBCLASSABILITY2-L07</v>
      </c>
      <c r="O1858" s="76"/>
      <c r="P1858" s="76" t="str">
        <f t="array" ref="P1858:P1859">{"SUBCLASSABILITY2-L09";((INDEX(ALLCLASSDATA,MATCH("SubclassAbility2-L09",CLASSFEATUREHEADERS,0),MATCH(($A1859),CLASSNAMEHEADERS,0))))}</f>
        <v>SUBCLASSABILITY2-L09</v>
      </c>
      <c r="Q1858" s="76"/>
      <c r="R1858" s="76" t="str">
        <f t="array" ref="R1858:R1859">{"SUBCLASSABILITY2-L11";((INDEX(ALLCLASSDATA,MATCH("SubclassAbility2-L11",CLASSFEATUREHEADERS,0),MATCH(($A1859),CLASSNAMEHEADERS,0))))}</f>
        <v>SUBCLASSABILITY2-L11</v>
      </c>
      <c r="S1858" s="76"/>
      <c r="T1858" s="76" t="str">
        <f t="array" ref="T1858:T1859">{"SUBCLASSABILITY2-L13";((INDEX(ALLCLASSDATA,MATCH("SubclassAbility2-L13",CLASSFEATUREHEADERS,0),MATCH(($A1859),CLASSNAMEHEADERS,0))))}</f>
        <v>SUBCLASSABILITY2-L13</v>
      </c>
      <c r="U1858" s="76"/>
      <c r="V1858" s="76" t="str">
        <f t="array" ref="V1858:V1859">{"SUBCLASSABILITY2-L15";((INDEX(ALLCLASSDATA,MATCH("SubclassAbility2-L15",CLASSFEATUREHEADERS,0),MATCH(($A1859),CLASSNAMEHEADERS,0))))}</f>
        <v>SUBCLASSABILITY2-L15</v>
      </c>
      <c r="W1858" s="76"/>
      <c r="X1858" s="76" t="str">
        <f t="array" ref="X1858:X1859">{"SUBCLASSABILITY2-L17";((INDEX(ALLCLASSDATA,MATCH("SubclassAbility2-L17",CLASSFEATUREHEADERS,0),MATCH(($A1859),CLASSNAMEHEADERS,0))))}</f>
        <v>SUBCLASSABILITY2-L17</v>
      </c>
      <c r="Y1858" s="76"/>
      <c r="Z1858" s="76" t="str">
        <f t="array" ref="Z1858:Z1859">{"SUBCLASSABILITY2-L19";((INDEX(ALLCLASSDATA,MATCH("SubclassAbility2-L19",CLASSFEATUREHEADERS,0),MATCH(($A1859),CLASSNAMEHEADERS,0))))}</f>
        <v>SUBCLASSABILITY2-L19</v>
      </c>
      <c r="AA1858" s="76"/>
      <c r="AB1858" s="76"/>
      <c r="AC1858" s="76"/>
    </row>
    <row r="1859">
      <c r="A1859" s="48" t="s">
        <v>229</v>
      </c>
      <c r="B1859" s="48"/>
      <c r="C1859" s="48" t="s">
        <v>418</v>
      </c>
      <c r="D1859" s="48" t="s">
        <v>825</v>
      </c>
      <c r="E1859" s="28" t="s">
        <v>1370</v>
      </c>
      <c r="F1859" s="5"/>
      <c r="G1859" s="47"/>
      <c r="H1859" s="5"/>
      <c r="I1859" s="5"/>
      <c r="J1859" s="5"/>
      <c r="K1859" s="5"/>
      <c r="L1859" s="5"/>
      <c r="M1859" s="5"/>
      <c r="N1859" s="5"/>
      <c r="O1859" s="5"/>
      <c r="P1859" s="5"/>
      <c r="Q1859" s="5"/>
      <c r="R1859" s="5"/>
      <c r="S1859" s="5"/>
      <c r="T1859" s="5"/>
      <c r="U1859" s="5"/>
      <c r="V1859" s="5"/>
      <c r="W1859" s="5"/>
      <c r="X1859" s="5"/>
      <c r="Y1859" s="5"/>
      <c r="Z1859" s="5"/>
      <c r="AA1859" s="5"/>
      <c r="AB1859" s="5"/>
      <c r="AC1859" s="47"/>
    </row>
    <row r="1860" hidden="1">
      <c r="A1860" s="76" t="str">
        <f t="array" ref="A1860:A1861">{"FormulaRow19";(INDEX(CLASSLIST,A1823,1))}</f>
        <v>FormulaRow19</v>
      </c>
      <c r="B1860" s="77" t="s">
        <v>236</v>
      </c>
      <c r="C1860" s="76" t="str">
        <f t="array" ref="C1860:C1861">{"CLASSTYPE";((INDEX(ALLCLASSDATA,MATCH("ClassType",CLASSFEATUREHEADERS,0),MATCH($A1861,CLASSNAMEHEADERS,0))))}</f>
        <v>CLASSTYPE</v>
      </c>
      <c r="D1860" s="76" t="str">
        <f t="array" ref="D1860:D1861">{"CLASSABILITYPTS";"ClassAbilityPts"}</f>
        <v>CLASSABILITYPTS</v>
      </c>
      <c r="E1860" s="76" t="str">
        <f t="array" ref="E1860:E1861">{"SUBCLASSABILITY2";"SubclassAbility2"}</f>
        <v>SUBCLASSABILITY2</v>
      </c>
      <c r="F1860" s="76"/>
      <c r="G1860" s="76"/>
      <c r="H1860" s="76"/>
      <c r="I1860" s="76"/>
      <c r="J1860" s="76" t="str">
        <f t="array" ref="J1860:J1861">{"SUBCLASSABILITY2-L03PTS";((INDEX(ALLCLASSDATA,MATCH("SubclassAbility2-L03",CLASSFEATUREHEADERS,0),MATCH(($A1861 &amp; "Points"),CLASSNAMEHEADERS,0))))}</f>
        <v>SUBCLASSABILITY2-L03PTS</v>
      </c>
      <c r="K1860" s="76"/>
      <c r="L1860" s="76" t="str">
        <f t="array" ref="L1860:L1861">{"SUBCLASSABILITY2-L05PTS";((INDEX(ALLCLASSDATA,MATCH("SubclassAbility2-L05",CLASSFEATUREHEADERS,0),MATCH(($A1861 &amp; "Points"),CLASSNAMEHEADERS,0))))}</f>
        <v>SUBCLASSABILITY2-L05PTS</v>
      </c>
      <c r="M1860" s="76"/>
      <c r="N1860" s="76" t="str">
        <f t="array" ref="N1860:N1861">{"SUBCLASSABILITY2-L07PTS";((INDEX(ALLCLASSDATA,MATCH("SubclassAbility2-L07",CLASSFEATUREHEADERS,0),MATCH(($A1861 &amp; "Points"),CLASSNAMEHEADERS,0))))}</f>
        <v>SUBCLASSABILITY2-L07PTS</v>
      </c>
      <c r="O1860" s="76"/>
      <c r="P1860" s="76" t="str">
        <f t="array" ref="P1860:P1861">{"SUBCLASSABILITY2-L09PTS";((INDEX(ALLCLASSDATA,MATCH("SubclassAbility2-L09",CLASSFEATUREHEADERS,0),MATCH(($A1861 &amp; "Points"),CLASSNAMEHEADERS,0))))}</f>
        <v>SUBCLASSABILITY2-L09PTS</v>
      </c>
      <c r="Q1860" s="76"/>
      <c r="R1860" s="76" t="str">
        <f t="array" ref="R1860:R1861">{"SUBCLASSABILITY2-L11PTS";((INDEX(ALLCLASSDATA,MATCH("SubclassAbility2-L11",CLASSFEATUREHEADERS,0),MATCH(($A1861 &amp; "Points"),CLASSNAMEHEADERS,0))))}</f>
        <v>SUBCLASSABILITY2-L11PTS</v>
      </c>
      <c r="S1860" s="76"/>
      <c r="T1860" s="76" t="str">
        <f t="array" ref="T1860:T1861">{"SUBCLASSABILITY2-L13PTS";((INDEX(ALLCLASSDATA,MATCH("SubclassAbility2-L13",CLASSFEATUREHEADERS,0),MATCH(($A1861 &amp; "Points"),CLASSNAMEHEADERS,0))))}</f>
        <v>SUBCLASSABILITY2-L13PTS</v>
      </c>
      <c r="U1860" s="76"/>
      <c r="V1860" s="76" t="str">
        <f t="array" ref="V1860:V1861">{"SUBCLASSABILITY2-L15PTS";((INDEX(ALLCLASSDATA,MATCH("SubclassAbility2-L15",CLASSFEATUREHEADERS,0),MATCH(($A1861 &amp; "Points"),CLASSNAMEHEADERS,0))))}</f>
        <v>SUBCLASSABILITY2-L15PTS</v>
      </c>
      <c r="W1860" s="76"/>
      <c r="X1860" s="76" t="str">
        <f t="array" ref="X1860:X1861">{"SUBCLASSABILITY2-L17PTS";((INDEX(ALLCLASSDATA,MATCH("SubclassAbility2-L17",CLASSFEATUREHEADERS,0),MATCH(($A1861 &amp; "Points"),CLASSNAMEHEADERS,0))))}</f>
        <v>SUBCLASSABILITY2-L17PTS</v>
      </c>
      <c r="Y1860" s="76"/>
      <c r="Z1860" s="76" t="str">
        <f t="array" ref="Z1860:Z1861">{"SUBCLASSABILITY2-L19PTS";((INDEX(ALLCLASSDATA,MATCH("SubclassAbility2-L19",CLASSFEATUREHEADERS,0),MATCH(($A1861 &amp; "Points"),CLASSNAMEHEADERS,0))))}</f>
        <v>SUBCLASSABILITY2-L19PTS</v>
      </c>
      <c r="AA1860" s="76"/>
      <c r="AB1860" s="76"/>
      <c r="AC1860" s="76" t="str">
        <f t="array" ref="AC1860:AC1861">{"SUBCLASSABILITY2 TOTAL";(sum(G1861:AA1861))}</f>
        <v>SUBCLASSABILITY2 TOTAL</v>
      </c>
    </row>
    <row r="1861">
      <c r="A1861" s="48" t="s">
        <v>229</v>
      </c>
      <c r="B1861" s="48"/>
      <c r="C1861" s="48" t="s">
        <v>418</v>
      </c>
      <c r="D1861" s="97" t="s">
        <v>930</v>
      </c>
      <c r="E1861" s="215" t="s">
        <v>1370</v>
      </c>
      <c r="F1861" s="98"/>
      <c r="G1861" s="132"/>
      <c r="H1861" s="98"/>
      <c r="I1861" s="98"/>
      <c r="J1861" s="98"/>
      <c r="K1861" s="98"/>
      <c r="L1861" s="98"/>
      <c r="M1861" s="98"/>
      <c r="N1861" s="98"/>
      <c r="O1861" s="98"/>
      <c r="P1861" s="98"/>
      <c r="Q1861" s="98"/>
      <c r="R1861" s="98"/>
      <c r="S1861" s="98"/>
      <c r="T1861" s="98"/>
      <c r="U1861" s="98"/>
      <c r="V1861" s="98"/>
      <c r="W1861" s="98"/>
      <c r="X1861" s="98"/>
      <c r="Y1861" s="98"/>
      <c r="Z1861" s="98"/>
      <c r="AA1861" s="98"/>
      <c r="AB1861" s="5"/>
      <c r="AC1861" s="47">
        <v>0.0</v>
      </c>
    </row>
    <row r="1862" hidden="1">
      <c r="A1862" s="76" t="str">
        <f t="array" ref="A1862:A1863">{"FormulaRow20";(INDEX(CLASSLIST,A1823,1))}</f>
        <v>FormulaRow20</v>
      </c>
      <c r="B1862" s="77" t="s">
        <v>236</v>
      </c>
      <c r="C1862" s="76" t="str">
        <f t="array" ref="C1862:C1863">{"CLASSTYPE";((INDEX(ALLCLASSDATA,MATCH("ClassType",CLASSFEATUREHEADERS,0),MATCH($A1863,CLASSNAMEHEADERS,0))))}</f>
        <v>CLASSTYPE</v>
      </c>
      <c r="D1862" s="81" t="str">
        <f t="array" ref="D1862:D1863">{"DC";"DC"}</f>
        <v>DC</v>
      </c>
      <c r="E1862" s="81" t="str">
        <f t="array" ref="E1862:E1863">{"CLASSDC";"ClassDC"}</f>
        <v>CLASSDC</v>
      </c>
      <c r="F1862" s="81" t="str">
        <f t="array" ref="F1862:F1863">{"CLASSDCINITIAL";((IF(H1863=10,"T",(IF(H1863=50,"E","")))))}</f>
        <v>CLASSDCINITIAL</v>
      </c>
      <c r="G1862" s="81" t="str">
        <f t="array" ref="G1862:G1863">{"CLASSDCINITIALPTS";((IF("00"=(INDEX(ALLCLASSDATA,MATCH("ClassDCLegendary",CLASSFEATUREHEADERS,0),MATCH($A1863,CLASSNAMEHEADERS,0))),(INDEX(ALLCLASSDATA,MATCH("ClassDCLegendary",CLASSFEATUREHEADERS,0),MATCH(($A1863 &amp; "Points"),CLASSNAMEHEADERS,0))),(IF("00"=(INDEX(ALLCLASSDATA,MATCH("ClassDCMaster",CLASSFEATUREHEADERS,0),MATCH($A1863,CLASSNAMEHEADERS,0))),(INDEX(ALLCLASSDATA,MATCH("ClassDCMaster",CLASSFEATUREHEADERS,0),MATCH(($A1863 &amp; "Points"),CLASSNAMEHEADERS,0))),(IF("00"=(INDEX(ALLCLASSDATA,MATCH("ClassDCExpert",CLASSFEATUREHEADERS,0),MATCH($A1863,CLASSNAMEHEADERS,0))),(INDEX(ALLCLASSDATA,MATCH("ClassDCExpert",CLASSFEATUREHEADERS,0),MATCH(($A1863 &amp; "Points"),CLASSNAMEHEADERS,0))),(IF("00"=(INDEX(ALLCLASSDATA,MATCH("ClassDCTrained",CLASSFEATUREHEADERS,0),MATCH($A1863,CLASSNAMEHEADERS,0))),(INDEX(ALLCLASSDATA,MATCH("ClassDCTrained",CLASSFEATUREHEADERS,0),MATCH(($A1863 &amp; "Points"),CLASSNAMEHEADERS,0))),"")))))))))}</f>
        <v>CLASSDCINITIALPTS</v>
      </c>
      <c r="H1862" s="81" t="str">
        <f t="array" ref="H1862:H1863">{"CLASSDCL01";((IF("01"=(INDEX(ALLCLASSDATA,MATCH("ClassDCLegendary",CLASSFEATUREHEADERS,0),MATCH($A1863,CLASSNAMEHEADERS,0))),(INDEX(ALLCLASSDATA,MATCH("ClassDCLegendary",CLASSFEATUREHEADERS,0),MATCH(($A1863 &amp; "Points"),CLASSNAMEHEADERS,0))),(IF("01"=(INDEX(ALLCLASSDATA,MATCH("ClassDCMaster",CLASSFEATUREHEADERS,0),MATCH($A1863,CLASSNAMEHEADERS,0))),(INDEX(ALLCLASSDATA,MATCH("ClassDCMaster",CLASSFEATUREHEADERS,0),MATCH(($A1863 &amp; "Points"),CLASSNAMEHEADERS,0))),(IF("01"=(INDEX(ALLCLASSDATA,MATCH("ClassDCExpert",CLASSFEATUREHEADERS,0),MATCH($A1863,CLASSNAMEHEADERS,0))),(INDEX(ALLCLASSDATA,MATCH("ClassDCExpert",CLASSFEATUREHEADERS,0),MATCH(($A1863 &amp; "Points"),CLASSNAMEHEADERS,0))),(IF("01"=(INDEX(ALLCLASSDATA,MATCH("ClassDCTrained",CLASSFEATUREHEADERS,0),MATCH($A1863,CLASSNAMEHEADERS,0))),(INDEX(ALLCLASSDATA,MATCH("ClassDCTrained",CLASSFEATUREHEADERS,0),MATCH(($A1863 &amp; "Points"),CLASSNAMEHEADERS,0))),"")))))))))}</f>
        <v>CLASSDCL01</v>
      </c>
      <c r="I1862" s="81"/>
      <c r="J1862" s="81" t="str">
        <f t="array" ref="J1862:J1863">{"CLASSDCL03";((IF("03"=(INDEX(ALLCLASSDATA,MATCH("ClassDCLegendary",CLASSFEATUREHEADERS,0),MATCH($A1863,CLASSNAMEHEADERS,0))),(INDEX(ALLCLASSDATA,MATCH("ClassDCLegendary",CLASSFEATUREHEADERS,0),MATCH(($A1863 &amp; "Points"),CLASSNAMEHEADERS,0))),(IF("03"=(INDEX(ALLCLASSDATA,MATCH("ClassDCMaster",CLASSFEATUREHEADERS,0),MATCH($A1863,CLASSNAMEHEADERS,0))),(INDEX(ALLCLASSDATA,MATCH("ClassDCMaster",CLASSFEATUREHEADERS,0),MATCH(($A1863 &amp; "Points"),CLASSNAMEHEADERS,0))),(IF("03"=(INDEX(ALLCLASSDATA,MATCH("ClassDCExpert",CLASSFEATUREHEADERS,0),MATCH($A1863,CLASSNAMEHEADERS,0))),(INDEX(ALLCLASSDATA,MATCH("ClassDCExpert",CLASSFEATUREHEADERS,0),MATCH(($A1863 &amp; "Points"),CLASSNAMEHEADERS,0))),(IF("03"=(INDEX(ALLCLASSDATA,MATCH("ClassDCTrained",CLASSFEATUREHEADERS,0),MATCH($A1863,CLASSNAMEHEADERS,0))),(INDEX(ALLCLASSDATA,MATCH("ClassDCTrained",CLASSFEATUREHEADERS,0),MATCH(($A1863 &amp; "Points"),CLASSNAMEHEADERS,0))),"")))))))))}</f>
        <v>CLASSDCL03</v>
      </c>
      <c r="K1862" s="81"/>
      <c r="L1862" s="81" t="str">
        <f t="array" ref="L1862:L1863">{"CLASSDCL05";((IF("05"=(INDEX(ALLCLASSDATA,MATCH("ClassDCLegendary",CLASSFEATUREHEADERS,0),MATCH($A1863,CLASSNAMEHEADERS,0))),(INDEX(ALLCLASSDATA,MATCH("ClassDCLegendary",CLASSFEATUREHEADERS,0),MATCH(($A1863 &amp; "Points"),CLASSNAMEHEADERS,0))),(IF("05"=(INDEX(ALLCLASSDATA,MATCH("ClassDCMaster",CLASSFEATUREHEADERS,0),MATCH($A1863,CLASSNAMEHEADERS,0))),(INDEX(ALLCLASSDATA,MATCH("ClassDCMaster",CLASSFEATUREHEADERS,0),MATCH(($A1863 &amp; "Points"),CLASSNAMEHEADERS,0))),(IF("05"=(INDEX(ALLCLASSDATA,MATCH("ClassDCExpert",CLASSFEATUREHEADERS,0),MATCH($A1863,CLASSNAMEHEADERS,0))),(INDEX(ALLCLASSDATA,MATCH("ClassDCExpert",CLASSFEATUREHEADERS,0),MATCH(($A1863 &amp; "Points"),CLASSNAMEHEADERS,0))),(IF("05"=(INDEX(ALLCLASSDATA,MATCH("ClassDCTrained",CLASSFEATUREHEADERS,0),MATCH($A1863,CLASSNAMEHEADERS,0))),(INDEX(ALLCLASSDATA,MATCH("ClassDCTrained",CLASSFEATUREHEADERS,0),MATCH(($A1863 &amp; "Points"),CLASSNAMEHEADERS,0))),"")))))))))}</f>
        <v>CLASSDCL05</v>
      </c>
      <c r="M1862" s="81"/>
      <c r="N1862" s="81" t="str">
        <f t="array" ref="N1862:N1863">{"CLASSDCL07";((IF("07"=(INDEX(ALLCLASSDATA,MATCH("ClassDCLegendary",CLASSFEATUREHEADERS,0),MATCH($A1863,CLASSNAMEHEADERS,0))),(INDEX(ALLCLASSDATA,MATCH("ClassDCLegendary",CLASSFEATUREHEADERS,0),MATCH(($A1863 &amp; "Points"),CLASSNAMEHEADERS,0))),(IF("07"=(INDEX(ALLCLASSDATA,MATCH("ClassDCMaster",CLASSFEATUREHEADERS,0),MATCH($A1863,CLASSNAMEHEADERS,0))),(INDEX(ALLCLASSDATA,MATCH("ClassDCMaster",CLASSFEATUREHEADERS,0),MATCH(($A1863 &amp; "Points"),CLASSNAMEHEADERS,0))),(IF("07"=(INDEX(ALLCLASSDATA,MATCH("ClassDCExpert",CLASSFEATUREHEADERS,0),MATCH($A1863,CLASSNAMEHEADERS,0))),(INDEX(ALLCLASSDATA,MATCH("ClassDCExpert",CLASSFEATUREHEADERS,0),MATCH(($A1863 &amp; "Points"),CLASSNAMEHEADERS,0))),(IF("07"=(INDEX(ALLCLASSDATA,MATCH("ClassDCTrained",CLASSFEATUREHEADERS,0),MATCH($A1863,CLASSNAMEHEADERS,0))),(INDEX(ALLCLASSDATA,MATCH("ClassDCTrained",CLASSFEATUREHEADERS,0),MATCH(($A1863 &amp; "Points"),CLASSNAMEHEADERS,0))),"")))))))))}</f>
        <v>CLASSDCL07</v>
      </c>
      <c r="O1862" s="81"/>
      <c r="P1862" s="81" t="str">
        <f t="array" ref="P1862:P1863">{"CLASSDCL09";((IF("09"=(INDEX(ALLCLASSDATA,MATCH("ClassDCLegendary",CLASSFEATUREHEADERS,0),MATCH($A1863,CLASSNAMEHEADERS,0))),(INDEX(ALLCLASSDATA,MATCH("ClassDCLegendary",CLASSFEATUREHEADERS,0),MATCH(($A1863 &amp; "Points"),CLASSNAMEHEADERS,0))),(IF("09"=(INDEX(ALLCLASSDATA,MATCH("ClassDCMaster",CLASSFEATUREHEADERS,0),MATCH($A1863,CLASSNAMEHEADERS,0))),(INDEX(ALLCLASSDATA,MATCH("ClassDCMaster",CLASSFEATUREHEADERS,0),MATCH(($A1863 &amp; "Points"),CLASSNAMEHEADERS,0))),(IF("09"=(INDEX(ALLCLASSDATA,MATCH("ClassDCExpert",CLASSFEATUREHEADERS,0),MATCH($A1863,CLASSNAMEHEADERS,0))),(INDEX(ALLCLASSDATA,MATCH("ClassDCExpert",CLASSFEATUREHEADERS,0),MATCH(($A1863 &amp; "Points"),CLASSNAMEHEADERS,0))),(IF("09"=(INDEX(ALLCLASSDATA,MATCH("ClassDCTrained",CLASSFEATUREHEADERS,0),MATCH($A1863,CLASSNAMEHEADERS,0))),(INDEX(ALLCLASSDATA,MATCH("ClassDCTrained",CLASSFEATUREHEADERS,0),MATCH(($A1863 &amp; "Points"),CLASSNAMEHEADERS,0))),"")))))))))}</f>
        <v>CLASSDCL09</v>
      </c>
      <c r="Q1862" s="81"/>
      <c r="R1862" s="81" t="str">
        <f t="array" ref="R1862:R1863">{"CLASSDCL11";((IF("11"=(INDEX(ALLCLASSDATA,MATCH("ClassDCLegendary",CLASSFEATUREHEADERS,0),MATCH($A1863,CLASSNAMEHEADERS,0))),(INDEX(ALLCLASSDATA,MATCH("ClassDCLegendary",CLASSFEATUREHEADERS,0),MATCH(($A1863 &amp; "Points"),CLASSNAMEHEADERS,0))),(IF("11"=(INDEX(ALLCLASSDATA,MATCH("ClassDCMaster",CLASSFEATUREHEADERS,0),MATCH($A1863,CLASSNAMEHEADERS,0))),(INDEX(ALLCLASSDATA,MATCH("ClassDCMaster",CLASSFEATUREHEADERS,0),MATCH(($A1863 &amp; "Points"),CLASSNAMEHEADERS,0))),(IF("11"=(INDEX(ALLCLASSDATA,MATCH("ClassDCExpert",CLASSFEATUREHEADERS,0),MATCH($A1863,CLASSNAMEHEADERS,0))),(INDEX(ALLCLASSDATA,MATCH("ClassDCExpert",CLASSFEATUREHEADERS,0),MATCH(($A1863 &amp; "Points"),CLASSNAMEHEADERS,0))),(IF("11"=(INDEX(ALLCLASSDATA,MATCH("ClassDCTrained",CLASSFEATUREHEADERS,0),MATCH($A1863,CLASSNAMEHEADERS,0))),(INDEX(ALLCLASSDATA,MATCH("ClassDCTrained",CLASSFEATUREHEADERS,0),MATCH(($A1863 &amp; "Points"),CLASSNAMEHEADERS,0))),"")))))))))}</f>
        <v>CLASSDCL11</v>
      </c>
      <c r="S1862" s="81"/>
      <c r="T1862" s="81" t="str">
        <f t="array" ref="T1862:T1863">{"CLASSDCL13";((IF("13"=(INDEX(ALLCLASSDATA,MATCH("ClassDCLegendary",CLASSFEATUREHEADERS,0),MATCH($A1863,CLASSNAMEHEADERS,0))),(INDEX(ALLCLASSDATA,MATCH("ClassDCLegendary",CLASSFEATUREHEADERS,0),MATCH(($A1863 &amp; "Points"),CLASSNAMEHEADERS,0))),(IF("13"=(INDEX(ALLCLASSDATA,MATCH("ClassDCMaster",CLASSFEATUREHEADERS,0),MATCH($A1863,CLASSNAMEHEADERS,0))),(INDEX(ALLCLASSDATA,MATCH("ClassDCMaster",CLASSFEATUREHEADERS,0),MATCH(($A1863 &amp; "Points"),CLASSNAMEHEADERS,0))),(IF("13"=(INDEX(ALLCLASSDATA,MATCH("ClassDCExpert",CLASSFEATUREHEADERS,0),MATCH($A1863,CLASSNAMEHEADERS,0))),(INDEX(ALLCLASSDATA,MATCH("ClassDCExpert",CLASSFEATUREHEADERS,0),MATCH(($A1863 &amp; "Points"),CLASSNAMEHEADERS,0))),(IF("13"=(INDEX(ALLCLASSDATA,MATCH("ClassDCTrained",CLASSFEATUREHEADERS,0),MATCH($A1863,CLASSNAMEHEADERS,0))),(INDEX(ALLCLASSDATA,MATCH("ClassDCTrained",CLASSFEATUREHEADERS,0),MATCH(($A1863 &amp; "Points"),CLASSNAMEHEADERS,0))),"")))))))))}</f>
        <v>CLASSDCL13</v>
      </c>
      <c r="U1862" s="81"/>
      <c r="V1862" s="81" t="str">
        <f t="array" ref="V1862:V1863">{"CLASSDCL15";((IF("15"=(INDEX(ALLCLASSDATA,MATCH("ClassDCLegendary",CLASSFEATUREHEADERS,0),MATCH($A1863,CLASSNAMEHEADERS,0))),(INDEX(ALLCLASSDATA,MATCH("ClassDCLegendary",CLASSFEATUREHEADERS,0),MATCH(($A1863 &amp; "Points"),CLASSNAMEHEADERS,0))),(IF("15"=(INDEX(ALLCLASSDATA,MATCH("ClassDCMaster",CLASSFEATUREHEADERS,0),MATCH($A1863,CLASSNAMEHEADERS,0))),(INDEX(ALLCLASSDATA,MATCH("ClassDCMaster",CLASSFEATUREHEADERS,0),MATCH(($A1863 &amp; "Points"),CLASSNAMEHEADERS,0))),(IF("15"=(INDEX(ALLCLASSDATA,MATCH("ClassDCExpert",CLASSFEATUREHEADERS,0),MATCH($A1863,CLASSNAMEHEADERS,0))),(INDEX(ALLCLASSDATA,MATCH("ClassDCExpert",CLASSFEATUREHEADERS,0),MATCH(($A1863 &amp; "Points"),CLASSNAMEHEADERS,0))),(IF("15"=(INDEX(ALLCLASSDATA,MATCH("ClassDCTrained",CLASSFEATUREHEADERS,0),MATCH($A1863,CLASSNAMEHEADERS,0))),(INDEX(ALLCLASSDATA,MATCH("ClassDCTrained",CLASSFEATUREHEADERS,0),MATCH(($A1863 &amp; "Points"),CLASSNAMEHEADERS,0))),"")))))))))}</f>
        <v>CLASSDCL15</v>
      </c>
      <c r="W1862" s="81"/>
      <c r="X1862" s="81" t="str">
        <f t="array" ref="X1862:X1863">{"CLASSDCL17";((IF("17"=(INDEX(ALLCLASSDATA,MATCH("ClassDCLegendary",CLASSFEATUREHEADERS,0),MATCH($A1863,CLASSNAMEHEADERS,0))),(INDEX(ALLCLASSDATA,MATCH("ClassDCLegendary",CLASSFEATUREHEADERS,0),MATCH(($A1863 &amp; "Points"),CLASSNAMEHEADERS,0))),(IF("17"=(INDEX(ALLCLASSDATA,MATCH("ClassDCMaster",CLASSFEATUREHEADERS,0),MATCH($A1863,CLASSNAMEHEADERS,0))),(INDEX(ALLCLASSDATA,MATCH("ClassDCMaster",CLASSFEATUREHEADERS,0),MATCH(($A1863 &amp; "Points"),CLASSNAMEHEADERS,0))),(IF("17"=(INDEX(ALLCLASSDATA,MATCH("ClassDCExpert",CLASSFEATUREHEADERS,0),MATCH($A1863,CLASSNAMEHEADERS,0))),(INDEX(ALLCLASSDATA,MATCH("ClassDCExpert",CLASSFEATUREHEADERS,0),MATCH(($A1863 &amp; "Points"),CLASSNAMEHEADERS,0))),(IF("17"=(INDEX(ALLCLASSDATA,MATCH("ClassDCTrained",CLASSFEATUREHEADERS,0),MATCH($A1863,CLASSNAMEHEADERS,0))),(INDEX(ALLCLASSDATA,MATCH("ClassDCTrained",CLASSFEATUREHEADERS,0),MATCH(($A1863 &amp; "Points"),CLASSNAMEHEADERS,0))),"")))))))))}</f>
        <v>CLASSDCL17</v>
      </c>
      <c r="Y1862" s="81"/>
      <c r="Z1862" s="81" t="str">
        <f t="array" ref="Z1862:Z1863">{"CLASSDCL19";((IF("19"=(INDEX(ALLCLASSDATA,MATCH("ClassDCLegendary",CLASSFEATUREHEADERS,0),MATCH($A1863,CLASSNAMEHEADERS,0))),(INDEX(ALLCLASSDATA,MATCH("ClassDCLegendary",CLASSFEATUREHEADERS,0),MATCH(($A1863 &amp; "Points"),CLASSNAMEHEADERS,0))),(IF("19"=(INDEX(ALLCLASSDATA,MATCH("ClassDCMaster",CLASSFEATUREHEADERS,0),MATCH($A1863,CLASSNAMEHEADERS,0))),(INDEX(ALLCLASSDATA,MATCH("ClassDCMaster",CLASSFEATUREHEADERS,0),MATCH(($A1863 &amp; "Points"),CLASSNAMEHEADERS,0))),(IF("19"=(INDEX(ALLCLASSDATA,MATCH("ClassDCExpert",CLASSFEATUREHEADERS,0),MATCH($A1863,CLASSNAMEHEADERS,0))),(INDEX(ALLCLASSDATA,MATCH("ClassDCExpert",CLASSFEATUREHEADERS,0),MATCH(($A1863 &amp; "Points"),CLASSNAMEHEADERS,0))),(IF("19"=(INDEX(ALLCLASSDATA,MATCH("ClassDCTrained",CLASSFEATUREHEADERS,0),MATCH($A1863,CLASSNAMEHEADERS,0))),(INDEX(ALLCLASSDATA,MATCH("ClassDCTrained",CLASSFEATUREHEADERS,0),MATCH(($A1863 &amp; "Points"),CLASSNAMEHEADERS,0))),"")))))))))}</f>
        <v>CLASSDCL19</v>
      </c>
      <c r="AA1862" s="81"/>
      <c r="AB1862" s="76" t="str">
        <f t="array" ref="AB1862:AB1863">{"CLASSDC TOTAL";(IF(COUNTBLANK(G1863:AA1863)=17,"L",(IF(COUNTBLANK(G1863:AA1863)=18,"M",(IF(COUNTBLANK(G1863:AA1863)=19,"E",(IF(COUNTBLANK(G1863:AA1863)=20,"T",""))))))))}</f>
        <v>CLASSDC TOTAL</v>
      </c>
      <c r="AC1862" s="76" t="str">
        <f t="array" ref="AC1862:AC1863">{"CLASSDC TOTAL";(sum(G1863:AA1863))}</f>
        <v>CLASSDC TOTAL</v>
      </c>
    </row>
    <row r="1863">
      <c r="A1863" s="48" t="s">
        <v>229</v>
      </c>
      <c r="B1863" s="48"/>
      <c r="C1863" s="48" t="s">
        <v>418</v>
      </c>
      <c r="D1863" s="48" t="s">
        <v>1465</v>
      </c>
      <c r="E1863" s="48" t="s">
        <v>1466</v>
      </c>
      <c r="F1863" s="5" t="s">
        <v>603</v>
      </c>
      <c r="G1863" s="47" t="s">
        <v>603</v>
      </c>
      <c r="H1863" s="5" t="s">
        <v>603</v>
      </c>
      <c r="I1863" s="5"/>
      <c r="J1863" s="5" t="s">
        <v>603</v>
      </c>
      <c r="K1863" s="5"/>
      <c r="L1863" s="5" t="s">
        <v>603</v>
      </c>
      <c r="M1863" s="5"/>
      <c r="N1863" s="5" t="s">
        <v>603</v>
      </c>
      <c r="O1863" s="5"/>
      <c r="P1863" s="5" t="s">
        <v>603</v>
      </c>
      <c r="Q1863" s="5"/>
      <c r="R1863" s="5" t="s">
        <v>603</v>
      </c>
      <c r="S1863" s="5"/>
      <c r="T1863" s="5" t="s">
        <v>603</v>
      </c>
      <c r="U1863" s="5"/>
      <c r="V1863" s="5" t="s">
        <v>603</v>
      </c>
      <c r="W1863" s="5"/>
      <c r="X1863" s="5" t="s">
        <v>603</v>
      </c>
      <c r="Y1863" s="5"/>
      <c r="Z1863" s="5" t="s">
        <v>603</v>
      </c>
      <c r="AA1863" s="5"/>
      <c r="AB1863" s="5" t="s">
        <v>603</v>
      </c>
      <c r="AC1863" s="47">
        <v>0.0</v>
      </c>
    </row>
    <row r="1864" hidden="1">
      <c r="A1864" s="222" t="str">
        <f t="array" ref="A1864:A1865">{"FormulaRow21";(INDEX(CLASSLIST,A1823,1))}</f>
        <v>FormulaRow21</v>
      </c>
      <c r="B1864" s="77" t="s">
        <v>236</v>
      </c>
      <c r="C1864" s="222" t="str">
        <f t="array" ref="C1864:C1865">{"CLASSTYPE";((INDEX(ALLCLASSDATA,MATCH("ClassType",CLASSFEATUREHEADERS,0),MATCH($A1865,CLASSNAMEHEADERS,0))))}</f>
        <v>CLASSTYPE</v>
      </c>
      <c r="D1864" s="222" t="str">
        <f t="array" ref="D1864:D1865">{"DC";"DC"}</f>
        <v>DC</v>
      </c>
      <c r="E1864" s="222" t="str">
        <f t="array" ref="E1864:E1865">{"SPELLDC";"SpellDC"}</f>
        <v>SPELLDC</v>
      </c>
      <c r="F1864" s="223" t="str">
        <f t="array" ref="F1864:F1865">{"SPELLDCINITIAL";((IF(H1865=10,"T",(IF(H1865=50,"E","")))))}</f>
        <v>SPELLDCINITIAL</v>
      </c>
      <c r="G1864" s="223" t="str">
        <f t="array" ref="G1864:G1865">{"SPELLDCINITIALPTS";((IF("00"=(INDEX(ALLCLASSDATA,MATCH("SpellDCLegendary",CLASSFEATUREHEADERS,0),MATCH($A1865,CLASSNAMEHEADERS,0))),(INDEX(ALLCLASSDATA,MATCH("SpellDCLegendary",CLASSFEATUREHEADERS,0),MATCH(($A1865 &amp; "Points"),CLASSNAMEHEADERS,0))),(IF("00"=(INDEX(ALLCLASSDATA,MATCH("SpellDCMaster",CLASSFEATUREHEADERS,0),MATCH($A1865,CLASSNAMEHEADERS,0))),(INDEX(ALLCLASSDATA,MATCH("SpellDCMaster",CLASSFEATUREHEADERS,0),MATCH(($A1865 &amp; "Points"),CLASSNAMEHEADERS,0))),(IF("00"=(INDEX(ALLCLASSDATA,MATCH("SpellDCExpert",CLASSFEATUREHEADERS,0),MATCH($A1865,CLASSNAMEHEADERS,0))),(INDEX(ALLCLASSDATA,MATCH("SpellDCExpert",CLASSFEATUREHEADERS,0),MATCH(($A1865 &amp; "Points"),CLASSNAMEHEADERS,0))),(IF("00"=(INDEX(ALLCLASSDATA,MATCH("SpellDCTrained",CLASSFEATUREHEADERS,0),MATCH($A1865,CLASSNAMEHEADERS,0))),(INDEX(ALLCLASSDATA,MATCH("SpellDCTrained",CLASSFEATUREHEADERS,0),MATCH(($A1865 &amp; "Points"),CLASSNAMEHEADERS,0))),"")))))))))}</f>
        <v>SPELLDCINITIALPTS</v>
      </c>
      <c r="H1864" s="223" t="str">
        <f t="array" ref="H1864:H1865">{"SPELLDCL01";((IF("01"=(INDEX(ALLCLASSDATA,MATCH("SpellDCLegendary",CLASSFEATUREHEADERS,0),MATCH($A1865,CLASSNAMEHEADERS,0))),(INDEX(ALLCLASSDATA,MATCH("SpellDCLegendary",CLASSFEATUREHEADERS,0),MATCH(($A1865 &amp; "Points"),CLASSNAMEHEADERS,0))),(IF("01"=(INDEX(ALLCLASSDATA,MATCH("SpellDCMaster",CLASSFEATUREHEADERS,0),MATCH($A1865,CLASSNAMEHEADERS,0))),(INDEX(ALLCLASSDATA,MATCH("SpellDCMaster",CLASSFEATUREHEADERS,0),MATCH(($A1865 &amp; "Points"),CLASSNAMEHEADERS,0))),(IF("01"=(INDEX(ALLCLASSDATA,MATCH("SpellDCExpert",CLASSFEATUREHEADERS,0),MATCH($A1865,CLASSNAMEHEADERS,0))),(INDEX(ALLCLASSDATA,MATCH("SpellDCExpert",CLASSFEATUREHEADERS,0),MATCH(($A1865 &amp; "Points"),CLASSNAMEHEADERS,0))),(IF("01"=(INDEX(ALLCLASSDATA,MATCH("SpellDCTrained",CLASSFEATUREHEADERS,0),MATCH($A1865,CLASSNAMEHEADERS,0))),(INDEX(ALLCLASSDATA,MATCH("SpellDCTrained",CLASSFEATUREHEADERS,0),MATCH(($A1865 &amp; "Points"),CLASSNAMEHEADERS,0))),"")))))))))}</f>
        <v>SPELLDCL01</v>
      </c>
      <c r="I1864" s="223"/>
      <c r="J1864" s="223" t="str">
        <f t="array" ref="J1864:J1865">{"SPELLDCL03";((IF("03"=(INDEX(ALLCLASSDATA,MATCH("SpellDCLegendary",CLASSFEATUREHEADERS,0),MATCH($A1865,CLASSNAMEHEADERS,0))),(INDEX(ALLCLASSDATA,MATCH("SpellDCLegendary",CLASSFEATUREHEADERS,0),MATCH(($A1865 &amp; "Points"),CLASSNAMEHEADERS,0))),(IF("03"=(INDEX(ALLCLASSDATA,MATCH("SpellDCMaster",CLASSFEATUREHEADERS,0),MATCH($A1865,CLASSNAMEHEADERS,0))),(INDEX(ALLCLASSDATA,MATCH("SpellDCMaster",CLASSFEATUREHEADERS,0),MATCH(($A1865 &amp; "Points"),CLASSNAMEHEADERS,0))),(IF("03"=(INDEX(ALLCLASSDATA,MATCH("SpellDCExpert",CLASSFEATUREHEADERS,0),MATCH($A1865,CLASSNAMEHEADERS,0))),(INDEX(ALLCLASSDATA,MATCH("SpellDCExpert",CLASSFEATUREHEADERS,0),MATCH(($A1865 &amp; "Points"),CLASSNAMEHEADERS,0))),(IF("03"=(INDEX(ALLCLASSDATA,MATCH("SpellDCTrained",CLASSFEATUREHEADERS,0),MATCH($A1865,CLASSNAMEHEADERS,0))),(INDEX(ALLCLASSDATA,MATCH("SpellDCTrained",CLASSFEATUREHEADERS,0),MATCH(($A1865 &amp; "Points"),CLASSNAMEHEADERS,0))),"")))))))))}</f>
        <v>SPELLDCL03</v>
      </c>
      <c r="K1864" s="223"/>
      <c r="L1864" s="223" t="str">
        <f t="array" ref="L1864:L1865">{"SPELLDCL05";((IF("05"=(INDEX(ALLCLASSDATA,MATCH("SpellDCLegendary",CLASSFEATUREHEADERS,0),MATCH($A1865,CLASSNAMEHEADERS,0))),(INDEX(ALLCLASSDATA,MATCH("SpellDCLegendary",CLASSFEATUREHEADERS,0),MATCH(($A1865 &amp; "Points"),CLASSNAMEHEADERS,0))),(IF("05"=(INDEX(ALLCLASSDATA,MATCH("SpellDCMaster",CLASSFEATUREHEADERS,0),MATCH($A1865,CLASSNAMEHEADERS,0))),(INDEX(ALLCLASSDATA,MATCH("SpellDCMaster",CLASSFEATUREHEADERS,0),MATCH(($A1865 &amp; "Points"),CLASSNAMEHEADERS,0))),(IF("05"=(INDEX(ALLCLASSDATA,MATCH("SpellDCExpert",CLASSFEATUREHEADERS,0),MATCH($A1865,CLASSNAMEHEADERS,0))),(INDEX(ALLCLASSDATA,MATCH("SpellDCExpert",CLASSFEATUREHEADERS,0),MATCH(($A1865 &amp; "Points"),CLASSNAMEHEADERS,0))),(IF("05"=(INDEX(ALLCLASSDATA,MATCH("SpellDCTrained",CLASSFEATUREHEADERS,0),MATCH($A1865,CLASSNAMEHEADERS,0))),(INDEX(ALLCLASSDATA,MATCH("SpellDCTrained",CLASSFEATUREHEADERS,0),MATCH(($A1865 &amp; "Points"),CLASSNAMEHEADERS,0))),"")))))))))}</f>
        <v>SPELLDCL05</v>
      </c>
      <c r="M1864" s="223"/>
      <c r="N1864" s="223" t="str">
        <f t="array" ref="N1864:N1865">{"SPELLDCL07";((IF("07"=(INDEX(ALLCLASSDATA,MATCH("SpellDCLegendary",CLASSFEATUREHEADERS,0),MATCH($A1865,CLASSNAMEHEADERS,0))),(INDEX(ALLCLASSDATA,MATCH("SpellDCLegendary",CLASSFEATUREHEADERS,0),MATCH(($A1865 &amp; "Points"),CLASSNAMEHEADERS,0))),(IF("07"=(INDEX(ALLCLASSDATA,MATCH("SpellDCMaster",CLASSFEATUREHEADERS,0),MATCH($A1865,CLASSNAMEHEADERS,0))),(INDEX(ALLCLASSDATA,MATCH("SpellDCMaster",CLASSFEATUREHEADERS,0),MATCH(($A1865 &amp; "Points"),CLASSNAMEHEADERS,0))),(IF("07"=(INDEX(ALLCLASSDATA,MATCH("SpellDCExpert",CLASSFEATUREHEADERS,0),MATCH($A1865,CLASSNAMEHEADERS,0))),(INDEX(ALLCLASSDATA,MATCH("SpellDCExpert",CLASSFEATUREHEADERS,0),MATCH(($A1865 &amp; "Points"),CLASSNAMEHEADERS,0))),(IF("07"=(INDEX(ALLCLASSDATA,MATCH("SpellDCTrained",CLASSFEATUREHEADERS,0),MATCH($A1865,CLASSNAMEHEADERS,0))),(INDEX(ALLCLASSDATA,MATCH("SpellDCTrained",CLASSFEATUREHEADERS,0),MATCH(($A1865 &amp; "Points"),CLASSNAMEHEADERS,0))),"")))))))))}</f>
        <v>SPELLDCL07</v>
      </c>
      <c r="O1864" s="223"/>
      <c r="P1864" s="223" t="str">
        <f t="array" ref="P1864:P1865">{"SPELLDCL09";((IF("09"=(INDEX(ALLCLASSDATA,MATCH("SpellDCLegendary",CLASSFEATUREHEADERS,0),MATCH($A1865,CLASSNAMEHEADERS,0))),(INDEX(ALLCLASSDATA,MATCH("SpellDCLegendary",CLASSFEATUREHEADERS,0),MATCH(($A1865 &amp; "Points"),CLASSNAMEHEADERS,0))),(IF("09"=(INDEX(ALLCLASSDATA,MATCH("SpellDCMaster",CLASSFEATUREHEADERS,0),MATCH($A1865,CLASSNAMEHEADERS,0))),(INDEX(ALLCLASSDATA,MATCH("SpellDCMaster",CLASSFEATUREHEADERS,0),MATCH(($A1865 &amp; "Points"),CLASSNAMEHEADERS,0))),(IF("09"=(INDEX(ALLCLASSDATA,MATCH("SpellDCExpert",CLASSFEATUREHEADERS,0),MATCH($A1865,CLASSNAMEHEADERS,0))),(INDEX(ALLCLASSDATA,MATCH("SpellDCExpert",CLASSFEATUREHEADERS,0),MATCH(($A1865 &amp; "Points"),CLASSNAMEHEADERS,0))),(IF("09"=(INDEX(ALLCLASSDATA,MATCH("SpellDCTrained",CLASSFEATUREHEADERS,0),MATCH($A1865,CLASSNAMEHEADERS,0))),(INDEX(ALLCLASSDATA,MATCH("SpellDCTrained",CLASSFEATUREHEADERS,0),MATCH(($A1865 &amp; "Points"),CLASSNAMEHEADERS,0))),"")))))))))}</f>
        <v>SPELLDCL09</v>
      </c>
      <c r="Q1864" s="223"/>
      <c r="R1864" s="223" t="str">
        <f t="array" ref="R1864:R1865">{"SPELLDCL11";((IF("11"=(INDEX(ALLCLASSDATA,MATCH("SpellDCLegendary",CLASSFEATUREHEADERS,0),MATCH($A1865,CLASSNAMEHEADERS,0))),(INDEX(ALLCLASSDATA,MATCH("SpellDCLegendary",CLASSFEATUREHEADERS,0),MATCH(($A1865 &amp; "Points"),CLASSNAMEHEADERS,0))),(IF("11"=(INDEX(ALLCLASSDATA,MATCH("SpellDCMaster",CLASSFEATUREHEADERS,0),MATCH($A1865,CLASSNAMEHEADERS,0))),(INDEX(ALLCLASSDATA,MATCH("SpellDCMaster",CLASSFEATUREHEADERS,0),MATCH(($A1865 &amp; "Points"),CLASSNAMEHEADERS,0))),(IF("11"=(INDEX(ALLCLASSDATA,MATCH("SpellDCExpert",CLASSFEATUREHEADERS,0),MATCH($A1865,CLASSNAMEHEADERS,0))),(INDEX(ALLCLASSDATA,MATCH("SpellDCExpert",CLASSFEATUREHEADERS,0),MATCH(($A1865 &amp; "Points"),CLASSNAMEHEADERS,0))),(IF("11"=(INDEX(ALLCLASSDATA,MATCH("SpellDCTrained",CLASSFEATUREHEADERS,0),MATCH($A1865,CLASSNAMEHEADERS,0))),(INDEX(ALLCLASSDATA,MATCH("SpellDCTrained",CLASSFEATUREHEADERS,0),MATCH(($A1865 &amp; "Points"),CLASSNAMEHEADERS,0))),"")))))))))}</f>
        <v>SPELLDCL11</v>
      </c>
      <c r="S1864" s="223"/>
      <c r="T1864" s="223" t="str">
        <f t="array" ref="T1864:T1865">{"SPELLDCL13";((IF("13"=(INDEX(ALLCLASSDATA,MATCH("SpellDCLegendary",CLASSFEATUREHEADERS,0),MATCH($A1865,CLASSNAMEHEADERS,0))),(INDEX(ALLCLASSDATA,MATCH("SpellDCLegendary",CLASSFEATUREHEADERS,0),MATCH(($A1865 &amp; "Points"),CLASSNAMEHEADERS,0))),(IF("13"=(INDEX(ALLCLASSDATA,MATCH("SpellDCMaster",CLASSFEATUREHEADERS,0),MATCH($A1865,CLASSNAMEHEADERS,0))),(INDEX(ALLCLASSDATA,MATCH("SpellDCMaster",CLASSFEATUREHEADERS,0),MATCH(($A1865 &amp; "Points"),CLASSNAMEHEADERS,0))),(IF("13"=(INDEX(ALLCLASSDATA,MATCH("SpellDCExpert",CLASSFEATUREHEADERS,0),MATCH($A1865,CLASSNAMEHEADERS,0))),(INDEX(ALLCLASSDATA,MATCH("SpellDCExpert",CLASSFEATUREHEADERS,0),MATCH(($A1865 &amp; "Points"),CLASSNAMEHEADERS,0))),(IF("13"=(INDEX(ALLCLASSDATA,MATCH("SpellDCTrained",CLASSFEATUREHEADERS,0),MATCH($A1865,CLASSNAMEHEADERS,0))),(INDEX(ALLCLASSDATA,MATCH("SpellDCTrained",CLASSFEATUREHEADERS,0),MATCH(($A1865 &amp; "Points"),CLASSNAMEHEADERS,0))),"")))))))))}</f>
        <v>SPELLDCL13</v>
      </c>
      <c r="U1864" s="223"/>
      <c r="V1864" s="223" t="str">
        <f t="array" ref="V1864:V1865">{"SPELLDCL15";((IF("15"=(INDEX(ALLCLASSDATA,MATCH("SpellDCLegendary",CLASSFEATUREHEADERS,0),MATCH($A1865,CLASSNAMEHEADERS,0))),(INDEX(ALLCLASSDATA,MATCH("SpellDCLegendary",CLASSFEATUREHEADERS,0),MATCH(($A1865 &amp; "Points"),CLASSNAMEHEADERS,0))),(IF("15"=(INDEX(ALLCLASSDATA,MATCH("SpellDCMaster",CLASSFEATUREHEADERS,0),MATCH($A1865,CLASSNAMEHEADERS,0))),(INDEX(ALLCLASSDATA,MATCH("SpellDCMaster",CLASSFEATUREHEADERS,0),MATCH(($A1865 &amp; "Points"),CLASSNAMEHEADERS,0))),(IF("15"=(INDEX(ALLCLASSDATA,MATCH("SpellDCExpert",CLASSFEATUREHEADERS,0),MATCH($A1865,CLASSNAMEHEADERS,0))),(INDEX(ALLCLASSDATA,MATCH("SpellDCExpert",CLASSFEATUREHEADERS,0),MATCH(($A1865 &amp; "Points"),CLASSNAMEHEADERS,0))),(IF("15"=(INDEX(ALLCLASSDATA,MATCH("SpellDCTrained",CLASSFEATUREHEADERS,0),MATCH($A1865,CLASSNAMEHEADERS,0))),(INDEX(ALLCLASSDATA,MATCH("SpellDCTrained",CLASSFEATUREHEADERS,0),MATCH(($A1865 &amp; "Points"),CLASSNAMEHEADERS,0))),"")))))))))}</f>
        <v>SPELLDCL15</v>
      </c>
      <c r="W1864" s="223"/>
      <c r="X1864" s="223" t="str">
        <f t="array" ref="X1864:X1865">{"SPELLDCL17";((IF("17"=(INDEX(ALLCLASSDATA,MATCH("SpellDCLegendary",CLASSFEATUREHEADERS,0),MATCH($A1865,CLASSNAMEHEADERS,0))),(INDEX(ALLCLASSDATA,MATCH("SpellDCLegendary",CLASSFEATUREHEADERS,0),MATCH(($A1865 &amp; "Points"),CLASSNAMEHEADERS,0))),(IF("17"=(INDEX(ALLCLASSDATA,MATCH("SpellDCMaster",CLASSFEATUREHEADERS,0),MATCH($A1865,CLASSNAMEHEADERS,0))),(INDEX(ALLCLASSDATA,MATCH("SpellDCMaster",CLASSFEATUREHEADERS,0),MATCH(($A1865 &amp; "Points"),CLASSNAMEHEADERS,0))),(IF("17"=(INDEX(ALLCLASSDATA,MATCH("SpellDCExpert",CLASSFEATUREHEADERS,0),MATCH($A1865,CLASSNAMEHEADERS,0))),(INDEX(ALLCLASSDATA,MATCH("SpellDCExpert",CLASSFEATUREHEADERS,0),MATCH(($A1865 &amp; "Points"),CLASSNAMEHEADERS,0))),(IF("17"=(INDEX(ALLCLASSDATA,MATCH("SpellDCTrained",CLASSFEATUREHEADERS,0),MATCH($A1865,CLASSNAMEHEADERS,0))),(INDEX(ALLCLASSDATA,MATCH("SpellDCTrained",CLASSFEATUREHEADERS,0),MATCH(($A1865 &amp; "Points"),CLASSNAMEHEADERS,0))),"")))))))))}</f>
        <v>SPELLDCL17</v>
      </c>
      <c r="Y1864" s="223"/>
      <c r="Z1864" s="223" t="str">
        <f t="array" ref="Z1864:Z1865">{"SPELLDCL19";((IF("19"=(INDEX(ALLCLASSDATA,MATCH("SpellDCLegendary",CLASSFEATUREHEADERS,0),MATCH($A1865,CLASSNAMEHEADERS,0))),(INDEX(ALLCLASSDATA,MATCH("SpellDCLegendary",CLASSFEATUREHEADERS,0),MATCH(($A1865 &amp; "Points"),CLASSNAMEHEADERS,0))),(IF("19"=(INDEX(ALLCLASSDATA,MATCH("SpellDCMaster",CLASSFEATUREHEADERS,0),MATCH($A1865,CLASSNAMEHEADERS,0))),(INDEX(ALLCLASSDATA,MATCH("SpellDCMaster",CLASSFEATUREHEADERS,0),MATCH(($A1865 &amp; "Points"),CLASSNAMEHEADERS,0))),(IF("19"=(INDEX(ALLCLASSDATA,MATCH("SpellDCExpert",CLASSFEATUREHEADERS,0),MATCH($A1865,CLASSNAMEHEADERS,0))),(INDEX(ALLCLASSDATA,MATCH("SpellDCExpert",CLASSFEATUREHEADERS,0),MATCH(($A1865 &amp; "Points"),CLASSNAMEHEADERS,0))),(IF("19"=(INDEX(ALLCLASSDATA,MATCH("SpellDCTrained",CLASSFEATUREHEADERS,0),MATCH($A1865,CLASSNAMEHEADERS,0))),(INDEX(ALLCLASSDATA,MATCH("SpellDCTrained",CLASSFEATUREHEADERS,0),MATCH(($A1865 &amp; "Points"),CLASSNAMEHEADERS,0))),"")))))))))}</f>
        <v>SPELLDCL19</v>
      </c>
      <c r="AA1864" s="223"/>
      <c r="AB1864" s="76" t="str">
        <f t="array" ref="AB1864:AB1865">{"SPELLDC TOTAL";(IF(COUNTBLANK(G1865:AA1865)=17,"L",(IF(COUNTBLANK(G1865:AA1865)=18,"M",(IF(COUNTBLANK(G1865:AA1865)=19,"E",(IF(COUNTBLANK(G1865:AA1865)=20,"T",""))))))))}</f>
        <v>SPELLDC TOTAL</v>
      </c>
      <c r="AC1864" s="76" t="str">
        <f t="array" ref="AC1864:AC1865">{"SPELLDC TOTAL";(sum(G1865:AA1865))}</f>
        <v>SPELLDC TOTAL</v>
      </c>
    </row>
    <row r="1865">
      <c r="A1865" s="48" t="s">
        <v>229</v>
      </c>
      <c r="B1865" s="48"/>
      <c r="C1865" s="48" t="s">
        <v>418</v>
      </c>
      <c r="D1865" s="97" t="s">
        <v>1465</v>
      </c>
      <c r="E1865" s="97" t="s">
        <v>1485</v>
      </c>
      <c r="F1865" s="98" t="s">
        <v>435</v>
      </c>
      <c r="G1865" s="132" t="s">
        <v>603</v>
      </c>
      <c r="H1865" s="98">
        <v>10.0</v>
      </c>
      <c r="I1865" s="98"/>
      <c r="J1865" s="98" t="s">
        <v>603</v>
      </c>
      <c r="K1865" s="98"/>
      <c r="L1865" s="98" t="s">
        <v>603</v>
      </c>
      <c r="M1865" s="98"/>
      <c r="N1865" s="98">
        <v>50.0</v>
      </c>
      <c r="O1865" s="98"/>
      <c r="P1865" s="98" t="s">
        <v>603</v>
      </c>
      <c r="Q1865" s="98"/>
      <c r="R1865" s="98" t="s">
        <v>603</v>
      </c>
      <c r="S1865" s="98"/>
      <c r="T1865" s="98" t="s">
        <v>603</v>
      </c>
      <c r="U1865" s="98"/>
      <c r="V1865" s="98">
        <v>110.0</v>
      </c>
      <c r="W1865" s="98"/>
      <c r="X1865" s="98" t="s">
        <v>603</v>
      </c>
      <c r="Y1865" s="98"/>
      <c r="Z1865" s="98">
        <v>190.0</v>
      </c>
      <c r="AA1865" s="98"/>
      <c r="AB1865" s="5" t="s">
        <v>466</v>
      </c>
      <c r="AC1865" s="47">
        <v>360.0</v>
      </c>
    </row>
    <row r="1866" hidden="1">
      <c r="A1866" s="222" t="str">
        <f t="array" ref="A1866:A1867">{"FormulaRow22";(INDEX(CLASSLIST,A1823,1))}</f>
        <v>FormulaRow22</v>
      </c>
      <c r="B1866" s="77" t="s">
        <v>236</v>
      </c>
      <c r="C1866" s="222" t="str">
        <f t="array" ref="C1866:C1867">{"CLASSTYPE";((INDEX(ALLCLASSDATA,MATCH("ClassType",CLASSFEATUREHEADERS,0),MATCH($A1867,CLASSNAMEHEADERS,0))))}</f>
        <v>CLASSTYPE</v>
      </c>
      <c r="D1866" s="228" t="str">
        <f t="shared" ref="D1866:E1866" si="21">{"PERCEPTION";"Perception"}</f>
        <v>PERCEPTION</v>
      </c>
      <c r="E1866" s="228" t="str">
        <f t="shared" si="21"/>
        <v>PERCEPTION</v>
      </c>
      <c r="F1866" s="230" t="str">
        <f t="array" ref="F1866:F1867">{"PERCEPTIONINITIAL";((IF(H1867=10,"T",(IF(H1867=50,"E","")))))}</f>
        <v>PERCEPTIONINITIAL</v>
      </c>
      <c r="G1866" s="230" t="str">
        <f t="array" ref="G1866:G1867">{"PERCEPTIONINITIALPTS";((IF("00"=(INDEX(ALLCLASSDATA,MATCH("PerceptionLegendary",CLASSFEATUREHEADERS,0),MATCH($A1867,CLASSNAMEHEADERS,0))),(INDEX(ALLCLASSDATA,MATCH("PerceptionLegendary",CLASSFEATUREHEADERS,0),MATCH(($A1867 &amp; "Points"),CLASSNAMEHEADERS,0))),(IF("00"=(INDEX(ALLCLASSDATA,MATCH("PerceptionMaster",CLASSFEATUREHEADERS,0),MATCH($A1867,CLASSNAMEHEADERS,0))),(INDEX(ALLCLASSDATA,MATCH("PerceptionMaster",CLASSFEATUREHEADERS,0),MATCH(($A1867 &amp; "Points"),CLASSNAMEHEADERS,0))),(IF("00"=(INDEX(ALLCLASSDATA,MATCH("PerceptionExpert",CLASSFEATUREHEADERS,0),MATCH($A1867,CLASSNAMEHEADERS,0))),(INDEX(ALLCLASSDATA,MATCH("PerceptionExpert",CLASSFEATUREHEADERS,0),MATCH(($A1867 &amp; "Points"),CLASSNAMEHEADERS,0))),(IF("00"=(INDEX(ALLCLASSDATA,MATCH("PerceptionTrained",CLASSFEATUREHEADERS,0),MATCH($A1867,CLASSNAMEHEADERS,0))),(INDEX(ALLCLASSDATA,MATCH("PerceptionTrained",CLASSFEATUREHEADERS,0),MATCH(($A1867 &amp; "Points"),CLASSNAMEHEADERS,0))),"")))))))))}</f>
        <v>PERCEPTIONINITIALPTS</v>
      </c>
      <c r="H1866" s="230" t="str">
        <f t="array" ref="H1866:H1867">{"PERCEPTIONL01";((IF("01"=(INDEX(ALLCLASSDATA,MATCH("PerceptionLegendary",CLASSFEATUREHEADERS,0),MATCH($A1867,CLASSNAMEHEADERS,0))),(INDEX(ALLCLASSDATA,MATCH("PerceptionLegendary",CLASSFEATUREHEADERS,0),MATCH(($A1867 &amp; "Points"),CLASSNAMEHEADERS,0))),(IF("01"=(INDEX(ALLCLASSDATA,MATCH("PerceptionMaster",CLASSFEATUREHEADERS,0),MATCH($A1867,CLASSNAMEHEADERS,0))),(INDEX(ALLCLASSDATA,MATCH("PerceptionMaster",CLASSFEATUREHEADERS,0),MATCH(($A1867 &amp; "Points"),CLASSNAMEHEADERS,0))),(IF("01"=(INDEX(ALLCLASSDATA,MATCH("PerceptionExpert",CLASSFEATUREHEADERS,0),MATCH($A1867,CLASSNAMEHEADERS,0))),(INDEX(ALLCLASSDATA,MATCH("PerceptionExpert",CLASSFEATUREHEADERS,0),MATCH(($A1867 &amp; "Points"),CLASSNAMEHEADERS,0))),(IF("01"=(INDEX(ALLCLASSDATA,MATCH("PerceptionTrained",CLASSFEATUREHEADERS,0),MATCH($A1867,CLASSNAMEHEADERS,0))),(INDEX(ALLCLASSDATA,MATCH("PerceptionTrained",CLASSFEATUREHEADERS,0),MATCH(($A1867 &amp; "Points"),CLASSNAMEHEADERS,0))),"")))))))))}</f>
        <v>PERCEPTIONL01</v>
      </c>
      <c r="I1866" s="230"/>
      <c r="J1866" s="230" t="str">
        <f t="array" ref="J1866:J1867">{"PERCEPTIONL03";((IF("03"=(INDEX(ALLCLASSDATA,MATCH("PerceptionLegendary",CLASSFEATUREHEADERS,0),MATCH($A1867,CLASSNAMEHEADERS,0))),(INDEX(ALLCLASSDATA,MATCH("PerceptionLegendary",CLASSFEATUREHEADERS,0),MATCH(($A1867 &amp; "Points"),CLASSNAMEHEADERS,0))),(IF("03"=(INDEX(ALLCLASSDATA,MATCH("PerceptionMaster",CLASSFEATUREHEADERS,0),MATCH($A1867,CLASSNAMEHEADERS,0))),(INDEX(ALLCLASSDATA,MATCH("PerceptionMaster",CLASSFEATUREHEADERS,0),MATCH(($A1867 &amp; "Points"),CLASSNAMEHEADERS,0))),(IF("03"=(INDEX(ALLCLASSDATA,MATCH("PerceptionExpert",CLASSFEATUREHEADERS,0),MATCH($A1867,CLASSNAMEHEADERS,0))),(INDEX(ALLCLASSDATA,MATCH("PerceptionExpert",CLASSFEATUREHEADERS,0),MATCH(($A1867 &amp; "Points"),CLASSNAMEHEADERS,0))),(IF("03"=(INDEX(ALLCLASSDATA,MATCH("PerceptionTrained",CLASSFEATUREHEADERS,0),MATCH($A1867,CLASSNAMEHEADERS,0))),(INDEX(ALLCLASSDATA,MATCH("PerceptionTrained",CLASSFEATUREHEADERS,0),MATCH(($A1867 &amp; "Points"),CLASSNAMEHEADERS,0))),"")))))))))}</f>
        <v>PERCEPTIONL03</v>
      </c>
      <c r="K1866" s="230"/>
      <c r="L1866" s="230" t="str">
        <f t="array" ref="L1866:L1867">{"PERCEPTIONL05";((IF("05"=(INDEX(ALLCLASSDATA,MATCH("PerceptionLegendary",CLASSFEATUREHEADERS,0),MATCH($A1867,CLASSNAMEHEADERS,0))),(INDEX(ALLCLASSDATA,MATCH("PerceptionLegendary",CLASSFEATUREHEADERS,0),MATCH(($A1867 &amp; "Points"),CLASSNAMEHEADERS,0))),(IF("05"=(INDEX(ALLCLASSDATA,MATCH("PerceptionMaster",CLASSFEATUREHEADERS,0),MATCH($A1867,CLASSNAMEHEADERS,0))),(INDEX(ALLCLASSDATA,MATCH("PerceptionMaster",CLASSFEATUREHEADERS,0),MATCH(($A1867 &amp; "Points"),CLASSNAMEHEADERS,0))),(IF("05"=(INDEX(ALLCLASSDATA,MATCH("PerceptionExpert",CLASSFEATUREHEADERS,0),MATCH($A1867,CLASSNAMEHEADERS,0))),(INDEX(ALLCLASSDATA,MATCH("PerceptionExpert",CLASSFEATUREHEADERS,0),MATCH(($A1867 &amp; "Points"),CLASSNAMEHEADERS,0))),(IF("05"=(INDEX(ALLCLASSDATA,MATCH("PerceptionTrained",CLASSFEATUREHEADERS,0),MATCH($A1867,CLASSNAMEHEADERS,0))),(INDEX(ALLCLASSDATA,MATCH("PerceptionTrained",CLASSFEATUREHEADERS,0),MATCH(($A1867 &amp; "Points"),CLASSNAMEHEADERS,0))),"")))))))))}</f>
        <v>PERCEPTIONL05</v>
      </c>
      <c r="M1866" s="230"/>
      <c r="N1866" s="230" t="str">
        <f t="array" ref="N1866:N1867">{"PERCEPTIONL07";((IF("07"=(INDEX(ALLCLASSDATA,MATCH("PerceptionLegendary",CLASSFEATUREHEADERS,0),MATCH($A1867,CLASSNAMEHEADERS,0))),(INDEX(ALLCLASSDATA,MATCH("PerceptionLegendary",CLASSFEATUREHEADERS,0),MATCH(($A1867 &amp; "Points"),CLASSNAMEHEADERS,0))),(IF("07"=(INDEX(ALLCLASSDATA,MATCH("PerceptionMaster",CLASSFEATUREHEADERS,0),MATCH($A1867,CLASSNAMEHEADERS,0))),(INDEX(ALLCLASSDATA,MATCH("PerceptionMaster",CLASSFEATUREHEADERS,0),MATCH(($A1867 &amp; "Points"),CLASSNAMEHEADERS,0))),(IF("07"=(INDEX(ALLCLASSDATA,MATCH("PerceptionExpert",CLASSFEATUREHEADERS,0),MATCH($A1867,CLASSNAMEHEADERS,0))),(INDEX(ALLCLASSDATA,MATCH("PerceptionExpert",CLASSFEATUREHEADERS,0),MATCH(($A1867 &amp; "Points"),CLASSNAMEHEADERS,0))),(IF("07"=(INDEX(ALLCLASSDATA,MATCH("PerceptionTrained",CLASSFEATUREHEADERS,0),MATCH($A1867,CLASSNAMEHEADERS,0))),(INDEX(ALLCLASSDATA,MATCH("PerceptionTrained",CLASSFEATUREHEADERS,0),MATCH(($A1867 &amp; "Points"),CLASSNAMEHEADERS,0))),"")))))))))}</f>
        <v>PERCEPTIONL07</v>
      </c>
      <c r="O1866" s="230"/>
      <c r="P1866" s="230" t="str">
        <f t="array" ref="P1866:P1867">{"PERCEPTIONL09";((IF("09"=(INDEX(ALLCLASSDATA,MATCH("PerceptionLegendary",CLASSFEATUREHEADERS,0),MATCH($A1867,CLASSNAMEHEADERS,0))),(INDEX(ALLCLASSDATA,MATCH("PerceptionLegendary",CLASSFEATUREHEADERS,0),MATCH(($A1867 &amp; "Points"),CLASSNAMEHEADERS,0))),(IF("09"=(INDEX(ALLCLASSDATA,MATCH("PerceptionMaster",CLASSFEATUREHEADERS,0),MATCH($A1867,CLASSNAMEHEADERS,0))),(INDEX(ALLCLASSDATA,MATCH("PerceptionMaster",CLASSFEATUREHEADERS,0),MATCH(($A1867 &amp; "Points"),CLASSNAMEHEADERS,0))),(IF("09"=(INDEX(ALLCLASSDATA,MATCH("PerceptionExpert",CLASSFEATUREHEADERS,0),MATCH($A1867,CLASSNAMEHEADERS,0))),(INDEX(ALLCLASSDATA,MATCH("PerceptionExpert",CLASSFEATUREHEADERS,0),MATCH(($A1867 &amp; "Points"),CLASSNAMEHEADERS,0))),(IF("09"=(INDEX(ALLCLASSDATA,MATCH("PerceptionTrained",CLASSFEATUREHEADERS,0),MATCH($A1867,CLASSNAMEHEADERS,0))),(INDEX(ALLCLASSDATA,MATCH("PerceptionTrained",CLASSFEATUREHEADERS,0),MATCH(($A1867 &amp; "Points"),CLASSNAMEHEADERS,0))),"")))))))))}</f>
        <v>PERCEPTIONL09</v>
      </c>
      <c r="Q1866" s="230"/>
      <c r="R1866" s="230" t="str">
        <f t="array" ref="R1866:R1867">{"PERCEPTIONL11";((IF("11"=(INDEX(ALLCLASSDATA,MATCH("PerceptionLegendary",CLASSFEATUREHEADERS,0),MATCH($A1867,CLASSNAMEHEADERS,0))),(INDEX(ALLCLASSDATA,MATCH("PerceptionLegendary",CLASSFEATUREHEADERS,0),MATCH(($A1867 &amp; "Points"),CLASSNAMEHEADERS,0))),(IF("11"=(INDEX(ALLCLASSDATA,MATCH("PerceptionMaster",CLASSFEATUREHEADERS,0),MATCH($A1867,CLASSNAMEHEADERS,0))),(INDEX(ALLCLASSDATA,MATCH("PerceptionMaster",CLASSFEATUREHEADERS,0),MATCH(($A1867 &amp; "Points"),CLASSNAMEHEADERS,0))),(IF("11"=(INDEX(ALLCLASSDATA,MATCH("PerceptionExpert",CLASSFEATUREHEADERS,0),MATCH($A1867,CLASSNAMEHEADERS,0))),(INDEX(ALLCLASSDATA,MATCH("PerceptionExpert",CLASSFEATUREHEADERS,0),MATCH(($A1867 &amp; "Points"),CLASSNAMEHEADERS,0))),(IF("11"=(INDEX(ALLCLASSDATA,MATCH("PerceptionTrained",CLASSFEATUREHEADERS,0),MATCH($A1867,CLASSNAMEHEADERS,0))),(INDEX(ALLCLASSDATA,MATCH("PerceptionTrained",CLASSFEATUREHEADERS,0),MATCH(($A1867 &amp; "Points"),CLASSNAMEHEADERS,0))),"")))))))))}</f>
        <v>PERCEPTIONL11</v>
      </c>
      <c r="S1866" s="230"/>
      <c r="T1866" s="230" t="str">
        <f t="array" ref="T1866:T1867">{"PERCEPTIONL13";((IF("13"=(INDEX(ALLCLASSDATA,MATCH("PerceptionLegendary",CLASSFEATUREHEADERS,0),MATCH($A1867,CLASSNAMEHEADERS,0))),(INDEX(ALLCLASSDATA,MATCH("PerceptionLegendary",CLASSFEATUREHEADERS,0),MATCH(($A1867 &amp; "Points"),CLASSNAMEHEADERS,0))),(IF("13"=(INDEX(ALLCLASSDATA,MATCH("PerceptionMaster",CLASSFEATUREHEADERS,0),MATCH($A1867,CLASSNAMEHEADERS,0))),(INDEX(ALLCLASSDATA,MATCH("PerceptionMaster",CLASSFEATUREHEADERS,0),MATCH(($A1867 &amp; "Points"),CLASSNAMEHEADERS,0))),(IF("13"=(INDEX(ALLCLASSDATA,MATCH("PerceptionExpert",CLASSFEATUREHEADERS,0),MATCH($A1867,CLASSNAMEHEADERS,0))),(INDEX(ALLCLASSDATA,MATCH("PerceptionExpert",CLASSFEATUREHEADERS,0),MATCH(($A1867 &amp; "Points"),CLASSNAMEHEADERS,0))),(IF("13"=(INDEX(ALLCLASSDATA,MATCH("PerceptionTrained",CLASSFEATUREHEADERS,0),MATCH($A1867,CLASSNAMEHEADERS,0))),(INDEX(ALLCLASSDATA,MATCH("PerceptionTrained",CLASSFEATUREHEADERS,0),MATCH(($A1867 &amp; "Points"),CLASSNAMEHEADERS,0))),"")))))))))}</f>
        <v>PERCEPTIONL13</v>
      </c>
      <c r="U1866" s="230"/>
      <c r="V1866" s="230" t="str">
        <f t="array" ref="V1866:V1867">{"PERCEPTIONL15";((IF("15"=(INDEX(ALLCLASSDATA,MATCH("PerceptionLegendary",CLASSFEATUREHEADERS,0),MATCH($A1867,CLASSNAMEHEADERS,0))),(INDEX(ALLCLASSDATA,MATCH("PerceptionLegendary",CLASSFEATUREHEADERS,0),MATCH(($A1867 &amp; "Points"),CLASSNAMEHEADERS,0))),(IF("15"=(INDEX(ALLCLASSDATA,MATCH("PerceptionMaster",CLASSFEATUREHEADERS,0),MATCH($A1867,CLASSNAMEHEADERS,0))),(INDEX(ALLCLASSDATA,MATCH("PerceptionMaster",CLASSFEATUREHEADERS,0),MATCH(($A1867 &amp; "Points"),CLASSNAMEHEADERS,0))),(IF("15"=(INDEX(ALLCLASSDATA,MATCH("PerceptionExpert",CLASSFEATUREHEADERS,0),MATCH($A1867,CLASSNAMEHEADERS,0))),(INDEX(ALLCLASSDATA,MATCH("PerceptionExpert",CLASSFEATUREHEADERS,0),MATCH(($A1867 &amp; "Points"),CLASSNAMEHEADERS,0))),(IF("15"=(INDEX(ALLCLASSDATA,MATCH("PerceptionTrained",CLASSFEATUREHEADERS,0),MATCH($A1867,CLASSNAMEHEADERS,0))),(INDEX(ALLCLASSDATA,MATCH("PerceptionTrained",CLASSFEATUREHEADERS,0),MATCH(($A1867 &amp; "Points"),CLASSNAMEHEADERS,0))),"")))))))))}</f>
        <v>PERCEPTIONL15</v>
      </c>
      <c r="W1866" s="230"/>
      <c r="X1866" s="230" t="str">
        <f t="array" ref="X1866:X1867">{"PERCEPTIONL17";((IF("17"=(INDEX(ALLCLASSDATA,MATCH("PerceptionLegendary",CLASSFEATUREHEADERS,0),MATCH($A1867,CLASSNAMEHEADERS,0))),(INDEX(ALLCLASSDATA,MATCH("PerceptionLegendary",CLASSFEATUREHEADERS,0),MATCH(($A1867 &amp; "Points"),CLASSNAMEHEADERS,0))),(IF("17"=(INDEX(ALLCLASSDATA,MATCH("PerceptionMaster",CLASSFEATUREHEADERS,0),MATCH($A1867,CLASSNAMEHEADERS,0))),(INDEX(ALLCLASSDATA,MATCH("PerceptionMaster",CLASSFEATUREHEADERS,0),MATCH(($A1867 &amp; "Points"),CLASSNAMEHEADERS,0))),(IF("17"=(INDEX(ALLCLASSDATA,MATCH("PerceptionExpert",CLASSFEATUREHEADERS,0),MATCH($A1867,CLASSNAMEHEADERS,0))),(INDEX(ALLCLASSDATA,MATCH("PerceptionExpert",CLASSFEATUREHEADERS,0),MATCH(($A1867 &amp; "Points"),CLASSNAMEHEADERS,0))),(IF("17"=(INDEX(ALLCLASSDATA,MATCH("PerceptionTrained",CLASSFEATUREHEADERS,0),MATCH($A1867,CLASSNAMEHEADERS,0))),(INDEX(ALLCLASSDATA,MATCH("PerceptionTrained",CLASSFEATUREHEADERS,0),MATCH(($A1867 &amp; "Points"),CLASSNAMEHEADERS,0))),"")))))))))}</f>
        <v>PERCEPTIONL17</v>
      </c>
      <c r="Y1866" s="230"/>
      <c r="Z1866" s="230" t="str">
        <f t="array" ref="Z1866:Z1867">{"PERCEPTIONL19";((IF("19"=(INDEX(ALLCLASSDATA,MATCH("PerceptionLegendary",CLASSFEATUREHEADERS,0),MATCH($A1867,CLASSNAMEHEADERS,0))),(INDEX(ALLCLASSDATA,MATCH("PerceptionLegendary",CLASSFEATUREHEADERS,0),MATCH(($A1867 &amp; "Points"),CLASSNAMEHEADERS,0))),(IF("19"=(INDEX(ALLCLASSDATA,MATCH("PerceptionMaster",CLASSFEATUREHEADERS,0),MATCH($A1867,CLASSNAMEHEADERS,0))),(INDEX(ALLCLASSDATA,MATCH("PerceptionMaster",CLASSFEATUREHEADERS,0),MATCH(($A1867 &amp; "Points"),CLASSNAMEHEADERS,0))),(IF("19"=(INDEX(ALLCLASSDATA,MATCH("PerceptionExpert",CLASSFEATUREHEADERS,0),MATCH($A1867,CLASSNAMEHEADERS,0))),(INDEX(ALLCLASSDATA,MATCH("PerceptionExpert",CLASSFEATUREHEADERS,0),MATCH(($A1867 &amp; "Points"),CLASSNAMEHEADERS,0))),(IF("19"=(INDEX(ALLCLASSDATA,MATCH("PerceptionTrained",CLASSFEATUREHEADERS,0),MATCH($A1867,CLASSNAMEHEADERS,0))),(INDEX(ALLCLASSDATA,MATCH("PerceptionTrained",CLASSFEATUREHEADERS,0),MATCH(($A1867 &amp; "Points"),CLASSNAMEHEADERS,0))),"")))))))))}</f>
        <v>PERCEPTIONL19</v>
      </c>
      <c r="AA1866" s="230"/>
      <c r="AB1866" s="76" t="str">
        <f t="array" ref="AB1866:AB1867">{"PERCEPTION TOTAL";(IF(COUNTBLANK(G1867:AA1867)=17,"L",(IF(COUNTBLANK(G1867:AA1867)=18,"M",(IF(COUNTBLANK(G1867:AA1867)=19,"E",(IF(COUNTBLANK(G1867:AA1867)=20,"T",""))))))))}</f>
        <v>PERCEPTION TOTAL</v>
      </c>
      <c r="AC1866" s="76" t="str">
        <f t="array" ref="AC1866:AC1867">{"PERCEPTION TOTAL";(sum(G1867:AA1867))}</f>
        <v>PERCEPTION TOTAL</v>
      </c>
    </row>
    <row r="1867">
      <c r="A1867" s="48" t="s">
        <v>229</v>
      </c>
      <c r="B1867" s="48"/>
      <c r="C1867" s="48" t="s">
        <v>418</v>
      </c>
      <c r="D1867" s="97" t="s">
        <v>637</v>
      </c>
      <c r="E1867" s="97" t="s">
        <v>637</v>
      </c>
      <c r="F1867" s="98" t="s">
        <v>435</v>
      </c>
      <c r="G1867" s="132" t="s">
        <v>603</v>
      </c>
      <c r="H1867" s="98">
        <v>10.0</v>
      </c>
      <c r="I1867" s="98"/>
      <c r="J1867" s="98" t="s">
        <v>603</v>
      </c>
      <c r="K1867" s="98"/>
      <c r="L1867" s="98" t="s">
        <v>603</v>
      </c>
      <c r="M1867" s="98"/>
      <c r="N1867" s="98" t="s">
        <v>603</v>
      </c>
      <c r="O1867" s="98"/>
      <c r="P1867" s="98" t="s">
        <v>603</v>
      </c>
      <c r="Q1867" s="98"/>
      <c r="R1867" s="98">
        <v>50.0</v>
      </c>
      <c r="S1867" s="98"/>
      <c r="T1867" s="98" t="s">
        <v>603</v>
      </c>
      <c r="U1867" s="98"/>
      <c r="V1867" s="98" t="s">
        <v>603</v>
      </c>
      <c r="W1867" s="98"/>
      <c r="X1867" s="98" t="s">
        <v>603</v>
      </c>
      <c r="Y1867" s="98"/>
      <c r="Z1867" s="98" t="s">
        <v>603</v>
      </c>
      <c r="AA1867" s="98"/>
      <c r="AB1867" s="5" t="s">
        <v>436</v>
      </c>
      <c r="AC1867" s="47">
        <v>60.0</v>
      </c>
    </row>
    <row r="1868" hidden="1">
      <c r="A1868" s="222" t="str">
        <f t="array" ref="A1868:A1869">{"FormulaRow23";(INDEX(CLASSLIST,A1823,1))}</f>
        <v>FormulaRow23</v>
      </c>
      <c r="B1868" s="77" t="s">
        <v>236</v>
      </c>
      <c r="C1868" s="222" t="str">
        <f t="array" ref="C1868:C1869">{"CLASSTYPE";((INDEX(ALLCLASSDATA,MATCH("ClassType",CLASSFEATUREHEADERS,0),MATCH($A1869,CLASSNAMEHEADERS,0))))}</f>
        <v>CLASSTYPE</v>
      </c>
      <c r="D1868" s="228" t="str">
        <f t="array" ref="D1868:D1869">{"SAVES";"Saves"}</f>
        <v>SAVES</v>
      </c>
      <c r="E1868" s="228" t="str">
        <f t="array" ref="E1868:E1869">{"FORTITUDESAVE";"FortitudeSave"}</f>
        <v>FORTITUDESAVE</v>
      </c>
      <c r="F1868" s="230" t="str">
        <f t="array" ref="F1868:F1869">{"FORTITUDEINITIAL";((IF(H1869=10,"T",(IF(H1869=50,"E","")))))}</f>
        <v>FORTITUDEINITIAL</v>
      </c>
      <c r="G1868" s="230" t="str">
        <f t="array" ref="G1868:G1869">{"FORTITUDEINITIALPTS";((IF("00"=(INDEX(ALLCLASSDATA,MATCH("FortitudeSaveLegendary",CLASSFEATUREHEADERS,0),MATCH($A1869,CLASSNAMEHEADERS,0))),(INDEX(ALLCLASSDATA,MATCH("FortitudeSaveLegendary",CLASSFEATUREHEADERS,0),MATCH(($A1869 &amp; "Points"),CLASSNAMEHEADERS,0))),(IF("00"=(INDEX(ALLCLASSDATA,MATCH("FortitudeSaveMaster",CLASSFEATUREHEADERS,0),MATCH($A1869,CLASSNAMEHEADERS,0))),(INDEX(ALLCLASSDATA,MATCH("FortitudeSaveMaster",CLASSFEATUREHEADERS,0),MATCH(($A1869 &amp; "Points"),CLASSNAMEHEADERS,0))),(IF("00"=(INDEX(ALLCLASSDATA,MATCH("FortitudeSaveExpert",CLASSFEATUREHEADERS,0),MATCH($A1869,CLASSNAMEHEADERS,0))),(INDEX(ALLCLASSDATA,MATCH("FortitudeSaveExpert",CLASSFEATUREHEADERS,0),MATCH(($A1869 &amp; "Points"),CLASSNAMEHEADERS,0))),(IF("00"=(INDEX(ALLCLASSDATA,MATCH("FortitudeSaveTrained",CLASSFEATUREHEADERS,0),MATCH($A1869,CLASSNAMEHEADERS,0))),(INDEX(ALLCLASSDATA,MATCH("FortitudeSaveTrained",CLASSFEATUREHEADERS,0),MATCH(($A1869 &amp; "Points"),CLASSNAMEHEADERS,0))),"")))))))))}</f>
        <v>FORTITUDEINITIALPTS</v>
      </c>
      <c r="H1868" s="230" t="str">
        <f t="array" ref="H1868:H1869">{"FORTITUDEL01";((IF("01"=(INDEX(ALLCLASSDATA,MATCH("FortitudeSaveLegendary",CLASSFEATUREHEADERS,0),MATCH($A1869,CLASSNAMEHEADERS,0))),(INDEX(ALLCLASSDATA,MATCH("FortitudeSaveLegendary",CLASSFEATUREHEADERS,0),MATCH(($A1869 &amp; "Points"),CLASSNAMEHEADERS,0))),(IF("01"=(INDEX(ALLCLASSDATA,MATCH("FortitudeSaveMaster",CLASSFEATUREHEADERS,0),MATCH($A1869,CLASSNAMEHEADERS,0))),(INDEX(ALLCLASSDATA,MATCH("FortitudeSaveMaster",CLASSFEATUREHEADERS,0),MATCH(($A1869 &amp; "Points"),CLASSNAMEHEADERS,0))),(IF("01"=(INDEX(ALLCLASSDATA,MATCH("FortitudeSaveExpert",CLASSFEATUREHEADERS,0),MATCH($A1869,CLASSNAMEHEADERS,0))),(INDEX(ALLCLASSDATA,MATCH("FortitudeSaveExpert",CLASSFEATUREHEADERS,0),MATCH(($A1869 &amp; "Points"),CLASSNAMEHEADERS,0))),(IF("01"=(INDEX(ALLCLASSDATA,MATCH("FortitudeSaveTrained",CLASSFEATUREHEADERS,0),MATCH($A1869,CLASSNAMEHEADERS,0))),(INDEX(ALLCLASSDATA,MATCH("FortitudeSaveTrained",CLASSFEATUREHEADERS,0),MATCH(($A1869 &amp; "Points"),CLASSNAMEHEADERS,0))),"")))))))))}</f>
        <v>FORTITUDEL01</v>
      </c>
      <c r="I1868" s="230"/>
      <c r="J1868" s="230" t="str">
        <f t="array" ref="J1868:J1869">{"FORTITUDEL03";((IF("03"=(INDEX(ALLCLASSDATA,MATCH("FortitudeSaveLegendary",CLASSFEATUREHEADERS,0),MATCH($A1869,CLASSNAMEHEADERS,0))),(INDEX(ALLCLASSDATA,MATCH("FortitudeSaveLegendary",CLASSFEATUREHEADERS,0),MATCH(($A1869 &amp; "Points"),CLASSNAMEHEADERS,0))),(IF("03"=(INDEX(ALLCLASSDATA,MATCH("FortitudeSaveMaster",CLASSFEATUREHEADERS,0),MATCH($A1869,CLASSNAMEHEADERS,0))),(INDEX(ALLCLASSDATA,MATCH("FortitudeSaveMaster",CLASSFEATUREHEADERS,0),MATCH(($A1869 &amp; "Points"),CLASSNAMEHEADERS,0))),(IF("03"=(INDEX(ALLCLASSDATA,MATCH("FortitudeSaveExpert",CLASSFEATUREHEADERS,0),MATCH($A1869,CLASSNAMEHEADERS,0))),(INDEX(ALLCLASSDATA,MATCH("FortitudeSaveExpert",CLASSFEATUREHEADERS,0),MATCH(($A1869 &amp; "Points"),CLASSNAMEHEADERS,0))),(IF("03"=(INDEX(ALLCLASSDATA,MATCH("FortitudeSaveTrained",CLASSFEATUREHEADERS,0),MATCH($A1869,CLASSNAMEHEADERS,0))),(INDEX(ALLCLASSDATA,MATCH("FortitudeSaveTrained",CLASSFEATUREHEADERS,0),MATCH(($A1869 &amp; "Points"),CLASSNAMEHEADERS,0))),"")))))))))}</f>
        <v>FORTITUDEL03</v>
      </c>
      <c r="K1868" s="230"/>
      <c r="L1868" s="230" t="str">
        <f t="array" ref="L1868:L1869">{"FORTITUDEL05";((IF("05"=(INDEX(ALLCLASSDATA,MATCH("FortitudeSaveLegendary",CLASSFEATUREHEADERS,0),MATCH($A1869,CLASSNAMEHEADERS,0))),(INDEX(ALLCLASSDATA,MATCH("FortitudeSaveLegendary",CLASSFEATUREHEADERS,0),MATCH(($A1869 &amp; "Points"),CLASSNAMEHEADERS,0))),(IF("05"=(INDEX(ALLCLASSDATA,MATCH("FortitudeSaveMaster",CLASSFEATUREHEADERS,0),MATCH($A1869,CLASSNAMEHEADERS,0))),(INDEX(ALLCLASSDATA,MATCH("FortitudeSaveMaster",CLASSFEATUREHEADERS,0),MATCH(($A1869 &amp; "Points"),CLASSNAMEHEADERS,0))),(IF("05"=(INDEX(ALLCLASSDATA,MATCH("FortitudeSaveExpert",CLASSFEATUREHEADERS,0),MATCH($A1869,CLASSNAMEHEADERS,0))),(INDEX(ALLCLASSDATA,MATCH("FortitudeSaveExpert",CLASSFEATUREHEADERS,0),MATCH(($A1869 &amp; "Points"),CLASSNAMEHEADERS,0))),(IF("05"=(INDEX(ALLCLASSDATA,MATCH("FortitudeSaveTrained",CLASSFEATUREHEADERS,0),MATCH($A1869,CLASSNAMEHEADERS,0))),(INDEX(ALLCLASSDATA,MATCH("FortitudeSaveTrained",CLASSFEATUREHEADERS,0),MATCH(($A1869 &amp; "Points"),CLASSNAMEHEADERS,0))),"")))))))))}</f>
        <v>FORTITUDEL05</v>
      </c>
      <c r="M1868" s="230"/>
      <c r="N1868" s="230" t="str">
        <f t="array" ref="N1868:N1869">{"FORTITUDEL07";((IF("07"=(INDEX(ALLCLASSDATA,MATCH("FortitudeSaveLegendary",CLASSFEATUREHEADERS,0),MATCH($A1869,CLASSNAMEHEADERS,0))),(INDEX(ALLCLASSDATA,MATCH("FortitudeSaveLegendary",CLASSFEATUREHEADERS,0),MATCH(($A1869 &amp; "Points"),CLASSNAMEHEADERS,0))),(IF("07"=(INDEX(ALLCLASSDATA,MATCH("FortitudeSaveMaster",CLASSFEATUREHEADERS,0),MATCH($A1869,CLASSNAMEHEADERS,0))),(INDEX(ALLCLASSDATA,MATCH("FortitudeSaveMaster",CLASSFEATUREHEADERS,0),MATCH(($A1869 &amp; "Points"),CLASSNAMEHEADERS,0))),(IF("07"=(INDEX(ALLCLASSDATA,MATCH("FortitudeSaveExpert",CLASSFEATUREHEADERS,0),MATCH($A1869,CLASSNAMEHEADERS,0))),(INDEX(ALLCLASSDATA,MATCH("FortitudeSaveExpert",CLASSFEATUREHEADERS,0),MATCH(($A1869 &amp; "Points"),CLASSNAMEHEADERS,0))),(IF("07"=(INDEX(ALLCLASSDATA,MATCH("FortitudeSaveTrained",CLASSFEATUREHEADERS,0),MATCH($A1869,CLASSNAMEHEADERS,0))),(INDEX(ALLCLASSDATA,MATCH("FortitudeSaveTrained",CLASSFEATUREHEADERS,0),MATCH(($A1869 &amp; "Points"),CLASSNAMEHEADERS,0))),"")))))))))}</f>
        <v>FORTITUDEL07</v>
      </c>
      <c r="O1868" s="230"/>
      <c r="P1868" s="230" t="str">
        <f t="array" ref="P1868:P1869">{"FORTITUDEL09";((IF("09"=(INDEX(ALLCLASSDATA,MATCH("FortitudeSaveLegendary",CLASSFEATUREHEADERS,0),MATCH($A1869,CLASSNAMEHEADERS,0))),(INDEX(ALLCLASSDATA,MATCH("FortitudeSaveLegendary",CLASSFEATUREHEADERS,0),MATCH(($A1869 &amp; "Points"),CLASSNAMEHEADERS,0))),(IF("09"=(INDEX(ALLCLASSDATA,MATCH("FortitudeSaveMaster",CLASSFEATUREHEADERS,0),MATCH($A1869,CLASSNAMEHEADERS,0))),(INDEX(ALLCLASSDATA,MATCH("FortitudeSaveMaster",CLASSFEATUREHEADERS,0),MATCH(($A1869 &amp; "Points"),CLASSNAMEHEADERS,0))),(IF("09"=(INDEX(ALLCLASSDATA,MATCH("FortitudeSaveExpert",CLASSFEATUREHEADERS,0),MATCH($A1869,CLASSNAMEHEADERS,0))),(INDEX(ALLCLASSDATA,MATCH("FortitudeSaveExpert",CLASSFEATUREHEADERS,0),MATCH(($A1869 &amp; "Points"),CLASSNAMEHEADERS,0))),(IF("09"=(INDEX(ALLCLASSDATA,MATCH("FortitudeSaveTrained",CLASSFEATUREHEADERS,0),MATCH($A1869,CLASSNAMEHEADERS,0))),(INDEX(ALLCLASSDATA,MATCH("FortitudeSaveTrained",CLASSFEATUREHEADERS,0),MATCH(($A1869 &amp; "Points"),CLASSNAMEHEADERS,0))),"")))))))))}</f>
        <v>FORTITUDEL09</v>
      </c>
      <c r="Q1868" s="230"/>
      <c r="R1868" s="230" t="str">
        <f t="array" ref="R1868:R1869">{"FORTITUDEL11";((IF("11"=(INDEX(ALLCLASSDATA,MATCH("FortitudeSaveLegendary",CLASSFEATUREHEADERS,0),MATCH($A1869,CLASSNAMEHEADERS,0))),(INDEX(ALLCLASSDATA,MATCH("FortitudeSaveLegendary",CLASSFEATUREHEADERS,0),MATCH(($A1869 &amp; "Points"),CLASSNAMEHEADERS,0))),(IF("11"=(INDEX(ALLCLASSDATA,MATCH("FortitudeSaveMaster",CLASSFEATUREHEADERS,0),MATCH($A1869,CLASSNAMEHEADERS,0))),(INDEX(ALLCLASSDATA,MATCH("FortitudeSaveMaster",CLASSFEATUREHEADERS,0),MATCH(($A1869 &amp; "Points"),CLASSNAMEHEADERS,0))),(IF("11"=(INDEX(ALLCLASSDATA,MATCH("FortitudeSaveExpert",CLASSFEATUREHEADERS,0),MATCH($A1869,CLASSNAMEHEADERS,0))),(INDEX(ALLCLASSDATA,MATCH("FortitudeSaveExpert",CLASSFEATUREHEADERS,0),MATCH(($A1869 &amp; "Points"),CLASSNAMEHEADERS,0))),(IF("11"=(INDEX(ALLCLASSDATA,MATCH("FortitudeSaveTrained",CLASSFEATUREHEADERS,0),MATCH($A1869,CLASSNAMEHEADERS,0))),(INDEX(ALLCLASSDATA,MATCH("FortitudeSaveTrained",CLASSFEATUREHEADERS,0),MATCH(($A1869 &amp; "Points"),CLASSNAMEHEADERS,0))),"")))))))))}</f>
        <v>FORTITUDEL11</v>
      </c>
      <c r="S1868" s="230"/>
      <c r="T1868" s="230" t="str">
        <f t="array" ref="T1868:T1869">{"FORTITUDEL13";((IF("13"=(INDEX(ALLCLASSDATA,MATCH("FortitudeSaveLegendary",CLASSFEATUREHEADERS,0),MATCH($A1869,CLASSNAMEHEADERS,0))),(INDEX(ALLCLASSDATA,MATCH("FortitudeSaveLegendary",CLASSFEATUREHEADERS,0),MATCH(($A1869 &amp; "Points"),CLASSNAMEHEADERS,0))),(IF("13"=(INDEX(ALLCLASSDATA,MATCH("FortitudeSaveMaster",CLASSFEATUREHEADERS,0),MATCH($A1869,CLASSNAMEHEADERS,0))),(INDEX(ALLCLASSDATA,MATCH("FortitudeSaveMaster",CLASSFEATUREHEADERS,0),MATCH(($A1869 &amp; "Points"),CLASSNAMEHEADERS,0))),(IF("13"=(INDEX(ALLCLASSDATA,MATCH("FortitudeSaveExpert",CLASSFEATUREHEADERS,0),MATCH($A1869,CLASSNAMEHEADERS,0))),(INDEX(ALLCLASSDATA,MATCH("FortitudeSaveExpert",CLASSFEATUREHEADERS,0),MATCH(($A1869 &amp; "Points"),CLASSNAMEHEADERS,0))),(IF("13"=(INDEX(ALLCLASSDATA,MATCH("FortitudeSaveTrained",CLASSFEATUREHEADERS,0),MATCH($A1869,CLASSNAMEHEADERS,0))),(INDEX(ALLCLASSDATA,MATCH("FortitudeSaveTrained",CLASSFEATUREHEADERS,0),MATCH(($A1869 &amp; "Points"),CLASSNAMEHEADERS,0))),"")))))))))}</f>
        <v>FORTITUDEL13</v>
      </c>
      <c r="U1868" s="230"/>
      <c r="V1868" s="230" t="str">
        <f t="array" ref="V1868:V1869">{"FORTITUDEL15";((IF("15"=(INDEX(ALLCLASSDATA,MATCH("FortitudeSaveLegendary",CLASSFEATUREHEADERS,0),MATCH($A1869,CLASSNAMEHEADERS,0))),(INDEX(ALLCLASSDATA,MATCH("FortitudeSaveLegendary",CLASSFEATUREHEADERS,0),MATCH(($A1869 &amp; "Points"),CLASSNAMEHEADERS,0))),(IF("15"=(INDEX(ALLCLASSDATA,MATCH("FortitudeSaveMaster",CLASSFEATUREHEADERS,0),MATCH($A1869,CLASSNAMEHEADERS,0))),(INDEX(ALLCLASSDATA,MATCH("FortitudeSaveMaster",CLASSFEATUREHEADERS,0),MATCH(($A1869 &amp; "Points"),CLASSNAMEHEADERS,0))),(IF("15"=(INDEX(ALLCLASSDATA,MATCH("FortitudeSaveExpert",CLASSFEATUREHEADERS,0),MATCH($A1869,CLASSNAMEHEADERS,0))),(INDEX(ALLCLASSDATA,MATCH("FortitudeSaveExpert",CLASSFEATUREHEADERS,0),MATCH(($A1869 &amp; "Points"),CLASSNAMEHEADERS,0))),(IF("15"=(INDEX(ALLCLASSDATA,MATCH("FortitudeSaveTrained",CLASSFEATUREHEADERS,0),MATCH($A1869,CLASSNAMEHEADERS,0))),(INDEX(ALLCLASSDATA,MATCH("FortitudeSaveTrained",CLASSFEATUREHEADERS,0),MATCH(($A1869 &amp; "Points"),CLASSNAMEHEADERS,0))),"")))))))))}</f>
        <v>FORTITUDEL15</v>
      </c>
      <c r="W1868" s="230"/>
      <c r="X1868" s="230" t="str">
        <f t="array" ref="X1868:X1869">{"FORTITUDEL17";((IF("17"=(INDEX(ALLCLASSDATA,MATCH("FortitudeSaveLegendary",CLASSFEATUREHEADERS,0),MATCH($A1869,CLASSNAMEHEADERS,0))),(INDEX(ALLCLASSDATA,MATCH("FortitudeSaveLegendary",CLASSFEATUREHEADERS,0),MATCH(($A1869 &amp; "Points"),CLASSNAMEHEADERS,0))),(IF("17"=(INDEX(ALLCLASSDATA,MATCH("FortitudeSaveMaster",CLASSFEATUREHEADERS,0),MATCH($A1869,CLASSNAMEHEADERS,0))),(INDEX(ALLCLASSDATA,MATCH("FortitudeSaveMaster",CLASSFEATUREHEADERS,0),MATCH(($A1869 &amp; "Points"),CLASSNAMEHEADERS,0))),(IF("17"=(INDEX(ALLCLASSDATA,MATCH("FortitudeSaveExpert",CLASSFEATUREHEADERS,0),MATCH($A1869,CLASSNAMEHEADERS,0))),(INDEX(ALLCLASSDATA,MATCH("FortitudeSaveExpert",CLASSFEATUREHEADERS,0),MATCH(($A1869 &amp; "Points"),CLASSNAMEHEADERS,0))),(IF("17"=(INDEX(ALLCLASSDATA,MATCH("FortitudeSaveTrained",CLASSFEATUREHEADERS,0),MATCH($A1869,CLASSNAMEHEADERS,0))),(INDEX(ALLCLASSDATA,MATCH("FortitudeSaveTrained",CLASSFEATUREHEADERS,0),MATCH(($A1869 &amp; "Points"),CLASSNAMEHEADERS,0))),"")))))))))}</f>
        <v>FORTITUDEL17</v>
      </c>
      <c r="Y1868" s="230"/>
      <c r="Z1868" s="230" t="str">
        <f t="array" ref="Z1868:Z1869">{"FORTITUDEL19";((IF("19"=(INDEX(ALLCLASSDATA,MATCH("FortitudeSaveLegendary",CLASSFEATUREHEADERS,0),MATCH($A1869,CLASSNAMEHEADERS,0))),(INDEX(ALLCLASSDATA,MATCH("FortitudeSaveLegendary",CLASSFEATUREHEADERS,0),MATCH(($A1869 &amp; "Points"),CLASSNAMEHEADERS,0))),(IF("19"=(INDEX(ALLCLASSDATA,MATCH("FortitudeSaveMaster",CLASSFEATUREHEADERS,0),MATCH($A1869,CLASSNAMEHEADERS,0))),(INDEX(ALLCLASSDATA,MATCH("FortitudeSaveMaster",CLASSFEATUREHEADERS,0),MATCH(($A1869 &amp; "Points"),CLASSNAMEHEADERS,0))),(IF("19"=(INDEX(ALLCLASSDATA,MATCH("FortitudeSaveExpert",CLASSFEATUREHEADERS,0),MATCH($A1869,CLASSNAMEHEADERS,0))),(INDEX(ALLCLASSDATA,MATCH("FortitudeSaveExpert",CLASSFEATUREHEADERS,0),MATCH(($A1869 &amp; "Points"),CLASSNAMEHEADERS,0))),(IF("19"=(INDEX(ALLCLASSDATA,MATCH("FortitudeSaveTrained",CLASSFEATUREHEADERS,0),MATCH($A1869,CLASSNAMEHEADERS,0))),(INDEX(ALLCLASSDATA,MATCH("FortitudeSaveTrained",CLASSFEATUREHEADERS,0),MATCH(($A1869 &amp; "Points"),CLASSNAMEHEADERS,0))),"")))))))))}</f>
        <v>FORTITUDEL19</v>
      </c>
      <c r="AA1868" s="230"/>
      <c r="AB1868" s="76" t="str">
        <f t="array" ref="AB1868:AB1869">{"FORTITUDE TOTAL";(IF(COUNTBLANK(G1869:AA1869)=17,"L",(IF(COUNTBLANK(G1869:AA1869)=18,"M",(IF(COUNTBLANK(G1869:AA1869)=19,"E",(IF(COUNTBLANK(G1869:AA1869)=20,"T",""))))))))}</f>
        <v>FORTITUDE TOTAL</v>
      </c>
      <c r="AC1868" s="76" t="str">
        <f t="array" ref="AC1868:AC1869">{"FORTITUDE TOTAL";(sum(G1869:AA1869))}</f>
        <v>FORTITUDE TOTAL</v>
      </c>
    </row>
    <row r="1869">
      <c r="A1869" s="48" t="s">
        <v>229</v>
      </c>
      <c r="B1869" s="48"/>
      <c r="C1869" s="48" t="s">
        <v>418</v>
      </c>
      <c r="D1869" s="48" t="s">
        <v>1549</v>
      </c>
      <c r="E1869" s="48" t="s">
        <v>1550</v>
      </c>
      <c r="F1869" s="5" t="s">
        <v>435</v>
      </c>
      <c r="G1869" s="47" t="s">
        <v>603</v>
      </c>
      <c r="H1869" s="5">
        <v>10.0</v>
      </c>
      <c r="I1869" s="5"/>
      <c r="J1869" s="5" t="s">
        <v>603</v>
      </c>
      <c r="K1869" s="5"/>
      <c r="L1869" s="5" t="s">
        <v>603</v>
      </c>
      <c r="M1869" s="5"/>
      <c r="N1869" s="5" t="s">
        <v>603</v>
      </c>
      <c r="O1869" s="5"/>
      <c r="P1869" s="5">
        <v>50.0</v>
      </c>
      <c r="Q1869" s="5"/>
      <c r="R1869" s="5" t="s">
        <v>603</v>
      </c>
      <c r="S1869" s="5"/>
      <c r="T1869" s="5" t="s">
        <v>603</v>
      </c>
      <c r="U1869" s="5"/>
      <c r="V1869" s="5" t="s">
        <v>603</v>
      </c>
      <c r="W1869" s="5"/>
      <c r="X1869" s="5" t="s">
        <v>603</v>
      </c>
      <c r="Y1869" s="5"/>
      <c r="Z1869" s="5" t="s">
        <v>603</v>
      </c>
      <c r="AA1869" s="5"/>
      <c r="AB1869" s="5" t="s">
        <v>436</v>
      </c>
      <c r="AC1869" s="47">
        <v>60.0</v>
      </c>
    </row>
    <row r="1870" hidden="1">
      <c r="A1870" s="222" t="str">
        <f t="array" ref="A1870:A1871">{"FormulaRow24";(INDEX(CLASSLIST,A1823,1))}</f>
        <v>FormulaRow24</v>
      </c>
      <c r="B1870" s="77" t="s">
        <v>236</v>
      </c>
      <c r="C1870" s="222" t="str">
        <f t="array" ref="C1870:C1871">{"CLASSTYPE";((INDEX(ALLCLASSDATA,MATCH("ClassType",CLASSFEATUREHEADERS,0),MATCH($A1871,CLASSNAMEHEADERS,0))))}</f>
        <v>CLASSTYPE</v>
      </c>
      <c r="D1870" s="222" t="str">
        <f t="array" ref="D1870:D1871">{"SAVES";"Saves"}</f>
        <v>SAVES</v>
      </c>
      <c r="E1870" s="222" t="str">
        <f t="array" ref="E1870:E1871">{"REFLEXSAVE";"ReflexSave"}</f>
        <v>REFLEXSAVE</v>
      </c>
      <c r="F1870" s="223" t="str">
        <f t="array" ref="F1870:F1871">{"REFLEXINITIAL";((IF(H1871=10,"T",(IF(H1871=50,"E","")))))}</f>
        <v>REFLEXINITIAL</v>
      </c>
      <c r="G1870" s="223" t="str">
        <f t="array" ref="G1870:G1871">{"REFLEXINITIALPTS";((IF("00"=(INDEX(ALLCLASSDATA,MATCH("ReflexSaveLegendary",CLASSFEATUREHEADERS,0),MATCH($A1871,CLASSNAMEHEADERS,0))),(INDEX(ALLCLASSDATA,MATCH("ReflexSaveLegendary",CLASSFEATUREHEADERS,0),MATCH(($A1871 &amp; "Points"),CLASSNAMEHEADERS,0))),(IF("00"=(INDEX(ALLCLASSDATA,MATCH("ReflexSaveMaster",CLASSFEATUREHEADERS,0),MATCH($A1871,CLASSNAMEHEADERS,0))),(INDEX(ALLCLASSDATA,MATCH("ReflexSaveMaster",CLASSFEATUREHEADERS,0),MATCH(($A1871 &amp; "Points"),CLASSNAMEHEADERS,0))),(IF("00"=(INDEX(ALLCLASSDATA,MATCH("ReflexSaveExpert",CLASSFEATUREHEADERS,0),MATCH($A1871,CLASSNAMEHEADERS,0))),(INDEX(ALLCLASSDATA,MATCH("ReflexSaveExpert",CLASSFEATUREHEADERS,0),MATCH(($A1871 &amp; "Points"),CLASSNAMEHEADERS,0))),(IF("00"=(INDEX(ALLCLASSDATA,MATCH("ReflexSaveTrained",CLASSFEATUREHEADERS,0),MATCH($A1871,CLASSNAMEHEADERS,0))),(INDEX(ALLCLASSDATA,MATCH("ReflexSaveTrained",CLASSFEATUREHEADERS,0),MATCH(($A1871 &amp; "Points"),CLASSNAMEHEADERS,0))),"")))))))))}</f>
        <v>REFLEXINITIALPTS</v>
      </c>
      <c r="H1870" s="223" t="str">
        <f t="array" ref="H1870:H1871">{"REFLEXL01";((IF("01"=(INDEX(ALLCLASSDATA,MATCH("ReflexSaveLegendary",CLASSFEATUREHEADERS,0),MATCH($A1871,CLASSNAMEHEADERS,0))),(INDEX(ALLCLASSDATA,MATCH("ReflexSaveLegendary",CLASSFEATUREHEADERS,0),MATCH(($A1871 &amp; "Points"),CLASSNAMEHEADERS,0))),(IF("01"=(INDEX(ALLCLASSDATA,MATCH("ReflexSaveMaster",CLASSFEATUREHEADERS,0),MATCH($A1871,CLASSNAMEHEADERS,0))),(INDEX(ALLCLASSDATA,MATCH("ReflexSaveMaster",CLASSFEATUREHEADERS,0),MATCH(($A1871 &amp; "Points"),CLASSNAMEHEADERS,0))),(IF("01"=(INDEX(ALLCLASSDATA,MATCH("ReflexSaveExpert",CLASSFEATUREHEADERS,0),MATCH($A1871,CLASSNAMEHEADERS,0))),(INDEX(ALLCLASSDATA,MATCH("ReflexSaveExpert",CLASSFEATUREHEADERS,0),MATCH(($A1871 &amp; "Points"),CLASSNAMEHEADERS,0))),(IF("01"=(INDEX(ALLCLASSDATA,MATCH("ReflexSaveTrained",CLASSFEATUREHEADERS,0),MATCH($A1871,CLASSNAMEHEADERS,0))),(INDEX(ALLCLASSDATA,MATCH("ReflexSaveTrained",CLASSFEATUREHEADERS,0),MATCH(($A1871 &amp; "Points"),CLASSNAMEHEADERS,0))),"")))))))))}</f>
        <v>REFLEXL01</v>
      </c>
      <c r="I1870" s="223"/>
      <c r="J1870" s="223" t="str">
        <f t="array" ref="J1870:J1871">{"REFLEXL03";((IF("03"=(INDEX(ALLCLASSDATA,MATCH("ReflexSaveLegendary",CLASSFEATUREHEADERS,0),MATCH($A1871,CLASSNAMEHEADERS,0))),(INDEX(ALLCLASSDATA,MATCH("ReflexSaveLegendary",CLASSFEATUREHEADERS,0),MATCH(($A1871 &amp; "Points"),CLASSNAMEHEADERS,0))),(IF("03"=(INDEX(ALLCLASSDATA,MATCH("ReflexSaveMaster",CLASSFEATUREHEADERS,0),MATCH($A1871,CLASSNAMEHEADERS,0))),(INDEX(ALLCLASSDATA,MATCH("ReflexSaveMaster",CLASSFEATUREHEADERS,0),MATCH(($A1871 &amp; "Points"),CLASSNAMEHEADERS,0))),(IF("03"=(INDEX(ALLCLASSDATA,MATCH("ReflexSaveExpert",CLASSFEATUREHEADERS,0),MATCH($A1871,CLASSNAMEHEADERS,0))),(INDEX(ALLCLASSDATA,MATCH("ReflexSaveExpert",CLASSFEATUREHEADERS,0),MATCH(($A1871 &amp; "Points"),CLASSNAMEHEADERS,0))),(IF("03"=(INDEX(ALLCLASSDATA,MATCH("ReflexSaveTrained",CLASSFEATUREHEADERS,0),MATCH($A1871,CLASSNAMEHEADERS,0))),(INDEX(ALLCLASSDATA,MATCH("ReflexSaveTrained",CLASSFEATUREHEADERS,0),MATCH(($A1871 &amp; "Points"),CLASSNAMEHEADERS,0))),"")))))))))}</f>
        <v>REFLEXL03</v>
      </c>
      <c r="K1870" s="223"/>
      <c r="L1870" s="223" t="str">
        <f t="array" ref="L1870:L1871">{"REFLEXL05";((IF("05"=(INDEX(ALLCLASSDATA,MATCH("ReflexSaveLegendary",CLASSFEATUREHEADERS,0),MATCH($A1871,CLASSNAMEHEADERS,0))),(INDEX(ALLCLASSDATA,MATCH("ReflexSaveLegendary",CLASSFEATUREHEADERS,0),MATCH(($A1871 &amp; "Points"),CLASSNAMEHEADERS,0))),(IF("05"=(INDEX(ALLCLASSDATA,MATCH("ReflexSaveMaster",CLASSFEATUREHEADERS,0),MATCH($A1871,CLASSNAMEHEADERS,0))),(INDEX(ALLCLASSDATA,MATCH("ReflexSaveMaster",CLASSFEATUREHEADERS,0),MATCH(($A1871 &amp; "Points"),CLASSNAMEHEADERS,0))),(IF("05"=(INDEX(ALLCLASSDATA,MATCH("ReflexSaveExpert",CLASSFEATUREHEADERS,0),MATCH($A1871,CLASSNAMEHEADERS,0))),(INDEX(ALLCLASSDATA,MATCH("ReflexSaveExpert",CLASSFEATUREHEADERS,0),MATCH(($A1871 &amp; "Points"),CLASSNAMEHEADERS,0))),(IF("05"=(INDEX(ALLCLASSDATA,MATCH("ReflexSaveTrained",CLASSFEATUREHEADERS,0),MATCH($A1871,CLASSNAMEHEADERS,0))),(INDEX(ALLCLASSDATA,MATCH("ReflexSaveTrained",CLASSFEATUREHEADERS,0),MATCH(($A1871 &amp; "Points"),CLASSNAMEHEADERS,0))),"")))))))))}</f>
        <v>REFLEXL05</v>
      </c>
      <c r="M1870" s="223"/>
      <c r="N1870" s="223" t="str">
        <f t="array" ref="N1870:N1871">{"REFLEXL07";((IF("07"=(INDEX(ALLCLASSDATA,MATCH("ReflexSaveLegendary",CLASSFEATUREHEADERS,0),MATCH($A1871,CLASSNAMEHEADERS,0))),(INDEX(ALLCLASSDATA,MATCH("ReflexSaveLegendary",CLASSFEATUREHEADERS,0),MATCH(($A1871 &amp; "Points"),CLASSNAMEHEADERS,0))),(IF("07"=(INDEX(ALLCLASSDATA,MATCH("ReflexSaveMaster",CLASSFEATUREHEADERS,0),MATCH($A1871,CLASSNAMEHEADERS,0))),(INDEX(ALLCLASSDATA,MATCH("ReflexSaveMaster",CLASSFEATUREHEADERS,0),MATCH(($A1871 &amp; "Points"),CLASSNAMEHEADERS,0))),(IF("07"=(INDEX(ALLCLASSDATA,MATCH("ReflexSaveExpert",CLASSFEATUREHEADERS,0),MATCH($A1871,CLASSNAMEHEADERS,0))),(INDEX(ALLCLASSDATA,MATCH("ReflexSaveExpert",CLASSFEATUREHEADERS,0),MATCH(($A1871 &amp; "Points"),CLASSNAMEHEADERS,0))),(IF("07"=(INDEX(ALLCLASSDATA,MATCH("ReflexSaveTrained",CLASSFEATUREHEADERS,0),MATCH($A1871,CLASSNAMEHEADERS,0))),(INDEX(ALLCLASSDATA,MATCH("ReflexSaveTrained",CLASSFEATUREHEADERS,0),MATCH(($A1871 &amp; "Points"),CLASSNAMEHEADERS,0))),"")))))))))}</f>
        <v>REFLEXL07</v>
      </c>
      <c r="O1870" s="223"/>
      <c r="P1870" s="223" t="str">
        <f t="array" ref="P1870:P1871">{"REFLEXL09";((IF("09"=(INDEX(ALLCLASSDATA,MATCH("ReflexSaveLegendary",CLASSFEATUREHEADERS,0),MATCH($A1871,CLASSNAMEHEADERS,0))),(INDEX(ALLCLASSDATA,MATCH("ReflexSaveLegendary",CLASSFEATUREHEADERS,0),MATCH(($A1871 &amp; "Points"),CLASSNAMEHEADERS,0))),(IF("09"=(INDEX(ALLCLASSDATA,MATCH("ReflexSaveMaster",CLASSFEATUREHEADERS,0),MATCH($A1871,CLASSNAMEHEADERS,0))),(INDEX(ALLCLASSDATA,MATCH("ReflexSaveMaster",CLASSFEATUREHEADERS,0),MATCH(($A1871 &amp; "Points"),CLASSNAMEHEADERS,0))),(IF("09"=(INDEX(ALLCLASSDATA,MATCH("ReflexSaveExpert",CLASSFEATUREHEADERS,0),MATCH($A1871,CLASSNAMEHEADERS,0))),(INDEX(ALLCLASSDATA,MATCH("ReflexSaveExpert",CLASSFEATUREHEADERS,0),MATCH(($A1871 &amp; "Points"),CLASSNAMEHEADERS,0))),(IF("09"=(INDEX(ALLCLASSDATA,MATCH("ReflexSaveTrained",CLASSFEATUREHEADERS,0),MATCH($A1871,CLASSNAMEHEADERS,0))),(INDEX(ALLCLASSDATA,MATCH("ReflexSaveTrained",CLASSFEATUREHEADERS,0),MATCH(($A1871 &amp; "Points"),CLASSNAMEHEADERS,0))),"")))))))))}</f>
        <v>REFLEXL09</v>
      </c>
      <c r="Q1870" s="223"/>
      <c r="R1870" s="223" t="str">
        <f t="array" ref="R1870:R1871">{"REFLEXL11";((IF("11"=(INDEX(ALLCLASSDATA,MATCH("ReflexSaveLegendary",CLASSFEATUREHEADERS,0),MATCH($A1871,CLASSNAMEHEADERS,0))),(INDEX(ALLCLASSDATA,MATCH("ReflexSaveLegendary",CLASSFEATUREHEADERS,0),MATCH(($A1871 &amp; "Points"),CLASSNAMEHEADERS,0))),(IF("11"=(INDEX(ALLCLASSDATA,MATCH("ReflexSaveMaster",CLASSFEATUREHEADERS,0),MATCH($A1871,CLASSNAMEHEADERS,0))),(INDEX(ALLCLASSDATA,MATCH("ReflexSaveMaster",CLASSFEATUREHEADERS,0),MATCH(($A1871 &amp; "Points"),CLASSNAMEHEADERS,0))),(IF("11"=(INDEX(ALLCLASSDATA,MATCH("ReflexSaveExpert",CLASSFEATUREHEADERS,0),MATCH($A1871,CLASSNAMEHEADERS,0))),(INDEX(ALLCLASSDATA,MATCH("ReflexSaveExpert",CLASSFEATUREHEADERS,0),MATCH(($A1871 &amp; "Points"),CLASSNAMEHEADERS,0))),(IF("11"=(INDEX(ALLCLASSDATA,MATCH("ReflexSaveTrained",CLASSFEATUREHEADERS,0),MATCH($A1871,CLASSNAMEHEADERS,0))),(INDEX(ALLCLASSDATA,MATCH("ReflexSaveTrained",CLASSFEATUREHEADERS,0),MATCH(($A1871 &amp; "Points"),CLASSNAMEHEADERS,0))),"")))))))))}</f>
        <v>REFLEXL11</v>
      </c>
      <c r="S1870" s="223"/>
      <c r="T1870" s="223" t="str">
        <f t="array" ref="T1870:T1871">{"REFLEXL13";((IF("13"=(INDEX(ALLCLASSDATA,MATCH("ReflexSaveLegendary",CLASSFEATUREHEADERS,0),MATCH($A1871,CLASSNAMEHEADERS,0))),(INDEX(ALLCLASSDATA,MATCH("ReflexSaveLegendary",CLASSFEATUREHEADERS,0),MATCH(($A1871 &amp; "Points"),CLASSNAMEHEADERS,0))),(IF("13"=(INDEX(ALLCLASSDATA,MATCH("ReflexSaveMaster",CLASSFEATUREHEADERS,0),MATCH($A1871,CLASSNAMEHEADERS,0))),(INDEX(ALLCLASSDATA,MATCH("ReflexSaveMaster",CLASSFEATUREHEADERS,0),MATCH(($A1871 &amp; "Points"),CLASSNAMEHEADERS,0))),(IF("13"=(INDEX(ALLCLASSDATA,MATCH("ReflexSaveExpert",CLASSFEATUREHEADERS,0),MATCH($A1871,CLASSNAMEHEADERS,0))),(INDEX(ALLCLASSDATA,MATCH("ReflexSaveExpert",CLASSFEATUREHEADERS,0),MATCH(($A1871 &amp; "Points"),CLASSNAMEHEADERS,0))),(IF("13"=(INDEX(ALLCLASSDATA,MATCH("ReflexSaveTrained",CLASSFEATUREHEADERS,0),MATCH($A1871,CLASSNAMEHEADERS,0))),(INDEX(ALLCLASSDATA,MATCH("ReflexSaveTrained",CLASSFEATUREHEADERS,0),MATCH(($A1871 &amp; "Points"),CLASSNAMEHEADERS,0))),"")))))))))}</f>
        <v>REFLEXL13</v>
      </c>
      <c r="U1870" s="223"/>
      <c r="V1870" s="223" t="str">
        <f t="array" ref="V1870:V1871">{"REFLEXL15";((IF("15"=(INDEX(ALLCLASSDATA,MATCH("ReflexSaveLegendary",CLASSFEATUREHEADERS,0),MATCH($A1871,CLASSNAMEHEADERS,0))),(INDEX(ALLCLASSDATA,MATCH("ReflexSaveLegendary",CLASSFEATUREHEADERS,0),MATCH(($A1871 &amp; "Points"),CLASSNAMEHEADERS,0))),(IF("15"=(INDEX(ALLCLASSDATA,MATCH("ReflexSaveMaster",CLASSFEATUREHEADERS,0),MATCH($A1871,CLASSNAMEHEADERS,0))),(INDEX(ALLCLASSDATA,MATCH("ReflexSaveMaster",CLASSFEATUREHEADERS,0),MATCH(($A1871 &amp; "Points"),CLASSNAMEHEADERS,0))),(IF("15"=(INDEX(ALLCLASSDATA,MATCH("ReflexSaveExpert",CLASSFEATUREHEADERS,0),MATCH($A1871,CLASSNAMEHEADERS,0))),(INDEX(ALLCLASSDATA,MATCH("ReflexSaveExpert",CLASSFEATUREHEADERS,0),MATCH(($A1871 &amp; "Points"),CLASSNAMEHEADERS,0))),(IF("15"=(INDEX(ALLCLASSDATA,MATCH("ReflexSaveTrained",CLASSFEATUREHEADERS,0),MATCH($A1871,CLASSNAMEHEADERS,0))),(INDEX(ALLCLASSDATA,MATCH("ReflexSaveTrained",CLASSFEATUREHEADERS,0),MATCH(($A1871 &amp; "Points"),CLASSNAMEHEADERS,0))),"")))))))))}</f>
        <v>REFLEXL15</v>
      </c>
      <c r="W1870" s="223"/>
      <c r="X1870" s="223" t="str">
        <f t="array" ref="X1870:X1871">{"REFLEXL17";((IF("17"=(INDEX(ALLCLASSDATA,MATCH("ReflexSaveLegendary",CLASSFEATUREHEADERS,0),MATCH($A1871,CLASSNAMEHEADERS,0))),(INDEX(ALLCLASSDATA,MATCH("ReflexSaveLegendary",CLASSFEATUREHEADERS,0),MATCH(($A1871 &amp; "Points"),CLASSNAMEHEADERS,0))),(IF("17"=(INDEX(ALLCLASSDATA,MATCH("ReflexSaveMaster",CLASSFEATUREHEADERS,0),MATCH($A1871,CLASSNAMEHEADERS,0))),(INDEX(ALLCLASSDATA,MATCH("ReflexSaveMaster",CLASSFEATUREHEADERS,0),MATCH(($A1871 &amp; "Points"),CLASSNAMEHEADERS,0))),(IF("17"=(INDEX(ALLCLASSDATA,MATCH("ReflexSaveExpert",CLASSFEATUREHEADERS,0),MATCH($A1871,CLASSNAMEHEADERS,0))),(INDEX(ALLCLASSDATA,MATCH("ReflexSaveExpert",CLASSFEATUREHEADERS,0),MATCH(($A1871 &amp; "Points"),CLASSNAMEHEADERS,0))),(IF("17"=(INDEX(ALLCLASSDATA,MATCH("ReflexSaveTrained",CLASSFEATUREHEADERS,0),MATCH($A1871,CLASSNAMEHEADERS,0))),(INDEX(ALLCLASSDATA,MATCH("ReflexSaveTrained",CLASSFEATUREHEADERS,0),MATCH(($A1871 &amp; "Points"),CLASSNAMEHEADERS,0))),"")))))))))}</f>
        <v>REFLEXL17</v>
      </c>
      <c r="Y1870" s="223"/>
      <c r="Z1870" s="223" t="str">
        <f t="array" ref="Z1870:Z1871">{"REFLEXL19";((IF("19"=(INDEX(ALLCLASSDATA,MATCH("ReflexSaveLegendary",CLASSFEATUREHEADERS,0),MATCH($A1871,CLASSNAMEHEADERS,0))),(INDEX(ALLCLASSDATA,MATCH("ReflexSaveLegendary",CLASSFEATUREHEADERS,0),MATCH(($A1871 &amp; "Points"),CLASSNAMEHEADERS,0))),(IF("19"=(INDEX(ALLCLASSDATA,MATCH("ReflexSaveMaster",CLASSFEATUREHEADERS,0),MATCH($A1871,CLASSNAMEHEADERS,0))),(INDEX(ALLCLASSDATA,MATCH("ReflexSaveMaster",CLASSFEATUREHEADERS,0),MATCH(($A1871 &amp; "Points"),CLASSNAMEHEADERS,0))),(IF("19"=(INDEX(ALLCLASSDATA,MATCH("ReflexSaveExpert",CLASSFEATUREHEADERS,0),MATCH($A1871,CLASSNAMEHEADERS,0))),(INDEX(ALLCLASSDATA,MATCH("ReflexSaveExpert",CLASSFEATUREHEADERS,0),MATCH(($A1871 &amp; "Points"),CLASSNAMEHEADERS,0))),(IF("19"=(INDEX(ALLCLASSDATA,MATCH("ReflexSaveTrained",CLASSFEATUREHEADERS,0),MATCH($A1871,CLASSNAMEHEADERS,0))),(INDEX(ALLCLASSDATA,MATCH("ReflexSaveTrained",CLASSFEATUREHEADERS,0),MATCH(($A1871 &amp; "Points"),CLASSNAMEHEADERS,0))),"")))))))))}</f>
        <v>REFLEXL19</v>
      </c>
      <c r="AA1870" s="223"/>
      <c r="AB1870" s="76" t="str">
        <f t="array" ref="AB1870:AB1871">{"REFLEX TOTAL";(IF(COUNTBLANK(G1871:AA1871)=17,"L",(IF(COUNTBLANK(G1871:AA1871)=18,"M",(IF(COUNTBLANK(G1871:AA1871)=19,"E",(IF(COUNTBLANK(G1871:AA1871)=20,"T",""))))))))}</f>
        <v>REFLEX TOTAL</v>
      </c>
      <c r="AC1870" s="76" t="str">
        <f t="array" ref="AC1870:AC1871">{"REFLEX TOTAL";(sum(G1871:AA1871))}</f>
        <v>REFLEX TOTAL</v>
      </c>
    </row>
    <row r="1871">
      <c r="A1871" s="48" t="s">
        <v>229</v>
      </c>
      <c r="B1871" s="48"/>
      <c r="C1871" s="48" t="s">
        <v>418</v>
      </c>
      <c r="D1871" s="48" t="s">
        <v>1549</v>
      </c>
      <c r="E1871" s="48" t="s">
        <v>1572</v>
      </c>
      <c r="F1871" s="5" t="s">
        <v>435</v>
      </c>
      <c r="G1871" s="47" t="s">
        <v>603</v>
      </c>
      <c r="H1871" s="5">
        <v>10.0</v>
      </c>
      <c r="I1871" s="5"/>
      <c r="J1871" s="5" t="s">
        <v>603</v>
      </c>
      <c r="K1871" s="5"/>
      <c r="L1871" s="5">
        <v>50.0</v>
      </c>
      <c r="M1871" s="5"/>
      <c r="N1871" s="5" t="s">
        <v>603</v>
      </c>
      <c r="O1871" s="5"/>
      <c r="P1871" s="5" t="s">
        <v>603</v>
      </c>
      <c r="Q1871" s="5"/>
      <c r="R1871" s="5" t="s">
        <v>603</v>
      </c>
      <c r="S1871" s="5"/>
      <c r="T1871" s="5" t="s">
        <v>603</v>
      </c>
      <c r="U1871" s="5"/>
      <c r="V1871" s="5" t="s">
        <v>603</v>
      </c>
      <c r="W1871" s="5"/>
      <c r="X1871" s="5" t="s">
        <v>603</v>
      </c>
      <c r="Y1871" s="5"/>
      <c r="Z1871" s="5" t="s">
        <v>603</v>
      </c>
      <c r="AA1871" s="5"/>
      <c r="AB1871" s="5" t="s">
        <v>436</v>
      </c>
      <c r="AC1871" s="47">
        <v>60.0</v>
      </c>
    </row>
    <row r="1872" hidden="1">
      <c r="A1872" s="222" t="str">
        <f t="array" ref="A1872:A1873">{"FormulaRow25";(INDEX(CLASSLIST,A1823,1))}</f>
        <v>FormulaRow25</v>
      </c>
      <c r="B1872" s="77" t="s">
        <v>236</v>
      </c>
      <c r="C1872" s="222" t="str">
        <f t="array" ref="C1872:C1873">{"CLASSTYPE";((INDEX(ALLCLASSDATA,MATCH("ClassType",CLASSFEATUREHEADERS,0),MATCH($A1873,CLASSNAMEHEADERS,0))))}</f>
        <v>CLASSTYPE</v>
      </c>
      <c r="D1872" s="222" t="str">
        <f t="array" ref="D1872:D1873">{"SAVES";"Saves"}</f>
        <v>SAVES</v>
      </c>
      <c r="E1872" s="222" t="str">
        <f t="array" ref="E1872:E1873">{"WILLSAVE";"WillSave"}</f>
        <v>WILLSAVE</v>
      </c>
      <c r="F1872" s="223" t="str">
        <f t="array" ref="F1872:F1873">{"WILLINITIAL";((IF(H1873=10,"T",(IF(H1873=50,"E","")))))}</f>
        <v>WILLINITIAL</v>
      </c>
      <c r="G1872" s="223" t="str">
        <f t="array" ref="G1872:G1873">{"WILLINITIALPTS";((IF("00"=(INDEX(ALLCLASSDATA,MATCH("WillSaveLegendary",CLASSFEATUREHEADERS,0),MATCH($A1873,CLASSNAMEHEADERS,0))),(INDEX(ALLCLASSDATA,MATCH("WillSaveLegendary",CLASSFEATUREHEADERS,0),MATCH(($A1873 &amp; "Points"),CLASSNAMEHEADERS,0))),(IF("00"=(INDEX(ALLCLASSDATA,MATCH("WillSaveMaster",CLASSFEATUREHEADERS,0),MATCH($A1873,CLASSNAMEHEADERS,0))),(INDEX(ALLCLASSDATA,MATCH("WillSaveMaster",CLASSFEATUREHEADERS,0),MATCH(($A1873 &amp; "Points"),CLASSNAMEHEADERS,0))),(IF("00"=(INDEX(ALLCLASSDATA,MATCH("WillSaveExpert",CLASSFEATUREHEADERS,0),MATCH($A1873,CLASSNAMEHEADERS,0))),(INDEX(ALLCLASSDATA,MATCH("WillSaveExpert",CLASSFEATUREHEADERS,0),MATCH(($A1873 &amp; "Points"),CLASSNAMEHEADERS,0))),(IF("00"=(INDEX(ALLCLASSDATA,MATCH("WillSaveTrained",CLASSFEATUREHEADERS,0),MATCH($A1873,CLASSNAMEHEADERS,0))),(INDEX(ALLCLASSDATA,MATCH("WillSaveTrained",CLASSFEATUREHEADERS,0),MATCH(($A1873 &amp; "Points"),CLASSNAMEHEADERS,0))),"")))))))))}</f>
        <v>WILLINITIALPTS</v>
      </c>
      <c r="H1872" s="223" t="str">
        <f t="array" ref="H1872:H1873">{"WILLL01";((IF("01"=(INDEX(ALLCLASSDATA,MATCH("WillSaveLegendary",CLASSFEATUREHEADERS,0),MATCH($A1873,CLASSNAMEHEADERS,0))),(INDEX(ALLCLASSDATA,MATCH("WillSaveLegendary",CLASSFEATUREHEADERS,0),MATCH(($A1873 &amp; "Points"),CLASSNAMEHEADERS,0))),(IF("01"=(INDEX(ALLCLASSDATA,MATCH("WillSaveMaster",CLASSFEATUREHEADERS,0),MATCH($A1873,CLASSNAMEHEADERS,0))),(INDEX(ALLCLASSDATA,MATCH("WillSaveMaster",CLASSFEATUREHEADERS,0),MATCH(($A1873 &amp; "Points"),CLASSNAMEHEADERS,0))),(IF("01"=(INDEX(ALLCLASSDATA,MATCH("WillSaveExpert",CLASSFEATUREHEADERS,0),MATCH($A1873,CLASSNAMEHEADERS,0))),(INDEX(ALLCLASSDATA,MATCH("WillSaveExpert",CLASSFEATUREHEADERS,0),MATCH(($A1873 &amp; "Points"),CLASSNAMEHEADERS,0))),(IF("01"=(INDEX(ALLCLASSDATA,MATCH("WillSaveTrained",CLASSFEATUREHEADERS,0),MATCH($A1873,CLASSNAMEHEADERS,0))),(INDEX(ALLCLASSDATA,MATCH("WillSaveTrained",CLASSFEATUREHEADERS,0),MATCH(($A1873 &amp; "Points"),CLASSNAMEHEADERS,0))),"")))))))))}</f>
        <v>WILLL01</v>
      </c>
      <c r="I1872" s="223"/>
      <c r="J1872" s="223" t="str">
        <f t="array" ref="J1872:J1873">{"WILLL03";((IF("03"=(INDEX(ALLCLASSDATA,MATCH("WillSaveLegendary",CLASSFEATUREHEADERS,0),MATCH($A1873,CLASSNAMEHEADERS,0))),(INDEX(ALLCLASSDATA,MATCH("WillSaveLegendary",CLASSFEATUREHEADERS,0),MATCH(($A1873 &amp; "Points"),CLASSNAMEHEADERS,0))),(IF("03"=(INDEX(ALLCLASSDATA,MATCH("WillSaveMaster",CLASSFEATUREHEADERS,0),MATCH($A1873,CLASSNAMEHEADERS,0))),(INDEX(ALLCLASSDATA,MATCH("WillSaveMaster",CLASSFEATUREHEADERS,0),MATCH(($A1873 &amp; "Points"),CLASSNAMEHEADERS,0))),(IF("03"=(INDEX(ALLCLASSDATA,MATCH("WillSaveExpert",CLASSFEATUREHEADERS,0),MATCH($A1873,CLASSNAMEHEADERS,0))),(INDEX(ALLCLASSDATA,MATCH("WillSaveExpert",CLASSFEATUREHEADERS,0),MATCH(($A1873 &amp; "Points"),CLASSNAMEHEADERS,0))),(IF("03"=(INDEX(ALLCLASSDATA,MATCH("WillSaveTrained",CLASSFEATUREHEADERS,0),MATCH($A1873,CLASSNAMEHEADERS,0))),(INDEX(ALLCLASSDATA,MATCH("WillSaveTrained",CLASSFEATUREHEADERS,0),MATCH(($A1873 &amp; "Points"),CLASSNAMEHEADERS,0))),"")))))))))}</f>
        <v>WILLL03</v>
      </c>
      <c r="K1872" s="223"/>
      <c r="L1872" s="223" t="str">
        <f t="array" ref="L1872:L1873">{"WILLL05";((IF("05"=(INDEX(ALLCLASSDATA,MATCH("WillSaveLegendary",CLASSFEATUREHEADERS,0),MATCH($A1873,CLASSNAMEHEADERS,0))),(INDEX(ALLCLASSDATA,MATCH("WillSaveLegendary",CLASSFEATUREHEADERS,0),MATCH(($A1873 &amp; "Points"),CLASSNAMEHEADERS,0))),(IF("05"=(INDEX(ALLCLASSDATA,MATCH("WillSaveMaster",CLASSFEATUREHEADERS,0),MATCH($A1873,CLASSNAMEHEADERS,0))),(INDEX(ALLCLASSDATA,MATCH("WillSaveMaster",CLASSFEATUREHEADERS,0),MATCH(($A1873 &amp; "Points"),CLASSNAMEHEADERS,0))),(IF("05"=(INDEX(ALLCLASSDATA,MATCH("WillSaveExpert",CLASSFEATUREHEADERS,0),MATCH($A1873,CLASSNAMEHEADERS,0))),(INDEX(ALLCLASSDATA,MATCH("WillSaveExpert",CLASSFEATUREHEADERS,0),MATCH(($A1873 &amp; "Points"),CLASSNAMEHEADERS,0))),(IF("05"=(INDEX(ALLCLASSDATA,MATCH("WillSaveTrained",CLASSFEATUREHEADERS,0),MATCH($A1873,CLASSNAMEHEADERS,0))),(INDEX(ALLCLASSDATA,MATCH("WillSaveTrained",CLASSFEATUREHEADERS,0),MATCH(($A1873 &amp; "Points"),CLASSNAMEHEADERS,0))),"")))))))))}</f>
        <v>WILLL05</v>
      </c>
      <c r="M1872" s="223"/>
      <c r="N1872" s="223" t="str">
        <f t="array" ref="N1872:N1873">{"WILLL07";((IF("07"=(INDEX(ALLCLASSDATA,MATCH("WillSaveLegendary",CLASSFEATUREHEADERS,0),MATCH($A1873,CLASSNAMEHEADERS,0))),(INDEX(ALLCLASSDATA,MATCH("WillSaveLegendary",CLASSFEATUREHEADERS,0),MATCH(($A1873 &amp; "Points"),CLASSNAMEHEADERS,0))),(IF("07"=(INDEX(ALLCLASSDATA,MATCH("WillSaveMaster",CLASSFEATUREHEADERS,0),MATCH($A1873,CLASSNAMEHEADERS,0))),(INDEX(ALLCLASSDATA,MATCH("WillSaveMaster",CLASSFEATUREHEADERS,0),MATCH(($A1873 &amp; "Points"),CLASSNAMEHEADERS,0))),(IF("07"=(INDEX(ALLCLASSDATA,MATCH("WillSaveExpert",CLASSFEATUREHEADERS,0),MATCH($A1873,CLASSNAMEHEADERS,0))),(INDEX(ALLCLASSDATA,MATCH("WillSaveExpert",CLASSFEATUREHEADERS,0),MATCH(($A1873 &amp; "Points"),CLASSNAMEHEADERS,0))),(IF("07"=(INDEX(ALLCLASSDATA,MATCH("WillSaveTrained",CLASSFEATUREHEADERS,0),MATCH($A1873,CLASSNAMEHEADERS,0))),(INDEX(ALLCLASSDATA,MATCH("WillSaveTrained",CLASSFEATUREHEADERS,0),MATCH(($A1873 &amp; "Points"),CLASSNAMEHEADERS,0))),"")))))))))}</f>
        <v>WILLL07</v>
      </c>
      <c r="O1872" s="223"/>
      <c r="P1872" s="223" t="str">
        <f t="array" ref="P1872:P1873">{"WILLL09";((IF("09"=(INDEX(ALLCLASSDATA,MATCH("WillSaveLegendary",CLASSFEATUREHEADERS,0),MATCH($A1873,CLASSNAMEHEADERS,0))),(INDEX(ALLCLASSDATA,MATCH("WillSaveLegendary",CLASSFEATUREHEADERS,0),MATCH(($A1873 &amp; "Points"),CLASSNAMEHEADERS,0))),(IF("09"=(INDEX(ALLCLASSDATA,MATCH("WillSaveMaster",CLASSFEATUREHEADERS,0),MATCH($A1873,CLASSNAMEHEADERS,0))),(INDEX(ALLCLASSDATA,MATCH("WillSaveMaster",CLASSFEATUREHEADERS,0),MATCH(($A1873 &amp; "Points"),CLASSNAMEHEADERS,0))),(IF("09"=(INDEX(ALLCLASSDATA,MATCH("WillSaveExpert",CLASSFEATUREHEADERS,0),MATCH($A1873,CLASSNAMEHEADERS,0))),(INDEX(ALLCLASSDATA,MATCH("WillSaveExpert",CLASSFEATUREHEADERS,0),MATCH(($A1873 &amp; "Points"),CLASSNAMEHEADERS,0))),(IF("09"=(INDEX(ALLCLASSDATA,MATCH("WillSaveTrained",CLASSFEATUREHEADERS,0),MATCH($A1873,CLASSNAMEHEADERS,0))),(INDEX(ALLCLASSDATA,MATCH("WillSaveTrained",CLASSFEATUREHEADERS,0),MATCH(($A1873 &amp; "Points"),CLASSNAMEHEADERS,0))),"")))))))))}</f>
        <v>WILLL09</v>
      </c>
      <c r="Q1872" s="223"/>
      <c r="R1872" s="223" t="str">
        <f t="array" ref="R1872:R1873">{"WILLL11";((IF("11"=(INDEX(ALLCLASSDATA,MATCH("WillSaveLegendary",CLASSFEATUREHEADERS,0),MATCH($A1873,CLASSNAMEHEADERS,0))),(INDEX(ALLCLASSDATA,MATCH("WillSaveLegendary",CLASSFEATUREHEADERS,0),MATCH(($A1873 &amp; "Points"),CLASSNAMEHEADERS,0))),(IF("11"=(INDEX(ALLCLASSDATA,MATCH("WillSaveMaster",CLASSFEATUREHEADERS,0),MATCH($A1873,CLASSNAMEHEADERS,0))),(INDEX(ALLCLASSDATA,MATCH("WillSaveMaster",CLASSFEATUREHEADERS,0),MATCH(($A1873 &amp; "Points"),CLASSNAMEHEADERS,0))),(IF("11"=(INDEX(ALLCLASSDATA,MATCH("WillSaveExpert",CLASSFEATUREHEADERS,0),MATCH($A1873,CLASSNAMEHEADERS,0))),(INDEX(ALLCLASSDATA,MATCH("WillSaveExpert",CLASSFEATUREHEADERS,0),MATCH(($A1873 &amp; "Points"),CLASSNAMEHEADERS,0))),(IF("11"=(INDEX(ALLCLASSDATA,MATCH("WillSaveTrained",CLASSFEATUREHEADERS,0),MATCH($A1873,CLASSNAMEHEADERS,0))),(INDEX(ALLCLASSDATA,MATCH("WillSaveTrained",CLASSFEATUREHEADERS,0),MATCH(($A1873 &amp; "Points"),CLASSNAMEHEADERS,0))),"")))))))))}</f>
        <v>WILLL11</v>
      </c>
      <c r="S1872" s="223"/>
      <c r="T1872" s="223" t="str">
        <f t="array" ref="T1872:T1873">{"WILLL13";((IF("13"=(INDEX(ALLCLASSDATA,MATCH("WillSaveLegendary",CLASSFEATUREHEADERS,0),MATCH($A1873,CLASSNAMEHEADERS,0))),(INDEX(ALLCLASSDATA,MATCH("WillSaveLegendary",CLASSFEATUREHEADERS,0),MATCH(($A1873 &amp; "Points"),CLASSNAMEHEADERS,0))),(IF("13"=(INDEX(ALLCLASSDATA,MATCH("WillSaveMaster",CLASSFEATUREHEADERS,0),MATCH($A1873,CLASSNAMEHEADERS,0))),(INDEX(ALLCLASSDATA,MATCH("WillSaveMaster",CLASSFEATUREHEADERS,0),MATCH(($A1873 &amp; "Points"),CLASSNAMEHEADERS,0))),(IF("13"=(INDEX(ALLCLASSDATA,MATCH("WillSaveExpert",CLASSFEATUREHEADERS,0),MATCH($A1873,CLASSNAMEHEADERS,0))),(INDEX(ALLCLASSDATA,MATCH("WillSaveExpert",CLASSFEATUREHEADERS,0),MATCH(($A1873 &amp; "Points"),CLASSNAMEHEADERS,0))),(IF("13"=(INDEX(ALLCLASSDATA,MATCH("WillSaveTrained",CLASSFEATUREHEADERS,0),MATCH($A1873,CLASSNAMEHEADERS,0))),(INDEX(ALLCLASSDATA,MATCH("WillSaveTrained",CLASSFEATUREHEADERS,0),MATCH(($A1873 &amp; "Points"),CLASSNAMEHEADERS,0))),"")))))))))}</f>
        <v>WILLL13</v>
      </c>
      <c r="U1872" s="223"/>
      <c r="V1872" s="223" t="str">
        <f t="array" ref="V1872:V1873">{"WILLL15";((IF("15"=(INDEX(ALLCLASSDATA,MATCH("WillSaveLegendary",CLASSFEATUREHEADERS,0),MATCH($A1873,CLASSNAMEHEADERS,0))),(INDEX(ALLCLASSDATA,MATCH("WillSaveLegendary",CLASSFEATUREHEADERS,0),MATCH(($A1873 &amp; "Points"),CLASSNAMEHEADERS,0))),(IF("15"=(INDEX(ALLCLASSDATA,MATCH("WillSaveMaster",CLASSFEATUREHEADERS,0),MATCH($A1873,CLASSNAMEHEADERS,0))),(INDEX(ALLCLASSDATA,MATCH("WillSaveMaster",CLASSFEATUREHEADERS,0),MATCH(($A1873 &amp; "Points"),CLASSNAMEHEADERS,0))),(IF("15"=(INDEX(ALLCLASSDATA,MATCH("WillSaveExpert",CLASSFEATUREHEADERS,0),MATCH($A1873,CLASSNAMEHEADERS,0))),(INDEX(ALLCLASSDATA,MATCH("WillSaveExpert",CLASSFEATUREHEADERS,0),MATCH(($A1873 &amp; "Points"),CLASSNAMEHEADERS,0))),(IF("15"=(INDEX(ALLCLASSDATA,MATCH("WillSaveTrained",CLASSFEATUREHEADERS,0),MATCH($A1873,CLASSNAMEHEADERS,0))),(INDEX(ALLCLASSDATA,MATCH("WillSaveTrained",CLASSFEATUREHEADERS,0),MATCH(($A1873 &amp; "Points"),CLASSNAMEHEADERS,0))),"")))))))))}</f>
        <v>WILLL15</v>
      </c>
      <c r="W1872" s="223"/>
      <c r="X1872" s="223" t="str">
        <f t="array" ref="X1872:X1873">{"WILLL17";((IF("17"=(INDEX(ALLCLASSDATA,MATCH("WillSaveLegendary",CLASSFEATUREHEADERS,0),MATCH($A1873,CLASSNAMEHEADERS,0))),(INDEX(ALLCLASSDATA,MATCH("WillSaveLegendary",CLASSFEATUREHEADERS,0),MATCH(($A1873 &amp; "Points"),CLASSNAMEHEADERS,0))),(IF("17"=(INDEX(ALLCLASSDATA,MATCH("WillSaveMaster",CLASSFEATUREHEADERS,0),MATCH($A1873,CLASSNAMEHEADERS,0))),(INDEX(ALLCLASSDATA,MATCH("WillSaveMaster",CLASSFEATUREHEADERS,0),MATCH(($A1873 &amp; "Points"),CLASSNAMEHEADERS,0))),(IF("17"=(INDEX(ALLCLASSDATA,MATCH("WillSaveExpert",CLASSFEATUREHEADERS,0),MATCH($A1873,CLASSNAMEHEADERS,0))),(INDEX(ALLCLASSDATA,MATCH("WillSaveExpert",CLASSFEATUREHEADERS,0),MATCH(($A1873 &amp; "Points"),CLASSNAMEHEADERS,0))),(IF("17"=(INDEX(ALLCLASSDATA,MATCH("WillSaveTrained",CLASSFEATUREHEADERS,0),MATCH($A1873,CLASSNAMEHEADERS,0))),(INDEX(ALLCLASSDATA,MATCH("WillSaveTrained",CLASSFEATUREHEADERS,0),MATCH(($A1873 &amp; "Points"),CLASSNAMEHEADERS,0))),"")))))))))}</f>
        <v>WILLL17</v>
      </c>
      <c r="Y1872" s="223"/>
      <c r="Z1872" s="223" t="str">
        <f t="array" ref="Z1872:Z1873">{"WILLL19";((IF("19"=(INDEX(ALLCLASSDATA,MATCH("WillSaveLegendary",CLASSFEATUREHEADERS,0),MATCH($A1873,CLASSNAMEHEADERS,0))),(INDEX(ALLCLASSDATA,MATCH("WillSaveLegendary",CLASSFEATUREHEADERS,0),MATCH(($A1873 &amp; "Points"),CLASSNAMEHEADERS,0))),(IF("19"=(INDEX(ALLCLASSDATA,MATCH("WillSaveMaster",CLASSFEATUREHEADERS,0),MATCH($A1873,CLASSNAMEHEADERS,0))),(INDEX(ALLCLASSDATA,MATCH("WillSaveMaster",CLASSFEATUREHEADERS,0),MATCH(($A1873 &amp; "Points"),CLASSNAMEHEADERS,0))),(IF("19"=(INDEX(ALLCLASSDATA,MATCH("WillSaveExpert",CLASSFEATUREHEADERS,0),MATCH($A1873,CLASSNAMEHEADERS,0))),(INDEX(ALLCLASSDATA,MATCH("WillSaveExpert",CLASSFEATUREHEADERS,0),MATCH(($A1873 &amp; "Points"),CLASSNAMEHEADERS,0))),(IF("19"=(INDEX(ALLCLASSDATA,MATCH("WillSaveTrained",CLASSFEATUREHEADERS,0),MATCH($A1873,CLASSNAMEHEADERS,0))),(INDEX(ALLCLASSDATA,MATCH("WillSaveTrained",CLASSFEATUREHEADERS,0),MATCH(($A1873 &amp; "Points"),CLASSNAMEHEADERS,0))),"")))))))))}</f>
        <v>WILLL19</v>
      </c>
      <c r="AA1872" s="223"/>
      <c r="AB1872" s="76" t="str">
        <f t="array" ref="AB1872:AB1873">{"WILL TOTAL";(IF(COUNTBLANK(G1873:AA1873)=17,"L",(IF(COUNTBLANK(G1873:AA1873)=18,"M",(IF(COUNTBLANK(G1873:AA1873)=19,"E",(IF(COUNTBLANK(G1873:AA1873)=20,"T",""))))))))}</f>
        <v>WILL TOTAL</v>
      </c>
      <c r="AC1872" s="76" t="str">
        <f t="array" ref="AC1872:AC1873">{"WILL TOTAL";(sum(G1873:AA1873))}</f>
        <v>WILL TOTAL</v>
      </c>
    </row>
    <row r="1873">
      <c r="A1873" s="48" t="s">
        <v>229</v>
      </c>
      <c r="B1873" s="48"/>
      <c r="C1873" s="48" t="s">
        <v>418</v>
      </c>
      <c r="D1873" s="97" t="s">
        <v>1549</v>
      </c>
      <c r="E1873" s="97" t="s">
        <v>1591</v>
      </c>
      <c r="F1873" s="98" t="s">
        <v>436</v>
      </c>
      <c r="G1873" s="132">
        <v>10.0</v>
      </c>
      <c r="H1873" s="98">
        <v>50.0</v>
      </c>
      <c r="I1873" s="98"/>
      <c r="J1873" s="98" t="s">
        <v>603</v>
      </c>
      <c r="K1873" s="98"/>
      <c r="L1873" s="98" t="s">
        <v>603</v>
      </c>
      <c r="M1873" s="97"/>
      <c r="N1873" s="98" t="s">
        <v>603</v>
      </c>
      <c r="O1873" s="98"/>
      <c r="P1873" s="98" t="s">
        <v>603</v>
      </c>
      <c r="Q1873" s="97"/>
      <c r="R1873" s="98" t="s">
        <v>603</v>
      </c>
      <c r="S1873" s="98"/>
      <c r="T1873" s="98" t="s">
        <v>603</v>
      </c>
      <c r="U1873" s="98"/>
      <c r="V1873" s="98" t="s">
        <v>603</v>
      </c>
      <c r="W1873" s="98"/>
      <c r="X1873" s="98">
        <v>110.0</v>
      </c>
      <c r="Y1873" s="98"/>
      <c r="Z1873" s="98" t="s">
        <v>603</v>
      </c>
      <c r="AA1873" s="98"/>
      <c r="AB1873" s="5" t="s">
        <v>437</v>
      </c>
      <c r="AC1873" s="47">
        <v>170.0</v>
      </c>
    </row>
    <row r="1874" hidden="1">
      <c r="A1874" s="222" t="str">
        <f t="array" ref="A1874:A1875">{"FormulaRow26";(INDEX(CLASSLIST,A1823,1))}</f>
        <v>FormulaRow26</v>
      </c>
      <c r="B1874" s="77" t="s">
        <v>236</v>
      </c>
      <c r="C1874" s="222" t="str">
        <f t="array" ref="C1874:C1875">{"CLASSTYPE";((INDEX(ALLCLASSDATA,MATCH("ClassType",CLASSFEATUREHEADERS,0),MATCH($A1875,CLASSNAMEHEADERS,0))))}</f>
        <v>CLASSTYPE</v>
      </c>
      <c r="D1874" s="228" t="str">
        <f t="array" ref="D1874:D1875">{"ATTACK";"Attack"}</f>
        <v>ATTACK</v>
      </c>
      <c r="E1874" s="228" t="str">
        <f t="array" ref="E1874:E1875">{"WEAPONSPECIAL";"WeaponCS/WS/GWS"}</f>
        <v>WEAPONSPECIAL</v>
      </c>
      <c r="F1874" s="230"/>
      <c r="G1874" s="230"/>
      <c r="H1874" s="230" t="str">
        <f t="array" ref="H1874:H1875">{"WEAPONSPECIALL01";((IF("01"=INDEX(ALLCLASSDATA,MATCH("WeaponGreaterSpecialization",CLASSFEATUREHEADERS,0),MATCH($A1875,CLASSNAMEHEADERS,0)),WeaponGWS,(IF("01"=INDEX(ALLCLASSDATA,MATCH("WeaponSpecialization",CLASSFEATUREHEADERS,0),MATCH($A1875,CLASSNAMEHEADERS,0)),WeaponWS,(IF("01"=INDEX(ALLCLASSDATA,MATCH("WeaponCriticalSpecialization",CLASSFEATUREHEADERS,0),MATCH($A1875,CLASSNAMEHEADERS,0)),WeaponCS,"")))))))}</f>
        <v>WEAPONSPECIALL01</v>
      </c>
      <c r="I1874" s="230"/>
      <c r="J1874" s="230" t="str">
        <f t="array" ref="J1874:J1875">{"WEAPONSPECIALL03";((IF("03"=INDEX(ALLCLASSDATA,MATCH("WeaponGreaterSpecialization",CLASSFEATUREHEADERS,0),MATCH($A1875,CLASSNAMEHEADERS,0)),WeaponGWS,(IF("03"=INDEX(ALLCLASSDATA,MATCH("WeaponSpecialization",CLASSFEATUREHEADERS,0),MATCH($A1875,CLASSNAMEHEADERS,0)),WeaponWS,(IF("03"=INDEX(ALLCLASSDATA,MATCH("WeaponCriticalSpecialization",CLASSFEATUREHEADERS,0),MATCH($A1875,CLASSNAMEHEADERS,0)),WeaponCS,"")))))))}</f>
        <v>WEAPONSPECIALL03</v>
      </c>
      <c r="K1874" s="230"/>
      <c r="L1874" s="230" t="str">
        <f t="array" ref="L1874:L1875">{"WEAPONSPECIALL05";((IF("05"=INDEX(ALLCLASSDATA,MATCH("WeaponGreaterSpecialization",CLASSFEATUREHEADERS,0),MATCH($A1875,CLASSNAMEHEADERS,0)),WeaponGWS,(IF("05"=INDEX(ALLCLASSDATA,MATCH("WeaponSpecialization",CLASSFEATUREHEADERS,0),MATCH($A1875,CLASSNAMEHEADERS,0)),WeaponWS,(IF("05"=INDEX(ALLCLASSDATA,MATCH("WeaponCriticalSpecialization",CLASSFEATUREHEADERS,0),MATCH($A1875,CLASSNAMEHEADERS,0)),WeaponCS,"")))))))}</f>
        <v>WEAPONSPECIALL05</v>
      </c>
      <c r="M1874" s="230"/>
      <c r="N1874" s="230" t="str">
        <f t="array" ref="N1874:N1875">{"WEAPONSPECIALL07";((IF("07"=INDEX(ALLCLASSDATA,MATCH("WeaponGreaterSpecialization",CLASSFEATUREHEADERS,0),MATCH($A1875,CLASSNAMEHEADERS,0)),WeaponGWS,(IF("07"=INDEX(ALLCLASSDATA,MATCH("WeaponSpecialization",CLASSFEATUREHEADERS,0),MATCH($A1875,CLASSNAMEHEADERS,0)),WeaponWS,(IF("07"=INDEX(ALLCLASSDATA,MATCH("WeaponCriticalSpecialization",CLASSFEATUREHEADERS,0),MATCH($A1875,CLASSNAMEHEADERS,0)),WeaponCS,"")))))))}</f>
        <v>WEAPONSPECIALL07</v>
      </c>
      <c r="O1874" s="230"/>
      <c r="P1874" s="230" t="str">
        <f t="array" ref="P1874:P1875">{"WEAPONSPECIALL09";((IF("09"=INDEX(ALLCLASSDATA,MATCH("WeaponGreaterSpecialization",CLASSFEATUREHEADERS,0),MATCH($A1875,CLASSNAMEHEADERS,0)),WeaponGWS,(IF("09"=INDEX(ALLCLASSDATA,MATCH("WeaponSpecialization",CLASSFEATUREHEADERS,0),MATCH($A1875,CLASSNAMEHEADERS,0)),WeaponWS,(IF("09"=INDEX(ALLCLASSDATA,MATCH("WeaponCriticalSpecialization",CLASSFEATUREHEADERS,0),MATCH($A1875,CLASSNAMEHEADERS,0)),WeaponCS,"")))))))}</f>
        <v>WEAPONSPECIALL09</v>
      </c>
      <c r="Q1874" s="230"/>
      <c r="R1874" s="230" t="str">
        <f t="array" ref="R1874:R1875">{"WEAPONSPECIALL11";((IF("11"=INDEX(ALLCLASSDATA,MATCH("WeaponGreaterSpecialization",CLASSFEATUREHEADERS,0),MATCH($A1875,CLASSNAMEHEADERS,0)),WeaponGWS,(IF("11"=INDEX(ALLCLASSDATA,MATCH("WeaponSpecialization",CLASSFEATUREHEADERS,0),MATCH($A1875,CLASSNAMEHEADERS,0)),WeaponWS,(IF("11"=INDEX(ALLCLASSDATA,MATCH("WeaponCriticalSpecialization",CLASSFEATUREHEADERS,0),MATCH($A1875,CLASSNAMEHEADERS,0)),WeaponCS,"")))))))}</f>
        <v>WEAPONSPECIALL11</v>
      </c>
      <c r="S1874" s="230"/>
      <c r="T1874" s="230" t="str">
        <f t="array" ref="T1874:T1875">{"WEAPONSPECIALL13";((IF("13"=INDEX(ALLCLASSDATA,MATCH("WeaponGreaterSpecialization",CLASSFEATUREHEADERS,0),MATCH($A1875,CLASSNAMEHEADERS,0)),WeaponGWS,(IF("13"=INDEX(ALLCLASSDATA,MATCH("WeaponSpecialization",CLASSFEATUREHEADERS,0),MATCH($A1875,CLASSNAMEHEADERS,0)),WeaponWS,(IF("13"=INDEX(ALLCLASSDATA,MATCH("WeaponCriticalSpecialization",CLASSFEATUREHEADERS,0),MATCH($A1875,CLASSNAMEHEADERS,0)),WeaponCS,"")))))))}</f>
        <v>WEAPONSPECIALL13</v>
      </c>
      <c r="U1874" s="230"/>
      <c r="V1874" s="230" t="str">
        <f t="array" ref="V1874:V1875">{"WEAPONSPECIALL15";((IF("15"=INDEX(ALLCLASSDATA,MATCH("WeaponGreaterSpecialization",CLASSFEATUREHEADERS,0),MATCH($A1875,CLASSNAMEHEADERS,0)),WeaponGWS,(IF("15"=INDEX(ALLCLASSDATA,MATCH("WeaponSpecialization",CLASSFEATUREHEADERS,0),MATCH($A1875,CLASSNAMEHEADERS,0)),WeaponWS,(IF("15"=INDEX(ALLCLASSDATA,MATCH("WeaponCriticalSpecialization",CLASSFEATUREHEADERS,0),MATCH($A1875,CLASSNAMEHEADERS,0)),WeaponCS,"")))))))}</f>
        <v>WEAPONSPECIALL15</v>
      </c>
      <c r="W1874" s="230"/>
      <c r="X1874" s="230" t="str">
        <f t="array" ref="X1874:X1875">{"WEAPONSPECIALL17";((IF("17"=INDEX(ALLCLASSDATA,MATCH("WeaponGreaterSpecialization",CLASSFEATUREHEADERS,0),MATCH($A1875,CLASSNAMEHEADERS,0)),WeaponGWS,(IF("17"=INDEX(ALLCLASSDATA,MATCH("WeaponSpecialization",CLASSFEATUREHEADERS,0),MATCH($A1875,CLASSNAMEHEADERS,0)),WeaponWS,(IF("17"=INDEX(ALLCLASSDATA,MATCH("WeaponCriticalSpecialization",CLASSFEATUREHEADERS,0),MATCH($A1875,CLASSNAMEHEADERS,0)),WeaponCS,"")))))))}</f>
        <v>WEAPONSPECIALL17</v>
      </c>
      <c r="Y1874" s="230"/>
      <c r="Z1874" s="230" t="str">
        <f t="array" ref="Z1874:Z1875">{"WEAPONSPECIALL19";((IF("19"=INDEX(ALLCLASSDATA,MATCH("WeaponGreaterSpecialization",CLASSFEATUREHEADERS,0),MATCH($A1875,CLASSNAMEHEADERS,0)),WeaponGWS,(IF("19"=INDEX(ALLCLASSDATA,MATCH("WeaponSpecialization",CLASSFEATUREHEADERS,0),MATCH($A1875,CLASSNAMEHEADERS,0)),WeaponWS,(IF("19"=INDEX(ALLCLASSDATA,MATCH("WeaponCriticalSpecialization",CLASSFEATUREHEADERS,0),MATCH($A1875,CLASSNAMEHEADERS,0)),WeaponCS,"")))))))}</f>
        <v>WEAPONSPECIALL19</v>
      </c>
      <c r="AA1874" s="230"/>
      <c r="AB1874" s="76"/>
      <c r="AC1874" s="76" t="str">
        <f t="array" ref="AC1874:AC1875">{"WEAPONSPECIAL TOTAL";(sum(G1875:AA1875))}</f>
        <v>WEAPONSPECIAL TOTAL</v>
      </c>
    </row>
    <row r="1875">
      <c r="A1875" s="48" t="s">
        <v>229</v>
      </c>
      <c r="B1875" s="48"/>
      <c r="C1875" s="48" t="s">
        <v>418</v>
      </c>
      <c r="D1875" s="48" t="s">
        <v>1634</v>
      </c>
      <c r="E1875" s="48" t="s">
        <v>1635</v>
      </c>
      <c r="F1875" s="5"/>
      <c r="G1875" s="47"/>
      <c r="H1875" s="5" t="s">
        <v>603</v>
      </c>
      <c r="I1875" s="5"/>
      <c r="J1875" s="5" t="s">
        <v>603</v>
      </c>
      <c r="K1875" s="5"/>
      <c r="L1875" s="5" t="s">
        <v>603</v>
      </c>
      <c r="M1875" s="5"/>
      <c r="N1875" s="5" t="s">
        <v>603</v>
      </c>
      <c r="O1875" s="5"/>
      <c r="P1875" s="5" t="s">
        <v>603</v>
      </c>
      <c r="Q1875" s="5"/>
      <c r="R1875" s="5" t="s">
        <v>603</v>
      </c>
      <c r="S1875" s="5"/>
      <c r="T1875" s="5">
        <v>70.0</v>
      </c>
      <c r="U1875" s="5"/>
      <c r="V1875" s="5" t="s">
        <v>603</v>
      </c>
      <c r="W1875" s="5"/>
      <c r="X1875" s="5" t="s">
        <v>603</v>
      </c>
      <c r="Y1875" s="5"/>
      <c r="Z1875" s="5" t="s">
        <v>603</v>
      </c>
      <c r="AA1875" s="5"/>
      <c r="AB1875" s="5"/>
      <c r="AC1875" s="47">
        <v>70.0</v>
      </c>
    </row>
    <row r="1876" hidden="1">
      <c r="A1876" s="222" t="str">
        <f t="array" ref="A1876:A1877">{"FormulaRow27";(INDEX(CLASSLIST,A1823,1))}</f>
        <v>FormulaRow27</v>
      </c>
      <c r="B1876" s="77" t="s">
        <v>236</v>
      </c>
      <c r="C1876" s="222" t="str">
        <f t="array" ref="C1876:C1877">{"CLASSTYPE";((INDEX(ALLCLASSDATA,MATCH("ClassType",CLASSFEATUREHEADERS,0),MATCH($A1877,CLASSNAMEHEADERS,0))))}</f>
        <v>CLASSTYPE</v>
      </c>
      <c r="D1876" s="222" t="str">
        <f t="array" ref="D1876:D1877">{"ATTACK";"Attack"}</f>
        <v>ATTACK</v>
      </c>
      <c r="E1876" s="222" t="str">
        <f t="array" ref="E1876:E1877">{"UNARMED";"Unarmed"}</f>
        <v>UNARMED</v>
      </c>
      <c r="F1876" s="223" t="str">
        <f t="array" ref="F1876:F1877">{"UNARMEDINITIAL";((IF(H1877=10,"T",(IF(H1877=50,"E","")))))}</f>
        <v>UNARMEDINITIAL</v>
      </c>
      <c r="G1876" s="223" t="str">
        <f t="array" ref="G1876:G1877">{"UNARMEDINITIALPTS";((IF("00"=(INDEX(ALLCLASSDATA,MATCH("UnarmedLegendary",CLASSFEATUREHEADERS,0),MATCH($A1877,CLASSNAMEHEADERS,0))),(INDEX(ALLCLASSDATA,MATCH("UnarmedLegendary",CLASSFEATUREHEADERS,0),MATCH(($A1877 &amp; "Points"),CLASSNAMEHEADERS,0))),(IF("00"=(INDEX(ALLCLASSDATA,MATCH("UnarmedMaster",CLASSFEATUREHEADERS,0),MATCH($A1877,CLASSNAMEHEADERS,0))),(INDEX(ALLCLASSDATA,MATCH("UnarmedMaster",CLASSFEATUREHEADERS,0),MATCH(($A1877 &amp; "Points"),CLASSNAMEHEADERS,0))),(IF("00"=(INDEX(ALLCLASSDATA,MATCH("UnarmedExpert",CLASSFEATUREHEADERS,0),MATCH($A1877,CLASSNAMEHEADERS,0))),(INDEX(ALLCLASSDATA,MATCH("UnarmedExpert",CLASSFEATUREHEADERS,0),MATCH(($A1877 &amp; "Points"),CLASSNAMEHEADERS,0))),(IF("00"=(INDEX(ALLCLASSDATA,MATCH("UnarmedTrained",CLASSFEATUREHEADERS,0),MATCH($A1877,CLASSNAMEHEADERS,0))),(INDEX(ALLCLASSDATA,MATCH("UnarmedTrained",CLASSFEATUREHEADERS,0),MATCH(($A1877 &amp; "Points"),CLASSNAMEHEADERS,0))),"")))))))))}</f>
        <v>UNARMEDINITIALPTS</v>
      </c>
      <c r="H1876" s="223" t="str">
        <f t="array" ref="H1876:H1877">{"UNARMEDL01";((IF("01"=(INDEX(ALLCLASSDATA,MATCH("UnarmedLegendary",CLASSFEATUREHEADERS,0),MATCH($A1877,CLASSNAMEHEADERS,0))),(INDEX(ALLCLASSDATA,MATCH("UnarmedLegendary",CLASSFEATUREHEADERS,0),MATCH(($A1877 &amp; "Points"),CLASSNAMEHEADERS,0))),(IF("01"=(INDEX(ALLCLASSDATA,MATCH("UnarmedMaster",CLASSFEATUREHEADERS,0),MATCH($A1877,CLASSNAMEHEADERS,0))),(INDEX(ALLCLASSDATA,MATCH("UnarmedMaster",CLASSFEATUREHEADERS,0),MATCH(($A1877 &amp; "Points"),CLASSNAMEHEADERS,0))),(IF("01"=(INDEX(ALLCLASSDATA,MATCH("UnarmedExpert",CLASSFEATUREHEADERS,0),MATCH($A1877,CLASSNAMEHEADERS,0))),(INDEX(ALLCLASSDATA,MATCH("UnarmedExpert",CLASSFEATUREHEADERS,0),MATCH(($A1877 &amp; "Points"),CLASSNAMEHEADERS,0))),(IF("01"=(INDEX(ALLCLASSDATA,MATCH("UnarmedTrained",CLASSFEATUREHEADERS,0),MATCH($A1877,CLASSNAMEHEADERS,0))),(INDEX(ALLCLASSDATA,MATCH("UnarmedTrained",CLASSFEATUREHEADERS,0),MATCH(($A1877 &amp; "Points"),CLASSNAMEHEADERS,0))),"")))))))))}</f>
        <v>UNARMEDL01</v>
      </c>
      <c r="I1876" s="223"/>
      <c r="J1876" s="223" t="str">
        <f t="array" ref="J1876:J1877">{"UNARMEDL03";((IF("03"=(INDEX(ALLCLASSDATA,MATCH("UnarmedLegendary",CLASSFEATUREHEADERS,0),MATCH($A1877,CLASSNAMEHEADERS,0))),(INDEX(ALLCLASSDATA,MATCH("UnarmedLegendary",CLASSFEATUREHEADERS,0),MATCH(($A1877 &amp; "Points"),CLASSNAMEHEADERS,0))),(IF("03"=(INDEX(ALLCLASSDATA,MATCH("UnarmedMaster",CLASSFEATUREHEADERS,0),MATCH($A1877,CLASSNAMEHEADERS,0))),(INDEX(ALLCLASSDATA,MATCH("UnarmedMaster",CLASSFEATUREHEADERS,0),MATCH(($A1877 &amp; "Points"),CLASSNAMEHEADERS,0))),(IF("03"=(INDEX(ALLCLASSDATA,MATCH("UnarmedExpert",CLASSFEATUREHEADERS,0),MATCH($A1877,CLASSNAMEHEADERS,0))),(INDEX(ALLCLASSDATA,MATCH("UnarmedExpert",CLASSFEATUREHEADERS,0),MATCH(($A1877 &amp; "Points"),CLASSNAMEHEADERS,0))),(IF("03"=(INDEX(ALLCLASSDATA,MATCH("UnarmedTrained",CLASSFEATUREHEADERS,0),MATCH($A1877,CLASSNAMEHEADERS,0))),(INDEX(ALLCLASSDATA,MATCH("UnarmedTrained",CLASSFEATUREHEADERS,0),MATCH(($A1877 &amp; "Points"),CLASSNAMEHEADERS,0))),"")))))))))}</f>
        <v>UNARMEDL03</v>
      </c>
      <c r="K1876" s="223"/>
      <c r="L1876" s="223" t="str">
        <f t="array" ref="L1876:L1877">{"UNARMEDL05";((IF("05"=(INDEX(ALLCLASSDATA,MATCH("UnarmedLegendary",CLASSFEATUREHEADERS,0),MATCH($A1877,CLASSNAMEHEADERS,0))),(INDEX(ALLCLASSDATA,MATCH("UnarmedLegendary",CLASSFEATUREHEADERS,0),MATCH(($A1877 &amp; "Points"),CLASSNAMEHEADERS,0))),(IF("05"=(INDEX(ALLCLASSDATA,MATCH("UnarmedMaster",CLASSFEATUREHEADERS,0),MATCH($A1877,CLASSNAMEHEADERS,0))),(INDEX(ALLCLASSDATA,MATCH("UnarmedMaster",CLASSFEATUREHEADERS,0),MATCH(($A1877 &amp; "Points"),CLASSNAMEHEADERS,0))),(IF("05"=(INDEX(ALLCLASSDATA,MATCH("UnarmedExpert",CLASSFEATUREHEADERS,0),MATCH($A1877,CLASSNAMEHEADERS,0))),(INDEX(ALLCLASSDATA,MATCH("UnarmedExpert",CLASSFEATUREHEADERS,0),MATCH(($A1877 &amp; "Points"),CLASSNAMEHEADERS,0))),(IF("05"=(INDEX(ALLCLASSDATA,MATCH("UnarmedTrained",CLASSFEATUREHEADERS,0),MATCH($A1877,CLASSNAMEHEADERS,0))),(INDEX(ALLCLASSDATA,MATCH("UnarmedTrained",CLASSFEATUREHEADERS,0),MATCH(($A1877 &amp; "Points"),CLASSNAMEHEADERS,0))),"")))))))))}</f>
        <v>UNARMEDL05</v>
      </c>
      <c r="M1876" s="223"/>
      <c r="N1876" s="223" t="str">
        <f t="array" ref="N1876:N1877">{"UNARMEDL07";((IF("07"=(INDEX(ALLCLASSDATA,MATCH("UnarmedLegendary",CLASSFEATUREHEADERS,0),MATCH($A1877,CLASSNAMEHEADERS,0))),(INDEX(ALLCLASSDATA,MATCH("UnarmedLegendary",CLASSFEATUREHEADERS,0),MATCH(($A1877 &amp; "Points"),CLASSNAMEHEADERS,0))),(IF("07"=(INDEX(ALLCLASSDATA,MATCH("UnarmedMaster",CLASSFEATUREHEADERS,0),MATCH($A1877,CLASSNAMEHEADERS,0))),(INDEX(ALLCLASSDATA,MATCH("UnarmedMaster",CLASSFEATUREHEADERS,0),MATCH(($A1877 &amp; "Points"),CLASSNAMEHEADERS,0))),(IF("07"=(INDEX(ALLCLASSDATA,MATCH("UnarmedExpert",CLASSFEATUREHEADERS,0),MATCH($A1877,CLASSNAMEHEADERS,0))),(INDEX(ALLCLASSDATA,MATCH("UnarmedExpert",CLASSFEATUREHEADERS,0),MATCH(($A1877 &amp; "Points"),CLASSNAMEHEADERS,0))),(IF("07"=(INDEX(ALLCLASSDATA,MATCH("UnarmedTrained",CLASSFEATUREHEADERS,0),MATCH($A1877,CLASSNAMEHEADERS,0))),(INDEX(ALLCLASSDATA,MATCH("UnarmedTrained",CLASSFEATUREHEADERS,0),MATCH(($A1877 &amp; "Points"),CLASSNAMEHEADERS,0))),"")))))))))}</f>
        <v>UNARMEDL07</v>
      </c>
      <c r="O1876" s="223"/>
      <c r="P1876" s="223" t="str">
        <f t="array" ref="P1876:P1877">{"UNARMEDL09";((IF("09"=(INDEX(ALLCLASSDATA,MATCH("UnarmedLegendary",CLASSFEATUREHEADERS,0),MATCH($A1877,CLASSNAMEHEADERS,0))),(INDEX(ALLCLASSDATA,MATCH("UnarmedLegendary",CLASSFEATUREHEADERS,0),MATCH(($A1877 &amp; "Points"),CLASSNAMEHEADERS,0))),(IF("09"=(INDEX(ALLCLASSDATA,MATCH("UnarmedMaster",CLASSFEATUREHEADERS,0),MATCH($A1877,CLASSNAMEHEADERS,0))),(INDEX(ALLCLASSDATA,MATCH("UnarmedMaster",CLASSFEATUREHEADERS,0),MATCH(($A1877 &amp; "Points"),CLASSNAMEHEADERS,0))),(IF("09"=(INDEX(ALLCLASSDATA,MATCH("UnarmedExpert",CLASSFEATUREHEADERS,0),MATCH($A1877,CLASSNAMEHEADERS,0))),(INDEX(ALLCLASSDATA,MATCH("UnarmedExpert",CLASSFEATUREHEADERS,0),MATCH(($A1877 &amp; "Points"),CLASSNAMEHEADERS,0))),(IF("09"=(INDEX(ALLCLASSDATA,MATCH("UnarmedTrained",CLASSFEATUREHEADERS,0),MATCH($A1877,CLASSNAMEHEADERS,0))),(INDEX(ALLCLASSDATA,MATCH("UnarmedTrained",CLASSFEATUREHEADERS,0),MATCH(($A1877 &amp; "Points"),CLASSNAMEHEADERS,0))),"")))))))))}</f>
        <v>UNARMEDL09</v>
      </c>
      <c r="Q1876" s="223"/>
      <c r="R1876" s="223" t="str">
        <f t="array" ref="R1876:R1877">{"UNARMEDL11";((IF("11"=(INDEX(ALLCLASSDATA,MATCH("UnarmedLegendary",CLASSFEATUREHEADERS,0),MATCH($A1877,CLASSNAMEHEADERS,0))),(INDEX(ALLCLASSDATA,MATCH("UnarmedLegendary",CLASSFEATUREHEADERS,0),MATCH(($A1877 &amp; "Points"),CLASSNAMEHEADERS,0))),(IF("11"=(INDEX(ALLCLASSDATA,MATCH("UnarmedMaster",CLASSFEATUREHEADERS,0),MATCH($A1877,CLASSNAMEHEADERS,0))),(INDEX(ALLCLASSDATA,MATCH("UnarmedMaster",CLASSFEATUREHEADERS,0),MATCH(($A1877 &amp; "Points"),CLASSNAMEHEADERS,0))),(IF("11"=(INDEX(ALLCLASSDATA,MATCH("UnarmedExpert",CLASSFEATUREHEADERS,0),MATCH($A1877,CLASSNAMEHEADERS,0))),(INDEX(ALLCLASSDATA,MATCH("UnarmedExpert",CLASSFEATUREHEADERS,0),MATCH(($A1877 &amp; "Points"),CLASSNAMEHEADERS,0))),(IF("11"=(INDEX(ALLCLASSDATA,MATCH("UnarmedTrained",CLASSFEATUREHEADERS,0),MATCH($A1877,CLASSNAMEHEADERS,0))),(INDEX(ALLCLASSDATA,MATCH("UnarmedTrained",CLASSFEATUREHEADERS,0),MATCH(($A1877 &amp; "Points"),CLASSNAMEHEADERS,0))),"")))))))))}</f>
        <v>UNARMEDL11</v>
      </c>
      <c r="S1876" s="223"/>
      <c r="T1876" s="223" t="str">
        <f t="array" ref="T1876:T1877">{"UNARMEDL13";((IF("13"=(INDEX(ALLCLASSDATA,MATCH("UnarmedLegendary",CLASSFEATUREHEADERS,0),MATCH($A1877,CLASSNAMEHEADERS,0))),(INDEX(ALLCLASSDATA,MATCH("UnarmedLegendary",CLASSFEATUREHEADERS,0),MATCH(($A1877 &amp; "Points"),CLASSNAMEHEADERS,0))),(IF("13"=(INDEX(ALLCLASSDATA,MATCH("UnarmedMaster",CLASSFEATUREHEADERS,0),MATCH($A1877,CLASSNAMEHEADERS,0))),(INDEX(ALLCLASSDATA,MATCH("UnarmedMaster",CLASSFEATUREHEADERS,0),MATCH(($A1877 &amp; "Points"),CLASSNAMEHEADERS,0))),(IF("13"=(INDEX(ALLCLASSDATA,MATCH("UnarmedExpert",CLASSFEATUREHEADERS,0),MATCH($A1877,CLASSNAMEHEADERS,0))),(INDEX(ALLCLASSDATA,MATCH("UnarmedExpert",CLASSFEATUREHEADERS,0),MATCH(($A1877 &amp; "Points"),CLASSNAMEHEADERS,0))),(IF("13"=(INDEX(ALLCLASSDATA,MATCH("UnarmedTrained",CLASSFEATUREHEADERS,0),MATCH($A1877,CLASSNAMEHEADERS,0))),(INDEX(ALLCLASSDATA,MATCH("UnarmedTrained",CLASSFEATUREHEADERS,0),MATCH(($A1877 &amp; "Points"),CLASSNAMEHEADERS,0))),"")))))))))}</f>
        <v>UNARMEDL13</v>
      </c>
      <c r="U1876" s="223"/>
      <c r="V1876" s="223" t="str">
        <f t="array" ref="V1876:V1877">{"UNARMEDL15";((IF("15"=(INDEX(ALLCLASSDATA,MATCH("UnarmedLegendary",CLASSFEATUREHEADERS,0),MATCH($A1877,CLASSNAMEHEADERS,0))),(INDEX(ALLCLASSDATA,MATCH("UnarmedLegendary",CLASSFEATUREHEADERS,0),MATCH(($A1877 &amp; "Points"),CLASSNAMEHEADERS,0))),(IF("15"=(INDEX(ALLCLASSDATA,MATCH("UnarmedMaster",CLASSFEATUREHEADERS,0),MATCH($A1877,CLASSNAMEHEADERS,0))),(INDEX(ALLCLASSDATA,MATCH("UnarmedMaster",CLASSFEATUREHEADERS,0),MATCH(($A1877 &amp; "Points"),CLASSNAMEHEADERS,0))),(IF("15"=(INDEX(ALLCLASSDATA,MATCH("UnarmedExpert",CLASSFEATUREHEADERS,0),MATCH($A1877,CLASSNAMEHEADERS,0))),(INDEX(ALLCLASSDATA,MATCH("UnarmedExpert",CLASSFEATUREHEADERS,0),MATCH(($A1877 &amp; "Points"),CLASSNAMEHEADERS,0))),(IF("15"=(INDEX(ALLCLASSDATA,MATCH("UnarmedTrained",CLASSFEATUREHEADERS,0),MATCH($A1877,CLASSNAMEHEADERS,0))),(INDEX(ALLCLASSDATA,MATCH("UnarmedTrained",CLASSFEATUREHEADERS,0),MATCH(($A1877 &amp; "Points"),CLASSNAMEHEADERS,0))),"")))))))))}</f>
        <v>UNARMEDL15</v>
      </c>
      <c r="W1876" s="223"/>
      <c r="X1876" s="223" t="str">
        <f t="array" ref="X1876:X1877">{"UNARMEDL17";((IF("17"=(INDEX(ALLCLASSDATA,MATCH("UnarmedLegendary",CLASSFEATUREHEADERS,0),MATCH($A1877,CLASSNAMEHEADERS,0))),(INDEX(ALLCLASSDATA,MATCH("UnarmedLegendary",CLASSFEATUREHEADERS,0),MATCH(($A1877 &amp; "Points"),CLASSNAMEHEADERS,0))),(IF("17"=(INDEX(ALLCLASSDATA,MATCH("UnarmedMaster",CLASSFEATUREHEADERS,0),MATCH($A1877,CLASSNAMEHEADERS,0))),(INDEX(ALLCLASSDATA,MATCH("UnarmedMaster",CLASSFEATUREHEADERS,0),MATCH(($A1877 &amp; "Points"),CLASSNAMEHEADERS,0))),(IF("17"=(INDEX(ALLCLASSDATA,MATCH("UnarmedExpert",CLASSFEATUREHEADERS,0),MATCH($A1877,CLASSNAMEHEADERS,0))),(INDEX(ALLCLASSDATA,MATCH("UnarmedExpert",CLASSFEATUREHEADERS,0),MATCH(($A1877 &amp; "Points"),CLASSNAMEHEADERS,0))),(IF("17"=(INDEX(ALLCLASSDATA,MATCH("UnarmedTrained",CLASSFEATUREHEADERS,0),MATCH($A1877,CLASSNAMEHEADERS,0))),(INDEX(ALLCLASSDATA,MATCH("UnarmedTrained",CLASSFEATUREHEADERS,0),MATCH(($A1877 &amp; "Points"),CLASSNAMEHEADERS,0))),"")))))))))}</f>
        <v>UNARMEDL17</v>
      </c>
      <c r="Y1876" s="223"/>
      <c r="Z1876" s="223" t="str">
        <f t="array" ref="Z1876:Z1877">{"UNARMEDL19";((IF("19"=(INDEX(ALLCLASSDATA,MATCH("UnarmedLegendary",CLASSFEATUREHEADERS,0),MATCH($A1877,CLASSNAMEHEADERS,0))),(INDEX(ALLCLASSDATA,MATCH("UnarmedLegendary",CLASSFEATUREHEADERS,0),MATCH(($A1877 &amp; "Points"),CLASSNAMEHEADERS,0))),(IF("19"=(INDEX(ALLCLASSDATA,MATCH("UnarmedMaster",CLASSFEATUREHEADERS,0),MATCH($A1877,CLASSNAMEHEADERS,0))),(INDEX(ALLCLASSDATA,MATCH("UnarmedMaster",CLASSFEATUREHEADERS,0),MATCH(($A1877 &amp; "Points"),CLASSNAMEHEADERS,0))),(IF("19"=(INDEX(ALLCLASSDATA,MATCH("UnarmedExpert",CLASSFEATUREHEADERS,0),MATCH($A1877,CLASSNAMEHEADERS,0))),(INDEX(ALLCLASSDATA,MATCH("UnarmedExpert",CLASSFEATUREHEADERS,0),MATCH(($A1877 &amp; "Points"),CLASSNAMEHEADERS,0))),(IF("19"=(INDEX(ALLCLASSDATA,MATCH("UnarmedTrained",CLASSFEATUREHEADERS,0),MATCH($A1877,CLASSNAMEHEADERS,0))),(INDEX(ALLCLASSDATA,MATCH("UnarmedTrained",CLASSFEATUREHEADERS,0),MATCH(($A1877 &amp; "Points"),CLASSNAMEHEADERS,0))),"")))))))))}</f>
        <v>UNARMEDL19</v>
      </c>
      <c r="AA1876" s="223"/>
      <c r="AB1876" s="76" t="str">
        <f t="array" ref="AB1876:AB1877">{"UNARMED TOTAL";(IF(COUNTBLANK(G1877:AA1877)=17,"L",(IF(COUNTBLANK(G1877:AA1877)=18,"M",(IF(COUNTBLANK(G1877:AA1877)=19,"E",(IF(COUNTBLANK(G1877:AA1877)=20,"T",""))))))))}</f>
        <v>UNARMED TOTAL</v>
      </c>
      <c r="AC1876" s="76" t="str">
        <f t="array" ref="AC1876:AC1877">{"UNARMED TOTAL";(sum(G1877:AA1877))}</f>
        <v>UNARMED TOTAL</v>
      </c>
    </row>
    <row r="1877">
      <c r="A1877" s="48" t="s">
        <v>229</v>
      </c>
      <c r="B1877" s="48"/>
      <c r="C1877" s="48" t="s">
        <v>418</v>
      </c>
      <c r="D1877" s="48" t="s">
        <v>1634</v>
      </c>
      <c r="E1877" s="48" t="s">
        <v>257</v>
      </c>
      <c r="F1877" s="5" t="s">
        <v>435</v>
      </c>
      <c r="G1877" s="47" t="s">
        <v>603</v>
      </c>
      <c r="H1877" s="5">
        <v>10.0</v>
      </c>
      <c r="I1877" s="5"/>
      <c r="J1877" s="5" t="s">
        <v>603</v>
      </c>
      <c r="K1877" s="5"/>
      <c r="L1877" s="5" t="s">
        <v>603</v>
      </c>
      <c r="M1877" s="5"/>
      <c r="N1877" s="5" t="s">
        <v>603</v>
      </c>
      <c r="O1877" s="5"/>
      <c r="P1877" s="5" t="s">
        <v>603</v>
      </c>
      <c r="Q1877" s="5"/>
      <c r="R1877" s="5" t="s">
        <v>436</v>
      </c>
      <c r="S1877" s="5"/>
      <c r="T1877" s="5" t="s">
        <v>603</v>
      </c>
      <c r="U1877" s="5"/>
      <c r="V1877" s="5" t="s">
        <v>603</v>
      </c>
      <c r="W1877" s="5"/>
      <c r="X1877" s="5" t="s">
        <v>603</v>
      </c>
      <c r="Y1877" s="5"/>
      <c r="Z1877" s="5" t="s">
        <v>603</v>
      </c>
      <c r="AA1877" s="5"/>
      <c r="AB1877" s="5" t="s">
        <v>436</v>
      </c>
      <c r="AC1877" s="47">
        <v>10.0</v>
      </c>
    </row>
    <row r="1878" hidden="1">
      <c r="A1878" s="222" t="str">
        <f t="array" ref="A1878:A1879">{"FormulaRow28";(INDEX(CLASSLIST,A1823,1))}</f>
        <v>FormulaRow28</v>
      </c>
      <c r="B1878" s="77" t="s">
        <v>236</v>
      </c>
      <c r="C1878" s="222" t="str">
        <f t="array" ref="C1878:C1879">{"CLASSTYPE";((INDEX(ALLCLASSDATA,MATCH("ClassType",CLASSFEATUREHEADERS,0),MATCH($A1879,CLASSNAMEHEADERS,0))))}</f>
        <v>CLASSTYPE</v>
      </c>
      <c r="D1878" s="222" t="str">
        <f t="array" ref="D1878:D1879">{"ATTACK";"Attack"}</f>
        <v>ATTACK</v>
      </c>
      <c r="E1878" s="222" t="str">
        <f t="array" ref="E1878:E1879">{"SIMPLELIMITED";"SimpleLimited"}</f>
        <v>SIMPLELIMITED</v>
      </c>
      <c r="F1878" s="223" t="str">
        <f t="array" ref="F1878:F1879">{"SIMPLELIMITEDINITIAL";((IF(H1879=10,"T",(IF(H1879=50,"E","")))))}</f>
        <v>SIMPLELIMITEDINITIAL</v>
      </c>
      <c r="G1878" s="223" t="str">
        <f t="array" ref="G1878:G1879">{"SIMPLELIMITEDINITIALPTS";((IF("00"=(INDEX(ALLCLASSDATA,MATCH("SimpleLimitedLegendary",CLASSFEATUREHEADERS,0),MATCH($A1879,CLASSNAMEHEADERS,0))),(INDEX(ALLCLASSDATA,MATCH("SimpleLimitedLegendary",CLASSFEATUREHEADERS,0),MATCH(($A1879 &amp; "Points"),CLASSNAMEHEADERS,0))),(IF("00"=(INDEX(ALLCLASSDATA,MATCH("SimpleLimitedMaster",CLASSFEATUREHEADERS,0),MATCH($A1879,CLASSNAMEHEADERS,0))),(INDEX(ALLCLASSDATA,MATCH("SimpleLimitedMaster",CLASSFEATUREHEADERS,0),MATCH(($A1879 &amp; "Points"),CLASSNAMEHEADERS,0))),(IF("00"=(INDEX(ALLCLASSDATA,MATCH("SimpleLimitedExpert",CLASSFEATUREHEADERS,0),MATCH($A1879,CLASSNAMEHEADERS,0))),(INDEX(ALLCLASSDATA,MATCH("SimpleLimitedExpert",CLASSFEATUREHEADERS,0),MATCH(($A1879 &amp; "Points"),CLASSNAMEHEADERS,0))),(IF("00"=(INDEX(ALLCLASSDATA,MATCH("SimpleLimitedTrained",CLASSFEATUREHEADERS,0),MATCH($A1879,CLASSNAMEHEADERS,0))),(INDEX(ALLCLASSDATA,MATCH("SimpleLimitedTrained",CLASSFEATUREHEADERS,0),MATCH(($A1879 &amp; "Points"),CLASSNAMEHEADERS,0))),"")))))))))}</f>
        <v>SIMPLELIMITEDINITIALPTS</v>
      </c>
      <c r="H1878" s="223" t="str">
        <f t="array" ref="H1878:H1879">{"SIMPLELIMITEDL01";((IF("01"=(INDEX(ALLCLASSDATA,MATCH("SimpleLimitedLegendary",CLASSFEATUREHEADERS,0),MATCH($A1879,CLASSNAMEHEADERS,0))),(INDEX(ALLCLASSDATA,MATCH("SimpleLimitedLegendary",CLASSFEATUREHEADERS,0),MATCH(($A1879 &amp; "Points"),CLASSNAMEHEADERS,0))),(IF("01"=(INDEX(ALLCLASSDATA,MATCH("SimpleLimitedMaster",CLASSFEATUREHEADERS,0),MATCH($A1879,CLASSNAMEHEADERS,0))),(INDEX(ALLCLASSDATA,MATCH("SimpleLimitedMaster",CLASSFEATUREHEADERS,0),MATCH(($A1879 &amp; "Points"),CLASSNAMEHEADERS,0))),(IF("01"=(INDEX(ALLCLASSDATA,MATCH("SimpleLimitedExpert",CLASSFEATUREHEADERS,0),MATCH($A1879,CLASSNAMEHEADERS,0))),(INDEX(ALLCLASSDATA,MATCH("SimpleLimitedExpert",CLASSFEATUREHEADERS,0),MATCH(($A1879 &amp; "Points"),CLASSNAMEHEADERS,0))),(IF("01"=(INDEX(ALLCLASSDATA,MATCH("SimpleLimitedTrained",CLASSFEATUREHEADERS,0),MATCH($A1879,CLASSNAMEHEADERS,0))),(INDEX(ALLCLASSDATA,MATCH("SimpleLimitedTrained",CLASSFEATUREHEADERS,0),MATCH(($A1879 &amp; "Points"),CLASSNAMEHEADERS,0))),"")))))))))}</f>
        <v>SIMPLELIMITEDL01</v>
      </c>
      <c r="I1878" s="223"/>
      <c r="J1878" s="223" t="str">
        <f t="array" ref="J1878:J1879">{"SIMPLELIMITEDL03";((IF("03"=(INDEX(ALLCLASSDATA,MATCH("SimpleLimitedLegendary",CLASSFEATUREHEADERS,0),MATCH($A1879,CLASSNAMEHEADERS,0))),(INDEX(ALLCLASSDATA,MATCH("SimpleLimitedLegendary",CLASSFEATUREHEADERS,0),MATCH(($A1879 &amp; "Points"),CLASSNAMEHEADERS,0))),(IF("03"=(INDEX(ALLCLASSDATA,MATCH("SimpleLimitedMaster",CLASSFEATUREHEADERS,0),MATCH($A1879,CLASSNAMEHEADERS,0))),(INDEX(ALLCLASSDATA,MATCH("SimpleLimitedMaster",CLASSFEATUREHEADERS,0),MATCH(($A1879 &amp; "Points"),CLASSNAMEHEADERS,0))),(IF("03"=(INDEX(ALLCLASSDATA,MATCH("SimpleLimitedExpert",CLASSFEATUREHEADERS,0),MATCH($A1879,CLASSNAMEHEADERS,0))),(INDEX(ALLCLASSDATA,MATCH("SimpleLimitedExpert",CLASSFEATUREHEADERS,0),MATCH(($A1879 &amp; "Points"),CLASSNAMEHEADERS,0))),(IF("03"=(INDEX(ALLCLASSDATA,MATCH("SimpleLimitedTrained",CLASSFEATUREHEADERS,0),MATCH($A1879,CLASSNAMEHEADERS,0))),(INDEX(ALLCLASSDATA,MATCH("SimpleLimitedTrained",CLASSFEATUREHEADERS,0),MATCH(($A1879 &amp; "Points"),CLASSNAMEHEADERS,0))),"")))))))))}</f>
        <v>SIMPLELIMITEDL03</v>
      </c>
      <c r="K1878" s="223"/>
      <c r="L1878" s="223" t="str">
        <f t="array" ref="L1878:L1879">{"SIMPLELIMITEDL05";((IF("05"=(INDEX(ALLCLASSDATA,MATCH("SimpleLimitedLegendary",CLASSFEATUREHEADERS,0),MATCH($A1879,CLASSNAMEHEADERS,0))),(INDEX(ALLCLASSDATA,MATCH("SimpleLimitedLegendary",CLASSFEATUREHEADERS,0),MATCH(($A1879 &amp; "Points"),CLASSNAMEHEADERS,0))),(IF("05"=(INDEX(ALLCLASSDATA,MATCH("SimpleLimitedMaster",CLASSFEATUREHEADERS,0),MATCH($A1879,CLASSNAMEHEADERS,0))),(INDEX(ALLCLASSDATA,MATCH("SimpleLimitedMaster",CLASSFEATUREHEADERS,0),MATCH(($A1879 &amp; "Points"),CLASSNAMEHEADERS,0))),(IF("05"=(INDEX(ALLCLASSDATA,MATCH("SimpleLimitedExpert",CLASSFEATUREHEADERS,0),MATCH($A1879,CLASSNAMEHEADERS,0))),(INDEX(ALLCLASSDATA,MATCH("SimpleLimitedExpert",CLASSFEATUREHEADERS,0),MATCH(($A1879 &amp; "Points"),CLASSNAMEHEADERS,0))),(IF("05"=(INDEX(ALLCLASSDATA,MATCH("SimpleLimitedTrained",CLASSFEATUREHEADERS,0),MATCH($A1879,CLASSNAMEHEADERS,0))),(INDEX(ALLCLASSDATA,MATCH("SimpleLimitedTrained",CLASSFEATUREHEADERS,0),MATCH(($A1879 &amp; "Points"),CLASSNAMEHEADERS,0))),"")))))))))}</f>
        <v>SIMPLELIMITEDL05</v>
      </c>
      <c r="M1878" s="223"/>
      <c r="N1878" s="223" t="str">
        <f t="array" ref="N1878:N1879">{"SIMPLELIMITEDL07";((IF("07"=(INDEX(ALLCLASSDATA,MATCH("SimpleLimitedLegendary",CLASSFEATUREHEADERS,0),MATCH($A1879,CLASSNAMEHEADERS,0))),(INDEX(ALLCLASSDATA,MATCH("SimpleLimitedLegendary",CLASSFEATUREHEADERS,0),MATCH(($A1879 &amp; "Points"),CLASSNAMEHEADERS,0))),(IF("07"=(INDEX(ALLCLASSDATA,MATCH("SimpleLimitedMaster",CLASSFEATUREHEADERS,0),MATCH($A1879,CLASSNAMEHEADERS,0))),(INDEX(ALLCLASSDATA,MATCH("SimpleLimitedMaster",CLASSFEATUREHEADERS,0),MATCH(($A1879 &amp; "Points"),CLASSNAMEHEADERS,0))),(IF("07"=(INDEX(ALLCLASSDATA,MATCH("SimpleLimitedExpert",CLASSFEATUREHEADERS,0),MATCH($A1879,CLASSNAMEHEADERS,0))),(INDEX(ALLCLASSDATA,MATCH("SimpleLimitedExpert",CLASSFEATUREHEADERS,0),MATCH(($A1879 &amp; "Points"),CLASSNAMEHEADERS,0))),(IF("07"=(INDEX(ALLCLASSDATA,MATCH("SimpleLimitedTrained",CLASSFEATUREHEADERS,0),MATCH($A1879,CLASSNAMEHEADERS,0))),(INDEX(ALLCLASSDATA,MATCH("SimpleLimitedTrained",CLASSFEATUREHEADERS,0),MATCH(($A1879 &amp; "Points"),CLASSNAMEHEADERS,0))),"")))))))))}</f>
        <v>SIMPLELIMITEDL07</v>
      </c>
      <c r="O1878" s="223"/>
      <c r="P1878" s="223" t="str">
        <f t="array" ref="P1878:P1879">{"SIMPLELIMITEDL09";((IF("09"=(INDEX(ALLCLASSDATA,MATCH("SimpleLimitedLegendary",CLASSFEATUREHEADERS,0),MATCH($A1879,CLASSNAMEHEADERS,0))),(INDEX(ALLCLASSDATA,MATCH("SimpleLimitedLegendary",CLASSFEATUREHEADERS,0),MATCH(($A1879 &amp; "Points"),CLASSNAMEHEADERS,0))),(IF("09"=(INDEX(ALLCLASSDATA,MATCH("SimpleLimitedMaster",CLASSFEATUREHEADERS,0),MATCH($A1879,CLASSNAMEHEADERS,0))),(INDEX(ALLCLASSDATA,MATCH("SimpleLimitedMaster",CLASSFEATUREHEADERS,0),MATCH(($A1879 &amp; "Points"),CLASSNAMEHEADERS,0))),(IF("09"=(INDEX(ALLCLASSDATA,MATCH("SimpleLimitedExpert",CLASSFEATUREHEADERS,0),MATCH($A1879,CLASSNAMEHEADERS,0))),(INDEX(ALLCLASSDATA,MATCH("SimpleLimitedExpert",CLASSFEATUREHEADERS,0),MATCH(($A1879 &amp; "Points"),CLASSNAMEHEADERS,0))),(IF("09"=(INDEX(ALLCLASSDATA,MATCH("SimpleLimitedTrained",CLASSFEATUREHEADERS,0),MATCH($A1879,CLASSNAMEHEADERS,0))),(INDEX(ALLCLASSDATA,MATCH("SimpleLimitedTrained",CLASSFEATUREHEADERS,0),MATCH(($A1879 &amp; "Points"),CLASSNAMEHEADERS,0))),"")))))))))}</f>
        <v>SIMPLELIMITEDL09</v>
      </c>
      <c r="Q1878" s="223"/>
      <c r="R1878" s="223" t="str">
        <f t="array" ref="R1878:R1879">{"SIMPLELIMITEDL11";((IF("11"=(INDEX(ALLCLASSDATA,MATCH("SimpleLimitedLegendary",CLASSFEATUREHEADERS,0),MATCH($A1879,CLASSNAMEHEADERS,0))),(INDEX(ALLCLASSDATA,MATCH("SimpleLimitedLegendary",CLASSFEATUREHEADERS,0),MATCH(($A1879 &amp; "Points"),CLASSNAMEHEADERS,0))),(IF("11"=(INDEX(ALLCLASSDATA,MATCH("SimpleLimitedMaster",CLASSFEATUREHEADERS,0),MATCH($A1879,CLASSNAMEHEADERS,0))),(INDEX(ALLCLASSDATA,MATCH("SimpleLimitedMaster",CLASSFEATUREHEADERS,0),MATCH(($A1879 &amp; "Points"),CLASSNAMEHEADERS,0))),(IF("11"=(INDEX(ALLCLASSDATA,MATCH("SimpleLimitedExpert",CLASSFEATUREHEADERS,0),MATCH($A1879,CLASSNAMEHEADERS,0))),(INDEX(ALLCLASSDATA,MATCH("SimpleLimitedExpert",CLASSFEATUREHEADERS,0),MATCH(($A1879 &amp; "Points"),CLASSNAMEHEADERS,0))),(IF("11"=(INDEX(ALLCLASSDATA,MATCH("SimpleLimitedTrained",CLASSFEATUREHEADERS,0),MATCH($A1879,CLASSNAMEHEADERS,0))),(INDEX(ALLCLASSDATA,MATCH("SimpleLimitedTrained",CLASSFEATUREHEADERS,0),MATCH(($A1879 &amp; "Points"),CLASSNAMEHEADERS,0))),"")))))))))}</f>
        <v>SIMPLELIMITEDL11</v>
      </c>
      <c r="S1878" s="223"/>
      <c r="T1878" s="223" t="str">
        <f t="array" ref="T1878:T1879">{"SIMPLELIMITEDL13";((IF("13"=(INDEX(ALLCLASSDATA,MATCH("SimpleLimitedLegendary",CLASSFEATUREHEADERS,0),MATCH($A1879,CLASSNAMEHEADERS,0))),(INDEX(ALLCLASSDATA,MATCH("SimpleLimitedLegendary",CLASSFEATUREHEADERS,0),MATCH(($A1879 &amp; "Points"),CLASSNAMEHEADERS,0))),(IF("13"=(INDEX(ALLCLASSDATA,MATCH("SimpleLimitedMaster",CLASSFEATUREHEADERS,0),MATCH($A1879,CLASSNAMEHEADERS,0))),(INDEX(ALLCLASSDATA,MATCH("SimpleLimitedMaster",CLASSFEATUREHEADERS,0),MATCH(($A1879 &amp; "Points"),CLASSNAMEHEADERS,0))),(IF("13"=(INDEX(ALLCLASSDATA,MATCH("SimpleLimitedExpert",CLASSFEATUREHEADERS,0),MATCH($A1879,CLASSNAMEHEADERS,0))),(INDEX(ALLCLASSDATA,MATCH("SimpleLimitedExpert",CLASSFEATUREHEADERS,0),MATCH(($A1879 &amp; "Points"),CLASSNAMEHEADERS,0))),(IF("13"=(INDEX(ALLCLASSDATA,MATCH("SimpleLimitedTrained",CLASSFEATUREHEADERS,0),MATCH($A1879,CLASSNAMEHEADERS,0))),(INDEX(ALLCLASSDATA,MATCH("SimpleLimitedTrained",CLASSFEATUREHEADERS,0),MATCH(($A1879 &amp; "Points"),CLASSNAMEHEADERS,0))),"")))))))))}</f>
        <v>SIMPLELIMITEDL13</v>
      </c>
      <c r="U1878" s="223"/>
      <c r="V1878" s="223" t="str">
        <f t="array" ref="V1878:V1879">{"SIMPLELIMITEDL15";((IF("15"=(INDEX(ALLCLASSDATA,MATCH("SimpleLimitedLegendary",CLASSFEATUREHEADERS,0),MATCH($A1879,CLASSNAMEHEADERS,0))),(INDEX(ALLCLASSDATA,MATCH("SimpleLimitedLegendary",CLASSFEATUREHEADERS,0),MATCH(($A1879 &amp; "Points"),CLASSNAMEHEADERS,0))),(IF("15"=(INDEX(ALLCLASSDATA,MATCH("SimpleLimitedMaster",CLASSFEATUREHEADERS,0),MATCH($A1879,CLASSNAMEHEADERS,0))),(INDEX(ALLCLASSDATA,MATCH("SimpleLimitedMaster",CLASSFEATUREHEADERS,0),MATCH(($A1879 &amp; "Points"),CLASSNAMEHEADERS,0))),(IF("15"=(INDEX(ALLCLASSDATA,MATCH("SimpleLimitedExpert",CLASSFEATUREHEADERS,0),MATCH($A1879,CLASSNAMEHEADERS,0))),(INDEX(ALLCLASSDATA,MATCH("SimpleLimitedExpert",CLASSFEATUREHEADERS,0),MATCH(($A1879 &amp; "Points"),CLASSNAMEHEADERS,0))),(IF("15"=(INDEX(ALLCLASSDATA,MATCH("SimpleLimitedTrained",CLASSFEATUREHEADERS,0),MATCH($A1879,CLASSNAMEHEADERS,0))),(INDEX(ALLCLASSDATA,MATCH("SimpleLimitedTrained",CLASSFEATUREHEADERS,0),MATCH(($A1879 &amp; "Points"),CLASSNAMEHEADERS,0))),"")))))))))}</f>
        <v>SIMPLELIMITEDL15</v>
      </c>
      <c r="W1878" s="223"/>
      <c r="X1878" s="223" t="str">
        <f t="array" ref="X1878:X1879">{"SIMPLELIMITEDL17";((IF("17"=(INDEX(ALLCLASSDATA,MATCH("SimpleLimitedLegendary",CLASSFEATUREHEADERS,0),MATCH($A1879,CLASSNAMEHEADERS,0))),(INDEX(ALLCLASSDATA,MATCH("SimpleLimitedLegendary",CLASSFEATUREHEADERS,0),MATCH(($A1879 &amp; "Points"),CLASSNAMEHEADERS,0))),(IF("17"=(INDEX(ALLCLASSDATA,MATCH("SimpleLimitedMaster",CLASSFEATUREHEADERS,0),MATCH($A1879,CLASSNAMEHEADERS,0))),(INDEX(ALLCLASSDATA,MATCH("SimpleLimitedMaster",CLASSFEATUREHEADERS,0),MATCH(($A1879 &amp; "Points"),CLASSNAMEHEADERS,0))),(IF("17"=(INDEX(ALLCLASSDATA,MATCH("SimpleLimitedExpert",CLASSFEATUREHEADERS,0),MATCH($A1879,CLASSNAMEHEADERS,0))),(INDEX(ALLCLASSDATA,MATCH("SimpleLimitedExpert",CLASSFEATUREHEADERS,0),MATCH(($A1879 &amp; "Points"),CLASSNAMEHEADERS,0))),(IF("17"=(INDEX(ALLCLASSDATA,MATCH("SimpleLimitedTrained",CLASSFEATUREHEADERS,0),MATCH($A1879,CLASSNAMEHEADERS,0))),(INDEX(ALLCLASSDATA,MATCH("SimpleLimitedTrained",CLASSFEATUREHEADERS,0),MATCH(($A1879 &amp; "Points"),CLASSNAMEHEADERS,0))),"")))))))))}</f>
        <v>SIMPLELIMITEDL17</v>
      </c>
      <c r="Y1878" s="223"/>
      <c r="Z1878" s="223" t="str">
        <f t="array" ref="Z1878:Z1879">{"SIMPLELIMITEDL19";((IF("19"=(INDEX(ALLCLASSDATA,MATCH("SimpleLimitedLegendary",CLASSFEATUREHEADERS,0),MATCH($A1879,CLASSNAMEHEADERS,0))),(INDEX(ALLCLASSDATA,MATCH("SimpleLimitedLegendary",CLASSFEATUREHEADERS,0),MATCH(($A1879 &amp; "Points"),CLASSNAMEHEADERS,0))),(IF("19"=(INDEX(ALLCLASSDATA,MATCH("SimpleLimitedMaster",CLASSFEATUREHEADERS,0),MATCH($A1879,CLASSNAMEHEADERS,0))),(INDEX(ALLCLASSDATA,MATCH("SimpleLimitedMaster",CLASSFEATUREHEADERS,0),MATCH(($A1879 &amp; "Points"),CLASSNAMEHEADERS,0))),(IF("19"=(INDEX(ALLCLASSDATA,MATCH("SimpleLimitedExpert",CLASSFEATUREHEADERS,0),MATCH($A1879,CLASSNAMEHEADERS,0))),(INDEX(ALLCLASSDATA,MATCH("SimpleLimitedExpert",CLASSFEATUREHEADERS,0),MATCH(($A1879 &amp; "Points"),CLASSNAMEHEADERS,0))),(IF("19"=(INDEX(ALLCLASSDATA,MATCH("SimpleLimitedTrained",CLASSFEATUREHEADERS,0),MATCH($A1879,CLASSNAMEHEADERS,0))),(INDEX(ALLCLASSDATA,MATCH("SimpleLimitedTrained",CLASSFEATUREHEADERS,0),MATCH(($A1879 &amp; "Points"),CLASSNAMEHEADERS,0))),"")))))))))}</f>
        <v>SIMPLELIMITEDL19</v>
      </c>
      <c r="AA1878" s="223"/>
      <c r="AB1878" s="76" t="str">
        <f t="array" ref="AB1878:AB1879">{"SIMPLELIMITED TOTAL";(IF(COUNTBLANK(G1879:AA1879)=17,"L",(IF(COUNTBLANK(G1879:AA1879)=18,"M",(IF(COUNTBLANK(G1879:AA1879)=19,"E",(IF(COUNTBLANK(G1879:AA1879)=20,"T",""))))))))}</f>
        <v>SIMPLELIMITED TOTAL</v>
      </c>
      <c r="AC1878" s="76" t="str">
        <f t="array" ref="AC1878:AC1879">{"SIMPLELIMITED TOTAL";(sum(G1879:AA1879))}</f>
        <v>SIMPLELIMITED TOTAL</v>
      </c>
    </row>
    <row r="1879">
      <c r="A1879" s="48" t="s">
        <v>229</v>
      </c>
      <c r="B1879" s="48"/>
      <c r="C1879" s="48" t="s">
        <v>418</v>
      </c>
      <c r="D1879" s="48" t="s">
        <v>1634</v>
      </c>
      <c r="E1879" s="48" t="s">
        <v>599</v>
      </c>
      <c r="F1879" s="5" t="s">
        <v>435</v>
      </c>
      <c r="G1879" s="47" t="s">
        <v>603</v>
      </c>
      <c r="H1879" s="5">
        <v>10.0</v>
      </c>
      <c r="I1879" s="5"/>
      <c r="J1879" s="5" t="s">
        <v>603</v>
      </c>
      <c r="K1879" s="5"/>
      <c r="L1879" s="5" t="s">
        <v>603</v>
      </c>
      <c r="M1879" s="5"/>
      <c r="N1879" s="5" t="s">
        <v>603</v>
      </c>
      <c r="O1879" s="5"/>
      <c r="P1879" s="5" t="s">
        <v>603</v>
      </c>
      <c r="Q1879" s="5"/>
      <c r="R1879" s="5">
        <v>50.0</v>
      </c>
      <c r="S1879" s="5"/>
      <c r="T1879" s="5" t="s">
        <v>603</v>
      </c>
      <c r="U1879" s="5"/>
      <c r="V1879" s="5" t="s">
        <v>603</v>
      </c>
      <c r="W1879" s="5"/>
      <c r="X1879" s="5" t="s">
        <v>603</v>
      </c>
      <c r="Y1879" s="5"/>
      <c r="Z1879" s="5" t="s">
        <v>603</v>
      </c>
      <c r="AA1879" s="5"/>
      <c r="AB1879" s="5" t="s">
        <v>436</v>
      </c>
      <c r="AC1879" s="47">
        <v>60.0</v>
      </c>
    </row>
    <row r="1880" hidden="1">
      <c r="A1880" s="222" t="str">
        <f t="array" ref="A1880:A1881">{"FormulaRow29";(INDEX(CLASSLIST,A1823,1))}</f>
        <v>FormulaRow29</v>
      </c>
      <c r="B1880" s="77" t="s">
        <v>236</v>
      </c>
      <c r="C1880" s="222" t="str">
        <f t="array" ref="C1880:C1881">{"CLASSTYPE";((INDEX(ALLCLASSDATA,MATCH("ClassType",CLASSFEATUREHEADERS,0),MATCH($A1881,CLASSNAMEHEADERS,0))))}</f>
        <v>CLASSTYPE</v>
      </c>
      <c r="D1880" s="222" t="str">
        <f t="array" ref="D1880:D1881">{"ATTACK";"Attack"}</f>
        <v>ATTACK</v>
      </c>
      <c r="E1880" s="222" t="str">
        <f t="array" ref="E1880:E1881">{"SIMPLE";"Simple"}</f>
        <v>SIMPLE</v>
      </c>
      <c r="F1880" s="223" t="str">
        <f t="array" ref="F1880:F1881">{"SIMPLEINITIAL";((IF(H1881=10,"T",(IF(H1881=50,"E","")))))}</f>
        <v>SIMPLEINITIAL</v>
      </c>
      <c r="G1880" s="223" t="str">
        <f t="array" ref="G1880:G1881">{"SIMPLEINITIALPTS";((IF("00"=(INDEX(ALLCLASSDATA,MATCH("SimpleLegendary",CLASSFEATUREHEADERS,0),MATCH($A1881,CLASSNAMEHEADERS,0))),(INDEX(ALLCLASSDATA,MATCH("SimpleLegendary",CLASSFEATUREHEADERS,0),MATCH(($A1881 &amp; "Points"),CLASSNAMEHEADERS,0))),(IF("00"=(INDEX(ALLCLASSDATA,MATCH("SimpleMaster",CLASSFEATUREHEADERS,0),MATCH($A1881,CLASSNAMEHEADERS,0))),(INDEX(ALLCLASSDATA,MATCH("SimpleMaster",CLASSFEATUREHEADERS,0),MATCH(($A1881 &amp; "Points"),CLASSNAMEHEADERS,0))),(IF("00"=(INDEX(ALLCLASSDATA,MATCH("SimpleExpert",CLASSFEATUREHEADERS,0),MATCH($A1881,CLASSNAMEHEADERS,0))),(INDEX(ALLCLASSDATA,MATCH("SimpleExpert",CLASSFEATUREHEADERS,0),MATCH(($A1881 &amp; "Points"),CLASSNAMEHEADERS,0))),(IF("00"=(INDEX(ALLCLASSDATA,MATCH("SimpleTrained",CLASSFEATUREHEADERS,0),MATCH($A1881,CLASSNAMEHEADERS,0))),(INDEX(ALLCLASSDATA,MATCH("SimpleTrained",CLASSFEATUREHEADERS,0),MATCH(($A1881 &amp; "Points"),CLASSNAMEHEADERS,0))),"")))))))))}</f>
        <v>SIMPLEINITIALPTS</v>
      </c>
      <c r="H1880" s="223" t="str">
        <f t="array" ref="H1880:H1881">{"SIMPLEL01";((IF("01"=(INDEX(ALLCLASSDATA,MATCH("SimpleLegendary",CLASSFEATUREHEADERS,0),MATCH($A1881,CLASSNAMEHEADERS,0))),(INDEX(ALLCLASSDATA,MATCH("SimpleLegendary",CLASSFEATUREHEADERS,0),MATCH(($A1881 &amp; "Points"),CLASSNAMEHEADERS,0))),(IF("01"=(INDEX(ALLCLASSDATA,MATCH("SimpleMaster",CLASSFEATUREHEADERS,0),MATCH($A1881,CLASSNAMEHEADERS,0))),(INDEX(ALLCLASSDATA,MATCH("SimpleMaster",CLASSFEATUREHEADERS,0),MATCH(($A1881 &amp; "Points"),CLASSNAMEHEADERS,0))),(IF("01"=(INDEX(ALLCLASSDATA,MATCH("SimpleExpert",CLASSFEATUREHEADERS,0),MATCH($A1881,CLASSNAMEHEADERS,0))),(INDEX(ALLCLASSDATA,MATCH("SimpleExpert",CLASSFEATUREHEADERS,0),MATCH(($A1881 &amp; "Points"),CLASSNAMEHEADERS,0))),(IF("01"=(INDEX(ALLCLASSDATA,MATCH("SimpleTrained",CLASSFEATUREHEADERS,0),MATCH($A1881,CLASSNAMEHEADERS,0))),(INDEX(ALLCLASSDATA,MATCH("SimpleTrained",CLASSFEATUREHEADERS,0),MATCH(($A1881 &amp; "Points"),CLASSNAMEHEADERS,0))),"")))))))))}</f>
        <v>SIMPLEL01</v>
      </c>
      <c r="I1880" s="223"/>
      <c r="J1880" s="223" t="str">
        <f t="array" ref="J1880:J1881">{"SIMPLEL03";((IF("03"=(INDEX(ALLCLASSDATA,MATCH("SimpleLegendary",CLASSFEATUREHEADERS,0),MATCH($A1881,CLASSNAMEHEADERS,0))),(INDEX(ALLCLASSDATA,MATCH("SimpleLegendary",CLASSFEATUREHEADERS,0),MATCH(($A1881 &amp; "Points"),CLASSNAMEHEADERS,0))),(IF("03"=(INDEX(ALLCLASSDATA,MATCH("SimpleMaster",CLASSFEATUREHEADERS,0),MATCH($A1881,CLASSNAMEHEADERS,0))),(INDEX(ALLCLASSDATA,MATCH("SimpleMaster",CLASSFEATUREHEADERS,0),MATCH(($A1881 &amp; "Points"),CLASSNAMEHEADERS,0))),(IF("03"=(INDEX(ALLCLASSDATA,MATCH("SimpleExpert",CLASSFEATUREHEADERS,0),MATCH($A1881,CLASSNAMEHEADERS,0))),(INDEX(ALLCLASSDATA,MATCH("SimpleExpert",CLASSFEATUREHEADERS,0),MATCH(($A1881 &amp; "Points"),CLASSNAMEHEADERS,0))),(IF("03"=(INDEX(ALLCLASSDATA,MATCH("SimpleTrained",CLASSFEATUREHEADERS,0),MATCH($A1881,CLASSNAMEHEADERS,0))),(INDEX(ALLCLASSDATA,MATCH("SimpleTrained",CLASSFEATUREHEADERS,0),MATCH(($A1881 &amp; "Points"),CLASSNAMEHEADERS,0))),"")))))))))}</f>
        <v>SIMPLEL03</v>
      </c>
      <c r="K1880" s="223"/>
      <c r="L1880" s="223" t="str">
        <f t="array" ref="L1880:L1881">{"SIMPLEL05";((IF("05"=(INDEX(ALLCLASSDATA,MATCH("SimpleLegendary",CLASSFEATUREHEADERS,0),MATCH($A1881,CLASSNAMEHEADERS,0))),(INDEX(ALLCLASSDATA,MATCH("SimpleLegendary",CLASSFEATUREHEADERS,0),MATCH(($A1881 &amp; "Points"),CLASSNAMEHEADERS,0))),(IF("05"=(INDEX(ALLCLASSDATA,MATCH("SimpleMaster",CLASSFEATUREHEADERS,0),MATCH($A1881,CLASSNAMEHEADERS,0))),(INDEX(ALLCLASSDATA,MATCH("SimpleMaster",CLASSFEATUREHEADERS,0),MATCH(($A1881 &amp; "Points"),CLASSNAMEHEADERS,0))),(IF("05"=(INDEX(ALLCLASSDATA,MATCH("SimpleExpert",CLASSFEATUREHEADERS,0),MATCH($A1881,CLASSNAMEHEADERS,0))),(INDEX(ALLCLASSDATA,MATCH("SimpleExpert",CLASSFEATUREHEADERS,0),MATCH(($A1881 &amp; "Points"),CLASSNAMEHEADERS,0))),(IF("05"=(INDEX(ALLCLASSDATA,MATCH("SimpleTrained",CLASSFEATUREHEADERS,0),MATCH($A1881,CLASSNAMEHEADERS,0))),(INDEX(ALLCLASSDATA,MATCH("SimpleTrained",CLASSFEATUREHEADERS,0),MATCH(($A1881 &amp; "Points"),CLASSNAMEHEADERS,0))),"")))))))))}</f>
        <v>SIMPLEL05</v>
      </c>
      <c r="M1880" s="223"/>
      <c r="N1880" s="223" t="str">
        <f t="array" ref="N1880:N1881">{"SIMPLEL07";((IF("07"=(INDEX(ALLCLASSDATA,MATCH("SimpleLegendary",CLASSFEATUREHEADERS,0),MATCH($A1881,CLASSNAMEHEADERS,0))),(INDEX(ALLCLASSDATA,MATCH("SimpleLegendary",CLASSFEATUREHEADERS,0),MATCH(($A1881 &amp; "Points"),CLASSNAMEHEADERS,0))),(IF("07"=(INDEX(ALLCLASSDATA,MATCH("SimpleMaster",CLASSFEATUREHEADERS,0),MATCH($A1881,CLASSNAMEHEADERS,0))),(INDEX(ALLCLASSDATA,MATCH("SimpleMaster",CLASSFEATUREHEADERS,0),MATCH(($A1881 &amp; "Points"),CLASSNAMEHEADERS,0))),(IF("07"=(INDEX(ALLCLASSDATA,MATCH("SimpleExpert",CLASSFEATUREHEADERS,0),MATCH($A1881,CLASSNAMEHEADERS,0))),(INDEX(ALLCLASSDATA,MATCH("SimpleExpert",CLASSFEATUREHEADERS,0),MATCH(($A1881 &amp; "Points"),CLASSNAMEHEADERS,0))),(IF("07"=(INDEX(ALLCLASSDATA,MATCH("SimpleTrained",CLASSFEATUREHEADERS,0),MATCH($A1881,CLASSNAMEHEADERS,0))),(INDEX(ALLCLASSDATA,MATCH("SimpleTrained",CLASSFEATUREHEADERS,0),MATCH(($A1881 &amp; "Points"),CLASSNAMEHEADERS,0))),"")))))))))}</f>
        <v>SIMPLEL07</v>
      </c>
      <c r="O1880" s="223"/>
      <c r="P1880" s="223" t="str">
        <f t="array" ref="P1880:P1881">{"SIMPLEL09";((IF("09"=(INDEX(ALLCLASSDATA,MATCH("SimpleLegendary",CLASSFEATUREHEADERS,0),MATCH($A1881,CLASSNAMEHEADERS,0))),(INDEX(ALLCLASSDATA,MATCH("SimpleLegendary",CLASSFEATUREHEADERS,0),MATCH(($A1881 &amp; "Points"),CLASSNAMEHEADERS,0))),(IF("09"=(INDEX(ALLCLASSDATA,MATCH("SimpleMaster",CLASSFEATUREHEADERS,0),MATCH($A1881,CLASSNAMEHEADERS,0))),(INDEX(ALLCLASSDATA,MATCH("SimpleMaster",CLASSFEATUREHEADERS,0),MATCH(($A1881 &amp; "Points"),CLASSNAMEHEADERS,0))),(IF("09"=(INDEX(ALLCLASSDATA,MATCH("SimpleExpert",CLASSFEATUREHEADERS,0),MATCH($A1881,CLASSNAMEHEADERS,0))),(INDEX(ALLCLASSDATA,MATCH("SimpleExpert",CLASSFEATUREHEADERS,0),MATCH(($A1881 &amp; "Points"),CLASSNAMEHEADERS,0))),(IF("09"=(INDEX(ALLCLASSDATA,MATCH("SimpleTrained",CLASSFEATUREHEADERS,0),MATCH($A1881,CLASSNAMEHEADERS,0))),(INDEX(ALLCLASSDATA,MATCH("SimpleTrained",CLASSFEATUREHEADERS,0),MATCH(($A1881 &amp; "Points"),CLASSNAMEHEADERS,0))),"")))))))))}</f>
        <v>SIMPLEL09</v>
      </c>
      <c r="Q1880" s="223"/>
      <c r="R1880" s="223" t="str">
        <f t="array" ref="R1880:R1881">{"SIMPLEL11";((IF("11"=(INDEX(ALLCLASSDATA,MATCH("SimpleLegendary",CLASSFEATUREHEADERS,0),MATCH($A1881,CLASSNAMEHEADERS,0))),(INDEX(ALLCLASSDATA,MATCH("SimpleLegendary",CLASSFEATUREHEADERS,0),MATCH(($A1881 &amp; "Points"),CLASSNAMEHEADERS,0))),(IF("11"=(INDEX(ALLCLASSDATA,MATCH("SimpleMaster",CLASSFEATUREHEADERS,0),MATCH($A1881,CLASSNAMEHEADERS,0))),(INDEX(ALLCLASSDATA,MATCH("SimpleMaster",CLASSFEATUREHEADERS,0),MATCH(($A1881 &amp; "Points"),CLASSNAMEHEADERS,0))),(IF("11"=(INDEX(ALLCLASSDATA,MATCH("SimpleExpert",CLASSFEATUREHEADERS,0),MATCH($A1881,CLASSNAMEHEADERS,0))),(INDEX(ALLCLASSDATA,MATCH("SimpleExpert",CLASSFEATUREHEADERS,0),MATCH(($A1881 &amp; "Points"),CLASSNAMEHEADERS,0))),(IF("11"=(INDEX(ALLCLASSDATA,MATCH("SimpleTrained",CLASSFEATUREHEADERS,0),MATCH($A1881,CLASSNAMEHEADERS,0))),(INDEX(ALLCLASSDATA,MATCH("SimpleTrained",CLASSFEATUREHEADERS,0),MATCH(($A1881 &amp; "Points"),CLASSNAMEHEADERS,0))),"")))))))))}</f>
        <v>SIMPLEL11</v>
      </c>
      <c r="S1880" s="223"/>
      <c r="T1880" s="223" t="str">
        <f t="array" ref="T1880:T1881">{"SIMPLEL13";((IF("13"=(INDEX(ALLCLASSDATA,MATCH("SimpleLegendary",CLASSFEATUREHEADERS,0),MATCH($A1881,CLASSNAMEHEADERS,0))),(INDEX(ALLCLASSDATA,MATCH("SimpleLegendary",CLASSFEATUREHEADERS,0),MATCH(($A1881 &amp; "Points"),CLASSNAMEHEADERS,0))),(IF("13"=(INDEX(ALLCLASSDATA,MATCH("SimpleMaster",CLASSFEATUREHEADERS,0),MATCH($A1881,CLASSNAMEHEADERS,0))),(INDEX(ALLCLASSDATA,MATCH("SimpleMaster",CLASSFEATUREHEADERS,0),MATCH(($A1881 &amp; "Points"),CLASSNAMEHEADERS,0))),(IF("13"=(INDEX(ALLCLASSDATA,MATCH("SimpleExpert",CLASSFEATUREHEADERS,0),MATCH($A1881,CLASSNAMEHEADERS,0))),(INDEX(ALLCLASSDATA,MATCH("SimpleExpert",CLASSFEATUREHEADERS,0),MATCH(($A1881 &amp; "Points"),CLASSNAMEHEADERS,0))),(IF("13"=(INDEX(ALLCLASSDATA,MATCH("SimpleTrained",CLASSFEATUREHEADERS,0),MATCH($A1881,CLASSNAMEHEADERS,0))),(INDEX(ALLCLASSDATA,MATCH("SimpleTrained",CLASSFEATUREHEADERS,0),MATCH(($A1881 &amp; "Points"),CLASSNAMEHEADERS,0))),"")))))))))}</f>
        <v>SIMPLEL13</v>
      </c>
      <c r="U1880" s="223"/>
      <c r="V1880" s="223" t="str">
        <f t="array" ref="V1880:V1881">{"SIMPLEL15";((IF("15"=(INDEX(ALLCLASSDATA,MATCH("SimpleLegendary",CLASSFEATUREHEADERS,0),MATCH($A1881,CLASSNAMEHEADERS,0))),(INDEX(ALLCLASSDATA,MATCH("SimpleLegendary",CLASSFEATUREHEADERS,0),MATCH(($A1881 &amp; "Points"),CLASSNAMEHEADERS,0))),(IF("15"=(INDEX(ALLCLASSDATA,MATCH("SimpleMaster",CLASSFEATUREHEADERS,0),MATCH($A1881,CLASSNAMEHEADERS,0))),(INDEX(ALLCLASSDATA,MATCH("SimpleMaster",CLASSFEATUREHEADERS,0),MATCH(($A1881 &amp; "Points"),CLASSNAMEHEADERS,0))),(IF("15"=(INDEX(ALLCLASSDATA,MATCH("SimpleExpert",CLASSFEATUREHEADERS,0),MATCH($A1881,CLASSNAMEHEADERS,0))),(INDEX(ALLCLASSDATA,MATCH("SimpleExpert",CLASSFEATUREHEADERS,0),MATCH(($A1881 &amp; "Points"),CLASSNAMEHEADERS,0))),(IF("15"=(INDEX(ALLCLASSDATA,MATCH("SimpleTrained",CLASSFEATUREHEADERS,0),MATCH($A1881,CLASSNAMEHEADERS,0))),(INDEX(ALLCLASSDATA,MATCH("SimpleTrained",CLASSFEATUREHEADERS,0),MATCH(($A1881 &amp; "Points"),CLASSNAMEHEADERS,0))),"")))))))))}</f>
        <v>SIMPLEL15</v>
      </c>
      <c r="W1880" s="223"/>
      <c r="X1880" s="223" t="str">
        <f t="array" ref="X1880:X1881">{"SIMPLEL17";((IF("17"=(INDEX(ALLCLASSDATA,MATCH("SimpleLegendary",CLASSFEATUREHEADERS,0),MATCH($A1881,CLASSNAMEHEADERS,0))),(INDEX(ALLCLASSDATA,MATCH("SimpleLegendary",CLASSFEATUREHEADERS,0),MATCH(($A1881 &amp; "Points"),CLASSNAMEHEADERS,0))),(IF("17"=(INDEX(ALLCLASSDATA,MATCH("SimpleMaster",CLASSFEATUREHEADERS,0),MATCH($A1881,CLASSNAMEHEADERS,0))),(INDEX(ALLCLASSDATA,MATCH("SimpleMaster",CLASSFEATUREHEADERS,0),MATCH(($A1881 &amp; "Points"),CLASSNAMEHEADERS,0))),(IF("17"=(INDEX(ALLCLASSDATA,MATCH("SimpleExpert",CLASSFEATUREHEADERS,0),MATCH($A1881,CLASSNAMEHEADERS,0))),(INDEX(ALLCLASSDATA,MATCH("SimpleExpert",CLASSFEATUREHEADERS,0),MATCH(($A1881 &amp; "Points"),CLASSNAMEHEADERS,0))),(IF("17"=(INDEX(ALLCLASSDATA,MATCH("SimpleTrained",CLASSFEATUREHEADERS,0),MATCH($A1881,CLASSNAMEHEADERS,0))),(INDEX(ALLCLASSDATA,MATCH("SimpleTrained",CLASSFEATUREHEADERS,0),MATCH(($A1881 &amp; "Points"),CLASSNAMEHEADERS,0))),"")))))))))}</f>
        <v>SIMPLEL17</v>
      </c>
      <c r="Y1880" s="223"/>
      <c r="Z1880" s="223" t="str">
        <f t="array" ref="Z1880:Z1881">{"SIMPLEL19";((IF("19"=(INDEX(ALLCLASSDATA,MATCH("SimpleLegendary",CLASSFEATUREHEADERS,0),MATCH($A1881,CLASSNAMEHEADERS,0))),(INDEX(ALLCLASSDATA,MATCH("SimpleLegendary",CLASSFEATUREHEADERS,0),MATCH(($A1881 &amp; "Points"),CLASSNAMEHEADERS,0))),(IF("19"=(INDEX(ALLCLASSDATA,MATCH("SimpleMaster",CLASSFEATUREHEADERS,0),MATCH($A1881,CLASSNAMEHEADERS,0))),(INDEX(ALLCLASSDATA,MATCH("SimpleMaster",CLASSFEATUREHEADERS,0),MATCH(($A1881 &amp; "Points"),CLASSNAMEHEADERS,0))),(IF("19"=(INDEX(ALLCLASSDATA,MATCH("SimpleExpert",CLASSFEATUREHEADERS,0),MATCH($A1881,CLASSNAMEHEADERS,0))),(INDEX(ALLCLASSDATA,MATCH("SimpleExpert",CLASSFEATUREHEADERS,0),MATCH(($A1881 &amp; "Points"),CLASSNAMEHEADERS,0))),(IF("19"=(INDEX(ALLCLASSDATA,MATCH("SimpleTrained",CLASSFEATUREHEADERS,0),MATCH($A1881,CLASSNAMEHEADERS,0))),(INDEX(ALLCLASSDATA,MATCH("SimpleTrained",CLASSFEATUREHEADERS,0),MATCH(($A1881 &amp; "Points"),CLASSNAMEHEADERS,0))),"")))))))))}</f>
        <v>SIMPLEL19</v>
      </c>
      <c r="AA1880" s="223"/>
      <c r="AB1880" s="76" t="str">
        <f t="array" ref="AB1880:AB1881">{"SIMPLE TOTAL";(IF(COUNTBLANK(G1881:AA1881)=17,"L",(IF(COUNTBLANK(G1881:AA1881)=18,"M",(IF(COUNTBLANK(G1881:AA1881)=19,"E",(IF(COUNTBLANK(G1881:AA1881)=20,"T",""))))))))}</f>
        <v>SIMPLE TOTAL</v>
      </c>
      <c r="AC1880" s="76" t="str">
        <f t="array" ref="AC1880:AC1881">{"SIMPLE TOTAL";(sum(G1881:AA1881))}</f>
        <v>SIMPLE TOTAL</v>
      </c>
    </row>
    <row r="1881">
      <c r="A1881" s="48" t="s">
        <v>229</v>
      </c>
      <c r="B1881" s="48"/>
      <c r="C1881" s="48" t="s">
        <v>418</v>
      </c>
      <c r="D1881" s="48" t="s">
        <v>1634</v>
      </c>
      <c r="E1881" s="48" t="s">
        <v>68</v>
      </c>
      <c r="F1881" s="5" t="s">
        <v>603</v>
      </c>
      <c r="G1881" s="47" t="s">
        <v>603</v>
      </c>
      <c r="H1881" s="5" t="s">
        <v>603</v>
      </c>
      <c r="I1881" s="5"/>
      <c r="J1881" s="5" t="s">
        <v>603</v>
      </c>
      <c r="K1881" s="5"/>
      <c r="L1881" s="5" t="s">
        <v>603</v>
      </c>
      <c r="M1881" s="5"/>
      <c r="N1881" s="5" t="s">
        <v>603</v>
      </c>
      <c r="O1881" s="5"/>
      <c r="P1881" s="5" t="s">
        <v>603</v>
      </c>
      <c r="Q1881" s="5"/>
      <c r="R1881" s="5" t="s">
        <v>603</v>
      </c>
      <c r="S1881" s="5"/>
      <c r="T1881" s="5" t="s">
        <v>603</v>
      </c>
      <c r="U1881" s="5"/>
      <c r="V1881" s="5" t="s">
        <v>603</v>
      </c>
      <c r="W1881" s="5"/>
      <c r="X1881" s="5" t="s">
        <v>603</v>
      </c>
      <c r="Y1881" s="5"/>
      <c r="Z1881" s="5" t="s">
        <v>603</v>
      </c>
      <c r="AA1881" s="5"/>
      <c r="AB1881" s="5" t="s">
        <v>603</v>
      </c>
      <c r="AC1881" s="47">
        <v>0.0</v>
      </c>
    </row>
    <row r="1882" hidden="1">
      <c r="A1882" s="222" t="str">
        <f t="array" ref="A1882:A1883">{"FormulaRow30";(INDEX(CLASSLIST,A1823,1))}</f>
        <v>FormulaRow30</v>
      </c>
      <c r="B1882" s="77" t="s">
        <v>236</v>
      </c>
      <c r="C1882" s="222" t="str">
        <f t="array" ref="C1882:C1883">{"CLASSTYPE";((INDEX(ALLCLASSDATA,MATCH("ClassType",CLASSFEATUREHEADERS,0),MATCH($A1883,CLASSNAMEHEADERS,0))))}</f>
        <v>CLASSTYPE</v>
      </c>
      <c r="D1882" s="222" t="str">
        <f t="array" ref="D1882:D1883">{"ATTACK";"Attack"}</f>
        <v>ATTACK</v>
      </c>
      <c r="E1882" s="222" t="str">
        <f t="array" ref="E1882:E1883">{"MARTIALLIMITED";"MartialLimited"}</f>
        <v>MARTIALLIMITED</v>
      </c>
      <c r="F1882" s="223" t="str">
        <f t="array" ref="F1882:F1883">{"MARTIALLIMITEDINITIAL";((IF(H1883=10,"T",(IF(H1883=50,"E","")))))}</f>
        <v>MARTIALLIMITEDINITIAL</v>
      </c>
      <c r="G1882" s="223" t="str">
        <f t="array" ref="G1882:G1883">{"MARTIALLIMITEDINITIALPTS";((IF("00"=(INDEX(ALLCLASSDATA,MATCH("MartialLimitedLegendary",CLASSFEATUREHEADERS,0),MATCH($A1883,CLASSNAMEHEADERS,0))),(INDEX(ALLCLASSDATA,MATCH("MartialLimitedLegendary",CLASSFEATUREHEADERS,0),MATCH(($A1883 &amp; "Points"),CLASSNAMEHEADERS,0))),(IF("00"=(INDEX(ALLCLASSDATA,MATCH("MartialLimitedMaster",CLASSFEATUREHEADERS,0),MATCH($A1883,CLASSNAMEHEADERS,0))),(INDEX(ALLCLASSDATA,MATCH("MartialLimitedMaster",CLASSFEATUREHEADERS,0),MATCH(($A1883 &amp; "Points"),CLASSNAMEHEADERS,0))),(IF("00"=(INDEX(ALLCLASSDATA,MATCH("MartialLimitedExpert",CLASSFEATUREHEADERS,0),MATCH($A1883,CLASSNAMEHEADERS,0))),(INDEX(ALLCLASSDATA,MATCH("MartialLimitedExpert",CLASSFEATUREHEADERS,0),MATCH(($A1883 &amp; "Points"),CLASSNAMEHEADERS,0))),(IF("00"=(INDEX(ALLCLASSDATA,MATCH("MartialLimitedTrained",CLASSFEATUREHEADERS,0),MATCH($A1883,CLASSNAMEHEADERS,0))),(INDEX(ALLCLASSDATA,MATCH("MartialLimitedTrained",CLASSFEATUREHEADERS,0),MATCH(($A1883 &amp; "Points"),CLASSNAMEHEADERS,0))),"")))))))))}</f>
        <v>MARTIALLIMITEDINITIALPTS</v>
      </c>
      <c r="H1882" s="223" t="str">
        <f t="array" ref="H1882:H1883">{"MARTIALLIMITEDL01";((IF("01"=(INDEX(ALLCLASSDATA,MATCH("MartialLimitedLegendary",CLASSFEATUREHEADERS,0),MATCH($A1883,CLASSNAMEHEADERS,0))),(INDEX(ALLCLASSDATA,MATCH("MartialLimitedLegendary",CLASSFEATUREHEADERS,0),MATCH(($A1883 &amp; "Points"),CLASSNAMEHEADERS,0))),(IF("01"=(INDEX(ALLCLASSDATA,MATCH("MartialLimitedMaster",CLASSFEATUREHEADERS,0),MATCH($A1883,CLASSNAMEHEADERS,0))),(INDEX(ALLCLASSDATA,MATCH("MartialLimitedMaster",CLASSFEATUREHEADERS,0),MATCH(($A1883 &amp; "Points"),CLASSNAMEHEADERS,0))),(IF("01"=(INDEX(ALLCLASSDATA,MATCH("MartialLimitedExpert",CLASSFEATUREHEADERS,0),MATCH($A1883,CLASSNAMEHEADERS,0))),(INDEX(ALLCLASSDATA,MATCH("MartialLimitedExpert",CLASSFEATUREHEADERS,0),MATCH(($A1883 &amp; "Points"),CLASSNAMEHEADERS,0))),(IF("01"=(INDEX(ALLCLASSDATA,MATCH("MartialLimitedTrained",CLASSFEATUREHEADERS,0),MATCH($A1883,CLASSNAMEHEADERS,0))),(INDEX(ALLCLASSDATA,MATCH("MartialLimitedTrained",CLASSFEATUREHEADERS,0),MATCH(($A1883 &amp; "Points"),CLASSNAMEHEADERS,0))),"")))))))))}</f>
        <v>MARTIALLIMITEDL01</v>
      </c>
      <c r="I1882" s="223"/>
      <c r="J1882" s="223" t="str">
        <f t="array" ref="J1882:J1883">{"MARTIALLIMITEDL03";((IF("03"=(INDEX(ALLCLASSDATA,MATCH("MartialLimitedLegendary",CLASSFEATUREHEADERS,0),MATCH($A1883,CLASSNAMEHEADERS,0))),(INDEX(ALLCLASSDATA,MATCH("MartialLimitedLegendary",CLASSFEATUREHEADERS,0),MATCH(($A1883 &amp; "Points"),CLASSNAMEHEADERS,0))),(IF("03"=(INDEX(ALLCLASSDATA,MATCH("MartialLimitedMaster",CLASSFEATUREHEADERS,0),MATCH($A1883,CLASSNAMEHEADERS,0))),(INDEX(ALLCLASSDATA,MATCH("MartialLimitedMaster",CLASSFEATUREHEADERS,0),MATCH(($A1883 &amp; "Points"),CLASSNAMEHEADERS,0))),(IF("03"=(INDEX(ALLCLASSDATA,MATCH("MartialLimitedExpert",CLASSFEATUREHEADERS,0),MATCH($A1883,CLASSNAMEHEADERS,0))),(INDEX(ALLCLASSDATA,MATCH("MartialLimitedExpert",CLASSFEATUREHEADERS,0),MATCH(($A1883 &amp; "Points"),CLASSNAMEHEADERS,0))),(IF("03"=(INDEX(ALLCLASSDATA,MATCH("MartialLimitedTrained",CLASSFEATUREHEADERS,0),MATCH($A1883,CLASSNAMEHEADERS,0))),(INDEX(ALLCLASSDATA,MATCH("MartialLimitedTrained",CLASSFEATUREHEADERS,0),MATCH(($A1883 &amp; "Points"),CLASSNAMEHEADERS,0))),"")))))))))}</f>
        <v>MARTIALLIMITEDL03</v>
      </c>
      <c r="K1882" s="223"/>
      <c r="L1882" s="223" t="str">
        <f t="array" ref="L1882:L1883">{"MARTIALLIMITEDL05";((IF("05"=(INDEX(ALLCLASSDATA,MATCH("MartialLimitedLegendary",CLASSFEATUREHEADERS,0),MATCH($A1883,CLASSNAMEHEADERS,0))),(INDEX(ALLCLASSDATA,MATCH("MartialLimitedLegendary",CLASSFEATUREHEADERS,0),MATCH(($A1883 &amp; "Points"),CLASSNAMEHEADERS,0))),(IF("05"=(INDEX(ALLCLASSDATA,MATCH("MartialLimitedMaster",CLASSFEATUREHEADERS,0),MATCH($A1883,CLASSNAMEHEADERS,0))),(INDEX(ALLCLASSDATA,MATCH("MartialLimitedMaster",CLASSFEATUREHEADERS,0),MATCH(($A1883 &amp; "Points"),CLASSNAMEHEADERS,0))),(IF("05"=(INDEX(ALLCLASSDATA,MATCH("MartialLimitedExpert",CLASSFEATUREHEADERS,0),MATCH($A1883,CLASSNAMEHEADERS,0))),(INDEX(ALLCLASSDATA,MATCH("MartialLimitedExpert",CLASSFEATUREHEADERS,0),MATCH(($A1883 &amp; "Points"),CLASSNAMEHEADERS,0))),(IF("05"=(INDEX(ALLCLASSDATA,MATCH("MartialLimitedTrained",CLASSFEATUREHEADERS,0),MATCH($A1883,CLASSNAMEHEADERS,0))),(INDEX(ALLCLASSDATA,MATCH("MartialLimitedTrained",CLASSFEATUREHEADERS,0),MATCH(($A1883 &amp; "Points"),CLASSNAMEHEADERS,0))),"")))))))))}</f>
        <v>MARTIALLIMITEDL05</v>
      </c>
      <c r="M1882" s="223"/>
      <c r="N1882" s="223" t="str">
        <f t="array" ref="N1882:N1883">{"MARTIALLIMITEDL07";((IF("07"=(INDEX(ALLCLASSDATA,MATCH("MartialLimitedLegendary",CLASSFEATUREHEADERS,0),MATCH($A1883,CLASSNAMEHEADERS,0))),(INDEX(ALLCLASSDATA,MATCH("MartialLimitedLegendary",CLASSFEATUREHEADERS,0),MATCH(($A1883 &amp; "Points"),CLASSNAMEHEADERS,0))),(IF("07"=(INDEX(ALLCLASSDATA,MATCH("MartialLimitedMaster",CLASSFEATUREHEADERS,0),MATCH($A1883,CLASSNAMEHEADERS,0))),(INDEX(ALLCLASSDATA,MATCH("MartialLimitedMaster",CLASSFEATUREHEADERS,0),MATCH(($A1883 &amp; "Points"),CLASSNAMEHEADERS,0))),(IF("07"=(INDEX(ALLCLASSDATA,MATCH("MartialLimitedExpert",CLASSFEATUREHEADERS,0),MATCH($A1883,CLASSNAMEHEADERS,0))),(INDEX(ALLCLASSDATA,MATCH("MartialLimitedExpert",CLASSFEATUREHEADERS,0),MATCH(($A1883 &amp; "Points"),CLASSNAMEHEADERS,0))),(IF("07"=(INDEX(ALLCLASSDATA,MATCH("MartialLimitedTrained",CLASSFEATUREHEADERS,0),MATCH($A1883,CLASSNAMEHEADERS,0))),(INDEX(ALLCLASSDATA,MATCH("MartialLimitedTrained",CLASSFEATUREHEADERS,0),MATCH(($A1883 &amp; "Points"),CLASSNAMEHEADERS,0))),"")))))))))}</f>
        <v>MARTIALLIMITEDL07</v>
      </c>
      <c r="O1882" s="223"/>
      <c r="P1882" s="223" t="str">
        <f t="array" ref="P1882:P1883">{"MARTIALLIMITEDL09";((IF("09"=(INDEX(ALLCLASSDATA,MATCH("MartialLimitedLegendary",CLASSFEATUREHEADERS,0),MATCH($A1883,CLASSNAMEHEADERS,0))),(INDEX(ALLCLASSDATA,MATCH("MartialLimitedLegendary",CLASSFEATUREHEADERS,0),MATCH(($A1883 &amp; "Points"),CLASSNAMEHEADERS,0))),(IF("09"=(INDEX(ALLCLASSDATA,MATCH("MartialLimitedMaster",CLASSFEATUREHEADERS,0),MATCH($A1883,CLASSNAMEHEADERS,0))),(INDEX(ALLCLASSDATA,MATCH("MartialLimitedMaster",CLASSFEATUREHEADERS,0),MATCH(($A1883 &amp; "Points"),CLASSNAMEHEADERS,0))),(IF("09"=(INDEX(ALLCLASSDATA,MATCH("MartialLimitedExpert",CLASSFEATUREHEADERS,0),MATCH($A1883,CLASSNAMEHEADERS,0))),(INDEX(ALLCLASSDATA,MATCH("MartialLimitedExpert",CLASSFEATUREHEADERS,0),MATCH(($A1883 &amp; "Points"),CLASSNAMEHEADERS,0))),(IF("09"=(INDEX(ALLCLASSDATA,MATCH("MartialLimitedTrained",CLASSFEATUREHEADERS,0),MATCH($A1883,CLASSNAMEHEADERS,0))),(INDEX(ALLCLASSDATA,MATCH("MartialLimitedTrained",CLASSFEATUREHEADERS,0),MATCH(($A1883 &amp; "Points"),CLASSNAMEHEADERS,0))),"")))))))))}</f>
        <v>MARTIALLIMITEDL09</v>
      </c>
      <c r="Q1882" s="223"/>
      <c r="R1882" s="223" t="str">
        <f t="array" ref="R1882:R1883">{"MARTIALLIMITEDL11";((IF("11"=(INDEX(ALLCLASSDATA,MATCH("MartialLimitedLegendary",CLASSFEATUREHEADERS,0),MATCH($A1883,CLASSNAMEHEADERS,0))),(INDEX(ALLCLASSDATA,MATCH("MartialLimitedLegendary",CLASSFEATUREHEADERS,0),MATCH(($A1883 &amp; "Points"),CLASSNAMEHEADERS,0))),(IF("11"=(INDEX(ALLCLASSDATA,MATCH("MartialLimitedMaster",CLASSFEATUREHEADERS,0),MATCH($A1883,CLASSNAMEHEADERS,0))),(INDEX(ALLCLASSDATA,MATCH("MartialLimitedMaster",CLASSFEATUREHEADERS,0),MATCH(($A1883 &amp; "Points"),CLASSNAMEHEADERS,0))),(IF("11"=(INDEX(ALLCLASSDATA,MATCH("MartialLimitedExpert",CLASSFEATUREHEADERS,0),MATCH($A1883,CLASSNAMEHEADERS,0))),(INDEX(ALLCLASSDATA,MATCH("MartialLimitedExpert",CLASSFEATUREHEADERS,0),MATCH(($A1883 &amp; "Points"),CLASSNAMEHEADERS,0))),(IF("11"=(INDEX(ALLCLASSDATA,MATCH("MartialLimitedTrained",CLASSFEATUREHEADERS,0),MATCH($A1883,CLASSNAMEHEADERS,0))),(INDEX(ALLCLASSDATA,MATCH("MartialLimitedTrained",CLASSFEATUREHEADERS,0),MATCH(($A1883 &amp; "Points"),CLASSNAMEHEADERS,0))),"")))))))))}</f>
        <v>MARTIALLIMITEDL11</v>
      </c>
      <c r="S1882" s="223"/>
      <c r="T1882" s="223" t="str">
        <f t="array" ref="T1882:T1883">{"MARTIALLIMITEDL13";((IF("13"=(INDEX(ALLCLASSDATA,MATCH("MartialLimitedLegendary",CLASSFEATUREHEADERS,0),MATCH($A1883,CLASSNAMEHEADERS,0))),(INDEX(ALLCLASSDATA,MATCH("MartialLimitedLegendary",CLASSFEATUREHEADERS,0),MATCH(($A1883 &amp; "Points"),CLASSNAMEHEADERS,0))),(IF("13"=(INDEX(ALLCLASSDATA,MATCH("MartialLimitedMaster",CLASSFEATUREHEADERS,0),MATCH($A1883,CLASSNAMEHEADERS,0))),(INDEX(ALLCLASSDATA,MATCH("MartialLimitedMaster",CLASSFEATUREHEADERS,0),MATCH(($A1883 &amp; "Points"),CLASSNAMEHEADERS,0))),(IF("13"=(INDEX(ALLCLASSDATA,MATCH("MartialLimitedExpert",CLASSFEATUREHEADERS,0),MATCH($A1883,CLASSNAMEHEADERS,0))),(INDEX(ALLCLASSDATA,MATCH("MartialLimitedExpert",CLASSFEATUREHEADERS,0),MATCH(($A1883 &amp; "Points"),CLASSNAMEHEADERS,0))),(IF("13"=(INDEX(ALLCLASSDATA,MATCH("MartialLimitedTrained",CLASSFEATUREHEADERS,0),MATCH($A1883,CLASSNAMEHEADERS,0))),(INDEX(ALLCLASSDATA,MATCH("MartialLimitedTrained",CLASSFEATUREHEADERS,0),MATCH(($A1883 &amp; "Points"),CLASSNAMEHEADERS,0))),"")))))))))}</f>
        <v>MARTIALLIMITEDL13</v>
      </c>
      <c r="U1882" s="223"/>
      <c r="V1882" s="223" t="str">
        <f t="array" ref="V1882:V1883">{"MARTIALLIMITEDL15";((IF("15"=(INDEX(ALLCLASSDATA,MATCH("MartialLimitedLegendary",CLASSFEATUREHEADERS,0),MATCH($A1883,CLASSNAMEHEADERS,0))),(INDEX(ALLCLASSDATA,MATCH("MartialLimitedLegendary",CLASSFEATUREHEADERS,0),MATCH(($A1883 &amp; "Points"),CLASSNAMEHEADERS,0))),(IF("15"=(INDEX(ALLCLASSDATA,MATCH("MartialLimitedMaster",CLASSFEATUREHEADERS,0),MATCH($A1883,CLASSNAMEHEADERS,0))),(INDEX(ALLCLASSDATA,MATCH("MartialLimitedMaster",CLASSFEATUREHEADERS,0),MATCH(($A1883 &amp; "Points"),CLASSNAMEHEADERS,0))),(IF("15"=(INDEX(ALLCLASSDATA,MATCH("MartialLimitedExpert",CLASSFEATUREHEADERS,0),MATCH($A1883,CLASSNAMEHEADERS,0))),(INDEX(ALLCLASSDATA,MATCH("MartialLimitedExpert",CLASSFEATUREHEADERS,0),MATCH(($A1883 &amp; "Points"),CLASSNAMEHEADERS,0))),(IF("15"=(INDEX(ALLCLASSDATA,MATCH("MartialLimitedTrained",CLASSFEATUREHEADERS,0),MATCH($A1883,CLASSNAMEHEADERS,0))),(INDEX(ALLCLASSDATA,MATCH("MartialLimitedTrained",CLASSFEATUREHEADERS,0),MATCH(($A1883 &amp; "Points"),CLASSNAMEHEADERS,0))),"")))))))))}</f>
        <v>MARTIALLIMITEDL15</v>
      </c>
      <c r="W1882" s="223"/>
      <c r="X1882" s="223" t="str">
        <f t="array" ref="X1882:X1883">{"MARTIALLIMITEDL17";((IF("17"=(INDEX(ALLCLASSDATA,MATCH("MartialLimitedLegendary",CLASSFEATUREHEADERS,0),MATCH($A1883,CLASSNAMEHEADERS,0))),(INDEX(ALLCLASSDATA,MATCH("MartialLimitedLegendary",CLASSFEATUREHEADERS,0),MATCH(($A1883 &amp; "Points"),CLASSNAMEHEADERS,0))),(IF("17"=(INDEX(ALLCLASSDATA,MATCH("MartialLimitedMaster",CLASSFEATUREHEADERS,0),MATCH($A1883,CLASSNAMEHEADERS,0))),(INDEX(ALLCLASSDATA,MATCH("MartialLimitedMaster",CLASSFEATUREHEADERS,0),MATCH(($A1883 &amp; "Points"),CLASSNAMEHEADERS,0))),(IF("17"=(INDEX(ALLCLASSDATA,MATCH("MartialLimitedExpert",CLASSFEATUREHEADERS,0),MATCH($A1883,CLASSNAMEHEADERS,0))),(INDEX(ALLCLASSDATA,MATCH("MartialLimitedExpert",CLASSFEATUREHEADERS,0),MATCH(($A1883 &amp; "Points"),CLASSNAMEHEADERS,0))),(IF("17"=(INDEX(ALLCLASSDATA,MATCH("MartialLimitedTrained",CLASSFEATUREHEADERS,0),MATCH($A1883,CLASSNAMEHEADERS,0))),(INDEX(ALLCLASSDATA,MATCH("MartialLimitedTrained",CLASSFEATUREHEADERS,0),MATCH(($A1883 &amp; "Points"),CLASSNAMEHEADERS,0))),"")))))))))}</f>
        <v>MARTIALLIMITEDL17</v>
      </c>
      <c r="Y1882" s="223"/>
      <c r="Z1882" s="223" t="str">
        <f t="array" ref="Z1882:Z1883">{"MARTIALLIMITEDL19";((IF("19"=(INDEX(ALLCLASSDATA,MATCH("MartialLimitedLegendary",CLASSFEATUREHEADERS,0),MATCH($A1883,CLASSNAMEHEADERS,0))),(INDEX(ALLCLASSDATA,MATCH("MartialLimitedLegendary",CLASSFEATUREHEADERS,0),MATCH(($A1883 &amp; "Points"),CLASSNAMEHEADERS,0))),(IF("19"=(INDEX(ALLCLASSDATA,MATCH("MartialLimitedMaster",CLASSFEATUREHEADERS,0),MATCH($A1883,CLASSNAMEHEADERS,0))),(INDEX(ALLCLASSDATA,MATCH("MartialLimitedMaster",CLASSFEATUREHEADERS,0),MATCH(($A1883 &amp; "Points"),CLASSNAMEHEADERS,0))),(IF("19"=(INDEX(ALLCLASSDATA,MATCH("MartialLimitedExpert",CLASSFEATUREHEADERS,0),MATCH($A1883,CLASSNAMEHEADERS,0))),(INDEX(ALLCLASSDATA,MATCH("MartialLimitedExpert",CLASSFEATUREHEADERS,0),MATCH(($A1883 &amp; "Points"),CLASSNAMEHEADERS,0))),(IF("19"=(INDEX(ALLCLASSDATA,MATCH("MartialLimitedTrained",CLASSFEATUREHEADERS,0),MATCH($A1883,CLASSNAMEHEADERS,0))),(INDEX(ALLCLASSDATA,MATCH("MartialLimitedTrained",CLASSFEATUREHEADERS,0),MATCH(($A1883 &amp; "Points"),CLASSNAMEHEADERS,0))),"")))))))))}</f>
        <v>MARTIALLIMITEDL19</v>
      </c>
      <c r="AA1882" s="223"/>
      <c r="AB1882" s="76" t="str">
        <f t="array" ref="AB1882:AB1883">{"MARTIALLIMITED TOTAL";(IF(COUNTBLANK(G1883:AA1883)=17,"L",(IF(COUNTBLANK(G1883:AA1883)=18,"M",(IF(COUNTBLANK(G1883:AA1883)=19,"E",(IF(COUNTBLANK(G1883:AA1883)=20,"T",""))))))))}</f>
        <v>MARTIALLIMITED TOTAL</v>
      </c>
      <c r="AC1882" s="76" t="str">
        <f t="array" ref="AC1882:AC1883">{"MARTIALLIMITED TOTAL";(sum(G1883:AA1883))}</f>
        <v>MARTIALLIMITED TOTAL</v>
      </c>
    </row>
    <row r="1883">
      <c r="A1883" s="48" t="s">
        <v>229</v>
      </c>
      <c r="B1883" s="48"/>
      <c r="C1883" s="48" t="s">
        <v>418</v>
      </c>
      <c r="D1883" s="48" t="s">
        <v>1634</v>
      </c>
      <c r="E1883" s="48" t="s">
        <v>600</v>
      </c>
      <c r="F1883" s="5" t="s">
        <v>603</v>
      </c>
      <c r="G1883" s="47" t="s">
        <v>603</v>
      </c>
      <c r="H1883" s="5" t="s">
        <v>603</v>
      </c>
      <c r="I1883" s="5"/>
      <c r="J1883" s="5" t="s">
        <v>603</v>
      </c>
      <c r="K1883" s="5"/>
      <c r="L1883" s="5" t="s">
        <v>603</v>
      </c>
      <c r="M1883" s="5"/>
      <c r="N1883" s="5" t="s">
        <v>603</v>
      </c>
      <c r="O1883" s="5"/>
      <c r="P1883" s="5" t="s">
        <v>603</v>
      </c>
      <c r="Q1883" s="5"/>
      <c r="R1883" s="5" t="s">
        <v>603</v>
      </c>
      <c r="S1883" s="5"/>
      <c r="T1883" s="5" t="s">
        <v>603</v>
      </c>
      <c r="U1883" s="5"/>
      <c r="V1883" s="5" t="s">
        <v>603</v>
      </c>
      <c r="W1883" s="5"/>
      <c r="X1883" s="5" t="s">
        <v>603</v>
      </c>
      <c r="Y1883" s="5"/>
      <c r="Z1883" s="5" t="s">
        <v>603</v>
      </c>
      <c r="AA1883" s="5"/>
      <c r="AB1883" s="5" t="s">
        <v>603</v>
      </c>
      <c r="AC1883" s="47">
        <v>0.0</v>
      </c>
    </row>
    <row r="1884" hidden="1">
      <c r="A1884" s="222" t="str">
        <f t="array" ref="A1884:A1885">{"FormulaRow31";(INDEX(CLASSLIST,A1823,1))}</f>
        <v>FormulaRow31</v>
      </c>
      <c r="B1884" s="77" t="s">
        <v>236</v>
      </c>
      <c r="C1884" s="222" t="str">
        <f t="array" ref="C1884:C1885">{"CLASSTYPE";((INDEX(ALLCLASSDATA,MATCH("ClassType",CLASSFEATUREHEADERS,0),MATCH($A1885,CLASSNAMEHEADERS,0))))}</f>
        <v>CLASSTYPE</v>
      </c>
      <c r="D1884" s="222" t="str">
        <f t="array" ref="D1884:D1885">{"ATTACK";"Attack"}</f>
        <v>ATTACK</v>
      </c>
      <c r="E1884" s="222" t="str">
        <f t="array" ref="E1884:E1885">{"MARTIAL";"Martial"}</f>
        <v>MARTIAL</v>
      </c>
      <c r="F1884" s="223" t="str">
        <f t="array" ref="F1884:F1885">{"MARTIALINITIAL";((IF(H1885=10,"T",(IF(H1885=50,"E","")))))}</f>
        <v>MARTIALINITIAL</v>
      </c>
      <c r="G1884" s="223" t="str">
        <f t="array" ref="G1884:G1885">{"MARTIALINITIALPTS";((IF("00"=(INDEX(ALLCLASSDATA,MATCH("MartialLegendary",CLASSFEATUREHEADERS,0),MATCH($A1885,CLASSNAMEHEADERS,0))),(INDEX(ALLCLASSDATA,MATCH("MartialLegendary",CLASSFEATUREHEADERS,0),MATCH(($A1885 &amp; "Points"),CLASSNAMEHEADERS,0))),(IF("00"=(INDEX(ALLCLASSDATA,MATCH("MartialMaster",CLASSFEATUREHEADERS,0),MATCH($A1885,CLASSNAMEHEADERS,0))),(INDEX(ALLCLASSDATA,MATCH("MartialMaster",CLASSFEATUREHEADERS,0),MATCH(($A1885 &amp; "Points"),CLASSNAMEHEADERS,0))),(IF("00"=(INDEX(ALLCLASSDATA,MATCH("MartialExpert",CLASSFEATUREHEADERS,0),MATCH($A1885,CLASSNAMEHEADERS,0))),(INDEX(ALLCLASSDATA,MATCH("MartialExpert",CLASSFEATUREHEADERS,0),MATCH(($A1885 &amp; "Points"),CLASSNAMEHEADERS,0))),(IF("00"=(INDEX(ALLCLASSDATA,MATCH("MartialTrained",CLASSFEATUREHEADERS,0),MATCH($A1885,CLASSNAMEHEADERS,0))),(INDEX(ALLCLASSDATA,MATCH("MartialTrained",CLASSFEATUREHEADERS,0),MATCH(($A1885 &amp; "Points"),CLASSNAMEHEADERS,0))),"")))))))))}</f>
        <v>MARTIALINITIALPTS</v>
      </c>
      <c r="H1884" s="223" t="str">
        <f t="array" ref="H1884:H1885">{"MARTIALL01";((IF("01"=(INDEX(ALLCLASSDATA,MATCH("MartialLegendary",CLASSFEATUREHEADERS,0),MATCH($A1885,CLASSNAMEHEADERS,0))),(INDEX(ALLCLASSDATA,MATCH("MartialLegendary",CLASSFEATUREHEADERS,0),MATCH(($A1885 &amp; "Points"),CLASSNAMEHEADERS,0))),(IF("01"=(INDEX(ALLCLASSDATA,MATCH("MartialMaster",CLASSFEATUREHEADERS,0),MATCH($A1885,CLASSNAMEHEADERS,0))),(INDEX(ALLCLASSDATA,MATCH("MartialMaster",CLASSFEATUREHEADERS,0),MATCH(($A1885 &amp; "Points"),CLASSNAMEHEADERS,0))),(IF("01"=(INDEX(ALLCLASSDATA,MATCH("MartialExpert",CLASSFEATUREHEADERS,0),MATCH($A1885,CLASSNAMEHEADERS,0))),(INDEX(ALLCLASSDATA,MATCH("MartialExpert",CLASSFEATUREHEADERS,0),MATCH(($A1885 &amp; "Points"),CLASSNAMEHEADERS,0))),(IF("01"=(INDEX(ALLCLASSDATA,MATCH("MartialTrained",CLASSFEATUREHEADERS,0),MATCH($A1885,CLASSNAMEHEADERS,0))),(INDEX(ALLCLASSDATA,MATCH("MartialTrained",CLASSFEATUREHEADERS,0),MATCH(($A1885 &amp; "Points"),CLASSNAMEHEADERS,0))),"")))))))))}</f>
        <v>MARTIALL01</v>
      </c>
      <c r="I1884" s="223"/>
      <c r="J1884" s="223" t="str">
        <f t="array" ref="J1884:J1885">{"MARTIALL03";((IF("03"=(INDEX(ALLCLASSDATA,MATCH("MartialLegendary",CLASSFEATUREHEADERS,0),MATCH($A1885,CLASSNAMEHEADERS,0))),(INDEX(ALLCLASSDATA,MATCH("MartialLegendary",CLASSFEATUREHEADERS,0),MATCH(($A1885 &amp; "Points"),CLASSNAMEHEADERS,0))),(IF("03"=(INDEX(ALLCLASSDATA,MATCH("MartialMaster",CLASSFEATUREHEADERS,0),MATCH($A1885,CLASSNAMEHEADERS,0))),(INDEX(ALLCLASSDATA,MATCH("MartialMaster",CLASSFEATUREHEADERS,0),MATCH(($A1885 &amp; "Points"),CLASSNAMEHEADERS,0))),(IF("03"=(INDEX(ALLCLASSDATA,MATCH("MartialExpert",CLASSFEATUREHEADERS,0),MATCH($A1885,CLASSNAMEHEADERS,0))),(INDEX(ALLCLASSDATA,MATCH("MartialExpert",CLASSFEATUREHEADERS,0),MATCH(($A1885 &amp; "Points"),CLASSNAMEHEADERS,0))),(IF("03"=(INDEX(ALLCLASSDATA,MATCH("MartialTrained",CLASSFEATUREHEADERS,0),MATCH($A1885,CLASSNAMEHEADERS,0))),(INDEX(ALLCLASSDATA,MATCH("MartialTrained",CLASSFEATUREHEADERS,0),MATCH(($A1885 &amp; "Points"),CLASSNAMEHEADERS,0))),"")))))))))}</f>
        <v>MARTIALL03</v>
      </c>
      <c r="K1884" s="223"/>
      <c r="L1884" s="223" t="str">
        <f t="array" ref="L1884:L1885">{"MARTIALL05";((IF("05"=(INDEX(ALLCLASSDATA,MATCH("MartialLegendary",CLASSFEATUREHEADERS,0),MATCH($A1885,CLASSNAMEHEADERS,0))),(INDEX(ALLCLASSDATA,MATCH("MartialLegendary",CLASSFEATUREHEADERS,0),MATCH(($A1885 &amp; "Points"),CLASSNAMEHEADERS,0))),(IF("05"=(INDEX(ALLCLASSDATA,MATCH("MartialMaster",CLASSFEATUREHEADERS,0),MATCH($A1885,CLASSNAMEHEADERS,0))),(INDEX(ALLCLASSDATA,MATCH("MartialMaster",CLASSFEATUREHEADERS,0),MATCH(($A1885 &amp; "Points"),CLASSNAMEHEADERS,0))),(IF("05"=(INDEX(ALLCLASSDATA,MATCH("MartialExpert",CLASSFEATUREHEADERS,0),MATCH($A1885,CLASSNAMEHEADERS,0))),(INDEX(ALLCLASSDATA,MATCH("MartialExpert",CLASSFEATUREHEADERS,0),MATCH(($A1885 &amp; "Points"),CLASSNAMEHEADERS,0))),(IF("05"=(INDEX(ALLCLASSDATA,MATCH("MartialTrained",CLASSFEATUREHEADERS,0),MATCH($A1885,CLASSNAMEHEADERS,0))),(INDEX(ALLCLASSDATA,MATCH("MartialTrained",CLASSFEATUREHEADERS,0),MATCH(($A1885 &amp; "Points"),CLASSNAMEHEADERS,0))),"")))))))))}</f>
        <v>MARTIALL05</v>
      </c>
      <c r="M1884" s="223"/>
      <c r="N1884" s="223" t="str">
        <f t="array" ref="N1884:N1885">{"MARTIALL07";((IF("07"=(INDEX(ALLCLASSDATA,MATCH("MartialLegendary",CLASSFEATUREHEADERS,0),MATCH($A1885,CLASSNAMEHEADERS,0))),(INDEX(ALLCLASSDATA,MATCH("MartialLegendary",CLASSFEATUREHEADERS,0),MATCH(($A1885 &amp; "Points"),CLASSNAMEHEADERS,0))),(IF("07"=(INDEX(ALLCLASSDATA,MATCH("MartialMaster",CLASSFEATUREHEADERS,0),MATCH($A1885,CLASSNAMEHEADERS,0))),(INDEX(ALLCLASSDATA,MATCH("MartialMaster",CLASSFEATUREHEADERS,0),MATCH(($A1885 &amp; "Points"),CLASSNAMEHEADERS,0))),(IF("07"=(INDEX(ALLCLASSDATA,MATCH("MartialExpert",CLASSFEATUREHEADERS,0),MATCH($A1885,CLASSNAMEHEADERS,0))),(INDEX(ALLCLASSDATA,MATCH("MartialExpert",CLASSFEATUREHEADERS,0),MATCH(($A1885 &amp; "Points"),CLASSNAMEHEADERS,0))),(IF("07"=(INDEX(ALLCLASSDATA,MATCH("MartialTrained",CLASSFEATUREHEADERS,0),MATCH($A1885,CLASSNAMEHEADERS,0))),(INDEX(ALLCLASSDATA,MATCH("MartialTrained",CLASSFEATUREHEADERS,0),MATCH(($A1885 &amp; "Points"),CLASSNAMEHEADERS,0))),"")))))))))}</f>
        <v>MARTIALL07</v>
      </c>
      <c r="O1884" s="223"/>
      <c r="P1884" s="223" t="str">
        <f t="array" ref="P1884:P1885">{"MARTIALL09";((IF("09"=(INDEX(ALLCLASSDATA,MATCH("MartialLegendary",CLASSFEATUREHEADERS,0),MATCH($A1885,CLASSNAMEHEADERS,0))),(INDEX(ALLCLASSDATA,MATCH("MartialLegendary",CLASSFEATUREHEADERS,0),MATCH(($A1885 &amp; "Points"),CLASSNAMEHEADERS,0))),(IF("09"=(INDEX(ALLCLASSDATA,MATCH("MartialMaster",CLASSFEATUREHEADERS,0),MATCH($A1885,CLASSNAMEHEADERS,0))),(INDEX(ALLCLASSDATA,MATCH("MartialMaster",CLASSFEATUREHEADERS,0),MATCH(($A1885 &amp; "Points"),CLASSNAMEHEADERS,0))),(IF("09"=(INDEX(ALLCLASSDATA,MATCH("MartialExpert",CLASSFEATUREHEADERS,0),MATCH($A1885,CLASSNAMEHEADERS,0))),(INDEX(ALLCLASSDATA,MATCH("MartialExpert",CLASSFEATUREHEADERS,0),MATCH(($A1885 &amp; "Points"),CLASSNAMEHEADERS,0))),(IF("09"=(INDEX(ALLCLASSDATA,MATCH("MartialTrained",CLASSFEATUREHEADERS,0),MATCH($A1885,CLASSNAMEHEADERS,0))),(INDEX(ALLCLASSDATA,MATCH("MartialTrained",CLASSFEATUREHEADERS,0),MATCH(($A1885 &amp; "Points"),CLASSNAMEHEADERS,0))),"")))))))))}</f>
        <v>MARTIALL09</v>
      </c>
      <c r="Q1884" s="223"/>
      <c r="R1884" s="223" t="str">
        <f t="array" ref="R1884:R1885">{"MARTIALL11";((IF("11"=(INDEX(ALLCLASSDATA,MATCH("MartialLegendary",CLASSFEATUREHEADERS,0),MATCH($A1885,CLASSNAMEHEADERS,0))),(INDEX(ALLCLASSDATA,MATCH("MartialLegendary",CLASSFEATUREHEADERS,0),MATCH(($A1885 &amp; "Points"),CLASSNAMEHEADERS,0))),(IF("11"=(INDEX(ALLCLASSDATA,MATCH("MartialMaster",CLASSFEATUREHEADERS,0),MATCH($A1885,CLASSNAMEHEADERS,0))),(INDEX(ALLCLASSDATA,MATCH("MartialMaster",CLASSFEATUREHEADERS,0),MATCH(($A1885 &amp; "Points"),CLASSNAMEHEADERS,0))),(IF("11"=(INDEX(ALLCLASSDATA,MATCH("MartialExpert",CLASSFEATUREHEADERS,0),MATCH($A1885,CLASSNAMEHEADERS,0))),(INDEX(ALLCLASSDATA,MATCH("MartialExpert",CLASSFEATUREHEADERS,0),MATCH(($A1885 &amp; "Points"),CLASSNAMEHEADERS,0))),(IF("11"=(INDEX(ALLCLASSDATA,MATCH("MartialTrained",CLASSFEATUREHEADERS,0),MATCH($A1885,CLASSNAMEHEADERS,0))),(INDEX(ALLCLASSDATA,MATCH("MartialTrained",CLASSFEATUREHEADERS,0),MATCH(($A1885 &amp; "Points"),CLASSNAMEHEADERS,0))),"")))))))))}</f>
        <v>MARTIALL11</v>
      </c>
      <c r="S1884" s="223"/>
      <c r="T1884" s="223" t="str">
        <f t="array" ref="T1884:T1885">{"MARTIALL13";((IF("13"=(INDEX(ALLCLASSDATA,MATCH("MartialLegendary",CLASSFEATUREHEADERS,0),MATCH($A1885,CLASSNAMEHEADERS,0))),(INDEX(ALLCLASSDATA,MATCH("MartialLegendary",CLASSFEATUREHEADERS,0),MATCH(($A1885 &amp; "Points"),CLASSNAMEHEADERS,0))),(IF("13"=(INDEX(ALLCLASSDATA,MATCH("MartialMaster",CLASSFEATUREHEADERS,0),MATCH($A1885,CLASSNAMEHEADERS,0))),(INDEX(ALLCLASSDATA,MATCH("MartialMaster",CLASSFEATUREHEADERS,0),MATCH(($A1885 &amp; "Points"),CLASSNAMEHEADERS,0))),(IF("13"=(INDEX(ALLCLASSDATA,MATCH("MartialExpert",CLASSFEATUREHEADERS,0),MATCH($A1885,CLASSNAMEHEADERS,0))),(INDEX(ALLCLASSDATA,MATCH("MartialExpert",CLASSFEATUREHEADERS,0),MATCH(($A1885 &amp; "Points"),CLASSNAMEHEADERS,0))),(IF("13"=(INDEX(ALLCLASSDATA,MATCH("MartialTrained",CLASSFEATUREHEADERS,0),MATCH($A1885,CLASSNAMEHEADERS,0))),(INDEX(ALLCLASSDATA,MATCH("MartialTrained",CLASSFEATUREHEADERS,0),MATCH(($A1885 &amp; "Points"),CLASSNAMEHEADERS,0))),"")))))))))}</f>
        <v>MARTIALL13</v>
      </c>
      <c r="U1884" s="223"/>
      <c r="V1884" s="223" t="str">
        <f t="array" ref="V1884:V1885">{"MARTIALL15";((IF("15"=(INDEX(ALLCLASSDATA,MATCH("MartialLegendary",CLASSFEATUREHEADERS,0),MATCH($A1885,CLASSNAMEHEADERS,0))),(INDEX(ALLCLASSDATA,MATCH("MartialLegendary",CLASSFEATUREHEADERS,0),MATCH(($A1885 &amp; "Points"),CLASSNAMEHEADERS,0))),(IF("15"=(INDEX(ALLCLASSDATA,MATCH("MartialMaster",CLASSFEATUREHEADERS,0),MATCH($A1885,CLASSNAMEHEADERS,0))),(INDEX(ALLCLASSDATA,MATCH("MartialMaster",CLASSFEATUREHEADERS,0),MATCH(($A1885 &amp; "Points"),CLASSNAMEHEADERS,0))),(IF("15"=(INDEX(ALLCLASSDATA,MATCH("MartialExpert",CLASSFEATUREHEADERS,0),MATCH($A1885,CLASSNAMEHEADERS,0))),(INDEX(ALLCLASSDATA,MATCH("MartialExpert",CLASSFEATUREHEADERS,0),MATCH(($A1885 &amp; "Points"),CLASSNAMEHEADERS,0))),(IF("15"=(INDEX(ALLCLASSDATA,MATCH("MartialTrained",CLASSFEATUREHEADERS,0),MATCH($A1885,CLASSNAMEHEADERS,0))),(INDEX(ALLCLASSDATA,MATCH("MartialTrained",CLASSFEATUREHEADERS,0),MATCH(($A1885 &amp; "Points"),CLASSNAMEHEADERS,0))),"")))))))))}</f>
        <v>MARTIALL15</v>
      </c>
      <c r="W1884" s="223"/>
      <c r="X1884" s="223" t="str">
        <f t="array" ref="X1884:X1885">{"MARTIALL17";((IF("17"=(INDEX(ALLCLASSDATA,MATCH("MartialLegendary",CLASSFEATUREHEADERS,0),MATCH($A1885,CLASSNAMEHEADERS,0))),(INDEX(ALLCLASSDATA,MATCH("MartialLegendary",CLASSFEATUREHEADERS,0),MATCH(($A1885 &amp; "Points"),CLASSNAMEHEADERS,0))),(IF("17"=(INDEX(ALLCLASSDATA,MATCH("MartialMaster",CLASSFEATUREHEADERS,0),MATCH($A1885,CLASSNAMEHEADERS,0))),(INDEX(ALLCLASSDATA,MATCH("MartialMaster",CLASSFEATUREHEADERS,0),MATCH(($A1885 &amp; "Points"),CLASSNAMEHEADERS,0))),(IF("17"=(INDEX(ALLCLASSDATA,MATCH("MartialExpert",CLASSFEATUREHEADERS,0),MATCH($A1885,CLASSNAMEHEADERS,0))),(INDEX(ALLCLASSDATA,MATCH("MartialExpert",CLASSFEATUREHEADERS,0),MATCH(($A1885 &amp; "Points"),CLASSNAMEHEADERS,0))),(IF("17"=(INDEX(ALLCLASSDATA,MATCH("MartialTrained",CLASSFEATUREHEADERS,0),MATCH($A1885,CLASSNAMEHEADERS,0))),(INDEX(ALLCLASSDATA,MATCH("MartialTrained",CLASSFEATUREHEADERS,0),MATCH(($A1885 &amp; "Points"),CLASSNAMEHEADERS,0))),"")))))))))}</f>
        <v>MARTIALL17</v>
      </c>
      <c r="Y1884" s="223"/>
      <c r="Z1884" s="223" t="str">
        <f t="array" ref="Z1884:Z1885">{"MARTIALL19";((IF("19"=(INDEX(ALLCLASSDATA,MATCH("MartialLegendary",CLASSFEATUREHEADERS,0),MATCH($A1885,CLASSNAMEHEADERS,0))),(INDEX(ALLCLASSDATA,MATCH("MartialLegendary",CLASSFEATUREHEADERS,0),MATCH(($A1885 &amp; "Points"),CLASSNAMEHEADERS,0))),(IF("19"=(INDEX(ALLCLASSDATA,MATCH("MartialMaster",CLASSFEATUREHEADERS,0),MATCH($A1885,CLASSNAMEHEADERS,0))),(INDEX(ALLCLASSDATA,MATCH("MartialMaster",CLASSFEATUREHEADERS,0),MATCH(($A1885 &amp; "Points"),CLASSNAMEHEADERS,0))),(IF("19"=(INDEX(ALLCLASSDATA,MATCH("MartialExpert",CLASSFEATUREHEADERS,0),MATCH($A1885,CLASSNAMEHEADERS,0))),(INDEX(ALLCLASSDATA,MATCH("MartialExpert",CLASSFEATUREHEADERS,0),MATCH(($A1885 &amp; "Points"),CLASSNAMEHEADERS,0))),(IF("19"=(INDEX(ALLCLASSDATA,MATCH("MartialTrained",CLASSFEATUREHEADERS,0),MATCH($A1885,CLASSNAMEHEADERS,0))),(INDEX(ALLCLASSDATA,MATCH("MartialTrained",CLASSFEATUREHEADERS,0),MATCH(($A1885 &amp; "Points"),CLASSNAMEHEADERS,0))),"")))))))))}</f>
        <v>MARTIALL19</v>
      </c>
      <c r="AA1884" s="223"/>
      <c r="AB1884" s="76" t="str">
        <f t="array" ref="AB1884:AB1885">{"MARTIAL TOTAL";(IF(COUNTBLANK(G1885:AA1885)=17,"L",(IF(COUNTBLANK(G1885:AA1885)=18,"M",(IF(COUNTBLANK(G1885:AA1885)=19,"E",(IF(COUNTBLANK(G1885:AA1885)=20,"T",""))))))))}</f>
        <v>MARTIAL TOTAL</v>
      </c>
      <c r="AC1884" s="76" t="str">
        <f t="array" ref="AC1884:AC1885">{"MARTIAL TOTAL";(sum(G1885:AA1885))}</f>
        <v>MARTIAL TOTAL</v>
      </c>
    </row>
    <row r="1885">
      <c r="A1885" s="48" t="s">
        <v>229</v>
      </c>
      <c r="B1885" s="48"/>
      <c r="C1885" s="48" t="s">
        <v>418</v>
      </c>
      <c r="D1885" s="48" t="s">
        <v>1634</v>
      </c>
      <c r="E1885" s="48" t="s">
        <v>6</v>
      </c>
      <c r="F1885" s="5" t="s">
        <v>603</v>
      </c>
      <c r="G1885" s="47" t="s">
        <v>603</v>
      </c>
      <c r="H1885" s="5" t="s">
        <v>603</v>
      </c>
      <c r="I1885" s="5"/>
      <c r="J1885" s="5" t="s">
        <v>603</v>
      </c>
      <c r="K1885" s="5"/>
      <c r="L1885" s="5" t="s">
        <v>603</v>
      </c>
      <c r="M1885" s="5"/>
      <c r="N1885" s="5" t="s">
        <v>603</v>
      </c>
      <c r="O1885" s="5"/>
      <c r="P1885" s="5" t="s">
        <v>603</v>
      </c>
      <c r="Q1885" s="48"/>
      <c r="R1885" s="5" t="s">
        <v>603</v>
      </c>
      <c r="S1885" s="5"/>
      <c r="T1885" s="5" t="s">
        <v>603</v>
      </c>
      <c r="U1885" s="5"/>
      <c r="V1885" s="5" t="s">
        <v>603</v>
      </c>
      <c r="W1885" s="5"/>
      <c r="X1885" s="5" t="s">
        <v>603</v>
      </c>
      <c r="Y1885" s="5"/>
      <c r="Z1885" s="5" t="s">
        <v>603</v>
      </c>
      <c r="AA1885" s="5"/>
      <c r="AB1885" s="5" t="s">
        <v>603</v>
      </c>
      <c r="AC1885" s="47">
        <v>0.0</v>
      </c>
    </row>
    <row r="1886" hidden="1">
      <c r="A1886" s="222" t="str">
        <f t="array" ref="A1886:A1887">{"FormulaRow32";(INDEX(CLASSLIST,A1823,1))}</f>
        <v>FormulaRow32</v>
      </c>
      <c r="B1886" s="77" t="s">
        <v>236</v>
      </c>
      <c r="C1886" s="222" t="str">
        <f t="array" ref="C1886:C1887">{"CLASSTYPE";((INDEX(ALLCLASSDATA,MATCH("ClassType",CLASSFEATUREHEADERS,0),MATCH($A1887,CLASSNAMEHEADERS,0))))}</f>
        <v>CLASSTYPE</v>
      </c>
      <c r="D1886" s="222" t="str">
        <f t="array" ref="D1886:D1887">{"ATTACK";"Attack"}</f>
        <v>ATTACK</v>
      </c>
      <c r="E1886" s="222" t="str">
        <f t="array" ref="E1886:E1887">{"ADVANCEDGROUP";"AdvancedGroup"}</f>
        <v>ADVANCEDGROUP</v>
      </c>
      <c r="F1886" s="223" t="str">
        <f t="array" ref="F1886:F1887">{"ADVANCEDGROUPINITIAL";((IF(H1887=10,"T",(IF(H1887=50,"E","")))))}</f>
        <v>ADVANCEDGROUPINITIAL</v>
      </c>
      <c r="G1886" s="223" t="str">
        <f t="array" ref="G1886:G1887">{"ADVANCEDGROUPINITIALPTS";((IF("00"=(INDEX(ALLCLASSDATA,MATCH("AdvancedGroupLegendary",CLASSFEATUREHEADERS,0),MATCH($A1887,CLASSNAMEHEADERS,0))),(INDEX(ALLCLASSDATA,MATCH("AdvancedGroupLegendary",CLASSFEATUREHEADERS,0),MATCH(($A1887 &amp; "Points"),CLASSNAMEHEADERS,0))),(IF("00"=(INDEX(ALLCLASSDATA,MATCH("AdvancedGroupMaster",CLASSFEATUREHEADERS,0),MATCH($A1887,CLASSNAMEHEADERS,0))),(INDEX(ALLCLASSDATA,MATCH("AdvancedGroupMaster",CLASSFEATUREHEADERS,0),MATCH(($A1887 &amp; "Points"),CLASSNAMEHEADERS,0))),(IF("00"=(INDEX(ALLCLASSDATA,MATCH("AdvancedGroupExpert",CLASSFEATUREHEADERS,0),MATCH($A1887,CLASSNAMEHEADERS,0))),(INDEX(ALLCLASSDATA,MATCH("AdvancedGroupExpert",CLASSFEATUREHEADERS,0),MATCH(($A1887 &amp; "Points"),CLASSNAMEHEADERS,0))),(IF("00"=(INDEX(ALLCLASSDATA,MATCH("AdvancedGroupTrained",CLASSFEATUREHEADERS,0),MATCH($A1887,CLASSNAMEHEADERS,0))),(INDEX(ALLCLASSDATA,MATCH("AdvancedGroupTrained",CLASSFEATUREHEADERS,0),MATCH(($A1887 &amp; "Points"),CLASSNAMEHEADERS,0))),"")))))))))}</f>
        <v>ADVANCEDGROUPINITIALPTS</v>
      </c>
      <c r="H1886" s="223" t="str">
        <f t="array" ref="H1886:H1887">{"ADVANCEDGROUPL01";((IF("01"=(INDEX(ALLCLASSDATA,MATCH("AdvancedGroupLegendary",CLASSFEATUREHEADERS,0),MATCH($A1887,CLASSNAMEHEADERS,0))),(INDEX(ALLCLASSDATA,MATCH("AdvancedGroupLegendary",CLASSFEATUREHEADERS,0),MATCH(($A1887 &amp; "Points"),CLASSNAMEHEADERS,0))),(IF("01"=(INDEX(ALLCLASSDATA,MATCH("AdvancedGroupMaster",CLASSFEATUREHEADERS,0),MATCH($A1887,CLASSNAMEHEADERS,0))),(INDEX(ALLCLASSDATA,MATCH("AdvancedGroupMaster",CLASSFEATUREHEADERS,0),MATCH(($A1887 &amp; "Points"),CLASSNAMEHEADERS,0))),(IF("01"=(INDEX(ALLCLASSDATA,MATCH("AdvancedGroupExpert",CLASSFEATUREHEADERS,0),MATCH($A1887,CLASSNAMEHEADERS,0))),(INDEX(ALLCLASSDATA,MATCH("AdvancedGroupExpert",CLASSFEATUREHEADERS,0),MATCH(($A1887 &amp; "Points"),CLASSNAMEHEADERS,0))),(IF("01"=(INDEX(ALLCLASSDATA,MATCH("AdvancedGroupTrained",CLASSFEATUREHEADERS,0),MATCH($A1887,CLASSNAMEHEADERS,0))),(INDEX(ALLCLASSDATA,MATCH("AdvancedGroupTrained",CLASSFEATUREHEADERS,0),MATCH(($A1887 &amp; "Points"),CLASSNAMEHEADERS,0))),"")))))))))}</f>
        <v>ADVANCEDGROUPL01</v>
      </c>
      <c r="I1886" s="223"/>
      <c r="J1886" s="223" t="str">
        <f t="array" ref="J1886:J1887">{"ADVANCEDGROUPL03";((IF("03"=(INDEX(ALLCLASSDATA,MATCH("AdvancedGroupLegendary",CLASSFEATUREHEADERS,0),MATCH($A1887,CLASSNAMEHEADERS,0))),(INDEX(ALLCLASSDATA,MATCH("AdvancedGroupLegendary",CLASSFEATUREHEADERS,0),MATCH(($A1887 &amp; "Points"),CLASSNAMEHEADERS,0))),(IF("03"=(INDEX(ALLCLASSDATA,MATCH("AdvancedGroupMaster",CLASSFEATUREHEADERS,0),MATCH($A1887,CLASSNAMEHEADERS,0))),(INDEX(ALLCLASSDATA,MATCH("AdvancedGroupMaster",CLASSFEATUREHEADERS,0),MATCH(($A1887 &amp; "Points"),CLASSNAMEHEADERS,0))),(IF("03"=(INDEX(ALLCLASSDATA,MATCH("AdvancedGroupExpert",CLASSFEATUREHEADERS,0),MATCH($A1887,CLASSNAMEHEADERS,0))),(INDEX(ALLCLASSDATA,MATCH("AdvancedGroupExpert",CLASSFEATUREHEADERS,0),MATCH(($A1887 &amp; "Points"),CLASSNAMEHEADERS,0))),(IF("03"=(INDEX(ALLCLASSDATA,MATCH("AdvancedGroupTrained",CLASSFEATUREHEADERS,0),MATCH($A1887,CLASSNAMEHEADERS,0))),(INDEX(ALLCLASSDATA,MATCH("AdvancedGroupTrained",CLASSFEATUREHEADERS,0),MATCH(($A1887 &amp; "Points"),CLASSNAMEHEADERS,0))),"")))))))))}</f>
        <v>ADVANCEDGROUPL03</v>
      </c>
      <c r="K1886" s="223"/>
      <c r="L1886" s="223" t="str">
        <f t="array" ref="L1886:L1887">{"ADVANCEDGROUPL05";((IF("05"=(INDEX(ALLCLASSDATA,MATCH("AdvancedGroupLegendary",CLASSFEATUREHEADERS,0),MATCH($A1887,CLASSNAMEHEADERS,0))),(INDEX(ALLCLASSDATA,MATCH("AdvancedGroupLegendary",CLASSFEATUREHEADERS,0),MATCH(($A1887 &amp; "Points"),CLASSNAMEHEADERS,0))),(IF("05"=(INDEX(ALLCLASSDATA,MATCH("AdvancedGroupMaster",CLASSFEATUREHEADERS,0),MATCH($A1887,CLASSNAMEHEADERS,0))),(INDEX(ALLCLASSDATA,MATCH("AdvancedGroupMaster",CLASSFEATUREHEADERS,0),MATCH(($A1887 &amp; "Points"),CLASSNAMEHEADERS,0))),(IF("05"=(INDEX(ALLCLASSDATA,MATCH("AdvancedGroupExpert",CLASSFEATUREHEADERS,0),MATCH($A1887,CLASSNAMEHEADERS,0))),(INDEX(ALLCLASSDATA,MATCH("AdvancedGroupExpert",CLASSFEATUREHEADERS,0),MATCH(($A1887 &amp; "Points"),CLASSNAMEHEADERS,0))),(IF("05"=(INDEX(ALLCLASSDATA,MATCH("AdvancedGroupTrained",CLASSFEATUREHEADERS,0),MATCH($A1887,CLASSNAMEHEADERS,0))),(INDEX(ALLCLASSDATA,MATCH("AdvancedGroupTrained",CLASSFEATUREHEADERS,0),MATCH(($A1887 &amp; "Points"),CLASSNAMEHEADERS,0))),"")))))))))}</f>
        <v>ADVANCEDGROUPL05</v>
      </c>
      <c r="M1886" s="223"/>
      <c r="N1886" s="223" t="str">
        <f t="array" ref="N1886:N1887">{"ADVANCEDGROUPL07";((IF("07"=(INDEX(ALLCLASSDATA,MATCH("AdvancedGroupLegendary",CLASSFEATUREHEADERS,0),MATCH($A1887,CLASSNAMEHEADERS,0))),(INDEX(ALLCLASSDATA,MATCH("AdvancedGroupLegendary",CLASSFEATUREHEADERS,0),MATCH(($A1887 &amp; "Points"),CLASSNAMEHEADERS,0))),(IF("07"=(INDEX(ALLCLASSDATA,MATCH("AdvancedGroupMaster",CLASSFEATUREHEADERS,0),MATCH($A1887,CLASSNAMEHEADERS,0))),(INDEX(ALLCLASSDATA,MATCH("AdvancedGroupMaster",CLASSFEATUREHEADERS,0),MATCH(($A1887 &amp; "Points"),CLASSNAMEHEADERS,0))),(IF("07"=(INDEX(ALLCLASSDATA,MATCH("AdvancedGroupExpert",CLASSFEATUREHEADERS,0),MATCH($A1887,CLASSNAMEHEADERS,0))),(INDEX(ALLCLASSDATA,MATCH("AdvancedGroupExpert",CLASSFEATUREHEADERS,0),MATCH(($A1887 &amp; "Points"),CLASSNAMEHEADERS,0))),(IF("07"=(INDEX(ALLCLASSDATA,MATCH("AdvancedGroupTrained",CLASSFEATUREHEADERS,0),MATCH($A1887,CLASSNAMEHEADERS,0))),(INDEX(ALLCLASSDATA,MATCH("AdvancedGroupTrained",CLASSFEATUREHEADERS,0),MATCH(($A1887 &amp; "Points"),CLASSNAMEHEADERS,0))),"")))))))))}</f>
        <v>ADVANCEDGROUPL07</v>
      </c>
      <c r="O1886" s="223"/>
      <c r="P1886" s="223" t="str">
        <f t="array" ref="P1886:P1887">{"ADVANCEDGROUPL09";((IF("09"=(INDEX(ALLCLASSDATA,MATCH("AdvancedGroupLegendary",CLASSFEATUREHEADERS,0),MATCH($A1887,CLASSNAMEHEADERS,0))),(INDEX(ALLCLASSDATA,MATCH("AdvancedGroupLegendary",CLASSFEATUREHEADERS,0),MATCH(($A1887 &amp; "Points"),CLASSNAMEHEADERS,0))),(IF("09"=(INDEX(ALLCLASSDATA,MATCH("AdvancedGroupMaster",CLASSFEATUREHEADERS,0),MATCH($A1887,CLASSNAMEHEADERS,0))),(INDEX(ALLCLASSDATA,MATCH("AdvancedGroupMaster",CLASSFEATUREHEADERS,0),MATCH(($A1887 &amp; "Points"),CLASSNAMEHEADERS,0))),(IF("09"=(INDEX(ALLCLASSDATA,MATCH("AdvancedGroupExpert",CLASSFEATUREHEADERS,0),MATCH($A1887,CLASSNAMEHEADERS,0))),(INDEX(ALLCLASSDATA,MATCH("AdvancedGroupExpert",CLASSFEATUREHEADERS,0),MATCH(($A1887 &amp; "Points"),CLASSNAMEHEADERS,0))),(IF("09"=(INDEX(ALLCLASSDATA,MATCH("AdvancedGroupTrained",CLASSFEATUREHEADERS,0),MATCH($A1887,CLASSNAMEHEADERS,0))),(INDEX(ALLCLASSDATA,MATCH("AdvancedGroupTrained",CLASSFEATUREHEADERS,0),MATCH(($A1887 &amp; "Points"),CLASSNAMEHEADERS,0))),"")))))))))}</f>
        <v>ADVANCEDGROUPL09</v>
      </c>
      <c r="Q1886" s="223"/>
      <c r="R1886" s="223" t="str">
        <f t="array" ref="R1886:R1887">{"ADVANCEDGROUPL11";((IF("11"=(INDEX(ALLCLASSDATA,MATCH("AdvancedGroupLegendary",CLASSFEATUREHEADERS,0),MATCH($A1887,CLASSNAMEHEADERS,0))),(INDEX(ALLCLASSDATA,MATCH("AdvancedGroupLegendary",CLASSFEATUREHEADERS,0),MATCH(($A1887 &amp; "Points"),CLASSNAMEHEADERS,0))),(IF("11"=(INDEX(ALLCLASSDATA,MATCH("AdvancedGroupMaster",CLASSFEATUREHEADERS,0),MATCH($A1887,CLASSNAMEHEADERS,0))),(INDEX(ALLCLASSDATA,MATCH("AdvancedGroupMaster",CLASSFEATUREHEADERS,0),MATCH(($A1887 &amp; "Points"),CLASSNAMEHEADERS,0))),(IF("11"=(INDEX(ALLCLASSDATA,MATCH("AdvancedGroupExpert",CLASSFEATUREHEADERS,0),MATCH($A1887,CLASSNAMEHEADERS,0))),(INDEX(ALLCLASSDATA,MATCH("AdvancedGroupExpert",CLASSFEATUREHEADERS,0),MATCH(($A1887 &amp; "Points"),CLASSNAMEHEADERS,0))),(IF("11"=(INDEX(ALLCLASSDATA,MATCH("AdvancedGroupTrained",CLASSFEATUREHEADERS,0),MATCH($A1887,CLASSNAMEHEADERS,0))),(INDEX(ALLCLASSDATA,MATCH("AdvancedGroupTrained",CLASSFEATUREHEADERS,0),MATCH(($A1887 &amp; "Points"),CLASSNAMEHEADERS,0))),"")))))))))}</f>
        <v>ADVANCEDGROUPL11</v>
      </c>
      <c r="S1886" s="223"/>
      <c r="T1886" s="223" t="str">
        <f t="array" ref="T1886:T1887">{"ADVANCEDGROUPL13";((IF("13"=(INDEX(ALLCLASSDATA,MATCH("AdvancedGroupLegendary",CLASSFEATUREHEADERS,0),MATCH($A1887,CLASSNAMEHEADERS,0))),(INDEX(ALLCLASSDATA,MATCH("AdvancedGroupLegendary",CLASSFEATUREHEADERS,0),MATCH(($A1887 &amp; "Points"),CLASSNAMEHEADERS,0))),(IF("13"=(INDEX(ALLCLASSDATA,MATCH("AdvancedGroupMaster",CLASSFEATUREHEADERS,0),MATCH($A1887,CLASSNAMEHEADERS,0))),(INDEX(ALLCLASSDATA,MATCH("AdvancedGroupMaster",CLASSFEATUREHEADERS,0),MATCH(($A1887 &amp; "Points"),CLASSNAMEHEADERS,0))),(IF("13"=(INDEX(ALLCLASSDATA,MATCH("AdvancedGroupExpert",CLASSFEATUREHEADERS,0),MATCH($A1887,CLASSNAMEHEADERS,0))),(INDEX(ALLCLASSDATA,MATCH("AdvancedGroupExpert",CLASSFEATUREHEADERS,0),MATCH(($A1887 &amp; "Points"),CLASSNAMEHEADERS,0))),(IF("13"=(INDEX(ALLCLASSDATA,MATCH("AdvancedGroupTrained",CLASSFEATUREHEADERS,0),MATCH($A1887,CLASSNAMEHEADERS,0))),(INDEX(ALLCLASSDATA,MATCH("AdvancedGroupTrained",CLASSFEATUREHEADERS,0),MATCH(($A1887 &amp; "Points"),CLASSNAMEHEADERS,0))),"")))))))))}</f>
        <v>ADVANCEDGROUPL13</v>
      </c>
      <c r="U1886" s="223"/>
      <c r="V1886" s="223" t="str">
        <f t="array" ref="V1886:V1887">{"ADVANCEDGROUPL15";((IF("15"=(INDEX(ALLCLASSDATA,MATCH("AdvancedGroupLegendary",CLASSFEATUREHEADERS,0),MATCH($A1887,CLASSNAMEHEADERS,0))),(INDEX(ALLCLASSDATA,MATCH("AdvancedGroupLegendary",CLASSFEATUREHEADERS,0),MATCH(($A1887 &amp; "Points"),CLASSNAMEHEADERS,0))),(IF("15"=(INDEX(ALLCLASSDATA,MATCH("AdvancedGroupMaster",CLASSFEATUREHEADERS,0),MATCH($A1887,CLASSNAMEHEADERS,0))),(INDEX(ALLCLASSDATA,MATCH("AdvancedGroupMaster",CLASSFEATUREHEADERS,0),MATCH(($A1887 &amp; "Points"),CLASSNAMEHEADERS,0))),(IF("15"=(INDEX(ALLCLASSDATA,MATCH("AdvancedGroupExpert",CLASSFEATUREHEADERS,0),MATCH($A1887,CLASSNAMEHEADERS,0))),(INDEX(ALLCLASSDATA,MATCH("AdvancedGroupExpert",CLASSFEATUREHEADERS,0),MATCH(($A1887 &amp; "Points"),CLASSNAMEHEADERS,0))),(IF("15"=(INDEX(ALLCLASSDATA,MATCH("AdvancedGroupTrained",CLASSFEATUREHEADERS,0),MATCH($A1887,CLASSNAMEHEADERS,0))),(INDEX(ALLCLASSDATA,MATCH("AdvancedGroupTrained",CLASSFEATUREHEADERS,0),MATCH(($A1887 &amp; "Points"),CLASSNAMEHEADERS,0))),"")))))))))}</f>
        <v>ADVANCEDGROUPL15</v>
      </c>
      <c r="W1886" s="223"/>
      <c r="X1886" s="223" t="str">
        <f t="array" ref="X1886:X1887">{"ADVANCEDGROUPL17";((IF("17"=(INDEX(ALLCLASSDATA,MATCH("AdvancedGroupLegendary",CLASSFEATUREHEADERS,0),MATCH($A1887,CLASSNAMEHEADERS,0))),(INDEX(ALLCLASSDATA,MATCH("AdvancedGroupLegendary",CLASSFEATUREHEADERS,0),MATCH(($A1887 &amp; "Points"),CLASSNAMEHEADERS,0))),(IF("17"=(INDEX(ALLCLASSDATA,MATCH("AdvancedGroupMaster",CLASSFEATUREHEADERS,0),MATCH($A1887,CLASSNAMEHEADERS,0))),(INDEX(ALLCLASSDATA,MATCH("AdvancedGroupMaster",CLASSFEATUREHEADERS,0),MATCH(($A1887 &amp; "Points"),CLASSNAMEHEADERS,0))),(IF("17"=(INDEX(ALLCLASSDATA,MATCH("AdvancedGroupExpert",CLASSFEATUREHEADERS,0),MATCH($A1887,CLASSNAMEHEADERS,0))),(INDEX(ALLCLASSDATA,MATCH("AdvancedGroupExpert",CLASSFEATUREHEADERS,0),MATCH(($A1887 &amp; "Points"),CLASSNAMEHEADERS,0))),(IF("17"=(INDEX(ALLCLASSDATA,MATCH("AdvancedGroupTrained",CLASSFEATUREHEADERS,0),MATCH($A1887,CLASSNAMEHEADERS,0))),(INDEX(ALLCLASSDATA,MATCH("AdvancedGroupTrained",CLASSFEATUREHEADERS,0),MATCH(($A1887 &amp; "Points"),CLASSNAMEHEADERS,0))),"")))))))))}</f>
        <v>ADVANCEDGROUPL17</v>
      </c>
      <c r="Y1886" s="223"/>
      <c r="Z1886" s="223" t="str">
        <f t="array" ref="Z1886:Z1887">{"ADVANCEDGROUPL19";((IF("19"=(INDEX(ALLCLASSDATA,MATCH("AdvancedGroupLegendary",CLASSFEATUREHEADERS,0),MATCH($A1887,CLASSNAMEHEADERS,0))),(INDEX(ALLCLASSDATA,MATCH("AdvancedGroupLegendary",CLASSFEATUREHEADERS,0),MATCH(($A1887 &amp; "Points"),CLASSNAMEHEADERS,0))),(IF("19"=(INDEX(ALLCLASSDATA,MATCH("AdvancedGroupMaster",CLASSFEATUREHEADERS,0),MATCH($A1887,CLASSNAMEHEADERS,0))),(INDEX(ALLCLASSDATA,MATCH("AdvancedGroupMaster",CLASSFEATUREHEADERS,0),MATCH(($A1887 &amp; "Points"),CLASSNAMEHEADERS,0))),(IF("19"=(INDEX(ALLCLASSDATA,MATCH("AdvancedGroupExpert",CLASSFEATUREHEADERS,0),MATCH($A1887,CLASSNAMEHEADERS,0))),(INDEX(ALLCLASSDATA,MATCH("AdvancedGroupExpert",CLASSFEATUREHEADERS,0),MATCH(($A1887 &amp; "Points"),CLASSNAMEHEADERS,0))),(IF("19"=(INDEX(ALLCLASSDATA,MATCH("AdvancedGroupTrained",CLASSFEATUREHEADERS,0),MATCH($A1887,CLASSNAMEHEADERS,0))),(INDEX(ALLCLASSDATA,MATCH("AdvancedGroupTrained",CLASSFEATUREHEADERS,0),MATCH(($A1887 &amp; "Points"),CLASSNAMEHEADERS,0))),"")))))))))}</f>
        <v>ADVANCEDGROUPL19</v>
      </c>
      <c r="AA1886" s="223"/>
      <c r="AB1886" s="76" t="str">
        <f t="array" ref="AB1886:AB1887">{"ADVANCEDGROUP TOTAL";(IF(COUNTBLANK(G1887:AA1887)=17,"L",(IF(COUNTBLANK(G1887:AA1887)=18,"M",(IF(COUNTBLANK(G1887:AA1887)=19,"E",(IF(COUNTBLANK(G1887:AA1887)=20,"T",""))))))))}</f>
        <v>ADVANCEDGROUP TOTAL</v>
      </c>
      <c r="AC1886" s="76" t="str">
        <f t="array" ref="AC1886:AC1887">{"ADVANCEDGROUP TOTAL";(sum(G1887:AA1887))}</f>
        <v>ADVANCEDGROUP TOTAL</v>
      </c>
    </row>
    <row r="1887">
      <c r="A1887" s="48" t="s">
        <v>229</v>
      </c>
      <c r="B1887" s="48"/>
      <c r="C1887" s="48" t="s">
        <v>418</v>
      </c>
      <c r="D1887" s="48" t="s">
        <v>1634</v>
      </c>
      <c r="E1887" s="48" t="s">
        <v>601</v>
      </c>
      <c r="F1887" s="5" t="s">
        <v>603</v>
      </c>
      <c r="G1887" s="47" t="s">
        <v>603</v>
      </c>
      <c r="H1887" s="5" t="s">
        <v>603</v>
      </c>
      <c r="I1887" s="5"/>
      <c r="J1887" s="5" t="s">
        <v>603</v>
      </c>
      <c r="K1887" s="5"/>
      <c r="L1887" s="5" t="s">
        <v>603</v>
      </c>
      <c r="M1887" s="5"/>
      <c r="N1887" s="5" t="s">
        <v>603</v>
      </c>
      <c r="O1887" s="5"/>
      <c r="P1887" s="5" t="s">
        <v>603</v>
      </c>
      <c r="Q1887" s="5"/>
      <c r="R1887" s="5" t="s">
        <v>603</v>
      </c>
      <c r="S1887" s="5"/>
      <c r="T1887" s="5" t="s">
        <v>603</v>
      </c>
      <c r="U1887" s="5"/>
      <c r="V1887" s="5" t="s">
        <v>603</v>
      </c>
      <c r="W1887" s="5"/>
      <c r="X1887" s="5" t="s">
        <v>603</v>
      </c>
      <c r="Y1887" s="5"/>
      <c r="Z1887" s="5" t="s">
        <v>603</v>
      </c>
      <c r="AA1887" s="5"/>
      <c r="AB1887" s="5" t="s">
        <v>603</v>
      </c>
      <c r="AC1887" s="47">
        <v>0.0</v>
      </c>
    </row>
    <row r="1888" hidden="1">
      <c r="A1888" s="222" t="str">
        <f t="array" ref="A1888:A1889">{"FormulaRow33";(INDEX(CLASSLIST,A1823,1))}</f>
        <v>FormulaRow33</v>
      </c>
      <c r="B1888" s="77" t="s">
        <v>236</v>
      </c>
      <c r="C1888" s="222" t="str">
        <f t="array" ref="C1888:C1889">{"CLASSTYPE";((INDEX(ALLCLASSDATA,MATCH("ClassType",CLASSFEATUREHEADERS,0),MATCH($A1889,CLASSNAMEHEADERS,0))))}</f>
        <v>CLASSTYPE</v>
      </c>
      <c r="D1888" s="222" t="str">
        <f t="array" ref="D1888:D1889">{"ATTACK";"Attack"}</f>
        <v>ATTACK</v>
      </c>
      <c r="E1888" s="222" t="str">
        <f t="array" ref="E1888:E1889">{"ADVANCED";"Advanced"}</f>
        <v>ADVANCED</v>
      </c>
      <c r="F1888" s="223" t="str">
        <f t="array" ref="F1888:F1889">{"ADVANCEDINITIAL";((IF(H1889=10,"T",(IF(H1889=50,"E","")))))}</f>
        <v>ADVANCEDINITIAL</v>
      </c>
      <c r="G1888" s="223" t="str">
        <f t="array" ref="G1888:G1889">{"ADVANCEDINITIALPTS";((IF("00"=(INDEX(ALLCLASSDATA,MATCH("AdvancedLegendary",CLASSFEATUREHEADERS,0),MATCH($A1889,CLASSNAMEHEADERS,0))),(INDEX(ALLCLASSDATA,MATCH("AdvancedLegendary",CLASSFEATUREHEADERS,0),MATCH(($A1889 &amp; "Points"),CLASSNAMEHEADERS,0))),(IF("00"=(INDEX(ALLCLASSDATA,MATCH("AdvancedMaster",CLASSFEATUREHEADERS,0),MATCH($A1889,CLASSNAMEHEADERS,0))),(INDEX(ALLCLASSDATA,MATCH("AdvancedMaster",CLASSFEATUREHEADERS,0),MATCH(($A1889 &amp; "Points"),CLASSNAMEHEADERS,0))),(IF("00"=(INDEX(ALLCLASSDATA,MATCH("AdvancedExpert",CLASSFEATUREHEADERS,0),MATCH($A1889,CLASSNAMEHEADERS,0))),(INDEX(ALLCLASSDATA,MATCH("AdvancedExpert",CLASSFEATUREHEADERS,0),MATCH(($A1889 &amp; "Points"),CLASSNAMEHEADERS,0))),(IF("00"=(INDEX(ALLCLASSDATA,MATCH("AdvancedTrained",CLASSFEATUREHEADERS,0),MATCH($A1889,CLASSNAMEHEADERS,0))),(INDEX(ALLCLASSDATA,MATCH("AdvancedTrained",CLASSFEATUREHEADERS,0),MATCH(($A1889 &amp; "Points"),CLASSNAMEHEADERS,0))),"")))))))))}</f>
        <v>ADVANCEDINITIALPTS</v>
      </c>
      <c r="H1888" s="223" t="str">
        <f t="array" ref="H1888:H1889">{"ADVANCEDL01";((IF("01"=(INDEX(ALLCLASSDATA,MATCH("AdvancedLegendary",CLASSFEATUREHEADERS,0),MATCH($A1889,CLASSNAMEHEADERS,0))),(INDEX(ALLCLASSDATA,MATCH("AdvancedLegendary",CLASSFEATUREHEADERS,0),MATCH(($A1889 &amp; "Points"),CLASSNAMEHEADERS,0))),(IF("01"=(INDEX(ALLCLASSDATA,MATCH("AdvancedMaster",CLASSFEATUREHEADERS,0),MATCH($A1889,CLASSNAMEHEADERS,0))),(INDEX(ALLCLASSDATA,MATCH("AdvancedMaster",CLASSFEATUREHEADERS,0),MATCH(($A1889 &amp; "Points"),CLASSNAMEHEADERS,0))),(IF("01"=(INDEX(ALLCLASSDATA,MATCH("AdvancedExpert",CLASSFEATUREHEADERS,0),MATCH($A1889,CLASSNAMEHEADERS,0))),(INDEX(ALLCLASSDATA,MATCH("AdvancedExpert",CLASSFEATUREHEADERS,0),MATCH(($A1889 &amp; "Points"),CLASSNAMEHEADERS,0))),(IF("01"=(INDEX(ALLCLASSDATA,MATCH("AdvancedTrained",CLASSFEATUREHEADERS,0),MATCH($A1889,CLASSNAMEHEADERS,0))),(INDEX(ALLCLASSDATA,MATCH("AdvancedTrained",CLASSFEATUREHEADERS,0),MATCH(($A1889 &amp; "Points"),CLASSNAMEHEADERS,0))),"")))))))))}</f>
        <v>ADVANCEDL01</v>
      </c>
      <c r="I1888" s="223"/>
      <c r="J1888" s="223" t="str">
        <f t="array" ref="J1888:J1889">{"ADVANCEDL03";((IF("03"=(INDEX(ALLCLASSDATA,MATCH("AdvancedLegendary",CLASSFEATUREHEADERS,0),MATCH($A1889,CLASSNAMEHEADERS,0))),(INDEX(ALLCLASSDATA,MATCH("AdvancedLegendary",CLASSFEATUREHEADERS,0),MATCH(($A1889 &amp; "Points"),CLASSNAMEHEADERS,0))),(IF("03"=(INDEX(ALLCLASSDATA,MATCH("AdvancedMaster",CLASSFEATUREHEADERS,0),MATCH($A1889,CLASSNAMEHEADERS,0))),(INDEX(ALLCLASSDATA,MATCH("AdvancedMaster",CLASSFEATUREHEADERS,0),MATCH(($A1889 &amp; "Points"),CLASSNAMEHEADERS,0))),(IF("03"=(INDEX(ALLCLASSDATA,MATCH("AdvancedExpert",CLASSFEATUREHEADERS,0),MATCH($A1889,CLASSNAMEHEADERS,0))),(INDEX(ALLCLASSDATA,MATCH("AdvancedExpert",CLASSFEATUREHEADERS,0),MATCH(($A1889 &amp; "Points"),CLASSNAMEHEADERS,0))),(IF("03"=(INDEX(ALLCLASSDATA,MATCH("AdvancedTrained",CLASSFEATUREHEADERS,0),MATCH($A1889,CLASSNAMEHEADERS,0))),(INDEX(ALLCLASSDATA,MATCH("AdvancedTrained",CLASSFEATUREHEADERS,0),MATCH(($A1889 &amp; "Points"),CLASSNAMEHEADERS,0))),"")))))))))}</f>
        <v>ADVANCEDL03</v>
      </c>
      <c r="K1888" s="223"/>
      <c r="L1888" s="223" t="str">
        <f t="array" ref="L1888:L1889">{"ADVANCEDL05";((IF("05"=(INDEX(ALLCLASSDATA,MATCH("AdvancedLegendary",CLASSFEATUREHEADERS,0),MATCH($A1889,CLASSNAMEHEADERS,0))),(INDEX(ALLCLASSDATA,MATCH("AdvancedLegendary",CLASSFEATUREHEADERS,0),MATCH(($A1889 &amp; "Points"),CLASSNAMEHEADERS,0))),(IF("05"=(INDEX(ALLCLASSDATA,MATCH("AdvancedMaster",CLASSFEATUREHEADERS,0),MATCH($A1889,CLASSNAMEHEADERS,0))),(INDEX(ALLCLASSDATA,MATCH("AdvancedMaster",CLASSFEATUREHEADERS,0),MATCH(($A1889 &amp; "Points"),CLASSNAMEHEADERS,0))),(IF("05"=(INDEX(ALLCLASSDATA,MATCH("AdvancedExpert",CLASSFEATUREHEADERS,0),MATCH($A1889,CLASSNAMEHEADERS,0))),(INDEX(ALLCLASSDATA,MATCH("AdvancedExpert",CLASSFEATUREHEADERS,0),MATCH(($A1889 &amp; "Points"),CLASSNAMEHEADERS,0))),(IF("05"=(INDEX(ALLCLASSDATA,MATCH("AdvancedTrained",CLASSFEATUREHEADERS,0),MATCH($A1889,CLASSNAMEHEADERS,0))),(INDEX(ALLCLASSDATA,MATCH("AdvancedTrained",CLASSFEATUREHEADERS,0),MATCH(($A1889 &amp; "Points"),CLASSNAMEHEADERS,0))),"")))))))))}</f>
        <v>ADVANCEDL05</v>
      </c>
      <c r="M1888" s="223"/>
      <c r="N1888" s="223" t="str">
        <f t="array" ref="N1888:N1889">{"ADVANCEDL07";((IF("07"=(INDEX(ALLCLASSDATA,MATCH("AdvancedLegendary",CLASSFEATUREHEADERS,0),MATCH($A1889,CLASSNAMEHEADERS,0))),(INDEX(ALLCLASSDATA,MATCH("AdvancedLegendary",CLASSFEATUREHEADERS,0),MATCH(($A1889 &amp; "Points"),CLASSNAMEHEADERS,0))),(IF("07"=(INDEX(ALLCLASSDATA,MATCH("AdvancedMaster",CLASSFEATUREHEADERS,0),MATCH($A1889,CLASSNAMEHEADERS,0))),(INDEX(ALLCLASSDATA,MATCH("AdvancedMaster",CLASSFEATUREHEADERS,0),MATCH(($A1889 &amp; "Points"),CLASSNAMEHEADERS,0))),(IF("07"=(INDEX(ALLCLASSDATA,MATCH("AdvancedExpert",CLASSFEATUREHEADERS,0),MATCH($A1889,CLASSNAMEHEADERS,0))),(INDEX(ALLCLASSDATA,MATCH("AdvancedExpert",CLASSFEATUREHEADERS,0),MATCH(($A1889 &amp; "Points"),CLASSNAMEHEADERS,0))),(IF("07"=(INDEX(ALLCLASSDATA,MATCH("AdvancedTrained",CLASSFEATUREHEADERS,0),MATCH($A1889,CLASSNAMEHEADERS,0))),(INDEX(ALLCLASSDATA,MATCH("AdvancedTrained",CLASSFEATUREHEADERS,0),MATCH(($A1889 &amp; "Points"),CLASSNAMEHEADERS,0))),"")))))))))}</f>
        <v>ADVANCEDL07</v>
      </c>
      <c r="O1888" s="223"/>
      <c r="P1888" s="223" t="str">
        <f t="array" ref="P1888:P1889">{"ADVANCEDL09";((IF("09"=(INDEX(ALLCLASSDATA,MATCH("AdvancedLegendary",CLASSFEATUREHEADERS,0),MATCH($A1889,CLASSNAMEHEADERS,0))),(INDEX(ALLCLASSDATA,MATCH("AdvancedLegendary",CLASSFEATUREHEADERS,0),MATCH(($A1889 &amp; "Points"),CLASSNAMEHEADERS,0))),(IF("09"=(INDEX(ALLCLASSDATA,MATCH("AdvancedMaster",CLASSFEATUREHEADERS,0),MATCH($A1889,CLASSNAMEHEADERS,0))),(INDEX(ALLCLASSDATA,MATCH("AdvancedMaster",CLASSFEATUREHEADERS,0),MATCH(($A1889 &amp; "Points"),CLASSNAMEHEADERS,0))),(IF("09"=(INDEX(ALLCLASSDATA,MATCH("AdvancedExpert",CLASSFEATUREHEADERS,0),MATCH($A1889,CLASSNAMEHEADERS,0))),(INDEX(ALLCLASSDATA,MATCH("AdvancedExpert",CLASSFEATUREHEADERS,0),MATCH(($A1889 &amp; "Points"),CLASSNAMEHEADERS,0))),(IF("09"=(INDEX(ALLCLASSDATA,MATCH("AdvancedTrained",CLASSFEATUREHEADERS,0),MATCH($A1889,CLASSNAMEHEADERS,0))),(INDEX(ALLCLASSDATA,MATCH("AdvancedTrained",CLASSFEATUREHEADERS,0),MATCH(($A1889 &amp; "Points"),CLASSNAMEHEADERS,0))),"")))))))))}</f>
        <v>ADVANCEDL09</v>
      </c>
      <c r="Q1888" s="223"/>
      <c r="R1888" s="223" t="str">
        <f t="array" ref="R1888:R1889">{"ADVANCEDL11";((IF("11"=(INDEX(ALLCLASSDATA,MATCH("AdvancedLegendary",CLASSFEATUREHEADERS,0),MATCH($A1889,CLASSNAMEHEADERS,0))),(INDEX(ALLCLASSDATA,MATCH("AdvancedLegendary",CLASSFEATUREHEADERS,0),MATCH(($A1889 &amp; "Points"),CLASSNAMEHEADERS,0))),(IF("11"=(INDEX(ALLCLASSDATA,MATCH("AdvancedMaster",CLASSFEATUREHEADERS,0),MATCH($A1889,CLASSNAMEHEADERS,0))),(INDEX(ALLCLASSDATA,MATCH("AdvancedMaster",CLASSFEATUREHEADERS,0),MATCH(($A1889 &amp; "Points"),CLASSNAMEHEADERS,0))),(IF("11"=(INDEX(ALLCLASSDATA,MATCH("AdvancedExpert",CLASSFEATUREHEADERS,0),MATCH($A1889,CLASSNAMEHEADERS,0))),(INDEX(ALLCLASSDATA,MATCH("AdvancedExpert",CLASSFEATUREHEADERS,0),MATCH(($A1889 &amp; "Points"),CLASSNAMEHEADERS,0))),(IF("11"=(INDEX(ALLCLASSDATA,MATCH("AdvancedTrained",CLASSFEATUREHEADERS,0),MATCH($A1889,CLASSNAMEHEADERS,0))),(INDEX(ALLCLASSDATA,MATCH("AdvancedTrained",CLASSFEATUREHEADERS,0),MATCH(($A1889 &amp; "Points"),CLASSNAMEHEADERS,0))),"")))))))))}</f>
        <v>ADVANCEDL11</v>
      </c>
      <c r="S1888" s="223"/>
      <c r="T1888" s="223" t="str">
        <f t="array" ref="T1888:T1889">{"ADVANCEDL13";((IF("13"=(INDEX(ALLCLASSDATA,MATCH("AdvancedLegendary",CLASSFEATUREHEADERS,0),MATCH($A1889,CLASSNAMEHEADERS,0))),(INDEX(ALLCLASSDATA,MATCH("AdvancedLegendary",CLASSFEATUREHEADERS,0),MATCH(($A1889 &amp; "Points"),CLASSNAMEHEADERS,0))),(IF("13"=(INDEX(ALLCLASSDATA,MATCH("AdvancedMaster",CLASSFEATUREHEADERS,0),MATCH($A1889,CLASSNAMEHEADERS,0))),(INDEX(ALLCLASSDATA,MATCH("AdvancedMaster",CLASSFEATUREHEADERS,0),MATCH(($A1889 &amp; "Points"),CLASSNAMEHEADERS,0))),(IF("13"=(INDEX(ALLCLASSDATA,MATCH("AdvancedExpert",CLASSFEATUREHEADERS,0),MATCH($A1889,CLASSNAMEHEADERS,0))),(INDEX(ALLCLASSDATA,MATCH("AdvancedExpert",CLASSFEATUREHEADERS,0),MATCH(($A1889 &amp; "Points"),CLASSNAMEHEADERS,0))),(IF("13"=(INDEX(ALLCLASSDATA,MATCH("AdvancedTrained",CLASSFEATUREHEADERS,0),MATCH($A1889,CLASSNAMEHEADERS,0))),(INDEX(ALLCLASSDATA,MATCH("AdvancedTrained",CLASSFEATUREHEADERS,0),MATCH(($A1889 &amp; "Points"),CLASSNAMEHEADERS,0))),"")))))))))}</f>
        <v>ADVANCEDL13</v>
      </c>
      <c r="U1888" s="223"/>
      <c r="V1888" s="223" t="str">
        <f t="array" ref="V1888:V1889">{"ADVANCEDL15";((IF("15"=(INDEX(ALLCLASSDATA,MATCH("AdvancedLegendary",CLASSFEATUREHEADERS,0),MATCH($A1889,CLASSNAMEHEADERS,0))),(INDEX(ALLCLASSDATA,MATCH("AdvancedLegendary",CLASSFEATUREHEADERS,0),MATCH(($A1889 &amp; "Points"),CLASSNAMEHEADERS,0))),(IF("15"=(INDEX(ALLCLASSDATA,MATCH("AdvancedMaster",CLASSFEATUREHEADERS,0),MATCH($A1889,CLASSNAMEHEADERS,0))),(INDEX(ALLCLASSDATA,MATCH("AdvancedMaster",CLASSFEATUREHEADERS,0),MATCH(($A1889 &amp; "Points"),CLASSNAMEHEADERS,0))),(IF("15"=(INDEX(ALLCLASSDATA,MATCH("AdvancedExpert",CLASSFEATUREHEADERS,0),MATCH($A1889,CLASSNAMEHEADERS,0))),(INDEX(ALLCLASSDATA,MATCH("AdvancedExpert",CLASSFEATUREHEADERS,0),MATCH(($A1889 &amp; "Points"),CLASSNAMEHEADERS,0))),(IF("15"=(INDEX(ALLCLASSDATA,MATCH("AdvancedTrained",CLASSFEATUREHEADERS,0),MATCH($A1889,CLASSNAMEHEADERS,0))),(INDEX(ALLCLASSDATA,MATCH("AdvancedTrained",CLASSFEATUREHEADERS,0),MATCH(($A1889 &amp; "Points"),CLASSNAMEHEADERS,0))),"")))))))))}</f>
        <v>ADVANCEDL15</v>
      </c>
      <c r="W1888" s="223"/>
      <c r="X1888" s="223" t="str">
        <f t="array" ref="X1888:X1889">{"ADVANCEDL17";((IF("17"=(INDEX(ALLCLASSDATA,MATCH("AdvancedLegendary",CLASSFEATUREHEADERS,0),MATCH($A1889,CLASSNAMEHEADERS,0))),(INDEX(ALLCLASSDATA,MATCH("AdvancedLegendary",CLASSFEATUREHEADERS,0),MATCH(($A1889 &amp; "Points"),CLASSNAMEHEADERS,0))),(IF("17"=(INDEX(ALLCLASSDATA,MATCH("AdvancedMaster",CLASSFEATUREHEADERS,0),MATCH($A1889,CLASSNAMEHEADERS,0))),(INDEX(ALLCLASSDATA,MATCH("AdvancedMaster",CLASSFEATUREHEADERS,0),MATCH(($A1889 &amp; "Points"),CLASSNAMEHEADERS,0))),(IF("17"=(INDEX(ALLCLASSDATA,MATCH("AdvancedExpert",CLASSFEATUREHEADERS,0),MATCH($A1889,CLASSNAMEHEADERS,0))),(INDEX(ALLCLASSDATA,MATCH("AdvancedExpert",CLASSFEATUREHEADERS,0),MATCH(($A1889 &amp; "Points"),CLASSNAMEHEADERS,0))),(IF("17"=(INDEX(ALLCLASSDATA,MATCH("AdvancedTrained",CLASSFEATUREHEADERS,0),MATCH($A1889,CLASSNAMEHEADERS,0))),(INDEX(ALLCLASSDATA,MATCH("AdvancedTrained",CLASSFEATUREHEADERS,0),MATCH(($A1889 &amp; "Points"),CLASSNAMEHEADERS,0))),"")))))))))}</f>
        <v>ADVANCEDL17</v>
      </c>
      <c r="Y1888" s="223"/>
      <c r="Z1888" s="223" t="str">
        <f t="array" ref="Z1888:Z1889">{"ADVANCEDL19";((IF("19"=(INDEX(ALLCLASSDATA,MATCH("AdvancedLegendary",CLASSFEATUREHEADERS,0),MATCH($A1889,CLASSNAMEHEADERS,0))),(INDEX(ALLCLASSDATA,MATCH("AdvancedLegendary",CLASSFEATUREHEADERS,0),MATCH(($A1889 &amp; "Points"),CLASSNAMEHEADERS,0))),(IF("19"=(INDEX(ALLCLASSDATA,MATCH("AdvancedMaster",CLASSFEATUREHEADERS,0),MATCH($A1889,CLASSNAMEHEADERS,0))),(INDEX(ALLCLASSDATA,MATCH("AdvancedMaster",CLASSFEATUREHEADERS,0),MATCH(($A1889 &amp; "Points"),CLASSNAMEHEADERS,0))),(IF("19"=(INDEX(ALLCLASSDATA,MATCH("AdvancedExpert",CLASSFEATUREHEADERS,0),MATCH($A1889,CLASSNAMEHEADERS,0))),(INDEX(ALLCLASSDATA,MATCH("AdvancedExpert",CLASSFEATUREHEADERS,0),MATCH(($A1889 &amp; "Points"),CLASSNAMEHEADERS,0))),(IF("19"=(INDEX(ALLCLASSDATA,MATCH("AdvancedTrained",CLASSFEATUREHEADERS,0),MATCH($A1889,CLASSNAMEHEADERS,0))),(INDEX(ALLCLASSDATA,MATCH("AdvancedTrained",CLASSFEATUREHEADERS,0),MATCH(($A1889 &amp; "Points"),CLASSNAMEHEADERS,0))),"")))))))))}</f>
        <v>ADVANCEDL19</v>
      </c>
      <c r="AA1888" s="223"/>
      <c r="AB1888" s="76" t="str">
        <f t="array" ref="AB1888:AB1889">{"ADVANCED TOTAL";(IF(COUNTBLANK(G1889:AA1889)=17,"L",(IF(COUNTBLANK(G1889:AA1889)=18,"M",(IF(COUNTBLANK(G1889:AA1889)=19,"E",(IF(COUNTBLANK(G1889:AA1889)=20,"T",""))))))))}</f>
        <v>ADVANCED TOTAL</v>
      </c>
      <c r="AC1888" s="76" t="str">
        <f t="array" ref="AC1888:AC1889">{"ADVANCED TOTAL";(sum(G1889:AA1889))}</f>
        <v>ADVANCED TOTAL</v>
      </c>
    </row>
    <row r="1889">
      <c r="A1889" s="48" t="s">
        <v>229</v>
      </c>
      <c r="B1889" s="48"/>
      <c r="C1889" s="48" t="s">
        <v>418</v>
      </c>
      <c r="D1889" s="97" t="s">
        <v>1634</v>
      </c>
      <c r="E1889" s="97" t="s">
        <v>602</v>
      </c>
      <c r="F1889" s="98" t="s">
        <v>603</v>
      </c>
      <c r="G1889" s="132" t="s">
        <v>603</v>
      </c>
      <c r="H1889" s="98" t="s">
        <v>603</v>
      </c>
      <c r="I1889" s="98"/>
      <c r="J1889" s="98" t="s">
        <v>603</v>
      </c>
      <c r="K1889" s="98"/>
      <c r="L1889" s="98" t="s">
        <v>603</v>
      </c>
      <c r="M1889" s="98"/>
      <c r="N1889" s="98" t="s">
        <v>603</v>
      </c>
      <c r="O1889" s="98"/>
      <c r="P1889" s="98" t="s">
        <v>603</v>
      </c>
      <c r="Q1889" s="98"/>
      <c r="R1889" s="98" t="s">
        <v>603</v>
      </c>
      <c r="S1889" s="98"/>
      <c r="T1889" s="98" t="s">
        <v>603</v>
      </c>
      <c r="U1889" s="98"/>
      <c r="V1889" s="98" t="s">
        <v>603</v>
      </c>
      <c r="W1889" s="98"/>
      <c r="X1889" s="98" t="s">
        <v>603</v>
      </c>
      <c r="Y1889" s="98"/>
      <c r="Z1889" s="98" t="s">
        <v>603</v>
      </c>
      <c r="AA1889" s="98"/>
      <c r="AB1889" s="5" t="s">
        <v>603</v>
      </c>
      <c r="AC1889" s="47">
        <v>0.0</v>
      </c>
    </row>
    <row r="1890" hidden="1">
      <c r="A1890" s="222" t="str">
        <f t="array" ref="A1890:A1891">{"FormulaRow34";(INDEX(CLASSLIST,A1823,1))}</f>
        <v>FormulaRow34</v>
      </c>
      <c r="B1890" s="77" t="s">
        <v>236</v>
      </c>
      <c r="C1890" s="222" t="str">
        <f t="array" ref="C1890:C1891">{"CLASSTYPE";((INDEX(ALLCLASSDATA,MATCH("ClassType",CLASSFEATUREHEADERS,0),MATCH($A1891,CLASSNAMEHEADERS,0))))}</f>
        <v>CLASSTYPE</v>
      </c>
      <c r="D1890" s="222" t="str">
        <f t="array" ref="D1890:D1891">{"DEFENSE";"Defense"}</f>
        <v>DEFENSE</v>
      </c>
      <c r="E1890" s="222" t="str">
        <f t="array" ref="E1890:E1891">{"ARMORSPECIAL";"ArmorAS"}</f>
        <v>ARMORSPECIAL</v>
      </c>
      <c r="F1890" s="223"/>
      <c r="G1890" s="223"/>
      <c r="H1890" s="223" t="str">
        <f t="array" ref="H1890:H1891">{"ARMORSPECIALL01";((IF("01"=INDEX(ALLCLASSDATA,MATCH("ArmorSpecialization",CLASSFEATUREHEADERS,0),MATCH($A1891,CLASSNAMEHEADERS,0)),ArmorAS,"")))}</f>
        <v>ARMORSPECIALL01</v>
      </c>
      <c r="I1890" s="223"/>
      <c r="J1890" s="223" t="str">
        <f t="array" ref="J1890:J1891">{"ARMORSPECIALL03";((IF("03"=INDEX(ALLCLASSDATA,MATCH("ArmorSpecialization",CLASSFEATUREHEADERS,0),MATCH($A1891,CLASSNAMEHEADERS,0)),ArmorAS,"")))}</f>
        <v>ARMORSPECIALL03</v>
      </c>
      <c r="K1890" s="223"/>
      <c r="L1890" s="223" t="str">
        <f t="array" ref="L1890:L1891">{"ARMORSPECIALL05";((IF("05"=INDEX(ALLCLASSDATA,MATCH("ArmorSpecialization",CLASSFEATUREHEADERS,0),MATCH($A1891,CLASSNAMEHEADERS,0)),ArmorAS,"")))}</f>
        <v>ARMORSPECIALL05</v>
      </c>
      <c r="M1890" s="223"/>
      <c r="N1890" s="223" t="str">
        <f t="array" ref="N1890:N1891">{"ARMORSPECIALL07";((IF("07"=INDEX(ALLCLASSDATA,MATCH("ArmorSpecialization",CLASSFEATUREHEADERS,0),MATCH($A1891,CLASSNAMEHEADERS,0)),ArmorAS,"")))}</f>
        <v>ARMORSPECIALL07</v>
      </c>
      <c r="O1890" s="223"/>
      <c r="P1890" s="223" t="str">
        <f t="array" ref="P1890:P1891">{"ARMORSPECIALL09";((IF("09"=INDEX(ALLCLASSDATA,MATCH("ArmorSpecialization",CLASSFEATUREHEADERS,0),MATCH($A1891,CLASSNAMEHEADERS,0)),ArmorAS,"")))}</f>
        <v>ARMORSPECIALL09</v>
      </c>
      <c r="Q1890" s="223"/>
      <c r="R1890" s="223" t="str">
        <f t="array" ref="R1890:R1891">{"ARMORSPECIALL11";((IF("11"=INDEX(ALLCLASSDATA,MATCH("ArmorSpecialization",CLASSFEATUREHEADERS,0),MATCH($A1891,CLASSNAMEHEADERS,0)),ArmorAS,"")))}</f>
        <v>ARMORSPECIALL11</v>
      </c>
      <c r="S1890" s="223"/>
      <c r="T1890" s="223" t="str">
        <f t="array" ref="T1890:T1891">{"ARMORSPECIALL13";((IF("13"=INDEX(ALLCLASSDATA,MATCH("ArmorSpecialization",CLASSFEATUREHEADERS,0),MATCH($A1891,CLASSNAMEHEADERS,0)),ArmorAS,"")))}</f>
        <v>ARMORSPECIALL13</v>
      </c>
      <c r="U1890" s="223"/>
      <c r="V1890" s="223" t="str">
        <f t="array" ref="V1890:V1891">{"ARMORSPECIALL15";((IF("15"=INDEX(ALLCLASSDATA,MATCH("ArmorSpecialization",CLASSFEATUREHEADERS,0),MATCH($A1891,CLASSNAMEHEADERS,0)),ArmorAS,"")))}</f>
        <v>ARMORSPECIALL15</v>
      </c>
      <c r="W1890" s="223"/>
      <c r="X1890" s="223" t="str">
        <f t="array" ref="X1890:X1891">{"ARMORSPECIALL17";((IF("17"=INDEX(ALLCLASSDATA,MATCH("ArmorSpecialization",CLASSFEATUREHEADERS,0),MATCH($A1891,CLASSNAMEHEADERS,0)),ArmorAS,"")))}</f>
        <v>ARMORSPECIALL17</v>
      </c>
      <c r="Y1890" s="223"/>
      <c r="Z1890" s="223" t="str">
        <f t="array" ref="Z1890:Z1891">{"ARMORSPECIALL19";((IF("19"=INDEX(ALLCLASSDATA,MATCH("ArmorSpecialization",CLASSFEATUREHEADERS,0),MATCH($A1891,CLASSNAMEHEADERS,0)),ArmorAS,"")))}</f>
        <v>ARMORSPECIALL19</v>
      </c>
      <c r="AA1890" s="223"/>
      <c r="AB1890" s="76"/>
      <c r="AC1890" s="76" t="str">
        <f t="array" ref="AC1890:AC1891">{"ARMORSPECIAL TOTAL";(sum(G1891:AA1891))}</f>
        <v>ARMORSPECIAL TOTAL</v>
      </c>
    </row>
    <row r="1891">
      <c r="A1891" s="48" t="s">
        <v>229</v>
      </c>
      <c r="B1891" s="48"/>
      <c r="C1891" s="48" t="s">
        <v>418</v>
      </c>
      <c r="D1891" s="48" t="s">
        <v>1900</v>
      </c>
      <c r="E1891" s="48" t="s">
        <v>51</v>
      </c>
      <c r="F1891" s="5"/>
      <c r="G1891" s="47"/>
      <c r="H1891" s="5" t="s">
        <v>603</v>
      </c>
      <c r="I1891" s="5"/>
      <c r="J1891" s="5" t="s">
        <v>603</v>
      </c>
      <c r="K1891" s="5"/>
      <c r="L1891" s="5" t="s">
        <v>603</v>
      </c>
      <c r="M1891" s="5"/>
      <c r="N1891" s="5" t="s">
        <v>603</v>
      </c>
      <c r="O1891" s="5"/>
      <c r="P1891" s="5" t="s">
        <v>603</v>
      </c>
      <c r="Q1891" s="5"/>
      <c r="R1891" s="5" t="s">
        <v>603</v>
      </c>
      <c r="S1891" s="5"/>
      <c r="T1891" s="5" t="s">
        <v>603</v>
      </c>
      <c r="U1891" s="5"/>
      <c r="V1891" s="5" t="s">
        <v>603</v>
      </c>
      <c r="W1891" s="5"/>
      <c r="X1891" s="5" t="s">
        <v>603</v>
      </c>
      <c r="Y1891" s="5"/>
      <c r="Z1891" s="5" t="s">
        <v>603</v>
      </c>
      <c r="AA1891" s="5"/>
      <c r="AB1891" s="5"/>
      <c r="AC1891" s="47">
        <v>0.0</v>
      </c>
    </row>
    <row r="1892" hidden="1">
      <c r="A1892" s="222" t="str">
        <f t="array" ref="A1892:A1893">{"FormulaRow35";(INDEX(CLASSLIST,A1823,1))}</f>
        <v>FormulaRow35</v>
      </c>
      <c r="B1892" s="77" t="s">
        <v>236</v>
      </c>
      <c r="C1892" s="222" t="str">
        <f t="array" ref="C1892:C1893">{"CLASSTYPE";((INDEX(ALLCLASSDATA,MATCH("ClassType",CLASSFEATUREHEADERS,0),MATCH($A1893,CLASSNAMEHEADERS,0))))}</f>
        <v>CLASSTYPE</v>
      </c>
      <c r="D1892" s="222" t="str">
        <f t="array" ref="D1892:D1893">{"DEFENSE";"Defense"}</f>
        <v>DEFENSE</v>
      </c>
      <c r="E1892" s="222" t="str">
        <f t="array" ref="E1892:E1893">{"UNARMORED";"Unarmored"}</f>
        <v>UNARMORED</v>
      </c>
      <c r="F1892" s="223" t="str">
        <f t="array" ref="F1892:F1893">{"UNARMOREDINITIAL";((IF(H1893=10,"T",(IF(H1893=50,"E","")))))}</f>
        <v>UNARMOREDINITIAL</v>
      </c>
      <c r="G1892" s="223" t="str">
        <f t="array" ref="G1892:G1893">{"UNARMOREDINITIALPTS";((IF("00"=(INDEX(ALLCLASSDATA,MATCH("UnarmoredLegendary",CLASSFEATUREHEADERS,0),MATCH($A1893,CLASSNAMEHEADERS,0))),(INDEX(ALLCLASSDATA,MATCH("UnarmoredLegendary",CLASSFEATUREHEADERS,0),MATCH(($A1893 &amp; "Points"),CLASSNAMEHEADERS,0))),(IF("00"=(INDEX(ALLCLASSDATA,MATCH("UnarmoredMaster",CLASSFEATUREHEADERS,0),MATCH($A1893,CLASSNAMEHEADERS,0))),(INDEX(ALLCLASSDATA,MATCH("UnarmoredMaster",CLASSFEATUREHEADERS,0),MATCH(($A1893 &amp; "Points"),CLASSNAMEHEADERS,0))),(IF("00"=(INDEX(ALLCLASSDATA,MATCH("UnarmoredExpert",CLASSFEATUREHEADERS,0),MATCH($A1893,CLASSNAMEHEADERS,0))),(INDEX(ALLCLASSDATA,MATCH("UnarmoredExpert",CLASSFEATUREHEADERS,0),MATCH(($A1893 &amp; "Points"),CLASSNAMEHEADERS,0))),(IF("00"=(INDEX(ALLCLASSDATA,MATCH("UnarmoredTrained",CLASSFEATUREHEADERS,0),MATCH($A1893,CLASSNAMEHEADERS,0))),(INDEX(ALLCLASSDATA,MATCH("UnarmoredTrained",CLASSFEATUREHEADERS,0),MATCH(($A1893 &amp; "Points"),CLASSNAMEHEADERS,0))),"")))))))))}</f>
        <v>UNARMOREDINITIALPTS</v>
      </c>
      <c r="H1892" s="223" t="str">
        <f t="array" ref="H1892:H1893">{"UNARMOREDL01";((IF("01"=(INDEX(ALLCLASSDATA,MATCH("UnarmoredLegendary",CLASSFEATUREHEADERS,0),MATCH($A1893,CLASSNAMEHEADERS,0))),(INDEX(ALLCLASSDATA,MATCH("UnarmoredLegendary",CLASSFEATUREHEADERS,0),MATCH(($A1893 &amp; "Points"),CLASSNAMEHEADERS,0))),(IF("01"=(INDEX(ALLCLASSDATA,MATCH("UnarmoredMaster",CLASSFEATUREHEADERS,0),MATCH($A1893,CLASSNAMEHEADERS,0))),(INDEX(ALLCLASSDATA,MATCH("UnarmoredMaster",CLASSFEATUREHEADERS,0),MATCH(($A1893 &amp; "Points"),CLASSNAMEHEADERS,0))),(IF("01"=(INDEX(ALLCLASSDATA,MATCH("UnarmoredExpert",CLASSFEATUREHEADERS,0),MATCH($A1893,CLASSNAMEHEADERS,0))),(INDEX(ALLCLASSDATA,MATCH("UnarmoredExpert",CLASSFEATUREHEADERS,0),MATCH(($A1893 &amp; "Points"),CLASSNAMEHEADERS,0))),(IF("01"=(INDEX(ALLCLASSDATA,MATCH("UnarmoredTrained",CLASSFEATUREHEADERS,0),MATCH($A1893,CLASSNAMEHEADERS,0))),(INDEX(ALLCLASSDATA,MATCH("UnarmoredTrained",CLASSFEATUREHEADERS,0),MATCH(($A1893 &amp; "Points"),CLASSNAMEHEADERS,0))),"")))))))))}</f>
        <v>UNARMOREDL01</v>
      </c>
      <c r="I1892" s="223"/>
      <c r="J1892" s="223" t="str">
        <f t="array" ref="J1892:J1893">{"UNARMOREDL03";((IF("03"=(INDEX(ALLCLASSDATA,MATCH("UnarmoredLegendary",CLASSFEATUREHEADERS,0),MATCH($A1893,CLASSNAMEHEADERS,0))),(INDEX(ALLCLASSDATA,MATCH("UnarmoredLegendary",CLASSFEATUREHEADERS,0),MATCH(($A1893 &amp; "Points"),CLASSNAMEHEADERS,0))),(IF("03"=(INDEX(ALLCLASSDATA,MATCH("UnarmoredMaster",CLASSFEATUREHEADERS,0),MATCH($A1893,CLASSNAMEHEADERS,0))),(INDEX(ALLCLASSDATA,MATCH("UnarmoredMaster",CLASSFEATUREHEADERS,0),MATCH(($A1893 &amp; "Points"),CLASSNAMEHEADERS,0))),(IF("03"=(INDEX(ALLCLASSDATA,MATCH("UnarmoredExpert",CLASSFEATUREHEADERS,0),MATCH($A1893,CLASSNAMEHEADERS,0))),(INDEX(ALLCLASSDATA,MATCH("UnarmoredExpert",CLASSFEATUREHEADERS,0),MATCH(($A1893 &amp; "Points"),CLASSNAMEHEADERS,0))),(IF("03"=(INDEX(ALLCLASSDATA,MATCH("UnarmoredTrained",CLASSFEATUREHEADERS,0),MATCH($A1893,CLASSNAMEHEADERS,0))),(INDEX(ALLCLASSDATA,MATCH("UnarmoredTrained",CLASSFEATUREHEADERS,0),MATCH(($A1893 &amp; "Points"),CLASSNAMEHEADERS,0))),"")))))))))}</f>
        <v>UNARMOREDL03</v>
      </c>
      <c r="K1892" s="223"/>
      <c r="L1892" s="223" t="str">
        <f t="array" ref="L1892:L1893">{"UNARMOREDL05";((IF("05"=(INDEX(ALLCLASSDATA,MATCH("UnarmoredLegendary",CLASSFEATUREHEADERS,0),MATCH($A1893,CLASSNAMEHEADERS,0))),(INDEX(ALLCLASSDATA,MATCH("UnarmoredLegendary",CLASSFEATUREHEADERS,0),MATCH(($A1893 &amp; "Points"),CLASSNAMEHEADERS,0))),(IF("05"=(INDEX(ALLCLASSDATA,MATCH("UnarmoredMaster",CLASSFEATUREHEADERS,0),MATCH($A1893,CLASSNAMEHEADERS,0))),(INDEX(ALLCLASSDATA,MATCH("UnarmoredMaster",CLASSFEATUREHEADERS,0),MATCH(($A1893 &amp; "Points"),CLASSNAMEHEADERS,0))),(IF("05"=(INDEX(ALLCLASSDATA,MATCH("UnarmoredExpert",CLASSFEATUREHEADERS,0),MATCH($A1893,CLASSNAMEHEADERS,0))),(INDEX(ALLCLASSDATA,MATCH("UnarmoredExpert",CLASSFEATUREHEADERS,0),MATCH(($A1893 &amp; "Points"),CLASSNAMEHEADERS,0))),(IF("05"=(INDEX(ALLCLASSDATA,MATCH("UnarmoredTrained",CLASSFEATUREHEADERS,0),MATCH($A1893,CLASSNAMEHEADERS,0))),(INDEX(ALLCLASSDATA,MATCH("UnarmoredTrained",CLASSFEATUREHEADERS,0),MATCH(($A1893 &amp; "Points"),CLASSNAMEHEADERS,0))),"")))))))))}</f>
        <v>UNARMOREDL05</v>
      </c>
      <c r="M1892" s="223"/>
      <c r="N1892" s="223" t="str">
        <f t="array" ref="N1892:N1893">{"UNARMOREDL07";((IF("07"=(INDEX(ALLCLASSDATA,MATCH("UnarmoredLegendary",CLASSFEATUREHEADERS,0),MATCH($A1893,CLASSNAMEHEADERS,0))),(INDEX(ALLCLASSDATA,MATCH("UnarmoredLegendary",CLASSFEATUREHEADERS,0),MATCH(($A1893 &amp; "Points"),CLASSNAMEHEADERS,0))),(IF("07"=(INDEX(ALLCLASSDATA,MATCH("UnarmoredMaster",CLASSFEATUREHEADERS,0),MATCH($A1893,CLASSNAMEHEADERS,0))),(INDEX(ALLCLASSDATA,MATCH("UnarmoredMaster",CLASSFEATUREHEADERS,0),MATCH(($A1893 &amp; "Points"),CLASSNAMEHEADERS,0))),(IF("07"=(INDEX(ALLCLASSDATA,MATCH("UnarmoredExpert",CLASSFEATUREHEADERS,0),MATCH($A1893,CLASSNAMEHEADERS,0))),(INDEX(ALLCLASSDATA,MATCH("UnarmoredExpert",CLASSFEATUREHEADERS,0),MATCH(($A1893 &amp; "Points"),CLASSNAMEHEADERS,0))),(IF("07"=(INDEX(ALLCLASSDATA,MATCH("UnarmoredTrained",CLASSFEATUREHEADERS,0),MATCH($A1893,CLASSNAMEHEADERS,0))),(INDEX(ALLCLASSDATA,MATCH("UnarmoredTrained",CLASSFEATUREHEADERS,0),MATCH(($A1893 &amp; "Points"),CLASSNAMEHEADERS,0))),"")))))))))}</f>
        <v>UNARMOREDL07</v>
      </c>
      <c r="O1892" s="223"/>
      <c r="P1892" s="223" t="str">
        <f t="array" ref="P1892:P1893">{"UNARMOREDL09";((IF("09"=(INDEX(ALLCLASSDATA,MATCH("UnarmoredLegendary",CLASSFEATUREHEADERS,0),MATCH($A1893,CLASSNAMEHEADERS,0))),(INDEX(ALLCLASSDATA,MATCH("UnarmoredLegendary",CLASSFEATUREHEADERS,0),MATCH(($A1893 &amp; "Points"),CLASSNAMEHEADERS,0))),(IF("09"=(INDEX(ALLCLASSDATA,MATCH("UnarmoredMaster",CLASSFEATUREHEADERS,0),MATCH($A1893,CLASSNAMEHEADERS,0))),(INDEX(ALLCLASSDATA,MATCH("UnarmoredMaster",CLASSFEATUREHEADERS,0),MATCH(($A1893 &amp; "Points"),CLASSNAMEHEADERS,0))),(IF("09"=(INDEX(ALLCLASSDATA,MATCH("UnarmoredExpert",CLASSFEATUREHEADERS,0),MATCH($A1893,CLASSNAMEHEADERS,0))),(INDEX(ALLCLASSDATA,MATCH("UnarmoredExpert",CLASSFEATUREHEADERS,0),MATCH(($A1893 &amp; "Points"),CLASSNAMEHEADERS,0))),(IF("09"=(INDEX(ALLCLASSDATA,MATCH("UnarmoredTrained",CLASSFEATUREHEADERS,0),MATCH($A1893,CLASSNAMEHEADERS,0))),(INDEX(ALLCLASSDATA,MATCH("UnarmoredTrained",CLASSFEATUREHEADERS,0),MATCH(($A1893 &amp; "Points"),CLASSNAMEHEADERS,0))),"")))))))))}</f>
        <v>UNARMOREDL09</v>
      </c>
      <c r="Q1892" s="223"/>
      <c r="R1892" s="223" t="str">
        <f t="array" ref="R1892:R1893">{"UNARMOREDL11";((IF("11"=(INDEX(ALLCLASSDATA,MATCH("UnarmoredLegendary",CLASSFEATUREHEADERS,0),MATCH($A1893,CLASSNAMEHEADERS,0))),(INDEX(ALLCLASSDATA,MATCH("UnarmoredLegendary",CLASSFEATUREHEADERS,0),MATCH(($A1893 &amp; "Points"),CLASSNAMEHEADERS,0))),(IF("11"=(INDEX(ALLCLASSDATA,MATCH("UnarmoredMaster",CLASSFEATUREHEADERS,0),MATCH($A1893,CLASSNAMEHEADERS,0))),(INDEX(ALLCLASSDATA,MATCH("UnarmoredMaster",CLASSFEATUREHEADERS,0),MATCH(($A1893 &amp; "Points"),CLASSNAMEHEADERS,0))),(IF("11"=(INDEX(ALLCLASSDATA,MATCH("UnarmoredExpert",CLASSFEATUREHEADERS,0),MATCH($A1893,CLASSNAMEHEADERS,0))),(INDEX(ALLCLASSDATA,MATCH("UnarmoredExpert",CLASSFEATUREHEADERS,0),MATCH(($A1893 &amp; "Points"),CLASSNAMEHEADERS,0))),(IF("11"=(INDEX(ALLCLASSDATA,MATCH("UnarmoredTrained",CLASSFEATUREHEADERS,0),MATCH($A1893,CLASSNAMEHEADERS,0))),(INDEX(ALLCLASSDATA,MATCH("UnarmoredTrained",CLASSFEATUREHEADERS,0),MATCH(($A1893 &amp; "Points"),CLASSNAMEHEADERS,0))),"")))))))))}</f>
        <v>UNARMOREDL11</v>
      </c>
      <c r="S1892" s="223"/>
      <c r="T1892" s="223" t="str">
        <f t="array" ref="T1892:T1893">{"UNARMOREDL13";((IF("13"=(INDEX(ALLCLASSDATA,MATCH("UnarmoredLegendary",CLASSFEATUREHEADERS,0),MATCH($A1893,CLASSNAMEHEADERS,0))),(INDEX(ALLCLASSDATA,MATCH("UnarmoredLegendary",CLASSFEATUREHEADERS,0),MATCH(($A1893 &amp; "Points"),CLASSNAMEHEADERS,0))),(IF("13"=(INDEX(ALLCLASSDATA,MATCH("UnarmoredMaster",CLASSFEATUREHEADERS,0),MATCH($A1893,CLASSNAMEHEADERS,0))),(INDEX(ALLCLASSDATA,MATCH("UnarmoredMaster",CLASSFEATUREHEADERS,0),MATCH(($A1893 &amp; "Points"),CLASSNAMEHEADERS,0))),(IF("13"=(INDEX(ALLCLASSDATA,MATCH("UnarmoredExpert",CLASSFEATUREHEADERS,0),MATCH($A1893,CLASSNAMEHEADERS,0))),(INDEX(ALLCLASSDATA,MATCH("UnarmoredExpert",CLASSFEATUREHEADERS,0),MATCH(($A1893 &amp; "Points"),CLASSNAMEHEADERS,0))),(IF("13"=(INDEX(ALLCLASSDATA,MATCH("UnarmoredTrained",CLASSFEATUREHEADERS,0),MATCH($A1893,CLASSNAMEHEADERS,0))),(INDEX(ALLCLASSDATA,MATCH("UnarmoredTrained",CLASSFEATUREHEADERS,0),MATCH(($A1893 &amp; "Points"),CLASSNAMEHEADERS,0))),"")))))))))}</f>
        <v>UNARMOREDL13</v>
      </c>
      <c r="U1892" s="223"/>
      <c r="V1892" s="223" t="str">
        <f t="array" ref="V1892:V1893">{"UNARMOREDL15";((IF("15"=(INDEX(ALLCLASSDATA,MATCH("UnarmoredLegendary",CLASSFEATUREHEADERS,0),MATCH($A1893,CLASSNAMEHEADERS,0))),(INDEX(ALLCLASSDATA,MATCH("UnarmoredLegendary",CLASSFEATUREHEADERS,0),MATCH(($A1893 &amp; "Points"),CLASSNAMEHEADERS,0))),(IF("15"=(INDEX(ALLCLASSDATA,MATCH("UnarmoredMaster",CLASSFEATUREHEADERS,0),MATCH($A1893,CLASSNAMEHEADERS,0))),(INDEX(ALLCLASSDATA,MATCH("UnarmoredMaster",CLASSFEATUREHEADERS,0),MATCH(($A1893 &amp; "Points"),CLASSNAMEHEADERS,0))),(IF("15"=(INDEX(ALLCLASSDATA,MATCH("UnarmoredExpert",CLASSFEATUREHEADERS,0),MATCH($A1893,CLASSNAMEHEADERS,0))),(INDEX(ALLCLASSDATA,MATCH("UnarmoredExpert",CLASSFEATUREHEADERS,0),MATCH(($A1893 &amp; "Points"),CLASSNAMEHEADERS,0))),(IF("15"=(INDEX(ALLCLASSDATA,MATCH("UnarmoredTrained",CLASSFEATUREHEADERS,0),MATCH($A1893,CLASSNAMEHEADERS,0))),(INDEX(ALLCLASSDATA,MATCH("UnarmoredTrained",CLASSFEATUREHEADERS,0),MATCH(($A1893 &amp; "Points"),CLASSNAMEHEADERS,0))),"")))))))))}</f>
        <v>UNARMOREDL15</v>
      </c>
      <c r="W1892" s="223"/>
      <c r="X1892" s="223" t="str">
        <f t="array" ref="X1892:X1893">{"UNARMOREDL17";((IF("17"=(INDEX(ALLCLASSDATA,MATCH("UnarmoredLegendary",CLASSFEATUREHEADERS,0),MATCH($A1893,CLASSNAMEHEADERS,0))),(INDEX(ALLCLASSDATA,MATCH("UnarmoredLegendary",CLASSFEATUREHEADERS,0),MATCH(($A1893 &amp; "Points"),CLASSNAMEHEADERS,0))),(IF("17"=(INDEX(ALLCLASSDATA,MATCH("UnarmoredMaster",CLASSFEATUREHEADERS,0),MATCH($A1893,CLASSNAMEHEADERS,0))),(INDEX(ALLCLASSDATA,MATCH("UnarmoredMaster",CLASSFEATUREHEADERS,0),MATCH(($A1893 &amp; "Points"),CLASSNAMEHEADERS,0))),(IF("17"=(INDEX(ALLCLASSDATA,MATCH("UnarmoredExpert",CLASSFEATUREHEADERS,0),MATCH($A1893,CLASSNAMEHEADERS,0))),(INDEX(ALLCLASSDATA,MATCH("UnarmoredExpert",CLASSFEATUREHEADERS,0),MATCH(($A1893 &amp; "Points"),CLASSNAMEHEADERS,0))),(IF("17"=(INDEX(ALLCLASSDATA,MATCH("UnarmoredTrained",CLASSFEATUREHEADERS,0),MATCH($A1893,CLASSNAMEHEADERS,0))),(INDEX(ALLCLASSDATA,MATCH("UnarmoredTrained",CLASSFEATUREHEADERS,0),MATCH(($A1893 &amp; "Points"),CLASSNAMEHEADERS,0))),"")))))))))}</f>
        <v>UNARMOREDL17</v>
      </c>
      <c r="Y1892" s="223"/>
      <c r="Z1892" s="223" t="str">
        <f t="array" ref="Z1892:Z1893">{"UNARMOREDL19";((IF("19"=(INDEX(ALLCLASSDATA,MATCH("UnarmoredLegendary",CLASSFEATUREHEADERS,0),MATCH($A1893,CLASSNAMEHEADERS,0))),(INDEX(ALLCLASSDATA,MATCH("UnarmoredLegendary",CLASSFEATUREHEADERS,0),MATCH(($A1893 &amp; "Points"),CLASSNAMEHEADERS,0))),(IF("19"=(INDEX(ALLCLASSDATA,MATCH("UnarmoredMaster",CLASSFEATUREHEADERS,0),MATCH($A1893,CLASSNAMEHEADERS,0))),(INDEX(ALLCLASSDATA,MATCH("UnarmoredMaster",CLASSFEATUREHEADERS,0),MATCH(($A1893 &amp; "Points"),CLASSNAMEHEADERS,0))),(IF("19"=(INDEX(ALLCLASSDATA,MATCH("UnarmoredExpert",CLASSFEATUREHEADERS,0),MATCH($A1893,CLASSNAMEHEADERS,0))),(INDEX(ALLCLASSDATA,MATCH("UnarmoredExpert",CLASSFEATUREHEADERS,0),MATCH(($A1893 &amp; "Points"),CLASSNAMEHEADERS,0))),(IF("19"=(INDEX(ALLCLASSDATA,MATCH("UnarmoredTrained",CLASSFEATUREHEADERS,0),MATCH($A1893,CLASSNAMEHEADERS,0))),(INDEX(ALLCLASSDATA,MATCH("UnarmoredTrained",CLASSFEATUREHEADERS,0),MATCH(($A1893 &amp; "Points"),CLASSNAMEHEADERS,0))),"")))))))))}</f>
        <v>UNARMOREDL19</v>
      </c>
      <c r="AA1892" s="223"/>
      <c r="AB1892" s="76" t="str">
        <f t="array" ref="AB1892:AB1893">{"UNARMORED TOTAL";(IF(COUNTBLANK(G1893:AA1893)=17,"L",(IF(COUNTBLANK(G1893:AA1893)=18,"M",(IF(COUNTBLANK(G1893:AA1893)=19,"E",(IF(COUNTBLANK(G1893:AA1893)=20,"T",""))))))))}</f>
        <v>UNARMORED TOTAL</v>
      </c>
      <c r="AC1892" s="76" t="str">
        <f t="array" ref="AC1892:AC1893">{"UNARMORED TOTAL";(sum(G1893:AA1893))}</f>
        <v>UNARMORED TOTAL</v>
      </c>
    </row>
    <row r="1893">
      <c r="A1893" s="48" t="s">
        <v>229</v>
      </c>
      <c r="B1893" s="48"/>
      <c r="C1893" s="48" t="s">
        <v>418</v>
      </c>
      <c r="D1893" s="48" t="s">
        <v>1900</v>
      </c>
      <c r="E1893" s="48" t="s">
        <v>78</v>
      </c>
      <c r="F1893" s="5" t="s">
        <v>435</v>
      </c>
      <c r="G1893" s="47" t="s">
        <v>603</v>
      </c>
      <c r="H1893" s="5">
        <v>10.0</v>
      </c>
      <c r="I1893" s="5"/>
      <c r="J1893" s="5" t="s">
        <v>603</v>
      </c>
      <c r="K1893" s="5"/>
      <c r="L1893" s="5" t="s">
        <v>603</v>
      </c>
      <c r="M1893" s="5"/>
      <c r="N1893" s="5" t="s">
        <v>603</v>
      </c>
      <c r="O1893" s="5"/>
      <c r="P1893" s="5" t="s">
        <v>603</v>
      </c>
      <c r="Q1893" s="5"/>
      <c r="R1893" s="5" t="s">
        <v>603</v>
      </c>
      <c r="S1893" s="5"/>
      <c r="T1893" s="5">
        <v>50.0</v>
      </c>
      <c r="U1893" s="5"/>
      <c r="V1893" s="5" t="s">
        <v>603</v>
      </c>
      <c r="W1893" s="5"/>
      <c r="X1893" s="5" t="s">
        <v>603</v>
      </c>
      <c r="Y1893" s="5"/>
      <c r="Z1893" s="5" t="s">
        <v>603</v>
      </c>
      <c r="AA1893" s="5"/>
      <c r="AB1893" s="5" t="s">
        <v>436</v>
      </c>
      <c r="AC1893" s="47">
        <v>60.0</v>
      </c>
    </row>
    <row r="1894" hidden="1">
      <c r="A1894" s="222" t="str">
        <f t="array" ref="A1894:A1895">{"FormulaRow36";(INDEX(CLASSLIST,A1823,1))}</f>
        <v>FormulaRow36</v>
      </c>
      <c r="B1894" s="77" t="s">
        <v>236</v>
      </c>
      <c r="C1894" s="222" t="str">
        <f t="array" ref="C1894:C1895">{"CLASSTYPE";((INDEX(ALLCLASSDATA,MATCH("ClassType",CLASSFEATUREHEADERS,0),MATCH($A1895,CLASSNAMEHEADERS,0))))}</f>
        <v>CLASSTYPE</v>
      </c>
      <c r="D1894" s="222" t="str">
        <f t="array" ref="D1894:D1895">{"DEFENSE";"Defense"}</f>
        <v>DEFENSE</v>
      </c>
      <c r="E1894" s="222" t="str">
        <f t="array" ref="E1894:E1895">{"LIGHT";"Light"}</f>
        <v>LIGHT</v>
      </c>
      <c r="F1894" s="223" t="str">
        <f t="array" ref="F1894:F1895">{"LIGHTINITIAL";((IF(H1895=10,"T",(IF(H1895=50,"E","")))))}</f>
        <v>LIGHTINITIAL</v>
      </c>
      <c r="G1894" s="223" t="str">
        <f t="array" ref="G1894:G1895">{"LIGHTINITIALPTS";((IF("00"=(INDEX(ALLCLASSDATA,MATCH("LightLegendary",CLASSFEATUREHEADERS,0),MATCH($A1895,CLASSNAMEHEADERS,0))),(INDEX(ALLCLASSDATA,MATCH("LightLegendary",CLASSFEATUREHEADERS,0),MATCH(($A1895 &amp; "Points"),CLASSNAMEHEADERS,0))),(IF("00"=(INDEX(ALLCLASSDATA,MATCH("LightMaster",CLASSFEATUREHEADERS,0),MATCH($A1895,CLASSNAMEHEADERS,0))),(INDEX(ALLCLASSDATA,MATCH("LightMaster",CLASSFEATUREHEADERS,0),MATCH(($A1895 &amp; "Points"),CLASSNAMEHEADERS,0))),(IF("00"=(INDEX(ALLCLASSDATA,MATCH("LightExpert",CLASSFEATUREHEADERS,0),MATCH($A1895,CLASSNAMEHEADERS,0))),(INDEX(ALLCLASSDATA,MATCH("LightExpert",CLASSFEATUREHEADERS,0),MATCH(($A1895 &amp; "Points"),CLASSNAMEHEADERS,0))),(IF("00"=(INDEX(ALLCLASSDATA,MATCH("LightTrained",CLASSFEATUREHEADERS,0),MATCH($A1895,CLASSNAMEHEADERS,0))),(INDEX(ALLCLASSDATA,MATCH("LightTrained",CLASSFEATUREHEADERS,0),MATCH(($A1895 &amp; "Points"),CLASSNAMEHEADERS,0))),"")))))))))}</f>
        <v>LIGHTINITIALPTS</v>
      </c>
      <c r="H1894" s="223" t="str">
        <f t="array" ref="H1894:H1895">{"LIGHTL01";((IF("01"=(INDEX(ALLCLASSDATA,MATCH("LightLegendary",CLASSFEATUREHEADERS,0),MATCH($A1895,CLASSNAMEHEADERS,0))),(INDEX(ALLCLASSDATA,MATCH("LightLegendary",CLASSFEATUREHEADERS,0),MATCH(($A1895 &amp; "Points"),CLASSNAMEHEADERS,0))),(IF("01"=(INDEX(ALLCLASSDATA,MATCH("LightMaster",CLASSFEATUREHEADERS,0),MATCH($A1895,CLASSNAMEHEADERS,0))),(INDEX(ALLCLASSDATA,MATCH("LightMaster",CLASSFEATUREHEADERS,0),MATCH(($A1895 &amp; "Points"),CLASSNAMEHEADERS,0))),(IF("01"=(INDEX(ALLCLASSDATA,MATCH("LightExpert",CLASSFEATUREHEADERS,0),MATCH($A1895,CLASSNAMEHEADERS,0))),(INDEX(ALLCLASSDATA,MATCH("LightExpert",CLASSFEATUREHEADERS,0),MATCH(($A1895 &amp; "Points"),CLASSNAMEHEADERS,0))),(IF("01"=(INDEX(ALLCLASSDATA,MATCH("LightTrained",CLASSFEATUREHEADERS,0),MATCH($A1895,CLASSNAMEHEADERS,0))),(INDEX(ALLCLASSDATA,MATCH("LightTrained",CLASSFEATUREHEADERS,0),MATCH(($A1895 &amp; "Points"),CLASSNAMEHEADERS,0))),"")))))))))}</f>
        <v>LIGHTL01</v>
      </c>
      <c r="I1894" s="223"/>
      <c r="J1894" s="223" t="str">
        <f t="array" ref="J1894:J1895">{"LIGHTL03";((IF("03"=(INDEX(ALLCLASSDATA,MATCH("LightLegendary",CLASSFEATUREHEADERS,0),MATCH($A1895,CLASSNAMEHEADERS,0))),(INDEX(ALLCLASSDATA,MATCH("LightLegendary",CLASSFEATUREHEADERS,0),MATCH(($A1895 &amp; "Points"),CLASSNAMEHEADERS,0))),(IF("03"=(INDEX(ALLCLASSDATA,MATCH("LightMaster",CLASSFEATUREHEADERS,0),MATCH($A1895,CLASSNAMEHEADERS,0))),(INDEX(ALLCLASSDATA,MATCH("LightMaster",CLASSFEATUREHEADERS,0),MATCH(($A1895 &amp; "Points"),CLASSNAMEHEADERS,0))),(IF("03"=(INDEX(ALLCLASSDATA,MATCH("LightExpert",CLASSFEATUREHEADERS,0),MATCH($A1895,CLASSNAMEHEADERS,0))),(INDEX(ALLCLASSDATA,MATCH("LightExpert",CLASSFEATUREHEADERS,0),MATCH(($A1895 &amp; "Points"),CLASSNAMEHEADERS,0))),(IF("03"=(INDEX(ALLCLASSDATA,MATCH("LightTrained",CLASSFEATUREHEADERS,0),MATCH($A1895,CLASSNAMEHEADERS,0))),(INDEX(ALLCLASSDATA,MATCH("LightTrained",CLASSFEATUREHEADERS,0),MATCH(($A1895 &amp; "Points"),CLASSNAMEHEADERS,0))),"")))))))))}</f>
        <v>LIGHTL03</v>
      </c>
      <c r="K1894" s="223"/>
      <c r="L1894" s="223" t="str">
        <f t="array" ref="L1894:L1895">{"LIGHTL05";((IF("05"=(INDEX(ALLCLASSDATA,MATCH("LightLegendary",CLASSFEATUREHEADERS,0),MATCH($A1895,CLASSNAMEHEADERS,0))),(INDEX(ALLCLASSDATA,MATCH("LightLegendary",CLASSFEATUREHEADERS,0),MATCH(($A1895 &amp; "Points"),CLASSNAMEHEADERS,0))),(IF("05"=(INDEX(ALLCLASSDATA,MATCH("LightMaster",CLASSFEATUREHEADERS,0),MATCH($A1895,CLASSNAMEHEADERS,0))),(INDEX(ALLCLASSDATA,MATCH("LightMaster",CLASSFEATUREHEADERS,0),MATCH(($A1895 &amp; "Points"),CLASSNAMEHEADERS,0))),(IF("05"=(INDEX(ALLCLASSDATA,MATCH("LightExpert",CLASSFEATUREHEADERS,0),MATCH($A1895,CLASSNAMEHEADERS,0))),(INDEX(ALLCLASSDATA,MATCH("LightExpert",CLASSFEATUREHEADERS,0),MATCH(($A1895 &amp; "Points"),CLASSNAMEHEADERS,0))),(IF("05"=(INDEX(ALLCLASSDATA,MATCH("LightTrained",CLASSFEATUREHEADERS,0),MATCH($A1895,CLASSNAMEHEADERS,0))),(INDEX(ALLCLASSDATA,MATCH("LightTrained",CLASSFEATUREHEADERS,0),MATCH(($A1895 &amp; "Points"),CLASSNAMEHEADERS,0))),"")))))))))}</f>
        <v>LIGHTL05</v>
      </c>
      <c r="M1894" s="223"/>
      <c r="N1894" s="223" t="str">
        <f t="array" ref="N1894:N1895">{"LIGHTL07";((IF("07"=(INDEX(ALLCLASSDATA,MATCH("LightLegendary",CLASSFEATUREHEADERS,0),MATCH($A1895,CLASSNAMEHEADERS,0))),(INDEX(ALLCLASSDATA,MATCH("LightLegendary",CLASSFEATUREHEADERS,0),MATCH(($A1895 &amp; "Points"),CLASSNAMEHEADERS,0))),(IF("07"=(INDEX(ALLCLASSDATA,MATCH("LightMaster",CLASSFEATUREHEADERS,0),MATCH($A1895,CLASSNAMEHEADERS,0))),(INDEX(ALLCLASSDATA,MATCH("LightMaster",CLASSFEATUREHEADERS,0),MATCH(($A1895 &amp; "Points"),CLASSNAMEHEADERS,0))),(IF("07"=(INDEX(ALLCLASSDATA,MATCH("LightExpert",CLASSFEATUREHEADERS,0),MATCH($A1895,CLASSNAMEHEADERS,0))),(INDEX(ALLCLASSDATA,MATCH("LightExpert",CLASSFEATUREHEADERS,0),MATCH(($A1895 &amp; "Points"),CLASSNAMEHEADERS,0))),(IF("07"=(INDEX(ALLCLASSDATA,MATCH("LightTrained",CLASSFEATUREHEADERS,0),MATCH($A1895,CLASSNAMEHEADERS,0))),(INDEX(ALLCLASSDATA,MATCH("LightTrained",CLASSFEATUREHEADERS,0),MATCH(($A1895 &amp; "Points"),CLASSNAMEHEADERS,0))),"")))))))))}</f>
        <v>LIGHTL07</v>
      </c>
      <c r="O1894" s="223"/>
      <c r="P1894" s="223" t="str">
        <f t="array" ref="P1894:P1895">{"LIGHTL09";((IF("09"=(INDEX(ALLCLASSDATA,MATCH("LightLegendary",CLASSFEATUREHEADERS,0),MATCH($A1895,CLASSNAMEHEADERS,0))),(INDEX(ALLCLASSDATA,MATCH("LightLegendary",CLASSFEATUREHEADERS,0),MATCH(($A1895 &amp; "Points"),CLASSNAMEHEADERS,0))),(IF("09"=(INDEX(ALLCLASSDATA,MATCH("LightMaster",CLASSFEATUREHEADERS,0),MATCH($A1895,CLASSNAMEHEADERS,0))),(INDEX(ALLCLASSDATA,MATCH("LightMaster",CLASSFEATUREHEADERS,0),MATCH(($A1895 &amp; "Points"),CLASSNAMEHEADERS,0))),(IF("09"=(INDEX(ALLCLASSDATA,MATCH("LightExpert",CLASSFEATUREHEADERS,0),MATCH($A1895,CLASSNAMEHEADERS,0))),(INDEX(ALLCLASSDATA,MATCH("LightExpert",CLASSFEATUREHEADERS,0),MATCH(($A1895 &amp; "Points"),CLASSNAMEHEADERS,0))),(IF("09"=(INDEX(ALLCLASSDATA,MATCH("LightTrained",CLASSFEATUREHEADERS,0),MATCH($A1895,CLASSNAMEHEADERS,0))),(INDEX(ALLCLASSDATA,MATCH("LightTrained",CLASSFEATUREHEADERS,0),MATCH(($A1895 &amp; "Points"),CLASSNAMEHEADERS,0))),"")))))))))}</f>
        <v>LIGHTL09</v>
      </c>
      <c r="Q1894" s="223"/>
      <c r="R1894" s="223" t="str">
        <f t="array" ref="R1894:R1895">{"LIGHTL11";((IF("11"=(INDEX(ALLCLASSDATA,MATCH("LightLegendary",CLASSFEATUREHEADERS,0),MATCH($A1895,CLASSNAMEHEADERS,0))),(INDEX(ALLCLASSDATA,MATCH("LightLegendary",CLASSFEATUREHEADERS,0),MATCH(($A1895 &amp; "Points"),CLASSNAMEHEADERS,0))),(IF("11"=(INDEX(ALLCLASSDATA,MATCH("LightMaster",CLASSFEATUREHEADERS,0),MATCH($A1895,CLASSNAMEHEADERS,0))),(INDEX(ALLCLASSDATA,MATCH("LightMaster",CLASSFEATUREHEADERS,0),MATCH(($A1895 &amp; "Points"),CLASSNAMEHEADERS,0))),(IF("11"=(INDEX(ALLCLASSDATA,MATCH("LightExpert",CLASSFEATUREHEADERS,0),MATCH($A1895,CLASSNAMEHEADERS,0))),(INDEX(ALLCLASSDATA,MATCH("LightExpert",CLASSFEATUREHEADERS,0),MATCH(($A1895 &amp; "Points"),CLASSNAMEHEADERS,0))),(IF("11"=(INDEX(ALLCLASSDATA,MATCH("LightTrained",CLASSFEATUREHEADERS,0),MATCH($A1895,CLASSNAMEHEADERS,0))),(INDEX(ALLCLASSDATA,MATCH("LightTrained",CLASSFEATUREHEADERS,0),MATCH(($A1895 &amp; "Points"),CLASSNAMEHEADERS,0))),"")))))))))}</f>
        <v>LIGHTL11</v>
      </c>
      <c r="S1894" s="223"/>
      <c r="T1894" s="223" t="str">
        <f t="array" ref="T1894:T1895">{"LIGHTL13";((IF("13"=(INDEX(ALLCLASSDATA,MATCH("LightLegendary",CLASSFEATUREHEADERS,0),MATCH($A1895,CLASSNAMEHEADERS,0))),(INDEX(ALLCLASSDATA,MATCH("LightLegendary",CLASSFEATUREHEADERS,0),MATCH(($A1895 &amp; "Points"),CLASSNAMEHEADERS,0))),(IF("13"=(INDEX(ALLCLASSDATA,MATCH("LightMaster",CLASSFEATUREHEADERS,0),MATCH($A1895,CLASSNAMEHEADERS,0))),(INDEX(ALLCLASSDATA,MATCH("LightMaster",CLASSFEATUREHEADERS,0),MATCH(($A1895 &amp; "Points"),CLASSNAMEHEADERS,0))),(IF("13"=(INDEX(ALLCLASSDATA,MATCH("LightExpert",CLASSFEATUREHEADERS,0),MATCH($A1895,CLASSNAMEHEADERS,0))),(INDEX(ALLCLASSDATA,MATCH("LightExpert",CLASSFEATUREHEADERS,0),MATCH(($A1895 &amp; "Points"),CLASSNAMEHEADERS,0))),(IF("13"=(INDEX(ALLCLASSDATA,MATCH("LightTrained",CLASSFEATUREHEADERS,0),MATCH($A1895,CLASSNAMEHEADERS,0))),(INDEX(ALLCLASSDATA,MATCH("LightTrained",CLASSFEATUREHEADERS,0),MATCH(($A1895 &amp; "Points"),CLASSNAMEHEADERS,0))),"")))))))))}</f>
        <v>LIGHTL13</v>
      </c>
      <c r="U1894" s="223"/>
      <c r="V1894" s="223" t="str">
        <f t="array" ref="V1894:V1895">{"LIGHTL15";((IF("15"=(INDEX(ALLCLASSDATA,MATCH("LightLegendary",CLASSFEATUREHEADERS,0),MATCH($A1895,CLASSNAMEHEADERS,0))),(INDEX(ALLCLASSDATA,MATCH("LightLegendary",CLASSFEATUREHEADERS,0),MATCH(($A1895 &amp; "Points"),CLASSNAMEHEADERS,0))),(IF("15"=(INDEX(ALLCLASSDATA,MATCH("LightMaster",CLASSFEATUREHEADERS,0),MATCH($A1895,CLASSNAMEHEADERS,0))),(INDEX(ALLCLASSDATA,MATCH("LightMaster",CLASSFEATUREHEADERS,0),MATCH(($A1895 &amp; "Points"),CLASSNAMEHEADERS,0))),(IF("15"=(INDEX(ALLCLASSDATA,MATCH("LightExpert",CLASSFEATUREHEADERS,0),MATCH($A1895,CLASSNAMEHEADERS,0))),(INDEX(ALLCLASSDATA,MATCH("LightExpert",CLASSFEATUREHEADERS,0),MATCH(($A1895 &amp; "Points"),CLASSNAMEHEADERS,0))),(IF("15"=(INDEX(ALLCLASSDATA,MATCH("LightTrained",CLASSFEATUREHEADERS,0),MATCH($A1895,CLASSNAMEHEADERS,0))),(INDEX(ALLCLASSDATA,MATCH("LightTrained",CLASSFEATUREHEADERS,0),MATCH(($A1895 &amp; "Points"),CLASSNAMEHEADERS,0))),"")))))))))}</f>
        <v>LIGHTL15</v>
      </c>
      <c r="W1894" s="223"/>
      <c r="X1894" s="223" t="str">
        <f t="array" ref="X1894:X1895">{"LIGHTL17";((IF("17"=(INDEX(ALLCLASSDATA,MATCH("LightLegendary",CLASSFEATUREHEADERS,0),MATCH($A1895,CLASSNAMEHEADERS,0))),(INDEX(ALLCLASSDATA,MATCH("LightLegendary",CLASSFEATUREHEADERS,0),MATCH(($A1895 &amp; "Points"),CLASSNAMEHEADERS,0))),(IF("17"=(INDEX(ALLCLASSDATA,MATCH("LightMaster",CLASSFEATUREHEADERS,0),MATCH($A1895,CLASSNAMEHEADERS,0))),(INDEX(ALLCLASSDATA,MATCH("LightMaster",CLASSFEATUREHEADERS,0),MATCH(($A1895 &amp; "Points"),CLASSNAMEHEADERS,0))),(IF("17"=(INDEX(ALLCLASSDATA,MATCH("LightExpert",CLASSFEATUREHEADERS,0),MATCH($A1895,CLASSNAMEHEADERS,0))),(INDEX(ALLCLASSDATA,MATCH("LightExpert",CLASSFEATUREHEADERS,0),MATCH(($A1895 &amp; "Points"),CLASSNAMEHEADERS,0))),(IF("17"=(INDEX(ALLCLASSDATA,MATCH("LightTrained",CLASSFEATUREHEADERS,0),MATCH($A1895,CLASSNAMEHEADERS,0))),(INDEX(ALLCLASSDATA,MATCH("LightTrained",CLASSFEATUREHEADERS,0),MATCH(($A1895 &amp; "Points"),CLASSNAMEHEADERS,0))),"")))))))))}</f>
        <v>LIGHTL17</v>
      </c>
      <c r="Y1894" s="223"/>
      <c r="Z1894" s="223" t="str">
        <f t="array" ref="Z1894:Z1895">{"LIGHTL19";((IF("19"=(INDEX(ALLCLASSDATA,MATCH("LightLegendary",CLASSFEATUREHEADERS,0),MATCH($A1895,CLASSNAMEHEADERS,0))),(INDEX(ALLCLASSDATA,MATCH("LightLegendary",CLASSFEATUREHEADERS,0),MATCH(($A1895 &amp; "Points"),CLASSNAMEHEADERS,0))),(IF("19"=(INDEX(ALLCLASSDATA,MATCH("LightMaster",CLASSFEATUREHEADERS,0),MATCH($A1895,CLASSNAMEHEADERS,0))),(INDEX(ALLCLASSDATA,MATCH("LightMaster",CLASSFEATUREHEADERS,0),MATCH(($A1895 &amp; "Points"),CLASSNAMEHEADERS,0))),(IF("19"=(INDEX(ALLCLASSDATA,MATCH("LightExpert",CLASSFEATUREHEADERS,0),MATCH($A1895,CLASSNAMEHEADERS,0))),(INDEX(ALLCLASSDATA,MATCH("LightExpert",CLASSFEATUREHEADERS,0),MATCH(($A1895 &amp; "Points"),CLASSNAMEHEADERS,0))),(IF("19"=(INDEX(ALLCLASSDATA,MATCH("LightTrained",CLASSFEATUREHEADERS,0),MATCH($A1895,CLASSNAMEHEADERS,0))),(INDEX(ALLCLASSDATA,MATCH("LightTrained",CLASSFEATUREHEADERS,0),MATCH(($A1895 &amp; "Points"),CLASSNAMEHEADERS,0))),"")))))))))}</f>
        <v>LIGHTL19</v>
      </c>
      <c r="AA1894" s="223"/>
      <c r="AB1894" s="76" t="str">
        <f t="array" ref="AB1894:AB1895">{"LIGHT TOTAL";(IF(COUNTBLANK(G1895:AA1895)=17,"L",(IF(COUNTBLANK(G1895:AA1895)=18,"M",(IF(COUNTBLANK(G1895:AA1895)=19,"E",(IF(COUNTBLANK(G1895:AA1895)=20,"T",""))))))))}</f>
        <v>LIGHT TOTAL</v>
      </c>
      <c r="AC1894" s="76" t="str">
        <f t="array" ref="AC1894:AC1895">{"LIGHT TOTAL";(sum(G1895:AA1895))}</f>
        <v>LIGHT TOTAL</v>
      </c>
    </row>
    <row r="1895">
      <c r="A1895" s="48" t="s">
        <v>229</v>
      </c>
      <c r="B1895" s="48"/>
      <c r="C1895" s="48" t="s">
        <v>418</v>
      </c>
      <c r="D1895" s="48" t="s">
        <v>1900</v>
      </c>
      <c r="E1895" s="48" t="s">
        <v>77</v>
      </c>
      <c r="F1895" s="5" t="s">
        <v>603</v>
      </c>
      <c r="G1895" s="47" t="s">
        <v>603</v>
      </c>
      <c r="H1895" s="5" t="s">
        <v>603</v>
      </c>
      <c r="I1895" s="5"/>
      <c r="J1895" s="5" t="s">
        <v>603</v>
      </c>
      <c r="K1895" s="5"/>
      <c r="L1895" s="5" t="s">
        <v>603</v>
      </c>
      <c r="M1895" s="5"/>
      <c r="N1895" s="5" t="s">
        <v>603</v>
      </c>
      <c r="O1895" s="5"/>
      <c r="P1895" s="5" t="s">
        <v>603</v>
      </c>
      <c r="Q1895" s="5"/>
      <c r="R1895" s="5" t="s">
        <v>603</v>
      </c>
      <c r="S1895" s="5"/>
      <c r="T1895" s="5" t="s">
        <v>603</v>
      </c>
      <c r="U1895" s="5"/>
      <c r="V1895" s="5" t="s">
        <v>603</v>
      </c>
      <c r="W1895" s="5"/>
      <c r="X1895" s="5" t="s">
        <v>603</v>
      </c>
      <c r="Y1895" s="5"/>
      <c r="Z1895" s="5" t="s">
        <v>603</v>
      </c>
      <c r="AA1895" s="5"/>
      <c r="AB1895" s="5" t="s">
        <v>603</v>
      </c>
      <c r="AC1895" s="47">
        <v>0.0</v>
      </c>
    </row>
    <row r="1896" hidden="1">
      <c r="A1896" s="222" t="str">
        <f t="array" ref="A1896:A1897">{"FormulaRow37";(INDEX(CLASSLIST,A1823,1))}</f>
        <v>FormulaRow37</v>
      </c>
      <c r="B1896" s="77" t="s">
        <v>236</v>
      </c>
      <c r="C1896" s="222" t="str">
        <f t="array" ref="C1896:C1897">{"CLASSTYPE";((INDEX(ALLCLASSDATA,MATCH("ClassType",CLASSFEATUREHEADERS,0),MATCH($A1897,CLASSNAMEHEADERS,0))))}</f>
        <v>CLASSTYPE</v>
      </c>
      <c r="D1896" s="222" t="str">
        <f t="array" ref="D1896:D1897">{"DEFENSE";"Defense"}</f>
        <v>DEFENSE</v>
      </c>
      <c r="E1896" s="222" t="str">
        <f t="array" ref="E1896:E1897">{"MEDIUM";"Medium"}</f>
        <v>MEDIUM</v>
      </c>
      <c r="F1896" s="223" t="str">
        <f t="array" ref="F1896:F1897">{"MEDIUMINITIAL";((IF(H1897=10,"T",(IF(H1897=50,"E","")))))}</f>
        <v>MEDIUMINITIAL</v>
      </c>
      <c r="G1896" s="223" t="str">
        <f t="array" ref="G1896:G1897">{"MEDIUMINITIALPTS";((IF("00"=(INDEX(ALLCLASSDATA,MATCH("MediumLegendary",CLASSFEATUREHEADERS,0),MATCH($A1897,CLASSNAMEHEADERS,0))),(INDEX(ALLCLASSDATA,MATCH("MediumLegendary",CLASSFEATUREHEADERS,0),MATCH(($A1897 &amp; "Points"),CLASSNAMEHEADERS,0))),(IF("00"=(INDEX(ALLCLASSDATA,MATCH("MediumMaster",CLASSFEATUREHEADERS,0),MATCH($A1897,CLASSNAMEHEADERS,0))),(INDEX(ALLCLASSDATA,MATCH("MediumMaster",CLASSFEATUREHEADERS,0),MATCH(($A1897 &amp; "Points"),CLASSNAMEHEADERS,0))),(IF("00"=(INDEX(ALLCLASSDATA,MATCH("MediumExpert",CLASSFEATUREHEADERS,0),MATCH($A1897,CLASSNAMEHEADERS,0))),(INDEX(ALLCLASSDATA,MATCH("MediumExpert",CLASSFEATUREHEADERS,0),MATCH(($A1897 &amp; "Points"),CLASSNAMEHEADERS,0))),(IF("00"=(INDEX(ALLCLASSDATA,MATCH("MediumTrained",CLASSFEATUREHEADERS,0),MATCH($A1897,CLASSNAMEHEADERS,0))),(INDEX(ALLCLASSDATA,MATCH("MediumTrained",CLASSFEATUREHEADERS,0),MATCH(($A1897 &amp; "Points"),CLASSNAMEHEADERS,0))),"")))))))))}</f>
        <v>MEDIUMINITIALPTS</v>
      </c>
      <c r="H1896" s="223" t="str">
        <f t="array" ref="H1896:H1897">{"MEDIUML01";((IF("01"=(INDEX(ALLCLASSDATA,MATCH("MediumLegendary",CLASSFEATUREHEADERS,0),MATCH($A1897,CLASSNAMEHEADERS,0))),(INDEX(ALLCLASSDATA,MATCH("MediumLegendary",CLASSFEATUREHEADERS,0),MATCH(($A1897 &amp; "Points"),CLASSNAMEHEADERS,0))),(IF("01"=(INDEX(ALLCLASSDATA,MATCH("MediumMaster",CLASSFEATUREHEADERS,0),MATCH($A1897,CLASSNAMEHEADERS,0))),(INDEX(ALLCLASSDATA,MATCH("MediumMaster",CLASSFEATUREHEADERS,0),MATCH(($A1897 &amp; "Points"),CLASSNAMEHEADERS,0))),(IF("01"=(INDEX(ALLCLASSDATA,MATCH("MediumExpert",CLASSFEATUREHEADERS,0),MATCH($A1897,CLASSNAMEHEADERS,0))),(INDEX(ALLCLASSDATA,MATCH("MediumExpert",CLASSFEATUREHEADERS,0),MATCH(($A1897 &amp; "Points"),CLASSNAMEHEADERS,0))),(IF("01"=(INDEX(ALLCLASSDATA,MATCH("MediumTrained",CLASSFEATUREHEADERS,0),MATCH($A1897,CLASSNAMEHEADERS,0))),(INDEX(ALLCLASSDATA,MATCH("MediumTrained",CLASSFEATUREHEADERS,0),MATCH(($A1897 &amp; "Points"),CLASSNAMEHEADERS,0))),"")))))))))}</f>
        <v>MEDIUML01</v>
      </c>
      <c r="I1896" s="223"/>
      <c r="J1896" s="223" t="str">
        <f t="array" ref="J1896:J1897">{"MEDIUML03";((IF("03"=(INDEX(ALLCLASSDATA,MATCH("MediumLegendary",CLASSFEATUREHEADERS,0),MATCH($A1897,CLASSNAMEHEADERS,0))),(INDEX(ALLCLASSDATA,MATCH("MediumLegendary",CLASSFEATUREHEADERS,0),MATCH(($A1897 &amp; "Points"),CLASSNAMEHEADERS,0))),(IF("03"=(INDEX(ALLCLASSDATA,MATCH("MediumMaster",CLASSFEATUREHEADERS,0),MATCH($A1897,CLASSNAMEHEADERS,0))),(INDEX(ALLCLASSDATA,MATCH("MediumMaster",CLASSFEATUREHEADERS,0),MATCH(($A1897 &amp; "Points"),CLASSNAMEHEADERS,0))),(IF("03"=(INDEX(ALLCLASSDATA,MATCH("MediumExpert",CLASSFEATUREHEADERS,0),MATCH($A1897,CLASSNAMEHEADERS,0))),(INDEX(ALLCLASSDATA,MATCH("MediumExpert",CLASSFEATUREHEADERS,0),MATCH(($A1897 &amp; "Points"),CLASSNAMEHEADERS,0))),(IF("03"=(INDEX(ALLCLASSDATA,MATCH("MediumTrained",CLASSFEATUREHEADERS,0),MATCH($A1897,CLASSNAMEHEADERS,0))),(INDEX(ALLCLASSDATA,MATCH("MediumTrained",CLASSFEATUREHEADERS,0),MATCH(($A1897 &amp; "Points"),CLASSNAMEHEADERS,0))),"")))))))))}</f>
        <v>MEDIUML03</v>
      </c>
      <c r="K1896" s="223"/>
      <c r="L1896" s="223" t="str">
        <f t="array" ref="L1896:L1897">{"MEDIUML05";((IF("05"=(INDEX(ALLCLASSDATA,MATCH("MediumLegendary",CLASSFEATUREHEADERS,0),MATCH($A1897,CLASSNAMEHEADERS,0))),(INDEX(ALLCLASSDATA,MATCH("MediumLegendary",CLASSFEATUREHEADERS,0),MATCH(($A1897 &amp; "Points"),CLASSNAMEHEADERS,0))),(IF("05"=(INDEX(ALLCLASSDATA,MATCH("MediumMaster",CLASSFEATUREHEADERS,0),MATCH($A1897,CLASSNAMEHEADERS,0))),(INDEX(ALLCLASSDATA,MATCH("MediumMaster",CLASSFEATUREHEADERS,0),MATCH(($A1897 &amp; "Points"),CLASSNAMEHEADERS,0))),(IF("05"=(INDEX(ALLCLASSDATA,MATCH("MediumExpert",CLASSFEATUREHEADERS,0),MATCH($A1897,CLASSNAMEHEADERS,0))),(INDEX(ALLCLASSDATA,MATCH("MediumExpert",CLASSFEATUREHEADERS,0),MATCH(($A1897 &amp; "Points"),CLASSNAMEHEADERS,0))),(IF("05"=(INDEX(ALLCLASSDATA,MATCH("MediumTrained",CLASSFEATUREHEADERS,0),MATCH($A1897,CLASSNAMEHEADERS,0))),(INDEX(ALLCLASSDATA,MATCH("MediumTrained",CLASSFEATUREHEADERS,0),MATCH(($A1897 &amp; "Points"),CLASSNAMEHEADERS,0))),"")))))))))}</f>
        <v>MEDIUML05</v>
      </c>
      <c r="M1896" s="223"/>
      <c r="N1896" s="223" t="str">
        <f t="array" ref="N1896:N1897">{"MEDIUML07";((IF("07"=(INDEX(ALLCLASSDATA,MATCH("MediumLegendary",CLASSFEATUREHEADERS,0),MATCH($A1897,CLASSNAMEHEADERS,0))),(INDEX(ALLCLASSDATA,MATCH("MediumLegendary",CLASSFEATUREHEADERS,0),MATCH(($A1897 &amp; "Points"),CLASSNAMEHEADERS,0))),(IF("07"=(INDEX(ALLCLASSDATA,MATCH("MediumMaster",CLASSFEATUREHEADERS,0),MATCH($A1897,CLASSNAMEHEADERS,0))),(INDEX(ALLCLASSDATA,MATCH("MediumMaster",CLASSFEATUREHEADERS,0),MATCH(($A1897 &amp; "Points"),CLASSNAMEHEADERS,0))),(IF("07"=(INDEX(ALLCLASSDATA,MATCH("MediumExpert",CLASSFEATUREHEADERS,0),MATCH($A1897,CLASSNAMEHEADERS,0))),(INDEX(ALLCLASSDATA,MATCH("MediumExpert",CLASSFEATUREHEADERS,0),MATCH(($A1897 &amp; "Points"),CLASSNAMEHEADERS,0))),(IF("07"=(INDEX(ALLCLASSDATA,MATCH("MediumTrained",CLASSFEATUREHEADERS,0),MATCH($A1897,CLASSNAMEHEADERS,0))),(INDEX(ALLCLASSDATA,MATCH("MediumTrained",CLASSFEATUREHEADERS,0),MATCH(($A1897 &amp; "Points"),CLASSNAMEHEADERS,0))),"")))))))))}</f>
        <v>MEDIUML07</v>
      </c>
      <c r="O1896" s="223"/>
      <c r="P1896" s="223" t="str">
        <f t="array" ref="P1896:P1897">{"MEDIUML09";((IF("09"=(INDEX(ALLCLASSDATA,MATCH("MediumLegendary",CLASSFEATUREHEADERS,0),MATCH($A1897,CLASSNAMEHEADERS,0))),(INDEX(ALLCLASSDATA,MATCH("MediumLegendary",CLASSFEATUREHEADERS,0),MATCH(($A1897 &amp; "Points"),CLASSNAMEHEADERS,0))),(IF("09"=(INDEX(ALLCLASSDATA,MATCH("MediumMaster",CLASSFEATUREHEADERS,0),MATCH($A1897,CLASSNAMEHEADERS,0))),(INDEX(ALLCLASSDATA,MATCH("MediumMaster",CLASSFEATUREHEADERS,0),MATCH(($A1897 &amp; "Points"),CLASSNAMEHEADERS,0))),(IF("09"=(INDEX(ALLCLASSDATA,MATCH("MediumExpert",CLASSFEATUREHEADERS,0),MATCH($A1897,CLASSNAMEHEADERS,0))),(INDEX(ALLCLASSDATA,MATCH("MediumExpert",CLASSFEATUREHEADERS,0),MATCH(($A1897 &amp; "Points"),CLASSNAMEHEADERS,0))),(IF("09"=(INDEX(ALLCLASSDATA,MATCH("MediumTrained",CLASSFEATUREHEADERS,0),MATCH($A1897,CLASSNAMEHEADERS,0))),(INDEX(ALLCLASSDATA,MATCH("MediumTrained",CLASSFEATUREHEADERS,0),MATCH(($A1897 &amp; "Points"),CLASSNAMEHEADERS,0))),"")))))))))}</f>
        <v>MEDIUML09</v>
      </c>
      <c r="Q1896" s="223"/>
      <c r="R1896" s="223" t="str">
        <f t="array" ref="R1896:R1897">{"MEDIUML11";((IF("11"=(INDEX(ALLCLASSDATA,MATCH("MediumLegendary",CLASSFEATUREHEADERS,0),MATCH($A1897,CLASSNAMEHEADERS,0))),(INDEX(ALLCLASSDATA,MATCH("MediumLegendary",CLASSFEATUREHEADERS,0),MATCH(($A1897 &amp; "Points"),CLASSNAMEHEADERS,0))),(IF("11"=(INDEX(ALLCLASSDATA,MATCH("MediumMaster",CLASSFEATUREHEADERS,0),MATCH($A1897,CLASSNAMEHEADERS,0))),(INDEX(ALLCLASSDATA,MATCH("MediumMaster",CLASSFEATUREHEADERS,0),MATCH(($A1897 &amp; "Points"),CLASSNAMEHEADERS,0))),(IF("11"=(INDEX(ALLCLASSDATA,MATCH("MediumExpert",CLASSFEATUREHEADERS,0),MATCH($A1897,CLASSNAMEHEADERS,0))),(INDEX(ALLCLASSDATA,MATCH("MediumExpert",CLASSFEATUREHEADERS,0),MATCH(($A1897 &amp; "Points"),CLASSNAMEHEADERS,0))),(IF("11"=(INDEX(ALLCLASSDATA,MATCH("MediumTrained",CLASSFEATUREHEADERS,0),MATCH($A1897,CLASSNAMEHEADERS,0))),(INDEX(ALLCLASSDATA,MATCH("MediumTrained",CLASSFEATUREHEADERS,0),MATCH(($A1897 &amp; "Points"),CLASSNAMEHEADERS,0))),"")))))))))}</f>
        <v>MEDIUML11</v>
      </c>
      <c r="S1896" s="223"/>
      <c r="T1896" s="223" t="str">
        <f t="array" ref="T1896:T1897">{"MEDIUML13";((IF("13"=(INDEX(ALLCLASSDATA,MATCH("MediumLegendary",CLASSFEATUREHEADERS,0),MATCH($A1897,CLASSNAMEHEADERS,0))),(INDEX(ALLCLASSDATA,MATCH("MediumLegendary",CLASSFEATUREHEADERS,0),MATCH(($A1897 &amp; "Points"),CLASSNAMEHEADERS,0))),(IF("13"=(INDEX(ALLCLASSDATA,MATCH("MediumMaster",CLASSFEATUREHEADERS,0),MATCH($A1897,CLASSNAMEHEADERS,0))),(INDEX(ALLCLASSDATA,MATCH("MediumMaster",CLASSFEATUREHEADERS,0),MATCH(($A1897 &amp; "Points"),CLASSNAMEHEADERS,0))),(IF("13"=(INDEX(ALLCLASSDATA,MATCH("MediumExpert",CLASSFEATUREHEADERS,0),MATCH($A1897,CLASSNAMEHEADERS,0))),(INDEX(ALLCLASSDATA,MATCH("MediumExpert",CLASSFEATUREHEADERS,0),MATCH(($A1897 &amp; "Points"),CLASSNAMEHEADERS,0))),(IF("13"=(INDEX(ALLCLASSDATA,MATCH("MediumTrained",CLASSFEATUREHEADERS,0),MATCH($A1897,CLASSNAMEHEADERS,0))),(INDEX(ALLCLASSDATA,MATCH("MediumTrained",CLASSFEATUREHEADERS,0),MATCH(($A1897 &amp; "Points"),CLASSNAMEHEADERS,0))),"")))))))))}</f>
        <v>MEDIUML13</v>
      </c>
      <c r="U1896" s="223"/>
      <c r="V1896" s="223" t="str">
        <f t="array" ref="V1896:V1897">{"MEDIUML15";((IF("15"=(INDEX(ALLCLASSDATA,MATCH("MediumLegendary",CLASSFEATUREHEADERS,0),MATCH($A1897,CLASSNAMEHEADERS,0))),(INDEX(ALLCLASSDATA,MATCH("MediumLegendary",CLASSFEATUREHEADERS,0),MATCH(($A1897 &amp; "Points"),CLASSNAMEHEADERS,0))),(IF("15"=(INDEX(ALLCLASSDATA,MATCH("MediumMaster",CLASSFEATUREHEADERS,0),MATCH($A1897,CLASSNAMEHEADERS,0))),(INDEX(ALLCLASSDATA,MATCH("MediumMaster",CLASSFEATUREHEADERS,0),MATCH(($A1897 &amp; "Points"),CLASSNAMEHEADERS,0))),(IF("15"=(INDEX(ALLCLASSDATA,MATCH("MediumExpert",CLASSFEATUREHEADERS,0),MATCH($A1897,CLASSNAMEHEADERS,0))),(INDEX(ALLCLASSDATA,MATCH("MediumExpert",CLASSFEATUREHEADERS,0),MATCH(($A1897 &amp; "Points"),CLASSNAMEHEADERS,0))),(IF("15"=(INDEX(ALLCLASSDATA,MATCH("MediumTrained",CLASSFEATUREHEADERS,0),MATCH($A1897,CLASSNAMEHEADERS,0))),(INDEX(ALLCLASSDATA,MATCH("MediumTrained",CLASSFEATUREHEADERS,0),MATCH(($A1897 &amp; "Points"),CLASSNAMEHEADERS,0))),"")))))))))}</f>
        <v>MEDIUML15</v>
      </c>
      <c r="W1896" s="223"/>
      <c r="X1896" s="223" t="str">
        <f t="array" ref="X1896:X1897">{"MEDIUML17";((IF("17"=(INDEX(ALLCLASSDATA,MATCH("MediumLegendary",CLASSFEATUREHEADERS,0),MATCH($A1897,CLASSNAMEHEADERS,0))),(INDEX(ALLCLASSDATA,MATCH("MediumLegendary",CLASSFEATUREHEADERS,0),MATCH(($A1897 &amp; "Points"),CLASSNAMEHEADERS,0))),(IF("17"=(INDEX(ALLCLASSDATA,MATCH("MediumMaster",CLASSFEATUREHEADERS,0),MATCH($A1897,CLASSNAMEHEADERS,0))),(INDEX(ALLCLASSDATA,MATCH("MediumMaster",CLASSFEATUREHEADERS,0),MATCH(($A1897 &amp; "Points"),CLASSNAMEHEADERS,0))),(IF("17"=(INDEX(ALLCLASSDATA,MATCH("MediumExpert",CLASSFEATUREHEADERS,0),MATCH($A1897,CLASSNAMEHEADERS,0))),(INDEX(ALLCLASSDATA,MATCH("MediumExpert",CLASSFEATUREHEADERS,0),MATCH(($A1897 &amp; "Points"),CLASSNAMEHEADERS,0))),(IF("17"=(INDEX(ALLCLASSDATA,MATCH("MediumTrained",CLASSFEATUREHEADERS,0),MATCH($A1897,CLASSNAMEHEADERS,0))),(INDEX(ALLCLASSDATA,MATCH("MediumTrained",CLASSFEATUREHEADERS,0),MATCH(($A1897 &amp; "Points"),CLASSNAMEHEADERS,0))),"")))))))))}</f>
        <v>MEDIUML17</v>
      </c>
      <c r="Y1896" s="223"/>
      <c r="Z1896" s="223" t="str">
        <f t="array" ref="Z1896:Z1897">{"MEDIUML19";((IF("19"=(INDEX(ALLCLASSDATA,MATCH("MediumLegendary",CLASSFEATUREHEADERS,0),MATCH($A1897,CLASSNAMEHEADERS,0))),(INDEX(ALLCLASSDATA,MATCH("MediumLegendary",CLASSFEATUREHEADERS,0),MATCH(($A1897 &amp; "Points"),CLASSNAMEHEADERS,0))),(IF("19"=(INDEX(ALLCLASSDATA,MATCH("MediumMaster",CLASSFEATUREHEADERS,0),MATCH($A1897,CLASSNAMEHEADERS,0))),(INDEX(ALLCLASSDATA,MATCH("MediumMaster",CLASSFEATUREHEADERS,0),MATCH(($A1897 &amp; "Points"),CLASSNAMEHEADERS,0))),(IF("19"=(INDEX(ALLCLASSDATA,MATCH("MediumExpert",CLASSFEATUREHEADERS,0),MATCH($A1897,CLASSNAMEHEADERS,0))),(INDEX(ALLCLASSDATA,MATCH("MediumExpert",CLASSFEATUREHEADERS,0),MATCH(($A1897 &amp; "Points"),CLASSNAMEHEADERS,0))),(IF("19"=(INDEX(ALLCLASSDATA,MATCH("MediumTrained",CLASSFEATUREHEADERS,0),MATCH($A1897,CLASSNAMEHEADERS,0))),(INDEX(ALLCLASSDATA,MATCH("MediumTrained",CLASSFEATUREHEADERS,0),MATCH(($A1897 &amp; "Points"),CLASSNAMEHEADERS,0))),"")))))))))}</f>
        <v>MEDIUML19</v>
      </c>
      <c r="AA1896" s="223"/>
      <c r="AB1896" s="76" t="str">
        <f t="array" ref="AB1896:AB1897">{"MEDIUM TOTAL";(IF(COUNTBLANK(G1897:AA1897)=17,"L",(IF(COUNTBLANK(G1897:AA1897)=18,"M",(IF(COUNTBLANK(G1897:AA1897)=19,"E",(IF(COUNTBLANK(G1897:AA1897)=20,"T",""))))))))}</f>
        <v>MEDIUM TOTAL</v>
      </c>
      <c r="AC1896" s="76" t="str">
        <f t="array" ref="AC1896:AC1897">{"MEDIUM TOTAL";(sum(G1897:AA1897))}</f>
        <v>MEDIUM TOTAL</v>
      </c>
    </row>
    <row r="1897">
      <c r="A1897" s="48" t="s">
        <v>229</v>
      </c>
      <c r="B1897" s="48"/>
      <c r="C1897" s="48" t="s">
        <v>418</v>
      </c>
      <c r="D1897" s="48" t="s">
        <v>1900</v>
      </c>
      <c r="E1897" s="48" t="s">
        <v>76</v>
      </c>
      <c r="F1897" s="5" t="s">
        <v>603</v>
      </c>
      <c r="G1897" s="47" t="s">
        <v>603</v>
      </c>
      <c r="H1897" s="5" t="s">
        <v>603</v>
      </c>
      <c r="I1897" s="5"/>
      <c r="J1897" s="5" t="s">
        <v>603</v>
      </c>
      <c r="K1897" s="5"/>
      <c r="L1897" s="5" t="s">
        <v>603</v>
      </c>
      <c r="M1897" s="5"/>
      <c r="N1897" s="5" t="s">
        <v>603</v>
      </c>
      <c r="O1897" s="5"/>
      <c r="P1897" s="5" t="s">
        <v>603</v>
      </c>
      <c r="Q1897" s="5"/>
      <c r="R1897" s="5" t="s">
        <v>603</v>
      </c>
      <c r="S1897" s="5"/>
      <c r="T1897" s="5" t="s">
        <v>603</v>
      </c>
      <c r="U1897" s="5"/>
      <c r="V1897" s="5" t="s">
        <v>603</v>
      </c>
      <c r="W1897" s="5"/>
      <c r="X1897" s="5" t="s">
        <v>603</v>
      </c>
      <c r="Y1897" s="5"/>
      <c r="Z1897" s="5" t="s">
        <v>603</v>
      </c>
      <c r="AA1897" s="5"/>
      <c r="AB1897" s="5" t="s">
        <v>603</v>
      </c>
      <c r="AC1897" s="47">
        <v>0.0</v>
      </c>
    </row>
    <row r="1898" hidden="1">
      <c r="A1898" s="222" t="str">
        <f t="array" ref="A1898:A1899">{"FormulaRow38";(INDEX(CLASSLIST,A1823,1))}</f>
        <v>FormulaRow38</v>
      </c>
      <c r="B1898" s="77" t="s">
        <v>236</v>
      </c>
      <c r="C1898" s="222" t="str">
        <f t="array" ref="C1898:C1899">{"CLASSTYPE";((INDEX(ALLCLASSDATA,MATCH("ClassType",CLASSFEATUREHEADERS,0),MATCH($A1899,CLASSNAMEHEADERS,0))))}</f>
        <v>CLASSTYPE</v>
      </c>
      <c r="D1898" s="222" t="str">
        <f t="array" ref="D1898:D1899">{"DEFENSE";"Defense"}</f>
        <v>DEFENSE</v>
      </c>
      <c r="E1898" s="222" t="str">
        <f t="array" ref="E1898:E1899">{"HEAVY";"Heavy"}</f>
        <v>HEAVY</v>
      </c>
      <c r="F1898" s="223" t="str">
        <f t="array" ref="F1898:F1899">{"HEAVYINITIAL";((IF(H1899=10,"T",(IF(H1899=50,"E","")))))}</f>
        <v>HEAVYINITIAL</v>
      </c>
      <c r="G1898" s="223" t="str">
        <f t="array" ref="G1898:G1899">{"HEAVYINITIALPTS";((IF("00"=(INDEX(ALLCLASSDATA,MATCH("HeavyLegendary",CLASSFEATUREHEADERS,0),MATCH($A1899,CLASSNAMEHEADERS,0))),(INDEX(ALLCLASSDATA,MATCH("HeavyLegendary",CLASSFEATUREHEADERS,0),MATCH(($A1899 &amp; "Points"),CLASSNAMEHEADERS,0))),(IF("00"=(INDEX(ALLCLASSDATA,MATCH("HeavyMaster",CLASSFEATUREHEADERS,0),MATCH($A1899,CLASSNAMEHEADERS,0))),(INDEX(ALLCLASSDATA,MATCH("HeavyMaster",CLASSFEATUREHEADERS,0),MATCH(($A1899 &amp; "Points"),CLASSNAMEHEADERS,0))),(IF("00"=(INDEX(ALLCLASSDATA,MATCH("HeavyExpert",CLASSFEATUREHEADERS,0),MATCH($A1899,CLASSNAMEHEADERS,0))),(INDEX(ALLCLASSDATA,MATCH("HeavyExpert",CLASSFEATUREHEADERS,0),MATCH(($A1899 &amp; "Points"),CLASSNAMEHEADERS,0))),(IF("00"=(INDEX(ALLCLASSDATA,MATCH("HeavyTrained",CLASSFEATUREHEADERS,0),MATCH($A1899,CLASSNAMEHEADERS,0))),(INDEX(ALLCLASSDATA,MATCH("HeavyTrained",CLASSFEATUREHEADERS,0),MATCH(($A1899 &amp; "Points"),CLASSNAMEHEADERS,0))),"")))))))))}</f>
        <v>HEAVYINITIALPTS</v>
      </c>
      <c r="H1898" s="223" t="str">
        <f t="array" ref="H1898:H1899">{"HEAVYL01";((IF("01"=(INDEX(ALLCLASSDATA,MATCH("HeavyLegendary",CLASSFEATUREHEADERS,0),MATCH($A1899,CLASSNAMEHEADERS,0))),(INDEX(ALLCLASSDATA,MATCH("HeavyLegendary",CLASSFEATUREHEADERS,0),MATCH(($A1899 &amp; "Points"),CLASSNAMEHEADERS,0))),(IF("01"=(INDEX(ALLCLASSDATA,MATCH("HeavyMaster",CLASSFEATUREHEADERS,0),MATCH($A1899,CLASSNAMEHEADERS,0))),(INDEX(ALLCLASSDATA,MATCH("HeavyMaster",CLASSFEATUREHEADERS,0),MATCH(($A1899 &amp; "Points"),CLASSNAMEHEADERS,0))),(IF("01"=(INDEX(ALLCLASSDATA,MATCH("HeavyExpert",CLASSFEATUREHEADERS,0),MATCH($A1899,CLASSNAMEHEADERS,0))),(INDEX(ALLCLASSDATA,MATCH("HeavyExpert",CLASSFEATUREHEADERS,0),MATCH(($A1899 &amp; "Points"),CLASSNAMEHEADERS,0))),(IF("01"=(INDEX(ALLCLASSDATA,MATCH("HeavyTrained",CLASSFEATUREHEADERS,0),MATCH($A1899,CLASSNAMEHEADERS,0))),(INDEX(ALLCLASSDATA,MATCH("HeavyTrained",CLASSFEATUREHEADERS,0),MATCH(($A1899 &amp; "Points"),CLASSNAMEHEADERS,0))),"")))))))))}</f>
        <v>HEAVYL01</v>
      </c>
      <c r="I1898" s="223"/>
      <c r="J1898" s="223" t="str">
        <f t="array" ref="J1898:J1899">{"HEAVYL03";((IF("03"=(INDEX(ALLCLASSDATA,MATCH("HeavyLegendary",CLASSFEATUREHEADERS,0),MATCH($A1899,CLASSNAMEHEADERS,0))),(INDEX(ALLCLASSDATA,MATCH("HeavyLegendary",CLASSFEATUREHEADERS,0),MATCH(($A1899 &amp; "Points"),CLASSNAMEHEADERS,0))),(IF("03"=(INDEX(ALLCLASSDATA,MATCH("HeavyMaster",CLASSFEATUREHEADERS,0),MATCH($A1899,CLASSNAMEHEADERS,0))),(INDEX(ALLCLASSDATA,MATCH("HeavyMaster",CLASSFEATUREHEADERS,0),MATCH(($A1899 &amp; "Points"),CLASSNAMEHEADERS,0))),(IF("03"=(INDEX(ALLCLASSDATA,MATCH("HeavyExpert",CLASSFEATUREHEADERS,0),MATCH($A1899,CLASSNAMEHEADERS,0))),(INDEX(ALLCLASSDATA,MATCH("HeavyExpert",CLASSFEATUREHEADERS,0),MATCH(($A1899 &amp; "Points"),CLASSNAMEHEADERS,0))),(IF("03"=(INDEX(ALLCLASSDATA,MATCH("HeavyTrained",CLASSFEATUREHEADERS,0),MATCH($A1899,CLASSNAMEHEADERS,0))),(INDEX(ALLCLASSDATA,MATCH("HeavyTrained",CLASSFEATUREHEADERS,0),MATCH(($A1899 &amp; "Points"),CLASSNAMEHEADERS,0))),"")))))))))}</f>
        <v>HEAVYL03</v>
      </c>
      <c r="K1898" s="223"/>
      <c r="L1898" s="223" t="str">
        <f t="array" ref="L1898:L1899">{"HEAVYL05";((IF("05"=(INDEX(ALLCLASSDATA,MATCH("HeavyLegendary",CLASSFEATUREHEADERS,0),MATCH($A1899,CLASSNAMEHEADERS,0))),(INDEX(ALLCLASSDATA,MATCH("HeavyLegendary",CLASSFEATUREHEADERS,0),MATCH(($A1899 &amp; "Points"),CLASSNAMEHEADERS,0))),(IF("05"=(INDEX(ALLCLASSDATA,MATCH("HeavyMaster",CLASSFEATUREHEADERS,0),MATCH($A1899,CLASSNAMEHEADERS,0))),(INDEX(ALLCLASSDATA,MATCH("HeavyMaster",CLASSFEATUREHEADERS,0),MATCH(($A1899 &amp; "Points"),CLASSNAMEHEADERS,0))),(IF("05"=(INDEX(ALLCLASSDATA,MATCH("HeavyExpert",CLASSFEATUREHEADERS,0),MATCH($A1899,CLASSNAMEHEADERS,0))),(INDEX(ALLCLASSDATA,MATCH("HeavyExpert",CLASSFEATUREHEADERS,0),MATCH(($A1899 &amp; "Points"),CLASSNAMEHEADERS,0))),(IF("05"=(INDEX(ALLCLASSDATA,MATCH("HeavyTrained",CLASSFEATUREHEADERS,0),MATCH($A1899,CLASSNAMEHEADERS,0))),(INDEX(ALLCLASSDATA,MATCH("HeavyTrained",CLASSFEATUREHEADERS,0),MATCH(($A1899 &amp; "Points"),CLASSNAMEHEADERS,0))),"")))))))))}</f>
        <v>HEAVYL05</v>
      </c>
      <c r="M1898" s="223"/>
      <c r="N1898" s="223" t="str">
        <f t="array" ref="N1898:N1899">{"HEAVYL07";((IF("07"=(INDEX(ALLCLASSDATA,MATCH("HeavyLegendary",CLASSFEATUREHEADERS,0),MATCH($A1899,CLASSNAMEHEADERS,0))),(INDEX(ALLCLASSDATA,MATCH("HeavyLegendary",CLASSFEATUREHEADERS,0),MATCH(($A1899 &amp; "Points"),CLASSNAMEHEADERS,0))),(IF("07"=(INDEX(ALLCLASSDATA,MATCH("HeavyMaster",CLASSFEATUREHEADERS,0),MATCH($A1899,CLASSNAMEHEADERS,0))),(INDEX(ALLCLASSDATA,MATCH("HeavyMaster",CLASSFEATUREHEADERS,0),MATCH(($A1899 &amp; "Points"),CLASSNAMEHEADERS,0))),(IF("07"=(INDEX(ALLCLASSDATA,MATCH("HeavyExpert",CLASSFEATUREHEADERS,0),MATCH($A1899,CLASSNAMEHEADERS,0))),(INDEX(ALLCLASSDATA,MATCH("HeavyExpert",CLASSFEATUREHEADERS,0),MATCH(($A1899 &amp; "Points"),CLASSNAMEHEADERS,0))),(IF("07"=(INDEX(ALLCLASSDATA,MATCH("HeavyTrained",CLASSFEATUREHEADERS,0),MATCH($A1899,CLASSNAMEHEADERS,0))),(INDEX(ALLCLASSDATA,MATCH("HeavyTrained",CLASSFEATUREHEADERS,0),MATCH(($A1899 &amp; "Points"),CLASSNAMEHEADERS,0))),"")))))))))}</f>
        <v>HEAVYL07</v>
      </c>
      <c r="O1898" s="223"/>
      <c r="P1898" s="223" t="str">
        <f t="array" ref="P1898:P1899">{"HEAVYL09";((IF("09"=(INDEX(ALLCLASSDATA,MATCH("HeavyLegendary",CLASSFEATUREHEADERS,0),MATCH($A1899,CLASSNAMEHEADERS,0))),(INDEX(ALLCLASSDATA,MATCH("HeavyLegendary",CLASSFEATUREHEADERS,0),MATCH(($A1899 &amp; "Points"),CLASSNAMEHEADERS,0))),(IF("09"=(INDEX(ALLCLASSDATA,MATCH("HeavyMaster",CLASSFEATUREHEADERS,0),MATCH($A1899,CLASSNAMEHEADERS,0))),(INDEX(ALLCLASSDATA,MATCH("HeavyMaster",CLASSFEATUREHEADERS,0),MATCH(($A1899 &amp; "Points"),CLASSNAMEHEADERS,0))),(IF("09"=(INDEX(ALLCLASSDATA,MATCH("HeavyExpert",CLASSFEATUREHEADERS,0),MATCH($A1899,CLASSNAMEHEADERS,0))),(INDEX(ALLCLASSDATA,MATCH("HeavyExpert",CLASSFEATUREHEADERS,0),MATCH(($A1899 &amp; "Points"),CLASSNAMEHEADERS,0))),(IF("09"=(INDEX(ALLCLASSDATA,MATCH("HeavyTrained",CLASSFEATUREHEADERS,0),MATCH($A1899,CLASSNAMEHEADERS,0))),(INDEX(ALLCLASSDATA,MATCH("HeavyTrained",CLASSFEATUREHEADERS,0),MATCH(($A1899 &amp; "Points"),CLASSNAMEHEADERS,0))),"")))))))))}</f>
        <v>HEAVYL09</v>
      </c>
      <c r="Q1898" s="223"/>
      <c r="R1898" s="223" t="str">
        <f t="array" ref="R1898:R1899">{"HEAVYL11";((IF("11"=(INDEX(ALLCLASSDATA,MATCH("HeavyLegendary",CLASSFEATUREHEADERS,0),MATCH($A1899,CLASSNAMEHEADERS,0))),(INDEX(ALLCLASSDATA,MATCH("HeavyLegendary",CLASSFEATUREHEADERS,0),MATCH(($A1899 &amp; "Points"),CLASSNAMEHEADERS,0))),(IF("11"=(INDEX(ALLCLASSDATA,MATCH("HeavyMaster",CLASSFEATUREHEADERS,0),MATCH($A1899,CLASSNAMEHEADERS,0))),(INDEX(ALLCLASSDATA,MATCH("HeavyMaster",CLASSFEATUREHEADERS,0),MATCH(($A1899 &amp; "Points"),CLASSNAMEHEADERS,0))),(IF("11"=(INDEX(ALLCLASSDATA,MATCH("HeavyExpert",CLASSFEATUREHEADERS,0),MATCH($A1899,CLASSNAMEHEADERS,0))),(INDEX(ALLCLASSDATA,MATCH("HeavyExpert",CLASSFEATUREHEADERS,0),MATCH(($A1899 &amp; "Points"),CLASSNAMEHEADERS,0))),(IF("11"=(INDEX(ALLCLASSDATA,MATCH("HeavyTrained",CLASSFEATUREHEADERS,0),MATCH($A1899,CLASSNAMEHEADERS,0))),(INDEX(ALLCLASSDATA,MATCH("HeavyTrained",CLASSFEATUREHEADERS,0),MATCH(($A1899 &amp; "Points"),CLASSNAMEHEADERS,0))),"")))))))))}</f>
        <v>HEAVYL11</v>
      </c>
      <c r="S1898" s="223"/>
      <c r="T1898" s="223" t="str">
        <f t="array" ref="T1898:T1899">{"HEAVYL13";((IF("13"=(INDEX(ALLCLASSDATA,MATCH("HeavyLegendary",CLASSFEATUREHEADERS,0),MATCH($A1899,CLASSNAMEHEADERS,0))),(INDEX(ALLCLASSDATA,MATCH("HeavyLegendary",CLASSFEATUREHEADERS,0),MATCH(($A1899 &amp; "Points"),CLASSNAMEHEADERS,0))),(IF("13"=(INDEX(ALLCLASSDATA,MATCH("HeavyMaster",CLASSFEATUREHEADERS,0),MATCH($A1899,CLASSNAMEHEADERS,0))),(INDEX(ALLCLASSDATA,MATCH("HeavyMaster",CLASSFEATUREHEADERS,0),MATCH(($A1899 &amp; "Points"),CLASSNAMEHEADERS,0))),(IF("13"=(INDEX(ALLCLASSDATA,MATCH("HeavyExpert",CLASSFEATUREHEADERS,0),MATCH($A1899,CLASSNAMEHEADERS,0))),(INDEX(ALLCLASSDATA,MATCH("HeavyExpert",CLASSFEATUREHEADERS,0),MATCH(($A1899 &amp; "Points"),CLASSNAMEHEADERS,0))),(IF("13"=(INDEX(ALLCLASSDATA,MATCH("HeavyTrained",CLASSFEATUREHEADERS,0),MATCH($A1899,CLASSNAMEHEADERS,0))),(INDEX(ALLCLASSDATA,MATCH("HeavyTrained",CLASSFEATUREHEADERS,0),MATCH(($A1899 &amp; "Points"),CLASSNAMEHEADERS,0))),"")))))))))}</f>
        <v>HEAVYL13</v>
      </c>
      <c r="U1898" s="223"/>
      <c r="V1898" s="223" t="str">
        <f t="array" ref="V1898:V1899">{"HEAVYL15";((IF("15"=(INDEX(ALLCLASSDATA,MATCH("HeavyLegendary",CLASSFEATUREHEADERS,0),MATCH($A1899,CLASSNAMEHEADERS,0))),(INDEX(ALLCLASSDATA,MATCH("HeavyLegendary",CLASSFEATUREHEADERS,0),MATCH(($A1899 &amp; "Points"),CLASSNAMEHEADERS,0))),(IF("15"=(INDEX(ALLCLASSDATA,MATCH("HeavyMaster",CLASSFEATUREHEADERS,0),MATCH($A1899,CLASSNAMEHEADERS,0))),(INDEX(ALLCLASSDATA,MATCH("HeavyMaster",CLASSFEATUREHEADERS,0),MATCH(($A1899 &amp; "Points"),CLASSNAMEHEADERS,0))),(IF("15"=(INDEX(ALLCLASSDATA,MATCH("HeavyExpert",CLASSFEATUREHEADERS,0),MATCH($A1899,CLASSNAMEHEADERS,0))),(INDEX(ALLCLASSDATA,MATCH("HeavyExpert",CLASSFEATUREHEADERS,0),MATCH(($A1899 &amp; "Points"),CLASSNAMEHEADERS,0))),(IF("15"=(INDEX(ALLCLASSDATA,MATCH("HeavyTrained",CLASSFEATUREHEADERS,0),MATCH($A1899,CLASSNAMEHEADERS,0))),(INDEX(ALLCLASSDATA,MATCH("HeavyTrained",CLASSFEATUREHEADERS,0),MATCH(($A1899 &amp; "Points"),CLASSNAMEHEADERS,0))),"")))))))))}</f>
        <v>HEAVYL15</v>
      </c>
      <c r="W1898" s="223"/>
      <c r="X1898" s="223" t="str">
        <f t="array" ref="X1898:X1899">{"HEAVYL17";((IF("17"=(INDEX(ALLCLASSDATA,MATCH("HeavyLegendary",CLASSFEATUREHEADERS,0),MATCH($A1899,CLASSNAMEHEADERS,0))),(INDEX(ALLCLASSDATA,MATCH("HeavyLegendary",CLASSFEATUREHEADERS,0),MATCH(($A1899 &amp; "Points"),CLASSNAMEHEADERS,0))),(IF("17"=(INDEX(ALLCLASSDATA,MATCH("HeavyMaster",CLASSFEATUREHEADERS,0),MATCH($A1899,CLASSNAMEHEADERS,0))),(INDEX(ALLCLASSDATA,MATCH("HeavyMaster",CLASSFEATUREHEADERS,0),MATCH(($A1899 &amp; "Points"),CLASSNAMEHEADERS,0))),(IF("17"=(INDEX(ALLCLASSDATA,MATCH("HeavyExpert",CLASSFEATUREHEADERS,0),MATCH($A1899,CLASSNAMEHEADERS,0))),(INDEX(ALLCLASSDATA,MATCH("HeavyExpert",CLASSFEATUREHEADERS,0),MATCH(($A1899 &amp; "Points"),CLASSNAMEHEADERS,0))),(IF("17"=(INDEX(ALLCLASSDATA,MATCH("HeavyTrained",CLASSFEATUREHEADERS,0),MATCH($A1899,CLASSNAMEHEADERS,0))),(INDEX(ALLCLASSDATA,MATCH("HeavyTrained",CLASSFEATUREHEADERS,0),MATCH(($A1899 &amp; "Points"),CLASSNAMEHEADERS,0))),"")))))))))}</f>
        <v>HEAVYL17</v>
      </c>
      <c r="Y1898" s="223"/>
      <c r="Z1898" s="223" t="str">
        <f t="array" ref="Z1898:Z1899">{"HEAVYL19";((IF("19"=(INDEX(ALLCLASSDATA,MATCH("HeavyLegendary",CLASSFEATUREHEADERS,0),MATCH($A1899,CLASSNAMEHEADERS,0))),(INDEX(ALLCLASSDATA,MATCH("HeavyLegendary",CLASSFEATUREHEADERS,0),MATCH(($A1899 &amp; "Points"),CLASSNAMEHEADERS,0))),(IF("19"=(INDEX(ALLCLASSDATA,MATCH("HeavyMaster",CLASSFEATUREHEADERS,0),MATCH($A1899,CLASSNAMEHEADERS,0))),(INDEX(ALLCLASSDATA,MATCH("HeavyMaster",CLASSFEATUREHEADERS,0),MATCH(($A1899 &amp; "Points"),CLASSNAMEHEADERS,0))),(IF("19"=(INDEX(ALLCLASSDATA,MATCH("HeavyExpert",CLASSFEATUREHEADERS,0),MATCH($A1899,CLASSNAMEHEADERS,0))),(INDEX(ALLCLASSDATA,MATCH("HeavyExpert",CLASSFEATUREHEADERS,0),MATCH(($A1899 &amp; "Points"),CLASSNAMEHEADERS,0))),(IF("19"=(INDEX(ALLCLASSDATA,MATCH("HeavyTrained",CLASSFEATUREHEADERS,0),MATCH($A1899,CLASSNAMEHEADERS,0))),(INDEX(ALLCLASSDATA,MATCH("HeavyTrained",CLASSFEATUREHEADERS,0),MATCH(($A1899 &amp; "Points"),CLASSNAMEHEADERS,0))),"")))))))))}</f>
        <v>HEAVYL19</v>
      </c>
      <c r="AA1898" s="223"/>
      <c r="AB1898" s="76" t="str">
        <f t="array" ref="AB1898:AB1899">{"HEAVY TOTAL";(IF(COUNTBLANK(G1899:AA1899)=17,"L",(IF(COUNTBLANK(G1899:AA1899)=18,"M",(IF(COUNTBLANK(G1899:AA1899)=19,"E",(IF(COUNTBLANK(G1899:AA1899)=20,"T",""))))))))}</f>
        <v>HEAVY TOTAL</v>
      </c>
      <c r="AC1898" s="76" t="str">
        <f t="array" ref="AC1898:AC1899">{"HEAVY TOTAL";(sum(G1899:AA1899))}</f>
        <v>HEAVY TOTAL</v>
      </c>
    </row>
    <row r="1899">
      <c r="A1899" s="48" t="s">
        <v>229</v>
      </c>
      <c r="B1899" s="48"/>
      <c r="C1899" s="48" t="s">
        <v>418</v>
      </c>
      <c r="D1899" s="97" t="s">
        <v>1900</v>
      </c>
      <c r="E1899" s="97" t="s">
        <v>533</v>
      </c>
      <c r="F1899" s="98" t="s">
        <v>603</v>
      </c>
      <c r="G1899" s="132" t="s">
        <v>603</v>
      </c>
      <c r="H1899" s="98" t="s">
        <v>603</v>
      </c>
      <c r="I1899" s="98"/>
      <c r="J1899" s="98" t="s">
        <v>603</v>
      </c>
      <c r="K1899" s="98"/>
      <c r="L1899" s="98" t="s">
        <v>603</v>
      </c>
      <c r="M1899" s="98"/>
      <c r="N1899" s="98" t="s">
        <v>603</v>
      </c>
      <c r="O1899" s="98"/>
      <c r="P1899" s="98" t="s">
        <v>603</v>
      </c>
      <c r="Q1899" s="98"/>
      <c r="R1899" s="98" t="s">
        <v>603</v>
      </c>
      <c r="S1899" s="98"/>
      <c r="T1899" s="98" t="s">
        <v>603</v>
      </c>
      <c r="U1899" s="98"/>
      <c r="V1899" s="98" t="s">
        <v>603</v>
      </c>
      <c r="W1899" s="98"/>
      <c r="X1899" s="98" t="s">
        <v>603</v>
      </c>
      <c r="Y1899" s="98"/>
      <c r="Z1899" s="98" t="s">
        <v>603</v>
      </c>
      <c r="AA1899" s="98"/>
      <c r="AB1899" s="5" t="s">
        <v>603</v>
      </c>
      <c r="AC1899" s="47">
        <v>0.0</v>
      </c>
    </row>
    <row r="1900" hidden="1">
      <c r="A1900" s="222" t="str">
        <f t="array" ref="A1900:A1901">{"FormulaRow39";(INDEX(CLASSLIST,A1823,1))}</f>
        <v>FormulaRow39</v>
      </c>
      <c r="B1900" s="77" t="s">
        <v>236</v>
      </c>
      <c r="C1900" s="222" t="str">
        <f t="array" ref="C1900:C1901">{"CLASSTYPE";((INDEX(ALLCLASSDATA,MATCH("ClassType",CLASSFEATUREHEADERS,0),MATCH($A1901,CLASSNAMEHEADERS,0))))}</f>
        <v>CLASSTYPE</v>
      </c>
      <c r="D1900" s="222" t="str">
        <f t="array" ref="D1900:D1901">{"SPELL/ALCHEMY";((IF(INDEX(ALLCLASSDATA,MATCH("CasterType",CLASSFEATUREHEADERS,0),MATCH(($A1901),CLASSNAMEHEADERS,0))="","",(IF(INDEX(ALLCLASSDATA,MATCH("CasterType",CLASSFEATUREHEADERS,0),MATCH(($A1901),CLASSNAMEHEADERS,0))="Alchemy","Alchemy","Spells")))))}</f>
        <v>SPELL/ALCHEMY</v>
      </c>
      <c r="E1900" s="222" t="str">
        <f t="array" ref="E1900:E1901">{"SPELLLIST";(IF(D1901="Spells",((INDEX(ALLCLASSDATA,MATCH("CasterType",CLASSFEATUREHEADERS,0),MATCH(($A1901),CLASSNAMEHEADERS,0))) &amp; ":" &amp; (INDEX(ALLCLASSDATA,MATCH("SpellList",CLASSFEATUREHEADERS,0),MATCH(($A1901),CLASSNAMEHEADERS,0)))),""))}</f>
        <v>SPELLLIST</v>
      </c>
      <c r="F1900" s="223" t="str">
        <f t="array" ref="F1900:F1901">{"SPL";(IF(D1901="Spells","SPL:",""))}</f>
        <v>SPL</v>
      </c>
      <c r="G1900" s="223" t="str">
        <f t="array" ref="G1900:G1901">{"CANTRIP/ALC";(IF(D1901="Spells","C",(IF(D1901="Alchemy","ALC:",""))))}</f>
        <v>CANTRIP/ALC</v>
      </c>
      <c r="H1900" s="223" t="str">
        <f t="array" ref="H1900:H1901">{"SPELL/ALC L01";(IF(D1901="Alchemy","L01",(IF(D1901="Spells","S01",""))))}</f>
        <v>SPELL/ALC L01</v>
      </c>
      <c r="I1900" s="223" t="str">
        <f t="array" ref="I1900:I1901">{"SPELL/ALC L02";(IF(D1901="Alchemy","L02",(IF(D1901="Spells","S01",""))))}</f>
        <v>SPELL/ALC L02</v>
      </c>
      <c r="J1900" s="223" t="str">
        <f t="array" ref="J1900:J1901">{"SPELL/ALC L03";(IF(D1901="Alchemy","L03",(IF(D1901="Spells","S02",""))))}</f>
        <v>SPELL/ALC L03</v>
      </c>
      <c r="K1900" s="223" t="str">
        <f t="array" ref="K1900:K1901">{"SPELL/ALC L04";(IF(D1901="Alchemy","L04",(IF(D1901="Spells","S02",""))))}</f>
        <v>SPELL/ALC L04</v>
      </c>
      <c r="L1900" s="223" t="str">
        <f t="array" ref="L1900:L1901">{"SPELL/ALC L05";(IF(D1901="Alchemy","L05",(IF(D1901="Spells","S03",""))))}</f>
        <v>SPELL/ALC L05</v>
      </c>
      <c r="M1900" s="223" t="str">
        <f t="array" ref="M1900:M1901">{"SPELL/ALC L06";(IF(D1901="Alchemy","L06",(IF(D1901="Spells","S03",""))))}</f>
        <v>SPELL/ALC L06</v>
      </c>
      <c r="N1900" s="223" t="str">
        <f t="array" ref="N1900:N1901">{"SPELL/ALC L07";(IF(D1901="Alchemy","L07",(IF(D1901="Spells","S04",""))))}</f>
        <v>SPELL/ALC L07</v>
      </c>
      <c r="O1900" s="223" t="str">
        <f t="array" ref="O1900:O1901">{"SPELL/ALC L08";(IF(D1901="Alchemy","L08",(IF(D1901="Spells","S04",""))))}</f>
        <v>SPELL/ALC L08</v>
      </c>
      <c r="P1900" s="223" t="str">
        <f t="array" ref="P1900:P1901">{"SPELL/ALC L09";(IF(D1901="Alchemy","L09",(IF(D1901="Spells","S05",""))))}</f>
        <v>SPELL/ALC L09</v>
      </c>
      <c r="Q1900" s="223" t="str">
        <f t="array" ref="Q1900:Q1901">{"SPELL/ALC L10";(IF(D1901="Alchemy","L10",(IF(D1901="Spells","S05",""))))}</f>
        <v>SPELL/ALC L10</v>
      </c>
      <c r="R1900" s="223" t="str">
        <f t="array" ref="R1900:R1901">{"SPELL/ALC L11";(IF(D1901="Alchemy","L11",(IF(D1901="Spells","S06",""))))}</f>
        <v>SPELL/ALC L11</v>
      </c>
      <c r="S1900" s="223" t="str">
        <f t="array" ref="S1900:S1901">{"SPELL/ALC L12";(IF(D1901="Alchemy","L12",(IF(D1901="Spells","S06",""))))}</f>
        <v>SPELL/ALC L12</v>
      </c>
      <c r="T1900" s="223" t="str">
        <f t="array" ref="T1900:T1901">{"SPELL/ALC L13";(IF(D1901="Alchemy","L13",(IF(D1901="Spells","S07",""))))}</f>
        <v>SPELL/ALC L13</v>
      </c>
      <c r="U1900" s="223" t="str">
        <f t="array" ref="U1900:U1901">{"SPELL/ALC L14";(IF(D1901="Alchemy","L14",(IF(D1901="Spells","S07",""))))}</f>
        <v>SPELL/ALC L14</v>
      </c>
      <c r="V1900" s="223" t="str">
        <f t="array" ref="V1900:V1901">{"SPELL/ALC L15";(IF(D1901="Alchemy","L15",(IF(D1901="Spells","S08",""))))}</f>
        <v>SPELL/ALC L15</v>
      </c>
      <c r="W1900" s="223" t="str">
        <f t="array" ref="W1900:W1901">{"SPELL/ALC L16";(IF(D1901="Alchemy","L16",(IF(D1901="Spells","S08",""))))}</f>
        <v>SPELL/ALC L16</v>
      </c>
      <c r="X1900" s="223" t="str">
        <f t="array" ref="X1900:X1901">{"SPELL/ALC L17";(IF(D1901="Alchemy","L17",(IF(D1901="Spells","S09",""))))}</f>
        <v>SPELL/ALC L17</v>
      </c>
      <c r="Y1900" s="223" t="str">
        <f t="array" ref="Y1900:Y1901">{"SPELL/ALC L18";(IF(D1901="Alchemy","L18",(IF(D1901="Spells","S09",""))))}</f>
        <v>SPELL/ALC L18</v>
      </c>
      <c r="Z1900" s="223" t="str">
        <f t="array" ref="Z1900:Z1901">{"SPELL/ALC L19";(IF(D1901="Alchemy","L19",(IF(D1901="Spells","S10",""))))}</f>
        <v>SPELL/ALC L19</v>
      </c>
      <c r="AA1900" s="223" t="str">
        <f t="array" ref="AA1900:AA1901">{"SPELL/ALC L20";(IF(D1901="Alchemy","L20",(IF(D1901="Spells","S10",""))))}</f>
        <v>SPELL/ALC L20</v>
      </c>
      <c r="AB1900" s="76"/>
      <c r="AC1900" s="76"/>
    </row>
    <row r="1901">
      <c r="A1901" s="48" t="s">
        <v>229</v>
      </c>
      <c r="B1901" s="48"/>
      <c r="C1901" s="48" t="s">
        <v>418</v>
      </c>
      <c r="D1901" s="48" t="s">
        <v>1901</v>
      </c>
      <c r="E1901" s="48" t="s">
        <v>1920</v>
      </c>
      <c r="F1901" s="278" t="s">
        <v>1903</v>
      </c>
      <c r="G1901" s="114" t="s">
        <v>653</v>
      </c>
      <c r="H1901" s="279" t="s">
        <v>1536</v>
      </c>
      <c r="I1901" s="28" t="s">
        <v>1536</v>
      </c>
      <c r="J1901" s="28" t="s">
        <v>1542</v>
      </c>
      <c r="K1901" s="28" t="s">
        <v>1542</v>
      </c>
      <c r="L1901" s="28" t="s">
        <v>1545</v>
      </c>
      <c r="M1901" s="28" t="s">
        <v>1545</v>
      </c>
      <c r="N1901" s="28" t="s">
        <v>1548</v>
      </c>
      <c r="O1901" s="28" t="s">
        <v>1548</v>
      </c>
      <c r="P1901" s="28" t="s">
        <v>1553</v>
      </c>
      <c r="Q1901" s="28" t="s">
        <v>1553</v>
      </c>
      <c r="R1901" s="28" t="s">
        <v>1556</v>
      </c>
      <c r="S1901" s="28" t="s">
        <v>1556</v>
      </c>
      <c r="T1901" s="28" t="s">
        <v>1559</v>
      </c>
      <c r="U1901" s="28" t="s">
        <v>1559</v>
      </c>
      <c r="V1901" s="28" t="s">
        <v>1562</v>
      </c>
      <c r="W1901" s="28" t="s">
        <v>1562</v>
      </c>
      <c r="X1901" s="28" t="s">
        <v>1565</v>
      </c>
      <c r="Y1901" s="28" t="s">
        <v>1565</v>
      </c>
      <c r="Z1901" s="28" t="s">
        <v>1568</v>
      </c>
      <c r="AA1901" s="28" t="s">
        <v>1568</v>
      </c>
      <c r="AB1901" s="5"/>
      <c r="AC1901" s="47"/>
    </row>
    <row r="1902" hidden="1">
      <c r="A1902" s="222" t="str">
        <f t="array" ref="A1902:A1903">{"FormulaRow40";(INDEX(CLASSLIST,A1823,1))}</f>
        <v>FormulaRow40</v>
      </c>
      <c r="B1902" s="77" t="s">
        <v>236</v>
      </c>
      <c r="C1902" s="222" t="str">
        <f t="array" ref="C1902:C1903">{"CLASSTYPE";((INDEX(ALLCLASSDATA,MATCH("ClassType",CLASSFEATUREHEADERS,0),MATCH($A1903,CLASSNAMEHEADERS,0))))}</f>
        <v>CLASSTYPE</v>
      </c>
      <c r="D1902" s="222" t="str">
        <f t="array" ref="D1902:D1903">{"SPELL/ALCHEMY";((IF(INDEX(ALLCLASSDATA,MATCH("CasterType",CLASSFEATUREHEADERS,0),MATCH(($A1903),CLASSNAMEHEADERS,0))="","",(IF(INDEX(ALLCLASSDATA,MATCH("CasterType",CLASSFEATUREHEADERS,0),MATCH(($A1903),CLASSNAMEHEADERS,0))="Alchemy","","Spells")))))}</f>
        <v>SPELL/ALCHEMY</v>
      </c>
      <c r="E1902" s="222" t="str">
        <f t="array" ref="E1902:E1903">{"SPELLLIST";(IF(D1903="Spells",((INDEX(ALLCLASSDATA,MATCH("CasterType",CLASSFEATUREHEADERS,0),MATCH(($A1903),CLASSNAMEHEADERS,0))) &amp; ":" &amp; (INDEX(ALLCLASSDATA,MATCH("SpellList",CLASSFEATUREHEADERS,0),MATCH(($A1903),CLASSNAMEHEADERS,0)))),""))}</f>
        <v>SPELLLIST</v>
      </c>
      <c r="F1902" s="222" t="str">
        <f t="array" ref="F1902:F1903">{"SLOTCOST";(IF(D1903="Spells","SlotCost:",""))}</f>
        <v>SLOTCOST</v>
      </c>
      <c r="G1902" s="222" t="str">
        <f t="array" ref="G1902:G1903">{"SLOTCOST CANTRIP";(INDEX(ALLCLASSDATA,MATCH("CantripSlots-L00",CLASSFEATUREHEADERS,0),MATCH(($A1903 &amp; "Points"),CLASSNAMEHEADERS,0)))}</f>
        <v>SLOTCOST CANTRIP</v>
      </c>
      <c r="H1902" s="222" t="str">
        <f t="array" ref="H1902:H1903">{"SLOTCOST L01";(INDEX(ALLCLASSDATA,MATCH("SPL01-L01",CLASSFEATUREHEADERS,0),MATCH(($A1903 &amp; "Points"),CLASSNAMEHEADERS,0)))}</f>
        <v>SLOTCOST L01</v>
      </c>
      <c r="I1902" s="222" t="str">
        <f t="array" ref="I1902:I1903">{"SLOTCOST L02";(INDEX(ALLCLASSDATA,MATCH("SPL01-L02",CLASSFEATUREHEADERS,0),MATCH(($A1903 &amp; "Points"),CLASSNAMEHEADERS,0)))}</f>
        <v>SLOTCOST L02</v>
      </c>
      <c r="J1902" s="222" t="str">
        <f t="array" ref="J1902:J1903">{"SLOTCOST L03";(INDEX(ALLCLASSDATA,MATCH("SPL02-L03",CLASSFEATUREHEADERS,0),MATCH(($A1903 &amp; "Points"),CLASSNAMEHEADERS,0)))}</f>
        <v>SLOTCOST L03</v>
      </c>
      <c r="K1902" s="222" t="str">
        <f t="array" ref="K1902:K1903">{"SLOTCOST L04";(INDEX(ALLCLASSDATA,MATCH("SPL02-L04",CLASSFEATUREHEADERS,0),MATCH(($A1903 &amp; "Points"),CLASSNAMEHEADERS,0)))}</f>
        <v>SLOTCOST L04</v>
      </c>
      <c r="L1902" s="222" t="str">
        <f t="array" ref="L1902:L1903">{"SLOTCOST L05";(INDEX(ALLCLASSDATA,MATCH("SPL03-L05",CLASSFEATUREHEADERS,0),MATCH(($A1903 &amp; "Points"),CLASSNAMEHEADERS,0)))}</f>
        <v>SLOTCOST L05</v>
      </c>
      <c r="M1902" s="222" t="str">
        <f t="array" ref="M1902:M1903">{"SLOTCOST L06";(INDEX(ALLCLASSDATA,MATCH("SPL03-L06",CLASSFEATUREHEADERS,0),MATCH(($A1903 &amp; "Points"),CLASSNAMEHEADERS,0)))}</f>
        <v>SLOTCOST L06</v>
      </c>
      <c r="N1902" s="222" t="str">
        <f t="array" ref="N1902:N1903">{"SLOTCOST L07";(INDEX(ALLCLASSDATA,MATCH("SPL04-L07",CLASSFEATUREHEADERS,0),MATCH(($A1903 &amp; "Points"),CLASSNAMEHEADERS,0)))}</f>
        <v>SLOTCOST L07</v>
      </c>
      <c r="O1902" s="222" t="str">
        <f t="array" ref="O1902:O1903">{"SLOTCOST L08";(INDEX(ALLCLASSDATA,MATCH("SPL04-L08",CLASSFEATUREHEADERS,0),MATCH(($A1903 &amp; "Points"),CLASSNAMEHEADERS,0)))}</f>
        <v>SLOTCOST L08</v>
      </c>
      <c r="P1902" s="222" t="str">
        <f t="array" ref="P1902:P1903">{"SLOTCOST L09";(INDEX(ALLCLASSDATA,MATCH("SPL05-L09",CLASSFEATUREHEADERS,0),MATCH(($A1903 &amp; "Points"),CLASSNAMEHEADERS,0)))}</f>
        <v>SLOTCOST L09</v>
      </c>
      <c r="Q1902" s="222" t="str">
        <f t="array" ref="Q1902:Q1903">{"SLOTCOST L10";(INDEX(ALLCLASSDATA,MATCH("SPL05-L10",CLASSFEATUREHEADERS,0),MATCH(($A1903 &amp; "Points"),CLASSNAMEHEADERS,0)))}</f>
        <v>SLOTCOST L10</v>
      </c>
      <c r="R1902" s="222" t="str">
        <f t="array" ref="R1902:R1903">{"SLOTCOST L11";(INDEX(ALLCLASSDATA,MATCH("SPL06-L11",CLASSFEATUREHEADERS,0),MATCH(($A1903 &amp; "Points"),CLASSNAMEHEADERS,0)))}</f>
        <v>SLOTCOST L11</v>
      </c>
      <c r="S1902" s="222" t="str">
        <f t="array" ref="S1902:S1903">{"SLOTCOST L12";(INDEX(ALLCLASSDATA,MATCH("SPL06-L12",CLASSFEATUREHEADERS,0),MATCH(($A1903 &amp; "Points"),CLASSNAMEHEADERS,0)))}</f>
        <v>SLOTCOST L12</v>
      </c>
      <c r="T1902" s="222" t="str">
        <f t="array" ref="T1902:T1903">{"SLOTCOST L13";(INDEX(ALLCLASSDATA,MATCH("SPL07-L13",CLASSFEATUREHEADERS,0),MATCH(($A1903 &amp; "Points"),CLASSNAMEHEADERS,0)))}</f>
        <v>SLOTCOST L13</v>
      </c>
      <c r="U1902" s="222" t="str">
        <f t="array" ref="U1902:U1903">{"SLOTCOST L14";(INDEX(ALLCLASSDATA,MATCH("SPL07-L14",CLASSFEATUREHEADERS,0),MATCH(($A1903 &amp; "Points"),CLASSNAMEHEADERS,0)))}</f>
        <v>SLOTCOST L14</v>
      </c>
      <c r="V1902" s="222" t="str">
        <f t="array" ref="V1902:V1903">{"SLOTCOST L15";(INDEX(ALLCLASSDATA,MATCH("SPL08-L15",CLASSFEATUREHEADERS,0),MATCH(($A1903 &amp; "Points"),CLASSNAMEHEADERS,0)))}</f>
        <v>SLOTCOST L15</v>
      </c>
      <c r="W1902" s="222" t="str">
        <f t="array" ref="W1902:W1903">{"SLOTCOST L16";(INDEX(ALLCLASSDATA,MATCH("SPL08-L16",CLASSFEATUREHEADERS,0),MATCH(($A1903 &amp; "Points"),CLASSNAMEHEADERS,0)))}</f>
        <v>SLOTCOST L16</v>
      </c>
      <c r="X1902" s="222" t="str">
        <f t="array" ref="X1902:X1903">{"SLOTCOST L17";(INDEX(ALLCLASSDATA,MATCH("SPL09-L17",CLASSFEATUREHEADERS,0),MATCH(($A1903 &amp; "Points"),CLASSNAMEHEADERS,0)))}</f>
        <v>SLOTCOST L17</v>
      </c>
      <c r="Y1902" s="222" t="str">
        <f t="array" ref="Y1902:Y1903">{"SLOTCOST L18";(INDEX(ALLCLASSDATA,MATCH("SPL09-L18",CLASSFEATUREHEADERS,0),MATCH(($A1903 &amp; "Points"),CLASSNAMEHEADERS,0)))}</f>
        <v>SLOTCOST L18</v>
      </c>
      <c r="Z1902" s="222" t="str">
        <f t="array" ref="Z1902:Z1903">{"SLOTCOST L19";(INDEX(ALLCLASSDATA,MATCH("SPL10-L19",CLASSFEATUREHEADERS,0),MATCH(($A1903 &amp; "Points"),CLASSNAMEHEADERS,0)))}</f>
        <v>SLOTCOST L19</v>
      </c>
      <c r="AA1902" s="222" t="str">
        <f t="array" ref="AA1902:AA1903">{"SLOTCOST L20";(INDEX(ALLCLASSDATA,MATCH("SPL10-L20",CLASSFEATUREHEADERS,0),MATCH(($A1903 &amp; "Points"),CLASSNAMEHEADERS,0)))}</f>
        <v>SLOTCOST L20</v>
      </c>
      <c r="AB1902" s="76"/>
      <c r="AC1902" s="76" t="str">
        <f t="array" ref="AC1902:AC1903">{"SLOT TOTAL";(sum(G1903:AA1903))}</f>
        <v>SLOT TOTAL</v>
      </c>
    </row>
    <row r="1903">
      <c r="A1903" s="48" t="s">
        <v>229</v>
      </c>
      <c r="B1903" s="48"/>
      <c r="C1903" s="48" t="s">
        <v>418</v>
      </c>
      <c r="D1903" s="48" t="s">
        <v>1901</v>
      </c>
      <c r="E1903" s="48" t="s">
        <v>1920</v>
      </c>
      <c r="F1903" s="278" t="s">
        <v>1904</v>
      </c>
      <c r="G1903" s="47">
        <v>0.0</v>
      </c>
      <c r="H1903" s="5">
        <v>30.0</v>
      </c>
      <c r="I1903" s="5">
        <v>10.0</v>
      </c>
      <c r="J1903" s="5">
        <v>30.0</v>
      </c>
      <c r="K1903" s="5">
        <v>10.0</v>
      </c>
      <c r="L1903" s="5">
        <v>30.0</v>
      </c>
      <c r="M1903" s="48">
        <v>10.0</v>
      </c>
      <c r="N1903" s="5">
        <v>30.0</v>
      </c>
      <c r="O1903" s="5">
        <v>10.0</v>
      </c>
      <c r="P1903" s="5">
        <v>30.0</v>
      </c>
      <c r="Q1903" s="5">
        <v>10.0</v>
      </c>
      <c r="R1903" s="5">
        <v>30.0</v>
      </c>
      <c r="S1903" s="5">
        <v>10.0</v>
      </c>
      <c r="T1903" s="5">
        <v>30.0</v>
      </c>
      <c r="U1903" s="5">
        <v>10.0</v>
      </c>
      <c r="V1903" s="5">
        <v>30.0</v>
      </c>
      <c r="W1903" s="5">
        <v>10.0</v>
      </c>
      <c r="X1903" s="5">
        <v>30.0</v>
      </c>
      <c r="Y1903" s="5">
        <v>10.0</v>
      </c>
      <c r="Z1903" s="5">
        <v>190.0</v>
      </c>
      <c r="AA1903" s="5" t="s">
        <v>603</v>
      </c>
      <c r="AB1903" s="5"/>
      <c r="AC1903" s="47">
        <v>550.0</v>
      </c>
    </row>
    <row r="1904" hidden="1">
      <c r="A1904" s="222" t="str">
        <f t="array" ref="A1904:A1905">{"FormulaRow41";(INDEX(CLASSLIST,A1823,1))}</f>
        <v>FormulaRow41</v>
      </c>
      <c r="B1904" s="77" t="s">
        <v>236</v>
      </c>
      <c r="C1904" s="222" t="str">
        <f t="array" ref="C1904:C1905">{"CLASSTYPE";((INDEX(ALLCLASSDATA,MATCH("ClassType",CLASSFEATUREHEADERS,0),MATCH($A1905,CLASSNAMEHEADERS,0))))}</f>
        <v>CLASSTYPE</v>
      </c>
      <c r="D1904" s="222" t="str">
        <f t="array" ref="D1904:D1905">{"SPELL/ALCHEMY";((IF(INDEX(ALLCLASSDATA,MATCH("CasterType",CLASSFEATUREHEADERS,0),MATCH(($A1905),CLASSNAMEHEADERS,0))="","",(IF(INDEX(ALLCLASSDATA,MATCH("CasterType",CLASSFEATUREHEADERS,0),MATCH(($A1905),CLASSNAMEHEADERS,0))="Alchemy","Alchemy","Spells")))))}</f>
        <v>SPELL/ALCHEMY</v>
      </c>
      <c r="E1904" s="222" t="str">
        <f t="array" ref="E1904:E1905">{"SPELLLIST";(IF(D1905="Spells",((INDEX(ALLCLASSDATA,MATCH("CasterType",CLASSFEATUREHEADERS,0),MATCH(($A1905),CLASSNAMEHEADERS,0))) &amp; ":" &amp; (INDEX(ALLCLASSDATA,MATCH("SpellList",CLASSFEATUREHEADERS,0),MATCH(($A1905),CLASSNAMEHEADERS,0)))),""))}</f>
        <v>SPELLLIST</v>
      </c>
      <c r="F1904" s="223" t="str">
        <f t="array" ref="F1904:F1905">{"LEARNEDCOST";(IF(D1905="","","LearnCost:"))}</f>
        <v>LEARNEDCOST</v>
      </c>
      <c r="G1904" s="223" t="str">
        <f t="array" ref="G1904:G1905">{"LEARNED CANTRIPS";(INDEX(ALLCLASSDATA,MATCH("CantripsLearned-L00",CLASSFEATUREHEADERS,0),MATCH(($A1905 &amp; "Points"),CLASSNAMEHEADERS,0)))}</f>
        <v>LEARNED CANTRIPS</v>
      </c>
      <c r="H1904" s="223" t="str">
        <f t="array" ref="H1904:H1905">{"LEARNED L01";(INDEX(ALLCLASSDATA,MATCH("Learned-L01",CLASSFEATUREHEADERS,0),MATCH(($A1905 &amp; "Points"),CLASSNAMEHEADERS,0)))}</f>
        <v>LEARNED L01</v>
      </c>
      <c r="I1904" s="223" t="str">
        <f t="array" ref="I1904:I1905">{"LEARNED L02";(INDEX(ALLCLASSDATA,MATCH("Learned-L02",CLASSFEATUREHEADERS,0),MATCH(($A1905 &amp; "Points"),CLASSNAMEHEADERS,0)))}</f>
        <v>LEARNED L02</v>
      </c>
      <c r="J1904" s="223" t="str">
        <f t="array" ref="J1904:J1905">{"LEARNED L03";(INDEX(ALLCLASSDATA,MATCH("Learned-L03",CLASSFEATUREHEADERS,0),MATCH(($A1905 &amp; "Points"),CLASSNAMEHEADERS,0)))}</f>
        <v>LEARNED L03</v>
      </c>
      <c r="K1904" s="223" t="str">
        <f t="array" ref="K1904:K1905">{"LEARNED L04";(INDEX(ALLCLASSDATA,MATCH("Learned-L04",CLASSFEATUREHEADERS,0),MATCH(($A1905 &amp; "Points"),CLASSNAMEHEADERS,0)))}</f>
        <v>LEARNED L04</v>
      </c>
      <c r="L1904" s="223" t="str">
        <f t="array" ref="L1904:L1905">{"LEARNED L05";(INDEX(ALLCLASSDATA,MATCH("Learned-L05",CLASSFEATUREHEADERS,0),MATCH(($A1905 &amp; "Points"),CLASSNAMEHEADERS,0)))}</f>
        <v>LEARNED L05</v>
      </c>
      <c r="M1904" s="223" t="str">
        <f t="array" ref="M1904:M1905">{"LEARNED L06";(INDEX(ALLCLASSDATA,MATCH("Learned-L06",CLASSFEATUREHEADERS,0),MATCH(($A1905 &amp; "Points"),CLASSNAMEHEADERS,0)))}</f>
        <v>LEARNED L06</v>
      </c>
      <c r="N1904" s="223" t="str">
        <f t="array" ref="N1904:N1905">{"LEARNED L07";(INDEX(ALLCLASSDATA,MATCH("Learned-L07",CLASSFEATUREHEADERS,0),MATCH(($A1905 &amp; "Points"),CLASSNAMEHEADERS,0)))}</f>
        <v>LEARNED L07</v>
      </c>
      <c r="O1904" s="223" t="str">
        <f t="array" ref="O1904:O1905">{"LEARNED L08";(INDEX(ALLCLASSDATA,MATCH("Learned-L08",CLASSFEATUREHEADERS,0),MATCH(($A1905 &amp; "Points"),CLASSNAMEHEADERS,0)))}</f>
        <v>LEARNED L08</v>
      </c>
      <c r="P1904" s="223" t="str">
        <f t="array" ref="P1904:P1905">{"LEARNED L09";(INDEX(ALLCLASSDATA,MATCH("Learned-L09",CLASSFEATUREHEADERS,0),MATCH(($A1905 &amp; "Points"),CLASSNAMEHEADERS,0)))}</f>
        <v>LEARNED L09</v>
      </c>
      <c r="Q1904" s="223" t="str">
        <f t="array" ref="Q1904:Q1905">{"LEARNED L10";(INDEX(ALLCLASSDATA,MATCH("Learned-L10",CLASSFEATUREHEADERS,0),MATCH(($A1905 &amp; "Points"),CLASSNAMEHEADERS,0)))}</f>
        <v>LEARNED L10</v>
      </c>
      <c r="R1904" s="223" t="str">
        <f t="array" ref="R1904:R1905">{"LEARNED L11";(INDEX(ALLCLASSDATA,MATCH("Learned-L11",CLASSFEATUREHEADERS,0),MATCH(($A1905 &amp; "Points"),CLASSNAMEHEADERS,0)))}</f>
        <v>LEARNED L11</v>
      </c>
      <c r="S1904" s="223" t="str">
        <f t="array" ref="S1904:S1905">{"LEARNED L12";(INDEX(ALLCLASSDATA,MATCH("Learned-L12",CLASSFEATUREHEADERS,0),MATCH(($A1905 &amp; "Points"),CLASSNAMEHEADERS,0)))}</f>
        <v>LEARNED L12</v>
      </c>
      <c r="T1904" s="223" t="str">
        <f t="array" ref="T1904:T1905">{"LEARNED L13";(INDEX(ALLCLASSDATA,MATCH("Learned-L13",CLASSFEATUREHEADERS,0),MATCH(($A1905 &amp; "Points"),CLASSNAMEHEADERS,0)))}</f>
        <v>LEARNED L13</v>
      </c>
      <c r="U1904" s="223" t="str">
        <f t="array" ref="U1904:U1905">{"LEARNED L14";(INDEX(ALLCLASSDATA,MATCH("Learned-L14",CLASSFEATUREHEADERS,0),MATCH(($A1905 &amp; "Points"),CLASSNAMEHEADERS,0)))}</f>
        <v>LEARNED L14</v>
      </c>
      <c r="V1904" s="223" t="str">
        <f t="array" ref="V1904:V1905">{"LEARNED L15";(INDEX(ALLCLASSDATA,MATCH("Learned-L15",CLASSFEATUREHEADERS,0),MATCH(($A1905 &amp; "Points"),CLASSNAMEHEADERS,0)))}</f>
        <v>LEARNED L15</v>
      </c>
      <c r="W1904" s="223" t="str">
        <f t="array" ref="W1904:W1905">{"LEARNED L16";(INDEX(ALLCLASSDATA,MATCH("Learned-L16",CLASSFEATUREHEADERS,0),MATCH(($A1905 &amp; "Points"),CLASSNAMEHEADERS,0)))}</f>
        <v>LEARNED L16</v>
      </c>
      <c r="X1904" s="223" t="str">
        <f t="array" ref="X1904:X1905">{"LEARNED L17";(INDEX(ALLCLASSDATA,MATCH("Learned-L17",CLASSFEATUREHEADERS,0),MATCH(($A1905 &amp; "Points"),CLASSNAMEHEADERS,0)))}</f>
        <v>LEARNED L17</v>
      </c>
      <c r="Y1904" s="223" t="str">
        <f t="array" ref="Y1904:Y1905">{"LEARNED L18";(INDEX(ALLCLASSDATA,MATCH("Learned-L18",CLASSFEATUREHEADERS,0),MATCH(($A1905 &amp; "Points"),CLASSNAMEHEADERS,0)))}</f>
        <v>LEARNED L18</v>
      </c>
      <c r="Z1904" s="223" t="str">
        <f t="array" ref="Z1904:Z1905">{"LEARNED L19";(INDEX(ALLCLASSDATA,MATCH("Learned-L19",CLASSFEATUREHEADERS,0),MATCH(($A1905 &amp; "Points"),CLASSNAMEHEADERS,0)))}</f>
        <v>LEARNED L19</v>
      </c>
      <c r="AA1904" s="223" t="str">
        <f t="array" ref="AA1904:AA1905">{"LEARNED L20";(INDEX(ALLCLASSDATA,MATCH("Learned-L20",CLASSFEATUREHEADERS,0),MATCH(($A1905 &amp; "Points"),CLASSNAMEHEADERS,0)))}</f>
        <v>LEARNED L20</v>
      </c>
      <c r="AB1904" s="76"/>
      <c r="AC1904" s="76" t="str">
        <f t="array" ref="AC1904:AC1905">{"LEARNED TOTAL";(sum(G1905:AA1905))}</f>
        <v>LEARNED TOTAL</v>
      </c>
    </row>
    <row r="1905">
      <c r="A1905" s="48" t="s">
        <v>229</v>
      </c>
      <c r="B1905" s="48"/>
      <c r="C1905" s="48" t="s">
        <v>418</v>
      </c>
      <c r="D1905" s="48" t="s">
        <v>1901</v>
      </c>
      <c r="E1905" s="48" t="s">
        <v>1920</v>
      </c>
      <c r="F1905" s="278" t="s">
        <v>1906</v>
      </c>
      <c r="G1905" s="47">
        <v>25.0</v>
      </c>
      <c r="H1905" s="5">
        <v>60.0</v>
      </c>
      <c r="I1905" s="5">
        <v>20.0</v>
      </c>
      <c r="J1905" s="5">
        <v>20.0</v>
      </c>
      <c r="K1905" s="5">
        <v>20.0</v>
      </c>
      <c r="L1905" s="5">
        <v>20.0</v>
      </c>
      <c r="M1905" s="5">
        <v>20.0</v>
      </c>
      <c r="N1905" s="48">
        <v>20.0</v>
      </c>
      <c r="O1905" s="5">
        <v>20.0</v>
      </c>
      <c r="P1905" s="5">
        <v>20.0</v>
      </c>
      <c r="Q1905" s="5">
        <v>20.0</v>
      </c>
      <c r="R1905" s="5">
        <v>20.0</v>
      </c>
      <c r="S1905" s="5">
        <v>20.0</v>
      </c>
      <c r="T1905" s="5">
        <v>20.0</v>
      </c>
      <c r="U1905" s="5">
        <v>20.0</v>
      </c>
      <c r="V1905" s="5">
        <v>20.0</v>
      </c>
      <c r="W1905" s="5">
        <v>20.0</v>
      </c>
      <c r="X1905" s="5">
        <v>20.0</v>
      </c>
      <c r="Y1905" s="5">
        <v>20.0</v>
      </c>
      <c r="Z1905" s="5">
        <v>20.0</v>
      </c>
      <c r="AA1905" s="5">
        <v>20.0</v>
      </c>
      <c r="AB1905" s="5"/>
      <c r="AC1905" s="47">
        <v>465.0</v>
      </c>
    </row>
    <row r="1906" hidden="1">
      <c r="A1906" s="222" t="str">
        <f t="array" ref="A1906:A1907">{"FormulaRow42";(INDEX(CLASSLIST,A1823,1))}</f>
        <v>FormulaRow42</v>
      </c>
      <c r="B1906" s="77" t="s">
        <v>236</v>
      </c>
      <c r="C1906" s="222" t="str">
        <f t="array" ref="C1906:C1907">{"CLASSTYPE";((INDEX(ALLCLASSDATA,MATCH("ClassType",CLASSFEATUREHEADERS,0),MATCH($A1907,CLASSNAMEHEADERS,0))))}</f>
        <v>CLASSTYPE</v>
      </c>
      <c r="D1906" s="222" t="str">
        <f t="array" ref="D1906:D1907">{"SPELL/ALCHEMY";((IF(INDEX(ALLCLASSDATA,MATCH("CasterType",CLASSFEATUREHEADERS,0),MATCH(($A1907),CLASSNAMEHEADERS,0))="","",(IF(INDEX(ALLCLASSDATA,MATCH("CasterType",CLASSFEATUREHEADERS,0),MATCH(($A1907),CLASSNAMEHEADERS,0))="Alchemy","","Spells")))))}</f>
        <v>SPELL/ALCHEMY</v>
      </c>
      <c r="E1906" s="222" t="str">
        <f t="array" ref="E1906:E1907">{"SPELLLIST";(IF(D1907="Spells",((INDEX(ALLCLASSDATA,MATCH("CasterType",CLASSFEATUREHEADERS,0),MATCH(($A1907),CLASSNAMEHEADERS,0))) &amp; ":" &amp; (INDEX(ALLCLASSDATA,MATCH("SpellList",CLASSFEATUREHEADERS,0),MATCH(($A1907),CLASSNAMEHEADERS,0)))),""))}</f>
        <v>SPELLLIST</v>
      </c>
      <c r="F1906" s="223" t="str">
        <f t="array" ref="F1906:F1907">{"SLOT/LVL";(IF(D1901="Spells","Slot/LVL:",""))}</f>
        <v>SLOT/LVL</v>
      </c>
      <c r="G1906" s="223" t="str">
        <f t="array" ref="G1906:G1907">{"CANTRIPSLOTS";(INDEX(ALLCLASSDATA,MATCH("CantripSlots-L00",CLASSFEATUREHEADERS,0),MATCH($A1907,CLASSNAMEHEADERS,0)))}</f>
        <v>CANTRIPSLOTS</v>
      </c>
      <c r="H1906" s="223" t="str">
        <f t="array" ref="H1906:H1907">{"SPL01-L01";(INDEX(ALLCLASSDATA,MATCH("SPL01-L01",CLASSFEATUREHEADERS,0),MATCH($A1907,CLASSNAMEHEADERS,0)))}</f>
        <v>SPL01-L01</v>
      </c>
      <c r="I1906" s="223" t="str">
        <f t="array" ref="I1906:I1907">{"SPL01-L02";(INDEX(ALLCLASSDATA,MATCH("SPL01-L02",CLASSFEATUREHEADERS,0),MATCH($A1907,CLASSNAMEHEADERS,0)))}</f>
        <v>SPL01-L02</v>
      </c>
      <c r="J1906" s="223" t="str">
        <f t="array" ref="J1906:J1907">{"SPL02-L03";(INDEX(ALLCLASSDATA,MATCH("SPL02-L03",CLASSFEATUREHEADERS,0),MATCH($A1907,CLASSNAMEHEADERS,0)))}</f>
        <v>SPL02-L03</v>
      </c>
      <c r="K1906" s="223" t="str">
        <f t="array" ref="K1906:K1907">{"SPL02-L04";(INDEX(ALLCLASSDATA,MATCH("SPL02-L04",CLASSFEATUREHEADERS,0),MATCH($A1907,CLASSNAMEHEADERS,0)))}</f>
        <v>SPL02-L04</v>
      </c>
      <c r="L1906" s="223" t="str">
        <f t="array" ref="L1906:L1907">{"SPL03-L05";(INDEX(ALLCLASSDATA,MATCH("SPL03-L05",CLASSFEATUREHEADERS,0),MATCH($A1907,CLASSNAMEHEADERS,0)))}</f>
        <v>SPL03-L05</v>
      </c>
      <c r="M1906" s="223" t="str">
        <f t="array" ref="M1906:M1907">{"SPL03-L06";(INDEX(ALLCLASSDATA,MATCH("SPL03-L06",CLASSFEATUREHEADERS,0),MATCH($A1907,CLASSNAMEHEADERS,0)))}</f>
        <v>SPL03-L06</v>
      </c>
      <c r="N1906" s="223" t="str">
        <f t="array" ref="N1906:N1907">{"SPL04-L07";(INDEX(ALLCLASSDATA,MATCH("SPL04-L07",CLASSFEATUREHEADERS,0),MATCH($A1907,CLASSNAMEHEADERS,0)))}</f>
        <v>SPL04-L07</v>
      </c>
      <c r="O1906" s="223" t="str">
        <f t="array" ref="O1906:O1907">{"SPL04-L08";(INDEX(ALLCLASSDATA,MATCH("SPL04-L08",CLASSFEATUREHEADERS,0),MATCH($A1907,CLASSNAMEHEADERS,0)))}</f>
        <v>SPL04-L08</v>
      </c>
      <c r="P1906" s="223" t="str">
        <f t="array" ref="P1906:P1907">{"SPL05-L09";(INDEX(ALLCLASSDATA,MATCH("SPL05-L09",CLASSFEATUREHEADERS,0),MATCH($A1907,CLASSNAMEHEADERS,0)))}</f>
        <v>SPL05-L09</v>
      </c>
      <c r="Q1906" s="223" t="str">
        <f t="array" ref="Q1906:Q1907">{"SPL05-L10";(INDEX(ALLCLASSDATA,MATCH("SPL05-L10",CLASSFEATUREHEADERS,0),MATCH($A1907,CLASSNAMEHEADERS,0)))}</f>
        <v>SPL05-L10</v>
      </c>
      <c r="R1906" s="223" t="str">
        <f t="array" ref="R1906:R1907">{"SPL06-L11";(INDEX(ALLCLASSDATA,MATCH("SPL06-L11",CLASSFEATUREHEADERS,0),MATCH($A1907,CLASSNAMEHEADERS,0)))}</f>
        <v>SPL06-L11</v>
      </c>
      <c r="S1906" s="223" t="str">
        <f t="array" ref="S1906:S1907">{"SPL06-L12";(INDEX(ALLCLASSDATA,MATCH("SPL06-L12",CLASSFEATUREHEADERS,0),MATCH($A1907,CLASSNAMEHEADERS,0)))}</f>
        <v>SPL06-L12</v>
      </c>
      <c r="T1906" s="223" t="str">
        <f t="array" ref="T1906:T1907">{"SPL07-L13";(INDEX(ALLCLASSDATA,MATCH("SPL07-L13",CLASSFEATUREHEADERS,0),MATCH($A1907,CLASSNAMEHEADERS,0)))}</f>
        <v>SPL07-L13</v>
      </c>
      <c r="U1906" s="223" t="str">
        <f t="array" ref="U1906:U1907">{"SPL07-L14";(INDEX(ALLCLASSDATA,MATCH("SPL07-L14",CLASSFEATUREHEADERS,0),MATCH($A1907,CLASSNAMEHEADERS,0)))}</f>
        <v>SPL07-L14</v>
      </c>
      <c r="V1906" s="223" t="str">
        <f t="array" ref="V1906:V1907">{"SPL08-L15";(INDEX(ALLCLASSDATA,MATCH("SPL08-L15",CLASSFEATUREHEADERS,0),MATCH($A1907,CLASSNAMEHEADERS,0)))}</f>
        <v>SPL08-L15</v>
      </c>
      <c r="W1906" s="223" t="str">
        <f t="array" ref="W1906:W1907">{"SPL08-L16";(INDEX(ALLCLASSDATA,MATCH("SPL08-L16",CLASSFEATUREHEADERS,0),MATCH($A1907,CLASSNAMEHEADERS,0)))}</f>
        <v>SPL08-L16</v>
      </c>
      <c r="X1906" s="223" t="str">
        <f t="array" ref="X1906:X1907">{"SPL09-L17";(INDEX(ALLCLASSDATA,MATCH("SPL09-L17",CLASSFEATUREHEADERS,0),MATCH($A1907,CLASSNAMEHEADERS,0)))}</f>
        <v>SPL09-L17</v>
      </c>
      <c r="Y1906" s="223" t="str">
        <f t="array" ref="Y1906:Y1907">{"SPL09-L18";(INDEX(ALLCLASSDATA,MATCH("SPL09-L18",CLASSFEATUREHEADERS,0),MATCH($A1907,CLASSNAMEHEADERS,0)))}</f>
        <v>SPL09-L18</v>
      </c>
      <c r="Z1906" s="223" t="str">
        <f t="array" ref="Z1906:Z1907">{"SPL10-L19";(INDEX(ALLCLASSDATA,MATCH("SPL10-L19",CLASSFEATUREHEADERS,0),MATCH($A1907,CLASSNAMEHEADERS,0)))}</f>
        <v>SPL10-L19</v>
      </c>
      <c r="AA1906" s="223" t="str">
        <f t="array" ref="AA1906:AA1907">{"SPL10-L20";(INDEX(ALLCLASSDATA,MATCH("SPL10-L20",CLASSFEATUREHEADERS,0),MATCH($A1907,CLASSNAMEHEADERS,0)))}</f>
        <v>SPL10-L20</v>
      </c>
      <c r="AB1906" s="76"/>
      <c r="AC1906" s="76"/>
    </row>
    <row r="1907">
      <c r="A1907" s="48" t="s">
        <v>229</v>
      </c>
      <c r="B1907" s="48"/>
      <c r="C1907" s="48" t="s">
        <v>418</v>
      </c>
      <c r="D1907" s="48" t="s">
        <v>1901</v>
      </c>
      <c r="E1907" s="48" t="s">
        <v>1920</v>
      </c>
      <c r="F1907" s="278" t="s">
        <v>1907</v>
      </c>
      <c r="G1907" s="280" t="s">
        <v>1530</v>
      </c>
      <c r="H1907" s="50" t="s">
        <v>1539</v>
      </c>
      <c r="I1907" s="50" t="s">
        <v>1537</v>
      </c>
      <c r="J1907" s="50" t="s">
        <v>1539</v>
      </c>
      <c r="K1907" s="50" t="s">
        <v>1537</v>
      </c>
      <c r="L1907" s="50" t="s">
        <v>1539</v>
      </c>
      <c r="M1907" s="50" t="s">
        <v>1537</v>
      </c>
      <c r="N1907" s="50" t="s">
        <v>1539</v>
      </c>
      <c r="O1907" s="50" t="s">
        <v>1537</v>
      </c>
      <c r="P1907" s="50" t="s">
        <v>1539</v>
      </c>
      <c r="Q1907" s="50" t="s">
        <v>1537</v>
      </c>
      <c r="R1907" s="50" t="s">
        <v>1539</v>
      </c>
      <c r="S1907" s="50" t="s">
        <v>1537</v>
      </c>
      <c r="T1907" s="50" t="s">
        <v>1539</v>
      </c>
      <c r="U1907" s="50" t="s">
        <v>1537</v>
      </c>
      <c r="V1907" s="50" t="s">
        <v>1539</v>
      </c>
      <c r="W1907" s="50" t="s">
        <v>1537</v>
      </c>
      <c r="X1907" s="50" t="s">
        <v>1539</v>
      </c>
      <c r="Y1907" s="50" t="s">
        <v>1537</v>
      </c>
      <c r="Z1907" s="50" t="s">
        <v>1537</v>
      </c>
      <c r="AA1907" s="50"/>
      <c r="AB1907" s="278"/>
      <c r="AC1907" s="47"/>
    </row>
    <row r="1908" hidden="1">
      <c r="A1908" s="222" t="str">
        <f t="array" ref="A1908:A1909">{"FormulaRow43";(INDEX(CLASSLIST,A1823,1))}</f>
        <v>FormulaRow43</v>
      </c>
      <c r="B1908" s="77" t="s">
        <v>236</v>
      </c>
      <c r="C1908" s="222" t="str">
        <f t="array" ref="C1908:C1909">{"CLASSTYPE";((INDEX(ALLCLASSDATA,MATCH("ClassType",CLASSFEATUREHEADERS,0),MATCH($A1909,CLASSNAMEHEADERS,0))))}</f>
        <v>CLASSTYPE</v>
      </c>
      <c r="D1908" s="222" t="str">
        <f t="array" ref="D1908:D1909">{"SPELL/ALCHEMY";((IF(INDEX(ALLCLASSDATA,MATCH("CasterType",CLASSFEATUREHEADERS,0),MATCH(($A1909),CLASSNAMEHEADERS,0))="","",(IF(INDEX(ALLCLASSDATA,MATCH("CasterType",CLASSFEATUREHEADERS,0),MATCH(($A1909),CLASSNAMEHEADERS,0))="Alchemy","Alchemy","Spells")))))}</f>
        <v>SPELL/ALCHEMY</v>
      </c>
      <c r="E1908" s="222" t="str">
        <f t="array" ref="E1908:E1909">{"SPELLLIST";(IF(D1909="Spells",((INDEX(ALLCLASSDATA,MATCH("CasterType",CLASSFEATUREHEADERS,0),MATCH(($A1909),CLASSNAMEHEADERS,0))) &amp; ":" &amp; (INDEX(ALLCLASSDATA,MATCH("SpellList",CLASSFEATUREHEADERS,0),MATCH(($A1909),CLASSNAMEHEADERS,0)))),""))}</f>
        <v>SPELLLIST</v>
      </c>
      <c r="F1908" s="223" t="str">
        <f t="array" ref="F1908:F1909">{"LEARNED/LVL";(IF(D1909="","","Learn/LVL:"))}</f>
        <v>LEARNED/LVL</v>
      </c>
      <c r="G1908" s="223" t="str">
        <f t="array" ref="G1908:G1909">{"LEARNEDCANTRIPS";(INDEX(ALLCLASSDATA,MATCH("CantripsLearned-L00",CLASSFEATUREHEADERS,0),MATCH($A1909,CLASSNAMEHEADERS,0)))}</f>
        <v>LEARNEDCANTRIPS</v>
      </c>
      <c r="H1908" s="223" t="str">
        <f t="array" ref="H1908:H1909">{"LEARNED L01";(INDEX(ALLCLASSDATA,MATCH("Learned-L01",CLASSFEATUREHEADERS,0),MATCH($A1909,CLASSNAMEHEADERS,0)))}</f>
        <v>LEARNED L01</v>
      </c>
      <c r="I1908" s="223" t="str">
        <f t="array" ref="I1908:I1909">{"LEARNED L02";(INDEX(ALLCLASSDATA,MATCH("Learned-L02",CLASSFEATUREHEADERS,0),MATCH($A1909,CLASSNAMEHEADERS,0)))}</f>
        <v>LEARNED L02</v>
      </c>
      <c r="J1908" s="223" t="str">
        <f t="array" ref="J1908:J1909">{"LEARNED L03";(INDEX(ALLCLASSDATA,MATCH("Learned-L03",CLASSFEATUREHEADERS,0),MATCH($A1909,CLASSNAMEHEADERS,0)))}</f>
        <v>LEARNED L03</v>
      </c>
      <c r="K1908" s="223" t="str">
        <f t="array" ref="K1908:K1909">{"LEARNED L04";(INDEX(ALLCLASSDATA,MATCH("Learned-L04",CLASSFEATUREHEADERS,0),MATCH($A1909,CLASSNAMEHEADERS,0)))}</f>
        <v>LEARNED L04</v>
      </c>
      <c r="L1908" s="223" t="str">
        <f t="array" ref="L1908:L1909">{"LEARNED L05";(INDEX(ALLCLASSDATA,MATCH("Learned-L05",CLASSFEATUREHEADERS,0),MATCH($A1909,CLASSNAMEHEADERS,0)))}</f>
        <v>LEARNED L05</v>
      </c>
      <c r="M1908" s="223" t="str">
        <f t="array" ref="M1908:M1909">{"LEARNED L06";(INDEX(ALLCLASSDATA,MATCH("Learned-L06",CLASSFEATUREHEADERS,0),MATCH($A1909,CLASSNAMEHEADERS,0)))}</f>
        <v>LEARNED L06</v>
      </c>
      <c r="N1908" s="223" t="str">
        <f t="array" ref="N1908:N1909">{"LEARNED L07";(INDEX(ALLCLASSDATA,MATCH("Learned-L07",CLASSFEATUREHEADERS,0),MATCH($A1909,CLASSNAMEHEADERS,0)))}</f>
        <v>LEARNED L07</v>
      </c>
      <c r="O1908" s="223" t="str">
        <f t="array" ref="O1908:O1909">{"LEARNED L08";(INDEX(ALLCLASSDATA,MATCH("Learned-L08",CLASSFEATUREHEADERS,0),MATCH($A1909,CLASSNAMEHEADERS,0)))}</f>
        <v>LEARNED L08</v>
      </c>
      <c r="P1908" s="223" t="str">
        <f t="array" ref="P1908:P1909">{"LEARNED L09";(INDEX(ALLCLASSDATA,MATCH("Learned-L09",CLASSFEATUREHEADERS,0),MATCH($A1909,CLASSNAMEHEADERS,0)))}</f>
        <v>LEARNED L09</v>
      </c>
      <c r="Q1908" s="223" t="str">
        <f t="array" ref="Q1908:Q1909">{"LEARNED L10";(INDEX(ALLCLASSDATA,MATCH("Learned-L10",CLASSFEATUREHEADERS,0),MATCH($A1909,CLASSNAMEHEADERS,0)))}</f>
        <v>LEARNED L10</v>
      </c>
      <c r="R1908" s="223" t="str">
        <f t="array" ref="R1908:R1909">{"LEARNED L11";(INDEX(ALLCLASSDATA,MATCH("Learned-L11",CLASSFEATUREHEADERS,0),MATCH($A1909,CLASSNAMEHEADERS,0)))}</f>
        <v>LEARNED L11</v>
      </c>
      <c r="S1908" s="223" t="str">
        <f t="array" ref="S1908:S1909">{"LEARNED L12";(INDEX(ALLCLASSDATA,MATCH("Learned-L12",CLASSFEATUREHEADERS,0),MATCH($A1909,CLASSNAMEHEADERS,0)))}</f>
        <v>LEARNED L12</v>
      </c>
      <c r="T1908" s="223" t="str">
        <f t="array" ref="T1908:T1909">{"LEARNED L13";(INDEX(ALLCLASSDATA,MATCH("Learned-L13",CLASSFEATUREHEADERS,0),MATCH($A1909,CLASSNAMEHEADERS,0)))}</f>
        <v>LEARNED L13</v>
      </c>
      <c r="U1908" s="223" t="str">
        <f t="array" ref="U1908:U1909">{"LEARNED L14";(INDEX(ALLCLASSDATA,MATCH("Learned-L14",CLASSFEATUREHEADERS,0),MATCH($A1909,CLASSNAMEHEADERS,0)))}</f>
        <v>LEARNED L14</v>
      </c>
      <c r="V1908" s="223" t="str">
        <f t="array" ref="V1908:V1909">{"LEARNED L15";(INDEX(ALLCLASSDATA,MATCH("Learned-L15",CLASSFEATUREHEADERS,0),MATCH($A1909,CLASSNAMEHEADERS,0)))}</f>
        <v>LEARNED L15</v>
      </c>
      <c r="W1908" s="223" t="str">
        <f t="array" ref="W1908:W1909">{"LEARNED L16";(INDEX(ALLCLASSDATA,MATCH("Learned-L16",CLASSFEATUREHEADERS,0),MATCH($A1909,CLASSNAMEHEADERS,0)))}</f>
        <v>LEARNED L16</v>
      </c>
      <c r="X1908" s="223" t="str">
        <f t="array" ref="X1908:X1909">{"LEARNED L17";(INDEX(ALLCLASSDATA,MATCH("Learned-L17",CLASSFEATUREHEADERS,0),MATCH($A1909,CLASSNAMEHEADERS,0)))}</f>
        <v>LEARNED L17</v>
      </c>
      <c r="Y1908" s="223" t="str">
        <f t="array" ref="Y1908:Y1909">{"LEARNED L18";(INDEX(ALLCLASSDATA,MATCH("Learned-L18",CLASSFEATUREHEADERS,0),MATCH($A1909,CLASSNAMEHEADERS,0)))}</f>
        <v>LEARNED L18</v>
      </c>
      <c r="Z1908" s="223" t="str">
        <f t="array" ref="Z1908:Z1909">{"LEARNED L19";(INDEX(ALLCLASSDATA,MATCH("Learned-L19",CLASSFEATUREHEADERS,0),MATCH($A1909,CLASSNAMEHEADERS,0)))}</f>
        <v>LEARNED L19</v>
      </c>
      <c r="AA1908" s="223" t="str">
        <f t="array" ref="AA1908:AA1909">{"LEARNED L20";(INDEX(ALLCLASSDATA,MATCH("Learned-L20",CLASSFEATUREHEADERS,0),MATCH($A1909,CLASSNAMEHEADERS,0)))}</f>
        <v>LEARNED L20</v>
      </c>
      <c r="AB1908" s="76"/>
      <c r="AC1908" s="76"/>
    </row>
    <row r="1909">
      <c r="A1909" s="48" t="s">
        <v>229</v>
      </c>
      <c r="B1909" s="48"/>
      <c r="C1909" s="48" t="s">
        <v>418</v>
      </c>
      <c r="D1909" s="48" t="s">
        <v>1901</v>
      </c>
      <c r="E1909" s="48" t="s">
        <v>1920</v>
      </c>
      <c r="F1909" s="278" t="s">
        <v>1909</v>
      </c>
      <c r="G1909" s="280" t="s">
        <v>158</v>
      </c>
      <c r="H1909" s="278" t="s">
        <v>1533</v>
      </c>
      <c r="I1909" s="278" t="s">
        <v>1538</v>
      </c>
      <c r="J1909" s="278" t="s">
        <v>1538</v>
      </c>
      <c r="K1909" s="278" t="s">
        <v>1538</v>
      </c>
      <c r="L1909" s="278" t="s">
        <v>1538</v>
      </c>
      <c r="M1909" s="278" t="s">
        <v>1538</v>
      </c>
      <c r="N1909" s="278" t="s">
        <v>1538</v>
      </c>
      <c r="O1909" s="50" t="s">
        <v>1538</v>
      </c>
      <c r="P1909" s="278" t="s">
        <v>1538</v>
      </c>
      <c r="Q1909" s="278" t="s">
        <v>1538</v>
      </c>
      <c r="R1909" s="278" t="s">
        <v>1538</v>
      </c>
      <c r="S1909" s="278" t="s">
        <v>1538</v>
      </c>
      <c r="T1909" s="278" t="s">
        <v>1538</v>
      </c>
      <c r="U1909" s="278" t="s">
        <v>1538</v>
      </c>
      <c r="V1909" s="278" t="s">
        <v>1538</v>
      </c>
      <c r="W1909" s="278" t="s">
        <v>1538</v>
      </c>
      <c r="X1909" s="278" t="s">
        <v>1538</v>
      </c>
      <c r="Y1909" s="278" t="s">
        <v>1538</v>
      </c>
      <c r="Z1909" s="278" t="s">
        <v>1538</v>
      </c>
      <c r="AA1909" s="278" t="s">
        <v>1538</v>
      </c>
      <c r="AB1909" s="278"/>
      <c r="AC1909" s="47"/>
    </row>
    <row r="1910" hidden="1">
      <c r="A1910" s="222" t="str">
        <f t="array" ref="A1910:A1911">{"FormulaRow44";(INDEX(CLASSLIST,A1823,1))}</f>
        <v>FormulaRow44</v>
      </c>
      <c r="B1910" s="77" t="s">
        <v>236</v>
      </c>
      <c r="C1910" s="222" t="str">
        <f t="array" ref="C1910:C1911">{"CLASSTYPE";((INDEX(ALLCLASSDATA,MATCH("ClassType",CLASSFEATUREHEADERS,0),MATCH($A1911,CLASSNAMEHEADERS,0))))}</f>
        <v>CLASSTYPE</v>
      </c>
      <c r="D1910" s="222" t="str">
        <f t="array" ref="D1910:D1911">{"SPELL/ALCHEMY";((IF(INDEX(ALLCLASSDATA,MATCH("CasterType",CLASSFEATUREHEADERS,0),MATCH(($A1911),CLASSNAMEHEADERS,0))="","",(IF(INDEX(ALLCLASSDATA,MATCH("CasterType",CLASSFEATUREHEADERS,0),MATCH(($A1911),CLASSNAMEHEADERS,0))="Alchemy","","Spells")))))}</f>
        <v>SPELL/ALCHEMY</v>
      </c>
      <c r="E1910" s="222" t="str">
        <f t="array" ref="E1910:E1911">{"SPELLLIST";(IF(D1911="Spells",((INDEX(ALLCLASSDATA,MATCH("CasterType",CLASSFEATUREHEADERS,0),MATCH(($A1911),CLASSNAMEHEADERS,0))) &amp; ":" &amp; (INDEX(ALLCLASSDATA,MATCH("SpellList",CLASSFEATUREHEADERS,0),MATCH(($A1911),CLASSNAMEHEADERS,0)))),""))}</f>
        <v>SPELLLIST</v>
      </c>
      <c r="F1910" s="223" t="str">
        <f t="array" ref="F1910:F1911">{"TOTALSLOTS";(IF(D1911="","","TotalSlots:"))}</f>
        <v>TOTALSLOTS</v>
      </c>
      <c r="G1910" s="223" t="str">
        <f t="array" ref="G1910:G1911">{"TOTALCANTRIPSLOTS";(G1907)}</f>
        <v>TOTALCANTRIPSLOTS</v>
      </c>
      <c r="H1910" s="223" t="str">
        <f t="array" ref="H1910:H1911">{"TOTALSLOTS L01";(H1907)}</f>
        <v>TOTALSLOTS L01</v>
      </c>
      <c r="I1910" s="223" t="str">
        <f t="array" ref="I1910:I1911">{"TOTALSLOTS L02";(H1911+I1907)}</f>
        <v>TOTALSLOTS L02</v>
      </c>
      <c r="J1910" s="223" t="str">
        <f t="array" ref="J1910:J1911">{"TOTALSLOTS L03";(I1911+J1907)}</f>
        <v>TOTALSLOTS L03</v>
      </c>
      <c r="K1910" s="223" t="str">
        <f t="array" ref="K1910:K1911">{"TOTALSLOTS L04";(J1911+K1907)}</f>
        <v>TOTALSLOTS L04</v>
      </c>
      <c r="L1910" s="223" t="str">
        <f t="array" ref="L1910:L1911">{"TOTALSLOTS L05";(K1911+L1907)}</f>
        <v>TOTALSLOTS L05</v>
      </c>
      <c r="M1910" s="223" t="str">
        <f t="array" ref="M1910:M1911">{"TOTALSLOTS L06";(L1911+M1907)}</f>
        <v>TOTALSLOTS L06</v>
      </c>
      <c r="N1910" s="223" t="str">
        <f t="array" ref="N1910:N1911">{"TOTALSLOTS L07";(M1911+N1907)}</f>
        <v>TOTALSLOTS L07</v>
      </c>
      <c r="O1910" s="223" t="str">
        <f t="array" ref="O1910:O1911">{"TOTALSLOTS L08";(N1911+O1907)}</f>
        <v>TOTALSLOTS L08</v>
      </c>
      <c r="P1910" s="223" t="str">
        <f t="array" ref="P1910:P1911">{"TOTALSLOTS L09";(O1911+P1907)}</f>
        <v>TOTALSLOTS L09</v>
      </c>
      <c r="Q1910" s="223" t="str">
        <f t="array" ref="Q1910:Q1911">{"TOTALSLOTS L10";(P1911+Q1907)}</f>
        <v>TOTALSLOTS L10</v>
      </c>
      <c r="R1910" s="223" t="str">
        <f t="array" ref="R1910:R1911">{"TOTALSLOTS L11";(Q1911+R1907)}</f>
        <v>TOTALSLOTS L11</v>
      </c>
      <c r="S1910" s="223" t="str">
        <f t="array" ref="S1910:S1911">{"TOTALSLOTS L12";(R1911+S1907)}</f>
        <v>TOTALSLOTS L12</v>
      </c>
      <c r="T1910" s="223" t="str">
        <f t="array" ref="T1910:T1911">{"TOTALSLOTS L13";(S1911+T1907)}</f>
        <v>TOTALSLOTS L13</v>
      </c>
      <c r="U1910" s="223" t="str">
        <f t="array" ref="U1910:U1911">{"TOTALSLOTS L14";(T1911+U1907)}</f>
        <v>TOTALSLOTS L14</v>
      </c>
      <c r="V1910" s="223" t="str">
        <f t="array" ref="V1910:V1911">{"TOTALSLOTS L15";(U1911+V1907)}</f>
        <v>TOTALSLOTS L15</v>
      </c>
      <c r="W1910" s="223" t="str">
        <f t="array" ref="W1910:W1911">{"TOTALSLOTS L16";(V1911+W1907)}</f>
        <v>TOTALSLOTS L16</v>
      </c>
      <c r="X1910" s="223" t="str">
        <f t="array" ref="X1910:X1911">{"TOTALSLOTS L17";(W1911+X1907)}</f>
        <v>TOTALSLOTS L17</v>
      </c>
      <c r="Y1910" s="223" t="str">
        <f t="array" ref="Y1910:Y1911">{"TOTALSLOTS L18";(X1911+Y1907)}</f>
        <v>TOTALSLOTS L18</v>
      </c>
      <c r="Z1910" s="223" t="str">
        <f t="array" ref="Z1910:Z1911">{"TOTALSLOTS L19";(Y1911+Z1907)}</f>
        <v>TOTALSLOTS L19</v>
      </c>
      <c r="AA1910" s="223" t="str">
        <f t="array" ref="AA1910:AA1911">{"TOTALSLOTS L20";(Z1911+AA1907)}</f>
        <v>TOTALSLOTS L20</v>
      </c>
      <c r="AB1910" s="76"/>
      <c r="AC1910" s="76"/>
    </row>
    <row r="1911">
      <c r="A1911" s="48" t="s">
        <v>229</v>
      </c>
      <c r="B1911" s="48"/>
      <c r="C1911" s="48" t="s">
        <v>418</v>
      </c>
      <c r="D1911" s="48" t="s">
        <v>1901</v>
      </c>
      <c r="E1911" s="48" t="s">
        <v>1920</v>
      </c>
      <c r="F1911" s="278" t="s">
        <v>1910</v>
      </c>
      <c r="G1911" s="280" t="s">
        <v>1530</v>
      </c>
      <c r="H1911" s="278" t="s">
        <v>1539</v>
      </c>
      <c r="I1911" s="278">
        <v>4.0</v>
      </c>
      <c r="J1911" s="278">
        <v>7.0</v>
      </c>
      <c r="K1911" s="278">
        <v>8.0</v>
      </c>
      <c r="L1911" s="278">
        <v>11.0</v>
      </c>
      <c r="M1911" s="278">
        <v>12.0</v>
      </c>
      <c r="N1911" s="278">
        <v>15.0</v>
      </c>
      <c r="O1911" s="278">
        <v>16.0</v>
      </c>
      <c r="P1911" s="278">
        <v>19.0</v>
      </c>
      <c r="Q1911" s="278">
        <v>20.0</v>
      </c>
      <c r="R1911" s="278">
        <v>23.0</v>
      </c>
      <c r="S1911" s="278">
        <v>24.0</v>
      </c>
      <c r="T1911" s="278">
        <v>27.0</v>
      </c>
      <c r="U1911" s="278">
        <v>28.0</v>
      </c>
      <c r="V1911" s="278">
        <v>31.0</v>
      </c>
      <c r="W1911" s="278">
        <v>32.0</v>
      </c>
      <c r="X1911" s="278">
        <v>35.0</v>
      </c>
      <c r="Y1911" s="278">
        <v>36.0</v>
      </c>
      <c r="Z1911" s="278">
        <v>37.0</v>
      </c>
      <c r="AA1911" s="278">
        <v>37.0</v>
      </c>
      <c r="AB1911" s="5"/>
      <c r="AC1911" s="47"/>
    </row>
    <row r="1912" hidden="1">
      <c r="A1912" s="222" t="str">
        <f t="array" ref="A1912:A1913">{"FormulaRow45";(INDEX(CLASSLIST,A1823,1))}</f>
        <v>FormulaRow45</v>
      </c>
      <c r="B1912" s="77" t="s">
        <v>236</v>
      </c>
      <c r="C1912" s="222" t="str">
        <f t="array" ref="C1912:C1913">{"CLASSTYPE";((INDEX(ALLCLASSDATA,MATCH("ClassType",CLASSFEATUREHEADERS,0),MATCH($A1913,CLASSNAMEHEADERS,0))))}</f>
        <v>CLASSTYPE</v>
      </c>
      <c r="D1912" s="222" t="str">
        <f t="array" ref="D1912:D1913">{"SPELL/ALCHEMY";((IF(INDEX(ALLCLASSDATA,MATCH("CasterType",CLASSFEATUREHEADERS,0),MATCH(($A1913),CLASSNAMEHEADERS,0))="","",(IF(INDEX(ALLCLASSDATA,MATCH("CasterType",CLASSFEATUREHEADERS,0),MATCH(($A1913),CLASSNAMEHEADERS,0))="Alchemy","Alchemy","Spells")))))}</f>
        <v>SPELL/ALCHEMY</v>
      </c>
      <c r="E1912" s="222" t="str">
        <f t="array" ref="E1912:E1913">{"SPELLLIST";(IF(D1913="Spells",((INDEX(ALLCLASSDATA,MATCH("CasterType",CLASSFEATUREHEADERS,0),MATCH(($A1913),CLASSNAMEHEADERS,0))) &amp; ":" &amp; (INDEX(ALLCLASSDATA,MATCH("SpellList",CLASSFEATUREHEADERS,0),MATCH(($A1913),CLASSNAMEHEADERS,0)))),""))}</f>
        <v>SPELLLIST</v>
      </c>
      <c r="F1912" s="223" t="str">
        <f t="array" ref="F1912:F1913">{"TOTALLEARNED";(IF(D1913="","","TotalLearned:"))}</f>
        <v>TOTALLEARNED</v>
      </c>
      <c r="G1912" s="223" t="str">
        <f t="array" ref="G1912:G1913">{"TOTALCANTRIPSLEARNED";(G1909)}</f>
        <v>TOTALCANTRIPSLEARNED</v>
      </c>
      <c r="H1912" s="223" t="str">
        <f t="array" ref="H1912:H1913">{"TOTALLEARNED L01";(H1909)}</f>
        <v>TOTALLEARNED L01</v>
      </c>
      <c r="I1912" s="223" t="str">
        <f t="array" ref="I1912:I1913">{"TOTALLEARNED L02";(H1913+I1909)}</f>
        <v>TOTALLEARNED L02</v>
      </c>
      <c r="J1912" s="223" t="str">
        <f t="array" ref="J1912:J1913">{"TOTALLEARNED L03";(I1913+J1909)}</f>
        <v>TOTALLEARNED L03</v>
      </c>
      <c r="K1912" s="223" t="str">
        <f t="array" ref="K1912:K1913">{"TOTALLEARNED L04";(J1913+K1909)}</f>
        <v>TOTALLEARNED L04</v>
      </c>
      <c r="L1912" s="223" t="str">
        <f t="array" ref="L1912:L1913">{"TOTALLEARNED L05";(K1913+L1909)}</f>
        <v>TOTALLEARNED L05</v>
      </c>
      <c r="M1912" s="223" t="str">
        <f t="array" ref="M1912:M1913">{"TOTALLEARNED L06";(L1913+M1909)}</f>
        <v>TOTALLEARNED L06</v>
      </c>
      <c r="N1912" s="223" t="str">
        <f t="array" ref="N1912:N1913">{"TOTALLEARNED L07";(M1913+N1909)}</f>
        <v>TOTALLEARNED L07</v>
      </c>
      <c r="O1912" s="223" t="str">
        <f t="array" ref="O1912:O1913">{"TOTALLEARNED L08";(N1913+O1909)}</f>
        <v>TOTALLEARNED L08</v>
      </c>
      <c r="P1912" s="223" t="str">
        <f t="array" ref="P1912:P1913">{"TOTALLEARNED L09";(O1913+P1909)}</f>
        <v>TOTALLEARNED L09</v>
      </c>
      <c r="Q1912" s="223" t="str">
        <f t="array" ref="Q1912:Q1913">{"TOTALLEARNED L10";(P1913+Q1909)}</f>
        <v>TOTALLEARNED L10</v>
      </c>
      <c r="R1912" s="223" t="str">
        <f t="array" ref="R1912:R1913">{"TOTALLEARNED L11";(Q1913+R1909)}</f>
        <v>TOTALLEARNED L11</v>
      </c>
      <c r="S1912" s="223" t="str">
        <f t="array" ref="S1912:S1913">{"TOTALLEARNED L12";(R1913+S1909)}</f>
        <v>TOTALLEARNED L12</v>
      </c>
      <c r="T1912" s="223" t="str">
        <f t="array" ref="T1912:T1913">{"TOTALLEARNED L13";(S1913+T1909)}</f>
        <v>TOTALLEARNED L13</v>
      </c>
      <c r="U1912" s="223" t="str">
        <f t="array" ref="U1912:U1913">{"TOTALLEARNED L14";(T1913+U1909)}</f>
        <v>TOTALLEARNED L14</v>
      </c>
      <c r="V1912" s="223" t="str">
        <f t="array" ref="V1912:V1913">{"TOTALLEARNED L15";(U1913+V1909)}</f>
        <v>TOTALLEARNED L15</v>
      </c>
      <c r="W1912" s="223" t="str">
        <f t="array" ref="W1912:W1913">{"TOTALLEARNED L16";(V1913+W1909)}</f>
        <v>TOTALLEARNED L16</v>
      </c>
      <c r="X1912" s="223" t="str">
        <f t="array" ref="X1912:X1913">{"TOTALLEARNED L17";(W1913+X1909)}</f>
        <v>TOTALLEARNED L17</v>
      </c>
      <c r="Y1912" s="223" t="str">
        <f t="array" ref="Y1912:Y1913">{"TOTALLEARNED L18";(X1913+Y1909)}</f>
        <v>TOTALLEARNED L18</v>
      </c>
      <c r="Z1912" s="223" t="str">
        <f t="array" ref="Z1912:Z1913">{"TOTALLEARNED L19";(Y1913+Z1909)}</f>
        <v>TOTALLEARNED L19</v>
      </c>
      <c r="AA1912" s="223" t="str">
        <f t="array" ref="AA1912:AA1913">{"TOTALLEARNED L20";(Z1913+AA1909)}</f>
        <v>TOTALLEARNED L20</v>
      </c>
      <c r="AB1912" s="76"/>
      <c r="AC1912" s="76"/>
    </row>
    <row r="1913">
      <c r="A1913" s="97" t="s">
        <v>229</v>
      </c>
      <c r="B1913" s="97"/>
      <c r="C1913" s="97" t="s">
        <v>418</v>
      </c>
      <c r="D1913" s="97" t="s">
        <v>1901</v>
      </c>
      <c r="E1913" s="97" t="s">
        <v>1920</v>
      </c>
      <c r="F1913" s="281" t="s">
        <v>1911</v>
      </c>
      <c r="G1913" s="282" t="s">
        <v>158</v>
      </c>
      <c r="H1913" s="278" t="s">
        <v>1533</v>
      </c>
      <c r="I1913" s="278">
        <v>8.0</v>
      </c>
      <c r="J1913" s="278">
        <v>10.0</v>
      </c>
      <c r="K1913" s="278">
        <v>12.0</v>
      </c>
      <c r="L1913" s="278">
        <v>14.0</v>
      </c>
      <c r="M1913" s="278">
        <v>16.0</v>
      </c>
      <c r="N1913" s="278">
        <v>18.0</v>
      </c>
      <c r="O1913" s="278">
        <v>20.0</v>
      </c>
      <c r="P1913" s="278">
        <v>22.0</v>
      </c>
      <c r="Q1913" s="278">
        <v>24.0</v>
      </c>
      <c r="R1913" s="278">
        <v>26.0</v>
      </c>
      <c r="S1913" s="278">
        <v>28.0</v>
      </c>
      <c r="T1913" s="278">
        <v>30.0</v>
      </c>
      <c r="U1913" s="278">
        <v>32.0</v>
      </c>
      <c r="V1913" s="278">
        <v>34.0</v>
      </c>
      <c r="W1913" s="278">
        <v>36.0</v>
      </c>
      <c r="X1913" s="278">
        <v>38.0</v>
      </c>
      <c r="Y1913" s="278">
        <v>40.0</v>
      </c>
      <c r="Z1913" s="278">
        <v>42.0</v>
      </c>
      <c r="AA1913" s="278">
        <v>44.0</v>
      </c>
      <c r="AB1913" s="5"/>
      <c r="AC1913" s="47"/>
    </row>
    <row r="1914">
      <c r="A1914" s="55">
        <f>VLOOKUP($C1914, CLASSNUMBERFINDER, 2, false)</f>
        <v>22</v>
      </c>
      <c r="B1914" s="58"/>
      <c r="C1914" s="70" t="s">
        <v>231</v>
      </c>
      <c r="D1914" s="71"/>
      <c r="E1914" s="71"/>
      <c r="F1914" s="71"/>
      <c r="G1914" s="72"/>
      <c r="H1914" s="71"/>
      <c r="I1914" s="71"/>
      <c r="J1914" s="71"/>
      <c r="K1914" s="71"/>
      <c r="L1914" s="71"/>
      <c r="M1914" s="71"/>
      <c r="N1914" s="71"/>
      <c r="O1914" s="71"/>
      <c r="P1914" s="71"/>
      <c r="Q1914" s="71"/>
      <c r="R1914" s="71"/>
      <c r="S1914" s="71"/>
      <c r="T1914" s="71"/>
      <c r="U1914" s="71"/>
      <c r="V1914" s="71"/>
      <c r="W1914" s="71"/>
      <c r="X1914" s="71"/>
      <c r="Y1914" s="71"/>
      <c r="Z1914" s="71"/>
      <c r="AA1914" s="71"/>
      <c r="AB1914" s="71"/>
      <c r="AC1914" s="73"/>
    </row>
    <row r="1915" hidden="1">
      <c r="A1915" s="76" t="str">
        <f t="array" ref="A1915:A1916">{"FormulaRow01";(INDEX(CLASSLIST,A1914,1))}</f>
        <v>FormulaRow01</v>
      </c>
      <c r="B1915" s="77" t="s">
        <v>236</v>
      </c>
      <c r="C1915" s="76" t="str">
        <f t="array" ref="C1915:C1916">{"CLASSTYPE";(INDEX(ALLCLASSDATA,MATCH("ClassType",CLASSFEATUREHEADERS,0),MATCH($A1916,CLASSNAMEHEADERS,0)))}</f>
        <v>CLASSTYPE</v>
      </c>
      <c r="D1915" s="81" t="str">
        <f t="array" ref="D1915:D1916">{"TOTAL";("Total: " &amp; H1916+J1916+L1916+N1916+P1916+R1916+T1916+V1916+X1916+Z1916)}</f>
        <v>TOTAL</v>
      </c>
      <c r="E1915" s="81" t="str">
        <f t="array" ref="E1915:E1916">{"BALANCE";(IF((H1916+J1916+L1916+N1916+P1916+R1916+T1916+V1916+X1916+Z1916)=2100,"(balanced)",(IF((H1916+J1916+L1916+N1916+P1916+R1916+T1916+V1916+X1916+Z1916)&gt;2100,"OVERBUDGET: ","UNDERBUDGET: ")) &amp; (H1916+J1916+L1916+N1916+P1916+R1916+T1916+V1916+X1916+Z1916-2100)))}</f>
        <v>BALANCE</v>
      </c>
      <c r="F1915" s="81"/>
      <c r="G1915" s="81"/>
      <c r="H1915" s="81" t="str">
        <f t="array" ref="H1915:H1916">{"SUM LVL0/1/2";((SUMIF(F1917:I1996,"&lt;&gt;#REF!")+(SUMIF(J1917:AA1924,"&lt;&gt;#REF!"))))}</f>
        <v>SUM LVL0/1/2</v>
      </c>
      <c r="I1915" s="81"/>
      <c r="J1915" s="81" t="str">
        <f t="array" ref="J1915:J1916">{"SUM LVL3/4";(SUMIF(J1925:K1996,"&lt;&gt;#REF!"))}</f>
        <v>SUM LVL3/4</v>
      </c>
      <c r="K1915" s="81"/>
      <c r="L1915" s="81" t="str">
        <f t="array" ref="L1915:L1916">{"SUM LVL5/6";(SUMIF(L1925:M1996,"&lt;&gt;#REF!"))}</f>
        <v>SUM LVL5/6</v>
      </c>
      <c r="M1915" s="81"/>
      <c r="N1915" s="81" t="str">
        <f t="array" ref="N1915:N1916">{"SUM LVL7/8";(SUMIF(N1925:O1996,"&lt;&gt;#REF!"))}</f>
        <v>SUM LVL7/8</v>
      </c>
      <c r="O1915" s="81"/>
      <c r="P1915" s="81" t="str">
        <f t="array" ref="P1915:P1916">{"SUM LVL9/10";(SUMIF(P1925:Q1996,"&lt;&gt;#REF!"))}</f>
        <v>SUM LVL9/10</v>
      </c>
      <c r="Q1915" s="81"/>
      <c r="R1915" s="81" t="str">
        <f t="array" ref="R1915:R1916">{"SUM LVL11/12";(SUMIF(R1925:S1996,"&lt;&gt;#REF!"))}</f>
        <v>SUM LVL11/12</v>
      </c>
      <c r="S1915" s="81"/>
      <c r="T1915" s="81" t="str">
        <f t="array" ref="T1915:T1916">{"SUM LVL13/14";(SUMIF(T1925:U1996,"&lt;&gt;#REF!"))}</f>
        <v>SUM LVL13/14</v>
      </c>
      <c r="U1915" s="81"/>
      <c r="V1915" s="81" t="str">
        <f t="array" ref="V1915:V1916">{"SUM LVL15/16";(SUMIF(V1925:W1996,"&lt;&gt;#REF!"))}</f>
        <v>SUM LVL15/16</v>
      </c>
      <c r="W1915" s="81"/>
      <c r="X1915" s="81" t="str">
        <f t="array" ref="X1915:X1916">{"SUM LVL17/18";(SUMIF(X1925:Y1996,"&lt;&gt;#REF!"))}</f>
        <v>SUM LVL17/18</v>
      </c>
      <c r="Y1915" s="81"/>
      <c r="Z1915" s="81" t="str">
        <f t="array" ref="Z1915:Z1916">{"SUM LVL19/20";(SUMIF(Z1925:AA1996,"&lt;&gt;#REF!"))}</f>
        <v>SUM LVL19/20</v>
      </c>
      <c r="AA1915" s="81"/>
      <c r="AB1915" s="76"/>
      <c r="AC1915" s="76" t="str">
        <f t="array" ref="AC1915:AC1916">{"SUM ROWTOTALS";(SUMIF(AC1918:AC2004,"&lt;&gt;#REF!"))}</f>
        <v>SUM ROWTOTALS</v>
      </c>
    </row>
    <row r="1916">
      <c r="A1916" s="48" t="s">
        <v>231</v>
      </c>
      <c r="B1916" s="48"/>
      <c r="C1916" s="48" t="s">
        <v>418</v>
      </c>
      <c r="D1916" s="91" t="s">
        <v>416</v>
      </c>
      <c r="E1916" s="92" t="s">
        <v>419</v>
      </c>
      <c r="F1916" s="91"/>
      <c r="G1916" s="93"/>
      <c r="H1916" s="92">
        <v>530.0</v>
      </c>
      <c r="I1916" s="92"/>
      <c r="J1916" s="92">
        <v>70.0</v>
      </c>
      <c r="K1916" s="92"/>
      <c r="L1916" s="92">
        <v>120.0</v>
      </c>
      <c r="M1916" s="92"/>
      <c r="N1916" s="92">
        <v>120.0</v>
      </c>
      <c r="O1916" s="92"/>
      <c r="P1916" s="92">
        <v>120.0</v>
      </c>
      <c r="Q1916" s="92"/>
      <c r="R1916" s="92">
        <v>170.0</v>
      </c>
      <c r="S1916" s="92"/>
      <c r="T1916" s="92">
        <v>190.0</v>
      </c>
      <c r="U1916" s="92"/>
      <c r="V1916" s="92">
        <v>180.0</v>
      </c>
      <c r="W1916" s="92"/>
      <c r="X1916" s="92">
        <v>180.0</v>
      </c>
      <c r="Y1916" s="92"/>
      <c r="Z1916" s="92">
        <v>420.0</v>
      </c>
      <c r="AA1916" s="92"/>
      <c r="AB1916" s="5"/>
      <c r="AC1916" s="47">
        <v>2100.0</v>
      </c>
    </row>
    <row r="1917" hidden="1">
      <c r="A1917" s="76" t="str">
        <f t="array" ref="A1917:A1918">{"FormulaRow02";(INDEX(CLASSLIST,A1914,1))}</f>
        <v>FormulaRow02</v>
      </c>
      <c r="B1917" s="77" t="s">
        <v>236</v>
      </c>
      <c r="C1917" s="76" t="str">
        <f t="array" ref="C1917:C1918">{"CLASSTYPE";((INDEX(ALLCLASSDATA,MATCH("ClassType",CLASSFEATUREHEADERS,0),MATCH($A1918,CLASSNAMEHEADERS,0))))}</f>
        <v>CLASSTYPE</v>
      </c>
      <c r="D1917" s="81" t="str">
        <f t="array" ref="D1917:D1918">{"FEATURES";"Features"}</f>
        <v>FEATURES</v>
      </c>
      <c r="E1917" s="81" t="str">
        <f t="array" ref="E1917:E1918">{"INITIALFEATURES";"Initial Features"}</f>
        <v>INITIALFEATURES</v>
      </c>
      <c r="F1917" s="81" t="str">
        <f t="array" ref="F1917:F1918">{"KEY";"Key"}</f>
        <v>KEY</v>
      </c>
      <c r="G1917" s="81" t="str">
        <f t="array" ref="G1917:G1918">{"HP";"HP"}</f>
        <v>HP</v>
      </c>
      <c r="H1917" s="81" t="str">
        <f t="array" ref="H1917:H1918">{"CLASSFEATL01";"ClassFeatL01"}</f>
        <v>CLASSFEATL01</v>
      </c>
      <c r="I1917" s="81" t="str">
        <f t="array" ref="I1917:I1918">{"SHIELDBLOCKL01";"ShieldBlockL01"}</f>
        <v>SHIELDBLOCKL01</v>
      </c>
      <c r="J1917" s="81" t="str">
        <f t="array" ref="J1917:J1918">{"INITIALSKILLS";"InitialSkills"}</f>
        <v>INITIALSKILLS</v>
      </c>
      <c r="K1917" s="81" t="str">
        <f t="array" ref="K1917:K1918">{"SUBCLASSSKILLS";"SubclassSkills"}</f>
        <v>SUBCLASSSKILLS</v>
      </c>
      <c r="L1917" s="81" t="str">
        <f t="array" ref="L1917:L1918">{"GRANTEDSKILLS";"GrantedSkills"}</f>
        <v>GRANTEDSKILLS</v>
      </c>
      <c r="M1917" s="81"/>
      <c r="N1917" s="81"/>
      <c r="O1917" s="81"/>
      <c r="P1917" s="81" t="str">
        <f t="array" ref="P1917:P1918">{"FOCUSSPELLS";"FocusSpells:"}</f>
        <v>FOCUSSPELLS</v>
      </c>
      <c r="Q1917" s="81" t="str">
        <f t="array" ref="Q1917:Q1918">{"FOCUSSPELL1-L00";((INDEX(ALLCLASSDATA,MATCH("FocusSpell1-L00",CLASSFEATUREHEADERS,0),MATCH(($A1918),CLASSNAMEHEADERS,0))))}</f>
        <v>FOCUSSPELL1-L00</v>
      </c>
      <c r="R1917" s="81" t="str">
        <f t="array" ref="R1917:R1918">{"FOCUSSPELL2-L00";((INDEX(ALLCLASSDATA,MATCH("FocusSpell2-L00",CLASSFEATUREHEADERS,0),MATCH(($A1918),CLASSNAMEHEADERS,0))))}</f>
        <v>FOCUSSPELL2-L00</v>
      </c>
      <c r="S1917" s="81" t="str">
        <f t="array" ref="S1917:S1918">{"FOCUSSPELL3-L00";((INDEX(ALLCLASSDATA,MATCH("FocusSpell3-L00",CLASSFEATUREHEADERS,0),MATCH(($A1918),CLASSNAMEHEADERS,0))))}</f>
        <v>FOCUSSPELL3-L00</v>
      </c>
      <c r="T1917" s="81" t="str">
        <f t="array" ref="T1917:T1918">{"FOCUSSPELL4-L00";((INDEX(ALLCLASSDATA,MATCH("FocusSpell4-L00",CLASSFEATUREHEADERS,0),MATCH(($A1918),CLASSNAMEHEADERS,0))))}</f>
        <v>FOCUSSPELL4-L00</v>
      </c>
      <c r="U1917" s="81" t="str">
        <f t="array" ref="U1917:U1918">{"FOCUSSPELL5-L00";((INDEX(ALLCLASSDATA,MATCH("FocusSpell5-L00",CLASSFEATUREHEADERS,0),MATCH(($A1918),CLASSNAMEHEADERS,0))))}</f>
        <v>FOCUSSPELL5-L00</v>
      </c>
      <c r="V1917" s="81"/>
      <c r="W1917" s="81"/>
      <c r="X1917" s="81"/>
      <c r="Y1917" s="81"/>
      <c r="Z1917" s="81"/>
      <c r="AA1917" s="81"/>
      <c r="AB1917" s="76"/>
      <c r="AC1917" s="76"/>
    </row>
    <row r="1918">
      <c r="A1918" s="48" t="s">
        <v>231</v>
      </c>
      <c r="B1918" s="48"/>
      <c r="C1918" s="48" t="s">
        <v>418</v>
      </c>
      <c r="D1918" s="48" t="s">
        <v>467</v>
      </c>
      <c r="E1918" s="48" t="s">
        <v>468</v>
      </c>
      <c r="F1918" s="48" t="s">
        <v>469</v>
      </c>
      <c r="G1918" s="114" t="s">
        <v>15</v>
      </c>
      <c r="H1918" s="8" t="s">
        <v>451</v>
      </c>
      <c r="I1918" s="8" t="s">
        <v>463</v>
      </c>
      <c r="J1918" s="8" t="s">
        <v>473</v>
      </c>
      <c r="K1918" s="8" t="s">
        <v>474</v>
      </c>
      <c r="L1918" s="8" t="s">
        <v>475</v>
      </c>
      <c r="M1918" s="8"/>
      <c r="N1918" s="8"/>
      <c r="O1918" s="8"/>
      <c r="P1918" s="8" t="s">
        <v>476</v>
      </c>
      <c r="Q1918" s="116" t="s">
        <v>1603</v>
      </c>
      <c r="R1918" s="116" t="s">
        <v>1610</v>
      </c>
      <c r="S1918" s="116"/>
      <c r="T1918" s="116"/>
      <c r="U1918" s="116"/>
      <c r="V1918" s="8"/>
      <c r="W1918" s="8"/>
      <c r="X1918" s="8"/>
      <c r="Y1918" s="8"/>
      <c r="Z1918" s="5"/>
      <c r="AA1918" s="5"/>
      <c r="AB1918" s="5"/>
      <c r="AC1918" s="47"/>
    </row>
    <row r="1919" hidden="1">
      <c r="A1919" s="76" t="str">
        <f t="array" ref="A1919:A1920">{"FormulaRow03";(INDEX(CLASSLIST,A1914,1))}</f>
        <v>FormulaRow03</v>
      </c>
      <c r="B1919" s="77" t="s">
        <v>236</v>
      </c>
      <c r="C1919" s="76" t="str">
        <f t="array" ref="C1919:C1920">{"CLASSTYPE";((INDEX(ALLCLASSDATA,MATCH("ClassType",CLASSFEATUREHEADERS,0),MATCH($A1920,CLASSNAMEHEADERS,0))))}</f>
        <v>CLASSTYPE</v>
      </c>
      <c r="D1919" s="76" t="str">
        <f t="array" ref="D1919:D1920">{"FEATUREPTS";"FeaturesPts"}</f>
        <v>FEATUREPTS</v>
      </c>
      <c r="E1919" s="76" t="str">
        <f t="array" ref="E1919:E1920">{"INITIALFEATURES";"Initial Features"}</f>
        <v>INITIALFEATURES</v>
      </c>
      <c r="F1919" s="76" t="str">
        <f t="array" ref="F1919:F1920">{"KEYABILITY";((INDEX(ALLCLASSDATA,MATCH("KEYABILITY",CLASSFEATUREHEADERS,0),MATCH($A1920,CLASSNAMEHEADERS,0))))}</f>
        <v>KEYABILITY</v>
      </c>
      <c r="G1919" s="76" t="str">
        <f t="array" ref="G1919:G1920">{"HP";((INDEX(ALLCLASSDATA,MATCH("HP",CLASSFEATUREHEADERS,0),MATCH(($A1920 &amp; "Points"),CLASSNAMEHEADERS,0))))}</f>
        <v>HP</v>
      </c>
      <c r="H1919" s="76" t="str">
        <f t="array" ref="H1919:H1920">{"CLASSFEATL01";((INDEX(ALLCLASSDATA,MATCH("ClassFeatL01",CLASSFEATUREHEADERS,0),MATCH(($A1920 &amp; "Points"),CLASSNAMEHEADERS,0))))}</f>
        <v>CLASSFEATL01</v>
      </c>
      <c r="I1919" s="76" t="str">
        <f t="array" ref="I1919:I1920">{"SHIELDBLOCKL01";((INDEX(ALLCLASSDATA,MATCH("ShieldBlockL01",CLASSFEATUREHEADERS,0),MATCH(($A1920 &amp; "Points"),CLASSNAMEHEADERS,0))))}</f>
        <v>SHIELDBLOCKL01</v>
      </c>
      <c r="J1919" s="76" t="str">
        <f t="array" ref="J1919:J1920">{"INITIALSKILLINCREASES";((INDEX(ALLCLASSDATA,MATCH("InitialSkillIncreases",CLASSFEATUREHEADERS,0),MATCH(($A1920 &amp; "Points"),CLASSNAMEHEADERS,0))))}</f>
        <v>INITIALSKILLINCREASES</v>
      </c>
      <c r="K1919" s="76" t="str">
        <f t="array" ref="K1919:K1920">{"SUBCLASSSKILLINCREASES";((INDEX(ALLCLASSDATA,MATCH("SubclassSkillIncreases",CLASSFEATUREHEADERS,0),MATCH(($A1920 &amp; "Points"),CLASSNAMEHEADERS,0))))}</f>
        <v>SUBCLASSSKILLINCREASES</v>
      </c>
      <c r="L1919" s="76" t="str">
        <f t="array" ref="L1919:L1920">{"GRANTEDSKILLS";(((INDEX(ALLCLASSDATA,MATCH("SkillsGrantedTotal",CLASSFEATUREHEADERS,0),MATCH(($A1920 &amp; "Points"),CLASSNAMEHEADERS,0)))-(INDEX(ALLCLASSDATA,MATCH("InitialSkillIncreases",CLASSFEATUREHEADERS,0),MATCH(($A1920 &amp; "Points"),CLASSNAMEHEADERS,0)))-(INDEX(ALLCLASSDATA,MATCH("SubclassSkillIncreases",CLASSFEATUREHEADERS,0),MATCH(($A1920 &amp; "Points"),CLASSNAMEHEADERS,0)))))}</f>
        <v>GRANTEDSKILLS</v>
      </c>
      <c r="M1919" s="76"/>
      <c r="N1919" s="76"/>
      <c r="O1919" s="76"/>
      <c r="P1919" s="76"/>
      <c r="Q1919" s="76" t="str">
        <f t="array" ref="Q1919:Q1920">{"FOCUSSPELL1-L00";((INDEX(ALLCLASSDATA,MATCH("FocusSpell1-L00",CLASSFEATUREHEADERS,0),MATCH(($A1920 &amp; "Points"),CLASSNAMEHEADERS,0))))}</f>
        <v>FOCUSSPELL1-L00</v>
      </c>
      <c r="R1919" s="76" t="str">
        <f t="array" ref="R1919:R1920">{"FOCUSSPELL2-L00";((INDEX(ALLCLASSDATA,MATCH("FocusSpell2-L00",CLASSFEATUREHEADERS,0),MATCH(($A1920 &amp; "Points"),CLASSNAMEHEADERS,0))))}</f>
        <v>FOCUSSPELL2-L00</v>
      </c>
      <c r="S1919" s="76" t="str">
        <f t="array" ref="S1919:S1920">{"FOCUSSPELL3-L00";((INDEX(ALLCLASSDATA,MATCH("FocusSpell3-L00",CLASSFEATUREHEADERS,0),MATCH(($A1920 &amp; "Points"),CLASSNAMEHEADERS,0))))}</f>
        <v>FOCUSSPELL3-L00</v>
      </c>
      <c r="T1919" s="76" t="str">
        <f t="array" ref="T1919:T1920">{"FOCUSSPELL4-L00";((INDEX(ALLCLASSDATA,MATCH("FocusSpell4-L00",CLASSFEATUREHEADERS,0),MATCH(($A1920 &amp; "Points"),CLASSNAMEHEADERS,0))))}</f>
        <v>FOCUSSPELL4-L00</v>
      </c>
      <c r="U1919" s="76" t="str">
        <f t="array" ref="U1919:U1920">{"FOCUSSPELL5-L00";((INDEX(ALLCLASSDATA,MATCH("FocusSpell5-L00",CLASSFEATUREHEADERS,0),MATCH(($A1920 &amp; "Points"),CLASSNAMEHEADERS,0))))}</f>
        <v>FOCUSSPELL5-L00</v>
      </c>
      <c r="V1919" s="76"/>
      <c r="W1919" s="76"/>
      <c r="X1919" s="76"/>
      <c r="Y1919" s="76"/>
      <c r="Z1919" s="76"/>
      <c r="AA1919" s="76"/>
      <c r="AB1919" s="76"/>
      <c r="AC1919" s="76" t="str">
        <f t="array" ref="AC1919:AC1920">{"FEATUREPTS TOTAL";(sum(G1920:AA1920))}</f>
        <v>FEATUREPTS TOTAL</v>
      </c>
    </row>
    <row r="1920">
      <c r="A1920" s="48" t="s">
        <v>231</v>
      </c>
      <c r="B1920" s="48"/>
      <c r="C1920" s="48" t="s">
        <v>418</v>
      </c>
      <c r="D1920" s="97" t="s">
        <v>559</v>
      </c>
      <c r="E1920" s="97" t="s">
        <v>468</v>
      </c>
      <c r="F1920" s="97" t="s">
        <v>262</v>
      </c>
      <c r="G1920" s="132">
        <v>60.0</v>
      </c>
      <c r="H1920" s="98" t="s">
        <v>603</v>
      </c>
      <c r="I1920" s="98" t="s">
        <v>603</v>
      </c>
      <c r="J1920" s="98">
        <v>15.0</v>
      </c>
      <c r="K1920" s="98">
        <v>5.0</v>
      </c>
      <c r="L1920" s="98">
        <v>0.0</v>
      </c>
      <c r="M1920" s="98"/>
      <c r="N1920" s="98"/>
      <c r="O1920" s="98"/>
      <c r="P1920" s="98"/>
      <c r="Q1920" s="98">
        <v>10.0</v>
      </c>
      <c r="R1920" s="98">
        <v>5.0</v>
      </c>
      <c r="S1920" s="281"/>
      <c r="T1920" s="281"/>
      <c r="U1920" s="98"/>
      <c r="V1920" s="98"/>
      <c r="W1920" s="98"/>
      <c r="X1920" s="98"/>
      <c r="Y1920" s="98"/>
      <c r="Z1920" s="98"/>
      <c r="AA1920" s="98"/>
      <c r="AB1920" s="5"/>
      <c r="AC1920" s="47">
        <v>95.0</v>
      </c>
    </row>
    <row r="1921" hidden="1">
      <c r="A1921" s="76" t="str">
        <f t="array" ref="A1921:A1922">{"FormulaRow04";(INDEX(CLASSLIST,A1914,1))}</f>
        <v>FormulaRow04</v>
      </c>
      <c r="B1921" s="77" t="s">
        <v>236</v>
      </c>
      <c r="C1921" s="76" t="str">
        <f t="array" ref="C1921:C1922">{"CLASSTYPE";((INDEX(ALLCLASSDATA,MATCH("ClassType",CLASSFEATUREHEADERS,0),MATCH($A1922,CLASSNAMEHEADERS,0))))}</f>
        <v>CLASSTYPE</v>
      </c>
      <c r="D1921" s="81" t="str">
        <f t="array" ref="D1921:D1922">{"INITIALFEATURES";"InitialFeatures"}</f>
        <v>INITIALFEATURES</v>
      </c>
      <c r="E1921" s="81" t="str">
        <f t="array" ref="E1921:E1922">{"CLASS/SUBCLASSFEATURES";"Class/Subclass Features"}</f>
        <v>CLASS/SUBCLASSFEATURES</v>
      </c>
      <c r="F1921" s="81"/>
      <c r="G1921" s="136"/>
      <c r="H1921" s="81" t="str">
        <f t="array" ref="H1921:H1922">{"CLASSINITIALABILITY1-L00";((INDEX(ALLCLASSDATA,MATCH("ClassInitialAbility1-L00",CLASSFEATUREHEADERS,0),MATCH(($A1922),CLASSNAMEHEADERS,0))))}</f>
        <v>CLASSINITIALABILITY1-L00</v>
      </c>
      <c r="I1921" s="81" t="str">
        <f t="array" ref="I1921:I1922">{"CLASSINITIALABILITY2-L00";((INDEX(ALLCLASSDATA,MATCH("ClassInitialAbility2-L00",CLASSFEATUREHEADERS,0),MATCH(($A1922),CLASSNAMEHEADERS,0))))}</f>
        <v>CLASSINITIALABILITY2-L00</v>
      </c>
      <c r="J1921" s="81" t="str">
        <f t="array" ref="J1921:J1922">{"CLASSINITIALABILITY3-L00";((INDEX(ALLCLASSDATA,MATCH("ClassInitialAbility3-L00",CLASSFEATUREHEADERS,0),MATCH(($A1922),CLASSNAMEHEADERS,0))))}</f>
        <v>CLASSINITIALABILITY3-L00</v>
      </c>
      <c r="K1921" s="81" t="str">
        <f t="array" ref="K1921:K1922">{"CLASSINITIALABILITY4-L00";((INDEX(ALLCLASSDATA,MATCH("ClassInitialAbility4-L00",CLASSFEATUREHEADERS,0),MATCH(($A1922),CLASSNAMEHEADERS,0))))}</f>
        <v>CLASSINITIALABILITY4-L00</v>
      </c>
      <c r="L1921" s="81" t="str">
        <f t="array" ref="L1921:L1922">{"CLASSINITIALABILITY5-L00";((INDEX(ALLCLASSDATA,MATCH("ClassInitialAbility5-L00",CLASSFEATUREHEADERS,0),MATCH(($A1922),CLASSNAMEHEADERS,0))))}</f>
        <v>CLASSINITIALABILITY5-L00</v>
      </c>
      <c r="M1921" s="81" t="str">
        <f t="array" ref="M1921:M1922">{"CLASSINITIALABILITY6-L00";((INDEX(ALLCLASSDATA,MATCH("ClassInitialAbility6-L00",CLASSFEATUREHEADERS,0),MATCH(($A1922),CLASSNAMEHEADERS,0))))}</f>
        <v>CLASSINITIALABILITY6-L00</v>
      </c>
      <c r="N1921" s="81" t="str">
        <f t="array" ref="N1921:N1922">{"CLASSINITIALABILITY7-L00";((INDEX(ALLCLASSDATA,MATCH("ClassInitialAbility7-L00",CLASSFEATUREHEADERS,0),MATCH(($A1922),CLASSNAMEHEADERS,0))))}</f>
        <v>CLASSINITIALABILITY7-L00</v>
      </c>
      <c r="O1921" s="81" t="str">
        <f t="array" ref="O1921:O1922">{"CLASSINITIALABILITY8-L00";((INDEX(ALLCLASSDATA,MATCH("ClassInitialAbility8-L00",CLASSFEATUREHEADERS,0),MATCH(($A1922),CLASSNAMEHEADERS,0))))}</f>
        <v>CLASSINITIALABILITY8-L00</v>
      </c>
      <c r="P1921" s="81" t="str">
        <f t="array" ref="P1921:P1922">{"CLASSINITIALABILITY9-L00";((INDEX(ALLCLASSDATA,MATCH("ClassInitialAbility9-L00",CLASSFEATUREHEADERS,0),MATCH(($A1922),CLASSNAMEHEADERS,0))))}</f>
        <v>CLASSINITIALABILITY9-L00</v>
      </c>
      <c r="Q1921" s="81" t="str">
        <f t="array" ref="Q1921:Q1922">{"CLASSINITIALABILITY10-L00";((INDEX(ALLCLASSDATA,MATCH("ClassInitialAbility10-L00",CLASSFEATUREHEADERS,0),MATCH(($A1922),CLASSNAMEHEADERS,0))))}</f>
        <v>CLASSINITIALABILITY10-L00</v>
      </c>
      <c r="R1921" s="81" t="str">
        <f t="array" ref="R1921:R1922">{"SUBCLASSINITIAL1-L00";((INDEX(ALLCLASSDATA,MATCH("SubclassInitial1-L00",CLASSFEATUREHEADERS,0),MATCH(($A1922),CLASSNAMEHEADERS,0))))}</f>
        <v>SUBCLASSINITIAL1-L00</v>
      </c>
      <c r="S1921" s="81" t="str">
        <f t="array" ref="S1921:S1922">{"SUBCLASSINITIAL2-L00";((INDEX(ALLCLASSDATA,MATCH("SubclassInitial2-L00",CLASSFEATUREHEADERS,0),MATCH(($A1922),CLASSNAMEHEADERS,0))))}</f>
        <v>SUBCLASSINITIAL2-L00</v>
      </c>
      <c r="T1921" s="81" t="str">
        <f t="array" ref="T1921:T1922">{"SUBCLASSINITIAL3-L00";((INDEX(ALLCLASSDATA,MATCH("SubclassInitial3-L00",CLASSFEATUREHEADERS,0),MATCH(($A1922),CLASSNAMEHEADERS,0))))}</f>
        <v>SUBCLASSINITIAL3-L00</v>
      </c>
      <c r="U1921" s="81" t="str">
        <f t="array" ref="U1921:U1922">{"SUBCLASSINITIAL4-L00";((INDEX(ALLCLASSDATA,MATCH("SubclassInitial4-L00",CLASSFEATUREHEADERS,0),MATCH(($A1922),CLASSNAMEHEADERS,0))))}</f>
        <v>SUBCLASSINITIAL4-L00</v>
      </c>
      <c r="V1921" s="81" t="str">
        <f t="array" ref="V1921:V1922">{"SUBCLASSINITIAL5-L00";((INDEX(ALLCLASSDATA,MATCH("SubclassInitial5-L00",CLASSFEATUREHEADERS,0),MATCH(($A1922),CLASSNAMEHEADERS,0))))}</f>
        <v>SUBCLASSINITIAL5-L00</v>
      </c>
      <c r="W1921" s="81" t="str">
        <f t="array" ref="W1921:W1922">{"SUBCLASSINITIAL6-L00";((INDEX(ALLCLASSDATA,MATCH("SubclassInitial6-L00",CLASSFEATUREHEADERS,0),MATCH(($A1922),CLASSNAMEHEADERS,0))))}</f>
        <v>SUBCLASSINITIAL6-L00</v>
      </c>
      <c r="X1921" s="81" t="str">
        <f t="array" ref="X1921:X1922">{"SUBCLASSINITIAL7-L00";((INDEX(ALLCLASSDATA,MATCH("SubclassInitial7-L00",CLASSFEATUREHEADERS,0),MATCH(($A1922),CLASSNAMEHEADERS,0))))}</f>
        <v>SUBCLASSINITIAL7-L00</v>
      </c>
      <c r="Y1921" s="81" t="str">
        <f t="array" ref="Y1921:Y1922">{"SUBCLASSINITIAL8-L00";((INDEX(ALLCLASSDATA,MATCH("SubclassInitial8-L00",CLASSFEATUREHEADERS,0),MATCH(($A1922),CLASSNAMEHEADERS,0))))}</f>
        <v>SUBCLASSINITIAL8-L00</v>
      </c>
      <c r="Z1921" s="81" t="str">
        <f t="array" ref="Z1921:Z1922">{"SUBCLASSINITIAL9-L00";((INDEX(ALLCLASSDATA,MATCH("SubclassInitial9-L00",CLASSFEATUREHEADERS,0),MATCH(($A1922),CLASSNAMEHEADERS,0))))}</f>
        <v>SUBCLASSINITIAL9-L00</v>
      </c>
      <c r="AA1921" s="81" t="str">
        <f t="array" ref="AA1921:AA1922">{"SUBCLASSINITIAL10-L00";((INDEX(ALLCLASSDATA,MATCH("SubclassInitial10-L00",CLASSFEATUREHEADERS,0),MATCH(($A1922),CLASSNAMEHEADERS,0))))}</f>
        <v>SUBCLASSINITIAL10-L00</v>
      </c>
      <c r="AB1921" s="76"/>
      <c r="AC1921" s="76"/>
    </row>
    <row r="1922">
      <c r="A1922" s="48" t="s">
        <v>231</v>
      </c>
      <c r="B1922" s="48"/>
      <c r="C1922" s="48" t="s">
        <v>418</v>
      </c>
      <c r="D1922" s="48" t="s">
        <v>614</v>
      </c>
      <c r="E1922" s="48" t="s">
        <v>616</v>
      </c>
      <c r="F1922" s="48"/>
      <c r="G1922" s="47"/>
      <c r="H1922" s="5" t="s">
        <v>1627</v>
      </c>
      <c r="I1922" s="5" t="s">
        <v>1640</v>
      </c>
      <c r="J1922" s="5" t="s">
        <v>1653</v>
      </c>
      <c r="K1922" s="5"/>
      <c r="L1922" s="5"/>
      <c r="M1922" s="5"/>
      <c r="N1922" s="5"/>
      <c r="O1922" s="5"/>
      <c r="P1922" s="5"/>
      <c r="Q1922" s="5"/>
      <c r="R1922" s="5" t="s">
        <v>1826</v>
      </c>
      <c r="S1922" s="284" t="s">
        <v>1837</v>
      </c>
      <c r="T1922" s="5"/>
      <c r="U1922" s="5"/>
      <c r="V1922" s="5"/>
      <c r="W1922" s="5"/>
      <c r="X1922" s="5"/>
      <c r="Y1922" s="5"/>
      <c r="Z1922" s="5"/>
      <c r="AA1922" s="5"/>
      <c r="AB1922" s="5"/>
      <c r="AC1922" s="47"/>
    </row>
    <row r="1923" hidden="1">
      <c r="A1923" s="76" t="str">
        <f t="array" ref="A1923:A1924">{"FormulaRow05";(INDEX(CLASSLIST,A1914,1))}</f>
        <v>FormulaRow05</v>
      </c>
      <c r="B1923" s="77" t="s">
        <v>236</v>
      </c>
      <c r="C1923" s="76" t="str">
        <f t="array" ref="C1923:C1924">{"CLASSTYPE";((INDEX(ALLCLASSDATA,MATCH("ClassType",CLASSFEATUREHEADERS,0),MATCH($A1924,CLASSNAMEHEADERS,0))))}</f>
        <v>CLASSTYPE</v>
      </c>
      <c r="D1923" s="76" t="str">
        <f t="array" ref="D1923:D1924">{"INITIALFEATURESPTS";"InitialFeaturesPts"}</f>
        <v>INITIALFEATURESPTS</v>
      </c>
      <c r="E1923" s="76" t="str">
        <f t="array" ref="E1923:E1924">{"CLASS/SUBCLASSFEATURES";"Class/Subclass Features"}</f>
        <v>CLASS/SUBCLASSFEATURES</v>
      </c>
      <c r="F1923" s="76"/>
      <c r="G1923" s="76"/>
      <c r="H1923" s="76" t="str">
        <f t="array" ref="H1923:H1924">{"CLASSINITIALABILITY1-L00PTS";((INDEX(ALLCLASSDATA,MATCH("ClassInitialAbility1-L00",CLASSFEATUREHEADERS,0),MATCH(($A1924 &amp; "Points"),CLASSNAMEHEADERS,0))))}</f>
        <v>CLASSINITIALABILITY1-L00PTS</v>
      </c>
      <c r="I1923" s="76" t="str">
        <f t="array" ref="I1923:I1924">{"CLASSINITIALABILITY2-L00PTS";((INDEX(ALLCLASSDATA,MATCH("ClassInitialAbility2-L00",CLASSFEATUREHEADERS,0),MATCH(($A1924 &amp; "Points"),CLASSNAMEHEADERS,0))))}</f>
        <v>CLASSINITIALABILITY2-L00PTS</v>
      </c>
      <c r="J1923" s="76" t="str">
        <f t="array" ref="J1923:J1924">{"CLASSINITIALABILITY3-L00PTS";((INDEX(ALLCLASSDATA,MATCH("ClassInitialAbility3-L00",CLASSFEATUREHEADERS,0),MATCH(($A1924 &amp; "Points"),CLASSNAMEHEADERS,0))))}</f>
        <v>CLASSINITIALABILITY3-L00PTS</v>
      </c>
      <c r="K1923" s="76" t="str">
        <f t="array" ref="K1923:K1924">{"CLASSINITIALABILITY4-L00PTS";((INDEX(ALLCLASSDATA,MATCH("ClassInitialAbility4-L00",CLASSFEATUREHEADERS,0),MATCH(($A1924 &amp; "Points"),CLASSNAMEHEADERS,0))))}</f>
        <v>CLASSINITIALABILITY4-L00PTS</v>
      </c>
      <c r="L1923" s="76" t="str">
        <f t="array" ref="L1923:L1924">{"CLASSINITIALABILITY5-L00PTS";((INDEX(ALLCLASSDATA,MATCH("ClassInitialAbility5-L00",CLASSFEATUREHEADERS,0),MATCH(($A1924 &amp; "Points"),CLASSNAMEHEADERS,0))))}</f>
        <v>CLASSINITIALABILITY5-L00PTS</v>
      </c>
      <c r="M1923" s="76" t="str">
        <f t="array" ref="M1923:M1924">{"CLASSINITIALABILITY6-L00PTS";((INDEX(ALLCLASSDATA,MATCH("ClassInitialAbility6-L00",CLASSFEATUREHEADERS,0),MATCH(($A1924 &amp; "Points"),CLASSNAMEHEADERS,0))))}</f>
        <v>CLASSINITIALABILITY6-L00PTS</v>
      </c>
      <c r="N1923" s="76" t="str">
        <f t="array" ref="N1923:N1924">{"CLASSINITIALABILITY7-L00PTS";((INDEX(ALLCLASSDATA,MATCH("ClassInitialAbility7-L00",CLASSFEATUREHEADERS,0),MATCH(($A1924 &amp; "Points"),CLASSNAMEHEADERS,0))))}</f>
        <v>CLASSINITIALABILITY7-L00PTS</v>
      </c>
      <c r="O1923" s="76" t="str">
        <f t="array" ref="O1923:O1924">{"CLASSINITIALABILITY8-L00PTS";((INDEX(ALLCLASSDATA,MATCH("ClassInitialAbility8-L00",CLASSFEATUREHEADERS,0),MATCH(($A1924 &amp; "Points"),CLASSNAMEHEADERS,0))))}</f>
        <v>CLASSINITIALABILITY8-L00PTS</v>
      </c>
      <c r="P1923" s="76" t="str">
        <f t="array" ref="P1923:P1924">{"CLASSINITIALABILITY9-L00PTS";((INDEX(ALLCLASSDATA,MATCH("ClassInitialAbility9-L00",CLASSFEATUREHEADERS,0),MATCH(($A1924 &amp; "Points"),CLASSNAMEHEADERS,0))))}</f>
        <v>CLASSINITIALABILITY9-L00PTS</v>
      </c>
      <c r="Q1923" s="76" t="str">
        <f t="array" ref="Q1923:Q1924">{"CLASSINITIALABILITY10-L00PTS";((INDEX(ALLCLASSDATA,MATCH("ClassInitialAbility10-L00",CLASSFEATUREHEADERS,0),MATCH(($A1924 &amp; "Points"),CLASSNAMEHEADERS,0))))}</f>
        <v>CLASSINITIALABILITY10-L00PTS</v>
      </c>
      <c r="R1923" s="76" t="str">
        <f t="array" ref="R1923:R1924">{"SUBCLASSINITIAL1-L00PTS";((INDEX(ALLCLASSDATA,MATCH("SubclassInitial1-L00",CLASSFEATUREHEADERS,0),MATCH(($A1924 &amp; "Points"),CLASSNAMEHEADERS,0))))}</f>
        <v>SUBCLASSINITIAL1-L00PTS</v>
      </c>
      <c r="S1923" s="76" t="str">
        <f t="array" ref="S1923:S1924">{"SUBCLASSINITIAL2-L00PTS";((INDEX(ALLCLASSDATA,MATCH("SubclassInitial2-L00",CLASSFEATUREHEADERS,0),MATCH(($A1924 &amp; "Points"),CLASSNAMEHEADERS,0))))}</f>
        <v>SUBCLASSINITIAL2-L00PTS</v>
      </c>
      <c r="T1923" s="76" t="str">
        <f t="array" ref="T1923:T1924">{"SUBCLASSINITIAL3-L00PTS";((INDEX(ALLCLASSDATA,MATCH("SubclassInitial3-L00",CLASSFEATUREHEADERS,0),MATCH(($A1924 &amp; "Points"),CLASSNAMEHEADERS,0))))}</f>
        <v>SUBCLASSINITIAL3-L00PTS</v>
      </c>
      <c r="U1923" s="76" t="str">
        <f t="array" ref="U1923:U1924">{"SUBCLASSINITIAL4-L00PTS";((INDEX(ALLCLASSDATA,MATCH("SubclassInitial4-L00",CLASSFEATUREHEADERS,0),MATCH(($A1924 &amp; "Points"),CLASSNAMEHEADERS,0))))}</f>
        <v>SUBCLASSINITIAL4-L00PTS</v>
      </c>
      <c r="V1923" s="76" t="str">
        <f t="array" ref="V1923:V1924">{"SUBCLASSINITIAL5-L00PTS";((INDEX(ALLCLASSDATA,MATCH("SubclassInitial5-L00",CLASSFEATUREHEADERS,0),MATCH(($A1924 &amp; "Points"),CLASSNAMEHEADERS,0))))}</f>
        <v>SUBCLASSINITIAL5-L00PTS</v>
      </c>
      <c r="W1923" s="76" t="str">
        <f t="array" ref="W1923:W1924">{"SUBCLASSINITIAL6-L00PTS";((INDEX(ALLCLASSDATA,MATCH("SubclassInitial6-L00",CLASSFEATUREHEADERS,0),MATCH(($A1924 &amp; "Points"),CLASSNAMEHEADERS,0))))}</f>
        <v>SUBCLASSINITIAL6-L00PTS</v>
      </c>
      <c r="X1923" s="76" t="str">
        <f t="array" ref="X1923:X1924">{"SUBCLASSINITIAL7-L00PTS";((INDEX(ALLCLASSDATA,MATCH("SubclassInitial7-L00",CLASSFEATUREHEADERS,0),MATCH(($A1924 &amp; "Points"),CLASSNAMEHEADERS,0))))}</f>
        <v>SUBCLASSINITIAL7-L00PTS</v>
      </c>
      <c r="Y1923" s="76" t="str">
        <f t="array" ref="Y1923:Y1924">{"SUBCLASSINITIAL8-L00PTS";((INDEX(ALLCLASSDATA,MATCH("SubclassInitial8-L00",CLASSFEATUREHEADERS,0),MATCH(($A1924 &amp; "Points"),CLASSNAMEHEADERS,0))))}</f>
        <v>SUBCLASSINITIAL8-L00PTS</v>
      </c>
      <c r="Z1923" s="76" t="str">
        <f t="array" ref="Z1923:Z1924">{"SUBCLASSINITIAL9-L00PTS";((INDEX(ALLCLASSDATA,MATCH("SubclassInitial9-L00",CLASSFEATUREHEADERS,0),MATCH(($A1924 &amp; "Points"),CLASSNAMEHEADERS,0))))}</f>
        <v>SUBCLASSINITIAL9-L00PTS</v>
      </c>
      <c r="AA1923" s="76" t="str">
        <f t="array" ref="AA1923:AA1924">{"SUBCLASSINITIAL10-L00PTS";((INDEX(ALLCLASSDATA,MATCH("SubclassInitial10-L00",CLASSFEATUREHEADERS,0),MATCH(($A1924 &amp; "Points"),CLASSNAMEHEADERS,0))))}</f>
        <v>SUBCLASSINITIAL10-L00PTS</v>
      </c>
      <c r="AB1923" s="76"/>
      <c r="AC1923" s="76" t="str">
        <f t="array" ref="AC1923:AC1924">{"INITIALFEATUREPTS TOTAL";(sum(G1924:AA1924))}</f>
        <v>INITIALFEATUREPTS TOTAL</v>
      </c>
    </row>
    <row r="1924">
      <c r="A1924" s="48" t="s">
        <v>231</v>
      </c>
      <c r="B1924" s="48"/>
      <c r="C1924" s="48" t="s">
        <v>418</v>
      </c>
      <c r="D1924" s="97" t="s">
        <v>651</v>
      </c>
      <c r="E1924" s="97" t="s">
        <v>616</v>
      </c>
      <c r="F1924" s="97"/>
      <c r="G1924" s="132"/>
      <c r="H1924" s="98"/>
      <c r="I1924" s="98">
        <v>170.0</v>
      </c>
      <c r="J1924" s="97"/>
      <c r="K1924" s="98"/>
      <c r="L1924" s="97"/>
      <c r="M1924" s="98"/>
      <c r="N1924" s="98"/>
      <c r="O1924" s="98"/>
      <c r="P1924" s="98"/>
      <c r="Q1924" s="98"/>
      <c r="R1924" s="98"/>
      <c r="S1924" s="98"/>
      <c r="T1924" s="98"/>
      <c r="U1924" s="98"/>
      <c r="V1924" s="98"/>
      <c r="W1924" s="98"/>
      <c r="X1924" s="98"/>
      <c r="Y1924" s="98"/>
      <c r="Z1924" s="98"/>
      <c r="AA1924" s="98"/>
      <c r="AB1924" s="5"/>
      <c r="AC1924" s="47">
        <v>170.0</v>
      </c>
    </row>
    <row r="1925" hidden="1">
      <c r="A1925" s="76" t="str">
        <f t="array" ref="A1925:A1926">{"FormulaRow06";(INDEX(CLASSLIST,A1914,1))}</f>
        <v>FormulaRow06</v>
      </c>
      <c r="B1925" s="77" t="s">
        <v>236</v>
      </c>
      <c r="C1925" s="76" t="str">
        <f t="array" ref="C1925:C1926">{"CLASSTYPE";((INDEX(ALLCLASSDATA,MATCH("ClassType",CLASSFEATUREHEADERS,0),MATCH($A1926,CLASSNAMEHEADERS,0))))}</f>
        <v>CLASSTYPE</v>
      </c>
      <c r="D1925" s="81" t="str">
        <f t="array" ref="D1925:D1926">{"SKILLS";"Skills"}</f>
        <v>SKILLS</v>
      </c>
      <c r="E1925" s="81" t="str">
        <f t="array" ref="E1925:E1926">{"EXTRASKILLINCREASES";"Extra Skill Increases"}</f>
        <v>EXTRASKILLINCREASES</v>
      </c>
      <c r="F1925" s="81"/>
      <c r="G1925" s="81"/>
      <c r="H1925" s="81"/>
      <c r="I1925" s="81" t="str">
        <f t="array" ref="I1925:I1926">{"SKILLINCREASEEXTRA-L02";((INDEX(ALLCLASSDATA,MATCH("SkillIncreaseExtra-L02",CLASSFEATUREHEADERS,0),MATCH(($A1926 &amp; "Points"),CLASSNAMEHEADERS,0))))}</f>
        <v>SKILLINCREASEEXTRA-L02</v>
      </c>
      <c r="J1925" s="81" t="str">
        <f t="array" ref="J1925:J1926">{"SKILLINCREASEEXTRA-L03";((INDEX(ALLCLASSDATA,MATCH("SkillIncreaseExtra-L03",CLASSFEATUREHEADERS,0),MATCH(($A1926 &amp; "Points"),CLASSNAMEHEADERS,0))))}</f>
        <v>SKILLINCREASEEXTRA-L03</v>
      </c>
      <c r="K1925" s="81" t="str">
        <f t="array" ref="K1925:K1926">{"SKILLINCREASEEXTRA-L04";((INDEX(ALLCLASSDATA,MATCH("SkillIncreaseExtra-L04",CLASSFEATUREHEADERS,0),MATCH(($A1926 &amp; "Points"),CLASSNAMEHEADERS,0))))}</f>
        <v>SKILLINCREASEEXTRA-L04</v>
      </c>
      <c r="L1925" s="81" t="str">
        <f t="array" ref="L1925:L1926">{"SKILLINCREASEEXTRA-L05";((INDEX(ALLCLASSDATA,MATCH("SkillIncreaseExtra-L05",CLASSFEATUREHEADERS,0),MATCH(($A1926 &amp; "Points"),CLASSNAMEHEADERS,0))))}</f>
        <v>SKILLINCREASEEXTRA-L05</v>
      </c>
      <c r="M1925" s="81" t="str">
        <f t="array" ref="M1925:M1926">{"SKILLINCREASEEXTRA-L06";((INDEX(ALLCLASSDATA,MATCH("SkillIncreaseExtra-L06",CLASSFEATUREHEADERS,0),MATCH(($A1926 &amp; "Points"),CLASSNAMEHEADERS,0))))}</f>
        <v>SKILLINCREASEEXTRA-L06</v>
      </c>
      <c r="N1925" s="81" t="str">
        <f t="array" ref="N1925:N1926">{"SKILLINCREASEEXTRA-L07";((INDEX(ALLCLASSDATA,MATCH("SkillIncreaseExtra-L07",CLASSFEATUREHEADERS,0),MATCH(($A1926 &amp; "Points"),CLASSNAMEHEADERS,0))))}</f>
        <v>SKILLINCREASEEXTRA-L07</v>
      </c>
      <c r="O1925" s="81" t="str">
        <f t="array" ref="O1925:O1926">{"SKILLINCREASEEXTRA-L08";((INDEX(ALLCLASSDATA,MATCH("SkillIncreaseExtra-L08",CLASSFEATUREHEADERS,0),MATCH(($A1926 &amp; "Points"),CLASSNAMEHEADERS,0))))}</f>
        <v>SKILLINCREASEEXTRA-L08</v>
      </c>
      <c r="P1925" s="81" t="str">
        <f t="array" ref="P1925:P1926">{"SKILLINCREASEEXTRA-L09";((INDEX(ALLCLASSDATA,MATCH("SkillIncreaseExtra-L09",CLASSFEATUREHEADERS,0),MATCH(($A1926 &amp; "Points"),CLASSNAMEHEADERS,0))))}</f>
        <v>SKILLINCREASEEXTRA-L09</v>
      </c>
      <c r="Q1925" s="81" t="str">
        <f t="array" ref="Q1925:Q1926">{"SKILLINCREASEEXTRA-L10";((INDEX(ALLCLASSDATA,MATCH("SkillIncreaseExtra-L10",CLASSFEATUREHEADERS,0),MATCH(($A1926 &amp; "Points"),CLASSNAMEHEADERS,0))))}</f>
        <v>SKILLINCREASEEXTRA-L10</v>
      </c>
      <c r="R1925" s="81" t="str">
        <f t="array" ref="R1925:R1926">{"SKILLINCREASEEXTRA-L11";((INDEX(ALLCLASSDATA,MATCH("SkillIncreaseExtra-L11",CLASSFEATUREHEADERS,0),MATCH(($A1926 &amp; "Points"),CLASSNAMEHEADERS,0))))}</f>
        <v>SKILLINCREASEEXTRA-L11</v>
      </c>
      <c r="S1925" s="81" t="str">
        <f t="array" ref="S1925:S1926">{"SKILLINCREASEEXTRA-L12";((INDEX(ALLCLASSDATA,MATCH("SkillIncreaseExtra-L12",CLASSFEATUREHEADERS,0),MATCH(($A1926 &amp; "Points"),CLASSNAMEHEADERS,0))))}</f>
        <v>SKILLINCREASEEXTRA-L12</v>
      </c>
      <c r="T1925" s="81" t="str">
        <f t="array" ref="T1925:T1926">{"SKILLINCREASEEXTRA-L13";((INDEX(ALLCLASSDATA,MATCH("SkillIncreaseExtra-L13",CLASSFEATUREHEADERS,0),MATCH(($A1926 &amp; "Points"),CLASSNAMEHEADERS,0))))}</f>
        <v>SKILLINCREASEEXTRA-L13</v>
      </c>
      <c r="U1925" s="81" t="str">
        <f t="array" ref="U1925:U1926">{"SKILLINCREASEEXTRA-L14";((INDEX(ALLCLASSDATA,MATCH("SkillIncreaseExtra-L14",CLASSFEATUREHEADERS,0),MATCH(($A1926 &amp; "Points"),CLASSNAMEHEADERS,0))))}</f>
        <v>SKILLINCREASEEXTRA-L14</v>
      </c>
      <c r="V1925" s="81" t="str">
        <f t="array" ref="V1925:V1926">{"SKILLINCREASEEXTRA-L15";((INDEX(ALLCLASSDATA,MATCH("SkillIncreaseExtra-L15",CLASSFEATUREHEADERS,0),MATCH(($A1926 &amp; "Points"),CLASSNAMEHEADERS,0))))}</f>
        <v>SKILLINCREASEEXTRA-L15</v>
      </c>
      <c r="W1925" s="81" t="str">
        <f t="array" ref="W1925:W1926">{"SKILLINCREASEEXTRA-L16";((INDEX(ALLCLASSDATA,MATCH("SkillIncreaseExtra-L16",CLASSFEATUREHEADERS,0),MATCH(($A1926 &amp; "Points"),CLASSNAMEHEADERS,0))))}</f>
        <v>SKILLINCREASEEXTRA-L16</v>
      </c>
      <c r="X1925" s="81" t="str">
        <f t="array" ref="X1925:X1926">{"SKILLINCREASEEXTRA-L17";((INDEX(ALLCLASSDATA,MATCH("SkillIncreaseExtra-L17",CLASSFEATUREHEADERS,0),MATCH(($A1926 &amp; "Points"),CLASSNAMEHEADERS,0))))}</f>
        <v>SKILLINCREASEEXTRA-L17</v>
      </c>
      <c r="Y1925" s="81" t="str">
        <f t="array" ref="Y1925:Y1926">{"SKILLINCREASEEXTRA-L18";((INDEX(ALLCLASSDATA,MATCH("SkillIncreaseExtra-L18",CLASSFEATUREHEADERS,0),MATCH(($A1926 &amp; "Points"),CLASSNAMEHEADERS,0))))}</f>
        <v>SKILLINCREASEEXTRA-L18</v>
      </c>
      <c r="Z1925" s="81" t="str">
        <f t="array" ref="Z1925:Z1926">{"SKILLINCREASEEXTRA-L19";((INDEX(ALLCLASSDATA,MATCH("SkillIncreaseExtra-L19",CLASSFEATUREHEADERS,0),MATCH(($A1926 &amp; "Points"),CLASSNAMEHEADERS,0))))}</f>
        <v>SKILLINCREASEEXTRA-L19</v>
      </c>
      <c r="AA1925" s="81" t="str">
        <f t="array" ref="AA1925:AA1926">{"SKILLINCREASEEXTRA-L20";((INDEX(ALLCLASSDATA,MATCH("SkillIncreaseExtra-L20",CLASSFEATUREHEADERS,0),MATCH(($A1926 &amp; "Points"),CLASSNAMEHEADERS,0))))}</f>
        <v>SKILLINCREASEEXTRA-L20</v>
      </c>
      <c r="AB1925" s="76"/>
      <c r="AC1925" s="76" t="str">
        <f t="array" ref="AC1925:AC1926">{"SKILLINCREASE TOTAL";(sum(G1926:AA1926))}</f>
        <v>SKILLINCREASE TOTAL</v>
      </c>
    </row>
    <row r="1926">
      <c r="A1926" s="48" t="s">
        <v>231</v>
      </c>
      <c r="B1926" s="48"/>
      <c r="C1926" s="48" t="s">
        <v>418</v>
      </c>
      <c r="D1926" s="48" t="s">
        <v>659</v>
      </c>
      <c r="E1926" s="48" t="s">
        <v>661</v>
      </c>
      <c r="F1926" s="48"/>
      <c r="G1926" s="47"/>
      <c r="H1926" s="5"/>
      <c r="I1926" s="5" t="s">
        <v>603</v>
      </c>
      <c r="J1926" s="5" t="s">
        <v>603</v>
      </c>
      <c r="K1926" s="5" t="s">
        <v>603</v>
      </c>
      <c r="L1926" s="48" t="s">
        <v>603</v>
      </c>
      <c r="M1926" s="5" t="s">
        <v>603</v>
      </c>
      <c r="N1926" s="5" t="s">
        <v>603</v>
      </c>
      <c r="O1926" s="5" t="s">
        <v>603</v>
      </c>
      <c r="P1926" s="5" t="s">
        <v>603</v>
      </c>
      <c r="Q1926" s="5" t="s">
        <v>603</v>
      </c>
      <c r="R1926" s="5" t="s">
        <v>603</v>
      </c>
      <c r="S1926" s="5" t="s">
        <v>603</v>
      </c>
      <c r="T1926" s="5" t="s">
        <v>603</v>
      </c>
      <c r="U1926" s="5" t="s">
        <v>603</v>
      </c>
      <c r="V1926" s="5" t="s">
        <v>603</v>
      </c>
      <c r="W1926" s="5" t="s">
        <v>603</v>
      </c>
      <c r="X1926" s="5" t="s">
        <v>603</v>
      </c>
      <c r="Y1926" s="5" t="s">
        <v>603</v>
      </c>
      <c r="Z1926" s="5" t="s">
        <v>603</v>
      </c>
      <c r="AA1926" s="5" t="s">
        <v>603</v>
      </c>
      <c r="AB1926" s="5"/>
      <c r="AC1926" s="47">
        <v>0.0</v>
      </c>
    </row>
    <row r="1927" hidden="1">
      <c r="A1927" s="76" t="str">
        <f t="array" ref="A1927:A1928">{"FormulaRow07";(INDEX(CLASSLIST,A1914,1))}</f>
        <v>FormulaRow07</v>
      </c>
      <c r="B1927" s="77" t="s">
        <v>236</v>
      </c>
      <c r="C1927" s="76" t="str">
        <f t="array" ref="C1927:C1928">{"CLASSTYPE";((INDEX(ALLCLASSDATA,MATCH("ClassType",CLASSFEATUREHEADERS,0),MATCH($A1928,CLASSNAMEHEADERS,0))))}</f>
        <v>CLASSTYPE</v>
      </c>
      <c r="D1927" s="76" t="str">
        <f t="array" ref="D1927:D1928">{"SKILLS";"Skills"}</f>
        <v>SKILLS</v>
      </c>
      <c r="E1927" s="76" t="str">
        <f t="array" ref="E1927:E1928">{"EXTRASKILLFEATS";"Extra Skill Feats"}</f>
        <v>EXTRASKILLFEATS</v>
      </c>
      <c r="F1927" s="76"/>
      <c r="G1927" s="76"/>
      <c r="H1927" s="76" t="str">
        <f t="array" ref="H1927:H1928">{"SKILLFEATEXTRA-L01";((INDEX(ALLCLASSDATA,MATCH("SkillFeatExtra-L01",CLASSFEATUREHEADERS,0),MATCH(($A1928 &amp; "Points"),CLASSNAMEHEADERS,0))))}</f>
        <v>SKILLFEATEXTRA-L01</v>
      </c>
      <c r="I1927" s="76" t="str">
        <f t="array" ref="I1927:I1928">{"SKILLFEATEXTRA-L02";((INDEX(ALLCLASSDATA,MATCH("SkillFeatExtra-L02",CLASSFEATUREHEADERS,0),MATCH(($A1928 &amp; "Points"),CLASSNAMEHEADERS,0))))}</f>
        <v>SKILLFEATEXTRA-L02</v>
      </c>
      <c r="J1927" s="76" t="str">
        <f t="array" ref="J1927:J1928">{"SKILLFEATEXTRA-L03";((INDEX(ALLCLASSDATA,MATCH("SkillFeatExtra-L03",CLASSFEATUREHEADERS,0),MATCH(($A1928 &amp; "Points"),CLASSNAMEHEADERS,0))))}</f>
        <v>SKILLFEATEXTRA-L03</v>
      </c>
      <c r="K1927" s="76" t="str">
        <f t="array" ref="K1927:K1928">{"SKILLFEATEXTRA-L04";((INDEX(ALLCLASSDATA,MATCH("SkillFeatExtra-L04",CLASSFEATUREHEADERS,0),MATCH(($A1928 &amp; "Points"),CLASSNAMEHEADERS,0))))}</f>
        <v>SKILLFEATEXTRA-L04</v>
      </c>
      <c r="L1927" s="76" t="str">
        <f t="array" ref="L1927:L1928">{"SKILLFEATEXTRA-L05";((INDEX(ALLCLASSDATA,MATCH("SkillFeatExtra-L05",CLASSFEATUREHEADERS,0),MATCH(($A1928 &amp; "Points"),CLASSNAMEHEADERS,0))))}</f>
        <v>SKILLFEATEXTRA-L05</v>
      </c>
      <c r="M1927" s="76" t="str">
        <f t="array" ref="M1927:M1928">{"SKILLFEATEXTRA-L06";((INDEX(ALLCLASSDATA,MATCH("SkillFeatExtra-L06",CLASSFEATUREHEADERS,0),MATCH(($A1928 &amp; "Points"),CLASSNAMEHEADERS,0))))}</f>
        <v>SKILLFEATEXTRA-L06</v>
      </c>
      <c r="N1927" s="76" t="str">
        <f t="array" ref="N1927:N1928">{"SKILLFEATEXTRA-L07";((INDEX(ALLCLASSDATA,MATCH("SkillFeatExtra-L07",CLASSFEATUREHEADERS,0),MATCH(($A1928 &amp; "Points"),CLASSNAMEHEADERS,0))))}</f>
        <v>SKILLFEATEXTRA-L07</v>
      </c>
      <c r="O1927" s="76" t="str">
        <f t="array" ref="O1927:O1928">{"SKILLFEATEXTRA-L08";((INDEX(ALLCLASSDATA,MATCH("SkillFeatExtra-L08",CLASSFEATUREHEADERS,0),MATCH(($A1928 &amp; "Points"),CLASSNAMEHEADERS,0))))}</f>
        <v>SKILLFEATEXTRA-L08</v>
      </c>
      <c r="P1927" s="76" t="str">
        <f t="array" ref="P1927:P1928">{"SKILLFEATEXTRA-L09";((INDEX(ALLCLASSDATA,MATCH("SkillFeatExtra-L09",CLASSFEATUREHEADERS,0),MATCH(($A1928 &amp; "Points"),CLASSNAMEHEADERS,0))))}</f>
        <v>SKILLFEATEXTRA-L09</v>
      </c>
      <c r="Q1927" s="76" t="str">
        <f t="array" ref="Q1927:Q1928">{"SKILLFEATEXTRA-L10";((INDEX(ALLCLASSDATA,MATCH("SkillFeatExtra-L10",CLASSFEATUREHEADERS,0),MATCH(($A1928 &amp; "Points"),CLASSNAMEHEADERS,0))))}</f>
        <v>SKILLFEATEXTRA-L10</v>
      </c>
      <c r="R1927" s="76" t="str">
        <f t="array" ref="R1927:R1928">{"SKILLFEATEXTRA-L11";((INDEX(ALLCLASSDATA,MATCH("SkillFeatExtra-L11",CLASSFEATUREHEADERS,0),MATCH(($A1928 &amp; "Points"),CLASSNAMEHEADERS,0))))}</f>
        <v>SKILLFEATEXTRA-L11</v>
      </c>
      <c r="S1927" s="76" t="str">
        <f t="array" ref="S1927:S1928">{"SKILLFEATEXTRA-L12";((INDEX(ALLCLASSDATA,MATCH("SkillFeatExtra-L12",CLASSFEATUREHEADERS,0),MATCH(($A1928 &amp; "Points"),CLASSNAMEHEADERS,0))))}</f>
        <v>SKILLFEATEXTRA-L12</v>
      </c>
      <c r="T1927" s="76" t="str">
        <f t="array" ref="T1927:T1928">{"SKILLFEATEXTRA-L13";((INDEX(ALLCLASSDATA,MATCH("SkillFeatExtra-L13",CLASSFEATUREHEADERS,0),MATCH(($A1928 &amp; "Points"),CLASSNAMEHEADERS,0))))}</f>
        <v>SKILLFEATEXTRA-L13</v>
      </c>
      <c r="U1927" s="76" t="str">
        <f t="array" ref="U1927:U1928">{"SKILLFEATEXTRA-L14";((INDEX(ALLCLASSDATA,MATCH("SkillFeatExtra-L14",CLASSFEATUREHEADERS,0),MATCH(($A1928 &amp; "Points"),CLASSNAMEHEADERS,0))))}</f>
        <v>SKILLFEATEXTRA-L14</v>
      </c>
      <c r="V1927" s="76" t="str">
        <f t="array" ref="V1927:V1928">{"SKILLFEATEXTRA-L15";((INDEX(ALLCLASSDATA,MATCH("SkillFeatExtra-L15",CLASSFEATUREHEADERS,0),MATCH(($A1928 &amp; "Points"),CLASSNAMEHEADERS,0))))}</f>
        <v>SKILLFEATEXTRA-L15</v>
      </c>
      <c r="W1927" s="76" t="str">
        <f t="array" ref="W1927:W1928">{"SKILLFEATEXTRA-L16";((INDEX(ALLCLASSDATA,MATCH("SkillFeatExtra-L16",CLASSFEATUREHEADERS,0),MATCH(($A1928 &amp; "Points"),CLASSNAMEHEADERS,0))))}</f>
        <v>SKILLFEATEXTRA-L16</v>
      </c>
      <c r="X1927" s="76" t="str">
        <f t="array" ref="X1927:X1928">{"SKILLFEATEXTRA-L17";((INDEX(ALLCLASSDATA,MATCH("SkillFeatExtra-L17",CLASSFEATUREHEADERS,0),MATCH(($A1928 &amp; "Points"),CLASSNAMEHEADERS,0))))}</f>
        <v>SKILLFEATEXTRA-L17</v>
      </c>
      <c r="Y1927" s="76" t="str">
        <f t="array" ref="Y1927:Y1928">{"SKILLFEATEXTRA-L18";((INDEX(ALLCLASSDATA,MATCH("SkillFeatExtra-L18",CLASSFEATUREHEADERS,0),MATCH(($A1928 &amp; "Points"),CLASSNAMEHEADERS,0))))}</f>
        <v>SKILLFEATEXTRA-L18</v>
      </c>
      <c r="Z1927" s="76" t="str">
        <f t="array" ref="Z1927:Z1928">{"SKILLFEATEXTRA-L19";((INDEX(ALLCLASSDATA,MATCH("SkillFeatExtra-L19",CLASSFEATUREHEADERS,0),MATCH(($A1928 &amp; "Points"),CLASSNAMEHEADERS,0))))}</f>
        <v>SKILLFEATEXTRA-L19</v>
      </c>
      <c r="AA1927" s="76" t="str">
        <f t="array" ref="AA1927:AA1928">{"SKILLFEATEXTRA-L20";((INDEX(ALLCLASSDATA,MATCH("SkillFeatExtra-L20",CLASSFEATUREHEADERS,0),MATCH(($A1928 &amp; "Points"),CLASSNAMEHEADERS,0))))}</f>
        <v>SKILLFEATEXTRA-L20</v>
      </c>
      <c r="AB1927" s="76"/>
      <c r="AC1927" s="76" t="str">
        <f t="array" ref="AC1927:AC1928">{"SKILLFEAT TOTAL";(sum(G1928:AA1928))}</f>
        <v>SKILLFEAT TOTAL</v>
      </c>
    </row>
    <row r="1928">
      <c r="A1928" s="48" t="s">
        <v>231</v>
      </c>
      <c r="B1928" s="48"/>
      <c r="C1928" s="48" t="s">
        <v>418</v>
      </c>
      <c r="D1928" s="97" t="s">
        <v>659</v>
      </c>
      <c r="E1928" s="97" t="s">
        <v>722</v>
      </c>
      <c r="F1928" s="97"/>
      <c r="G1928" s="132"/>
      <c r="H1928" s="98" t="s">
        <v>603</v>
      </c>
      <c r="I1928" s="98" t="s">
        <v>603</v>
      </c>
      <c r="J1928" s="97" t="s">
        <v>603</v>
      </c>
      <c r="K1928" s="98" t="s">
        <v>603</v>
      </c>
      <c r="L1928" s="97" t="s">
        <v>603</v>
      </c>
      <c r="M1928" s="98" t="s">
        <v>603</v>
      </c>
      <c r="N1928" s="98" t="s">
        <v>603</v>
      </c>
      <c r="O1928" s="98" t="s">
        <v>603</v>
      </c>
      <c r="P1928" s="98" t="s">
        <v>603</v>
      </c>
      <c r="Q1928" s="98" t="s">
        <v>603</v>
      </c>
      <c r="R1928" s="98" t="s">
        <v>603</v>
      </c>
      <c r="S1928" s="98" t="s">
        <v>603</v>
      </c>
      <c r="T1928" s="98" t="s">
        <v>603</v>
      </c>
      <c r="U1928" s="98" t="s">
        <v>603</v>
      </c>
      <c r="V1928" s="98" t="s">
        <v>603</v>
      </c>
      <c r="W1928" s="98" t="s">
        <v>603</v>
      </c>
      <c r="X1928" s="98" t="s">
        <v>603</v>
      </c>
      <c r="Y1928" s="98" t="s">
        <v>603</v>
      </c>
      <c r="Z1928" s="98" t="s">
        <v>603</v>
      </c>
      <c r="AA1928" s="98" t="s">
        <v>603</v>
      </c>
      <c r="AB1928" s="5"/>
      <c r="AC1928" s="47">
        <v>0.0</v>
      </c>
    </row>
    <row r="1929" hidden="1">
      <c r="A1929" s="76" t="str">
        <f t="array" ref="A1929:A1930">{"FormulaRow08";(INDEX(CLASSLIST,A1914,1))}</f>
        <v>FormulaRow08</v>
      </c>
      <c r="B1929" s="77" t="s">
        <v>236</v>
      </c>
      <c r="C1929" s="76" t="str">
        <f t="array" ref="C1929:C1930">{"CLASSTYPE";((INDEX(ALLCLASSDATA,MATCH("ClassType",CLASSFEATUREHEADERS,0),MATCH($A1930,CLASSNAMEHEADERS,0))))}</f>
        <v>CLASSTYPE</v>
      </c>
      <c r="D1929" s="81" t="str">
        <f t="array" ref="D1929:D1930">{"CLASSABILITY";"ClassAbility"}</f>
        <v>CLASSABILITY</v>
      </c>
      <c r="E1929" s="81" t="str">
        <f t="array" ref="E1929:E1930">{"CLASSABILITY1";"ClassAbility1"}</f>
        <v>CLASSABILITY1</v>
      </c>
      <c r="F1929" s="81"/>
      <c r="G1929" s="81"/>
      <c r="H1929" s="81"/>
      <c r="I1929" s="81"/>
      <c r="J1929" s="81" t="str">
        <f t="array" ref="J1929:J1930">{"CLASSABILITY1-L03";((INDEX(ALLCLASSDATA,MATCH("ClassAbility1-L03",CLASSFEATUREHEADERS,0),MATCH(($A1930),CLASSNAMEHEADERS,0))))}</f>
        <v>CLASSABILITY1-L03</v>
      </c>
      <c r="K1929" s="81"/>
      <c r="L1929" s="81" t="str">
        <f t="array" ref="L1929:L1930">{"CLASSABILITY1-L05";((INDEX(ALLCLASSDATA,MATCH("ClassAbility1-L05",CLASSFEATUREHEADERS,0),MATCH(($A1930),CLASSNAMEHEADERS,0))))}</f>
        <v>CLASSABILITY1-L05</v>
      </c>
      <c r="M1929" s="81"/>
      <c r="N1929" s="81" t="str">
        <f t="array" ref="N1929:N1930">{"CLASSABILITY1-L07";((INDEX(ALLCLASSDATA,MATCH("ClassAbility1-L07",CLASSFEATUREHEADERS,0),MATCH(($A1930),CLASSNAMEHEADERS,0))))}</f>
        <v>CLASSABILITY1-L07</v>
      </c>
      <c r="O1929" s="81"/>
      <c r="P1929" s="81" t="str">
        <f t="array" ref="P1929:P1930">{"CLASSABILITY1-L09";((INDEX(ALLCLASSDATA,MATCH("ClassAbility1-L09",CLASSFEATUREHEADERS,0),MATCH(($A1930),CLASSNAMEHEADERS,0))))}</f>
        <v>CLASSABILITY1-L09</v>
      </c>
      <c r="Q1929" s="81"/>
      <c r="R1929" s="81" t="str">
        <f t="array" ref="R1929:R1930">{"CLASSABILITY1-L11";((INDEX(ALLCLASSDATA,MATCH("ClassAbility1-L11",CLASSFEATUREHEADERS,0),MATCH(($A1930),CLASSNAMEHEADERS,0))))}</f>
        <v>CLASSABILITY1-L11</v>
      </c>
      <c r="S1929" s="81"/>
      <c r="T1929" s="81" t="str">
        <f t="array" ref="T1929:T1930">{"CLASSABILITY1-L13";((INDEX(ALLCLASSDATA,MATCH("ClassAbility1-L13",CLASSFEATUREHEADERS,0),MATCH(($A1930),CLASSNAMEHEADERS,0))))}</f>
        <v>CLASSABILITY1-L13</v>
      </c>
      <c r="U1929" s="81"/>
      <c r="V1929" s="81" t="str">
        <f t="array" ref="V1929:V1930">{"CLASSABILITY1-L15";((INDEX(ALLCLASSDATA,MATCH("ClassAbility1-L15",CLASSFEATUREHEADERS,0),MATCH(($A1930),CLASSNAMEHEADERS,0))))}</f>
        <v>CLASSABILITY1-L15</v>
      </c>
      <c r="W1929" s="81"/>
      <c r="X1929" s="81" t="str">
        <f t="array" ref="X1929:X1930">{"CLASSABILITY1-L17";((INDEX(ALLCLASSDATA,MATCH("ClassAbility1-L17",CLASSFEATUREHEADERS,0),MATCH(($A1930),CLASSNAMEHEADERS,0))))}</f>
        <v>CLASSABILITY1-L17</v>
      </c>
      <c r="Y1929" s="81"/>
      <c r="Z1929" s="81" t="str">
        <f t="array" ref="Z1929:Z1930">{"CLASSABILITY1-L19";((INDEX(ALLCLASSDATA,MATCH("ClassAbility1-L19",CLASSFEATUREHEADERS,0),MATCH(($A1930),CLASSNAMEHEADERS,0))))}</f>
        <v>CLASSABILITY1-L19</v>
      </c>
      <c r="AA1929" s="81"/>
      <c r="AB1929" s="76"/>
      <c r="AC1929" s="76"/>
    </row>
    <row r="1930">
      <c r="A1930" s="48" t="s">
        <v>231</v>
      </c>
      <c r="B1930" s="48"/>
      <c r="C1930" s="48" t="s">
        <v>418</v>
      </c>
      <c r="D1930" s="48" t="s">
        <v>825</v>
      </c>
      <c r="E1930" s="48" t="s">
        <v>826</v>
      </c>
      <c r="F1930" s="5"/>
      <c r="G1930" s="47"/>
      <c r="H1930" s="5"/>
      <c r="I1930" s="5"/>
      <c r="J1930" s="5"/>
      <c r="K1930" s="5"/>
      <c r="L1930" s="5" t="s">
        <v>1698</v>
      </c>
      <c r="M1930" s="5"/>
      <c r="N1930" s="5" t="s">
        <v>350</v>
      </c>
      <c r="O1930" s="5"/>
      <c r="P1930" s="5" t="s">
        <v>323</v>
      </c>
      <c r="Q1930" s="5"/>
      <c r="R1930" s="5" t="s">
        <v>359</v>
      </c>
      <c r="S1930" s="5"/>
      <c r="T1930" s="5" t="s">
        <v>369</v>
      </c>
      <c r="U1930" s="5"/>
      <c r="V1930" s="5" t="s">
        <v>353</v>
      </c>
      <c r="W1930" s="5"/>
      <c r="X1930" s="5" t="s">
        <v>335</v>
      </c>
      <c r="Y1930" s="5"/>
      <c r="Z1930" s="5" t="s">
        <v>1796</v>
      </c>
      <c r="AA1930" s="5"/>
      <c r="AB1930" s="5"/>
      <c r="AC1930" s="47"/>
    </row>
    <row r="1931" hidden="1">
      <c r="A1931" s="76" t="str">
        <f t="array" ref="A1931:A1932">{"FormulaRow09";(INDEX(CLASSLIST,A1914,1))}</f>
        <v>FormulaRow09</v>
      </c>
      <c r="B1931" s="77" t="s">
        <v>236</v>
      </c>
      <c r="C1931" s="76" t="str">
        <f t="array" ref="C1931:C1932">{"CLASSTYPE";((INDEX(ALLCLASSDATA,MATCH("ClassType",CLASSFEATUREHEADERS,0),MATCH($A1932,CLASSNAMEHEADERS,0))))}</f>
        <v>CLASSTYPE</v>
      </c>
      <c r="D1931" s="76" t="str">
        <f t="array" ref="D1931:D1932">{"CLASSABILITYPTS";"ClassAbilityPts"}</f>
        <v>CLASSABILITYPTS</v>
      </c>
      <c r="E1931" s="76" t="str">
        <f t="array" ref="E1931:E1932">{"CLASSABILITY1";"ClassAbility1"}</f>
        <v>CLASSABILITY1</v>
      </c>
      <c r="F1931" s="76"/>
      <c r="G1931" s="76"/>
      <c r="H1931" s="76"/>
      <c r="I1931" s="76"/>
      <c r="J1931" s="76" t="str">
        <f t="array" ref="J1931:J1932">{"CLASSABILITY1-L03PTS";((INDEX(ALLCLASSDATA,MATCH("ClassAbility1-L03",CLASSFEATUREHEADERS,0),MATCH(($A1932 &amp; "Points"),CLASSNAMEHEADERS,0))))}</f>
        <v>CLASSABILITY1-L03PTS</v>
      </c>
      <c r="K1931" s="76"/>
      <c r="L1931" s="76" t="str">
        <f t="array" ref="L1931:L1932">{"CLASSABILITY1-L05PTS";((INDEX(ALLCLASSDATA,MATCH("ClassAbility1-L05",CLASSFEATUREHEADERS,0),MATCH(($A1932 &amp; "Points"),CLASSNAMEHEADERS,0))))}</f>
        <v>CLASSABILITY1-L05PTS</v>
      </c>
      <c r="M1931" s="76"/>
      <c r="N1931" s="76" t="str">
        <f t="array" ref="N1931:N1932">{"CLASSABILITY1-L07PTS";((INDEX(ALLCLASSDATA,MATCH("ClassAbility1-L07",CLASSFEATUREHEADERS,0),MATCH(($A1932 &amp; "Points"),CLASSNAMEHEADERS,0))))}</f>
        <v>CLASSABILITY1-L07PTS</v>
      </c>
      <c r="O1931" s="76"/>
      <c r="P1931" s="76" t="str">
        <f t="array" ref="P1931:P1932">{"CLASSABILITY1-L09PTS";((INDEX(ALLCLASSDATA,MATCH("ClassAbility1-L09",CLASSFEATUREHEADERS,0),MATCH(($A1932 &amp; "Points"),CLASSNAMEHEADERS,0))))}</f>
        <v>CLASSABILITY1-L09PTS</v>
      </c>
      <c r="Q1931" s="76"/>
      <c r="R1931" s="76" t="str">
        <f t="array" ref="R1931:R1932">{"CLASSABILITY1-L11PTS";((INDEX(ALLCLASSDATA,MATCH("ClassAbility1-L11",CLASSFEATUREHEADERS,0),MATCH(($A1932 &amp; "Points"),CLASSNAMEHEADERS,0))))}</f>
        <v>CLASSABILITY1-L11PTS</v>
      </c>
      <c r="S1931" s="76"/>
      <c r="T1931" s="76" t="str">
        <f t="array" ref="T1931:T1932">{"CLASSABILITY1-L13PTS";((INDEX(ALLCLASSDATA,MATCH("ClassAbility1-L13",CLASSFEATUREHEADERS,0),MATCH(($A1932 &amp; "Points"),CLASSNAMEHEADERS,0))))}</f>
        <v>CLASSABILITY1-L13PTS</v>
      </c>
      <c r="U1931" s="76"/>
      <c r="V1931" s="76" t="str">
        <f t="array" ref="V1931:V1932">{"CLASSABILITY1-L15PTS";((INDEX(ALLCLASSDATA,MATCH("ClassAbility1-L15",CLASSFEATUREHEADERS,0),MATCH(($A1932 &amp; "Points"),CLASSNAMEHEADERS,0))))}</f>
        <v>CLASSABILITY1-L15PTS</v>
      </c>
      <c r="W1931" s="76"/>
      <c r="X1931" s="76" t="str">
        <f t="array" ref="X1931:X1932">{"CLASSABILITY1-L17PTS";((INDEX(ALLCLASSDATA,MATCH("ClassAbility1-L17",CLASSFEATUREHEADERS,0),MATCH(($A1932 &amp; "Points"),CLASSNAMEHEADERS,0))))}</f>
        <v>CLASSABILITY1-L17PTS</v>
      </c>
      <c r="Y1931" s="76"/>
      <c r="Z1931" s="76" t="str">
        <f t="array" ref="Z1931:Z1932">{"CLASSABILITY1-L19PTS";((INDEX(ALLCLASSDATA,MATCH("ClassAbility1-L19",CLASSFEATUREHEADERS,0),MATCH(($A1932 &amp; "Points"),CLASSNAMEHEADERS,0))))}</f>
        <v>CLASSABILITY1-L19PTS</v>
      </c>
      <c r="AA1931" s="76"/>
      <c r="AB1931" s="76"/>
      <c r="AC1931" s="76" t="str">
        <f t="array" ref="AC1931:AC1932">{"CLASSABILITY1 TOTAL";(sum(G1932:AA1932))}</f>
        <v>CLASSABILITY1 TOTAL</v>
      </c>
    </row>
    <row r="1932">
      <c r="A1932" s="48" t="s">
        <v>231</v>
      </c>
      <c r="B1932" s="48"/>
      <c r="C1932" s="48" t="s">
        <v>418</v>
      </c>
      <c r="D1932" s="48" t="s">
        <v>930</v>
      </c>
      <c r="E1932" s="48" t="s">
        <v>826</v>
      </c>
      <c r="F1932" s="5"/>
      <c r="G1932" s="5"/>
      <c r="H1932" s="5"/>
      <c r="I1932" s="5"/>
      <c r="J1932" s="48"/>
      <c r="K1932" s="5"/>
      <c r="L1932" s="5"/>
      <c r="M1932" s="5"/>
      <c r="N1932" s="5"/>
      <c r="O1932" s="5"/>
      <c r="P1932" s="5"/>
      <c r="Q1932" s="5"/>
      <c r="R1932" s="5"/>
      <c r="S1932" s="5"/>
      <c r="T1932" s="5"/>
      <c r="U1932" s="5"/>
      <c r="V1932" s="5"/>
      <c r="W1932" s="5"/>
      <c r="X1932" s="5"/>
      <c r="Y1932" s="5"/>
      <c r="Z1932" s="5"/>
      <c r="AA1932" s="5"/>
      <c r="AB1932" s="5"/>
      <c r="AC1932" s="47">
        <v>0.0</v>
      </c>
    </row>
    <row r="1933" hidden="1">
      <c r="A1933" s="76" t="str">
        <f t="array" ref="A1933:A1934">{"FormulaRow10";(INDEX(CLASSLIST,A1914,1))}</f>
        <v>FormulaRow10</v>
      </c>
      <c r="B1933" s="77" t="s">
        <v>236</v>
      </c>
      <c r="C1933" s="76" t="str">
        <f t="array" ref="C1933:C1934">{"CLASSTYPE";((INDEX(ALLCLASSDATA,MATCH("ClassType",CLASSFEATUREHEADERS,0),MATCH($A1934,CLASSNAMEHEADERS,0))))}</f>
        <v>CLASSTYPE</v>
      </c>
      <c r="D1933" s="76" t="str">
        <f t="array" ref="D1933:D1934">{"CLASSABILITY";"ClassAbility"}</f>
        <v>CLASSABILITY</v>
      </c>
      <c r="E1933" s="76" t="str">
        <f t="array" ref="E1933:E1934">{"CLASSABILITY2";"ClassAbility2"}</f>
        <v>CLASSABILITY2</v>
      </c>
      <c r="F1933" s="76"/>
      <c r="G1933" s="76"/>
      <c r="H1933" s="76"/>
      <c r="I1933" s="76"/>
      <c r="J1933" s="76" t="str">
        <f t="array" ref="J1933:J1934">{"CLASSABILITY2-L03";((INDEX(ALLCLASSDATA,MATCH("ClassAbility2-L03",CLASSFEATUREHEADERS,0),MATCH(($A1934),CLASSNAMEHEADERS,0))))}</f>
        <v>CLASSABILITY2-L03</v>
      </c>
      <c r="K1933" s="76"/>
      <c r="L1933" s="76" t="str">
        <f t="array" ref="L1933:L1934">{"CLASSABILITY2-L05";((INDEX(ALLCLASSDATA,MATCH("ClassAbility2-L05",CLASSFEATUREHEADERS,0),MATCH(($A1934),CLASSNAMEHEADERS,0))))}</f>
        <v>CLASSABILITY2-L05</v>
      </c>
      <c r="M1933" s="76"/>
      <c r="N1933" s="76" t="str">
        <f t="array" ref="N1933:N1934">{"CLASSABILITY2-L07";((INDEX(ALLCLASSDATA,MATCH("ClassAbility2-L07",CLASSFEATUREHEADERS,0),MATCH(($A1934),CLASSNAMEHEADERS,0))))}</f>
        <v>CLASSABILITY2-L07</v>
      </c>
      <c r="O1933" s="76"/>
      <c r="P1933" s="76" t="str">
        <f t="array" ref="P1933:P1934">{"CLASSABILITY2-L09";((INDEX(ALLCLASSDATA,MATCH("ClassAbility2-L09",CLASSFEATUREHEADERS,0),MATCH(($A1934),CLASSNAMEHEADERS,0))))}</f>
        <v>CLASSABILITY2-L09</v>
      </c>
      <c r="Q1933" s="76"/>
      <c r="R1933" s="76" t="str">
        <f t="array" ref="R1933:R1934">{"CLASSABILITY2-L11";((INDEX(ALLCLASSDATA,MATCH("ClassAbility2-L11",CLASSFEATUREHEADERS,0),MATCH(($A1934),CLASSNAMEHEADERS,0))))}</f>
        <v>CLASSABILITY2-L11</v>
      </c>
      <c r="S1933" s="76"/>
      <c r="T1933" s="76" t="str">
        <f t="array" ref="T1933:T1934">{"CLASSABILITY2-L13";((INDEX(ALLCLASSDATA,MATCH("ClassAbility2-L13",CLASSFEATUREHEADERS,0),MATCH(($A1934),CLASSNAMEHEADERS,0))))}</f>
        <v>CLASSABILITY2-L13</v>
      </c>
      <c r="U1933" s="76"/>
      <c r="V1933" s="76" t="str">
        <f t="array" ref="V1933:V1934">{"CLASSABILITY2-L15";((INDEX(ALLCLASSDATA,MATCH("ClassAbility2-L15",CLASSFEATUREHEADERS,0),MATCH(($A1934),CLASSNAMEHEADERS,0))))}</f>
        <v>CLASSABILITY2-L15</v>
      </c>
      <c r="W1933" s="76"/>
      <c r="X1933" s="76" t="str">
        <f t="array" ref="X1933:X1934">{"CLASSABILITY2-L17";((INDEX(ALLCLASSDATA,MATCH("ClassAbility2-L17",CLASSFEATUREHEADERS,0),MATCH(($A1934),CLASSNAMEHEADERS,0))))}</f>
        <v>CLASSABILITY2-L17</v>
      </c>
      <c r="Y1933" s="76"/>
      <c r="Z1933" s="76" t="str">
        <f t="array" ref="Z1933:Z1934">{"CLASSABILITY2-L19";((INDEX(ALLCLASSDATA,MATCH("ClassAbility2-L19",CLASSFEATUREHEADERS,0),MATCH(($A1934),CLASSNAMEHEADERS,0))))}</f>
        <v>CLASSABILITY2-L19</v>
      </c>
      <c r="AA1933" s="76"/>
      <c r="AB1933" s="76"/>
      <c r="AC1933" s="76"/>
    </row>
    <row r="1934">
      <c r="A1934" s="48" t="s">
        <v>231</v>
      </c>
      <c r="B1934" s="48"/>
      <c r="C1934" s="48" t="s">
        <v>418</v>
      </c>
      <c r="D1934" s="48" t="s">
        <v>825</v>
      </c>
      <c r="E1934" s="48" t="s">
        <v>1007</v>
      </c>
      <c r="F1934" s="48"/>
      <c r="G1934" s="47"/>
      <c r="H1934" s="5"/>
      <c r="I1934" s="5"/>
      <c r="J1934" s="5"/>
      <c r="K1934" s="5"/>
      <c r="L1934" s="5"/>
      <c r="M1934" s="5"/>
      <c r="N1934" s="5"/>
      <c r="O1934" s="5"/>
      <c r="P1934" s="5"/>
      <c r="Q1934" s="5"/>
      <c r="R1934" s="5" t="s">
        <v>305</v>
      </c>
      <c r="S1934" s="5"/>
      <c r="T1934" s="5" t="s">
        <v>1756</v>
      </c>
      <c r="U1934" s="5"/>
      <c r="V1934" s="5"/>
      <c r="W1934" s="5"/>
      <c r="X1934" s="5"/>
      <c r="Y1934" s="5"/>
      <c r="Z1934" s="5" t="s">
        <v>356</v>
      </c>
      <c r="AA1934" s="5"/>
      <c r="AB1934" s="5"/>
      <c r="AC1934" s="47"/>
    </row>
    <row r="1935" hidden="1">
      <c r="A1935" s="76" t="str">
        <f t="array" ref="A1935:A1936">{"FormulaRow11";(INDEX(CLASSLIST,A1914,1))}</f>
        <v>FormulaRow11</v>
      </c>
      <c r="B1935" s="77" t="s">
        <v>236</v>
      </c>
      <c r="C1935" s="76" t="str">
        <f t="array" ref="C1935:C1936">{"CLASSTYPE";((INDEX(ALLCLASSDATA,MATCH("ClassType",CLASSFEATUREHEADERS,0),MATCH($A1936,CLASSNAMEHEADERS,0))))}</f>
        <v>CLASSTYPE</v>
      </c>
      <c r="D1935" s="76" t="str">
        <f t="array" ref="D1935:D1936">{"CLASSABILITYPTS";"ClassAbilityPts"}</f>
        <v>CLASSABILITYPTS</v>
      </c>
      <c r="E1935" s="76" t="str">
        <f t="array" ref="E1935:E1936">{"CLASSABILITY2";"ClassAbility2"}</f>
        <v>CLASSABILITY2</v>
      </c>
      <c r="F1935" s="76"/>
      <c r="G1935" s="76"/>
      <c r="H1935" s="76"/>
      <c r="I1935" s="76"/>
      <c r="J1935" s="76" t="str">
        <f t="array" ref="J1935:J1936">{"CLASSABILITY2-L03PTS";((INDEX(ALLCLASSDATA,MATCH("ClassAbility2-L03",CLASSFEATUREHEADERS,0),MATCH(($A1936 &amp; "Points"),CLASSNAMEHEADERS,0))))}</f>
        <v>CLASSABILITY2-L03PTS</v>
      </c>
      <c r="K1935" s="76"/>
      <c r="L1935" s="76" t="str">
        <f t="array" ref="L1935:L1936">{"CLASSABILITY2-L05PTS";((INDEX(ALLCLASSDATA,MATCH("ClassAbility2-L05",CLASSFEATUREHEADERS,0),MATCH(($A1936 &amp; "Points"),CLASSNAMEHEADERS,0))))}</f>
        <v>CLASSABILITY2-L05PTS</v>
      </c>
      <c r="M1935" s="76"/>
      <c r="N1935" s="76" t="str">
        <f t="array" ref="N1935:N1936">{"CLASSABILITY2-L07PTS";((INDEX(ALLCLASSDATA,MATCH("ClassAbility2-L07",CLASSFEATUREHEADERS,0),MATCH(($A1936 &amp; "Points"),CLASSNAMEHEADERS,0))))}</f>
        <v>CLASSABILITY2-L07PTS</v>
      </c>
      <c r="O1935" s="76"/>
      <c r="P1935" s="76" t="str">
        <f t="array" ref="P1935:P1936">{"CLASSABILITY2-L09PTS";((INDEX(ALLCLASSDATA,MATCH("ClassAbility2-L09",CLASSFEATUREHEADERS,0),MATCH(($A1936 &amp; "Points"),CLASSNAMEHEADERS,0))))}</f>
        <v>CLASSABILITY2-L09PTS</v>
      </c>
      <c r="Q1935" s="76"/>
      <c r="R1935" s="76" t="str">
        <f t="array" ref="R1935:R1936">{"CLASSABILITY2-L11PTS";((INDEX(ALLCLASSDATA,MATCH("ClassAbility2-L11",CLASSFEATUREHEADERS,0),MATCH(($A1936 &amp; "Points"),CLASSNAMEHEADERS,0))))}</f>
        <v>CLASSABILITY2-L11PTS</v>
      </c>
      <c r="S1935" s="76"/>
      <c r="T1935" s="76" t="str">
        <f t="array" ref="T1935:T1936">{"CLASSABILITY2-L13PTS";((INDEX(ALLCLASSDATA,MATCH("ClassAbility2-L13",CLASSFEATUREHEADERS,0),MATCH(($A1936 &amp; "Points"),CLASSNAMEHEADERS,0))))}</f>
        <v>CLASSABILITY2-L13PTS</v>
      </c>
      <c r="U1935" s="76"/>
      <c r="V1935" s="76" t="str">
        <f t="array" ref="V1935:V1936">{"CLASSABILITY2-L15PTS";((INDEX(ALLCLASSDATA,MATCH("ClassAbility2-L15",CLASSFEATUREHEADERS,0),MATCH(($A1936 &amp; "Points"),CLASSNAMEHEADERS,0))))}</f>
        <v>CLASSABILITY2-L15PTS</v>
      </c>
      <c r="W1935" s="76"/>
      <c r="X1935" s="76" t="str">
        <f t="array" ref="X1935:X1936">{"CLASSABILITY2-L17PTS";((INDEX(ALLCLASSDATA,MATCH("ClassAbility2-L17",CLASSFEATUREHEADERS,0),MATCH(($A1936 &amp; "Points"),CLASSNAMEHEADERS,0))))}</f>
        <v>CLASSABILITY2-L17PTS</v>
      </c>
      <c r="Y1935" s="76"/>
      <c r="Z1935" s="76" t="str">
        <f t="array" ref="Z1935:Z1936">{"CLASSABILITY2-L19PTS";((INDEX(ALLCLASSDATA,MATCH("ClassAbility2-L19",CLASSFEATUREHEADERS,0),MATCH(($A1936 &amp; "Points"),CLASSNAMEHEADERS,0))))}</f>
        <v>CLASSABILITY2-L19PTS</v>
      </c>
      <c r="AA1935" s="76"/>
      <c r="AB1935" s="76"/>
      <c r="AC1935" s="76" t="str">
        <f t="array" ref="AC1935:AC1936">{"CLASSABILITY2 TOTAL";(sum(G1936:AA1936))}</f>
        <v>CLASSABILITY2 TOTAL</v>
      </c>
    </row>
    <row r="1936">
      <c r="A1936" s="48" t="s">
        <v>231</v>
      </c>
      <c r="B1936" s="48"/>
      <c r="C1936" s="48" t="s">
        <v>418</v>
      </c>
      <c r="D1936" s="48" t="s">
        <v>930</v>
      </c>
      <c r="E1936" s="48" t="s">
        <v>1007</v>
      </c>
      <c r="F1936" s="48"/>
      <c r="G1936" s="47"/>
      <c r="H1936" s="5"/>
      <c r="I1936" s="5"/>
      <c r="J1936" s="5"/>
      <c r="K1936" s="5"/>
      <c r="L1936" s="5"/>
      <c r="M1936" s="5"/>
      <c r="N1936" s="5"/>
      <c r="O1936" s="5"/>
      <c r="P1936" s="5"/>
      <c r="Q1936" s="5"/>
      <c r="R1936" s="5"/>
      <c r="S1936" s="5"/>
      <c r="T1936" s="5"/>
      <c r="U1936" s="5"/>
      <c r="V1936" s="5"/>
      <c r="W1936" s="5"/>
      <c r="X1936" s="5"/>
      <c r="Y1936" s="5"/>
      <c r="Z1936" s="5"/>
      <c r="AA1936" s="5"/>
      <c r="AB1936" s="5"/>
      <c r="AC1936" s="47">
        <v>0.0</v>
      </c>
    </row>
    <row r="1937" hidden="1">
      <c r="A1937" s="76" t="str">
        <f t="array" ref="A1937:A1938">{"FormulaRow12";(INDEX(CLASSLIST,A1914,1))}</f>
        <v>FormulaRow12</v>
      </c>
      <c r="B1937" s="77" t="s">
        <v>236</v>
      </c>
      <c r="C1937" s="76" t="str">
        <f t="array" ref="C1937:C1938">{"CLASSTYPE";((INDEX(ALLCLASSDATA,MATCH("ClassType",CLASSFEATUREHEADERS,0),MATCH($A1938,CLASSNAMEHEADERS,0))))}</f>
        <v>CLASSTYPE</v>
      </c>
      <c r="D1937" s="76" t="str">
        <f t="array" ref="D1937:D1938">{"CLASSABILITY";"ClassAbility"}</f>
        <v>CLASSABILITY</v>
      </c>
      <c r="E1937" s="76" t="str">
        <f t="array" ref="E1937:E1938">{"CLASSABILITY3";"ClassAbility3"}</f>
        <v>CLASSABILITY3</v>
      </c>
      <c r="F1937" s="76"/>
      <c r="G1937" s="76"/>
      <c r="H1937" s="76"/>
      <c r="I1937" s="76"/>
      <c r="J1937" s="76" t="str">
        <f t="array" ref="J1937:J1938">{"CLASSABILITY3-L03";((INDEX(ALLCLASSDATA,MATCH("ClassAbility3-L03",CLASSFEATUREHEADERS,0),MATCH(($A1938),CLASSNAMEHEADERS,0))))}</f>
        <v>CLASSABILITY3-L03</v>
      </c>
      <c r="K1937" s="76"/>
      <c r="L1937" s="76" t="str">
        <f t="array" ref="L1937:L1938">{"CLASSABILITY3-L05";((INDEX(ALLCLASSDATA,MATCH("ClassAbility3-L05",CLASSFEATUREHEADERS,0),MATCH(($A1938),CLASSNAMEHEADERS,0))))}</f>
        <v>CLASSABILITY3-L05</v>
      </c>
      <c r="M1937" s="76"/>
      <c r="N1937" s="76" t="str">
        <f t="array" ref="N1937:N1938">{"CLASSABILITY3-L07";((INDEX(ALLCLASSDATA,MATCH("ClassAbility3-L07",CLASSFEATUREHEADERS,0),MATCH(($A1938),CLASSNAMEHEADERS,0))))}</f>
        <v>CLASSABILITY3-L07</v>
      </c>
      <c r="O1937" s="76"/>
      <c r="P1937" s="76" t="str">
        <f t="array" ref="P1937:P1938">{"CLASSABILITY3-L09";((INDEX(ALLCLASSDATA,MATCH("ClassAbility3-L09",CLASSFEATUREHEADERS,0),MATCH(($A1938),CLASSNAMEHEADERS,0))))}</f>
        <v>CLASSABILITY3-L09</v>
      </c>
      <c r="Q1937" s="76"/>
      <c r="R1937" s="76" t="str">
        <f t="array" ref="R1937:R1938">{"CLASSABILITY3-L11";((INDEX(ALLCLASSDATA,MATCH("ClassAbility3-L11",CLASSFEATUREHEADERS,0),MATCH(($A1938),CLASSNAMEHEADERS,0))))}</f>
        <v>CLASSABILITY3-L11</v>
      </c>
      <c r="S1937" s="76"/>
      <c r="T1937" s="76" t="str">
        <f t="array" ref="T1937:T1938">{"CLASSABILITY3-L13";((INDEX(ALLCLASSDATA,MATCH("ClassAbility3-L13",CLASSFEATUREHEADERS,0),MATCH(($A1938),CLASSNAMEHEADERS,0))))}</f>
        <v>CLASSABILITY3-L13</v>
      </c>
      <c r="U1937" s="76"/>
      <c r="V1937" s="76" t="str">
        <f t="array" ref="V1937:V1938">{"CLASSABILITY3-L15";((INDEX(ALLCLASSDATA,MATCH("ClassAbility3-L15",CLASSFEATUREHEADERS,0),MATCH(($A1938),CLASSNAMEHEADERS,0))))}</f>
        <v>CLASSABILITY3-L15</v>
      </c>
      <c r="W1937" s="76"/>
      <c r="X1937" s="76" t="str">
        <f t="array" ref="X1937:X1938">{"CLASSABILITY3-L17";((INDEX(ALLCLASSDATA,MATCH("ClassAbility3-L17",CLASSFEATUREHEADERS,0),MATCH(($A1938),CLASSNAMEHEADERS,0))))}</f>
        <v>CLASSABILITY3-L17</v>
      </c>
      <c r="Y1937" s="76"/>
      <c r="Z1937" s="76" t="str">
        <f t="array" ref="Z1937:Z1938">{"CLASSABILITY3-L19";((INDEX(ALLCLASSDATA,MATCH("ClassAbility3-L19",CLASSFEATUREHEADERS,0),MATCH(($A1938),CLASSNAMEHEADERS,0))))}</f>
        <v>CLASSABILITY3-L19</v>
      </c>
      <c r="AA1937" s="76"/>
      <c r="AB1937" s="76"/>
      <c r="AC1937" s="76"/>
    </row>
    <row r="1938">
      <c r="A1938" s="48" t="s">
        <v>231</v>
      </c>
      <c r="B1938" s="48"/>
      <c r="C1938" s="48" t="s">
        <v>418</v>
      </c>
      <c r="D1938" s="48" t="s">
        <v>825</v>
      </c>
      <c r="E1938" s="48" t="s">
        <v>1144</v>
      </c>
      <c r="F1938" s="48"/>
      <c r="G1938" s="47"/>
      <c r="H1938" s="5"/>
      <c r="I1938" s="5"/>
      <c r="J1938" s="5"/>
      <c r="K1938" s="5"/>
      <c r="L1938" s="5"/>
      <c r="M1938" s="5"/>
      <c r="N1938" s="5"/>
      <c r="O1938" s="5"/>
      <c r="P1938" s="5"/>
      <c r="Q1938" s="5"/>
      <c r="R1938" s="5"/>
      <c r="S1938" s="5"/>
      <c r="T1938" s="5"/>
      <c r="U1938" s="5"/>
      <c r="V1938" s="5"/>
      <c r="W1938" s="5"/>
      <c r="X1938" s="5"/>
      <c r="Y1938" s="5"/>
      <c r="Z1938" s="5"/>
      <c r="AA1938" s="5"/>
      <c r="AB1938" s="5"/>
      <c r="AC1938" s="47"/>
    </row>
    <row r="1939" hidden="1">
      <c r="A1939" s="76" t="str">
        <f t="array" ref="A1939:A1940">{"FormulaRow13";(INDEX(CLASSLIST,A1914,1))}</f>
        <v>FormulaRow13</v>
      </c>
      <c r="B1939" s="77" t="s">
        <v>236</v>
      </c>
      <c r="C1939" s="76" t="str">
        <f t="array" ref="C1939:C1940">{"CLASSTYPE";((INDEX(ALLCLASSDATA,MATCH("ClassType",CLASSFEATUREHEADERS,0),MATCH($A1940,CLASSNAMEHEADERS,0))))}</f>
        <v>CLASSTYPE</v>
      </c>
      <c r="D1939" s="76" t="str">
        <f t="array" ref="D1939:D1940">{"CLASSABILITYPTS";"ClassAbilityPts"}</f>
        <v>CLASSABILITYPTS</v>
      </c>
      <c r="E1939" s="76" t="str">
        <f t="array" ref="E1939:E1940">{"CLASSABILITY3";"ClassAbility3"}</f>
        <v>CLASSABILITY3</v>
      </c>
      <c r="F1939" s="76"/>
      <c r="G1939" s="76"/>
      <c r="H1939" s="76"/>
      <c r="I1939" s="76"/>
      <c r="J1939" s="76" t="str">
        <f t="array" ref="J1939:J1940">{"CLASSABILITY3-L03PTS";((INDEX(ALLCLASSDATA,MATCH("ClassAbility3-L03",CLASSFEATUREHEADERS,0),MATCH(($A1940 &amp; "Points"),CLASSNAMEHEADERS,0))))}</f>
        <v>CLASSABILITY3-L03PTS</v>
      </c>
      <c r="K1939" s="76"/>
      <c r="L1939" s="76" t="str">
        <f t="array" ref="L1939:L1940">{"CLASSABILITY3-L05PTS";((INDEX(ALLCLASSDATA,MATCH("ClassAbility3-L05",CLASSFEATUREHEADERS,0),MATCH(($A1940 &amp; "Points"),CLASSNAMEHEADERS,0))))}</f>
        <v>CLASSABILITY3-L05PTS</v>
      </c>
      <c r="M1939" s="76"/>
      <c r="N1939" s="76" t="str">
        <f t="array" ref="N1939:N1940">{"CLASSABILITY3-L07PTS";((INDEX(ALLCLASSDATA,MATCH("ClassAbility3-L07",CLASSFEATUREHEADERS,0),MATCH(($A1940 &amp; "Points"),CLASSNAMEHEADERS,0))))}</f>
        <v>CLASSABILITY3-L07PTS</v>
      </c>
      <c r="O1939" s="76"/>
      <c r="P1939" s="76" t="str">
        <f t="array" ref="P1939:P1940">{"CLASSABILITY3-L09PTS";((INDEX(ALLCLASSDATA,MATCH("ClassAbility3-L09",CLASSFEATUREHEADERS,0),MATCH(($A1940 &amp; "Points"),CLASSNAMEHEADERS,0))))}</f>
        <v>CLASSABILITY3-L09PTS</v>
      </c>
      <c r="Q1939" s="76"/>
      <c r="R1939" s="76" t="str">
        <f t="array" ref="R1939:R1940">{"CLASSABILITY3-L11PTS";((INDEX(ALLCLASSDATA,MATCH("ClassAbility3-L11",CLASSFEATUREHEADERS,0),MATCH(($A1940 &amp; "Points"),CLASSNAMEHEADERS,0))))}</f>
        <v>CLASSABILITY3-L11PTS</v>
      </c>
      <c r="S1939" s="76"/>
      <c r="T1939" s="76" t="str">
        <f t="array" ref="T1939:T1940">{"CLASSABILITY3-L13PTS";((INDEX(ALLCLASSDATA,MATCH("ClassAbility3-L13",CLASSFEATUREHEADERS,0),MATCH(($A1940 &amp; "Points"),CLASSNAMEHEADERS,0))))}</f>
        <v>CLASSABILITY3-L13PTS</v>
      </c>
      <c r="U1939" s="76"/>
      <c r="V1939" s="76" t="str">
        <f t="array" ref="V1939:V1940">{"CLASSABILITY3-L15PTS";((INDEX(ALLCLASSDATA,MATCH("ClassAbility3-L15",CLASSFEATUREHEADERS,0),MATCH(($A1940 &amp; "Points"),CLASSNAMEHEADERS,0))))}</f>
        <v>CLASSABILITY3-L15PTS</v>
      </c>
      <c r="W1939" s="76"/>
      <c r="X1939" s="76" t="str">
        <f t="array" ref="X1939:X1940">{"CLASSABILITY3-L17PTS";((INDEX(ALLCLASSDATA,MATCH("ClassAbility3-L17",CLASSFEATUREHEADERS,0),MATCH(($A1940 &amp; "Points"),CLASSNAMEHEADERS,0))))}</f>
        <v>CLASSABILITY3-L17PTS</v>
      </c>
      <c r="Y1939" s="76"/>
      <c r="Z1939" s="76" t="str">
        <f t="array" ref="Z1939:Z1940">{"CLASSABILITY3-L19PTS";((INDEX(ALLCLASSDATA,MATCH("ClassAbility3-L19",CLASSFEATUREHEADERS,0),MATCH(($A1940 &amp; "Points"),CLASSNAMEHEADERS,0))))}</f>
        <v>CLASSABILITY3-L19PTS</v>
      </c>
      <c r="AA1939" s="76"/>
      <c r="AB1939" s="76"/>
      <c r="AC1939" s="76" t="str">
        <f t="array" ref="AC1939:AC1940">{"CLASSABILITY3 TOTAL";(sum(G1940:AA1940))}</f>
        <v>CLASSABILITY3 TOTAL</v>
      </c>
    </row>
    <row r="1940">
      <c r="A1940" s="48" t="s">
        <v>231</v>
      </c>
      <c r="B1940" s="48"/>
      <c r="C1940" s="48" t="s">
        <v>418</v>
      </c>
      <c r="D1940" s="48" t="s">
        <v>930</v>
      </c>
      <c r="E1940" s="48" t="s">
        <v>1144</v>
      </c>
      <c r="F1940" s="48"/>
      <c r="G1940" s="47"/>
      <c r="H1940" s="5"/>
      <c r="I1940" s="5"/>
      <c r="J1940" s="5"/>
      <c r="K1940" s="5"/>
      <c r="L1940" s="5"/>
      <c r="M1940" s="5"/>
      <c r="N1940" s="5"/>
      <c r="O1940" s="5"/>
      <c r="P1940" s="5"/>
      <c r="Q1940" s="5"/>
      <c r="R1940" s="5"/>
      <c r="S1940" s="5"/>
      <c r="T1940" s="5"/>
      <c r="U1940" s="5"/>
      <c r="V1940" s="5"/>
      <c r="W1940" s="5"/>
      <c r="X1940" s="5"/>
      <c r="Y1940" s="5"/>
      <c r="Z1940" s="5"/>
      <c r="AA1940" s="5"/>
      <c r="AB1940" s="5"/>
      <c r="AC1940" s="47">
        <v>0.0</v>
      </c>
    </row>
    <row r="1941" hidden="1">
      <c r="A1941" s="76" t="str">
        <f t="array" ref="A1941:A1942">{"FormulaRow14";(INDEX(CLASSLIST,A1914,1))}</f>
        <v>FormulaRow14</v>
      </c>
      <c r="B1941" s="77" t="s">
        <v>236</v>
      </c>
      <c r="C1941" s="76" t="str">
        <f t="array" ref="C1941:C1942">{"CLASSTYPE";((INDEX(ALLCLASSDATA,MATCH("ClassType",CLASSFEATUREHEADERS,0),MATCH($A1942,CLASSNAMEHEADERS,0))))}</f>
        <v>CLASSTYPE</v>
      </c>
      <c r="D1941" s="76" t="str">
        <f t="array" ref="D1941:D1942">{"CLASSABILITY";"ClassAbility"}</f>
        <v>CLASSABILITY</v>
      </c>
      <c r="E1941" s="76" t="str">
        <f t="array" ref="E1941:E1942">{"CLASSABILITY4";"ClassAbility4"}</f>
        <v>CLASSABILITY4</v>
      </c>
      <c r="F1941" s="76"/>
      <c r="G1941" s="76"/>
      <c r="H1941" s="76"/>
      <c r="I1941" s="76"/>
      <c r="J1941" s="76" t="str">
        <f t="array" ref="J1941:J1942">{"CLASSABILITY4-L03";((INDEX(ALLCLASSDATA,MATCH("ClassAbility4-L03",CLASSFEATUREHEADERS,0),MATCH(($A1942),CLASSNAMEHEADERS,0))))}</f>
        <v>CLASSABILITY4-L03</v>
      </c>
      <c r="K1941" s="76"/>
      <c r="L1941" s="76" t="str">
        <f t="array" ref="L1941:L1942">{"CLASSABILITY4-L05";((INDEX(ALLCLASSDATA,MATCH("ClassAbility4-L05",CLASSFEATUREHEADERS,0),MATCH(($A1942),CLASSNAMEHEADERS,0))))}</f>
        <v>CLASSABILITY4-L05</v>
      </c>
      <c r="M1941" s="76"/>
      <c r="N1941" s="76" t="str">
        <f t="array" ref="N1941:N1942">{"CLASSABILITY4-L07";((INDEX(ALLCLASSDATA,MATCH("ClassAbility4-L07",CLASSFEATUREHEADERS,0),MATCH(($A1942),CLASSNAMEHEADERS,0))))}</f>
        <v>CLASSABILITY4-L07</v>
      </c>
      <c r="O1941" s="76"/>
      <c r="P1941" s="76" t="str">
        <f t="array" ref="P1941:P1942">{"CLASSABILITY4-L09";((INDEX(ALLCLASSDATA,MATCH("ClassAbility4-L09",CLASSFEATUREHEADERS,0),MATCH(($A1942),CLASSNAMEHEADERS,0))))}</f>
        <v>CLASSABILITY4-L09</v>
      </c>
      <c r="Q1941" s="76"/>
      <c r="R1941" s="76" t="str">
        <f t="array" ref="R1941:R1942">{"CLASSABILITY4-L11";((INDEX(ALLCLASSDATA,MATCH("ClassAbility4-L11",CLASSFEATUREHEADERS,0),MATCH(($A1942),CLASSNAMEHEADERS,0))))}</f>
        <v>CLASSABILITY4-L11</v>
      </c>
      <c r="S1941" s="76"/>
      <c r="T1941" s="76" t="str">
        <f t="array" ref="T1941:T1942">{"CLASSABILITY4-L13";((INDEX(ALLCLASSDATA,MATCH("ClassAbility4-L13",CLASSFEATUREHEADERS,0),MATCH(($A1942),CLASSNAMEHEADERS,0))))}</f>
        <v>CLASSABILITY4-L13</v>
      </c>
      <c r="U1941" s="76"/>
      <c r="V1941" s="76" t="str">
        <f t="array" ref="V1941:V1942">{"CLASSABILITY4-L15";((INDEX(ALLCLASSDATA,MATCH("ClassAbility4-L15",CLASSFEATUREHEADERS,0),MATCH(($A1942),CLASSNAMEHEADERS,0))))}</f>
        <v>CLASSABILITY4-L15</v>
      </c>
      <c r="W1941" s="76"/>
      <c r="X1941" s="76" t="str">
        <f t="array" ref="X1941:X1942">{"CLASSABILITY4-L17";((INDEX(ALLCLASSDATA,MATCH("ClassAbility4-L17",CLASSFEATUREHEADERS,0),MATCH(($A1942),CLASSNAMEHEADERS,0))))}</f>
        <v>CLASSABILITY4-L17</v>
      </c>
      <c r="Y1941" s="76"/>
      <c r="Z1941" s="76" t="str">
        <f t="array" ref="Z1941:Z1942">{"CLASSABILITY4-L19";((INDEX(ALLCLASSDATA,MATCH("ClassAbility4-L19",CLASSFEATUREHEADERS,0),MATCH(($A1942),CLASSNAMEHEADERS,0))))}</f>
        <v>CLASSABILITY4-L19</v>
      </c>
      <c r="AA1941" s="76"/>
      <c r="AB1941" s="76"/>
      <c r="AC1941" s="76"/>
    </row>
    <row r="1942">
      <c r="A1942" s="48" t="s">
        <v>231</v>
      </c>
      <c r="B1942" s="48"/>
      <c r="C1942" s="48" t="s">
        <v>418</v>
      </c>
      <c r="D1942" s="48" t="s">
        <v>825</v>
      </c>
      <c r="E1942" s="48" t="s">
        <v>1273</v>
      </c>
      <c r="F1942" s="48"/>
      <c r="G1942" s="47"/>
      <c r="H1942" s="5"/>
      <c r="I1942" s="5"/>
      <c r="J1942" s="5"/>
      <c r="K1942" s="5"/>
      <c r="L1942" s="5"/>
      <c r="M1942" s="5"/>
      <c r="N1942" s="5"/>
      <c r="O1942" s="5"/>
      <c r="P1942" s="5"/>
      <c r="Q1942" s="5"/>
      <c r="R1942" s="5"/>
      <c r="S1942" s="5"/>
      <c r="T1942" s="5"/>
      <c r="U1942" s="5"/>
      <c r="V1942" s="5"/>
      <c r="W1942" s="5"/>
      <c r="X1942" s="5"/>
      <c r="Y1942" s="5"/>
      <c r="Z1942" s="5"/>
      <c r="AA1942" s="5"/>
      <c r="AB1942" s="5"/>
      <c r="AC1942" s="47"/>
    </row>
    <row r="1943" hidden="1">
      <c r="A1943" s="76" t="str">
        <f t="array" ref="A1943:A1944">{"FormulaRow15";(INDEX(CLASSLIST,A1914,1))}</f>
        <v>FormulaRow15</v>
      </c>
      <c r="B1943" s="77" t="s">
        <v>236</v>
      </c>
      <c r="C1943" s="76" t="str">
        <f t="array" ref="C1943:C1944">{"CLASSTYPE";((INDEX(ALLCLASSDATA,MATCH("ClassType",CLASSFEATUREHEADERS,0),MATCH($A1944,CLASSNAMEHEADERS,0))))}</f>
        <v>CLASSTYPE</v>
      </c>
      <c r="D1943" s="76" t="str">
        <f t="array" ref="D1943:D1944">{"CLASSABILITYPTS";"ClassAbilityPts"}</f>
        <v>CLASSABILITYPTS</v>
      </c>
      <c r="E1943" s="76" t="str">
        <f t="array" ref="E1943:E1944">{"CLASSABILITY4";"ClassAbility4"}</f>
        <v>CLASSABILITY4</v>
      </c>
      <c r="F1943" s="76"/>
      <c r="G1943" s="76"/>
      <c r="H1943" s="76"/>
      <c r="I1943" s="76"/>
      <c r="J1943" s="76" t="str">
        <f t="array" ref="J1943:J1944">{"CLASSABILITY4-L03PTS";((INDEX(ALLCLASSDATA,MATCH("ClassAbility4-L03",CLASSFEATUREHEADERS,0),MATCH(($A1944 &amp; "Points"),CLASSNAMEHEADERS,0))))}</f>
        <v>CLASSABILITY4-L03PTS</v>
      </c>
      <c r="K1943" s="76"/>
      <c r="L1943" s="76" t="str">
        <f t="array" ref="L1943:L1944">{"CLASSABILITY4-L05PTS";((INDEX(ALLCLASSDATA,MATCH("ClassAbility4-L05",CLASSFEATUREHEADERS,0),MATCH(($A1944 &amp; "Points"),CLASSNAMEHEADERS,0))))}</f>
        <v>CLASSABILITY4-L05PTS</v>
      </c>
      <c r="M1943" s="76"/>
      <c r="N1943" s="76" t="str">
        <f t="array" ref="N1943:N1944">{"CLASSABILITY4-L07PTS";((INDEX(ALLCLASSDATA,MATCH("ClassAbility4-L07",CLASSFEATUREHEADERS,0),MATCH(($A1944 &amp; "Points"),CLASSNAMEHEADERS,0))))}</f>
        <v>CLASSABILITY4-L07PTS</v>
      </c>
      <c r="O1943" s="76"/>
      <c r="P1943" s="76" t="str">
        <f t="array" ref="P1943:P1944">{"CLASSABILITY4-L09PTS";((INDEX(ALLCLASSDATA,MATCH("ClassAbility4-L09",CLASSFEATUREHEADERS,0),MATCH(($A1944 &amp; "Points"),CLASSNAMEHEADERS,0))))}</f>
        <v>CLASSABILITY4-L09PTS</v>
      </c>
      <c r="Q1943" s="76"/>
      <c r="R1943" s="76" t="str">
        <f t="array" ref="R1943:R1944">{"CLASSABILITY4-L11PTS";((INDEX(ALLCLASSDATA,MATCH("ClassAbility4-L11",CLASSFEATUREHEADERS,0),MATCH(($A1944 &amp; "Points"),CLASSNAMEHEADERS,0))))}</f>
        <v>CLASSABILITY4-L11PTS</v>
      </c>
      <c r="S1943" s="76"/>
      <c r="T1943" s="76" t="str">
        <f t="array" ref="T1943:T1944">{"CLASSABILITY4-L13PTS";((INDEX(ALLCLASSDATA,MATCH("ClassAbility4-L13",CLASSFEATUREHEADERS,0),MATCH(($A1944 &amp; "Points"),CLASSNAMEHEADERS,0))))}</f>
        <v>CLASSABILITY4-L13PTS</v>
      </c>
      <c r="U1943" s="76"/>
      <c r="V1943" s="76" t="str">
        <f t="array" ref="V1943:V1944">{"CLASSABILITY4-L15PTS";((INDEX(ALLCLASSDATA,MATCH("ClassAbility4-L15",CLASSFEATUREHEADERS,0),MATCH(($A1944 &amp; "Points"),CLASSNAMEHEADERS,0))))}</f>
        <v>CLASSABILITY4-L15PTS</v>
      </c>
      <c r="W1943" s="76"/>
      <c r="X1943" s="76" t="str">
        <f t="array" ref="X1943:X1944">{"CLASSABILITY4-L17PTS";((INDEX(ALLCLASSDATA,MATCH("ClassAbility4-L17",CLASSFEATUREHEADERS,0),MATCH(($A1944 &amp; "Points"),CLASSNAMEHEADERS,0))))}</f>
        <v>CLASSABILITY4-L17PTS</v>
      </c>
      <c r="Y1943" s="76"/>
      <c r="Z1943" s="76" t="str">
        <f t="array" ref="Z1943:Z1944">{"CLASSABILITY4-L19PTS";((INDEX(ALLCLASSDATA,MATCH("ClassAbility4-L19",CLASSFEATUREHEADERS,0),MATCH(($A1944 &amp; "Points"),CLASSNAMEHEADERS,0))))}</f>
        <v>CLASSABILITY4-L19PTS</v>
      </c>
      <c r="AA1943" s="76"/>
      <c r="AB1943" s="76"/>
      <c r="AC1943" s="76" t="str">
        <f t="array" ref="AC1943:AC1944">{"CLASSABILITY4 TOTAL";(sum(G1944:AA1944))}</f>
        <v>CLASSABILITY4 TOTAL</v>
      </c>
    </row>
    <row r="1944">
      <c r="A1944" s="48" t="s">
        <v>231</v>
      </c>
      <c r="B1944" s="48"/>
      <c r="C1944" s="48" t="s">
        <v>418</v>
      </c>
      <c r="D1944" s="48" t="s">
        <v>930</v>
      </c>
      <c r="E1944" s="48" t="s">
        <v>1273</v>
      </c>
      <c r="F1944" s="48"/>
      <c r="G1944" s="47"/>
      <c r="H1944" s="5"/>
      <c r="I1944" s="5"/>
      <c r="J1944" s="5"/>
      <c r="K1944" s="5"/>
      <c r="L1944" s="5"/>
      <c r="M1944" s="5"/>
      <c r="N1944" s="5"/>
      <c r="O1944" s="5"/>
      <c r="P1944" s="5"/>
      <c r="Q1944" s="5"/>
      <c r="R1944" s="5"/>
      <c r="S1944" s="5"/>
      <c r="T1944" s="5"/>
      <c r="U1944" s="5"/>
      <c r="V1944" s="5"/>
      <c r="W1944" s="5"/>
      <c r="X1944" s="5"/>
      <c r="Y1944" s="5"/>
      <c r="Z1944" s="5"/>
      <c r="AA1944" s="5"/>
      <c r="AB1944" s="5"/>
      <c r="AC1944" s="47">
        <v>0.0</v>
      </c>
    </row>
    <row r="1945" hidden="1">
      <c r="A1945" s="76" t="str">
        <f t="array" ref="A1945:A1946">{"FormulaRow16";(INDEX(CLASSLIST,A1914,1))}</f>
        <v>FormulaRow16</v>
      </c>
      <c r="B1945" s="77" t="s">
        <v>236</v>
      </c>
      <c r="C1945" s="76" t="str">
        <f t="array" ref="C1945:C1946">{"CLASSTYPE";((INDEX(ALLCLASSDATA,MATCH("ClassType",CLASSFEATUREHEADERS,0),MATCH($A1946,CLASSNAMEHEADERS,0))))}</f>
        <v>CLASSTYPE</v>
      </c>
      <c r="D1945" s="76" t="str">
        <f t="array" ref="D1945:D1946">{"CLASSABILITY";"ClassAbility"}</f>
        <v>CLASSABILITY</v>
      </c>
      <c r="E1945" s="76" t="str">
        <f t="array" ref="E1945:E1946">{"SUBCLASSABILITY1";"SubclassAbility1"}</f>
        <v>SUBCLASSABILITY1</v>
      </c>
      <c r="F1945" s="76"/>
      <c r="G1945" s="76"/>
      <c r="H1945" s="76"/>
      <c r="I1945" s="76"/>
      <c r="J1945" s="76" t="str">
        <f t="array" ref="J1945:J1946">{"SUBCLASSABILITY1-L03";((INDEX(ALLCLASSDATA,MATCH("SubclassAbility1-L03",CLASSFEATUREHEADERS,0),MATCH(($A1946),CLASSNAMEHEADERS,0))))}</f>
        <v>SUBCLASSABILITY1-L03</v>
      </c>
      <c r="K1945" s="76"/>
      <c r="L1945" s="76" t="str">
        <f t="array" ref="L1945:L1946">{"SUBCLASSABILITY1-L05";((INDEX(ALLCLASSDATA,MATCH("SubclassAbility1-L05",CLASSFEATUREHEADERS,0),MATCH(($A1946),CLASSNAMEHEADERS,0))))}</f>
        <v>SUBCLASSABILITY1-L05</v>
      </c>
      <c r="M1945" s="76"/>
      <c r="N1945" s="76" t="str">
        <f t="array" ref="N1945:N1946">{"SUBCLASSABILITY1-L07";((INDEX(ALLCLASSDATA,MATCH("SubclassAbility1-L07",CLASSFEATUREHEADERS,0),MATCH(($A1946),CLASSNAMEHEADERS,0))))}</f>
        <v>SUBCLASSABILITY1-L07</v>
      </c>
      <c r="O1945" s="76"/>
      <c r="P1945" s="76" t="str">
        <f t="array" ref="P1945:P1946">{"SUBCLASSABILITY1-L09";((INDEX(ALLCLASSDATA,MATCH("SubclassAbility1-L09",CLASSFEATUREHEADERS,0),MATCH(($A1946),CLASSNAMEHEADERS,0))))}</f>
        <v>SUBCLASSABILITY1-L09</v>
      </c>
      <c r="Q1945" s="76"/>
      <c r="R1945" s="76" t="str">
        <f t="array" ref="R1945:R1946">{"SUBCLASSABILITY1-L11";((INDEX(ALLCLASSDATA,MATCH("SubclassAbility1-L11",CLASSFEATUREHEADERS,0),MATCH(($A1946),CLASSNAMEHEADERS,0))))}</f>
        <v>SUBCLASSABILITY1-L11</v>
      </c>
      <c r="S1945" s="76"/>
      <c r="T1945" s="76" t="str">
        <f t="array" ref="T1945:T1946">{"SUBCLASSABILITY1-L13";((INDEX(ALLCLASSDATA,MATCH("SubclassAbility1-L13",CLASSFEATUREHEADERS,0),MATCH(($A1946),CLASSNAMEHEADERS,0))))}</f>
        <v>SUBCLASSABILITY1-L13</v>
      </c>
      <c r="U1945" s="76"/>
      <c r="V1945" s="76" t="str">
        <f t="array" ref="V1945:V1946">{"SUBCLASSABILITY1-L15";((INDEX(ALLCLASSDATA,MATCH("SubclassAbility1-L15",CLASSFEATUREHEADERS,0),MATCH(($A1946),CLASSNAMEHEADERS,0))))}</f>
        <v>SUBCLASSABILITY1-L15</v>
      </c>
      <c r="W1945" s="76"/>
      <c r="X1945" s="76" t="str">
        <f t="array" ref="X1945:X1946">{"SUBCLASSABILITY1-L17";((INDEX(ALLCLASSDATA,MATCH("SubclassAbility1-L17",CLASSFEATUREHEADERS,0),MATCH(($A1946),CLASSNAMEHEADERS,0))))}</f>
        <v>SUBCLASSABILITY1-L17</v>
      </c>
      <c r="Y1945" s="76"/>
      <c r="Z1945" s="76" t="str">
        <f t="array" ref="Z1945:Z1946">{"SUBCLASSABILITY1-L19";((INDEX(ALLCLASSDATA,MATCH("SubclassAbility1-L19",CLASSFEATUREHEADERS,0),MATCH(($A1946),CLASSNAMEHEADERS,0))))}</f>
        <v>SUBCLASSABILITY1-L19</v>
      </c>
      <c r="AA1945" s="76"/>
      <c r="AB1945" s="76"/>
      <c r="AC1945" s="76"/>
    </row>
    <row r="1946">
      <c r="A1946" s="48" t="s">
        <v>231</v>
      </c>
      <c r="B1946" s="48"/>
      <c r="C1946" s="48" t="s">
        <v>418</v>
      </c>
      <c r="D1946" s="48" t="s">
        <v>825</v>
      </c>
      <c r="E1946" s="28" t="s">
        <v>1355</v>
      </c>
      <c r="F1946" s="5"/>
      <c r="G1946" s="47"/>
      <c r="H1946" s="5"/>
      <c r="I1946" s="5"/>
      <c r="J1946" s="5"/>
      <c r="K1946" s="5"/>
      <c r="L1946" s="5"/>
      <c r="M1946" s="5"/>
      <c r="N1946" s="5"/>
      <c r="O1946" s="5"/>
      <c r="P1946" s="5"/>
      <c r="Q1946" s="5"/>
      <c r="R1946" s="5"/>
      <c r="S1946" s="5"/>
      <c r="T1946" s="5"/>
      <c r="U1946" s="5"/>
      <c r="V1946" s="5"/>
      <c r="W1946" s="5"/>
      <c r="X1946" s="5"/>
      <c r="Y1946" s="5"/>
      <c r="Z1946" s="5"/>
      <c r="AA1946" s="5"/>
      <c r="AB1946" s="5"/>
      <c r="AC1946" s="47"/>
    </row>
    <row r="1947" hidden="1">
      <c r="A1947" s="76" t="str">
        <f t="array" ref="A1947:A1948">{"FormulaRow17";(INDEX(CLASSLIST,A1914,1))}</f>
        <v>FormulaRow17</v>
      </c>
      <c r="B1947" s="77" t="s">
        <v>236</v>
      </c>
      <c r="C1947" s="76" t="str">
        <f t="array" ref="C1947:C1948">{"CLASSTYPE";((INDEX(ALLCLASSDATA,MATCH("ClassType",CLASSFEATUREHEADERS,0),MATCH($A1948,CLASSNAMEHEADERS,0))))}</f>
        <v>CLASSTYPE</v>
      </c>
      <c r="D1947" s="76" t="str">
        <f t="array" ref="D1947:D1948">{"CLASSABILITYPTS";"ClassAbilityPts"}</f>
        <v>CLASSABILITYPTS</v>
      </c>
      <c r="E1947" s="76" t="str">
        <f t="array" ref="E1947:E1948">{"SUBCLASSABILITY1";"SubclassAbility1"}</f>
        <v>SUBCLASSABILITY1</v>
      </c>
      <c r="F1947" s="76"/>
      <c r="G1947" s="76"/>
      <c r="H1947" s="76"/>
      <c r="I1947" s="76"/>
      <c r="J1947" s="76" t="str">
        <f t="array" ref="J1947:J1948">{"SUBCLASSABILITY1-L03PTS";((INDEX(ALLCLASSDATA,MATCH("SubclassAbility1-L03",CLASSFEATUREHEADERS,0),MATCH(($A1948 &amp; "Points"),CLASSNAMEHEADERS,0))))}</f>
        <v>SUBCLASSABILITY1-L03PTS</v>
      </c>
      <c r="K1947" s="76"/>
      <c r="L1947" s="76" t="str">
        <f t="array" ref="L1947:L1948">{"SUBCLASSABILITY1-L05PTS";((INDEX(ALLCLASSDATA,MATCH("SubclassAbility1-L05",CLASSFEATUREHEADERS,0),MATCH(($A1948 &amp; "Points"),CLASSNAMEHEADERS,0))))}</f>
        <v>SUBCLASSABILITY1-L05PTS</v>
      </c>
      <c r="M1947" s="76"/>
      <c r="N1947" s="76" t="str">
        <f t="array" ref="N1947:N1948">{"SUBCLASSABILITY1-L07PTS";((INDEX(ALLCLASSDATA,MATCH("SubclassAbility1-L07",CLASSFEATUREHEADERS,0),MATCH(($A1948 &amp; "Points"),CLASSNAMEHEADERS,0))))}</f>
        <v>SUBCLASSABILITY1-L07PTS</v>
      </c>
      <c r="O1947" s="76"/>
      <c r="P1947" s="76" t="str">
        <f t="array" ref="P1947:P1948">{"SUBCLASSABILITY1-L09PTS";((INDEX(ALLCLASSDATA,MATCH("SubclassAbility1-L09",CLASSFEATUREHEADERS,0),MATCH(($A1948 &amp; "Points"),CLASSNAMEHEADERS,0))))}</f>
        <v>SUBCLASSABILITY1-L09PTS</v>
      </c>
      <c r="Q1947" s="76"/>
      <c r="R1947" s="76" t="str">
        <f t="array" ref="R1947:R1948">{"SUBCLASSABILITY1-L11PTS";((INDEX(ALLCLASSDATA,MATCH("SubclassAbility1-L11",CLASSFEATUREHEADERS,0),MATCH(($A1948 &amp; "Points"),CLASSNAMEHEADERS,0))))}</f>
        <v>SUBCLASSABILITY1-L11PTS</v>
      </c>
      <c r="S1947" s="76"/>
      <c r="T1947" s="76" t="str">
        <f t="array" ref="T1947:T1948">{"SUBCLASSABILITY1-L13PTS";((INDEX(ALLCLASSDATA,MATCH("SubclassAbility1-L13",CLASSFEATUREHEADERS,0),MATCH(($A1948 &amp; "Points"),CLASSNAMEHEADERS,0))))}</f>
        <v>SUBCLASSABILITY1-L13PTS</v>
      </c>
      <c r="U1947" s="76"/>
      <c r="V1947" s="76" t="str">
        <f t="array" ref="V1947:V1948">{"SUBCLASSABILITY1-L15PTS";((INDEX(ALLCLASSDATA,MATCH("SubclassAbility1-L15",CLASSFEATUREHEADERS,0),MATCH(($A1948 &amp; "Points"),CLASSNAMEHEADERS,0))))}</f>
        <v>SUBCLASSABILITY1-L15PTS</v>
      </c>
      <c r="W1947" s="76"/>
      <c r="X1947" s="76" t="str">
        <f t="array" ref="X1947:X1948">{"SUBCLASSABILITY1-L17PTS";((INDEX(ALLCLASSDATA,MATCH("SubclassAbility1-L17",CLASSFEATUREHEADERS,0),MATCH(($A1948 &amp; "Points"),CLASSNAMEHEADERS,0))))}</f>
        <v>SUBCLASSABILITY1-L17PTS</v>
      </c>
      <c r="Y1947" s="76"/>
      <c r="Z1947" s="76" t="str">
        <f t="array" ref="Z1947:Z1948">{"SUBCLASSABILITY1-L19PTS";((INDEX(ALLCLASSDATA,MATCH("SubclassAbility1-L19",CLASSFEATUREHEADERS,0),MATCH(($A1948 &amp; "Points"),CLASSNAMEHEADERS,0))))}</f>
        <v>SUBCLASSABILITY1-L19PTS</v>
      </c>
      <c r="AA1947" s="76"/>
      <c r="AB1947" s="76"/>
      <c r="AC1947" s="76" t="str">
        <f t="array" ref="AC1947:AC1948">{"SUBCLASSABILITY1 TOTAL";(sum(G1948:AA1948))}</f>
        <v>SUBCLASSABILITY1 TOTAL</v>
      </c>
    </row>
    <row r="1948">
      <c r="A1948" s="48" t="s">
        <v>231</v>
      </c>
      <c r="B1948" s="48"/>
      <c r="C1948" s="48" t="s">
        <v>418</v>
      </c>
      <c r="D1948" s="48" t="s">
        <v>930</v>
      </c>
      <c r="E1948" s="28" t="s">
        <v>1355</v>
      </c>
      <c r="F1948" s="5"/>
      <c r="G1948" s="47"/>
      <c r="H1948" s="5"/>
      <c r="I1948" s="5"/>
      <c r="J1948" s="5"/>
      <c r="K1948" s="5"/>
      <c r="L1948" s="5"/>
      <c r="M1948" s="5"/>
      <c r="N1948" s="5"/>
      <c r="O1948" s="5"/>
      <c r="P1948" s="5"/>
      <c r="Q1948" s="5"/>
      <c r="R1948" s="5"/>
      <c r="S1948" s="5"/>
      <c r="T1948" s="5"/>
      <c r="U1948" s="5"/>
      <c r="V1948" s="5"/>
      <c r="W1948" s="5"/>
      <c r="X1948" s="5"/>
      <c r="Y1948" s="5"/>
      <c r="Z1948" s="5"/>
      <c r="AA1948" s="5"/>
      <c r="AB1948" s="5"/>
      <c r="AC1948" s="47">
        <v>0.0</v>
      </c>
    </row>
    <row r="1949" hidden="1">
      <c r="A1949" s="76" t="str">
        <f t="array" ref="A1949:A1950">{"FormulaRow18";(INDEX(CLASSLIST,A1914,1))}</f>
        <v>FormulaRow18</v>
      </c>
      <c r="B1949" s="77" t="s">
        <v>236</v>
      </c>
      <c r="C1949" s="76" t="str">
        <f t="array" ref="C1949:C1950">{"CLASSTYPE";((INDEX(ALLCLASSDATA,MATCH("ClassType",CLASSFEATUREHEADERS,0),MATCH($A1950,CLASSNAMEHEADERS,0))))}</f>
        <v>CLASSTYPE</v>
      </c>
      <c r="D1949" s="76" t="str">
        <f t="array" ref="D1949:D1950">{"CLASSABILITY";"ClassAbility"}</f>
        <v>CLASSABILITY</v>
      </c>
      <c r="E1949" s="76" t="str">
        <f t="array" ref="E1949:E1950">{"SUBCLASSABILITY2";"SubclassAbility2"}</f>
        <v>SUBCLASSABILITY2</v>
      </c>
      <c r="F1949" s="76"/>
      <c r="G1949" s="76"/>
      <c r="H1949" s="76"/>
      <c r="I1949" s="76"/>
      <c r="J1949" s="76" t="str">
        <f t="array" ref="J1949:J1950">{"SUBCLASSABILITY2-L03";((INDEX(ALLCLASSDATA,MATCH("SubclassAbility2-L03",CLASSFEATUREHEADERS,0),MATCH(($A1950),CLASSNAMEHEADERS,0))))}</f>
        <v>SUBCLASSABILITY2-L03</v>
      </c>
      <c r="K1949" s="76"/>
      <c r="L1949" s="76" t="str">
        <f t="array" ref="L1949:L1950">{"SUBCLASSABILITY2-L05";((INDEX(ALLCLASSDATA,MATCH("SubclassAbility2-L05",CLASSFEATUREHEADERS,0),MATCH(($A1950),CLASSNAMEHEADERS,0))))}</f>
        <v>SUBCLASSABILITY2-L05</v>
      </c>
      <c r="M1949" s="76"/>
      <c r="N1949" s="76" t="str">
        <f t="array" ref="N1949:N1950">{"SUBCLASSABILITY2-L07";((INDEX(ALLCLASSDATA,MATCH("SubclassAbility2-L07",CLASSFEATUREHEADERS,0),MATCH(($A1950),CLASSNAMEHEADERS,0))))}</f>
        <v>SUBCLASSABILITY2-L07</v>
      </c>
      <c r="O1949" s="76"/>
      <c r="P1949" s="76" t="str">
        <f t="array" ref="P1949:P1950">{"SUBCLASSABILITY2-L09";((INDEX(ALLCLASSDATA,MATCH("SubclassAbility2-L09",CLASSFEATUREHEADERS,0),MATCH(($A1950),CLASSNAMEHEADERS,0))))}</f>
        <v>SUBCLASSABILITY2-L09</v>
      </c>
      <c r="Q1949" s="76"/>
      <c r="R1949" s="76" t="str">
        <f t="array" ref="R1949:R1950">{"SUBCLASSABILITY2-L11";((INDEX(ALLCLASSDATA,MATCH("SubclassAbility2-L11",CLASSFEATUREHEADERS,0),MATCH(($A1950),CLASSNAMEHEADERS,0))))}</f>
        <v>SUBCLASSABILITY2-L11</v>
      </c>
      <c r="S1949" s="76"/>
      <c r="T1949" s="76" t="str">
        <f t="array" ref="T1949:T1950">{"SUBCLASSABILITY2-L13";((INDEX(ALLCLASSDATA,MATCH("SubclassAbility2-L13",CLASSFEATUREHEADERS,0),MATCH(($A1950),CLASSNAMEHEADERS,0))))}</f>
        <v>SUBCLASSABILITY2-L13</v>
      </c>
      <c r="U1949" s="76"/>
      <c r="V1949" s="76" t="str">
        <f t="array" ref="V1949:V1950">{"SUBCLASSABILITY2-L15";((INDEX(ALLCLASSDATA,MATCH("SubclassAbility2-L15",CLASSFEATUREHEADERS,0),MATCH(($A1950),CLASSNAMEHEADERS,0))))}</f>
        <v>SUBCLASSABILITY2-L15</v>
      </c>
      <c r="W1949" s="76"/>
      <c r="X1949" s="76" t="str">
        <f t="array" ref="X1949:X1950">{"SUBCLASSABILITY2-L17";((INDEX(ALLCLASSDATA,MATCH("SubclassAbility2-L17",CLASSFEATUREHEADERS,0),MATCH(($A1950),CLASSNAMEHEADERS,0))))}</f>
        <v>SUBCLASSABILITY2-L17</v>
      </c>
      <c r="Y1949" s="76"/>
      <c r="Z1949" s="76" t="str">
        <f t="array" ref="Z1949:Z1950">{"SUBCLASSABILITY2-L19";((INDEX(ALLCLASSDATA,MATCH("SubclassAbility2-L19",CLASSFEATUREHEADERS,0),MATCH(($A1950),CLASSNAMEHEADERS,0))))}</f>
        <v>SUBCLASSABILITY2-L19</v>
      </c>
      <c r="AA1949" s="76"/>
      <c r="AB1949" s="76"/>
      <c r="AC1949" s="76"/>
    </row>
    <row r="1950">
      <c r="A1950" s="48" t="s">
        <v>231</v>
      </c>
      <c r="B1950" s="48"/>
      <c r="C1950" s="48" t="s">
        <v>418</v>
      </c>
      <c r="D1950" s="48" t="s">
        <v>825</v>
      </c>
      <c r="E1950" s="28" t="s">
        <v>1370</v>
      </c>
      <c r="F1950" s="5"/>
      <c r="G1950" s="47"/>
      <c r="H1950" s="5"/>
      <c r="I1950" s="5"/>
      <c r="J1950" s="5"/>
      <c r="K1950" s="5"/>
      <c r="L1950" s="5"/>
      <c r="M1950" s="5"/>
      <c r="N1950" s="5"/>
      <c r="O1950" s="5"/>
      <c r="P1950" s="5"/>
      <c r="Q1950" s="5"/>
      <c r="R1950" s="5"/>
      <c r="S1950" s="5"/>
      <c r="T1950" s="5"/>
      <c r="U1950" s="5"/>
      <c r="V1950" s="5"/>
      <c r="W1950" s="5"/>
      <c r="X1950" s="5"/>
      <c r="Y1950" s="5"/>
      <c r="Z1950" s="5"/>
      <c r="AA1950" s="5"/>
      <c r="AB1950" s="5"/>
      <c r="AC1950" s="47"/>
    </row>
    <row r="1951" hidden="1">
      <c r="A1951" s="76" t="str">
        <f t="array" ref="A1951:A1952">{"FormulaRow19";(INDEX(CLASSLIST,A1914,1))}</f>
        <v>FormulaRow19</v>
      </c>
      <c r="B1951" s="77" t="s">
        <v>236</v>
      </c>
      <c r="C1951" s="76" t="str">
        <f t="array" ref="C1951:C1952">{"CLASSTYPE";((INDEX(ALLCLASSDATA,MATCH("ClassType",CLASSFEATUREHEADERS,0),MATCH($A1952,CLASSNAMEHEADERS,0))))}</f>
        <v>CLASSTYPE</v>
      </c>
      <c r="D1951" s="76" t="str">
        <f t="array" ref="D1951:D1952">{"CLASSABILITYPTS";"ClassAbilityPts"}</f>
        <v>CLASSABILITYPTS</v>
      </c>
      <c r="E1951" s="76" t="str">
        <f t="array" ref="E1951:E1952">{"SUBCLASSABILITY2";"SubclassAbility2"}</f>
        <v>SUBCLASSABILITY2</v>
      </c>
      <c r="F1951" s="76"/>
      <c r="G1951" s="76"/>
      <c r="H1951" s="76"/>
      <c r="I1951" s="76"/>
      <c r="J1951" s="76" t="str">
        <f t="array" ref="J1951:J1952">{"SUBCLASSABILITY2-L03PTS";((INDEX(ALLCLASSDATA,MATCH("SubclassAbility2-L03",CLASSFEATUREHEADERS,0),MATCH(($A1952 &amp; "Points"),CLASSNAMEHEADERS,0))))}</f>
        <v>SUBCLASSABILITY2-L03PTS</v>
      </c>
      <c r="K1951" s="76"/>
      <c r="L1951" s="76" t="str">
        <f t="array" ref="L1951:L1952">{"SUBCLASSABILITY2-L05PTS";((INDEX(ALLCLASSDATA,MATCH("SubclassAbility2-L05",CLASSFEATUREHEADERS,0),MATCH(($A1952 &amp; "Points"),CLASSNAMEHEADERS,0))))}</f>
        <v>SUBCLASSABILITY2-L05PTS</v>
      </c>
      <c r="M1951" s="76"/>
      <c r="N1951" s="76" t="str">
        <f t="array" ref="N1951:N1952">{"SUBCLASSABILITY2-L07PTS";((INDEX(ALLCLASSDATA,MATCH("SubclassAbility2-L07",CLASSFEATUREHEADERS,0),MATCH(($A1952 &amp; "Points"),CLASSNAMEHEADERS,0))))}</f>
        <v>SUBCLASSABILITY2-L07PTS</v>
      </c>
      <c r="O1951" s="76"/>
      <c r="P1951" s="76" t="str">
        <f t="array" ref="P1951:P1952">{"SUBCLASSABILITY2-L09PTS";((INDEX(ALLCLASSDATA,MATCH("SubclassAbility2-L09",CLASSFEATUREHEADERS,0),MATCH(($A1952 &amp; "Points"),CLASSNAMEHEADERS,0))))}</f>
        <v>SUBCLASSABILITY2-L09PTS</v>
      </c>
      <c r="Q1951" s="76"/>
      <c r="R1951" s="76" t="str">
        <f t="array" ref="R1951:R1952">{"SUBCLASSABILITY2-L11PTS";((INDEX(ALLCLASSDATA,MATCH("SubclassAbility2-L11",CLASSFEATUREHEADERS,0),MATCH(($A1952 &amp; "Points"),CLASSNAMEHEADERS,0))))}</f>
        <v>SUBCLASSABILITY2-L11PTS</v>
      </c>
      <c r="S1951" s="76"/>
      <c r="T1951" s="76" t="str">
        <f t="array" ref="T1951:T1952">{"SUBCLASSABILITY2-L13PTS";((INDEX(ALLCLASSDATA,MATCH("SubclassAbility2-L13",CLASSFEATUREHEADERS,0),MATCH(($A1952 &amp; "Points"),CLASSNAMEHEADERS,0))))}</f>
        <v>SUBCLASSABILITY2-L13PTS</v>
      </c>
      <c r="U1951" s="76"/>
      <c r="V1951" s="76" t="str">
        <f t="array" ref="V1951:V1952">{"SUBCLASSABILITY2-L15PTS";((INDEX(ALLCLASSDATA,MATCH("SubclassAbility2-L15",CLASSFEATUREHEADERS,0),MATCH(($A1952 &amp; "Points"),CLASSNAMEHEADERS,0))))}</f>
        <v>SUBCLASSABILITY2-L15PTS</v>
      </c>
      <c r="W1951" s="76"/>
      <c r="X1951" s="76" t="str">
        <f t="array" ref="X1951:X1952">{"SUBCLASSABILITY2-L17PTS";((INDEX(ALLCLASSDATA,MATCH("SubclassAbility2-L17",CLASSFEATUREHEADERS,0),MATCH(($A1952 &amp; "Points"),CLASSNAMEHEADERS,0))))}</f>
        <v>SUBCLASSABILITY2-L17PTS</v>
      </c>
      <c r="Y1951" s="76"/>
      <c r="Z1951" s="76" t="str">
        <f t="array" ref="Z1951:Z1952">{"SUBCLASSABILITY2-L19PTS";((INDEX(ALLCLASSDATA,MATCH("SubclassAbility2-L19",CLASSFEATUREHEADERS,0),MATCH(($A1952 &amp; "Points"),CLASSNAMEHEADERS,0))))}</f>
        <v>SUBCLASSABILITY2-L19PTS</v>
      </c>
      <c r="AA1951" s="76"/>
      <c r="AB1951" s="76"/>
      <c r="AC1951" s="76" t="str">
        <f t="array" ref="AC1951:AC1952">{"SUBCLASSABILITY2 TOTAL";(sum(G1952:AA1952))}</f>
        <v>SUBCLASSABILITY2 TOTAL</v>
      </c>
    </row>
    <row r="1952">
      <c r="A1952" s="48" t="s">
        <v>231</v>
      </c>
      <c r="B1952" s="48"/>
      <c r="C1952" s="48" t="s">
        <v>418</v>
      </c>
      <c r="D1952" s="97" t="s">
        <v>930</v>
      </c>
      <c r="E1952" s="215" t="s">
        <v>1370</v>
      </c>
      <c r="F1952" s="98"/>
      <c r="G1952" s="132"/>
      <c r="H1952" s="98"/>
      <c r="I1952" s="98"/>
      <c r="J1952" s="98"/>
      <c r="K1952" s="98"/>
      <c r="L1952" s="98"/>
      <c r="M1952" s="98"/>
      <c r="N1952" s="98"/>
      <c r="O1952" s="98"/>
      <c r="P1952" s="98"/>
      <c r="Q1952" s="98"/>
      <c r="R1952" s="98"/>
      <c r="S1952" s="98"/>
      <c r="T1952" s="98"/>
      <c r="U1952" s="98"/>
      <c r="V1952" s="98"/>
      <c r="W1952" s="98"/>
      <c r="X1952" s="98"/>
      <c r="Y1952" s="98"/>
      <c r="Z1952" s="98"/>
      <c r="AA1952" s="98"/>
      <c r="AB1952" s="5"/>
      <c r="AC1952" s="47">
        <v>0.0</v>
      </c>
    </row>
    <row r="1953" hidden="1">
      <c r="A1953" s="76" t="str">
        <f t="array" ref="A1953:A1954">{"FormulaRow20";(INDEX(CLASSLIST,A1914,1))}</f>
        <v>FormulaRow20</v>
      </c>
      <c r="B1953" s="77" t="s">
        <v>236</v>
      </c>
      <c r="C1953" s="76" t="str">
        <f t="array" ref="C1953:C1954">{"CLASSTYPE";((INDEX(ALLCLASSDATA,MATCH("ClassType",CLASSFEATUREHEADERS,0),MATCH($A1954,CLASSNAMEHEADERS,0))))}</f>
        <v>CLASSTYPE</v>
      </c>
      <c r="D1953" s="81" t="str">
        <f t="array" ref="D1953:D1954">{"DC";"DC"}</f>
        <v>DC</v>
      </c>
      <c r="E1953" s="81" t="str">
        <f t="array" ref="E1953:E1954">{"CLASSDC";"ClassDC"}</f>
        <v>CLASSDC</v>
      </c>
      <c r="F1953" s="81" t="str">
        <f t="array" ref="F1953:F1954">{"CLASSDCINITIAL";((IF(H1954=10,"T",(IF(H1954=50,"E","")))))}</f>
        <v>CLASSDCINITIAL</v>
      </c>
      <c r="G1953" s="81" t="str">
        <f t="array" ref="G1953:G1954">{"CLASSDCINITIALPTS";((IF("00"=(INDEX(ALLCLASSDATA,MATCH("ClassDCLegendary",CLASSFEATUREHEADERS,0),MATCH($A1954,CLASSNAMEHEADERS,0))),(INDEX(ALLCLASSDATA,MATCH("ClassDCLegendary",CLASSFEATUREHEADERS,0),MATCH(($A1954 &amp; "Points"),CLASSNAMEHEADERS,0))),(IF("00"=(INDEX(ALLCLASSDATA,MATCH("ClassDCMaster",CLASSFEATUREHEADERS,0),MATCH($A1954,CLASSNAMEHEADERS,0))),(INDEX(ALLCLASSDATA,MATCH("ClassDCMaster",CLASSFEATUREHEADERS,0),MATCH(($A1954 &amp; "Points"),CLASSNAMEHEADERS,0))),(IF("00"=(INDEX(ALLCLASSDATA,MATCH("ClassDCExpert",CLASSFEATUREHEADERS,0),MATCH($A1954,CLASSNAMEHEADERS,0))),(INDEX(ALLCLASSDATA,MATCH("ClassDCExpert",CLASSFEATUREHEADERS,0),MATCH(($A1954 &amp; "Points"),CLASSNAMEHEADERS,0))),(IF("00"=(INDEX(ALLCLASSDATA,MATCH("ClassDCTrained",CLASSFEATUREHEADERS,0),MATCH($A1954,CLASSNAMEHEADERS,0))),(INDEX(ALLCLASSDATA,MATCH("ClassDCTrained",CLASSFEATUREHEADERS,0),MATCH(($A1954 &amp; "Points"),CLASSNAMEHEADERS,0))),"")))))))))}</f>
        <v>CLASSDCINITIALPTS</v>
      </c>
      <c r="H1953" s="81" t="str">
        <f t="array" ref="H1953:H1954">{"CLASSDCL01";((IF("01"=(INDEX(ALLCLASSDATA,MATCH("ClassDCLegendary",CLASSFEATUREHEADERS,0),MATCH($A1954,CLASSNAMEHEADERS,0))),(INDEX(ALLCLASSDATA,MATCH("ClassDCLegendary",CLASSFEATUREHEADERS,0),MATCH(($A1954 &amp; "Points"),CLASSNAMEHEADERS,0))),(IF("01"=(INDEX(ALLCLASSDATA,MATCH("ClassDCMaster",CLASSFEATUREHEADERS,0),MATCH($A1954,CLASSNAMEHEADERS,0))),(INDEX(ALLCLASSDATA,MATCH("ClassDCMaster",CLASSFEATUREHEADERS,0),MATCH(($A1954 &amp; "Points"),CLASSNAMEHEADERS,0))),(IF("01"=(INDEX(ALLCLASSDATA,MATCH("ClassDCExpert",CLASSFEATUREHEADERS,0),MATCH($A1954,CLASSNAMEHEADERS,0))),(INDEX(ALLCLASSDATA,MATCH("ClassDCExpert",CLASSFEATUREHEADERS,0),MATCH(($A1954 &amp; "Points"),CLASSNAMEHEADERS,0))),(IF("01"=(INDEX(ALLCLASSDATA,MATCH("ClassDCTrained",CLASSFEATUREHEADERS,0),MATCH($A1954,CLASSNAMEHEADERS,0))),(INDEX(ALLCLASSDATA,MATCH("ClassDCTrained",CLASSFEATUREHEADERS,0),MATCH(($A1954 &amp; "Points"),CLASSNAMEHEADERS,0))),"")))))))))}</f>
        <v>CLASSDCL01</v>
      </c>
      <c r="I1953" s="81"/>
      <c r="J1953" s="81" t="str">
        <f t="array" ref="J1953:J1954">{"CLASSDCL03";((IF("03"=(INDEX(ALLCLASSDATA,MATCH("ClassDCLegendary",CLASSFEATUREHEADERS,0),MATCH($A1954,CLASSNAMEHEADERS,0))),(INDEX(ALLCLASSDATA,MATCH("ClassDCLegendary",CLASSFEATUREHEADERS,0),MATCH(($A1954 &amp; "Points"),CLASSNAMEHEADERS,0))),(IF("03"=(INDEX(ALLCLASSDATA,MATCH("ClassDCMaster",CLASSFEATUREHEADERS,0),MATCH($A1954,CLASSNAMEHEADERS,0))),(INDEX(ALLCLASSDATA,MATCH("ClassDCMaster",CLASSFEATUREHEADERS,0),MATCH(($A1954 &amp; "Points"),CLASSNAMEHEADERS,0))),(IF("03"=(INDEX(ALLCLASSDATA,MATCH("ClassDCExpert",CLASSFEATUREHEADERS,0),MATCH($A1954,CLASSNAMEHEADERS,0))),(INDEX(ALLCLASSDATA,MATCH("ClassDCExpert",CLASSFEATUREHEADERS,0),MATCH(($A1954 &amp; "Points"),CLASSNAMEHEADERS,0))),(IF("03"=(INDEX(ALLCLASSDATA,MATCH("ClassDCTrained",CLASSFEATUREHEADERS,0),MATCH($A1954,CLASSNAMEHEADERS,0))),(INDEX(ALLCLASSDATA,MATCH("ClassDCTrained",CLASSFEATUREHEADERS,0),MATCH(($A1954 &amp; "Points"),CLASSNAMEHEADERS,0))),"")))))))))}</f>
        <v>CLASSDCL03</v>
      </c>
      <c r="K1953" s="81"/>
      <c r="L1953" s="81" t="str">
        <f t="array" ref="L1953:L1954">{"CLASSDCL05";((IF("05"=(INDEX(ALLCLASSDATA,MATCH("ClassDCLegendary",CLASSFEATUREHEADERS,0),MATCH($A1954,CLASSNAMEHEADERS,0))),(INDEX(ALLCLASSDATA,MATCH("ClassDCLegendary",CLASSFEATUREHEADERS,0),MATCH(($A1954 &amp; "Points"),CLASSNAMEHEADERS,0))),(IF("05"=(INDEX(ALLCLASSDATA,MATCH("ClassDCMaster",CLASSFEATUREHEADERS,0),MATCH($A1954,CLASSNAMEHEADERS,0))),(INDEX(ALLCLASSDATA,MATCH("ClassDCMaster",CLASSFEATUREHEADERS,0),MATCH(($A1954 &amp; "Points"),CLASSNAMEHEADERS,0))),(IF("05"=(INDEX(ALLCLASSDATA,MATCH("ClassDCExpert",CLASSFEATUREHEADERS,0),MATCH($A1954,CLASSNAMEHEADERS,0))),(INDEX(ALLCLASSDATA,MATCH("ClassDCExpert",CLASSFEATUREHEADERS,0),MATCH(($A1954 &amp; "Points"),CLASSNAMEHEADERS,0))),(IF("05"=(INDEX(ALLCLASSDATA,MATCH("ClassDCTrained",CLASSFEATUREHEADERS,0),MATCH($A1954,CLASSNAMEHEADERS,0))),(INDEX(ALLCLASSDATA,MATCH("ClassDCTrained",CLASSFEATUREHEADERS,0),MATCH(($A1954 &amp; "Points"),CLASSNAMEHEADERS,0))),"")))))))))}</f>
        <v>CLASSDCL05</v>
      </c>
      <c r="M1953" s="81"/>
      <c r="N1953" s="81" t="str">
        <f t="array" ref="N1953:N1954">{"CLASSDCL07";((IF("07"=(INDEX(ALLCLASSDATA,MATCH("ClassDCLegendary",CLASSFEATUREHEADERS,0),MATCH($A1954,CLASSNAMEHEADERS,0))),(INDEX(ALLCLASSDATA,MATCH("ClassDCLegendary",CLASSFEATUREHEADERS,0),MATCH(($A1954 &amp; "Points"),CLASSNAMEHEADERS,0))),(IF("07"=(INDEX(ALLCLASSDATA,MATCH("ClassDCMaster",CLASSFEATUREHEADERS,0),MATCH($A1954,CLASSNAMEHEADERS,0))),(INDEX(ALLCLASSDATA,MATCH("ClassDCMaster",CLASSFEATUREHEADERS,0),MATCH(($A1954 &amp; "Points"),CLASSNAMEHEADERS,0))),(IF("07"=(INDEX(ALLCLASSDATA,MATCH("ClassDCExpert",CLASSFEATUREHEADERS,0),MATCH($A1954,CLASSNAMEHEADERS,0))),(INDEX(ALLCLASSDATA,MATCH("ClassDCExpert",CLASSFEATUREHEADERS,0),MATCH(($A1954 &amp; "Points"),CLASSNAMEHEADERS,0))),(IF("07"=(INDEX(ALLCLASSDATA,MATCH("ClassDCTrained",CLASSFEATUREHEADERS,0),MATCH($A1954,CLASSNAMEHEADERS,0))),(INDEX(ALLCLASSDATA,MATCH("ClassDCTrained",CLASSFEATUREHEADERS,0),MATCH(($A1954 &amp; "Points"),CLASSNAMEHEADERS,0))),"")))))))))}</f>
        <v>CLASSDCL07</v>
      </c>
      <c r="O1953" s="81"/>
      <c r="P1953" s="81" t="str">
        <f t="array" ref="P1953:P1954">{"CLASSDCL09";((IF("09"=(INDEX(ALLCLASSDATA,MATCH("ClassDCLegendary",CLASSFEATUREHEADERS,0),MATCH($A1954,CLASSNAMEHEADERS,0))),(INDEX(ALLCLASSDATA,MATCH("ClassDCLegendary",CLASSFEATUREHEADERS,0),MATCH(($A1954 &amp; "Points"),CLASSNAMEHEADERS,0))),(IF("09"=(INDEX(ALLCLASSDATA,MATCH("ClassDCMaster",CLASSFEATUREHEADERS,0),MATCH($A1954,CLASSNAMEHEADERS,0))),(INDEX(ALLCLASSDATA,MATCH("ClassDCMaster",CLASSFEATUREHEADERS,0),MATCH(($A1954 &amp; "Points"),CLASSNAMEHEADERS,0))),(IF("09"=(INDEX(ALLCLASSDATA,MATCH("ClassDCExpert",CLASSFEATUREHEADERS,0),MATCH($A1954,CLASSNAMEHEADERS,0))),(INDEX(ALLCLASSDATA,MATCH("ClassDCExpert",CLASSFEATUREHEADERS,0),MATCH(($A1954 &amp; "Points"),CLASSNAMEHEADERS,0))),(IF("09"=(INDEX(ALLCLASSDATA,MATCH("ClassDCTrained",CLASSFEATUREHEADERS,0),MATCH($A1954,CLASSNAMEHEADERS,0))),(INDEX(ALLCLASSDATA,MATCH("ClassDCTrained",CLASSFEATUREHEADERS,0),MATCH(($A1954 &amp; "Points"),CLASSNAMEHEADERS,0))),"")))))))))}</f>
        <v>CLASSDCL09</v>
      </c>
      <c r="Q1953" s="81"/>
      <c r="R1953" s="81" t="str">
        <f t="array" ref="R1953:R1954">{"CLASSDCL11";((IF("11"=(INDEX(ALLCLASSDATA,MATCH("ClassDCLegendary",CLASSFEATUREHEADERS,0),MATCH($A1954,CLASSNAMEHEADERS,0))),(INDEX(ALLCLASSDATA,MATCH("ClassDCLegendary",CLASSFEATUREHEADERS,0),MATCH(($A1954 &amp; "Points"),CLASSNAMEHEADERS,0))),(IF("11"=(INDEX(ALLCLASSDATA,MATCH("ClassDCMaster",CLASSFEATUREHEADERS,0),MATCH($A1954,CLASSNAMEHEADERS,0))),(INDEX(ALLCLASSDATA,MATCH("ClassDCMaster",CLASSFEATUREHEADERS,0),MATCH(($A1954 &amp; "Points"),CLASSNAMEHEADERS,0))),(IF("11"=(INDEX(ALLCLASSDATA,MATCH("ClassDCExpert",CLASSFEATUREHEADERS,0),MATCH($A1954,CLASSNAMEHEADERS,0))),(INDEX(ALLCLASSDATA,MATCH("ClassDCExpert",CLASSFEATUREHEADERS,0),MATCH(($A1954 &amp; "Points"),CLASSNAMEHEADERS,0))),(IF("11"=(INDEX(ALLCLASSDATA,MATCH("ClassDCTrained",CLASSFEATUREHEADERS,0),MATCH($A1954,CLASSNAMEHEADERS,0))),(INDEX(ALLCLASSDATA,MATCH("ClassDCTrained",CLASSFEATUREHEADERS,0),MATCH(($A1954 &amp; "Points"),CLASSNAMEHEADERS,0))),"")))))))))}</f>
        <v>CLASSDCL11</v>
      </c>
      <c r="S1953" s="81"/>
      <c r="T1953" s="81" t="str">
        <f t="array" ref="T1953:T1954">{"CLASSDCL13";((IF("13"=(INDEX(ALLCLASSDATA,MATCH("ClassDCLegendary",CLASSFEATUREHEADERS,0),MATCH($A1954,CLASSNAMEHEADERS,0))),(INDEX(ALLCLASSDATA,MATCH("ClassDCLegendary",CLASSFEATUREHEADERS,0),MATCH(($A1954 &amp; "Points"),CLASSNAMEHEADERS,0))),(IF("13"=(INDEX(ALLCLASSDATA,MATCH("ClassDCMaster",CLASSFEATUREHEADERS,0),MATCH($A1954,CLASSNAMEHEADERS,0))),(INDEX(ALLCLASSDATA,MATCH("ClassDCMaster",CLASSFEATUREHEADERS,0),MATCH(($A1954 &amp; "Points"),CLASSNAMEHEADERS,0))),(IF("13"=(INDEX(ALLCLASSDATA,MATCH("ClassDCExpert",CLASSFEATUREHEADERS,0),MATCH($A1954,CLASSNAMEHEADERS,0))),(INDEX(ALLCLASSDATA,MATCH("ClassDCExpert",CLASSFEATUREHEADERS,0),MATCH(($A1954 &amp; "Points"),CLASSNAMEHEADERS,0))),(IF("13"=(INDEX(ALLCLASSDATA,MATCH("ClassDCTrained",CLASSFEATUREHEADERS,0),MATCH($A1954,CLASSNAMEHEADERS,0))),(INDEX(ALLCLASSDATA,MATCH("ClassDCTrained",CLASSFEATUREHEADERS,0),MATCH(($A1954 &amp; "Points"),CLASSNAMEHEADERS,0))),"")))))))))}</f>
        <v>CLASSDCL13</v>
      </c>
      <c r="U1953" s="81"/>
      <c r="V1953" s="81" t="str">
        <f t="array" ref="V1953:V1954">{"CLASSDCL15";((IF("15"=(INDEX(ALLCLASSDATA,MATCH("ClassDCLegendary",CLASSFEATUREHEADERS,0),MATCH($A1954,CLASSNAMEHEADERS,0))),(INDEX(ALLCLASSDATA,MATCH("ClassDCLegendary",CLASSFEATUREHEADERS,0),MATCH(($A1954 &amp; "Points"),CLASSNAMEHEADERS,0))),(IF("15"=(INDEX(ALLCLASSDATA,MATCH("ClassDCMaster",CLASSFEATUREHEADERS,0),MATCH($A1954,CLASSNAMEHEADERS,0))),(INDEX(ALLCLASSDATA,MATCH("ClassDCMaster",CLASSFEATUREHEADERS,0),MATCH(($A1954 &amp; "Points"),CLASSNAMEHEADERS,0))),(IF("15"=(INDEX(ALLCLASSDATA,MATCH("ClassDCExpert",CLASSFEATUREHEADERS,0),MATCH($A1954,CLASSNAMEHEADERS,0))),(INDEX(ALLCLASSDATA,MATCH("ClassDCExpert",CLASSFEATUREHEADERS,0),MATCH(($A1954 &amp; "Points"),CLASSNAMEHEADERS,0))),(IF("15"=(INDEX(ALLCLASSDATA,MATCH("ClassDCTrained",CLASSFEATUREHEADERS,0),MATCH($A1954,CLASSNAMEHEADERS,0))),(INDEX(ALLCLASSDATA,MATCH("ClassDCTrained",CLASSFEATUREHEADERS,0),MATCH(($A1954 &amp; "Points"),CLASSNAMEHEADERS,0))),"")))))))))}</f>
        <v>CLASSDCL15</v>
      </c>
      <c r="W1953" s="81"/>
      <c r="X1953" s="81" t="str">
        <f t="array" ref="X1953:X1954">{"CLASSDCL17";((IF("17"=(INDEX(ALLCLASSDATA,MATCH("ClassDCLegendary",CLASSFEATUREHEADERS,0),MATCH($A1954,CLASSNAMEHEADERS,0))),(INDEX(ALLCLASSDATA,MATCH("ClassDCLegendary",CLASSFEATUREHEADERS,0),MATCH(($A1954 &amp; "Points"),CLASSNAMEHEADERS,0))),(IF("17"=(INDEX(ALLCLASSDATA,MATCH("ClassDCMaster",CLASSFEATUREHEADERS,0),MATCH($A1954,CLASSNAMEHEADERS,0))),(INDEX(ALLCLASSDATA,MATCH("ClassDCMaster",CLASSFEATUREHEADERS,0),MATCH(($A1954 &amp; "Points"),CLASSNAMEHEADERS,0))),(IF("17"=(INDEX(ALLCLASSDATA,MATCH("ClassDCExpert",CLASSFEATUREHEADERS,0),MATCH($A1954,CLASSNAMEHEADERS,0))),(INDEX(ALLCLASSDATA,MATCH("ClassDCExpert",CLASSFEATUREHEADERS,0),MATCH(($A1954 &amp; "Points"),CLASSNAMEHEADERS,0))),(IF("17"=(INDEX(ALLCLASSDATA,MATCH("ClassDCTrained",CLASSFEATUREHEADERS,0),MATCH($A1954,CLASSNAMEHEADERS,0))),(INDEX(ALLCLASSDATA,MATCH("ClassDCTrained",CLASSFEATUREHEADERS,0),MATCH(($A1954 &amp; "Points"),CLASSNAMEHEADERS,0))),"")))))))))}</f>
        <v>CLASSDCL17</v>
      </c>
      <c r="Y1953" s="81"/>
      <c r="Z1953" s="81" t="str">
        <f t="array" ref="Z1953:Z1954">{"CLASSDCL19";((IF("19"=(INDEX(ALLCLASSDATA,MATCH("ClassDCLegendary",CLASSFEATUREHEADERS,0),MATCH($A1954,CLASSNAMEHEADERS,0))),(INDEX(ALLCLASSDATA,MATCH("ClassDCLegendary",CLASSFEATUREHEADERS,0),MATCH(($A1954 &amp; "Points"),CLASSNAMEHEADERS,0))),(IF("19"=(INDEX(ALLCLASSDATA,MATCH("ClassDCMaster",CLASSFEATUREHEADERS,0),MATCH($A1954,CLASSNAMEHEADERS,0))),(INDEX(ALLCLASSDATA,MATCH("ClassDCMaster",CLASSFEATUREHEADERS,0),MATCH(($A1954 &amp; "Points"),CLASSNAMEHEADERS,0))),(IF("19"=(INDEX(ALLCLASSDATA,MATCH("ClassDCExpert",CLASSFEATUREHEADERS,0),MATCH($A1954,CLASSNAMEHEADERS,0))),(INDEX(ALLCLASSDATA,MATCH("ClassDCExpert",CLASSFEATUREHEADERS,0),MATCH(($A1954 &amp; "Points"),CLASSNAMEHEADERS,0))),(IF("19"=(INDEX(ALLCLASSDATA,MATCH("ClassDCTrained",CLASSFEATUREHEADERS,0),MATCH($A1954,CLASSNAMEHEADERS,0))),(INDEX(ALLCLASSDATA,MATCH("ClassDCTrained",CLASSFEATUREHEADERS,0),MATCH(($A1954 &amp; "Points"),CLASSNAMEHEADERS,0))),"")))))))))}</f>
        <v>CLASSDCL19</v>
      </c>
      <c r="AA1953" s="81"/>
      <c r="AB1953" s="76" t="str">
        <f t="array" ref="AB1953:AB1954">{"CLASSDC TOTAL";(IF(COUNTBLANK(G1954:AA1954)=17,"L",(IF(COUNTBLANK(G1954:AA1954)=18,"M",(IF(COUNTBLANK(G1954:AA1954)=19,"E",(IF(COUNTBLANK(G1954:AA1954)=20,"T",""))))))))}</f>
        <v>CLASSDC TOTAL</v>
      </c>
      <c r="AC1953" s="76" t="str">
        <f t="array" ref="AC1953:AC1954">{"CLASSDC TOTAL";(sum(G1954:AA1954))}</f>
        <v>CLASSDC TOTAL</v>
      </c>
    </row>
    <row r="1954">
      <c r="A1954" s="48" t="s">
        <v>231</v>
      </c>
      <c r="B1954" s="48"/>
      <c r="C1954" s="48" t="s">
        <v>418</v>
      </c>
      <c r="D1954" s="48" t="s">
        <v>1465</v>
      </c>
      <c r="E1954" s="48" t="s">
        <v>1466</v>
      </c>
      <c r="F1954" s="5" t="s">
        <v>603</v>
      </c>
      <c r="G1954" s="47" t="s">
        <v>603</v>
      </c>
      <c r="H1954" s="5" t="s">
        <v>603</v>
      </c>
      <c r="I1954" s="5"/>
      <c r="J1954" s="5" t="s">
        <v>603</v>
      </c>
      <c r="K1954" s="5"/>
      <c r="L1954" s="5" t="s">
        <v>603</v>
      </c>
      <c r="M1954" s="5"/>
      <c r="N1954" s="5" t="s">
        <v>603</v>
      </c>
      <c r="O1954" s="5"/>
      <c r="P1954" s="5" t="s">
        <v>603</v>
      </c>
      <c r="Q1954" s="5"/>
      <c r="R1954" s="5" t="s">
        <v>603</v>
      </c>
      <c r="S1954" s="5"/>
      <c r="T1954" s="5" t="s">
        <v>603</v>
      </c>
      <c r="U1954" s="5"/>
      <c r="V1954" s="5" t="s">
        <v>603</v>
      </c>
      <c r="W1954" s="5"/>
      <c r="X1954" s="5" t="s">
        <v>603</v>
      </c>
      <c r="Y1954" s="5"/>
      <c r="Z1954" s="5" t="s">
        <v>603</v>
      </c>
      <c r="AA1954" s="5"/>
      <c r="AB1954" s="5" t="s">
        <v>603</v>
      </c>
      <c r="AC1954" s="47">
        <v>0.0</v>
      </c>
    </row>
    <row r="1955" hidden="1">
      <c r="A1955" s="222" t="str">
        <f t="array" ref="A1955:A1956">{"FormulaRow21";(INDEX(CLASSLIST,A1914,1))}</f>
        <v>FormulaRow21</v>
      </c>
      <c r="B1955" s="77" t="s">
        <v>236</v>
      </c>
      <c r="C1955" s="222" t="str">
        <f t="array" ref="C1955:C1956">{"CLASSTYPE";((INDEX(ALLCLASSDATA,MATCH("ClassType",CLASSFEATUREHEADERS,0),MATCH($A1956,CLASSNAMEHEADERS,0))))}</f>
        <v>CLASSTYPE</v>
      </c>
      <c r="D1955" s="222" t="str">
        <f t="array" ref="D1955:D1956">{"DC";"DC"}</f>
        <v>DC</v>
      </c>
      <c r="E1955" s="222" t="str">
        <f t="array" ref="E1955:E1956">{"SPELLDC";"SpellDC"}</f>
        <v>SPELLDC</v>
      </c>
      <c r="F1955" s="223" t="str">
        <f t="array" ref="F1955:F1956">{"SPELLDCINITIAL";((IF(H1956=10,"T",(IF(H1956=50,"E","")))))}</f>
        <v>SPELLDCINITIAL</v>
      </c>
      <c r="G1955" s="223" t="str">
        <f t="array" ref="G1955:G1956">{"SPELLDCINITIALPTS";((IF("00"=(INDEX(ALLCLASSDATA,MATCH("SpellDCLegendary",CLASSFEATUREHEADERS,0),MATCH($A1956,CLASSNAMEHEADERS,0))),(INDEX(ALLCLASSDATA,MATCH("SpellDCLegendary",CLASSFEATUREHEADERS,0),MATCH(($A1956 &amp; "Points"),CLASSNAMEHEADERS,0))),(IF("00"=(INDEX(ALLCLASSDATA,MATCH("SpellDCMaster",CLASSFEATUREHEADERS,0),MATCH($A1956,CLASSNAMEHEADERS,0))),(INDEX(ALLCLASSDATA,MATCH("SpellDCMaster",CLASSFEATUREHEADERS,0),MATCH(($A1956 &amp; "Points"),CLASSNAMEHEADERS,0))),(IF("00"=(INDEX(ALLCLASSDATA,MATCH("SpellDCExpert",CLASSFEATUREHEADERS,0),MATCH($A1956,CLASSNAMEHEADERS,0))),(INDEX(ALLCLASSDATA,MATCH("SpellDCExpert",CLASSFEATUREHEADERS,0),MATCH(($A1956 &amp; "Points"),CLASSNAMEHEADERS,0))),(IF("00"=(INDEX(ALLCLASSDATA,MATCH("SpellDCTrained",CLASSFEATUREHEADERS,0),MATCH($A1956,CLASSNAMEHEADERS,0))),(INDEX(ALLCLASSDATA,MATCH("SpellDCTrained",CLASSFEATUREHEADERS,0),MATCH(($A1956 &amp; "Points"),CLASSNAMEHEADERS,0))),"")))))))))}</f>
        <v>SPELLDCINITIALPTS</v>
      </c>
      <c r="H1955" s="223" t="str">
        <f t="array" ref="H1955:H1956">{"SPELLDCL01";((IF("01"=(INDEX(ALLCLASSDATA,MATCH("SpellDCLegendary",CLASSFEATUREHEADERS,0),MATCH($A1956,CLASSNAMEHEADERS,0))),(INDEX(ALLCLASSDATA,MATCH("SpellDCLegendary",CLASSFEATUREHEADERS,0),MATCH(($A1956 &amp; "Points"),CLASSNAMEHEADERS,0))),(IF("01"=(INDEX(ALLCLASSDATA,MATCH("SpellDCMaster",CLASSFEATUREHEADERS,0),MATCH($A1956,CLASSNAMEHEADERS,0))),(INDEX(ALLCLASSDATA,MATCH("SpellDCMaster",CLASSFEATUREHEADERS,0),MATCH(($A1956 &amp; "Points"),CLASSNAMEHEADERS,0))),(IF("01"=(INDEX(ALLCLASSDATA,MATCH("SpellDCExpert",CLASSFEATUREHEADERS,0),MATCH($A1956,CLASSNAMEHEADERS,0))),(INDEX(ALLCLASSDATA,MATCH("SpellDCExpert",CLASSFEATUREHEADERS,0),MATCH(($A1956 &amp; "Points"),CLASSNAMEHEADERS,0))),(IF("01"=(INDEX(ALLCLASSDATA,MATCH("SpellDCTrained",CLASSFEATUREHEADERS,0),MATCH($A1956,CLASSNAMEHEADERS,0))),(INDEX(ALLCLASSDATA,MATCH("SpellDCTrained",CLASSFEATUREHEADERS,0),MATCH(($A1956 &amp; "Points"),CLASSNAMEHEADERS,0))),"")))))))))}</f>
        <v>SPELLDCL01</v>
      </c>
      <c r="I1955" s="223"/>
      <c r="J1955" s="223" t="str">
        <f t="array" ref="J1955:J1956">{"SPELLDCL03";((IF("03"=(INDEX(ALLCLASSDATA,MATCH("SpellDCLegendary",CLASSFEATUREHEADERS,0),MATCH($A1956,CLASSNAMEHEADERS,0))),(INDEX(ALLCLASSDATA,MATCH("SpellDCLegendary",CLASSFEATUREHEADERS,0),MATCH(($A1956 &amp; "Points"),CLASSNAMEHEADERS,0))),(IF("03"=(INDEX(ALLCLASSDATA,MATCH("SpellDCMaster",CLASSFEATUREHEADERS,0),MATCH($A1956,CLASSNAMEHEADERS,0))),(INDEX(ALLCLASSDATA,MATCH("SpellDCMaster",CLASSFEATUREHEADERS,0),MATCH(($A1956 &amp; "Points"),CLASSNAMEHEADERS,0))),(IF("03"=(INDEX(ALLCLASSDATA,MATCH("SpellDCExpert",CLASSFEATUREHEADERS,0),MATCH($A1956,CLASSNAMEHEADERS,0))),(INDEX(ALLCLASSDATA,MATCH("SpellDCExpert",CLASSFEATUREHEADERS,0),MATCH(($A1956 &amp; "Points"),CLASSNAMEHEADERS,0))),(IF("03"=(INDEX(ALLCLASSDATA,MATCH("SpellDCTrained",CLASSFEATUREHEADERS,0),MATCH($A1956,CLASSNAMEHEADERS,0))),(INDEX(ALLCLASSDATA,MATCH("SpellDCTrained",CLASSFEATUREHEADERS,0),MATCH(($A1956 &amp; "Points"),CLASSNAMEHEADERS,0))),"")))))))))}</f>
        <v>SPELLDCL03</v>
      </c>
      <c r="K1955" s="223"/>
      <c r="L1955" s="223" t="str">
        <f t="array" ref="L1955:L1956">{"SPELLDCL05";((IF("05"=(INDEX(ALLCLASSDATA,MATCH("SpellDCLegendary",CLASSFEATUREHEADERS,0),MATCH($A1956,CLASSNAMEHEADERS,0))),(INDEX(ALLCLASSDATA,MATCH("SpellDCLegendary",CLASSFEATUREHEADERS,0),MATCH(($A1956 &amp; "Points"),CLASSNAMEHEADERS,0))),(IF("05"=(INDEX(ALLCLASSDATA,MATCH("SpellDCMaster",CLASSFEATUREHEADERS,0),MATCH($A1956,CLASSNAMEHEADERS,0))),(INDEX(ALLCLASSDATA,MATCH("SpellDCMaster",CLASSFEATUREHEADERS,0),MATCH(($A1956 &amp; "Points"),CLASSNAMEHEADERS,0))),(IF("05"=(INDEX(ALLCLASSDATA,MATCH("SpellDCExpert",CLASSFEATUREHEADERS,0),MATCH($A1956,CLASSNAMEHEADERS,0))),(INDEX(ALLCLASSDATA,MATCH("SpellDCExpert",CLASSFEATUREHEADERS,0),MATCH(($A1956 &amp; "Points"),CLASSNAMEHEADERS,0))),(IF("05"=(INDEX(ALLCLASSDATA,MATCH("SpellDCTrained",CLASSFEATUREHEADERS,0),MATCH($A1956,CLASSNAMEHEADERS,0))),(INDEX(ALLCLASSDATA,MATCH("SpellDCTrained",CLASSFEATUREHEADERS,0),MATCH(($A1956 &amp; "Points"),CLASSNAMEHEADERS,0))),"")))))))))}</f>
        <v>SPELLDCL05</v>
      </c>
      <c r="M1955" s="223"/>
      <c r="N1955" s="223" t="str">
        <f t="array" ref="N1955:N1956">{"SPELLDCL07";((IF("07"=(INDEX(ALLCLASSDATA,MATCH("SpellDCLegendary",CLASSFEATUREHEADERS,0),MATCH($A1956,CLASSNAMEHEADERS,0))),(INDEX(ALLCLASSDATA,MATCH("SpellDCLegendary",CLASSFEATUREHEADERS,0),MATCH(($A1956 &amp; "Points"),CLASSNAMEHEADERS,0))),(IF("07"=(INDEX(ALLCLASSDATA,MATCH("SpellDCMaster",CLASSFEATUREHEADERS,0),MATCH($A1956,CLASSNAMEHEADERS,0))),(INDEX(ALLCLASSDATA,MATCH("SpellDCMaster",CLASSFEATUREHEADERS,0),MATCH(($A1956 &amp; "Points"),CLASSNAMEHEADERS,0))),(IF("07"=(INDEX(ALLCLASSDATA,MATCH("SpellDCExpert",CLASSFEATUREHEADERS,0),MATCH($A1956,CLASSNAMEHEADERS,0))),(INDEX(ALLCLASSDATA,MATCH("SpellDCExpert",CLASSFEATUREHEADERS,0),MATCH(($A1956 &amp; "Points"),CLASSNAMEHEADERS,0))),(IF("07"=(INDEX(ALLCLASSDATA,MATCH("SpellDCTrained",CLASSFEATUREHEADERS,0),MATCH($A1956,CLASSNAMEHEADERS,0))),(INDEX(ALLCLASSDATA,MATCH("SpellDCTrained",CLASSFEATUREHEADERS,0),MATCH(($A1956 &amp; "Points"),CLASSNAMEHEADERS,0))),"")))))))))}</f>
        <v>SPELLDCL07</v>
      </c>
      <c r="O1955" s="223"/>
      <c r="P1955" s="223" t="str">
        <f t="array" ref="P1955:P1956">{"SPELLDCL09";((IF("09"=(INDEX(ALLCLASSDATA,MATCH("SpellDCLegendary",CLASSFEATUREHEADERS,0),MATCH($A1956,CLASSNAMEHEADERS,0))),(INDEX(ALLCLASSDATA,MATCH("SpellDCLegendary",CLASSFEATUREHEADERS,0),MATCH(($A1956 &amp; "Points"),CLASSNAMEHEADERS,0))),(IF("09"=(INDEX(ALLCLASSDATA,MATCH("SpellDCMaster",CLASSFEATUREHEADERS,0),MATCH($A1956,CLASSNAMEHEADERS,0))),(INDEX(ALLCLASSDATA,MATCH("SpellDCMaster",CLASSFEATUREHEADERS,0),MATCH(($A1956 &amp; "Points"),CLASSNAMEHEADERS,0))),(IF("09"=(INDEX(ALLCLASSDATA,MATCH("SpellDCExpert",CLASSFEATUREHEADERS,0),MATCH($A1956,CLASSNAMEHEADERS,0))),(INDEX(ALLCLASSDATA,MATCH("SpellDCExpert",CLASSFEATUREHEADERS,0),MATCH(($A1956 &amp; "Points"),CLASSNAMEHEADERS,0))),(IF("09"=(INDEX(ALLCLASSDATA,MATCH("SpellDCTrained",CLASSFEATUREHEADERS,0),MATCH($A1956,CLASSNAMEHEADERS,0))),(INDEX(ALLCLASSDATA,MATCH("SpellDCTrained",CLASSFEATUREHEADERS,0),MATCH(($A1956 &amp; "Points"),CLASSNAMEHEADERS,0))),"")))))))))}</f>
        <v>SPELLDCL09</v>
      </c>
      <c r="Q1955" s="223"/>
      <c r="R1955" s="223" t="str">
        <f t="array" ref="R1955:R1956">{"SPELLDCL11";((IF("11"=(INDEX(ALLCLASSDATA,MATCH("SpellDCLegendary",CLASSFEATUREHEADERS,0),MATCH($A1956,CLASSNAMEHEADERS,0))),(INDEX(ALLCLASSDATA,MATCH("SpellDCLegendary",CLASSFEATUREHEADERS,0),MATCH(($A1956 &amp; "Points"),CLASSNAMEHEADERS,0))),(IF("11"=(INDEX(ALLCLASSDATA,MATCH("SpellDCMaster",CLASSFEATUREHEADERS,0),MATCH($A1956,CLASSNAMEHEADERS,0))),(INDEX(ALLCLASSDATA,MATCH("SpellDCMaster",CLASSFEATUREHEADERS,0),MATCH(($A1956 &amp; "Points"),CLASSNAMEHEADERS,0))),(IF("11"=(INDEX(ALLCLASSDATA,MATCH("SpellDCExpert",CLASSFEATUREHEADERS,0),MATCH($A1956,CLASSNAMEHEADERS,0))),(INDEX(ALLCLASSDATA,MATCH("SpellDCExpert",CLASSFEATUREHEADERS,0),MATCH(($A1956 &amp; "Points"),CLASSNAMEHEADERS,0))),(IF("11"=(INDEX(ALLCLASSDATA,MATCH("SpellDCTrained",CLASSFEATUREHEADERS,0),MATCH($A1956,CLASSNAMEHEADERS,0))),(INDEX(ALLCLASSDATA,MATCH("SpellDCTrained",CLASSFEATUREHEADERS,0),MATCH(($A1956 &amp; "Points"),CLASSNAMEHEADERS,0))),"")))))))))}</f>
        <v>SPELLDCL11</v>
      </c>
      <c r="S1955" s="223"/>
      <c r="T1955" s="223" t="str">
        <f t="array" ref="T1955:T1956">{"SPELLDCL13";((IF("13"=(INDEX(ALLCLASSDATA,MATCH("SpellDCLegendary",CLASSFEATUREHEADERS,0),MATCH($A1956,CLASSNAMEHEADERS,0))),(INDEX(ALLCLASSDATA,MATCH("SpellDCLegendary",CLASSFEATUREHEADERS,0),MATCH(($A1956 &amp; "Points"),CLASSNAMEHEADERS,0))),(IF("13"=(INDEX(ALLCLASSDATA,MATCH("SpellDCMaster",CLASSFEATUREHEADERS,0),MATCH($A1956,CLASSNAMEHEADERS,0))),(INDEX(ALLCLASSDATA,MATCH("SpellDCMaster",CLASSFEATUREHEADERS,0),MATCH(($A1956 &amp; "Points"),CLASSNAMEHEADERS,0))),(IF("13"=(INDEX(ALLCLASSDATA,MATCH("SpellDCExpert",CLASSFEATUREHEADERS,0),MATCH($A1956,CLASSNAMEHEADERS,0))),(INDEX(ALLCLASSDATA,MATCH("SpellDCExpert",CLASSFEATUREHEADERS,0),MATCH(($A1956 &amp; "Points"),CLASSNAMEHEADERS,0))),(IF("13"=(INDEX(ALLCLASSDATA,MATCH("SpellDCTrained",CLASSFEATUREHEADERS,0),MATCH($A1956,CLASSNAMEHEADERS,0))),(INDEX(ALLCLASSDATA,MATCH("SpellDCTrained",CLASSFEATUREHEADERS,0),MATCH(($A1956 &amp; "Points"),CLASSNAMEHEADERS,0))),"")))))))))}</f>
        <v>SPELLDCL13</v>
      </c>
      <c r="U1955" s="223"/>
      <c r="V1955" s="223" t="str">
        <f t="array" ref="V1955:V1956">{"SPELLDCL15";((IF("15"=(INDEX(ALLCLASSDATA,MATCH("SpellDCLegendary",CLASSFEATUREHEADERS,0),MATCH($A1956,CLASSNAMEHEADERS,0))),(INDEX(ALLCLASSDATA,MATCH("SpellDCLegendary",CLASSFEATUREHEADERS,0),MATCH(($A1956 &amp; "Points"),CLASSNAMEHEADERS,0))),(IF("15"=(INDEX(ALLCLASSDATA,MATCH("SpellDCMaster",CLASSFEATUREHEADERS,0),MATCH($A1956,CLASSNAMEHEADERS,0))),(INDEX(ALLCLASSDATA,MATCH("SpellDCMaster",CLASSFEATUREHEADERS,0),MATCH(($A1956 &amp; "Points"),CLASSNAMEHEADERS,0))),(IF("15"=(INDEX(ALLCLASSDATA,MATCH("SpellDCExpert",CLASSFEATUREHEADERS,0),MATCH($A1956,CLASSNAMEHEADERS,0))),(INDEX(ALLCLASSDATA,MATCH("SpellDCExpert",CLASSFEATUREHEADERS,0),MATCH(($A1956 &amp; "Points"),CLASSNAMEHEADERS,0))),(IF("15"=(INDEX(ALLCLASSDATA,MATCH("SpellDCTrained",CLASSFEATUREHEADERS,0),MATCH($A1956,CLASSNAMEHEADERS,0))),(INDEX(ALLCLASSDATA,MATCH("SpellDCTrained",CLASSFEATUREHEADERS,0),MATCH(($A1956 &amp; "Points"),CLASSNAMEHEADERS,0))),"")))))))))}</f>
        <v>SPELLDCL15</v>
      </c>
      <c r="W1955" s="223"/>
      <c r="X1955" s="223" t="str">
        <f t="array" ref="X1955:X1956">{"SPELLDCL17";((IF("17"=(INDEX(ALLCLASSDATA,MATCH("SpellDCLegendary",CLASSFEATUREHEADERS,0),MATCH($A1956,CLASSNAMEHEADERS,0))),(INDEX(ALLCLASSDATA,MATCH("SpellDCLegendary",CLASSFEATUREHEADERS,0),MATCH(($A1956 &amp; "Points"),CLASSNAMEHEADERS,0))),(IF("17"=(INDEX(ALLCLASSDATA,MATCH("SpellDCMaster",CLASSFEATUREHEADERS,0),MATCH($A1956,CLASSNAMEHEADERS,0))),(INDEX(ALLCLASSDATA,MATCH("SpellDCMaster",CLASSFEATUREHEADERS,0),MATCH(($A1956 &amp; "Points"),CLASSNAMEHEADERS,0))),(IF("17"=(INDEX(ALLCLASSDATA,MATCH("SpellDCExpert",CLASSFEATUREHEADERS,0),MATCH($A1956,CLASSNAMEHEADERS,0))),(INDEX(ALLCLASSDATA,MATCH("SpellDCExpert",CLASSFEATUREHEADERS,0),MATCH(($A1956 &amp; "Points"),CLASSNAMEHEADERS,0))),(IF("17"=(INDEX(ALLCLASSDATA,MATCH("SpellDCTrained",CLASSFEATUREHEADERS,0),MATCH($A1956,CLASSNAMEHEADERS,0))),(INDEX(ALLCLASSDATA,MATCH("SpellDCTrained",CLASSFEATUREHEADERS,0),MATCH(($A1956 &amp; "Points"),CLASSNAMEHEADERS,0))),"")))))))))}</f>
        <v>SPELLDCL17</v>
      </c>
      <c r="Y1955" s="223"/>
      <c r="Z1955" s="223" t="str">
        <f t="array" ref="Z1955:Z1956">{"SPELLDCL19";((IF("19"=(INDEX(ALLCLASSDATA,MATCH("SpellDCLegendary",CLASSFEATUREHEADERS,0),MATCH($A1956,CLASSNAMEHEADERS,0))),(INDEX(ALLCLASSDATA,MATCH("SpellDCLegendary",CLASSFEATUREHEADERS,0),MATCH(($A1956 &amp; "Points"),CLASSNAMEHEADERS,0))),(IF("19"=(INDEX(ALLCLASSDATA,MATCH("SpellDCMaster",CLASSFEATUREHEADERS,0),MATCH($A1956,CLASSNAMEHEADERS,0))),(INDEX(ALLCLASSDATA,MATCH("SpellDCMaster",CLASSFEATUREHEADERS,0),MATCH(($A1956 &amp; "Points"),CLASSNAMEHEADERS,0))),(IF("19"=(INDEX(ALLCLASSDATA,MATCH("SpellDCExpert",CLASSFEATUREHEADERS,0),MATCH($A1956,CLASSNAMEHEADERS,0))),(INDEX(ALLCLASSDATA,MATCH("SpellDCExpert",CLASSFEATUREHEADERS,0),MATCH(($A1956 &amp; "Points"),CLASSNAMEHEADERS,0))),(IF("19"=(INDEX(ALLCLASSDATA,MATCH("SpellDCTrained",CLASSFEATUREHEADERS,0),MATCH($A1956,CLASSNAMEHEADERS,0))),(INDEX(ALLCLASSDATA,MATCH("SpellDCTrained",CLASSFEATUREHEADERS,0),MATCH(($A1956 &amp; "Points"),CLASSNAMEHEADERS,0))),"")))))))))}</f>
        <v>SPELLDCL19</v>
      </c>
      <c r="AA1955" s="223"/>
      <c r="AB1955" s="76" t="str">
        <f t="array" ref="AB1955:AB1956">{"SPELLDC TOTAL";(IF(COUNTBLANK(G1956:AA1956)=17,"L",(IF(COUNTBLANK(G1956:AA1956)=18,"M",(IF(COUNTBLANK(G1956:AA1956)=19,"E",(IF(COUNTBLANK(G1956:AA1956)=20,"T",""))))))))}</f>
        <v>SPELLDC TOTAL</v>
      </c>
      <c r="AC1955" s="76" t="str">
        <f t="array" ref="AC1955:AC1956">{"SPELLDC TOTAL";(sum(G1956:AA1956))}</f>
        <v>SPELLDC TOTAL</v>
      </c>
    </row>
    <row r="1956">
      <c r="A1956" s="48" t="s">
        <v>231</v>
      </c>
      <c r="B1956" s="48"/>
      <c r="C1956" s="48" t="s">
        <v>418</v>
      </c>
      <c r="D1956" s="97" t="s">
        <v>1465</v>
      </c>
      <c r="E1956" s="97" t="s">
        <v>1485</v>
      </c>
      <c r="F1956" s="98" t="s">
        <v>435</v>
      </c>
      <c r="G1956" s="132" t="s">
        <v>603</v>
      </c>
      <c r="H1956" s="98">
        <v>10.0</v>
      </c>
      <c r="I1956" s="98"/>
      <c r="J1956" s="98" t="s">
        <v>603</v>
      </c>
      <c r="K1956" s="98"/>
      <c r="L1956" s="98" t="s">
        <v>603</v>
      </c>
      <c r="M1956" s="98"/>
      <c r="N1956" s="98">
        <v>50.0</v>
      </c>
      <c r="O1956" s="98"/>
      <c r="P1956" s="98" t="s">
        <v>603</v>
      </c>
      <c r="Q1956" s="98"/>
      <c r="R1956" s="98" t="s">
        <v>603</v>
      </c>
      <c r="S1956" s="98"/>
      <c r="T1956" s="98" t="s">
        <v>603</v>
      </c>
      <c r="U1956" s="98"/>
      <c r="V1956" s="98">
        <v>110.0</v>
      </c>
      <c r="W1956" s="98"/>
      <c r="X1956" s="98" t="s">
        <v>603</v>
      </c>
      <c r="Y1956" s="98"/>
      <c r="Z1956" s="98">
        <v>190.0</v>
      </c>
      <c r="AA1956" s="98"/>
      <c r="AB1956" s="5" t="s">
        <v>466</v>
      </c>
      <c r="AC1956" s="47">
        <v>360.0</v>
      </c>
    </row>
    <row r="1957" hidden="1">
      <c r="A1957" s="222" t="str">
        <f t="array" ref="A1957:A1958">{"FormulaRow22";(INDEX(CLASSLIST,A1914,1))}</f>
        <v>FormulaRow22</v>
      </c>
      <c r="B1957" s="77" t="s">
        <v>236</v>
      </c>
      <c r="C1957" s="222" t="str">
        <f t="array" ref="C1957:C1958">{"CLASSTYPE";((INDEX(ALLCLASSDATA,MATCH("ClassType",CLASSFEATUREHEADERS,0),MATCH($A1958,CLASSNAMEHEADERS,0))))}</f>
        <v>CLASSTYPE</v>
      </c>
      <c r="D1957" s="228" t="str">
        <f t="shared" ref="D1957:E1957" si="22">{"PERCEPTION";"Perception"}</f>
        <v>PERCEPTION</v>
      </c>
      <c r="E1957" s="228" t="str">
        <f t="shared" si="22"/>
        <v>PERCEPTION</v>
      </c>
      <c r="F1957" s="230" t="str">
        <f t="array" ref="F1957:F1958">{"PERCEPTIONINITIAL";((IF(H1958=10,"T",(IF(H1958=50,"E","")))))}</f>
        <v>PERCEPTIONINITIAL</v>
      </c>
      <c r="G1957" s="230" t="str">
        <f t="array" ref="G1957:G1958">{"PERCEPTIONINITIALPTS";((IF("00"=(INDEX(ALLCLASSDATA,MATCH("PerceptionLegendary",CLASSFEATUREHEADERS,0),MATCH($A1958,CLASSNAMEHEADERS,0))),(INDEX(ALLCLASSDATA,MATCH("PerceptionLegendary",CLASSFEATUREHEADERS,0),MATCH(($A1958 &amp; "Points"),CLASSNAMEHEADERS,0))),(IF("00"=(INDEX(ALLCLASSDATA,MATCH("PerceptionMaster",CLASSFEATUREHEADERS,0),MATCH($A1958,CLASSNAMEHEADERS,0))),(INDEX(ALLCLASSDATA,MATCH("PerceptionMaster",CLASSFEATUREHEADERS,0),MATCH(($A1958 &amp; "Points"),CLASSNAMEHEADERS,0))),(IF("00"=(INDEX(ALLCLASSDATA,MATCH("PerceptionExpert",CLASSFEATUREHEADERS,0),MATCH($A1958,CLASSNAMEHEADERS,0))),(INDEX(ALLCLASSDATA,MATCH("PerceptionExpert",CLASSFEATUREHEADERS,0),MATCH(($A1958 &amp; "Points"),CLASSNAMEHEADERS,0))),(IF("00"=(INDEX(ALLCLASSDATA,MATCH("PerceptionTrained",CLASSFEATUREHEADERS,0),MATCH($A1958,CLASSNAMEHEADERS,0))),(INDEX(ALLCLASSDATA,MATCH("PerceptionTrained",CLASSFEATUREHEADERS,0),MATCH(($A1958 &amp; "Points"),CLASSNAMEHEADERS,0))),"")))))))))}</f>
        <v>PERCEPTIONINITIALPTS</v>
      </c>
      <c r="H1957" s="230" t="str">
        <f t="array" ref="H1957:H1958">{"PERCEPTIONL01";((IF("01"=(INDEX(ALLCLASSDATA,MATCH("PerceptionLegendary",CLASSFEATUREHEADERS,0),MATCH($A1958,CLASSNAMEHEADERS,0))),(INDEX(ALLCLASSDATA,MATCH("PerceptionLegendary",CLASSFEATUREHEADERS,0),MATCH(($A1958 &amp; "Points"),CLASSNAMEHEADERS,0))),(IF("01"=(INDEX(ALLCLASSDATA,MATCH("PerceptionMaster",CLASSFEATUREHEADERS,0),MATCH($A1958,CLASSNAMEHEADERS,0))),(INDEX(ALLCLASSDATA,MATCH("PerceptionMaster",CLASSFEATUREHEADERS,0),MATCH(($A1958 &amp; "Points"),CLASSNAMEHEADERS,0))),(IF("01"=(INDEX(ALLCLASSDATA,MATCH("PerceptionExpert",CLASSFEATUREHEADERS,0),MATCH($A1958,CLASSNAMEHEADERS,0))),(INDEX(ALLCLASSDATA,MATCH("PerceptionExpert",CLASSFEATUREHEADERS,0),MATCH(($A1958 &amp; "Points"),CLASSNAMEHEADERS,0))),(IF("01"=(INDEX(ALLCLASSDATA,MATCH("PerceptionTrained",CLASSFEATUREHEADERS,0),MATCH($A1958,CLASSNAMEHEADERS,0))),(INDEX(ALLCLASSDATA,MATCH("PerceptionTrained",CLASSFEATUREHEADERS,0),MATCH(($A1958 &amp; "Points"),CLASSNAMEHEADERS,0))),"")))))))))}</f>
        <v>PERCEPTIONL01</v>
      </c>
      <c r="I1957" s="230"/>
      <c r="J1957" s="230" t="str">
        <f t="array" ref="J1957:J1958">{"PERCEPTIONL03";((IF("03"=(INDEX(ALLCLASSDATA,MATCH("PerceptionLegendary",CLASSFEATUREHEADERS,0),MATCH($A1958,CLASSNAMEHEADERS,0))),(INDEX(ALLCLASSDATA,MATCH("PerceptionLegendary",CLASSFEATUREHEADERS,0),MATCH(($A1958 &amp; "Points"),CLASSNAMEHEADERS,0))),(IF("03"=(INDEX(ALLCLASSDATA,MATCH("PerceptionMaster",CLASSFEATUREHEADERS,0),MATCH($A1958,CLASSNAMEHEADERS,0))),(INDEX(ALLCLASSDATA,MATCH("PerceptionMaster",CLASSFEATUREHEADERS,0),MATCH(($A1958 &amp; "Points"),CLASSNAMEHEADERS,0))),(IF("03"=(INDEX(ALLCLASSDATA,MATCH("PerceptionExpert",CLASSFEATUREHEADERS,0),MATCH($A1958,CLASSNAMEHEADERS,0))),(INDEX(ALLCLASSDATA,MATCH("PerceptionExpert",CLASSFEATUREHEADERS,0),MATCH(($A1958 &amp; "Points"),CLASSNAMEHEADERS,0))),(IF("03"=(INDEX(ALLCLASSDATA,MATCH("PerceptionTrained",CLASSFEATUREHEADERS,0),MATCH($A1958,CLASSNAMEHEADERS,0))),(INDEX(ALLCLASSDATA,MATCH("PerceptionTrained",CLASSFEATUREHEADERS,0),MATCH(($A1958 &amp; "Points"),CLASSNAMEHEADERS,0))),"")))))))))}</f>
        <v>PERCEPTIONL03</v>
      </c>
      <c r="K1957" s="230"/>
      <c r="L1957" s="230" t="str">
        <f t="array" ref="L1957:L1958">{"PERCEPTIONL05";((IF("05"=(INDEX(ALLCLASSDATA,MATCH("PerceptionLegendary",CLASSFEATUREHEADERS,0),MATCH($A1958,CLASSNAMEHEADERS,0))),(INDEX(ALLCLASSDATA,MATCH("PerceptionLegendary",CLASSFEATUREHEADERS,0),MATCH(($A1958 &amp; "Points"),CLASSNAMEHEADERS,0))),(IF("05"=(INDEX(ALLCLASSDATA,MATCH("PerceptionMaster",CLASSFEATUREHEADERS,0),MATCH($A1958,CLASSNAMEHEADERS,0))),(INDEX(ALLCLASSDATA,MATCH("PerceptionMaster",CLASSFEATUREHEADERS,0),MATCH(($A1958 &amp; "Points"),CLASSNAMEHEADERS,0))),(IF("05"=(INDEX(ALLCLASSDATA,MATCH("PerceptionExpert",CLASSFEATUREHEADERS,0),MATCH($A1958,CLASSNAMEHEADERS,0))),(INDEX(ALLCLASSDATA,MATCH("PerceptionExpert",CLASSFEATUREHEADERS,0),MATCH(($A1958 &amp; "Points"),CLASSNAMEHEADERS,0))),(IF("05"=(INDEX(ALLCLASSDATA,MATCH("PerceptionTrained",CLASSFEATUREHEADERS,0),MATCH($A1958,CLASSNAMEHEADERS,0))),(INDEX(ALLCLASSDATA,MATCH("PerceptionTrained",CLASSFEATUREHEADERS,0),MATCH(($A1958 &amp; "Points"),CLASSNAMEHEADERS,0))),"")))))))))}</f>
        <v>PERCEPTIONL05</v>
      </c>
      <c r="M1957" s="230"/>
      <c r="N1957" s="230" t="str">
        <f t="array" ref="N1957:N1958">{"PERCEPTIONL07";((IF("07"=(INDEX(ALLCLASSDATA,MATCH("PerceptionLegendary",CLASSFEATUREHEADERS,0),MATCH($A1958,CLASSNAMEHEADERS,0))),(INDEX(ALLCLASSDATA,MATCH("PerceptionLegendary",CLASSFEATUREHEADERS,0),MATCH(($A1958 &amp; "Points"),CLASSNAMEHEADERS,0))),(IF("07"=(INDEX(ALLCLASSDATA,MATCH("PerceptionMaster",CLASSFEATUREHEADERS,0),MATCH($A1958,CLASSNAMEHEADERS,0))),(INDEX(ALLCLASSDATA,MATCH("PerceptionMaster",CLASSFEATUREHEADERS,0),MATCH(($A1958 &amp; "Points"),CLASSNAMEHEADERS,0))),(IF("07"=(INDEX(ALLCLASSDATA,MATCH("PerceptionExpert",CLASSFEATUREHEADERS,0),MATCH($A1958,CLASSNAMEHEADERS,0))),(INDEX(ALLCLASSDATA,MATCH("PerceptionExpert",CLASSFEATUREHEADERS,0),MATCH(($A1958 &amp; "Points"),CLASSNAMEHEADERS,0))),(IF("07"=(INDEX(ALLCLASSDATA,MATCH("PerceptionTrained",CLASSFEATUREHEADERS,0),MATCH($A1958,CLASSNAMEHEADERS,0))),(INDEX(ALLCLASSDATA,MATCH("PerceptionTrained",CLASSFEATUREHEADERS,0),MATCH(($A1958 &amp; "Points"),CLASSNAMEHEADERS,0))),"")))))))))}</f>
        <v>PERCEPTIONL07</v>
      </c>
      <c r="O1957" s="230"/>
      <c r="P1957" s="230" t="str">
        <f t="array" ref="P1957:P1958">{"PERCEPTIONL09";((IF("09"=(INDEX(ALLCLASSDATA,MATCH("PerceptionLegendary",CLASSFEATUREHEADERS,0),MATCH($A1958,CLASSNAMEHEADERS,0))),(INDEX(ALLCLASSDATA,MATCH("PerceptionLegendary",CLASSFEATUREHEADERS,0),MATCH(($A1958 &amp; "Points"),CLASSNAMEHEADERS,0))),(IF("09"=(INDEX(ALLCLASSDATA,MATCH("PerceptionMaster",CLASSFEATUREHEADERS,0),MATCH($A1958,CLASSNAMEHEADERS,0))),(INDEX(ALLCLASSDATA,MATCH("PerceptionMaster",CLASSFEATUREHEADERS,0),MATCH(($A1958 &amp; "Points"),CLASSNAMEHEADERS,0))),(IF("09"=(INDEX(ALLCLASSDATA,MATCH("PerceptionExpert",CLASSFEATUREHEADERS,0),MATCH($A1958,CLASSNAMEHEADERS,0))),(INDEX(ALLCLASSDATA,MATCH("PerceptionExpert",CLASSFEATUREHEADERS,0),MATCH(($A1958 &amp; "Points"),CLASSNAMEHEADERS,0))),(IF("09"=(INDEX(ALLCLASSDATA,MATCH("PerceptionTrained",CLASSFEATUREHEADERS,0),MATCH($A1958,CLASSNAMEHEADERS,0))),(INDEX(ALLCLASSDATA,MATCH("PerceptionTrained",CLASSFEATUREHEADERS,0),MATCH(($A1958 &amp; "Points"),CLASSNAMEHEADERS,0))),"")))))))))}</f>
        <v>PERCEPTIONL09</v>
      </c>
      <c r="Q1957" s="230"/>
      <c r="R1957" s="230" t="str">
        <f t="array" ref="R1957:R1958">{"PERCEPTIONL11";((IF("11"=(INDEX(ALLCLASSDATA,MATCH("PerceptionLegendary",CLASSFEATUREHEADERS,0),MATCH($A1958,CLASSNAMEHEADERS,0))),(INDEX(ALLCLASSDATA,MATCH("PerceptionLegendary",CLASSFEATUREHEADERS,0),MATCH(($A1958 &amp; "Points"),CLASSNAMEHEADERS,0))),(IF("11"=(INDEX(ALLCLASSDATA,MATCH("PerceptionMaster",CLASSFEATUREHEADERS,0),MATCH($A1958,CLASSNAMEHEADERS,0))),(INDEX(ALLCLASSDATA,MATCH("PerceptionMaster",CLASSFEATUREHEADERS,0),MATCH(($A1958 &amp; "Points"),CLASSNAMEHEADERS,0))),(IF("11"=(INDEX(ALLCLASSDATA,MATCH("PerceptionExpert",CLASSFEATUREHEADERS,0),MATCH($A1958,CLASSNAMEHEADERS,0))),(INDEX(ALLCLASSDATA,MATCH("PerceptionExpert",CLASSFEATUREHEADERS,0),MATCH(($A1958 &amp; "Points"),CLASSNAMEHEADERS,0))),(IF("11"=(INDEX(ALLCLASSDATA,MATCH("PerceptionTrained",CLASSFEATUREHEADERS,0),MATCH($A1958,CLASSNAMEHEADERS,0))),(INDEX(ALLCLASSDATA,MATCH("PerceptionTrained",CLASSFEATUREHEADERS,0),MATCH(($A1958 &amp; "Points"),CLASSNAMEHEADERS,0))),"")))))))))}</f>
        <v>PERCEPTIONL11</v>
      </c>
      <c r="S1957" s="230"/>
      <c r="T1957" s="230" t="str">
        <f t="array" ref="T1957:T1958">{"PERCEPTIONL13";((IF("13"=(INDEX(ALLCLASSDATA,MATCH("PerceptionLegendary",CLASSFEATUREHEADERS,0),MATCH($A1958,CLASSNAMEHEADERS,0))),(INDEX(ALLCLASSDATA,MATCH("PerceptionLegendary",CLASSFEATUREHEADERS,0),MATCH(($A1958 &amp; "Points"),CLASSNAMEHEADERS,0))),(IF("13"=(INDEX(ALLCLASSDATA,MATCH("PerceptionMaster",CLASSFEATUREHEADERS,0),MATCH($A1958,CLASSNAMEHEADERS,0))),(INDEX(ALLCLASSDATA,MATCH("PerceptionMaster",CLASSFEATUREHEADERS,0),MATCH(($A1958 &amp; "Points"),CLASSNAMEHEADERS,0))),(IF("13"=(INDEX(ALLCLASSDATA,MATCH("PerceptionExpert",CLASSFEATUREHEADERS,0),MATCH($A1958,CLASSNAMEHEADERS,0))),(INDEX(ALLCLASSDATA,MATCH("PerceptionExpert",CLASSFEATUREHEADERS,0),MATCH(($A1958 &amp; "Points"),CLASSNAMEHEADERS,0))),(IF("13"=(INDEX(ALLCLASSDATA,MATCH("PerceptionTrained",CLASSFEATUREHEADERS,0),MATCH($A1958,CLASSNAMEHEADERS,0))),(INDEX(ALLCLASSDATA,MATCH("PerceptionTrained",CLASSFEATUREHEADERS,0),MATCH(($A1958 &amp; "Points"),CLASSNAMEHEADERS,0))),"")))))))))}</f>
        <v>PERCEPTIONL13</v>
      </c>
      <c r="U1957" s="230"/>
      <c r="V1957" s="230" t="str">
        <f t="array" ref="V1957:V1958">{"PERCEPTIONL15";((IF("15"=(INDEX(ALLCLASSDATA,MATCH("PerceptionLegendary",CLASSFEATUREHEADERS,0),MATCH($A1958,CLASSNAMEHEADERS,0))),(INDEX(ALLCLASSDATA,MATCH("PerceptionLegendary",CLASSFEATUREHEADERS,0),MATCH(($A1958 &amp; "Points"),CLASSNAMEHEADERS,0))),(IF("15"=(INDEX(ALLCLASSDATA,MATCH("PerceptionMaster",CLASSFEATUREHEADERS,0),MATCH($A1958,CLASSNAMEHEADERS,0))),(INDEX(ALLCLASSDATA,MATCH("PerceptionMaster",CLASSFEATUREHEADERS,0),MATCH(($A1958 &amp; "Points"),CLASSNAMEHEADERS,0))),(IF("15"=(INDEX(ALLCLASSDATA,MATCH("PerceptionExpert",CLASSFEATUREHEADERS,0),MATCH($A1958,CLASSNAMEHEADERS,0))),(INDEX(ALLCLASSDATA,MATCH("PerceptionExpert",CLASSFEATUREHEADERS,0),MATCH(($A1958 &amp; "Points"),CLASSNAMEHEADERS,0))),(IF("15"=(INDEX(ALLCLASSDATA,MATCH("PerceptionTrained",CLASSFEATUREHEADERS,0),MATCH($A1958,CLASSNAMEHEADERS,0))),(INDEX(ALLCLASSDATA,MATCH("PerceptionTrained",CLASSFEATUREHEADERS,0),MATCH(($A1958 &amp; "Points"),CLASSNAMEHEADERS,0))),"")))))))))}</f>
        <v>PERCEPTIONL15</v>
      </c>
      <c r="W1957" s="230"/>
      <c r="X1957" s="230" t="str">
        <f t="array" ref="X1957:X1958">{"PERCEPTIONL17";((IF("17"=(INDEX(ALLCLASSDATA,MATCH("PerceptionLegendary",CLASSFEATUREHEADERS,0),MATCH($A1958,CLASSNAMEHEADERS,0))),(INDEX(ALLCLASSDATA,MATCH("PerceptionLegendary",CLASSFEATUREHEADERS,0),MATCH(($A1958 &amp; "Points"),CLASSNAMEHEADERS,0))),(IF("17"=(INDEX(ALLCLASSDATA,MATCH("PerceptionMaster",CLASSFEATUREHEADERS,0),MATCH($A1958,CLASSNAMEHEADERS,0))),(INDEX(ALLCLASSDATA,MATCH("PerceptionMaster",CLASSFEATUREHEADERS,0),MATCH(($A1958 &amp; "Points"),CLASSNAMEHEADERS,0))),(IF("17"=(INDEX(ALLCLASSDATA,MATCH("PerceptionExpert",CLASSFEATUREHEADERS,0),MATCH($A1958,CLASSNAMEHEADERS,0))),(INDEX(ALLCLASSDATA,MATCH("PerceptionExpert",CLASSFEATUREHEADERS,0),MATCH(($A1958 &amp; "Points"),CLASSNAMEHEADERS,0))),(IF("17"=(INDEX(ALLCLASSDATA,MATCH("PerceptionTrained",CLASSFEATUREHEADERS,0),MATCH($A1958,CLASSNAMEHEADERS,0))),(INDEX(ALLCLASSDATA,MATCH("PerceptionTrained",CLASSFEATUREHEADERS,0),MATCH(($A1958 &amp; "Points"),CLASSNAMEHEADERS,0))),"")))))))))}</f>
        <v>PERCEPTIONL17</v>
      </c>
      <c r="Y1957" s="230"/>
      <c r="Z1957" s="230" t="str">
        <f t="array" ref="Z1957:Z1958">{"PERCEPTIONL19";((IF("19"=(INDEX(ALLCLASSDATA,MATCH("PerceptionLegendary",CLASSFEATUREHEADERS,0),MATCH($A1958,CLASSNAMEHEADERS,0))),(INDEX(ALLCLASSDATA,MATCH("PerceptionLegendary",CLASSFEATUREHEADERS,0),MATCH(($A1958 &amp; "Points"),CLASSNAMEHEADERS,0))),(IF("19"=(INDEX(ALLCLASSDATA,MATCH("PerceptionMaster",CLASSFEATUREHEADERS,0),MATCH($A1958,CLASSNAMEHEADERS,0))),(INDEX(ALLCLASSDATA,MATCH("PerceptionMaster",CLASSFEATUREHEADERS,0),MATCH(($A1958 &amp; "Points"),CLASSNAMEHEADERS,0))),(IF("19"=(INDEX(ALLCLASSDATA,MATCH("PerceptionExpert",CLASSFEATUREHEADERS,0),MATCH($A1958,CLASSNAMEHEADERS,0))),(INDEX(ALLCLASSDATA,MATCH("PerceptionExpert",CLASSFEATUREHEADERS,0),MATCH(($A1958 &amp; "Points"),CLASSNAMEHEADERS,0))),(IF("19"=(INDEX(ALLCLASSDATA,MATCH("PerceptionTrained",CLASSFEATUREHEADERS,0),MATCH($A1958,CLASSNAMEHEADERS,0))),(INDEX(ALLCLASSDATA,MATCH("PerceptionTrained",CLASSFEATUREHEADERS,0),MATCH(($A1958 &amp; "Points"),CLASSNAMEHEADERS,0))),"")))))))))}</f>
        <v>PERCEPTIONL19</v>
      </c>
      <c r="AA1957" s="230"/>
      <c r="AB1957" s="76" t="str">
        <f t="array" ref="AB1957:AB1958">{"PERCEPTION TOTAL";(IF(COUNTBLANK(G1958:AA1958)=17,"L",(IF(COUNTBLANK(G1958:AA1958)=18,"M",(IF(COUNTBLANK(G1958:AA1958)=19,"E",(IF(COUNTBLANK(G1958:AA1958)=20,"T",""))))))))}</f>
        <v>PERCEPTION TOTAL</v>
      </c>
      <c r="AC1957" s="76" t="str">
        <f t="array" ref="AC1957:AC1958">{"PERCEPTION TOTAL";(sum(G1958:AA1958))}</f>
        <v>PERCEPTION TOTAL</v>
      </c>
    </row>
    <row r="1958">
      <c r="A1958" s="48" t="s">
        <v>231</v>
      </c>
      <c r="B1958" s="48"/>
      <c r="C1958" s="48" t="s">
        <v>418</v>
      </c>
      <c r="D1958" s="97" t="s">
        <v>637</v>
      </c>
      <c r="E1958" s="97" t="s">
        <v>637</v>
      </c>
      <c r="F1958" s="98" t="s">
        <v>435</v>
      </c>
      <c r="G1958" s="132" t="s">
        <v>603</v>
      </c>
      <c r="H1958" s="98">
        <v>10.0</v>
      </c>
      <c r="I1958" s="98"/>
      <c r="J1958" s="98" t="s">
        <v>603</v>
      </c>
      <c r="K1958" s="98"/>
      <c r="L1958" s="98" t="s">
        <v>603</v>
      </c>
      <c r="M1958" s="98"/>
      <c r="N1958" s="98" t="s">
        <v>603</v>
      </c>
      <c r="O1958" s="98"/>
      <c r="P1958" s="98" t="s">
        <v>603</v>
      </c>
      <c r="Q1958" s="98"/>
      <c r="R1958" s="98">
        <v>50.0</v>
      </c>
      <c r="S1958" s="98"/>
      <c r="T1958" s="98" t="s">
        <v>603</v>
      </c>
      <c r="U1958" s="98"/>
      <c r="V1958" s="98" t="s">
        <v>603</v>
      </c>
      <c r="W1958" s="98"/>
      <c r="X1958" s="98" t="s">
        <v>603</v>
      </c>
      <c r="Y1958" s="98"/>
      <c r="Z1958" s="98" t="s">
        <v>603</v>
      </c>
      <c r="AA1958" s="98"/>
      <c r="AB1958" s="5" t="s">
        <v>436</v>
      </c>
      <c r="AC1958" s="47">
        <v>60.0</v>
      </c>
    </row>
    <row r="1959" hidden="1">
      <c r="A1959" s="222" t="str">
        <f t="array" ref="A1959:A1960">{"FormulaRow23";(INDEX(CLASSLIST,A1914,1))}</f>
        <v>FormulaRow23</v>
      </c>
      <c r="B1959" s="77" t="s">
        <v>236</v>
      </c>
      <c r="C1959" s="222" t="str">
        <f t="array" ref="C1959:C1960">{"CLASSTYPE";((INDEX(ALLCLASSDATA,MATCH("ClassType",CLASSFEATUREHEADERS,0),MATCH($A1960,CLASSNAMEHEADERS,0))))}</f>
        <v>CLASSTYPE</v>
      </c>
      <c r="D1959" s="228" t="str">
        <f t="array" ref="D1959:D1960">{"SAVES";"Saves"}</f>
        <v>SAVES</v>
      </c>
      <c r="E1959" s="228" t="str">
        <f t="array" ref="E1959:E1960">{"FORTITUDESAVE";"FortitudeSave"}</f>
        <v>FORTITUDESAVE</v>
      </c>
      <c r="F1959" s="230" t="str">
        <f t="array" ref="F1959:F1960">{"FORTITUDEINITIAL";((IF(H1960=10,"T",(IF(H1960=50,"E","")))))}</f>
        <v>FORTITUDEINITIAL</v>
      </c>
      <c r="G1959" s="230" t="str">
        <f t="array" ref="G1959:G1960">{"FORTITUDEINITIALPTS";((IF("00"=(INDEX(ALLCLASSDATA,MATCH("FortitudeSaveLegendary",CLASSFEATUREHEADERS,0),MATCH($A1960,CLASSNAMEHEADERS,0))),(INDEX(ALLCLASSDATA,MATCH("FortitudeSaveLegendary",CLASSFEATUREHEADERS,0),MATCH(($A1960 &amp; "Points"),CLASSNAMEHEADERS,0))),(IF("00"=(INDEX(ALLCLASSDATA,MATCH("FortitudeSaveMaster",CLASSFEATUREHEADERS,0),MATCH($A1960,CLASSNAMEHEADERS,0))),(INDEX(ALLCLASSDATA,MATCH("FortitudeSaveMaster",CLASSFEATUREHEADERS,0),MATCH(($A1960 &amp; "Points"),CLASSNAMEHEADERS,0))),(IF("00"=(INDEX(ALLCLASSDATA,MATCH("FortitudeSaveExpert",CLASSFEATUREHEADERS,0),MATCH($A1960,CLASSNAMEHEADERS,0))),(INDEX(ALLCLASSDATA,MATCH("FortitudeSaveExpert",CLASSFEATUREHEADERS,0),MATCH(($A1960 &amp; "Points"),CLASSNAMEHEADERS,0))),(IF("00"=(INDEX(ALLCLASSDATA,MATCH("FortitudeSaveTrained",CLASSFEATUREHEADERS,0),MATCH($A1960,CLASSNAMEHEADERS,0))),(INDEX(ALLCLASSDATA,MATCH("FortitudeSaveTrained",CLASSFEATUREHEADERS,0),MATCH(($A1960 &amp; "Points"),CLASSNAMEHEADERS,0))),"")))))))))}</f>
        <v>FORTITUDEINITIALPTS</v>
      </c>
      <c r="H1959" s="230" t="str">
        <f t="array" ref="H1959:H1960">{"FORTITUDEL01";((IF("01"=(INDEX(ALLCLASSDATA,MATCH("FortitudeSaveLegendary",CLASSFEATUREHEADERS,0),MATCH($A1960,CLASSNAMEHEADERS,0))),(INDEX(ALLCLASSDATA,MATCH("FortitudeSaveLegendary",CLASSFEATUREHEADERS,0),MATCH(($A1960 &amp; "Points"),CLASSNAMEHEADERS,0))),(IF("01"=(INDEX(ALLCLASSDATA,MATCH("FortitudeSaveMaster",CLASSFEATUREHEADERS,0),MATCH($A1960,CLASSNAMEHEADERS,0))),(INDEX(ALLCLASSDATA,MATCH("FortitudeSaveMaster",CLASSFEATUREHEADERS,0),MATCH(($A1960 &amp; "Points"),CLASSNAMEHEADERS,0))),(IF("01"=(INDEX(ALLCLASSDATA,MATCH("FortitudeSaveExpert",CLASSFEATUREHEADERS,0),MATCH($A1960,CLASSNAMEHEADERS,0))),(INDEX(ALLCLASSDATA,MATCH("FortitudeSaveExpert",CLASSFEATUREHEADERS,0),MATCH(($A1960 &amp; "Points"),CLASSNAMEHEADERS,0))),(IF("01"=(INDEX(ALLCLASSDATA,MATCH("FortitudeSaveTrained",CLASSFEATUREHEADERS,0),MATCH($A1960,CLASSNAMEHEADERS,0))),(INDEX(ALLCLASSDATA,MATCH("FortitudeSaveTrained",CLASSFEATUREHEADERS,0),MATCH(($A1960 &amp; "Points"),CLASSNAMEHEADERS,0))),"")))))))))}</f>
        <v>FORTITUDEL01</v>
      </c>
      <c r="I1959" s="230"/>
      <c r="J1959" s="230" t="str">
        <f t="array" ref="J1959:J1960">{"FORTITUDEL03";((IF("03"=(INDEX(ALLCLASSDATA,MATCH("FortitudeSaveLegendary",CLASSFEATUREHEADERS,0),MATCH($A1960,CLASSNAMEHEADERS,0))),(INDEX(ALLCLASSDATA,MATCH("FortitudeSaveLegendary",CLASSFEATUREHEADERS,0),MATCH(($A1960 &amp; "Points"),CLASSNAMEHEADERS,0))),(IF("03"=(INDEX(ALLCLASSDATA,MATCH("FortitudeSaveMaster",CLASSFEATUREHEADERS,0),MATCH($A1960,CLASSNAMEHEADERS,0))),(INDEX(ALLCLASSDATA,MATCH("FortitudeSaveMaster",CLASSFEATUREHEADERS,0),MATCH(($A1960 &amp; "Points"),CLASSNAMEHEADERS,0))),(IF("03"=(INDEX(ALLCLASSDATA,MATCH("FortitudeSaveExpert",CLASSFEATUREHEADERS,0),MATCH($A1960,CLASSNAMEHEADERS,0))),(INDEX(ALLCLASSDATA,MATCH("FortitudeSaveExpert",CLASSFEATUREHEADERS,0),MATCH(($A1960 &amp; "Points"),CLASSNAMEHEADERS,0))),(IF("03"=(INDEX(ALLCLASSDATA,MATCH("FortitudeSaveTrained",CLASSFEATUREHEADERS,0),MATCH($A1960,CLASSNAMEHEADERS,0))),(INDEX(ALLCLASSDATA,MATCH("FortitudeSaveTrained",CLASSFEATUREHEADERS,0),MATCH(($A1960 &amp; "Points"),CLASSNAMEHEADERS,0))),"")))))))))}</f>
        <v>FORTITUDEL03</v>
      </c>
      <c r="K1959" s="230"/>
      <c r="L1959" s="230" t="str">
        <f t="array" ref="L1959:L1960">{"FORTITUDEL05";((IF("05"=(INDEX(ALLCLASSDATA,MATCH("FortitudeSaveLegendary",CLASSFEATUREHEADERS,0),MATCH($A1960,CLASSNAMEHEADERS,0))),(INDEX(ALLCLASSDATA,MATCH("FortitudeSaveLegendary",CLASSFEATUREHEADERS,0),MATCH(($A1960 &amp; "Points"),CLASSNAMEHEADERS,0))),(IF("05"=(INDEX(ALLCLASSDATA,MATCH("FortitudeSaveMaster",CLASSFEATUREHEADERS,0),MATCH($A1960,CLASSNAMEHEADERS,0))),(INDEX(ALLCLASSDATA,MATCH("FortitudeSaveMaster",CLASSFEATUREHEADERS,0),MATCH(($A1960 &amp; "Points"),CLASSNAMEHEADERS,0))),(IF("05"=(INDEX(ALLCLASSDATA,MATCH("FortitudeSaveExpert",CLASSFEATUREHEADERS,0),MATCH($A1960,CLASSNAMEHEADERS,0))),(INDEX(ALLCLASSDATA,MATCH("FortitudeSaveExpert",CLASSFEATUREHEADERS,0),MATCH(($A1960 &amp; "Points"),CLASSNAMEHEADERS,0))),(IF("05"=(INDEX(ALLCLASSDATA,MATCH("FortitudeSaveTrained",CLASSFEATUREHEADERS,0),MATCH($A1960,CLASSNAMEHEADERS,0))),(INDEX(ALLCLASSDATA,MATCH("FortitudeSaveTrained",CLASSFEATUREHEADERS,0),MATCH(($A1960 &amp; "Points"),CLASSNAMEHEADERS,0))),"")))))))))}</f>
        <v>FORTITUDEL05</v>
      </c>
      <c r="M1959" s="230"/>
      <c r="N1959" s="230" t="str">
        <f t="array" ref="N1959:N1960">{"FORTITUDEL07";((IF("07"=(INDEX(ALLCLASSDATA,MATCH("FortitudeSaveLegendary",CLASSFEATUREHEADERS,0),MATCH($A1960,CLASSNAMEHEADERS,0))),(INDEX(ALLCLASSDATA,MATCH("FortitudeSaveLegendary",CLASSFEATUREHEADERS,0),MATCH(($A1960 &amp; "Points"),CLASSNAMEHEADERS,0))),(IF("07"=(INDEX(ALLCLASSDATA,MATCH("FortitudeSaveMaster",CLASSFEATUREHEADERS,0),MATCH($A1960,CLASSNAMEHEADERS,0))),(INDEX(ALLCLASSDATA,MATCH("FortitudeSaveMaster",CLASSFEATUREHEADERS,0),MATCH(($A1960 &amp; "Points"),CLASSNAMEHEADERS,0))),(IF("07"=(INDEX(ALLCLASSDATA,MATCH("FortitudeSaveExpert",CLASSFEATUREHEADERS,0),MATCH($A1960,CLASSNAMEHEADERS,0))),(INDEX(ALLCLASSDATA,MATCH("FortitudeSaveExpert",CLASSFEATUREHEADERS,0),MATCH(($A1960 &amp; "Points"),CLASSNAMEHEADERS,0))),(IF("07"=(INDEX(ALLCLASSDATA,MATCH("FortitudeSaveTrained",CLASSFEATUREHEADERS,0),MATCH($A1960,CLASSNAMEHEADERS,0))),(INDEX(ALLCLASSDATA,MATCH("FortitudeSaveTrained",CLASSFEATUREHEADERS,0),MATCH(($A1960 &amp; "Points"),CLASSNAMEHEADERS,0))),"")))))))))}</f>
        <v>FORTITUDEL07</v>
      </c>
      <c r="O1959" s="230"/>
      <c r="P1959" s="230" t="str">
        <f t="array" ref="P1959:P1960">{"FORTITUDEL09";((IF("09"=(INDEX(ALLCLASSDATA,MATCH("FortitudeSaveLegendary",CLASSFEATUREHEADERS,0),MATCH($A1960,CLASSNAMEHEADERS,0))),(INDEX(ALLCLASSDATA,MATCH("FortitudeSaveLegendary",CLASSFEATUREHEADERS,0),MATCH(($A1960 &amp; "Points"),CLASSNAMEHEADERS,0))),(IF("09"=(INDEX(ALLCLASSDATA,MATCH("FortitudeSaveMaster",CLASSFEATUREHEADERS,0),MATCH($A1960,CLASSNAMEHEADERS,0))),(INDEX(ALLCLASSDATA,MATCH("FortitudeSaveMaster",CLASSFEATUREHEADERS,0),MATCH(($A1960 &amp; "Points"),CLASSNAMEHEADERS,0))),(IF("09"=(INDEX(ALLCLASSDATA,MATCH("FortitudeSaveExpert",CLASSFEATUREHEADERS,0),MATCH($A1960,CLASSNAMEHEADERS,0))),(INDEX(ALLCLASSDATA,MATCH("FortitudeSaveExpert",CLASSFEATUREHEADERS,0),MATCH(($A1960 &amp; "Points"),CLASSNAMEHEADERS,0))),(IF("09"=(INDEX(ALLCLASSDATA,MATCH("FortitudeSaveTrained",CLASSFEATUREHEADERS,0),MATCH($A1960,CLASSNAMEHEADERS,0))),(INDEX(ALLCLASSDATA,MATCH("FortitudeSaveTrained",CLASSFEATUREHEADERS,0),MATCH(($A1960 &amp; "Points"),CLASSNAMEHEADERS,0))),"")))))))))}</f>
        <v>FORTITUDEL09</v>
      </c>
      <c r="Q1959" s="230"/>
      <c r="R1959" s="230" t="str">
        <f t="array" ref="R1959:R1960">{"FORTITUDEL11";((IF("11"=(INDEX(ALLCLASSDATA,MATCH("FortitudeSaveLegendary",CLASSFEATUREHEADERS,0),MATCH($A1960,CLASSNAMEHEADERS,0))),(INDEX(ALLCLASSDATA,MATCH("FortitudeSaveLegendary",CLASSFEATUREHEADERS,0),MATCH(($A1960 &amp; "Points"),CLASSNAMEHEADERS,0))),(IF("11"=(INDEX(ALLCLASSDATA,MATCH("FortitudeSaveMaster",CLASSFEATUREHEADERS,0),MATCH($A1960,CLASSNAMEHEADERS,0))),(INDEX(ALLCLASSDATA,MATCH("FortitudeSaveMaster",CLASSFEATUREHEADERS,0),MATCH(($A1960 &amp; "Points"),CLASSNAMEHEADERS,0))),(IF("11"=(INDEX(ALLCLASSDATA,MATCH("FortitudeSaveExpert",CLASSFEATUREHEADERS,0),MATCH($A1960,CLASSNAMEHEADERS,0))),(INDEX(ALLCLASSDATA,MATCH("FortitudeSaveExpert",CLASSFEATUREHEADERS,0),MATCH(($A1960 &amp; "Points"),CLASSNAMEHEADERS,0))),(IF("11"=(INDEX(ALLCLASSDATA,MATCH("FortitudeSaveTrained",CLASSFEATUREHEADERS,0),MATCH($A1960,CLASSNAMEHEADERS,0))),(INDEX(ALLCLASSDATA,MATCH("FortitudeSaveTrained",CLASSFEATUREHEADERS,0),MATCH(($A1960 &amp; "Points"),CLASSNAMEHEADERS,0))),"")))))))))}</f>
        <v>FORTITUDEL11</v>
      </c>
      <c r="S1959" s="230"/>
      <c r="T1959" s="230" t="str">
        <f t="array" ref="T1959:T1960">{"FORTITUDEL13";((IF("13"=(INDEX(ALLCLASSDATA,MATCH("FortitudeSaveLegendary",CLASSFEATUREHEADERS,0),MATCH($A1960,CLASSNAMEHEADERS,0))),(INDEX(ALLCLASSDATA,MATCH("FortitudeSaveLegendary",CLASSFEATUREHEADERS,0),MATCH(($A1960 &amp; "Points"),CLASSNAMEHEADERS,0))),(IF("13"=(INDEX(ALLCLASSDATA,MATCH("FortitudeSaveMaster",CLASSFEATUREHEADERS,0),MATCH($A1960,CLASSNAMEHEADERS,0))),(INDEX(ALLCLASSDATA,MATCH("FortitudeSaveMaster",CLASSFEATUREHEADERS,0),MATCH(($A1960 &amp; "Points"),CLASSNAMEHEADERS,0))),(IF("13"=(INDEX(ALLCLASSDATA,MATCH("FortitudeSaveExpert",CLASSFEATUREHEADERS,0),MATCH($A1960,CLASSNAMEHEADERS,0))),(INDEX(ALLCLASSDATA,MATCH("FortitudeSaveExpert",CLASSFEATUREHEADERS,0),MATCH(($A1960 &amp; "Points"),CLASSNAMEHEADERS,0))),(IF("13"=(INDEX(ALLCLASSDATA,MATCH("FortitudeSaveTrained",CLASSFEATUREHEADERS,0),MATCH($A1960,CLASSNAMEHEADERS,0))),(INDEX(ALLCLASSDATA,MATCH("FortitudeSaveTrained",CLASSFEATUREHEADERS,0),MATCH(($A1960 &amp; "Points"),CLASSNAMEHEADERS,0))),"")))))))))}</f>
        <v>FORTITUDEL13</v>
      </c>
      <c r="U1959" s="230"/>
      <c r="V1959" s="230" t="str">
        <f t="array" ref="V1959:V1960">{"FORTITUDEL15";((IF("15"=(INDEX(ALLCLASSDATA,MATCH("FortitudeSaveLegendary",CLASSFEATUREHEADERS,0),MATCH($A1960,CLASSNAMEHEADERS,0))),(INDEX(ALLCLASSDATA,MATCH("FortitudeSaveLegendary",CLASSFEATUREHEADERS,0),MATCH(($A1960 &amp; "Points"),CLASSNAMEHEADERS,0))),(IF("15"=(INDEX(ALLCLASSDATA,MATCH("FortitudeSaveMaster",CLASSFEATUREHEADERS,0),MATCH($A1960,CLASSNAMEHEADERS,0))),(INDEX(ALLCLASSDATA,MATCH("FortitudeSaveMaster",CLASSFEATUREHEADERS,0),MATCH(($A1960 &amp; "Points"),CLASSNAMEHEADERS,0))),(IF("15"=(INDEX(ALLCLASSDATA,MATCH("FortitudeSaveExpert",CLASSFEATUREHEADERS,0),MATCH($A1960,CLASSNAMEHEADERS,0))),(INDEX(ALLCLASSDATA,MATCH("FortitudeSaveExpert",CLASSFEATUREHEADERS,0),MATCH(($A1960 &amp; "Points"),CLASSNAMEHEADERS,0))),(IF("15"=(INDEX(ALLCLASSDATA,MATCH("FortitudeSaveTrained",CLASSFEATUREHEADERS,0),MATCH($A1960,CLASSNAMEHEADERS,0))),(INDEX(ALLCLASSDATA,MATCH("FortitudeSaveTrained",CLASSFEATUREHEADERS,0),MATCH(($A1960 &amp; "Points"),CLASSNAMEHEADERS,0))),"")))))))))}</f>
        <v>FORTITUDEL15</v>
      </c>
      <c r="W1959" s="230"/>
      <c r="X1959" s="230" t="str">
        <f t="array" ref="X1959:X1960">{"FORTITUDEL17";((IF("17"=(INDEX(ALLCLASSDATA,MATCH("FortitudeSaveLegendary",CLASSFEATUREHEADERS,0),MATCH($A1960,CLASSNAMEHEADERS,0))),(INDEX(ALLCLASSDATA,MATCH("FortitudeSaveLegendary",CLASSFEATUREHEADERS,0),MATCH(($A1960 &amp; "Points"),CLASSNAMEHEADERS,0))),(IF("17"=(INDEX(ALLCLASSDATA,MATCH("FortitudeSaveMaster",CLASSFEATUREHEADERS,0),MATCH($A1960,CLASSNAMEHEADERS,0))),(INDEX(ALLCLASSDATA,MATCH("FortitudeSaveMaster",CLASSFEATUREHEADERS,0),MATCH(($A1960 &amp; "Points"),CLASSNAMEHEADERS,0))),(IF("17"=(INDEX(ALLCLASSDATA,MATCH("FortitudeSaveExpert",CLASSFEATUREHEADERS,0),MATCH($A1960,CLASSNAMEHEADERS,0))),(INDEX(ALLCLASSDATA,MATCH("FortitudeSaveExpert",CLASSFEATUREHEADERS,0),MATCH(($A1960 &amp; "Points"),CLASSNAMEHEADERS,0))),(IF("17"=(INDEX(ALLCLASSDATA,MATCH("FortitudeSaveTrained",CLASSFEATUREHEADERS,0),MATCH($A1960,CLASSNAMEHEADERS,0))),(INDEX(ALLCLASSDATA,MATCH("FortitudeSaveTrained",CLASSFEATUREHEADERS,0),MATCH(($A1960 &amp; "Points"),CLASSNAMEHEADERS,0))),"")))))))))}</f>
        <v>FORTITUDEL17</v>
      </c>
      <c r="Y1959" s="230"/>
      <c r="Z1959" s="230" t="str">
        <f t="array" ref="Z1959:Z1960">{"FORTITUDEL19";((IF("19"=(INDEX(ALLCLASSDATA,MATCH("FortitudeSaveLegendary",CLASSFEATUREHEADERS,0),MATCH($A1960,CLASSNAMEHEADERS,0))),(INDEX(ALLCLASSDATA,MATCH("FortitudeSaveLegendary",CLASSFEATUREHEADERS,0),MATCH(($A1960 &amp; "Points"),CLASSNAMEHEADERS,0))),(IF("19"=(INDEX(ALLCLASSDATA,MATCH("FortitudeSaveMaster",CLASSFEATUREHEADERS,0),MATCH($A1960,CLASSNAMEHEADERS,0))),(INDEX(ALLCLASSDATA,MATCH("FortitudeSaveMaster",CLASSFEATUREHEADERS,0),MATCH(($A1960 &amp; "Points"),CLASSNAMEHEADERS,0))),(IF("19"=(INDEX(ALLCLASSDATA,MATCH("FortitudeSaveExpert",CLASSFEATUREHEADERS,0),MATCH($A1960,CLASSNAMEHEADERS,0))),(INDEX(ALLCLASSDATA,MATCH("FortitudeSaveExpert",CLASSFEATUREHEADERS,0),MATCH(($A1960 &amp; "Points"),CLASSNAMEHEADERS,0))),(IF("19"=(INDEX(ALLCLASSDATA,MATCH("FortitudeSaveTrained",CLASSFEATUREHEADERS,0),MATCH($A1960,CLASSNAMEHEADERS,0))),(INDEX(ALLCLASSDATA,MATCH("FortitudeSaveTrained",CLASSFEATUREHEADERS,0),MATCH(($A1960 &amp; "Points"),CLASSNAMEHEADERS,0))),"")))))))))}</f>
        <v>FORTITUDEL19</v>
      </c>
      <c r="AA1959" s="230"/>
      <c r="AB1959" s="76" t="str">
        <f t="array" ref="AB1959:AB1960">{"FORTITUDE TOTAL";(IF(COUNTBLANK(G1960:AA1960)=17,"L",(IF(COUNTBLANK(G1960:AA1960)=18,"M",(IF(COUNTBLANK(G1960:AA1960)=19,"E",(IF(COUNTBLANK(G1960:AA1960)=20,"T",""))))))))}</f>
        <v>FORTITUDE TOTAL</v>
      </c>
      <c r="AC1959" s="76" t="str">
        <f t="array" ref="AC1959:AC1960">{"FORTITUDE TOTAL";(sum(G1960:AA1960))}</f>
        <v>FORTITUDE TOTAL</v>
      </c>
    </row>
    <row r="1960">
      <c r="A1960" s="48" t="s">
        <v>231</v>
      </c>
      <c r="B1960" s="48"/>
      <c r="C1960" s="48" t="s">
        <v>418</v>
      </c>
      <c r="D1960" s="48" t="s">
        <v>1549</v>
      </c>
      <c r="E1960" s="48" t="s">
        <v>1550</v>
      </c>
      <c r="F1960" s="5" t="s">
        <v>435</v>
      </c>
      <c r="G1960" s="47" t="s">
        <v>603</v>
      </c>
      <c r="H1960" s="5">
        <v>10.0</v>
      </c>
      <c r="I1960" s="5"/>
      <c r="J1960" s="5" t="s">
        <v>603</v>
      </c>
      <c r="K1960" s="5"/>
      <c r="L1960" s="5">
        <v>50.0</v>
      </c>
      <c r="M1960" s="5"/>
      <c r="N1960" s="5" t="s">
        <v>603</v>
      </c>
      <c r="O1960" s="5"/>
      <c r="P1960" s="5" t="s">
        <v>603</v>
      </c>
      <c r="Q1960" s="5"/>
      <c r="R1960" s="5" t="s">
        <v>603</v>
      </c>
      <c r="S1960" s="5"/>
      <c r="T1960" s="5" t="s">
        <v>603</v>
      </c>
      <c r="U1960" s="5"/>
      <c r="V1960" s="5" t="s">
        <v>603</v>
      </c>
      <c r="W1960" s="5"/>
      <c r="X1960" s="5" t="s">
        <v>603</v>
      </c>
      <c r="Y1960" s="5"/>
      <c r="Z1960" s="5" t="s">
        <v>603</v>
      </c>
      <c r="AA1960" s="5"/>
      <c r="AB1960" s="5" t="s">
        <v>436</v>
      </c>
      <c r="AC1960" s="47">
        <v>60.0</v>
      </c>
    </row>
    <row r="1961" hidden="1">
      <c r="A1961" s="222" t="str">
        <f t="array" ref="A1961:A1962">{"FormulaRow24";(INDEX(CLASSLIST,A1914,1))}</f>
        <v>FormulaRow24</v>
      </c>
      <c r="B1961" s="77" t="s">
        <v>236</v>
      </c>
      <c r="C1961" s="222" t="str">
        <f t="array" ref="C1961:C1962">{"CLASSTYPE";((INDEX(ALLCLASSDATA,MATCH("ClassType",CLASSFEATUREHEADERS,0),MATCH($A1962,CLASSNAMEHEADERS,0))))}</f>
        <v>CLASSTYPE</v>
      </c>
      <c r="D1961" s="222" t="str">
        <f t="array" ref="D1961:D1962">{"SAVES";"Saves"}</f>
        <v>SAVES</v>
      </c>
      <c r="E1961" s="222" t="str">
        <f t="array" ref="E1961:E1962">{"REFLEXSAVE";"ReflexSave"}</f>
        <v>REFLEXSAVE</v>
      </c>
      <c r="F1961" s="223" t="str">
        <f t="array" ref="F1961:F1962">{"REFLEXINITIAL";((IF(H1962=10,"T",(IF(H1962=50,"E","")))))}</f>
        <v>REFLEXINITIAL</v>
      </c>
      <c r="G1961" s="223" t="str">
        <f t="array" ref="G1961:G1962">{"REFLEXINITIALPTS";((IF("00"=(INDEX(ALLCLASSDATA,MATCH("ReflexSaveLegendary",CLASSFEATUREHEADERS,0),MATCH($A1962,CLASSNAMEHEADERS,0))),(INDEX(ALLCLASSDATA,MATCH("ReflexSaveLegendary",CLASSFEATUREHEADERS,0),MATCH(($A1962 &amp; "Points"),CLASSNAMEHEADERS,0))),(IF("00"=(INDEX(ALLCLASSDATA,MATCH("ReflexSaveMaster",CLASSFEATUREHEADERS,0),MATCH($A1962,CLASSNAMEHEADERS,0))),(INDEX(ALLCLASSDATA,MATCH("ReflexSaveMaster",CLASSFEATUREHEADERS,0),MATCH(($A1962 &amp; "Points"),CLASSNAMEHEADERS,0))),(IF("00"=(INDEX(ALLCLASSDATA,MATCH("ReflexSaveExpert",CLASSFEATUREHEADERS,0),MATCH($A1962,CLASSNAMEHEADERS,0))),(INDEX(ALLCLASSDATA,MATCH("ReflexSaveExpert",CLASSFEATUREHEADERS,0),MATCH(($A1962 &amp; "Points"),CLASSNAMEHEADERS,0))),(IF("00"=(INDEX(ALLCLASSDATA,MATCH("ReflexSaveTrained",CLASSFEATUREHEADERS,0),MATCH($A1962,CLASSNAMEHEADERS,0))),(INDEX(ALLCLASSDATA,MATCH("ReflexSaveTrained",CLASSFEATUREHEADERS,0),MATCH(($A1962 &amp; "Points"),CLASSNAMEHEADERS,0))),"")))))))))}</f>
        <v>REFLEXINITIALPTS</v>
      </c>
      <c r="H1961" s="223" t="str">
        <f t="array" ref="H1961:H1962">{"REFLEXL01";((IF("01"=(INDEX(ALLCLASSDATA,MATCH("ReflexSaveLegendary",CLASSFEATUREHEADERS,0),MATCH($A1962,CLASSNAMEHEADERS,0))),(INDEX(ALLCLASSDATA,MATCH("ReflexSaveLegendary",CLASSFEATUREHEADERS,0),MATCH(($A1962 &amp; "Points"),CLASSNAMEHEADERS,0))),(IF("01"=(INDEX(ALLCLASSDATA,MATCH("ReflexSaveMaster",CLASSFEATUREHEADERS,0),MATCH($A1962,CLASSNAMEHEADERS,0))),(INDEX(ALLCLASSDATA,MATCH("ReflexSaveMaster",CLASSFEATUREHEADERS,0),MATCH(($A1962 &amp; "Points"),CLASSNAMEHEADERS,0))),(IF("01"=(INDEX(ALLCLASSDATA,MATCH("ReflexSaveExpert",CLASSFEATUREHEADERS,0),MATCH($A1962,CLASSNAMEHEADERS,0))),(INDEX(ALLCLASSDATA,MATCH("ReflexSaveExpert",CLASSFEATUREHEADERS,0),MATCH(($A1962 &amp; "Points"),CLASSNAMEHEADERS,0))),(IF("01"=(INDEX(ALLCLASSDATA,MATCH("ReflexSaveTrained",CLASSFEATUREHEADERS,0),MATCH($A1962,CLASSNAMEHEADERS,0))),(INDEX(ALLCLASSDATA,MATCH("ReflexSaveTrained",CLASSFEATUREHEADERS,0),MATCH(($A1962 &amp; "Points"),CLASSNAMEHEADERS,0))),"")))))))))}</f>
        <v>REFLEXL01</v>
      </c>
      <c r="I1961" s="223"/>
      <c r="J1961" s="223" t="str">
        <f t="array" ref="J1961:J1962">{"REFLEXL03";((IF("03"=(INDEX(ALLCLASSDATA,MATCH("ReflexSaveLegendary",CLASSFEATUREHEADERS,0),MATCH($A1962,CLASSNAMEHEADERS,0))),(INDEX(ALLCLASSDATA,MATCH("ReflexSaveLegendary",CLASSFEATUREHEADERS,0),MATCH(($A1962 &amp; "Points"),CLASSNAMEHEADERS,0))),(IF("03"=(INDEX(ALLCLASSDATA,MATCH("ReflexSaveMaster",CLASSFEATUREHEADERS,0),MATCH($A1962,CLASSNAMEHEADERS,0))),(INDEX(ALLCLASSDATA,MATCH("ReflexSaveMaster",CLASSFEATUREHEADERS,0),MATCH(($A1962 &amp; "Points"),CLASSNAMEHEADERS,0))),(IF("03"=(INDEX(ALLCLASSDATA,MATCH("ReflexSaveExpert",CLASSFEATUREHEADERS,0),MATCH($A1962,CLASSNAMEHEADERS,0))),(INDEX(ALLCLASSDATA,MATCH("ReflexSaveExpert",CLASSFEATUREHEADERS,0),MATCH(($A1962 &amp; "Points"),CLASSNAMEHEADERS,0))),(IF("03"=(INDEX(ALLCLASSDATA,MATCH("ReflexSaveTrained",CLASSFEATUREHEADERS,0),MATCH($A1962,CLASSNAMEHEADERS,0))),(INDEX(ALLCLASSDATA,MATCH("ReflexSaveTrained",CLASSFEATUREHEADERS,0),MATCH(($A1962 &amp; "Points"),CLASSNAMEHEADERS,0))),"")))))))))}</f>
        <v>REFLEXL03</v>
      </c>
      <c r="K1961" s="223"/>
      <c r="L1961" s="223" t="str">
        <f t="array" ref="L1961:L1962">{"REFLEXL05";((IF("05"=(INDEX(ALLCLASSDATA,MATCH("ReflexSaveLegendary",CLASSFEATUREHEADERS,0),MATCH($A1962,CLASSNAMEHEADERS,0))),(INDEX(ALLCLASSDATA,MATCH("ReflexSaveLegendary",CLASSFEATUREHEADERS,0),MATCH(($A1962 &amp; "Points"),CLASSNAMEHEADERS,0))),(IF("05"=(INDEX(ALLCLASSDATA,MATCH("ReflexSaveMaster",CLASSFEATUREHEADERS,0),MATCH($A1962,CLASSNAMEHEADERS,0))),(INDEX(ALLCLASSDATA,MATCH("ReflexSaveMaster",CLASSFEATUREHEADERS,0),MATCH(($A1962 &amp; "Points"),CLASSNAMEHEADERS,0))),(IF("05"=(INDEX(ALLCLASSDATA,MATCH("ReflexSaveExpert",CLASSFEATUREHEADERS,0),MATCH($A1962,CLASSNAMEHEADERS,0))),(INDEX(ALLCLASSDATA,MATCH("ReflexSaveExpert",CLASSFEATUREHEADERS,0),MATCH(($A1962 &amp; "Points"),CLASSNAMEHEADERS,0))),(IF("05"=(INDEX(ALLCLASSDATA,MATCH("ReflexSaveTrained",CLASSFEATUREHEADERS,0),MATCH($A1962,CLASSNAMEHEADERS,0))),(INDEX(ALLCLASSDATA,MATCH("ReflexSaveTrained",CLASSFEATUREHEADERS,0),MATCH(($A1962 &amp; "Points"),CLASSNAMEHEADERS,0))),"")))))))))}</f>
        <v>REFLEXL05</v>
      </c>
      <c r="M1961" s="223"/>
      <c r="N1961" s="223" t="str">
        <f t="array" ref="N1961:N1962">{"REFLEXL07";((IF("07"=(INDEX(ALLCLASSDATA,MATCH("ReflexSaveLegendary",CLASSFEATUREHEADERS,0),MATCH($A1962,CLASSNAMEHEADERS,0))),(INDEX(ALLCLASSDATA,MATCH("ReflexSaveLegendary",CLASSFEATUREHEADERS,0),MATCH(($A1962 &amp; "Points"),CLASSNAMEHEADERS,0))),(IF("07"=(INDEX(ALLCLASSDATA,MATCH("ReflexSaveMaster",CLASSFEATUREHEADERS,0),MATCH($A1962,CLASSNAMEHEADERS,0))),(INDEX(ALLCLASSDATA,MATCH("ReflexSaveMaster",CLASSFEATUREHEADERS,0),MATCH(($A1962 &amp; "Points"),CLASSNAMEHEADERS,0))),(IF("07"=(INDEX(ALLCLASSDATA,MATCH("ReflexSaveExpert",CLASSFEATUREHEADERS,0),MATCH($A1962,CLASSNAMEHEADERS,0))),(INDEX(ALLCLASSDATA,MATCH("ReflexSaveExpert",CLASSFEATUREHEADERS,0),MATCH(($A1962 &amp; "Points"),CLASSNAMEHEADERS,0))),(IF("07"=(INDEX(ALLCLASSDATA,MATCH("ReflexSaveTrained",CLASSFEATUREHEADERS,0),MATCH($A1962,CLASSNAMEHEADERS,0))),(INDEX(ALLCLASSDATA,MATCH("ReflexSaveTrained",CLASSFEATUREHEADERS,0),MATCH(($A1962 &amp; "Points"),CLASSNAMEHEADERS,0))),"")))))))))}</f>
        <v>REFLEXL07</v>
      </c>
      <c r="O1961" s="223"/>
      <c r="P1961" s="223" t="str">
        <f t="array" ref="P1961:P1962">{"REFLEXL09";((IF("09"=(INDEX(ALLCLASSDATA,MATCH("ReflexSaveLegendary",CLASSFEATUREHEADERS,0),MATCH($A1962,CLASSNAMEHEADERS,0))),(INDEX(ALLCLASSDATA,MATCH("ReflexSaveLegendary",CLASSFEATUREHEADERS,0),MATCH(($A1962 &amp; "Points"),CLASSNAMEHEADERS,0))),(IF("09"=(INDEX(ALLCLASSDATA,MATCH("ReflexSaveMaster",CLASSFEATUREHEADERS,0),MATCH($A1962,CLASSNAMEHEADERS,0))),(INDEX(ALLCLASSDATA,MATCH("ReflexSaveMaster",CLASSFEATUREHEADERS,0),MATCH(($A1962 &amp; "Points"),CLASSNAMEHEADERS,0))),(IF("09"=(INDEX(ALLCLASSDATA,MATCH("ReflexSaveExpert",CLASSFEATUREHEADERS,0),MATCH($A1962,CLASSNAMEHEADERS,0))),(INDEX(ALLCLASSDATA,MATCH("ReflexSaveExpert",CLASSFEATUREHEADERS,0),MATCH(($A1962 &amp; "Points"),CLASSNAMEHEADERS,0))),(IF("09"=(INDEX(ALLCLASSDATA,MATCH("ReflexSaveTrained",CLASSFEATUREHEADERS,0),MATCH($A1962,CLASSNAMEHEADERS,0))),(INDEX(ALLCLASSDATA,MATCH("ReflexSaveTrained",CLASSFEATUREHEADERS,0),MATCH(($A1962 &amp; "Points"),CLASSNAMEHEADERS,0))),"")))))))))}</f>
        <v>REFLEXL09</v>
      </c>
      <c r="Q1961" s="223"/>
      <c r="R1961" s="223" t="str">
        <f t="array" ref="R1961:R1962">{"REFLEXL11";((IF("11"=(INDEX(ALLCLASSDATA,MATCH("ReflexSaveLegendary",CLASSFEATUREHEADERS,0),MATCH($A1962,CLASSNAMEHEADERS,0))),(INDEX(ALLCLASSDATA,MATCH("ReflexSaveLegendary",CLASSFEATUREHEADERS,0),MATCH(($A1962 &amp; "Points"),CLASSNAMEHEADERS,0))),(IF("11"=(INDEX(ALLCLASSDATA,MATCH("ReflexSaveMaster",CLASSFEATUREHEADERS,0),MATCH($A1962,CLASSNAMEHEADERS,0))),(INDEX(ALLCLASSDATA,MATCH("ReflexSaveMaster",CLASSFEATUREHEADERS,0),MATCH(($A1962 &amp; "Points"),CLASSNAMEHEADERS,0))),(IF("11"=(INDEX(ALLCLASSDATA,MATCH("ReflexSaveExpert",CLASSFEATUREHEADERS,0),MATCH($A1962,CLASSNAMEHEADERS,0))),(INDEX(ALLCLASSDATA,MATCH("ReflexSaveExpert",CLASSFEATUREHEADERS,0),MATCH(($A1962 &amp; "Points"),CLASSNAMEHEADERS,0))),(IF("11"=(INDEX(ALLCLASSDATA,MATCH("ReflexSaveTrained",CLASSFEATUREHEADERS,0),MATCH($A1962,CLASSNAMEHEADERS,0))),(INDEX(ALLCLASSDATA,MATCH("ReflexSaveTrained",CLASSFEATUREHEADERS,0),MATCH(($A1962 &amp; "Points"),CLASSNAMEHEADERS,0))),"")))))))))}</f>
        <v>REFLEXL11</v>
      </c>
      <c r="S1961" s="223"/>
      <c r="T1961" s="223" t="str">
        <f t="array" ref="T1961:T1962">{"REFLEXL13";((IF("13"=(INDEX(ALLCLASSDATA,MATCH("ReflexSaveLegendary",CLASSFEATUREHEADERS,0),MATCH($A1962,CLASSNAMEHEADERS,0))),(INDEX(ALLCLASSDATA,MATCH("ReflexSaveLegendary",CLASSFEATUREHEADERS,0),MATCH(($A1962 &amp; "Points"),CLASSNAMEHEADERS,0))),(IF("13"=(INDEX(ALLCLASSDATA,MATCH("ReflexSaveMaster",CLASSFEATUREHEADERS,0),MATCH($A1962,CLASSNAMEHEADERS,0))),(INDEX(ALLCLASSDATA,MATCH("ReflexSaveMaster",CLASSFEATUREHEADERS,0),MATCH(($A1962 &amp; "Points"),CLASSNAMEHEADERS,0))),(IF("13"=(INDEX(ALLCLASSDATA,MATCH("ReflexSaveExpert",CLASSFEATUREHEADERS,0),MATCH($A1962,CLASSNAMEHEADERS,0))),(INDEX(ALLCLASSDATA,MATCH("ReflexSaveExpert",CLASSFEATUREHEADERS,0),MATCH(($A1962 &amp; "Points"),CLASSNAMEHEADERS,0))),(IF("13"=(INDEX(ALLCLASSDATA,MATCH("ReflexSaveTrained",CLASSFEATUREHEADERS,0),MATCH($A1962,CLASSNAMEHEADERS,0))),(INDEX(ALLCLASSDATA,MATCH("ReflexSaveTrained",CLASSFEATUREHEADERS,0),MATCH(($A1962 &amp; "Points"),CLASSNAMEHEADERS,0))),"")))))))))}</f>
        <v>REFLEXL13</v>
      </c>
      <c r="U1961" s="223"/>
      <c r="V1961" s="223" t="str">
        <f t="array" ref="V1961:V1962">{"REFLEXL15";((IF("15"=(INDEX(ALLCLASSDATA,MATCH("ReflexSaveLegendary",CLASSFEATUREHEADERS,0),MATCH($A1962,CLASSNAMEHEADERS,0))),(INDEX(ALLCLASSDATA,MATCH("ReflexSaveLegendary",CLASSFEATUREHEADERS,0),MATCH(($A1962 &amp; "Points"),CLASSNAMEHEADERS,0))),(IF("15"=(INDEX(ALLCLASSDATA,MATCH("ReflexSaveMaster",CLASSFEATUREHEADERS,0),MATCH($A1962,CLASSNAMEHEADERS,0))),(INDEX(ALLCLASSDATA,MATCH("ReflexSaveMaster",CLASSFEATUREHEADERS,0),MATCH(($A1962 &amp; "Points"),CLASSNAMEHEADERS,0))),(IF("15"=(INDEX(ALLCLASSDATA,MATCH("ReflexSaveExpert",CLASSFEATUREHEADERS,0),MATCH($A1962,CLASSNAMEHEADERS,0))),(INDEX(ALLCLASSDATA,MATCH("ReflexSaveExpert",CLASSFEATUREHEADERS,0),MATCH(($A1962 &amp; "Points"),CLASSNAMEHEADERS,0))),(IF("15"=(INDEX(ALLCLASSDATA,MATCH("ReflexSaveTrained",CLASSFEATUREHEADERS,0),MATCH($A1962,CLASSNAMEHEADERS,0))),(INDEX(ALLCLASSDATA,MATCH("ReflexSaveTrained",CLASSFEATUREHEADERS,0),MATCH(($A1962 &amp; "Points"),CLASSNAMEHEADERS,0))),"")))))))))}</f>
        <v>REFLEXL15</v>
      </c>
      <c r="W1961" s="223"/>
      <c r="X1961" s="223" t="str">
        <f t="array" ref="X1961:X1962">{"REFLEXL17";((IF("17"=(INDEX(ALLCLASSDATA,MATCH("ReflexSaveLegendary",CLASSFEATUREHEADERS,0),MATCH($A1962,CLASSNAMEHEADERS,0))),(INDEX(ALLCLASSDATA,MATCH("ReflexSaveLegendary",CLASSFEATUREHEADERS,0),MATCH(($A1962 &amp; "Points"),CLASSNAMEHEADERS,0))),(IF("17"=(INDEX(ALLCLASSDATA,MATCH("ReflexSaveMaster",CLASSFEATUREHEADERS,0),MATCH($A1962,CLASSNAMEHEADERS,0))),(INDEX(ALLCLASSDATA,MATCH("ReflexSaveMaster",CLASSFEATUREHEADERS,0),MATCH(($A1962 &amp; "Points"),CLASSNAMEHEADERS,0))),(IF("17"=(INDEX(ALLCLASSDATA,MATCH("ReflexSaveExpert",CLASSFEATUREHEADERS,0),MATCH($A1962,CLASSNAMEHEADERS,0))),(INDEX(ALLCLASSDATA,MATCH("ReflexSaveExpert",CLASSFEATUREHEADERS,0),MATCH(($A1962 &amp; "Points"),CLASSNAMEHEADERS,0))),(IF("17"=(INDEX(ALLCLASSDATA,MATCH("ReflexSaveTrained",CLASSFEATUREHEADERS,0),MATCH($A1962,CLASSNAMEHEADERS,0))),(INDEX(ALLCLASSDATA,MATCH("ReflexSaveTrained",CLASSFEATUREHEADERS,0),MATCH(($A1962 &amp; "Points"),CLASSNAMEHEADERS,0))),"")))))))))}</f>
        <v>REFLEXL17</v>
      </c>
      <c r="Y1961" s="223"/>
      <c r="Z1961" s="223" t="str">
        <f t="array" ref="Z1961:Z1962">{"REFLEXL19";((IF("19"=(INDEX(ALLCLASSDATA,MATCH("ReflexSaveLegendary",CLASSFEATUREHEADERS,0),MATCH($A1962,CLASSNAMEHEADERS,0))),(INDEX(ALLCLASSDATA,MATCH("ReflexSaveLegendary",CLASSFEATUREHEADERS,0),MATCH(($A1962 &amp; "Points"),CLASSNAMEHEADERS,0))),(IF("19"=(INDEX(ALLCLASSDATA,MATCH("ReflexSaveMaster",CLASSFEATUREHEADERS,0),MATCH($A1962,CLASSNAMEHEADERS,0))),(INDEX(ALLCLASSDATA,MATCH("ReflexSaveMaster",CLASSFEATUREHEADERS,0),MATCH(($A1962 &amp; "Points"),CLASSNAMEHEADERS,0))),(IF("19"=(INDEX(ALLCLASSDATA,MATCH("ReflexSaveExpert",CLASSFEATUREHEADERS,0),MATCH($A1962,CLASSNAMEHEADERS,0))),(INDEX(ALLCLASSDATA,MATCH("ReflexSaveExpert",CLASSFEATUREHEADERS,0),MATCH(($A1962 &amp; "Points"),CLASSNAMEHEADERS,0))),(IF("19"=(INDEX(ALLCLASSDATA,MATCH("ReflexSaveTrained",CLASSFEATUREHEADERS,0),MATCH($A1962,CLASSNAMEHEADERS,0))),(INDEX(ALLCLASSDATA,MATCH("ReflexSaveTrained",CLASSFEATUREHEADERS,0),MATCH(($A1962 &amp; "Points"),CLASSNAMEHEADERS,0))),"")))))))))}</f>
        <v>REFLEXL19</v>
      </c>
      <c r="AA1961" s="223"/>
      <c r="AB1961" s="76" t="str">
        <f t="array" ref="AB1961:AB1962">{"REFLEX TOTAL";(IF(COUNTBLANK(G1962:AA1962)=17,"L",(IF(COUNTBLANK(G1962:AA1962)=18,"M",(IF(COUNTBLANK(G1962:AA1962)=19,"E",(IF(COUNTBLANK(G1962:AA1962)=20,"T",""))))))))}</f>
        <v>REFLEX TOTAL</v>
      </c>
      <c r="AC1961" s="76" t="str">
        <f t="array" ref="AC1961:AC1962">{"REFLEX TOTAL";(sum(G1962:AA1962))}</f>
        <v>REFLEX TOTAL</v>
      </c>
    </row>
    <row r="1962">
      <c r="A1962" s="48" t="s">
        <v>231</v>
      </c>
      <c r="B1962" s="48"/>
      <c r="C1962" s="48" t="s">
        <v>418</v>
      </c>
      <c r="D1962" s="48" t="s">
        <v>1549</v>
      </c>
      <c r="E1962" s="48" t="s">
        <v>1572</v>
      </c>
      <c r="F1962" s="5" t="s">
        <v>435</v>
      </c>
      <c r="G1962" s="47" t="s">
        <v>603</v>
      </c>
      <c r="H1962" s="5">
        <v>10.0</v>
      </c>
      <c r="I1962" s="5"/>
      <c r="J1962" s="5" t="s">
        <v>603</v>
      </c>
      <c r="K1962" s="5"/>
      <c r="L1962" s="5" t="s">
        <v>603</v>
      </c>
      <c r="M1962" s="5"/>
      <c r="N1962" s="5" t="s">
        <v>603</v>
      </c>
      <c r="O1962" s="5"/>
      <c r="P1962" s="5">
        <v>50.0</v>
      </c>
      <c r="Q1962" s="5"/>
      <c r="R1962" s="5" t="s">
        <v>603</v>
      </c>
      <c r="S1962" s="5"/>
      <c r="T1962" s="5" t="s">
        <v>603</v>
      </c>
      <c r="U1962" s="5"/>
      <c r="V1962" s="5" t="s">
        <v>603</v>
      </c>
      <c r="W1962" s="5"/>
      <c r="X1962" s="5" t="s">
        <v>603</v>
      </c>
      <c r="Y1962" s="5"/>
      <c r="Z1962" s="5" t="s">
        <v>603</v>
      </c>
      <c r="AA1962" s="5"/>
      <c r="AB1962" s="5" t="s">
        <v>436</v>
      </c>
      <c r="AC1962" s="47">
        <v>60.0</v>
      </c>
    </row>
    <row r="1963" hidden="1">
      <c r="A1963" s="222" t="str">
        <f t="array" ref="A1963:A1964">{"FormulaRow25";(INDEX(CLASSLIST,A1914,1))}</f>
        <v>FormulaRow25</v>
      </c>
      <c r="B1963" s="77" t="s">
        <v>236</v>
      </c>
      <c r="C1963" s="222" t="str">
        <f t="array" ref="C1963:C1964">{"CLASSTYPE";((INDEX(ALLCLASSDATA,MATCH("ClassType",CLASSFEATUREHEADERS,0),MATCH($A1964,CLASSNAMEHEADERS,0))))}</f>
        <v>CLASSTYPE</v>
      </c>
      <c r="D1963" s="222" t="str">
        <f t="array" ref="D1963:D1964">{"SAVES";"Saves"}</f>
        <v>SAVES</v>
      </c>
      <c r="E1963" s="222" t="str">
        <f t="array" ref="E1963:E1964">{"WILLSAVE";"WillSave"}</f>
        <v>WILLSAVE</v>
      </c>
      <c r="F1963" s="223" t="str">
        <f t="array" ref="F1963:F1964">{"WILLINITIAL";((IF(H1964=10,"T",(IF(H1964=50,"E","")))))}</f>
        <v>WILLINITIAL</v>
      </c>
      <c r="G1963" s="223" t="str">
        <f t="array" ref="G1963:G1964">{"WILLINITIALPTS";((IF("00"=(INDEX(ALLCLASSDATA,MATCH("WillSaveLegendary",CLASSFEATUREHEADERS,0),MATCH($A1964,CLASSNAMEHEADERS,0))),(INDEX(ALLCLASSDATA,MATCH("WillSaveLegendary",CLASSFEATUREHEADERS,0),MATCH(($A1964 &amp; "Points"),CLASSNAMEHEADERS,0))),(IF("00"=(INDEX(ALLCLASSDATA,MATCH("WillSaveMaster",CLASSFEATUREHEADERS,0),MATCH($A1964,CLASSNAMEHEADERS,0))),(INDEX(ALLCLASSDATA,MATCH("WillSaveMaster",CLASSFEATUREHEADERS,0),MATCH(($A1964 &amp; "Points"),CLASSNAMEHEADERS,0))),(IF("00"=(INDEX(ALLCLASSDATA,MATCH("WillSaveExpert",CLASSFEATUREHEADERS,0),MATCH($A1964,CLASSNAMEHEADERS,0))),(INDEX(ALLCLASSDATA,MATCH("WillSaveExpert",CLASSFEATUREHEADERS,0),MATCH(($A1964 &amp; "Points"),CLASSNAMEHEADERS,0))),(IF("00"=(INDEX(ALLCLASSDATA,MATCH("WillSaveTrained",CLASSFEATUREHEADERS,0),MATCH($A1964,CLASSNAMEHEADERS,0))),(INDEX(ALLCLASSDATA,MATCH("WillSaveTrained",CLASSFEATUREHEADERS,0),MATCH(($A1964 &amp; "Points"),CLASSNAMEHEADERS,0))),"")))))))))}</f>
        <v>WILLINITIALPTS</v>
      </c>
      <c r="H1963" s="223" t="str">
        <f t="array" ref="H1963:H1964">{"WILLL01";((IF("01"=(INDEX(ALLCLASSDATA,MATCH("WillSaveLegendary",CLASSFEATUREHEADERS,0),MATCH($A1964,CLASSNAMEHEADERS,0))),(INDEX(ALLCLASSDATA,MATCH("WillSaveLegendary",CLASSFEATUREHEADERS,0),MATCH(($A1964 &amp; "Points"),CLASSNAMEHEADERS,0))),(IF("01"=(INDEX(ALLCLASSDATA,MATCH("WillSaveMaster",CLASSFEATUREHEADERS,0),MATCH($A1964,CLASSNAMEHEADERS,0))),(INDEX(ALLCLASSDATA,MATCH("WillSaveMaster",CLASSFEATUREHEADERS,0),MATCH(($A1964 &amp; "Points"),CLASSNAMEHEADERS,0))),(IF("01"=(INDEX(ALLCLASSDATA,MATCH("WillSaveExpert",CLASSFEATUREHEADERS,0),MATCH($A1964,CLASSNAMEHEADERS,0))),(INDEX(ALLCLASSDATA,MATCH("WillSaveExpert",CLASSFEATUREHEADERS,0),MATCH(($A1964 &amp; "Points"),CLASSNAMEHEADERS,0))),(IF("01"=(INDEX(ALLCLASSDATA,MATCH("WillSaveTrained",CLASSFEATUREHEADERS,0),MATCH($A1964,CLASSNAMEHEADERS,0))),(INDEX(ALLCLASSDATA,MATCH("WillSaveTrained",CLASSFEATUREHEADERS,0),MATCH(($A1964 &amp; "Points"),CLASSNAMEHEADERS,0))),"")))))))))}</f>
        <v>WILLL01</v>
      </c>
      <c r="I1963" s="223"/>
      <c r="J1963" s="223" t="str">
        <f t="array" ref="J1963:J1964">{"WILLL03";((IF("03"=(INDEX(ALLCLASSDATA,MATCH("WillSaveLegendary",CLASSFEATUREHEADERS,0),MATCH($A1964,CLASSNAMEHEADERS,0))),(INDEX(ALLCLASSDATA,MATCH("WillSaveLegendary",CLASSFEATUREHEADERS,0),MATCH(($A1964 &amp; "Points"),CLASSNAMEHEADERS,0))),(IF("03"=(INDEX(ALLCLASSDATA,MATCH("WillSaveMaster",CLASSFEATUREHEADERS,0),MATCH($A1964,CLASSNAMEHEADERS,0))),(INDEX(ALLCLASSDATA,MATCH("WillSaveMaster",CLASSFEATUREHEADERS,0),MATCH(($A1964 &amp; "Points"),CLASSNAMEHEADERS,0))),(IF("03"=(INDEX(ALLCLASSDATA,MATCH("WillSaveExpert",CLASSFEATUREHEADERS,0),MATCH($A1964,CLASSNAMEHEADERS,0))),(INDEX(ALLCLASSDATA,MATCH("WillSaveExpert",CLASSFEATUREHEADERS,0),MATCH(($A1964 &amp; "Points"),CLASSNAMEHEADERS,0))),(IF("03"=(INDEX(ALLCLASSDATA,MATCH("WillSaveTrained",CLASSFEATUREHEADERS,0),MATCH($A1964,CLASSNAMEHEADERS,0))),(INDEX(ALLCLASSDATA,MATCH("WillSaveTrained",CLASSFEATUREHEADERS,0),MATCH(($A1964 &amp; "Points"),CLASSNAMEHEADERS,0))),"")))))))))}</f>
        <v>WILLL03</v>
      </c>
      <c r="K1963" s="223"/>
      <c r="L1963" s="223" t="str">
        <f t="array" ref="L1963:L1964">{"WILLL05";((IF("05"=(INDEX(ALLCLASSDATA,MATCH("WillSaveLegendary",CLASSFEATUREHEADERS,0),MATCH($A1964,CLASSNAMEHEADERS,0))),(INDEX(ALLCLASSDATA,MATCH("WillSaveLegendary",CLASSFEATUREHEADERS,0),MATCH(($A1964 &amp; "Points"),CLASSNAMEHEADERS,0))),(IF("05"=(INDEX(ALLCLASSDATA,MATCH("WillSaveMaster",CLASSFEATUREHEADERS,0),MATCH($A1964,CLASSNAMEHEADERS,0))),(INDEX(ALLCLASSDATA,MATCH("WillSaveMaster",CLASSFEATUREHEADERS,0),MATCH(($A1964 &amp; "Points"),CLASSNAMEHEADERS,0))),(IF("05"=(INDEX(ALLCLASSDATA,MATCH("WillSaveExpert",CLASSFEATUREHEADERS,0),MATCH($A1964,CLASSNAMEHEADERS,0))),(INDEX(ALLCLASSDATA,MATCH("WillSaveExpert",CLASSFEATUREHEADERS,0),MATCH(($A1964 &amp; "Points"),CLASSNAMEHEADERS,0))),(IF("05"=(INDEX(ALLCLASSDATA,MATCH("WillSaveTrained",CLASSFEATUREHEADERS,0),MATCH($A1964,CLASSNAMEHEADERS,0))),(INDEX(ALLCLASSDATA,MATCH("WillSaveTrained",CLASSFEATUREHEADERS,0),MATCH(($A1964 &amp; "Points"),CLASSNAMEHEADERS,0))),"")))))))))}</f>
        <v>WILLL05</v>
      </c>
      <c r="M1963" s="223"/>
      <c r="N1963" s="223" t="str">
        <f t="array" ref="N1963:N1964">{"WILLL07";((IF("07"=(INDEX(ALLCLASSDATA,MATCH("WillSaveLegendary",CLASSFEATUREHEADERS,0),MATCH($A1964,CLASSNAMEHEADERS,0))),(INDEX(ALLCLASSDATA,MATCH("WillSaveLegendary",CLASSFEATUREHEADERS,0),MATCH(($A1964 &amp; "Points"),CLASSNAMEHEADERS,0))),(IF("07"=(INDEX(ALLCLASSDATA,MATCH("WillSaveMaster",CLASSFEATUREHEADERS,0),MATCH($A1964,CLASSNAMEHEADERS,0))),(INDEX(ALLCLASSDATA,MATCH("WillSaveMaster",CLASSFEATUREHEADERS,0),MATCH(($A1964 &amp; "Points"),CLASSNAMEHEADERS,0))),(IF("07"=(INDEX(ALLCLASSDATA,MATCH("WillSaveExpert",CLASSFEATUREHEADERS,0),MATCH($A1964,CLASSNAMEHEADERS,0))),(INDEX(ALLCLASSDATA,MATCH("WillSaveExpert",CLASSFEATUREHEADERS,0),MATCH(($A1964 &amp; "Points"),CLASSNAMEHEADERS,0))),(IF("07"=(INDEX(ALLCLASSDATA,MATCH("WillSaveTrained",CLASSFEATUREHEADERS,0),MATCH($A1964,CLASSNAMEHEADERS,0))),(INDEX(ALLCLASSDATA,MATCH("WillSaveTrained",CLASSFEATUREHEADERS,0),MATCH(($A1964 &amp; "Points"),CLASSNAMEHEADERS,0))),"")))))))))}</f>
        <v>WILLL07</v>
      </c>
      <c r="O1963" s="223"/>
      <c r="P1963" s="223" t="str">
        <f t="array" ref="P1963:P1964">{"WILLL09";((IF("09"=(INDEX(ALLCLASSDATA,MATCH("WillSaveLegendary",CLASSFEATUREHEADERS,0),MATCH($A1964,CLASSNAMEHEADERS,0))),(INDEX(ALLCLASSDATA,MATCH("WillSaveLegendary",CLASSFEATUREHEADERS,0),MATCH(($A1964 &amp; "Points"),CLASSNAMEHEADERS,0))),(IF("09"=(INDEX(ALLCLASSDATA,MATCH("WillSaveMaster",CLASSFEATUREHEADERS,0),MATCH($A1964,CLASSNAMEHEADERS,0))),(INDEX(ALLCLASSDATA,MATCH("WillSaveMaster",CLASSFEATUREHEADERS,0),MATCH(($A1964 &amp; "Points"),CLASSNAMEHEADERS,0))),(IF("09"=(INDEX(ALLCLASSDATA,MATCH("WillSaveExpert",CLASSFEATUREHEADERS,0),MATCH($A1964,CLASSNAMEHEADERS,0))),(INDEX(ALLCLASSDATA,MATCH("WillSaveExpert",CLASSFEATUREHEADERS,0),MATCH(($A1964 &amp; "Points"),CLASSNAMEHEADERS,0))),(IF("09"=(INDEX(ALLCLASSDATA,MATCH("WillSaveTrained",CLASSFEATUREHEADERS,0),MATCH($A1964,CLASSNAMEHEADERS,0))),(INDEX(ALLCLASSDATA,MATCH("WillSaveTrained",CLASSFEATUREHEADERS,0),MATCH(($A1964 &amp; "Points"),CLASSNAMEHEADERS,0))),"")))))))))}</f>
        <v>WILLL09</v>
      </c>
      <c r="Q1963" s="223"/>
      <c r="R1963" s="223" t="str">
        <f t="array" ref="R1963:R1964">{"WILLL11";((IF("11"=(INDEX(ALLCLASSDATA,MATCH("WillSaveLegendary",CLASSFEATUREHEADERS,0),MATCH($A1964,CLASSNAMEHEADERS,0))),(INDEX(ALLCLASSDATA,MATCH("WillSaveLegendary",CLASSFEATUREHEADERS,0),MATCH(($A1964 &amp; "Points"),CLASSNAMEHEADERS,0))),(IF("11"=(INDEX(ALLCLASSDATA,MATCH("WillSaveMaster",CLASSFEATUREHEADERS,0),MATCH($A1964,CLASSNAMEHEADERS,0))),(INDEX(ALLCLASSDATA,MATCH("WillSaveMaster",CLASSFEATUREHEADERS,0),MATCH(($A1964 &amp; "Points"),CLASSNAMEHEADERS,0))),(IF("11"=(INDEX(ALLCLASSDATA,MATCH("WillSaveExpert",CLASSFEATUREHEADERS,0),MATCH($A1964,CLASSNAMEHEADERS,0))),(INDEX(ALLCLASSDATA,MATCH("WillSaveExpert",CLASSFEATUREHEADERS,0),MATCH(($A1964 &amp; "Points"),CLASSNAMEHEADERS,0))),(IF("11"=(INDEX(ALLCLASSDATA,MATCH("WillSaveTrained",CLASSFEATUREHEADERS,0),MATCH($A1964,CLASSNAMEHEADERS,0))),(INDEX(ALLCLASSDATA,MATCH("WillSaveTrained",CLASSFEATUREHEADERS,0),MATCH(($A1964 &amp; "Points"),CLASSNAMEHEADERS,0))),"")))))))))}</f>
        <v>WILLL11</v>
      </c>
      <c r="S1963" s="223"/>
      <c r="T1963" s="223" t="str">
        <f t="array" ref="T1963:T1964">{"WILLL13";((IF("13"=(INDEX(ALLCLASSDATA,MATCH("WillSaveLegendary",CLASSFEATUREHEADERS,0),MATCH($A1964,CLASSNAMEHEADERS,0))),(INDEX(ALLCLASSDATA,MATCH("WillSaveLegendary",CLASSFEATUREHEADERS,0),MATCH(($A1964 &amp; "Points"),CLASSNAMEHEADERS,0))),(IF("13"=(INDEX(ALLCLASSDATA,MATCH("WillSaveMaster",CLASSFEATUREHEADERS,0),MATCH($A1964,CLASSNAMEHEADERS,0))),(INDEX(ALLCLASSDATA,MATCH("WillSaveMaster",CLASSFEATUREHEADERS,0),MATCH(($A1964 &amp; "Points"),CLASSNAMEHEADERS,0))),(IF("13"=(INDEX(ALLCLASSDATA,MATCH("WillSaveExpert",CLASSFEATUREHEADERS,0),MATCH($A1964,CLASSNAMEHEADERS,0))),(INDEX(ALLCLASSDATA,MATCH("WillSaveExpert",CLASSFEATUREHEADERS,0),MATCH(($A1964 &amp; "Points"),CLASSNAMEHEADERS,0))),(IF("13"=(INDEX(ALLCLASSDATA,MATCH("WillSaveTrained",CLASSFEATUREHEADERS,0),MATCH($A1964,CLASSNAMEHEADERS,0))),(INDEX(ALLCLASSDATA,MATCH("WillSaveTrained",CLASSFEATUREHEADERS,0),MATCH(($A1964 &amp; "Points"),CLASSNAMEHEADERS,0))),"")))))))))}</f>
        <v>WILLL13</v>
      </c>
      <c r="U1963" s="223"/>
      <c r="V1963" s="223" t="str">
        <f t="array" ref="V1963:V1964">{"WILLL15";((IF("15"=(INDEX(ALLCLASSDATA,MATCH("WillSaveLegendary",CLASSFEATUREHEADERS,0),MATCH($A1964,CLASSNAMEHEADERS,0))),(INDEX(ALLCLASSDATA,MATCH("WillSaveLegendary",CLASSFEATUREHEADERS,0),MATCH(($A1964 &amp; "Points"),CLASSNAMEHEADERS,0))),(IF("15"=(INDEX(ALLCLASSDATA,MATCH("WillSaveMaster",CLASSFEATUREHEADERS,0),MATCH($A1964,CLASSNAMEHEADERS,0))),(INDEX(ALLCLASSDATA,MATCH("WillSaveMaster",CLASSFEATUREHEADERS,0),MATCH(($A1964 &amp; "Points"),CLASSNAMEHEADERS,0))),(IF("15"=(INDEX(ALLCLASSDATA,MATCH("WillSaveExpert",CLASSFEATUREHEADERS,0),MATCH($A1964,CLASSNAMEHEADERS,0))),(INDEX(ALLCLASSDATA,MATCH("WillSaveExpert",CLASSFEATUREHEADERS,0),MATCH(($A1964 &amp; "Points"),CLASSNAMEHEADERS,0))),(IF("15"=(INDEX(ALLCLASSDATA,MATCH("WillSaveTrained",CLASSFEATUREHEADERS,0),MATCH($A1964,CLASSNAMEHEADERS,0))),(INDEX(ALLCLASSDATA,MATCH("WillSaveTrained",CLASSFEATUREHEADERS,0),MATCH(($A1964 &amp; "Points"),CLASSNAMEHEADERS,0))),"")))))))))}</f>
        <v>WILLL15</v>
      </c>
      <c r="W1963" s="223"/>
      <c r="X1963" s="223" t="str">
        <f t="array" ref="X1963:X1964">{"WILLL17";((IF("17"=(INDEX(ALLCLASSDATA,MATCH("WillSaveLegendary",CLASSFEATUREHEADERS,0),MATCH($A1964,CLASSNAMEHEADERS,0))),(INDEX(ALLCLASSDATA,MATCH("WillSaveLegendary",CLASSFEATUREHEADERS,0),MATCH(($A1964 &amp; "Points"),CLASSNAMEHEADERS,0))),(IF("17"=(INDEX(ALLCLASSDATA,MATCH("WillSaveMaster",CLASSFEATUREHEADERS,0),MATCH($A1964,CLASSNAMEHEADERS,0))),(INDEX(ALLCLASSDATA,MATCH("WillSaveMaster",CLASSFEATUREHEADERS,0),MATCH(($A1964 &amp; "Points"),CLASSNAMEHEADERS,0))),(IF("17"=(INDEX(ALLCLASSDATA,MATCH("WillSaveExpert",CLASSFEATUREHEADERS,0),MATCH($A1964,CLASSNAMEHEADERS,0))),(INDEX(ALLCLASSDATA,MATCH("WillSaveExpert",CLASSFEATUREHEADERS,0),MATCH(($A1964 &amp; "Points"),CLASSNAMEHEADERS,0))),(IF("17"=(INDEX(ALLCLASSDATA,MATCH("WillSaveTrained",CLASSFEATUREHEADERS,0),MATCH($A1964,CLASSNAMEHEADERS,0))),(INDEX(ALLCLASSDATA,MATCH("WillSaveTrained",CLASSFEATUREHEADERS,0),MATCH(($A1964 &amp; "Points"),CLASSNAMEHEADERS,0))),"")))))))))}</f>
        <v>WILLL17</v>
      </c>
      <c r="Y1963" s="223"/>
      <c r="Z1963" s="223" t="str">
        <f t="array" ref="Z1963:Z1964">{"WILLL19";((IF("19"=(INDEX(ALLCLASSDATA,MATCH("WillSaveLegendary",CLASSFEATUREHEADERS,0),MATCH($A1964,CLASSNAMEHEADERS,0))),(INDEX(ALLCLASSDATA,MATCH("WillSaveLegendary",CLASSFEATUREHEADERS,0),MATCH(($A1964 &amp; "Points"),CLASSNAMEHEADERS,0))),(IF("19"=(INDEX(ALLCLASSDATA,MATCH("WillSaveMaster",CLASSFEATUREHEADERS,0),MATCH($A1964,CLASSNAMEHEADERS,0))),(INDEX(ALLCLASSDATA,MATCH("WillSaveMaster",CLASSFEATUREHEADERS,0),MATCH(($A1964 &amp; "Points"),CLASSNAMEHEADERS,0))),(IF("19"=(INDEX(ALLCLASSDATA,MATCH("WillSaveExpert",CLASSFEATUREHEADERS,0),MATCH($A1964,CLASSNAMEHEADERS,0))),(INDEX(ALLCLASSDATA,MATCH("WillSaveExpert",CLASSFEATUREHEADERS,0),MATCH(($A1964 &amp; "Points"),CLASSNAMEHEADERS,0))),(IF("19"=(INDEX(ALLCLASSDATA,MATCH("WillSaveTrained",CLASSFEATUREHEADERS,0),MATCH($A1964,CLASSNAMEHEADERS,0))),(INDEX(ALLCLASSDATA,MATCH("WillSaveTrained",CLASSFEATUREHEADERS,0),MATCH(($A1964 &amp; "Points"),CLASSNAMEHEADERS,0))),"")))))))))}</f>
        <v>WILLL19</v>
      </c>
      <c r="AA1963" s="223"/>
      <c r="AB1963" s="76" t="str">
        <f t="array" ref="AB1963:AB1964">{"WILL TOTAL";(IF(COUNTBLANK(G1964:AA1964)=17,"L",(IF(COUNTBLANK(G1964:AA1964)=18,"M",(IF(COUNTBLANK(G1964:AA1964)=19,"E",(IF(COUNTBLANK(G1964:AA1964)=20,"T",""))))))))}</f>
        <v>WILL TOTAL</v>
      </c>
      <c r="AC1963" s="76" t="str">
        <f t="array" ref="AC1963:AC1964">{"WILL TOTAL";(sum(G1964:AA1964))}</f>
        <v>WILL TOTAL</v>
      </c>
    </row>
    <row r="1964">
      <c r="A1964" s="48" t="s">
        <v>231</v>
      </c>
      <c r="B1964" s="48"/>
      <c r="C1964" s="48" t="s">
        <v>418</v>
      </c>
      <c r="D1964" s="97" t="s">
        <v>1549</v>
      </c>
      <c r="E1964" s="97" t="s">
        <v>1591</v>
      </c>
      <c r="F1964" s="98" t="s">
        <v>436</v>
      </c>
      <c r="G1964" s="132">
        <v>10.0</v>
      </c>
      <c r="H1964" s="98">
        <v>50.0</v>
      </c>
      <c r="I1964" s="98"/>
      <c r="J1964" s="98" t="s">
        <v>603</v>
      </c>
      <c r="K1964" s="98"/>
      <c r="L1964" s="98" t="s">
        <v>603</v>
      </c>
      <c r="M1964" s="97"/>
      <c r="N1964" s="98" t="s">
        <v>603</v>
      </c>
      <c r="O1964" s="98"/>
      <c r="P1964" s="98" t="s">
        <v>603</v>
      </c>
      <c r="Q1964" s="97"/>
      <c r="R1964" s="98" t="s">
        <v>603</v>
      </c>
      <c r="S1964" s="98"/>
      <c r="T1964" s="98" t="s">
        <v>603</v>
      </c>
      <c r="U1964" s="98"/>
      <c r="V1964" s="98" t="s">
        <v>603</v>
      </c>
      <c r="W1964" s="98"/>
      <c r="X1964" s="98">
        <v>110.0</v>
      </c>
      <c r="Y1964" s="98"/>
      <c r="Z1964" s="98" t="s">
        <v>603</v>
      </c>
      <c r="AA1964" s="98"/>
      <c r="AB1964" s="5" t="s">
        <v>437</v>
      </c>
      <c r="AC1964" s="47">
        <v>170.0</v>
      </c>
    </row>
    <row r="1965" hidden="1">
      <c r="A1965" s="222" t="str">
        <f t="array" ref="A1965:A1966">{"FormulaRow26";(INDEX(CLASSLIST,A1914,1))}</f>
        <v>FormulaRow26</v>
      </c>
      <c r="B1965" s="77" t="s">
        <v>236</v>
      </c>
      <c r="C1965" s="222" t="str">
        <f t="array" ref="C1965:C1966">{"CLASSTYPE";((INDEX(ALLCLASSDATA,MATCH("ClassType",CLASSFEATUREHEADERS,0),MATCH($A1966,CLASSNAMEHEADERS,0))))}</f>
        <v>CLASSTYPE</v>
      </c>
      <c r="D1965" s="228" t="str">
        <f t="array" ref="D1965:D1966">{"ATTACK";"Attack"}</f>
        <v>ATTACK</v>
      </c>
      <c r="E1965" s="228" t="str">
        <f t="array" ref="E1965:E1966">{"WEAPONSPECIAL";"WeaponCS/WS/GWS"}</f>
        <v>WEAPONSPECIAL</v>
      </c>
      <c r="F1965" s="230"/>
      <c r="G1965" s="230"/>
      <c r="H1965" s="230" t="str">
        <f t="array" ref="H1965:H1966">{"WEAPONSPECIALL01";((IF("01"=INDEX(ALLCLASSDATA,MATCH("WeaponGreaterSpecialization",CLASSFEATUREHEADERS,0),MATCH($A1966,CLASSNAMEHEADERS,0)),WeaponGWS,(IF("01"=INDEX(ALLCLASSDATA,MATCH("WeaponSpecialization",CLASSFEATUREHEADERS,0),MATCH($A1966,CLASSNAMEHEADERS,0)),WeaponWS,(IF("01"=INDEX(ALLCLASSDATA,MATCH("WeaponCriticalSpecialization",CLASSFEATUREHEADERS,0),MATCH($A1966,CLASSNAMEHEADERS,0)),WeaponCS,"")))))))}</f>
        <v>WEAPONSPECIALL01</v>
      </c>
      <c r="I1965" s="230"/>
      <c r="J1965" s="230" t="str">
        <f t="array" ref="J1965:J1966">{"WEAPONSPECIALL03";((IF("03"=INDEX(ALLCLASSDATA,MATCH("WeaponGreaterSpecialization",CLASSFEATUREHEADERS,0),MATCH($A1966,CLASSNAMEHEADERS,0)),WeaponGWS,(IF("03"=INDEX(ALLCLASSDATA,MATCH("WeaponSpecialization",CLASSFEATUREHEADERS,0),MATCH($A1966,CLASSNAMEHEADERS,0)),WeaponWS,(IF("03"=INDEX(ALLCLASSDATA,MATCH("WeaponCriticalSpecialization",CLASSFEATUREHEADERS,0),MATCH($A1966,CLASSNAMEHEADERS,0)),WeaponCS,"")))))))}</f>
        <v>WEAPONSPECIALL03</v>
      </c>
      <c r="K1965" s="230"/>
      <c r="L1965" s="230" t="str">
        <f t="array" ref="L1965:L1966">{"WEAPONSPECIALL05";((IF("05"=INDEX(ALLCLASSDATA,MATCH("WeaponGreaterSpecialization",CLASSFEATUREHEADERS,0),MATCH($A1966,CLASSNAMEHEADERS,0)),WeaponGWS,(IF("05"=INDEX(ALLCLASSDATA,MATCH("WeaponSpecialization",CLASSFEATUREHEADERS,0),MATCH($A1966,CLASSNAMEHEADERS,0)),WeaponWS,(IF("05"=INDEX(ALLCLASSDATA,MATCH("WeaponCriticalSpecialization",CLASSFEATUREHEADERS,0),MATCH($A1966,CLASSNAMEHEADERS,0)),WeaponCS,"")))))))}</f>
        <v>WEAPONSPECIALL05</v>
      </c>
      <c r="M1965" s="230"/>
      <c r="N1965" s="230" t="str">
        <f t="array" ref="N1965:N1966">{"WEAPONSPECIALL07";((IF("07"=INDEX(ALLCLASSDATA,MATCH("WeaponGreaterSpecialization",CLASSFEATUREHEADERS,0),MATCH($A1966,CLASSNAMEHEADERS,0)),WeaponGWS,(IF("07"=INDEX(ALLCLASSDATA,MATCH("WeaponSpecialization",CLASSFEATUREHEADERS,0),MATCH($A1966,CLASSNAMEHEADERS,0)),WeaponWS,(IF("07"=INDEX(ALLCLASSDATA,MATCH("WeaponCriticalSpecialization",CLASSFEATUREHEADERS,0),MATCH($A1966,CLASSNAMEHEADERS,0)),WeaponCS,"")))))))}</f>
        <v>WEAPONSPECIALL07</v>
      </c>
      <c r="O1965" s="230"/>
      <c r="P1965" s="230" t="str">
        <f t="array" ref="P1965:P1966">{"WEAPONSPECIALL09";((IF("09"=INDEX(ALLCLASSDATA,MATCH("WeaponGreaterSpecialization",CLASSFEATUREHEADERS,0),MATCH($A1966,CLASSNAMEHEADERS,0)),WeaponGWS,(IF("09"=INDEX(ALLCLASSDATA,MATCH("WeaponSpecialization",CLASSFEATUREHEADERS,0),MATCH($A1966,CLASSNAMEHEADERS,0)),WeaponWS,(IF("09"=INDEX(ALLCLASSDATA,MATCH("WeaponCriticalSpecialization",CLASSFEATUREHEADERS,0),MATCH($A1966,CLASSNAMEHEADERS,0)),WeaponCS,"")))))))}</f>
        <v>WEAPONSPECIALL09</v>
      </c>
      <c r="Q1965" s="230"/>
      <c r="R1965" s="230" t="str">
        <f t="array" ref="R1965:R1966">{"WEAPONSPECIALL11";((IF("11"=INDEX(ALLCLASSDATA,MATCH("WeaponGreaterSpecialization",CLASSFEATUREHEADERS,0),MATCH($A1966,CLASSNAMEHEADERS,0)),WeaponGWS,(IF("11"=INDEX(ALLCLASSDATA,MATCH("WeaponSpecialization",CLASSFEATUREHEADERS,0),MATCH($A1966,CLASSNAMEHEADERS,0)),WeaponWS,(IF("11"=INDEX(ALLCLASSDATA,MATCH("WeaponCriticalSpecialization",CLASSFEATUREHEADERS,0),MATCH($A1966,CLASSNAMEHEADERS,0)),WeaponCS,"")))))))}</f>
        <v>WEAPONSPECIALL11</v>
      </c>
      <c r="S1965" s="230"/>
      <c r="T1965" s="230" t="str">
        <f t="array" ref="T1965:T1966">{"WEAPONSPECIALL13";((IF("13"=INDEX(ALLCLASSDATA,MATCH("WeaponGreaterSpecialization",CLASSFEATUREHEADERS,0),MATCH($A1966,CLASSNAMEHEADERS,0)),WeaponGWS,(IF("13"=INDEX(ALLCLASSDATA,MATCH("WeaponSpecialization",CLASSFEATUREHEADERS,0),MATCH($A1966,CLASSNAMEHEADERS,0)),WeaponWS,(IF("13"=INDEX(ALLCLASSDATA,MATCH("WeaponCriticalSpecialization",CLASSFEATUREHEADERS,0),MATCH($A1966,CLASSNAMEHEADERS,0)),WeaponCS,"")))))))}</f>
        <v>WEAPONSPECIALL13</v>
      </c>
      <c r="U1965" s="230"/>
      <c r="V1965" s="230" t="str">
        <f t="array" ref="V1965:V1966">{"WEAPONSPECIALL15";((IF("15"=INDEX(ALLCLASSDATA,MATCH("WeaponGreaterSpecialization",CLASSFEATUREHEADERS,0),MATCH($A1966,CLASSNAMEHEADERS,0)),WeaponGWS,(IF("15"=INDEX(ALLCLASSDATA,MATCH("WeaponSpecialization",CLASSFEATUREHEADERS,0),MATCH($A1966,CLASSNAMEHEADERS,0)),WeaponWS,(IF("15"=INDEX(ALLCLASSDATA,MATCH("WeaponCriticalSpecialization",CLASSFEATUREHEADERS,0),MATCH($A1966,CLASSNAMEHEADERS,0)),WeaponCS,"")))))))}</f>
        <v>WEAPONSPECIALL15</v>
      </c>
      <c r="W1965" s="230"/>
      <c r="X1965" s="230" t="str">
        <f t="array" ref="X1965:X1966">{"WEAPONSPECIALL17";((IF("17"=INDEX(ALLCLASSDATA,MATCH("WeaponGreaterSpecialization",CLASSFEATUREHEADERS,0),MATCH($A1966,CLASSNAMEHEADERS,0)),WeaponGWS,(IF("17"=INDEX(ALLCLASSDATA,MATCH("WeaponSpecialization",CLASSFEATUREHEADERS,0),MATCH($A1966,CLASSNAMEHEADERS,0)),WeaponWS,(IF("17"=INDEX(ALLCLASSDATA,MATCH("WeaponCriticalSpecialization",CLASSFEATUREHEADERS,0),MATCH($A1966,CLASSNAMEHEADERS,0)),WeaponCS,"")))))))}</f>
        <v>WEAPONSPECIALL17</v>
      </c>
      <c r="Y1965" s="230"/>
      <c r="Z1965" s="230" t="str">
        <f t="array" ref="Z1965:Z1966">{"WEAPONSPECIALL19";((IF("19"=INDEX(ALLCLASSDATA,MATCH("WeaponGreaterSpecialization",CLASSFEATUREHEADERS,0),MATCH($A1966,CLASSNAMEHEADERS,0)),WeaponGWS,(IF("19"=INDEX(ALLCLASSDATA,MATCH("WeaponSpecialization",CLASSFEATUREHEADERS,0),MATCH($A1966,CLASSNAMEHEADERS,0)),WeaponWS,(IF("19"=INDEX(ALLCLASSDATA,MATCH("WeaponCriticalSpecialization",CLASSFEATUREHEADERS,0),MATCH($A1966,CLASSNAMEHEADERS,0)),WeaponCS,"")))))))}</f>
        <v>WEAPONSPECIALL19</v>
      </c>
      <c r="AA1965" s="230"/>
      <c r="AB1965" s="76"/>
      <c r="AC1965" s="76" t="str">
        <f t="array" ref="AC1965:AC1966">{"WEAPONSPECIAL TOTAL";(sum(G1966:AA1966))}</f>
        <v>WEAPONSPECIAL TOTAL</v>
      </c>
    </row>
    <row r="1966">
      <c r="A1966" s="48" t="s">
        <v>231</v>
      </c>
      <c r="B1966" s="48"/>
      <c r="C1966" s="48" t="s">
        <v>418</v>
      </c>
      <c r="D1966" s="48" t="s">
        <v>1634</v>
      </c>
      <c r="E1966" s="48" t="s">
        <v>1635</v>
      </c>
      <c r="F1966" s="5"/>
      <c r="G1966" s="47"/>
      <c r="H1966" s="5" t="s">
        <v>603</v>
      </c>
      <c r="I1966" s="5"/>
      <c r="J1966" s="5" t="s">
        <v>603</v>
      </c>
      <c r="K1966" s="5"/>
      <c r="L1966" s="5" t="s">
        <v>603</v>
      </c>
      <c r="M1966" s="5"/>
      <c r="N1966" s="5" t="s">
        <v>603</v>
      </c>
      <c r="O1966" s="5"/>
      <c r="P1966" s="5" t="s">
        <v>603</v>
      </c>
      <c r="Q1966" s="5"/>
      <c r="R1966" s="5" t="s">
        <v>603</v>
      </c>
      <c r="S1966" s="5"/>
      <c r="T1966" s="5">
        <v>70.0</v>
      </c>
      <c r="U1966" s="5"/>
      <c r="V1966" s="5" t="s">
        <v>603</v>
      </c>
      <c r="W1966" s="5"/>
      <c r="X1966" s="5" t="s">
        <v>603</v>
      </c>
      <c r="Y1966" s="5"/>
      <c r="Z1966" s="5" t="s">
        <v>603</v>
      </c>
      <c r="AA1966" s="5"/>
      <c r="AB1966" s="5"/>
      <c r="AC1966" s="47">
        <v>70.0</v>
      </c>
    </row>
    <row r="1967" hidden="1">
      <c r="A1967" s="222" t="str">
        <f t="array" ref="A1967:A1968">{"FormulaRow27";(INDEX(CLASSLIST,A1914,1))}</f>
        <v>FormulaRow27</v>
      </c>
      <c r="B1967" s="77" t="s">
        <v>236</v>
      </c>
      <c r="C1967" s="222" t="str">
        <f t="array" ref="C1967:C1968">{"CLASSTYPE";((INDEX(ALLCLASSDATA,MATCH("ClassType",CLASSFEATUREHEADERS,0),MATCH($A1968,CLASSNAMEHEADERS,0))))}</f>
        <v>CLASSTYPE</v>
      </c>
      <c r="D1967" s="222" t="str">
        <f t="array" ref="D1967:D1968">{"ATTACK";"Attack"}</f>
        <v>ATTACK</v>
      </c>
      <c r="E1967" s="222" t="str">
        <f t="array" ref="E1967:E1968">{"UNARMED";"Unarmed"}</f>
        <v>UNARMED</v>
      </c>
      <c r="F1967" s="223" t="str">
        <f t="array" ref="F1967:F1968">{"UNARMEDINITIAL";((IF(H1968=10,"T",(IF(H1968=50,"E","")))))}</f>
        <v>UNARMEDINITIAL</v>
      </c>
      <c r="G1967" s="223" t="str">
        <f t="array" ref="G1967:G1968">{"UNARMEDINITIALPTS";((IF("00"=(INDEX(ALLCLASSDATA,MATCH("UnarmedLegendary",CLASSFEATUREHEADERS,0),MATCH($A1968,CLASSNAMEHEADERS,0))),(INDEX(ALLCLASSDATA,MATCH("UnarmedLegendary",CLASSFEATUREHEADERS,0),MATCH(($A1968 &amp; "Points"),CLASSNAMEHEADERS,0))),(IF("00"=(INDEX(ALLCLASSDATA,MATCH("UnarmedMaster",CLASSFEATUREHEADERS,0),MATCH($A1968,CLASSNAMEHEADERS,0))),(INDEX(ALLCLASSDATA,MATCH("UnarmedMaster",CLASSFEATUREHEADERS,0),MATCH(($A1968 &amp; "Points"),CLASSNAMEHEADERS,0))),(IF("00"=(INDEX(ALLCLASSDATA,MATCH("UnarmedExpert",CLASSFEATUREHEADERS,0),MATCH($A1968,CLASSNAMEHEADERS,0))),(INDEX(ALLCLASSDATA,MATCH("UnarmedExpert",CLASSFEATUREHEADERS,0),MATCH(($A1968 &amp; "Points"),CLASSNAMEHEADERS,0))),(IF("00"=(INDEX(ALLCLASSDATA,MATCH("UnarmedTrained",CLASSFEATUREHEADERS,0),MATCH($A1968,CLASSNAMEHEADERS,0))),(INDEX(ALLCLASSDATA,MATCH("UnarmedTrained",CLASSFEATUREHEADERS,0),MATCH(($A1968 &amp; "Points"),CLASSNAMEHEADERS,0))),"")))))))))}</f>
        <v>UNARMEDINITIALPTS</v>
      </c>
      <c r="H1967" s="223" t="str">
        <f t="array" ref="H1967:H1968">{"UNARMEDL01";((IF("01"=(INDEX(ALLCLASSDATA,MATCH("UnarmedLegendary",CLASSFEATUREHEADERS,0),MATCH($A1968,CLASSNAMEHEADERS,0))),(INDEX(ALLCLASSDATA,MATCH("UnarmedLegendary",CLASSFEATUREHEADERS,0),MATCH(($A1968 &amp; "Points"),CLASSNAMEHEADERS,0))),(IF("01"=(INDEX(ALLCLASSDATA,MATCH("UnarmedMaster",CLASSFEATUREHEADERS,0),MATCH($A1968,CLASSNAMEHEADERS,0))),(INDEX(ALLCLASSDATA,MATCH("UnarmedMaster",CLASSFEATUREHEADERS,0),MATCH(($A1968 &amp; "Points"),CLASSNAMEHEADERS,0))),(IF("01"=(INDEX(ALLCLASSDATA,MATCH("UnarmedExpert",CLASSFEATUREHEADERS,0),MATCH($A1968,CLASSNAMEHEADERS,0))),(INDEX(ALLCLASSDATA,MATCH("UnarmedExpert",CLASSFEATUREHEADERS,0),MATCH(($A1968 &amp; "Points"),CLASSNAMEHEADERS,0))),(IF("01"=(INDEX(ALLCLASSDATA,MATCH("UnarmedTrained",CLASSFEATUREHEADERS,0),MATCH($A1968,CLASSNAMEHEADERS,0))),(INDEX(ALLCLASSDATA,MATCH("UnarmedTrained",CLASSFEATUREHEADERS,0),MATCH(($A1968 &amp; "Points"),CLASSNAMEHEADERS,0))),"")))))))))}</f>
        <v>UNARMEDL01</v>
      </c>
      <c r="I1967" s="223"/>
      <c r="J1967" s="223" t="str">
        <f t="array" ref="J1967:J1968">{"UNARMEDL03";((IF("03"=(INDEX(ALLCLASSDATA,MATCH("UnarmedLegendary",CLASSFEATUREHEADERS,0),MATCH($A1968,CLASSNAMEHEADERS,0))),(INDEX(ALLCLASSDATA,MATCH("UnarmedLegendary",CLASSFEATUREHEADERS,0),MATCH(($A1968 &amp; "Points"),CLASSNAMEHEADERS,0))),(IF("03"=(INDEX(ALLCLASSDATA,MATCH("UnarmedMaster",CLASSFEATUREHEADERS,0),MATCH($A1968,CLASSNAMEHEADERS,0))),(INDEX(ALLCLASSDATA,MATCH("UnarmedMaster",CLASSFEATUREHEADERS,0),MATCH(($A1968 &amp; "Points"),CLASSNAMEHEADERS,0))),(IF("03"=(INDEX(ALLCLASSDATA,MATCH("UnarmedExpert",CLASSFEATUREHEADERS,0),MATCH($A1968,CLASSNAMEHEADERS,0))),(INDEX(ALLCLASSDATA,MATCH("UnarmedExpert",CLASSFEATUREHEADERS,0),MATCH(($A1968 &amp; "Points"),CLASSNAMEHEADERS,0))),(IF("03"=(INDEX(ALLCLASSDATA,MATCH("UnarmedTrained",CLASSFEATUREHEADERS,0),MATCH($A1968,CLASSNAMEHEADERS,0))),(INDEX(ALLCLASSDATA,MATCH("UnarmedTrained",CLASSFEATUREHEADERS,0),MATCH(($A1968 &amp; "Points"),CLASSNAMEHEADERS,0))),"")))))))))}</f>
        <v>UNARMEDL03</v>
      </c>
      <c r="K1967" s="223"/>
      <c r="L1967" s="223" t="str">
        <f t="array" ref="L1967:L1968">{"UNARMEDL05";((IF("05"=(INDEX(ALLCLASSDATA,MATCH("UnarmedLegendary",CLASSFEATUREHEADERS,0),MATCH($A1968,CLASSNAMEHEADERS,0))),(INDEX(ALLCLASSDATA,MATCH("UnarmedLegendary",CLASSFEATUREHEADERS,0),MATCH(($A1968 &amp; "Points"),CLASSNAMEHEADERS,0))),(IF("05"=(INDEX(ALLCLASSDATA,MATCH("UnarmedMaster",CLASSFEATUREHEADERS,0),MATCH($A1968,CLASSNAMEHEADERS,0))),(INDEX(ALLCLASSDATA,MATCH("UnarmedMaster",CLASSFEATUREHEADERS,0),MATCH(($A1968 &amp; "Points"),CLASSNAMEHEADERS,0))),(IF("05"=(INDEX(ALLCLASSDATA,MATCH("UnarmedExpert",CLASSFEATUREHEADERS,0),MATCH($A1968,CLASSNAMEHEADERS,0))),(INDEX(ALLCLASSDATA,MATCH("UnarmedExpert",CLASSFEATUREHEADERS,0),MATCH(($A1968 &amp; "Points"),CLASSNAMEHEADERS,0))),(IF("05"=(INDEX(ALLCLASSDATA,MATCH("UnarmedTrained",CLASSFEATUREHEADERS,0),MATCH($A1968,CLASSNAMEHEADERS,0))),(INDEX(ALLCLASSDATA,MATCH("UnarmedTrained",CLASSFEATUREHEADERS,0),MATCH(($A1968 &amp; "Points"),CLASSNAMEHEADERS,0))),"")))))))))}</f>
        <v>UNARMEDL05</v>
      </c>
      <c r="M1967" s="223"/>
      <c r="N1967" s="223" t="str">
        <f t="array" ref="N1967:N1968">{"UNARMEDL07";((IF("07"=(INDEX(ALLCLASSDATA,MATCH("UnarmedLegendary",CLASSFEATUREHEADERS,0),MATCH($A1968,CLASSNAMEHEADERS,0))),(INDEX(ALLCLASSDATA,MATCH("UnarmedLegendary",CLASSFEATUREHEADERS,0),MATCH(($A1968 &amp; "Points"),CLASSNAMEHEADERS,0))),(IF("07"=(INDEX(ALLCLASSDATA,MATCH("UnarmedMaster",CLASSFEATUREHEADERS,0),MATCH($A1968,CLASSNAMEHEADERS,0))),(INDEX(ALLCLASSDATA,MATCH("UnarmedMaster",CLASSFEATUREHEADERS,0),MATCH(($A1968 &amp; "Points"),CLASSNAMEHEADERS,0))),(IF("07"=(INDEX(ALLCLASSDATA,MATCH("UnarmedExpert",CLASSFEATUREHEADERS,0),MATCH($A1968,CLASSNAMEHEADERS,0))),(INDEX(ALLCLASSDATA,MATCH("UnarmedExpert",CLASSFEATUREHEADERS,0),MATCH(($A1968 &amp; "Points"),CLASSNAMEHEADERS,0))),(IF("07"=(INDEX(ALLCLASSDATA,MATCH("UnarmedTrained",CLASSFEATUREHEADERS,0),MATCH($A1968,CLASSNAMEHEADERS,0))),(INDEX(ALLCLASSDATA,MATCH("UnarmedTrained",CLASSFEATUREHEADERS,0),MATCH(($A1968 &amp; "Points"),CLASSNAMEHEADERS,0))),"")))))))))}</f>
        <v>UNARMEDL07</v>
      </c>
      <c r="O1967" s="223"/>
      <c r="P1967" s="223" t="str">
        <f t="array" ref="P1967:P1968">{"UNARMEDL09";((IF("09"=(INDEX(ALLCLASSDATA,MATCH("UnarmedLegendary",CLASSFEATUREHEADERS,0),MATCH($A1968,CLASSNAMEHEADERS,0))),(INDEX(ALLCLASSDATA,MATCH("UnarmedLegendary",CLASSFEATUREHEADERS,0),MATCH(($A1968 &amp; "Points"),CLASSNAMEHEADERS,0))),(IF("09"=(INDEX(ALLCLASSDATA,MATCH("UnarmedMaster",CLASSFEATUREHEADERS,0),MATCH($A1968,CLASSNAMEHEADERS,0))),(INDEX(ALLCLASSDATA,MATCH("UnarmedMaster",CLASSFEATUREHEADERS,0),MATCH(($A1968 &amp; "Points"),CLASSNAMEHEADERS,0))),(IF("09"=(INDEX(ALLCLASSDATA,MATCH("UnarmedExpert",CLASSFEATUREHEADERS,0),MATCH($A1968,CLASSNAMEHEADERS,0))),(INDEX(ALLCLASSDATA,MATCH("UnarmedExpert",CLASSFEATUREHEADERS,0),MATCH(($A1968 &amp; "Points"),CLASSNAMEHEADERS,0))),(IF("09"=(INDEX(ALLCLASSDATA,MATCH("UnarmedTrained",CLASSFEATUREHEADERS,0),MATCH($A1968,CLASSNAMEHEADERS,0))),(INDEX(ALLCLASSDATA,MATCH("UnarmedTrained",CLASSFEATUREHEADERS,0),MATCH(($A1968 &amp; "Points"),CLASSNAMEHEADERS,0))),"")))))))))}</f>
        <v>UNARMEDL09</v>
      </c>
      <c r="Q1967" s="223"/>
      <c r="R1967" s="223" t="str">
        <f t="array" ref="R1967:R1968">{"UNARMEDL11";((IF("11"=(INDEX(ALLCLASSDATA,MATCH("UnarmedLegendary",CLASSFEATUREHEADERS,0),MATCH($A1968,CLASSNAMEHEADERS,0))),(INDEX(ALLCLASSDATA,MATCH("UnarmedLegendary",CLASSFEATUREHEADERS,0),MATCH(($A1968 &amp; "Points"),CLASSNAMEHEADERS,0))),(IF("11"=(INDEX(ALLCLASSDATA,MATCH("UnarmedMaster",CLASSFEATUREHEADERS,0),MATCH($A1968,CLASSNAMEHEADERS,0))),(INDEX(ALLCLASSDATA,MATCH("UnarmedMaster",CLASSFEATUREHEADERS,0),MATCH(($A1968 &amp; "Points"),CLASSNAMEHEADERS,0))),(IF("11"=(INDEX(ALLCLASSDATA,MATCH("UnarmedExpert",CLASSFEATUREHEADERS,0),MATCH($A1968,CLASSNAMEHEADERS,0))),(INDEX(ALLCLASSDATA,MATCH("UnarmedExpert",CLASSFEATUREHEADERS,0),MATCH(($A1968 &amp; "Points"),CLASSNAMEHEADERS,0))),(IF("11"=(INDEX(ALLCLASSDATA,MATCH("UnarmedTrained",CLASSFEATUREHEADERS,0),MATCH($A1968,CLASSNAMEHEADERS,0))),(INDEX(ALLCLASSDATA,MATCH("UnarmedTrained",CLASSFEATUREHEADERS,0),MATCH(($A1968 &amp; "Points"),CLASSNAMEHEADERS,0))),"")))))))))}</f>
        <v>UNARMEDL11</v>
      </c>
      <c r="S1967" s="223"/>
      <c r="T1967" s="223" t="str">
        <f t="array" ref="T1967:T1968">{"UNARMEDL13";((IF("13"=(INDEX(ALLCLASSDATA,MATCH("UnarmedLegendary",CLASSFEATUREHEADERS,0),MATCH($A1968,CLASSNAMEHEADERS,0))),(INDEX(ALLCLASSDATA,MATCH("UnarmedLegendary",CLASSFEATUREHEADERS,0),MATCH(($A1968 &amp; "Points"),CLASSNAMEHEADERS,0))),(IF("13"=(INDEX(ALLCLASSDATA,MATCH("UnarmedMaster",CLASSFEATUREHEADERS,0),MATCH($A1968,CLASSNAMEHEADERS,0))),(INDEX(ALLCLASSDATA,MATCH("UnarmedMaster",CLASSFEATUREHEADERS,0),MATCH(($A1968 &amp; "Points"),CLASSNAMEHEADERS,0))),(IF("13"=(INDEX(ALLCLASSDATA,MATCH("UnarmedExpert",CLASSFEATUREHEADERS,0),MATCH($A1968,CLASSNAMEHEADERS,0))),(INDEX(ALLCLASSDATA,MATCH("UnarmedExpert",CLASSFEATUREHEADERS,0),MATCH(($A1968 &amp; "Points"),CLASSNAMEHEADERS,0))),(IF("13"=(INDEX(ALLCLASSDATA,MATCH("UnarmedTrained",CLASSFEATUREHEADERS,0),MATCH($A1968,CLASSNAMEHEADERS,0))),(INDEX(ALLCLASSDATA,MATCH("UnarmedTrained",CLASSFEATUREHEADERS,0),MATCH(($A1968 &amp; "Points"),CLASSNAMEHEADERS,0))),"")))))))))}</f>
        <v>UNARMEDL13</v>
      </c>
      <c r="U1967" s="223"/>
      <c r="V1967" s="223" t="str">
        <f t="array" ref="V1967:V1968">{"UNARMEDL15";((IF("15"=(INDEX(ALLCLASSDATA,MATCH("UnarmedLegendary",CLASSFEATUREHEADERS,0),MATCH($A1968,CLASSNAMEHEADERS,0))),(INDEX(ALLCLASSDATA,MATCH("UnarmedLegendary",CLASSFEATUREHEADERS,0),MATCH(($A1968 &amp; "Points"),CLASSNAMEHEADERS,0))),(IF("15"=(INDEX(ALLCLASSDATA,MATCH("UnarmedMaster",CLASSFEATUREHEADERS,0),MATCH($A1968,CLASSNAMEHEADERS,0))),(INDEX(ALLCLASSDATA,MATCH("UnarmedMaster",CLASSFEATUREHEADERS,0),MATCH(($A1968 &amp; "Points"),CLASSNAMEHEADERS,0))),(IF("15"=(INDEX(ALLCLASSDATA,MATCH("UnarmedExpert",CLASSFEATUREHEADERS,0),MATCH($A1968,CLASSNAMEHEADERS,0))),(INDEX(ALLCLASSDATA,MATCH("UnarmedExpert",CLASSFEATUREHEADERS,0),MATCH(($A1968 &amp; "Points"),CLASSNAMEHEADERS,0))),(IF("15"=(INDEX(ALLCLASSDATA,MATCH("UnarmedTrained",CLASSFEATUREHEADERS,0),MATCH($A1968,CLASSNAMEHEADERS,0))),(INDEX(ALLCLASSDATA,MATCH("UnarmedTrained",CLASSFEATUREHEADERS,0),MATCH(($A1968 &amp; "Points"),CLASSNAMEHEADERS,0))),"")))))))))}</f>
        <v>UNARMEDL15</v>
      </c>
      <c r="W1967" s="223"/>
      <c r="X1967" s="223" t="str">
        <f t="array" ref="X1967:X1968">{"UNARMEDL17";((IF("17"=(INDEX(ALLCLASSDATA,MATCH("UnarmedLegendary",CLASSFEATUREHEADERS,0),MATCH($A1968,CLASSNAMEHEADERS,0))),(INDEX(ALLCLASSDATA,MATCH("UnarmedLegendary",CLASSFEATUREHEADERS,0),MATCH(($A1968 &amp; "Points"),CLASSNAMEHEADERS,0))),(IF("17"=(INDEX(ALLCLASSDATA,MATCH("UnarmedMaster",CLASSFEATUREHEADERS,0),MATCH($A1968,CLASSNAMEHEADERS,0))),(INDEX(ALLCLASSDATA,MATCH("UnarmedMaster",CLASSFEATUREHEADERS,0),MATCH(($A1968 &amp; "Points"),CLASSNAMEHEADERS,0))),(IF("17"=(INDEX(ALLCLASSDATA,MATCH("UnarmedExpert",CLASSFEATUREHEADERS,0),MATCH($A1968,CLASSNAMEHEADERS,0))),(INDEX(ALLCLASSDATA,MATCH("UnarmedExpert",CLASSFEATUREHEADERS,0),MATCH(($A1968 &amp; "Points"),CLASSNAMEHEADERS,0))),(IF("17"=(INDEX(ALLCLASSDATA,MATCH("UnarmedTrained",CLASSFEATUREHEADERS,0),MATCH($A1968,CLASSNAMEHEADERS,0))),(INDEX(ALLCLASSDATA,MATCH("UnarmedTrained",CLASSFEATUREHEADERS,0),MATCH(($A1968 &amp; "Points"),CLASSNAMEHEADERS,0))),"")))))))))}</f>
        <v>UNARMEDL17</v>
      </c>
      <c r="Y1967" s="223"/>
      <c r="Z1967" s="223" t="str">
        <f t="array" ref="Z1967:Z1968">{"UNARMEDL19";((IF("19"=(INDEX(ALLCLASSDATA,MATCH("UnarmedLegendary",CLASSFEATUREHEADERS,0),MATCH($A1968,CLASSNAMEHEADERS,0))),(INDEX(ALLCLASSDATA,MATCH("UnarmedLegendary",CLASSFEATUREHEADERS,0),MATCH(($A1968 &amp; "Points"),CLASSNAMEHEADERS,0))),(IF("19"=(INDEX(ALLCLASSDATA,MATCH("UnarmedMaster",CLASSFEATUREHEADERS,0),MATCH($A1968,CLASSNAMEHEADERS,0))),(INDEX(ALLCLASSDATA,MATCH("UnarmedMaster",CLASSFEATUREHEADERS,0),MATCH(($A1968 &amp; "Points"),CLASSNAMEHEADERS,0))),(IF("19"=(INDEX(ALLCLASSDATA,MATCH("UnarmedExpert",CLASSFEATUREHEADERS,0),MATCH($A1968,CLASSNAMEHEADERS,0))),(INDEX(ALLCLASSDATA,MATCH("UnarmedExpert",CLASSFEATUREHEADERS,0),MATCH(($A1968 &amp; "Points"),CLASSNAMEHEADERS,0))),(IF("19"=(INDEX(ALLCLASSDATA,MATCH("UnarmedTrained",CLASSFEATUREHEADERS,0),MATCH($A1968,CLASSNAMEHEADERS,0))),(INDEX(ALLCLASSDATA,MATCH("UnarmedTrained",CLASSFEATUREHEADERS,0),MATCH(($A1968 &amp; "Points"),CLASSNAMEHEADERS,0))),"")))))))))}</f>
        <v>UNARMEDL19</v>
      </c>
      <c r="AA1967" s="223"/>
      <c r="AB1967" s="76" t="str">
        <f t="array" ref="AB1967:AB1968">{"UNARMED TOTAL";(IF(COUNTBLANK(G1968:AA1968)=17,"L",(IF(COUNTBLANK(G1968:AA1968)=18,"M",(IF(COUNTBLANK(G1968:AA1968)=19,"E",(IF(COUNTBLANK(G1968:AA1968)=20,"T",""))))))))}</f>
        <v>UNARMED TOTAL</v>
      </c>
      <c r="AC1967" s="76" t="str">
        <f t="array" ref="AC1967:AC1968">{"UNARMED TOTAL";(sum(G1968:AA1968))}</f>
        <v>UNARMED TOTAL</v>
      </c>
    </row>
    <row r="1968">
      <c r="A1968" s="48" t="s">
        <v>231</v>
      </c>
      <c r="B1968" s="48"/>
      <c r="C1968" s="48" t="s">
        <v>418</v>
      </c>
      <c r="D1968" s="48" t="s">
        <v>1634</v>
      </c>
      <c r="E1968" s="48" t="s">
        <v>257</v>
      </c>
      <c r="F1968" s="5" t="s">
        <v>435</v>
      </c>
      <c r="G1968" s="47" t="s">
        <v>603</v>
      </c>
      <c r="H1968" s="5">
        <v>10.0</v>
      </c>
      <c r="I1968" s="5"/>
      <c r="J1968" s="5" t="s">
        <v>603</v>
      </c>
      <c r="K1968" s="5"/>
      <c r="L1968" s="5" t="s">
        <v>603</v>
      </c>
      <c r="M1968" s="5"/>
      <c r="N1968" s="5" t="s">
        <v>603</v>
      </c>
      <c r="O1968" s="5"/>
      <c r="P1968" s="5" t="s">
        <v>603</v>
      </c>
      <c r="Q1968" s="5"/>
      <c r="R1968" s="5" t="s">
        <v>436</v>
      </c>
      <c r="S1968" s="5"/>
      <c r="T1968" s="5" t="s">
        <v>603</v>
      </c>
      <c r="U1968" s="5"/>
      <c r="V1968" s="5" t="s">
        <v>603</v>
      </c>
      <c r="W1968" s="5"/>
      <c r="X1968" s="5" t="s">
        <v>603</v>
      </c>
      <c r="Y1968" s="5"/>
      <c r="Z1968" s="5" t="s">
        <v>603</v>
      </c>
      <c r="AA1968" s="5"/>
      <c r="AB1968" s="5" t="s">
        <v>436</v>
      </c>
      <c r="AC1968" s="47">
        <v>10.0</v>
      </c>
    </row>
    <row r="1969" hidden="1">
      <c r="A1969" s="222" t="str">
        <f t="array" ref="A1969:A1970">{"FormulaRow28";(INDEX(CLASSLIST,A1914,1))}</f>
        <v>FormulaRow28</v>
      </c>
      <c r="B1969" s="77" t="s">
        <v>236</v>
      </c>
      <c r="C1969" s="222" t="str">
        <f t="array" ref="C1969:C1970">{"CLASSTYPE";((INDEX(ALLCLASSDATA,MATCH("ClassType",CLASSFEATUREHEADERS,0),MATCH($A1970,CLASSNAMEHEADERS,0))))}</f>
        <v>CLASSTYPE</v>
      </c>
      <c r="D1969" s="222" t="str">
        <f t="array" ref="D1969:D1970">{"ATTACK";"Attack"}</f>
        <v>ATTACK</v>
      </c>
      <c r="E1969" s="222" t="str">
        <f t="array" ref="E1969:E1970">{"SIMPLELIMITED";"SimpleLimited"}</f>
        <v>SIMPLELIMITED</v>
      </c>
      <c r="F1969" s="223" t="str">
        <f t="array" ref="F1969:F1970">{"SIMPLELIMITEDINITIAL";((IF(H1970=10,"T",(IF(H1970=50,"E","")))))}</f>
        <v>SIMPLELIMITEDINITIAL</v>
      </c>
      <c r="G1969" s="223" t="str">
        <f t="array" ref="G1969:G1970">{"SIMPLELIMITEDINITIALPTS";((IF("00"=(INDEX(ALLCLASSDATA,MATCH("SimpleLimitedLegendary",CLASSFEATUREHEADERS,0),MATCH($A1970,CLASSNAMEHEADERS,0))),(INDEX(ALLCLASSDATA,MATCH("SimpleLimitedLegendary",CLASSFEATUREHEADERS,0),MATCH(($A1970 &amp; "Points"),CLASSNAMEHEADERS,0))),(IF("00"=(INDEX(ALLCLASSDATA,MATCH("SimpleLimitedMaster",CLASSFEATUREHEADERS,0),MATCH($A1970,CLASSNAMEHEADERS,0))),(INDEX(ALLCLASSDATA,MATCH("SimpleLimitedMaster",CLASSFEATUREHEADERS,0),MATCH(($A1970 &amp; "Points"),CLASSNAMEHEADERS,0))),(IF("00"=(INDEX(ALLCLASSDATA,MATCH("SimpleLimitedExpert",CLASSFEATUREHEADERS,0),MATCH($A1970,CLASSNAMEHEADERS,0))),(INDEX(ALLCLASSDATA,MATCH("SimpleLimitedExpert",CLASSFEATUREHEADERS,0),MATCH(($A1970 &amp; "Points"),CLASSNAMEHEADERS,0))),(IF("00"=(INDEX(ALLCLASSDATA,MATCH("SimpleLimitedTrained",CLASSFEATUREHEADERS,0),MATCH($A1970,CLASSNAMEHEADERS,0))),(INDEX(ALLCLASSDATA,MATCH("SimpleLimitedTrained",CLASSFEATUREHEADERS,0),MATCH(($A1970 &amp; "Points"),CLASSNAMEHEADERS,0))),"")))))))))}</f>
        <v>SIMPLELIMITEDINITIALPTS</v>
      </c>
      <c r="H1969" s="223" t="str">
        <f t="array" ref="H1969:H1970">{"SIMPLELIMITEDL01";((IF("01"=(INDEX(ALLCLASSDATA,MATCH("SimpleLimitedLegendary",CLASSFEATUREHEADERS,0),MATCH($A1970,CLASSNAMEHEADERS,0))),(INDEX(ALLCLASSDATA,MATCH("SimpleLimitedLegendary",CLASSFEATUREHEADERS,0),MATCH(($A1970 &amp; "Points"),CLASSNAMEHEADERS,0))),(IF("01"=(INDEX(ALLCLASSDATA,MATCH("SimpleLimitedMaster",CLASSFEATUREHEADERS,0),MATCH($A1970,CLASSNAMEHEADERS,0))),(INDEX(ALLCLASSDATA,MATCH("SimpleLimitedMaster",CLASSFEATUREHEADERS,0),MATCH(($A1970 &amp; "Points"),CLASSNAMEHEADERS,0))),(IF("01"=(INDEX(ALLCLASSDATA,MATCH("SimpleLimitedExpert",CLASSFEATUREHEADERS,0),MATCH($A1970,CLASSNAMEHEADERS,0))),(INDEX(ALLCLASSDATA,MATCH("SimpleLimitedExpert",CLASSFEATUREHEADERS,0),MATCH(($A1970 &amp; "Points"),CLASSNAMEHEADERS,0))),(IF("01"=(INDEX(ALLCLASSDATA,MATCH("SimpleLimitedTrained",CLASSFEATUREHEADERS,0),MATCH($A1970,CLASSNAMEHEADERS,0))),(INDEX(ALLCLASSDATA,MATCH("SimpleLimitedTrained",CLASSFEATUREHEADERS,0),MATCH(($A1970 &amp; "Points"),CLASSNAMEHEADERS,0))),"")))))))))}</f>
        <v>SIMPLELIMITEDL01</v>
      </c>
      <c r="I1969" s="223"/>
      <c r="J1969" s="223" t="str">
        <f t="array" ref="J1969:J1970">{"SIMPLELIMITEDL03";((IF("03"=(INDEX(ALLCLASSDATA,MATCH("SimpleLimitedLegendary",CLASSFEATUREHEADERS,0),MATCH($A1970,CLASSNAMEHEADERS,0))),(INDEX(ALLCLASSDATA,MATCH("SimpleLimitedLegendary",CLASSFEATUREHEADERS,0),MATCH(($A1970 &amp; "Points"),CLASSNAMEHEADERS,0))),(IF("03"=(INDEX(ALLCLASSDATA,MATCH("SimpleLimitedMaster",CLASSFEATUREHEADERS,0),MATCH($A1970,CLASSNAMEHEADERS,0))),(INDEX(ALLCLASSDATA,MATCH("SimpleLimitedMaster",CLASSFEATUREHEADERS,0),MATCH(($A1970 &amp; "Points"),CLASSNAMEHEADERS,0))),(IF("03"=(INDEX(ALLCLASSDATA,MATCH("SimpleLimitedExpert",CLASSFEATUREHEADERS,0),MATCH($A1970,CLASSNAMEHEADERS,0))),(INDEX(ALLCLASSDATA,MATCH("SimpleLimitedExpert",CLASSFEATUREHEADERS,0),MATCH(($A1970 &amp; "Points"),CLASSNAMEHEADERS,0))),(IF("03"=(INDEX(ALLCLASSDATA,MATCH("SimpleLimitedTrained",CLASSFEATUREHEADERS,0),MATCH($A1970,CLASSNAMEHEADERS,0))),(INDEX(ALLCLASSDATA,MATCH("SimpleLimitedTrained",CLASSFEATUREHEADERS,0),MATCH(($A1970 &amp; "Points"),CLASSNAMEHEADERS,0))),"")))))))))}</f>
        <v>SIMPLELIMITEDL03</v>
      </c>
      <c r="K1969" s="223"/>
      <c r="L1969" s="223" t="str">
        <f t="array" ref="L1969:L1970">{"SIMPLELIMITEDL05";((IF("05"=(INDEX(ALLCLASSDATA,MATCH("SimpleLimitedLegendary",CLASSFEATUREHEADERS,0),MATCH($A1970,CLASSNAMEHEADERS,0))),(INDEX(ALLCLASSDATA,MATCH("SimpleLimitedLegendary",CLASSFEATUREHEADERS,0),MATCH(($A1970 &amp; "Points"),CLASSNAMEHEADERS,0))),(IF("05"=(INDEX(ALLCLASSDATA,MATCH("SimpleLimitedMaster",CLASSFEATUREHEADERS,0),MATCH($A1970,CLASSNAMEHEADERS,0))),(INDEX(ALLCLASSDATA,MATCH("SimpleLimitedMaster",CLASSFEATUREHEADERS,0),MATCH(($A1970 &amp; "Points"),CLASSNAMEHEADERS,0))),(IF("05"=(INDEX(ALLCLASSDATA,MATCH("SimpleLimitedExpert",CLASSFEATUREHEADERS,0),MATCH($A1970,CLASSNAMEHEADERS,0))),(INDEX(ALLCLASSDATA,MATCH("SimpleLimitedExpert",CLASSFEATUREHEADERS,0),MATCH(($A1970 &amp; "Points"),CLASSNAMEHEADERS,0))),(IF("05"=(INDEX(ALLCLASSDATA,MATCH("SimpleLimitedTrained",CLASSFEATUREHEADERS,0),MATCH($A1970,CLASSNAMEHEADERS,0))),(INDEX(ALLCLASSDATA,MATCH("SimpleLimitedTrained",CLASSFEATUREHEADERS,0),MATCH(($A1970 &amp; "Points"),CLASSNAMEHEADERS,0))),"")))))))))}</f>
        <v>SIMPLELIMITEDL05</v>
      </c>
      <c r="M1969" s="223"/>
      <c r="N1969" s="223" t="str">
        <f t="array" ref="N1969:N1970">{"SIMPLELIMITEDL07";((IF("07"=(INDEX(ALLCLASSDATA,MATCH("SimpleLimitedLegendary",CLASSFEATUREHEADERS,0),MATCH($A1970,CLASSNAMEHEADERS,0))),(INDEX(ALLCLASSDATA,MATCH("SimpleLimitedLegendary",CLASSFEATUREHEADERS,0),MATCH(($A1970 &amp; "Points"),CLASSNAMEHEADERS,0))),(IF("07"=(INDEX(ALLCLASSDATA,MATCH("SimpleLimitedMaster",CLASSFEATUREHEADERS,0),MATCH($A1970,CLASSNAMEHEADERS,0))),(INDEX(ALLCLASSDATA,MATCH("SimpleLimitedMaster",CLASSFEATUREHEADERS,0),MATCH(($A1970 &amp; "Points"),CLASSNAMEHEADERS,0))),(IF("07"=(INDEX(ALLCLASSDATA,MATCH("SimpleLimitedExpert",CLASSFEATUREHEADERS,0),MATCH($A1970,CLASSNAMEHEADERS,0))),(INDEX(ALLCLASSDATA,MATCH("SimpleLimitedExpert",CLASSFEATUREHEADERS,0),MATCH(($A1970 &amp; "Points"),CLASSNAMEHEADERS,0))),(IF("07"=(INDEX(ALLCLASSDATA,MATCH("SimpleLimitedTrained",CLASSFEATUREHEADERS,0),MATCH($A1970,CLASSNAMEHEADERS,0))),(INDEX(ALLCLASSDATA,MATCH("SimpleLimitedTrained",CLASSFEATUREHEADERS,0),MATCH(($A1970 &amp; "Points"),CLASSNAMEHEADERS,0))),"")))))))))}</f>
        <v>SIMPLELIMITEDL07</v>
      </c>
      <c r="O1969" s="223"/>
      <c r="P1969" s="223" t="str">
        <f t="array" ref="P1969:P1970">{"SIMPLELIMITEDL09";((IF("09"=(INDEX(ALLCLASSDATA,MATCH("SimpleLimitedLegendary",CLASSFEATUREHEADERS,0),MATCH($A1970,CLASSNAMEHEADERS,0))),(INDEX(ALLCLASSDATA,MATCH("SimpleLimitedLegendary",CLASSFEATUREHEADERS,0),MATCH(($A1970 &amp; "Points"),CLASSNAMEHEADERS,0))),(IF("09"=(INDEX(ALLCLASSDATA,MATCH("SimpleLimitedMaster",CLASSFEATUREHEADERS,0),MATCH($A1970,CLASSNAMEHEADERS,0))),(INDEX(ALLCLASSDATA,MATCH("SimpleLimitedMaster",CLASSFEATUREHEADERS,0),MATCH(($A1970 &amp; "Points"),CLASSNAMEHEADERS,0))),(IF("09"=(INDEX(ALLCLASSDATA,MATCH("SimpleLimitedExpert",CLASSFEATUREHEADERS,0),MATCH($A1970,CLASSNAMEHEADERS,0))),(INDEX(ALLCLASSDATA,MATCH("SimpleLimitedExpert",CLASSFEATUREHEADERS,0),MATCH(($A1970 &amp; "Points"),CLASSNAMEHEADERS,0))),(IF("09"=(INDEX(ALLCLASSDATA,MATCH("SimpleLimitedTrained",CLASSFEATUREHEADERS,0),MATCH($A1970,CLASSNAMEHEADERS,0))),(INDEX(ALLCLASSDATA,MATCH("SimpleLimitedTrained",CLASSFEATUREHEADERS,0),MATCH(($A1970 &amp; "Points"),CLASSNAMEHEADERS,0))),"")))))))))}</f>
        <v>SIMPLELIMITEDL09</v>
      </c>
      <c r="Q1969" s="223"/>
      <c r="R1969" s="223" t="str">
        <f t="array" ref="R1969:R1970">{"SIMPLELIMITEDL11";((IF("11"=(INDEX(ALLCLASSDATA,MATCH("SimpleLimitedLegendary",CLASSFEATUREHEADERS,0),MATCH($A1970,CLASSNAMEHEADERS,0))),(INDEX(ALLCLASSDATA,MATCH("SimpleLimitedLegendary",CLASSFEATUREHEADERS,0),MATCH(($A1970 &amp; "Points"),CLASSNAMEHEADERS,0))),(IF("11"=(INDEX(ALLCLASSDATA,MATCH("SimpleLimitedMaster",CLASSFEATUREHEADERS,0),MATCH($A1970,CLASSNAMEHEADERS,0))),(INDEX(ALLCLASSDATA,MATCH("SimpleLimitedMaster",CLASSFEATUREHEADERS,0),MATCH(($A1970 &amp; "Points"),CLASSNAMEHEADERS,0))),(IF("11"=(INDEX(ALLCLASSDATA,MATCH("SimpleLimitedExpert",CLASSFEATUREHEADERS,0),MATCH($A1970,CLASSNAMEHEADERS,0))),(INDEX(ALLCLASSDATA,MATCH("SimpleLimitedExpert",CLASSFEATUREHEADERS,0),MATCH(($A1970 &amp; "Points"),CLASSNAMEHEADERS,0))),(IF("11"=(INDEX(ALLCLASSDATA,MATCH("SimpleLimitedTrained",CLASSFEATUREHEADERS,0),MATCH($A1970,CLASSNAMEHEADERS,0))),(INDEX(ALLCLASSDATA,MATCH("SimpleLimitedTrained",CLASSFEATUREHEADERS,0),MATCH(($A1970 &amp; "Points"),CLASSNAMEHEADERS,0))),"")))))))))}</f>
        <v>SIMPLELIMITEDL11</v>
      </c>
      <c r="S1969" s="223"/>
      <c r="T1969" s="223" t="str">
        <f t="array" ref="T1969:T1970">{"SIMPLELIMITEDL13";((IF("13"=(INDEX(ALLCLASSDATA,MATCH("SimpleLimitedLegendary",CLASSFEATUREHEADERS,0),MATCH($A1970,CLASSNAMEHEADERS,0))),(INDEX(ALLCLASSDATA,MATCH("SimpleLimitedLegendary",CLASSFEATUREHEADERS,0),MATCH(($A1970 &amp; "Points"),CLASSNAMEHEADERS,0))),(IF("13"=(INDEX(ALLCLASSDATA,MATCH("SimpleLimitedMaster",CLASSFEATUREHEADERS,0),MATCH($A1970,CLASSNAMEHEADERS,0))),(INDEX(ALLCLASSDATA,MATCH("SimpleLimitedMaster",CLASSFEATUREHEADERS,0),MATCH(($A1970 &amp; "Points"),CLASSNAMEHEADERS,0))),(IF("13"=(INDEX(ALLCLASSDATA,MATCH("SimpleLimitedExpert",CLASSFEATUREHEADERS,0),MATCH($A1970,CLASSNAMEHEADERS,0))),(INDEX(ALLCLASSDATA,MATCH("SimpleLimitedExpert",CLASSFEATUREHEADERS,0),MATCH(($A1970 &amp; "Points"),CLASSNAMEHEADERS,0))),(IF("13"=(INDEX(ALLCLASSDATA,MATCH("SimpleLimitedTrained",CLASSFEATUREHEADERS,0),MATCH($A1970,CLASSNAMEHEADERS,0))),(INDEX(ALLCLASSDATA,MATCH("SimpleLimitedTrained",CLASSFEATUREHEADERS,0),MATCH(($A1970 &amp; "Points"),CLASSNAMEHEADERS,0))),"")))))))))}</f>
        <v>SIMPLELIMITEDL13</v>
      </c>
      <c r="U1969" s="223"/>
      <c r="V1969" s="223" t="str">
        <f t="array" ref="V1969:V1970">{"SIMPLELIMITEDL15";((IF("15"=(INDEX(ALLCLASSDATA,MATCH("SimpleLimitedLegendary",CLASSFEATUREHEADERS,0),MATCH($A1970,CLASSNAMEHEADERS,0))),(INDEX(ALLCLASSDATA,MATCH("SimpleLimitedLegendary",CLASSFEATUREHEADERS,0),MATCH(($A1970 &amp; "Points"),CLASSNAMEHEADERS,0))),(IF("15"=(INDEX(ALLCLASSDATA,MATCH("SimpleLimitedMaster",CLASSFEATUREHEADERS,0),MATCH($A1970,CLASSNAMEHEADERS,0))),(INDEX(ALLCLASSDATA,MATCH("SimpleLimitedMaster",CLASSFEATUREHEADERS,0),MATCH(($A1970 &amp; "Points"),CLASSNAMEHEADERS,0))),(IF("15"=(INDEX(ALLCLASSDATA,MATCH("SimpleLimitedExpert",CLASSFEATUREHEADERS,0),MATCH($A1970,CLASSNAMEHEADERS,0))),(INDEX(ALLCLASSDATA,MATCH("SimpleLimitedExpert",CLASSFEATUREHEADERS,0),MATCH(($A1970 &amp; "Points"),CLASSNAMEHEADERS,0))),(IF("15"=(INDEX(ALLCLASSDATA,MATCH("SimpleLimitedTrained",CLASSFEATUREHEADERS,0),MATCH($A1970,CLASSNAMEHEADERS,0))),(INDEX(ALLCLASSDATA,MATCH("SimpleLimitedTrained",CLASSFEATUREHEADERS,0),MATCH(($A1970 &amp; "Points"),CLASSNAMEHEADERS,0))),"")))))))))}</f>
        <v>SIMPLELIMITEDL15</v>
      </c>
      <c r="W1969" s="223"/>
      <c r="X1969" s="223" t="str">
        <f t="array" ref="X1969:X1970">{"SIMPLELIMITEDL17";((IF("17"=(INDEX(ALLCLASSDATA,MATCH("SimpleLimitedLegendary",CLASSFEATUREHEADERS,0),MATCH($A1970,CLASSNAMEHEADERS,0))),(INDEX(ALLCLASSDATA,MATCH("SimpleLimitedLegendary",CLASSFEATUREHEADERS,0),MATCH(($A1970 &amp; "Points"),CLASSNAMEHEADERS,0))),(IF("17"=(INDEX(ALLCLASSDATA,MATCH("SimpleLimitedMaster",CLASSFEATUREHEADERS,0),MATCH($A1970,CLASSNAMEHEADERS,0))),(INDEX(ALLCLASSDATA,MATCH("SimpleLimitedMaster",CLASSFEATUREHEADERS,0),MATCH(($A1970 &amp; "Points"),CLASSNAMEHEADERS,0))),(IF("17"=(INDEX(ALLCLASSDATA,MATCH("SimpleLimitedExpert",CLASSFEATUREHEADERS,0),MATCH($A1970,CLASSNAMEHEADERS,0))),(INDEX(ALLCLASSDATA,MATCH("SimpleLimitedExpert",CLASSFEATUREHEADERS,0),MATCH(($A1970 &amp; "Points"),CLASSNAMEHEADERS,0))),(IF("17"=(INDEX(ALLCLASSDATA,MATCH("SimpleLimitedTrained",CLASSFEATUREHEADERS,0),MATCH($A1970,CLASSNAMEHEADERS,0))),(INDEX(ALLCLASSDATA,MATCH("SimpleLimitedTrained",CLASSFEATUREHEADERS,0),MATCH(($A1970 &amp; "Points"),CLASSNAMEHEADERS,0))),"")))))))))}</f>
        <v>SIMPLELIMITEDL17</v>
      </c>
      <c r="Y1969" s="223"/>
      <c r="Z1969" s="223" t="str">
        <f t="array" ref="Z1969:Z1970">{"SIMPLELIMITEDL19";((IF("19"=(INDEX(ALLCLASSDATA,MATCH("SimpleLimitedLegendary",CLASSFEATUREHEADERS,0),MATCH($A1970,CLASSNAMEHEADERS,0))),(INDEX(ALLCLASSDATA,MATCH("SimpleLimitedLegendary",CLASSFEATUREHEADERS,0),MATCH(($A1970 &amp; "Points"),CLASSNAMEHEADERS,0))),(IF("19"=(INDEX(ALLCLASSDATA,MATCH("SimpleLimitedMaster",CLASSFEATUREHEADERS,0),MATCH($A1970,CLASSNAMEHEADERS,0))),(INDEX(ALLCLASSDATA,MATCH("SimpleLimitedMaster",CLASSFEATUREHEADERS,0),MATCH(($A1970 &amp; "Points"),CLASSNAMEHEADERS,0))),(IF("19"=(INDEX(ALLCLASSDATA,MATCH("SimpleLimitedExpert",CLASSFEATUREHEADERS,0),MATCH($A1970,CLASSNAMEHEADERS,0))),(INDEX(ALLCLASSDATA,MATCH("SimpleLimitedExpert",CLASSFEATUREHEADERS,0),MATCH(($A1970 &amp; "Points"),CLASSNAMEHEADERS,0))),(IF("19"=(INDEX(ALLCLASSDATA,MATCH("SimpleLimitedTrained",CLASSFEATUREHEADERS,0),MATCH($A1970,CLASSNAMEHEADERS,0))),(INDEX(ALLCLASSDATA,MATCH("SimpleLimitedTrained",CLASSFEATUREHEADERS,0),MATCH(($A1970 &amp; "Points"),CLASSNAMEHEADERS,0))),"")))))))))}</f>
        <v>SIMPLELIMITEDL19</v>
      </c>
      <c r="AA1969" s="223"/>
      <c r="AB1969" s="76" t="str">
        <f t="array" ref="AB1969:AB1970">{"SIMPLELIMITED TOTAL";(IF(COUNTBLANK(G1970:AA1970)=17,"L",(IF(COUNTBLANK(G1970:AA1970)=18,"M",(IF(COUNTBLANK(G1970:AA1970)=19,"E",(IF(COUNTBLANK(G1970:AA1970)=20,"T",""))))))))}</f>
        <v>SIMPLELIMITED TOTAL</v>
      </c>
      <c r="AC1969" s="76" t="str">
        <f t="array" ref="AC1969:AC1970">{"SIMPLELIMITED TOTAL";(sum(G1970:AA1970))}</f>
        <v>SIMPLELIMITED TOTAL</v>
      </c>
    </row>
    <row r="1970">
      <c r="A1970" s="48" t="s">
        <v>231</v>
      </c>
      <c r="B1970" s="48"/>
      <c r="C1970" s="48" t="s">
        <v>418</v>
      </c>
      <c r="D1970" s="48" t="s">
        <v>1634</v>
      </c>
      <c r="E1970" s="48" t="s">
        <v>599</v>
      </c>
      <c r="F1970" s="5" t="s">
        <v>603</v>
      </c>
      <c r="G1970" s="47" t="s">
        <v>603</v>
      </c>
      <c r="H1970" s="5" t="s">
        <v>603</v>
      </c>
      <c r="I1970" s="5"/>
      <c r="J1970" s="5" t="s">
        <v>603</v>
      </c>
      <c r="K1970" s="5"/>
      <c r="L1970" s="5" t="s">
        <v>603</v>
      </c>
      <c r="M1970" s="5"/>
      <c r="N1970" s="5" t="s">
        <v>603</v>
      </c>
      <c r="O1970" s="5"/>
      <c r="P1970" s="5" t="s">
        <v>603</v>
      </c>
      <c r="Q1970" s="5"/>
      <c r="R1970" s="5" t="s">
        <v>603</v>
      </c>
      <c r="S1970" s="5"/>
      <c r="T1970" s="5" t="s">
        <v>603</v>
      </c>
      <c r="U1970" s="5"/>
      <c r="V1970" s="5" t="s">
        <v>603</v>
      </c>
      <c r="W1970" s="5"/>
      <c r="X1970" s="5" t="s">
        <v>603</v>
      </c>
      <c r="Y1970" s="5"/>
      <c r="Z1970" s="5" t="s">
        <v>603</v>
      </c>
      <c r="AA1970" s="5"/>
      <c r="AB1970" s="5" t="s">
        <v>603</v>
      </c>
      <c r="AC1970" s="47">
        <v>0.0</v>
      </c>
    </row>
    <row r="1971" hidden="1">
      <c r="A1971" s="222" t="str">
        <f t="array" ref="A1971:A1972">{"FormulaRow29";(INDEX(CLASSLIST,A1914,1))}</f>
        <v>FormulaRow29</v>
      </c>
      <c r="B1971" s="77" t="s">
        <v>236</v>
      </c>
      <c r="C1971" s="222" t="str">
        <f t="array" ref="C1971:C1972">{"CLASSTYPE";((INDEX(ALLCLASSDATA,MATCH("ClassType",CLASSFEATUREHEADERS,0),MATCH($A1972,CLASSNAMEHEADERS,0))))}</f>
        <v>CLASSTYPE</v>
      </c>
      <c r="D1971" s="222" t="str">
        <f t="array" ref="D1971:D1972">{"ATTACK";"Attack"}</f>
        <v>ATTACK</v>
      </c>
      <c r="E1971" s="222" t="str">
        <f t="array" ref="E1971:E1972">{"SIMPLE";"Simple"}</f>
        <v>SIMPLE</v>
      </c>
      <c r="F1971" s="223" t="str">
        <f t="array" ref="F1971:F1972">{"SIMPLEINITIAL";((IF(H1972=10,"T",(IF(H1972=50,"E","")))))}</f>
        <v>SIMPLEINITIAL</v>
      </c>
      <c r="G1971" s="223" t="str">
        <f t="array" ref="G1971:G1972">{"SIMPLEINITIALPTS";((IF("00"=(INDEX(ALLCLASSDATA,MATCH("SimpleLegendary",CLASSFEATUREHEADERS,0),MATCH($A1972,CLASSNAMEHEADERS,0))),(INDEX(ALLCLASSDATA,MATCH("SimpleLegendary",CLASSFEATUREHEADERS,0),MATCH(($A1972 &amp; "Points"),CLASSNAMEHEADERS,0))),(IF("00"=(INDEX(ALLCLASSDATA,MATCH("SimpleMaster",CLASSFEATUREHEADERS,0),MATCH($A1972,CLASSNAMEHEADERS,0))),(INDEX(ALLCLASSDATA,MATCH("SimpleMaster",CLASSFEATUREHEADERS,0),MATCH(($A1972 &amp; "Points"),CLASSNAMEHEADERS,0))),(IF("00"=(INDEX(ALLCLASSDATA,MATCH("SimpleExpert",CLASSFEATUREHEADERS,0),MATCH($A1972,CLASSNAMEHEADERS,0))),(INDEX(ALLCLASSDATA,MATCH("SimpleExpert",CLASSFEATUREHEADERS,0),MATCH(($A1972 &amp; "Points"),CLASSNAMEHEADERS,0))),(IF("00"=(INDEX(ALLCLASSDATA,MATCH("SimpleTrained",CLASSFEATUREHEADERS,0),MATCH($A1972,CLASSNAMEHEADERS,0))),(INDEX(ALLCLASSDATA,MATCH("SimpleTrained",CLASSFEATUREHEADERS,0),MATCH(($A1972 &amp; "Points"),CLASSNAMEHEADERS,0))),"")))))))))}</f>
        <v>SIMPLEINITIALPTS</v>
      </c>
      <c r="H1971" s="223" t="str">
        <f t="array" ref="H1971:H1972">{"SIMPLEL01";((IF("01"=(INDEX(ALLCLASSDATA,MATCH("SimpleLegendary",CLASSFEATUREHEADERS,0),MATCH($A1972,CLASSNAMEHEADERS,0))),(INDEX(ALLCLASSDATA,MATCH("SimpleLegendary",CLASSFEATUREHEADERS,0),MATCH(($A1972 &amp; "Points"),CLASSNAMEHEADERS,0))),(IF("01"=(INDEX(ALLCLASSDATA,MATCH("SimpleMaster",CLASSFEATUREHEADERS,0),MATCH($A1972,CLASSNAMEHEADERS,0))),(INDEX(ALLCLASSDATA,MATCH("SimpleMaster",CLASSFEATUREHEADERS,0),MATCH(($A1972 &amp; "Points"),CLASSNAMEHEADERS,0))),(IF("01"=(INDEX(ALLCLASSDATA,MATCH("SimpleExpert",CLASSFEATUREHEADERS,0),MATCH($A1972,CLASSNAMEHEADERS,0))),(INDEX(ALLCLASSDATA,MATCH("SimpleExpert",CLASSFEATUREHEADERS,0),MATCH(($A1972 &amp; "Points"),CLASSNAMEHEADERS,0))),(IF("01"=(INDEX(ALLCLASSDATA,MATCH("SimpleTrained",CLASSFEATUREHEADERS,0),MATCH($A1972,CLASSNAMEHEADERS,0))),(INDEX(ALLCLASSDATA,MATCH("SimpleTrained",CLASSFEATUREHEADERS,0),MATCH(($A1972 &amp; "Points"),CLASSNAMEHEADERS,0))),"")))))))))}</f>
        <v>SIMPLEL01</v>
      </c>
      <c r="I1971" s="223"/>
      <c r="J1971" s="223" t="str">
        <f t="array" ref="J1971:J1972">{"SIMPLEL03";((IF("03"=(INDEX(ALLCLASSDATA,MATCH("SimpleLegendary",CLASSFEATUREHEADERS,0),MATCH($A1972,CLASSNAMEHEADERS,0))),(INDEX(ALLCLASSDATA,MATCH("SimpleLegendary",CLASSFEATUREHEADERS,0),MATCH(($A1972 &amp; "Points"),CLASSNAMEHEADERS,0))),(IF("03"=(INDEX(ALLCLASSDATA,MATCH("SimpleMaster",CLASSFEATUREHEADERS,0),MATCH($A1972,CLASSNAMEHEADERS,0))),(INDEX(ALLCLASSDATA,MATCH("SimpleMaster",CLASSFEATUREHEADERS,0),MATCH(($A1972 &amp; "Points"),CLASSNAMEHEADERS,0))),(IF("03"=(INDEX(ALLCLASSDATA,MATCH("SimpleExpert",CLASSFEATUREHEADERS,0),MATCH($A1972,CLASSNAMEHEADERS,0))),(INDEX(ALLCLASSDATA,MATCH("SimpleExpert",CLASSFEATUREHEADERS,0),MATCH(($A1972 &amp; "Points"),CLASSNAMEHEADERS,0))),(IF("03"=(INDEX(ALLCLASSDATA,MATCH("SimpleTrained",CLASSFEATUREHEADERS,0),MATCH($A1972,CLASSNAMEHEADERS,0))),(INDEX(ALLCLASSDATA,MATCH("SimpleTrained",CLASSFEATUREHEADERS,0),MATCH(($A1972 &amp; "Points"),CLASSNAMEHEADERS,0))),"")))))))))}</f>
        <v>SIMPLEL03</v>
      </c>
      <c r="K1971" s="223"/>
      <c r="L1971" s="223" t="str">
        <f t="array" ref="L1971:L1972">{"SIMPLEL05";((IF("05"=(INDEX(ALLCLASSDATA,MATCH("SimpleLegendary",CLASSFEATUREHEADERS,0),MATCH($A1972,CLASSNAMEHEADERS,0))),(INDEX(ALLCLASSDATA,MATCH("SimpleLegendary",CLASSFEATUREHEADERS,0),MATCH(($A1972 &amp; "Points"),CLASSNAMEHEADERS,0))),(IF("05"=(INDEX(ALLCLASSDATA,MATCH("SimpleMaster",CLASSFEATUREHEADERS,0),MATCH($A1972,CLASSNAMEHEADERS,0))),(INDEX(ALLCLASSDATA,MATCH("SimpleMaster",CLASSFEATUREHEADERS,0),MATCH(($A1972 &amp; "Points"),CLASSNAMEHEADERS,0))),(IF("05"=(INDEX(ALLCLASSDATA,MATCH("SimpleExpert",CLASSFEATUREHEADERS,0),MATCH($A1972,CLASSNAMEHEADERS,0))),(INDEX(ALLCLASSDATA,MATCH("SimpleExpert",CLASSFEATUREHEADERS,0),MATCH(($A1972 &amp; "Points"),CLASSNAMEHEADERS,0))),(IF("05"=(INDEX(ALLCLASSDATA,MATCH("SimpleTrained",CLASSFEATUREHEADERS,0),MATCH($A1972,CLASSNAMEHEADERS,0))),(INDEX(ALLCLASSDATA,MATCH("SimpleTrained",CLASSFEATUREHEADERS,0),MATCH(($A1972 &amp; "Points"),CLASSNAMEHEADERS,0))),"")))))))))}</f>
        <v>SIMPLEL05</v>
      </c>
      <c r="M1971" s="223"/>
      <c r="N1971" s="223" t="str">
        <f t="array" ref="N1971:N1972">{"SIMPLEL07";((IF("07"=(INDEX(ALLCLASSDATA,MATCH("SimpleLegendary",CLASSFEATUREHEADERS,0),MATCH($A1972,CLASSNAMEHEADERS,0))),(INDEX(ALLCLASSDATA,MATCH("SimpleLegendary",CLASSFEATUREHEADERS,0),MATCH(($A1972 &amp; "Points"),CLASSNAMEHEADERS,0))),(IF("07"=(INDEX(ALLCLASSDATA,MATCH("SimpleMaster",CLASSFEATUREHEADERS,0),MATCH($A1972,CLASSNAMEHEADERS,0))),(INDEX(ALLCLASSDATA,MATCH("SimpleMaster",CLASSFEATUREHEADERS,0),MATCH(($A1972 &amp; "Points"),CLASSNAMEHEADERS,0))),(IF("07"=(INDEX(ALLCLASSDATA,MATCH("SimpleExpert",CLASSFEATUREHEADERS,0),MATCH($A1972,CLASSNAMEHEADERS,0))),(INDEX(ALLCLASSDATA,MATCH("SimpleExpert",CLASSFEATUREHEADERS,0),MATCH(($A1972 &amp; "Points"),CLASSNAMEHEADERS,0))),(IF("07"=(INDEX(ALLCLASSDATA,MATCH("SimpleTrained",CLASSFEATUREHEADERS,0),MATCH($A1972,CLASSNAMEHEADERS,0))),(INDEX(ALLCLASSDATA,MATCH("SimpleTrained",CLASSFEATUREHEADERS,0),MATCH(($A1972 &amp; "Points"),CLASSNAMEHEADERS,0))),"")))))))))}</f>
        <v>SIMPLEL07</v>
      </c>
      <c r="O1971" s="223"/>
      <c r="P1971" s="223" t="str">
        <f t="array" ref="P1971:P1972">{"SIMPLEL09";((IF("09"=(INDEX(ALLCLASSDATA,MATCH("SimpleLegendary",CLASSFEATUREHEADERS,0),MATCH($A1972,CLASSNAMEHEADERS,0))),(INDEX(ALLCLASSDATA,MATCH("SimpleLegendary",CLASSFEATUREHEADERS,0),MATCH(($A1972 &amp; "Points"),CLASSNAMEHEADERS,0))),(IF("09"=(INDEX(ALLCLASSDATA,MATCH("SimpleMaster",CLASSFEATUREHEADERS,0),MATCH($A1972,CLASSNAMEHEADERS,0))),(INDEX(ALLCLASSDATA,MATCH("SimpleMaster",CLASSFEATUREHEADERS,0),MATCH(($A1972 &amp; "Points"),CLASSNAMEHEADERS,0))),(IF("09"=(INDEX(ALLCLASSDATA,MATCH("SimpleExpert",CLASSFEATUREHEADERS,0),MATCH($A1972,CLASSNAMEHEADERS,0))),(INDEX(ALLCLASSDATA,MATCH("SimpleExpert",CLASSFEATUREHEADERS,0),MATCH(($A1972 &amp; "Points"),CLASSNAMEHEADERS,0))),(IF("09"=(INDEX(ALLCLASSDATA,MATCH("SimpleTrained",CLASSFEATUREHEADERS,0),MATCH($A1972,CLASSNAMEHEADERS,0))),(INDEX(ALLCLASSDATA,MATCH("SimpleTrained",CLASSFEATUREHEADERS,0),MATCH(($A1972 &amp; "Points"),CLASSNAMEHEADERS,0))),"")))))))))}</f>
        <v>SIMPLEL09</v>
      </c>
      <c r="Q1971" s="223"/>
      <c r="R1971" s="223" t="str">
        <f t="array" ref="R1971:R1972">{"SIMPLEL11";((IF("11"=(INDEX(ALLCLASSDATA,MATCH("SimpleLegendary",CLASSFEATUREHEADERS,0),MATCH($A1972,CLASSNAMEHEADERS,0))),(INDEX(ALLCLASSDATA,MATCH("SimpleLegendary",CLASSFEATUREHEADERS,0),MATCH(($A1972 &amp; "Points"),CLASSNAMEHEADERS,0))),(IF("11"=(INDEX(ALLCLASSDATA,MATCH("SimpleMaster",CLASSFEATUREHEADERS,0),MATCH($A1972,CLASSNAMEHEADERS,0))),(INDEX(ALLCLASSDATA,MATCH("SimpleMaster",CLASSFEATUREHEADERS,0),MATCH(($A1972 &amp; "Points"),CLASSNAMEHEADERS,0))),(IF("11"=(INDEX(ALLCLASSDATA,MATCH("SimpleExpert",CLASSFEATUREHEADERS,0),MATCH($A1972,CLASSNAMEHEADERS,0))),(INDEX(ALLCLASSDATA,MATCH("SimpleExpert",CLASSFEATUREHEADERS,0),MATCH(($A1972 &amp; "Points"),CLASSNAMEHEADERS,0))),(IF("11"=(INDEX(ALLCLASSDATA,MATCH("SimpleTrained",CLASSFEATUREHEADERS,0),MATCH($A1972,CLASSNAMEHEADERS,0))),(INDEX(ALLCLASSDATA,MATCH("SimpleTrained",CLASSFEATUREHEADERS,0),MATCH(($A1972 &amp; "Points"),CLASSNAMEHEADERS,0))),"")))))))))}</f>
        <v>SIMPLEL11</v>
      </c>
      <c r="S1971" s="223"/>
      <c r="T1971" s="223" t="str">
        <f t="array" ref="T1971:T1972">{"SIMPLEL13";((IF("13"=(INDEX(ALLCLASSDATA,MATCH("SimpleLegendary",CLASSFEATUREHEADERS,0),MATCH($A1972,CLASSNAMEHEADERS,0))),(INDEX(ALLCLASSDATA,MATCH("SimpleLegendary",CLASSFEATUREHEADERS,0),MATCH(($A1972 &amp; "Points"),CLASSNAMEHEADERS,0))),(IF("13"=(INDEX(ALLCLASSDATA,MATCH("SimpleMaster",CLASSFEATUREHEADERS,0),MATCH($A1972,CLASSNAMEHEADERS,0))),(INDEX(ALLCLASSDATA,MATCH("SimpleMaster",CLASSFEATUREHEADERS,0),MATCH(($A1972 &amp; "Points"),CLASSNAMEHEADERS,0))),(IF("13"=(INDEX(ALLCLASSDATA,MATCH("SimpleExpert",CLASSFEATUREHEADERS,0),MATCH($A1972,CLASSNAMEHEADERS,0))),(INDEX(ALLCLASSDATA,MATCH("SimpleExpert",CLASSFEATUREHEADERS,0),MATCH(($A1972 &amp; "Points"),CLASSNAMEHEADERS,0))),(IF("13"=(INDEX(ALLCLASSDATA,MATCH("SimpleTrained",CLASSFEATUREHEADERS,0),MATCH($A1972,CLASSNAMEHEADERS,0))),(INDEX(ALLCLASSDATA,MATCH("SimpleTrained",CLASSFEATUREHEADERS,0),MATCH(($A1972 &amp; "Points"),CLASSNAMEHEADERS,0))),"")))))))))}</f>
        <v>SIMPLEL13</v>
      </c>
      <c r="U1971" s="223"/>
      <c r="V1971" s="223" t="str">
        <f t="array" ref="V1971:V1972">{"SIMPLEL15";((IF("15"=(INDEX(ALLCLASSDATA,MATCH("SimpleLegendary",CLASSFEATUREHEADERS,0),MATCH($A1972,CLASSNAMEHEADERS,0))),(INDEX(ALLCLASSDATA,MATCH("SimpleLegendary",CLASSFEATUREHEADERS,0),MATCH(($A1972 &amp; "Points"),CLASSNAMEHEADERS,0))),(IF("15"=(INDEX(ALLCLASSDATA,MATCH("SimpleMaster",CLASSFEATUREHEADERS,0),MATCH($A1972,CLASSNAMEHEADERS,0))),(INDEX(ALLCLASSDATA,MATCH("SimpleMaster",CLASSFEATUREHEADERS,0),MATCH(($A1972 &amp; "Points"),CLASSNAMEHEADERS,0))),(IF("15"=(INDEX(ALLCLASSDATA,MATCH("SimpleExpert",CLASSFEATUREHEADERS,0),MATCH($A1972,CLASSNAMEHEADERS,0))),(INDEX(ALLCLASSDATA,MATCH("SimpleExpert",CLASSFEATUREHEADERS,0),MATCH(($A1972 &amp; "Points"),CLASSNAMEHEADERS,0))),(IF("15"=(INDEX(ALLCLASSDATA,MATCH("SimpleTrained",CLASSFEATUREHEADERS,0),MATCH($A1972,CLASSNAMEHEADERS,0))),(INDEX(ALLCLASSDATA,MATCH("SimpleTrained",CLASSFEATUREHEADERS,0),MATCH(($A1972 &amp; "Points"),CLASSNAMEHEADERS,0))),"")))))))))}</f>
        <v>SIMPLEL15</v>
      </c>
      <c r="W1971" s="223"/>
      <c r="X1971" s="223" t="str">
        <f t="array" ref="X1971:X1972">{"SIMPLEL17";((IF("17"=(INDEX(ALLCLASSDATA,MATCH("SimpleLegendary",CLASSFEATUREHEADERS,0),MATCH($A1972,CLASSNAMEHEADERS,0))),(INDEX(ALLCLASSDATA,MATCH("SimpleLegendary",CLASSFEATUREHEADERS,0),MATCH(($A1972 &amp; "Points"),CLASSNAMEHEADERS,0))),(IF("17"=(INDEX(ALLCLASSDATA,MATCH("SimpleMaster",CLASSFEATUREHEADERS,0),MATCH($A1972,CLASSNAMEHEADERS,0))),(INDEX(ALLCLASSDATA,MATCH("SimpleMaster",CLASSFEATUREHEADERS,0),MATCH(($A1972 &amp; "Points"),CLASSNAMEHEADERS,0))),(IF("17"=(INDEX(ALLCLASSDATA,MATCH("SimpleExpert",CLASSFEATUREHEADERS,0),MATCH($A1972,CLASSNAMEHEADERS,0))),(INDEX(ALLCLASSDATA,MATCH("SimpleExpert",CLASSFEATUREHEADERS,0),MATCH(($A1972 &amp; "Points"),CLASSNAMEHEADERS,0))),(IF("17"=(INDEX(ALLCLASSDATA,MATCH("SimpleTrained",CLASSFEATUREHEADERS,0),MATCH($A1972,CLASSNAMEHEADERS,0))),(INDEX(ALLCLASSDATA,MATCH("SimpleTrained",CLASSFEATUREHEADERS,0),MATCH(($A1972 &amp; "Points"),CLASSNAMEHEADERS,0))),"")))))))))}</f>
        <v>SIMPLEL17</v>
      </c>
      <c r="Y1971" s="223"/>
      <c r="Z1971" s="223" t="str">
        <f t="array" ref="Z1971:Z1972">{"SIMPLEL19";((IF("19"=(INDEX(ALLCLASSDATA,MATCH("SimpleLegendary",CLASSFEATUREHEADERS,0),MATCH($A1972,CLASSNAMEHEADERS,0))),(INDEX(ALLCLASSDATA,MATCH("SimpleLegendary",CLASSFEATUREHEADERS,0),MATCH(($A1972 &amp; "Points"),CLASSNAMEHEADERS,0))),(IF("19"=(INDEX(ALLCLASSDATA,MATCH("SimpleMaster",CLASSFEATUREHEADERS,0),MATCH($A1972,CLASSNAMEHEADERS,0))),(INDEX(ALLCLASSDATA,MATCH("SimpleMaster",CLASSFEATUREHEADERS,0),MATCH(($A1972 &amp; "Points"),CLASSNAMEHEADERS,0))),(IF("19"=(INDEX(ALLCLASSDATA,MATCH("SimpleExpert",CLASSFEATUREHEADERS,0),MATCH($A1972,CLASSNAMEHEADERS,0))),(INDEX(ALLCLASSDATA,MATCH("SimpleExpert",CLASSFEATUREHEADERS,0),MATCH(($A1972 &amp; "Points"),CLASSNAMEHEADERS,0))),(IF("19"=(INDEX(ALLCLASSDATA,MATCH("SimpleTrained",CLASSFEATUREHEADERS,0),MATCH($A1972,CLASSNAMEHEADERS,0))),(INDEX(ALLCLASSDATA,MATCH("SimpleTrained",CLASSFEATUREHEADERS,0),MATCH(($A1972 &amp; "Points"),CLASSNAMEHEADERS,0))),"")))))))))}</f>
        <v>SIMPLEL19</v>
      </c>
      <c r="AA1971" s="223"/>
      <c r="AB1971" s="76" t="str">
        <f t="array" ref="AB1971:AB1972">{"SIMPLE TOTAL";(IF(COUNTBLANK(G1972:AA1972)=17,"L",(IF(COUNTBLANK(G1972:AA1972)=18,"M",(IF(COUNTBLANK(G1972:AA1972)=19,"E",(IF(COUNTBLANK(G1972:AA1972)=20,"T",""))))))))}</f>
        <v>SIMPLE TOTAL</v>
      </c>
      <c r="AC1971" s="76" t="str">
        <f t="array" ref="AC1971:AC1972">{"SIMPLE TOTAL";(sum(G1972:AA1972))}</f>
        <v>SIMPLE TOTAL</v>
      </c>
    </row>
    <row r="1972">
      <c r="A1972" s="48" t="s">
        <v>231</v>
      </c>
      <c r="B1972" s="48"/>
      <c r="C1972" s="48" t="s">
        <v>418</v>
      </c>
      <c r="D1972" s="48" t="s">
        <v>1634</v>
      </c>
      <c r="E1972" s="48" t="s">
        <v>68</v>
      </c>
      <c r="F1972" s="5" t="s">
        <v>435</v>
      </c>
      <c r="G1972" s="47" t="s">
        <v>603</v>
      </c>
      <c r="H1972" s="5">
        <v>10.0</v>
      </c>
      <c r="I1972" s="5"/>
      <c r="J1972" s="5" t="s">
        <v>603</v>
      </c>
      <c r="K1972" s="5"/>
      <c r="L1972" s="5" t="s">
        <v>603</v>
      </c>
      <c r="M1972" s="5"/>
      <c r="N1972" s="5" t="s">
        <v>603</v>
      </c>
      <c r="O1972" s="5"/>
      <c r="P1972" s="5" t="s">
        <v>603</v>
      </c>
      <c r="Q1972" s="5"/>
      <c r="R1972" s="5">
        <v>50.0</v>
      </c>
      <c r="S1972" s="5"/>
      <c r="T1972" s="5" t="s">
        <v>603</v>
      </c>
      <c r="U1972" s="5"/>
      <c r="V1972" s="5" t="s">
        <v>603</v>
      </c>
      <c r="W1972" s="5"/>
      <c r="X1972" s="5" t="s">
        <v>603</v>
      </c>
      <c r="Y1972" s="5"/>
      <c r="Z1972" s="5" t="s">
        <v>603</v>
      </c>
      <c r="AA1972" s="5"/>
      <c r="AB1972" s="5" t="s">
        <v>436</v>
      </c>
      <c r="AC1972" s="47">
        <v>60.0</v>
      </c>
    </row>
    <row r="1973" hidden="1">
      <c r="A1973" s="222" t="str">
        <f t="array" ref="A1973:A1974">{"FormulaRow30";(INDEX(CLASSLIST,A1914,1))}</f>
        <v>FormulaRow30</v>
      </c>
      <c r="B1973" s="77" t="s">
        <v>236</v>
      </c>
      <c r="C1973" s="222" t="str">
        <f t="array" ref="C1973:C1974">{"CLASSTYPE";((INDEX(ALLCLASSDATA,MATCH("ClassType",CLASSFEATUREHEADERS,0),MATCH($A1974,CLASSNAMEHEADERS,0))))}</f>
        <v>CLASSTYPE</v>
      </c>
      <c r="D1973" s="222" t="str">
        <f t="array" ref="D1973:D1974">{"ATTACK";"Attack"}</f>
        <v>ATTACK</v>
      </c>
      <c r="E1973" s="222" t="str">
        <f t="array" ref="E1973:E1974">{"MARTIALLIMITED";"MartialLimited"}</f>
        <v>MARTIALLIMITED</v>
      </c>
      <c r="F1973" s="223" t="str">
        <f t="array" ref="F1973:F1974">{"MARTIALLIMITEDINITIAL";((IF(H1974=10,"T",(IF(H1974=50,"E","")))))}</f>
        <v>MARTIALLIMITEDINITIAL</v>
      </c>
      <c r="G1973" s="223" t="str">
        <f t="array" ref="G1973:G1974">{"MARTIALLIMITEDINITIALPTS";((IF("00"=(INDEX(ALLCLASSDATA,MATCH("MartialLimitedLegendary",CLASSFEATUREHEADERS,0),MATCH($A1974,CLASSNAMEHEADERS,0))),(INDEX(ALLCLASSDATA,MATCH("MartialLimitedLegendary",CLASSFEATUREHEADERS,0),MATCH(($A1974 &amp; "Points"),CLASSNAMEHEADERS,0))),(IF("00"=(INDEX(ALLCLASSDATA,MATCH("MartialLimitedMaster",CLASSFEATUREHEADERS,0),MATCH($A1974,CLASSNAMEHEADERS,0))),(INDEX(ALLCLASSDATA,MATCH("MartialLimitedMaster",CLASSFEATUREHEADERS,0),MATCH(($A1974 &amp; "Points"),CLASSNAMEHEADERS,0))),(IF("00"=(INDEX(ALLCLASSDATA,MATCH("MartialLimitedExpert",CLASSFEATUREHEADERS,0),MATCH($A1974,CLASSNAMEHEADERS,0))),(INDEX(ALLCLASSDATA,MATCH("MartialLimitedExpert",CLASSFEATUREHEADERS,0),MATCH(($A1974 &amp; "Points"),CLASSNAMEHEADERS,0))),(IF("00"=(INDEX(ALLCLASSDATA,MATCH("MartialLimitedTrained",CLASSFEATUREHEADERS,0),MATCH($A1974,CLASSNAMEHEADERS,0))),(INDEX(ALLCLASSDATA,MATCH("MartialLimitedTrained",CLASSFEATUREHEADERS,0),MATCH(($A1974 &amp; "Points"),CLASSNAMEHEADERS,0))),"")))))))))}</f>
        <v>MARTIALLIMITEDINITIALPTS</v>
      </c>
      <c r="H1973" s="223" t="str">
        <f t="array" ref="H1973:H1974">{"MARTIALLIMITEDL01";((IF("01"=(INDEX(ALLCLASSDATA,MATCH("MartialLimitedLegendary",CLASSFEATUREHEADERS,0),MATCH($A1974,CLASSNAMEHEADERS,0))),(INDEX(ALLCLASSDATA,MATCH("MartialLimitedLegendary",CLASSFEATUREHEADERS,0),MATCH(($A1974 &amp; "Points"),CLASSNAMEHEADERS,0))),(IF("01"=(INDEX(ALLCLASSDATA,MATCH("MartialLimitedMaster",CLASSFEATUREHEADERS,0),MATCH($A1974,CLASSNAMEHEADERS,0))),(INDEX(ALLCLASSDATA,MATCH("MartialLimitedMaster",CLASSFEATUREHEADERS,0),MATCH(($A1974 &amp; "Points"),CLASSNAMEHEADERS,0))),(IF("01"=(INDEX(ALLCLASSDATA,MATCH("MartialLimitedExpert",CLASSFEATUREHEADERS,0),MATCH($A1974,CLASSNAMEHEADERS,0))),(INDEX(ALLCLASSDATA,MATCH("MartialLimitedExpert",CLASSFEATUREHEADERS,0),MATCH(($A1974 &amp; "Points"),CLASSNAMEHEADERS,0))),(IF("01"=(INDEX(ALLCLASSDATA,MATCH("MartialLimitedTrained",CLASSFEATUREHEADERS,0),MATCH($A1974,CLASSNAMEHEADERS,0))),(INDEX(ALLCLASSDATA,MATCH("MartialLimitedTrained",CLASSFEATUREHEADERS,0),MATCH(($A1974 &amp; "Points"),CLASSNAMEHEADERS,0))),"")))))))))}</f>
        <v>MARTIALLIMITEDL01</v>
      </c>
      <c r="I1973" s="223"/>
      <c r="J1973" s="223" t="str">
        <f t="array" ref="J1973:J1974">{"MARTIALLIMITEDL03";((IF("03"=(INDEX(ALLCLASSDATA,MATCH("MartialLimitedLegendary",CLASSFEATUREHEADERS,0),MATCH($A1974,CLASSNAMEHEADERS,0))),(INDEX(ALLCLASSDATA,MATCH("MartialLimitedLegendary",CLASSFEATUREHEADERS,0),MATCH(($A1974 &amp; "Points"),CLASSNAMEHEADERS,0))),(IF("03"=(INDEX(ALLCLASSDATA,MATCH("MartialLimitedMaster",CLASSFEATUREHEADERS,0),MATCH($A1974,CLASSNAMEHEADERS,0))),(INDEX(ALLCLASSDATA,MATCH("MartialLimitedMaster",CLASSFEATUREHEADERS,0),MATCH(($A1974 &amp; "Points"),CLASSNAMEHEADERS,0))),(IF("03"=(INDEX(ALLCLASSDATA,MATCH("MartialLimitedExpert",CLASSFEATUREHEADERS,0),MATCH($A1974,CLASSNAMEHEADERS,0))),(INDEX(ALLCLASSDATA,MATCH("MartialLimitedExpert",CLASSFEATUREHEADERS,0),MATCH(($A1974 &amp; "Points"),CLASSNAMEHEADERS,0))),(IF("03"=(INDEX(ALLCLASSDATA,MATCH("MartialLimitedTrained",CLASSFEATUREHEADERS,0),MATCH($A1974,CLASSNAMEHEADERS,0))),(INDEX(ALLCLASSDATA,MATCH("MartialLimitedTrained",CLASSFEATUREHEADERS,0),MATCH(($A1974 &amp; "Points"),CLASSNAMEHEADERS,0))),"")))))))))}</f>
        <v>MARTIALLIMITEDL03</v>
      </c>
      <c r="K1973" s="223"/>
      <c r="L1973" s="223" t="str">
        <f t="array" ref="L1973:L1974">{"MARTIALLIMITEDL05";((IF("05"=(INDEX(ALLCLASSDATA,MATCH("MartialLimitedLegendary",CLASSFEATUREHEADERS,0),MATCH($A1974,CLASSNAMEHEADERS,0))),(INDEX(ALLCLASSDATA,MATCH("MartialLimitedLegendary",CLASSFEATUREHEADERS,0),MATCH(($A1974 &amp; "Points"),CLASSNAMEHEADERS,0))),(IF("05"=(INDEX(ALLCLASSDATA,MATCH("MartialLimitedMaster",CLASSFEATUREHEADERS,0),MATCH($A1974,CLASSNAMEHEADERS,0))),(INDEX(ALLCLASSDATA,MATCH("MartialLimitedMaster",CLASSFEATUREHEADERS,0),MATCH(($A1974 &amp; "Points"),CLASSNAMEHEADERS,0))),(IF("05"=(INDEX(ALLCLASSDATA,MATCH("MartialLimitedExpert",CLASSFEATUREHEADERS,0),MATCH($A1974,CLASSNAMEHEADERS,0))),(INDEX(ALLCLASSDATA,MATCH("MartialLimitedExpert",CLASSFEATUREHEADERS,0),MATCH(($A1974 &amp; "Points"),CLASSNAMEHEADERS,0))),(IF("05"=(INDEX(ALLCLASSDATA,MATCH("MartialLimitedTrained",CLASSFEATUREHEADERS,0),MATCH($A1974,CLASSNAMEHEADERS,0))),(INDEX(ALLCLASSDATA,MATCH("MartialLimitedTrained",CLASSFEATUREHEADERS,0),MATCH(($A1974 &amp; "Points"),CLASSNAMEHEADERS,0))),"")))))))))}</f>
        <v>MARTIALLIMITEDL05</v>
      </c>
      <c r="M1973" s="223"/>
      <c r="N1973" s="223" t="str">
        <f t="array" ref="N1973:N1974">{"MARTIALLIMITEDL07";((IF("07"=(INDEX(ALLCLASSDATA,MATCH("MartialLimitedLegendary",CLASSFEATUREHEADERS,0),MATCH($A1974,CLASSNAMEHEADERS,0))),(INDEX(ALLCLASSDATA,MATCH("MartialLimitedLegendary",CLASSFEATUREHEADERS,0),MATCH(($A1974 &amp; "Points"),CLASSNAMEHEADERS,0))),(IF("07"=(INDEX(ALLCLASSDATA,MATCH("MartialLimitedMaster",CLASSFEATUREHEADERS,0),MATCH($A1974,CLASSNAMEHEADERS,0))),(INDEX(ALLCLASSDATA,MATCH("MartialLimitedMaster",CLASSFEATUREHEADERS,0),MATCH(($A1974 &amp; "Points"),CLASSNAMEHEADERS,0))),(IF("07"=(INDEX(ALLCLASSDATA,MATCH("MartialLimitedExpert",CLASSFEATUREHEADERS,0),MATCH($A1974,CLASSNAMEHEADERS,0))),(INDEX(ALLCLASSDATA,MATCH("MartialLimitedExpert",CLASSFEATUREHEADERS,0),MATCH(($A1974 &amp; "Points"),CLASSNAMEHEADERS,0))),(IF("07"=(INDEX(ALLCLASSDATA,MATCH("MartialLimitedTrained",CLASSFEATUREHEADERS,0),MATCH($A1974,CLASSNAMEHEADERS,0))),(INDEX(ALLCLASSDATA,MATCH("MartialLimitedTrained",CLASSFEATUREHEADERS,0),MATCH(($A1974 &amp; "Points"),CLASSNAMEHEADERS,0))),"")))))))))}</f>
        <v>MARTIALLIMITEDL07</v>
      </c>
      <c r="O1973" s="223"/>
      <c r="P1973" s="223" t="str">
        <f t="array" ref="P1973:P1974">{"MARTIALLIMITEDL09";((IF("09"=(INDEX(ALLCLASSDATA,MATCH("MartialLimitedLegendary",CLASSFEATUREHEADERS,0),MATCH($A1974,CLASSNAMEHEADERS,0))),(INDEX(ALLCLASSDATA,MATCH("MartialLimitedLegendary",CLASSFEATUREHEADERS,0),MATCH(($A1974 &amp; "Points"),CLASSNAMEHEADERS,0))),(IF("09"=(INDEX(ALLCLASSDATA,MATCH("MartialLimitedMaster",CLASSFEATUREHEADERS,0),MATCH($A1974,CLASSNAMEHEADERS,0))),(INDEX(ALLCLASSDATA,MATCH("MartialLimitedMaster",CLASSFEATUREHEADERS,0),MATCH(($A1974 &amp; "Points"),CLASSNAMEHEADERS,0))),(IF("09"=(INDEX(ALLCLASSDATA,MATCH("MartialLimitedExpert",CLASSFEATUREHEADERS,0),MATCH($A1974,CLASSNAMEHEADERS,0))),(INDEX(ALLCLASSDATA,MATCH("MartialLimitedExpert",CLASSFEATUREHEADERS,0),MATCH(($A1974 &amp; "Points"),CLASSNAMEHEADERS,0))),(IF("09"=(INDEX(ALLCLASSDATA,MATCH("MartialLimitedTrained",CLASSFEATUREHEADERS,0),MATCH($A1974,CLASSNAMEHEADERS,0))),(INDEX(ALLCLASSDATA,MATCH("MartialLimitedTrained",CLASSFEATUREHEADERS,0),MATCH(($A1974 &amp; "Points"),CLASSNAMEHEADERS,0))),"")))))))))}</f>
        <v>MARTIALLIMITEDL09</v>
      </c>
      <c r="Q1973" s="223"/>
      <c r="R1973" s="223" t="str">
        <f t="array" ref="R1973:R1974">{"MARTIALLIMITEDL11";((IF("11"=(INDEX(ALLCLASSDATA,MATCH("MartialLimitedLegendary",CLASSFEATUREHEADERS,0),MATCH($A1974,CLASSNAMEHEADERS,0))),(INDEX(ALLCLASSDATA,MATCH("MartialLimitedLegendary",CLASSFEATUREHEADERS,0),MATCH(($A1974 &amp; "Points"),CLASSNAMEHEADERS,0))),(IF("11"=(INDEX(ALLCLASSDATA,MATCH("MartialLimitedMaster",CLASSFEATUREHEADERS,0),MATCH($A1974,CLASSNAMEHEADERS,0))),(INDEX(ALLCLASSDATA,MATCH("MartialLimitedMaster",CLASSFEATUREHEADERS,0),MATCH(($A1974 &amp; "Points"),CLASSNAMEHEADERS,0))),(IF("11"=(INDEX(ALLCLASSDATA,MATCH("MartialLimitedExpert",CLASSFEATUREHEADERS,0),MATCH($A1974,CLASSNAMEHEADERS,0))),(INDEX(ALLCLASSDATA,MATCH("MartialLimitedExpert",CLASSFEATUREHEADERS,0),MATCH(($A1974 &amp; "Points"),CLASSNAMEHEADERS,0))),(IF("11"=(INDEX(ALLCLASSDATA,MATCH("MartialLimitedTrained",CLASSFEATUREHEADERS,0),MATCH($A1974,CLASSNAMEHEADERS,0))),(INDEX(ALLCLASSDATA,MATCH("MartialLimitedTrained",CLASSFEATUREHEADERS,0),MATCH(($A1974 &amp; "Points"),CLASSNAMEHEADERS,0))),"")))))))))}</f>
        <v>MARTIALLIMITEDL11</v>
      </c>
      <c r="S1973" s="223"/>
      <c r="T1973" s="223" t="str">
        <f t="array" ref="T1973:T1974">{"MARTIALLIMITEDL13";((IF("13"=(INDEX(ALLCLASSDATA,MATCH("MartialLimitedLegendary",CLASSFEATUREHEADERS,0),MATCH($A1974,CLASSNAMEHEADERS,0))),(INDEX(ALLCLASSDATA,MATCH("MartialLimitedLegendary",CLASSFEATUREHEADERS,0),MATCH(($A1974 &amp; "Points"),CLASSNAMEHEADERS,0))),(IF("13"=(INDEX(ALLCLASSDATA,MATCH("MartialLimitedMaster",CLASSFEATUREHEADERS,0),MATCH($A1974,CLASSNAMEHEADERS,0))),(INDEX(ALLCLASSDATA,MATCH("MartialLimitedMaster",CLASSFEATUREHEADERS,0),MATCH(($A1974 &amp; "Points"),CLASSNAMEHEADERS,0))),(IF("13"=(INDEX(ALLCLASSDATA,MATCH("MartialLimitedExpert",CLASSFEATUREHEADERS,0),MATCH($A1974,CLASSNAMEHEADERS,0))),(INDEX(ALLCLASSDATA,MATCH("MartialLimitedExpert",CLASSFEATUREHEADERS,0),MATCH(($A1974 &amp; "Points"),CLASSNAMEHEADERS,0))),(IF("13"=(INDEX(ALLCLASSDATA,MATCH("MartialLimitedTrained",CLASSFEATUREHEADERS,0),MATCH($A1974,CLASSNAMEHEADERS,0))),(INDEX(ALLCLASSDATA,MATCH("MartialLimitedTrained",CLASSFEATUREHEADERS,0),MATCH(($A1974 &amp; "Points"),CLASSNAMEHEADERS,0))),"")))))))))}</f>
        <v>MARTIALLIMITEDL13</v>
      </c>
      <c r="U1973" s="223"/>
      <c r="V1973" s="223" t="str">
        <f t="array" ref="V1973:V1974">{"MARTIALLIMITEDL15";((IF("15"=(INDEX(ALLCLASSDATA,MATCH("MartialLimitedLegendary",CLASSFEATUREHEADERS,0),MATCH($A1974,CLASSNAMEHEADERS,0))),(INDEX(ALLCLASSDATA,MATCH("MartialLimitedLegendary",CLASSFEATUREHEADERS,0),MATCH(($A1974 &amp; "Points"),CLASSNAMEHEADERS,0))),(IF("15"=(INDEX(ALLCLASSDATA,MATCH("MartialLimitedMaster",CLASSFEATUREHEADERS,0),MATCH($A1974,CLASSNAMEHEADERS,0))),(INDEX(ALLCLASSDATA,MATCH("MartialLimitedMaster",CLASSFEATUREHEADERS,0),MATCH(($A1974 &amp; "Points"),CLASSNAMEHEADERS,0))),(IF("15"=(INDEX(ALLCLASSDATA,MATCH("MartialLimitedExpert",CLASSFEATUREHEADERS,0),MATCH($A1974,CLASSNAMEHEADERS,0))),(INDEX(ALLCLASSDATA,MATCH("MartialLimitedExpert",CLASSFEATUREHEADERS,0),MATCH(($A1974 &amp; "Points"),CLASSNAMEHEADERS,0))),(IF("15"=(INDEX(ALLCLASSDATA,MATCH("MartialLimitedTrained",CLASSFEATUREHEADERS,0),MATCH($A1974,CLASSNAMEHEADERS,0))),(INDEX(ALLCLASSDATA,MATCH("MartialLimitedTrained",CLASSFEATUREHEADERS,0),MATCH(($A1974 &amp; "Points"),CLASSNAMEHEADERS,0))),"")))))))))}</f>
        <v>MARTIALLIMITEDL15</v>
      </c>
      <c r="W1973" s="223"/>
      <c r="X1973" s="223" t="str">
        <f t="array" ref="X1973:X1974">{"MARTIALLIMITEDL17";((IF("17"=(INDEX(ALLCLASSDATA,MATCH("MartialLimitedLegendary",CLASSFEATUREHEADERS,0),MATCH($A1974,CLASSNAMEHEADERS,0))),(INDEX(ALLCLASSDATA,MATCH("MartialLimitedLegendary",CLASSFEATUREHEADERS,0),MATCH(($A1974 &amp; "Points"),CLASSNAMEHEADERS,0))),(IF("17"=(INDEX(ALLCLASSDATA,MATCH("MartialLimitedMaster",CLASSFEATUREHEADERS,0),MATCH($A1974,CLASSNAMEHEADERS,0))),(INDEX(ALLCLASSDATA,MATCH("MartialLimitedMaster",CLASSFEATUREHEADERS,0),MATCH(($A1974 &amp; "Points"),CLASSNAMEHEADERS,0))),(IF("17"=(INDEX(ALLCLASSDATA,MATCH("MartialLimitedExpert",CLASSFEATUREHEADERS,0),MATCH($A1974,CLASSNAMEHEADERS,0))),(INDEX(ALLCLASSDATA,MATCH("MartialLimitedExpert",CLASSFEATUREHEADERS,0),MATCH(($A1974 &amp; "Points"),CLASSNAMEHEADERS,0))),(IF("17"=(INDEX(ALLCLASSDATA,MATCH("MartialLimitedTrained",CLASSFEATUREHEADERS,0),MATCH($A1974,CLASSNAMEHEADERS,0))),(INDEX(ALLCLASSDATA,MATCH("MartialLimitedTrained",CLASSFEATUREHEADERS,0),MATCH(($A1974 &amp; "Points"),CLASSNAMEHEADERS,0))),"")))))))))}</f>
        <v>MARTIALLIMITEDL17</v>
      </c>
      <c r="Y1973" s="223"/>
      <c r="Z1973" s="223" t="str">
        <f t="array" ref="Z1973:Z1974">{"MARTIALLIMITEDL19";((IF("19"=(INDEX(ALLCLASSDATA,MATCH("MartialLimitedLegendary",CLASSFEATUREHEADERS,0),MATCH($A1974,CLASSNAMEHEADERS,0))),(INDEX(ALLCLASSDATA,MATCH("MartialLimitedLegendary",CLASSFEATUREHEADERS,0),MATCH(($A1974 &amp; "Points"),CLASSNAMEHEADERS,0))),(IF("19"=(INDEX(ALLCLASSDATA,MATCH("MartialLimitedMaster",CLASSFEATUREHEADERS,0),MATCH($A1974,CLASSNAMEHEADERS,0))),(INDEX(ALLCLASSDATA,MATCH("MartialLimitedMaster",CLASSFEATUREHEADERS,0),MATCH(($A1974 &amp; "Points"),CLASSNAMEHEADERS,0))),(IF("19"=(INDEX(ALLCLASSDATA,MATCH("MartialLimitedExpert",CLASSFEATUREHEADERS,0),MATCH($A1974,CLASSNAMEHEADERS,0))),(INDEX(ALLCLASSDATA,MATCH("MartialLimitedExpert",CLASSFEATUREHEADERS,0),MATCH(($A1974 &amp; "Points"),CLASSNAMEHEADERS,0))),(IF("19"=(INDEX(ALLCLASSDATA,MATCH("MartialLimitedTrained",CLASSFEATUREHEADERS,0),MATCH($A1974,CLASSNAMEHEADERS,0))),(INDEX(ALLCLASSDATA,MATCH("MartialLimitedTrained",CLASSFEATUREHEADERS,0),MATCH(($A1974 &amp; "Points"),CLASSNAMEHEADERS,0))),"")))))))))}</f>
        <v>MARTIALLIMITEDL19</v>
      </c>
      <c r="AA1973" s="223"/>
      <c r="AB1973" s="76" t="str">
        <f t="array" ref="AB1973:AB1974">{"MARTIALLIMITED TOTAL";(IF(COUNTBLANK(G1974:AA1974)=17,"L",(IF(COUNTBLANK(G1974:AA1974)=18,"M",(IF(COUNTBLANK(G1974:AA1974)=19,"E",(IF(COUNTBLANK(G1974:AA1974)=20,"T",""))))))))}</f>
        <v>MARTIALLIMITED TOTAL</v>
      </c>
      <c r="AC1973" s="76" t="str">
        <f t="array" ref="AC1973:AC1974">{"MARTIALLIMITED TOTAL";(sum(G1974:AA1974))}</f>
        <v>MARTIALLIMITED TOTAL</v>
      </c>
    </row>
    <row r="1974">
      <c r="A1974" s="48" t="s">
        <v>231</v>
      </c>
      <c r="B1974" s="48"/>
      <c r="C1974" s="48" t="s">
        <v>418</v>
      </c>
      <c r="D1974" s="48" t="s">
        <v>1634</v>
      </c>
      <c r="E1974" s="48" t="s">
        <v>600</v>
      </c>
      <c r="F1974" s="5" t="s">
        <v>603</v>
      </c>
      <c r="G1974" s="47" t="s">
        <v>603</v>
      </c>
      <c r="H1974" s="5" t="s">
        <v>603</v>
      </c>
      <c r="I1974" s="5"/>
      <c r="J1974" s="5" t="s">
        <v>603</v>
      </c>
      <c r="K1974" s="5"/>
      <c r="L1974" s="5" t="s">
        <v>603</v>
      </c>
      <c r="M1974" s="5"/>
      <c r="N1974" s="5" t="s">
        <v>603</v>
      </c>
      <c r="O1974" s="5"/>
      <c r="P1974" s="5" t="s">
        <v>603</v>
      </c>
      <c r="Q1974" s="5"/>
      <c r="R1974" s="5" t="s">
        <v>603</v>
      </c>
      <c r="S1974" s="5"/>
      <c r="T1974" s="5" t="s">
        <v>603</v>
      </c>
      <c r="U1974" s="5"/>
      <c r="V1974" s="5" t="s">
        <v>603</v>
      </c>
      <c r="W1974" s="5"/>
      <c r="X1974" s="5" t="s">
        <v>603</v>
      </c>
      <c r="Y1974" s="5"/>
      <c r="Z1974" s="5" t="s">
        <v>603</v>
      </c>
      <c r="AA1974" s="5"/>
      <c r="AB1974" s="5" t="s">
        <v>603</v>
      </c>
      <c r="AC1974" s="47">
        <v>0.0</v>
      </c>
    </row>
    <row r="1975" hidden="1">
      <c r="A1975" s="222" t="str">
        <f t="array" ref="A1975:A1976">{"FormulaRow31";(INDEX(CLASSLIST,A1914,1))}</f>
        <v>FormulaRow31</v>
      </c>
      <c r="B1975" s="77" t="s">
        <v>236</v>
      </c>
      <c r="C1975" s="222" t="str">
        <f t="array" ref="C1975:C1976">{"CLASSTYPE";((INDEX(ALLCLASSDATA,MATCH("ClassType",CLASSFEATUREHEADERS,0),MATCH($A1976,CLASSNAMEHEADERS,0))))}</f>
        <v>CLASSTYPE</v>
      </c>
      <c r="D1975" s="222" t="str">
        <f t="array" ref="D1975:D1976">{"ATTACK";"Attack"}</f>
        <v>ATTACK</v>
      </c>
      <c r="E1975" s="222" t="str">
        <f t="array" ref="E1975:E1976">{"MARTIAL";"Martial"}</f>
        <v>MARTIAL</v>
      </c>
      <c r="F1975" s="223" t="str">
        <f t="array" ref="F1975:F1976">{"MARTIALINITIAL";((IF(H1976=10,"T",(IF(H1976=50,"E","")))))}</f>
        <v>MARTIALINITIAL</v>
      </c>
      <c r="G1975" s="223" t="str">
        <f t="array" ref="G1975:G1976">{"MARTIALINITIALPTS";((IF("00"=(INDEX(ALLCLASSDATA,MATCH("MartialLegendary",CLASSFEATUREHEADERS,0),MATCH($A1976,CLASSNAMEHEADERS,0))),(INDEX(ALLCLASSDATA,MATCH("MartialLegendary",CLASSFEATUREHEADERS,0),MATCH(($A1976 &amp; "Points"),CLASSNAMEHEADERS,0))),(IF("00"=(INDEX(ALLCLASSDATA,MATCH("MartialMaster",CLASSFEATUREHEADERS,0),MATCH($A1976,CLASSNAMEHEADERS,0))),(INDEX(ALLCLASSDATA,MATCH("MartialMaster",CLASSFEATUREHEADERS,0),MATCH(($A1976 &amp; "Points"),CLASSNAMEHEADERS,0))),(IF("00"=(INDEX(ALLCLASSDATA,MATCH("MartialExpert",CLASSFEATUREHEADERS,0),MATCH($A1976,CLASSNAMEHEADERS,0))),(INDEX(ALLCLASSDATA,MATCH("MartialExpert",CLASSFEATUREHEADERS,0),MATCH(($A1976 &amp; "Points"),CLASSNAMEHEADERS,0))),(IF("00"=(INDEX(ALLCLASSDATA,MATCH("MartialTrained",CLASSFEATUREHEADERS,0),MATCH($A1976,CLASSNAMEHEADERS,0))),(INDEX(ALLCLASSDATA,MATCH("MartialTrained",CLASSFEATUREHEADERS,0),MATCH(($A1976 &amp; "Points"),CLASSNAMEHEADERS,0))),"")))))))))}</f>
        <v>MARTIALINITIALPTS</v>
      </c>
      <c r="H1975" s="223" t="str">
        <f t="array" ref="H1975:H1976">{"MARTIALL01";((IF("01"=(INDEX(ALLCLASSDATA,MATCH("MartialLegendary",CLASSFEATUREHEADERS,0),MATCH($A1976,CLASSNAMEHEADERS,0))),(INDEX(ALLCLASSDATA,MATCH("MartialLegendary",CLASSFEATUREHEADERS,0),MATCH(($A1976 &amp; "Points"),CLASSNAMEHEADERS,0))),(IF("01"=(INDEX(ALLCLASSDATA,MATCH("MartialMaster",CLASSFEATUREHEADERS,0),MATCH($A1976,CLASSNAMEHEADERS,0))),(INDEX(ALLCLASSDATA,MATCH("MartialMaster",CLASSFEATUREHEADERS,0),MATCH(($A1976 &amp; "Points"),CLASSNAMEHEADERS,0))),(IF("01"=(INDEX(ALLCLASSDATA,MATCH("MartialExpert",CLASSFEATUREHEADERS,0),MATCH($A1976,CLASSNAMEHEADERS,0))),(INDEX(ALLCLASSDATA,MATCH("MartialExpert",CLASSFEATUREHEADERS,0),MATCH(($A1976 &amp; "Points"),CLASSNAMEHEADERS,0))),(IF("01"=(INDEX(ALLCLASSDATA,MATCH("MartialTrained",CLASSFEATUREHEADERS,0),MATCH($A1976,CLASSNAMEHEADERS,0))),(INDEX(ALLCLASSDATA,MATCH("MartialTrained",CLASSFEATUREHEADERS,0),MATCH(($A1976 &amp; "Points"),CLASSNAMEHEADERS,0))),"")))))))))}</f>
        <v>MARTIALL01</v>
      </c>
      <c r="I1975" s="223"/>
      <c r="J1975" s="223" t="str">
        <f t="array" ref="J1975:J1976">{"MARTIALL03";((IF("03"=(INDEX(ALLCLASSDATA,MATCH("MartialLegendary",CLASSFEATUREHEADERS,0),MATCH($A1976,CLASSNAMEHEADERS,0))),(INDEX(ALLCLASSDATA,MATCH("MartialLegendary",CLASSFEATUREHEADERS,0),MATCH(($A1976 &amp; "Points"),CLASSNAMEHEADERS,0))),(IF("03"=(INDEX(ALLCLASSDATA,MATCH("MartialMaster",CLASSFEATUREHEADERS,0),MATCH($A1976,CLASSNAMEHEADERS,0))),(INDEX(ALLCLASSDATA,MATCH("MartialMaster",CLASSFEATUREHEADERS,0),MATCH(($A1976 &amp; "Points"),CLASSNAMEHEADERS,0))),(IF("03"=(INDEX(ALLCLASSDATA,MATCH("MartialExpert",CLASSFEATUREHEADERS,0),MATCH($A1976,CLASSNAMEHEADERS,0))),(INDEX(ALLCLASSDATA,MATCH("MartialExpert",CLASSFEATUREHEADERS,0),MATCH(($A1976 &amp; "Points"),CLASSNAMEHEADERS,0))),(IF("03"=(INDEX(ALLCLASSDATA,MATCH("MartialTrained",CLASSFEATUREHEADERS,0),MATCH($A1976,CLASSNAMEHEADERS,0))),(INDEX(ALLCLASSDATA,MATCH("MartialTrained",CLASSFEATUREHEADERS,0),MATCH(($A1976 &amp; "Points"),CLASSNAMEHEADERS,0))),"")))))))))}</f>
        <v>MARTIALL03</v>
      </c>
      <c r="K1975" s="223"/>
      <c r="L1975" s="223" t="str">
        <f t="array" ref="L1975:L1976">{"MARTIALL05";((IF("05"=(INDEX(ALLCLASSDATA,MATCH("MartialLegendary",CLASSFEATUREHEADERS,0),MATCH($A1976,CLASSNAMEHEADERS,0))),(INDEX(ALLCLASSDATA,MATCH("MartialLegendary",CLASSFEATUREHEADERS,0),MATCH(($A1976 &amp; "Points"),CLASSNAMEHEADERS,0))),(IF("05"=(INDEX(ALLCLASSDATA,MATCH("MartialMaster",CLASSFEATUREHEADERS,0),MATCH($A1976,CLASSNAMEHEADERS,0))),(INDEX(ALLCLASSDATA,MATCH("MartialMaster",CLASSFEATUREHEADERS,0),MATCH(($A1976 &amp; "Points"),CLASSNAMEHEADERS,0))),(IF("05"=(INDEX(ALLCLASSDATA,MATCH("MartialExpert",CLASSFEATUREHEADERS,0),MATCH($A1976,CLASSNAMEHEADERS,0))),(INDEX(ALLCLASSDATA,MATCH("MartialExpert",CLASSFEATUREHEADERS,0),MATCH(($A1976 &amp; "Points"),CLASSNAMEHEADERS,0))),(IF("05"=(INDEX(ALLCLASSDATA,MATCH("MartialTrained",CLASSFEATUREHEADERS,0),MATCH($A1976,CLASSNAMEHEADERS,0))),(INDEX(ALLCLASSDATA,MATCH("MartialTrained",CLASSFEATUREHEADERS,0),MATCH(($A1976 &amp; "Points"),CLASSNAMEHEADERS,0))),"")))))))))}</f>
        <v>MARTIALL05</v>
      </c>
      <c r="M1975" s="223"/>
      <c r="N1975" s="223" t="str">
        <f t="array" ref="N1975:N1976">{"MARTIALL07";((IF("07"=(INDEX(ALLCLASSDATA,MATCH("MartialLegendary",CLASSFEATUREHEADERS,0),MATCH($A1976,CLASSNAMEHEADERS,0))),(INDEX(ALLCLASSDATA,MATCH("MartialLegendary",CLASSFEATUREHEADERS,0),MATCH(($A1976 &amp; "Points"),CLASSNAMEHEADERS,0))),(IF("07"=(INDEX(ALLCLASSDATA,MATCH("MartialMaster",CLASSFEATUREHEADERS,0),MATCH($A1976,CLASSNAMEHEADERS,0))),(INDEX(ALLCLASSDATA,MATCH("MartialMaster",CLASSFEATUREHEADERS,0),MATCH(($A1976 &amp; "Points"),CLASSNAMEHEADERS,0))),(IF("07"=(INDEX(ALLCLASSDATA,MATCH("MartialExpert",CLASSFEATUREHEADERS,0),MATCH($A1976,CLASSNAMEHEADERS,0))),(INDEX(ALLCLASSDATA,MATCH("MartialExpert",CLASSFEATUREHEADERS,0),MATCH(($A1976 &amp; "Points"),CLASSNAMEHEADERS,0))),(IF("07"=(INDEX(ALLCLASSDATA,MATCH("MartialTrained",CLASSFEATUREHEADERS,0),MATCH($A1976,CLASSNAMEHEADERS,0))),(INDEX(ALLCLASSDATA,MATCH("MartialTrained",CLASSFEATUREHEADERS,0),MATCH(($A1976 &amp; "Points"),CLASSNAMEHEADERS,0))),"")))))))))}</f>
        <v>MARTIALL07</v>
      </c>
      <c r="O1975" s="223"/>
      <c r="P1975" s="223" t="str">
        <f t="array" ref="P1975:P1976">{"MARTIALL09";((IF("09"=(INDEX(ALLCLASSDATA,MATCH("MartialLegendary",CLASSFEATUREHEADERS,0),MATCH($A1976,CLASSNAMEHEADERS,0))),(INDEX(ALLCLASSDATA,MATCH("MartialLegendary",CLASSFEATUREHEADERS,0),MATCH(($A1976 &amp; "Points"),CLASSNAMEHEADERS,0))),(IF("09"=(INDEX(ALLCLASSDATA,MATCH("MartialMaster",CLASSFEATUREHEADERS,0),MATCH($A1976,CLASSNAMEHEADERS,0))),(INDEX(ALLCLASSDATA,MATCH("MartialMaster",CLASSFEATUREHEADERS,0),MATCH(($A1976 &amp; "Points"),CLASSNAMEHEADERS,0))),(IF("09"=(INDEX(ALLCLASSDATA,MATCH("MartialExpert",CLASSFEATUREHEADERS,0),MATCH($A1976,CLASSNAMEHEADERS,0))),(INDEX(ALLCLASSDATA,MATCH("MartialExpert",CLASSFEATUREHEADERS,0),MATCH(($A1976 &amp; "Points"),CLASSNAMEHEADERS,0))),(IF("09"=(INDEX(ALLCLASSDATA,MATCH("MartialTrained",CLASSFEATUREHEADERS,0),MATCH($A1976,CLASSNAMEHEADERS,0))),(INDEX(ALLCLASSDATA,MATCH("MartialTrained",CLASSFEATUREHEADERS,0),MATCH(($A1976 &amp; "Points"),CLASSNAMEHEADERS,0))),"")))))))))}</f>
        <v>MARTIALL09</v>
      </c>
      <c r="Q1975" s="223"/>
      <c r="R1975" s="223" t="str">
        <f t="array" ref="R1975:R1976">{"MARTIALL11";((IF("11"=(INDEX(ALLCLASSDATA,MATCH("MartialLegendary",CLASSFEATUREHEADERS,0),MATCH($A1976,CLASSNAMEHEADERS,0))),(INDEX(ALLCLASSDATA,MATCH("MartialLegendary",CLASSFEATUREHEADERS,0),MATCH(($A1976 &amp; "Points"),CLASSNAMEHEADERS,0))),(IF("11"=(INDEX(ALLCLASSDATA,MATCH("MartialMaster",CLASSFEATUREHEADERS,0),MATCH($A1976,CLASSNAMEHEADERS,0))),(INDEX(ALLCLASSDATA,MATCH("MartialMaster",CLASSFEATUREHEADERS,0),MATCH(($A1976 &amp; "Points"),CLASSNAMEHEADERS,0))),(IF("11"=(INDEX(ALLCLASSDATA,MATCH("MartialExpert",CLASSFEATUREHEADERS,0),MATCH($A1976,CLASSNAMEHEADERS,0))),(INDEX(ALLCLASSDATA,MATCH("MartialExpert",CLASSFEATUREHEADERS,0),MATCH(($A1976 &amp; "Points"),CLASSNAMEHEADERS,0))),(IF("11"=(INDEX(ALLCLASSDATA,MATCH("MartialTrained",CLASSFEATUREHEADERS,0),MATCH($A1976,CLASSNAMEHEADERS,0))),(INDEX(ALLCLASSDATA,MATCH("MartialTrained",CLASSFEATUREHEADERS,0),MATCH(($A1976 &amp; "Points"),CLASSNAMEHEADERS,0))),"")))))))))}</f>
        <v>MARTIALL11</v>
      </c>
      <c r="S1975" s="223"/>
      <c r="T1975" s="223" t="str">
        <f t="array" ref="T1975:T1976">{"MARTIALL13";((IF("13"=(INDEX(ALLCLASSDATA,MATCH("MartialLegendary",CLASSFEATUREHEADERS,0),MATCH($A1976,CLASSNAMEHEADERS,0))),(INDEX(ALLCLASSDATA,MATCH("MartialLegendary",CLASSFEATUREHEADERS,0),MATCH(($A1976 &amp; "Points"),CLASSNAMEHEADERS,0))),(IF("13"=(INDEX(ALLCLASSDATA,MATCH("MartialMaster",CLASSFEATUREHEADERS,0),MATCH($A1976,CLASSNAMEHEADERS,0))),(INDEX(ALLCLASSDATA,MATCH("MartialMaster",CLASSFEATUREHEADERS,0),MATCH(($A1976 &amp; "Points"),CLASSNAMEHEADERS,0))),(IF("13"=(INDEX(ALLCLASSDATA,MATCH("MartialExpert",CLASSFEATUREHEADERS,0),MATCH($A1976,CLASSNAMEHEADERS,0))),(INDEX(ALLCLASSDATA,MATCH("MartialExpert",CLASSFEATUREHEADERS,0),MATCH(($A1976 &amp; "Points"),CLASSNAMEHEADERS,0))),(IF("13"=(INDEX(ALLCLASSDATA,MATCH("MartialTrained",CLASSFEATUREHEADERS,0),MATCH($A1976,CLASSNAMEHEADERS,0))),(INDEX(ALLCLASSDATA,MATCH("MartialTrained",CLASSFEATUREHEADERS,0),MATCH(($A1976 &amp; "Points"),CLASSNAMEHEADERS,0))),"")))))))))}</f>
        <v>MARTIALL13</v>
      </c>
      <c r="U1975" s="223"/>
      <c r="V1975" s="223" t="str">
        <f t="array" ref="V1975:V1976">{"MARTIALL15";((IF("15"=(INDEX(ALLCLASSDATA,MATCH("MartialLegendary",CLASSFEATUREHEADERS,0),MATCH($A1976,CLASSNAMEHEADERS,0))),(INDEX(ALLCLASSDATA,MATCH("MartialLegendary",CLASSFEATUREHEADERS,0),MATCH(($A1976 &amp; "Points"),CLASSNAMEHEADERS,0))),(IF("15"=(INDEX(ALLCLASSDATA,MATCH("MartialMaster",CLASSFEATUREHEADERS,0),MATCH($A1976,CLASSNAMEHEADERS,0))),(INDEX(ALLCLASSDATA,MATCH("MartialMaster",CLASSFEATUREHEADERS,0),MATCH(($A1976 &amp; "Points"),CLASSNAMEHEADERS,0))),(IF("15"=(INDEX(ALLCLASSDATA,MATCH("MartialExpert",CLASSFEATUREHEADERS,0),MATCH($A1976,CLASSNAMEHEADERS,0))),(INDEX(ALLCLASSDATA,MATCH("MartialExpert",CLASSFEATUREHEADERS,0),MATCH(($A1976 &amp; "Points"),CLASSNAMEHEADERS,0))),(IF("15"=(INDEX(ALLCLASSDATA,MATCH("MartialTrained",CLASSFEATUREHEADERS,0),MATCH($A1976,CLASSNAMEHEADERS,0))),(INDEX(ALLCLASSDATA,MATCH("MartialTrained",CLASSFEATUREHEADERS,0),MATCH(($A1976 &amp; "Points"),CLASSNAMEHEADERS,0))),"")))))))))}</f>
        <v>MARTIALL15</v>
      </c>
      <c r="W1975" s="223"/>
      <c r="X1975" s="223" t="str">
        <f t="array" ref="X1975:X1976">{"MARTIALL17";((IF("17"=(INDEX(ALLCLASSDATA,MATCH("MartialLegendary",CLASSFEATUREHEADERS,0),MATCH($A1976,CLASSNAMEHEADERS,0))),(INDEX(ALLCLASSDATA,MATCH("MartialLegendary",CLASSFEATUREHEADERS,0),MATCH(($A1976 &amp; "Points"),CLASSNAMEHEADERS,0))),(IF("17"=(INDEX(ALLCLASSDATA,MATCH("MartialMaster",CLASSFEATUREHEADERS,0),MATCH($A1976,CLASSNAMEHEADERS,0))),(INDEX(ALLCLASSDATA,MATCH("MartialMaster",CLASSFEATUREHEADERS,0),MATCH(($A1976 &amp; "Points"),CLASSNAMEHEADERS,0))),(IF("17"=(INDEX(ALLCLASSDATA,MATCH("MartialExpert",CLASSFEATUREHEADERS,0),MATCH($A1976,CLASSNAMEHEADERS,0))),(INDEX(ALLCLASSDATA,MATCH("MartialExpert",CLASSFEATUREHEADERS,0),MATCH(($A1976 &amp; "Points"),CLASSNAMEHEADERS,0))),(IF("17"=(INDEX(ALLCLASSDATA,MATCH("MartialTrained",CLASSFEATUREHEADERS,0),MATCH($A1976,CLASSNAMEHEADERS,0))),(INDEX(ALLCLASSDATA,MATCH("MartialTrained",CLASSFEATUREHEADERS,0),MATCH(($A1976 &amp; "Points"),CLASSNAMEHEADERS,0))),"")))))))))}</f>
        <v>MARTIALL17</v>
      </c>
      <c r="Y1975" s="223"/>
      <c r="Z1975" s="223" t="str">
        <f t="array" ref="Z1975:Z1976">{"MARTIALL19";((IF("19"=(INDEX(ALLCLASSDATA,MATCH("MartialLegendary",CLASSFEATUREHEADERS,0),MATCH($A1976,CLASSNAMEHEADERS,0))),(INDEX(ALLCLASSDATA,MATCH("MartialLegendary",CLASSFEATUREHEADERS,0),MATCH(($A1976 &amp; "Points"),CLASSNAMEHEADERS,0))),(IF("19"=(INDEX(ALLCLASSDATA,MATCH("MartialMaster",CLASSFEATUREHEADERS,0),MATCH($A1976,CLASSNAMEHEADERS,0))),(INDEX(ALLCLASSDATA,MATCH("MartialMaster",CLASSFEATUREHEADERS,0),MATCH(($A1976 &amp; "Points"),CLASSNAMEHEADERS,0))),(IF("19"=(INDEX(ALLCLASSDATA,MATCH("MartialExpert",CLASSFEATUREHEADERS,0),MATCH($A1976,CLASSNAMEHEADERS,0))),(INDEX(ALLCLASSDATA,MATCH("MartialExpert",CLASSFEATUREHEADERS,0),MATCH(($A1976 &amp; "Points"),CLASSNAMEHEADERS,0))),(IF("19"=(INDEX(ALLCLASSDATA,MATCH("MartialTrained",CLASSFEATUREHEADERS,0),MATCH($A1976,CLASSNAMEHEADERS,0))),(INDEX(ALLCLASSDATA,MATCH("MartialTrained",CLASSFEATUREHEADERS,0),MATCH(($A1976 &amp; "Points"),CLASSNAMEHEADERS,0))),"")))))))))}</f>
        <v>MARTIALL19</v>
      </c>
      <c r="AA1975" s="223"/>
      <c r="AB1975" s="76" t="str">
        <f t="array" ref="AB1975:AB1976">{"MARTIAL TOTAL";(IF(COUNTBLANK(G1976:AA1976)=17,"L",(IF(COUNTBLANK(G1976:AA1976)=18,"M",(IF(COUNTBLANK(G1976:AA1976)=19,"E",(IF(COUNTBLANK(G1976:AA1976)=20,"T",""))))))))}</f>
        <v>MARTIAL TOTAL</v>
      </c>
      <c r="AC1975" s="76" t="str">
        <f t="array" ref="AC1975:AC1976">{"MARTIAL TOTAL";(sum(G1976:AA1976))}</f>
        <v>MARTIAL TOTAL</v>
      </c>
    </row>
    <row r="1976">
      <c r="A1976" s="48" t="s">
        <v>231</v>
      </c>
      <c r="B1976" s="48"/>
      <c r="C1976" s="48" t="s">
        <v>418</v>
      </c>
      <c r="D1976" s="48" t="s">
        <v>1634</v>
      </c>
      <c r="E1976" s="48" t="s">
        <v>6</v>
      </c>
      <c r="F1976" s="5" t="s">
        <v>603</v>
      </c>
      <c r="G1976" s="47" t="s">
        <v>603</v>
      </c>
      <c r="H1976" s="5" t="s">
        <v>603</v>
      </c>
      <c r="I1976" s="5"/>
      <c r="J1976" s="5" t="s">
        <v>603</v>
      </c>
      <c r="K1976" s="5"/>
      <c r="L1976" s="5" t="s">
        <v>603</v>
      </c>
      <c r="M1976" s="5"/>
      <c r="N1976" s="5" t="s">
        <v>603</v>
      </c>
      <c r="O1976" s="5"/>
      <c r="P1976" s="5" t="s">
        <v>603</v>
      </c>
      <c r="Q1976" s="48"/>
      <c r="R1976" s="5" t="s">
        <v>603</v>
      </c>
      <c r="S1976" s="5"/>
      <c r="T1976" s="5" t="s">
        <v>603</v>
      </c>
      <c r="U1976" s="5"/>
      <c r="V1976" s="5" t="s">
        <v>603</v>
      </c>
      <c r="W1976" s="5"/>
      <c r="X1976" s="5" t="s">
        <v>603</v>
      </c>
      <c r="Y1976" s="5"/>
      <c r="Z1976" s="5" t="s">
        <v>603</v>
      </c>
      <c r="AA1976" s="5"/>
      <c r="AB1976" s="5" t="s">
        <v>603</v>
      </c>
      <c r="AC1976" s="47">
        <v>0.0</v>
      </c>
    </row>
    <row r="1977" hidden="1">
      <c r="A1977" s="222" t="str">
        <f t="array" ref="A1977:A1978">{"FormulaRow32";(INDEX(CLASSLIST,A1914,1))}</f>
        <v>FormulaRow32</v>
      </c>
      <c r="B1977" s="77" t="s">
        <v>236</v>
      </c>
      <c r="C1977" s="222" t="str">
        <f t="array" ref="C1977:C1978">{"CLASSTYPE";((INDEX(ALLCLASSDATA,MATCH("ClassType",CLASSFEATUREHEADERS,0),MATCH($A1978,CLASSNAMEHEADERS,0))))}</f>
        <v>CLASSTYPE</v>
      </c>
      <c r="D1977" s="222" t="str">
        <f t="array" ref="D1977:D1978">{"ATTACK";"Attack"}</f>
        <v>ATTACK</v>
      </c>
      <c r="E1977" s="222" t="str">
        <f t="array" ref="E1977:E1978">{"ADVANCEDGROUP";"AdvancedGroup"}</f>
        <v>ADVANCEDGROUP</v>
      </c>
      <c r="F1977" s="223" t="str">
        <f t="array" ref="F1977:F1978">{"ADVANCEDGROUPINITIAL";((IF(H1978=10,"T",(IF(H1978=50,"E","")))))}</f>
        <v>ADVANCEDGROUPINITIAL</v>
      </c>
      <c r="G1977" s="223" t="str">
        <f t="array" ref="G1977:G1978">{"ADVANCEDGROUPINITIALPTS";((IF("00"=(INDEX(ALLCLASSDATA,MATCH("AdvancedGroupLegendary",CLASSFEATUREHEADERS,0),MATCH($A1978,CLASSNAMEHEADERS,0))),(INDEX(ALLCLASSDATA,MATCH("AdvancedGroupLegendary",CLASSFEATUREHEADERS,0),MATCH(($A1978 &amp; "Points"),CLASSNAMEHEADERS,0))),(IF("00"=(INDEX(ALLCLASSDATA,MATCH("AdvancedGroupMaster",CLASSFEATUREHEADERS,0),MATCH($A1978,CLASSNAMEHEADERS,0))),(INDEX(ALLCLASSDATA,MATCH("AdvancedGroupMaster",CLASSFEATUREHEADERS,0),MATCH(($A1978 &amp; "Points"),CLASSNAMEHEADERS,0))),(IF("00"=(INDEX(ALLCLASSDATA,MATCH("AdvancedGroupExpert",CLASSFEATUREHEADERS,0),MATCH($A1978,CLASSNAMEHEADERS,0))),(INDEX(ALLCLASSDATA,MATCH("AdvancedGroupExpert",CLASSFEATUREHEADERS,0),MATCH(($A1978 &amp; "Points"),CLASSNAMEHEADERS,0))),(IF("00"=(INDEX(ALLCLASSDATA,MATCH("AdvancedGroupTrained",CLASSFEATUREHEADERS,0),MATCH($A1978,CLASSNAMEHEADERS,0))),(INDEX(ALLCLASSDATA,MATCH("AdvancedGroupTrained",CLASSFEATUREHEADERS,0),MATCH(($A1978 &amp; "Points"),CLASSNAMEHEADERS,0))),"")))))))))}</f>
        <v>ADVANCEDGROUPINITIALPTS</v>
      </c>
      <c r="H1977" s="223" t="str">
        <f t="array" ref="H1977:H1978">{"ADVANCEDGROUPL01";((IF("01"=(INDEX(ALLCLASSDATA,MATCH("AdvancedGroupLegendary",CLASSFEATUREHEADERS,0),MATCH($A1978,CLASSNAMEHEADERS,0))),(INDEX(ALLCLASSDATA,MATCH("AdvancedGroupLegendary",CLASSFEATUREHEADERS,0),MATCH(($A1978 &amp; "Points"),CLASSNAMEHEADERS,0))),(IF("01"=(INDEX(ALLCLASSDATA,MATCH("AdvancedGroupMaster",CLASSFEATUREHEADERS,0),MATCH($A1978,CLASSNAMEHEADERS,0))),(INDEX(ALLCLASSDATA,MATCH("AdvancedGroupMaster",CLASSFEATUREHEADERS,0),MATCH(($A1978 &amp; "Points"),CLASSNAMEHEADERS,0))),(IF("01"=(INDEX(ALLCLASSDATA,MATCH("AdvancedGroupExpert",CLASSFEATUREHEADERS,0),MATCH($A1978,CLASSNAMEHEADERS,0))),(INDEX(ALLCLASSDATA,MATCH("AdvancedGroupExpert",CLASSFEATUREHEADERS,0),MATCH(($A1978 &amp; "Points"),CLASSNAMEHEADERS,0))),(IF("01"=(INDEX(ALLCLASSDATA,MATCH("AdvancedGroupTrained",CLASSFEATUREHEADERS,0),MATCH($A1978,CLASSNAMEHEADERS,0))),(INDEX(ALLCLASSDATA,MATCH("AdvancedGroupTrained",CLASSFEATUREHEADERS,0),MATCH(($A1978 &amp; "Points"),CLASSNAMEHEADERS,0))),"")))))))))}</f>
        <v>ADVANCEDGROUPL01</v>
      </c>
      <c r="I1977" s="223"/>
      <c r="J1977" s="223" t="str">
        <f t="array" ref="J1977:J1978">{"ADVANCEDGROUPL03";((IF("03"=(INDEX(ALLCLASSDATA,MATCH("AdvancedGroupLegendary",CLASSFEATUREHEADERS,0),MATCH($A1978,CLASSNAMEHEADERS,0))),(INDEX(ALLCLASSDATA,MATCH("AdvancedGroupLegendary",CLASSFEATUREHEADERS,0),MATCH(($A1978 &amp; "Points"),CLASSNAMEHEADERS,0))),(IF("03"=(INDEX(ALLCLASSDATA,MATCH("AdvancedGroupMaster",CLASSFEATUREHEADERS,0),MATCH($A1978,CLASSNAMEHEADERS,0))),(INDEX(ALLCLASSDATA,MATCH("AdvancedGroupMaster",CLASSFEATUREHEADERS,0),MATCH(($A1978 &amp; "Points"),CLASSNAMEHEADERS,0))),(IF("03"=(INDEX(ALLCLASSDATA,MATCH("AdvancedGroupExpert",CLASSFEATUREHEADERS,0),MATCH($A1978,CLASSNAMEHEADERS,0))),(INDEX(ALLCLASSDATA,MATCH("AdvancedGroupExpert",CLASSFEATUREHEADERS,0),MATCH(($A1978 &amp; "Points"),CLASSNAMEHEADERS,0))),(IF("03"=(INDEX(ALLCLASSDATA,MATCH("AdvancedGroupTrained",CLASSFEATUREHEADERS,0),MATCH($A1978,CLASSNAMEHEADERS,0))),(INDEX(ALLCLASSDATA,MATCH("AdvancedGroupTrained",CLASSFEATUREHEADERS,0),MATCH(($A1978 &amp; "Points"),CLASSNAMEHEADERS,0))),"")))))))))}</f>
        <v>ADVANCEDGROUPL03</v>
      </c>
      <c r="K1977" s="223"/>
      <c r="L1977" s="223" t="str">
        <f t="array" ref="L1977:L1978">{"ADVANCEDGROUPL05";((IF("05"=(INDEX(ALLCLASSDATA,MATCH("AdvancedGroupLegendary",CLASSFEATUREHEADERS,0),MATCH($A1978,CLASSNAMEHEADERS,0))),(INDEX(ALLCLASSDATA,MATCH("AdvancedGroupLegendary",CLASSFEATUREHEADERS,0),MATCH(($A1978 &amp; "Points"),CLASSNAMEHEADERS,0))),(IF("05"=(INDEX(ALLCLASSDATA,MATCH("AdvancedGroupMaster",CLASSFEATUREHEADERS,0),MATCH($A1978,CLASSNAMEHEADERS,0))),(INDEX(ALLCLASSDATA,MATCH("AdvancedGroupMaster",CLASSFEATUREHEADERS,0),MATCH(($A1978 &amp; "Points"),CLASSNAMEHEADERS,0))),(IF("05"=(INDEX(ALLCLASSDATA,MATCH("AdvancedGroupExpert",CLASSFEATUREHEADERS,0),MATCH($A1978,CLASSNAMEHEADERS,0))),(INDEX(ALLCLASSDATA,MATCH("AdvancedGroupExpert",CLASSFEATUREHEADERS,0),MATCH(($A1978 &amp; "Points"),CLASSNAMEHEADERS,0))),(IF("05"=(INDEX(ALLCLASSDATA,MATCH("AdvancedGroupTrained",CLASSFEATUREHEADERS,0),MATCH($A1978,CLASSNAMEHEADERS,0))),(INDEX(ALLCLASSDATA,MATCH("AdvancedGroupTrained",CLASSFEATUREHEADERS,0),MATCH(($A1978 &amp; "Points"),CLASSNAMEHEADERS,0))),"")))))))))}</f>
        <v>ADVANCEDGROUPL05</v>
      </c>
      <c r="M1977" s="223"/>
      <c r="N1977" s="223" t="str">
        <f t="array" ref="N1977:N1978">{"ADVANCEDGROUPL07";((IF("07"=(INDEX(ALLCLASSDATA,MATCH("AdvancedGroupLegendary",CLASSFEATUREHEADERS,0),MATCH($A1978,CLASSNAMEHEADERS,0))),(INDEX(ALLCLASSDATA,MATCH("AdvancedGroupLegendary",CLASSFEATUREHEADERS,0),MATCH(($A1978 &amp; "Points"),CLASSNAMEHEADERS,0))),(IF("07"=(INDEX(ALLCLASSDATA,MATCH("AdvancedGroupMaster",CLASSFEATUREHEADERS,0),MATCH($A1978,CLASSNAMEHEADERS,0))),(INDEX(ALLCLASSDATA,MATCH("AdvancedGroupMaster",CLASSFEATUREHEADERS,0),MATCH(($A1978 &amp; "Points"),CLASSNAMEHEADERS,0))),(IF("07"=(INDEX(ALLCLASSDATA,MATCH("AdvancedGroupExpert",CLASSFEATUREHEADERS,0),MATCH($A1978,CLASSNAMEHEADERS,0))),(INDEX(ALLCLASSDATA,MATCH("AdvancedGroupExpert",CLASSFEATUREHEADERS,0),MATCH(($A1978 &amp; "Points"),CLASSNAMEHEADERS,0))),(IF("07"=(INDEX(ALLCLASSDATA,MATCH("AdvancedGroupTrained",CLASSFEATUREHEADERS,0),MATCH($A1978,CLASSNAMEHEADERS,0))),(INDEX(ALLCLASSDATA,MATCH("AdvancedGroupTrained",CLASSFEATUREHEADERS,0),MATCH(($A1978 &amp; "Points"),CLASSNAMEHEADERS,0))),"")))))))))}</f>
        <v>ADVANCEDGROUPL07</v>
      </c>
      <c r="O1977" s="223"/>
      <c r="P1977" s="223" t="str">
        <f t="array" ref="P1977:P1978">{"ADVANCEDGROUPL09";((IF("09"=(INDEX(ALLCLASSDATA,MATCH("AdvancedGroupLegendary",CLASSFEATUREHEADERS,0),MATCH($A1978,CLASSNAMEHEADERS,0))),(INDEX(ALLCLASSDATA,MATCH("AdvancedGroupLegendary",CLASSFEATUREHEADERS,0),MATCH(($A1978 &amp; "Points"),CLASSNAMEHEADERS,0))),(IF("09"=(INDEX(ALLCLASSDATA,MATCH("AdvancedGroupMaster",CLASSFEATUREHEADERS,0),MATCH($A1978,CLASSNAMEHEADERS,0))),(INDEX(ALLCLASSDATA,MATCH("AdvancedGroupMaster",CLASSFEATUREHEADERS,0),MATCH(($A1978 &amp; "Points"),CLASSNAMEHEADERS,0))),(IF("09"=(INDEX(ALLCLASSDATA,MATCH("AdvancedGroupExpert",CLASSFEATUREHEADERS,0),MATCH($A1978,CLASSNAMEHEADERS,0))),(INDEX(ALLCLASSDATA,MATCH("AdvancedGroupExpert",CLASSFEATUREHEADERS,0),MATCH(($A1978 &amp; "Points"),CLASSNAMEHEADERS,0))),(IF("09"=(INDEX(ALLCLASSDATA,MATCH("AdvancedGroupTrained",CLASSFEATUREHEADERS,0),MATCH($A1978,CLASSNAMEHEADERS,0))),(INDEX(ALLCLASSDATA,MATCH("AdvancedGroupTrained",CLASSFEATUREHEADERS,0),MATCH(($A1978 &amp; "Points"),CLASSNAMEHEADERS,0))),"")))))))))}</f>
        <v>ADVANCEDGROUPL09</v>
      </c>
      <c r="Q1977" s="223"/>
      <c r="R1977" s="223" t="str">
        <f t="array" ref="R1977:R1978">{"ADVANCEDGROUPL11";((IF("11"=(INDEX(ALLCLASSDATA,MATCH("AdvancedGroupLegendary",CLASSFEATUREHEADERS,0),MATCH($A1978,CLASSNAMEHEADERS,0))),(INDEX(ALLCLASSDATA,MATCH("AdvancedGroupLegendary",CLASSFEATUREHEADERS,0),MATCH(($A1978 &amp; "Points"),CLASSNAMEHEADERS,0))),(IF("11"=(INDEX(ALLCLASSDATA,MATCH("AdvancedGroupMaster",CLASSFEATUREHEADERS,0),MATCH($A1978,CLASSNAMEHEADERS,0))),(INDEX(ALLCLASSDATA,MATCH("AdvancedGroupMaster",CLASSFEATUREHEADERS,0),MATCH(($A1978 &amp; "Points"),CLASSNAMEHEADERS,0))),(IF("11"=(INDEX(ALLCLASSDATA,MATCH("AdvancedGroupExpert",CLASSFEATUREHEADERS,0),MATCH($A1978,CLASSNAMEHEADERS,0))),(INDEX(ALLCLASSDATA,MATCH("AdvancedGroupExpert",CLASSFEATUREHEADERS,0),MATCH(($A1978 &amp; "Points"),CLASSNAMEHEADERS,0))),(IF("11"=(INDEX(ALLCLASSDATA,MATCH("AdvancedGroupTrained",CLASSFEATUREHEADERS,0),MATCH($A1978,CLASSNAMEHEADERS,0))),(INDEX(ALLCLASSDATA,MATCH("AdvancedGroupTrained",CLASSFEATUREHEADERS,0),MATCH(($A1978 &amp; "Points"),CLASSNAMEHEADERS,0))),"")))))))))}</f>
        <v>ADVANCEDGROUPL11</v>
      </c>
      <c r="S1977" s="223"/>
      <c r="T1977" s="223" t="str">
        <f t="array" ref="T1977:T1978">{"ADVANCEDGROUPL13";((IF("13"=(INDEX(ALLCLASSDATA,MATCH("AdvancedGroupLegendary",CLASSFEATUREHEADERS,0),MATCH($A1978,CLASSNAMEHEADERS,0))),(INDEX(ALLCLASSDATA,MATCH("AdvancedGroupLegendary",CLASSFEATUREHEADERS,0),MATCH(($A1978 &amp; "Points"),CLASSNAMEHEADERS,0))),(IF("13"=(INDEX(ALLCLASSDATA,MATCH("AdvancedGroupMaster",CLASSFEATUREHEADERS,0),MATCH($A1978,CLASSNAMEHEADERS,0))),(INDEX(ALLCLASSDATA,MATCH("AdvancedGroupMaster",CLASSFEATUREHEADERS,0),MATCH(($A1978 &amp; "Points"),CLASSNAMEHEADERS,0))),(IF("13"=(INDEX(ALLCLASSDATA,MATCH("AdvancedGroupExpert",CLASSFEATUREHEADERS,0),MATCH($A1978,CLASSNAMEHEADERS,0))),(INDEX(ALLCLASSDATA,MATCH("AdvancedGroupExpert",CLASSFEATUREHEADERS,0),MATCH(($A1978 &amp; "Points"),CLASSNAMEHEADERS,0))),(IF("13"=(INDEX(ALLCLASSDATA,MATCH("AdvancedGroupTrained",CLASSFEATUREHEADERS,0),MATCH($A1978,CLASSNAMEHEADERS,0))),(INDEX(ALLCLASSDATA,MATCH("AdvancedGroupTrained",CLASSFEATUREHEADERS,0),MATCH(($A1978 &amp; "Points"),CLASSNAMEHEADERS,0))),"")))))))))}</f>
        <v>ADVANCEDGROUPL13</v>
      </c>
      <c r="U1977" s="223"/>
      <c r="V1977" s="223" t="str">
        <f t="array" ref="V1977:V1978">{"ADVANCEDGROUPL15";((IF("15"=(INDEX(ALLCLASSDATA,MATCH("AdvancedGroupLegendary",CLASSFEATUREHEADERS,0),MATCH($A1978,CLASSNAMEHEADERS,0))),(INDEX(ALLCLASSDATA,MATCH("AdvancedGroupLegendary",CLASSFEATUREHEADERS,0),MATCH(($A1978 &amp; "Points"),CLASSNAMEHEADERS,0))),(IF("15"=(INDEX(ALLCLASSDATA,MATCH("AdvancedGroupMaster",CLASSFEATUREHEADERS,0),MATCH($A1978,CLASSNAMEHEADERS,0))),(INDEX(ALLCLASSDATA,MATCH("AdvancedGroupMaster",CLASSFEATUREHEADERS,0),MATCH(($A1978 &amp; "Points"),CLASSNAMEHEADERS,0))),(IF("15"=(INDEX(ALLCLASSDATA,MATCH("AdvancedGroupExpert",CLASSFEATUREHEADERS,0),MATCH($A1978,CLASSNAMEHEADERS,0))),(INDEX(ALLCLASSDATA,MATCH("AdvancedGroupExpert",CLASSFEATUREHEADERS,0),MATCH(($A1978 &amp; "Points"),CLASSNAMEHEADERS,0))),(IF("15"=(INDEX(ALLCLASSDATA,MATCH("AdvancedGroupTrained",CLASSFEATUREHEADERS,0),MATCH($A1978,CLASSNAMEHEADERS,0))),(INDEX(ALLCLASSDATA,MATCH("AdvancedGroupTrained",CLASSFEATUREHEADERS,0),MATCH(($A1978 &amp; "Points"),CLASSNAMEHEADERS,0))),"")))))))))}</f>
        <v>ADVANCEDGROUPL15</v>
      </c>
      <c r="W1977" s="223"/>
      <c r="X1977" s="223" t="str">
        <f t="array" ref="X1977:X1978">{"ADVANCEDGROUPL17";((IF("17"=(INDEX(ALLCLASSDATA,MATCH("AdvancedGroupLegendary",CLASSFEATUREHEADERS,0),MATCH($A1978,CLASSNAMEHEADERS,0))),(INDEX(ALLCLASSDATA,MATCH("AdvancedGroupLegendary",CLASSFEATUREHEADERS,0),MATCH(($A1978 &amp; "Points"),CLASSNAMEHEADERS,0))),(IF("17"=(INDEX(ALLCLASSDATA,MATCH("AdvancedGroupMaster",CLASSFEATUREHEADERS,0),MATCH($A1978,CLASSNAMEHEADERS,0))),(INDEX(ALLCLASSDATA,MATCH("AdvancedGroupMaster",CLASSFEATUREHEADERS,0),MATCH(($A1978 &amp; "Points"),CLASSNAMEHEADERS,0))),(IF("17"=(INDEX(ALLCLASSDATA,MATCH("AdvancedGroupExpert",CLASSFEATUREHEADERS,0),MATCH($A1978,CLASSNAMEHEADERS,0))),(INDEX(ALLCLASSDATA,MATCH("AdvancedGroupExpert",CLASSFEATUREHEADERS,0),MATCH(($A1978 &amp; "Points"),CLASSNAMEHEADERS,0))),(IF("17"=(INDEX(ALLCLASSDATA,MATCH("AdvancedGroupTrained",CLASSFEATUREHEADERS,0),MATCH($A1978,CLASSNAMEHEADERS,0))),(INDEX(ALLCLASSDATA,MATCH("AdvancedGroupTrained",CLASSFEATUREHEADERS,0),MATCH(($A1978 &amp; "Points"),CLASSNAMEHEADERS,0))),"")))))))))}</f>
        <v>ADVANCEDGROUPL17</v>
      </c>
      <c r="Y1977" s="223"/>
      <c r="Z1977" s="223" t="str">
        <f t="array" ref="Z1977:Z1978">{"ADVANCEDGROUPL19";((IF("19"=(INDEX(ALLCLASSDATA,MATCH("AdvancedGroupLegendary",CLASSFEATUREHEADERS,0),MATCH($A1978,CLASSNAMEHEADERS,0))),(INDEX(ALLCLASSDATA,MATCH("AdvancedGroupLegendary",CLASSFEATUREHEADERS,0),MATCH(($A1978 &amp; "Points"),CLASSNAMEHEADERS,0))),(IF("19"=(INDEX(ALLCLASSDATA,MATCH("AdvancedGroupMaster",CLASSFEATUREHEADERS,0),MATCH($A1978,CLASSNAMEHEADERS,0))),(INDEX(ALLCLASSDATA,MATCH("AdvancedGroupMaster",CLASSFEATUREHEADERS,0),MATCH(($A1978 &amp; "Points"),CLASSNAMEHEADERS,0))),(IF("19"=(INDEX(ALLCLASSDATA,MATCH("AdvancedGroupExpert",CLASSFEATUREHEADERS,0),MATCH($A1978,CLASSNAMEHEADERS,0))),(INDEX(ALLCLASSDATA,MATCH("AdvancedGroupExpert",CLASSFEATUREHEADERS,0),MATCH(($A1978 &amp; "Points"),CLASSNAMEHEADERS,0))),(IF("19"=(INDEX(ALLCLASSDATA,MATCH("AdvancedGroupTrained",CLASSFEATUREHEADERS,0),MATCH($A1978,CLASSNAMEHEADERS,0))),(INDEX(ALLCLASSDATA,MATCH("AdvancedGroupTrained",CLASSFEATUREHEADERS,0),MATCH(($A1978 &amp; "Points"),CLASSNAMEHEADERS,0))),"")))))))))}</f>
        <v>ADVANCEDGROUPL19</v>
      </c>
      <c r="AA1977" s="223"/>
      <c r="AB1977" s="76" t="str">
        <f t="array" ref="AB1977:AB1978">{"ADVANCEDGROUP TOTAL";(IF(COUNTBLANK(G1978:AA1978)=17,"L",(IF(COUNTBLANK(G1978:AA1978)=18,"M",(IF(COUNTBLANK(G1978:AA1978)=19,"E",(IF(COUNTBLANK(G1978:AA1978)=20,"T",""))))))))}</f>
        <v>ADVANCEDGROUP TOTAL</v>
      </c>
      <c r="AC1977" s="76" t="str">
        <f t="array" ref="AC1977:AC1978">{"ADVANCEDGROUP TOTAL";(sum(G1978:AA1978))}</f>
        <v>ADVANCEDGROUP TOTAL</v>
      </c>
    </row>
    <row r="1978">
      <c r="A1978" s="48" t="s">
        <v>231</v>
      </c>
      <c r="B1978" s="48"/>
      <c r="C1978" s="48" t="s">
        <v>418</v>
      </c>
      <c r="D1978" s="48" t="s">
        <v>1634</v>
      </c>
      <c r="E1978" s="48" t="s">
        <v>601</v>
      </c>
      <c r="F1978" s="5" t="s">
        <v>603</v>
      </c>
      <c r="G1978" s="47" t="s">
        <v>603</v>
      </c>
      <c r="H1978" s="5" t="s">
        <v>603</v>
      </c>
      <c r="I1978" s="5"/>
      <c r="J1978" s="5" t="s">
        <v>603</v>
      </c>
      <c r="K1978" s="5"/>
      <c r="L1978" s="5" t="s">
        <v>603</v>
      </c>
      <c r="M1978" s="5"/>
      <c r="N1978" s="5" t="s">
        <v>603</v>
      </c>
      <c r="O1978" s="5"/>
      <c r="P1978" s="5" t="s">
        <v>603</v>
      </c>
      <c r="Q1978" s="5"/>
      <c r="R1978" s="5" t="s">
        <v>603</v>
      </c>
      <c r="S1978" s="5"/>
      <c r="T1978" s="5" t="s">
        <v>603</v>
      </c>
      <c r="U1978" s="5"/>
      <c r="V1978" s="5" t="s">
        <v>603</v>
      </c>
      <c r="W1978" s="5"/>
      <c r="X1978" s="5" t="s">
        <v>603</v>
      </c>
      <c r="Y1978" s="5"/>
      <c r="Z1978" s="5" t="s">
        <v>603</v>
      </c>
      <c r="AA1978" s="5"/>
      <c r="AB1978" s="5" t="s">
        <v>603</v>
      </c>
      <c r="AC1978" s="47">
        <v>0.0</v>
      </c>
    </row>
    <row r="1979" hidden="1">
      <c r="A1979" s="222" t="str">
        <f t="array" ref="A1979:A1980">{"FormulaRow33";(INDEX(CLASSLIST,A1914,1))}</f>
        <v>FormulaRow33</v>
      </c>
      <c r="B1979" s="77" t="s">
        <v>236</v>
      </c>
      <c r="C1979" s="222" t="str">
        <f t="array" ref="C1979:C1980">{"CLASSTYPE";((INDEX(ALLCLASSDATA,MATCH("ClassType",CLASSFEATUREHEADERS,0),MATCH($A1980,CLASSNAMEHEADERS,0))))}</f>
        <v>CLASSTYPE</v>
      </c>
      <c r="D1979" s="222" t="str">
        <f t="array" ref="D1979:D1980">{"ATTACK";"Attack"}</f>
        <v>ATTACK</v>
      </c>
      <c r="E1979" s="222" t="str">
        <f t="array" ref="E1979:E1980">{"ADVANCED";"Advanced"}</f>
        <v>ADVANCED</v>
      </c>
      <c r="F1979" s="223" t="str">
        <f t="array" ref="F1979:F1980">{"ADVANCEDINITIAL";((IF(H1980=10,"T",(IF(H1980=50,"E","")))))}</f>
        <v>ADVANCEDINITIAL</v>
      </c>
      <c r="G1979" s="223" t="str">
        <f t="array" ref="G1979:G1980">{"ADVANCEDINITIALPTS";((IF("00"=(INDEX(ALLCLASSDATA,MATCH("AdvancedLegendary",CLASSFEATUREHEADERS,0),MATCH($A1980,CLASSNAMEHEADERS,0))),(INDEX(ALLCLASSDATA,MATCH("AdvancedLegendary",CLASSFEATUREHEADERS,0),MATCH(($A1980 &amp; "Points"),CLASSNAMEHEADERS,0))),(IF("00"=(INDEX(ALLCLASSDATA,MATCH("AdvancedMaster",CLASSFEATUREHEADERS,0),MATCH($A1980,CLASSNAMEHEADERS,0))),(INDEX(ALLCLASSDATA,MATCH("AdvancedMaster",CLASSFEATUREHEADERS,0),MATCH(($A1980 &amp; "Points"),CLASSNAMEHEADERS,0))),(IF("00"=(INDEX(ALLCLASSDATA,MATCH("AdvancedExpert",CLASSFEATUREHEADERS,0),MATCH($A1980,CLASSNAMEHEADERS,0))),(INDEX(ALLCLASSDATA,MATCH("AdvancedExpert",CLASSFEATUREHEADERS,0),MATCH(($A1980 &amp; "Points"),CLASSNAMEHEADERS,0))),(IF("00"=(INDEX(ALLCLASSDATA,MATCH("AdvancedTrained",CLASSFEATUREHEADERS,0),MATCH($A1980,CLASSNAMEHEADERS,0))),(INDEX(ALLCLASSDATA,MATCH("AdvancedTrained",CLASSFEATUREHEADERS,0),MATCH(($A1980 &amp; "Points"),CLASSNAMEHEADERS,0))),"")))))))))}</f>
        <v>ADVANCEDINITIALPTS</v>
      </c>
      <c r="H1979" s="223" t="str">
        <f t="array" ref="H1979:H1980">{"ADVANCEDL01";((IF("01"=(INDEX(ALLCLASSDATA,MATCH("AdvancedLegendary",CLASSFEATUREHEADERS,0),MATCH($A1980,CLASSNAMEHEADERS,0))),(INDEX(ALLCLASSDATA,MATCH("AdvancedLegendary",CLASSFEATUREHEADERS,0),MATCH(($A1980 &amp; "Points"),CLASSNAMEHEADERS,0))),(IF("01"=(INDEX(ALLCLASSDATA,MATCH("AdvancedMaster",CLASSFEATUREHEADERS,0),MATCH($A1980,CLASSNAMEHEADERS,0))),(INDEX(ALLCLASSDATA,MATCH("AdvancedMaster",CLASSFEATUREHEADERS,0),MATCH(($A1980 &amp; "Points"),CLASSNAMEHEADERS,0))),(IF("01"=(INDEX(ALLCLASSDATA,MATCH("AdvancedExpert",CLASSFEATUREHEADERS,0),MATCH($A1980,CLASSNAMEHEADERS,0))),(INDEX(ALLCLASSDATA,MATCH("AdvancedExpert",CLASSFEATUREHEADERS,0),MATCH(($A1980 &amp; "Points"),CLASSNAMEHEADERS,0))),(IF("01"=(INDEX(ALLCLASSDATA,MATCH("AdvancedTrained",CLASSFEATUREHEADERS,0),MATCH($A1980,CLASSNAMEHEADERS,0))),(INDEX(ALLCLASSDATA,MATCH("AdvancedTrained",CLASSFEATUREHEADERS,0),MATCH(($A1980 &amp; "Points"),CLASSNAMEHEADERS,0))),"")))))))))}</f>
        <v>ADVANCEDL01</v>
      </c>
      <c r="I1979" s="223"/>
      <c r="J1979" s="223" t="str">
        <f t="array" ref="J1979:J1980">{"ADVANCEDL03";((IF("03"=(INDEX(ALLCLASSDATA,MATCH("AdvancedLegendary",CLASSFEATUREHEADERS,0),MATCH($A1980,CLASSNAMEHEADERS,0))),(INDEX(ALLCLASSDATA,MATCH("AdvancedLegendary",CLASSFEATUREHEADERS,0),MATCH(($A1980 &amp; "Points"),CLASSNAMEHEADERS,0))),(IF("03"=(INDEX(ALLCLASSDATA,MATCH("AdvancedMaster",CLASSFEATUREHEADERS,0),MATCH($A1980,CLASSNAMEHEADERS,0))),(INDEX(ALLCLASSDATA,MATCH("AdvancedMaster",CLASSFEATUREHEADERS,0),MATCH(($A1980 &amp; "Points"),CLASSNAMEHEADERS,0))),(IF("03"=(INDEX(ALLCLASSDATA,MATCH("AdvancedExpert",CLASSFEATUREHEADERS,0),MATCH($A1980,CLASSNAMEHEADERS,0))),(INDEX(ALLCLASSDATA,MATCH("AdvancedExpert",CLASSFEATUREHEADERS,0),MATCH(($A1980 &amp; "Points"),CLASSNAMEHEADERS,0))),(IF("03"=(INDEX(ALLCLASSDATA,MATCH("AdvancedTrained",CLASSFEATUREHEADERS,0),MATCH($A1980,CLASSNAMEHEADERS,0))),(INDEX(ALLCLASSDATA,MATCH("AdvancedTrained",CLASSFEATUREHEADERS,0),MATCH(($A1980 &amp; "Points"),CLASSNAMEHEADERS,0))),"")))))))))}</f>
        <v>ADVANCEDL03</v>
      </c>
      <c r="K1979" s="223"/>
      <c r="L1979" s="223" t="str">
        <f t="array" ref="L1979:L1980">{"ADVANCEDL05";((IF("05"=(INDEX(ALLCLASSDATA,MATCH("AdvancedLegendary",CLASSFEATUREHEADERS,0),MATCH($A1980,CLASSNAMEHEADERS,0))),(INDEX(ALLCLASSDATA,MATCH("AdvancedLegendary",CLASSFEATUREHEADERS,0),MATCH(($A1980 &amp; "Points"),CLASSNAMEHEADERS,0))),(IF("05"=(INDEX(ALLCLASSDATA,MATCH("AdvancedMaster",CLASSFEATUREHEADERS,0),MATCH($A1980,CLASSNAMEHEADERS,0))),(INDEX(ALLCLASSDATA,MATCH("AdvancedMaster",CLASSFEATUREHEADERS,0),MATCH(($A1980 &amp; "Points"),CLASSNAMEHEADERS,0))),(IF("05"=(INDEX(ALLCLASSDATA,MATCH("AdvancedExpert",CLASSFEATUREHEADERS,0),MATCH($A1980,CLASSNAMEHEADERS,0))),(INDEX(ALLCLASSDATA,MATCH("AdvancedExpert",CLASSFEATUREHEADERS,0),MATCH(($A1980 &amp; "Points"),CLASSNAMEHEADERS,0))),(IF("05"=(INDEX(ALLCLASSDATA,MATCH("AdvancedTrained",CLASSFEATUREHEADERS,0),MATCH($A1980,CLASSNAMEHEADERS,0))),(INDEX(ALLCLASSDATA,MATCH("AdvancedTrained",CLASSFEATUREHEADERS,0),MATCH(($A1980 &amp; "Points"),CLASSNAMEHEADERS,0))),"")))))))))}</f>
        <v>ADVANCEDL05</v>
      </c>
      <c r="M1979" s="223"/>
      <c r="N1979" s="223" t="str">
        <f t="array" ref="N1979:N1980">{"ADVANCEDL07";((IF("07"=(INDEX(ALLCLASSDATA,MATCH("AdvancedLegendary",CLASSFEATUREHEADERS,0),MATCH($A1980,CLASSNAMEHEADERS,0))),(INDEX(ALLCLASSDATA,MATCH("AdvancedLegendary",CLASSFEATUREHEADERS,0),MATCH(($A1980 &amp; "Points"),CLASSNAMEHEADERS,0))),(IF("07"=(INDEX(ALLCLASSDATA,MATCH("AdvancedMaster",CLASSFEATUREHEADERS,0),MATCH($A1980,CLASSNAMEHEADERS,0))),(INDEX(ALLCLASSDATA,MATCH("AdvancedMaster",CLASSFEATUREHEADERS,0),MATCH(($A1980 &amp; "Points"),CLASSNAMEHEADERS,0))),(IF("07"=(INDEX(ALLCLASSDATA,MATCH("AdvancedExpert",CLASSFEATUREHEADERS,0),MATCH($A1980,CLASSNAMEHEADERS,0))),(INDEX(ALLCLASSDATA,MATCH("AdvancedExpert",CLASSFEATUREHEADERS,0),MATCH(($A1980 &amp; "Points"),CLASSNAMEHEADERS,0))),(IF("07"=(INDEX(ALLCLASSDATA,MATCH("AdvancedTrained",CLASSFEATUREHEADERS,0),MATCH($A1980,CLASSNAMEHEADERS,0))),(INDEX(ALLCLASSDATA,MATCH("AdvancedTrained",CLASSFEATUREHEADERS,0),MATCH(($A1980 &amp; "Points"),CLASSNAMEHEADERS,0))),"")))))))))}</f>
        <v>ADVANCEDL07</v>
      </c>
      <c r="O1979" s="223"/>
      <c r="P1979" s="223" t="str">
        <f t="array" ref="P1979:P1980">{"ADVANCEDL09";((IF("09"=(INDEX(ALLCLASSDATA,MATCH("AdvancedLegendary",CLASSFEATUREHEADERS,0),MATCH($A1980,CLASSNAMEHEADERS,0))),(INDEX(ALLCLASSDATA,MATCH("AdvancedLegendary",CLASSFEATUREHEADERS,0),MATCH(($A1980 &amp; "Points"),CLASSNAMEHEADERS,0))),(IF("09"=(INDEX(ALLCLASSDATA,MATCH("AdvancedMaster",CLASSFEATUREHEADERS,0),MATCH($A1980,CLASSNAMEHEADERS,0))),(INDEX(ALLCLASSDATA,MATCH("AdvancedMaster",CLASSFEATUREHEADERS,0),MATCH(($A1980 &amp; "Points"),CLASSNAMEHEADERS,0))),(IF("09"=(INDEX(ALLCLASSDATA,MATCH("AdvancedExpert",CLASSFEATUREHEADERS,0),MATCH($A1980,CLASSNAMEHEADERS,0))),(INDEX(ALLCLASSDATA,MATCH("AdvancedExpert",CLASSFEATUREHEADERS,0),MATCH(($A1980 &amp; "Points"),CLASSNAMEHEADERS,0))),(IF("09"=(INDEX(ALLCLASSDATA,MATCH("AdvancedTrained",CLASSFEATUREHEADERS,0),MATCH($A1980,CLASSNAMEHEADERS,0))),(INDEX(ALLCLASSDATA,MATCH("AdvancedTrained",CLASSFEATUREHEADERS,0),MATCH(($A1980 &amp; "Points"),CLASSNAMEHEADERS,0))),"")))))))))}</f>
        <v>ADVANCEDL09</v>
      </c>
      <c r="Q1979" s="223"/>
      <c r="R1979" s="223" t="str">
        <f t="array" ref="R1979:R1980">{"ADVANCEDL11";((IF("11"=(INDEX(ALLCLASSDATA,MATCH("AdvancedLegendary",CLASSFEATUREHEADERS,0),MATCH($A1980,CLASSNAMEHEADERS,0))),(INDEX(ALLCLASSDATA,MATCH("AdvancedLegendary",CLASSFEATUREHEADERS,0),MATCH(($A1980 &amp; "Points"),CLASSNAMEHEADERS,0))),(IF("11"=(INDEX(ALLCLASSDATA,MATCH("AdvancedMaster",CLASSFEATUREHEADERS,0),MATCH($A1980,CLASSNAMEHEADERS,0))),(INDEX(ALLCLASSDATA,MATCH("AdvancedMaster",CLASSFEATUREHEADERS,0),MATCH(($A1980 &amp; "Points"),CLASSNAMEHEADERS,0))),(IF("11"=(INDEX(ALLCLASSDATA,MATCH("AdvancedExpert",CLASSFEATUREHEADERS,0),MATCH($A1980,CLASSNAMEHEADERS,0))),(INDEX(ALLCLASSDATA,MATCH("AdvancedExpert",CLASSFEATUREHEADERS,0),MATCH(($A1980 &amp; "Points"),CLASSNAMEHEADERS,0))),(IF("11"=(INDEX(ALLCLASSDATA,MATCH("AdvancedTrained",CLASSFEATUREHEADERS,0),MATCH($A1980,CLASSNAMEHEADERS,0))),(INDEX(ALLCLASSDATA,MATCH("AdvancedTrained",CLASSFEATUREHEADERS,0),MATCH(($A1980 &amp; "Points"),CLASSNAMEHEADERS,0))),"")))))))))}</f>
        <v>ADVANCEDL11</v>
      </c>
      <c r="S1979" s="223"/>
      <c r="T1979" s="223" t="str">
        <f t="array" ref="T1979:T1980">{"ADVANCEDL13";((IF("13"=(INDEX(ALLCLASSDATA,MATCH("AdvancedLegendary",CLASSFEATUREHEADERS,0),MATCH($A1980,CLASSNAMEHEADERS,0))),(INDEX(ALLCLASSDATA,MATCH("AdvancedLegendary",CLASSFEATUREHEADERS,0),MATCH(($A1980 &amp; "Points"),CLASSNAMEHEADERS,0))),(IF("13"=(INDEX(ALLCLASSDATA,MATCH("AdvancedMaster",CLASSFEATUREHEADERS,0),MATCH($A1980,CLASSNAMEHEADERS,0))),(INDEX(ALLCLASSDATA,MATCH("AdvancedMaster",CLASSFEATUREHEADERS,0),MATCH(($A1980 &amp; "Points"),CLASSNAMEHEADERS,0))),(IF("13"=(INDEX(ALLCLASSDATA,MATCH("AdvancedExpert",CLASSFEATUREHEADERS,0),MATCH($A1980,CLASSNAMEHEADERS,0))),(INDEX(ALLCLASSDATA,MATCH("AdvancedExpert",CLASSFEATUREHEADERS,0),MATCH(($A1980 &amp; "Points"),CLASSNAMEHEADERS,0))),(IF("13"=(INDEX(ALLCLASSDATA,MATCH("AdvancedTrained",CLASSFEATUREHEADERS,0),MATCH($A1980,CLASSNAMEHEADERS,0))),(INDEX(ALLCLASSDATA,MATCH("AdvancedTrained",CLASSFEATUREHEADERS,0),MATCH(($A1980 &amp; "Points"),CLASSNAMEHEADERS,0))),"")))))))))}</f>
        <v>ADVANCEDL13</v>
      </c>
      <c r="U1979" s="223"/>
      <c r="V1979" s="223" t="str">
        <f t="array" ref="V1979:V1980">{"ADVANCEDL15";((IF("15"=(INDEX(ALLCLASSDATA,MATCH("AdvancedLegendary",CLASSFEATUREHEADERS,0),MATCH($A1980,CLASSNAMEHEADERS,0))),(INDEX(ALLCLASSDATA,MATCH("AdvancedLegendary",CLASSFEATUREHEADERS,0),MATCH(($A1980 &amp; "Points"),CLASSNAMEHEADERS,0))),(IF("15"=(INDEX(ALLCLASSDATA,MATCH("AdvancedMaster",CLASSFEATUREHEADERS,0),MATCH($A1980,CLASSNAMEHEADERS,0))),(INDEX(ALLCLASSDATA,MATCH("AdvancedMaster",CLASSFEATUREHEADERS,0),MATCH(($A1980 &amp; "Points"),CLASSNAMEHEADERS,0))),(IF("15"=(INDEX(ALLCLASSDATA,MATCH("AdvancedExpert",CLASSFEATUREHEADERS,0),MATCH($A1980,CLASSNAMEHEADERS,0))),(INDEX(ALLCLASSDATA,MATCH("AdvancedExpert",CLASSFEATUREHEADERS,0),MATCH(($A1980 &amp; "Points"),CLASSNAMEHEADERS,0))),(IF("15"=(INDEX(ALLCLASSDATA,MATCH("AdvancedTrained",CLASSFEATUREHEADERS,0),MATCH($A1980,CLASSNAMEHEADERS,0))),(INDEX(ALLCLASSDATA,MATCH("AdvancedTrained",CLASSFEATUREHEADERS,0),MATCH(($A1980 &amp; "Points"),CLASSNAMEHEADERS,0))),"")))))))))}</f>
        <v>ADVANCEDL15</v>
      </c>
      <c r="W1979" s="223"/>
      <c r="X1979" s="223" t="str">
        <f t="array" ref="X1979:X1980">{"ADVANCEDL17";((IF("17"=(INDEX(ALLCLASSDATA,MATCH("AdvancedLegendary",CLASSFEATUREHEADERS,0),MATCH($A1980,CLASSNAMEHEADERS,0))),(INDEX(ALLCLASSDATA,MATCH("AdvancedLegendary",CLASSFEATUREHEADERS,0),MATCH(($A1980 &amp; "Points"),CLASSNAMEHEADERS,0))),(IF("17"=(INDEX(ALLCLASSDATA,MATCH("AdvancedMaster",CLASSFEATUREHEADERS,0),MATCH($A1980,CLASSNAMEHEADERS,0))),(INDEX(ALLCLASSDATA,MATCH("AdvancedMaster",CLASSFEATUREHEADERS,0),MATCH(($A1980 &amp; "Points"),CLASSNAMEHEADERS,0))),(IF("17"=(INDEX(ALLCLASSDATA,MATCH("AdvancedExpert",CLASSFEATUREHEADERS,0),MATCH($A1980,CLASSNAMEHEADERS,0))),(INDEX(ALLCLASSDATA,MATCH("AdvancedExpert",CLASSFEATUREHEADERS,0),MATCH(($A1980 &amp; "Points"),CLASSNAMEHEADERS,0))),(IF("17"=(INDEX(ALLCLASSDATA,MATCH("AdvancedTrained",CLASSFEATUREHEADERS,0),MATCH($A1980,CLASSNAMEHEADERS,0))),(INDEX(ALLCLASSDATA,MATCH("AdvancedTrained",CLASSFEATUREHEADERS,0),MATCH(($A1980 &amp; "Points"),CLASSNAMEHEADERS,0))),"")))))))))}</f>
        <v>ADVANCEDL17</v>
      </c>
      <c r="Y1979" s="223"/>
      <c r="Z1979" s="223" t="str">
        <f t="array" ref="Z1979:Z1980">{"ADVANCEDL19";((IF("19"=(INDEX(ALLCLASSDATA,MATCH("AdvancedLegendary",CLASSFEATUREHEADERS,0),MATCH($A1980,CLASSNAMEHEADERS,0))),(INDEX(ALLCLASSDATA,MATCH("AdvancedLegendary",CLASSFEATUREHEADERS,0),MATCH(($A1980 &amp; "Points"),CLASSNAMEHEADERS,0))),(IF("19"=(INDEX(ALLCLASSDATA,MATCH("AdvancedMaster",CLASSFEATUREHEADERS,0),MATCH($A1980,CLASSNAMEHEADERS,0))),(INDEX(ALLCLASSDATA,MATCH("AdvancedMaster",CLASSFEATUREHEADERS,0),MATCH(($A1980 &amp; "Points"),CLASSNAMEHEADERS,0))),(IF("19"=(INDEX(ALLCLASSDATA,MATCH("AdvancedExpert",CLASSFEATUREHEADERS,0),MATCH($A1980,CLASSNAMEHEADERS,0))),(INDEX(ALLCLASSDATA,MATCH("AdvancedExpert",CLASSFEATUREHEADERS,0),MATCH(($A1980 &amp; "Points"),CLASSNAMEHEADERS,0))),(IF("19"=(INDEX(ALLCLASSDATA,MATCH("AdvancedTrained",CLASSFEATUREHEADERS,0),MATCH($A1980,CLASSNAMEHEADERS,0))),(INDEX(ALLCLASSDATA,MATCH("AdvancedTrained",CLASSFEATUREHEADERS,0),MATCH(($A1980 &amp; "Points"),CLASSNAMEHEADERS,0))),"")))))))))}</f>
        <v>ADVANCEDL19</v>
      </c>
      <c r="AA1979" s="223"/>
      <c r="AB1979" s="76" t="str">
        <f t="array" ref="AB1979:AB1980">{"ADVANCED TOTAL";(IF(COUNTBLANK(G1980:AA1980)=17,"L",(IF(COUNTBLANK(G1980:AA1980)=18,"M",(IF(COUNTBLANK(G1980:AA1980)=19,"E",(IF(COUNTBLANK(G1980:AA1980)=20,"T",""))))))))}</f>
        <v>ADVANCED TOTAL</v>
      </c>
      <c r="AC1979" s="76" t="str">
        <f t="array" ref="AC1979:AC1980">{"ADVANCED TOTAL";(sum(G1980:AA1980))}</f>
        <v>ADVANCED TOTAL</v>
      </c>
    </row>
    <row r="1980">
      <c r="A1980" s="48" t="s">
        <v>231</v>
      </c>
      <c r="B1980" s="48"/>
      <c r="C1980" s="48" t="s">
        <v>418</v>
      </c>
      <c r="D1980" s="97" t="s">
        <v>1634</v>
      </c>
      <c r="E1980" s="97" t="s">
        <v>602</v>
      </c>
      <c r="F1980" s="98" t="s">
        <v>603</v>
      </c>
      <c r="G1980" s="132" t="s">
        <v>603</v>
      </c>
      <c r="H1980" s="98" t="s">
        <v>603</v>
      </c>
      <c r="I1980" s="98"/>
      <c r="J1980" s="98" t="s">
        <v>603</v>
      </c>
      <c r="K1980" s="98"/>
      <c r="L1980" s="98" t="s">
        <v>603</v>
      </c>
      <c r="M1980" s="98"/>
      <c r="N1980" s="98" t="s">
        <v>603</v>
      </c>
      <c r="O1980" s="98"/>
      <c r="P1980" s="98" t="s">
        <v>603</v>
      </c>
      <c r="Q1980" s="98"/>
      <c r="R1980" s="98" t="s">
        <v>603</v>
      </c>
      <c r="S1980" s="98"/>
      <c r="T1980" s="98" t="s">
        <v>603</v>
      </c>
      <c r="U1980" s="98"/>
      <c r="V1980" s="98" t="s">
        <v>603</v>
      </c>
      <c r="W1980" s="98"/>
      <c r="X1980" s="98" t="s">
        <v>603</v>
      </c>
      <c r="Y1980" s="98"/>
      <c r="Z1980" s="98" t="s">
        <v>603</v>
      </c>
      <c r="AA1980" s="98"/>
      <c r="AB1980" s="5" t="s">
        <v>603</v>
      </c>
      <c r="AC1980" s="47">
        <v>0.0</v>
      </c>
    </row>
    <row r="1981" hidden="1">
      <c r="A1981" s="222" t="str">
        <f t="array" ref="A1981:A1982">{"FormulaRow34";(INDEX(CLASSLIST,A1914,1))}</f>
        <v>FormulaRow34</v>
      </c>
      <c r="B1981" s="77" t="s">
        <v>236</v>
      </c>
      <c r="C1981" s="222" t="str">
        <f t="array" ref="C1981:C1982">{"CLASSTYPE";((INDEX(ALLCLASSDATA,MATCH("ClassType",CLASSFEATUREHEADERS,0),MATCH($A1982,CLASSNAMEHEADERS,0))))}</f>
        <v>CLASSTYPE</v>
      </c>
      <c r="D1981" s="222" t="str">
        <f t="array" ref="D1981:D1982">{"DEFENSE";"Defense"}</f>
        <v>DEFENSE</v>
      </c>
      <c r="E1981" s="222" t="str">
        <f t="array" ref="E1981:E1982">{"ARMORSPECIAL";"ArmorAS"}</f>
        <v>ARMORSPECIAL</v>
      </c>
      <c r="F1981" s="223"/>
      <c r="G1981" s="223"/>
      <c r="H1981" s="223" t="str">
        <f t="array" ref="H1981:H1982">{"ARMORSPECIALL01";((IF("01"=INDEX(ALLCLASSDATA,MATCH("ArmorSpecialization",CLASSFEATUREHEADERS,0),MATCH($A1982,CLASSNAMEHEADERS,0)),ArmorAS,"")))}</f>
        <v>ARMORSPECIALL01</v>
      </c>
      <c r="I1981" s="223"/>
      <c r="J1981" s="223" t="str">
        <f t="array" ref="J1981:J1982">{"ARMORSPECIALL03";((IF("03"=INDEX(ALLCLASSDATA,MATCH("ArmorSpecialization",CLASSFEATUREHEADERS,0),MATCH($A1982,CLASSNAMEHEADERS,0)),ArmorAS,"")))}</f>
        <v>ARMORSPECIALL03</v>
      </c>
      <c r="K1981" s="223"/>
      <c r="L1981" s="223" t="str">
        <f t="array" ref="L1981:L1982">{"ARMORSPECIALL05";((IF("05"=INDEX(ALLCLASSDATA,MATCH("ArmorSpecialization",CLASSFEATUREHEADERS,0),MATCH($A1982,CLASSNAMEHEADERS,0)),ArmorAS,"")))}</f>
        <v>ARMORSPECIALL05</v>
      </c>
      <c r="M1981" s="223"/>
      <c r="N1981" s="223" t="str">
        <f t="array" ref="N1981:N1982">{"ARMORSPECIALL07";((IF("07"=INDEX(ALLCLASSDATA,MATCH("ArmorSpecialization",CLASSFEATUREHEADERS,0),MATCH($A1982,CLASSNAMEHEADERS,0)),ArmorAS,"")))}</f>
        <v>ARMORSPECIALL07</v>
      </c>
      <c r="O1981" s="223"/>
      <c r="P1981" s="223" t="str">
        <f t="array" ref="P1981:P1982">{"ARMORSPECIALL09";((IF("09"=INDEX(ALLCLASSDATA,MATCH("ArmorSpecialization",CLASSFEATUREHEADERS,0),MATCH($A1982,CLASSNAMEHEADERS,0)),ArmorAS,"")))}</f>
        <v>ARMORSPECIALL09</v>
      </c>
      <c r="Q1981" s="223"/>
      <c r="R1981" s="223" t="str">
        <f t="array" ref="R1981:R1982">{"ARMORSPECIALL11";((IF("11"=INDEX(ALLCLASSDATA,MATCH("ArmorSpecialization",CLASSFEATUREHEADERS,0),MATCH($A1982,CLASSNAMEHEADERS,0)),ArmorAS,"")))}</f>
        <v>ARMORSPECIALL11</v>
      </c>
      <c r="S1981" s="223"/>
      <c r="T1981" s="223" t="str">
        <f t="array" ref="T1981:T1982">{"ARMORSPECIALL13";((IF("13"=INDEX(ALLCLASSDATA,MATCH("ArmorSpecialization",CLASSFEATUREHEADERS,0),MATCH($A1982,CLASSNAMEHEADERS,0)),ArmorAS,"")))}</f>
        <v>ARMORSPECIALL13</v>
      </c>
      <c r="U1981" s="223"/>
      <c r="V1981" s="223" t="str">
        <f t="array" ref="V1981:V1982">{"ARMORSPECIALL15";((IF("15"=INDEX(ALLCLASSDATA,MATCH("ArmorSpecialization",CLASSFEATUREHEADERS,0),MATCH($A1982,CLASSNAMEHEADERS,0)),ArmorAS,"")))}</f>
        <v>ARMORSPECIALL15</v>
      </c>
      <c r="W1981" s="223"/>
      <c r="X1981" s="223" t="str">
        <f t="array" ref="X1981:X1982">{"ARMORSPECIALL17";((IF("17"=INDEX(ALLCLASSDATA,MATCH("ArmorSpecialization",CLASSFEATUREHEADERS,0),MATCH($A1982,CLASSNAMEHEADERS,0)),ArmorAS,"")))}</f>
        <v>ARMORSPECIALL17</v>
      </c>
      <c r="Y1981" s="223"/>
      <c r="Z1981" s="223" t="str">
        <f t="array" ref="Z1981:Z1982">{"ARMORSPECIALL19";((IF("19"=INDEX(ALLCLASSDATA,MATCH("ArmorSpecialization",CLASSFEATUREHEADERS,0),MATCH($A1982,CLASSNAMEHEADERS,0)),ArmorAS,"")))}</f>
        <v>ARMORSPECIALL19</v>
      </c>
      <c r="AA1981" s="223"/>
      <c r="AB1981" s="76"/>
      <c r="AC1981" s="76" t="str">
        <f t="array" ref="AC1981:AC1982">{"ARMORSPECIAL TOTAL";(sum(G1982:AA1982))}</f>
        <v>ARMORSPECIAL TOTAL</v>
      </c>
    </row>
    <row r="1982">
      <c r="A1982" s="48" t="s">
        <v>231</v>
      </c>
      <c r="B1982" s="48"/>
      <c r="C1982" s="48" t="s">
        <v>418</v>
      </c>
      <c r="D1982" s="48" t="s">
        <v>1900</v>
      </c>
      <c r="E1982" s="48" t="s">
        <v>51</v>
      </c>
      <c r="F1982" s="5"/>
      <c r="G1982" s="47"/>
      <c r="H1982" s="5" t="s">
        <v>603</v>
      </c>
      <c r="I1982" s="5"/>
      <c r="J1982" s="5" t="s">
        <v>603</v>
      </c>
      <c r="K1982" s="5"/>
      <c r="L1982" s="5" t="s">
        <v>603</v>
      </c>
      <c r="M1982" s="5"/>
      <c r="N1982" s="5" t="s">
        <v>603</v>
      </c>
      <c r="O1982" s="5"/>
      <c r="P1982" s="5" t="s">
        <v>603</v>
      </c>
      <c r="Q1982" s="5"/>
      <c r="R1982" s="5" t="s">
        <v>603</v>
      </c>
      <c r="S1982" s="5"/>
      <c r="T1982" s="5" t="s">
        <v>603</v>
      </c>
      <c r="U1982" s="5"/>
      <c r="V1982" s="5" t="s">
        <v>603</v>
      </c>
      <c r="W1982" s="5"/>
      <c r="X1982" s="5" t="s">
        <v>603</v>
      </c>
      <c r="Y1982" s="5"/>
      <c r="Z1982" s="5" t="s">
        <v>603</v>
      </c>
      <c r="AA1982" s="5"/>
      <c r="AB1982" s="5"/>
      <c r="AC1982" s="47">
        <v>0.0</v>
      </c>
    </row>
    <row r="1983" hidden="1">
      <c r="A1983" s="222" t="str">
        <f t="array" ref="A1983:A1984">{"FormulaRow35";(INDEX(CLASSLIST,A1914,1))}</f>
        <v>FormulaRow35</v>
      </c>
      <c r="B1983" s="77" t="s">
        <v>236</v>
      </c>
      <c r="C1983" s="222" t="str">
        <f t="array" ref="C1983:C1984">{"CLASSTYPE";((INDEX(ALLCLASSDATA,MATCH("ClassType",CLASSFEATUREHEADERS,0),MATCH($A1984,CLASSNAMEHEADERS,0))))}</f>
        <v>CLASSTYPE</v>
      </c>
      <c r="D1983" s="222" t="str">
        <f t="array" ref="D1983:D1984">{"DEFENSE";"Defense"}</f>
        <v>DEFENSE</v>
      </c>
      <c r="E1983" s="222" t="str">
        <f t="array" ref="E1983:E1984">{"UNARMORED";"Unarmored"}</f>
        <v>UNARMORED</v>
      </c>
      <c r="F1983" s="223" t="str">
        <f t="array" ref="F1983:F1984">{"UNARMOREDINITIAL";((IF(H1984=10,"T",(IF(H1984=50,"E","")))))}</f>
        <v>UNARMOREDINITIAL</v>
      </c>
      <c r="G1983" s="223" t="str">
        <f t="array" ref="G1983:G1984">{"UNARMOREDINITIALPTS";((IF("00"=(INDEX(ALLCLASSDATA,MATCH("UnarmoredLegendary",CLASSFEATUREHEADERS,0),MATCH($A1984,CLASSNAMEHEADERS,0))),(INDEX(ALLCLASSDATA,MATCH("UnarmoredLegendary",CLASSFEATUREHEADERS,0),MATCH(($A1984 &amp; "Points"),CLASSNAMEHEADERS,0))),(IF("00"=(INDEX(ALLCLASSDATA,MATCH("UnarmoredMaster",CLASSFEATUREHEADERS,0),MATCH($A1984,CLASSNAMEHEADERS,0))),(INDEX(ALLCLASSDATA,MATCH("UnarmoredMaster",CLASSFEATUREHEADERS,0),MATCH(($A1984 &amp; "Points"),CLASSNAMEHEADERS,0))),(IF("00"=(INDEX(ALLCLASSDATA,MATCH("UnarmoredExpert",CLASSFEATUREHEADERS,0),MATCH($A1984,CLASSNAMEHEADERS,0))),(INDEX(ALLCLASSDATA,MATCH("UnarmoredExpert",CLASSFEATUREHEADERS,0),MATCH(($A1984 &amp; "Points"),CLASSNAMEHEADERS,0))),(IF("00"=(INDEX(ALLCLASSDATA,MATCH("UnarmoredTrained",CLASSFEATUREHEADERS,0),MATCH($A1984,CLASSNAMEHEADERS,0))),(INDEX(ALLCLASSDATA,MATCH("UnarmoredTrained",CLASSFEATUREHEADERS,0),MATCH(($A1984 &amp; "Points"),CLASSNAMEHEADERS,0))),"")))))))))}</f>
        <v>UNARMOREDINITIALPTS</v>
      </c>
      <c r="H1983" s="223" t="str">
        <f t="array" ref="H1983:H1984">{"UNARMOREDL01";((IF("01"=(INDEX(ALLCLASSDATA,MATCH("UnarmoredLegendary",CLASSFEATUREHEADERS,0),MATCH($A1984,CLASSNAMEHEADERS,0))),(INDEX(ALLCLASSDATA,MATCH("UnarmoredLegendary",CLASSFEATUREHEADERS,0),MATCH(($A1984 &amp; "Points"),CLASSNAMEHEADERS,0))),(IF("01"=(INDEX(ALLCLASSDATA,MATCH("UnarmoredMaster",CLASSFEATUREHEADERS,0),MATCH($A1984,CLASSNAMEHEADERS,0))),(INDEX(ALLCLASSDATA,MATCH("UnarmoredMaster",CLASSFEATUREHEADERS,0),MATCH(($A1984 &amp; "Points"),CLASSNAMEHEADERS,0))),(IF("01"=(INDEX(ALLCLASSDATA,MATCH("UnarmoredExpert",CLASSFEATUREHEADERS,0),MATCH($A1984,CLASSNAMEHEADERS,0))),(INDEX(ALLCLASSDATA,MATCH("UnarmoredExpert",CLASSFEATUREHEADERS,0),MATCH(($A1984 &amp; "Points"),CLASSNAMEHEADERS,0))),(IF("01"=(INDEX(ALLCLASSDATA,MATCH("UnarmoredTrained",CLASSFEATUREHEADERS,0),MATCH($A1984,CLASSNAMEHEADERS,0))),(INDEX(ALLCLASSDATA,MATCH("UnarmoredTrained",CLASSFEATUREHEADERS,0),MATCH(($A1984 &amp; "Points"),CLASSNAMEHEADERS,0))),"")))))))))}</f>
        <v>UNARMOREDL01</v>
      </c>
      <c r="I1983" s="223"/>
      <c r="J1983" s="223" t="str">
        <f t="array" ref="J1983:J1984">{"UNARMOREDL03";((IF("03"=(INDEX(ALLCLASSDATA,MATCH("UnarmoredLegendary",CLASSFEATUREHEADERS,0),MATCH($A1984,CLASSNAMEHEADERS,0))),(INDEX(ALLCLASSDATA,MATCH("UnarmoredLegendary",CLASSFEATUREHEADERS,0),MATCH(($A1984 &amp; "Points"),CLASSNAMEHEADERS,0))),(IF("03"=(INDEX(ALLCLASSDATA,MATCH("UnarmoredMaster",CLASSFEATUREHEADERS,0),MATCH($A1984,CLASSNAMEHEADERS,0))),(INDEX(ALLCLASSDATA,MATCH("UnarmoredMaster",CLASSFEATUREHEADERS,0),MATCH(($A1984 &amp; "Points"),CLASSNAMEHEADERS,0))),(IF("03"=(INDEX(ALLCLASSDATA,MATCH("UnarmoredExpert",CLASSFEATUREHEADERS,0),MATCH($A1984,CLASSNAMEHEADERS,0))),(INDEX(ALLCLASSDATA,MATCH("UnarmoredExpert",CLASSFEATUREHEADERS,0),MATCH(($A1984 &amp; "Points"),CLASSNAMEHEADERS,0))),(IF("03"=(INDEX(ALLCLASSDATA,MATCH("UnarmoredTrained",CLASSFEATUREHEADERS,0),MATCH($A1984,CLASSNAMEHEADERS,0))),(INDEX(ALLCLASSDATA,MATCH("UnarmoredTrained",CLASSFEATUREHEADERS,0),MATCH(($A1984 &amp; "Points"),CLASSNAMEHEADERS,0))),"")))))))))}</f>
        <v>UNARMOREDL03</v>
      </c>
      <c r="K1983" s="223"/>
      <c r="L1983" s="223" t="str">
        <f t="array" ref="L1983:L1984">{"UNARMOREDL05";((IF("05"=(INDEX(ALLCLASSDATA,MATCH("UnarmoredLegendary",CLASSFEATUREHEADERS,0),MATCH($A1984,CLASSNAMEHEADERS,0))),(INDEX(ALLCLASSDATA,MATCH("UnarmoredLegendary",CLASSFEATUREHEADERS,0),MATCH(($A1984 &amp; "Points"),CLASSNAMEHEADERS,0))),(IF("05"=(INDEX(ALLCLASSDATA,MATCH("UnarmoredMaster",CLASSFEATUREHEADERS,0),MATCH($A1984,CLASSNAMEHEADERS,0))),(INDEX(ALLCLASSDATA,MATCH("UnarmoredMaster",CLASSFEATUREHEADERS,0),MATCH(($A1984 &amp; "Points"),CLASSNAMEHEADERS,0))),(IF("05"=(INDEX(ALLCLASSDATA,MATCH("UnarmoredExpert",CLASSFEATUREHEADERS,0),MATCH($A1984,CLASSNAMEHEADERS,0))),(INDEX(ALLCLASSDATA,MATCH("UnarmoredExpert",CLASSFEATUREHEADERS,0),MATCH(($A1984 &amp; "Points"),CLASSNAMEHEADERS,0))),(IF("05"=(INDEX(ALLCLASSDATA,MATCH("UnarmoredTrained",CLASSFEATUREHEADERS,0),MATCH($A1984,CLASSNAMEHEADERS,0))),(INDEX(ALLCLASSDATA,MATCH("UnarmoredTrained",CLASSFEATUREHEADERS,0),MATCH(($A1984 &amp; "Points"),CLASSNAMEHEADERS,0))),"")))))))))}</f>
        <v>UNARMOREDL05</v>
      </c>
      <c r="M1983" s="223"/>
      <c r="N1983" s="223" t="str">
        <f t="array" ref="N1983:N1984">{"UNARMOREDL07";((IF("07"=(INDEX(ALLCLASSDATA,MATCH("UnarmoredLegendary",CLASSFEATUREHEADERS,0),MATCH($A1984,CLASSNAMEHEADERS,0))),(INDEX(ALLCLASSDATA,MATCH("UnarmoredLegendary",CLASSFEATUREHEADERS,0),MATCH(($A1984 &amp; "Points"),CLASSNAMEHEADERS,0))),(IF("07"=(INDEX(ALLCLASSDATA,MATCH("UnarmoredMaster",CLASSFEATUREHEADERS,0),MATCH($A1984,CLASSNAMEHEADERS,0))),(INDEX(ALLCLASSDATA,MATCH("UnarmoredMaster",CLASSFEATUREHEADERS,0),MATCH(($A1984 &amp; "Points"),CLASSNAMEHEADERS,0))),(IF("07"=(INDEX(ALLCLASSDATA,MATCH("UnarmoredExpert",CLASSFEATUREHEADERS,0),MATCH($A1984,CLASSNAMEHEADERS,0))),(INDEX(ALLCLASSDATA,MATCH("UnarmoredExpert",CLASSFEATUREHEADERS,0),MATCH(($A1984 &amp; "Points"),CLASSNAMEHEADERS,0))),(IF("07"=(INDEX(ALLCLASSDATA,MATCH("UnarmoredTrained",CLASSFEATUREHEADERS,0),MATCH($A1984,CLASSNAMEHEADERS,0))),(INDEX(ALLCLASSDATA,MATCH("UnarmoredTrained",CLASSFEATUREHEADERS,0),MATCH(($A1984 &amp; "Points"),CLASSNAMEHEADERS,0))),"")))))))))}</f>
        <v>UNARMOREDL07</v>
      </c>
      <c r="O1983" s="223"/>
      <c r="P1983" s="223" t="str">
        <f t="array" ref="P1983:P1984">{"UNARMOREDL09";((IF("09"=(INDEX(ALLCLASSDATA,MATCH("UnarmoredLegendary",CLASSFEATUREHEADERS,0),MATCH($A1984,CLASSNAMEHEADERS,0))),(INDEX(ALLCLASSDATA,MATCH("UnarmoredLegendary",CLASSFEATUREHEADERS,0),MATCH(($A1984 &amp; "Points"),CLASSNAMEHEADERS,0))),(IF("09"=(INDEX(ALLCLASSDATA,MATCH("UnarmoredMaster",CLASSFEATUREHEADERS,0),MATCH($A1984,CLASSNAMEHEADERS,0))),(INDEX(ALLCLASSDATA,MATCH("UnarmoredMaster",CLASSFEATUREHEADERS,0),MATCH(($A1984 &amp; "Points"),CLASSNAMEHEADERS,0))),(IF("09"=(INDEX(ALLCLASSDATA,MATCH("UnarmoredExpert",CLASSFEATUREHEADERS,0),MATCH($A1984,CLASSNAMEHEADERS,0))),(INDEX(ALLCLASSDATA,MATCH("UnarmoredExpert",CLASSFEATUREHEADERS,0),MATCH(($A1984 &amp; "Points"),CLASSNAMEHEADERS,0))),(IF("09"=(INDEX(ALLCLASSDATA,MATCH("UnarmoredTrained",CLASSFEATUREHEADERS,0),MATCH($A1984,CLASSNAMEHEADERS,0))),(INDEX(ALLCLASSDATA,MATCH("UnarmoredTrained",CLASSFEATUREHEADERS,0),MATCH(($A1984 &amp; "Points"),CLASSNAMEHEADERS,0))),"")))))))))}</f>
        <v>UNARMOREDL09</v>
      </c>
      <c r="Q1983" s="223"/>
      <c r="R1983" s="223" t="str">
        <f t="array" ref="R1983:R1984">{"UNARMOREDL11";((IF("11"=(INDEX(ALLCLASSDATA,MATCH("UnarmoredLegendary",CLASSFEATUREHEADERS,0),MATCH($A1984,CLASSNAMEHEADERS,0))),(INDEX(ALLCLASSDATA,MATCH("UnarmoredLegendary",CLASSFEATUREHEADERS,0),MATCH(($A1984 &amp; "Points"),CLASSNAMEHEADERS,0))),(IF("11"=(INDEX(ALLCLASSDATA,MATCH("UnarmoredMaster",CLASSFEATUREHEADERS,0),MATCH($A1984,CLASSNAMEHEADERS,0))),(INDEX(ALLCLASSDATA,MATCH("UnarmoredMaster",CLASSFEATUREHEADERS,0),MATCH(($A1984 &amp; "Points"),CLASSNAMEHEADERS,0))),(IF("11"=(INDEX(ALLCLASSDATA,MATCH("UnarmoredExpert",CLASSFEATUREHEADERS,0),MATCH($A1984,CLASSNAMEHEADERS,0))),(INDEX(ALLCLASSDATA,MATCH("UnarmoredExpert",CLASSFEATUREHEADERS,0),MATCH(($A1984 &amp; "Points"),CLASSNAMEHEADERS,0))),(IF("11"=(INDEX(ALLCLASSDATA,MATCH("UnarmoredTrained",CLASSFEATUREHEADERS,0),MATCH($A1984,CLASSNAMEHEADERS,0))),(INDEX(ALLCLASSDATA,MATCH("UnarmoredTrained",CLASSFEATUREHEADERS,0),MATCH(($A1984 &amp; "Points"),CLASSNAMEHEADERS,0))),"")))))))))}</f>
        <v>UNARMOREDL11</v>
      </c>
      <c r="S1983" s="223"/>
      <c r="T1983" s="223" t="str">
        <f t="array" ref="T1983:T1984">{"UNARMOREDL13";((IF("13"=(INDEX(ALLCLASSDATA,MATCH("UnarmoredLegendary",CLASSFEATUREHEADERS,0),MATCH($A1984,CLASSNAMEHEADERS,0))),(INDEX(ALLCLASSDATA,MATCH("UnarmoredLegendary",CLASSFEATUREHEADERS,0),MATCH(($A1984 &amp; "Points"),CLASSNAMEHEADERS,0))),(IF("13"=(INDEX(ALLCLASSDATA,MATCH("UnarmoredMaster",CLASSFEATUREHEADERS,0),MATCH($A1984,CLASSNAMEHEADERS,0))),(INDEX(ALLCLASSDATA,MATCH("UnarmoredMaster",CLASSFEATUREHEADERS,0),MATCH(($A1984 &amp; "Points"),CLASSNAMEHEADERS,0))),(IF("13"=(INDEX(ALLCLASSDATA,MATCH("UnarmoredExpert",CLASSFEATUREHEADERS,0),MATCH($A1984,CLASSNAMEHEADERS,0))),(INDEX(ALLCLASSDATA,MATCH("UnarmoredExpert",CLASSFEATUREHEADERS,0),MATCH(($A1984 &amp; "Points"),CLASSNAMEHEADERS,0))),(IF("13"=(INDEX(ALLCLASSDATA,MATCH("UnarmoredTrained",CLASSFEATUREHEADERS,0),MATCH($A1984,CLASSNAMEHEADERS,0))),(INDEX(ALLCLASSDATA,MATCH("UnarmoredTrained",CLASSFEATUREHEADERS,0),MATCH(($A1984 &amp; "Points"),CLASSNAMEHEADERS,0))),"")))))))))}</f>
        <v>UNARMOREDL13</v>
      </c>
      <c r="U1983" s="223"/>
      <c r="V1983" s="223" t="str">
        <f t="array" ref="V1983:V1984">{"UNARMOREDL15";((IF("15"=(INDEX(ALLCLASSDATA,MATCH("UnarmoredLegendary",CLASSFEATUREHEADERS,0),MATCH($A1984,CLASSNAMEHEADERS,0))),(INDEX(ALLCLASSDATA,MATCH("UnarmoredLegendary",CLASSFEATUREHEADERS,0),MATCH(($A1984 &amp; "Points"),CLASSNAMEHEADERS,0))),(IF("15"=(INDEX(ALLCLASSDATA,MATCH("UnarmoredMaster",CLASSFEATUREHEADERS,0),MATCH($A1984,CLASSNAMEHEADERS,0))),(INDEX(ALLCLASSDATA,MATCH("UnarmoredMaster",CLASSFEATUREHEADERS,0),MATCH(($A1984 &amp; "Points"),CLASSNAMEHEADERS,0))),(IF("15"=(INDEX(ALLCLASSDATA,MATCH("UnarmoredExpert",CLASSFEATUREHEADERS,0),MATCH($A1984,CLASSNAMEHEADERS,0))),(INDEX(ALLCLASSDATA,MATCH("UnarmoredExpert",CLASSFEATUREHEADERS,0),MATCH(($A1984 &amp; "Points"),CLASSNAMEHEADERS,0))),(IF("15"=(INDEX(ALLCLASSDATA,MATCH("UnarmoredTrained",CLASSFEATUREHEADERS,0),MATCH($A1984,CLASSNAMEHEADERS,0))),(INDEX(ALLCLASSDATA,MATCH("UnarmoredTrained",CLASSFEATUREHEADERS,0),MATCH(($A1984 &amp; "Points"),CLASSNAMEHEADERS,0))),"")))))))))}</f>
        <v>UNARMOREDL15</v>
      </c>
      <c r="W1983" s="223"/>
      <c r="X1983" s="223" t="str">
        <f t="array" ref="X1983:X1984">{"UNARMOREDL17";((IF("17"=(INDEX(ALLCLASSDATA,MATCH("UnarmoredLegendary",CLASSFEATUREHEADERS,0),MATCH($A1984,CLASSNAMEHEADERS,0))),(INDEX(ALLCLASSDATA,MATCH("UnarmoredLegendary",CLASSFEATUREHEADERS,0),MATCH(($A1984 &amp; "Points"),CLASSNAMEHEADERS,0))),(IF("17"=(INDEX(ALLCLASSDATA,MATCH("UnarmoredMaster",CLASSFEATUREHEADERS,0),MATCH($A1984,CLASSNAMEHEADERS,0))),(INDEX(ALLCLASSDATA,MATCH("UnarmoredMaster",CLASSFEATUREHEADERS,0),MATCH(($A1984 &amp; "Points"),CLASSNAMEHEADERS,0))),(IF("17"=(INDEX(ALLCLASSDATA,MATCH("UnarmoredExpert",CLASSFEATUREHEADERS,0),MATCH($A1984,CLASSNAMEHEADERS,0))),(INDEX(ALLCLASSDATA,MATCH("UnarmoredExpert",CLASSFEATUREHEADERS,0),MATCH(($A1984 &amp; "Points"),CLASSNAMEHEADERS,0))),(IF("17"=(INDEX(ALLCLASSDATA,MATCH("UnarmoredTrained",CLASSFEATUREHEADERS,0),MATCH($A1984,CLASSNAMEHEADERS,0))),(INDEX(ALLCLASSDATA,MATCH("UnarmoredTrained",CLASSFEATUREHEADERS,0),MATCH(($A1984 &amp; "Points"),CLASSNAMEHEADERS,0))),"")))))))))}</f>
        <v>UNARMOREDL17</v>
      </c>
      <c r="Y1983" s="223"/>
      <c r="Z1983" s="223" t="str">
        <f t="array" ref="Z1983:Z1984">{"UNARMOREDL19";((IF("19"=(INDEX(ALLCLASSDATA,MATCH("UnarmoredLegendary",CLASSFEATUREHEADERS,0),MATCH($A1984,CLASSNAMEHEADERS,0))),(INDEX(ALLCLASSDATA,MATCH("UnarmoredLegendary",CLASSFEATUREHEADERS,0),MATCH(($A1984 &amp; "Points"),CLASSNAMEHEADERS,0))),(IF("19"=(INDEX(ALLCLASSDATA,MATCH("UnarmoredMaster",CLASSFEATUREHEADERS,0),MATCH($A1984,CLASSNAMEHEADERS,0))),(INDEX(ALLCLASSDATA,MATCH("UnarmoredMaster",CLASSFEATUREHEADERS,0),MATCH(($A1984 &amp; "Points"),CLASSNAMEHEADERS,0))),(IF("19"=(INDEX(ALLCLASSDATA,MATCH("UnarmoredExpert",CLASSFEATUREHEADERS,0),MATCH($A1984,CLASSNAMEHEADERS,0))),(INDEX(ALLCLASSDATA,MATCH("UnarmoredExpert",CLASSFEATUREHEADERS,0),MATCH(($A1984 &amp; "Points"),CLASSNAMEHEADERS,0))),(IF("19"=(INDEX(ALLCLASSDATA,MATCH("UnarmoredTrained",CLASSFEATUREHEADERS,0),MATCH($A1984,CLASSNAMEHEADERS,0))),(INDEX(ALLCLASSDATA,MATCH("UnarmoredTrained",CLASSFEATUREHEADERS,0),MATCH(($A1984 &amp; "Points"),CLASSNAMEHEADERS,0))),"")))))))))}</f>
        <v>UNARMOREDL19</v>
      </c>
      <c r="AA1983" s="223"/>
      <c r="AB1983" s="76" t="str">
        <f t="array" ref="AB1983:AB1984">{"UNARMORED TOTAL";(IF(COUNTBLANK(G1984:AA1984)=17,"L",(IF(COUNTBLANK(G1984:AA1984)=18,"M",(IF(COUNTBLANK(G1984:AA1984)=19,"E",(IF(COUNTBLANK(G1984:AA1984)=20,"T",""))))))))}</f>
        <v>UNARMORED TOTAL</v>
      </c>
      <c r="AC1983" s="76" t="str">
        <f t="array" ref="AC1983:AC1984">{"UNARMORED TOTAL";(sum(G1984:AA1984))}</f>
        <v>UNARMORED TOTAL</v>
      </c>
    </row>
    <row r="1984">
      <c r="A1984" s="48" t="s">
        <v>231</v>
      </c>
      <c r="B1984" s="48"/>
      <c r="C1984" s="48" t="s">
        <v>418</v>
      </c>
      <c r="D1984" s="48" t="s">
        <v>1900</v>
      </c>
      <c r="E1984" s="48" t="s">
        <v>78</v>
      </c>
      <c r="F1984" s="5" t="s">
        <v>435</v>
      </c>
      <c r="G1984" s="47" t="s">
        <v>603</v>
      </c>
      <c r="H1984" s="5">
        <v>10.0</v>
      </c>
      <c r="I1984" s="5"/>
      <c r="J1984" s="5" t="s">
        <v>603</v>
      </c>
      <c r="K1984" s="5"/>
      <c r="L1984" s="5" t="s">
        <v>603</v>
      </c>
      <c r="M1984" s="5"/>
      <c r="N1984" s="5" t="s">
        <v>603</v>
      </c>
      <c r="O1984" s="5"/>
      <c r="P1984" s="5" t="s">
        <v>603</v>
      </c>
      <c r="Q1984" s="5"/>
      <c r="R1984" s="5" t="s">
        <v>603</v>
      </c>
      <c r="S1984" s="5"/>
      <c r="T1984" s="5">
        <v>50.0</v>
      </c>
      <c r="U1984" s="5"/>
      <c r="V1984" s="5" t="s">
        <v>603</v>
      </c>
      <c r="W1984" s="5"/>
      <c r="X1984" s="5" t="s">
        <v>603</v>
      </c>
      <c r="Y1984" s="5"/>
      <c r="Z1984" s="5" t="s">
        <v>603</v>
      </c>
      <c r="AA1984" s="5"/>
      <c r="AB1984" s="5" t="s">
        <v>436</v>
      </c>
      <c r="AC1984" s="47">
        <v>60.0</v>
      </c>
    </row>
    <row r="1985" hidden="1">
      <c r="A1985" s="222" t="str">
        <f t="array" ref="A1985:A1986">{"FormulaRow36";(INDEX(CLASSLIST,A1914,1))}</f>
        <v>FormulaRow36</v>
      </c>
      <c r="B1985" s="77" t="s">
        <v>236</v>
      </c>
      <c r="C1985" s="222" t="str">
        <f t="array" ref="C1985:C1986">{"CLASSTYPE";((INDEX(ALLCLASSDATA,MATCH("ClassType",CLASSFEATUREHEADERS,0),MATCH($A1986,CLASSNAMEHEADERS,0))))}</f>
        <v>CLASSTYPE</v>
      </c>
      <c r="D1985" s="222" t="str">
        <f t="array" ref="D1985:D1986">{"DEFENSE";"Defense"}</f>
        <v>DEFENSE</v>
      </c>
      <c r="E1985" s="222" t="str">
        <f t="array" ref="E1985:E1986">{"LIGHT";"Light"}</f>
        <v>LIGHT</v>
      </c>
      <c r="F1985" s="223" t="str">
        <f t="array" ref="F1985:F1986">{"LIGHTINITIAL";((IF(H1986=10,"T",(IF(H1986=50,"E","")))))}</f>
        <v>LIGHTINITIAL</v>
      </c>
      <c r="G1985" s="223" t="str">
        <f t="array" ref="G1985:G1986">{"LIGHTINITIALPTS";((IF("00"=(INDEX(ALLCLASSDATA,MATCH("LightLegendary",CLASSFEATUREHEADERS,0),MATCH($A1986,CLASSNAMEHEADERS,0))),(INDEX(ALLCLASSDATA,MATCH("LightLegendary",CLASSFEATUREHEADERS,0),MATCH(($A1986 &amp; "Points"),CLASSNAMEHEADERS,0))),(IF("00"=(INDEX(ALLCLASSDATA,MATCH("LightMaster",CLASSFEATUREHEADERS,0),MATCH($A1986,CLASSNAMEHEADERS,0))),(INDEX(ALLCLASSDATA,MATCH("LightMaster",CLASSFEATUREHEADERS,0),MATCH(($A1986 &amp; "Points"),CLASSNAMEHEADERS,0))),(IF("00"=(INDEX(ALLCLASSDATA,MATCH("LightExpert",CLASSFEATUREHEADERS,0),MATCH($A1986,CLASSNAMEHEADERS,0))),(INDEX(ALLCLASSDATA,MATCH("LightExpert",CLASSFEATUREHEADERS,0),MATCH(($A1986 &amp; "Points"),CLASSNAMEHEADERS,0))),(IF("00"=(INDEX(ALLCLASSDATA,MATCH("LightTrained",CLASSFEATUREHEADERS,0),MATCH($A1986,CLASSNAMEHEADERS,0))),(INDEX(ALLCLASSDATA,MATCH("LightTrained",CLASSFEATUREHEADERS,0),MATCH(($A1986 &amp; "Points"),CLASSNAMEHEADERS,0))),"")))))))))}</f>
        <v>LIGHTINITIALPTS</v>
      </c>
      <c r="H1985" s="223" t="str">
        <f t="array" ref="H1985:H1986">{"LIGHTL01";((IF("01"=(INDEX(ALLCLASSDATA,MATCH("LightLegendary",CLASSFEATUREHEADERS,0),MATCH($A1986,CLASSNAMEHEADERS,0))),(INDEX(ALLCLASSDATA,MATCH("LightLegendary",CLASSFEATUREHEADERS,0),MATCH(($A1986 &amp; "Points"),CLASSNAMEHEADERS,0))),(IF("01"=(INDEX(ALLCLASSDATA,MATCH("LightMaster",CLASSFEATUREHEADERS,0),MATCH($A1986,CLASSNAMEHEADERS,0))),(INDEX(ALLCLASSDATA,MATCH("LightMaster",CLASSFEATUREHEADERS,0),MATCH(($A1986 &amp; "Points"),CLASSNAMEHEADERS,0))),(IF("01"=(INDEX(ALLCLASSDATA,MATCH("LightExpert",CLASSFEATUREHEADERS,0),MATCH($A1986,CLASSNAMEHEADERS,0))),(INDEX(ALLCLASSDATA,MATCH("LightExpert",CLASSFEATUREHEADERS,0),MATCH(($A1986 &amp; "Points"),CLASSNAMEHEADERS,0))),(IF("01"=(INDEX(ALLCLASSDATA,MATCH("LightTrained",CLASSFEATUREHEADERS,0),MATCH($A1986,CLASSNAMEHEADERS,0))),(INDEX(ALLCLASSDATA,MATCH("LightTrained",CLASSFEATUREHEADERS,0),MATCH(($A1986 &amp; "Points"),CLASSNAMEHEADERS,0))),"")))))))))}</f>
        <v>LIGHTL01</v>
      </c>
      <c r="I1985" s="223"/>
      <c r="J1985" s="223" t="str">
        <f t="array" ref="J1985:J1986">{"LIGHTL03";((IF("03"=(INDEX(ALLCLASSDATA,MATCH("LightLegendary",CLASSFEATUREHEADERS,0),MATCH($A1986,CLASSNAMEHEADERS,0))),(INDEX(ALLCLASSDATA,MATCH("LightLegendary",CLASSFEATUREHEADERS,0),MATCH(($A1986 &amp; "Points"),CLASSNAMEHEADERS,0))),(IF("03"=(INDEX(ALLCLASSDATA,MATCH("LightMaster",CLASSFEATUREHEADERS,0),MATCH($A1986,CLASSNAMEHEADERS,0))),(INDEX(ALLCLASSDATA,MATCH("LightMaster",CLASSFEATUREHEADERS,0),MATCH(($A1986 &amp; "Points"),CLASSNAMEHEADERS,0))),(IF("03"=(INDEX(ALLCLASSDATA,MATCH("LightExpert",CLASSFEATUREHEADERS,0),MATCH($A1986,CLASSNAMEHEADERS,0))),(INDEX(ALLCLASSDATA,MATCH("LightExpert",CLASSFEATUREHEADERS,0),MATCH(($A1986 &amp; "Points"),CLASSNAMEHEADERS,0))),(IF("03"=(INDEX(ALLCLASSDATA,MATCH("LightTrained",CLASSFEATUREHEADERS,0),MATCH($A1986,CLASSNAMEHEADERS,0))),(INDEX(ALLCLASSDATA,MATCH("LightTrained",CLASSFEATUREHEADERS,0),MATCH(($A1986 &amp; "Points"),CLASSNAMEHEADERS,0))),"")))))))))}</f>
        <v>LIGHTL03</v>
      </c>
      <c r="K1985" s="223"/>
      <c r="L1985" s="223" t="str">
        <f t="array" ref="L1985:L1986">{"LIGHTL05";((IF("05"=(INDEX(ALLCLASSDATA,MATCH("LightLegendary",CLASSFEATUREHEADERS,0),MATCH($A1986,CLASSNAMEHEADERS,0))),(INDEX(ALLCLASSDATA,MATCH("LightLegendary",CLASSFEATUREHEADERS,0),MATCH(($A1986 &amp; "Points"),CLASSNAMEHEADERS,0))),(IF("05"=(INDEX(ALLCLASSDATA,MATCH("LightMaster",CLASSFEATUREHEADERS,0),MATCH($A1986,CLASSNAMEHEADERS,0))),(INDEX(ALLCLASSDATA,MATCH("LightMaster",CLASSFEATUREHEADERS,0),MATCH(($A1986 &amp; "Points"),CLASSNAMEHEADERS,0))),(IF("05"=(INDEX(ALLCLASSDATA,MATCH("LightExpert",CLASSFEATUREHEADERS,0),MATCH($A1986,CLASSNAMEHEADERS,0))),(INDEX(ALLCLASSDATA,MATCH("LightExpert",CLASSFEATUREHEADERS,0),MATCH(($A1986 &amp; "Points"),CLASSNAMEHEADERS,0))),(IF("05"=(INDEX(ALLCLASSDATA,MATCH("LightTrained",CLASSFEATUREHEADERS,0),MATCH($A1986,CLASSNAMEHEADERS,0))),(INDEX(ALLCLASSDATA,MATCH("LightTrained",CLASSFEATUREHEADERS,0),MATCH(($A1986 &amp; "Points"),CLASSNAMEHEADERS,0))),"")))))))))}</f>
        <v>LIGHTL05</v>
      </c>
      <c r="M1985" s="223"/>
      <c r="N1985" s="223" t="str">
        <f t="array" ref="N1985:N1986">{"LIGHTL07";((IF("07"=(INDEX(ALLCLASSDATA,MATCH("LightLegendary",CLASSFEATUREHEADERS,0),MATCH($A1986,CLASSNAMEHEADERS,0))),(INDEX(ALLCLASSDATA,MATCH("LightLegendary",CLASSFEATUREHEADERS,0),MATCH(($A1986 &amp; "Points"),CLASSNAMEHEADERS,0))),(IF("07"=(INDEX(ALLCLASSDATA,MATCH("LightMaster",CLASSFEATUREHEADERS,0),MATCH($A1986,CLASSNAMEHEADERS,0))),(INDEX(ALLCLASSDATA,MATCH("LightMaster",CLASSFEATUREHEADERS,0),MATCH(($A1986 &amp; "Points"),CLASSNAMEHEADERS,0))),(IF("07"=(INDEX(ALLCLASSDATA,MATCH("LightExpert",CLASSFEATUREHEADERS,0),MATCH($A1986,CLASSNAMEHEADERS,0))),(INDEX(ALLCLASSDATA,MATCH("LightExpert",CLASSFEATUREHEADERS,0),MATCH(($A1986 &amp; "Points"),CLASSNAMEHEADERS,0))),(IF("07"=(INDEX(ALLCLASSDATA,MATCH("LightTrained",CLASSFEATUREHEADERS,0),MATCH($A1986,CLASSNAMEHEADERS,0))),(INDEX(ALLCLASSDATA,MATCH("LightTrained",CLASSFEATUREHEADERS,0),MATCH(($A1986 &amp; "Points"),CLASSNAMEHEADERS,0))),"")))))))))}</f>
        <v>LIGHTL07</v>
      </c>
      <c r="O1985" s="223"/>
      <c r="P1985" s="223" t="str">
        <f t="array" ref="P1985:P1986">{"LIGHTL09";((IF("09"=(INDEX(ALLCLASSDATA,MATCH("LightLegendary",CLASSFEATUREHEADERS,0),MATCH($A1986,CLASSNAMEHEADERS,0))),(INDEX(ALLCLASSDATA,MATCH("LightLegendary",CLASSFEATUREHEADERS,0),MATCH(($A1986 &amp; "Points"),CLASSNAMEHEADERS,0))),(IF("09"=(INDEX(ALLCLASSDATA,MATCH("LightMaster",CLASSFEATUREHEADERS,0),MATCH($A1986,CLASSNAMEHEADERS,0))),(INDEX(ALLCLASSDATA,MATCH("LightMaster",CLASSFEATUREHEADERS,0),MATCH(($A1986 &amp; "Points"),CLASSNAMEHEADERS,0))),(IF("09"=(INDEX(ALLCLASSDATA,MATCH("LightExpert",CLASSFEATUREHEADERS,0),MATCH($A1986,CLASSNAMEHEADERS,0))),(INDEX(ALLCLASSDATA,MATCH("LightExpert",CLASSFEATUREHEADERS,0),MATCH(($A1986 &amp; "Points"),CLASSNAMEHEADERS,0))),(IF("09"=(INDEX(ALLCLASSDATA,MATCH("LightTrained",CLASSFEATUREHEADERS,0),MATCH($A1986,CLASSNAMEHEADERS,0))),(INDEX(ALLCLASSDATA,MATCH("LightTrained",CLASSFEATUREHEADERS,0),MATCH(($A1986 &amp; "Points"),CLASSNAMEHEADERS,0))),"")))))))))}</f>
        <v>LIGHTL09</v>
      </c>
      <c r="Q1985" s="223"/>
      <c r="R1985" s="223" t="str">
        <f t="array" ref="R1985:R1986">{"LIGHTL11";((IF("11"=(INDEX(ALLCLASSDATA,MATCH("LightLegendary",CLASSFEATUREHEADERS,0),MATCH($A1986,CLASSNAMEHEADERS,0))),(INDEX(ALLCLASSDATA,MATCH("LightLegendary",CLASSFEATUREHEADERS,0),MATCH(($A1986 &amp; "Points"),CLASSNAMEHEADERS,0))),(IF("11"=(INDEX(ALLCLASSDATA,MATCH("LightMaster",CLASSFEATUREHEADERS,0),MATCH($A1986,CLASSNAMEHEADERS,0))),(INDEX(ALLCLASSDATA,MATCH("LightMaster",CLASSFEATUREHEADERS,0),MATCH(($A1986 &amp; "Points"),CLASSNAMEHEADERS,0))),(IF("11"=(INDEX(ALLCLASSDATA,MATCH("LightExpert",CLASSFEATUREHEADERS,0),MATCH($A1986,CLASSNAMEHEADERS,0))),(INDEX(ALLCLASSDATA,MATCH("LightExpert",CLASSFEATUREHEADERS,0),MATCH(($A1986 &amp; "Points"),CLASSNAMEHEADERS,0))),(IF("11"=(INDEX(ALLCLASSDATA,MATCH("LightTrained",CLASSFEATUREHEADERS,0),MATCH($A1986,CLASSNAMEHEADERS,0))),(INDEX(ALLCLASSDATA,MATCH("LightTrained",CLASSFEATUREHEADERS,0),MATCH(($A1986 &amp; "Points"),CLASSNAMEHEADERS,0))),"")))))))))}</f>
        <v>LIGHTL11</v>
      </c>
      <c r="S1985" s="223"/>
      <c r="T1985" s="223" t="str">
        <f t="array" ref="T1985:T1986">{"LIGHTL13";((IF("13"=(INDEX(ALLCLASSDATA,MATCH("LightLegendary",CLASSFEATUREHEADERS,0),MATCH($A1986,CLASSNAMEHEADERS,0))),(INDEX(ALLCLASSDATA,MATCH("LightLegendary",CLASSFEATUREHEADERS,0),MATCH(($A1986 &amp; "Points"),CLASSNAMEHEADERS,0))),(IF("13"=(INDEX(ALLCLASSDATA,MATCH("LightMaster",CLASSFEATUREHEADERS,0),MATCH($A1986,CLASSNAMEHEADERS,0))),(INDEX(ALLCLASSDATA,MATCH("LightMaster",CLASSFEATUREHEADERS,0),MATCH(($A1986 &amp; "Points"),CLASSNAMEHEADERS,0))),(IF("13"=(INDEX(ALLCLASSDATA,MATCH("LightExpert",CLASSFEATUREHEADERS,0),MATCH($A1986,CLASSNAMEHEADERS,0))),(INDEX(ALLCLASSDATA,MATCH("LightExpert",CLASSFEATUREHEADERS,0),MATCH(($A1986 &amp; "Points"),CLASSNAMEHEADERS,0))),(IF("13"=(INDEX(ALLCLASSDATA,MATCH("LightTrained",CLASSFEATUREHEADERS,0),MATCH($A1986,CLASSNAMEHEADERS,0))),(INDEX(ALLCLASSDATA,MATCH("LightTrained",CLASSFEATUREHEADERS,0),MATCH(($A1986 &amp; "Points"),CLASSNAMEHEADERS,0))),"")))))))))}</f>
        <v>LIGHTL13</v>
      </c>
      <c r="U1985" s="223"/>
      <c r="V1985" s="223" t="str">
        <f t="array" ref="V1985:V1986">{"LIGHTL15";((IF("15"=(INDEX(ALLCLASSDATA,MATCH("LightLegendary",CLASSFEATUREHEADERS,0),MATCH($A1986,CLASSNAMEHEADERS,0))),(INDEX(ALLCLASSDATA,MATCH("LightLegendary",CLASSFEATUREHEADERS,0),MATCH(($A1986 &amp; "Points"),CLASSNAMEHEADERS,0))),(IF("15"=(INDEX(ALLCLASSDATA,MATCH("LightMaster",CLASSFEATUREHEADERS,0),MATCH($A1986,CLASSNAMEHEADERS,0))),(INDEX(ALLCLASSDATA,MATCH("LightMaster",CLASSFEATUREHEADERS,0),MATCH(($A1986 &amp; "Points"),CLASSNAMEHEADERS,0))),(IF("15"=(INDEX(ALLCLASSDATA,MATCH("LightExpert",CLASSFEATUREHEADERS,0),MATCH($A1986,CLASSNAMEHEADERS,0))),(INDEX(ALLCLASSDATA,MATCH("LightExpert",CLASSFEATUREHEADERS,0),MATCH(($A1986 &amp; "Points"),CLASSNAMEHEADERS,0))),(IF("15"=(INDEX(ALLCLASSDATA,MATCH("LightTrained",CLASSFEATUREHEADERS,0),MATCH($A1986,CLASSNAMEHEADERS,0))),(INDEX(ALLCLASSDATA,MATCH("LightTrained",CLASSFEATUREHEADERS,0),MATCH(($A1986 &amp; "Points"),CLASSNAMEHEADERS,0))),"")))))))))}</f>
        <v>LIGHTL15</v>
      </c>
      <c r="W1985" s="223"/>
      <c r="X1985" s="223" t="str">
        <f t="array" ref="X1985:X1986">{"LIGHTL17";((IF("17"=(INDEX(ALLCLASSDATA,MATCH("LightLegendary",CLASSFEATUREHEADERS,0),MATCH($A1986,CLASSNAMEHEADERS,0))),(INDEX(ALLCLASSDATA,MATCH("LightLegendary",CLASSFEATUREHEADERS,0),MATCH(($A1986 &amp; "Points"),CLASSNAMEHEADERS,0))),(IF("17"=(INDEX(ALLCLASSDATA,MATCH("LightMaster",CLASSFEATUREHEADERS,0),MATCH($A1986,CLASSNAMEHEADERS,0))),(INDEX(ALLCLASSDATA,MATCH("LightMaster",CLASSFEATUREHEADERS,0),MATCH(($A1986 &amp; "Points"),CLASSNAMEHEADERS,0))),(IF("17"=(INDEX(ALLCLASSDATA,MATCH("LightExpert",CLASSFEATUREHEADERS,0),MATCH($A1986,CLASSNAMEHEADERS,0))),(INDEX(ALLCLASSDATA,MATCH("LightExpert",CLASSFEATUREHEADERS,0),MATCH(($A1986 &amp; "Points"),CLASSNAMEHEADERS,0))),(IF("17"=(INDEX(ALLCLASSDATA,MATCH("LightTrained",CLASSFEATUREHEADERS,0),MATCH($A1986,CLASSNAMEHEADERS,0))),(INDEX(ALLCLASSDATA,MATCH("LightTrained",CLASSFEATUREHEADERS,0),MATCH(($A1986 &amp; "Points"),CLASSNAMEHEADERS,0))),"")))))))))}</f>
        <v>LIGHTL17</v>
      </c>
      <c r="Y1985" s="223"/>
      <c r="Z1985" s="223" t="str">
        <f t="array" ref="Z1985:Z1986">{"LIGHTL19";((IF("19"=(INDEX(ALLCLASSDATA,MATCH("LightLegendary",CLASSFEATUREHEADERS,0),MATCH($A1986,CLASSNAMEHEADERS,0))),(INDEX(ALLCLASSDATA,MATCH("LightLegendary",CLASSFEATUREHEADERS,0),MATCH(($A1986 &amp; "Points"),CLASSNAMEHEADERS,0))),(IF("19"=(INDEX(ALLCLASSDATA,MATCH("LightMaster",CLASSFEATUREHEADERS,0),MATCH($A1986,CLASSNAMEHEADERS,0))),(INDEX(ALLCLASSDATA,MATCH("LightMaster",CLASSFEATUREHEADERS,0),MATCH(($A1986 &amp; "Points"),CLASSNAMEHEADERS,0))),(IF("19"=(INDEX(ALLCLASSDATA,MATCH("LightExpert",CLASSFEATUREHEADERS,0),MATCH($A1986,CLASSNAMEHEADERS,0))),(INDEX(ALLCLASSDATA,MATCH("LightExpert",CLASSFEATUREHEADERS,0),MATCH(($A1986 &amp; "Points"),CLASSNAMEHEADERS,0))),(IF("19"=(INDEX(ALLCLASSDATA,MATCH("LightTrained",CLASSFEATUREHEADERS,0),MATCH($A1986,CLASSNAMEHEADERS,0))),(INDEX(ALLCLASSDATA,MATCH("LightTrained",CLASSFEATUREHEADERS,0),MATCH(($A1986 &amp; "Points"),CLASSNAMEHEADERS,0))),"")))))))))}</f>
        <v>LIGHTL19</v>
      </c>
      <c r="AA1985" s="223"/>
      <c r="AB1985" s="76" t="str">
        <f t="array" ref="AB1985:AB1986">{"LIGHT TOTAL";(IF(COUNTBLANK(G1986:AA1986)=17,"L",(IF(COUNTBLANK(G1986:AA1986)=18,"M",(IF(COUNTBLANK(G1986:AA1986)=19,"E",(IF(COUNTBLANK(G1986:AA1986)=20,"T",""))))))))}</f>
        <v>LIGHT TOTAL</v>
      </c>
      <c r="AC1985" s="76" t="str">
        <f t="array" ref="AC1985:AC1986">{"LIGHT TOTAL";(sum(G1986:AA1986))}</f>
        <v>LIGHT TOTAL</v>
      </c>
    </row>
    <row r="1986">
      <c r="A1986" s="48" t="s">
        <v>231</v>
      </c>
      <c r="B1986" s="48"/>
      <c r="C1986" s="48" t="s">
        <v>418</v>
      </c>
      <c r="D1986" s="48" t="s">
        <v>1900</v>
      </c>
      <c r="E1986" s="48" t="s">
        <v>77</v>
      </c>
      <c r="F1986" s="5" t="s">
        <v>603</v>
      </c>
      <c r="G1986" s="47" t="s">
        <v>603</v>
      </c>
      <c r="H1986" s="5" t="s">
        <v>603</v>
      </c>
      <c r="I1986" s="5"/>
      <c r="J1986" s="5" t="s">
        <v>603</v>
      </c>
      <c r="K1986" s="5"/>
      <c r="L1986" s="5" t="s">
        <v>603</v>
      </c>
      <c r="M1986" s="5"/>
      <c r="N1986" s="5" t="s">
        <v>603</v>
      </c>
      <c r="O1986" s="5"/>
      <c r="P1986" s="5" t="s">
        <v>603</v>
      </c>
      <c r="Q1986" s="5"/>
      <c r="R1986" s="5" t="s">
        <v>603</v>
      </c>
      <c r="S1986" s="5"/>
      <c r="T1986" s="5" t="s">
        <v>603</v>
      </c>
      <c r="U1986" s="5"/>
      <c r="V1986" s="5" t="s">
        <v>603</v>
      </c>
      <c r="W1986" s="5"/>
      <c r="X1986" s="5" t="s">
        <v>603</v>
      </c>
      <c r="Y1986" s="5"/>
      <c r="Z1986" s="5" t="s">
        <v>603</v>
      </c>
      <c r="AA1986" s="5"/>
      <c r="AB1986" s="5" t="s">
        <v>603</v>
      </c>
      <c r="AC1986" s="47">
        <v>0.0</v>
      </c>
    </row>
    <row r="1987" hidden="1">
      <c r="A1987" s="222" t="str">
        <f t="array" ref="A1987:A1988">{"FormulaRow37";(INDEX(CLASSLIST,A1914,1))}</f>
        <v>FormulaRow37</v>
      </c>
      <c r="B1987" s="77" t="s">
        <v>236</v>
      </c>
      <c r="C1987" s="222" t="str">
        <f t="array" ref="C1987:C1988">{"CLASSTYPE";((INDEX(ALLCLASSDATA,MATCH("ClassType",CLASSFEATUREHEADERS,0),MATCH($A1988,CLASSNAMEHEADERS,0))))}</f>
        <v>CLASSTYPE</v>
      </c>
      <c r="D1987" s="222" t="str">
        <f t="array" ref="D1987:D1988">{"DEFENSE";"Defense"}</f>
        <v>DEFENSE</v>
      </c>
      <c r="E1987" s="222" t="str">
        <f t="array" ref="E1987:E1988">{"MEDIUM";"Medium"}</f>
        <v>MEDIUM</v>
      </c>
      <c r="F1987" s="223" t="str">
        <f t="array" ref="F1987:F1988">{"MEDIUMINITIAL";((IF(H1988=10,"T",(IF(H1988=50,"E","")))))}</f>
        <v>MEDIUMINITIAL</v>
      </c>
      <c r="G1987" s="223" t="str">
        <f t="array" ref="G1987:G1988">{"MEDIUMINITIALPTS";((IF("00"=(INDEX(ALLCLASSDATA,MATCH("MediumLegendary",CLASSFEATUREHEADERS,0),MATCH($A1988,CLASSNAMEHEADERS,0))),(INDEX(ALLCLASSDATA,MATCH("MediumLegendary",CLASSFEATUREHEADERS,0),MATCH(($A1988 &amp; "Points"),CLASSNAMEHEADERS,0))),(IF("00"=(INDEX(ALLCLASSDATA,MATCH("MediumMaster",CLASSFEATUREHEADERS,0),MATCH($A1988,CLASSNAMEHEADERS,0))),(INDEX(ALLCLASSDATA,MATCH("MediumMaster",CLASSFEATUREHEADERS,0),MATCH(($A1988 &amp; "Points"),CLASSNAMEHEADERS,0))),(IF("00"=(INDEX(ALLCLASSDATA,MATCH("MediumExpert",CLASSFEATUREHEADERS,0),MATCH($A1988,CLASSNAMEHEADERS,0))),(INDEX(ALLCLASSDATA,MATCH("MediumExpert",CLASSFEATUREHEADERS,0),MATCH(($A1988 &amp; "Points"),CLASSNAMEHEADERS,0))),(IF("00"=(INDEX(ALLCLASSDATA,MATCH("MediumTrained",CLASSFEATUREHEADERS,0),MATCH($A1988,CLASSNAMEHEADERS,0))),(INDEX(ALLCLASSDATA,MATCH("MediumTrained",CLASSFEATUREHEADERS,0),MATCH(($A1988 &amp; "Points"),CLASSNAMEHEADERS,0))),"")))))))))}</f>
        <v>MEDIUMINITIALPTS</v>
      </c>
      <c r="H1987" s="223" t="str">
        <f t="array" ref="H1987:H1988">{"MEDIUML01";((IF("01"=(INDEX(ALLCLASSDATA,MATCH("MediumLegendary",CLASSFEATUREHEADERS,0),MATCH($A1988,CLASSNAMEHEADERS,0))),(INDEX(ALLCLASSDATA,MATCH("MediumLegendary",CLASSFEATUREHEADERS,0),MATCH(($A1988 &amp; "Points"),CLASSNAMEHEADERS,0))),(IF("01"=(INDEX(ALLCLASSDATA,MATCH("MediumMaster",CLASSFEATUREHEADERS,0),MATCH($A1988,CLASSNAMEHEADERS,0))),(INDEX(ALLCLASSDATA,MATCH("MediumMaster",CLASSFEATUREHEADERS,0),MATCH(($A1988 &amp; "Points"),CLASSNAMEHEADERS,0))),(IF("01"=(INDEX(ALLCLASSDATA,MATCH("MediumExpert",CLASSFEATUREHEADERS,0),MATCH($A1988,CLASSNAMEHEADERS,0))),(INDEX(ALLCLASSDATA,MATCH("MediumExpert",CLASSFEATUREHEADERS,0),MATCH(($A1988 &amp; "Points"),CLASSNAMEHEADERS,0))),(IF("01"=(INDEX(ALLCLASSDATA,MATCH("MediumTrained",CLASSFEATUREHEADERS,0),MATCH($A1988,CLASSNAMEHEADERS,0))),(INDEX(ALLCLASSDATA,MATCH("MediumTrained",CLASSFEATUREHEADERS,0),MATCH(($A1988 &amp; "Points"),CLASSNAMEHEADERS,0))),"")))))))))}</f>
        <v>MEDIUML01</v>
      </c>
      <c r="I1987" s="223"/>
      <c r="J1987" s="223" t="str">
        <f t="array" ref="J1987:J1988">{"MEDIUML03";((IF("03"=(INDEX(ALLCLASSDATA,MATCH("MediumLegendary",CLASSFEATUREHEADERS,0),MATCH($A1988,CLASSNAMEHEADERS,0))),(INDEX(ALLCLASSDATA,MATCH("MediumLegendary",CLASSFEATUREHEADERS,0),MATCH(($A1988 &amp; "Points"),CLASSNAMEHEADERS,0))),(IF("03"=(INDEX(ALLCLASSDATA,MATCH("MediumMaster",CLASSFEATUREHEADERS,0),MATCH($A1988,CLASSNAMEHEADERS,0))),(INDEX(ALLCLASSDATA,MATCH("MediumMaster",CLASSFEATUREHEADERS,0),MATCH(($A1988 &amp; "Points"),CLASSNAMEHEADERS,0))),(IF("03"=(INDEX(ALLCLASSDATA,MATCH("MediumExpert",CLASSFEATUREHEADERS,0),MATCH($A1988,CLASSNAMEHEADERS,0))),(INDEX(ALLCLASSDATA,MATCH("MediumExpert",CLASSFEATUREHEADERS,0),MATCH(($A1988 &amp; "Points"),CLASSNAMEHEADERS,0))),(IF("03"=(INDEX(ALLCLASSDATA,MATCH("MediumTrained",CLASSFEATUREHEADERS,0),MATCH($A1988,CLASSNAMEHEADERS,0))),(INDEX(ALLCLASSDATA,MATCH("MediumTrained",CLASSFEATUREHEADERS,0),MATCH(($A1988 &amp; "Points"),CLASSNAMEHEADERS,0))),"")))))))))}</f>
        <v>MEDIUML03</v>
      </c>
      <c r="K1987" s="223"/>
      <c r="L1987" s="223" t="str">
        <f t="array" ref="L1987:L1988">{"MEDIUML05";((IF("05"=(INDEX(ALLCLASSDATA,MATCH("MediumLegendary",CLASSFEATUREHEADERS,0),MATCH($A1988,CLASSNAMEHEADERS,0))),(INDEX(ALLCLASSDATA,MATCH("MediumLegendary",CLASSFEATUREHEADERS,0),MATCH(($A1988 &amp; "Points"),CLASSNAMEHEADERS,0))),(IF("05"=(INDEX(ALLCLASSDATA,MATCH("MediumMaster",CLASSFEATUREHEADERS,0),MATCH($A1988,CLASSNAMEHEADERS,0))),(INDEX(ALLCLASSDATA,MATCH("MediumMaster",CLASSFEATUREHEADERS,0),MATCH(($A1988 &amp; "Points"),CLASSNAMEHEADERS,0))),(IF("05"=(INDEX(ALLCLASSDATA,MATCH("MediumExpert",CLASSFEATUREHEADERS,0),MATCH($A1988,CLASSNAMEHEADERS,0))),(INDEX(ALLCLASSDATA,MATCH("MediumExpert",CLASSFEATUREHEADERS,0),MATCH(($A1988 &amp; "Points"),CLASSNAMEHEADERS,0))),(IF("05"=(INDEX(ALLCLASSDATA,MATCH("MediumTrained",CLASSFEATUREHEADERS,0),MATCH($A1988,CLASSNAMEHEADERS,0))),(INDEX(ALLCLASSDATA,MATCH("MediumTrained",CLASSFEATUREHEADERS,0),MATCH(($A1988 &amp; "Points"),CLASSNAMEHEADERS,0))),"")))))))))}</f>
        <v>MEDIUML05</v>
      </c>
      <c r="M1987" s="223"/>
      <c r="N1987" s="223" t="str">
        <f t="array" ref="N1987:N1988">{"MEDIUML07";((IF("07"=(INDEX(ALLCLASSDATA,MATCH("MediumLegendary",CLASSFEATUREHEADERS,0),MATCH($A1988,CLASSNAMEHEADERS,0))),(INDEX(ALLCLASSDATA,MATCH("MediumLegendary",CLASSFEATUREHEADERS,0),MATCH(($A1988 &amp; "Points"),CLASSNAMEHEADERS,0))),(IF("07"=(INDEX(ALLCLASSDATA,MATCH("MediumMaster",CLASSFEATUREHEADERS,0),MATCH($A1988,CLASSNAMEHEADERS,0))),(INDEX(ALLCLASSDATA,MATCH("MediumMaster",CLASSFEATUREHEADERS,0),MATCH(($A1988 &amp; "Points"),CLASSNAMEHEADERS,0))),(IF("07"=(INDEX(ALLCLASSDATA,MATCH("MediumExpert",CLASSFEATUREHEADERS,0),MATCH($A1988,CLASSNAMEHEADERS,0))),(INDEX(ALLCLASSDATA,MATCH("MediumExpert",CLASSFEATUREHEADERS,0),MATCH(($A1988 &amp; "Points"),CLASSNAMEHEADERS,0))),(IF("07"=(INDEX(ALLCLASSDATA,MATCH("MediumTrained",CLASSFEATUREHEADERS,0),MATCH($A1988,CLASSNAMEHEADERS,0))),(INDEX(ALLCLASSDATA,MATCH("MediumTrained",CLASSFEATUREHEADERS,0),MATCH(($A1988 &amp; "Points"),CLASSNAMEHEADERS,0))),"")))))))))}</f>
        <v>MEDIUML07</v>
      </c>
      <c r="O1987" s="223"/>
      <c r="P1987" s="223" t="str">
        <f t="array" ref="P1987:P1988">{"MEDIUML09";((IF("09"=(INDEX(ALLCLASSDATA,MATCH("MediumLegendary",CLASSFEATUREHEADERS,0),MATCH($A1988,CLASSNAMEHEADERS,0))),(INDEX(ALLCLASSDATA,MATCH("MediumLegendary",CLASSFEATUREHEADERS,0),MATCH(($A1988 &amp; "Points"),CLASSNAMEHEADERS,0))),(IF("09"=(INDEX(ALLCLASSDATA,MATCH("MediumMaster",CLASSFEATUREHEADERS,0),MATCH($A1988,CLASSNAMEHEADERS,0))),(INDEX(ALLCLASSDATA,MATCH("MediumMaster",CLASSFEATUREHEADERS,0),MATCH(($A1988 &amp; "Points"),CLASSNAMEHEADERS,0))),(IF("09"=(INDEX(ALLCLASSDATA,MATCH("MediumExpert",CLASSFEATUREHEADERS,0),MATCH($A1988,CLASSNAMEHEADERS,0))),(INDEX(ALLCLASSDATA,MATCH("MediumExpert",CLASSFEATUREHEADERS,0),MATCH(($A1988 &amp; "Points"),CLASSNAMEHEADERS,0))),(IF("09"=(INDEX(ALLCLASSDATA,MATCH("MediumTrained",CLASSFEATUREHEADERS,0),MATCH($A1988,CLASSNAMEHEADERS,0))),(INDEX(ALLCLASSDATA,MATCH("MediumTrained",CLASSFEATUREHEADERS,0),MATCH(($A1988 &amp; "Points"),CLASSNAMEHEADERS,0))),"")))))))))}</f>
        <v>MEDIUML09</v>
      </c>
      <c r="Q1987" s="223"/>
      <c r="R1987" s="223" t="str">
        <f t="array" ref="R1987:R1988">{"MEDIUML11";((IF("11"=(INDEX(ALLCLASSDATA,MATCH("MediumLegendary",CLASSFEATUREHEADERS,0),MATCH($A1988,CLASSNAMEHEADERS,0))),(INDEX(ALLCLASSDATA,MATCH("MediumLegendary",CLASSFEATUREHEADERS,0),MATCH(($A1988 &amp; "Points"),CLASSNAMEHEADERS,0))),(IF("11"=(INDEX(ALLCLASSDATA,MATCH("MediumMaster",CLASSFEATUREHEADERS,0),MATCH($A1988,CLASSNAMEHEADERS,0))),(INDEX(ALLCLASSDATA,MATCH("MediumMaster",CLASSFEATUREHEADERS,0),MATCH(($A1988 &amp; "Points"),CLASSNAMEHEADERS,0))),(IF("11"=(INDEX(ALLCLASSDATA,MATCH("MediumExpert",CLASSFEATUREHEADERS,0),MATCH($A1988,CLASSNAMEHEADERS,0))),(INDEX(ALLCLASSDATA,MATCH("MediumExpert",CLASSFEATUREHEADERS,0),MATCH(($A1988 &amp; "Points"),CLASSNAMEHEADERS,0))),(IF("11"=(INDEX(ALLCLASSDATA,MATCH("MediumTrained",CLASSFEATUREHEADERS,0),MATCH($A1988,CLASSNAMEHEADERS,0))),(INDEX(ALLCLASSDATA,MATCH("MediumTrained",CLASSFEATUREHEADERS,0),MATCH(($A1988 &amp; "Points"),CLASSNAMEHEADERS,0))),"")))))))))}</f>
        <v>MEDIUML11</v>
      </c>
      <c r="S1987" s="223"/>
      <c r="T1987" s="223" t="str">
        <f t="array" ref="T1987:T1988">{"MEDIUML13";((IF("13"=(INDEX(ALLCLASSDATA,MATCH("MediumLegendary",CLASSFEATUREHEADERS,0),MATCH($A1988,CLASSNAMEHEADERS,0))),(INDEX(ALLCLASSDATA,MATCH("MediumLegendary",CLASSFEATUREHEADERS,0),MATCH(($A1988 &amp; "Points"),CLASSNAMEHEADERS,0))),(IF("13"=(INDEX(ALLCLASSDATA,MATCH("MediumMaster",CLASSFEATUREHEADERS,0),MATCH($A1988,CLASSNAMEHEADERS,0))),(INDEX(ALLCLASSDATA,MATCH("MediumMaster",CLASSFEATUREHEADERS,0),MATCH(($A1988 &amp; "Points"),CLASSNAMEHEADERS,0))),(IF("13"=(INDEX(ALLCLASSDATA,MATCH("MediumExpert",CLASSFEATUREHEADERS,0),MATCH($A1988,CLASSNAMEHEADERS,0))),(INDEX(ALLCLASSDATA,MATCH("MediumExpert",CLASSFEATUREHEADERS,0),MATCH(($A1988 &amp; "Points"),CLASSNAMEHEADERS,0))),(IF("13"=(INDEX(ALLCLASSDATA,MATCH("MediumTrained",CLASSFEATUREHEADERS,0),MATCH($A1988,CLASSNAMEHEADERS,0))),(INDEX(ALLCLASSDATA,MATCH("MediumTrained",CLASSFEATUREHEADERS,0),MATCH(($A1988 &amp; "Points"),CLASSNAMEHEADERS,0))),"")))))))))}</f>
        <v>MEDIUML13</v>
      </c>
      <c r="U1987" s="223"/>
      <c r="V1987" s="223" t="str">
        <f t="array" ref="V1987:V1988">{"MEDIUML15";((IF("15"=(INDEX(ALLCLASSDATA,MATCH("MediumLegendary",CLASSFEATUREHEADERS,0),MATCH($A1988,CLASSNAMEHEADERS,0))),(INDEX(ALLCLASSDATA,MATCH("MediumLegendary",CLASSFEATUREHEADERS,0),MATCH(($A1988 &amp; "Points"),CLASSNAMEHEADERS,0))),(IF("15"=(INDEX(ALLCLASSDATA,MATCH("MediumMaster",CLASSFEATUREHEADERS,0),MATCH($A1988,CLASSNAMEHEADERS,0))),(INDEX(ALLCLASSDATA,MATCH("MediumMaster",CLASSFEATUREHEADERS,0),MATCH(($A1988 &amp; "Points"),CLASSNAMEHEADERS,0))),(IF("15"=(INDEX(ALLCLASSDATA,MATCH("MediumExpert",CLASSFEATUREHEADERS,0),MATCH($A1988,CLASSNAMEHEADERS,0))),(INDEX(ALLCLASSDATA,MATCH("MediumExpert",CLASSFEATUREHEADERS,0),MATCH(($A1988 &amp; "Points"),CLASSNAMEHEADERS,0))),(IF("15"=(INDEX(ALLCLASSDATA,MATCH("MediumTrained",CLASSFEATUREHEADERS,0),MATCH($A1988,CLASSNAMEHEADERS,0))),(INDEX(ALLCLASSDATA,MATCH("MediumTrained",CLASSFEATUREHEADERS,0),MATCH(($A1988 &amp; "Points"),CLASSNAMEHEADERS,0))),"")))))))))}</f>
        <v>MEDIUML15</v>
      </c>
      <c r="W1987" s="223"/>
      <c r="X1987" s="223" t="str">
        <f t="array" ref="X1987:X1988">{"MEDIUML17";((IF("17"=(INDEX(ALLCLASSDATA,MATCH("MediumLegendary",CLASSFEATUREHEADERS,0),MATCH($A1988,CLASSNAMEHEADERS,0))),(INDEX(ALLCLASSDATA,MATCH("MediumLegendary",CLASSFEATUREHEADERS,0),MATCH(($A1988 &amp; "Points"),CLASSNAMEHEADERS,0))),(IF("17"=(INDEX(ALLCLASSDATA,MATCH("MediumMaster",CLASSFEATUREHEADERS,0),MATCH($A1988,CLASSNAMEHEADERS,0))),(INDEX(ALLCLASSDATA,MATCH("MediumMaster",CLASSFEATUREHEADERS,0),MATCH(($A1988 &amp; "Points"),CLASSNAMEHEADERS,0))),(IF("17"=(INDEX(ALLCLASSDATA,MATCH("MediumExpert",CLASSFEATUREHEADERS,0),MATCH($A1988,CLASSNAMEHEADERS,0))),(INDEX(ALLCLASSDATA,MATCH("MediumExpert",CLASSFEATUREHEADERS,0),MATCH(($A1988 &amp; "Points"),CLASSNAMEHEADERS,0))),(IF("17"=(INDEX(ALLCLASSDATA,MATCH("MediumTrained",CLASSFEATUREHEADERS,0),MATCH($A1988,CLASSNAMEHEADERS,0))),(INDEX(ALLCLASSDATA,MATCH("MediumTrained",CLASSFEATUREHEADERS,0),MATCH(($A1988 &amp; "Points"),CLASSNAMEHEADERS,0))),"")))))))))}</f>
        <v>MEDIUML17</v>
      </c>
      <c r="Y1987" s="223"/>
      <c r="Z1987" s="223" t="str">
        <f t="array" ref="Z1987:Z1988">{"MEDIUML19";((IF("19"=(INDEX(ALLCLASSDATA,MATCH("MediumLegendary",CLASSFEATUREHEADERS,0),MATCH($A1988,CLASSNAMEHEADERS,0))),(INDEX(ALLCLASSDATA,MATCH("MediumLegendary",CLASSFEATUREHEADERS,0),MATCH(($A1988 &amp; "Points"),CLASSNAMEHEADERS,0))),(IF("19"=(INDEX(ALLCLASSDATA,MATCH("MediumMaster",CLASSFEATUREHEADERS,0),MATCH($A1988,CLASSNAMEHEADERS,0))),(INDEX(ALLCLASSDATA,MATCH("MediumMaster",CLASSFEATUREHEADERS,0),MATCH(($A1988 &amp; "Points"),CLASSNAMEHEADERS,0))),(IF("19"=(INDEX(ALLCLASSDATA,MATCH("MediumExpert",CLASSFEATUREHEADERS,0),MATCH($A1988,CLASSNAMEHEADERS,0))),(INDEX(ALLCLASSDATA,MATCH("MediumExpert",CLASSFEATUREHEADERS,0),MATCH(($A1988 &amp; "Points"),CLASSNAMEHEADERS,0))),(IF("19"=(INDEX(ALLCLASSDATA,MATCH("MediumTrained",CLASSFEATUREHEADERS,0),MATCH($A1988,CLASSNAMEHEADERS,0))),(INDEX(ALLCLASSDATA,MATCH("MediumTrained",CLASSFEATUREHEADERS,0),MATCH(($A1988 &amp; "Points"),CLASSNAMEHEADERS,0))),"")))))))))}</f>
        <v>MEDIUML19</v>
      </c>
      <c r="AA1987" s="223"/>
      <c r="AB1987" s="76" t="str">
        <f t="array" ref="AB1987:AB1988">{"MEDIUM TOTAL";(IF(COUNTBLANK(G1988:AA1988)=17,"L",(IF(COUNTBLANK(G1988:AA1988)=18,"M",(IF(COUNTBLANK(G1988:AA1988)=19,"E",(IF(COUNTBLANK(G1988:AA1988)=20,"T",""))))))))}</f>
        <v>MEDIUM TOTAL</v>
      </c>
      <c r="AC1987" s="76" t="str">
        <f t="array" ref="AC1987:AC1988">{"MEDIUM TOTAL";(sum(G1988:AA1988))}</f>
        <v>MEDIUM TOTAL</v>
      </c>
    </row>
    <row r="1988">
      <c r="A1988" s="48" t="s">
        <v>231</v>
      </c>
      <c r="B1988" s="48"/>
      <c r="C1988" s="48" t="s">
        <v>418</v>
      </c>
      <c r="D1988" s="48" t="s">
        <v>1900</v>
      </c>
      <c r="E1988" s="48" t="s">
        <v>76</v>
      </c>
      <c r="F1988" s="5" t="s">
        <v>603</v>
      </c>
      <c r="G1988" s="47" t="s">
        <v>603</v>
      </c>
      <c r="H1988" s="5" t="s">
        <v>603</v>
      </c>
      <c r="I1988" s="5"/>
      <c r="J1988" s="5" t="s">
        <v>603</v>
      </c>
      <c r="K1988" s="5"/>
      <c r="L1988" s="5" t="s">
        <v>603</v>
      </c>
      <c r="M1988" s="5"/>
      <c r="N1988" s="5" t="s">
        <v>603</v>
      </c>
      <c r="O1988" s="5"/>
      <c r="P1988" s="5" t="s">
        <v>603</v>
      </c>
      <c r="Q1988" s="5"/>
      <c r="R1988" s="5" t="s">
        <v>603</v>
      </c>
      <c r="S1988" s="5"/>
      <c r="T1988" s="5" t="s">
        <v>603</v>
      </c>
      <c r="U1988" s="5"/>
      <c r="V1988" s="5" t="s">
        <v>603</v>
      </c>
      <c r="W1988" s="5"/>
      <c r="X1988" s="5" t="s">
        <v>603</v>
      </c>
      <c r="Y1988" s="5"/>
      <c r="Z1988" s="5" t="s">
        <v>603</v>
      </c>
      <c r="AA1988" s="5"/>
      <c r="AB1988" s="5" t="s">
        <v>603</v>
      </c>
      <c r="AC1988" s="47">
        <v>0.0</v>
      </c>
    </row>
    <row r="1989" hidden="1">
      <c r="A1989" s="222" t="str">
        <f t="array" ref="A1989:A1990">{"FormulaRow38";(INDEX(CLASSLIST,A1914,1))}</f>
        <v>FormulaRow38</v>
      </c>
      <c r="B1989" s="77" t="s">
        <v>236</v>
      </c>
      <c r="C1989" s="222" t="str">
        <f t="array" ref="C1989:C1990">{"CLASSTYPE";((INDEX(ALLCLASSDATA,MATCH("ClassType",CLASSFEATUREHEADERS,0),MATCH($A1990,CLASSNAMEHEADERS,0))))}</f>
        <v>CLASSTYPE</v>
      </c>
      <c r="D1989" s="222" t="str">
        <f t="array" ref="D1989:D1990">{"DEFENSE";"Defense"}</f>
        <v>DEFENSE</v>
      </c>
      <c r="E1989" s="222" t="str">
        <f t="array" ref="E1989:E1990">{"HEAVY";"Heavy"}</f>
        <v>HEAVY</v>
      </c>
      <c r="F1989" s="223" t="str">
        <f t="array" ref="F1989:F1990">{"HEAVYINITIAL";((IF(H1990=10,"T",(IF(H1990=50,"E","")))))}</f>
        <v>HEAVYINITIAL</v>
      </c>
      <c r="G1989" s="223" t="str">
        <f t="array" ref="G1989:G1990">{"HEAVYINITIALPTS";((IF("00"=(INDEX(ALLCLASSDATA,MATCH("HeavyLegendary",CLASSFEATUREHEADERS,0),MATCH($A1990,CLASSNAMEHEADERS,0))),(INDEX(ALLCLASSDATA,MATCH("HeavyLegendary",CLASSFEATUREHEADERS,0),MATCH(($A1990 &amp; "Points"),CLASSNAMEHEADERS,0))),(IF("00"=(INDEX(ALLCLASSDATA,MATCH("HeavyMaster",CLASSFEATUREHEADERS,0),MATCH($A1990,CLASSNAMEHEADERS,0))),(INDEX(ALLCLASSDATA,MATCH("HeavyMaster",CLASSFEATUREHEADERS,0),MATCH(($A1990 &amp; "Points"),CLASSNAMEHEADERS,0))),(IF("00"=(INDEX(ALLCLASSDATA,MATCH("HeavyExpert",CLASSFEATUREHEADERS,0),MATCH($A1990,CLASSNAMEHEADERS,0))),(INDEX(ALLCLASSDATA,MATCH("HeavyExpert",CLASSFEATUREHEADERS,0),MATCH(($A1990 &amp; "Points"),CLASSNAMEHEADERS,0))),(IF("00"=(INDEX(ALLCLASSDATA,MATCH("HeavyTrained",CLASSFEATUREHEADERS,0),MATCH($A1990,CLASSNAMEHEADERS,0))),(INDEX(ALLCLASSDATA,MATCH("HeavyTrained",CLASSFEATUREHEADERS,0),MATCH(($A1990 &amp; "Points"),CLASSNAMEHEADERS,0))),"")))))))))}</f>
        <v>HEAVYINITIALPTS</v>
      </c>
      <c r="H1989" s="223" t="str">
        <f t="array" ref="H1989:H1990">{"HEAVYL01";((IF("01"=(INDEX(ALLCLASSDATA,MATCH("HeavyLegendary",CLASSFEATUREHEADERS,0),MATCH($A1990,CLASSNAMEHEADERS,0))),(INDEX(ALLCLASSDATA,MATCH("HeavyLegendary",CLASSFEATUREHEADERS,0),MATCH(($A1990 &amp; "Points"),CLASSNAMEHEADERS,0))),(IF("01"=(INDEX(ALLCLASSDATA,MATCH("HeavyMaster",CLASSFEATUREHEADERS,0),MATCH($A1990,CLASSNAMEHEADERS,0))),(INDEX(ALLCLASSDATA,MATCH("HeavyMaster",CLASSFEATUREHEADERS,0),MATCH(($A1990 &amp; "Points"),CLASSNAMEHEADERS,0))),(IF("01"=(INDEX(ALLCLASSDATA,MATCH("HeavyExpert",CLASSFEATUREHEADERS,0),MATCH($A1990,CLASSNAMEHEADERS,0))),(INDEX(ALLCLASSDATA,MATCH("HeavyExpert",CLASSFEATUREHEADERS,0),MATCH(($A1990 &amp; "Points"),CLASSNAMEHEADERS,0))),(IF("01"=(INDEX(ALLCLASSDATA,MATCH("HeavyTrained",CLASSFEATUREHEADERS,0),MATCH($A1990,CLASSNAMEHEADERS,0))),(INDEX(ALLCLASSDATA,MATCH("HeavyTrained",CLASSFEATUREHEADERS,0),MATCH(($A1990 &amp; "Points"),CLASSNAMEHEADERS,0))),"")))))))))}</f>
        <v>HEAVYL01</v>
      </c>
      <c r="I1989" s="223"/>
      <c r="J1989" s="223" t="str">
        <f t="array" ref="J1989:J1990">{"HEAVYL03";((IF("03"=(INDEX(ALLCLASSDATA,MATCH("HeavyLegendary",CLASSFEATUREHEADERS,0),MATCH($A1990,CLASSNAMEHEADERS,0))),(INDEX(ALLCLASSDATA,MATCH("HeavyLegendary",CLASSFEATUREHEADERS,0),MATCH(($A1990 &amp; "Points"),CLASSNAMEHEADERS,0))),(IF("03"=(INDEX(ALLCLASSDATA,MATCH("HeavyMaster",CLASSFEATUREHEADERS,0),MATCH($A1990,CLASSNAMEHEADERS,0))),(INDEX(ALLCLASSDATA,MATCH("HeavyMaster",CLASSFEATUREHEADERS,0),MATCH(($A1990 &amp; "Points"),CLASSNAMEHEADERS,0))),(IF("03"=(INDEX(ALLCLASSDATA,MATCH("HeavyExpert",CLASSFEATUREHEADERS,0),MATCH($A1990,CLASSNAMEHEADERS,0))),(INDEX(ALLCLASSDATA,MATCH("HeavyExpert",CLASSFEATUREHEADERS,0),MATCH(($A1990 &amp; "Points"),CLASSNAMEHEADERS,0))),(IF("03"=(INDEX(ALLCLASSDATA,MATCH("HeavyTrained",CLASSFEATUREHEADERS,0),MATCH($A1990,CLASSNAMEHEADERS,0))),(INDEX(ALLCLASSDATA,MATCH("HeavyTrained",CLASSFEATUREHEADERS,0),MATCH(($A1990 &amp; "Points"),CLASSNAMEHEADERS,0))),"")))))))))}</f>
        <v>HEAVYL03</v>
      </c>
      <c r="K1989" s="223"/>
      <c r="L1989" s="223" t="str">
        <f t="array" ref="L1989:L1990">{"HEAVYL05";((IF("05"=(INDEX(ALLCLASSDATA,MATCH("HeavyLegendary",CLASSFEATUREHEADERS,0),MATCH($A1990,CLASSNAMEHEADERS,0))),(INDEX(ALLCLASSDATA,MATCH("HeavyLegendary",CLASSFEATUREHEADERS,0),MATCH(($A1990 &amp; "Points"),CLASSNAMEHEADERS,0))),(IF("05"=(INDEX(ALLCLASSDATA,MATCH("HeavyMaster",CLASSFEATUREHEADERS,0),MATCH($A1990,CLASSNAMEHEADERS,0))),(INDEX(ALLCLASSDATA,MATCH("HeavyMaster",CLASSFEATUREHEADERS,0),MATCH(($A1990 &amp; "Points"),CLASSNAMEHEADERS,0))),(IF("05"=(INDEX(ALLCLASSDATA,MATCH("HeavyExpert",CLASSFEATUREHEADERS,0),MATCH($A1990,CLASSNAMEHEADERS,0))),(INDEX(ALLCLASSDATA,MATCH("HeavyExpert",CLASSFEATUREHEADERS,0),MATCH(($A1990 &amp; "Points"),CLASSNAMEHEADERS,0))),(IF("05"=(INDEX(ALLCLASSDATA,MATCH("HeavyTrained",CLASSFEATUREHEADERS,0),MATCH($A1990,CLASSNAMEHEADERS,0))),(INDEX(ALLCLASSDATA,MATCH("HeavyTrained",CLASSFEATUREHEADERS,0),MATCH(($A1990 &amp; "Points"),CLASSNAMEHEADERS,0))),"")))))))))}</f>
        <v>HEAVYL05</v>
      </c>
      <c r="M1989" s="223"/>
      <c r="N1989" s="223" t="str">
        <f t="array" ref="N1989:N1990">{"HEAVYL07";((IF("07"=(INDEX(ALLCLASSDATA,MATCH("HeavyLegendary",CLASSFEATUREHEADERS,0),MATCH($A1990,CLASSNAMEHEADERS,0))),(INDEX(ALLCLASSDATA,MATCH("HeavyLegendary",CLASSFEATUREHEADERS,0),MATCH(($A1990 &amp; "Points"),CLASSNAMEHEADERS,0))),(IF("07"=(INDEX(ALLCLASSDATA,MATCH("HeavyMaster",CLASSFEATUREHEADERS,0),MATCH($A1990,CLASSNAMEHEADERS,0))),(INDEX(ALLCLASSDATA,MATCH("HeavyMaster",CLASSFEATUREHEADERS,0),MATCH(($A1990 &amp; "Points"),CLASSNAMEHEADERS,0))),(IF("07"=(INDEX(ALLCLASSDATA,MATCH("HeavyExpert",CLASSFEATUREHEADERS,0),MATCH($A1990,CLASSNAMEHEADERS,0))),(INDEX(ALLCLASSDATA,MATCH("HeavyExpert",CLASSFEATUREHEADERS,0),MATCH(($A1990 &amp; "Points"),CLASSNAMEHEADERS,0))),(IF("07"=(INDEX(ALLCLASSDATA,MATCH("HeavyTrained",CLASSFEATUREHEADERS,0),MATCH($A1990,CLASSNAMEHEADERS,0))),(INDEX(ALLCLASSDATA,MATCH("HeavyTrained",CLASSFEATUREHEADERS,0),MATCH(($A1990 &amp; "Points"),CLASSNAMEHEADERS,0))),"")))))))))}</f>
        <v>HEAVYL07</v>
      </c>
      <c r="O1989" s="223"/>
      <c r="P1989" s="223" t="str">
        <f t="array" ref="P1989:P1990">{"HEAVYL09";((IF("09"=(INDEX(ALLCLASSDATA,MATCH("HeavyLegendary",CLASSFEATUREHEADERS,0),MATCH($A1990,CLASSNAMEHEADERS,0))),(INDEX(ALLCLASSDATA,MATCH("HeavyLegendary",CLASSFEATUREHEADERS,0),MATCH(($A1990 &amp; "Points"),CLASSNAMEHEADERS,0))),(IF("09"=(INDEX(ALLCLASSDATA,MATCH("HeavyMaster",CLASSFEATUREHEADERS,0),MATCH($A1990,CLASSNAMEHEADERS,0))),(INDEX(ALLCLASSDATA,MATCH("HeavyMaster",CLASSFEATUREHEADERS,0),MATCH(($A1990 &amp; "Points"),CLASSNAMEHEADERS,0))),(IF("09"=(INDEX(ALLCLASSDATA,MATCH("HeavyExpert",CLASSFEATUREHEADERS,0),MATCH($A1990,CLASSNAMEHEADERS,0))),(INDEX(ALLCLASSDATA,MATCH("HeavyExpert",CLASSFEATUREHEADERS,0),MATCH(($A1990 &amp; "Points"),CLASSNAMEHEADERS,0))),(IF("09"=(INDEX(ALLCLASSDATA,MATCH("HeavyTrained",CLASSFEATUREHEADERS,0),MATCH($A1990,CLASSNAMEHEADERS,0))),(INDEX(ALLCLASSDATA,MATCH("HeavyTrained",CLASSFEATUREHEADERS,0),MATCH(($A1990 &amp; "Points"),CLASSNAMEHEADERS,0))),"")))))))))}</f>
        <v>HEAVYL09</v>
      </c>
      <c r="Q1989" s="223"/>
      <c r="R1989" s="223" t="str">
        <f t="array" ref="R1989:R1990">{"HEAVYL11";((IF("11"=(INDEX(ALLCLASSDATA,MATCH("HeavyLegendary",CLASSFEATUREHEADERS,0),MATCH($A1990,CLASSNAMEHEADERS,0))),(INDEX(ALLCLASSDATA,MATCH("HeavyLegendary",CLASSFEATUREHEADERS,0),MATCH(($A1990 &amp; "Points"),CLASSNAMEHEADERS,0))),(IF("11"=(INDEX(ALLCLASSDATA,MATCH("HeavyMaster",CLASSFEATUREHEADERS,0),MATCH($A1990,CLASSNAMEHEADERS,0))),(INDEX(ALLCLASSDATA,MATCH("HeavyMaster",CLASSFEATUREHEADERS,0),MATCH(($A1990 &amp; "Points"),CLASSNAMEHEADERS,0))),(IF("11"=(INDEX(ALLCLASSDATA,MATCH("HeavyExpert",CLASSFEATUREHEADERS,0),MATCH($A1990,CLASSNAMEHEADERS,0))),(INDEX(ALLCLASSDATA,MATCH("HeavyExpert",CLASSFEATUREHEADERS,0),MATCH(($A1990 &amp; "Points"),CLASSNAMEHEADERS,0))),(IF("11"=(INDEX(ALLCLASSDATA,MATCH("HeavyTrained",CLASSFEATUREHEADERS,0),MATCH($A1990,CLASSNAMEHEADERS,0))),(INDEX(ALLCLASSDATA,MATCH("HeavyTrained",CLASSFEATUREHEADERS,0),MATCH(($A1990 &amp; "Points"),CLASSNAMEHEADERS,0))),"")))))))))}</f>
        <v>HEAVYL11</v>
      </c>
      <c r="S1989" s="223"/>
      <c r="T1989" s="223" t="str">
        <f t="array" ref="T1989:T1990">{"HEAVYL13";((IF("13"=(INDEX(ALLCLASSDATA,MATCH("HeavyLegendary",CLASSFEATUREHEADERS,0),MATCH($A1990,CLASSNAMEHEADERS,0))),(INDEX(ALLCLASSDATA,MATCH("HeavyLegendary",CLASSFEATUREHEADERS,0),MATCH(($A1990 &amp; "Points"),CLASSNAMEHEADERS,0))),(IF("13"=(INDEX(ALLCLASSDATA,MATCH("HeavyMaster",CLASSFEATUREHEADERS,0),MATCH($A1990,CLASSNAMEHEADERS,0))),(INDEX(ALLCLASSDATA,MATCH("HeavyMaster",CLASSFEATUREHEADERS,0),MATCH(($A1990 &amp; "Points"),CLASSNAMEHEADERS,0))),(IF("13"=(INDEX(ALLCLASSDATA,MATCH("HeavyExpert",CLASSFEATUREHEADERS,0),MATCH($A1990,CLASSNAMEHEADERS,0))),(INDEX(ALLCLASSDATA,MATCH("HeavyExpert",CLASSFEATUREHEADERS,0),MATCH(($A1990 &amp; "Points"),CLASSNAMEHEADERS,0))),(IF("13"=(INDEX(ALLCLASSDATA,MATCH("HeavyTrained",CLASSFEATUREHEADERS,0),MATCH($A1990,CLASSNAMEHEADERS,0))),(INDEX(ALLCLASSDATA,MATCH("HeavyTrained",CLASSFEATUREHEADERS,0),MATCH(($A1990 &amp; "Points"),CLASSNAMEHEADERS,0))),"")))))))))}</f>
        <v>HEAVYL13</v>
      </c>
      <c r="U1989" s="223"/>
      <c r="V1989" s="223" t="str">
        <f t="array" ref="V1989:V1990">{"HEAVYL15";((IF("15"=(INDEX(ALLCLASSDATA,MATCH("HeavyLegendary",CLASSFEATUREHEADERS,0),MATCH($A1990,CLASSNAMEHEADERS,0))),(INDEX(ALLCLASSDATA,MATCH("HeavyLegendary",CLASSFEATUREHEADERS,0),MATCH(($A1990 &amp; "Points"),CLASSNAMEHEADERS,0))),(IF("15"=(INDEX(ALLCLASSDATA,MATCH("HeavyMaster",CLASSFEATUREHEADERS,0),MATCH($A1990,CLASSNAMEHEADERS,0))),(INDEX(ALLCLASSDATA,MATCH("HeavyMaster",CLASSFEATUREHEADERS,0),MATCH(($A1990 &amp; "Points"),CLASSNAMEHEADERS,0))),(IF("15"=(INDEX(ALLCLASSDATA,MATCH("HeavyExpert",CLASSFEATUREHEADERS,0),MATCH($A1990,CLASSNAMEHEADERS,0))),(INDEX(ALLCLASSDATA,MATCH("HeavyExpert",CLASSFEATUREHEADERS,0),MATCH(($A1990 &amp; "Points"),CLASSNAMEHEADERS,0))),(IF("15"=(INDEX(ALLCLASSDATA,MATCH("HeavyTrained",CLASSFEATUREHEADERS,0),MATCH($A1990,CLASSNAMEHEADERS,0))),(INDEX(ALLCLASSDATA,MATCH("HeavyTrained",CLASSFEATUREHEADERS,0),MATCH(($A1990 &amp; "Points"),CLASSNAMEHEADERS,0))),"")))))))))}</f>
        <v>HEAVYL15</v>
      </c>
      <c r="W1989" s="223"/>
      <c r="X1989" s="223" t="str">
        <f t="array" ref="X1989:X1990">{"HEAVYL17";((IF("17"=(INDEX(ALLCLASSDATA,MATCH("HeavyLegendary",CLASSFEATUREHEADERS,0),MATCH($A1990,CLASSNAMEHEADERS,0))),(INDEX(ALLCLASSDATA,MATCH("HeavyLegendary",CLASSFEATUREHEADERS,0),MATCH(($A1990 &amp; "Points"),CLASSNAMEHEADERS,0))),(IF("17"=(INDEX(ALLCLASSDATA,MATCH("HeavyMaster",CLASSFEATUREHEADERS,0),MATCH($A1990,CLASSNAMEHEADERS,0))),(INDEX(ALLCLASSDATA,MATCH("HeavyMaster",CLASSFEATUREHEADERS,0),MATCH(($A1990 &amp; "Points"),CLASSNAMEHEADERS,0))),(IF("17"=(INDEX(ALLCLASSDATA,MATCH("HeavyExpert",CLASSFEATUREHEADERS,0),MATCH($A1990,CLASSNAMEHEADERS,0))),(INDEX(ALLCLASSDATA,MATCH("HeavyExpert",CLASSFEATUREHEADERS,0),MATCH(($A1990 &amp; "Points"),CLASSNAMEHEADERS,0))),(IF("17"=(INDEX(ALLCLASSDATA,MATCH("HeavyTrained",CLASSFEATUREHEADERS,0),MATCH($A1990,CLASSNAMEHEADERS,0))),(INDEX(ALLCLASSDATA,MATCH("HeavyTrained",CLASSFEATUREHEADERS,0),MATCH(($A1990 &amp; "Points"),CLASSNAMEHEADERS,0))),"")))))))))}</f>
        <v>HEAVYL17</v>
      </c>
      <c r="Y1989" s="223"/>
      <c r="Z1989" s="223" t="str">
        <f t="array" ref="Z1989:Z1990">{"HEAVYL19";((IF("19"=(INDEX(ALLCLASSDATA,MATCH("HeavyLegendary",CLASSFEATUREHEADERS,0),MATCH($A1990,CLASSNAMEHEADERS,0))),(INDEX(ALLCLASSDATA,MATCH("HeavyLegendary",CLASSFEATUREHEADERS,0),MATCH(($A1990 &amp; "Points"),CLASSNAMEHEADERS,0))),(IF("19"=(INDEX(ALLCLASSDATA,MATCH("HeavyMaster",CLASSFEATUREHEADERS,0),MATCH($A1990,CLASSNAMEHEADERS,0))),(INDEX(ALLCLASSDATA,MATCH("HeavyMaster",CLASSFEATUREHEADERS,0),MATCH(($A1990 &amp; "Points"),CLASSNAMEHEADERS,0))),(IF("19"=(INDEX(ALLCLASSDATA,MATCH("HeavyExpert",CLASSFEATUREHEADERS,0),MATCH($A1990,CLASSNAMEHEADERS,0))),(INDEX(ALLCLASSDATA,MATCH("HeavyExpert",CLASSFEATUREHEADERS,0),MATCH(($A1990 &amp; "Points"),CLASSNAMEHEADERS,0))),(IF("19"=(INDEX(ALLCLASSDATA,MATCH("HeavyTrained",CLASSFEATUREHEADERS,0),MATCH($A1990,CLASSNAMEHEADERS,0))),(INDEX(ALLCLASSDATA,MATCH("HeavyTrained",CLASSFEATUREHEADERS,0),MATCH(($A1990 &amp; "Points"),CLASSNAMEHEADERS,0))),"")))))))))}</f>
        <v>HEAVYL19</v>
      </c>
      <c r="AA1989" s="223"/>
      <c r="AB1989" s="76" t="str">
        <f t="array" ref="AB1989:AB1990">{"HEAVY TOTAL";(IF(COUNTBLANK(G1990:AA1990)=17,"L",(IF(COUNTBLANK(G1990:AA1990)=18,"M",(IF(COUNTBLANK(G1990:AA1990)=19,"E",(IF(COUNTBLANK(G1990:AA1990)=20,"T",""))))))))}</f>
        <v>HEAVY TOTAL</v>
      </c>
      <c r="AC1989" s="76" t="str">
        <f t="array" ref="AC1989:AC1990">{"HEAVY TOTAL";(sum(G1990:AA1990))}</f>
        <v>HEAVY TOTAL</v>
      </c>
    </row>
    <row r="1990">
      <c r="A1990" s="48" t="s">
        <v>231</v>
      </c>
      <c r="B1990" s="48"/>
      <c r="C1990" s="48" t="s">
        <v>418</v>
      </c>
      <c r="D1990" s="97" t="s">
        <v>1900</v>
      </c>
      <c r="E1990" s="97" t="s">
        <v>533</v>
      </c>
      <c r="F1990" s="98" t="s">
        <v>603</v>
      </c>
      <c r="G1990" s="132" t="s">
        <v>603</v>
      </c>
      <c r="H1990" s="98" t="s">
        <v>603</v>
      </c>
      <c r="I1990" s="98"/>
      <c r="J1990" s="98" t="s">
        <v>603</v>
      </c>
      <c r="K1990" s="98"/>
      <c r="L1990" s="98" t="s">
        <v>603</v>
      </c>
      <c r="M1990" s="98"/>
      <c r="N1990" s="98" t="s">
        <v>603</v>
      </c>
      <c r="O1990" s="98"/>
      <c r="P1990" s="98" t="s">
        <v>603</v>
      </c>
      <c r="Q1990" s="98"/>
      <c r="R1990" s="98" t="s">
        <v>603</v>
      </c>
      <c r="S1990" s="98"/>
      <c r="T1990" s="98" t="s">
        <v>603</v>
      </c>
      <c r="U1990" s="98"/>
      <c r="V1990" s="98" t="s">
        <v>603</v>
      </c>
      <c r="W1990" s="98"/>
      <c r="X1990" s="98" t="s">
        <v>603</v>
      </c>
      <c r="Y1990" s="98"/>
      <c r="Z1990" s="98" t="s">
        <v>603</v>
      </c>
      <c r="AA1990" s="98"/>
      <c r="AB1990" s="5" t="s">
        <v>603</v>
      </c>
      <c r="AC1990" s="47">
        <v>0.0</v>
      </c>
    </row>
    <row r="1991" hidden="1">
      <c r="A1991" s="222" t="str">
        <f t="array" ref="A1991:A1992">{"FormulaRow39";(INDEX(CLASSLIST,A1914,1))}</f>
        <v>FormulaRow39</v>
      </c>
      <c r="B1991" s="77" t="s">
        <v>236</v>
      </c>
      <c r="C1991" s="222" t="str">
        <f t="array" ref="C1991:C1992">{"CLASSTYPE";((INDEX(ALLCLASSDATA,MATCH("ClassType",CLASSFEATUREHEADERS,0),MATCH($A1992,CLASSNAMEHEADERS,0))))}</f>
        <v>CLASSTYPE</v>
      </c>
      <c r="D1991" s="222" t="str">
        <f t="array" ref="D1991:D1992">{"SPELL/ALCHEMY";((IF(INDEX(ALLCLASSDATA,MATCH("CasterType",CLASSFEATUREHEADERS,0),MATCH(($A1992),CLASSNAMEHEADERS,0))="","",(IF(INDEX(ALLCLASSDATA,MATCH("CasterType",CLASSFEATUREHEADERS,0),MATCH(($A1992),CLASSNAMEHEADERS,0))="Alchemy","Alchemy","Spells")))))}</f>
        <v>SPELL/ALCHEMY</v>
      </c>
      <c r="E1991" s="222" t="str">
        <f t="array" ref="E1991:E1992">{"SPELLLIST";(IF(D1992="Spells",((INDEX(ALLCLASSDATA,MATCH("CasterType",CLASSFEATUREHEADERS,0),MATCH(($A1992),CLASSNAMEHEADERS,0))) &amp; ":" &amp; (INDEX(ALLCLASSDATA,MATCH("SpellList",CLASSFEATUREHEADERS,0),MATCH(($A1992),CLASSNAMEHEADERS,0)))),""))}</f>
        <v>SPELLLIST</v>
      </c>
      <c r="F1991" s="223" t="str">
        <f t="array" ref="F1991:F1992">{"SPL";(IF(D1992="Spells","SPL:",""))}</f>
        <v>SPL</v>
      </c>
      <c r="G1991" s="223" t="str">
        <f t="array" ref="G1991:G1992">{"CANTRIP/ALC";(IF(D1992="Spells","C",(IF(D1992="Alchemy","ALC:",""))))}</f>
        <v>CANTRIP/ALC</v>
      </c>
      <c r="H1991" s="223" t="str">
        <f t="array" ref="H1991:H1992">{"SPELL/ALC L01";(IF(D1992="Alchemy","L01",(IF(D1992="Spells","S01",""))))}</f>
        <v>SPELL/ALC L01</v>
      </c>
      <c r="I1991" s="223" t="str">
        <f t="array" ref="I1991:I1992">{"SPELL/ALC L02";(IF(D1992="Alchemy","L02",(IF(D1992="Spells","S01",""))))}</f>
        <v>SPELL/ALC L02</v>
      </c>
      <c r="J1991" s="223" t="str">
        <f t="array" ref="J1991:J1992">{"SPELL/ALC L03";(IF(D1992="Alchemy","L03",(IF(D1992="Spells","S02",""))))}</f>
        <v>SPELL/ALC L03</v>
      </c>
      <c r="K1991" s="223" t="str">
        <f t="array" ref="K1991:K1992">{"SPELL/ALC L04";(IF(D1992="Alchemy","L04",(IF(D1992="Spells","S02",""))))}</f>
        <v>SPELL/ALC L04</v>
      </c>
      <c r="L1991" s="223" t="str">
        <f t="array" ref="L1991:L1992">{"SPELL/ALC L05";(IF(D1992="Alchemy","L05",(IF(D1992="Spells","S03",""))))}</f>
        <v>SPELL/ALC L05</v>
      </c>
      <c r="M1991" s="223" t="str">
        <f t="array" ref="M1991:M1992">{"SPELL/ALC L06";(IF(D1992="Alchemy","L06",(IF(D1992="Spells","S03",""))))}</f>
        <v>SPELL/ALC L06</v>
      </c>
      <c r="N1991" s="223" t="str">
        <f t="array" ref="N1991:N1992">{"SPELL/ALC L07";(IF(D1992="Alchemy","L07",(IF(D1992="Spells","S04",""))))}</f>
        <v>SPELL/ALC L07</v>
      </c>
      <c r="O1991" s="223" t="str">
        <f t="array" ref="O1991:O1992">{"SPELL/ALC L08";(IF(D1992="Alchemy","L08",(IF(D1992="Spells","S04",""))))}</f>
        <v>SPELL/ALC L08</v>
      </c>
      <c r="P1991" s="223" t="str">
        <f t="array" ref="P1991:P1992">{"SPELL/ALC L09";(IF(D1992="Alchemy","L09",(IF(D1992="Spells","S05",""))))}</f>
        <v>SPELL/ALC L09</v>
      </c>
      <c r="Q1991" s="223" t="str">
        <f t="array" ref="Q1991:Q1992">{"SPELL/ALC L10";(IF(D1992="Alchemy","L10",(IF(D1992="Spells","S05",""))))}</f>
        <v>SPELL/ALC L10</v>
      </c>
      <c r="R1991" s="223" t="str">
        <f t="array" ref="R1991:R1992">{"SPELL/ALC L11";(IF(D1992="Alchemy","L11",(IF(D1992="Spells","S06",""))))}</f>
        <v>SPELL/ALC L11</v>
      </c>
      <c r="S1991" s="223" t="str">
        <f t="array" ref="S1991:S1992">{"SPELL/ALC L12";(IF(D1992="Alchemy","L12",(IF(D1992="Spells","S06",""))))}</f>
        <v>SPELL/ALC L12</v>
      </c>
      <c r="T1991" s="223" t="str">
        <f t="array" ref="T1991:T1992">{"SPELL/ALC L13";(IF(D1992="Alchemy","L13",(IF(D1992="Spells","S07",""))))}</f>
        <v>SPELL/ALC L13</v>
      </c>
      <c r="U1991" s="223" t="str">
        <f t="array" ref="U1991:U1992">{"SPELL/ALC L14";(IF(D1992="Alchemy","L14",(IF(D1992="Spells","S07",""))))}</f>
        <v>SPELL/ALC L14</v>
      </c>
      <c r="V1991" s="223" t="str">
        <f t="array" ref="V1991:V1992">{"SPELL/ALC L15";(IF(D1992="Alchemy","L15",(IF(D1992="Spells","S08",""))))}</f>
        <v>SPELL/ALC L15</v>
      </c>
      <c r="W1991" s="223" t="str">
        <f t="array" ref="W1991:W1992">{"SPELL/ALC L16";(IF(D1992="Alchemy","L16",(IF(D1992="Spells","S08",""))))}</f>
        <v>SPELL/ALC L16</v>
      </c>
      <c r="X1991" s="223" t="str">
        <f t="array" ref="X1991:X1992">{"SPELL/ALC L17";(IF(D1992="Alchemy","L17",(IF(D1992="Spells","S09",""))))}</f>
        <v>SPELL/ALC L17</v>
      </c>
      <c r="Y1991" s="223" t="str">
        <f t="array" ref="Y1991:Y1992">{"SPELL/ALC L18";(IF(D1992="Alchemy","L18",(IF(D1992="Spells","S09",""))))}</f>
        <v>SPELL/ALC L18</v>
      </c>
      <c r="Z1991" s="223" t="str">
        <f t="array" ref="Z1991:Z1992">{"SPELL/ALC L19";(IF(D1992="Alchemy","L19",(IF(D1992="Spells","S10",""))))}</f>
        <v>SPELL/ALC L19</v>
      </c>
      <c r="AA1991" s="223" t="str">
        <f t="array" ref="AA1991:AA1992">{"SPELL/ALC L20";(IF(D1992="Alchemy","L20",(IF(D1992="Spells","S10",""))))}</f>
        <v>SPELL/ALC L20</v>
      </c>
      <c r="AB1991" s="76"/>
      <c r="AC1991" s="76"/>
    </row>
    <row r="1992">
      <c r="A1992" s="48" t="s">
        <v>231</v>
      </c>
      <c r="B1992" s="48"/>
      <c r="C1992" s="48" t="s">
        <v>418</v>
      </c>
      <c r="D1992" s="48" t="s">
        <v>1901</v>
      </c>
      <c r="E1992" s="48" t="s">
        <v>1922</v>
      </c>
      <c r="F1992" s="278" t="s">
        <v>1903</v>
      </c>
      <c r="G1992" s="114" t="s">
        <v>653</v>
      </c>
      <c r="H1992" s="279" t="s">
        <v>1536</v>
      </c>
      <c r="I1992" s="28" t="s">
        <v>1536</v>
      </c>
      <c r="J1992" s="28" t="s">
        <v>1542</v>
      </c>
      <c r="K1992" s="28" t="s">
        <v>1542</v>
      </c>
      <c r="L1992" s="28" t="s">
        <v>1545</v>
      </c>
      <c r="M1992" s="28" t="s">
        <v>1545</v>
      </c>
      <c r="N1992" s="28" t="s">
        <v>1548</v>
      </c>
      <c r="O1992" s="28" t="s">
        <v>1548</v>
      </c>
      <c r="P1992" s="28" t="s">
        <v>1553</v>
      </c>
      <c r="Q1992" s="28" t="s">
        <v>1553</v>
      </c>
      <c r="R1992" s="28" t="s">
        <v>1556</v>
      </c>
      <c r="S1992" s="28" t="s">
        <v>1556</v>
      </c>
      <c r="T1992" s="28" t="s">
        <v>1559</v>
      </c>
      <c r="U1992" s="28" t="s">
        <v>1559</v>
      </c>
      <c r="V1992" s="28" t="s">
        <v>1562</v>
      </c>
      <c r="W1992" s="28" t="s">
        <v>1562</v>
      </c>
      <c r="X1992" s="28" t="s">
        <v>1565</v>
      </c>
      <c r="Y1992" s="28" t="s">
        <v>1565</v>
      </c>
      <c r="Z1992" s="28" t="s">
        <v>1568</v>
      </c>
      <c r="AA1992" s="28" t="s">
        <v>1568</v>
      </c>
      <c r="AB1992" s="5"/>
      <c r="AC1992" s="47"/>
    </row>
    <row r="1993" hidden="1">
      <c r="A1993" s="222" t="str">
        <f t="array" ref="A1993:A1994">{"FormulaRow40";(INDEX(CLASSLIST,A1914,1))}</f>
        <v>FormulaRow40</v>
      </c>
      <c r="B1993" s="77" t="s">
        <v>236</v>
      </c>
      <c r="C1993" s="222" t="str">
        <f t="array" ref="C1993:C1994">{"CLASSTYPE";((INDEX(ALLCLASSDATA,MATCH("ClassType",CLASSFEATUREHEADERS,0),MATCH($A1994,CLASSNAMEHEADERS,0))))}</f>
        <v>CLASSTYPE</v>
      </c>
      <c r="D1993" s="222" t="str">
        <f t="array" ref="D1993:D1994">{"SPELL/ALCHEMY";((IF(INDEX(ALLCLASSDATA,MATCH("CasterType",CLASSFEATUREHEADERS,0),MATCH(($A1994),CLASSNAMEHEADERS,0))="","",(IF(INDEX(ALLCLASSDATA,MATCH("CasterType",CLASSFEATUREHEADERS,0),MATCH(($A1994),CLASSNAMEHEADERS,0))="Alchemy","","Spells")))))}</f>
        <v>SPELL/ALCHEMY</v>
      </c>
      <c r="E1993" s="222" t="str">
        <f t="array" ref="E1993:E1994">{"SPELLLIST";(IF(D1994="Spells",((INDEX(ALLCLASSDATA,MATCH("CasterType",CLASSFEATUREHEADERS,0),MATCH(($A1994),CLASSNAMEHEADERS,0))) &amp; ":" &amp; (INDEX(ALLCLASSDATA,MATCH("SpellList",CLASSFEATUREHEADERS,0),MATCH(($A1994),CLASSNAMEHEADERS,0)))),""))}</f>
        <v>SPELLLIST</v>
      </c>
      <c r="F1993" s="222" t="str">
        <f t="array" ref="F1993:F1994">{"SLOTCOST";(IF(D1994="Spells","SlotCost:",""))}</f>
        <v>SLOTCOST</v>
      </c>
      <c r="G1993" s="222" t="str">
        <f t="array" ref="G1993:G1994">{"SLOTCOST CANTRIP";(INDEX(ALLCLASSDATA,MATCH("CantripSlots-L00",CLASSFEATUREHEADERS,0),MATCH(($A1994 &amp; "Points"),CLASSNAMEHEADERS,0)))}</f>
        <v>SLOTCOST CANTRIP</v>
      </c>
      <c r="H1993" s="222" t="str">
        <f t="array" ref="H1993:H1994">{"SLOTCOST L01";(INDEX(ALLCLASSDATA,MATCH("SPL01-L01",CLASSFEATUREHEADERS,0),MATCH(($A1994 &amp; "Points"),CLASSNAMEHEADERS,0)))}</f>
        <v>SLOTCOST L01</v>
      </c>
      <c r="I1993" s="222" t="str">
        <f t="array" ref="I1993:I1994">{"SLOTCOST L02";(INDEX(ALLCLASSDATA,MATCH("SPL01-L02",CLASSFEATUREHEADERS,0),MATCH(($A1994 &amp; "Points"),CLASSNAMEHEADERS,0)))}</f>
        <v>SLOTCOST L02</v>
      </c>
      <c r="J1993" s="222" t="str">
        <f t="array" ref="J1993:J1994">{"SLOTCOST L03";(INDEX(ALLCLASSDATA,MATCH("SPL02-L03",CLASSFEATUREHEADERS,0),MATCH(($A1994 &amp; "Points"),CLASSNAMEHEADERS,0)))}</f>
        <v>SLOTCOST L03</v>
      </c>
      <c r="K1993" s="222" t="str">
        <f t="array" ref="K1993:K1994">{"SLOTCOST L04";(INDEX(ALLCLASSDATA,MATCH("SPL02-L04",CLASSFEATUREHEADERS,0),MATCH(($A1994 &amp; "Points"),CLASSNAMEHEADERS,0)))}</f>
        <v>SLOTCOST L04</v>
      </c>
      <c r="L1993" s="222" t="str">
        <f t="array" ref="L1993:L1994">{"SLOTCOST L05";(INDEX(ALLCLASSDATA,MATCH("SPL03-L05",CLASSFEATUREHEADERS,0),MATCH(($A1994 &amp; "Points"),CLASSNAMEHEADERS,0)))}</f>
        <v>SLOTCOST L05</v>
      </c>
      <c r="M1993" s="222" t="str">
        <f t="array" ref="M1993:M1994">{"SLOTCOST L06";(INDEX(ALLCLASSDATA,MATCH("SPL03-L06",CLASSFEATUREHEADERS,0),MATCH(($A1994 &amp; "Points"),CLASSNAMEHEADERS,0)))}</f>
        <v>SLOTCOST L06</v>
      </c>
      <c r="N1993" s="222" t="str">
        <f t="array" ref="N1993:N1994">{"SLOTCOST L07";(INDEX(ALLCLASSDATA,MATCH("SPL04-L07",CLASSFEATUREHEADERS,0),MATCH(($A1994 &amp; "Points"),CLASSNAMEHEADERS,0)))}</f>
        <v>SLOTCOST L07</v>
      </c>
      <c r="O1993" s="222" t="str">
        <f t="array" ref="O1993:O1994">{"SLOTCOST L08";(INDEX(ALLCLASSDATA,MATCH("SPL04-L08",CLASSFEATUREHEADERS,0),MATCH(($A1994 &amp; "Points"),CLASSNAMEHEADERS,0)))}</f>
        <v>SLOTCOST L08</v>
      </c>
      <c r="P1993" s="222" t="str">
        <f t="array" ref="P1993:P1994">{"SLOTCOST L09";(INDEX(ALLCLASSDATA,MATCH("SPL05-L09",CLASSFEATUREHEADERS,0),MATCH(($A1994 &amp; "Points"),CLASSNAMEHEADERS,0)))}</f>
        <v>SLOTCOST L09</v>
      </c>
      <c r="Q1993" s="222" t="str">
        <f t="array" ref="Q1993:Q1994">{"SLOTCOST L10";(INDEX(ALLCLASSDATA,MATCH("SPL05-L10",CLASSFEATUREHEADERS,0),MATCH(($A1994 &amp; "Points"),CLASSNAMEHEADERS,0)))}</f>
        <v>SLOTCOST L10</v>
      </c>
      <c r="R1993" s="222" t="str">
        <f t="array" ref="R1993:R1994">{"SLOTCOST L11";(INDEX(ALLCLASSDATA,MATCH("SPL06-L11",CLASSFEATUREHEADERS,0),MATCH(($A1994 &amp; "Points"),CLASSNAMEHEADERS,0)))}</f>
        <v>SLOTCOST L11</v>
      </c>
      <c r="S1993" s="222" t="str">
        <f t="array" ref="S1993:S1994">{"SLOTCOST L12";(INDEX(ALLCLASSDATA,MATCH("SPL06-L12",CLASSFEATUREHEADERS,0),MATCH(($A1994 &amp; "Points"),CLASSNAMEHEADERS,0)))}</f>
        <v>SLOTCOST L12</v>
      </c>
      <c r="T1993" s="222" t="str">
        <f t="array" ref="T1993:T1994">{"SLOTCOST L13";(INDEX(ALLCLASSDATA,MATCH("SPL07-L13",CLASSFEATUREHEADERS,0),MATCH(($A1994 &amp; "Points"),CLASSNAMEHEADERS,0)))}</f>
        <v>SLOTCOST L13</v>
      </c>
      <c r="U1993" s="222" t="str">
        <f t="array" ref="U1993:U1994">{"SLOTCOST L14";(INDEX(ALLCLASSDATA,MATCH("SPL07-L14",CLASSFEATUREHEADERS,0),MATCH(($A1994 &amp; "Points"),CLASSNAMEHEADERS,0)))}</f>
        <v>SLOTCOST L14</v>
      </c>
      <c r="V1993" s="222" t="str">
        <f t="array" ref="V1993:V1994">{"SLOTCOST L15";(INDEX(ALLCLASSDATA,MATCH("SPL08-L15",CLASSFEATUREHEADERS,0),MATCH(($A1994 &amp; "Points"),CLASSNAMEHEADERS,0)))}</f>
        <v>SLOTCOST L15</v>
      </c>
      <c r="W1993" s="222" t="str">
        <f t="array" ref="W1993:W1994">{"SLOTCOST L16";(INDEX(ALLCLASSDATA,MATCH("SPL08-L16",CLASSFEATUREHEADERS,0),MATCH(($A1994 &amp; "Points"),CLASSNAMEHEADERS,0)))}</f>
        <v>SLOTCOST L16</v>
      </c>
      <c r="X1993" s="222" t="str">
        <f t="array" ref="X1993:X1994">{"SLOTCOST L17";(INDEX(ALLCLASSDATA,MATCH("SPL09-L17",CLASSFEATUREHEADERS,0),MATCH(($A1994 &amp; "Points"),CLASSNAMEHEADERS,0)))}</f>
        <v>SLOTCOST L17</v>
      </c>
      <c r="Y1993" s="222" t="str">
        <f t="array" ref="Y1993:Y1994">{"SLOTCOST L18";(INDEX(ALLCLASSDATA,MATCH("SPL09-L18",CLASSFEATUREHEADERS,0),MATCH(($A1994 &amp; "Points"),CLASSNAMEHEADERS,0)))}</f>
        <v>SLOTCOST L18</v>
      </c>
      <c r="Z1993" s="222" t="str">
        <f t="array" ref="Z1993:Z1994">{"SLOTCOST L19";(INDEX(ALLCLASSDATA,MATCH("SPL10-L19",CLASSFEATUREHEADERS,0),MATCH(($A1994 &amp; "Points"),CLASSNAMEHEADERS,0)))}</f>
        <v>SLOTCOST L19</v>
      </c>
      <c r="AA1993" s="222" t="str">
        <f t="array" ref="AA1993:AA1994">{"SLOTCOST L20";(INDEX(ALLCLASSDATA,MATCH("SPL10-L20",CLASSFEATUREHEADERS,0),MATCH(($A1994 &amp; "Points"),CLASSNAMEHEADERS,0)))}</f>
        <v>SLOTCOST L20</v>
      </c>
      <c r="AB1993" s="76"/>
      <c r="AC1993" s="76" t="str">
        <f t="array" ref="AC1993:AC1994">{"SLOT TOTAL";(sum(G1994:AA1994))}</f>
        <v>SLOT TOTAL</v>
      </c>
    </row>
    <row r="1994">
      <c r="A1994" s="48" t="s">
        <v>231</v>
      </c>
      <c r="B1994" s="48"/>
      <c r="C1994" s="48" t="s">
        <v>418</v>
      </c>
      <c r="D1994" s="48" t="s">
        <v>1901</v>
      </c>
      <c r="E1994" s="48" t="s">
        <v>1922</v>
      </c>
      <c r="F1994" s="278" t="s">
        <v>1904</v>
      </c>
      <c r="G1994" s="47">
        <v>0.0</v>
      </c>
      <c r="H1994" s="5">
        <v>20.0</v>
      </c>
      <c r="I1994" s="5">
        <v>10.0</v>
      </c>
      <c r="J1994" s="5">
        <v>20.0</v>
      </c>
      <c r="K1994" s="5">
        <v>10.0</v>
      </c>
      <c r="L1994" s="5">
        <v>20.0</v>
      </c>
      <c r="M1994" s="48">
        <v>10.0</v>
      </c>
      <c r="N1994" s="5">
        <v>20.0</v>
      </c>
      <c r="O1994" s="5">
        <v>10.0</v>
      </c>
      <c r="P1994" s="5">
        <v>20.0</v>
      </c>
      <c r="Q1994" s="5">
        <v>10.0</v>
      </c>
      <c r="R1994" s="5">
        <v>20.0</v>
      </c>
      <c r="S1994" s="5">
        <v>10.0</v>
      </c>
      <c r="T1994" s="5">
        <v>20.0</v>
      </c>
      <c r="U1994" s="5">
        <v>10.0</v>
      </c>
      <c r="V1994" s="5">
        <v>20.0</v>
      </c>
      <c r="W1994" s="5">
        <v>10.0</v>
      </c>
      <c r="X1994" s="5">
        <v>20.0</v>
      </c>
      <c r="Y1994" s="5">
        <v>10.0</v>
      </c>
      <c r="Z1994" s="5">
        <v>190.0</v>
      </c>
      <c r="AA1994" s="5" t="s">
        <v>603</v>
      </c>
      <c r="AB1994" s="5"/>
      <c r="AC1994" s="47">
        <v>460.0</v>
      </c>
    </row>
    <row r="1995" hidden="1">
      <c r="A1995" s="222" t="str">
        <f t="array" ref="A1995:A1996">{"FormulaRow41";(INDEX(CLASSLIST,A1914,1))}</f>
        <v>FormulaRow41</v>
      </c>
      <c r="B1995" s="77" t="s">
        <v>236</v>
      </c>
      <c r="C1995" s="222" t="str">
        <f t="array" ref="C1995:C1996">{"CLASSTYPE";((INDEX(ALLCLASSDATA,MATCH("ClassType",CLASSFEATUREHEADERS,0),MATCH($A1996,CLASSNAMEHEADERS,0))))}</f>
        <v>CLASSTYPE</v>
      </c>
      <c r="D1995" s="222" t="str">
        <f t="array" ref="D1995:D1996">{"SPELL/ALCHEMY";((IF(INDEX(ALLCLASSDATA,MATCH("CasterType",CLASSFEATUREHEADERS,0),MATCH(($A1996),CLASSNAMEHEADERS,0))="","",(IF(INDEX(ALLCLASSDATA,MATCH("CasterType",CLASSFEATUREHEADERS,0),MATCH(($A1996),CLASSNAMEHEADERS,0))="Alchemy","Alchemy","Spells")))))}</f>
        <v>SPELL/ALCHEMY</v>
      </c>
      <c r="E1995" s="222" t="str">
        <f t="array" ref="E1995:E1996">{"SPELLLIST";(IF(D1996="Spells",((INDEX(ALLCLASSDATA,MATCH("CasterType",CLASSFEATUREHEADERS,0),MATCH(($A1996),CLASSNAMEHEADERS,0))) &amp; ":" &amp; (INDEX(ALLCLASSDATA,MATCH("SpellList",CLASSFEATUREHEADERS,0),MATCH(($A1996),CLASSNAMEHEADERS,0)))),""))}</f>
        <v>SPELLLIST</v>
      </c>
      <c r="F1995" s="223" t="str">
        <f t="array" ref="F1995:F1996">{"LEARNEDCOST";(IF(D1996="","","LearnCost:"))}</f>
        <v>LEARNEDCOST</v>
      </c>
      <c r="G1995" s="223" t="str">
        <f t="array" ref="G1995:G1996">{"LEARNED CANTRIPS";(INDEX(ALLCLASSDATA,MATCH("CantripsLearned-L00",CLASSFEATUREHEADERS,0),MATCH(($A1996 &amp; "Points"),CLASSNAMEHEADERS,0)))}</f>
        <v>LEARNED CANTRIPS</v>
      </c>
      <c r="H1995" s="223" t="str">
        <f t="array" ref="H1995:H1996">{"LEARNED L01";(INDEX(ALLCLASSDATA,MATCH("Learned-L01",CLASSFEATUREHEADERS,0),MATCH(($A1996 &amp; "Points"),CLASSNAMEHEADERS,0)))}</f>
        <v>LEARNED L01</v>
      </c>
      <c r="I1995" s="223" t="str">
        <f t="array" ref="I1995:I1996">{"LEARNED L02";(INDEX(ALLCLASSDATA,MATCH("Learned-L02",CLASSFEATUREHEADERS,0),MATCH(($A1996 &amp; "Points"),CLASSNAMEHEADERS,0)))}</f>
        <v>LEARNED L02</v>
      </c>
      <c r="J1995" s="223" t="str">
        <f t="array" ref="J1995:J1996">{"LEARNED L03";(INDEX(ALLCLASSDATA,MATCH("Learned-L03",CLASSFEATUREHEADERS,0),MATCH(($A1996 &amp; "Points"),CLASSNAMEHEADERS,0)))}</f>
        <v>LEARNED L03</v>
      </c>
      <c r="K1995" s="223" t="str">
        <f t="array" ref="K1995:K1996">{"LEARNED L04";(INDEX(ALLCLASSDATA,MATCH("Learned-L04",CLASSFEATUREHEADERS,0),MATCH(($A1996 &amp; "Points"),CLASSNAMEHEADERS,0)))}</f>
        <v>LEARNED L04</v>
      </c>
      <c r="L1995" s="223" t="str">
        <f t="array" ref="L1995:L1996">{"LEARNED L05";(INDEX(ALLCLASSDATA,MATCH("Learned-L05",CLASSFEATUREHEADERS,0),MATCH(($A1996 &amp; "Points"),CLASSNAMEHEADERS,0)))}</f>
        <v>LEARNED L05</v>
      </c>
      <c r="M1995" s="223" t="str">
        <f t="array" ref="M1995:M1996">{"LEARNED L06";(INDEX(ALLCLASSDATA,MATCH("Learned-L06",CLASSFEATUREHEADERS,0),MATCH(($A1996 &amp; "Points"),CLASSNAMEHEADERS,0)))}</f>
        <v>LEARNED L06</v>
      </c>
      <c r="N1995" s="223" t="str">
        <f t="array" ref="N1995:N1996">{"LEARNED L07";(INDEX(ALLCLASSDATA,MATCH("Learned-L07",CLASSFEATUREHEADERS,0),MATCH(($A1996 &amp; "Points"),CLASSNAMEHEADERS,0)))}</f>
        <v>LEARNED L07</v>
      </c>
      <c r="O1995" s="223" t="str">
        <f t="array" ref="O1995:O1996">{"LEARNED L08";(INDEX(ALLCLASSDATA,MATCH("Learned-L08",CLASSFEATUREHEADERS,0),MATCH(($A1996 &amp; "Points"),CLASSNAMEHEADERS,0)))}</f>
        <v>LEARNED L08</v>
      </c>
      <c r="P1995" s="223" t="str">
        <f t="array" ref="P1995:P1996">{"LEARNED L09";(INDEX(ALLCLASSDATA,MATCH("Learned-L09",CLASSFEATUREHEADERS,0),MATCH(($A1996 &amp; "Points"),CLASSNAMEHEADERS,0)))}</f>
        <v>LEARNED L09</v>
      </c>
      <c r="Q1995" s="223" t="str">
        <f t="array" ref="Q1995:Q1996">{"LEARNED L10";(INDEX(ALLCLASSDATA,MATCH("Learned-L10",CLASSFEATUREHEADERS,0),MATCH(($A1996 &amp; "Points"),CLASSNAMEHEADERS,0)))}</f>
        <v>LEARNED L10</v>
      </c>
      <c r="R1995" s="223" t="str">
        <f t="array" ref="R1995:R1996">{"LEARNED L11";(INDEX(ALLCLASSDATA,MATCH("Learned-L11",CLASSFEATUREHEADERS,0),MATCH(($A1996 &amp; "Points"),CLASSNAMEHEADERS,0)))}</f>
        <v>LEARNED L11</v>
      </c>
      <c r="S1995" s="223" t="str">
        <f t="array" ref="S1995:S1996">{"LEARNED L12";(INDEX(ALLCLASSDATA,MATCH("Learned-L12",CLASSFEATUREHEADERS,0),MATCH(($A1996 &amp; "Points"),CLASSNAMEHEADERS,0)))}</f>
        <v>LEARNED L12</v>
      </c>
      <c r="T1995" s="223" t="str">
        <f t="array" ref="T1995:T1996">{"LEARNED L13";(INDEX(ALLCLASSDATA,MATCH("Learned-L13",CLASSFEATUREHEADERS,0),MATCH(($A1996 &amp; "Points"),CLASSNAMEHEADERS,0)))}</f>
        <v>LEARNED L13</v>
      </c>
      <c r="U1995" s="223" t="str">
        <f t="array" ref="U1995:U1996">{"LEARNED L14";(INDEX(ALLCLASSDATA,MATCH("Learned-L14",CLASSFEATUREHEADERS,0),MATCH(($A1996 &amp; "Points"),CLASSNAMEHEADERS,0)))}</f>
        <v>LEARNED L14</v>
      </c>
      <c r="V1995" s="223" t="str">
        <f t="array" ref="V1995:V1996">{"LEARNED L15";(INDEX(ALLCLASSDATA,MATCH("Learned-L15",CLASSFEATUREHEADERS,0),MATCH(($A1996 &amp; "Points"),CLASSNAMEHEADERS,0)))}</f>
        <v>LEARNED L15</v>
      </c>
      <c r="W1995" s="223" t="str">
        <f t="array" ref="W1995:W1996">{"LEARNED L16";(INDEX(ALLCLASSDATA,MATCH("Learned-L16",CLASSFEATUREHEADERS,0),MATCH(($A1996 &amp; "Points"),CLASSNAMEHEADERS,0)))}</f>
        <v>LEARNED L16</v>
      </c>
      <c r="X1995" s="223" t="str">
        <f t="array" ref="X1995:X1996">{"LEARNED L17";(INDEX(ALLCLASSDATA,MATCH("Learned-L17",CLASSFEATUREHEADERS,0),MATCH(($A1996 &amp; "Points"),CLASSNAMEHEADERS,0)))}</f>
        <v>LEARNED L17</v>
      </c>
      <c r="Y1995" s="223" t="str">
        <f t="array" ref="Y1995:Y1996">{"LEARNED L18";(INDEX(ALLCLASSDATA,MATCH("Learned-L18",CLASSFEATUREHEADERS,0),MATCH(($A1996 &amp; "Points"),CLASSNAMEHEADERS,0)))}</f>
        <v>LEARNED L18</v>
      </c>
      <c r="Z1995" s="223" t="str">
        <f t="array" ref="Z1995:Z1996">{"LEARNED L19";(INDEX(ALLCLASSDATA,MATCH("Learned-L19",CLASSFEATUREHEADERS,0),MATCH(($A1996 &amp; "Points"),CLASSNAMEHEADERS,0)))}</f>
        <v>LEARNED L19</v>
      </c>
      <c r="AA1995" s="223" t="str">
        <f t="array" ref="AA1995:AA1996">{"LEARNED L20";(INDEX(ALLCLASSDATA,MATCH("Learned-L20",CLASSFEATUREHEADERS,0),MATCH(($A1996 &amp; "Points"),CLASSNAMEHEADERS,0)))}</f>
        <v>LEARNED L20</v>
      </c>
      <c r="AB1995" s="76"/>
      <c r="AC1995" s="76" t="str">
        <f t="array" ref="AC1995:AC1996">{"LEARNED TOTAL";(sum(G1996:AA1996))}</f>
        <v>LEARNED TOTAL</v>
      </c>
    </row>
    <row r="1996">
      <c r="A1996" s="48" t="s">
        <v>231</v>
      </c>
      <c r="B1996" s="48"/>
      <c r="C1996" s="48" t="s">
        <v>418</v>
      </c>
      <c r="D1996" s="48" t="s">
        <v>1901</v>
      </c>
      <c r="E1996" s="48" t="s">
        <v>1922</v>
      </c>
      <c r="F1996" s="278" t="s">
        <v>1906</v>
      </c>
      <c r="G1996" s="47">
        <v>25.0</v>
      </c>
      <c r="H1996" s="5">
        <v>60.0</v>
      </c>
      <c r="I1996" s="5">
        <v>20.0</v>
      </c>
      <c r="J1996" s="5">
        <v>20.0</v>
      </c>
      <c r="K1996" s="5">
        <v>20.0</v>
      </c>
      <c r="L1996" s="5">
        <v>20.0</v>
      </c>
      <c r="M1996" s="5">
        <v>20.0</v>
      </c>
      <c r="N1996" s="48">
        <v>20.0</v>
      </c>
      <c r="O1996" s="5">
        <v>20.0</v>
      </c>
      <c r="P1996" s="5">
        <v>20.0</v>
      </c>
      <c r="Q1996" s="5">
        <v>20.0</v>
      </c>
      <c r="R1996" s="5">
        <v>20.0</v>
      </c>
      <c r="S1996" s="5">
        <v>20.0</v>
      </c>
      <c r="T1996" s="5">
        <v>20.0</v>
      </c>
      <c r="U1996" s="5">
        <v>20.0</v>
      </c>
      <c r="V1996" s="5">
        <v>20.0</v>
      </c>
      <c r="W1996" s="5">
        <v>20.0</v>
      </c>
      <c r="X1996" s="5">
        <v>20.0</v>
      </c>
      <c r="Y1996" s="5">
        <v>20.0</v>
      </c>
      <c r="Z1996" s="5">
        <v>20.0</v>
      </c>
      <c r="AA1996" s="5">
        <v>20.0</v>
      </c>
      <c r="AB1996" s="5"/>
      <c r="AC1996" s="47">
        <v>465.0</v>
      </c>
    </row>
    <row r="1997" hidden="1">
      <c r="A1997" s="222" t="str">
        <f t="array" ref="A1997:A1998">{"FormulaRow42";(INDEX(CLASSLIST,A1914,1))}</f>
        <v>FormulaRow42</v>
      </c>
      <c r="B1997" s="77" t="s">
        <v>236</v>
      </c>
      <c r="C1997" s="222" t="str">
        <f t="array" ref="C1997:C1998">{"CLASSTYPE";((INDEX(ALLCLASSDATA,MATCH("ClassType",CLASSFEATUREHEADERS,0),MATCH($A1998,CLASSNAMEHEADERS,0))))}</f>
        <v>CLASSTYPE</v>
      </c>
      <c r="D1997" s="222" t="str">
        <f t="array" ref="D1997:D1998">{"SPELL/ALCHEMY";((IF(INDEX(ALLCLASSDATA,MATCH("CasterType",CLASSFEATUREHEADERS,0),MATCH(($A1998),CLASSNAMEHEADERS,0))="","",(IF(INDEX(ALLCLASSDATA,MATCH("CasterType",CLASSFEATUREHEADERS,0),MATCH(($A1998),CLASSNAMEHEADERS,0))="Alchemy","","Spells")))))}</f>
        <v>SPELL/ALCHEMY</v>
      </c>
      <c r="E1997" s="222" t="str">
        <f t="array" ref="E1997:E1998">{"SPELLLIST";(IF(D1998="Spells",((INDEX(ALLCLASSDATA,MATCH("CasterType",CLASSFEATUREHEADERS,0),MATCH(($A1998),CLASSNAMEHEADERS,0))) &amp; ":" &amp; (INDEX(ALLCLASSDATA,MATCH("SpellList",CLASSFEATUREHEADERS,0),MATCH(($A1998),CLASSNAMEHEADERS,0)))),""))}</f>
        <v>SPELLLIST</v>
      </c>
      <c r="F1997" s="223" t="str">
        <f t="array" ref="F1997:F1998">{"SLOT/LVL";(IF(D1992="Spells","Slot/LVL:",""))}</f>
        <v>SLOT/LVL</v>
      </c>
      <c r="G1997" s="223" t="str">
        <f t="array" ref="G1997:G1998">{"CANTRIPSLOTS";(INDEX(ALLCLASSDATA,MATCH("CantripSlots-L00",CLASSFEATUREHEADERS,0),MATCH($A1998,CLASSNAMEHEADERS,0)))}</f>
        <v>CANTRIPSLOTS</v>
      </c>
      <c r="H1997" s="223" t="str">
        <f t="array" ref="H1997:H1998">{"SPL01-L01";(INDEX(ALLCLASSDATA,MATCH("SPL01-L01",CLASSFEATUREHEADERS,0),MATCH($A1998,CLASSNAMEHEADERS,0)))}</f>
        <v>SPL01-L01</v>
      </c>
      <c r="I1997" s="223" t="str">
        <f t="array" ref="I1997:I1998">{"SPL01-L02";(INDEX(ALLCLASSDATA,MATCH("SPL01-L02",CLASSFEATUREHEADERS,0),MATCH($A1998,CLASSNAMEHEADERS,0)))}</f>
        <v>SPL01-L02</v>
      </c>
      <c r="J1997" s="223" t="str">
        <f t="array" ref="J1997:J1998">{"SPL02-L03";(INDEX(ALLCLASSDATA,MATCH("SPL02-L03",CLASSFEATUREHEADERS,0),MATCH($A1998,CLASSNAMEHEADERS,0)))}</f>
        <v>SPL02-L03</v>
      </c>
      <c r="K1997" s="223" t="str">
        <f t="array" ref="K1997:K1998">{"SPL02-L04";(INDEX(ALLCLASSDATA,MATCH("SPL02-L04",CLASSFEATUREHEADERS,0),MATCH($A1998,CLASSNAMEHEADERS,0)))}</f>
        <v>SPL02-L04</v>
      </c>
      <c r="L1997" s="223" t="str">
        <f t="array" ref="L1997:L1998">{"SPL03-L05";(INDEX(ALLCLASSDATA,MATCH("SPL03-L05",CLASSFEATUREHEADERS,0),MATCH($A1998,CLASSNAMEHEADERS,0)))}</f>
        <v>SPL03-L05</v>
      </c>
      <c r="M1997" s="223" t="str">
        <f t="array" ref="M1997:M1998">{"SPL03-L06";(INDEX(ALLCLASSDATA,MATCH("SPL03-L06",CLASSFEATUREHEADERS,0),MATCH($A1998,CLASSNAMEHEADERS,0)))}</f>
        <v>SPL03-L06</v>
      </c>
      <c r="N1997" s="223" t="str">
        <f t="array" ref="N1997:N1998">{"SPL04-L07";(INDEX(ALLCLASSDATA,MATCH("SPL04-L07",CLASSFEATUREHEADERS,0),MATCH($A1998,CLASSNAMEHEADERS,0)))}</f>
        <v>SPL04-L07</v>
      </c>
      <c r="O1997" s="223" t="str">
        <f t="array" ref="O1997:O1998">{"SPL04-L08";(INDEX(ALLCLASSDATA,MATCH("SPL04-L08",CLASSFEATUREHEADERS,0),MATCH($A1998,CLASSNAMEHEADERS,0)))}</f>
        <v>SPL04-L08</v>
      </c>
      <c r="P1997" s="223" t="str">
        <f t="array" ref="P1997:P1998">{"SPL05-L09";(INDEX(ALLCLASSDATA,MATCH("SPL05-L09",CLASSFEATUREHEADERS,0),MATCH($A1998,CLASSNAMEHEADERS,0)))}</f>
        <v>SPL05-L09</v>
      </c>
      <c r="Q1997" s="223" t="str">
        <f t="array" ref="Q1997:Q1998">{"SPL05-L10";(INDEX(ALLCLASSDATA,MATCH("SPL05-L10",CLASSFEATUREHEADERS,0),MATCH($A1998,CLASSNAMEHEADERS,0)))}</f>
        <v>SPL05-L10</v>
      </c>
      <c r="R1997" s="223" t="str">
        <f t="array" ref="R1997:R1998">{"SPL06-L11";(INDEX(ALLCLASSDATA,MATCH("SPL06-L11",CLASSFEATUREHEADERS,0),MATCH($A1998,CLASSNAMEHEADERS,0)))}</f>
        <v>SPL06-L11</v>
      </c>
      <c r="S1997" s="223" t="str">
        <f t="array" ref="S1997:S1998">{"SPL06-L12";(INDEX(ALLCLASSDATA,MATCH("SPL06-L12",CLASSFEATUREHEADERS,0),MATCH($A1998,CLASSNAMEHEADERS,0)))}</f>
        <v>SPL06-L12</v>
      </c>
      <c r="T1997" s="223" t="str">
        <f t="array" ref="T1997:T1998">{"SPL07-L13";(INDEX(ALLCLASSDATA,MATCH("SPL07-L13",CLASSFEATUREHEADERS,0),MATCH($A1998,CLASSNAMEHEADERS,0)))}</f>
        <v>SPL07-L13</v>
      </c>
      <c r="U1997" s="223" t="str">
        <f t="array" ref="U1997:U1998">{"SPL07-L14";(INDEX(ALLCLASSDATA,MATCH("SPL07-L14",CLASSFEATUREHEADERS,0),MATCH($A1998,CLASSNAMEHEADERS,0)))}</f>
        <v>SPL07-L14</v>
      </c>
      <c r="V1997" s="223" t="str">
        <f t="array" ref="V1997:V1998">{"SPL08-L15";(INDEX(ALLCLASSDATA,MATCH("SPL08-L15",CLASSFEATUREHEADERS,0),MATCH($A1998,CLASSNAMEHEADERS,0)))}</f>
        <v>SPL08-L15</v>
      </c>
      <c r="W1997" s="223" t="str">
        <f t="array" ref="W1997:W1998">{"SPL08-L16";(INDEX(ALLCLASSDATA,MATCH("SPL08-L16",CLASSFEATUREHEADERS,0),MATCH($A1998,CLASSNAMEHEADERS,0)))}</f>
        <v>SPL08-L16</v>
      </c>
      <c r="X1997" s="223" t="str">
        <f t="array" ref="X1997:X1998">{"SPL09-L17";(INDEX(ALLCLASSDATA,MATCH("SPL09-L17",CLASSFEATUREHEADERS,0),MATCH($A1998,CLASSNAMEHEADERS,0)))}</f>
        <v>SPL09-L17</v>
      </c>
      <c r="Y1997" s="223" t="str">
        <f t="array" ref="Y1997:Y1998">{"SPL09-L18";(INDEX(ALLCLASSDATA,MATCH("SPL09-L18",CLASSFEATUREHEADERS,0),MATCH($A1998,CLASSNAMEHEADERS,0)))}</f>
        <v>SPL09-L18</v>
      </c>
      <c r="Z1997" s="223" t="str">
        <f t="array" ref="Z1997:Z1998">{"SPL10-L19";(INDEX(ALLCLASSDATA,MATCH("SPL10-L19",CLASSFEATUREHEADERS,0),MATCH($A1998,CLASSNAMEHEADERS,0)))}</f>
        <v>SPL10-L19</v>
      </c>
      <c r="AA1997" s="223" t="str">
        <f t="array" ref="AA1997:AA1998">{"SPL10-L20";(INDEX(ALLCLASSDATA,MATCH("SPL10-L20",CLASSFEATUREHEADERS,0),MATCH($A1998,CLASSNAMEHEADERS,0)))}</f>
        <v>SPL10-L20</v>
      </c>
      <c r="AB1997" s="76"/>
      <c r="AC1997" s="76"/>
    </row>
    <row r="1998">
      <c r="A1998" s="48" t="s">
        <v>231</v>
      </c>
      <c r="B1998" s="48"/>
      <c r="C1998" s="48" t="s">
        <v>418</v>
      </c>
      <c r="D1998" s="48" t="s">
        <v>1901</v>
      </c>
      <c r="E1998" s="48" t="s">
        <v>1922</v>
      </c>
      <c r="F1998" s="278" t="s">
        <v>1907</v>
      </c>
      <c r="G1998" s="280" t="s">
        <v>1530</v>
      </c>
      <c r="H1998" s="50" t="s">
        <v>1538</v>
      </c>
      <c r="I1998" s="50" t="s">
        <v>1537</v>
      </c>
      <c r="J1998" s="50" t="s">
        <v>1538</v>
      </c>
      <c r="K1998" s="50" t="s">
        <v>1537</v>
      </c>
      <c r="L1998" s="50" t="s">
        <v>1538</v>
      </c>
      <c r="M1998" s="50" t="s">
        <v>1537</v>
      </c>
      <c r="N1998" s="50" t="s">
        <v>1538</v>
      </c>
      <c r="O1998" s="50" t="s">
        <v>1537</v>
      </c>
      <c r="P1998" s="50" t="s">
        <v>1538</v>
      </c>
      <c r="Q1998" s="50" t="s">
        <v>1537</v>
      </c>
      <c r="R1998" s="50" t="s">
        <v>1538</v>
      </c>
      <c r="S1998" s="50" t="s">
        <v>1537</v>
      </c>
      <c r="T1998" s="50" t="s">
        <v>1538</v>
      </c>
      <c r="U1998" s="50" t="s">
        <v>1537</v>
      </c>
      <c r="V1998" s="50" t="s">
        <v>1538</v>
      </c>
      <c r="W1998" s="50" t="s">
        <v>1537</v>
      </c>
      <c r="X1998" s="50" t="s">
        <v>1538</v>
      </c>
      <c r="Y1998" s="50" t="s">
        <v>1537</v>
      </c>
      <c r="Z1998" s="50" t="s">
        <v>1537</v>
      </c>
      <c r="AA1998" s="50"/>
      <c r="AB1998" s="278"/>
      <c r="AC1998" s="47"/>
    </row>
    <row r="1999" hidden="1">
      <c r="A1999" s="222" t="str">
        <f t="array" ref="A1999:A2000">{"FormulaRow43";(INDEX(CLASSLIST,A1914,1))}</f>
        <v>FormulaRow43</v>
      </c>
      <c r="B1999" s="77" t="s">
        <v>236</v>
      </c>
      <c r="C1999" s="222" t="str">
        <f t="array" ref="C1999:C2000">{"CLASSTYPE";((INDEX(ALLCLASSDATA,MATCH("ClassType",CLASSFEATUREHEADERS,0),MATCH($A2000,CLASSNAMEHEADERS,0))))}</f>
        <v>CLASSTYPE</v>
      </c>
      <c r="D1999" s="222" t="str">
        <f t="array" ref="D1999:D2000">{"SPELL/ALCHEMY";((IF(INDEX(ALLCLASSDATA,MATCH("CasterType",CLASSFEATUREHEADERS,0),MATCH(($A2000),CLASSNAMEHEADERS,0))="","",(IF(INDEX(ALLCLASSDATA,MATCH("CasterType",CLASSFEATUREHEADERS,0),MATCH(($A2000),CLASSNAMEHEADERS,0))="Alchemy","Alchemy","Spells")))))}</f>
        <v>SPELL/ALCHEMY</v>
      </c>
      <c r="E1999" s="222" t="str">
        <f t="array" ref="E1999:E2000">{"SPELLLIST";(IF(D2000="Spells",((INDEX(ALLCLASSDATA,MATCH("CasterType",CLASSFEATUREHEADERS,0),MATCH(($A2000),CLASSNAMEHEADERS,0))) &amp; ":" &amp; (INDEX(ALLCLASSDATA,MATCH("SpellList",CLASSFEATUREHEADERS,0),MATCH(($A2000),CLASSNAMEHEADERS,0)))),""))}</f>
        <v>SPELLLIST</v>
      </c>
      <c r="F1999" s="223" t="str">
        <f t="array" ref="F1999:F2000">{"LEARNED/LVL";(IF(D2000="","","Learn/LVL:"))}</f>
        <v>LEARNED/LVL</v>
      </c>
      <c r="G1999" s="223" t="str">
        <f t="array" ref="G1999:G2000">{"LEARNEDCANTRIPS";(INDEX(ALLCLASSDATA,MATCH("CantripsLearned-L00",CLASSFEATUREHEADERS,0),MATCH($A2000,CLASSNAMEHEADERS,0)))}</f>
        <v>LEARNEDCANTRIPS</v>
      </c>
      <c r="H1999" s="223" t="str">
        <f t="array" ref="H1999:H2000">{"LEARNED L01";(INDEX(ALLCLASSDATA,MATCH("Learned-L01",CLASSFEATUREHEADERS,0),MATCH($A2000,CLASSNAMEHEADERS,0)))}</f>
        <v>LEARNED L01</v>
      </c>
      <c r="I1999" s="223" t="str">
        <f t="array" ref="I1999:I2000">{"LEARNED L02";(INDEX(ALLCLASSDATA,MATCH("Learned-L02",CLASSFEATUREHEADERS,0),MATCH($A2000,CLASSNAMEHEADERS,0)))}</f>
        <v>LEARNED L02</v>
      </c>
      <c r="J1999" s="223" t="str">
        <f t="array" ref="J1999:J2000">{"LEARNED L03";(INDEX(ALLCLASSDATA,MATCH("Learned-L03",CLASSFEATUREHEADERS,0),MATCH($A2000,CLASSNAMEHEADERS,0)))}</f>
        <v>LEARNED L03</v>
      </c>
      <c r="K1999" s="223" t="str">
        <f t="array" ref="K1999:K2000">{"LEARNED L04";(INDEX(ALLCLASSDATA,MATCH("Learned-L04",CLASSFEATUREHEADERS,0),MATCH($A2000,CLASSNAMEHEADERS,0)))}</f>
        <v>LEARNED L04</v>
      </c>
      <c r="L1999" s="223" t="str">
        <f t="array" ref="L1999:L2000">{"LEARNED L05";(INDEX(ALLCLASSDATA,MATCH("Learned-L05",CLASSFEATUREHEADERS,0),MATCH($A2000,CLASSNAMEHEADERS,0)))}</f>
        <v>LEARNED L05</v>
      </c>
      <c r="M1999" s="223" t="str">
        <f t="array" ref="M1999:M2000">{"LEARNED L06";(INDEX(ALLCLASSDATA,MATCH("Learned-L06",CLASSFEATUREHEADERS,0),MATCH($A2000,CLASSNAMEHEADERS,0)))}</f>
        <v>LEARNED L06</v>
      </c>
      <c r="N1999" s="223" t="str">
        <f t="array" ref="N1999:N2000">{"LEARNED L07";(INDEX(ALLCLASSDATA,MATCH("Learned-L07",CLASSFEATUREHEADERS,0),MATCH($A2000,CLASSNAMEHEADERS,0)))}</f>
        <v>LEARNED L07</v>
      </c>
      <c r="O1999" s="223" t="str">
        <f t="array" ref="O1999:O2000">{"LEARNED L08";(INDEX(ALLCLASSDATA,MATCH("Learned-L08",CLASSFEATUREHEADERS,0),MATCH($A2000,CLASSNAMEHEADERS,0)))}</f>
        <v>LEARNED L08</v>
      </c>
      <c r="P1999" s="223" t="str">
        <f t="array" ref="P1999:P2000">{"LEARNED L09";(INDEX(ALLCLASSDATA,MATCH("Learned-L09",CLASSFEATUREHEADERS,0),MATCH($A2000,CLASSNAMEHEADERS,0)))}</f>
        <v>LEARNED L09</v>
      </c>
      <c r="Q1999" s="223" t="str">
        <f t="array" ref="Q1999:Q2000">{"LEARNED L10";(INDEX(ALLCLASSDATA,MATCH("Learned-L10",CLASSFEATUREHEADERS,0),MATCH($A2000,CLASSNAMEHEADERS,0)))}</f>
        <v>LEARNED L10</v>
      </c>
      <c r="R1999" s="223" t="str">
        <f t="array" ref="R1999:R2000">{"LEARNED L11";(INDEX(ALLCLASSDATA,MATCH("Learned-L11",CLASSFEATUREHEADERS,0),MATCH($A2000,CLASSNAMEHEADERS,0)))}</f>
        <v>LEARNED L11</v>
      </c>
      <c r="S1999" s="223" t="str">
        <f t="array" ref="S1999:S2000">{"LEARNED L12";(INDEX(ALLCLASSDATA,MATCH("Learned-L12",CLASSFEATUREHEADERS,0),MATCH($A2000,CLASSNAMEHEADERS,0)))}</f>
        <v>LEARNED L12</v>
      </c>
      <c r="T1999" s="223" t="str">
        <f t="array" ref="T1999:T2000">{"LEARNED L13";(INDEX(ALLCLASSDATA,MATCH("Learned-L13",CLASSFEATUREHEADERS,0),MATCH($A2000,CLASSNAMEHEADERS,0)))}</f>
        <v>LEARNED L13</v>
      </c>
      <c r="U1999" s="223" t="str">
        <f t="array" ref="U1999:U2000">{"LEARNED L14";(INDEX(ALLCLASSDATA,MATCH("Learned-L14",CLASSFEATUREHEADERS,0),MATCH($A2000,CLASSNAMEHEADERS,0)))}</f>
        <v>LEARNED L14</v>
      </c>
      <c r="V1999" s="223" t="str">
        <f t="array" ref="V1999:V2000">{"LEARNED L15";(INDEX(ALLCLASSDATA,MATCH("Learned-L15",CLASSFEATUREHEADERS,0),MATCH($A2000,CLASSNAMEHEADERS,0)))}</f>
        <v>LEARNED L15</v>
      </c>
      <c r="W1999" s="223" t="str">
        <f t="array" ref="W1999:W2000">{"LEARNED L16";(INDEX(ALLCLASSDATA,MATCH("Learned-L16",CLASSFEATUREHEADERS,0),MATCH($A2000,CLASSNAMEHEADERS,0)))}</f>
        <v>LEARNED L16</v>
      </c>
      <c r="X1999" s="223" t="str">
        <f t="array" ref="X1999:X2000">{"LEARNED L17";(INDEX(ALLCLASSDATA,MATCH("Learned-L17",CLASSFEATUREHEADERS,0),MATCH($A2000,CLASSNAMEHEADERS,0)))}</f>
        <v>LEARNED L17</v>
      </c>
      <c r="Y1999" s="223" t="str">
        <f t="array" ref="Y1999:Y2000">{"LEARNED L18";(INDEX(ALLCLASSDATA,MATCH("Learned-L18",CLASSFEATUREHEADERS,0),MATCH($A2000,CLASSNAMEHEADERS,0)))}</f>
        <v>LEARNED L18</v>
      </c>
      <c r="Z1999" s="223" t="str">
        <f t="array" ref="Z1999:Z2000">{"LEARNED L19";(INDEX(ALLCLASSDATA,MATCH("Learned-L19",CLASSFEATUREHEADERS,0),MATCH($A2000,CLASSNAMEHEADERS,0)))}</f>
        <v>LEARNED L19</v>
      </c>
      <c r="AA1999" s="223" t="str">
        <f t="array" ref="AA1999:AA2000">{"LEARNED L20";(INDEX(ALLCLASSDATA,MATCH("Learned-L20",CLASSFEATUREHEADERS,0),MATCH($A2000,CLASSNAMEHEADERS,0)))}</f>
        <v>LEARNED L20</v>
      </c>
      <c r="AB1999" s="76"/>
      <c r="AC1999" s="76"/>
    </row>
    <row r="2000">
      <c r="A2000" s="48" t="s">
        <v>231</v>
      </c>
      <c r="B2000" s="48"/>
      <c r="C2000" s="48" t="s">
        <v>418</v>
      </c>
      <c r="D2000" s="48" t="s">
        <v>1901</v>
      </c>
      <c r="E2000" s="48" t="s">
        <v>1922</v>
      </c>
      <c r="F2000" s="278" t="s">
        <v>1909</v>
      </c>
      <c r="G2000" s="280" t="s">
        <v>158</v>
      </c>
      <c r="H2000" s="278" t="s">
        <v>1533</v>
      </c>
      <c r="I2000" s="278" t="s">
        <v>1538</v>
      </c>
      <c r="J2000" s="278" t="s">
        <v>1538</v>
      </c>
      <c r="K2000" s="278" t="s">
        <v>1538</v>
      </c>
      <c r="L2000" s="278" t="s">
        <v>1538</v>
      </c>
      <c r="M2000" s="278" t="s">
        <v>1538</v>
      </c>
      <c r="N2000" s="278" t="s">
        <v>1538</v>
      </c>
      <c r="O2000" s="50" t="s">
        <v>1538</v>
      </c>
      <c r="P2000" s="278" t="s">
        <v>1538</v>
      </c>
      <c r="Q2000" s="278" t="s">
        <v>1538</v>
      </c>
      <c r="R2000" s="278" t="s">
        <v>1538</v>
      </c>
      <c r="S2000" s="278" t="s">
        <v>1538</v>
      </c>
      <c r="T2000" s="278" t="s">
        <v>1538</v>
      </c>
      <c r="U2000" s="278" t="s">
        <v>1538</v>
      </c>
      <c r="V2000" s="278" t="s">
        <v>1538</v>
      </c>
      <c r="W2000" s="278" t="s">
        <v>1538</v>
      </c>
      <c r="X2000" s="278" t="s">
        <v>1538</v>
      </c>
      <c r="Y2000" s="278" t="s">
        <v>1538</v>
      </c>
      <c r="Z2000" s="278" t="s">
        <v>1538</v>
      </c>
      <c r="AA2000" s="278" t="s">
        <v>1538</v>
      </c>
      <c r="AB2000" s="278"/>
      <c r="AC2000" s="47"/>
    </row>
    <row r="2001" hidden="1">
      <c r="A2001" s="222" t="str">
        <f t="array" ref="A2001:A2002">{"FormulaRow44";(INDEX(CLASSLIST,A1914,1))}</f>
        <v>FormulaRow44</v>
      </c>
      <c r="B2001" s="77" t="s">
        <v>236</v>
      </c>
      <c r="C2001" s="222" t="str">
        <f t="array" ref="C2001:C2002">{"CLASSTYPE";((INDEX(ALLCLASSDATA,MATCH("ClassType",CLASSFEATUREHEADERS,0),MATCH($A2002,CLASSNAMEHEADERS,0))))}</f>
        <v>CLASSTYPE</v>
      </c>
      <c r="D2001" s="222" t="str">
        <f t="array" ref="D2001:D2002">{"SPELL/ALCHEMY";((IF(INDEX(ALLCLASSDATA,MATCH("CasterType",CLASSFEATUREHEADERS,0),MATCH(($A2002),CLASSNAMEHEADERS,0))="","",(IF(INDEX(ALLCLASSDATA,MATCH("CasterType",CLASSFEATUREHEADERS,0),MATCH(($A2002),CLASSNAMEHEADERS,0))="Alchemy","","Spells")))))}</f>
        <v>SPELL/ALCHEMY</v>
      </c>
      <c r="E2001" s="222" t="str">
        <f t="array" ref="E2001:E2002">{"SPELLLIST";(IF(D2002="Spells",((INDEX(ALLCLASSDATA,MATCH("CasterType",CLASSFEATUREHEADERS,0),MATCH(($A2002),CLASSNAMEHEADERS,0))) &amp; ":" &amp; (INDEX(ALLCLASSDATA,MATCH("SpellList",CLASSFEATUREHEADERS,0),MATCH(($A2002),CLASSNAMEHEADERS,0)))),""))}</f>
        <v>SPELLLIST</v>
      </c>
      <c r="F2001" s="223" t="str">
        <f t="array" ref="F2001:F2002">{"TOTALSLOTS";(IF(D2002="","","TotalSlots:"))}</f>
        <v>TOTALSLOTS</v>
      </c>
      <c r="G2001" s="223" t="str">
        <f t="array" ref="G2001:G2002">{"TOTALCANTRIPSLOTS";(G1998)}</f>
        <v>TOTALCANTRIPSLOTS</v>
      </c>
      <c r="H2001" s="223" t="str">
        <f t="array" ref="H2001:H2002">{"TOTALSLOTS L01";(H1998)}</f>
        <v>TOTALSLOTS L01</v>
      </c>
      <c r="I2001" s="223" t="str">
        <f t="array" ref="I2001:I2002">{"TOTALSLOTS L02";(H2002+I1998)}</f>
        <v>TOTALSLOTS L02</v>
      </c>
      <c r="J2001" s="223" t="str">
        <f t="array" ref="J2001:J2002">{"TOTALSLOTS L03";(I2002+J1998)}</f>
        <v>TOTALSLOTS L03</v>
      </c>
      <c r="K2001" s="223" t="str">
        <f t="array" ref="K2001:K2002">{"TOTALSLOTS L04";(J2002+K1998)}</f>
        <v>TOTALSLOTS L04</v>
      </c>
      <c r="L2001" s="223" t="str">
        <f t="array" ref="L2001:L2002">{"TOTALSLOTS L05";(K2002+L1998)}</f>
        <v>TOTALSLOTS L05</v>
      </c>
      <c r="M2001" s="223" t="str">
        <f t="array" ref="M2001:M2002">{"TOTALSLOTS L06";(L2002+M1998)}</f>
        <v>TOTALSLOTS L06</v>
      </c>
      <c r="N2001" s="223" t="str">
        <f t="array" ref="N2001:N2002">{"TOTALSLOTS L07";(M2002+N1998)}</f>
        <v>TOTALSLOTS L07</v>
      </c>
      <c r="O2001" s="223" t="str">
        <f t="array" ref="O2001:O2002">{"TOTALSLOTS L08";(N2002+O1998)}</f>
        <v>TOTALSLOTS L08</v>
      </c>
      <c r="P2001" s="223" t="str">
        <f t="array" ref="P2001:P2002">{"TOTALSLOTS L09";(O2002+P1998)}</f>
        <v>TOTALSLOTS L09</v>
      </c>
      <c r="Q2001" s="223" t="str">
        <f t="array" ref="Q2001:Q2002">{"TOTALSLOTS L10";(P2002+Q1998)}</f>
        <v>TOTALSLOTS L10</v>
      </c>
      <c r="R2001" s="223" t="str">
        <f t="array" ref="R2001:R2002">{"TOTALSLOTS L11";(Q2002+R1998)}</f>
        <v>TOTALSLOTS L11</v>
      </c>
      <c r="S2001" s="223" t="str">
        <f t="array" ref="S2001:S2002">{"TOTALSLOTS L12";(R2002+S1998)}</f>
        <v>TOTALSLOTS L12</v>
      </c>
      <c r="T2001" s="223" t="str">
        <f t="array" ref="T2001:T2002">{"TOTALSLOTS L13";(S2002+T1998)}</f>
        <v>TOTALSLOTS L13</v>
      </c>
      <c r="U2001" s="223" t="str">
        <f t="array" ref="U2001:U2002">{"TOTALSLOTS L14";(T2002+U1998)}</f>
        <v>TOTALSLOTS L14</v>
      </c>
      <c r="V2001" s="223" t="str">
        <f t="array" ref="V2001:V2002">{"TOTALSLOTS L15";(U2002+V1998)}</f>
        <v>TOTALSLOTS L15</v>
      </c>
      <c r="W2001" s="223" t="str">
        <f t="array" ref="W2001:W2002">{"TOTALSLOTS L16";(V2002+W1998)}</f>
        <v>TOTALSLOTS L16</v>
      </c>
      <c r="X2001" s="223" t="str">
        <f t="array" ref="X2001:X2002">{"TOTALSLOTS L17";(W2002+X1998)}</f>
        <v>TOTALSLOTS L17</v>
      </c>
      <c r="Y2001" s="223" t="str">
        <f t="array" ref="Y2001:Y2002">{"TOTALSLOTS L18";(X2002+Y1998)}</f>
        <v>TOTALSLOTS L18</v>
      </c>
      <c r="Z2001" s="223" t="str">
        <f t="array" ref="Z2001:Z2002">{"TOTALSLOTS L19";(Y2002+Z1998)}</f>
        <v>TOTALSLOTS L19</v>
      </c>
      <c r="AA2001" s="223" t="str">
        <f t="array" ref="AA2001:AA2002">{"TOTALSLOTS L20";(Z2002+AA1998)}</f>
        <v>TOTALSLOTS L20</v>
      </c>
      <c r="AB2001" s="76"/>
      <c r="AC2001" s="76"/>
    </row>
    <row r="2002">
      <c r="A2002" s="48" t="s">
        <v>231</v>
      </c>
      <c r="B2002" s="48"/>
      <c r="C2002" s="48" t="s">
        <v>418</v>
      </c>
      <c r="D2002" s="48" t="s">
        <v>1901</v>
      </c>
      <c r="E2002" s="48" t="s">
        <v>1922</v>
      </c>
      <c r="F2002" s="278" t="s">
        <v>1910</v>
      </c>
      <c r="G2002" s="280" t="s">
        <v>1530</v>
      </c>
      <c r="H2002" s="278" t="s">
        <v>1538</v>
      </c>
      <c r="I2002" s="278">
        <v>3.0</v>
      </c>
      <c r="J2002" s="278">
        <v>5.0</v>
      </c>
      <c r="K2002" s="278">
        <v>6.0</v>
      </c>
      <c r="L2002" s="278">
        <v>8.0</v>
      </c>
      <c r="M2002" s="278">
        <v>9.0</v>
      </c>
      <c r="N2002" s="278">
        <v>11.0</v>
      </c>
      <c r="O2002" s="278">
        <v>12.0</v>
      </c>
      <c r="P2002" s="278">
        <v>14.0</v>
      </c>
      <c r="Q2002" s="278">
        <v>15.0</v>
      </c>
      <c r="R2002" s="278">
        <v>17.0</v>
      </c>
      <c r="S2002" s="278">
        <v>18.0</v>
      </c>
      <c r="T2002" s="278">
        <v>20.0</v>
      </c>
      <c r="U2002" s="278">
        <v>21.0</v>
      </c>
      <c r="V2002" s="278">
        <v>23.0</v>
      </c>
      <c r="W2002" s="278">
        <v>24.0</v>
      </c>
      <c r="X2002" s="278">
        <v>26.0</v>
      </c>
      <c r="Y2002" s="278">
        <v>27.0</v>
      </c>
      <c r="Z2002" s="278">
        <v>28.0</v>
      </c>
      <c r="AA2002" s="278">
        <v>28.0</v>
      </c>
      <c r="AB2002" s="5"/>
      <c r="AC2002" s="47"/>
    </row>
    <row r="2003" hidden="1">
      <c r="A2003" s="222" t="str">
        <f t="array" ref="A2003:A2004">{"FormulaRow45";(INDEX(CLASSLIST,A1914,1))}</f>
        <v>FormulaRow45</v>
      </c>
      <c r="B2003" s="77" t="s">
        <v>236</v>
      </c>
      <c r="C2003" s="222" t="str">
        <f t="array" ref="C2003:C2004">{"CLASSTYPE";((INDEX(ALLCLASSDATA,MATCH("ClassType",CLASSFEATUREHEADERS,0),MATCH($A2004,CLASSNAMEHEADERS,0))))}</f>
        <v>CLASSTYPE</v>
      </c>
      <c r="D2003" s="222" t="str">
        <f t="array" ref="D2003:D2004">{"SPELL/ALCHEMY";((IF(INDEX(ALLCLASSDATA,MATCH("CasterType",CLASSFEATUREHEADERS,0),MATCH(($A2004),CLASSNAMEHEADERS,0))="","",(IF(INDEX(ALLCLASSDATA,MATCH("CasterType",CLASSFEATUREHEADERS,0),MATCH(($A2004),CLASSNAMEHEADERS,0))="Alchemy","Alchemy","Spells")))))}</f>
        <v>SPELL/ALCHEMY</v>
      </c>
      <c r="E2003" s="222" t="str">
        <f t="array" ref="E2003:E2004">{"SPELLLIST";(IF(D2004="Spells",((INDEX(ALLCLASSDATA,MATCH("CasterType",CLASSFEATUREHEADERS,0),MATCH(($A2004),CLASSNAMEHEADERS,0))) &amp; ":" &amp; (INDEX(ALLCLASSDATA,MATCH("SpellList",CLASSFEATUREHEADERS,0),MATCH(($A2004),CLASSNAMEHEADERS,0)))),""))}</f>
        <v>SPELLLIST</v>
      </c>
      <c r="F2003" s="223" t="str">
        <f t="array" ref="F2003:F2004">{"TOTALLEARNED";(IF(D2004="","","TotalLearned:"))}</f>
        <v>TOTALLEARNED</v>
      </c>
      <c r="G2003" s="223" t="str">
        <f t="array" ref="G2003:G2004">{"TOTALCANTRIPSLEARNED";(G2000)}</f>
        <v>TOTALCANTRIPSLEARNED</v>
      </c>
      <c r="H2003" s="223" t="str">
        <f t="array" ref="H2003:H2004">{"TOTALLEARNED L01";(H2000)}</f>
        <v>TOTALLEARNED L01</v>
      </c>
      <c r="I2003" s="223" t="str">
        <f t="array" ref="I2003:I2004">{"TOTALLEARNED L02";(H2004+I2000)}</f>
        <v>TOTALLEARNED L02</v>
      </c>
      <c r="J2003" s="223" t="str">
        <f t="array" ref="J2003:J2004">{"TOTALLEARNED L03";(I2004+J2000)}</f>
        <v>TOTALLEARNED L03</v>
      </c>
      <c r="K2003" s="223" t="str">
        <f t="array" ref="K2003:K2004">{"TOTALLEARNED L04";(J2004+K2000)}</f>
        <v>TOTALLEARNED L04</v>
      </c>
      <c r="L2003" s="223" t="str">
        <f t="array" ref="L2003:L2004">{"TOTALLEARNED L05";(K2004+L2000)}</f>
        <v>TOTALLEARNED L05</v>
      </c>
      <c r="M2003" s="223" t="str">
        <f t="array" ref="M2003:M2004">{"TOTALLEARNED L06";(L2004+M2000)}</f>
        <v>TOTALLEARNED L06</v>
      </c>
      <c r="N2003" s="223" t="str">
        <f t="array" ref="N2003:N2004">{"TOTALLEARNED L07";(M2004+N2000)}</f>
        <v>TOTALLEARNED L07</v>
      </c>
      <c r="O2003" s="223" t="str">
        <f t="array" ref="O2003:O2004">{"TOTALLEARNED L08";(N2004+O2000)}</f>
        <v>TOTALLEARNED L08</v>
      </c>
      <c r="P2003" s="223" t="str">
        <f t="array" ref="P2003:P2004">{"TOTALLEARNED L09";(O2004+P2000)}</f>
        <v>TOTALLEARNED L09</v>
      </c>
      <c r="Q2003" s="223" t="str">
        <f t="array" ref="Q2003:Q2004">{"TOTALLEARNED L10";(P2004+Q2000)}</f>
        <v>TOTALLEARNED L10</v>
      </c>
      <c r="R2003" s="223" t="str">
        <f t="array" ref="R2003:R2004">{"TOTALLEARNED L11";(Q2004+R2000)}</f>
        <v>TOTALLEARNED L11</v>
      </c>
      <c r="S2003" s="223" t="str">
        <f t="array" ref="S2003:S2004">{"TOTALLEARNED L12";(R2004+S2000)}</f>
        <v>TOTALLEARNED L12</v>
      </c>
      <c r="T2003" s="223" t="str">
        <f t="array" ref="T2003:T2004">{"TOTALLEARNED L13";(S2004+T2000)}</f>
        <v>TOTALLEARNED L13</v>
      </c>
      <c r="U2003" s="223" t="str">
        <f t="array" ref="U2003:U2004">{"TOTALLEARNED L14";(T2004+U2000)}</f>
        <v>TOTALLEARNED L14</v>
      </c>
      <c r="V2003" s="223" t="str">
        <f t="array" ref="V2003:V2004">{"TOTALLEARNED L15";(U2004+V2000)}</f>
        <v>TOTALLEARNED L15</v>
      </c>
      <c r="W2003" s="223" t="str">
        <f t="array" ref="W2003:W2004">{"TOTALLEARNED L16";(V2004+W2000)}</f>
        <v>TOTALLEARNED L16</v>
      </c>
      <c r="X2003" s="223" t="str">
        <f t="array" ref="X2003:X2004">{"TOTALLEARNED L17";(W2004+X2000)}</f>
        <v>TOTALLEARNED L17</v>
      </c>
      <c r="Y2003" s="223" t="str">
        <f t="array" ref="Y2003:Y2004">{"TOTALLEARNED L18";(X2004+Y2000)}</f>
        <v>TOTALLEARNED L18</v>
      </c>
      <c r="Z2003" s="223" t="str">
        <f t="array" ref="Z2003:Z2004">{"TOTALLEARNED L19";(Y2004+Z2000)}</f>
        <v>TOTALLEARNED L19</v>
      </c>
      <c r="AA2003" s="223" t="str">
        <f t="array" ref="AA2003:AA2004">{"TOTALLEARNED L20";(Z2004+AA2000)}</f>
        <v>TOTALLEARNED L20</v>
      </c>
      <c r="AB2003" s="76"/>
      <c r="AC2003" s="76"/>
    </row>
    <row r="2004">
      <c r="A2004" s="97" t="s">
        <v>231</v>
      </c>
      <c r="B2004" s="97"/>
      <c r="C2004" s="97" t="s">
        <v>418</v>
      </c>
      <c r="D2004" s="97" t="s">
        <v>1901</v>
      </c>
      <c r="E2004" s="97" t="s">
        <v>1922</v>
      </c>
      <c r="F2004" s="281" t="s">
        <v>1911</v>
      </c>
      <c r="G2004" s="282" t="s">
        <v>158</v>
      </c>
      <c r="H2004" s="278" t="s">
        <v>1533</v>
      </c>
      <c r="I2004" s="278">
        <v>8.0</v>
      </c>
      <c r="J2004" s="278">
        <v>10.0</v>
      </c>
      <c r="K2004" s="278">
        <v>12.0</v>
      </c>
      <c r="L2004" s="278">
        <v>14.0</v>
      </c>
      <c r="M2004" s="278">
        <v>16.0</v>
      </c>
      <c r="N2004" s="278">
        <v>18.0</v>
      </c>
      <c r="O2004" s="278">
        <v>20.0</v>
      </c>
      <c r="P2004" s="278">
        <v>22.0</v>
      </c>
      <c r="Q2004" s="278">
        <v>24.0</v>
      </c>
      <c r="R2004" s="278">
        <v>26.0</v>
      </c>
      <c r="S2004" s="278">
        <v>28.0</v>
      </c>
      <c r="T2004" s="278">
        <v>30.0</v>
      </c>
      <c r="U2004" s="278">
        <v>32.0</v>
      </c>
      <c r="V2004" s="278">
        <v>34.0</v>
      </c>
      <c r="W2004" s="278">
        <v>36.0</v>
      </c>
      <c r="X2004" s="278">
        <v>38.0</v>
      </c>
      <c r="Y2004" s="278">
        <v>40.0</v>
      </c>
      <c r="Z2004" s="278">
        <v>42.0</v>
      </c>
      <c r="AA2004" s="278">
        <v>44.0</v>
      </c>
      <c r="AB2004" s="5"/>
      <c r="AC2004" s="47"/>
    </row>
    <row r="2005">
      <c r="A2005" s="55">
        <f>VLOOKUP($C2005, CLASSNUMBERFINDER, 2, false)</f>
        <v>23</v>
      </c>
      <c r="B2005" s="58"/>
      <c r="C2005" s="70" t="s">
        <v>233</v>
      </c>
      <c r="D2005" s="71"/>
      <c r="E2005" s="71"/>
      <c r="F2005" s="71"/>
      <c r="G2005" s="72"/>
      <c r="H2005" s="71"/>
      <c r="I2005" s="71"/>
      <c r="J2005" s="71"/>
      <c r="K2005" s="71"/>
      <c r="L2005" s="71"/>
      <c r="M2005" s="71"/>
      <c r="N2005" s="71"/>
      <c r="O2005" s="71"/>
      <c r="P2005" s="71"/>
      <c r="Q2005" s="71"/>
      <c r="R2005" s="71"/>
      <c r="S2005" s="71"/>
      <c r="T2005" s="71"/>
      <c r="U2005" s="71"/>
      <c r="V2005" s="71"/>
      <c r="W2005" s="71"/>
      <c r="X2005" s="71"/>
      <c r="Y2005" s="71"/>
      <c r="Z2005" s="71"/>
      <c r="AA2005" s="71"/>
      <c r="AB2005" s="71"/>
      <c r="AC2005" s="73"/>
    </row>
    <row r="2006" hidden="1">
      <c r="A2006" s="76" t="str">
        <f t="array" ref="A2006:A2007">{"FormulaRow01";(INDEX(CLASSLIST,A2005,1))}</f>
        <v>FormulaRow01</v>
      </c>
      <c r="B2006" s="77" t="s">
        <v>236</v>
      </c>
      <c r="C2006" s="76" t="str">
        <f t="array" ref="C2006:C2007">{"CLASSTYPE";(INDEX(ALLCLASSDATA,MATCH("ClassType",CLASSFEATUREHEADERS,0),MATCH($A2007,CLASSNAMEHEADERS,0)))}</f>
        <v>CLASSTYPE</v>
      </c>
      <c r="D2006" s="81" t="str">
        <f t="array" ref="D2006:D2007">{"TOTAL";("Total: " &amp; H2007+J2007+L2007+N2007+P2007+R2007+T2007+V2007+X2007+Z2007)}</f>
        <v>TOTAL</v>
      </c>
      <c r="E2006" s="81" t="str">
        <f t="array" ref="E2006:E2007">{"BALANCE";(IF((H2007+J2007+L2007+N2007+P2007+R2007+T2007+V2007+X2007+Z2007)=2100,"(balanced)",(IF((H2007+J2007+L2007+N2007+P2007+R2007+T2007+V2007+X2007+Z2007)&gt;2100,"OVERBUDGET: ","UNDERBUDGET: ")) &amp; (H2007+J2007+L2007+N2007+P2007+R2007+T2007+V2007+X2007+Z2007-2100)))}</f>
        <v>BALANCE</v>
      </c>
      <c r="F2006" s="81"/>
      <c r="G2006" s="81"/>
      <c r="H2006" s="81" t="str">
        <f t="array" ref="H2006:H2007">{"SUM LVL0/1/2";((SUMIF(F2008:I2087,"&lt;&gt;#REF!")+(SUMIF(J2008:AA2015,"&lt;&gt;#REF!"))))}</f>
        <v>SUM LVL0/1/2</v>
      </c>
      <c r="I2006" s="81"/>
      <c r="J2006" s="81" t="str">
        <f t="array" ref="J2006:J2007">{"SUM LVL3/4";(SUMIF(J2016:K2087,"&lt;&gt;#REF!"))}</f>
        <v>SUM LVL3/4</v>
      </c>
      <c r="K2006" s="81"/>
      <c r="L2006" s="81" t="str">
        <f t="array" ref="L2006:L2007">{"SUM LVL5/6";(SUMIF(L2016:M2087,"&lt;&gt;#REF!"))}</f>
        <v>SUM LVL5/6</v>
      </c>
      <c r="M2006" s="81"/>
      <c r="N2006" s="81" t="str">
        <f t="array" ref="N2006:N2007">{"SUM LVL7/8";(SUMIF(N2016:O2087,"&lt;&gt;#REF!"))}</f>
        <v>SUM LVL7/8</v>
      </c>
      <c r="O2006" s="81"/>
      <c r="P2006" s="81" t="str">
        <f t="array" ref="P2006:P2007">{"SUM LVL9/10";(SUMIF(P2016:Q2087,"&lt;&gt;#REF!"))}</f>
        <v>SUM LVL9/10</v>
      </c>
      <c r="Q2006" s="81"/>
      <c r="R2006" s="81" t="str">
        <f t="array" ref="R2006:R2007">{"SUM LVL11/12";(SUMIF(R2016:S2087,"&lt;&gt;#REF!"))}</f>
        <v>SUM LVL11/12</v>
      </c>
      <c r="S2006" s="81"/>
      <c r="T2006" s="81" t="str">
        <f t="array" ref="T2006:T2007">{"SUM LVL13/14";(SUMIF(T2016:U2087,"&lt;&gt;#REF!"))}</f>
        <v>SUM LVL13/14</v>
      </c>
      <c r="U2006" s="81"/>
      <c r="V2006" s="81" t="str">
        <f t="array" ref="V2006:V2007">{"SUM LVL15/16";(SUMIF(V2016:W2087,"&lt;&gt;#REF!"))}</f>
        <v>SUM LVL15/16</v>
      </c>
      <c r="W2006" s="81"/>
      <c r="X2006" s="81" t="str">
        <f t="array" ref="X2006:X2007">{"SUM LVL17/18";(SUMIF(X2016:Y2087,"&lt;&gt;#REF!"))}</f>
        <v>SUM LVL17/18</v>
      </c>
      <c r="Y2006" s="81"/>
      <c r="Z2006" s="81" t="str">
        <f t="array" ref="Z2006:Z2007">{"SUM LVL19/20";(SUMIF(Z2016:AA2087,"&lt;&gt;#REF!"))}</f>
        <v>SUM LVL19/20</v>
      </c>
      <c r="AA2006" s="81"/>
      <c r="AB2006" s="76"/>
      <c r="AC2006" s="76" t="str">
        <f t="array" ref="AC2006:AC2007">{"SUM ROWTOTALS";(SUMIF(AC2009:AC2095,"&lt;&gt;#REF!"))}</f>
        <v>SUM ROWTOTALS</v>
      </c>
    </row>
    <row r="2007">
      <c r="A2007" s="48" t="s">
        <v>233</v>
      </c>
      <c r="B2007" s="48"/>
      <c r="C2007" s="48" t="s">
        <v>418</v>
      </c>
      <c r="D2007" s="91" t="s">
        <v>416</v>
      </c>
      <c r="E2007" s="92" t="s">
        <v>419</v>
      </c>
      <c r="F2007" s="91"/>
      <c r="G2007" s="93"/>
      <c r="H2007" s="92">
        <v>460.0</v>
      </c>
      <c r="I2007" s="92"/>
      <c r="J2007" s="92">
        <v>110.0</v>
      </c>
      <c r="K2007" s="92"/>
      <c r="L2007" s="92">
        <v>130.0</v>
      </c>
      <c r="M2007" s="92"/>
      <c r="N2007" s="92">
        <v>130.0</v>
      </c>
      <c r="O2007" s="92"/>
      <c r="P2007" s="92">
        <v>130.0</v>
      </c>
      <c r="Q2007" s="92"/>
      <c r="R2007" s="92">
        <v>180.0</v>
      </c>
      <c r="S2007" s="92"/>
      <c r="T2007" s="92">
        <v>200.0</v>
      </c>
      <c r="U2007" s="92"/>
      <c r="V2007" s="92">
        <v>190.0</v>
      </c>
      <c r="W2007" s="92"/>
      <c r="X2007" s="92">
        <v>190.0</v>
      </c>
      <c r="Y2007" s="92"/>
      <c r="Z2007" s="92">
        <v>380.0</v>
      </c>
      <c r="AA2007" s="92"/>
      <c r="AB2007" s="5"/>
      <c r="AC2007" s="47">
        <v>2100.0</v>
      </c>
    </row>
    <row r="2008" hidden="1">
      <c r="A2008" s="76" t="str">
        <f t="array" ref="A2008:A2009">{"FormulaRow02";(INDEX(CLASSLIST,A2005,1))}</f>
        <v>FormulaRow02</v>
      </c>
      <c r="B2008" s="77" t="s">
        <v>236</v>
      </c>
      <c r="C2008" s="76" t="str">
        <f t="array" ref="C2008:C2009">{"CLASSTYPE";((INDEX(ALLCLASSDATA,MATCH("ClassType",CLASSFEATUREHEADERS,0),MATCH($A2009,CLASSNAMEHEADERS,0))))}</f>
        <v>CLASSTYPE</v>
      </c>
      <c r="D2008" s="81" t="str">
        <f t="array" ref="D2008:D2009">{"FEATURES";"Features"}</f>
        <v>FEATURES</v>
      </c>
      <c r="E2008" s="81" t="str">
        <f t="array" ref="E2008:E2009">{"INITIALFEATURES";"Initial Features"}</f>
        <v>INITIALFEATURES</v>
      </c>
      <c r="F2008" s="81" t="str">
        <f t="array" ref="F2008:F2009">{"KEY";"Key"}</f>
        <v>KEY</v>
      </c>
      <c r="G2008" s="81" t="str">
        <f t="array" ref="G2008:G2009">{"HP";"HP"}</f>
        <v>HP</v>
      </c>
      <c r="H2008" s="81" t="str">
        <f t="array" ref="H2008:H2009">{"CLASSFEATL01";"ClassFeatL01"}</f>
        <v>CLASSFEATL01</v>
      </c>
      <c r="I2008" s="81" t="str">
        <f t="array" ref="I2008:I2009">{"SHIELDBLOCKL01";"ShieldBlockL01"}</f>
        <v>SHIELDBLOCKL01</v>
      </c>
      <c r="J2008" s="81" t="str">
        <f t="array" ref="J2008:J2009">{"INITIALSKILLS";"InitialSkills"}</f>
        <v>INITIALSKILLS</v>
      </c>
      <c r="K2008" s="81" t="str">
        <f t="array" ref="K2008:K2009">{"SUBCLASSSKILLS";"SubclassSkills"}</f>
        <v>SUBCLASSSKILLS</v>
      </c>
      <c r="L2008" s="81" t="str">
        <f t="array" ref="L2008:L2009">{"GRANTEDSKILLS";"GrantedSkills"}</f>
        <v>GRANTEDSKILLS</v>
      </c>
      <c r="M2008" s="81"/>
      <c r="N2008" s="81"/>
      <c r="O2008" s="81"/>
      <c r="P2008" s="81" t="str">
        <f t="array" ref="P2008:P2009">{"FOCUSSPELLS";"FocusSpells:"}</f>
        <v>FOCUSSPELLS</v>
      </c>
      <c r="Q2008" s="81" t="str">
        <f t="array" ref="Q2008:Q2009">{"FOCUSSPELL1-L00";((INDEX(ALLCLASSDATA,MATCH("FocusSpell1-L00",CLASSFEATUREHEADERS,0),MATCH(($A2009),CLASSNAMEHEADERS,0))))}</f>
        <v>FOCUSSPELL1-L00</v>
      </c>
      <c r="R2008" s="81" t="str">
        <f t="array" ref="R2008:R2009">{"FOCUSSPELL2-L00";((INDEX(ALLCLASSDATA,MATCH("FocusSpell2-L00",CLASSFEATUREHEADERS,0),MATCH(($A2009),CLASSNAMEHEADERS,0))))}</f>
        <v>FOCUSSPELL2-L00</v>
      </c>
      <c r="S2008" s="81" t="str">
        <f t="array" ref="S2008:S2009">{"FOCUSSPELL3-L00";((INDEX(ALLCLASSDATA,MATCH("FocusSpell3-L00",CLASSFEATUREHEADERS,0),MATCH(($A2009),CLASSNAMEHEADERS,0))))}</f>
        <v>FOCUSSPELL3-L00</v>
      </c>
      <c r="T2008" s="81" t="str">
        <f t="array" ref="T2008:T2009">{"FOCUSSPELL4-L00";((INDEX(ALLCLASSDATA,MATCH("FocusSpell4-L00",CLASSFEATUREHEADERS,0),MATCH(($A2009),CLASSNAMEHEADERS,0))))}</f>
        <v>FOCUSSPELL4-L00</v>
      </c>
      <c r="U2008" s="81" t="str">
        <f t="array" ref="U2008:U2009">{"FOCUSSPELL5-L00";((INDEX(ALLCLASSDATA,MATCH("FocusSpell5-L00",CLASSFEATUREHEADERS,0),MATCH(($A2009),CLASSNAMEHEADERS,0))))}</f>
        <v>FOCUSSPELL5-L00</v>
      </c>
      <c r="V2008" s="81"/>
      <c r="W2008" s="81"/>
      <c r="X2008" s="81"/>
      <c r="Y2008" s="81"/>
      <c r="Z2008" s="81"/>
      <c r="AA2008" s="81"/>
      <c r="AB2008" s="76"/>
      <c r="AC2008" s="76"/>
    </row>
    <row r="2009">
      <c r="A2009" s="48" t="s">
        <v>233</v>
      </c>
      <c r="B2009" s="48"/>
      <c r="C2009" s="48" t="s">
        <v>418</v>
      </c>
      <c r="D2009" s="48" t="s">
        <v>467</v>
      </c>
      <c r="E2009" s="48" t="s">
        <v>468</v>
      </c>
      <c r="F2009" s="48" t="s">
        <v>469</v>
      </c>
      <c r="G2009" s="114" t="s">
        <v>15</v>
      </c>
      <c r="H2009" s="8" t="s">
        <v>451</v>
      </c>
      <c r="I2009" s="8" t="s">
        <v>463</v>
      </c>
      <c r="J2009" s="8" t="s">
        <v>473</v>
      </c>
      <c r="K2009" s="8" t="s">
        <v>474</v>
      </c>
      <c r="L2009" s="8" t="s">
        <v>475</v>
      </c>
      <c r="M2009" s="8"/>
      <c r="N2009" s="8"/>
      <c r="O2009" s="8"/>
      <c r="P2009" s="8" t="s">
        <v>476</v>
      </c>
      <c r="Q2009" s="116" t="s">
        <v>1604</v>
      </c>
      <c r="R2009" s="116"/>
      <c r="S2009" s="116"/>
      <c r="T2009" s="116"/>
      <c r="U2009" s="116"/>
      <c r="V2009" s="8"/>
      <c r="W2009" s="8"/>
      <c r="X2009" s="8"/>
      <c r="Y2009" s="8"/>
      <c r="Z2009" s="5"/>
      <c r="AA2009" s="5"/>
      <c r="AB2009" s="5"/>
      <c r="AC2009" s="47"/>
    </row>
    <row r="2010" hidden="1">
      <c r="A2010" s="76" t="str">
        <f t="array" ref="A2010:A2011">{"FormulaRow03";(INDEX(CLASSLIST,A2005,1))}</f>
        <v>FormulaRow03</v>
      </c>
      <c r="B2010" s="77" t="s">
        <v>236</v>
      </c>
      <c r="C2010" s="76" t="str">
        <f t="array" ref="C2010:C2011">{"CLASSTYPE";((INDEX(ALLCLASSDATA,MATCH("ClassType",CLASSFEATUREHEADERS,0),MATCH($A2011,CLASSNAMEHEADERS,0))))}</f>
        <v>CLASSTYPE</v>
      </c>
      <c r="D2010" s="76" t="str">
        <f t="array" ref="D2010:D2011">{"FEATUREPTS";"FeaturesPts"}</f>
        <v>FEATUREPTS</v>
      </c>
      <c r="E2010" s="76" t="str">
        <f t="array" ref="E2010:E2011">{"INITIALFEATURES";"Initial Features"}</f>
        <v>INITIALFEATURES</v>
      </c>
      <c r="F2010" s="76" t="str">
        <f t="array" ref="F2010:F2011">{"KEYABILITY";((INDEX(ALLCLASSDATA,MATCH("KEYABILITY",CLASSFEATUREHEADERS,0),MATCH($A2011,CLASSNAMEHEADERS,0))))}</f>
        <v>KEYABILITY</v>
      </c>
      <c r="G2010" s="76" t="str">
        <f t="array" ref="G2010:G2011">{"HP";((INDEX(ALLCLASSDATA,MATCH("HP",CLASSFEATUREHEADERS,0),MATCH(($A2011 &amp; "Points"),CLASSNAMEHEADERS,0))))}</f>
        <v>HP</v>
      </c>
      <c r="H2010" s="76" t="str">
        <f t="array" ref="H2010:H2011">{"CLASSFEATL01";((INDEX(ALLCLASSDATA,MATCH("ClassFeatL01",CLASSFEATUREHEADERS,0),MATCH(($A2011 &amp; "Points"),CLASSNAMEHEADERS,0))))}</f>
        <v>CLASSFEATL01</v>
      </c>
      <c r="I2010" s="76" t="str">
        <f t="array" ref="I2010:I2011">{"SHIELDBLOCKL01";((INDEX(ALLCLASSDATA,MATCH("ShieldBlockL01",CLASSFEATUREHEADERS,0),MATCH(($A2011 &amp; "Points"),CLASSNAMEHEADERS,0))))}</f>
        <v>SHIELDBLOCKL01</v>
      </c>
      <c r="J2010" s="76" t="str">
        <f t="array" ref="J2010:J2011">{"INITIALSKILLINCREASES";((INDEX(ALLCLASSDATA,MATCH("InitialSkillIncreases",CLASSFEATUREHEADERS,0),MATCH(($A2011 &amp; "Points"),CLASSNAMEHEADERS,0))))}</f>
        <v>INITIALSKILLINCREASES</v>
      </c>
      <c r="K2010" s="76" t="str">
        <f t="array" ref="K2010:K2011">{"SUBCLASSSKILLINCREASES";((INDEX(ALLCLASSDATA,MATCH("SubclassSkillIncreases",CLASSFEATUREHEADERS,0),MATCH(($A2011 &amp; "Points"),CLASSNAMEHEADERS,0))))}</f>
        <v>SUBCLASSSKILLINCREASES</v>
      </c>
      <c r="L2010" s="76" t="str">
        <f t="array" ref="L2010:L2011">{"GRANTEDSKILLS";(((INDEX(ALLCLASSDATA,MATCH("SkillsGrantedTotal",CLASSFEATUREHEADERS,0),MATCH(($A2011 &amp; "Points"),CLASSNAMEHEADERS,0)))-(INDEX(ALLCLASSDATA,MATCH("InitialSkillIncreases",CLASSFEATUREHEADERS,0),MATCH(($A2011 &amp; "Points"),CLASSNAMEHEADERS,0)))-(INDEX(ALLCLASSDATA,MATCH("SubclassSkillIncreases",CLASSFEATUREHEADERS,0),MATCH(($A2011 &amp; "Points"),CLASSNAMEHEADERS,0)))))}</f>
        <v>GRANTEDSKILLS</v>
      </c>
      <c r="M2010" s="76"/>
      <c r="N2010" s="76"/>
      <c r="O2010" s="76"/>
      <c r="P2010" s="76"/>
      <c r="Q2010" s="76" t="str">
        <f t="array" ref="Q2010:Q2011">{"FOCUSSPELL1-L00";((INDEX(ALLCLASSDATA,MATCH("FocusSpell1-L00",CLASSFEATUREHEADERS,0),MATCH(($A2011 &amp; "Points"),CLASSNAMEHEADERS,0))))}</f>
        <v>FOCUSSPELL1-L00</v>
      </c>
      <c r="R2010" s="76" t="str">
        <f t="array" ref="R2010:R2011">{"FOCUSSPELL2-L00";((INDEX(ALLCLASSDATA,MATCH("FocusSpell2-L00",CLASSFEATUREHEADERS,0),MATCH(($A2011 &amp; "Points"),CLASSNAMEHEADERS,0))))}</f>
        <v>FOCUSSPELL2-L00</v>
      </c>
      <c r="S2010" s="76" t="str">
        <f t="array" ref="S2010:S2011">{"FOCUSSPELL3-L00";((INDEX(ALLCLASSDATA,MATCH("FocusSpell3-L00",CLASSFEATUREHEADERS,0),MATCH(($A2011 &amp; "Points"),CLASSNAMEHEADERS,0))))}</f>
        <v>FOCUSSPELL3-L00</v>
      </c>
      <c r="T2010" s="76" t="str">
        <f t="array" ref="T2010:T2011">{"FOCUSSPELL4-L00";((INDEX(ALLCLASSDATA,MATCH("FocusSpell4-L00",CLASSFEATUREHEADERS,0),MATCH(($A2011 &amp; "Points"),CLASSNAMEHEADERS,0))))}</f>
        <v>FOCUSSPELL4-L00</v>
      </c>
      <c r="U2010" s="76" t="str">
        <f t="array" ref="U2010:U2011">{"FOCUSSPELL5-L00";((INDEX(ALLCLASSDATA,MATCH("FocusSpell5-L00",CLASSFEATUREHEADERS,0),MATCH(($A2011 &amp; "Points"),CLASSNAMEHEADERS,0))))}</f>
        <v>FOCUSSPELL5-L00</v>
      </c>
      <c r="V2010" s="76"/>
      <c r="W2010" s="76"/>
      <c r="X2010" s="76"/>
      <c r="Y2010" s="76"/>
      <c r="Z2010" s="76"/>
      <c r="AA2010" s="76"/>
      <c r="AB2010" s="76"/>
      <c r="AC2010" s="76" t="str">
        <f t="array" ref="AC2010:AC2011">{"FEATUREPTS TOTAL";(sum(G2011:AA2011))}</f>
        <v>FEATUREPTS TOTAL</v>
      </c>
    </row>
    <row r="2011">
      <c r="A2011" s="48" t="s">
        <v>233</v>
      </c>
      <c r="B2011" s="48"/>
      <c r="C2011" s="48" t="s">
        <v>418</v>
      </c>
      <c r="D2011" s="97" t="s">
        <v>559</v>
      </c>
      <c r="E2011" s="97" t="s">
        <v>468</v>
      </c>
      <c r="F2011" s="97" t="s">
        <v>264</v>
      </c>
      <c r="G2011" s="132">
        <v>60.0</v>
      </c>
      <c r="H2011" s="98" t="s">
        <v>603</v>
      </c>
      <c r="I2011" s="98" t="s">
        <v>603</v>
      </c>
      <c r="J2011" s="98">
        <v>10.0</v>
      </c>
      <c r="K2011" s="98">
        <v>10.0</v>
      </c>
      <c r="L2011" s="98">
        <v>0.0</v>
      </c>
      <c r="M2011" s="98"/>
      <c r="N2011" s="98"/>
      <c r="O2011" s="98"/>
      <c r="P2011" s="98"/>
      <c r="Q2011" s="98">
        <v>10.0</v>
      </c>
      <c r="R2011" s="98"/>
      <c r="S2011" s="98"/>
      <c r="T2011" s="98"/>
      <c r="U2011" s="98"/>
      <c r="V2011" s="98"/>
      <c r="W2011" s="98"/>
      <c r="X2011" s="98"/>
      <c r="Y2011" s="98"/>
      <c r="Z2011" s="98"/>
      <c r="AA2011" s="98"/>
      <c r="AB2011" s="5"/>
      <c r="AC2011" s="47">
        <v>90.0</v>
      </c>
    </row>
    <row r="2012" hidden="1">
      <c r="A2012" s="76" t="str">
        <f t="array" ref="A2012:A2013">{"FormulaRow04";(INDEX(CLASSLIST,A2005,1))}</f>
        <v>FormulaRow04</v>
      </c>
      <c r="B2012" s="77" t="s">
        <v>236</v>
      </c>
      <c r="C2012" s="76" t="str">
        <f t="array" ref="C2012:C2013">{"CLASSTYPE";((INDEX(ALLCLASSDATA,MATCH("ClassType",CLASSFEATUREHEADERS,0),MATCH($A2013,CLASSNAMEHEADERS,0))))}</f>
        <v>CLASSTYPE</v>
      </c>
      <c r="D2012" s="81" t="str">
        <f t="array" ref="D2012:D2013">{"INITIALFEATURES";"InitialFeatures"}</f>
        <v>INITIALFEATURES</v>
      </c>
      <c r="E2012" s="81" t="str">
        <f t="array" ref="E2012:E2013">{"CLASS/SUBCLASSFEATURES";"Class/Subclass Features"}</f>
        <v>CLASS/SUBCLASSFEATURES</v>
      </c>
      <c r="F2012" s="81"/>
      <c r="G2012" s="136"/>
      <c r="H2012" s="81" t="str">
        <f t="array" ref="H2012:H2013">{"CLASSINITIALABILITY1-L00";((INDEX(ALLCLASSDATA,MATCH("ClassInitialAbility1-L00",CLASSFEATUREHEADERS,0),MATCH(($A2013),CLASSNAMEHEADERS,0))))}</f>
        <v>CLASSINITIALABILITY1-L00</v>
      </c>
      <c r="I2012" s="81" t="str">
        <f t="array" ref="I2012:I2013">{"CLASSINITIALABILITY2-L00";((INDEX(ALLCLASSDATA,MATCH("ClassInitialAbility2-L00",CLASSFEATUREHEADERS,0),MATCH(($A2013),CLASSNAMEHEADERS,0))))}</f>
        <v>CLASSINITIALABILITY2-L00</v>
      </c>
      <c r="J2012" s="81" t="str">
        <f t="array" ref="J2012:J2013">{"CLASSINITIALABILITY3-L00";((INDEX(ALLCLASSDATA,MATCH("ClassInitialAbility3-L00",CLASSFEATUREHEADERS,0),MATCH(($A2013),CLASSNAMEHEADERS,0))))}</f>
        <v>CLASSINITIALABILITY3-L00</v>
      </c>
      <c r="K2012" s="81" t="str">
        <f t="array" ref="K2012:K2013">{"CLASSINITIALABILITY4-L00";((INDEX(ALLCLASSDATA,MATCH("ClassInitialAbility4-L00",CLASSFEATUREHEADERS,0),MATCH(($A2013),CLASSNAMEHEADERS,0))))}</f>
        <v>CLASSINITIALABILITY4-L00</v>
      </c>
      <c r="L2012" s="81" t="str">
        <f t="array" ref="L2012:L2013">{"CLASSINITIALABILITY5-L00";((INDEX(ALLCLASSDATA,MATCH("ClassInitialAbility5-L00",CLASSFEATUREHEADERS,0),MATCH(($A2013),CLASSNAMEHEADERS,0))))}</f>
        <v>CLASSINITIALABILITY5-L00</v>
      </c>
      <c r="M2012" s="81" t="str">
        <f t="array" ref="M2012:M2013">{"CLASSINITIALABILITY6-L00";((INDEX(ALLCLASSDATA,MATCH("ClassInitialAbility6-L00",CLASSFEATUREHEADERS,0),MATCH(($A2013),CLASSNAMEHEADERS,0))))}</f>
        <v>CLASSINITIALABILITY6-L00</v>
      </c>
      <c r="N2012" s="81" t="str">
        <f t="array" ref="N2012:N2013">{"CLASSINITIALABILITY7-L00";((INDEX(ALLCLASSDATA,MATCH("ClassInitialAbility7-L00",CLASSFEATUREHEADERS,0),MATCH(($A2013),CLASSNAMEHEADERS,0))))}</f>
        <v>CLASSINITIALABILITY7-L00</v>
      </c>
      <c r="O2012" s="81" t="str">
        <f t="array" ref="O2012:O2013">{"CLASSINITIALABILITY8-L00";((INDEX(ALLCLASSDATA,MATCH("ClassInitialAbility8-L00",CLASSFEATUREHEADERS,0),MATCH(($A2013),CLASSNAMEHEADERS,0))))}</f>
        <v>CLASSINITIALABILITY8-L00</v>
      </c>
      <c r="P2012" s="81" t="str">
        <f t="array" ref="P2012:P2013">{"CLASSINITIALABILITY9-L00";((INDEX(ALLCLASSDATA,MATCH("ClassInitialAbility9-L00",CLASSFEATUREHEADERS,0),MATCH(($A2013),CLASSNAMEHEADERS,0))))}</f>
        <v>CLASSINITIALABILITY9-L00</v>
      </c>
      <c r="Q2012" s="81" t="str">
        <f t="array" ref="Q2012:Q2013">{"CLASSINITIALABILITY10-L00";((INDEX(ALLCLASSDATA,MATCH("ClassInitialAbility10-L00",CLASSFEATUREHEADERS,0),MATCH(($A2013),CLASSNAMEHEADERS,0))))}</f>
        <v>CLASSINITIALABILITY10-L00</v>
      </c>
      <c r="R2012" s="81" t="str">
        <f t="array" ref="R2012:R2013">{"SUBCLASSINITIAL1-L00";((INDEX(ALLCLASSDATA,MATCH("SubclassInitial1-L00",CLASSFEATUREHEADERS,0),MATCH(($A2013),CLASSNAMEHEADERS,0))))}</f>
        <v>SUBCLASSINITIAL1-L00</v>
      </c>
      <c r="S2012" s="81" t="str">
        <f t="array" ref="S2012:S2013">{"SUBCLASSINITIAL2-L00";((INDEX(ALLCLASSDATA,MATCH("SubclassInitial2-L00",CLASSFEATUREHEADERS,0),MATCH(($A2013),CLASSNAMEHEADERS,0))))}</f>
        <v>SUBCLASSINITIAL2-L00</v>
      </c>
      <c r="T2012" s="81" t="str">
        <f t="array" ref="T2012:T2013">{"SUBCLASSINITIAL3-L00";((INDEX(ALLCLASSDATA,MATCH("SubclassInitial3-L00",CLASSFEATUREHEADERS,0),MATCH(($A2013),CLASSNAMEHEADERS,0))))}</f>
        <v>SUBCLASSINITIAL3-L00</v>
      </c>
      <c r="U2012" s="81" t="str">
        <f t="array" ref="U2012:U2013">{"SUBCLASSINITIAL4-L00";((INDEX(ALLCLASSDATA,MATCH("SubclassInitial4-L00",CLASSFEATUREHEADERS,0),MATCH(($A2013),CLASSNAMEHEADERS,0))))}</f>
        <v>SUBCLASSINITIAL4-L00</v>
      </c>
      <c r="V2012" s="81" t="str">
        <f t="array" ref="V2012:V2013">{"SUBCLASSINITIAL5-L00";((INDEX(ALLCLASSDATA,MATCH("SubclassInitial5-L00",CLASSFEATUREHEADERS,0),MATCH(($A2013),CLASSNAMEHEADERS,0))))}</f>
        <v>SUBCLASSINITIAL5-L00</v>
      </c>
      <c r="W2012" s="81" t="str">
        <f t="array" ref="W2012:W2013">{"SUBCLASSINITIAL6-L00";((INDEX(ALLCLASSDATA,MATCH("SubclassInitial6-L00",CLASSFEATUREHEADERS,0),MATCH(($A2013),CLASSNAMEHEADERS,0))))}</f>
        <v>SUBCLASSINITIAL6-L00</v>
      </c>
      <c r="X2012" s="81" t="str">
        <f t="array" ref="X2012:X2013">{"SUBCLASSINITIAL7-L00";((INDEX(ALLCLASSDATA,MATCH("SubclassInitial7-L00",CLASSFEATUREHEADERS,0),MATCH(($A2013),CLASSNAMEHEADERS,0))))}</f>
        <v>SUBCLASSINITIAL7-L00</v>
      </c>
      <c r="Y2012" s="81" t="str">
        <f t="array" ref="Y2012:Y2013">{"SUBCLASSINITIAL8-L00";((INDEX(ALLCLASSDATA,MATCH("SubclassInitial8-L00",CLASSFEATUREHEADERS,0),MATCH(($A2013),CLASSNAMEHEADERS,0))))}</f>
        <v>SUBCLASSINITIAL8-L00</v>
      </c>
      <c r="Z2012" s="81" t="str">
        <f t="array" ref="Z2012:Z2013">{"SUBCLASSINITIAL9-L00";((INDEX(ALLCLASSDATA,MATCH("SubclassInitial9-L00",CLASSFEATUREHEADERS,0),MATCH(($A2013),CLASSNAMEHEADERS,0))))}</f>
        <v>SUBCLASSINITIAL9-L00</v>
      </c>
      <c r="AA2012" s="81" t="str">
        <f t="array" ref="AA2012:AA2013">{"SUBCLASSINITIAL10-L00";((INDEX(ALLCLASSDATA,MATCH("SubclassInitial10-L00",CLASSFEATUREHEADERS,0),MATCH(($A2013),CLASSNAMEHEADERS,0))))}</f>
        <v>SUBCLASSINITIAL10-L00</v>
      </c>
      <c r="AB2012" s="76"/>
      <c r="AC2012" s="76"/>
    </row>
    <row r="2013">
      <c r="A2013" s="48" t="s">
        <v>233</v>
      </c>
      <c r="B2013" s="48"/>
      <c r="C2013" s="48" t="s">
        <v>418</v>
      </c>
      <c r="D2013" s="48" t="s">
        <v>614</v>
      </c>
      <c r="E2013" s="48" t="s">
        <v>616</v>
      </c>
      <c r="F2013" s="48"/>
      <c r="G2013" s="47"/>
      <c r="H2013" s="5" t="s">
        <v>1628</v>
      </c>
      <c r="I2013" s="5" t="s">
        <v>1638</v>
      </c>
      <c r="J2013" s="5"/>
      <c r="K2013" s="5"/>
      <c r="L2013" s="5"/>
      <c r="M2013" s="5"/>
      <c r="N2013" s="5"/>
      <c r="O2013" s="5"/>
      <c r="P2013" s="5"/>
      <c r="Q2013" s="5"/>
      <c r="R2013" s="5" t="s">
        <v>1827</v>
      </c>
      <c r="S2013" s="5"/>
      <c r="T2013" s="5"/>
      <c r="U2013" s="5"/>
      <c r="V2013" s="5"/>
      <c r="W2013" s="5"/>
      <c r="X2013" s="5"/>
      <c r="Y2013" s="5"/>
      <c r="Z2013" s="5"/>
      <c r="AA2013" s="5"/>
      <c r="AB2013" s="5"/>
      <c r="AC2013" s="47"/>
    </row>
    <row r="2014" hidden="1">
      <c r="A2014" s="76" t="str">
        <f t="array" ref="A2014:A2015">{"FormulaRow05";(INDEX(CLASSLIST,A2005,1))}</f>
        <v>FormulaRow05</v>
      </c>
      <c r="B2014" s="77" t="s">
        <v>236</v>
      </c>
      <c r="C2014" s="76" t="str">
        <f t="array" ref="C2014:C2015">{"CLASSTYPE";((INDEX(ALLCLASSDATA,MATCH("ClassType",CLASSFEATUREHEADERS,0),MATCH($A2015,CLASSNAMEHEADERS,0))))}</f>
        <v>CLASSTYPE</v>
      </c>
      <c r="D2014" s="76" t="str">
        <f t="array" ref="D2014:D2015">{"INITIALFEATURESPTS";"InitialFeaturesPts"}</f>
        <v>INITIALFEATURESPTS</v>
      </c>
      <c r="E2014" s="76" t="str">
        <f t="array" ref="E2014:E2015">{"CLASS/SUBCLASSFEATURES";"Class/Subclass Features"}</f>
        <v>CLASS/SUBCLASSFEATURES</v>
      </c>
      <c r="F2014" s="76"/>
      <c r="G2014" s="76"/>
      <c r="H2014" s="76" t="str">
        <f t="array" ref="H2014:H2015">{"CLASSINITIALABILITY1-L00PTS";((INDEX(ALLCLASSDATA,MATCH("ClassInitialAbility1-L00",CLASSFEATUREHEADERS,0),MATCH(($A2015 &amp; "Points"),CLASSNAMEHEADERS,0))))}</f>
        <v>CLASSINITIALABILITY1-L00PTS</v>
      </c>
      <c r="I2014" s="76" t="str">
        <f t="array" ref="I2014:I2015">{"CLASSINITIALABILITY2-L00PTS";((INDEX(ALLCLASSDATA,MATCH("ClassInitialAbility2-L00",CLASSFEATUREHEADERS,0),MATCH(($A2015 &amp; "Points"),CLASSNAMEHEADERS,0))))}</f>
        <v>CLASSINITIALABILITY2-L00PTS</v>
      </c>
      <c r="J2014" s="76" t="str">
        <f t="array" ref="J2014:J2015">{"CLASSINITIALABILITY3-L00PTS";((INDEX(ALLCLASSDATA,MATCH("ClassInitialAbility3-L00",CLASSFEATUREHEADERS,0),MATCH(($A2015 &amp; "Points"),CLASSNAMEHEADERS,0))))}</f>
        <v>CLASSINITIALABILITY3-L00PTS</v>
      </c>
      <c r="K2014" s="76" t="str">
        <f t="array" ref="K2014:K2015">{"CLASSINITIALABILITY4-L00PTS";((INDEX(ALLCLASSDATA,MATCH("ClassInitialAbility4-L00",CLASSFEATUREHEADERS,0),MATCH(($A2015 &amp; "Points"),CLASSNAMEHEADERS,0))))}</f>
        <v>CLASSINITIALABILITY4-L00PTS</v>
      </c>
      <c r="L2014" s="76" t="str">
        <f t="array" ref="L2014:L2015">{"CLASSINITIALABILITY5-L00PTS";((INDEX(ALLCLASSDATA,MATCH("ClassInitialAbility5-L00",CLASSFEATUREHEADERS,0),MATCH(($A2015 &amp; "Points"),CLASSNAMEHEADERS,0))))}</f>
        <v>CLASSINITIALABILITY5-L00PTS</v>
      </c>
      <c r="M2014" s="76" t="str">
        <f t="array" ref="M2014:M2015">{"CLASSINITIALABILITY6-L00PTS";((INDEX(ALLCLASSDATA,MATCH("ClassInitialAbility6-L00",CLASSFEATUREHEADERS,0),MATCH(($A2015 &amp; "Points"),CLASSNAMEHEADERS,0))))}</f>
        <v>CLASSINITIALABILITY6-L00PTS</v>
      </c>
      <c r="N2014" s="76" t="str">
        <f t="array" ref="N2014:N2015">{"CLASSINITIALABILITY7-L00PTS";((INDEX(ALLCLASSDATA,MATCH("ClassInitialAbility7-L00",CLASSFEATUREHEADERS,0),MATCH(($A2015 &amp; "Points"),CLASSNAMEHEADERS,0))))}</f>
        <v>CLASSINITIALABILITY7-L00PTS</v>
      </c>
      <c r="O2014" s="76" t="str">
        <f t="array" ref="O2014:O2015">{"CLASSINITIALABILITY8-L00PTS";((INDEX(ALLCLASSDATA,MATCH("ClassInitialAbility8-L00",CLASSFEATUREHEADERS,0),MATCH(($A2015 &amp; "Points"),CLASSNAMEHEADERS,0))))}</f>
        <v>CLASSINITIALABILITY8-L00PTS</v>
      </c>
      <c r="P2014" s="76" t="str">
        <f t="array" ref="P2014:P2015">{"CLASSINITIALABILITY9-L00PTS";((INDEX(ALLCLASSDATA,MATCH("ClassInitialAbility9-L00",CLASSFEATUREHEADERS,0),MATCH(($A2015 &amp; "Points"),CLASSNAMEHEADERS,0))))}</f>
        <v>CLASSINITIALABILITY9-L00PTS</v>
      </c>
      <c r="Q2014" s="76" t="str">
        <f t="array" ref="Q2014:Q2015">{"CLASSINITIALABILITY10-L00PTS";((INDEX(ALLCLASSDATA,MATCH("ClassInitialAbility10-L00",CLASSFEATUREHEADERS,0),MATCH(($A2015 &amp; "Points"),CLASSNAMEHEADERS,0))))}</f>
        <v>CLASSINITIALABILITY10-L00PTS</v>
      </c>
      <c r="R2014" s="76" t="str">
        <f t="array" ref="R2014:R2015">{"SUBCLASSINITIAL1-L00PTS";((INDEX(ALLCLASSDATA,MATCH("SubclassInitial1-L00",CLASSFEATUREHEADERS,0),MATCH(($A2015 &amp; "Points"),CLASSNAMEHEADERS,0))))}</f>
        <v>SUBCLASSINITIAL1-L00PTS</v>
      </c>
      <c r="S2014" s="76" t="str">
        <f t="array" ref="S2014:S2015">{"SUBCLASSINITIAL2-L00PTS";((INDEX(ALLCLASSDATA,MATCH("SubclassInitial2-L00",CLASSFEATUREHEADERS,0),MATCH(($A2015 &amp; "Points"),CLASSNAMEHEADERS,0))))}</f>
        <v>SUBCLASSINITIAL2-L00PTS</v>
      </c>
      <c r="T2014" s="76" t="str">
        <f t="array" ref="T2014:T2015">{"SUBCLASSINITIAL3-L00PTS";((INDEX(ALLCLASSDATA,MATCH("SubclassInitial3-L00",CLASSFEATUREHEADERS,0),MATCH(($A2015 &amp; "Points"),CLASSNAMEHEADERS,0))))}</f>
        <v>SUBCLASSINITIAL3-L00PTS</v>
      </c>
      <c r="U2014" s="76" t="str">
        <f t="array" ref="U2014:U2015">{"SUBCLASSINITIAL4-L00PTS";((INDEX(ALLCLASSDATA,MATCH("SubclassInitial4-L00",CLASSFEATUREHEADERS,0),MATCH(($A2015 &amp; "Points"),CLASSNAMEHEADERS,0))))}</f>
        <v>SUBCLASSINITIAL4-L00PTS</v>
      </c>
      <c r="V2014" s="76" t="str">
        <f t="array" ref="V2014:V2015">{"SUBCLASSINITIAL5-L00PTS";((INDEX(ALLCLASSDATA,MATCH("SubclassInitial5-L00",CLASSFEATUREHEADERS,0),MATCH(($A2015 &amp; "Points"),CLASSNAMEHEADERS,0))))}</f>
        <v>SUBCLASSINITIAL5-L00PTS</v>
      </c>
      <c r="W2014" s="76" t="str">
        <f t="array" ref="W2014:W2015">{"SUBCLASSINITIAL6-L00PTS";((INDEX(ALLCLASSDATA,MATCH("SubclassInitial6-L00",CLASSFEATUREHEADERS,0),MATCH(($A2015 &amp; "Points"),CLASSNAMEHEADERS,0))))}</f>
        <v>SUBCLASSINITIAL6-L00PTS</v>
      </c>
      <c r="X2014" s="76" t="str">
        <f t="array" ref="X2014:X2015">{"SUBCLASSINITIAL7-L00PTS";((INDEX(ALLCLASSDATA,MATCH("SubclassInitial7-L00",CLASSFEATUREHEADERS,0),MATCH(($A2015 &amp; "Points"),CLASSNAMEHEADERS,0))))}</f>
        <v>SUBCLASSINITIAL7-L00PTS</v>
      </c>
      <c r="Y2014" s="76" t="str">
        <f t="array" ref="Y2014:Y2015">{"SUBCLASSINITIAL8-L00PTS";((INDEX(ALLCLASSDATA,MATCH("SubclassInitial8-L00",CLASSFEATUREHEADERS,0),MATCH(($A2015 &amp; "Points"),CLASSNAMEHEADERS,0))))}</f>
        <v>SUBCLASSINITIAL8-L00PTS</v>
      </c>
      <c r="Z2014" s="76" t="str">
        <f t="array" ref="Z2014:Z2015">{"SUBCLASSINITIAL9-L00PTS";((INDEX(ALLCLASSDATA,MATCH("SubclassInitial9-L00",CLASSFEATUREHEADERS,0),MATCH(($A2015 &amp; "Points"),CLASSNAMEHEADERS,0))))}</f>
        <v>SUBCLASSINITIAL9-L00PTS</v>
      </c>
      <c r="AA2014" s="76" t="str">
        <f t="array" ref="AA2014:AA2015">{"SUBCLASSINITIAL10-L00PTS";((INDEX(ALLCLASSDATA,MATCH("SubclassInitial10-L00",CLASSFEATUREHEADERS,0),MATCH(($A2015 &amp; "Points"),CLASSNAMEHEADERS,0))))}</f>
        <v>SUBCLASSINITIAL10-L00PTS</v>
      </c>
      <c r="AB2014" s="76"/>
      <c r="AC2014" s="76" t="str">
        <f t="array" ref="AC2014:AC2015">{"INITIALFEATUREPTS TOTAL";(sum(G2015:AA2015))}</f>
        <v>INITIALFEATUREPTS TOTAL</v>
      </c>
    </row>
    <row r="2015">
      <c r="A2015" s="48" t="s">
        <v>233</v>
      </c>
      <c r="B2015" s="48"/>
      <c r="C2015" s="48" t="s">
        <v>418</v>
      </c>
      <c r="D2015" s="97" t="s">
        <v>651</v>
      </c>
      <c r="E2015" s="97" t="s">
        <v>616</v>
      </c>
      <c r="F2015" s="97"/>
      <c r="G2015" s="132"/>
      <c r="H2015" s="98">
        <v>10.0</v>
      </c>
      <c r="I2015" s="98"/>
      <c r="J2015" s="97"/>
      <c r="K2015" s="98"/>
      <c r="L2015" s="97"/>
      <c r="M2015" s="98"/>
      <c r="N2015" s="98"/>
      <c r="O2015" s="98"/>
      <c r="P2015" s="98"/>
      <c r="Q2015" s="98"/>
      <c r="R2015" s="98">
        <v>150.0</v>
      </c>
      <c r="S2015" s="98"/>
      <c r="T2015" s="98"/>
      <c r="U2015" s="98"/>
      <c r="V2015" s="98"/>
      <c r="W2015" s="98"/>
      <c r="X2015" s="98"/>
      <c r="Y2015" s="98"/>
      <c r="Z2015" s="98"/>
      <c r="AA2015" s="98"/>
      <c r="AB2015" s="5"/>
      <c r="AC2015" s="47">
        <v>160.0</v>
      </c>
    </row>
    <row r="2016" hidden="1">
      <c r="A2016" s="76" t="str">
        <f t="array" ref="A2016:A2017">{"FormulaRow06";(INDEX(CLASSLIST,A2005,1))}</f>
        <v>FormulaRow06</v>
      </c>
      <c r="B2016" s="77" t="s">
        <v>236</v>
      </c>
      <c r="C2016" s="76" t="str">
        <f t="array" ref="C2016:C2017">{"CLASSTYPE";((INDEX(ALLCLASSDATA,MATCH("ClassType",CLASSFEATUREHEADERS,0),MATCH($A2017,CLASSNAMEHEADERS,0))))}</f>
        <v>CLASSTYPE</v>
      </c>
      <c r="D2016" s="81" t="str">
        <f t="array" ref="D2016:D2017">{"SKILLS";"Skills"}</f>
        <v>SKILLS</v>
      </c>
      <c r="E2016" s="81" t="str">
        <f t="array" ref="E2016:E2017">{"EXTRASKILLINCREASES";"Extra Skill Increases"}</f>
        <v>EXTRASKILLINCREASES</v>
      </c>
      <c r="F2016" s="81"/>
      <c r="G2016" s="81"/>
      <c r="H2016" s="81"/>
      <c r="I2016" s="81" t="str">
        <f t="array" ref="I2016:I2017">{"SKILLINCREASEEXTRA-L02";((INDEX(ALLCLASSDATA,MATCH("SkillIncreaseExtra-L02",CLASSFEATUREHEADERS,0),MATCH(($A2017 &amp; "Points"),CLASSNAMEHEADERS,0))))}</f>
        <v>SKILLINCREASEEXTRA-L02</v>
      </c>
      <c r="J2016" s="81" t="str">
        <f t="array" ref="J2016:J2017">{"SKILLINCREASEEXTRA-L03";((INDEX(ALLCLASSDATA,MATCH("SkillIncreaseExtra-L03",CLASSFEATUREHEADERS,0),MATCH(($A2017 &amp; "Points"),CLASSNAMEHEADERS,0))))}</f>
        <v>SKILLINCREASEEXTRA-L03</v>
      </c>
      <c r="K2016" s="81" t="str">
        <f t="array" ref="K2016:K2017">{"SKILLINCREASEEXTRA-L04";((INDEX(ALLCLASSDATA,MATCH("SkillIncreaseExtra-L04",CLASSFEATUREHEADERS,0),MATCH(($A2017 &amp; "Points"),CLASSNAMEHEADERS,0))))}</f>
        <v>SKILLINCREASEEXTRA-L04</v>
      </c>
      <c r="L2016" s="81" t="str">
        <f t="array" ref="L2016:L2017">{"SKILLINCREASEEXTRA-L05";((INDEX(ALLCLASSDATA,MATCH("SkillIncreaseExtra-L05",CLASSFEATUREHEADERS,0),MATCH(($A2017 &amp; "Points"),CLASSNAMEHEADERS,0))))}</f>
        <v>SKILLINCREASEEXTRA-L05</v>
      </c>
      <c r="M2016" s="81" t="str">
        <f t="array" ref="M2016:M2017">{"SKILLINCREASEEXTRA-L06";((INDEX(ALLCLASSDATA,MATCH("SkillIncreaseExtra-L06",CLASSFEATUREHEADERS,0),MATCH(($A2017 &amp; "Points"),CLASSNAMEHEADERS,0))))}</f>
        <v>SKILLINCREASEEXTRA-L06</v>
      </c>
      <c r="N2016" s="81" t="str">
        <f t="array" ref="N2016:N2017">{"SKILLINCREASEEXTRA-L07";((INDEX(ALLCLASSDATA,MATCH("SkillIncreaseExtra-L07",CLASSFEATUREHEADERS,0),MATCH(($A2017 &amp; "Points"),CLASSNAMEHEADERS,0))))}</f>
        <v>SKILLINCREASEEXTRA-L07</v>
      </c>
      <c r="O2016" s="81" t="str">
        <f t="array" ref="O2016:O2017">{"SKILLINCREASEEXTRA-L08";((INDEX(ALLCLASSDATA,MATCH("SkillIncreaseExtra-L08",CLASSFEATUREHEADERS,0),MATCH(($A2017 &amp; "Points"),CLASSNAMEHEADERS,0))))}</f>
        <v>SKILLINCREASEEXTRA-L08</v>
      </c>
      <c r="P2016" s="81" t="str">
        <f t="array" ref="P2016:P2017">{"SKILLINCREASEEXTRA-L09";((INDEX(ALLCLASSDATA,MATCH("SkillIncreaseExtra-L09",CLASSFEATUREHEADERS,0),MATCH(($A2017 &amp; "Points"),CLASSNAMEHEADERS,0))))}</f>
        <v>SKILLINCREASEEXTRA-L09</v>
      </c>
      <c r="Q2016" s="81" t="str">
        <f t="array" ref="Q2016:Q2017">{"SKILLINCREASEEXTRA-L10";((INDEX(ALLCLASSDATA,MATCH("SkillIncreaseExtra-L10",CLASSFEATUREHEADERS,0),MATCH(($A2017 &amp; "Points"),CLASSNAMEHEADERS,0))))}</f>
        <v>SKILLINCREASEEXTRA-L10</v>
      </c>
      <c r="R2016" s="81" t="str">
        <f t="array" ref="R2016:R2017">{"SKILLINCREASEEXTRA-L11";((INDEX(ALLCLASSDATA,MATCH("SkillIncreaseExtra-L11",CLASSFEATUREHEADERS,0),MATCH(($A2017 &amp; "Points"),CLASSNAMEHEADERS,0))))}</f>
        <v>SKILLINCREASEEXTRA-L11</v>
      </c>
      <c r="S2016" s="81" t="str">
        <f t="array" ref="S2016:S2017">{"SKILLINCREASEEXTRA-L12";((INDEX(ALLCLASSDATA,MATCH("SkillIncreaseExtra-L12",CLASSFEATUREHEADERS,0),MATCH(($A2017 &amp; "Points"),CLASSNAMEHEADERS,0))))}</f>
        <v>SKILLINCREASEEXTRA-L12</v>
      </c>
      <c r="T2016" s="81" t="str">
        <f t="array" ref="T2016:T2017">{"SKILLINCREASEEXTRA-L13";((INDEX(ALLCLASSDATA,MATCH("SkillIncreaseExtra-L13",CLASSFEATUREHEADERS,0),MATCH(($A2017 &amp; "Points"),CLASSNAMEHEADERS,0))))}</f>
        <v>SKILLINCREASEEXTRA-L13</v>
      </c>
      <c r="U2016" s="81" t="str">
        <f t="array" ref="U2016:U2017">{"SKILLINCREASEEXTRA-L14";((INDEX(ALLCLASSDATA,MATCH("SkillIncreaseExtra-L14",CLASSFEATUREHEADERS,0),MATCH(($A2017 &amp; "Points"),CLASSNAMEHEADERS,0))))}</f>
        <v>SKILLINCREASEEXTRA-L14</v>
      </c>
      <c r="V2016" s="81" t="str">
        <f t="array" ref="V2016:V2017">{"SKILLINCREASEEXTRA-L15";((INDEX(ALLCLASSDATA,MATCH("SkillIncreaseExtra-L15",CLASSFEATUREHEADERS,0),MATCH(($A2017 &amp; "Points"),CLASSNAMEHEADERS,0))))}</f>
        <v>SKILLINCREASEEXTRA-L15</v>
      </c>
      <c r="W2016" s="81" t="str">
        <f t="array" ref="W2016:W2017">{"SKILLINCREASEEXTRA-L16";((INDEX(ALLCLASSDATA,MATCH("SkillIncreaseExtra-L16",CLASSFEATUREHEADERS,0),MATCH(($A2017 &amp; "Points"),CLASSNAMEHEADERS,0))))}</f>
        <v>SKILLINCREASEEXTRA-L16</v>
      </c>
      <c r="X2016" s="81" t="str">
        <f t="array" ref="X2016:X2017">{"SKILLINCREASEEXTRA-L17";((INDEX(ALLCLASSDATA,MATCH("SkillIncreaseExtra-L17",CLASSFEATUREHEADERS,0),MATCH(($A2017 &amp; "Points"),CLASSNAMEHEADERS,0))))}</f>
        <v>SKILLINCREASEEXTRA-L17</v>
      </c>
      <c r="Y2016" s="81" t="str">
        <f t="array" ref="Y2016:Y2017">{"SKILLINCREASEEXTRA-L18";((INDEX(ALLCLASSDATA,MATCH("SkillIncreaseExtra-L18",CLASSFEATUREHEADERS,0),MATCH(($A2017 &amp; "Points"),CLASSNAMEHEADERS,0))))}</f>
        <v>SKILLINCREASEEXTRA-L18</v>
      </c>
      <c r="Z2016" s="81" t="str">
        <f t="array" ref="Z2016:Z2017">{"SKILLINCREASEEXTRA-L19";((INDEX(ALLCLASSDATA,MATCH("SkillIncreaseExtra-L19",CLASSFEATUREHEADERS,0),MATCH(($A2017 &amp; "Points"),CLASSNAMEHEADERS,0))))}</f>
        <v>SKILLINCREASEEXTRA-L19</v>
      </c>
      <c r="AA2016" s="81" t="str">
        <f t="array" ref="AA2016:AA2017">{"SKILLINCREASEEXTRA-L20";((INDEX(ALLCLASSDATA,MATCH("SkillIncreaseExtra-L20",CLASSFEATUREHEADERS,0),MATCH(($A2017 &amp; "Points"),CLASSNAMEHEADERS,0))))}</f>
        <v>SKILLINCREASEEXTRA-L20</v>
      </c>
      <c r="AB2016" s="76"/>
      <c r="AC2016" s="76" t="str">
        <f t="array" ref="AC2016:AC2017">{"SKILLINCREASE TOTAL";(sum(G2017:AA2017))}</f>
        <v>SKILLINCREASE TOTAL</v>
      </c>
    </row>
    <row r="2017">
      <c r="A2017" s="48" t="s">
        <v>233</v>
      </c>
      <c r="B2017" s="48"/>
      <c r="C2017" s="48" t="s">
        <v>418</v>
      </c>
      <c r="D2017" s="48" t="s">
        <v>659</v>
      </c>
      <c r="E2017" s="48" t="s">
        <v>661</v>
      </c>
      <c r="F2017" s="48"/>
      <c r="G2017" s="47"/>
      <c r="H2017" s="5"/>
      <c r="I2017" s="5" t="s">
        <v>603</v>
      </c>
      <c r="J2017" s="5" t="s">
        <v>603</v>
      </c>
      <c r="K2017" s="5" t="s">
        <v>603</v>
      </c>
      <c r="L2017" s="48" t="s">
        <v>603</v>
      </c>
      <c r="M2017" s="5" t="s">
        <v>603</v>
      </c>
      <c r="N2017" s="5" t="s">
        <v>603</v>
      </c>
      <c r="O2017" s="5" t="s">
        <v>603</v>
      </c>
      <c r="P2017" s="5" t="s">
        <v>603</v>
      </c>
      <c r="Q2017" s="5" t="s">
        <v>603</v>
      </c>
      <c r="R2017" s="5" t="s">
        <v>603</v>
      </c>
      <c r="S2017" s="5" t="s">
        <v>603</v>
      </c>
      <c r="T2017" s="5" t="s">
        <v>603</v>
      </c>
      <c r="U2017" s="5" t="s">
        <v>603</v>
      </c>
      <c r="V2017" s="5" t="s">
        <v>603</v>
      </c>
      <c r="W2017" s="5" t="s">
        <v>603</v>
      </c>
      <c r="X2017" s="5" t="s">
        <v>603</v>
      </c>
      <c r="Y2017" s="5" t="s">
        <v>603</v>
      </c>
      <c r="Z2017" s="5" t="s">
        <v>603</v>
      </c>
      <c r="AA2017" s="5" t="s">
        <v>603</v>
      </c>
      <c r="AB2017" s="5"/>
      <c r="AC2017" s="47">
        <v>0.0</v>
      </c>
    </row>
    <row r="2018" hidden="1">
      <c r="A2018" s="76" t="str">
        <f t="array" ref="A2018:A2019">{"FormulaRow07";(INDEX(CLASSLIST,A2005,1))}</f>
        <v>FormulaRow07</v>
      </c>
      <c r="B2018" s="77" t="s">
        <v>236</v>
      </c>
      <c r="C2018" s="76" t="str">
        <f t="array" ref="C2018:C2019">{"CLASSTYPE";((INDEX(ALLCLASSDATA,MATCH("ClassType",CLASSFEATUREHEADERS,0),MATCH($A2019,CLASSNAMEHEADERS,0))))}</f>
        <v>CLASSTYPE</v>
      </c>
      <c r="D2018" s="76" t="str">
        <f t="array" ref="D2018:D2019">{"SKILLS";"Skills"}</f>
        <v>SKILLS</v>
      </c>
      <c r="E2018" s="76" t="str">
        <f t="array" ref="E2018:E2019">{"EXTRASKILLFEATS";"Extra Skill Feats"}</f>
        <v>EXTRASKILLFEATS</v>
      </c>
      <c r="F2018" s="76"/>
      <c r="G2018" s="76"/>
      <c r="H2018" s="76" t="str">
        <f t="array" ref="H2018:H2019">{"SKILLFEATEXTRA-L01";((INDEX(ALLCLASSDATA,MATCH("SkillFeatExtra-L01",CLASSFEATUREHEADERS,0),MATCH(($A2019 &amp; "Points"),CLASSNAMEHEADERS,0))))}</f>
        <v>SKILLFEATEXTRA-L01</v>
      </c>
      <c r="I2018" s="76" t="str">
        <f t="array" ref="I2018:I2019">{"SKILLFEATEXTRA-L02";((INDEX(ALLCLASSDATA,MATCH("SkillFeatExtra-L02",CLASSFEATUREHEADERS,0),MATCH(($A2019 &amp; "Points"),CLASSNAMEHEADERS,0))))}</f>
        <v>SKILLFEATEXTRA-L02</v>
      </c>
      <c r="J2018" s="76" t="str">
        <f t="array" ref="J2018:J2019">{"SKILLFEATEXTRA-L03";((INDEX(ALLCLASSDATA,MATCH("SkillFeatExtra-L03",CLASSFEATUREHEADERS,0),MATCH(($A2019 &amp; "Points"),CLASSNAMEHEADERS,0))))}</f>
        <v>SKILLFEATEXTRA-L03</v>
      </c>
      <c r="K2018" s="76" t="str">
        <f t="array" ref="K2018:K2019">{"SKILLFEATEXTRA-L04";((INDEX(ALLCLASSDATA,MATCH("SkillFeatExtra-L04",CLASSFEATUREHEADERS,0),MATCH(($A2019 &amp; "Points"),CLASSNAMEHEADERS,0))))}</f>
        <v>SKILLFEATEXTRA-L04</v>
      </c>
      <c r="L2018" s="76" t="str">
        <f t="array" ref="L2018:L2019">{"SKILLFEATEXTRA-L05";((INDEX(ALLCLASSDATA,MATCH("SkillFeatExtra-L05",CLASSFEATUREHEADERS,0),MATCH(($A2019 &amp; "Points"),CLASSNAMEHEADERS,0))))}</f>
        <v>SKILLFEATEXTRA-L05</v>
      </c>
      <c r="M2018" s="76" t="str">
        <f t="array" ref="M2018:M2019">{"SKILLFEATEXTRA-L06";((INDEX(ALLCLASSDATA,MATCH("SkillFeatExtra-L06",CLASSFEATUREHEADERS,0),MATCH(($A2019 &amp; "Points"),CLASSNAMEHEADERS,0))))}</f>
        <v>SKILLFEATEXTRA-L06</v>
      </c>
      <c r="N2018" s="76" t="str">
        <f t="array" ref="N2018:N2019">{"SKILLFEATEXTRA-L07";((INDEX(ALLCLASSDATA,MATCH("SkillFeatExtra-L07",CLASSFEATUREHEADERS,0),MATCH(($A2019 &amp; "Points"),CLASSNAMEHEADERS,0))))}</f>
        <v>SKILLFEATEXTRA-L07</v>
      </c>
      <c r="O2018" s="76" t="str">
        <f t="array" ref="O2018:O2019">{"SKILLFEATEXTRA-L08";((INDEX(ALLCLASSDATA,MATCH("SkillFeatExtra-L08",CLASSFEATUREHEADERS,0),MATCH(($A2019 &amp; "Points"),CLASSNAMEHEADERS,0))))}</f>
        <v>SKILLFEATEXTRA-L08</v>
      </c>
      <c r="P2018" s="76" t="str">
        <f t="array" ref="P2018:P2019">{"SKILLFEATEXTRA-L09";((INDEX(ALLCLASSDATA,MATCH("SkillFeatExtra-L09",CLASSFEATUREHEADERS,0),MATCH(($A2019 &amp; "Points"),CLASSNAMEHEADERS,0))))}</f>
        <v>SKILLFEATEXTRA-L09</v>
      </c>
      <c r="Q2018" s="76" t="str">
        <f t="array" ref="Q2018:Q2019">{"SKILLFEATEXTRA-L10";((INDEX(ALLCLASSDATA,MATCH("SkillFeatExtra-L10",CLASSFEATUREHEADERS,0),MATCH(($A2019 &amp; "Points"),CLASSNAMEHEADERS,0))))}</f>
        <v>SKILLFEATEXTRA-L10</v>
      </c>
      <c r="R2018" s="76" t="str">
        <f t="array" ref="R2018:R2019">{"SKILLFEATEXTRA-L11";((INDEX(ALLCLASSDATA,MATCH("SkillFeatExtra-L11",CLASSFEATUREHEADERS,0),MATCH(($A2019 &amp; "Points"),CLASSNAMEHEADERS,0))))}</f>
        <v>SKILLFEATEXTRA-L11</v>
      </c>
      <c r="S2018" s="76" t="str">
        <f t="array" ref="S2018:S2019">{"SKILLFEATEXTRA-L12";((INDEX(ALLCLASSDATA,MATCH("SkillFeatExtra-L12",CLASSFEATUREHEADERS,0),MATCH(($A2019 &amp; "Points"),CLASSNAMEHEADERS,0))))}</f>
        <v>SKILLFEATEXTRA-L12</v>
      </c>
      <c r="T2018" s="76" t="str">
        <f t="array" ref="T2018:T2019">{"SKILLFEATEXTRA-L13";((INDEX(ALLCLASSDATA,MATCH("SkillFeatExtra-L13",CLASSFEATUREHEADERS,0),MATCH(($A2019 &amp; "Points"),CLASSNAMEHEADERS,0))))}</f>
        <v>SKILLFEATEXTRA-L13</v>
      </c>
      <c r="U2018" s="76" t="str">
        <f t="array" ref="U2018:U2019">{"SKILLFEATEXTRA-L14";((INDEX(ALLCLASSDATA,MATCH("SkillFeatExtra-L14",CLASSFEATUREHEADERS,0),MATCH(($A2019 &amp; "Points"),CLASSNAMEHEADERS,0))))}</f>
        <v>SKILLFEATEXTRA-L14</v>
      </c>
      <c r="V2018" s="76" t="str">
        <f t="array" ref="V2018:V2019">{"SKILLFEATEXTRA-L15";((INDEX(ALLCLASSDATA,MATCH("SkillFeatExtra-L15",CLASSFEATUREHEADERS,0),MATCH(($A2019 &amp; "Points"),CLASSNAMEHEADERS,0))))}</f>
        <v>SKILLFEATEXTRA-L15</v>
      </c>
      <c r="W2018" s="76" t="str">
        <f t="array" ref="W2018:W2019">{"SKILLFEATEXTRA-L16";((INDEX(ALLCLASSDATA,MATCH("SkillFeatExtra-L16",CLASSFEATUREHEADERS,0),MATCH(($A2019 &amp; "Points"),CLASSNAMEHEADERS,0))))}</f>
        <v>SKILLFEATEXTRA-L16</v>
      </c>
      <c r="X2018" s="76" t="str">
        <f t="array" ref="X2018:X2019">{"SKILLFEATEXTRA-L17";((INDEX(ALLCLASSDATA,MATCH("SkillFeatExtra-L17",CLASSFEATUREHEADERS,0),MATCH(($A2019 &amp; "Points"),CLASSNAMEHEADERS,0))))}</f>
        <v>SKILLFEATEXTRA-L17</v>
      </c>
      <c r="Y2018" s="76" t="str">
        <f t="array" ref="Y2018:Y2019">{"SKILLFEATEXTRA-L18";((INDEX(ALLCLASSDATA,MATCH("SkillFeatExtra-L18",CLASSFEATUREHEADERS,0),MATCH(($A2019 &amp; "Points"),CLASSNAMEHEADERS,0))))}</f>
        <v>SKILLFEATEXTRA-L18</v>
      </c>
      <c r="Z2018" s="76" t="str">
        <f t="array" ref="Z2018:Z2019">{"SKILLFEATEXTRA-L19";((INDEX(ALLCLASSDATA,MATCH("SkillFeatExtra-L19",CLASSFEATUREHEADERS,0),MATCH(($A2019 &amp; "Points"),CLASSNAMEHEADERS,0))))}</f>
        <v>SKILLFEATEXTRA-L19</v>
      </c>
      <c r="AA2018" s="76" t="str">
        <f t="array" ref="AA2018:AA2019">{"SKILLFEATEXTRA-L20";((INDEX(ALLCLASSDATA,MATCH("SkillFeatExtra-L20",CLASSFEATUREHEADERS,0),MATCH(($A2019 &amp; "Points"),CLASSNAMEHEADERS,0))))}</f>
        <v>SKILLFEATEXTRA-L20</v>
      </c>
      <c r="AB2018" s="76"/>
      <c r="AC2018" s="76" t="str">
        <f t="array" ref="AC2018:AC2019">{"SKILLFEAT TOTAL";(sum(G2019:AA2019))}</f>
        <v>SKILLFEAT TOTAL</v>
      </c>
    </row>
    <row r="2019">
      <c r="A2019" s="48" t="s">
        <v>233</v>
      </c>
      <c r="B2019" s="48"/>
      <c r="C2019" s="48" t="s">
        <v>418</v>
      </c>
      <c r="D2019" s="97" t="s">
        <v>659</v>
      </c>
      <c r="E2019" s="97" t="s">
        <v>722</v>
      </c>
      <c r="F2019" s="97"/>
      <c r="G2019" s="132"/>
      <c r="H2019" s="98" t="s">
        <v>603</v>
      </c>
      <c r="I2019" s="98" t="s">
        <v>603</v>
      </c>
      <c r="J2019" s="97" t="s">
        <v>603</v>
      </c>
      <c r="K2019" s="98" t="s">
        <v>603</v>
      </c>
      <c r="L2019" s="97" t="s">
        <v>603</v>
      </c>
      <c r="M2019" s="98" t="s">
        <v>603</v>
      </c>
      <c r="N2019" s="98" t="s">
        <v>603</v>
      </c>
      <c r="O2019" s="98" t="s">
        <v>603</v>
      </c>
      <c r="P2019" s="98" t="s">
        <v>603</v>
      </c>
      <c r="Q2019" s="98" t="s">
        <v>603</v>
      </c>
      <c r="R2019" s="98" t="s">
        <v>603</v>
      </c>
      <c r="S2019" s="98" t="s">
        <v>603</v>
      </c>
      <c r="T2019" s="98" t="s">
        <v>603</v>
      </c>
      <c r="U2019" s="98" t="s">
        <v>603</v>
      </c>
      <c r="V2019" s="98" t="s">
        <v>603</v>
      </c>
      <c r="W2019" s="98" t="s">
        <v>603</v>
      </c>
      <c r="X2019" s="98" t="s">
        <v>603</v>
      </c>
      <c r="Y2019" s="98" t="s">
        <v>603</v>
      </c>
      <c r="Z2019" s="98" t="s">
        <v>603</v>
      </c>
      <c r="AA2019" s="98" t="s">
        <v>603</v>
      </c>
      <c r="AB2019" s="5"/>
      <c r="AC2019" s="47">
        <v>0.0</v>
      </c>
    </row>
    <row r="2020" hidden="1">
      <c r="A2020" s="76" t="str">
        <f t="array" ref="A2020:A2021">{"FormulaRow08";(INDEX(CLASSLIST,A2005,1))}</f>
        <v>FormulaRow08</v>
      </c>
      <c r="B2020" s="77" t="s">
        <v>236</v>
      </c>
      <c r="C2020" s="76" t="str">
        <f t="array" ref="C2020:C2021">{"CLASSTYPE";((INDEX(ALLCLASSDATA,MATCH("ClassType",CLASSFEATUREHEADERS,0),MATCH($A2021,CLASSNAMEHEADERS,0))))}</f>
        <v>CLASSTYPE</v>
      </c>
      <c r="D2020" s="81" t="str">
        <f t="array" ref="D2020:D2021">{"CLASSABILITY";"ClassAbility"}</f>
        <v>CLASSABILITY</v>
      </c>
      <c r="E2020" s="81" t="str">
        <f t="array" ref="E2020:E2021">{"CLASSABILITY1";"ClassAbility1"}</f>
        <v>CLASSABILITY1</v>
      </c>
      <c r="F2020" s="81"/>
      <c r="G2020" s="81"/>
      <c r="H2020" s="81"/>
      <c r="I2020" s="81"/>
      <c r="J2020" s="81" t="str">
        <f t="array" ref="J2020:J2021">{"CLASSABILITY1-L03";((INDEX(ALLCLASSDATA,MATCH("ClassAbility1-L03",CLASSFEATUREHEADERS,0),MATCH(($A2021),CLASSNAMEHEADERS,0))))}</f>
        <v>CLASSABILITY1-L03</v>
      </c>
      <c r="K2020" s="81"/>
      <c r="L2020" s="81" t="str">
        <f t="array" ref="L2020:L2021">{"CLASSABILITY1-L05";((INDEX(ALLCLASSDATA,MATCH("ClassAbility1-L05",CLASSFEATUREHEADERS,0),MATCH(($A2021),CLASSNAMEHEADERS,0))))}</f>
        <v>CLASSABILITY1-L05</v>
      </c>
      <c r="M2020" s="81"/>
      <c r="N2020" s="81" t="str">
        <f t="array" ref="N2020:N2021">{"CLASSABILITY1-L07";((INDEX(ALLCLASSDATA,MATCH("ClassAbility1-L07",CLASSFEATUREHEADERS,0),MATCH(($A2021),CLASSNAMEHEADERS,0))))}</f>
        <v>CLASSABILITY1-L07</v>
      </c>
      <c r="O2020" s="81"/>
      <c r="P2020" s="81" t="str">
        <f t="array" ref="P2020:P2021">{"CLASSABILITY1-L09";((INDEX(ALLCLASSDATA,MATCH("ClassAbility1-L09",CLASSFEATUREHEADERS,0),MATCH(($A2021),CLASSNAMEHEADERS,0))))}</f>
        <v>CLASSABILITY1-L09</v>
      </c>
      <c r="Q2020" s="81"/>
      <c r="R2020" s="81" t="str">
        <f t="array" ref="R2020:R2021">{"CLASSABILITY1-L11";((INDEX(ALLCLASSDATA,MATCH("ClassAbility1-L11",CLASSFEATUREHEADERS,0),MATCH(($A2021),CLASSNAMEHEADERS,0))))}</f>
        <v>CLASSABILITY1-L11</v>
      </c>
      <c r="S2020" s="81"/>
      <c r="T2020" s="81" t="str">
        <f t="array" ref="T2020:T2021">{"CLASSABILITY1-L13";((INDEX(ALLCLASSDATA,MATCH("ClassAbility1-L13",CLASSFEATUREHEADERS,0),MATCH(($A2021),CLASSNAMEHEADERS,0))))}</f>
        <v>CLASSABILITY1-L13</v>
      </c>
      <c r="U2020" s="81"/>
      <c r="V2020" s="81" t="str">
        <f t="array" ref="V2020:V2021">{"CLASSABILITY1-L15";((INDEX(ALLCLASSDATA,MATCH("ClassAbility1-L15",CLASSFEATUREHEADERS,0),MATCH(($A2021),CLASSNAMEHEADERS,0))))}</f>
        <v>CLASSABILITY1-L15</v>
      </c>
      <c r="W2020" s="81"/>
      <c r="X2020" s="81" t="str">
        <f t="array" ref="X2020:X2021">{"CLASSABILITY1-L17";((INDEX(ALLCLASSDATA,MATCH("ClassAbility1-L17",CLASSFEATUREHEADERS,0),MATCH(($A2021),CLASSNAMEHEADERS,0))))}</f>
        <v>CLASSABILITY1-L17</v>
      </c>
      <c r="Y2020" s="81"/>
      <c r="Z2020" s="81" t="str">
        <f t="array" ref="Z2020:Z2021">{"CLASSABILITY1-L19";((INDEX(ALLCLASSDATA,MATCH("ClassAbility1-L19",CLASSFEATUREHEADERS,0),MATCH(($A2021),CLASSNAMEHEADERS,0))))}</f>
        <v>CLASSABILITY1-L19</v>
      </c>
      <c r="AA2020" s="81"/>
      <c r="AB2020" s="76"/>
      <c r="AC2020" s="76"/>
    </row>
    <row r="2021">
      <c r="A2021" s="48" t="s">
        <v>233</v>
      </c>
      <c r="B2021" s="48"/>
      <c r="C2021" s="48" t="s">
        <v>418</v>
      </c>
      <c r="D2021" s="48" t="s">
        <v>825</v>
      </c>
      <c r="E2021" s="48" t="s">
        <v>826</v>
      </c>
      <c r="F2021" s="5"/>
      <c r="G2021" s="47"/>
      <c r="H2021" s="5"/>
      <c r="I2021" s="5"/>
      <c r="J2021" s="5" t="s">
        <v>1251</v>
      </c>
      <c r="K2021" s="5"/>
      <c r="L2021" s="5" t="s">
        <v>1698</v>
      </c>
      <c r="M2021" s="5"/>
      <c r="N2021" s="5" t="s">
        <v>350</v>
      </c>
      <c r="O2021" s="5"/>
      <c r="P2021" s="5" t="s">
        <v>323</v>
      </c>
      <c r="Q2021" s="5"/>
      <c r="R2021" s="5" t="s">
        <v>359</v>
      </c>
      <c r="S2021" s="5"/>
      <c r="T2021" s="5" t="s">
        <v>369</v>
      </c>
      <c r="U2021" s="5"/>
      <c r="V2021" s="5" t="s">
        <v>353</v>
      </c>
      <c r="W2021" s="5"/>
      <c r="X2021" s="5" t="s">
        <v>1779</v>
      </c>
      <c r="Y2021" s="5"/>
      <c r="Z2021" s="5" t="s">
        <v>1287</v>
      </c>
      <c r="AA2021" s="5"/>
      <c r="AB2021" s="5"/>
      <c r="AC2021" s="47"/>
    </row>
    <row r="2022" hidden="1">
      <c r="A2022" s="76" t="str">
        <f t="array" ref="A2022:A2023">{"FormulaRow09";(INDEX(CLASSLIST,A2005,1))}</f>
        <v>FormulaRow09</v>
      </c>
      <c r="B2022" s="77" t="s">
        <v>236</v>
      </c>
      <c r="C2022" s="76" t="str">
        <f t="array" ref="C2022:C2023">{"CLASSTYPE";((INDEX(ALLCLASSDATA,MATCH("ClassType",CLASSFEATUREHEADERS,0),MATCH($A2023,CLASSNAMEHEADERS,0))))}</f>
        <v>CLASSTYPE</v>
      </c>
      <c r="D2022" s="76" t="str">
        <f t="array" ref="D2022:D2023">{"CLASSABILITYPTS";"ClassAbilityPts"}</f>
        <v>CLASSABILITYPTS</v>
      </c>
      <c r="E2022" s="76" t="str">
        <f t="array" ref="E2022:E2023">{"CLASSABILITY1";"ClassAbility1"}</f>
        <v>CLASSABILITY1</v>
      </c>
      <c r="F2022" s="76"/>
      <c r="G2022" s="76"/>
      <c r="H2022" s="76"/>
      <c r="I2022" s="76"/>
      <c r="J2022" s="76" t="str">
        <f t="array" ref="J2022:J2023">{"CLASSABILITY1-L03PTS";((INDEX(ALLCLASSDATA,MATCH("ClassAbility1-L03",CLASSFEATUREHEADERS,0),MATCH(($A2023 &amp; "Points"),CLASSNAMEHEADERS,0))))}</f>
        <v>CLASSABILITY1-L03PTS</v>
      </c>
      <c r="K2022" s="76"/>
      <c r="L2022" s="76" t="str">
        <f t="array" ref="L2022:L2023">{"CLASSABILITY1-L05PTS";((INDEX(ALLCLASSDATA,MATCH("ClassAbility1-L05",CLASSFEATUREHEADERS,0),MATCH(($A2023 &amp; "Points"),CLASSNAMEHEADERS,0))))}</f>
        <v>CLASSABILITY1-L05PTS</v>
      </c>
      <c r="M2022" s="76"/>
      <c r="N2022" s="76" t="str">
        <f t="array" ref="N2022:N2023">{"CLASSABILITY1-L07PTS";((INDEX(ALLCLASSDATA,MATCH("ClassAbility1-L07",CLASSFEATUREHEADERS,0),MATCH(($A2023 &amp; "Points"),CLASSNAMEHEADERS,0))))}</f>
        <v>CLASSABILITY1-L07PTS</v>
      </c>
      <c r="O2022" s="76"/>
      <c r="P2022" s="76" t="str">
        <f t="array" ref="P2022:P2023">{"CLASSABILITY1-L09PTS";((INDEX(ALLCLASSDATA,MATCH("ClassAbility1-L09",CLASSFEATUREHEADERS,0),MATCH(($A2023 &amp; "Points"),CLASSNAMEHEADERS,0))))}</f>
        <v>CLASSABILITY1-L09PTS</v>
      </c>
      <c r="Q2022" s="76"/>
      <c r="R2022" s="76" t="str">
        <f t="array" ref="R2022:R2023">{"CLASSABILITY1-L11PTS";((INDEX(ALLCLASSDATA,MATCH("ClassAbility1-L11",CLASSFEATUREHEADERS,0),MATCH(($A2023 &amp; "Points"),CLASSNAMEHEADERS,0))))}</f>
        <v>CLASSABILITY1-L11PTS</v>
      </c>
      <c r="S2022" s="76"/>
      <c r="T2022" s="76" t="str">
        <f t="array" ref="T2022:T2023">{"CLASSABILITY1-L13PTS";((INDEX(ALLCLASSDATA,MATCH("ClassAbility1-L13",CLASSFEATUREHEADERS,0),MATCH(($A2023 &amp; "Points"),CLASSNAMEHEADERS,0))))}</f>
        <v>CLASSABILITY1-L13PTS</v>
      </c>
      <c r="U2022" s="76"/>
      <c r="V2022" s="76" t="str">
        <f t="array" ref="V2022:V2023">{"CLASSABILITY1-L15PTS";((INDEX(ALLCLASSDATA,MATCH("ClassAbility1-L15",CLASSFEATUREHEADERS,0),MATCH(($A2023 &amp; "Points"),CLASSNAMEHEADERS,0))))}</f>
        <v>CLASSABILITY1-L15PTS</v>
      </c>
      <c r="W2022" s="76"/>
      <c r="X2022" s="76" t="str">
        <f t="array" ref="X2022:X2023">{"CLASSABILITY1-L17PTS";((INDEX(ALLCLASSDATA,MATCH("ClassAbility1-L17",CLASSFEATUREHEADERS,0),MATCH(($A2023 &amp; "Points"),CLASSNAMEHEADERS,0))))}</f>
        <v>CLASSABILITY1-L17PTS</v>
      </c>
      <c r="Y2022" s="76"/>
      <c r="Z2022" s="76" t="str">
        <f t="array" ref="Z2022:Z2023">{"CLASSABILITY1-L19PTS";((INDEX(ALLCLASSDATA,MATCH("ClassAbility1-L19",CLASSFEATUREHEADERS,0),MATCH(($A2023 &amp; "Points"),CLASSNAMEHEADERS,0))))}</f>
        <v>CLASSABILITY1-L19PTS</v>
      </c>
      <c r="AA2022" s="76"/>
      <c r="AB2022" s="76"/>
      <c r="AC2022" s="76" t="str">
        <f t="array" ref="AC2022:AC2023">{"CLASSABILITY1 TOTAL";(sum(G2023:AA2023))}</f>
        <v>CLASSABILITY1 TOTAL</v>
      </c>
    </row>
    <row r="2023">
      <c r="A2023" s="48" t="s">
        <v>233</v>
      </c>
      <c r="B2023" s="48"/>
      <c r="C2023" s="48" t="s">
        <v>418</v>
      </c>
      <c r="D2023" s="48" t="s">
        <v>930</v>
      </c>
      <c r="E2023" s="48" t="s">
        <v>826</v>
      </c>
      <c r="F2023" s="5"/>
      <c r="G2023" s="5"/>
      <c r="H2023" s="5"/>
      <c r="I2023" s="5"/>
      <c r="J2023" s="48">
        <v>30.0</v>
      </c>
      <c r="K2023" s="5"/>
      <c r="L2023" s="5"/>
      <c r="M2023" s="5"/>
      <c r="N2023" s="5"/>
      <c r="O2023" s="5"/>
      <c r="P2023" s="5"/>
      <c r="Q2023" s="5"/>
      <c r="R2023" s="5"/>
      <c r="S2023" s="5"/>
      <c r="T2023" s="5"/>
      <c r="U2023" s="5"/>
      <c r="V2023" s="5"/>
      <c r="W2023" s="5"/>
      <c r="X2023" s="5"/>
      <c r="Y2023" s="5"/>
      <c r="Z2023" s="5"/>
      <c r="AA2023" s="5"/>
      <c r="AB2023" s="5"/>
      <c r="AC2023" s="47">
        <v>30.0</v>
      </c>
    </row>
    <row r="2024" hidden="1">
      <c r="A2024" s="76" t="str">
        <f t="array" ref="A2024:A2025">{"FormulaRow10";(INDEX(CLASSLIST,A2005,1))}</f>
        <v>FormulaRow10</v>
      </c>
      <c r="B2024" s="77" t="s">
        <v>236</v>
      </c>
      <c r="C2024" s="76" t="str">
        <f t="array" ref="C2024:C2025">{"CLASSTYPE";((INDEX(ALLCLASSDATA,MATCH("ClassType",CLASSFEATUREHEADERS,0),MATCH($A2025,CLASSNAMEHEADERS,0))))}</f>
        <v>CLASSTYPE</v>
      </c>
      <c r="D2024" s="76" t="str">
        <f t="array" ref="D2024:D2025">{"CLASSABILITY";"ClassAbility"}</f>
        <v>CLASSABILITY</v>
      </c>
      <c r="E2024" s="76" t="str">
        <f t="array" ref="E2024:E2025">{"CLASSABILITY2";"ClassAbility2"}</f>
        <v>CLASSABILITY2</v>
      </c>
      <c r="F2024" s="76"/>
      <c r="G2024" s="76"/>
      <c r="H2024" s="76"/>
      <c r="I2024" s="76"/>
      <c r="J2024" s="76" t="str">
        <f t="array" ref="J2024:J2025">{"CLASSABILITY2-L03";((INDEX(ALLCLASSDATA,MATCH("ClassAbility2-L03",CLASSFEATUREHEADERS,0),MATCH(($A2025),CLASSNAMEHEADERS,0))))}</f>
        <v>CLASSABILITY2-L03</v>
      </c>
      <c r="K2024" s="76"/>
      <c r="L2024" s="76" t="str">
        <f t="array" ref="L2024:L2025">{"CLASSABILITY2-L05";((INDEX(ALLCLASSDATA,MATCH("ClassAbility2-L05",CLASSFEATUREHEADERS,0),MATCH(($A2025),CLASSNAMEHEADERS,0))))}</f>
        <v>CLASSABILITY2-L05</v>
      </c>
      <c r="M2024" s="76"/>
      <c r="N2024" s="76" t="str">
        <f t="array" ref="N2024:N2025">{"CLASSABILITY2-L07";((INDEX(ALLCLASSDATA,MATCH("ClassAbility2-L07",CLASSFEATUREHEADERS,0),MATCH(($A2025),CLASSNAMEHEADERS,0))))}</f>
        <v>CLASSABILITY2-L07</v>
      </c>
      <c r="O2024" s="76"/>
      <c r="P2024" s="76" t="str">
        <f t="array" ref="P2024:P2025">{"CLASSABILITY2-L09";((INDEX(ALLCLASSDATA,MATCH("ClassAbility2-L09",CLASSFEATUREHEADERS,0),MATCH(($A2025),CLASSNAMEHEADERS,0))))}</f>
        <v>CLASSABILITY2-L09</v>
      </c>
      <c r="Q2024" s="76"/>
      <c r="R2024" s="76" t="str">
        <f t="array" ref="R2024:R2025">{"CLASSABILITY2-L11";((INDEX(ALLCLASSDATA,MATCH("ClassAbility2-L11",CLASSFEATUREHEADERS,0),MATCH(($A2025),CLASSNAMEHEADERS,0))))}</f>
        <v>CLASSABILITY2-L11</v>
      </c>
      <c r="S2024" s="76"/>
      <c r="T2024" s="76" t="str">
        <f t="array" ref="T2024:T2025">{"CLASSABILITY2-L13";((INDEX(ALLCLASSDATA,MATCH("ClassAbility2-L13",CLASSFEATUREHEADERS,0),MATCH(($A2025),CLASSNAMEHEADERS,0))))}</f>
        <v>CLASSABILITY2-L13</v>
      </c>
      <c r="U2024" s="76"/>
      <c r="V2024" s="76" t="str">
        <f t="array" ref="V2024:V2025">{"CLASSABILITY2-L15";((INDEX(ALLCLASSDATA,MATCH("ClassAbility2-L15",CLASSFEATUREHEADERS,0),MATCH(($A2025),CLASSNAMEHEADERS,0))))}</f>
        <v>CLASSABILITY2-L15</v>
      </c>
      <c r="W2024" s="76"/>
      <c r="X2024" s="76" t="str">
        <f t="array" ref="X2024:X2025">{"CLASSABILITY2-L17";((INDEX(ALLCLASSDATA,MATCH("ClassAbility2-L17",CLASSFEATUREHEADERS,0),MATCH(($A2025),CLASSNAMEHEADERS,0))))}</f>
        <v>CLASSABILITY2-L17</v>
      </c>
      <c r="Y2024" s="76"/>
      <c r="Z2024" s="76" t="str">
        <f t="array" ref="Z2024:Z2025">{"CLASSABILITY2-L19";((INDEX(ALLCLASSDATA,MATCH("ClassAbility2-L19",CLASSFEATUREHEADERS,0),MATCH(($A2025),CLASSNAMEHEADERS,0))))}</f>
        <v>CLASSABILITY2-L19</v>
      </c>
      <c r="AA2024" s="76"/>
      <c r="AB2024" s="76"/>
      <c r="AC2024" s="76"/>
    </row>
    <row r="2025">
      <c r="A2025" s="48" t="s">
        <v>233</v>
      </c>
      <c r="B2025" s="48"/>
      <c r="C2025" s="48" t="s">
        <v>418</v>
      </c>
      <c r="D2025" s="48" t="s">
        <v>825</v>
      </c>
      <c r="E2025" s="48" t="s">
        <v>1007</v>
      </c>
      <c r="F2025" s="48"/>
      <c r="G2025" s="47"/>
      <c r="H2025" s="5"/>
      <c r="I2025" s="5"/>
      <c r="J2025" s="5"/>
      <c r="K2025" s="5"/>
      <c r="L2025" s="5"/>
      <c r="M2025" s="5"/>
      <c r="N2025" s="5"/>
      <c r="O2025" s="5"/>
      <c r="P2025" s="5"/>
      <c r="Q2025" s="5"/>
      <c r="R2025" s="5" t="s">
        <v>305</v>
      </c>
      <c r="S2025" s="5"/>
      <c r="T2025" s="5" t="s">
        <v>1756</v>
      </c>
      <c r="U2025" s="5"/>
      <c r="V2025" s="5"/>
      <c r="W2025" s="5"/>
      <c r="X2025" s="5"/>
      <c r="Y2025" s="5"/>
      <c r="Z2025" s="5" t="s">
        <v>356</v>
      </c>
      <c r="AA2025" s="5"/>
      <c r="AB2025" s="5"/>
      <c r="AC2025" s="47"/>
    </row>
    <row r="2026" hidden="1">
      <c r="A2026" s="76" t="str">
        <f t="array" ref="A2026:A2027">{"FormulaRow11";(INDEX(CLASSLIST,A2005,1))}</f>
        <v>FormulaRow11</v>
      </c>
      <c r="B2026" s="77" t="s">
        <v>236</v>
      </c>
      <c r="C2026" s="76" t="str">
        <f t="array" ref="C2026:C2027">{"CLASSTYPE";((INDEX(ALLCLASSDATA,MATCH("ClassType",CLASSFEATUREHEADERS,0),MATCH($A2027,CLASSNAMEHEADERS,0))))}</f>
        <v>CLASSTYPE</v>
      </c>
      <c r="D2026" s="76" t="str">
        <f t="array" ref="D2026:D2027">{"CLASSABILITYPTS";"ClassAbilityPts"}</f>
        <v>CLASSABILITYPTS</v>
      </c>
      <c r="E2026" s="76" t="str">
        <f t="array" ref="E2026:E2027">{"CLASSABILITY2";"ClassAbility2"}</f>
        <v>CLASSABILITY2</v>
      </c>
      <c r="F2026" s="76"/>
      <c r="G2026" s="76"/>
      <c r="H2026" s="76"/>
      <c r="I2026" s="76"/>
      <c r="J2026" s="76" t="str">
        <f t="array" ref="J2026:J2027">{"CLASSABILITY2-L03PTS";((INDEX(ALLCLASSDATA,MATCH("ClassAbility2-L03",CLASSFEATUREHEADERS,0),MATCH(($A2027 &amp; "Points"),CLASSNAMEHEADERS,0))))}</f>
        <v>CLASSABILITY2-L03PTS</v>
      </c>
      <c r="K2026" s="76"/>
      <c r="L2026" s="76" t="str">
        <f t="array" ref="L2026:L2027">{"CLASSABILITY2-L05PTS";((INDEX(ALLCLASSDATA,MATCH("ClassAbility2-L05",CLASSFEATUREHEADERS,0),MATCH(($A2027 &amp; "Points"),CLASSNAMEHEADERS,0))))}</f>
        <v>CLASSABILITY2-L05PTS</v>
      </c>
      <c r="M2026" s="76"/>
      <c r="N2026" s="76" t="str">
        <f t="array" ref="N2026:N2027">{"CLASSABILITY2-L07PTS";((INDEX(ALLCLASSDATA,MATCH("ClassAbility2-L07",CLASSFEATUREHEADERS,0),MATCH(($A2027 &amp; "Points"),CLASSNAMEHEADERS,0))))}</f>
        <v>CLASSABILITY2-L07PTS</v>
      </c>
      <c r="O2026" s="76"/>
      <c r="P2026" s="76" t="str">
        <f t="array" ref="P2026:P2027">{"CLASSABILITY2-L09PTS";((INDEX(ALLCLASSDATA,MATCH("ClassAbility2-L09",CLASSFEATUREHEADERS,0),MATCH(($A2027 &amp; "Points"),CLASSNAMEHEADERS,0))))}</f>
        <v>CLASSABILITY2-L09PTS</v>
      </c>
      <c r="Q2026" s="76"/>
      <c r="R2026" s="76" t="str">
        <f t="array" ref="R2026:R2027">{"CLASSABILITY2-L11PTS";((INDEX(ALLCLASSDATA,MATCH("ClassAbility2-L11",CLASSFEATUREHEADERS,0),MATCH(($A2027 &amp; "Points"),CLASSNAMEHEADERS,0))))}</f>
        <v>CLASSABILITY2-L11PTS</v>
      </c>
      <c r="S2026" s="76"/>
      <c r="T2026" s="76" t="str">
        <f t="array" ref="T2026:T2027">{"CLASSABILITY2-L13PTS";((INDEX(ALLCLASSDATA,MATCH("ClassAbility2-L13",CLASSFEATUREHEADERS,0),MATCH(($A2027 &amp; "Points"),CLASSNAMEHEADERS,0))))}</f>
        <v>CLASSABILITY2-L13PTS</v>
      </c>
      <c r="U2026" s="76"/>
      <c r="V2026" s="76" t="str">
        <f t="array" ref="V2026:V2027">{"CLASSABILITY2-L15PTS";((INDEX(ALLCLASSDATA,MATCH("ClassAbility2-L15",CLASSFEATUREHEADERS,0),MATCH(($A2027 &amp; "Points"),CLASSNAMEHEADERS,0))))}</f>
        <v>CLASSABILITY2-L15PTS</v>
      </c>
      <c r="W2026" s="76"/>
      <c r="X2026" s="76" t="str">
        <f t="array" ref="X2026:X2027">{"CLASSABILITY2-L17PTS";((INDEX(ALLCLASSDATA,MATCH("ClassAbility2-L17",CLASSFEATUREHEADERS,0),MATCH(($A2027 &amp; "Points"),CLASSNAMEHEADERS,0))))}</f>
        <v>CLASSABILITY2-L17PTS</v>
      </c>
      <c r="Y2026" s="76"/>
      <c r="Z2026" s="76" t="str">
        <f t="array" ref="Z2026:Z2027">{"CLASSABILITY2-L19PTS";((INDEX(ALLCLASSDATA,MATCH("ClassAbility2-L19",CLASSFEATUREHEADERS,0),MATCH(($A2027 &amp; "Points"),CLASSNAMEHEADERS,0))))}</f>
        <v>CLASSABILITY2-L19PTS</v>
      </c>
      <c r="AA2026" s="76"/>
      <c r="AB2026" s="76"/>
      <c r="AC2026" s="76" t="str">
        <f t="array" ref="AC2026:AC2027">{"CLASSABILITY2 TOTAL";(sum(G2027:AA2027))}</f>
        <v>CLASSABILITY2 TOTAL</v>
      </c>
    </row>
    <row r="2027">
      <c r="A2027" s="48" t="s">
        <v>233</v>
      </c>
      <c r="B2027" s="48"/>
      <c r="C2027" s="48" t="s">
        <v>418</v>
      </c>
      <c r="D2027" s="48" t="s">
        <v>930</v>
      </c>
      <c r="E2027" s="48" t="s">
        <v>1007</v>
      </c>
      <c r="F2027" s="48"/>
      <c r="G2027" s="47"/>
      <c r="H2027" s="5"/>
      <c r="I2027" s="5"/>
      <c r="J2027" s="5"/>
      <c r="K2027" s="5"/>
      <c r="L2027" s="5"/>
      <c r="M2027" s="5"/>
      <c r="N2027" s="5"/>
      <c r="O2027" s="5"/>
      <c r="P2027" s="5"/>
      <c r="Q2027" s="5"/>
      <c r="R2027" s="5"/>
      <c r="S2027" s="5"/>
      <c r="T2027" s="5"/>
      <c r="U2027" s="5"/>
      <c r="V2027" s="5"/>
      <c r="W2027" s="5"/>
      <c r="X2027" s="5"/>
      <c r="Y2027" s="5"/>
      <c r="Z2027" s="5"/>
      <c r="AA2027" s="5"/>
      <c r="AB2027" s="5"/>
      <c r="AC2027" s="47">
        <v>0.0</v>
      </c>
    </row>
    <row r="2028" hidden="1">
      <c r="A2028" s="76" t="str">
        <f t="array" ref="A2028:A2029">{"FormulaRow12";(INDEX(CLASSLIST,A2005,1))}</f>
        <v>FormulaRow12</v>
      </c>
      <c r="B2028" s="77" t="s">
        <v>236</v>
      </c>
      <c r="C2028" s="76" t="str">
        <f t="array" ref="C2028:C2029">{"CLASSTYPE";((INDEX(ALLCLASSDATA,MATCH("ClassType",CLASSFEATUREHEADERS,0),MATCH($A2029,CLASSNAMEHEADERS,0))))}</f>
        <v>CLASSTYPE</v>
      </c>
      <c r="D2028" s="76" t="str">
        <f t="array" ref="D2028:D2029">{"CLASSABILITY";"ClassAbility"}</f>
        <v>CLASSABILITY</v>
      </c>
      <c r="E2028" s="76" t="str">
        <f t="array" ref="E2028:E2029">{"CLASSABILITY3";"ClassAbility3"}</f>
        <v>CLASSABILITY3</v>
      </c>
      <c r="F2028" s="76"/>
      <c r="G2028" s="76"/>
      <c r="H2028" s="76"/>
      <c r="I2028" s="76"/>
      <c r="J2028" s="76" t="str">
        <f t="array" ref="J2028:J2029">{"CLASSABILITY3-L03";((INDEX(ALLCLASSDATA,MATCH("ClassAbility3-L03",CLASSFEATUREHEADERS,0),MATCH(($A2029),CLASSNAMEHEADERS,0))))}</f>
        <v>CLASSABILITY3-L03</v>
      </c>
      <c r="K2028" s="76"/>
      <c r="L2028" s="76" t="str">
        <f t="array" ref="L2028:L2029">{"CLASSABILITY3-L05";((INDEX(ALLCLASSDATA,MATCH("ClassAbility3-L05",CLASSFEATUREHEADERS,0),MATCH(($A2029),CLASSNAMEHEADERS,0))))}</f>
        <v>CLASSABILITY3-L05</v>
      </c>
      <c r="M2028" s="76"/>
      <c r="N2028" s="76" t="str">
        <f t="array" ref="N2028:N2029">{"CLASSABILITY3-L07";((INDEX(ALLCLASSDATA,MATCH("ClassAbility3-L07",CLASSFEATUREHEADERS,0),MATCH(($A2029),CLASSNAMEHEADERS,0))))}</f>
        <v>CLASSABILITY3-L07</v>
      </c>
      <c r="O2028" s="76"/>
      <c r="P2028" s="76" t="str">
        <f t="array" ref="P2028:P2029">{"CLASSABILITY3-L09";((INDEX(ALLCLASSDATA,MATCH("ClassAbility3-L09",CLASSFEATUREHEADERS,0),MATCH(($A2029),CLASSNAMEHEADERS,0))))}</f>
        <v>CLASSABILITY3-L09</v>
      </c>
      <c r="Q2028" s="76"/>
      <c r="R2028" s="76" t="str">
        <f t="array" ref="R2028:R2029">{"CLASSABILITY3-L11";((INDEX(ALLCLASSDATA,MATCH("ClassAbility3-L11",CLASSFEATUREHEADERS,0),MATCH(($A2029),CLASSNAMEHEADERS,0))))}</f>
        <v>CLASSABILITY3-L11</v>
      </c>
      <c r="S2028" s="76"/>
      <c r="T2028" s="76" t="str">
        <f t="array" ref="T2028:T2029">{"CLASSABILITY3-L13";((INDEX(ALLCLASSDATA,MATCH("ClassAbility3-L13",CLASSFEATUREHEADERS,0),MATCH(($A2029),CLASSNAMEHEADERS,0))))}</f>
        <v>CLASSABILITY3-L13</v>
      </c>
      <c r="U2028" s="76"/>
      <c r="V2028" s="76" t="str">
        <f t="array" ref="V2028:V2029">{"CLASSABILITY3-L15";((INDEX(ALLCLASSDATA,MATCH("ClassAbility3-L15",CLASSFEATUREHEADERS,0),MATCH(($A2029),CLASSNAMEHEADERS,0))))}</f>
        <v>CLASSABILITY3-L15</v>
      </c>
      <c r="W2028" s="76"/>
      <c r="X2028" s="76" t="str">
        <f t="array" ref="X2028:X2029">{"CLASSABILITY3-L17";((INDEX(ALLCLASSDATA,MATCH("ClassAbility3-L17",CLASSFEATUREHEADERS,0),MATCH(($A2029),CLASSNAMEHEADERS,0))))}</f>
        <v>CLASSABILITY3-L17</v>
      </c>
      <c r="Y2028" s="76"/>
      <c r="Z2028" s="76" t="str">
        <f t="array" ref="Z2028:Z2029">{"CLASSABILITY3-L19";((INDEX(ALLCLASSDATA,MATCH("ClassAbility3-L19",CLASSFEATUREHEADERS,0),MATCH(($A2029),CLASSNAMEHEADERS,0))))}</f>
        <v>CLASSABILITY3-L19</v>
      </c>
      <c r="AA2028" s="76"/>
      <c r="AB2028" s="76"/>
      <c r="AC2028" s="76"/>
    </row>
    <row r="2029">
      <c r="A2029" s="48" t="s">
        <v>233</v>
      </c>
      <c r="B2029" s="48"/>
      <c r="C2029" s="48" t="s">
        <v>418</v>
      </c>
      <c r="D2029" s="48" t="s">
        <v>825</v>
      </c>
      <c r="E2029" s="48" t="s">
        <v>1144</v>
      </c>
      <c r="F2029" s="48"/>
      <c r="G2029" s="47"/>
      <c r="H2029" s="5"/>
      <c r="I2029" s="5"/>
      <c r="J2029" s="5"/>
      <c r="K2029" s="5"/>
      <c r="L2029" s="5"/>
      <c r="M2029" s="5"/>
      <c r="N2029" s="5"/>
      <c r="O2029" s="5"/>
      <c r="P2029" s="5"/>
      <c r="Q2029" s="5"/>
      <c r="R2029" s="5"/>
      <c r="S2029" s="5"/>
      <c r="T2029" s="5"/>
      <c r="U2029" s="5"/>
      <c r="V2029" s="5"/>
      <c r="W2029" s="5"/>
      <c r="X2029" s="5"/>
      <c r="Y2029" s="5"/>
      <c r="Z2029" s="5"/>
      <c r="AA2029" s="5"/>
      <c r="AB2029" s="5"/>
      <c r="AC2029" s="47"/>
    </row>
    <row r="2030" hidden="1">
      <c r="A2030" s="76" t="str">
        <f t="array" ref="A2030:A2031">{"FormulaRow13";(INDEX(CLASSLIST,A2005,1))}</f>
        <v>FormulaRow13</v>
      </c>
      <c r="B2030" s="77" t="s">
        <v>236</v>
      </c>
      <c r="C2030" s="76" t="str">
        <f t="array" ref="C2030:C2031">{"CLASSTYPE";((INDEX(ALLCLASSDATA,MATCH("ClassType",CLASSFEATUREHEADERS,0),MATCH($A2031,CLASSNAMEHEADERS,0))))}</f>
        <v>CLASSTYPE</v>
      </c>
      <c r="D2030" s="76" t="str">
        <f t="array" ref="D2030:D2031">{"CLASSABILITYPTS";"ClassAbilityPts"}</f>
        <v>CLASSABILITYPTS</v>
      </c>
      <c r="E2030" s="76" t="str">
        <f t="array" ref="E2030:E2031">{"CLASSABILITY3";"ClassAbility3"}</f>
        <v>CLASSABILITY3</v>
      </c>
      <c r="F2030" s="76"/>
      <c r="G2030" s="76"/>
      <c r="H2030" s="76"/>
      <c r="I2030" s="76"/>
      <c r="J2030" s="76" t="str">
        <f t="array" ref="J2030:J2031">{"CLASSABILITY3-L03PTS";((INDEX(ALLCLASSDATA,MATCH("ClassAbility3-L03",CLASSFEATUREHEADERS,0),MATCH(($A2031 &amp; "Points"),CLASSNAMEHEADERS,0))))}</f>
        <v>CLASSABILITY3-L03PTS</v>
      </c>
      <c r="K2030" s="76"/>
      <c r="L2030" s="76" t="str">
        <f t="array" ref="L2030:L2031">{"CLASSABILITY3-L05PTS";((INDEX(ALLCLASSDATA,MATCH("ClassAbility3-L05",CLASSFEATUREHEADERS,0),MATCH(($A2031 &amp; "Points"),CLASSNAMEHEADERS,0))))}</f>
        <v>CLASSABILITY3-L05PTS</v>
      </c>
      <c r="M2030" s="76"/>
      <c r="N2030" s="76" t="str">
        <f t="array" ref="N2030:N2031">{"CLASSABILITY3-L07PTS";((INDEX(ALLCLASSDATA,MATCH("ClassAbility3-L07",CLASSFEATUREHEADERS,0),MATCH(($A2031 &amp; "Points"),CLASSNAMEHEADERS,0))))}</f>
        <v>CLASSABILITY3-L07PTS</v>
      </c>
      <c r="O2030" s="76"/>
      <c r="P2030" s="76" t="str">
        <f t="array" ref="P2030:P2031">{"CLASSABILITY3-L09PTS";((INDEX(ALLCLASSDATA,MATCH("ClassAbility3-L09",CLASSFEATUREHEADERS,0),MATCH(($A2031 &amp; "Points"),CLASSNAMEHEADERS,0))))}</f>
        <v>CLASSABILITY3-L09PTS</v>
      </c>
      <c r="Q2030" s="76"/>
      <c r="R2030" s="76" t="str">
        <f t="array" ref="R2030:R2031">{"CLASSABILITY3-L11PTS";((INDEX(ALLCLASSDATA,MATCH("ClassAbility3-L11",CLASSFEATUREHEADERS,0),MATCH(($A2031 &amp; "Points"),CLASSNAMEHEADERS,0))))}</f>
        <v>CLASSABILITY3-L11PTS</v>
      </c>
      <c r="S2030" s="76"/>
      <c r="T2030" s="76" t="str">
        <f t="array" ref="T2030:T2031">{"CLASSABILITY3-L13PTS";((INDEX(ALLCLASSDATA,MATCH("ClassAbility3-L13",CLASSFEATUREHEADERS,0),MATCH(($A2031 &amp; "Points"),CLASSNAMEHEADERS,0))))}</f>
        <v>CLASSABILITY3-L13PTS</v>
      </c>
      <c r="U2030" s="76"/>
      <c r="V2030" s="76" t="str">
        <f t="array" ref="V2030:V2031">{"CLASSABILITY3-L15PTS";((INDEX(ALLCLASSDATA,MATCH("ClassAbility3-L15",CLASSFEATUREHEADERS,0),MATCH(($A2031 &amp; "Points"),CLASSNAMEHEADERS,0))))}</f>
        <v>CLASSABILITY3-L15PTS</v>
      </c>
      <c r="W2030" s="76"/>
      <c r="X2030" s="76" t="str">
        <f t="array" ref="X2030:X2031">{"CLASSABILITY3-L17PTS";((INDEX(ALLCLASSDATA,MATCH("ClassAbility3-L17",CLASSFEATUREHEADERS,0),MATCH(($A2031 &amp; "Points"),CLASSNAMEHEADERS,0))))}</f>
        <v>CLASSABILITY3-L17PTS</v>
      </c>
      <c r="Y2030" s="76"/>
      <c r="Z2030" s="76" t="str">
        <f t="array" ref="Z2030:Z2031">{"CLASSABILITY3-L19PTS";((INDEX(ALLCLASSDATA,MATCH("ClassAbility3-L19",CLASSFEATUREHEADERS,0),MATCH(($A2031 &amp; "Points"),CLASSNAMEHEADERS,0))))}</f>
        <v>CLASSABILITY3-L19PTS</v>
      </c>
      <c r="AA2030" s="76"/>
      <c r="AB2030" s="76"/>
      <c r="AC2030" s="76" t="str">
        <f t="array" ref="AC2030:AC2031">{"CLASSABILITY3 TOTAL";(sum(G2031:AA2031))}</f>
        <v>CLASSABILITY3 TOTAL</v>
      </c>
    </row>
    <row r="2031">
      <c r="A2031" s="48" t="s">
        <v>233</v>
      </c>
      <c r="B2031" s="48"/>
      <c r="C2031" s="48" t="s">
        <v>418</v>
      </c>
      <c r="D2031" s="48" t="s">
        <v>930</v>
      </c>
      <c r="E2031" s="48" t="s">
        <v>1144</v>
      </c>
      <c r="F2031" s="48"/>
      <c r="G2031" s="47"/>
      <c r="H2031" s="5"/>
      <c r="I2031" s="5"/>
      <c r="J2031" s="5"/>
      <c r="K2031" s="5"/>
      <c r="L2031" s="5"/>
      <c r="M2031" s="5"/>
      <c r="N2031" s="5"/>
      <c r="O2031" s="5"/>
      <c r="P2031" s="5"/>
      <c r="Q2031" s="5"/>
      <c r="R2031" s="5"/>
      <c r="S2031" s="5"/>
      <c r="T2031" s="5"/>
      <c r="U2031" s="5"/>
      <c r="V2031" s="5"/>
      <c r="W2031" s="5"/>
      <c r="X2031" s="5"/>
      <c r="Y2031" s="5"/>
      <c r="Z2031" s="5"/>
      <c r="AA2031" s="5"/>
      <c r="AB2031" s="5"/>
      <c r="AC2031" s="47">
        <v>0.0</v>
      </c>
    </row>
    <row r="2032" hidden="1">
      <c r="A2032" s="76" t="str">
        <f t="array" ref="A2032:A2033">{"FormulaRow14";(INDEX(CLASSLIST,A2005,1))}</f>
        <v>FormulaRow14</v>
      </c>
      <c r="B2032" s="77" t="s">
        <v>236</v>
      </c>
      <c r="C2032" s="76" t="str">
        <f t="array" ref="C2032:C2033">{"CLASSTYPE";((INDEX(ALLCLASSDATA,MATCH("ClassType",CLASSFEATUREHEADERS,0),MATCH($A2033,CLASSNAMEHEADERS,0))))}</f>
        <v>CLASSTYPE</v>
      </c>
      <c r="D2032" s="76" t="str">
        <f t="array" ref="D2032:D2033">{"CLASSABILITY";"ClassAbility"}</f>
        <v>CLASSABILITY</v>
      </c>
      <c r="E2032" s="76" t="str">
        <f t="array" ref="E2032:E2033">{"CLASSABILITY4";"ClassAbility4"}</f>
        <v>CLASSABILITY4</v>
      </c>
      <c r="F2032" s="76"/>
      <c r="G2032" s="76"/>
      <c r="H2032" s="76"/>
      <c r="I2032" s="76"/>
      <c r="J2032" s="76" t="str">
        <f t="array" ref="J2032:J2033">{"CLASSABILITY4-L03";((INDEX(ALLCLASSDATA,MATCH("ClassAbility4-L03",CLASSFEATUREHEADERS,0),MATCH(($A2033),CLASSNAMEHEADERS,0))))}</f>
        <v>CLASSABILITY4-L03</v>
      </c>
      <c r="K2032" s="76"/>
      <c r="L2032" s="76" t="str">
        <f t="array" ref="L2032:L2033">{"CLASSABILITY4-L05";((INDEX(ALLCLASSDATA,MATCH("ClassAbility4-L05",CLASSFEATUREHEADERS,0),MATCH(($A2033),CLASSNAMEHEADERS,0))))}</f>
        <v>CLASSABILITY4-L05</v>
      </c>
      <c r="M2032" s="76"/>
      <c r="N2032" s="76" t="str">
        <f t="array" ref="N2032:N2033">{"CLASSABILITY4-L07";((INDEX(ALLCLASSDATA,MATCH("ClassAbility4-L07",CLASSFEATUREHEADERS,0),MATCH(($A2033),CLASSNAMEHEADERS,0))))}</f>
        <v>CLASSABILITY4-L07</v>
      </c>
      <c r="O2032" s="76"/>
      <c r="P2032" s="76" t="str">
        <f t="array" ref="P2032:P2033">{"CLASSABILITY4-L09";((INDEX(ALLCLASSDATA,MATCH("ClassAbility4-L09",CLASSFEATUREHEADERS,0),MATCH(($A2033),CLASSNAMEHEADERS,0))))}</f>
        <v>CLASSABILITY4-L09</v>
      </c>
      <c r="Q2032" s="76"/>
      <c r="R2032" s="76" t="str">
        <f t="array" ref="R2032:R2033">{"CLASSABILITY4-L11";((INDEX(ALLCLASSDATA,MATCH("ClassAbility4-L11",CLASSFEATUREHEADERS,0),MATCH(($A2033),CLASSNAMEHEADERS,0))))}</f>
        <v>CLASSABILITY4-L11</v>
      </c>
      <c r="S2032" s="76"/>
      <c r="T2032" s="76" t="str">
        <f t="array" ref="T2032:T2033">{"CLASSABILITY4-L13";((INDEX(ALLCLASSDATA,MATCH("ClassAbility4-L13",CLASSFEATUREHEADERS,0),MATCH(($A2033),CLASSNAMEHEADERS,0))))}</f>
        <v>CLASSABILITY4-L13</v>
      </c>
      <c r="U2032" s="76"/>
      <c r="V2032" s="76" t="str">
        <f t="array" ref="V2032:V2033">{"CLASSABILITY4-L15";((INDEX(ALLCLASSDATA,MATCH("ClassAbility4-L15",CLASSFEATUREHEADERS,0),MATCH(($A2033),CLASSNAMEHEADERS,0))))}</f>
        <v>CLASSABILITY4-L15</v>
      </c>
      <c r="W2032" s="76"/>
      <c r="X2032" s="76" t="str">
        <f t="array" ref="X2032:X2033">{"CLASSABILITY4-L17";((INDEX(ALLCLASSDATA,MATCH("ClassAbility4-L17",CLASSFEATUREHEADERS,0),MATCH(($A2033),CLASSNAMEHEADERS,0))))}</f>
        <v>CLASSABILITY4-L17</v>
      </c>
      <c r="Y2032" s="76"/>
      <c r="Z2032" s="76" t="str">
        <f t="array" ref="Z2032:Z2033">{"CLASSABILITY4-L19";((INDEX(ALLCLASSDATA,MATCH("ClassAbility4-L19",CLASSFEATUREHEADERS,0),MATCH(($A2033),CLASSNAMEHEADERS,0))))}</f>
        <v>CLASSABILITY4-L19</v>
      </c>
      <c r="AA2032" s="76"/>
      <c r="AB2032" s="76"/>
      <c r="AC2032" s="76"/>
    </row>
    <row r="2033">
      <c r="A2033" s="48" t="s">
        <v>233</v>
      </c>
      <c r="B2033" s="48"/>
      <c r="C2033" s="48" t="s">
        <v>418</v>
      </c>
      <c r="D2033" s="48" t="s">
        <v>825</v>
      </c>
      <c r="E2033" s="48" t="s">
        <v>1273</v>
      </c>
      <c r="F2033" s="48"/>
      <c r="G2033" s="47"/>
      <c r="H2033" s="5"/>
      <c r="I2033" s="5"/>
      <c r="J2033" s="5"/>
      <c r="K2033" s="5"/>
      <c r="L2033" s="5"/>
      <c r="M2033" s="5"/>
      <c r="N2033" s="5"/>
      <c r="O2033" s="5"/>
      <c r="P2033" s="5"/>
      <c r="Q2033" s="5"/>
      <c r="R2033" s="5"/>
      <c r="S2033" s="5"/>
      <c r="T2033" s="5"/>
      <c r="U2033" s="5"/>
      <c r="V2033" s="5"/>
      <c r="W2033" s="5"/>
      <c r="X2033" s="5"/>
      <c r="Y2033" s="5"/>
      <c r="Z2033" s="5"/>
      <c r="AA2033" s="5"/>
      <c r="AB2033" s="5"/>
      <c r="AC2033" s="47"/>
    </row>
    <row r="2034" hidden="1">
      <c r="A2034" s="76" t="str">
        <f t="array" ref="A2034:A2035">{"FormulaRow15";(INDEX(CLASSLIST,A2005,1))}</f>
        <v>FormulaRow15</v>
      </c>
      <c r="B2034" s="77" t="s">
        <v>236</v>
      </c>
      <c r="C2034" s="76" t="str">
        <f t="array" ref="C2034:C2035">{"CLASSTYPE";((INDEX(ALLCLASSDATA,MATCH("ClassType",CLASSFEATUREHEADERS,0),MATCH($A2035,CLASSNAMEHEADERS,0))))}</f>
        <v>CLASSTYPE</v>
      </c>
      <c r="D2034" s="76" t="str">
        <f t="array" ref="D2034:D2035">{"CLASSABILITYPTS";"ClassAbilityPts"}</f>
        <v>CLASSABILITYPTS</v>
      </c>
      <c r="E2034" s="76" t="str">
        <f t="array" ref="E2034:E2035">{"CLASSABILITY4";"ClassAbility4"}</f>
        <v>CLASSABILITY4</v>
      </c>
      <c r="F2034" s="76"/>
      <c r="G2034" s="76"/>
      <c r="H2034" s="76"/>
      <c r="I2034" s="76"/>
      <c r="J2034" s="76" t="str">
        <f t="array" ref="J2034:J2035">{"CLASSABILITY4-L03PTS";((INDEX(ALLCLASSDATA,MATCH("ClassAbility4-L03",CLASSFEATUREHEADERS,0),MATCH(($A2035 &amp; "Points"),CLASSNAMEHEADERS,0))))}</f>
        <v>CLASSABILITY4-L03PTS</v>
      </c>
      <c r="K2034" s="76"/>
      <c r="L2034" s="76" t="str">
        <f t="array" ref="L2034:L2035">{"CLASSABILITY4-L05PTS";((INDEX(ALLCLASSDATA,MATCH("ClassAbility4-L05",CLASSFEATUREHEADERS,0),MATCH(($A2035 &amp; "Points"),CLASSNAMEHEADERS,0))))}</f>
        <v>CLASSABILITY4-L05PTS</v>
      </c>
      <c r="M2034" s="76"/>
      <c r="N2034" s="76" t="str">
        <f t="array" ref="N2034:N2035">{"CLASSABILITY4-L07PTS";((INDEX(ALLCLASSDATA,MATCH("ClassAbility4-L07",CLASSFEATUREHEADERS,0),MATCH(($A2035 &amp; "Points"),CLASSNAMEHEADERS,0))))}</f>
        <v>CLASSABILITY4-L07PTS</v>
      </c>
      <c r="O2034" s="76"/>
      <c r="P2034" s="76" t="str">
        <f t="array" ref="P2034:P2035">{"CLASSABILITY4-L09PTS";((INDEX(ALLCLASSDATA,MATCH("ClassAbility4-L09",CLASSFEATUREHEADERS,0),MATCH(($A2035 &amp; "Points"),CLASSNAMEHEADERS,0))))}</f>
        <v>CLASSABILITY4-L09PTS</v>
      </c>
      <c r="Q2034" s="76"/>
      <c r="R2034" s="76" t="str">
        <f t="array" ref="R2034:R2035">{"CLASSABILITY4-L11PTS";((INDEX(ALLCLASSDATA,MATCH("ClassAbility4-L11",CLASSFEATUREHEADERS,0),MATCH(($A2035 &amp; "Points"),CLASSNAMEHEADERS,0))))}</f>
        <v>CLASSABILITY4-L11PTS</v>
      </c>
      <c r="S2034" s="76"/>
      <c r="T2034" s="76" t="str">
        <f t="array" ref="T2034:T2035">{"CLASSABILITY4-L13PTS";((INDEX(ALLCLASSDATA,MATCH("ClassAbility4-L13",CLASSFEATUREHEADERS,0),MATCH(($A2035 &amp; "Points"),CLASSNAMEHEADERS,0))))}</f>
        <v>CLASSABILITY4-L13PTS</v>
      </c>
      <c r="U2034" s="76"/>
      <c r="V2034" s="76" t="str">
        <f t="array" ref="V2034:V2035">{"CLASSABILITY4-L15PTS";((INDEX(ALLCLASSDATA,MATCH("ClassAbility4-L15",CLASSFEATUREHEADERS,0),MATCH(($A2035 &amp; "Points"),CLASSNAMEHEADERS,0))))}</f>
        <v>CLASSABILITY4-L15PTS</v>
      </c>
      <c r="W2034" s="76"/>
      <c r="X2034" s="76" t="str">
        <f t="array" ref="X2034:X2035">{"CLASSABILITY4-L17PTS";((INDEX(ALLCLASSDATA,MATCH("ClassAbility4-L17",CLASSFEATUREHEADERS,0),MATCH(($A2035 &amp; "Points"),CLASSNAMEHEADERS,0))))}</f>
        <v>CLASSABILITY4-L17PTS</v>
      </c>
      <c r="Y2034" s="76"/>
      <c r="Z2034" s="76" t="str">
        <f t="array" ref="Z2034:Z2035">{"CLASSABILITY4-L19PTS";((INDEX(ALLCLASSDATA,MATCH("ClassAbility4-L19",CLASSFEATUREHEADERS,0),MATCH(($A2035 &amp; "Points"),CLASSNAMEHEADERS,0))))}</f>
        <v>CLASSABILITY4-L19PTS</v>
      </c>
      <c r="AA2034" s="76"/>
      <c r="AB2034" s="76"/>
      <c r="AC2034" s="76" t="str">
        <f t="array" ref="AC2034:AC2035">{"CLASSABILITY4 TOTAL";(sum(G2035:AA2035))}</f>
        <v>CLASSABILITY4 TOTAL</v>
      </c>
    </row>
    <row r="2035">
      <c r="A2035" s="48" t="s">
        <v>233</v>
      </c>
      <c r="B2035" s="48"/>
      <c r="C2035" s="48" t="s">
        <v>418</v>
      </c>
      <c r="D2035" s="48" t="s">
        <v>930</v>
      </c>
      <c r="E2035" s="48" t="s">
        <v>1273</v>
      </c>
      <c r="F2035" s="48"/>
      <c r="G2035" s="47"/>
      <c r="H2035" s="5"/>
      <c r="I2035" s="5"/>
      <c r="J2035" s="5"/>
      <c r="K2035" s="5"/>
      <c r="L2035" s="5"/>
      <c r="M2035" s="5"/>
      <c r="N2035" s="5"/>
      <c r="O2035" s="5"/>
      <c r="P2035" s="5"/>
      <c r="Q2035" s="5"/>
      <c r="R2035" s="5"/>
      <c r="S2035" s="5"/>
      <c r="T2035" s="5"/>
      <c r="U2035" s="5"/>
      <c r="V2035" s="5"/>
      <c r="W2035" s="5"/>
      <c r="X2035" s="5"/>
      <c r="Y2035" s="5"/>
      <c r="Z2035" s="5"/>
      <c r="AA2035" s="5"/>
      <c r="AB2035" s="5"/>
      <c r="AC2035" s="47">
        <v>0.0</v>
      </c>
    </row>
    <row r="2036" hidden="1">
      <c r="A2036" s="76" t="str">
        <f t="array" ref="A2036:A2037">{"FormulaRow16";(INDEX(CLASSLIST,A2005,1))}</f>
        <v>FormulaRow16</v>
      </c>
      <c r="B2036" s="77" t="s">
        <v>236</v>
      </c>
      <c r="C2036" s="76" t="str">
        <f t="array" ref="C2036:C2037">{"CLASSTYPE";((INDEX(ALLCLASSDATA,MATCH("ClassType",CLASSFEATUREHEADERS,0),MATCH($A2037,CLASSNAMEHEADERS,0))))}</f>
        <v>CLASSTYPE</v>
      </c>
      <c r="D2036" s="76" t="str">
        <f t="array" ref="D2036:D2037">{"CLASSABILITY";"ClassAbility"}</f>
        <v>CLASSABILITY</v>
      </c>
      <c r="E2036" s="76" t="str">
        <f t="array" ref="E2036:E2037">{"SUBCLASSABILITY1";"SubclassAbility1"}</f>
        <v>SUBCLASSABILITY1</v>
      </c>
      <c r="F2036" s="76"/>
      <c r="G2036" s="76"/>
      <c r="H2036" s="76"/>
      <c r="I2036" s="76"/>
      <c r="J2036" s="76" t="str">
        <f t="array" ref="J2036:J2037">{"SUBCLASSABILITY1-L03";((INDEX(ALLCLASSDATA,MATCH("SubclassAbility1-L03",CLASSFEATUREHEADERS,0),MATCH(($A2037),CLASSNAMEHEADERS,0))))}</f>
        <v>SUBCLASSABILITY1-L03</v>
      </c>
      <c r="K2036" s="76"/>
      <c r="L2036" s="76" t="str">
        <f t="array" ref="L2036:L2037">{"SUBCLASSABILITY1-L05";((INDEX(ALLCLASSDATA,MATCH("SubclassAbility1-L05",CLASSFEATUREHEADERS,0),MATCH(($A2037),CLASSNAMEHEADERS,0))))}</f>
        <v>SUBCLASSABILITY1-L05</v>
      </c>
      <c r="M2036" s="76"/>
      <c r="N2036" s="76" t="str">
        <f t="array" ref="N2036:N2037">{"SUBCLASSABILITY1-L07";((INDEX(ALLCLASSDATA,MATCH("SubclassAbility1-L07",CLASSFEATUREHEADERS,0),MATCH(($A2037),CLASSNAMEHEADERS,0))))}</f>
        <v>SUBCLASSABILITY1-L07</v>
      </c>
      <c r="O2036" s="76"/>
      <c r="P2036" s="76" t="str">
        <f t="array" ref="P2036:P2037">{"SUBCLASSABILITY1-L09";((INDEX(ALLCLASSDATA,MATCH("SubclassAbility1-L09",CLASSFEATUREHEADERS,0),MATCH(($A2037),CLASSNAMEHEADERS,0))))}</f>
        <v>SUBCLASSABILITY1-L09</v>
      </c>
      <c r="Q2036" s="76"/>
      <c r="R2036" s="76" t="str">
        <f t="array" ref="R2036:R2037">{"SUBCLASSABILITY1-L11";((INDEX(ALLCLASSDATA,MATCH("SubclassAbility1-L11",CLASSFEATUREHEADERS,0),MATCH(($A2037),CLASSNAMEHEADERS,0))))}</f>
        <v>SUBCLASSABILITY1-L11</v>
      </c>
      <c r="S2036" s="76"/>
      <c r="T2036" s="76" t="str">
        <f t="array" ref="T2036:T2037">{"SUBCLASSABILITY1-L13";((INDEX(ALLCLASSDATA,MATCH("SubclassAbility1-L13",CLASSFEATUREHEADERS,0),MATCH(($A2037),CLASSNAMEHEADERS,0))))}</f>
        <v>SUBCLASSABILITY1-L13</v>
      </c>
      <c r="U2036" s="76"/>
      <c r="V2036" s="76" t="str">
        <f t="array" ref="V2036:V2037">{"SUBCLASSABILITY1-L15";((INDEX(ALLCLASSDATA,MATCH("SubclassAbility1-L15",CLASSFEATUREHEADERS,0),MATCH(($A2037),CLASSNAMEHEADERS,0))))}</f>
        <v>SUBCLASSABILITY1-L15</v>
      </c>
      <c r="W2036" s="76"/>
      <c r="X2036" s="76" t="str">
        <f t="array" ref="X2036:X2037">{"SUBCLASSABILITY1-L17";((INDEX(ALLCLASSDATA,MATCH("SubclassAbility1-L17",CLASSFEATUREHEADERS,0),MATCH(($A2037),CLASSNAMEHEADERS,0))))}</f>
        <v>SUBCLASSABILITY1-L17</v>
      </c>
      <c r="Y2036" s="76"/>
      <c r="Z2036" s="76" t="str">
        <f t="array" ref="Z2036:Z2037">{"SUBCLASSABILITY1-L19";((INDEX(ALLCLASSDATA,MATCH("SubclassAbility1-L19",CLASSFEATUREHEADERS,0),MATCH(($A2037),CLASSNAMEHEADERS,0))))}</f>
        <v>SUBCLASSABILITY1-L19</v>
      </c>
      <c r="AA2036" s="76"/>
      <c r="AB2036" s="76"/>
      <c r="AC2036" s="76"/>
    </row>
    <row r="2037">
      <c r="A2037" s="48" t="s">
        <v>233</v>
      </c>
      <c r="B2037" s="48"/>
      <c r="C2037" s="48" t="s">
        <v>418</v>
      </c>
      <c r="D2037" s="48" t="s">
        <v>825</v>
      </c>
      <c r="E2037" s="28" t="s">
        <v>1355</v>
      </c>
      <c r="F2037" s="5"/>
      <c r="G2037" s="47"/>
      <c r="H2037" s="5"/>
      <c r="I2037" s="5"/>
      <c r="J2037" s="5"/>
      <c r="K2037" s="5"/>
      <c r="L2037" s="5"/>
      <c r="M2037" s="5"/>
      <c r="N2037" s="5"/>
      <c r="O2037" s="5"/>
      <c r="P2037" s="5"/>
      <c r="Q2037" s="5"/>
      <c r="R2037" s="5"/>
      <c r="S2037" s="5"/>
      <c r="T2037" s="5"/>
      <c r="U2037" s="5"/>
      <c r="V2037" s="5"/>
      <c r="W2037" s="5"/>
      <c r="X2037" s="5"/>
      <c r="Y2037" s="5"/>
      <c r="Z2037" s="5"/>
      <c r="AA2037" s="5"/>
      <c r="AB2037" s="5"/>
      <c r="AC2037" s="47"/>
    </row>
    <row r="2038" hidden="1">
      <c r="A2038" s="76" t="str">
        <f t="array" ref="A2038:A2039">{"FormulaRow17";(INDEX(CLASSLIST,A2005,1))}</f>
        <v>FormulaRow17</v>
      </c>
      <c r="B2038" s="77" t="s">
        <v>236</v>
      </c>
      <c r="C2038" s="76" t="str">
        <f t="array" ref="C2038:C2039">{"CLASSTYPE";((INDEX(ALLCLASSDATA,MATCH("ClassType",CLASSFEATUREHEADERS,0),MATCH($A2039,CLASSNAMEHEADERS,0))))}</f>
        <v>CLASSTYPE</v>
      </c>
      <c r="D2038" s="76" t="str">
        <f t="array" ref="D2038:D2039">{"CLASSABILITYPTS";"ClassAbilityPts"}</f>
        <v>CLASSABILITYPTS</v>
      </c>
      <c r="E2038" s="76" t="str">
        <f t="array" ref="E2038:E2039">{"SUBCLASSABILITY1";"SubclassAbility1"}</f>
        <v>SUBCLASSABILITY1</v>
      </c>
      <c r="F2038" s="76"/>
      <c r="G2038" s="76"/>
      <c r="H2038" s="76"/>
      <c r="I2038" s="76"/>
      <c r="J2038" s="76" t="str">
        <f t="array" ref="J2038:J2039">{"SUBCLASSABILITY1-L03PTS";((INDEX(ALLCLASSDATA,MATCH("SubclassAbility1-L03",CLASSFEATUREHEADERS,0),MATCH(($A2039 &amp; "Points"),CLASSNAMEHEADERS,0))))}</f>
        <v>SUBCLASSABILITY1-L03PTS</v>
      </c>
      <c r="K2038" s="76"/>
      <c r="L2038" s="76" t="str">
        <f t="array" ref="L2038:L2039">{"SUBCLASSABILITY1-L05PTS";((INDEX(ALLCLASSDATA,MATCH("SubclassAbility1-L05",CLASSFEATUREHEADERS,0),MATCH(($A2039 &amp; "Points"),CLASSNAMEHEADERS,0))))}</f>
        <v>SUBCLASSABILITY1-L05PTS</v>
      </c>
      <c r="M2038" s="76"/>
      <c r="N2038" s="76" t="str">
        <f t="array" ref="N2038:N2039">{"SUBCLASSABILITY1-L07PTS";((INDEX(ALLCLASSDATA,MATCH("SubclassAbility1-L07",CLASSFEATUREHEADERS,0),MATCH(($A2039 &amp; "Points"),CLASSNAMEHEADERS,0))))}</f>
        <v>SUBCLASSABILITY1-L07PTS</v>
      </c>
      <c r="O2038" s="76"/>
      <c r="P2038" s="76" t="str">
        <f t="array" ref="P2038:P2039">{"SUBCLASSABILITY1-L09PTS";((INDEX(ALLCLASSDATA,MATCH("SubclassAbility1-L09",CLASSFEATUREHEADERS,0),MATCH(($A2039 &amp; "Points"),CLASSNAMEHEADERS,0))))}</f>
        <v>SUBCLASSABILITY1-L09PTS</v>
      </c>
      <c r="Q2038" s="76"/>
      <c r="R2038" s="76" t="str">
        <f t="array" ref="R2038:R2039">{"SUBCLASSABILITY1-L11PTS";((INDEX(ALLCLASSDATA,MATCH("SubclassAbility1-L11",CLASSFEATUREHEADERS,0),MATCH(($A2039 &amp; "Points"),CLASSNAMEHEADERS,0))))}</f>
        <v>SUBCLASSABILITY1-L11PTS</v>
      </c>
      <c r="S2038" s="76"/>
      <c r="T2038" s="76" t="str">
        <f t="array" ref="T2038:T2039">{"SUBCLASSABILITY1-L13PTS";((INDEX(ALLCLASSDATA,MATCH("SubclassAbility1-L13",CLASSFEATUREHEADERS,0),MATCH(($A2039 &amp; "Points"),CLASSNAMEHEADERS,0))))}</f>
        <v>SUBCLASSABILITY1-L13PTS</v>
      </c>
      <c r="U2038" s="76"/>
      <c r="V2038" s="76" t="str">
        <f t="array" ref="V2038:V2039">{"SUBCLASSABILITY1-L15PTS";((INDEX(ALLCLASSDATA,MATCH("SubclassAbility1-L15",CLASSFEATUREHEADERS,0),MATCH(($A2039 &amp; "Points"),CLASSNAMEHEADERS,0))))}</f>
        <v>SUBCLASSABILITY1-L15PTS</v>
      </c>
      <c r="W2038" s="76"/>
      <c r="X2038" s="76" t="str">
        <f t="array" ref="X2038:X2039">{"SUBCLASSABILITY1-L17PTS";((INDEX(ALLCLASSDATA,MATCH("SubclassAbility1-L17",CLASSFEATUREHEADERS,0),MATCH(($A2039 &amp; "Points"),CLASSNAMEHEADERS,0))))}</f>
        <v>SUBCLASSABILITY1-L17PTS</v>
      </c>
      <c r="Y2038" s="76"/>
      <c r="Z2038" s="76" t="str">
        <f t="array" ref="Z2038:Z2039">{"SUBCLASSABILITY1-L19PTS";((INDEX(ALLCLASSDATA,MATCH("SubclassAbility1-L19",CLASSFEATUREHEADERS,0),MATCH(($A2039 &amp; "Points"),CLASSNAMEHEADERS,0))))}</f>
        <v>SUBCLASSABILITY1-L19PTS</v>
      </c>
      <c r="AA2038" s="76"/>
      <c r="AB2038" s="76"/>
      <c r="AC2038" s="76" t="str">
        <f t="array" ref="AC2038:AC2039">{"SUBCLASSABILITY1 TOTAL";(sum(G2039:AA2039))}</f>
        <v>SUBCLASSABILITY1 TOTAL</v>
      </c>
    </row>
    <row r="2039">
      <c r="A2039" s="48" t="s">
        <v>233</v>
      </c>
      <c r="B2039" s="48"/>
      <c r="C2039" s="48" t="s">
        <v>418</v>
      </c>
      <c r="D2039" s="48" t="s">
        <v>930</v>
      </c>
      <c r="E2039" s="28" t="s">
        <v>1355</v>
      </c>
      <c r="F2039" s="5"/>
      <c r="G2039" s="47"/>
      <c r="H2039" s="5"/>
      <c r="I2039" s="5"/>
      <c r="J2039" s="5"/>
      <c r="K2039" s="5"/>
      <c r="L2039" s="5"/>
      <c r="M2039" s="5"/>
      <c r="N2039" s="5"/>
      <c r="O2039" s="5"/>
      <c r="P2039" s="5"/>
      <c r="Q2039" s="5"/>
      <c r="R2039" s="5"/>
      <c r="S2039" s="5"/>
      <c r="T2039" s="5"/>
      <c r="U2039" s="5"/>
      <c r="V2039" s="5"/>
      <c r="W2039" s="5"/>
      <c r="X2039" s="5"/>
      <c r="Y2039" s="5"/>
      <c r="Z2039" s="5"/>
      <c r="AA2039" s="5"/>
      <c r="AB2039" s="5"/>
      <c r="AC2039" s="47">
        <v>0.0</v>
      </c>
    </row>
    <row r="2040" hidden="1">
      <c r="A2040" s="76" t="str">
        <f t="array" ref="A2040:A2041">{"FormulaRow18";(INDEX(CLASSLIST,A2005,1))}</f>
        <v>FormulaRow18</v>
      </c>
      <c r="B2040" s="77" t="s">
        <v>236</v>
      </c>
      <c r="C2040" s="76" t="str">
        <f t="array" ref="C2040:C2041">{"CLASSTYPE";((INDEX(ALLCLASSDATA,MATCH("ClassType",CLASSFEATUREHEADERS,0),MATCH($A2041,CLASSNAMEHEADERS,0))))}</f>
        <v>CLASSTYPE</v>
      </c>
      <c r="D2040" s="76" t="str">
        <f t="array" ref="D2040:D2041">{"CLASSABILITY";"ClassAbility"}</f>
        <v>CLASSABILITY</v>
      </c>
      <c r="E2040" s="76" t="str">
        <f t="array" ref="E2040:E2041">{"SUBCLASSABILITY2";"SubclassAbility2"}</f>
        <v>SUBCLASSABILITY2</v>
      </c>
      <c r="F2040" s="76"/>
      <c r="G2040" s="76"/>
      <c r="H2040" s="76"/>
      <c r="I2040" s="76"/>
      <c r="J2040" s="76" t="str">
        <f t="array" ref="J2040:J2041">{"SUBCLASSABILITY2-L03";((INDEX(ALLCLASSDATA,MATCH("SubclassAbility2-L03",CLASSFEATUREHEADERS,0),MATCH(($A2041),CLASSNAMEHEADERS,0))))}</f>
        <v>SUBCLASSABILITY2-L03</v>
      </c>
      <c r="K2040" s="76"/>
      <c r="L2040" s="76" t="str">
        <f t="array" ref="L2040:L2041">{"SUBCLASSABILITY2-L05";((INDEX(ALLCLASSDATA,MATCH("SubclassAbility2-L05",CLASSFEATUREHEADERS,0),MATCH(($A2041),CLASSNAMEHEADERS,0))))}</f>
        <v>SUBCLASSABILITY2-L05</v>
      </c>
      <c r="M2040" s="76"/>
      <c r="N2040" s="76" t="str">
        <f t="array" ref="N2040:N2041">{"SUBCLASSABILITY2-L07";((INDEX(ALLCLASSDATA,MATCH("SubclassAbility2-L07",CLASSFEATUREHEADERS,0),MATCH(($A2041),CLASSNAMEHEADERS,0))))}</f>
        <v>SUBCLASSABILITY2-L07</v>
      </c>
      <c r="O2040" s="76"/>
      <c r="P2040" s="76" t="str">
        <f t="array" ref="P2040:P2041">{"SUBCLASSABILITY2-L09";((INDEX(ALLCLASSDATA,MATCH("SubclassAbility2-L09",CLASSFEATUREHEADERS,0),MATCH(($A2041),CLASSNAMEHEADERS,0))))}</f>
        <v>SUBCLASSABILITY2-L09</v>
      </c>
      <c r="Q2040" s="76"/>
      <c r="R2040" s="76" t="str">
        <f t="array" ref="R2040:R2041">{"SUBCLASSABILITY2-L11";((INDEX(ALLCLASSDATA,MATCH("SubclassAbility2-L11",CLASSFEATUREHEADERS,0),MATCH(($A2041),CLASSNAMEHEADERS,0))))}</f>
        <v>SUBCLASSABILITY2-L11</v>
      </c>
      <c r="S2040" s="76"/>
      <c r="T2040" s="76" t="str">
        <f t="array" ref="T2040:T2041">{"SUBCLASSABILITY2-L13";((INDEX(ALLCLASSDATA,MATCH("SubclassAbility2-L13",CLASSFEATUREHEADERS,0),MATCH(($A2041),CLASSNAMEHEADERS,0))))}</f>
        <v>SUBCLASSABILITY2-L13</v>
      </c>
      <c r="U2040" s="76"/>
      <c r="V2040" s="76" t="str">
        <f t="array" ref="V2040:V2041">{"SUBCLASSABILITY2-L15";((INDEX(ALLCLASSDATA,MATCH("SubclassAbility2-L15",CLASSFEATUREHEADERS,0),MATCH(($A2041),CLASSNAMEHEADERS,0))))}</f>
        <v>SUBCLASSABILITY2-L15</v>
      </c>
      <c r="W2040" s="76"/>
      <c r="X2040" s="76" t="str">
        <f t="array" ref="X2040:X2041">{"SUBCLASSABILITY2-L17";((INDEX(ALLCLASSDATA,MATCH("SubclassAbility2-L17",CLASSFEATUREHEADERS,0),MATCH(($A2041),CLASSNAMEHEADERS,0))))}</f>
        <v>SUBCLASSABILITY2-L17</v>
      </c>
      <c r="Y2040" s="76"/>
      <c r="Z2040" s="76" t="str">
        <f t="array" ref="Z2040:Z2041">{"SUBCLASSABILITY2-L19";((INDEX(ALLCLASSDATA,MATCH("SubclassAbility2-L19",CLASSFEATUREHEADERS,0),MATCH(($A2041),CLASSNAMEHEADERS,0))))}</f>
        <v>SUBCLASSABILITY2-L19</v>
      </c>
      <c r="AA2040" s="76"/>
      <c r="AB2040" s="76"/>
      <c r="AC2040" s="76"/>
    </row>
    <row r="2041">
      <c r="A2041" s="48" t="s">
        <v>233</v>
      </c>
      <c r="B2041" s="48"/>
      <c r="C2041" s="48" t="s">
        <v>418</v>
      </c>
      <c r="D2041" s="48" t="s">
        <v>825</v>
      </c>
      <c r="E2041" s="28" t="s">
        <v>1370</v>
      </c>
      <c r="F2041" s="5"/>
      <c r="G2041" s="47"/>
      <c r="H2041" s="5"/>
      <c r="I2041" s="5"/>
      <c r="J2041" s="5"/>
      <c r="K2041" s="5"/>
      <c r="L2041" s="5"/>
      <c r="M2041" s="5"/>
      <c r="N2041" s="5"/>
      <c r="O2041" s="5"/>
      <c r="P2041" s="5"/>
      <c r="Q2041" s="5"/>
      <c r="R2041" s="5"/>
      <c r="S2041" s="5"/>
      <c r="T2041" s="5"/>
      <c r="U2041" s="5"/>
      <c r="V2041" s="5"/>
      <c r="W2041" s="5"/>
      <c r="X2041" s="5"/>
      <c r="Y2041" s="5"/>
      <c r="Z2041" s="5"/>
      <c r="AA2041" s="5"/>
      <c r="AB2041" s="5"/>
      <c r="AC2041" s="47"/>
    </row>
    <row r="2042" hidden="1">
      <c r="A2042" s="76" t="str">
        <f t="array" ref="A2042:A2043">{"FormulaRow19";(INDEX(CLASSLIST,A2005,1))}</f>
        <v>FormulaRow19</v>
      </c>
      <c r="B2042" s="77" t="s">
        <v>236</v>
      </c>
      <c r="C2042" s="76" t="str">
        <f t="array" ref="C2042:C2043">{"CLASSTYPE";((INDEX(ALLCLASSDATA,MATCH("ClassType",CLASSFEATUREHEADERS,0),MATCH($A2043,CLASSNAMEHEADERS,0))))}</f>
        <v>CLASSTYPE</v>
      </c>
      <c r="D2042" s="76" t="str">
        <f t="array" ref="D2042:D2043">{"CLASSABILITYPTS";"ClassAbilityPts"}</f>
        <v>CLASSABILITYPTS</v>
      </c>
      <c r="E2042" s="76" t="str">
        <f t="array" ref="E2042:E2043">{"SUBCLASSABILITY2";"SubclassAbility2"}</f>
        <v>SUBCLASSABILITY2</v>
      </c>
      <c r="F2042" s="76"/>
      <c r="G2042" s="76"/>
      <c r="H2042" s="76"/>
      <c r="I2042" s="76"/>
      <c r="J2042" s="76" t="str">
        <f t="array" ref="J2042:J2043">{"SUBCLASSABILITY2-L03PTS";((INDEX(ALLCLASSDATA,MATCH("SubclassAbility2-L03",CLASSFEATUREHEADERS,0),MATCH(($A2043 &amp; "Points"),CLASSNAMEHEADERS,0))))}</f>
        <v>SUBCLASSABILITY2-L03PTS</v>
      </c>
      <c r="K2042" s="76"/>
      <c r="L2042" s="76" t="str">
        <f t="array" ref="L2042:L2043">{"SUBCLASSABILITY2-L05PTS";((INDEX(ALLCLASSDATA,MATCH("SubclassAbility2-L05",CLASSFEATUREHEADERS,0),MATCH(($A2043 &amp; "Points"),CLASSNAMEHEADERS,0))))}</f>
        <v>SUBCLASSABILITY2-L05PTS</v>
      </c>
      <c r="M2042" s="76"/>
      <c r="N2042" s="76" t="str">
        <f t="array" ref="N2042:N2043">{"SUBCLASSABILITY2-L07PTS";((INDEX(ALLCLASSDATA,MATCH("SubclassAbility2-L07",CLASSFEATUREHEADERS,0),MATCH(($A2043 &amp; "Points"),CLASSNAMEHEADERS,0))))}</f>
        <v>SUBCLASSABILITY2-L07PTS</v>
      </c>
      <c r="O2042" s="76"/>
      <c r="P2042" s="76" t="str">
        <f t="array" ref="P2042:P2043">{"SUBCLASSABILITY2-L09PTS";((INDEX(ALLCLASSDATA,MATCH("SubclassAbility2-L09",CLASSFEATUREHEADERS,0),MATCH(($A2043 &amp; "Points"),CLASSNAMEHEADERS,0))))}</f>
        <v>SUBCLASSABILITY2-L09PTS</v>
      </c>
      <c r="Q2042" s="76"/>
      <c r="R2042" s="76" t="str">
        <f t="array" ref="R2042:R2043">{"SUBCLASSABILITY2-L11PTS";((INDEX(ALLCLASSDATA,MATCH("SubclassAbility2-L11",CLASSFEATUREHEADERS,0),MATCH(($A2043 &amp; "Points"),CLASSNAMEHEADERS,0))))}</f>
        <v>SUBCLASSABILITY2-L11PTS</v>
      </c>
      <c r="S2042" s="76"/>
      <c r="T2042" s="76" t="str">
        <f t="array" ref="T2042:T2043">{"SUBCLASSABILITY2-L13PTS";((INDEX(ALLCLASSDATA,MATCH("SubclassAbility2-L13",CLASSFEATUREHEADERS,0),MATCH(($A2043 &amp; "Points"),CLASSNAMEHEADERS,0))))}</f>
        <v>SUBCLASSABILITY2-L13PTS</v>
      </c>
      <c r="U2042" s="76"/>
      <c r="V2042" s="76" t="str">
        <f t="array" ref="V2042:V2043">{"SUBCLASSABILITY2-L15PTS";((INDEX(ALLCLASSDATA,MATCH("SubclassAbility2-L15",CLASSFEATUREHEADERS,0),MATCH(($A2043 &amp; "Points"),CLASSNAMEHEADERS,0))))}</f>
        <v>SUBCLASSABILITY2-L15PTS</v>
      </c>
      <c r="W2042" s="76"/>
      <c r="X2042" s="76" t="str">
        <f t="array" ref="X2042:X2043">{"SUBCLASSABILITY2-L17PTS";((INDEX(ALLCLASSDATA,MATCH("SubclassAbility2-L17",CLASSFEATUREHEADERS,0),MATCH(($A2043 &amp; "Points"),CLASSNAMEHEADERS,0))))}</f>
        <v>SUBCLASSABILITY2-L17PTS</v>
      </c>
      <c r="Y2042" s="76"/>
      <c r="Z2042" s="76" t="str">
        <f t="array" ref="Z2042:Z2043">{"SUBCLASSABILITY2-L19PTS";((INDEX(ALLCLASSDATA,MATCH("SubclassAbility2-L19",CLASSFEATUREHEADERS,0),MATCH(($A2043 &amp; "Points"),CLASSNAMEHEADERS,0))))}</f>
        <v>SUBCLASSABILITY2-L19PTS</v>
      </c>
      <c r="AA2042" s="76"/>
      <c r="AB2042" s="76"/>
      <c r="AC2042" s="76" t="str">
        <f t="array" ref="AC2042:AC2043">{"SUBCLASSABILITY2 TOTAL";(sum(G2043:AA2043))}</f>
        <v>SUBCLASSABILITY2 TOTAL</v>
      </c>
    </row>
    <row r="2043">
      <c r="A2043" s="48" t="s">
        <v>233</v>
      </c>
      <c r="B2043" s="48"/>
      <c r="C2043" s="48" t="s">
        <v>418</v>
      </c>
      <c r="D2043" s="97" t="s">
        <v>930</v>
      </c>
      <c r="E2043" s="215" t="s">
        <v>1370</v>
      </c>
      <c r="F2043" s="98"/>
      <c r="G2043" s="132"/>
      <c r="H2043" s="98"/>
      <c r="I2043" s="98"/>
      <c r="J2043" s="98"/>
      <c r="K2043" s="98"/>
      <c r="L2043" s="98"/>
      <c r="M2043" s="98"/>
      <c r="N2043" s="98"/>
      <c r="O2043" s="98"/>
      <c r="P2043" s="98"/>
      <c r="Q2043" s="98"/>
      <c r="R2043" s="98"/>
      <c r="S2043" s="98"/>
      <c r="T2043" s="98"/>
      <c r="U2043" s="98"/>
      <c r="V2043" s="98"/>
      <c r="W2043" s="98"/>
      <c r="X2043" s="98"/>
      <c r="Y2043" s="98"/>
      <c r="Z2043" s="98"/>
      <c r="AA2043" s="98"/>
      <c r="AB2043" s="5"/>
      <c r="AC2043" s="47">
        <v>0.0</v>
      </c>
    </row>
    <row r="2044" hidden="1">
      <c r="A2044" s="76" t="str">
        <f t="array" ref="A2044:A2045">{"FormulaRow20";(INDEX(CLASSLIST,A2005,1))}</f>
        <v>FormulaRow20</v>
      </c>
      <c r="B2044" s="77" t="s">
        <v>236</v>
      </c>
      <c r="C2044" s="76" t="str">
        <f t="array" ref="C2044:C2045">{"CLASSTYPE";((INDEX(ALLCLASSDATA,MATCH("ClassType",CLASSFEATUREHEADERS,0),MATCH($A2045,CLASSNAMEHEADERS,0))))}</f>
        <v>CLASSTYPE</v>
      </c>
      <c r="D2044" s="81" t="str">
        <f t="array" ref="D2044:D2045">{"DC";"DC"}</f>
        <v>DC</v>
      </c>
      <c r="E2044" s="81" t="str">
        <f t="array" ref="E2044:E2045">{"CLASSDC";"ClassDC"}</f>
        <v>CLASSDC</v>
      </c>
      <c r="F2044" s="81" t="str">
        <f t="array" ref="F2044:F2045">{"CLASSDCINITIAL";((IF(H2045=10,"T",(IF(H2045=50,"E","")))))}</f>
        <v>CLASSDCINITIAL</v>
      </c>
      <c r="G2044" s="81" t="str">
        <f t="array" ref="G2044:G2045">{"CLASSDCINITIALPTS";((IF("00"=(INDEX(ALLCLASSDATA,MATCH("ClassDCLegendary",CLASSFEATUREHEADERS,0),MATCH($A2045,CLASSNAMEHEADERS,0))),(INDEX(ALLCLASSDATA,MATCH("ClassDCLegendary",CLASSFEATUREHEADERS,0),MATCH(($A2045 &amp; "Points"),CLASSNAMEHEADERS,0))),(IF("00"=(INDEX(ALLCLASSDATA,MATCH("ClassDCMaster",CLASSFEATUREHEADERS,0),MATCH($A2045,CLASSNAMEHEADERS,0))),(INDEX(ALLCLASSDATA,MATCH("ClassDCMaster",CLASSFEATUREHEADERS,0),MATCH(($A2045 &amp; "Points"),CLASSNAMEHEADERS,0))),(IF("00"=(INDEX(ALLCLASSDATA,MATCH("ClassDCExpert",CLASSFEATUREHEADERS,0),MATCH($A2045,CLASSNAMEHEADERS,0))),(INDEX(ALLCLASSDATA,MATCH("ClassDCExpert",CLASSFEATUREHEADERS,0),MATCH(($A2045 &amp; "Points"),CLASSNAMEHEADERS,0))),(IF("00"=(INDEX(ALLCLASSDATA,MATCH("ClassDCTrained",CLASSFEATUREHEADERS,0),MATCH($A2045,CLASSNAMEHEADERS,0))),(INDEX(ALLCLASSDATA,MATCH("ClassDCTrained",CLASSFEATUREHEADERS,0),MATCH(($A2045 &amp; "Points"),CLASSNAMEHEADERS,0))),"")))))))))}</f>
        <v>CLASSDCINITIALPTS</v>
      </c>
      <c r="H2044" s="81" t="str">
        <f t="array" ref="H2044:H2045">{"CLASSDCL01";((IF("01"=(INDEX(ALLCLASSDATA,MATCH("ClassDCLegendary",CLASSFEATUREHEADERS,0),MATCH($A2045,CLASSNAMEHEADERS,0))),(INDEX(ALLCLASSDATA,MATCH("ClassDCLegendary",CLASSFEATUREHEADERS,0),MATCH(($A2045 &amp; "Points"),CLASSNAMEHEADERS,0))),(IF("01"=(INDEX(ALLCLASSDATA,MATCH("ClassDCMaster",CLASSFEATUREHEADERS,0),MATCH($A2045,CLASSNAMEHEADERS,0))),(INDEX(ALLCLASSDATA,MATCH("ClassDCMaster",CLASSFEATUREHEADERS,0),MATCH(($A2045 &amp; "Points"),CLASSNAMEHEADERS,0))),(IF("01"=(INDEX(ALLCLASSDATA,MATCH("ClassDCExpert",CLASSFEATUREHEADERS,0),MATCH($A2045,CLASSNAMEHEADERS,0))),(INDEX(ALLCLASSDATA,MATCH("ClassDCExpert",CLASSFEATUREHEADERS,0),MATCH(($A2045 &amp; "Points"),CLASSNAMEHEADERS,0))),(IF("01"=(INDEX(ALLCLASSDATA,MATCH("ClassDCTrained",CLASSFEATUREHEADERS,0),MATCH($A2045,CLASSNAMEHEADERS,0))),(INDEX(ALLCLASSDATA,MATCH("ClassDCTrained",CLASSFEATUREHEADERS,0),MATCH(($A2045 &amp; "Points"),CLASSNAMEHEADERS,0))),"")))))))))}</f>
        <v>CLASSDCL01</v>
      </c>
      <c r="I2044" s="81"/>
      <c r="J2044" s="81" t="str">
        <f t="array" ref="J2044:J2045">{"CLASSDCL03";((IF("03"=(INDEX(ALLCLASSDATA,MATCH("ClassDCLegendary",CLASSFEATUREHEADERS,0),MATCH($A2045,CLASSNAMEHEADERS,0))),(INDEX(ALLCLASSDATA,MATCH("ClassDCLegendary",CLASSFEATUREHEADERS,0),MATCH(($A2045 &amp; "Points"),CLASSNAMEHEADERS,0))),(IF("03"=(INDEX(ALLCLASSDATA,MATCH("ClassDCMaster",CLASSFEATUREHEADERS,0),MATCH($A2045,CLASSNAMEHEADERS,0))),(INDEX(ALLCLASSDATA,MATCH("ClassDCMaster",CLASSFEATUREHEADERS,0),MATCH(($A2045 &amp; "Points"),CLASSNAMEHEADERS,0))),(IF("03"=(INDEX(ALLCLASSDATA,MATCH("ClassDCExpert",CLASSFEATUREHEADERS,0),MATCH($A2045,CLASSNAMEHEADERS,0))),(INDEX(ALLCLASSDATA,MATCH("ClassDCExpert",CLASSFEATUREHEADERS,0),MATCH(($A2045 &amp; "Points"),CLASSNAMEHEADERS,0))),(IF("03"=(INDEX(ALLCLASSDATA,MATCH("ClassDCTrained",CLASSFEATUREHEADERS,0),MATCH($A2045,CLASSNAMEHEADERS,0))),(INDEX(ALLCLASSDATA,MATCH("ClassDCTrained",CLASSFEATUREHEADERS,0),MATCH(($A2045 &amp; "Points"),CLASSNAMEHEADERS,0))),"")))))))))}</f>
        <v>CLASSDCL03</v>
      </c>
      <c r="K2044" s="81"/>
      <c r="L2044" s="81" t="str">
        <f t="array" ref="L2044:L2045">{"CLASSDCL05";((IF("05"=(INDEX(ALLCLASSDATA,MATCH("ClassDCLegendary",CLASSFEATUREHEADERS,0),MATCH($A2045,CLASSNAMEHEADERS,0))),(INDEX(ALLCLASSDATA,MATCH("ClassDCLegendary",CLASSFEATUREHEADERS,0),MATCH(($A2045 &amp; "Points"),CLASSNAMEHEADERS,0))),(IF("05"=(INDEX(ALLCLASSDATA,MATCH("ClassDCMaster",CLASSFEATUREHEADERS,0),MATCH($A2045,CLASSNAMEHEADERS,0))),(INDEX(ALLCLASSDATA,MATCH("ClassDCMaster",CLASSFEATUREHEADERS,0),MATCH(($A2045 &amp; "Points"),CLASSNAMEHEADERS,0))),(IF("05"=(INDEX(ALLCLASSDATA,MATCH("ClassDCExpert",CLASSFEATUREHEADERS,0),MATCH($A2045,CLASSNAMEHEADERS,0))),(INDEX(ALLCLASSDATA,MATCH("ClassDCExpert",CLASSFEATUREHEADERS,0),MATCH(($A2045 &amp; "Points"),CLASSNAMEHEADERS,0))),(IF("05"=(INDEX(ALLCLASSDATA,MATCH("ClassDCTrained",CLASSFEATUREHEADERS,0),MATCH($A2045,CLASSNAMEHEADERS,0))),(INDEX(ALLCLASSDATA,MATCH("ClassDCTrained",CLASSFEATUREHEADERS,0),MATCH(($A2045 &amp; "Points"),CLASSNAMEHEADERS,0))),"")))))))))}</f>
        <v>CLASSDCL05</v>
      </c>
      <c r="M2044" s="81"/>
      <c r="N2044" s="81" t="str">
        <f t="array" ref="N2044:N2045">{"CLASSDCL07";((IF("07"=(INDEX(ALLCLASSDATA,MATCH("ClassDCLegendary",CLASSFEATUREHEADERS,0),MATCH($A2045,CLASSNAMEHEADERS,0))),(INDEX(ALLCLASSDATA,MATCH("ClassDCLegendary",CLASSFEATUREHEADERS,0),MATCH(($A2045 &amp; "Points"),CLASSNAMEHEADERS,0))),(IF("07"=(INDEX(ALLCLASSDATA,MATCH("ClassDCMaster",CLASSFEATUREHEADERS,0),MATCH($A2045,CLASSNAMEHEADERS,0))),(INDEX(ALLCLASSDATA,MATCH("ClassDCMaster",CLASSFEATUREHEADERS,0),MATCH(($A2045 &amp; "Points"),CLASSNAMEHEADERS,0))),(IF("07"=(INDEX(ALLCLASSDATA,MATCH("ClassDCExpert",CLASSFEATUREHEADERS,0),MATCH($A2045,CLASSNAMEHEADERS,0))),(INDEX(ALLCLASSDATA,MATCH("ClassDCExpert",CLASSFEATUREHEADERS,0),MATCH(($A2045 &amp; "Points"),CLASSNAMEHEADERS,0))),(IF("07"=(INDEX(ALLCLASSDATA,MATCH("ClassDCTrained",CLASSFEATUREHEADERS,0),MATCH($A2045,CLASSNAMEHEADERS,0))),(INDEX(ALLCLASSDATA,MATCH("ClassDCTrained",CLASSFEATUREHEADERS,0),MATCH(($A2045 &amp; "Points"),CLASSNAMEHEADERS,0))),"")))))))))}</f>
        <v>CLASSDCL07</v>
      </c>
      <c r="O2044" s="81"/>
      <c r="P2044" s="81" t="str">
        <f t="array" ref="P2044:P2045">{"CLASSDCL09";((IF("09"=(INDEX(ALLCLASSDATA,MATCH("ClassDCLegendary",CLASSFEATUREHEADERS,0),MATCH($A2045,CLASSNAMEHEADERS,0))),(INDEX(ALLCLASSDATA,MATCH("ClassDCLegendary",CLASSFEATUREHEADERS,0),MATCH(($A2045 &amp; "Points"),CLASSNAMEHEADERS,0))),(IF("09"=(INDEX(ALLCLASSDATA,MATCH("ClassDCMaster",CLASSFEATUREHEADERS,0),MATCH($A2045,CLASSNAMEHEADERS,0))),(INDEX(ALLCLASSDATA,MATCH("ClassDCMaster",CLASSFEATUREHEADERS,0),MATCH(($A2045 &amp; "Points"),CLASSNAMEHEADERS,0))),(IF("09"=(INDEX(ALLCLASSDATA,MATCH("ClassDCExpert",CLASSFEATUREHEADERS,0),MATCH($A2045,CLASSNAMEHEADERS,0))),(INDEX(ALLCLASSDATA,MATCH("ClassDCExpert",CLASSFEATUREHEADERS,0),MATCH(($A2045 &amp; "Points"),CLASSNAMEHEADERS,0))),(IF("09"=(INDEX(ALLCLASSDATA,MATCH("ClassDCTrained",CLASSFEATUREHEADERS,0),MATCH($A2045,CLASSNAMEHEADERS,0))),(INDEX(ALLCLASSDATA,MATCH("ClassDCTrained",CLASSFEATUREHEADERS,0),MATCH(($A2045 &amp; "Points"),CLASSNAMEHEADERS,0))),"")))))))))}</f>
        <v>CLASSDCL09</v>
      </c>
      <c r="Q2044" s="81"/>
      <c r="R2044" s="81" t="str">
        <f t="array" ref="R2044:R2045">{"CLASSDCL11";((IF("11"=(INDEX(ALLCLASSDATA,MATCH("ClassDCLegendary",CLASSFEATUREHEADERS,0),MATCH($A2045,CLASSNAMEHEADERS,0))),(INDEX(ALLCLASSDATA,MATCH("ClassDCLegendary",CLASSFEATUREHEADERS,0),MATCH(($A2045 &amp; "Points"),CLASSNAMEHEADERS,0))),(IF("11"=(INDEX(ALLCLASSDATA,MATCH("ClassDCMaster",CLASSFEATUREHEADERS,0),MATCH($A2045,CLASSNAMEHEADERS,0))),(INDEX(ALLCLASSDATA,MATCH("ClassDCMaster",CLASSFEATUREHEADERS,0),MATCH(($A2045 &amp; "Points"),CLASSNAMEHEADERS,0))),(IF("11"=(INDEX(ALLCLASSDATA,MATCH("ClassDCExpert",CLASSFEATUREHEADERS,0),MATCH($A2045,CLASSNAMEHEADERS,0))),(INDEX(ALLCLASSDATA,MATCH("ClassDCExpert",CLASSFEATUREHEADERS,0),MATCH(($A2045 &amp; "Points"),CLASSNAMEHEADERS,0))),(IF("11"=(INDEX(ALLCLASSDATA,MATCH("ClassDCTrained",CLASSFEATUREHEADERS,0),MATCH($A2045,CLASSNAMEHEADERS,0))),(INDEX(ALLCLASSDATA,MATCH("ClassDCTrained",CLASSFEATUREHEADERS,0),MATCH(($A2045 &amp; "Points"),CLASSNAMEHEADERS,0))),"")))))))))}</f>
        <v>CLASSDCL11</v>
      </c>
      <c r="S2044" s="81"/>
      <c r="T2044" s="81" t="str">
        <f t="array" ref="T2044:T2045">{"CLASSDCL13";((IF("13"=(INDEX(ALLCLASSDATA,MATCH("ClassDCLegendary",CLASSFEATUREHEADERS,0),MATCH($A2045,CLASSNAMEHEADERS,0))),(INDEX(ALLCLASSDATA,MATCH("ClassDCLegendary",CLASSFEATUREHEADERS,0),MATCH(($A2045 &amp; "Points"),CLASSNAMEHEADERS,0))),(IF("13"=(INDEX(ALLCLASSDATA,MATCH("ClassDCMaster",CLASSFEATUREHEADERS,0),MATCH($A2045,CLASSNAMEHEADERS,0))),(INDEX(ALLCLASSDATA,MATCH("ClassDCMaster",CLASSFEATUREHEADERS,0),MATCH(($A2045 &amp; "Points"),CLASSNAMEHEADERS,0))),(IF("13"=(INDEX(ALLCLASSDATA,MATCH("ClassDCExpert",CLASSFEATUREHEADERS,0),MATCH($A2045,CLASSNAMEHEADERS,0))),(INDEX(ALLCLASSDATA,MATCH("ClassDCExpert",CLASSFEATUREHEADERS,0),MATCH(($A2045 &amp; "Points"),CLASSNAMEHEADERS,0))),(IF("13"=(INDEX(ALLCLASSDATA,MATCH("ClassDCTrained",CLASSFEATUREHEADERS,0),MATCH($A2045,CLASSNAMEHEADERS,0))),(INDEX(ALLCLASSDATA,MATCH("ClassDCTrained",CLASSFEATUREHEADERS,0),MATCH(($A2045 &amp; "Points"),CLASSNAMEHEADERS,0))),"")))))))))}</f>
        <v>CLASSDCL13</v>
      </c>
      <c r="U2044" s="81"/>
      <c r="V2044" s="81" t="str">
        <f t="array" ref="V2044:V2045">{"CLASSDCL15";((IF("15"=(INDEX(ALLCLASSDATA,MATCH("ClassDCLegendary",CLASSFEATUREHEADERS,0),MATCH($A2045,CLASSNAMEHEADERS,0))),(INDEX(ALLCLASSDATA,MATCH("ClassDCLegendary",CLASSFEATUREHEADERS,0),MATCH(($A2045 &amp; "Points"),CLASSNAMEHEADERS,0))),(IF("15"=(INDEX(ALLCLASSDATA,MATCH("ClassDCMaster",CLASSFEATUREHEADERS,0),MATCH($A2045,CLASSNAMEHEADERS,0))),(INDEX(ALLCLASSDATA,MATCH("ClassDCMaster",CLASSFEATUREHEADERS,0),MATCH(($A2045 &amp; "Points"),CLASSNAMEHEADERS,0))),(IF("15"=(INDEX(ALLCLASSDATA,MATCH("ClassDCExpert",CLASSFEATUREHEADERS,0),MATCH($A2045,CLASSNAMEHEADERS,0))),(INDEX(ALLCLASSDATA,MATCH("ClassDCExpert",CLASSFEATUREHEADERS,0),MATCH(($A2045 &amp; "Points"),CLASSNAMEHEADERS,0))),(IF("15"=(INDEX(ALLCLASSDATA,MATCH("ClassDCTrained",CLASSFEATUREHEADERS,0),MATCH($A2045,CLASSNAMEHEADERS,0))),(INDEX(ALLCLASSDATA,MATCH("ClassDCTrained",CLASSFEATUREHEADERS,0),MATCH(($A2045 &amp; "Points"),CLASSNAMEHEADERS,0))),"")))))))))}</f>
        <v>CLASSDCL15</v>
      </c>
      <c r="W2044" s="81"/>
      <c r="X2044" s="81" t="str">
        <f t="array" ref="X2044:X2045">{"CLASSDCL17";((IF("17"=(INDEX(ALLCLASSDATA,MATCH("ClassDCLegendary",CLASSFEATUREHEADERS,0),MATCH($A2045,CLASSNAMEHEADERS,0))),(INDEX(ALLCLASSDATA,MATCH("ClassDCLegendary",CLASSFEATUREHEADERS,0),MATCH(($A2045 &amp; "Points"),CLASSNAMEHEADERS,0))),(IF("17"=(INDEX(ALLCLASSDATA,MATCH("ClassDCMaster",CLASSFEATUREHEADERS,0),MATCH($A2045,CLASSNAMEHEADERS,0))),(INDEX(ALLCLASSDATA,MATCH("ClassDCMaster",CLASSFEATUREHEADERS,0),MATCH(($A2045 &amp; "Points"),CLASSNAMEHEADERS,0))),(IF("17"=(INDEX(ALLCLASSDATA,MATCH("ClassDCExpert",CLASSFEATUREHEADERS,0),MATCH($A2045,CLASSNAMEHEADERS,0))),(INDEX(ALLCLASSDATA,MATCH("ClassDCExpert",CLASSFEATUREHEADERS,0),MATCH(($A2045 &amp; "Points"),CLASSNAMEHEADERS,0))),(IF("17"=(INDEX(ALLCLASSDATA,MATCH("ClassDCTrained",CLASSFEATUREHEADERS,0),MATCH($A2045,CLASSNAMEHEADERS,0))),(INDEX(ALLCLASSDATA,MATCH("ClassDCTrained",CLASSFEATUREHEADERS,0),MATCH(($A2045 &amp; "Points"),CLASSNAMEHEADERS,0))),"")))))))))}</f>
        <v>CLASSDCL17</v>
      </c>
      <c r="Y2044" s="81"/>
      <c r="Z2044" s="81" t="str">
        <f t="array" ref="Z2044:Z2045">{"CLASSDCL19";((IF("19"=(INDEX(ALLCLASSDATA,MATCH("ClassDCLegendary",CLASSFEATUREHEADERS,0),MATCH($A2045,CLASSNAMEHEADERS,0))),(INDEX(ALLCLASSDATA,MATCH("ClassDCLegendary",CLASSFEATUREHEADERS,0),MATCH(($A2045 &amp; "Points"),CLASSNAMEHEADERS,0))),(IF("19"=(INDEX(ALLCLASSDATA,MATCH("ClassDCMaster",CLASSFEATUREHEADERS,0),MATCH($A2045,CLASSNAMEHEADERS,0))),(INDEX(ALLCLASSDATA,MATCH("ClassDCMaster",CLASSFEATUREHEADERS,0),MATCH(($A2045 &amp; "Points"),CLASSNAMEHEADERS,0))),(IF("19"=(INDEX(ALLCLASSDATA,MATCH("ClassDCExpert",CLASSFEATUREHEADERS,0),MATCH($A2045,CLASSNAMEHEADERS,0))),(INDEX(ALLCLASSDATA,MATCH("ClassDCExpert",CLASSFEATUREHEADERS,0),MATCH(($A2045 &amp; "Points"),CLASSNAMEHEADERS,0))),(IF("19"=(INDEX(ALLCLASSDATA,MATCH("ClassDCTrained",CLASSFEATUREHEADERS,0),MATCH($A2045,CLASSNAMEHEADERS,0))),(INDEX(ALLCLASSDATA,MATCH("ClassDCTrained",CLASSFEATUREHEADERS,0),MATCH(($A2045 &amp; "Points"),CLASSNAMEHEADERS,0))),"")))))))))}</f>
        <v>CLASSDCL19</v>
      </c>
      <c r="AA2044" s="81"/>
      <c r="AB2044" s="76" t="str">
        <f t="array" ref="AB2044:AB2045">{"CLASSDC TOTAL";(IF(COUNTBLANK(G2045:AA2045)=17,"L",(IF(COUNTBLANK(G2045:AA2045)=18,"M",(IF(COUNTBLANK(G2045:AA2045)=19,"E",(IF(COUNTBLANK(G2045:AA2045)=20,"T",""))))))))}</f>
        <v>CLASSDC TOTAL</v>
      </c>
      <c r="AC2044" s="76" t="str">
        <f t="array" ref="AC2044:AC2045">{"CLASSDC TOTAL";(sum(G2045:AA2045))}</f>
        <v>CLASSDC TOTAL</v>
      </c>
    </row>
    <row r="2045">
      <c r="A2045" s="48" t="s">
        <v>233</v>
      </c>
      <c r="B2045" s="48"/>
      <c r="C2045" s="48" t="s">
        <v>418</v>
      </c>
      <c r="D2045" s="48" t="s">
        <v>1465</v>
      </c>
      <c r="E2045" s="48" t="s">
        <v>1466</v>
      </c>
      <c r="F2045" s="5" t="s">
        <v>603</v>
      </c>
      <c r="G2045" s="47" t="s">
        <v>603</v>
      </c>
      <c r="H2045" s="5" t="s">
        <v>603</v>
      </c>
      <c r="I2045" s="5"/>
      <c r="J2045" s="5" t="s">
        <v>603</v>
      </c>
      <c r="K2045" s="5"/>
      <c r="L2045" s="5" t="s">
        <v>603</v>
      </c>
      <c r="M2045" s="5"/>
      <c r="N2045" s="5" t="s">
        <v>603</v>
      </c>
      <c r="O2045" s="5"/>
      <c r="P2045" s="5" t="s">
        <v>603</v>
      </c>
      <c r="Q2045" s="5"/>
      <c r="R2045" s="5" t="s">
        <v>603</v>
      </c>
      <c r="S2045" s="5"/>
      <c r="T2045" s="5" t="s">
        <v>603</v>
      </c>
      <c r="U2045" s="5"/>
      <c r="V2045" s="5" t="s">
        <v>603</v>
      </c>
      <c r="W2045" s="5"/>
      <c r="X2045" s="5" t="s">
        <v>603</v>
      </c>
      <c r="Y2045" s="5"/>
      <c r="Z2045" s="5" t="s">
        <v>603</v>
      </c>
      <c r="AA2045" s="5"/>
      <c r="AB2045" s="5" t="s">
        <v>603</v>
      </c>
      <c r="AC2045" s="47">
        <v>0.0</v>
      </c>
    </row>
    <row r="2046" hidden="1">
      <c r="A2046" s="222" t="str">
        <f t="array" ref="A2046:A2047">{"FormulaRow21";(INDEX(CLASSLIST,A2005,1))}</f>
        <v>FormulaRow21</v>
      </c>
      <c r="B2046" s="77" t="s">
        <v>236</v>
      </c>
      <c r="C2046" s="222" t="str">
        <f t="array" ref="C2046:C2047">{"CLASSTYPE";((INDEX(ALLCLASSDATA,MATCH("ClassType",CLASSFEATUREHEADERS,0),MATCH($A2047,CLASSNAMEHEADERS,0))))}</f>
        <v>CLASSTYPE</v>
      </c>
      <c r="D2046" s="222" t="str">
        <f t="array" ref="D2046:D2047">{"DC";"DC"}</f>
        <v>DC</v>
      </c>
      <c r="E2046" s="222" t="str">
        <f t="array" ref="E2046:E2047">{"SPELLDC";"SpellDC"}</f>
        <v>SPELLDC</v>
      </c>
      <c r="F2046" s="223" t="str">
        <f t="array" ref="F2046:F2047">{"SPELLDCINITIAL";((IF(H2047=10,"T",(IF(H2047=50,"E","")))))}</f>
        <v>SPELLDCINITIAL</v>
      </c>
      <c r="G2046" s="223" t="str">
        <f t="array" ref="G2046:G2047">{"SPELLDCINITIALPTS";((IF("00"=(INDEX(ALLCLASSDATA,MATCH("SpellDCLegendary",CLASSFEATUREHEADERS,0),MATCH($A2047,CLASSNAMEHEADERS,0))),(INDEX(ALLCLASSDATA,MATCH("SpellDCLegendary",CLASSFEATUREHEADERS,0),MATCH(($A2047 &amp; "Points"),CLASSNAMEHEADERS,0))),(IF("00"=(INDEX(ALLCLASSDATA,MATCH("SpellDCMaster",CLASSFEATUREHEADERS,0),MATCH($A2047,CLASSNAMEHEADERS,0))),(INDEX(ALLCLASSDATA,MATCH("SpellDCMaster",CLASSFEATUREHEADERS,0),MATCH(($A2047 &amp; "Points"),CLASSNAMEHEADERS,0))),(IF("00"=(INDEX(ALLCLASSDATA,MATCH("SpellDCExpert",CLASSFEATUREHEADERS,0),MATCH($A2047,CLASSNAMEHEADERS,0))),(INDEX(ALLCLASSDATA,MATCH("SpellDCExpert",CLASSFEATUREHEADERS,0),MATCH(($A2047 &amp; "Points"),CLASSNAMEHEADERS,0))),(IF("00"=(INDEX(ALLCLASSDATA,MATCH("SpellDCTrained",CLASSFEATUREHEADERS,0),MATCH($A2047,CLASSNAMEHEADERS,0))),(INDEX(ALLCLASSDATA,MATCH("SpellDCTrained",CLASSFEATUREHEADERS,0),MATCH(($A2047 &amp; "Points"),CLASSNAMEHEADERS,0))),"")))))))))}</f>
        <v>SPELLDCINITIALPTS</v>
      </c>
      <c r="H2046" s="223" t="str">
        <f t="array" ref="H2046:H2047">{"SPELLDCL01";((IF("01"=(INDEX(ALLCLASSDATA,MATCH("SpellDCLegendary",CLASSFEATUREHEADERS,0),MATCH($A2047,CLASSNAMEHEADERS,0))),(INDEX(ALLCLASSDATA,MATCH("SpellDCLegendary",CLASSFEATUREHEADERS,0),MATCH(($A2047 &amp; "Points"),CLASSNAMEHEADERS,0))),(IF("01"=(INDEX(ALLCLASSDATA,MATCH("SpellDCMaster",CLASSFEATUREHEADERS,0),MATCH($A2047,CLASSNAMEHEADERS,0))),(INDEX(ALLCLASSDATA,MATCH("SpellDCMaster",CLASSFEATUREHEADERS,0),MATCH(($A2047 &amp; "Points"),CLASSNAMEHEADERS,0))),(IF("01"=(INDEX(ALLCLASSDATA,MATCH("SpellDCExpert",CLASSFEATUREHEADERS,0),MATCH($A2047,CLASSNAMEHEADERS,0))),(INDEX(ALLCLASSDATA,MATCH("SpellDCExpert",CLASSFEATUREHEADERS,0),MATCH(($A2047 &amp; "Points"),CLASSNAMEHEADERS,0))),(IF("01"=(INDEX(ALLCLASSDATA,MATCH("SpellDCTrained",CLASSFEATUREHEADERS,0),MATCH($A2047,CLASSNAMEHEADERS,0))),(INDEX(ALLCLASSDATA,MATCH("SpellDCTrained",CLASSFEATUREHEADERS,0),MATCH(($A2047 &amp; "Points"),CLASSNAMEHEADERS,0))),"")))))))))}</f>
        <v>SPELLDCL01</v>
      </c>
      <c r="I2046" s="223"/>
      <c r="J2046" s="223" t="str">
        <f t="array" ref="J2046:J2047">{"SPELLDCL03";((IF("03"=(INDEX(ALLCLASSDATA,MATCH("SpellDCLegendary",CLASSFEATUREHEADERS,0),MATCH($A2047,CLASSNAMEHEADERS,0))),(INDEX(ALLCLASSDATA,MATCH("SpellDCLegendary",CLASSFEATUREHEADERS,0),MATCH(($A2047 &amp; "Points"),CLASSNAMEHEADERS,0))),(IF("03"=(INDEX(ALLCLASSDATA,MATCH("SpellDCMaster",CLASSFEATUREHEADERS,0),MATCH($A2047,CLASSNAMEHEADERS,0))),(INDEX(ALLCLASSDATA,MATCH("SpellDCMaster",CLASSFEATUREHEADERS,0),MATCH(($A2047 &amp; "Points"),CLASSNAMEHEADERS,0))),(IF("03"=(INDEX(ALLCLASSDATA,MATCH("SpellDCExpert",CLASSFEATUREHEADERS,0),MATCH($A2047,CLASSNAMEHEADERS,0))),(INDEX(ALLCLASSDATA,MATCH("SpellDCExpert",CLASSFEATUREHEADERS,0),MATCH(($A2047 &amp; "Points"),CLASSNAMEHEADERS,0))),(IF("03"=(INDEX(ALLCLASSDATA,MATCH("SpellDCTrained",CLASSFEATUREHEADERS,0),MATCH($A2047,CLASSNAMEHEADERS,0))),(INDEX(ALLCLASSDATA,MATCH("SpellDCTrained",CLASSFEATUREHEADERS,0),MATCH(($A2047 &amp; "Points"),CLASSNAMEHEADERS,0))),"")))))))))}</f>
        <v>SPELLDCL03</v>
      </c>
      <c r="K2046" s="223"/>
      <c r="L2046" s="223" t="str">
        <f t="array" ref="L2046:L2047">{"SPELLDCL05";((IF("05"=(INDEX(ALLCLASSDATA,MATCH("SpellDCLegendary",CLASSFEATUREHEADERS,0),MATCH($A2047,CLASSNAMEHEADERS,0))),(INDEX(ALLCLASSDATA,MATCH("SpellDCLegendary",CLASSFEATUREHEADERS,0),MATCH(($A2047 &amp; "Points"),CLASSNAMEHEADERS,0))),(IF("05"=(INDEX(ALLCLASSDATA,MATCH("SpellDCMaster",CLASSFEATUREHEADERS,0),MATCH($A2047,CLASSNAMEHEADERS,0))),(INDEX(ALLCLASSDATA,MATCH("SpellDCMaster",CLASSFEATUREHEADERS,0),MATCH(($A2047 &amp; "Points"),CLASSNAMEHEADERS,0))),(IF("05"=(INDEX(ALLCLASSDATA,MATCH("SpellDCExpert",CLASSFEATUREHEADERS,0),MATCH($A2047,CLASSNAMEHEADERS,0))),(INDEX(ALLCLASSDATA,MATCH("SpellDCExpert",CLASSFEATUREHEADERS,0),MATCH(($A2047 &amp; "Points"),CLASSNAMEHEADERS,0))),(IF("05"=(INDEX(ALLCLASSDATA,MATCH("SpellDCTrained",CLASSFEATUREHEADERS,0),MATCH($A2047,CLASSNAMEHEADERS,0))),(INDEX(ALLCLASSDATA,MATCH("SpellDCTrained",CLASSFEATUREHEADERS,0),MATCH(($A2047 &amp; "Points"),CLASSNAMEHEADERS,0))),"")))))))))}</f>
        <v>SPELLDCL05</v>
      </c>
      <c r="M2046" s="223"/>
      <c r="N2046" s="223" t="str">
        <f t="array" ref="N2046:N2047">{"SPELLDCL07";((IF("07"=(INDEX(ALLCLASSDATA,MATCH("SpellDCLegendary",CLASSFEATUREHEADERS,0),MATCH($A2047,CLASSNAMEHEADERS,0))),(INDEX(ALLCLASSDATA,MATCH("SpellDCLegendary",CLASSFEATUREHEADERS,0),MATCH(($A2047 &amp; "Points"),CLASSNAMEHEADERS,0))),(IF("07"=(INDEX(ALLCLASSDATA,MATCH("SpellDCMaster",CLASSFEATUREHEADERS,0),MATCH($A2047,CLASSNAMEHEADERS,0))),(INDEX(ALLCLASSDATA,MATCH("SpellDCMaster",CLASSFEATUREHEADERS,0),MATCH(($A2047 &amp; "Points"),CLASSNAMEHEADERS,0))),(IF("07"=(INDEX(ALLCLASSDATA,MATCH("SpellDCExpert",CLASSFEATUREHEADERS,0),MATCH($A2047,CLASSNAMEHEADERS,0))),(INDEX(ALLCLASSDATA,MATCH("SpellDCExpert",CLASSFEATUREHEADERS,0),MATCH(($A2047 &amp; "Points"),CLASSNAMEHEADERS,0))),(IF("07"=(INDEX(ALLCLASSDATA,MATCH("SpellDCTrained",CLASSFEATUREHEADERS,0),MATCH($A2047,CLASSNAMEHEADERS,0))),(INDEX(ALLCLASSDATA,MATCH("SpellDCTrained",CLASSFEATUREHEADERS,0),MATCH(($A2047 &amp; "Points"),CLASSNAMEHEADERS,0))),"")))))))))}</f>
        <v>SPELLDCL07</v>
      </c>
      <c r="O2046" s="223"/>
      <c r="P2046" s="223" t="str">
        <f t="array" ref="P2046:P2047">{"SPELLDCL09";((IF("09"=(INDEX(ALLCLASSDATA,MATCH("SpellDCLegendary",CLASSFEATUREHEADERS,0),MATCH($A2047,CLASSNAMEHEADERS,0))),(INDEX(ALLCLASSDATA,MATCH("SpellDCLegendary",CLASSFEATUREHEADERS,0),MATCH(($A2047 &amp; "Points"),CLASSNAMEHEADERS,0))),(IF("09"=(INDEX(ALLCLASSDATA,MATCH("SpellDCMaster",CLASSFEATUREHEADERS,0),MATCH($A2047,CLASSNAMEHEADERS,0))),(INDEX(ALLCLASSDATA,MATCH("SpellDCMaster",CLASSFEATUREHEADERS,0),MATCH(($A2047 &amp; "Points"),CLASSNAMEHEADERS,0))),(IF("09"=(INDEX(ALLCLASSDATA,MATCH("SpellDCExpert",CLASSFEATUREHEADERS,0),MATCH($A2047,CLASSNAMEHEADERS,0))),(INDEX(ALLCLASSDATA,MATCH("SpellDCExpert",CLASSFEATUREHEADERS,0),MATCH(($A2047 &amp; "Points"),CLASSNAMEHEADERS,0))),(IF("09"=(INDEX(ALLCLASSDATA,MATCH("SpellDCTrained",CLASSFEATUREHEADERS,0),MATCH($A2047,CLASSNAMEHEADERS,0))),(INDEX(ALLCLASSDATA,MATCH("SpellDCTrained",CLASSFEATUREHEADERS,0),MATCH(($A2047 &amp; "Points"),CLASSNAMEHEADERS,0))),"")))))))))}</f>
        <v>SPELLDCL09</v>
      </c>
      <c r="Q2046" s="223"/>
      <c r="R2046" s="223" t="str">
        <f t="array" ref="R2046:R2047">{"SPELLDCL11";((IF("11"=(INDEX(ALLCLASSDATA,MATCH("SpellDCLegendary",CLASSFEATUREHEADERS,0),MATCH($A2047,CLASSNAMEHEADERS,0))),(INDEX(ALLCLASSDATA,MATCH("SpellDCLegendary",CLASSFEATUREHEADERS,0),MATCH(($A2047 &amp; "Points"),CLASSNAMEHEADERS,0))),(IF("11"=(INDEX(ALLCLASSDATA,MATCH("SpellDCMaster",CLASSFEATUREHEADERS,0),MATCH($A2047,CLASSNAMEHEADERS,0))),(INDEX(ALLCLASSDATA,MATCH("SpellDCMaster",CLASSFEATUREHEADERS,0),MATCH(($A2047 &amp; "Points"),CLASSNAMEHEADERS,0))),(IF("11"=(INDEX(ALLCLASSDATA,MATCH("SpellDCExpert",CLASSFEATUREHEADERS,0),MATCH($A2047,CLASSNAMEHEADERS,0))),(INDEX(ALLCLASSDATA,MATCH("SpellDCExpert",CLASSFEATUREHEADERS,0),MATCH(($A2047 &amp; "Points"),CLASSNAMEHEADERS,0))),(IF("11"=(INDEX(ALLCLASSDATA,MATCH("SpellDCTrained",CLASSFEATUREHEADERS,0),MATCH($A2047,CLASSNAMEHEADERS,0))),(INDEX(ALLCLASSDATA,MATCH("SpellDCTrained",CLASSFEATUREHEADERS,0),MATCH(($A2047 &amp; "Points"),CLASSNAMEHEADERS,0))),"")))))))))}</f>
        <v>SPELLDCL11</v>
      </c>
      <c r="S2046" s="223"/>
      <c r="T2046" s="223" t="str">
        <f t="array" ref="T2046:T2047">{"SPELLDCL13";((IF("13"=(INDEX(ALLCLASSDATA,MATCH("SpellDCLegendary",CLASSFEATUREHEADERS,0),MATCH($A2047,CLASSNAMEHEADERS,0))),(INDEX(ALLCLASSDATA,MATCH("SpellDCLegendary",CLASSFEATUREHEADERS,0),MATCH(($A2047 &amp; "Points"),CLASSNAMEHEADERS,0))),(IF("13"=(INDEX(ALLCLASSDATA,MATCH("SpellDCMaster",CLASSFEATUREHEADERS,0),MATCH($A2047,CLASSNAMEHEADERS,0))),(INDEX(ALLCLASSDATA,MATCH("SpellDCMaster",CLASSFEATUREHEADERS,0),MATCH(($A2047 &amp; "Points"),CLASSNAMEHEADERS,0))),(IF("13"=(INDEX(ALLCLASSDATA,MATCH("SpellDCExpert",CLASSFEATUREHEADERS,0),MATCH($A2047,CLASSNAMEHEADERS,0))),(INDEX(ALLCLASSDATA,MATCH("SpellDCExpert",CLASSFEATUREHEADERS,0),MATCH(($A2047 &amp; "Points"),CLASSNAMEHEADERS,0))),(IF("13"=(INDEX(ALLCLASSDATA,MATCH("SpellDCTrained",CLASSFEATUREHEADERS,0),MATCH($A2047,CLASSNAMEHEADERS,0))),(INDEX(ALLCLASSDATA,MATCH("SpellDCTrained",CLASSFEATUREHEADERS,0),MATCH(($A2047 &amp; "Points"),CLASSNAMEHEADERS,0))),"")))))))))}</f>
        <v>SPELLDCL13</v>
      </c>
      <c r="U2046" s="223"/>
      <c r="V2046" s="223" t="str">
        <f t="array" ref="V2046:V2047">{"SPELLDCL15";((IF("15"=(INDEX(ALLCLASSDATA,MATCH("SpellDCLegendary",CLASSFEATUREHEADERS,0),MATCH($A2047,CLASSNAMEHEADERS,0))),(INDEX(ALLCLASSDATA,MATCH("SpellDCLegendary",CLASSFEATUREHEADERS,0),MATCH(($A2047 &amp; "Points"),CLASSNAMEHEADERS,0))),(IF("15"=(INDEX(ALLCLASSDATA,MATCH("SpellDCMaster",CLASSFEATUREHEADERS,0),MATCH($A2047,CLASSNAMEHEADERS,0))),(INDEX(ALLCLASSDATA,MATCH("SpellDCMaster",CLASSFEATUREHEADERS,0),MATCH(($A2047 &amp; "Points"),CLASSNAMEHEADERS,0))),(IF("15"=(INDEX(ALLCLASSDATA,MATCH("SpellDCExpert",CLASSFEATUREHEADERS,0),MATCH($A2047,CLASSNAMEHEADERS,0))),(INDEX(ALLCLASSDATA,MATCH("SpellDCExpert",CLASSFEATUREHEADERS,0),MATCH(($A2047 &amp; "Points"),CLASSNAMEHEADERS,0))),(IF("15"=(INDEX(ALLCLASSDATA,MATCH("SpellDCTrained",CLASSFEATUREHEADERS,0),MATCH($A2047,CLASSNAMEHEADERS,0))),(INDEX(ALLCLASSDATA,MATCH("SpellDCTrained",CLASSFEATUREHEADERS,0),MATCH(($A2047 &amp; "Points"),CLASSNAMEHEADERS,0))),"")))))))))}</f>
        <v>SPELLDCL15</v>
      </c>
      <c r="W2046" s="223"/>
      <c r="X2046" s="223" t="str">
        <f t="array" ref="X2046:X2047">{"SPELLDCL17";((IF("17"=(INDEX(ALLCLASSDATA,MATCH("SpellDCLegendary",CLASSFEATUREHEADERS,0),MATCH($A2047,CLASSNAMEHEADERS,0))),(INDEX(ALLCLASSDATA,MATCH("SpellDCLegendary",CLASSFEATUREHEADERS,0),MATCH(($A2047 &amp; "Points"),CLASSNAMEHEADERS,0))),(IF("17"=(INDEX(ALLCLASSDATA,MATCH("SpellDCMaster",CLASSFEATUREHEADERS,0),MATCH($A2047,CLASSNAMEHEADERS,0))),(INDEX(ALLCLASSDATA,MATCH("SpellDCMaster",CLASSFEATUREHEADERS,0),MATCH(($A2047 &amp; "Points"),CLASSNAMEHEADERS,0))),(IF("17"=(INDEX(ALLCLASSDATA,MATCH("SpellDCExpert",CLASSFEATUREHEADERS,0),MATCH($A2047,CLASSNAMEHEADERS,0))),(INDEX(ALLCLASSDATA,MATCH("SpellDCExpert",CLASSFEATUREHEADERS,0),MATCH(($A2047 &amp; "Points"),CLASSNAMEHEADERS,0))),(IF("17"=(INDEX(ALLCLASSDATA,MATCH("SpellDCTrained",CLASSFEATUREHEADERS,0),MATCH($A2047,CLASSNAMEHEADERS,0))),(INDEX(ALLCLASSDATA,MATCH("SpellDCTrained",CLASSFEATUREHEADERS,0),MATCH(($A2047 &amp; "Points"),CLASSNAMEHEADERS,0))),"")))))))))}</f>
        <v>SPELLDCL17</v>
      </c>
      <c r="Y2046" s="223"/>
      <c r="Z2046" s="223" t="str">
        <f t="array" ref="Z2046:Z2047">{"SPELLDCL19";((IF("19"=(INDEX(ALLCLASSDATA,MATCH("SpellDCLegendary",CLASSFEATUREHEADERS,0),MATCH($A2047,CLASSNAMEHEADERS,0))),(INDEX(ALLCLASSDATA,MATCH("SpellDCLegendary",CLASSFEATUREHEADERS,0),MATCH(($A2047 &amp; "Points"),CLASSNAMEHEADERS,0))),(IF("19"=(INDEX(ALLCLASSDATA,MATCH("SpellDCMaster",CLASSFEATUREHEADERS,0),MATCH($A2047,CLASSNAMEHEADERS,0))),(INDEX(ALLCLASSDATA,MATCH("SpellDCMaster",CLASSFEATUREHEADERS,0),MATCH(($A2047 &amp; "Points"),CLASSNAMEHEADERS,0))),(IF("19"=(INDEX(ALLCLASSDATA,MATCH("SpellDCExpert",CLASSFEATUREHEADERS,0),MATCH($A2047,CLASSNAMEHEADERS,0))),(INDEX(ALLCLASSDATA,MATCH("SpellDCExpert",CLASSFEATUREHEADERS,0),MATCH(($A2047 &amp; "Points"),CLASSNAMEHEADERS,0))),(IF("19"=(INDEX(ALLCLASSDATA,MATCH("SpellDCTrained",CLASSFEATUREHEADERS,0),MATCH($A2047,CLASSNAMEHEADERS,0))),(INDEX(ALLCLASSDATA,MATCH("SpellDCTrained",CLASSFEATUREHEADERS,0),MATCH(($A2047 &amp; "Points"),CLASSNAMEHEADERS,0))),"")))))))))}</f>
        <v>SPELLDCL19</v>
      </c>
      <c r="AA2046" s="223"/>
      <c r="AB2046" s="76" t="str">
        <f t="array" ref="AB2046:AB2047">{"SPELLDC TOTAL";(IF(COUNTBLANK(G2047:AA2047)=17,"L",(IF(COUNTBLANK(G2047:AA2047)=18,"M",(IF(COUNTBLANK(G2047:AA2047)=19,"E",(IF(COUNTBLANK(G2047:AA2047)=20,"T",""))))))))}</f>
        <v>SPELLDC TOTAL</v>
      </c>
      <c r="AC2046" s="76" t="str">
        <f t="array" ref="AC2046:AC2047">{"SPELLDC TOTAL";(sum(G2047:AA2047))}</f>
        <v>SPELLDC TOTAL</v>
      </c>
    </row>
    <row r="2047">
      <c r="A2047" s="48" t="s">
        <v>233</v>
      </c>
      <c r="B2047" s="48"/>
      <c r="C2047" s="48" t="s">
        <v>418</v>
      </c>
      <c r="D2047" s="97" t="s">
        <v>1465</v>
      </c>
      <c r="E2047" s="97" t="s">
        <v>1485</v>
      </c>
      <c r="F2047" s="98" t="s">
        <v>435</v>
      </c>
      <c r="G2047" s="132" t="s">
        <v>603</v>
      </c>
      <c r="H2047" s="98">
        <v>10.0</v>
      </c>
      <c r="I2047" s="98"/>
      <c r="J2047" s="98" t="s">
        <v>603</v>
      </c>
      <c r="K2047" s="98"/>
      <c r="L2047" s="98" t="s">
        <v>603</v>
      </c>
      <c r="M2047" s="98"/>
      <c r="N2047" s="98">
        <v>50.0</v>
      </c>
      <c r="O2047" s="98"/>
      <c r="P2047" s="98" t="s">
        <v>603</v>
      </c>
      <c r="Q2047" s="98"/>
      <c r="R2047" s="98" t="s">
        <v>603</v>
      </c>
      <c r="S2047" s="98"/>
      <c r="T2047" s="98" t="s">
        <v>603</v>
      </c>
      <c r="U2047" s="98"/>
      <c r="V2047" s="98">
        <v>110.0</v>
      </c>
      <c r="W2047" s="98"/>
      <c r="X2047" s="98" t="s">
        <v>603</v>
      </c>
      <c r="Y2047" s="98"/>
      <c r="Z2047" s="98">
        <v>190.0</v>
      </c>
      <c r="AA2047" s="98"/>
      <c r="AB2047" s="5" t="s">
        <v>466</v>
      </c>
      <c r="AC2047" s="47">
        <v>360.0</v>
      </c>
    </row>
    <row r="2048" hidden="1">
      <c r="A2048" s="222" t="str">
        <f t="array" ref="A2048:A2049">{"FormulaRow22";(INDEX(CLASSLIST,A2005,1))}</f>
        <v>FormulaRow22</v>
      </c>
      <c r="B2048" s="77" t="s">
        <v>236</v>
      </c>
      <c r="C2048" s="222" t="str">
        <f t="array" ref="C2048:C2049">{"CLASSTYPE";((INDEX(ALLCLASSDATA,MATCH("ClassType",CLASSFEATUREHEADERS,0),MATCH($A2049,CLASSNAMEHEADERS,0))))}</f>
        <v>CLASSTYPE</v>
      </c>
      <c r="D2048" s="228" t="str">
        <f t="shared" ref="D2048:E2048" si="23">{"PERCEPTION";"Perception"}</f>
        <v>PERCEPTION</v>
      </c>
      <c r="E2048" s="228" t="str">
        <f t="shared" si="23"/>
        <v>PERCEPTION</v>
      </c>
      <c r="F2048" s="230" t="str">
        <f t="array" ref="F2048:F2049">{"PERCEPTIONINITIAL";((IF(H2049=10,"T",(IF(H2049=50,"E","")))))}</f>
        <v>PERCEPTIONINITIAL</v>
      </c>
      <c r="G2048" s="230" t="str">
        <f t="array" ref="G2048:G2049">{"PERCEPTIONINITIALPTS";((IF("00"=(INDEX(ALLCLASSDATA,MATCH("PerceptionLegendary",CLASSFEATUREHEADERS,0),MATCH($A2049,CLASSNAMEHEADERS,0))),(INDEX(ALLCLASSDATA,MATCH("PerceptionLegendary",CLASSFEATUREHEADERS,0),MATCH(($A2049 &amp; "Points"),CLASSNAMEHEADERS,0))),(IF("00"=(INDEX(ALLCLASSDATA,MATCH("PerceptionMaster",CLASSFEATUREHEADERS,0),MATCH($A2049,CLASSNAMEHEADERS,0))),(INDEX(ALLCLASSDATA,MATCH("PerceptionMaster",CLASSFEATUREHEADERS,0),MATCH(($A2049 &amp; "Points"),CLASSNAMEHEADERS,0))),(IF("00"=(INDEX(ALLCLASSDATA,MATCH("PerceptionExpert",CLASSFEATUREHEADERS,0),MATCH($A2049,CLASSNAMEHEADERS,0))),(INDEX(ALLCLASSDATA,MATCH("PerceptionExpert",CLASSFEATUREHEADERS,0),MATCH(($A2049 &amp; "Points"),CLASSNAMEHEADERS,0))),(IF("00"=(INDEX(ALLCLASSDATA,MATCH("PerceptionTrained",CLASSFEATUREHEADERS,0),MATCH($A2049,CLASSNAMEHEADERS,0))),(INDEX(ALLCLASSDATA,MATCH("PerceptionTrained",CLASSFEATUREHEADERS,0),MATCH(($A2049 &amp; "Points"),CLASSNAMEHEADERS,0))),"")))))))))}</f>
        <v>PERCEPTIONINITIALPTS</v>
      </c>
      <c r="H2048" s="230" t="str">
        <f t="array" ref="H2048:H2049">{"PERCEPTIONL01";((IF("01"=(INDEX(ALLCLASSDATA,MATCH("PerceptionLegendary",CLASSFEATUREHEADERS,0),MATCH($A2049,CLASSNAMEHEADERS,0))),(INDEX(ALLCLASSDATA,MATCH("PerceptionLegendary",CLASSFEATUREHEADERS,0),MATCH(($A2049 &amp; "Points"),CLASSNAMEHEADERS,0))),(IF("01"=(INDEX(ALLCLASSDATA,MATCH("PerceptionMaster",CLASSFEATUREHEADERS,0),MATCH($A2049,CLASSNAMEHEADERS,0))),(INDEX(ALLCLASSDATA,MATCH("PerceptionMaster",CLASSFEATUREHEADERS,0),MATCH(($A2049 &amp; "Points"),CLASSNAMEHEADERS,0))),(IF("01"=(INDEX(ALLCLASSDATA,MATCH("PerceptionExpert",CLASSFEATUREHEADERS,0),MATCH($A2049,CLASSNAMEHEADERS,0))),(INDEX(ALLCLASSDATA,MATCH("PerceptionExpert",CLASSFEATUREHEADERS,0),MATCH(($A2049 &amp; "Points"),CLASSNAMEHEADERS,0))),(IF("01"=(INDEX(ALLCLASSDATA,MATCH("PerceptionTrained",CLASSFEATUREHEADERS,0),MATCH($A2049,CLASSNAMEHEADERS,0))),(INDEX(ALLCLASSDATA,MATCH("PerceptionTrained",CLASSFEATUREHEADERS,0),MATCH(($A2049 &amp; "Points"),CLASSNAMEHEADERS,0))),"")))))))))}</f>
        <v>PERCEPTIONL01</v>
      </c>
      <c r="I2048" s="230"/>
      <c r="J2048" s="230" t="str">
        <f t="array" ref="J2048:J2049">{"PERCEPTIONL03";((IF("03"=(INDEX(ALLCLASSDATA,MATCH("PerceptionLegendary",CLASSFEATUREHEADERS,0),MATCH($A2049,CLASSNAMEHEADERS,0))),(INDEX(ALLCLASSDATA,MATCH("PerceptionLegendary",CLASSFEATUREHEADERS,0),MATCH(($A2049 &amp; "Points"),CLASSNAMEHEADERS,0))),(IF("03"=(INDEX(ALLCLASSDATA,MATCH("PerceptionMaster",CLASSFEATUREHEADERS,0),MATCH($A2049,CLASSNAMEHEADERS,0))),(INDEX(ALLCLASSDATA,MATCH("PerceptionMaster",CLASSFEATUREHEADERS,0),MATCH(($A2049 &amp; "Points"),CLASSNAMEHEADERS,0))),(IF("03"=(INDEX(ALLCLASSDATA,MATCH("PerceptionExpert",CLASSFEATUREHEADERS,0),MATCH($A2049,CLASSNAMEHEADERS,0))),(INDEX(ALLCLASSDATA,MATCH("PerceptionExpert",CLASSFEATUREHEADERS,0),MATCH(($A2049 &amp; "Points"),CLASSNAMEHEADERS,0))),(IF("03"=(INDEX(ALLCLASSDATA,MATCH("PerceptionTrained",CLASSFEATUREHEADERS,0),MATCH($A2049,CLASSNAMEHEADERS,0))),(INDEX(ALLCLASSDATA,MATCH("PerceptionTrained",CLASSFEATUREHEADERS,0),MATCH(($A2049 &amp; "Points"),CLASSNAMEHEADERS,0))),"")))))))))}</f>
        <v>PERCEPTIONL03</v>
      </c>
      <c r="K2048" s="230"/>
      <c r="L2048" s="230" t="str">
        <f t="array" ref="L2048:L2049">{"PERCEPTIONL05";((IF("05"=(INDEX(ALLCLASSDATA,MATCH("PerceptionLegendary",CLASSFEATUREHEADERS,0),MATCH($A2049,CLASSNAMEHEADERS,0))),(INDEX(ALLCLASSDATA,MATCH("PerceptionLegendary",CLASSFEATUREHEADERS,0),MATCH(($A2049 &amp; "Points"),CLASSNAMEHEADERS,0))),(IF("05"=(INDEX(ALLCLASSDATA,MATCH("PerceptionMaster",CLASSFEATUREHEADERS,0),MATCH($A2049,CLASSNAMEHEADERS,0))),(INDEX(ALLCLASSDATA,MATCH("PerceptionMaster",CLASSFEATUREHEADERS,0),MATCH(($A2049 &amp; "Points"),CLASSNAMEHEADERS,0))),(IF("05"=(INDEX(ALLCLASSDATA,MATCH("PerceptionExpert",CLASSFEATUREHEADERS,0),MATCH($A2049,CLASSNAMEHEADERS,0))),(INDEX(ALLCLASSDATA,MATCH("PerceptionExpert",CLASSFEATUREHEADERS,0),MATCH(($A2049 &amp; "Points"),CLASSNAMEHEADERS,0))),(IF("05"=(INDEX(ALLCLASSDATA,MATCH("PerceptionTrained",CLASSFEATUREHEADERS,0),MATCH($A2049,CLASSNAMEHEADERS,0))),(INDEX(ALLCLASSDATA,MATCH("PerceptionTrained",CLASSFEATUREHEADERS,0),MATCH(($A2049 &amp; "Points"),CLASSNAMEHEADERS,0))),"")))))))))}</f>
        <v>PERCEPTIONL05</v>
      </c>
      <c r="M2048" s="230"/>
      <c r="N2048" s="230" t="str">
        <f t="array" ref="N2048:N2049">{"PERCEPTIONL07";((IF("07"=(INDEX(ALLCLASSDATA,MATCH("PerceptionLegendary",CLASSFEATUREHEADERS,0),MATCH($A2049,CLASSNAMEHEADERS,0))),(INDEX(ALLCLASSDATA,MATCH("PerceptionLegendary",CLASSFEATUREHEADERS,0),MATCH(($A2049 &amp; "Points"),CLASSNAMEHEADERS,0))),(IF("07"=(INDEX(ALLCLASSDATA,MATCH("PerceptionMaster",CLASSFEATUREHEADERS,0),MATCH($A2049,CLASSNAMEHEADERS,0))),(INDEX(ALLCLASSDATA,MATCH("PerceptionMaster",CLASSFEATUREHEADERS,0),MATCH(($A2049 &amp; "Points"),CLASSNAMEHEADERS,0))),(IF("07"=(INDEX(ALLCLASSDATA,MATCH("PerceptionExpert",CLASSFEATUREHEADERS,0),MATCH($A2049,CLASSNAMEHEADERS,0))),(INDEX(ALLCLASSDATA,MATCH("PerceptionExpert",CLASSFEATUREHEADERS,0),MATCH(($A2049 &amp; "Points"),CLASSNAMEHEADERS,0))),(IF("07"=(INDEX(ALLCLASSDATA,MATCH("PerceptionTrained",CLASSFEATUREHEADERS,0),MATCH($A2049,CLASSNAMEHEADERS,0))),(INDEX(ALLCLASSDATA,MATCH("PerceptionTrained",CLASSFEATUREHEADERS,0),MATCH(($A2049 &amp; "Points"),CLASSNAMEHEADERS,0))),"")))))))))}</f>
        <v>PERCEPTIONL07</v>
      </c>
      <c r="O2048" s="230"/>
      <c r="P2048" s="230" t="str">
        <f t="array" ref="P2048:P2049">{"PERCEPTIONL09";((IF("09"=(INDEX(ALLCLASSDATA,MATCH("PerceptionLegendary",CLASSFEATUREHEADERS,0),MATCH($A2049,CLASSNAMEHEADERS,0))),(INDEX(ALLCLASSDATA,MATCH("PerceptionLegendary",CLASSFEATUREHEADERS,0),MATCH(($A2049 &amp; "Points"),CLASSNAMEHEADERS,0))),(IF("09"=(INDEX(ALLCLASSDATA,MATCH("PerceptionMaster",CLASSFEATUREHEADERS,0),MATCH($A2049,CLASSNAMEHEADERS,0))),(INDEX(ALLCLASSDATA,MATCH("PerceptionMaster",CLASSFEATUREHEADERS,0),MATCH(($A2049 &amp; "Points"),CLASSNAMEHEADERS,0))),(IF("09"=(INDEX(ALLCLASSDATA,MATCH("PerceptionExpert",CLASSFEATUREHEADERS,0),MATCH($A2049,CLASSNAMEHEADERS,0))),(INDEX(ALLCLASSDATA,MATCH("PerceptionExpert",CLASSFEATUREHEADERS,0),MATCH(($A2049 &amp; "Points"),CLASSNAMEHEADERS,0))),(IF("09"=(INDEX(ALLCLASSDATA,MATCH("PerceptionTrained",CLASSFEATUREHEADERS,0),MATCH($A2049,CLASSNAMEHEADERS,0))),(INDEX(ALLCLASSDATA,MATCH("PerceptionTrained",CLASSFEATUREHEADERS,0),MATCH(($A2049 &amp; "Points"),CLASSNAMEHEADERS,0))),"")))))))))}</f>
        <v>PERCEPTIONL09</v>
      </c>
      <c r="Q2048" s="230"/>
      <c r="R2048" s="230" t="str">
        <f t="array" ref="R2048:R2049">{"PERCEPTIONL11";((IF("11"=(INDEX(ALLCLASSDATA,MATCH("PerceptionLegendary",CLASSFEATUREHEADERS,0),MATCH($A2049,CLASSNAMEHEADERS,0))),(INDEX(ALLCLASSDATA,MATCH("PerceptionLegendary",CLASSFEATUREHEADERS,0),MATCH(($A2049 &amp; "Points"),CLASSNAMEHEADERS,0))),(IF("11"=(INDEX(ALLCLASSDATA,MATCH("PerceptionMaster",CLASSFEATUREHEADERS,0),MATCH($A2049,CLASSNAMEHEADERS,0))),(INDEX(ALLCLASSDATA,MATCH("PerceptionMaster",CLASSFEATUREHEADERS,0),MATCH(($A2049 &amp; "Points"),CLASSNAMEHEADERS,0))),(IF("11"=(INDEX(ALLCLASSDATA,MATCH("PerceptionExpert",CLASSFEATUREHEADERS,0),MATCH($A2049,CLASSNAMEHEADERS,0))),(INDEX(ALLCLASSDATA,MATCH("PerceptionExpert",CLASSFEATUREHEADERS,0),MATCH(($A2049 &amp; "Points"),CLASSNAMEHEADERS,0))),(IF("11"=(INDEX(ALLCLASSDATA,MATCH("PerceptionTrained",CLASSFEATUREHEADERS,0),MATCH($A2049,CLASSNAMEHEADERS,0))),(INDEX(ALLCLASSDATA,MATCH("PerceptionTrained",CLASSFEATUREHEADERS,0),MATCH(($A2049 &amp; "Points"),CLASSNAMEHEADERS,0))),"")))))))))}</f>
        <v>PERCEPTIONL11</v>
      </c>
      <c r="S2048" s="230"/>
      <c r="T2048" s="230" t="str">
        <f t="array" ref="T2048:T2049">{"PERCEPTIONL13";((IF("13"=(INDEX(ALLCLASSDATA,MATCH("PerceptionLegendary",CLASSFEATUREHEADERS,0),MATCH($A2049,CLASSNAMEHEADERS,0))),(INDEX(ALLCLASSDATA,MATCH("PerceptionLegendary",CLASSFEATUREHEADERS,0),MATCH(($A2049 &amp; "Points"),CLASSNAMEHEADERS,0))),(IF("13"=(INDEX(ALLCLASSDATA,MATCH("PerceptionMaster",CLASSFEATUREHEADERS,0),MATCH($A2049,CLASSNAMEHEADERS,0))),(INDEX(ALLCLASSDATA,MATCH("PerceptionMaster",CLASSFEATUREHEADERS,0),MATCH(($A2049 &amp; "Points"),CLASSNAMEHEADERS,0))),(IF("13"=(INDEX(ALLCLASSDATA,MATCH("PerceptionExpert",CLASSFEATUREHEADERS,0),MATCH($A2049,CLASSNAMEHEADERS,0))),(INDEX(ALLCLASSDATA,MATCH("PerceptionExpert",CLASSFEATUREHEADERS,0),MATCH(($A2049 &amp; "Points"),CLASSNAMEHEADERS,0))),(IF("13"=(INDEX(ALLCLASSDATA,MATCH("PerceptionTrained",CLASSFEATUREHEADERS,0),MATCH($A2049,CLASSNAMEHEADERS,0))),(INDEX(ALLCLASSDATA,MATCH("PerceptionTrained",CLASSFEATUREHEADERS,0),MATCH(($A2049 &amp; "Points"),CLASSNAMEHEADERS,0))),"")))))))))}</f>
        <v>PERCEPTIONL13</v>
      </c>
      <c r="U2048" s="230"/>
      <c r="V2048" s="230" t="str">
        <f t="array" ref="V2048:V2049">{"PERCEPTIONL15";((IF("15"=(INDEX(ALLCLASSDATA,MATCH("PerceptionLegendary",CLASSFEATUREHEADERS,0),MATCH($A2049,CLASSNAMEHEADERS,0))),(INDEX(ALLCLASSDATA,MATCH("PerceptionLegendary",CLASSFEATUREHEADERS,0),MATCH(($A2049 &amp; "Points"),CLASSNAMEHEADERS,0))),(IF("15"=(INDEX(ALLCLASSDATA,MATCH("PerceptionMaster",CLASSFEATUREHEADERS,0),MATCH($A2049,CLASSNAMEHEADERS,0))),(INDEX(ALLCLASSDATA,MATCH("PerceptionMaster",CLASSFEATUREHEADERS,0),MATCH(($A2049 &amp; "Points"),CLASSNAMEHEADERS,0))),(IF("15"=(INDEX(ALLCLASSDATA,MATCH("PerceptionExpert",CLASSFEATUREHEADERS,0),MATCH($A2049,CLASSNAMEHEADERS,0))),(INDEX(ALLCLASSDATA,MATCH("PerceptionExpert",CLASSFEATUREHEADERS,0),MATCH(($A2049 &amp; "Points"),CLASSNAMEHEADERS,0))),(IF("15"=(INDEX(ALLCLASSDATA,MATCH("PerceptionTrained",CLASSFEATUREHEADERS,0),MATCH($A2049,CLASSNAMEHEADERS,0))),(INDEX(ALLCLASSDATA,MATCH("PerceptionTrained",CLASSFEATUREHEADERS,0),MATCH(($A2049 &amp; "Points"),CLASSNAMEHEADERS,0))),"")))))))))}</f>
        <v>PERCEPTIONL15</v>
      </c>
      <c r="W2048" s="230"/>
      <c r="X2048" s="230" t="str">
        <f t="array" ref="X2048:X2049">{"PERCEPTIONL17";((IF("17"=(INDEX(ALLCLASSDATA,MATCH("PerceptionLegendary",CLASSFEATUREHEADERS,0),MATCH($A2049,CLASSNAMEHEADERS,0))),(INDEX(ALLCLASSDATA,MATCH("PerceptionLegendary",CLASSFEATUREHEADERS,0),MATCH(($A2049 &amp; "Points"),CLASSNAMEHEADERS,0))),(IF("17"=(INDEX(ALLCLASSDATA,MATCH("PerceptionMaster",CLASSFEATUREHEADERS,0),MATCH($A2049,CLASSNAMEHEADERS,0))),(INDEX(ALLCLASSDATA,MATCH("PerceptionMaster",CLASSFEATUREHEADERS,0),MATCH(($A2049 &amp; "Points"),CLASSNAMEHEADERS,0))),(IF("17"=(INDEX(ALLCLASSDATA,MATCH("PerceptionExpert",CLASSFEATUREHEADERS,0),MATCH($A2049,CLASSNAMEHEADERS,0))),(INDEX(ALLCLASSDATA,MATCH("PerceptionExpert",CLASSFEATUREHEADERS,0),MATCH(($A2049 &amp; "Points"),CLASSNAMEHEADERS,0))),(IF("17"=(INDEX(ALLCLASSDATA,MATCH("PerceptionTrained",CLASSFEATUREHEADERS,0),MATCH($A2049,CLASSNAMEHEADERS,0))),(INDEX(ALLCLASSDATA,MATCH("PerceptionTrained",CLASSFEATUREHEADERS,0),MATCH(($A2049 &amp; "Points"),CLASSNAMEHEADERS,0))),"")))))))))}</f>
        <v>PERCEPTIONL17</v>
      </c>
      <c r="Y2048" s="230"/>
      <c r="Z2048" s="230" t="str">
        <f t="array" ref="Z2048:Z2049">{"PERCEPTIONL19";((IF("19"=(INDEX(ALLCLASSDATA,MATCH("PerceptionLegendary",CLASSFEATUREHEADERS,0),MATCH($A2049,CLASSNAMEHEADERS,0))),(INDEX(ALLCLASSDATA,MATCH("PerceptionLegendary",CLASSFEATUREHEADERS,0),MATCH(($A2049 &amp; "Points"),CLASSNAMEHEADERS,0))),(IF("19"=(INDEX(ALLCLASSDATA,MATCH("PerceptionMaster",CLASSFEATUREHEADERS,0),MATCH($A2049,CLASSNAMEHEADERS,0))),(INDEX(ALLCLASSDATA,MATCH("PerceptionMaster",CLASSFEATUREHEADERS,0),MATCH(($A2049 &amp; "Points"),CLASSNAMEHEADERS,0))),(IF("19"=(INDEX(ALLCLASSDATA,MATCH("PerceptionExpert",CLASSFEATUREHEADERS,0),MATCH($A2049,CLASSNAMEHEADERS,0))),(INDEX(ALLCLASSDATA,MATCH("PerceptionExpert",CLASSFEATUREHEADERS,0),MATCH(($A2049 &amp; "Points"),CLASSNAMEHEADERS,0))),(IF("19"=(INDEX(ALLCLASSDATA,MATCH("PerceptionTrained",CLASSFEATUREHEADERS,0),MATCH($A2049,CLASSNAMEHEADERS,0))),(INDEX(ALLCLASSDATA,MATCH("PerceptionTrained",CLASSFEATUREHEADERS,0),MATCH(($A2049 &amp; "Points"),CLASSNAMEHEADERS,0))),"")))))))))}</f>
        <v>PERCEPTIONL19</v>
      </c>
      <c r="AA2048" s="230"/>
      <c r="AB2048" s="76" t="str">
        <f t="array" ref="AB2048:AB2049">{"PERCEPTION TOTAL";(IF(COUNTBLANK(G2049:AA2049)=17,"L",(IF(COUNTBLANK(G2049:AA2049)=18,"M",(IF(COUNTBLANK(G2049:AA2049)=19,"E",(IF(COUNTBLANK(G2049:AA2049)=20,"T",""))))))))}</f>
        <v>PERCEPTION TOTAL</v>
      </c>
      <c r="AC2048" s="76" t="str">
        <f t="array" ref="AC2048:AC2049">{"PERCEPTION TOTAL";(sum(G2049:AA2049))}</f>
        <v>PERCEPTION TOTAL</v>
      </c>
    </row>
    <row r="2049">
      <c r="A2049" s="48" t="s">
        <v>233</v>
      </c>
      <c r="B2049" s="48"/>
      <c r="C2049" s="48" t="s">
        <v>418</v>
      </c>
      <c r="D2049" s="97" t="s">
        <v>637</v>
      </c>
      <c r="E2049" s="97" t="s">
        <v>637</v>
      </c>
      <c r="F2049" s="98" t="s">
        <v>435</v>
      </c>
      <c r="G2049" s="132" t="s">
        <v>603</v>
      </c>
      <c r="H2049" s="98">
        <v>10.0</v>
      </c>
      <c r="I2049" s="98"/>
      <c r="J2049" s="98" t="s">
        <v>603</v>
      </c>
      <c r="K2049" s="98"/>
      <c r="L2049" s="98" t="s">
        <v>603</v>
      </c>
      <c r="M2049" s="98"/>
      <c r="N2049" s="98" t="s">
        <v>603</v>
      </c>
      <c r="O2049" s="98"/>
      <c r="P2049" s="98" t="s">
        <v>603</v>
      </c>
      <c r="Q2049" s="98"/>
      <c r="R2049" s="98">
        <v>50.0</v>
      </c>
      <c r="S2049" s="98"/>
      <c r="T2049" s="98" t="s">
        <v>603</v>
      </c>
      <c r="U2049" s="98"/>
      <c r="V2049" s="98" t="s">
        <v>603</v>
      </c>
      <c r="W2049" s="98"/>
      <c r="X2049" s="98" t="s">
        <v>603</v>
      </c>
      <c r="Y2049" s="98"/>
      <c r="Z2049" s="98" t="s">
        <v>603</v>
      </c>
      <c r="AA2049" s="98"/>
      <c r="AB2049" s="5" t="s">
        <v>436</v>
      </c>
      <c r="AC2049" s="47">
        <v>60.0</v>
      </c>
    </row>
    <row r="2050" hidden="1">
      <c r="A2050" s="222" t="str">
        <f t="array" ref="A2050:A2051">{"FormulaRow23";(INDEX(CLASSLIST,A2005,1))}</f>
        <v>FormulaRow23</v>
      </c>
      <c r="B2050" s="77" t="s">
        <v>236</v>
      </c>
      <c r="C2050" s="222" t="str">
        <f t="array" ref="C2050:C2051">{"CLASSTYPE";((INDEX(ALLCLASSDATA,MATCH("ClassType",CLASSFEATUREHEADERS,0),MATCH($A2051,CLASSNAMEHEADERS,0))))}</f>
        <v>CLASSTYPE</v>
      </c>
      <c r="D2050" s="228" t="str">
        <f t="array" ref="D2050:D2051">{"SAVES";"Saves"}</f>
        <v>SAVES</v>
      </c>
      <c r="E2050" s="228" t="str">
        <f t="array" ref="E2050:E2051">{"FORTITUDESAVE";"FortitudeSave"}</f>
        <v>FORTITUDESAVE</v>
      </c>
      <c r="F2050" s="230" t="str">
        <f t="array" ref="F2050:F2051">{"FORTITUDEINITIAL";((IF(H2051=10,"T",(IF(H2051=50,"E","")))))}</f>
        <v>FORTITUDEINITIAL</v>
      </c>
      <c r="G2050" s="230" t="str">
        <f t="array" ref="G2050:G2051">{"FORTITUDEINITIALPTS";((IF("00"=(INDEX(ALLCLASSDATA,MATCH("FortitudeSaveLegendary",CLASSFEATUREHEADERS,0),MATCH($A2051,CLASSNAMEHEADERS,0))),(INDEX(ALLCLASSDATA,MATCH("FortitudeSaveLegendary",CLASSFEATUREHEADERS,0),MATCH(($A2051 &amp; "Points"),CLASSNAMEHEADERS,0))),(IF("00"=(INDEX(ALLCLASSDATA,MATCH("FortitudeSaveMaster",CLASSFEATUREHEADERS,0),MATCH($A2051,CLASSNAMEHEADERS,0))),(INDEX(ALLCLASSDATA,MATCH("FortitudeSaveMaster",CLASSFEATUREHEADERS,0),MATCH(($A2051 &amp; "Points"),CLASSNAMEHEADERS,0))),(IF("00"=(INDEX(ALLCLASSDATA,MATCH("FortitudeSaveExpert",CLASSFEATUREHEADERS,0),MATCH($A2051,CLASSNAMEHEADERS,0))),(INDEX(ALLCLASSDATA,MATCH("FortitudeSaveExpert",CLASSFEATUREHEADERS,0),MATCH(($A2051 &amp; "Points"),CLASSNAMEHEADERS,0))),(IF("00"=(INDEX(ALLCLASSDATA,MATCH("FortitudeSaveTrained",CLASSFEATUREHEADERS,0),MATCH($A2051,CLASSNAMEHEADERS,0))),(INDEX(ALLCLASSDATA,MATCH("FortitudeSaveTrained",CLASSFEATUREHEADERS,0),MATCH(($A2051 &amp; "Points"),CLASSNAMEHEADERS,0))),"")))))))))}</f>
        <v>FORTITUDEINITIALPTS</v>
      </c>
      <c r="H2050" s="230" t="str">
        <f t="array" ref="H2050:H2051">{"FORTITUDEL01";((IF("01"=(INDEX(ALLCLASSDATA,MATCH("FortitudeSaveLegendary",CLASSFEATUREHEADERS,0),MATCH($A2051,CLASSNAMEHEADERS,0))),(INDEX(ALLCLASSDATA,MATCH("FortitudeSaveLegendary",CLASSFEATUREHEADERS,0),MATCH(($A2051 &amp; "Points"),CLASSNAMEHEADERS,0))),(IF("01"=(INDEX(ALLCLASSDATA,MATCH("FortitudeSaveMaster",CLASSFEATUREHEADERS,0),MATCH($A2051,CLASSNAMEHEADERS,0))),(INDEX(ALLCLASSDATA,MATCH("FortitudeSaveMaster",CLASSFEATUREHEADERS,0),MATCH(($A2051 &amp; "Points"),CLASSNAMEHEADERS,0))),(IF("01"=(INDEX(ALLCLASSDATA,MATCH("FortitudeSaveExpert",CLASSFEATUREHEADERS,0),MATCH($A2051,CLASSNAMEHEADERS,0))),(INDEX(ALLCLASSDATA,MATCH("FortitudeSaveExpert",CLASSFEATUREHEADERS,0),MATCH(($A2051 &amp; "Points"),CLASSNAMEHEADERS,0))),(IF("01"=(INDEX(ALLCLASSDATA,MATCH("FortitudeSaveTrained",CLASSFEATUREHEADERS,0),MATCH($A2051,CLASSNAMEHEADERS,0))),(INDEX(ALLCLASSDATA,MATCH("FortitudeSaveTrained",CLASSFEATUREHEADERS,0),MATCH(($A2051 &amp; "Points"),CLASSNAMEHEADERS,0))),"")))))))))}</f>
        <v>FORTITUDEL01</v>
      </c>
      <c r="I2050" s="230"/>
      <c r="J2050" s="230" t="str">
        <f t="array" ref="J2050:J2051">{"FORTITUDEL03";((IF("03"=(INDEX(ALLCLASSDATA,MATCH("FortitudeSaveLegendary",CLASSFEATUREHEADERS,0),MATCH($A2051,CLASSNAMEHEADERS,0))),(INDEX(ALLCLASSDATA,MATCH("FortitudeSaveLegendary",CLASSFEATUREHEADERS,0),MATCH(($A2051 &amp; "Points"),CLASSNAMEHEADERS,0))),(IF("03"=(INDEX(ALLCLASSDATA,MATCH("FortitudeSaveMaster",CLASSFEATUREHEADERS,0),MATCH($A2051,CLASSNAMEHEADERS,0))),(INDEX(ALLCLASSDATA,MATCH("FortitudeSaveMaster",CLASSFEATUREHEADERS,0),MATCH(($A2051 &amp; "Points"),CLASSNAMEHEADERS,0))),(IF("03"=(INDEX(ALLCLASSDATA,MATCH("FortitudeSaveExpert",CLASSFEATUREHEADERS,0),MATCH($A2051,CLASSNAMEHEADERS,0))),(INDEX(ALLCLASSDATA,MATCH("FortitudeSaveExpert",CLASSFEATUREHEADERS,0),MATCH(($A2051 &amp; "Points"),CLASSNAMEHEADERS,0))),(IF("03"=(INDEX(ALLCLASSDATA,MATCH("FortitudeSaveTrained",CLASSFEATUREHEADERS,0),MATCH($A2051,CLASSNAMEHEADERS,0))),(INDEX(ALLCLASSDATA,MATCH("FortitudeSaveTrained",CLASSFEATUREHEADERS,0),MATCH(($A2051 &amp; "Points"),CLASSNAMEHEADERS,0))),"")))))))))}</f>
        <v>FORTITUDEL03</v>
      </c>
      <c r="K2050" s="230"/>
      <c r="L2050" s="230" t="str">
        <f t="array" ref="L2050:L2051">{"FORTITUDEL05";((IF("05"=(INDEX(ALLCLASSDATA,MATCH("FortitudeSaveLegendary",CLASSFEATUREHEADERS,0),MATCH($A2051,CLASSNAMEHEADERS,0))),(INDEX(ALLCLASSDATA,MATCH("FortitudeSaveLegendary",CLASSFEATUREHEADERS,0),MATCH(($A2051 &amp; "Points"),CLASSNAMEHEADERS,0))),(IF("05"=(INDEX(ALLCLASSDATA,MATCH("FortitudeSaveMaster",CLASSFEATUREHEADERS,0),MATCH($A2051,CLASSNAMEHEADERS,0))),(INDEX(ALLCLASSDATA,MATCH("FortitudeSaveMaster",CLASSFEATUREHEADERS,0),MATCH(($A2051 &amp; "Points"),CLASSNAMEHEADERS,0))),(IF("05"=(INDEX(ALLCLASSDATA,MATCH("FortitudeSaveExpert",CLASSFEATUREHEADERS,0),MATCH($A2051,CLASSNAMEHEADERS,0))),(INDEX(ALLCLASSDATA,MATCH("FortitudeSaveExpert",CLASSFEATUREHEADERS,0),MATCH(($A2051 &amp; "Points"),CLASSNAMEHEADERS,0))),(IF("05"=(INDEX(ALLCLASSDATA,MATCH("FortitudeSaveTrained",CLASSFEATUREHEADERS,0),MATCH($A2051,CLASSNAMEHEADERS,0))),(INDEX(ALLCLASSDATA,MATCH("FortitudeSaveTrained",CLASSFEATUREHEADERS,0),MATCH(($A2051 &amp; "Points"),CLASSNAMEHEADERS,0))),"")))))))))}</f>
        <v>FORTITUDEL05</v>
      </c>
      <c r="M2050" s="230"/>
      <c r="N2050" s="230" t="str">
        <f t="array" ref="N2050:N2051">{"FORTITUDEL07";((IF("07"=(INDEX(ALLCLASSDATA,MATCH("FortitudeSaveLegendary",CLASSFEATUREHEADERS,0),MATCH($A2051,CLASSNAMEHEADERS,0))),(INDEX(ALLCLASSDATA,MATCH("FortitudeSaveLegendary",CLASSFEATUREHEADERS,0),MATCH(($A2051 &amp; "Points"),CLASSNAMEHEADERS,0))),(IF("07"=(INDEX(ALLCLASSDATA,MATCH("FortitudeSaveMaster",CLASSFEATUREHEADERS,0),MATCH($A2051,CLASSNAMEHEADERS,0))),(INDEX(ALLCLASSDATA,MATCH("FortitudeSaveMaster",CLASSFEATUREHEADERS,0),MATCH(($A2051 &amp; "Points"),CLASSNAMEHEADERS,0))),(IF("07"=(INDEX(ALLCLASSDATA,MATCH("FortitudeSaveExpert",CLASSFEATUREHEADERS,0),MATCH($A2051,CLASSNAMEHEADERS,0))),(INDEX(ALLCLASSDATA,MATCH("FortitudeSaveExpert",CLASSFEATUREHEADERS,0),MATCH(($A2051 &amp; "Points"),CLASSNAMEHEADERS,0))),(IF("07"=(INDEX(ALLCLASSDATA,MATCH("FortitudeSaveTrained",CLASSFEATUREHEADERS,0),MATCH($A2051,CLASSNAMEHEADERS,0))),(INDEX(ALLCLASSDATA,MATCH("FortitudeSaveTrained",CLASSFEATUREHEADERS,0),MATCH(($A2051 &amp; "Points"),CLASSNAMEHEADERS,0))),"")))))))))}</f>
        <v>FORTITUDEL07</v>
      </c>
      <c r="O2050" s="230"/>
      <c r="P2050" s="230" t="str">
        <f t="array" ref="P2050:P2051">{"FORTITUDEL09";((IF("09"=(INDEX(ALLCLASSDATA,MATCH("FortitudeSaveLegendary",CLASSFEATUREHEADERS,0),MATCH($A2051,CLASSNAMEHEADERS,0))),(INDEX(ALLCLASSDATA,MATCH("FortitudeSaveLegendary",CLASSFEATUREHEADERS,0),MATCH(($A2051 &amp; "Points"),CLASSNAMEHEADERS,0))),(IF("09"=(INDEX(ALLCLASSDATA,MATCH("FortitudeSaveMaster",CLASSFEATUREHEADERS,0),MATCH($A2051,CLASSNAMEHEADERS,0))),(INDEX(ALLCLASSDATA,MATCH("FortitudeSaveMaster",CLASSFEATUREHEADERS,0),MATCH(($A2051 &amp; "Points"),CLASSNAMEHEADERS,0))),(IF("09"=(INDEX(ALLCLASSDATA,MATCH("FortitudeSaveExpert",CLASSFEATUREHEADERS,0),MATCH($A2051,CLASSNAMEHEADERS,0))),(INDEX(ALLCLASSDATA,MATCH("FortitudeSaveExpert",CLASSFEATUREHEADERS,0),MATCH(($A2051 &amp; "Points"),CLASSNAMEHEADERS,0))),(IF("09"=(INDEX(ALLCLASSDATA,MATCH("FortitudeSaveTrained",CLASSFEATUREHEADERS,0),MATCH($A2051,CLASSNAMEHEADERS,0))),(INDEX(ALLCLASSDATA,MATCH("FortitudeSaveTrained",CLASSFEATUREHEADERS,0),MATCH(($A2051 &amp; "Points"),CLASSNAMEHEADERS,0))),"")))))))))}</f>
        <v>FORTITUDEL09</v>
      </c>
      <c r="Q2050" s="230"/>
      <c r="R2050" s="230" t="str">
        <f t="array" ref="R2050:R2051">{"FORTITUDEL11";((IF("11"=(INDEX(ALLCLASSDATA,MATCH("FortitudeSaveLegendary",CLASSFEATUREHEADERS,0),MATCH($A2051,CLASSNAMEHEADERS,0))),(INDEX(ALLCLASSDATA,MATCH("FortitudeSaveLegendary",CLASSFEATUREHEADERS,0),MATCH(($A2051 &amp; "Points"),CLASSNAMEHEADERS,0))),(IF("11"=(INDEX(ALLCLASSDATA,MATCH("FortitudeSaveMaster",CLASSFEATUREHEADERS,0),MATCH($A2051,CLASSNAMEHEADERS,0))),(INDEX(ALLCLASSDATA,MATCH("FortitudeSaveMaster",CLASSFEATUREHEADERS,0),MATCH(($A2051 &amp; "Points"),CLASSNAMEHEADERS,0))),(IF("11"=(INDEX(ALLCLASSDATA,MATCH("FortitudeSaveExpert",CLASSFEATUREHEADERS,0),MATCH($A2051,CLASSNAMEHEADERS,0))),(INDEX(ALLCLASSDATA,MATCH("FortitudeSaveExpert",CLASSFEATUREHEADERS,0),MATCH(($A2051 &amp; "Points"),CLASSNAMEHEADERS,0))),(IF("11"=(INDEX(ALLCLASSDATA,MATCH("FortitudeSaveTrained",CLASSFEATUREHEADERS,0),MATCH($A2051,CLASSNAMEHEADERS,0))),(INDEX(ALLCLASSDATA,MATCH("FortitudeSaveTrained",CLASSFEATUREHEADERS,0),MATCH(($A2051 &amp; "Points"),CLASSNAMEHEADERS,0))),"")))))))))}</f>
        <v>FORTITUDEL11</v>
      </c>
      <c r="S2050" s="230"/>
      <c r="T2050" s="230" t="str">
        <f t="array" ref="T2050:T2051">{"FORTITUDEL13";((IF("13"=(INDEX(ALLCLASSDATA,MATCH("FortitudeSaveLegendary",CLASSFEATUREHEADERS,0),MATCH($A2051,CLASSNAMEHEADERS,0))),(INDEX(ALLCLASSDATA,MATCH("FortitudeSaveLegendary",CLASSFEATUREHEADERS,0),MATCH(($A2051 &amp; "Points"),CLASSNAMEHEADERS,0))),(IF("13"=(INDEX(ALLCLASSDATA,MATCH("FortitudeSaveMaster",CLASSFEATUREHEADERS,0),MATCH($A2051,CLASSNAMEHEADERS,0))),(INDEX(ALLCLASSDATA,MATCH("FortitudeSaveMaster",CLASSFEATUREHEADERS,0),MATCH(($A2051 &amp; "Points"),CLASSNAMEHEADERS,0))),(IF("13"=(INDEX(ALLCLASSDATA,MATCH("FortitudeSaveExpert",CLASSFEATUREHEADERS,0),MATCH($A2051,CLASSNAMEHEADERS,0))),(INDEX(ALLCLASSDATA,MATCH("FortitudeSaveExpert",CLASSFEATUREHEADERS,0),MATCH(($A2051 &amp; "Points"),CLASSNAMEHEADERS,0))),(IF("13"=(INDEX(ALLCLASSDATA,MATCH("FortitudeSaveTrained",CLASSFEATUREHEADERS,0),MATCH($A2051,CLASSNAMEHEADERS,0))),(INDEX(ALLCLASSDATA,MATCH("FortitudeSaveTrained",CLASSFEATUREHEADERS,0),MATCH(($A2051 &amp; "Points"),CLASSNAMEHEADERS,0))),"")))))))))}</f>
        <v>FORTITUDEL13</v>
      </c>
      <c r="U2050" s="230"/>
      <c r="V2050" s="230" t="str">
        <f t="array" ref="V2050:V2051">{"FORTITUDEL15";((IF("15"=(INDEX(ALLCLASSDATA,MATCH("FortitudeSaveLegendary",CLASSFEATUREHEADERS,0),MATCH($A2051,CLASSNAMEHEADERS,0))),(INDEX(ALLCLASSDATA,MATCH("FortitudeSaveLegendary",CLASSFEATUREHEADERS,0),MATCH(($A2051 &amp; "Points"),CLASSNAMEHEADERS,0))),(IF("15"=(INDEX(ALLCLASSDATA,MATCH("FortitudeSaveMaster",CLASSFEATUREHEADERS,0),MATCH($A2051,CLASSNAMEHEADERS,0))),(INDEX(ALLCLASSDATA,MATCH("FortitudeSaveMaster",CLASSFEATUREHEADERS,0),MATCH(($A2051 &amp; "Points"),CLASSNAMEHEADERS,0))),(IF("15"=(INDEX(ALLCLASSDATA,MATCH("FortitudeSaveExpert",CLASSFEATUREHEADERS,0),MATCH($A2051,CLASSNAMEHEADERS,0))),(INDEX(ALLCLASSDATA,MATCH("FortitudeSaveExpert",CLASSFEATUREHEADERS,0),MATCH(($A2051 &amp; "Points"),CLASSNAMEHEADERS,0))),(IF("15"=(INDEX(ALLCLASSDATA,MATCH("FortitudeSaveTrained",CLASSFEATUREHEADERS,0),MATCH($A2051,CLASSNAMEHEADERS,0))),(INDEX(ALLCLASSDATA,MATCH("FortitudeSaveTrained",CLASSFEATUREHEADERS,0),MATCH(($A2051 &amp; "Points"),CLASSNAMEHEADERS,0))),"")))))))))}</f>
        <v>FORTITUDEL15</v>
      </c>
      <c r="W2050" s="230"/>
      <c r="X2050" s="230" t="str">
        <f t="array" ref="X2050:X2051">{"FORTITUDEL17";((IF("17"=(INDEX(ALLCLASSDATA,MATCH("FortitudeSaveLegendary",CLASSFEATUREHEADERS,0),MATCH($A2051,CLASSNAMEHEADERS,0))),(INDEX(ALLCLASSDATA,MATCH("FortitudeSaveLegendary",CLASSFEATUREHEADERS,0),MATCH(($A2051 &amp; "Points"),CLASSNAMEHEADERS,0))),(IF("17"=(INDEX(ALLCLASSDATA,MATCH("FortitudeSaveMaster",CLASSFEATUREHEADERS,0),MATCH($A2051,CLASSNAMEHEADERS,0))),(INDEX(ALLCLASSDATA,MATCH("FortitudeSaveMaster",CLASSFEATUREHEADERS,0),MATCH(($A2051 &amp; "Points"),CLASSNAMEHEADERS,0))),(IF("17"=(INDEX(ALLCLASSDATA,MATCH("FortitudeSaveExpert",CLASSFEATUREHEADERS,0),MATCH($A2051,CLASSNAMEHEADERS,0))),(INDEX(ALLCLASSDATA,MATCH("FortitudeSaveExpert",CLASSFEATUREHEADERS,0),MATCH(($A2051 &amp; "Points"),CLASSNAMEHEADERS,0))),(IF("17"=(INDEX(ALLCLASSDATA,MATCH("FortitudeSaveTrained",CLASSFEATUREHEADERS,0),MATCH($A2051,CLASSNAMEHEADERS,0))),(INDEX(ALLCLASSDATA,MATCH("FortitudeSaveTrained",CLASSFEATUREHEADERS,0),MATCH(($A2051 &amp; "Points"),CLASSNAMEHEADERS,0))),"")))))))))}</f>
        <v>FORTITUDEL17</v>
      </c>
      <c r="Y2050" s="230"/>
      <c r="Z2050" s="230" t="str">
        <f t="array" ref="Z2050:Z2051">{"FORTITUDEL19";((IF("19"=(INDEX(ALLCLASSDATA,MATCH("FortitudeSaveLegendary",CLASSFEATUREHEADERS,0),MATCH($A2051,CLASSNAMEHEADERS,0))),(INDEX(ALLCLASSDATA,MATCH("FortitudeSaveLegendary",CLASSFEATUREHEADERS,0),MATCH(($A2051 &amp; "Points"),CLASSNAMEHEADERS,0))),(IF("19"=(INDEX(ALLCLASSDATA,MATCH("FortitudeSaveMaster",CLASSFEATUREHEADERS,0),MATCH($A2051,CLASSNAMEHEADERS,0))),(INDEX(ALLCLASSDATA,MATCH("FortitudeSaveMaster",CLASSFEATUREHEADERS,0),MATCH(($A2051 &amp; "Points"),CLASSNAMEHEADERS,0))),(IF("19"=(INDEX(ALLCLASSDATA,MATCH("FortitudeSaveExpert",CLASSFEATUREHEADERS,0),MATCH($A2051,CLASSNAMEHEADERS,0))),(INDEX(ALLCLASSDATA,MATCH("FortitudeSaveExpert",CLASSFEATUREHEADERS,0),MATCH(($A2051 &amp; "Points"),CLASSNAMEHEADERS,0))),(IF("19"=(INDEX(ALLCLASSDATA,MATCH("FortitudeSaveTrained",CLASSFEATUREHEADERS,0),MATCH($A2051,CLASSNAMEHEADERS,0))),(INDEX(ALLCLASSDATA,MATCH("FortitudeSaveTrained",CLASSFEATUREHEADERS,0),MATCH(($A2051 &amp; "Points"),CLASSNAMEHEADERS,0))),"")))))))))}</f>
        <v>FORTITUDEL19</v>
      </c>
      <c r="AA2050" s="230"/>
      <c r="AB2050" s="76" t="str">
        <f t="array" ref="AB2050:AB2051">{"FORTITUDE TOTAL";(IF(COUNTBLANK(G2051:AA2051)=17,"L",(IF(COUNTBLANK(G2051:AA2051)=18,"M",(IF(COUNTBLANK(G2051:AA2051)=19,"E",(IF(COUNTBLANK(G2051:AA2051)=20,"T",""))))))))}</f>
        <v>FORTITUDE TOTAL</v>
      </c>
      <c r="AC2050" s="76" t="str">
        <f t="array" ref="AC2050:AC2051">{"FORTITUDE TOTAL";(sum(G2051:AA2051))}</f>
        <v>FORTITUDE TOTAL</v>
      </c>
    </row>
    <row r="2051">
      <c r="A2051" s="48" t="s">
        <v>233</v>
      </c>
      <c r="B2051" s="48"/>
      <c r="C2051" s="48" t="s">
        <v>418</v>
      </c>
      <c r="D2051" s="48" t="s">
        <v>1549</v>
      </c>
      <c r="E2051" s="48" t="s">
        <v>1550</v>
      </c>
      <c r="F2051" s="5" t="s">
        <v>435</v>
      </c>
      <c r="G2051" s="47" t="s">
        <v>603</v>
      </c>
      <c r="H2051" s="5">
        <v>10.0</v>
      </c>
      <c r="I2051" s="5"/>
      <c r="J2051" s="5" t="s">
        <v>603</v>
      </c>
      <c r="K2051" s="5"/>
      <c r="L2051" s="5">
        <v>50.0</v>
      </c>
      <c r="M2051" s="5"/>
      <c r="N2051" s="5" t="s">
        <v>603</v>
      </c>
      <c r="O2051" s="5"/>
      <c r="P2051" s="5" t="s">
        <v>603</v>
      </c>
      <c r="Q2051" s="5"/>
      <c r="R2051" s="5" t="s">
        <v>603</v>
      </c>
      <c r="S2051" s="5"/>
      <c r="T2051" s="5" t="s">
        <v>603</v>
      </c>
      <c r="U2051" s="5"/>
      <c r="V2051" s="5" t="s">
        <v>603</v>
      </c>
      <c r="W2051" s="5"/>
      <c r="X2051" s="5" t="s">
        <v>603</v>
      </c>
      <c r="Y2051" s="5"/>
      <c r="Z2051" s="5" t="s">
        <v>603</v>
      </c>
      <c r="AA2051" s="5"/>
      <c r="AB2051" s="5" t="s">
        <v>436</v>
      </c>
      <c r="AC2051" s="47">
        <v>60.0</v>
      </c>
    </row>
    <row r="2052" hidden="1">
      <c r="A2052" s="222" t="str">
        <f t="array" ref="A2052:A2053">{"FormulaRow24";(INDEX(CLASSLIST,A2005,1))}</f>
        <v>FormulaRow24</v>
      </c>
      <c r="B2052" s="77" t="s">
        <v>236</v>
      </c>
      <c r="C2052" s="222" t="str">
        <f t="array" ref="C2052:C2053">{"CLASSTYPE";((INDEX(ALLCLASSDATA,MATCH("ClassType",CLASSFEATUREHEADERS,0),MATCH($A2053,CLASSNAMEHEADERS,0))))}</f>
        <v>CLASSTYPE</v>
      </c>
      <c r="D2052" s="222" t="str">
        <f t="array" ref="D2052:D2053">{"SAVES";"Saves"}</f>
        <v>SAVES</v>
      </c>
      <c r="E2052" s="222" t="str">
        <f t="array" ref="E2052:E2053">{"REFLEXSAVE";"ReflexSave"}</f>
        <v>REFLEXSAVE</v>
      </c>
      <c r="F2052" s="223" t="str">
        <f t="array" ref="F2052:F2053">{"REFLEXINITIAL";((IF(H2053=10,"T",(IF(H2053=50,"E","")))))}</f>
        <v>REFLEXINITIAL</v>
      </c>
      <c r="G2052" s="223" t="str">
        <f t="array" ref="G2052:G2053">{"REFLEXINITIALPTS";((IF("00"=(INDEX(ALLCLASSDATA,MATCH("ReflexSaveLegendary",CLASSFEATUREHEADERS,0),MATCH($A2053,CLASSNAMEHEADERS,0))),(INDEX(ALLCLASSDATA,MATCH("ReflexSaveLegendary",CLASSFEATUREHEADERS,0),MATCH(($A2053 &amp; "Points"),CLASSNAMEHEADERS,0))),(IF("00"=(INDEX(ALLCLASSDATA,MATCH("ReflexSaveMaster",CLASSFEATUREHEADERS,0),MATCH($A2053,CLASSNAMEHEADERS,0))),(INDEX(ALLCLASSDATA,MATCH("ReflexSaveMaster",CLASSFEATUREHEADERS,0),MATCH(($A2053 &amp; "Points"),CLASSNAMEHEADERS,0))),(IF("00"=(INDEX(ALLCLASSDATA,MATCH("ReflexSaveExpert",CLASSFEATUREHEADERS,0),MATCH($A2053,CLASSNAMEHEADERS,0))),(INDEX(ALLCLASSDATA,MATCH("ReflexSaveExpert",CLASSFEATUREHEADERS,0),MATCH(($A2053 &amp; "Points"),CLASSNAMEHEADERS,0))),(IF("00"=(INDEX(ALLCLASSDATA,MATCH("ReflexSaveTrained",CLASSFEATUREHEADERS,0),MATCH($A2053,CLASSNAMEHEADERS,0))),(INDEX(ALLCLASSDATA,MATCH("ReflexSaveTrained",CLASSFEATUREHEADERS,0),MATCH(($A2053 &amp; "Points"),CLASSNAMEHEADERS,0))),"")))))))))}</f>
        <v>REFLEXINITIALPTS</v>
      </c>
      <c r="H2052" s="223" t="str">
        <f t="array" ref="H2052:H2053">{"REFLEXL01";((IF("01"=(INDEX(ALLCLASSDATA,MATCH("ReflexSaveLegendary",CLASSFEATUREHEADERS,0),MATCH($A2053,CLASSNAMEHEADERS,0))),(INDEX(ALLCLASSDATA,MATCH("ReflexSaveLegendary",CLASSFEATUREHEADERS,0),MATCH(($A2053 &amp; "Points"),CLASSNAMEHEADERS,0))),(IF("01"=(INDEX(ALLCLASSDATA,MATCH("ReflexSaveMaster",CLASSFEATUREHEADERS,0),MATCH($A2053,CLASSNAMEHEADERS,0))),(INDEX(ALLCLASSDATA,MATCH("ReflexSaveMaster",CLASSFEATUREHEADERS,0),MATCH(($A2053 &amp; "Points"),CLASSNAMEHEADERS,0))),(IF("01"=(INDEX(ALLCLASSDATA,MATCH("ReflexSaveExpert",CLASSFEATUREHEADERS,0),MATCH($A2053,CLASSNAMEHEADERS,0))),(INDEX(ALLCLASSDATA,MATCH("ReflexSaveExpert",CLASSFEATUREHEADERS,0),MATCH(($A2053 &amp; "Points"),CLASSNAMEHEADERS,0))),(IF("01"=(INDEX(ALLCLASSDATA,MATCH("ReflexSaveTrained",CLASSFEATUREHEADERS,0),MATCH($A2053,CLASSNAMEHEADERS,0))),(INDEX(ALLCLASSDATA,MATCH("ReflexSaveTrained",CLASSFEATUREHEADERS,0),MATCH(($A2053 &amp; "Points"),CLASSNAMEHEADERS,0))),"")))))))))}</f>
        <v>REFLEXL01</v>
      </c>
      <c r="I2052" s="223"/>
      <c r="J2052" s="223" t="str">
        <f t="array" ref="J2052:J2053">{"REFLEXL03";((IF("03"=(INDEX(ALLCLASSDATA,MATCH("ReflexSaveLegendary",CLASSFEATUREHEADERS,0),MATCH($A2053,CLASSNAMEHEADERS,0))),(INDEX(ALLCLASSDATA,MATCH("ReflexSaveLegendary",CLASSFEATUREHEADERS,0),MATCH(($A2053 &amp; "Points"),CLASSNAMEHEADERS,0))),(IF("03"=(INDEX(ALLCLASSDATA,MATCH("ReflexSaveMaster",CLASSFEATUREHEADERS,0),MATCH($A2053,CLASSNAMEHEADERS,0))),(INDEX(ALLCLASSDATA,MATCH("ReflexSaveMaster",CLASSFEATUREHEADERS,0),MATCH(($A2053 &amp; "Points"),CLASSNAMEHEADERS,0))),(IF("03"=(INDEX(ALLCLASSDATA,MATCH("ReflexSaveExpert",CLASSFEATUREHEADERS,0),MATCH($A2053,CLASSNAMEHEADERS,0))),(INDEX(ALLCLASSDATA,MATCH("ReflexSaveExpert",CLASSFEATUREHEADERS,0),MATCH(($A2053 &amp; "Points"),CLASSNAMEHEADERS,0))),(IF("03"=(INDEX(ALLCLASSDATA,MATCH("ReflexSaveTrained",CLASSFEATUREHEADERS,0),MATCH($A2053,CLASSNAMEHEADERS,0))),(INDEX(ALLCLASSDATA,MATCH("ReflexSaveTrained",CLASSFEATUREHEADERS,0),MATCH(($A2053 &amp; "Points"),CLASSNAMEHEADERS,0))),"")))))))))}</f>
        <v>REFLEXL03</v>
      </c>
      <c r="K2052" s="223"/>
      <c r="L2052" s="223" t="str">
        <f t="array" ref="L2052:L2053">{"REFLEXL05";((IF("05"=(INDEX(ALLCLASSDATA,MATCH("ReflexSaveLegendary",CLASSFEATUREHEADERS,0),MATCH($A2053,CLASSNAMEHEADERS,0))),(INDEX(ALLCLASSDATA,MATCH("ReflexSaveLegendary",CLASSFEATUREHEADERS,0),MATCH(($A2053 &amp; "Points"),CLASSNAMEHEADERS,0))),(IF("05"=(INDEX(ALLCLASSDATA,MATCH("ReflexSaveMaster",CLASSFEATUREHEADERS,0),MATCH($A2053,CLASSNAMEHEADERS,0))),(INDEX(ALLCLASSDATA,MATCH("ReflexSaveMaster",CLASSFEATUREHEADERS,0),MATCH(($A2053 &amp; "Points"),CLASSNAMEHEADERS,0))),(IF("05"=(INDEX(ALLCLASSDATA,MATCH("ReflexSaveExpert",CLASSFEATUREHEADERS,0),MATCH($A2053,CLASSNAMEHEADERS,0))),(INDEX(ALLCLASSDATA,MATCH("ReflexSaveExpert",CLASSFEATUREHEADERS,0),MATCH(($A2053 &amp; "Points"),CLASSNAMEHEADERS,0))),(IF("05"=(INDEX(ALLCLASSDATA,MATCH("ReflexSaveTrained",CLASSFEATUREHEADERS,0),MATCH($A2053,CLASSNAMEHEADERS,0))),(INDEX(ALLCLASSDATA,MATCH("ReflexSaveTrained",CLASSFEATUREHEADERS,0),MATCH(($A2053 &amp; "Points"),CLASSNAMEHEADERS,0))),"")))))))))}</f>
        <v>REFLEXL05</v>
      </c>
      <c r="M2052" s="223"/>
      <c r="N2052" s="223" t="str">
        <f t="array" ref="N2052:N2053">{"REFLEXL07";((IF("07"=(INDEX(ALLCLASSDATA,MATCH("ReflexSaveLegendary",CLASSFEATUREHEADERS,0),MATCH($A2053,CLASSNAMEHEADERS,0))),(INDEX(ALLCLASSDATA,MATCH("ReflexSaveLegendary",CLASSFEATUREHEADERS,0),MATCH(($A2053 &amp; "Points"),CLASSNAMEHEADERS,0))),(IF("07"=(INDEX(ALLCLASSDATA,MATCH("ReflexSaveMaster",CLASSFEATUREHEADERS,0),MATCH($A2053,CLASSNAMEHEADERS,0))),(INDEX(ALLCLASSDATA,MATCH("ReflexSaveMaster",CLASSFEATUREHEADERS,0),MATCH(($A2053 &amp; "Points"),CLASSNAMEHEADERS,0))),(IF("07"=(INDEX(ALLCLASSDATA,MATCH("ReflexSaveExpert",CLASSFEATUREHEADERS,0),MATCH($A2053,CLASSNAMEHEADERS,0))),(INDEX(ALLCLASSDATA,MATCH("ReflexSaveExpert",CLASSFEATUREHEADERS,0),MATCH(($A2053 &amp; "Points"),CLASSNAMEHEADERS,0))),(IF("07"=(INDEX(ALLCLASSDATA,MATCH("ReflexSaveTrained",CLASSFEATUREHEADERS,0),MATCH($A2053,CLASSNAMEHEADERS,0))),(INDEX(ALLCLASSDATA,MATCH("ReflexSaveTrained",CLASSFEATUREHEADERS,0),MATCH(($A2053 &amp; "Points"),CLASSNAMEHEADERS,0))),"")))))))))}</f>
        <v>REFLEXL07</v>
      </c>
      <c r="O2052" s="223"/>
      <c r="P2052" s="223" t="str">
        <f t="array" ref="P2052:P2053">{"REFLEXL09";((IF("09"=(INDEX(ALLCLASSDATA,MATCH("ReflexSaveLegendary",CLASSFEATUREHEADERS,0),MATCH($A2053,CLASSNAMEHEADERS,0))),(INDEX(ALLCLASSDATA,MATCH("ReflexSaveLegendary",CLASSFEATUREHEADERS,0),MATCH(($A2053 &amp; "Points"),CLASSNAMEHEADERS,0))),(IF("09"=(INDEX(ALLCLASSDATA,MATCH("ReflexSaveMaster",CLASSFEATUREHEADERS,0),MATCH($A2053,CLASSNAMEHEADERS,0))),(INDEX(ALLCLASSDATA,MATCH("ReflexSaveMaster",CLASSFEATUREHEADERS,0),MATCH(($A2053 &amp; "Points"),CLASSNAMEHEADERS,0))),(IF("09"=(INDEX(ALLCLASSDATA,MATCH("ReflexSaveExpert",CLASSFEATUREHEADERS,0),MATCH($A2053,CLASSNAMEHEADERS,0))),(INDEX(ALLCLASSDATA,MATCH("ReflexSaveExpert",CLASSFEATUREHEADERS,0),MATCH(($A2053 &amp; "Points"),CLASSNAMEHEADERS,0))),(IF("09"=(INDEX(ALLCLASSDATA,MATCH("ReflexSaveTrained",CLASSFEATUREHEADERS,0),MATCH($A2053,CLASSNAMEHEADERS,0))),(INDEX(ALLCLASSDATA,MATCH("ReflexSaveTrained",CLASSFEATUREHEADERS,0),MATCH(($A2053 &amp; "Points"),CLASSNAMEHEADERS,0))),"")))))))))}</f>
        <v>REFLEXL09</v>
      </c>
      <c r="Q2052" s="223"/>
      <c r="R2052" s="223" t="str">
        <f t="array" ref="R2052:R2053">{"REFLEXL11";((IF("11"=(INDEX(ALLCLASSDATA,MATCH("ReflexSaveLegendary",CLASSFEATUREHEADERS,0),MATCH($A2053,CLASSNAMEHEADERS,0))),(INDEX(ALLCLASSDATA,MATCH("ReflexSaveLegendary",CLASSFEATUREHEADERS,0),MATCH(($A2053 &amp; "Points"),CLASSNAMEHEADERS,0))),(IF("11"=(INDEX(ALLCLASSDATA,MATCH("ReflexSaveMaster",CLASSFEATUREHEADERS,0),MATCH($A2053,CLASSNAMEHEADERS,0))),(INDEX(ALLCLASSDATA,MATCH("ReflexSaveMaster",CLASSFEATUREHEADERS,0),MATCH(($A2053 &amp; "Points"),CLASSNAMEHEADERS,0))),(IF("11"=(INDEX(ALLCLASSDATA,MATCH("ReflexSaveExpert",CLASSFEATUREHEADERS,0),MATCH($A2053,CLASSNAMEHEADERS,0))),(INDEX(ALLCLASSDATA,MATCH("ReflexSaveExpert",CLASSFEATUREHEADERS,0),MATCH(($A2053 &amp; "Points"),CLASSNAMEHEADERS,0))),(IF("11"=(INDEX(ALLCLASSDATA,MATCH("ReflexSaveTrained",CLASSFEATUREHEADERS,0),MATCH($A2053,CLASSNAMEHEADERS,0))),(INDEX(ALLCLASSDATA,MATCH("ReflexSaveTrained",CLASSFEATUREHEADERS,0),MATCH(($A2053 &amp; "Points"),CLASSNAMEHEADERS,0))),"")))))))))}</f>
        <v>REFLEXL11</v>
      </c>
      <c r="S2052" s="223"/>
      <c r="T2052" s="223" t="str">
        <f t="array" ref="T2052:T2053">{"REFLEXL13";((IF("13"=(INDEX(ALLCLASSDATA,MATCH("ReflexSaveLegendary",CLASSFEATUREHEADERS,0),MATCH($A2053,CLASSNAMEHEADERS,0))),(INDEX(ALLCLASSDATA,MATCH("ReflexSaveLegendary",CLASSFEATUREHEADERS,0),MATCH(($A2053 &amp; "Points"),CLASSNAMEHEADERS,0))),(IF("13"=(INDEX(ALLCLASSDATA,MATCH("ReflexSaveMaster",CLASSFEATUREHEADERS,0),MATCH($A2053,CLASSNAMEHEADERS,0))),(INDEX(ALLCLASSDATA,MATCH("ReflexSaveMaster",CLASSFEATUREHEADERS,0),MATCH(($A2053 &amp; "Points"),CLASSNAMEHEADERS,0))),(IF("13"=(INDEX(ALLCLASSDATA,MATCH("ReflexSaveExpert",CLASSFEATUREHEADERS,0),MATCH($A2053,CLASSNAMEHEADERS,0))),(INDEX(ALLCLASSDATA,MATCH("ReflexSaveExpert",CLASSFEATUREHEADERS,0),MATCH(($A2053 &amp; "Points"),CLASSNAMEHEADERS,0))),(IF("13"=(INDEX(ALLCLASSDATA,MATCH("ReflexSaveTrained",CLASSFEATUREHEADERS,0),MATCH($A2053,CLASSNAMEHEADERS,0))),(INDEX(ALLCLASSDATA,MATCH("ReflexSaveTrained",CLASSFEATUREHEADERS,0),MATCH(($A2053 &amp; "Points"),CLASSNAMEHEADERS,0))),"")))))))))}</f>
        <v>REFLEXL13</v>
      </c>
      <c r="U2052" s="223"/>
      <c r="V2052" s="223" t="str">
        <f t="array" ref="V2052:V2053">{"REFLEXL15";((IF("15"=(INDEX(ALLCLASSDATA,MATCH("ReflexSaveLegendary",CLASSFEATUREHEADERS,0),MATCH($A2053,CLASSNAMEHEADERS,0))),(INDEX(ALLCLASSDATA,MATCH("ReflexSaveLegendary",CLASSFEATUREHEADERS,0),MATCH(($A2053 &amp; "Points"),CLASSNAMEHEADERS,0))),(IF("15"=(INDEX(ALLCLASSDATA,MATCH("ReflexSaveMaster",CLASSFEATUREHEADERS,0),MATCH($A2053,CLASSNAMEHEADERS,0))),(INDEX(ALLCLASSDATA,MATCH("ReflexSaveMaster",CLASSFEATUREHEADERS,0),MATCH(($A2053 &amp; "Points"),CLASSNAMEHEADERS,0))),(IF("15"=(INDEX(ALLCLASSDATA,MATCH("ReflexSaveExpert",CLASSFEATUREHEADERS,0),MATCH($A2053,CLASSNAMEHEADERS,0))),(INDEX(ALLCLASSDATA,MATCH("ReflexSaveExpert",CLASSFEATUREHEADERS,0),MATCH(($A2053 &amp; "Points"),CLASSNAMEHEADERS,0))),(IF("15"=(INDEX(ALLCLASSDATA,MATCH("ReflexSaveTrained",CLASSFEATUREHEADERS,0),MATCH($A2053,CLASSNAMEHEADERS,0))),(INDEX(ALLCLASSDATA,MATCH("ReflexSaveTrained",CLASSFEATUREHEADERS,0),MATCH(($A2053 &amp; "Points"),CLASSNAMEHEADERS,0))),"")))))))))}</f>
        <v>REFLEXL15</v>
      </c>
      <c r="W2052" s="223"/>
      <c r="X2052" s="223" t="str">
        <f t="array" ref="X2052:X2053">{"REFLEXL17";((IF("17"=(INDEX(ALLCLASSDATA,MATCH("ReflexSaveLegendary",CLASSFEATUREHEADERS,0),MATCH($A2053,CLASSNAMEHEADERS,0))),(INDEX(ALLCLASSDATA,MATCH("ReflexSaveLegendary",CLASSFEATUREHEADERS,0),MATCH(($A2053 &amp; "Points"),CLASSNAMEHEADERS,0))),(IF("17"=(INDEX(ALLCLASSDATA,MATCH("ReflexSaveMaster",CLASSFEATUREHEADERS,0),MATCH($A2053,CLASSNAMEHEADERS,0))),(INDEX(ALLCLASSDATA,MATCH("ReflexSaveMaster",CLASSFEATUREHEADERS,0),MATCH(($A2053 &amp; "Points"),CLASSNAMEHEADERS,0))),(IF("17"=(INDEX(ALLCLASSDATA,MATCH("ReflexSaveExpert",CLASSFEATUREHEADERS,0),MATCH($A2053,CLASSNAMEHEADERS,0))),(INDEX(ALLCLASSDATA,MATCH("ReflexSaveExpert",CLASSFEATUREHEADERS,0),MATCH(($A2053 &amp; "Points"),CLASSNAMEHEADERS,0))),(IF("17"=(INDEX(ALLCLASSDATA,MATCH("ReflexSaveTrained",CLASSFEATUREHEADERS,0),MATCH($A2053,CLASSNAMEHEADERS,0))),(INDEX(ALLCLASSDATA,MATCH("ReflexSaveTrained",CLASSFEATUREHEADERS,0),MATCH(($A2053 &amp; "Points"),CLASSNAMEHEADERS,0))),"")))))))))}</f>
        <v>REFLEXL17</v>
      </c>
      <c r="Y2052" s="223"/>
      <c r="Z2052" s="223" t="str">
        <f t="array" ref="Z2052:Z2053">{"REFLEXL19";((IF("19"=(INDEX(ALLCLASSDATA,MATCH("ReflexSaveLegendary",CLASSFEATUREHEADERS,0),MATCH($A2053,CLASSNAMEHEADERS,0))),(INDEX(ALLCLASSDATA,MATCH("ReflexSaveLegendary",CLASSFEATUREHEADERS,0),MATCH(($A2053 &amp; "Points"),CLASSNAMEHEADERS,0))),(IF("19"=(INDEX(ALLCLASSDATA,MATCH("ReflexSaveMaster",CLASSFEATUREHEADERS,0),MATCH($A2053,CLASSNAMEHEADERS,0))),(INDEX(ALLCLASSDATA,MATCH("ReflexSaveMaster",CLASSFEATUREHEADERS,0),MATCH(($A2053 &amp; "Points"),CLASSNAMEHEADERS,0))),(IF("19"=(INDEX(ALLCLASSDATA,MATCH("ReflexSaveExpert",CLASSFEATUREHEADERS,0),MATCH($A2053,CLASSNAMEHEADERS,0))),(INDEX(ALLCLASSDATA,MATCH("ReflexSaveExpert",CLASSFEATUREHEADERS,0),MATCH(($A2053 &amp; "Points"),CLASSNAMEHEADERS,0))),(IF("19"=(INDEX(ALLCLASSDATA,MATCH("ReflexSaveTrained",CLASSFEATUREHEADERS,0),MATCH($A2053,CLASSNAMEHEADERS,0))),(INDEX(ALLCLASSDATA,MATCH("ReflexSaveTrained",CLASSFEATUREHEADERS,0),MATCH(($A2053 &amp; "Points"),CLASSNAMEHEADERS,0))),"")))))))))}</f>
        <v>REFLEXL19</v>
      </c>
      <c r="AA2052" s="223"/>
      <c r="AB2052" s="76" t="str">
        <f t="array" ref="AB2052:AB2053">{"REFLEX TOTAL";(IF(COUNTBLANK(G2053:AA2053)=17,"L",(IF(COUNTBLANK(G2053:AA2053)=18,"M",(IF(COUNTBLANK(G2053:AA2053)=19,"E",(IF(COUNTBLANK(G2053:AA2053)=20,"T",""))))))))}</f>
        <v>REFLEX TOTAL</v>
      </c>
      <c r="AC2052" s="76" t="str">
        <f t="array" ref="AC2052:AC2053">{"REFLEX TOTAL";(sum(G2053:AA2053))}</f>
        <v>REFLEX TOTAL</v>
      </c>
    </row>
    <row r="2053">
      <c r="A2053" s="48" t="s">
        <v>233</v>
      </c>
      <c r="B2053" s="48"/>
      <c r="C2053" s="48" t="s">
        <v>418</v>
      </c>
      <c r="D2053" s="48" t="s">
        <v>1549</v>
      </c>
      <c r="E2053" s="48" t="s">
        <v>1572</v>
      </c>
      <c r="F2053" s="5" t="s">
        <v>435</v>
      </c>
      <c r="G2053" s="47" t="s">
        <v>603</v>
      </c>
      <c r="H2053" s="5">
        <v>10.0</v>
      </c>
      <c r="I2053" s="5"/>
      <c r="J2053" s="5" t="s">
        <v>603</v>
      </c>
      <c r="K2053" s="5"/>
      <c r="L2053" s="5" t="s">
        <v>603</v>
      </c>
      <c r="M2053" s="5"/>
      <c r="N2053" s="5" t="s">
        <v>603</v>
      </c>
      <c r="O2053" s="5"/>
      <c r="P2053" s="5">
        <v>50.0</v>
      </c>
      <c r="Q2053" s="5"/>
      <c r="R2053" s="5" t="s">
        <v>603</v>
      </c>
      <c r="S2053" s="5"/>
      <c r="T2053" s="5" t="s">
        <v>603</v>
      </c>
      <c r="U2053" s="5"/>
      <c r="V2053" s="5" t="s">
        <v>603</v>
      </c>
      <c r="W2053" s="5"/>
      <c r="X2053" s="5" t="s">
        <v>603</v>
      </c>
      <c r="Y2053" s="5"/>
      <c r="Z2053" s="5" t="s">
        <v>603</v>
      </c>
      <c r="AA2053" s="5"/>
      <c r="AB2053" s="5" t="s">
        <v>436</v>
      </c>
      <c r="AC2053" s="47">
        <v>60.0</v>
      </c>
    </row>
    <row r="2054" hidden="1">
      <c r="A2054" s="222" t="str">
        <f t="array" ref="A2054:A2055">{"FormulaRow25";(INDEX(CLASSLIST,A2005,1))}</f>
        <v>FormulaRow25</v>
      </c>
      <c r="B2054" s="77" t="s">
        <v>236</v>
      </c>
      <c r="C2054" s="222" t="str">
        <f t="array" ref="C2054:C2055">{"CLASSTYPE";((INDEX(ALLCLASSDATA,MATCH("ClassType",CLASSFEATUREHEADERS,0),MATCH($A2055,CLASSNAMEHEADERS,0))))}</f>
        <v>CLASSTYPE</v>
      </c>
      <c r="D2054" s="222" t="str">
        <f t="array" ref="D2054:D2055">{"SAVES";"Saves"}</f>
        <v>SAVES</v>
      </c>
      <c r="E2054" s="222" t="str">
        <f t="array" ref="E2054:E2055">{"WILLSAVE";"WillSave"}</f>
        <v>WILLSAVE</v>
      </c>
      <c r="F2054" s="223" t="str">
        <f t="array" ref="F2054:F2055">{"WILLINITIAL";((IF(H2055=10,"T",(IF(H2055=50,"E","")))))}</f>
        <v>WILLINITIAL</v>
      </c>
      <c r="G2054" s="223" t="str">
        <f t="array" ref="G2054:G2055">{"WILLINITIALPTS";((IF("00"=(INDEX(ALLCLASSDATA,MATCH("WillSaveLegendary",CLASSFEATUREHEADERS,0),MATCH($A2055,CLASSNAMEHEADERS,0))),(INDEX(ALLCLASSDATA,MATCH("WillSaveLegendary",CLASSFEATUREHEADERS,0),MATCH(($A2055 &amp; "Points"),CLASSNAMEHEADERS,0))),(IF("00"=(INDEX(ALLCLASSDATA,MATCH("WillSaveMaster",CLASSFEATUREHEADERS,0),MATCH($A2055,CLASSNAMEHEADERS,0))),(INDEX(ALLCLASSDATA,MATCH("WillSaveMaster",CLASSFEATUREHEADERS,0),MATCH(($A2055 &amp; "Points"),CLASSNAMEHEADERS,0))),(IF("00"=(INDEX(ALLCLASSDATA,MATCH("WillSaveExpert",CLASSFEATUREHEADERS,0),MATCH($A2055,CLASSNAMEHEADERS,0))),(INDEX(ALLCLASSDATA,MATCH("WillSaveExpert",CLASSFEATUREHEADERS,0),MATCH(($A2055 &amp; "Points"),CLASSNAMEHEADERS,0))),(IF("00"=(INDEX(ALLCLASSDATA,MATCH("WillSaveTrained",CLASSFEATUREHEADERS,0),MATCH($A2055,CLASSNAMEHEADERS,0))),(INDEX(ALLCLASSDATA,MATCH("WillSaveTrained",CLASSFEATUREHEADERS,0),MATCH(($A2055 &amp; "Points"),CLASSNAMEHEADERS,0))),"")))))))))}</f>
        <v>WILLINITIALPTS</v>
      </c>
      <c r="H2054" s="223" t="str">
        <f t="array" ref="H2054:H2055">{"WILLL01";((IF("01"=(INDEX(ALLCLASSDATA,MATCH("WillSaveLegendary",CLASSFEATUREHEADERS,0),MATCH($A2055,CLASSNAMEHEADERS,0))),(INDEX(ALLCLASSDATA,MATCH("WillSaveLegendary",CLASSFEATUREHEADERS,0),MATCH(($A2055 &amp; "Points"),CLASSNAMEHEADERS,0))),(IF("01"=(INDEX(ALLCLASSDATA,MATCH("WillSaveMaster",CLASSFEATUREHEADERS,0),MATCH($A2055,CLASSNAMEHEADERS,0))),(INDEX(ALLCLASSDATA,MATCH("WillSaveMaster",CLASSFEATUREHEADERS,0),MATCH(($A2055 &amp; "Points"),CLASSNAMEHEADERS,0))),(IF("01"=(INDEX(ALLCLASSDATA,MATCH("WillSaveExpert",CLASSFEATUREHEADERS,0),MATCH($A2055,CLASSNAMEHEADERS,0))),(INDEX(ALLCLASSDATA,MATCH("WillSaveExpert",CLASSFEATUREHEADERS,0),MATCH(($A2055 &amp; "Points"),CLASSNAMEHEADERS,0))),(IF("01"=(INDEX(ALLCLASSDATA,MATCH("WillSaveTrained",CLASSFEATUREHEADERS,0),MATCH($A2055,CLASSNAMEHEADERS,0))),(INDEX(ALLCLASSDATA,MATCH("WillSaveTrained",CLASSFEATUREHEADERS,0),MATCH(($A2055 &amp; "Points"),CLASSNAMEHEADERS,0))),"")))))))))}</f>
        <v>WILLL01</v>
      </c>
      <c r="I2054" s="223"/>
      <c r="J2054" s="223" t="str">
        <f t="array" ref="J2054:J2055">{"WILLL03";((IF("03"=(INDEX(ALLCLASSDATA,MATCH("WillSaveLegendary",CLASSFEATUREHEADERS,0),MATCH($A2055,CLASSNAMEHEADERS,0))),(INDEX(ALLCLASSDATA,MATCH("WillSaveLegendary",CLASSFEATUREHEADERS,0),MATCH(($A2055 &amp; "Points"),CLASSNAMEHEADERS,0))),(IF("03"=(INDEX(ALLCLASSDATA,MATCH("WillSaveMaster",CLASSFEATUREHEADERS,0),MATCH($A2055,CLASSNAMEHEADERS,0))),(INDEX(ALLCLASSDATA,MATCH("WillSaveMaster",CLASSFEATUREHEADERS,0),MATCH(($A2055 &amp; "Points"),CLASSNAMEHEADERS,0))),(IF("03"=(INDEX(ALLCLASSDATA,MATCH("WillSaveExpert",CLASSFEATUREHEADERS,0),MATCH($A2055,CLASSNAMEHEADERS,0))),(INDEX(ALLCLASSDATA,MATCH("WillSaveExpert",CLASSFEATUREHEADERS,0),MATCH(($A2055 &amp; "Points"),CLASSNAMEHEADERS,0))),(IF("03"=(INDEX(ALLCLASSDATA,MATCH("WillSaveTrained",CLASSFEATUREHEADERS,0),MATCH($A2055,CLASSNAMEHEADERS,0))),(INDEX(ALLCLASSDATA,MATCH("WillSaveTrained",CLASSFEATUREHEADERS,0),MATCH(($A2055 &amp; "Points"),CLASSNAMEHEADERS,0))),"")))))))))}</f>
        <v>WILLL03</v>
      </c>
      <c r="K2054" s="223"/>
      <c r="L2054" s="223" t="str">
        <f t="array" ref="L2054:L2055">{"WILLL05";((IF("05"=(INDEX(ALLCLASSDATA,MATCH("WillSaveLegendary",CLASSFEATUREHEADERS,0),MATCH($A2055,CLASSNAMEHEADERS,0))),(INDEX(ALLCLASSDATA,MATCH("WillSaveLegendary",CLASSFEATUREHEADERS,0),MATCH(($A2055 &amp; "Points"),CLASSNAMEHEADERS,0))),(IF("05"=(INDEX(ALLCLASSDATA,MATCH("WillSaveMaster",CLASSFEATUREHEADERS,0),MATCH($A2055,CLASSNAMEHEADERS,0))),(INDEX(ALLCLASSDATA,MATCH("WillSaveMaster",CLASSFEATUREHEADERS,0),MATCH(($A2055 &amp; "Points"),CLASSNAMEHEADERS,0))),(IF("05"=(INDEX(ALLCLASSDATA,MATCH("WillSaveExpert",CLASSFEATUREHEADERS,0),MATCH($A2055,CLASSNAMEHEADERS,0))),(INDEX(ALLCLASSDATA,MATCH("WillSaveExpert",CLASSFEATUREHEADERS,0),MATCH(($A2055 &amp; "Points"),CLASSNAMEHEADERS,0))),(IF("05"=(INDEX(ALLCLASSDATA,MATCH("WillSaveTrained",CLASSFEATUREHEADERS,0),MATCH($A2055,CLASSNAMEHEADERS,0))),(INDEX(ALLCLASSDATA,MATCH("WillSaveTrained",CLASSFEATUREHEADERS,0),MATCH(($A2055 &amp; "Points"),CLASSNAMEHEADERS,0))),"")))))))))}</f>
        <v>WILLL05</v>
      </c>
      <c r="M2054" s="223"/>
      <c r="N2054" s="223" t="str">
        <f t="array" ref="N2054:N2055">{"WILLL07";((IF("07"=(INDEX(ALLCLASSDATA,MATCH("WillSaveLegendary",CLASSFEATUREHEADERS,0),MATCH($A2055,CLASSNAMEHEADERS,0))),(INDEX(ALLCLASSDATA,MATCH("WillSaveLegendary",CLASSFEATUREHEADERS,0),MATCH(($A2055 &amp; "Points"),CLASSNAMEHEADERS,0))),(IF("07"=(INDEX(ALLCLASSDATA,MATCH("WillSaveMaster",CLASSFEATUREHEADERS,0),MATCH($A2055,CLASSNAMEHEADERS,0))),(INDEX(ALLCLASSDATA,MATCH("WillSaveMaster",CLASSFEATUREHEADERS,0),MATCH(($A2055 &amp; "Points"),CLASSNAMEHEADERS,0))),(IF("07"=(INDEX(ALLCLASSDATA,MATCH("WillSaveExpert",CLASSFEATUREHEADERS,0),MATCH($A2055,CLASSNAMEHEADERS,0))),(INDEX(ALLCLASSDATA,MATCH("WillSaveExpert",CLASSFEATUREHEADERS,0),MATCH(($A2055 &amp; "Points"),CLASSNAMEHEADERS,0))),(IF("07"=(INDEX(ALLCLASSDATA,MATCH("WillSaveTrained",CLASSFEATUREHEADERS,0),MATCH($A2055,CLASSNAMEHEADERS,0))),(INDEX(ALLCLASSDATA,MATCH("WillSaveTrained",CLASSFEATUREHEADERS,0),MATCH(($A2055 &amp; "Points"),CLASSNAMEHEADERS,0))),"")))))))))}</f>
        <v>WILLL07</v>
      </c>
      <c r="O2054" s="223"/>
      <c r="P2054" s="223" t="str">
        <f t="array" ref="P2054:P2055">{"WILLL09";((IF("09"=(INDEX(ALLCLASSDATA,MATCH("WillSaveLegendary",CLASSFEATUREHEADERS,0),MATCH($A2055,CLASSNAMEHEADERS,0))),(INDEX(ALLCLASSDATA,MATCH("WillSaveLegendary",CLASSFEATUREHEADERS,0),MATCH(($A2055 &amp; "Points"),CLASSNAMEHEADERS,0))),(IF("09"=(INDEX(ALLCLASSDATA,MATCH("WillSaveMaster",CLASSFEATUREHEADERS,0),MATCH($A2055,CLASSNAMEHEADERS,0))),(INDEX(ALLCLASSDATA,MATCH("WillSaveMaster",CLASSFEATUREHEADERS,0),MATCH(($A2055 &amp; "Points"),CLASSNAMEHEADERS,0))),(IF("09"=(INDEX(ALLCLASSDATA,MATCH("WillSaveExpert",CLASSFEATUREHEADERS,0),MATCH($A2055,CLASSNAMEHEADERS,0))),(INDEX(ALLCLASSDATA,MATCH("WillSaveExpert",CLASSFEATUREHEADERS,0),MATCH(($A2055 &amp; "Points"),CLASSNAMEHEADERS,0))),(IF("09"=(INDEX(ALLCLASSDATA,MATCH("WillSaveTrained",CLASSFEATUREHEADERS,0),MATCH($A2055,CLASSNAMEHEADERS,0))),(INDEX(ALLCLASSDATA,MATCH("WillSaveTrained",CLASSFEATUREHEADERS,0),MATCH(($A2055 &amp; "Points"),CLASSNAMEHEADERS,0))),"")))))))))}</f>
        <v>WILLL09</v>
      </c>
      <c r="Q2054" s="223"/>
      <c r="R2054" s="223" t="str">
        <f t="array" ref="R2054:R2055">{"WILLL11";((IF("11"=(INDEX(ALLCLASSDATA,MATCH("WillSaveLegendary",CLASSFEATUREHEADERS,0),MATCH($A2055,CLASSNAMEHEADERS,0))),(INDEX(ALLCLASSDATA,MATCH("WillSaveLegendary",CLASSFEATUREHEADERS,0),MATCH(($A2055 &amp; "Points"),CLASSNAMEHEADERS,0))),(IF("11"=(INDEX(ALLCLASSDATA,MATCH("WillSaveMaster",CLASSFEATUREHEADERS,0),MATCH($A2055,CLASSNAMEHEADERS,0))),(INDEX(ALLCLASSDATA,MATCH("WillSaveMaster",CLASSFEATUREHEADERS,0),MATCH(($A2055 &amp; "Points"),CLASSNAMEHEADERS,0))),(IF("11"=(INDEX(ALLCLASSDATA,MATCH("WillSaveExpert",CLASSFEATUREHEADERS,0),MATCH($A2055,CLASSNAMEHEADERS,0))),(INDEX(ALLCLASSDATA,MATCH("WillSaveExpert",CLASSFEATUREHEADERS,0),MATCH(($A2055 &amp; "Points"),CLASSNAMEHEADERS,0))),(IF("11"=(INDEX(ALLCLASSDATA,MATCH("WillSaveTrained",CLASSFEATUREHEADERS,0),MATCH($A2055,CLASSNAMEHEADERS,0))),(INDEX(ALLCLASSDATA,MATCH("WillSaveTrained",CLASSFEATUREHEADERS,0),MATCH(($A2055 &amp; "Points"),CLASSNAMEHEADERS,0))),"")))))))))}</f>
        <v>WILLL11</v>
      </c>
      <c r="S2054" s="223"/>
      <c r="T2054" s="223" t="str">
        <f t="array" ref="T2054:T2055">{"WILLL13";((IF("13"=(INDEX(ALLCLASSDATA,MATCH("WillSaveLegendary",CLASSFEATUREHEADERS,0),MATCH($A2055,CLASSNAMEHEADERS,0))),(INDEX(ALLCLASSDATA,MATCH("WillSaveLegendary",CLASSFEATUREHEADERS,0),MATCH(($A2055 &amp; "Points"),CLASSNAMEHEADERS,0))),(IF("13"=(INDEX(ALLCLASSDATA,MATCH("WillSaveMaster",CLASSFEATUREHEADERS,0),MATCH($A2055,CLASSNAMEHEADERS,0))),(INDEX(ALLCLASSDATA,MATCH("WillSaveMaster",CLASSFEATUREHEADERS,0),MATCH(($A2055 &amp; "Points"),CLASSNAMEHEADERS,0))),(IF("13"=(INDEX(ALLCLASSDATA,MATCH("WillSaveExpert",CLASSFEATUREHEADERS,0),MATCH($A2055,CLASSNAMEHEADERS,0))),(INDEX(ALLCLASSDATA,MATCH("WillSaveExpert",CLASSFEATUREHEADERS,0),MATCH(($A2055 &amp; "Points"),CLASSNAMEHEADERS,0))),(IF("13"=(INDEX(ALLCLASSDATA,MATCH("WillSaveTrained",CLASSFEATUREHEADERS,0),MATCH($A2055,CLASSNAMEHEADERS,0))),(INDEX(ALLCLASSDATA,MATCH("WillSaveTrained",CLASSFEATUREHEADERS,0),MATCH(($A2055 &amp; "Points"),CLASSNAMEHEADERS,0))),"")))))))))}</f>
        <v>WILLL13</v>
      </c>
      <c r="U2054" s="223"/>
      <c r="V2054" s="223" t="str">
        <f t="array" ref="V2054:V2055">{"WILLL15";((IF("15"=(INDEX(ALLCLASSDATA,MATCH("WillSaveLegendary",CLASSFEATUREHEADERS,0),MATCH($A2055,CLASSNAMEHEADERS,0))),(INDEX(ALLCLASSDATA,MATCH("WillSaveLegendary",CLASSFEATUREHEADERS,0),MATCH(($A2055 &amp; "Points"),CLASSNAMEHEADERS,0))),(IF("15"=(INDEX(ALLCLASSDATA,MATCH("WillSaveMaster",CLASSFEATUREHEADERS,0),MATCH($A2055,CLASSNAMEHEADERS,0))),(INDEX(ALLCLASSDATA,MATCH("WillSaveMaster",CLASSFEATUREHEADERS,0),MATCH(($A2055 &amp; "Points"),CLASSNAMEHEADERS,0))),(IF("15"=(INDEX(ALLCLASSDATA,MATCH("WillSaveExpert",CLASSFEATUREHEADERS,0),MATCH($A2055,CLASSNAMEHEADERS,0))),(INDEX(ALLCLASSDATA,MATCH("WillSaveExpert",CLASSFEATUREHEADERS,0),MATCH(($A2055 &amp; "Points"),CLASSNAMEHEADERS,0))),(IF("15"=(INDEX(ALLCLASSDATA,MATCH("WillSaveTrained",CLASSFEATUREHEADERS,0),MATCH($A2055,CLASSNAMEHEADERS,0))),(INDEX(ALLCLASSDATA,MATCH("WillSaveTrained",CLASSFEATUREHEADERS,0),MATCH(($A2055 &amp; "Points"),CLASSNAMEHEADERS,0))),"")))))))))}</f>
        <v>WILLL15</v>
      </c>
      <c r="W2054" s="223"/>
      <c r="X2054" s="223" t="str">
        <f t="array" ref="X2054:X2055">{"WILLL17";((IF("17"=(INDEX(ALLCLASSDATA,MATCH("WillSaveLegendary",CLASSFEATUREHEADERS,0),MATCH($A2055,CLASSNAMEHEADERS,0))),(INDEX(ALLCLASSDATA,MATCH("WillSaveLegendary",CLASSFEATUREHEADERS,0),MATCH(($A2055 &amp; "Points"),CLASSNAMEHEADERS,0))),(IF("17"=(INDEX(ALLCLASSDATA,MATCH("WillSaveMaster",CLASSFEATUREHEADERS,0),MATCH($A2055,CLASSNAMEHEADERS,0))),(INDEX(ALLCLASSDATA,MATCH("WillSaveMaster",CLASSFEATUREHEADERS,0),MATCH(($A2055 &amp; "Points"),CLASSNAMEHEADERS,0))),(IF("17"=(INDEX(ALLCLASSDATA,MATCH("WillSaveExpert",CLASSFEATUREHEADERS,0),MATCH($A2055,CLASSNAMEHEADERS,0))),(INDEX(ALLCLASSDATA,MATCH("WillSaveExpert",CLASSFEATUREHEADERS,0),MATCH(($A2055 &amp; "Points"),CLASSNAMEHEADERS,0))),(IF("17"=(INDEX(ALLCLASSDATA,MATCH("WillSaveTrained",CLASSFEATUREHEADERS,0),MATCH($A2055,CLASSNAMEHEADERS,0))),(INDEX(ALLCLASSDATA,MATCH("WillSaveTrained",CLASSFEATUREHEADERS,0),MATCH(($A2055 &amp; "Points"),CLASSNAMEHEADERS,0))),"")))))))))}</f>
        <v>WILLL17</v>
      </c>
      <c r="Y2054" s="223"/>
      <c r="Z2054" s="223" t="str">
        <f t="array" ref="Z2054:Z2055">{"WILLL19";((IF("19"=(INDEX(ALLCLASSDATA,MATCH("WillSaveLegendary",CLASSFEATUREHEADERS,0),MATCH($A2055,CLASSNAMEHEADERS,0))),(INDEX(ALLCLASSDATA,MATCH("WillSaveLegendary",CLASSFEATUREHEADERS,0),MATCH(($A2055 &amp; "Points"),CLASSNAMEHEADERS,0))),(IF("19"=(INDEX(ALLCLASSDATA,MATCH("WillSaveMaster",CLASSFEATUREHEADERS,0),MATCH($A2055,CLASSNAMEHEADERS,0))),(INDEX(ALLCLASSDATA,MATCH("WillSaveMaster",CLASSFEATUREHEADERS,0),MATCH(($A2055 &amp; "Points"),CLASSNAMEHEADERS,0))),(IF("19"=(INDEX(ALLCLASSDATA,MATCH("WillSaveExpert",CLASSFEATUREHEADERS,0),MATCH($A2055,CLASSNAMEHEADERS,0))),(INDEX(ALLCLASSDATA,MATCH("WillSaveExpert",CLASSFEATUREHEADERS,0),MATCH(($A2055 &amp; "Points"),CLASSNAMEHEADERS,0))),(IF("19"=(INDEX(ALLCLASSDATA,MATCH("WillSaveTrained",CLASSFEATUREHEADERS,0),MATCH($A2055,CLASSNAMEHEADERS,0))),(INDEX(ALLCLASSDATA,MATCH("WillSaveTrained",CLASSFEATUREHEADERS,0),MATCH(($A2055 &amp; "Points"),CLASSNAMEHEADERS,0))),"")))))))))}</f>
        <v>WILLL19</v>
      </c>
      <c r="AA2054" s="223"/>
      <c r="AB2054" s="76" t="str">
        <f t="array" ref="AB2054:AB2055">{"WILL TOTAL";(IF(COUNTBLANK(G2055:AA2055)=17,"L",(IF(COUNTBLANK(G2055:AA2055)=18,"M",(IF(COUNTBLANK(G2055:AA2055)=19,"E",(IF(COUNTBLANK(G2055:AA2055)=20,"T",""))))))))}</f>
        <v>WILL TOTAL</v>
      </c>
      <c r="AC2054" s="76" t="str">
        <f t="array" ref="AC2054:AC2055">{"WILL TOTAL";(sum(G2055:AA2055))}</f>
        <v>WILL TOTAL</v>
      </c>
    </row>
    <row r="2055">
      <c r="A2055" s="48" t="s">
        <v>233</v>
      </c>
      <c r="B2055" s="48"/>
      <c r="C2055" s="48" t="s">
        <v>418</v>
      </c>
      <c r="D2055" s="97" t="s">
        <v>1549</v>
      </c>
      <c r="E2055" s="97" t="s">
        <v>1591</v>
      </c>
      <c r="F2055" s="98" t="s">
        <v>436</v>
      </c>
      <c r="G2055" s="132">
        <v>10.0</v>
      </c>
      <c r="H2055" s="98">
        <v>50.0</v>
      </c>
      <c r="I2055" s="98"/>
      <c r="J2055" s="98" t="s">
        <v>603</v>
      </c>
      <c r="K2055" s="98"/>
      <c r="L2055" s="98" t="s">
        <v>603</v>
      </c>
      <c r="M2055" s="97"/>
      <c r="N2055" s="98" t="s">
        <v>603</v>
      </c>
      <c r="O2055" s="98"/>
      <c r="P2055" s="98" t="s">
        <v>603</v>
      </c>
      <c r="Q2055" s="97"/>
      <c r="R2055" s="98" t="s">
        <v>603</v>
      </c>
      <c r="S2055" s="98"/>
      <c r="T2055" s="98" t="s">
        <v>603</v>
      </c>
      <c r="U2055" s="98"/>
      <c r="V2055" s="98" t="s">
        <v>603</v>
      </c>
      <c r="W2055" s="98"/>
      <c r="X2055" s="98">
        <v>110.0</v>
      </c>
      <c r="Y2055" s="98"/>
      <c r="Z2055" s="98" t="s">
        <v>603</v>
      </c>
      <c r="AA2055" s="98"/>
      <c r="AB2055" s="5" t="s">
        <v>437</v>
      </c>
      <c r="AC2055" s="47">
        <v>170.0</v>
      </c>
    </row>
    <row r="2056" hidden="1">
      <c r="A2056" s="222" t="str">
        <f t="array" ref="A2056:A2057">{"FormulaRow26";(INDEX(CLASSLIST,A2005,1))}</f>
        <v>FormulaRow26</v>
      </c>
      <c r="B2056" s="77" t="s">
        <v>236</v>
      </c>
      <c r="C2056" s="222" t="str">
        <f t="array" ref="C2056:C2057">{"CLASSTYPE";((INDEX(ALLCLASSDATA,MATCH("ClassType",CLASSFEATUREHEADERS,0),MATCH($A2057,CLASSNAMEHEADERS,0))))}</f>
        <v>CLASSTYPE</v>
      </c>
      <c r="D2056" s="228" t="str">
        <f t="array" ref="D2056:D2057">{"ATTACK";"Attack"}</f>
        <v>ATTACK</v>
      </c>
      <c r="E2056" s="228" t="str">
        <f t="array" ref="E2056:E2057">{"WEAPONSPECIAL";"WeaponCS/WS/GWS"}</f>
        <v>WEAPONSPECIAL</v>
      </c>
      <c r="F2056" s="230"/>
      <c r="G2056" s="230"/>
      <c r="H2056" s="230" t="str">
        <f t="array" ref="H2056:H2057">{"WEAPONSPECIALL01";((IF("01"=INDEX(ALLCLASSDATA,MATCH("WeaponGreaterSpecialization",CLASSFEATUREHEADERS,0),MATCH($A2057,CLASSNAMEHEADERS,0)),WeaponGWS,(IF("01"=INDEX(ALLCLASSDATA,MATCH("WeaponSpecialization",CLASSFEATUREHEADERS,0),MATCH($A2057,CLASSNAMEHEADERS,0)),WeaponWS,(IF("01"=INDEX(ALLCLASSDATA,MATCH("WeaponCriticalSpecialization",CLASSFEATUREHEADERS,0),MATCH($A2057,CLASSNAMEHEADERS,0)),WeaponCS,"")))))))}</f>
        <v>WEAPONSPECIALL01</v>
      </c>
      <c r="I2056" s="230"/>
      <c r="J2056" s="230" t="str">
        <f t="array" ref="J2056:J2057">{"WEAPONSPECIALL03";((IF("03"=INDEX(ALLCLASSDATA,MATCH("WeaponGreaterSpecialization",CLASSFEATUREHEADERS,0),MATCH($A2057,CLASSNAMEHEADERS,0)),WeaponGWS,(IF("03"=INDEX(ALLCLASSDATA,MATCH("WeaponSpecialization",CLASSFEATUREHEADERS,0),MATCH($A2057,CLASSNAMEHEADERS,0)),WeaponWS,(IF("03"=INDEX(ALLCLASSDATA,MATCH("WeaponCriticalSpecialization",CLASSFEATUREHEADERS,0),MATCH($A2057,CLASSNAMEHEADERS,0)),WeaponCS,"")))))))}</f>
        <v>WEAPONSPECIALL03</v>
      </c>
      <c r="K2056" s="230"/>
      <c r="L2056" s="230" t="str">
        <f t="array" ref="L2056:L2057">{"WEAPONSPECIALL05";((IF("05"=INDEX(ALLCLASSDATA,MATCH("WeaponGreaterSpecialization",CLASSFEATUREHEADERS,0),MATCH($A2057,CLASSNAMEHEADERS,0)),WeaponGWS,(IF("05"=INDEX(ALLCLASSDATA,MATCH("WeaponSpecialization",CLASSFEATUREHEADERS,0),MATCH($A2057,CLASSNAMEHEADERS,0)),WeaponWS,(IF("05"=INDEX(ALLCLASSDATA,MATCH("WeaponCriticalSpecialization",CLASSFEATUREHEADERS,0),MATCH($A2057,CLASSNAMEHEADERS,0)),WeaponCS,"")))))))}</f>
        <v>WEAPONSPECIALL05</v>
      </c>
      <c r="M2056" s="230"/>
      <c r="N2056" s="230" t="str">
        <f t="array" ref="N2056:N2057">{"WEAPONSPECIALL07";((IF("07"=INDEX(ALLCLASSDATA,MATCH("WeaponGreaterSpecialization",CLASSFEATUREHEADERS,0),MATCH($A2057,CLASSNAMEHEADERS,0)),WeaponGWS,(IF("07"=INDEX(ALLCLASSDATA,MATCH("WeaponSpecialization",CLASSFEATUREHEADERS,0),MATCH($A2057,CLASSNAMEHEADERS,0)),WeaponWS,(IF("07"=INDEX(ALLCLASSDATA,MATCH("WeaponCriticalSpecialization",CLASSFEATUREHEADERS,0),MATCH($A2057,CLASSNAMEHEADERS,0)),WeaponCS,"")))))))}</f>
        <v>WEAPONSPECIALL07</v>
      </c>
      <c r="O2056" s="230"/>
      <c r="P2056" s="230" t="str">
        <f t="array" ref="P2056:P2057">{"WEAPONSPECIALL09";((IF("09"=INDEX(ALLCLASSDATA,MATCH("WeaponGreaterSpecialization",CLASSFEATUREHEADERS,0),MATCH($A2057,CLASSNAMEHEADERS,0)),WeaponGWS,(IF("09"=INDEX(ALLCLASSDATA,MATCH("WeaponSpecialization",CLASSFEATUREHEADERS,0),MATCH($A2057,CLASSNAMEHEADERS,0)),WeaponWS,(IF("09"=INDEX(ALLCLASSDATA,MATCH("WeaponCriticalSpecialization",CLASSFEATUREHEADERS,0),MATCH($A2057,CLASSNAMEHEADERS,0)),WeaponCS,"")))))))}</f>
        <v>WEAPONSPECIALL09</v>
      </c>
      <c r="Q2056" s="230"/>
      <c r="R2056" s="230" t="str">
        <f t="array" ref="R2056:R2057">{"WEAPONSPECIALL11";((IF("11"=INDEX(ALLCLASSDATA,MATCH("WeaponGreaterSpecialization",CLASSFEATUREHEADERS,0),MATCH($A2057,CLASSNAMEHEADERS,0)),WeaponGWS,(IF("11"=INDEX(ALLCLASSDATA,MATCH("WeaponSpecialization",CLASSFEATUREHEADERS,0),MATCH($A2057,CLASSNAMEHEADERS,0)),WeaponWS,(IF("11"=INDEX(ALLCLASSDATA,MATCH("WeaponCriticalSpecialization",CLASSFEATUREHEADERS,0),MATCH($A2057,CLASSNAMEHEADERS,0)),WeaponCS,"")))))))}</f>
        <v>WEAPONSPECIALL11</v>
      </c>
      <c r="S2056" s="230"/>
      <c r="T2056" s="230" t="str">
        <f t="array" ref="T2056:T2057">{"WEAPONSPECIALL13";((IF("13"=INDEX(ALLCLASSDATA,MATCH("WeaponGreaterSpecialization",CLASSFEATUREHEADERS,0),MATCH($A2057,CLASSNAMEHEADERS,0)),WeaponGWS,(IF("13"=INDEX(ALLCLASSDATA,MATCH("WeaponSpecialization",CLASSFEATUREHEADERS,0),MATCH($A2057,CLASSNAMEHEADERS,0)),WeaponWS,(IF("13"=INDEX(ALLCLASSDATA,MATCH("WeaponCriticalSpecialization",CLASSFEATUREHEADERS,0),MATCH($A2057,CLASSNAMEHEADERS,0)),WeaponCS,"")))))))}</f>
        <v>WEAPONSPECIALL13</v>
      </c>
      <c r="U2056" s="230"/>
      <c r="V2056" s="230" t="str">
        <f t="array" ref="V2056:V2057">{"WEAPONSPECIALL15";((IF("15"=INDEX(ALLCLASSDATA,MATCH("WeaponGreaterSpecialization",CLASSFEATUREHEADERS,0),MATCH($A2057,CLASSNAMEHEADERS,0)),WeaponGWS,(IF("15"=INDEX(ALLCLASSDATA,MATCH("WeaponSpecialization",CLASSFEATUREHEADERS,0),MATCH($A2057,CLASSNAMEHEADERS,0)),WeaponWS,(IF("15"=INDEX(ALLCLASSDATA,MATCH("WeaponCriticalSpecialization",CLASSFEATUREHEADERS,0),MATCH($A2057,CLASSNAMEHEADERS,0)),WeaponCS,"")))))))}</f>
        <v>WEAPONSPECIALL15</v>
      </c>
      <c r="W2056" s="230"/>
      <c r="X2056" s="230" t="str">
        <f t="array" ref="X2056:X2057">{"WEAPONSPECIALL17";((IF("17"=INDEX(ALLCLASSDATA,MATCH("WeaponGreaterSpecialization",CLASSFEATUREHEADERS,0),MATCH($A2057,CLASSNAMEHEADERS,0)),WeaponGWS,(IF("17"=INDEX(ALLCLASSDATA,MATCH("WeaponSpecialization",CLASSFEATUREHEADERS,0),MATCH($A2057,CLASSNAMEHEADERS,0)),WeaponWS,(IF("17"=INDEX(ALLCLASSDATA,MATCH("WeaponCriticalSpecialization",CLASSFEATUREHEADERS,0),MATCH($A2057,CLASSNAMEHEADERS,0)),WeaponCS,"")))))))}</f>
        <v>WEAPONSPECIALL17</v>
      </c>
      <c r="Y2056" s="230"/>
      <c r="Z2056" s="230" t="str">
        <f t="array" ref="Z2056:Z2057">{"WEAPONSPECIALL19";((IF("19"=INDEX(ALLCLASSDATA,MATCH("WeaponGreaterSpecialization",CLASSFEATUREHEADERS,0),MATCH($A2057,CLASSNAMEHEADERS,0)),WeaponGWS,(IF("19"=INDEX(ALLCLASSDATA,MATCH("WeaponSpecialization",CLASSFEATUREHEADERS,0),MATCH($A2057,CLASSNAMEHEADERS,0)),WeaponWS,(IF("19"=INDEX(ALLCLASSDATA,MATCH("WeaponCriticalSpecialization",CLASSFEATUREHEADERS,0),MATCH($A2057,CLASSNAMEHEADERS,0)),WeaponCS,"")))))))}</f>
        <v>WEAPONSPECIALL19</v>
      </c>
      <c r="AA2056" s="230"/>
      <c r="AB2056" s="76"/>
      <c r="AC2056" s="76" t="str">
        <f t="array" ref="AC2056:AC2057">{"WEAPONSPECIAL TOTAL";(sum(G2057:AA2057))}</f>
        <v>WEAPONSPECIAL TOTAL</v>
      </c>
    </row>
    <row r="2057">
      <c r="A2057" s="48" t="s">
        <v>233</v>
      </c>
      <c r="B2057" s="48"/>
      <c r="C2057" s="48" t="s">
        <v>418</v>
      </c>
      <c r="D2057" s="48" t="s">
        <v>1634</v>
      </c>
      <c r="E2057" s="48" t="s">
        <v>1635</v>
      </c>
      <c r="F2057" s="5"/>
      <c r="G2057" s="47"/>
      <c r="H2057" s="5" t="s">
        <v>603</v>
      </c>
      <c r="I2057" s="5"/>
      <c r="J2057" s="5" t="s">
        <v>603</v>
      </c>
      <c r="K2057" s="5"/>
      <c r="L2057" s="5" t="s">
        <v>603</v>
      </c>
      <c r="M2057" s="5"/>
      <c r="N2057" s="5" t="s">
        <v>603</v>
      </c>
      <c r="O2057" s="5"/>
      <c r="P2057" s="5" t="s">
        <v>603</v>
      </c>
      <c r="Q2057" s="5"/>
      <c r="R2057" s="5" t="s">
        <v>603</v>
      </c>
      <c r="S2057" s="5"/>
      <c r="T2057" s="5">
        <v>70.0</v>
      </c>
      <c r="U2057" s="5"/>
      <c r="V2057" s="5" t="s">
        <v>603</v>
      </c>
      <c r="W2057" s="5"/>
      <c r="X2057" s="5" t="s">
        <v>603</v>
      </c>
      <c r="Y2057" s="5"/>
      <c r="Z2057" s="5" t="s">
        <v>603</v>
      </c>
      <c r="AA2057" s="5"/>
      <c r="AB2057" s="5"/>
      <c r="AC2057" s="47">
        <v>70.0</v>
      </c>
    </row>
    <row r="2058" hidden="1">
      <c r="A2058" s="222" t="str">
        <f t="array" ref="A2058:A2059">{"FormulaRow27";(INDEX(CLASSLIST,A2005,1))}</f>
        <v>FormulaRow27</v>
      </c>
      <c r="B2058" s="77" t="s">
        <v>236</v>
      </c>
      <c r="C2058" s="222" t="str">
        <f t="array" ref="C2058:C2059">{"CLASSTYPE";((INDEX(ALLCLASSDATA,MATCH("ClassType",CLASSFEATUREHEADERS,0),MATCH($A2059,CLASSNAMEHEADERS,0))))}</f>
        <v>CLASSTYPE</v>
      </c>
      <c r="D2058" s="222" t="str">
        <f t="array" ref="D2058:D2059">{"ATTACK";"Attack"}</f>
        <v>ATTACK</v>
      </c>
      <c r="E2058" s="222" t="str">
        <f t="array" ref="E2058:E2059">{"UNARMED";"Unarmed"}</f>
        <v>UNARMED</v>
      </c>
      <c r="F2058" s="223" t="str">
        <f t="array" ref="F2058:F2059">{"UNARMEDINITIAL";((IF(H2059=10,"T",(IF(H2059=50,"E","")))))}</f>
        <v>UNARMEDINITIAL</v>
      </c>
      <c r="G2058" s="223" t="str">
        <f t="array" ref="G2058:G2059">{"UNARMEDINITIALPTS";((IF("00"=(INDEX(ALLCLASSDATA,MATCH("UnarmedLegendary",CLASSFEATUREHEADERS,0),MATCH($A2059,CLASSNAMEHEADERS,0))),(INDEX(ALLCLASSDATA,MATCH("UnarmedLegendary",CLASSFEATUREHEADERS,0),MATCH(($A2059 &amp; "Points"),CLASSNAMEHEADERS,0))),(IF("00"=(INDEX(ALLCLASSDATA,MATCH("UnarmedMaster",CLASSFEATUREHEADERS,0),MATCH($A2059,CLASSNAMEHEADERS,0))),(INDEX(ALLCLASSDATA,MATCH("UnarmedMaster",CLASSFEATUREHEADERS,0),MATCH(($A2059 &amp; "Points"),CLASSNAMEHEADERS,0))),(IF("00"=(INDEX(ALLCLASSDATA,MATCH("UnarmedExpert",CLASSFEATUREHEADERS,0),MATCH($A2059,CLASSNAMEHEADERS,0))),(INDEX(ALLCLASSDATA,MATCH("UnarmedExpert",CLASSFEATUREHEADERS,0),MATCH(($A2059 &amp; "Points"),CLASSNAMEHEADERS,0))),(IF("00"=(INDEX(ALLCLASSDATA,MATCH("UnarmedTrained",CLASSFEATUREHEADERS,0),MATCH($A2059,CLASSNAMEHEADERS,0))),(INDEX(ALLCLASSDATA,MATCH("UnarmedTrained",CLASSFEATUREHEADERS,0),MATCH(($A2059 &amp; "Points"),CLASSNAMEHEADERS,0))),"")))))))))}</f>
        <v>UNARMEDINITIALPTS</v>
      </c>
      <c r="H2058" s="223" t="str">
        <f t="array" ref="H2058:H2059">{"UNARMEDL01";((IF("01"=(INDEX(ALLCLASSDATA,MATCH("UnarmedLegendary",CLASSFEATUREHEADERS,0),MATCH($A2059,CLASSNAMEHEADERS,0))),(INDEX(ALLCLASSDATA,MATCH("UnarmedLegendary",CLASSFEATUREHEADERS,0),MATCH(($A2059 &amp; "Points"),CLASSNAMEHEADERS,0))),(IF("01"=(INDEX(ALLCLASSDATA,MATCH("UnarmedMaster",CLASSFEATUREHEADERS,0),MATCH($A2059,CLASSNAMEHEADERS,0))),(INDEX(ALLCLASSDATA,MATCH("UnarmedMaster",CLASSFEATUREHEADERS,0),MATCH(($A2059 &amp; "Points"),CLASSNAMEHEADERS,0))),(IF("01"=(INDEX(ALLCLASSDATA,MATCH("UnarmedExpert",CLASSFEATUREHEADERS,0),MATCH($A2059,CLASSNAMEHEADERS,0))),(INDEX(ALLCLASSDATA,MATCH("UnarmedExpert",CLASSFEATUREHEADERS,0),MATCH(($A2059 &amp; "Points"),CLASSNAMEHEADERS,0))),(IF("01"=(INDEX(ALLCLASSDATA,MATCH("UnarmedTrained",CLASSFEATUREHEADERS,0),MATCH($A2059,CLASSNAMEHEADERS,0))),(INDEX(ALLCLASSDATA,MATCH("UnarmedTrained",CLASSFEATUREHEADERS,0),MATCH(($A2059 &amp; "Points"),CLASSNAMEHEADERS,0))),"")))))))))}</f>
        <v>UNARMEDL01</v>
      </c>
      <c r="I2058" s="223"/>
      <c r="J2058" s="223" t="str">
        <f t="array" ref="J2058:J2059">{"UNARMEDL03";((IF("03"=(INDEX(ALLCLASSDATA,MATCH("UnarmedLegendary",CLASSFEATUREHEADERS,0),MATCH($A2059,CLASSNAMEHEADERS,0))),(INDEX(ALLCLASSDATA,MATCH("UnarmedLegendary",CLASSFEATUREHEADERS,0),MATCH(($A2059 &amp; "Points"),CLASSNAMEHEADERS,0))),(IF("03"=(INDEX(ALLCLASSDATA,MATCH("UnarmedMaster",CLASSFEATUREHEADERS,0),MATCH($A2059,CLASSNAMEHEADERS,0))),(INDEX(ALLCLASSDATA,MATCH("UnarmedMaster",CLASSFEATUREHEADERS,0),MATCH(($A2059 &amp; "Points"),CLASSNAMEHEADERS,0))),(IF("03"=(INDEX(ALLCLASSDATA,MATCH("UnarmedExpert",CLASSFEATUREHEADERS,0),MATCH($A2059,CLASSNAMEHEADERS,0))),(INDEX(ALLCLASSDATA,MATCH("UnarmedExpert",CLASSFEATUREHEADERS,0),MATCH(($A2059 &amp; "Points"),CLASSNAMEHEADERS,0))),(IF("03"=(INDEX(ALLCLASSDATA,MATCH("UnarmedTrained",CLASSFEATUREHEADERS,0),MATCH($A2059,CLASSNAMEHEADERS,0))),(INDEX(ALLCLASSDATA,MATCH("UnarmedTrained",CLASSFEATUREHEADERS,0),MATCH(($A2059 &amp; "Points"),CLASSNAMEHEADERS,0))),"")))))))))}</f>
        <v>UNARMEDL03</v>
      </c>
      <c r="K2058" s="223"/>
      <c r="L2058" s="223" t="str">
        <f t="array" ref="L2058:L2059">{"UNARMEDL05";((IF("05"=(INDEX(ALLCLASSDATA,MATCH("UnarmedLegendary",CLASSFEATUREHEADERS,0),MATCH($A2059,CLASSNAMEHEADERS,0))),(INDEX(ALLCLASSDATA,MATCH("UnarmedLegendary",CLASSFEATUREHEADERS,0),MATCH(($A2059 &amp; "Points"),CLASSNAMEHEADERS,0))),(IF("05"=(INDEX(ALLCLASSDATA,MATCH("UnarmedMaster",CLASSFEATUREHEADERS,0),MATCH($A2059,CLASSNAMEHEADERS,0))),(INDEX(ALLCLASSDATA,MATCH("UnarmedMaster",CLASSFEATUREHEADERS,0),MATCH(($A2059 &amp; "Points"),CLASSNAMEHEADERS,0))),(IF("05"=(INDEX(ALLCLASSDATA,MATCH("UnarmedExpert",CLASSFEATUREHEADERS,0),MATCH($A2059,CLASSNAMEHEADERS,0))),(INDEX(ALLCLASSDATA,MATCH("UnarmedExpert",CLASSFEATUREHEADERS,0),MATCH(($A2059 &amp; "Points"),CLASSNAMEHEADERS,0))),(IF("05"=(INDEX(ALLCLASSDATA,MATCH("UnarmedTrained",CLASSFEATUREHEADERS,0),MATCH($A2059,CLASSNAMEHEADERS,0))),(INDEX(ALLCLASSDATA,MATCH("UnarmedTrained",CLASSFEATUREHEADERS,0),MATCH(($A2059 &amp; "Points"),CLASSNAMEHEADERS,0))),"")))))))))}</f>
        <v>UNARMEDL05</v>
      </c>
      <c r="M2058" s="223"/>
      <c r="N2058" s="223" t="str">
        <f t="array" ref="N2058:N2059">{"UNARMEDL07";((IF("07"=(INDEX(ALLCLASSDATA,MATCH("UnarmedLegendary",CLASSFEATUREHEADERS,0),MATCH($A2059,CLASSNAMEHEADERS,0))),(INDEX(ALLCLASSDATA,MATCH("UnarmedLegendary",CLASSFEATUREHEADERS,0),MATCH(($A2059 &amp; "Points"),CLASSNAMEHEADERS,0))),(IF("07"=(INDEX(ALLCLASSDATA,MATCH("UnarmedMaster",CLASSFEATUREHEADERS,0),MATCH($A2059,CLASSNAMEHEADERS,0))),(INDEX(ALLCLASSDATA,MATCH("UnarmedMaster",CLASSFEATUREHEADERS,0),MATCH(($A2059 &amp; "Points"),CLASSNAMEHEADERS,0))),(IF("07"=(INDEX(ALLCLASSDATA,MATCH("UnarmedExpert",CLASSFEATUREHEADERS,0),MATCH($A2059,CLASSNAMEHEADERS,0))),(INDEX(ALLCLASSDATA,MATCH("UnarmedExpert",CLASSFEATUREHEADERS,0),MATCH(($A2059 &amp; "Points"),CLASSNAMEHEADERS,0))),(IF("07"=(INDEX(ALLCLASSDATA,MATCH("UnarmedTrained",CLASSFEATUREHEADERS,0),MATCH($A2059,CLASSNAMEHEADERS,0))),(INDEX(ALLCLASSDATA,MATCH("UnarmedTrained",CLASSFEATUREHEADERS,0),MATCH(($A2059 &amp; "Points"),CLASSNAMEHEADERS,0))),"")))))))))}</f>
        <v>UNARMEDL07</v>
      </c>
      <c r="O2058" s="223"/>
      <c r="P2058" s="223" t="str">
        <f t="array" ref="P2058:P2059">{"UNARMEDL09";((IF("09"=(INDEX(ALLCLASSDATA,MATCH("UnarmedLegendary",CLASSFEATUREHEADERS,0),MATCH($A2059,CLASSNAMEHEADERS,0))),(INDEX(ALLCLASSDATA,MATCH("UnarmedLegendary",CLASSFEATUREHEADERS,0),MATCH(($A2059 &amp; "Points"),CLASSNAMEHEADERS,0))),(IF("09"=(INDEX(ALLCLASSDATA,MATCH("UnarmedMaster",CLASSFEATUREHEADERS,0),MATCH($A2059,CLASSNAMEHEADERS,0))),(INDEX(ALLCLASSDATA,MATCH("UnarmedMaster",CLASSFEATUREHEADERS,0),MATCH(($A2059 &amp; "Points"),CLASSNAMEHEADERS,0))),(IF("09"=(INDEX(ALLCLASSDATA,MATCH("UnarmedExpert",CLASSFEATUREHEADERS,0),MATCH($A2059,CLASSNAMEHEADERS,0))),(INDEX(ALLCLASSDATA,MATCH("UnarmedExpert",CLASSFEATUREHEADERS,0),MATCH(($A2059 &amp; "Points"),CLASSNAMEHEADERS,0))),(IF("09"=(INDEX(ALLCLASSDATA,MATCH("UnarmedTrained",CLASSFEATUREHEADERS,0),MATCH($A2059,CLASSNAMEHEADERS,0))),(INDEX(ALLCLASSDATA,MATCH("UnarmedTrained",CLASSFEATUREHEADERS,0),MATCH(($A2059 &amp; "Points"),CLASSNAMEHEADERS,0))),"")))))))))}</f>
        <v>UNARMEDL09</v>
      </c>
      <c r="Q2058" s="223"/>
      <c r="R2058" s="223" t="str">
        <f t="array" ref="R2058:R2059">{"UNARMEDL11";((IF("11"=(INDEX(ALLCLASSDATA,MATCH("UnarmedLegendary",CLASSFEATUREHEADERS,0),MATCH($A2059,CLASSNAMEHEADERS,0))),(INDEX(ALLCLASSDATA,MATCH("UnarmedLegendary",CLASSFEATUREHEADERS,0),MATCH(($A2059 &amp; "Points"),CLASSNAMEHEADERS,0))),(IF("11"=(INDEX(ALLCLASSDATA,MATCH("UnarmedMaster",CLASSFEATUREHEADERS,0),MATCH($A2059,CLASSNAMEHEADERS,0))),(INDEX(ALLCLASSDATA,MATCH("UnarmedMaster",CLASSFEATUREHEADERS,0),MATCH(($A2059 &amp; "Points"),CLASSNAMEHEADERS,0))),(IF("11"=(INDEX(ALLCLASSDATA,MATCH("UnarmedExpert",CLASSFEATUREHEADERS,0),MATCH($A2059,CLASSNAMEHEADERS,0))),(INDEX(ALLCLASSDATA,MATCH("UnarmedExpert",CLASSFEATUREHEADERS,0),MATCH(($A2059 &amp; "Points"),CLASSNAMEHEADERS,0))),(IF("11"=(INDEX(ALLCLASSDATA,MATCH("UnarmedTrained",CLASSFEATUREHEADERS,0),MATCH($A2059,CLASSNAMEHEADERS,0))),(INDEX(ALLCLASSDATA,MATCH("UnarmedTrained",CLASSFEATUREHEADERS,0),MATCH(($A2059 &amp; "Points"),CLASSNAMEHEADERS,0))),"")))))))))}</f>
        <v>UNARMEDL11</v>
      </c>
      <c r="S2058" s="223"/>
      <c r="T2058" s="223" t="str">
        <f t="array" ref="T2058:T2059">{"UNARMEDL13";((IF("13"=(INDEX(ALLCLASSDATA,MATCH("UnarmedLegendary",CLASSFEATUREHEADERS,0),MATCH($A2059,CLASSNAMEHEADERS,0))),(INDEX(ALLCLASSDATA,MATCH("UnarmedLegendary",CLASSFEATUREHEADERS,0),MATCH(($A2059 &amp; "Points"),CLASSNAMEHEADERS,0))),(IF("13"=(INDEX(ALLCLASSDATA,MATCH("UnarmedMaster",CLASSFEATUREHEADERS,0),MATCH($A2059,CLASSNAMEHEADERS,0))),(INDEX(ALLCLASSDATA,MATCH("UnarmedMaster",CLASSFEATUREHEADERS,0),MATCH(($A2059 &amp; "Points"),CLASSNAMEHEADERS,0))),(IF("13"=(INDEX(ALLCLASSDATA,MATCH("UnarmedExpert",CLASSFEATUREHEADERS,0),MATCH($A2059,CLASSNAMEHEADERS,0))),(INDEX(ALLCLASSDATA,MATCH("UnarmedExpert",CLASSFEATUREHEADERS,0),MATCH(($A2059 &amp; "Points"),CLASSNAMEHEADERS,0))),(IF("13"=(INDEX(ALLCLASSDATA,MATCH("UnarmedTrained",CLASSFEATUREHEADERS,0),MATCH($A2059,CLASSNAMEHEADERS,0))),(INDEX(ALLCLASSDATA,MATCH("UnarmedTrained",CLASSFEATUREHEADERS,0),MATCH(($A2059 &amp; "Points"),CLASSNAMEHEADERS,0))),"")))))))))}</f>
        <v>UNARMEDL13</v>
      </c>
      <c r="U2058" s="223"/>
      <c r="V2058" s="223" t="str">
        <f t="array" ref="V2058:V2059">{"UNARMEDL15";((IF("15"=(INDEX(ALLCLASSDATA,MATCH("UnarmedLegendary",CLASSFEATUREHEADERS,0),MATCH($A2059,CLASSNAMEHEADERS,0))),(INDEX(ALLCLASSDATA,MATCH("UnarmedLegendary",CLASSFEATUREHEADERS,0),MATCH(($A2059 &amp; "Points"),CLASSNAMEHEADERS,0))),(IF("15"=(INDEX(ALLCLASSDATA,MATCH("UnarmedMaster",CLASSFEATUREHEADERS,0),MATCH($A2059,CLASSNAMEHEADERS,0))),(INDEX(ALLCLASSDATA,MATCH("UnarmedMaster",CLASSFEATUREHEADERS,0),MATCH(($A2059 &amp; "Points"),CLASSNAMEHEADERS,0))),(IF("15"=(INDEX(ALLCLASSDATA,MATCH("UnarmedExpert",CLASSFEATUREHEADERS,0),MATCH($A2059,CLASSNAMEHEADERS,0))),(INDEX(ALLCLASSDATA,MATCH("UnarmedExpert",CLASSFEATUREHEADERS,0),MATCH(($A2059 &amp; "Points"),CLASSNAMEHEADERS,0))),(IF("15"=(INDEX(ALLCLASSDATA,MATCH("UnarmedTrained",CLASSFEATUREHEADERS,0),MATCH($A2059,CLASSNAMEHEADERS,0))),(INDEX(ALLCLASSDATA,MATCH("UnarmedTrained",CLASSFEATUREHEADERS,0),MATCH(($A2059 &amp; "Points"),CLASSNAMEHEADERS,0))),"")))))))))}</f>
        <v>UNARMEDL15</v>
      </c>
      <c r="W2058" s="223"/>
      <c r="X2058" s="223" t="str">
        <f t="array" ref="X2058:X2059">{"UNARMEDL17";((IF("17"=(INDEX(ALLCLASSDATA,MATCH("UnarmedLegendary",CLASSFEATUREHEADERS,0),MATCH($A2059,CLASSNAMEHEADERS,0))),(INDEX(ALLCLASSDATA,MATCH("UnarmedLegendary",CLASSFEATUREHEADERS,0),MATCH(($A2059 &amp; "Points"),CLASSNAMEHEADERS,0))),(IF("17"=(INDEX(ALLCLASSDATA,MATCH("UnarmedMaster",CLASSFEATUREHEADERS,0),MATCH($A2059,CLASSNAMEHEADERS,0))),(INDEX(ALLCLASSDATA,MATCH("UnarmedMaster",CLASSFEATUREHEADERS,0),MATCH(($A2059 &amp; "Points"),CLASSNAMEHEADERS,0))),(IF("17"=(INDEX(ALLCLASSDATA,MATCH("UnarmedExpert",CLASSFEATUREHEADERS,0),MATCH($A2059,CLASSNAMEHEADERS,0))),(INDEX(ALLCLASSDATA,MATCH("UnarmedExpert",CLASSFEATUREHEADERS,0),MATCH(($A2059 &amp; "Points"),CLASSNAMEHEADERS,0))),(IF("17"=(INDEX(ALLCLASSDATA,MATCH("UnarmedTrained",CLASSFEATUREHEADERS,0),MATCH($A2059,CLASSNAMEHEADERS,0))),(INDEX(ALLCLASSDATA,MATCH("UnarmedTrained",CLASSFEATUREHEADERS,0),MATCH(($A2059 &amp; "Points"),CLASSNAMEHEADERS,0))),"")))))))))}</f>
        <v>UNARMEDL17</v>
      </c>
      <c r="Y2058" s="223"/>
      <c r="Z2058" s="223" t="str">
        <f t="array" ref="Z2058:Z2059">{"UNARMEDL19";((IF("19"=(INDEX(ALLCLASSDATA,MATCH("UnarmedLegendary",CLASSFEATUREHEADERS,0),MATCH($A2059,CLASSNAMEHEADERS,0))),(INDEX(ALLCLASSDATA,MATCH("UnarmedLegendary",CLASSFEATUREHEADERS,0),MATCH(($A2059 &amp; "Points"),CLASSNAMEHEADERS,0))),(IF("19"=(INDEX(ALLCLASSDATA,MATCH("UnarmedMaster",CLASSFEATUREHEADERS,0),MATCH($A2059,CLASSNAMEHEADERS,0))),(INDEX(ALLCLASSDATA,MATCH("UnarmedMaster",CLASSFEATUREHEADERS,0),MATCH(($A2059 &amp; "Points"),CLASSNAMEHEADERS,0))),(IF("19"=(INDEX(ALLCLASSDATA,MATCH("UnarmedExpert",CLASSFEATUREHEADERS,0),MATCH($A2059,CLASSNAMEHEADERS,0))),(INDEX(ALLCLASSDATA,MATCH("UnarmedExpert",CLASSFEATUREHEADERS,0),MATCH(($A2059 &amp; "Points"),CLASSNAMEHEADERS,0))),(IF("19"=(INDEX(ALLCLASSDATA,MATCH("UnarmedTrained",CLASSFEATUREHEADERS,0),MATCH($A2059,CLASSNAMEHEADERS,0))),(INDEX(ALLCLASSDATA,MATCH("UnarmedTrained",CLASSFEATUREHEADERS,0),MATCH(($A2059 &amp; "Points"),CLASSNAMEHEADERS,0))),"")))))))))}</f>
        <v>UNARMEDL19</v>
      </c>
      <c r="AA2058" s="223"/>
      <c r="AB2058" s="76" t="str">
        <f t="array" ref="AB2058:AB2059">{"UNARMED TOTAL";(IF(COUNTBLANK(G2059:AA2059)=17,"L",(IF(COUNTBLANK(G2059:AA2059)=18,"M",(IF(COUNTBLANK(G2059:AA2059)=19,"E",(IF(COUNTBLANK(G2059:AA2059)=20,"T",""))))))))}</f>
        <v>UNARMED TOTAL</v>
      </c>
      <c r="AC2058" s="76" t="str">
        <f t="array" ref="AC2058:AC2059">{"UNARMED TOTAL";(sum(G2059:AA2059))}</f>
        <v>UNARMED TOTAL</v>
      </c>
    </row>
    <row r="2059">
      <c r="A2059" s="48" t="s">
        <v>233</v>
      </c>
      <c r="B2059" s="48"/>
      <c r="C2059" s="48" t="s">
        <v>418</v>
      </c>
      <c r="D2059" s="48" t="s">
        <v>1634</v>
      </c>
      <c r="E2059" s="48" t="s">
        <v>257</v>
      </c>
      <c r="F2059" s="5" t="s">
        <v>435</v>
      </c>
      <c r="G2059" s="47" t="s">
        <v>603</v>
      </c>
      <c r="H2059" s="5">
        <v>10.0</v>
      </c>
      <c r="I2059" s="5"/>
      <c r="J2059" s="5" t="s">
        <v>603</v>
      </c>
      <c r="K2059" s="5"/>
      <c r="L2059" s="5" t="s">
        <v>603</v>
      </c>
      <c r="M2059" s="5"/>
      <c r="N2059" s="5" t="s">
        <v>603</v>
      </c>
      <c r="O2059" s="5"/>
      <c r="P2059" s="5" t="s">
        <v>603</v>
      </c>
      <c r="Q2059" s="5"/>
      <c r="R2059" s="5" t="s">
        <v>436</v>
      </c>
      <c r="S2059" s="5"/>
      <c r="T2059" s="5" t="s">
        <v>603</v>
      </c>
      <c r="U2059" s="5"/>
      <c r="V2059" s="5" t="s">
        <v>603</v>
      </c>
      <c r="W2059" s="5"/>
      <c r="X2059" s="5" t="s">
        <v>603</v>
      </c>
      <c r="Y2059" s="5"/>
      <c r="Z2059" s="5" t="s">
        <v>603</v>
      </c>
      <c r="AA2059" s="5"/>
      <c r="AB2059" s="5" t="s">
        <v>436</v>
      </c>
      <c r="AC2059" s="47">
        <v>10.0</v>
      </c>
    </row>
    <row r="2060" hidden="1">
      <c r="A2060" s="222" t="str">
        <f t="array" ref="A2060:A2061">{"FormulaRow28";(INDEX(CLASSLIST,A2005,1))}</f>
        <v>FormulaRow28</v>
      </c>
      <c r="B2060" s="77" t="s">
        <v>236</v>
      </c>
      <c r="C2060" s="222" t="str">
        <f t="array" ref="C2060:C2061">{"CLASSTYPE";((INDEX(ALLCLASSDATA,MATCH("ClassType",CLASSFEATUREHEADERS,0),MATCH($A2061,CLASSNAMEHEADERS,0))))}</f>
        <v>CLASSTYPE</v>
      </c>
      <c r="D2060" s="222" t="str">
        <f t="array" ref="D2060:D2061">{"ATTACK";"Attack"}</f>
        <v>ATTACK</v>
      </c>
      <c r="E2060" s="222" t="str">
        <f t="array" ref="E2060:E2061">{"SIMPLELIMITED";"SimpleLimited"}</f>
        <v>SIMPLELIMITED</v>
      </c>
      <c r="F2060" s="223" t="str">
        <f t="array" ref="F2060:F2061">{"SIMPLELIMITEDINITIAL";((IF(H2061=10,"T",(IF(H2061=50,"E","")))))}</f>
        <v>SIMPLELIMITEDINITIAL</v>
      </c>
      <c r="G2060" s="223" t="str">
        <f t="array" ref="G2060:G2061">{"SIMPLELIMITEDINITIALPTS";((IF("00"=(INDEX(ALLCLASSDATA,MATCH("SimpleLimitedLegendary",CLASSFEATUREHEADERS,0),MATCH($A2061,CLASSNAMEHEADERS,0))),(INDEX(ALLCLASSDATA,MATCH("SimpleLimitedLegendary",CLASSFEATUREHEADERS,0),MATCH(($A2061 &amp; "Points"),CLASSNAMEHEADERS,0))),(IF("00"=(INDEX(ALLCLASSDATA,MATCH("SimpleLimitedMaster",CLASSFEATUREHEADERS,0),MATCH($A2061,CLASSNAMEHEADERS,0))),(INDEX(ALLCLASSDATA,MATCH("SimpleLimitedMaster",CLASSFEATUREHEADERS,0),MATCH(($A2061 &amp; "Points"),CLASSNAMEHEADERS,0))),(IF("00"=(INDEX(ALLCLASSDATA,MATCH("SimpleLimitedExpert",CLASSFEATUREHEADERS,0),MATCH($A2061,CLASSNAMEHEADERS,0))),(INDEX(ALLCLASSDATA,MATCH("SimpleLimitedExpert",CLASSFEATUREHEADERS,0),MATCH(($A2061 &amp; "Points"),CLASSNAMEHEADERS,0))),(IF("00"=(INDEX(ALLCLASSDATA,MATCH("SimpleLimitedTrained",CLASSFEATUREHEADERS,0),MATCH($A2061,CLASSNAMEHEADERS,0))),(INDEX(ALLCLASSDATA,MATCH("SimpleLimitedTrained",CLASSFEATUREHEADERS,0),MATCH(($A2061 &amp; "Points"),CLASSNAMEHEADERS,0))),"")))))))))}</f>
        <v>SIMPLELIMITEDINITIALPTS</v>
      </c>
      <c r="H2060" s="223" t="str">
        <f t="array" ref="H2060:H2061">{"SIMPLELIMITEDL01";((IF("01"=(INDEX(ALLCLASSDATA,MATCH("SimpleLimitedLegendary",CLASSFEATUREHEADERS,0),MATCH($A2061,CLASSNAMEHEADERS,0))),(INDEX(ALLCLASSDATA,MATCH("SimpleLimitedLegendary",CLASSFEATUREHEADERS,0),MATCH(($A2061 &amp; "Points"),CLASSNAMEHEADERS,0))),(IF("01"=(INDEX(ALLCLASSDATA,MATCH("SimpleLimitedMaster",CLASSFEATUREHEADERS,0),MATCH($A2061,CLASSNAMEHEADERS,0))),(INDEX(ALLCLASSDATA,MATCH("SimpleLimitedMaster",CLASSFEATUREHEADERS,0),MATCH(($A2061 &amp; "Points"),CLASSNAMEHEADERS,0))),(IF("01"=(INDEX(ALLCLASSDATA,MATCH("SimpleLimitedExpert",CLASSFEATUREHEADERS,0),MATCH($A2061,CLASSNAMEHEADERS,0))),(INDEX(ALLCLASSDATA,MATCH("SimpleLimitedExpert",CLASSFEATUREHEADERS,0),MATCH(($A2061 &amp; "Points"),CLASSNAMEHEADERS,0))),(IF("01"=(INDEX(ALLCLASSDATA,MATCH("SimpleLimitedTrained",CLASSFEATUREHEADERS,0),MATCH($A2061,CLASSNAMEHEADERS,0))),(INDEX(ALLCLASSDATA,MATCH("SimpleLimitedTrained",CLASSFEATUREHEADERS,0),MATCH(($A2061 &amp; "Points"),CLASSNAMEHEADERS,0))),"")))))))))}</f>
        <v>SIMPLELIMITEDL01</v>
      </c>
      <c r="I2060" s="223"/>
      <c r="J2060" s="223" t="str">
        <f t="array" ref="J2060:J2061">{"SIMPLELIMITEDL03";((IF("03"=(INDEX(ALLCLASSDATA,MATCH("SimpleLimitedLegendary",CLASSFEATUREHEADERS,0),MATCH($A2061,CLASSNAMEHEADERS,0))),(INDEX(ALLCLASSDATA,MATCH("SimpleLimitedLegendary",CLASSFEATUREHEADERS,0),MATCH(($A2061 &amp; "Points"),CLASSNAMEHEADERS,0))),(IF("03"=(INDEX(ALLCLASSDATA,MATCH("SimpleLimitedMaster",CLASSFEATUREHEADERS,0),MATCH($A2061,CLASSNAMEHEADERS,0))),(INDEX(ALLCLASSDATA,MATCH("SimpleLimitedMaster",CLASSFEATUREHEADERS,0),MATCH(($A2061 &amp; "Points"),CLASSNAMEHEADERS,0))),(IF("03"=(INDEX(ALLCLASSDATA,MATCH("SimpleLimitedExpert",CLASSFEATUREHEADERS,0),MATCH($A2061,CLASSNAMEHEADERS,0))),(INDEX(ALLCLASSDATA,MATCH("SimpleLimitedExpert",CLASSFEATUREHEADERS,0),MATCH(($A2061 &amp; "Points"),CLASSNAMEHEADERS,0))),(IF("03"=(INDEX(ALLCLASSDATA,MATCH("SimpleLimitedTrained",CLASSFEATUREHEADERS,0),MATCH($A2061,CLASSNAMEHEADERS,0))),(INDEX(ALLCLASSDATA,MATCH("SimpleLimitedTrained",CLASSFEATUREHEADERS,0),MATCH(($A2061 &amp; "Points"),CLASSNAMEHEADERS,0))),"")))))))))}</f>
        <v>SIMPLELIMITEDL03</v>
      </c>
      <c r="K2060" s="223"/>
      <c r="L2060" s="223" t="str">
        <f t="array" ref="L2060:L2061">{"SIMPLELIMITEDL05";((IF("05"=(INDEX(ALLCLASSDATA,MATCH("SimpleLimitedLegendary",CLASSFEATUREHEADERS,0),MATCH($A2061,CLASSNAMEHEADERS,0))),(INDEX(ALLCLASSDATA,MATCH("SimpleLimitedLegendary",CLASSFEATUREHEADERS,0),MATCH(($A2061 &amp; "Points"),CLASSNAMEHEADERS,0))),(IF("05"=(INDEX(ALLCLASSDATA,MATCH("SimpleLimitedMaster",CLASSFEATUREHEADERS,0),MATCH($A2061,CLASSNAMEHEADERS,0))),(INDEX(ALLCLASSDATA,MATCH("SimpleLimitedMaster",CLASSFEATUREHEADERS,0),MATCH(($A2061 &amp; "Points"),CLASSNAMEHEADERS,0))),(IF("05"=(INDEX(ALLCLASSDATA,MATCH("SimpleLimitedExpert",CLASSFEATUREHEADERS,0),MATCH($A2061,CLASSNAMEHEADERS,0))),(INDEX(ALLCLASSDATA,MATCH("SimpleLimitedExpert",CLASSFEATUREHEADERS,0),MATCH(($A2061 &amp; "Points"),CLASSNAMEHEADERS,0))),(IF("05"=(INDEX(ALLCLASSDATA,MATCH("SimpleLimitedTrained",CLASSFEATUREHEADERS,0),MATCH($A2061,CLASSNAMEHEADERS,0))),(INDEX(ALLCLASSDATA,MATCH("SimpleLimitedTrained",CLASSFEATUREHEADERS,0),MATCH(($A2061 &amp; "Points"),CLASSNAMEHEADERS,0))),"")))))))))}</f>
        <v>SIMPLELIMITEDL05</v>
      </c>
      <c r="M2060" s="223"/>
      <c r="N2060" s="223" t="str">
        <f t="array" ref="N2060:N2061">{"SIMPLELIMITEDL07";((IF("07"=(INDEX(ALLCLASSDATA,MATCH("SimpleLimitedLegendary",CLASSFEATUREHEADERS,0),MATCH($A2061,CLASSNAMEHEADERS,0))),(INDEX(ALLCLASSDATA,MATCH("SimpleLimitedLegendary",CLASSFEATUREHEADERS,0),MATCH(($A2061 &amp; "Points"),CLASSNAMEHEADERS,0))),(IF("07"=(INDEX(ALLCLASSDATA,MATCH("SimpleLimitedMaster",CLASSFEATUREHEADERS,0),MATCH($A2061,CLASSNAMEHEADERS,0))),(INDEX(ALLCLASSDATA,MATCH("SimpleLimitedMaster",CLASSFEATUREHEADERS,0),MATCH(($A2061 &amp; "Points"),CLASSNAMEHEADERS,0))),(IF("07"=(INDEX(ALLCLASSDATA,MATCH("SimpleLimitedExpert",CLASSFEATUREHEADERS,0),MATCH($A2061,CLASSNAMEHEADERS,0))),(INDEX(ALLCLASSDATA,MATCH("SimpleLimitedExpert",CLASSFEATUREHEADERS,0),MATCH(($A2061 &amp; "Points"),CLASSNAMEHEADERS,0))),(IF("07"=(INDEX(ALLCLASSDATA,MATCH("SimpleLimitedTrained",CLASSFEATUREHEADERS,0),MATCH($A2061,CLASSNAMEHEADERS,0))),(INDEX(ALLCLASSDATA,MATCH("SimpleLimitedTrained",CLASSFEATUREHEADERS,0),MATCH(($A2061 &amp; "Points"),CLASSNAMEHEADERS,0))),"")))))))))}</f>
        <v>SIMPLELIMITEDL07</v>
      </c>
      <c r="O2060" s="223"/>
      <c r="P2060" s="223" t="str">
        <f t="array" ref="P2060:P2061">{"SIMPLELIMITEDL09";((IF("09"=(INDEX(ALLCLASSDATA,MATCH("SimpleLimitedLegendary",CLASSFEATUREHEADERS,0),MATCH($A2061,CLASSNAMEHEADERS,0))),(INDEX(ALLCLASSDATA,MATCH("SimpleLimitedLegendary",CLASSFEATUREHEADERS,0),MATCH(($A2061 &amp; "Points"),CLASSNAMEHEADERS,0))),(IF("09"=(INDEX(ALLCLASSDATA,MATCH("SimpleLimitedMaster",CLASSFEATUREHEADERS,0),MATCH($A2061,CLASSNAMEHEADERS,0))),(INDEX(ALLCLASSDATA,MATCH("SimpleLimitedMaster",CLASSFEATUREHEADERS,0),MATCH(($A2061 &amp; "Points"),CLASSNAMEHEADERS,0))),(IF("09"=(INDEX(ALLCLASSDATA,MATCH("SimpleLimitedExpert",CLASSFEATUREHEADERS,0),MATCH($A2061,CLASSNAMEHEADERS,0))),(INDEX(ALLCLASSDATA,MATCH("SimpleLimitedExpert",CLASSFEATUREHEADERS,0),MATCH(($A2061 &amp; "Points"),CLASSNAMEHEADERS,0))),(IF("09"=(INDEX(ALLCLASSDATA,MATCH("SimpleLimitedTrained",CLASSFEATUREHEADERS,0),MATCH($A2061,CLASSNAMEHEADERS,0))),(INDEX(ALLCLASSDATA,MATCH("SimpleLimitedTrained",CLASSFEATUREHEADERS,0),MATCH(($A2061 &amp; "Points"),CLASSNAMEHEADERS,0))),"")))))))))}</f>
        <v>SIMPLELIMITEDL09</v>
      </c>
      <c r="Q2060" s="223"/>
      <c r="R2060" s="223" t="str">
        <f t="array" ref="R2060:R2061">{"SIMPLELIMITEDL11";((IF("11"=(INDEX(ALLCLASSDATA,MATCH("SimpleLimitedLegendary",CLASSFEATUREHEADERS,0),MATCH($A2061,CLASSNAMEHEADERS,0))),(INDEX(ALLCLASSDATA,MATCH("SimpleLimitedLegendary",CLASSFEATUREHEADERS,0),MATCH(($A2061 &amp; "Points"),CLASSNAMEHEADERS,0))),(IF("11"=(INDEX(ALLCLASSDATA,MATCH("SimpleLimitedMaster",CLASSFEATUREHEADERS,0),MATCH($A2061,CLASSNAMEHEADERS,0))),(INDEX(ALLCLASSDATA,MATCH("SimpleLimitedMaster",CLASSFEATUREHEADERS,0),MATCH(($A2061 &amp; "Points"),CLASSNAMEHEADERS,0))),(IF("11"=(INDEX(ALLCLASSDATA,MATCH("SimpleLimitedExpert",CLASSFEATUREHEADERS,0),MATCH($A2061,CLASSNAMEHEADERS,0))),(INDEX(ALLCLASSDATA,MATCH("SimpleLimitedExpert",CLASSFEATUREHEADERS,0),MATCH(($A2061 &amp; "Points"),CLASSNAMEHEADERS,0))),(IF("11"=(INDEX(ALLCLASSDATA,MATCH("SimpleLimitedTrained",CLASSFEATUREHEADERS,0),MATCH($A2061,CLASSNAMEHEADERS,0))),(INDEX(ALLCLASSDATA,MATCH("SimpleLimitedTrained",CLASSFEATUREHEADERS,0),MATCH(($A2061 &amp; "Points"),CLASSNAMEHEADERS,0))),"")))))))))}</f>
        <v>SIMPLELIMITEDL11</v>
      </c>
      <c r="S2060" s="223"/>
      <c r="T2060" s="223" t="str">
        <f t="array" ref="T2060:T2061">{"SIMPLELIMITEDL13";((IF("13"=(INDEX(ALLCLASSDATA,MATCH("SimpleLimitedLegendary",CLASSFEATUREHEADERS,0),MATCH($A2061,CLASSNAMEHEADERS,0))),(INDEX(ALLCLASSDATA,MATCH("SimpleLimitedLegendary",CLASSFEATUREHEADERS,0),MATCH(($A2061 &amp; "Points"),CLASSNAMEHEADERS,0))),(IF("13"=(INDEX(ALLCLASSDATA,MATCH("SimpleLimitedMaster",CLASSFEATUREHEADERS,0),MATCH($A2061,CLASSNAMEHEADERS,0))),(INDEX(ALLCLASSDATA,MATCH("SimpleLimitedMaster",CLASSFEATUREHEADERS,0),MATCH(($A2061 &amp; "Points"),CLASSNAMEHEADERS,0))),(IF("13"=(INDEX(ALLCLASSDATA,MATCH("SimpleLimitedExpert",CLASSFEATUREHEADERS,0),MATCH($A2061,CLASSNAMEHEADERS,0))),(INDEX(ALLCLASSDATA,MATCH("SimpleLimitedExpert",CLASSFEATUREHEADERS,0),MATCH(($A2061 &amp; "Points"),CLASSNAMEHEADERS,0))),(IF("13"=(INDEX(ALLCLASSDATA,MATCH("SimpleLimitedTrained",CLASSFEATUREHEADERS,0),MATCH($A2061,CLASSNAMEHEADERS,0))),(INDEX(ALLCLASSDATA,MATCH("SimpleLimitedTrained",CLASSFEATUREHEADERS,0),MATCH(($A2061 &amp; "Points"),CLASSNAMEHEADERS,0))),"")))))))))}</f>
        <v>SIMPLELIMITEDL13</v>
      </c>
      <c r="U2060" s="223"/>
      <c r="V2060" s="223" t="str">
        <f t="array" ref="V2060:V2061">{"SIMPLELIMITEDL15";((IF("15"=(INDEX(ALLCLASSDATA,MATCH("SimpleLimitedLegendary",CLASSFEATUREHEADERS,0),MATCH($A2061,CLASSNAMEHEADERS,0))),(INDEX(ALLCLASSDATA,MATCH("SimpleLimitedLegendary",CLASSFEATUREHEADERS,0),MATCH(($A2061 &amp; "Points"),CLASSNAMEHEADERS,0))),(IF("15"=(INDEX(ALLCLASSDATA,MATCH("SimpleLimitedMaster",CLASSFEATUREHEADERS,0),MATCH($A2061,CLASSNAMEHEADERS,0))),(INDEX(ALLCLASSDATA,MATCH("SimpleLimitedMaster",CLASSFEATUREHEADERS,0),MATCH(($A2061 &amp; "Points"),CLASSNAMEHEADERS,0))),(IF("15"=(INDEX(ALLCLASSDATA,MATCH("SimpleLimitedExpert",CLASSFEATUREHEADERS,0),MATCH($A2061,CLASSNAMEHEADERS,0))),(INDEX(ALLCLASSDATA,MATCH("SimpleLimitedExpert",CLASSFEATUREHEADERS,0),MATCH(($A2061 &amp; "Points"),CLASSNAMEHEADERS,0))),(IF("15"=(INDEX(ALLCLASSDATA,MATCH("SimpleLimitedTrained",CLASSFEATUREHEADERS,0),MATCH($A2061,CLASSNAMEHEADERS,0))),(INDEX(ALLCLASSDATA,MATCH("SimpleLimitedTrained",CLASSFEATUREHEADERS,0),MATCH(($A2061 &amp; "Points"),CLASSNAMEHEADERS,0))),"")))))))))}</f>
        <v>SIMPLELIMITEDL15</v>
      </c>
      <c r="W2060" s="223"/>
      <c r="X2060" s="223" t="str">
        <f t="array" ref="X2060:X2061">{"SIMPLELIMITEDL17";((IF("17"=(INDEX(ALLCLASSDATA,MATCH("SimpleLimitedLegendary",CLASSFEATUREHEADERS,0),MATCH($A2061,CLASSNAMEHEADERS,0))),(INDEX(ALLCLASSDATA,MATCH("SimpleLimitedLegendary",CLASSFEATUREHEADERS,0),MATCH(($A2061 &amp; "Points"),CLASSNAMEHEADERS,0))),(IF("17"=(INDEX(ALLCLASSDATA,MATCH("SimpleLimitedMaster",CLASSFEATUREHEADERS,0),MATCH($A2061,CLASSNAMEHEADERS,0))),(INDEX(ALLCLASSDATA,MATCH("SimpleLimitedMaster",CLASSFEATUREHEADERS,0),MATCH(($A2061 &amp; "Points"),CLASSNAMEHEADERS,0))),(IF("17"=(INDEX(ALLCLASSDATA,MATCH("SimpleLimitedExpert",CLASSFEATUREHEADERS,0),MATCH($A2061,CLASSNAMEHEADERS,0))),(INDEX(ALLCLASSDATA,MATCH("SimpleLimitedExpert",CLASSFEATUREHEADERS,0),MATCH(($A2061 &amp; "Points"),CLASSNAMEHEADERS,0))),(IF("17"=(INDEX(ALLCLASSDATA,MATCH("SimpleLimitedTrained",CLASSFEATUREHEADERS,0),MATCH($A2061,CLASSNAMEHEADERS,0))),(INDEX(ALLCLASSDATA,MATCH("SimpleLimitedTrained",CLASSFEATUREHEADERS,0),MATCH(($A2061 &amp; "Points"),CLASSNAMEHEADERS,0))),"")))))))))}</f>
        <v>SIMPLELIMITEDL17</v>
      </c>
      <c r="Y2060" s="223"/>
      <c r="Z2060" s="223" t="str">
        <f t="array" ref="Z2060:Z2061">{"SIMPLELIMITEDL19";((IF("19"=(INDEX(ALLCLASSDATA,MATCH("SimpleLimitedLegendary",CLASSFEATUREHEADERS,0),MATCH($A2061,CLASSNAMEHEADERS,0))),(INDEX(ALLCLASSDATA,MATCH("SimpleLimitedLegendary",CLASSFEATUREHEADERS,0),MATCH(($A2061 &amp; "Points"),CLASSNAMEHEADERS,0))),(IF("19"=(INDEX(ALLCLASSDATA,MATCH("SimpleLimitedMaster",CLASSFEATUREHEADERS,0),MATCH($A2061,CLASSNAMEHEADERS,0))),(INDEX(ALLCLASSDATA,MATCH("SimpleLimitedMaster",CLASSFEATUREHEADERS,0),MATCH(($A2061 &amp; "Points"),CLASSNAMEHEADERS,0))),(IF("19"=(INDEX(ALLCLASSDATA,MATCH("SimpleLimitedExpert",CLASSFEATUREHEADERS,0),MATCH($A2061,CLASSNAMEHEADERS,0))),(INDEX(ALLCLASSDATA,MATCH("SimpleLimitedExpert",CLASSFEATUREHEADERS,0),MATCH(($A2061 &amp; "Points"),CLASSNAMEHEADERS,0))),(IF("19"=(INDEX(ALLCLASSDATA,MATCH("SimpleLimitedTrained",CLASSFEATUREHEADERS,0),MATCH($A2061,CLASSNAMEHEADERS,0))),(INDEX(ALLCLASSDATA,MATCH("SimpleLimitedTrained",CLASSFEATUREHEADERS,0),MATCH(($A2061 &amp; "Points"),CLASSNAMEHEADERS,0))),"")))))))))}</f>
        <v>SIMPLELIMITEDL19</v>
      </c>
      <c r="AA2060" s="223"/>
      <c r="AB2060" s="76" t="str">
        <f t="array" ref="AB2060:AB2061">{"SIMPLELIMITED TOTAL";(IF(COUNTBLANK(G2061:AA2061)=17,"L",(IF(COUNTBLANK(G2061:AA2061)=18,"M",(IF(COUNTBLANK(G2061:AA2061)=19,"E",(IF(COUNTBLANK(G2061:AA2061)=20,"T",""))))))))}</f>
        <v>SIMPLELIMITED TOTAL</v>
      </c>
      <c r="AC2060" s="76" t="str">
        <f t="array" ref="AC2060:AC2061">{"SIMPLELIMITED TOTAL";(sum(G2061:AA2061))}</f>
        <v>SIMPLELIMITED TOTAL</v>
      </c>
    </row>
    <row r="2061">
      <c r="A2061" s="48" t="s">
        <v>233</v>
      </c>
      <c r="B2061" s="48"/>
      <c r="C2061" s="48" t="s">
        <v>418</v>
      </c>
      <c r="D2061" s="48" t="s">
        <v>1634</v>
      </c>
      <c r="E2061" s="48" t="s">
        <v>599</v>
      </c>
      <c r="F2061" s="5" t="s">
        <v>603</v>
      </c>
      <c r="G2061" s="47" t="s">
        <v>603</v>
      </c>
      <c r="H2061" s="5" t="s">
        <v>603</v>
      </c>
      <c r="I2061" s="5"/>
      <c r="J2061" s="5" t="s">
        <v>603</v>
      </c>
      <c r="K2061" s="5"/>
      <c r="L2061" s="5" t="s">
        <v>603</v>
      </c>
      <c r="M2061" s="5"/>
      <c r="N2061" s="5" t="s">
        <v>603</v>
      </c>
      <c r="O2061" s="5"/>
      <c r="P2061" s="5" t="s">
        <v>603</v>
      </c>
      <c r="Q2061" s="5"/>
      <c r="R2061" s="5" t="s">
        <v>603</v>
      </c>
      <c r="S2061" s="5"/>
      <c r="T2061" s="5" t="s">
        <v>603</v>
      </c>
      <c r="U2061" s="5"/>
      <c r="V2061" s="5" t="s">
        <v>603</v>
      </c>
      <c r="W2061" s="5"/>
      <c r="X2061" s="5" t="s">
        <v>603</v>
      </c>
      <c r="Y2061" s="5"/>
      <c r="Z2061" s="5" t="s">
        <v>603</v>
      </c>
      <c r="AA2061" s="5"/>
      <c r="AB2061" s="5" t="s">
        <v>603</v>
      </c>
      <c r="AC2061" s="47">
        <v>0.0</v>
      </c>
    </row>
    <row r="2062" hidden="1">
      <c r="A2062" s="222" t="str">
        <f t="array" ref="A2062:A2063">{"FormulaRow29";(INDEX(CLASSLIST,A2005,1))}</f>
        <v>FormulaRow29</v>
      </c>
      <c r="B2062" s="77" t="s">
        <v>236</v>
      </c>
      <c r="C2062" s="222" t="str">
        <f t="array" ref="C2062:C2063">{"CLASSTYPE";((INDEX(ALLCLASSDATA,MATCH("ClassType",CLASSFEATUREHEADERS,0),MATCH($A2063,CLASSNAMEHEADERS,0))))}</f>
        <v>CLASSTYPE</v>
      </c>
      <c r="D2062" s="222" t="str">
        <f t="array" ref="D2062:D2063">{"ATTACK";"Attack"}</f>
        <v>ATTACK</v>
      </c>
      <c r="E2062" s="222" t="str">
        <f t="array" ref="E2062:E2063">{"SIMPLE";"Simple"}</f>
        <v>SIMPLE</v>
      </c>
      <c r="F2062" s="223" t="str">
        <f t="array" ref="F2062:F2063">{"SIMPLEINITIAL";((IF(H2063=10,"T",(IF(H2063=50,"E","")))))}</f>
        <v>SIMPLEINITIAL</v>
      </c>
      <c r="G2062" s="223" t="str">
        <f t="array" ref="G2062:G2063">{"SIMPLEINITIALPTS";((IF("00"=(INDEX(ALLCLASSDATA,MATCH("SimpleLegendary",CLASSFEATUREHEADERS,0),MATCH($A2063,CLASSNAMEHEADERS,0))),(INDEX(ALLCLASSDATA,MATCH("SimpleLegendary",CLASSFEATUREHEADERS,0),MATCH(($A2063 &amp; "Points"),CLASSNAMEHEADERS,0))),(IF("00"=(INDEX(ALLCLASSDATA,MATCH("SimpleMaster",CLASSFEATUREHEADERS,0),MATCH($A2063,CLASSNAMEHEADERS,0))),(INDEX(ALLCLASSDATA,MATCH("SimpleMaster",CLASSFEATUREHEADERS,0),MATCH(($A2063 &amp; "Points"),CLASSNAMEHEADERS,0))),(IF("00"=(INDEX(ALLCLASSDATA,MATCH("SimpleExpert",CLASSFEATUREHEADERS,0),MATCH($A2063,CLASSNAMEHEADERS,0))),(INDEX(ALLCLASSDATA,MATCH("SimpleExpert",CLASSFEATUREHEADERS,0),MATCH(($A2063 &amp; "Points"),CLASSNAMEHEADERS,0))),(IF("00"=(INDEX(ALLCLASSDATA,MATCH("SimpleTrained",CLASSFEATUREHEADERS,0),MATCH($A2063,CLASSNAMEHEADERS,0))),(INDEX(ALLCLASSDATA,MATCH("SimpleTrained",CLASSFEATUREHEADERS,0),MATCH(($A2063 &amp; "Points"),CLASSNAMEHEADERS,0))),"")))))))))}</f>
        <v>SIMPLEINITIALPTS</v>
      </c>
      <c r="H2062" s="223" t="str">
        <f t="array" ref="H2062:H2063">{"SIMPLEL01";((IF("01"=(INDEX(ALLCLASSDATA,MATCH("SimpleLegendary",CLASSFEATUREHEADERS,0),MATCH($A2063,CLASSNAMEHEADERS,0))),(INDEX(ALLCLASSDATA,MATCH("SimpleLegendary",CLASSFEATUREHEADERS,0),MATCH(($A2063 &amp; "Points"),CLASSNAMEHEADERS,0))),(IF("01"=(INDEX(ALLCLASSDATA,MATCH("SimpleMaster",CLASSFEATUREHEADERS,0),MATCH($A2063,CLASSNAMEHEADERS,0))),(INDEX(ALLCLASSDATA,MATCH("SimpleMaster",CLASSFEATUREHEADERS,0),MATCH(($A2063 &amp; "Points"),CLASSNAMEHEADERS,0))),(IF("01"=(INDEX(ALLCLASSDATA,MATCH("SimpleExpert",CLASSFEATUREHEADERS,0),MATCH($A2063,CLASSNAMEHEADERS,0))),(INDEX(ALLCLASSDATA,MATCH("SimpleExpert",CLASSFEATUREHEADERS,0),MATCH(($A2063 &amp; "Points"),CLASSNAMEHEADERS,0))),(IF("01"=(INDEX(ALLCLASSDATA,MATCH("SimpleTrained",CLASSFEATUREHEADERS,0),MATCH($A2063,CLASSNAMEHEADERS,0))),(INDEX(ALLCLASSDATA,MATCH("SimpleTrained",CLASSFEATUREHEADERS,0),MATCH(($A2063 &amp; "Points"),CLASSNAMEHEADERS,0))),"")))))))))}</f>
        <v>SIMPLEL01</v>
      </c>
      <c r="I2062" s="223"/>
      <c r="J2062" s="223" t="str">
        <f t="array" ref="J2062:J2063">{"SIMPLEL03";((IF("03"=(INDEX(ALLCLASSDATA,MATCH("SimpleLegendary",CLASSFEATUREHEADERS,0),MATCH($A2063,CLASSNAMEHEADERS,0))),(INDEX(ALLCLASSDATA,MATCH("SimpleLegendary",CLASSFEATUREHEADERS,0),MATCH(($A2063 &amp; "Points"),CLASSNAMEHEADERS,0))),(IF("03"=(INDEX(ALLCLASSDATA,MATCH("SimpleMaster",CLASSFEATUREHEADERS,0),MATCH($A2063,CLASSNAMEHEADERS,0))),(INDEX(ALLCLASSDATA,MATCH("SimpleMaster",CLASSFEATUREHEADERS,0),MATCH(($A2063 &amp; "Points"),CLASSNAMEHEADERS,0))),(IF("03"=(INDEX(ALLCLASSDATA,MATCH("SimpleExpert",CLASSFEATUREHEADERS,0),MATCH($A2063,CLASSNAMEHEADERS,0))),(INDEX(ALLCLASSDATA,MATCH("SimpleExpert",CLASSFEATUREHEADERS,0),MATCH(($A2063 &amp; "Points"),CLASSNAMEHEADERS,0))),(IF("03"=(INDEX(ALLCLASSDATA,MATCH("SimpleTrained",CLASSFEATUREHEADERS,0),MATCH($A2063,CLASSNAMEHEADERS,0))),(INDEX(ALLCLASSDATA,MATCH("SimpleTrained",CLASSFEATUREHEADERS,0),MATCH(($A2063 &amp; "Points"),CLASSNAMEHEADERS,0))),"")))))))))}</f>
        <v>SIMPLEL03</v>
      </c>
      <c r="K2062" s="223"/>
      <c r="L2062" s="223" t="str">
        <f t="array" ref="L2062:L2063">{"SIMPLEL05";((IF("05"=(INDEX(ALLCLASSDATA,MATCH("SimpleLegendary",CLASSFEATUREHEADERS,0),MATCH($A2063,CLASSNAMEHEADERS,0))),(INDEX(ALLCLASSDATA,MATCH("SimpleLegendary",CLASSFEATUREHEADERS,0),MATCH(($A2063 &amp; "Points"),CLASSNAMEHEADERS,0))),(IF("05"=(INDEX(ALLCLASSDATA,MATCH("SimpleMaster",CLASSFEATUREHEADERS,0),MATCH($A2063,CLASSNAMEHEADERS,0))),(INDEX(ALLCLASSDATA,MATCH("SimpleMaster",CLASSFEATUREHEADERS,0),MATCH(($A2063 &amp; "Points"),CLASSNAMEHEADERS,0))),(IF("05"=(INDEX(ALLCLASSDATA,MATCH("SimpleExpert",CLASSFEATUREHEADERS,0),MATCH($A2063,CLASSNAMEHEADERS,0))),(INDEX(ALLCLASSDATA,MATCH("SimpleExpert",CLASSFEATUREHEADERS,0),MATCH(($A2063 &amp; "Points"),CLASSNAMEHEADERS,0))),(IF("05"=(INDEX(ALLCLASSDATA,MATCH("SimpleTrained",CLASSFEATUREHEADERS,0),MATCH($A2063,CLASSNAMEHEADERS,0))),(INDEX(ALLCLASSDATA,MATCH("SimpleTrained",CLASSFEATUREHEADERS,0),MATCH(($A2063 &amp; "Points"),CLASSNAMEHEADERS,0))),"")))))))))}</f>
        <v>SIMPLEL05</v>
      </c>
      <c r="M2062" s="223"/>
      <c r="N2062" s="223" t="str">
        <f t="array" ref="N2062:N2063">{"SIMPLEL07";((IF("07"=(INDEX(ALLCLASSDATA,MATCH("SimpleLegendary",CLASSFEATUREHEADERS,0),MATCH($A2063,CLASSNAMEHEADERS,0))),(INDEX(ALLCLASSDATA,MATCH("SimpleLegendary",CLASSFEATUREHEADERS,0),MATCH(($A2063 &amp; "Points"),CLASSNAMEHEADERS,0))),(IF("07"=(INDEX(ALLCLASSDATA,MATCH("SimpleMaster",CLASSFEATUREHEADERS,0),MATCH($A2063,CLASSNAMEHEADERS,0))),(INDEX(ALLCLASSDATA,MATCH("SimpleMaster",CLASSFEATUREHEADERS,0),MATCH(($A2063 &amp; "Points"),CLASSNAMEHEADERS,0))),(IF("07"=(INDEX(ALLCLASSDATA,MATCH("SimpleExpert",CLASSFEATUREHEADERS,0),MATCH($A2063,CLASSNAMEHEADERS,0))),(INDEX(ALLCLASSDATA,MATCH("SimpleExpert",CLASSFEATUREHEADERS,0),MATCH(($A2063 &amp; "Points"),CLASSNAMEHEADERS,0))),(IF("07"=(INDEX(ALLCLASSDATA,MATCH("SimpleTrained",CLASSFEATUREHEADERS,0),MATCH($A2063,CLASSNAMEHEADERS,0))),(INDEX(ALLCLASSDATA,MATCH("SimpleTrained",CLASSFEATUREHEADERS,0),MATCH(($A2063 &amp; "Points"),CLASSNAMEHEADERS,0))),"")))))))))}</f>
        <v>SIMPLEL07</v>
      </c>
      <c r="O2062" s="223"/>
      <c r="P2062" s="223" t="str">
        <f t="array" ref="P2062:P2063">{"SIMPLEL09";((IF("09"=(INDEX(ALLCLASSDATA,MATCH("SimpleLegendary",CLASSFEATUREHEADERS,0),MATCH($A2063,CLASSNAMEHEADERS,0))),(INDEX(ALLCLASSDATA,MATCH("SimpleLegendary",CLASSFEATUREHEADERS,0),MATCH(($A2063 &amp; "Points"),CLASSNAMEHEADERS,0))),(IF("09"=(INDEX(ALLCLASSDATA,MATCH("SimpleMaster",CLASSFEATUREHEADERS,0),MATCH($A2063,CLASSNAMEHEADERS,0))),(INDEX(ALLCLASSDATA,MATCH("SimpleMaster",CLASSFEATUREHEADERS,0),MATCH(($A2063 &amp; "Points"),CLASSNAMEHEADERS,0))),(IF("09"=(INDEX(ALLCLASSDATA,MATCH("SimpleExpert",CLASSFEATUREHEADERS,0),MATCH($A2063,CLASSNAMEHEADERS,0))),(INDEX(ALLCLASSDATA,MATCH("SimpleExpert",CLASSFEATUREHEADERS,0),MATCH(($A2063 &amp; "Points"),CLASSNAMEHEADERS,0))),(IF("09"=(INDEX(ALLCLASSDATA,MATCH("SimpleTrained",CLASSFEATUREHEADERS,0),MATCH($A2063,CLASSNAMEHEADERS,0))),(INDEX(ALLCLASSDATA,MATCH("SimpleTrained",CLASSFEATUREHEADERS,0),MATCH(($A2063 &amp; "Points"),CLASSNAMEHEADERS,0))),"")))))))))}</f>
        <v>SIMPLEL09</v>
      </c>
      <c r="Q2062" s="223"/>
      <c r="R2062" s="223" t="str">
        <f t="array" ref="R2062:R2063">{"SIMPLEL11";((IF("11"=(INDEX(ALLCLASSDATA,MATCH("SimpleLegendary",CLASSFEATUREHEADERS,0),MATCH($A2063,CLASSNAMEHEADERS,0))),(INDEX(ALLCLASSDATA,MATCH("SimpleLegendary",CLASSFEATUREHEADERS,0),MATCH(($A2063 &amp; "Points"),CLASSNAMEHEADERS,0))),(IF("11"=(INDEX(ALLCLASSDATA,MATCH("SimpleMaster",CLASSFEATUREHEADERS,0),MATCH($A2063,CLASSNAMEHEADERS,0))),(INDEX(ALLCLASSDATA,MATCH("SimpleMaster",CLASSFEATUREHEADERS,0),MATCH(($A2063 &amp; "Points"),CLASSNAMEHEADERS,0))),(IF("11"=(INDEX(ALLCLASSDATA,MATCH("SimpleExpert",CLASSFEATUREHEADERS,0),MATCH($A2063,CLASSNAMEHEADERS,0))),(INDEX(ALLCLASSDATA,MATCH("SimpleExpert",CLASSFEATUREHEADERS,0),MATCH(($A2063 &amp; "Points"),CLASSNAMEHEADERS,0))),(IF("11"=(INDEX(ALLCLASSDATA,MATCH("SimpleTrained",CLASSFEATUREHEADERS,0),MATCH($A2063,CLASSNAMEHEADERS,0))),(INDEX(ALLCLASSDATA,MATCH("SimpleTrained",CLASSFEATUREHEADERS,0),MATCH(($A2063 &amp; "Points"),CLASSNAMEHEADERS,0))),"")))))))))}</f>
        <v>SIMPLEL11</v>
      </c>
      <c r="S2062" s="223"/>
      <c r="T2062" s="223" t="str">
        <f t="array" ref="T2062:T2063">{"SIMPLEL13";((IF("13"=(INDEX(ALLCLASSDATA,MATCH("SimpleLegendary",CLASSFEATUREHEADERS,0),MATCH($A2063,CLASSNAMEHEADERS,0))),(INDEX(ALLCLASSDATA,MATCH("SimpleLegendary",CLASSFEATUREHEADERS,0),MATCH(($A2063 &amp; "Points"),CLASSNAMEHEADERS,0))),(IF("13"=(INDEX(ALLCLASSDATA,MATCH("SimpleMaster",CLASSFEATUREHEADERS,0),MATCH($A2063,CLASSNAMEHEADERS,0))),(INDEX(ALLCLASSDATA,MATCH("SimpleMaster",CLASSFEATUREHEADERS,0),MATCH(($A2063 &amp; "Points"),CLASSNAMEHEADERS,0))),(IF("13"=(INDEX(ALLCLASSDATA,MATCH("SimpleExpert",CLASSFEATUREHEADERS,0),MATCH($A2063,CLASSNAMEHEADERS,0))),(INDEX(ALLCLASSDATA,MATCH("SimpleExpert",CLASSFEATUREHEADERS,0),MATCH(($A2063 &amp; "Points"),CLASSNAMEHEADERS,0))),(IF("13"=(INDEX(ALLCLASSDATA,MATCH("SimpleTrained",CLASSFEATUREHEADERS,0),MATCH($A2063,CLASSNAMEHEADERS,0))),(INDEX(ALLCLASSDATA,MATCH("SimpleTrained",CLASSFEATUREHEADERS,0),MATCH(($A2063 &amp; "Points"),CLASSNAMEHEADERS,0))),"")))))))))}</f>
        <v>SIMPLEL13</v>
      </c>
      <c r="U2062" s="223"/>
      <c r="V2062" s="223" t="str">
        <f t="array" ref="V2062:V2063">{"SIMPLEL15";((IF("15"=(INDEX(ALLCLASSDATA,MATCH("SimpleLegendary",CLASSFEATUREHEADERS,0),MATCH($A2063,CLASSNAMEHEADERS,0))),(INDEX(ALLCLASSDATA,MATCH("SimpleLegendary",CLASSFEATUREHEADERS,0),MATCH(($A2063 &amp; "Points"),CLASSNAMEHEADERS,0))),(IF("15"=(INDEX(ALLCLASSDATA,MATCH("SimpleMaster",CLASSFEATUREHEADERS,0),MATCH($A2063,CLASSNAMEHEADERS,0))),(INDEX(ALLCLASSDATA,MATCH("SimpleMaster",CLASSFEATUREHEADERS,0),MATCH(($A2063 &amp; "Points"),CLASSNAMEHEADERS,0))),(IF("15"=(INDEX(ALLCLASSDATA,MATCH("SimpleExpert",CLASSFEATUREHEADERS,0),MATCH($A2063,CLASSNAMEHEADERS,0))),(INDEX(ALLCLASSDATA,MATCH("SimpleExpert",CLASSFEATUREHEADERS,0),MATCH(($A2063 &amp; "Points"),CLASSNAMEHEADERS,0))),(IF("15"=(INDEX(ALLCLASSDATA,MATCH("SimpleTrained",CLASSFEATUREHEADERS,0),MATCH($A2063,CLASSNAMEHEADERS,0))),(INDEX(ALLCLASSDATA,MATCH("SimpleTrained",CLASSFEATUREHEADERS,0),MATCH(($A2063 &amp; "Points"),CLASSNAMEHEADERS,0))),"")))))))))}</f>
        <v>SIMPLEL15</v>
      </c>
      <c r="W2062" s="223"/>
      <c r="X2062" s="223" t="str">
        <f t="array" ref="X2062:X2063">{"SIMPLEL17";((IF("17"=(INDEX(ALLCLASSDATA,MATCH("SimpleLegendary",CLASSFEATUREHEADERS,0),MATCH($A2063,CLASSNAMEHEADERS,0))),(INDEX(ALLCLASSDATA,MATCH("SimpleLegendary",CLASSFEATUREHEADERS,0),MATCH(($A2063 &amp; "Points"),CLASSNAMEHEADERS,0))),(IF("17"=(INDEX(ALLCLASSDATA,MATCH("SimpleMaster",CLASSFEATUREHEADERS,0),MATCH($A2063,CLASSNAMEHEADERS,0))),(INDEX(ALLCLASSDATA,MATCH("SimpleMaster",CLASSFEATUREHEADERS,0),MATCH(($A2063 &amp; "Points"),CLASSNAMEHEADERS,0))),(IF("17"=(INDEX(ALLCLASSDATA,MATCH("SimpleExpert",CLASSFEATUREHEADERS,0),MATCH($A2063,CLASSNAMEHEADERS,0))),(INDEX(ALLCLASSDATA,MATCH("SimpleExpert",CLASSFEATUREHEADERS,0),MATCH(($A2063 &amp; "Points"),CLASSNAMEHEADERS,0))),(IF("17"=(INDEX(ALLCLASSDATA,MATCH("SimpleTrained",CLASSFEATUREHEADERS,0),MATCH($A2063,CLASSNAMEHEADERS,0))),(INDEX(ALLCLASSDATA,MATCH("SimpleTrained",CLASSFEATUREHEADERS,0),MATCH(($A2063 &amp; "Points"),CLASSNAMEHEADERS,0))),"")))))))))}</f>
        <v>SIMPLEL17</v>
      </c>
      <c r="Y2062" s="223"/>
      <c r="Z2062" s="223" t="str">
        <f t="array" ref="Z2062:Z2063">{"SIMPLEL19";((IF("19"=(INDEX(ALLCLASSDATA,MATCH("SimpleLegendary",CLASSFEATUREHEADERS,0),MATCH($A2063,CLASSNAMEHEADERS,0))),(INDEX(ALLCLASSDATA,MATCH("SimpleLegendary",CLASSFEATUREHEADERS,0),MATCH(($A2063 &amp; "Points"),CLASSNAMEHEADERS,0))),(IF("19"=(INDEX(ALLCLASSDATA,MATCH("SimpleMaster",CLASSFEATUREHEADERS,0),MATCH($A2063,CLASSNAMEHEADERS,0))),(INDEX(ALLCLASSDATA,MATCH("SimpleMaster",CLASSFEATUREHEADERS,0),MATCH(($A2063 &amp; "Points"),CLASSNAMEHEADERS,0))),(IF("19"=(INDEX(ALLCLASSDATA,MATCH("SimpleExpert",CLASSFEATUREHEADERS,0),MATCH($A2063,CLASSNAMEHEADERS,0))),(INDEX(ALLCLASSDATA,MATCH("SimpleExpert",CLASSFEATUREHEADERS,0),MATCH(($A2063 &amp; "Points"),CLASSNAMEHEADERS,0))),(IF("19"=(INDEX(ALLCLASSDATA,MATCH("SimpleTrained",CLASSFEATUREHEADERS,0),MATCH($A2063,CLASSNAMEHEADERS,0))),(INDEX(ALLCLASSDATA,MATCH("SimpleTrained",CLASSFEATUREHEADERS,0),MATCH(($A2063 &amp; "Points"),CLASSNAMEHEADERS,0))),"")))))))))}</f>
        <v>SIMPLEL19</v>
      </c>
      <c r="AA2062" s="223"/>
      <c r="AB2062" s="76" t="str">
        <f t="array" ref="AB2062:AB2063">{"SIMPLE TOTAL";(IF(COUNTBLANK(G2063:AA2063)=17,"L",(IF(COUNTBLANK(G2063:AA2063)=18,"M",(IF(COUNTBLANK(G2063:AA2063)=19,"E",(IF(COUNTBLANK(G2063:AA2063)=20,"T",""))))))))}</f>
        <v>SIMPLE TOTAL</v>
      </c>
      <c r="AC2062" s="76" t="str">
        <f t="array" ref="AC2062:AC2063">{"SIMPLE TOTAL";(sum(G2063:AA2063))}</f>
        <v>SIMPLE TOTAL</v>
      </c>
    </row>
    <row r="2063">
      <c r="A2063" s="48" t="s">
        <v>233</v>
      </c>
      <c r="B2063" s="48"/>
      <c r="C2063" s="48" t="s">
        <v>418</v>
      </c>
      <c r="D2063" s="48" t="s">
        <v>1634</v>
      </c>
      <c r="E2063" s="48" t="s">
        <v>68</v>
      </c>
      <c r="F2063" s="5" t="s">
        <v>435</v>
      </c>
      <c r="G2063" s="47" t="s">
        <v>603</v>
      </c>
      <c r="H2063" s="5">
        <v>10.0</v>
      </c>
      <c r="I2063" s="5"/>
      <c r="J2063" s="5" t="s">
        <v>603</v>
      </c>
      <c r="K2063" s="5"/>
      <c r="L2063" s="5" t="s">
        <v>603</v>
      </c>
      <c r="M2063" s="5"/>
      <c r="N2063" s="5" t="s">
        <v>603</v>
      </c>
      <c r="O2063" s="5"/>
      <c r="P2063" s="5" t="s">
        <v>603</v>
      </c>
      <c r="Q2063" s="5"/>
      <c r="R2063" s="5">
        <v>50.0</v>
      </c>
      <c r="S2063" s="5"/>
      <c r="T2063" s="5" t="s">
        <v>603</v>
      </c>
      <c r="U2063" s="5"/>
      <c r="V2063" s="5" t="s">
        <v>603</v>
      </c>
      <c r="W2063" s="5"/>
      <c r="X2063" s="5" t="s">
        <v>603</v>
      </c>
      <c r="Y2063" s="5"/>
      <c r="Z2063" s="5" t="s">
        <v>603</v>
      </c>
      <c r="AA2063" s="5"/>
      <c r="AB2063" s="5" t="s">
        <v>436</v>
      </c>
      <c r="AC2063" s="47">
        <v>60.0</v>
      </c>
    </row>
    <row r="2064" hidden="1">
      <c r="A2064" s="222" t="str">
        <f t="array" ref="A2064:A2065">{"FormulaRow30";(INDEX(CLASSLIST,A2005,1))}</f>
        <v>FormulaRow30</v>
      </c>
      <c r="B2064" s="77" t="s">
        <v>236</v>
      </c>
      <c r="C2064" s="222" t="str">
        <f t="array" ref="C2064:C2065">{"CLASSTYPE";((INDEX(ALLCLASSDATA,MATCH("ClassType",CLASSFEATUREHEADERS,0),MATCH($A2065,CLASSNAMEHEADERS,0))))}</f>
        <v>CLASSTYPE</v>
      </c>
      <c r="D2064" s="222" t="str">
        <f t="array" ref="D2064:D2065">{"ATTACK";"Attack"}</f>
        <v>ATTACK</v>
      </c>
      <c r="E2064" s="222" t="str">
        <f t="array" ref="E2064:E2065">{"MARTIALLIMITED";"MartialLimited"}</f>
        <v>MARTIALLIMITED</v>
      </c>
      <c r="F2064" s="223" t="str">
        <f t="array" ref="F2064:F2065">{"MARTIALLIMITEDINITIAL";((IF(H2065=10,"T",(IF(H2065=50,"E","")))))}</f>
        <v>MARTIALLIMITEDINITIAL</v>
      </c>
      <c r="G2064" s="223" t="str">
        <f t="array" ref="G2064:G2065">{"MARTIALLIMITEDINITIALPTS";((IF("00"=(INDEX(ALLCLASSDATA,MATCH("MartialLimitedLegendary",CLASSFEATUREHEADERS,0),MATCH($A2065,CLASSNAMEHEADERS,0))),(INDEX(ALLCLASSDATA,MATCH("MartialLimitedLegendary",CLASSFEATUREHEADERS,0),MATCH(($A2065 &amp; "Points"),CLASSNAMEHEADERS,0))),(IF("00"=(INDEX(ALLCLASSDATA,MATCH("MartialLimitedMaster",CLASSFEATUREHEADERS,0),MATCH($A2065,CLASSNAMEHEADERS,0))),(INDEX(ALLCLASSDATA,MATCH("MartialLimitedMaster",CLASSFEATUREHEADERS,0),MATCH(($A2065 &amp; "Points"),CLASSNAMEHEADERS,0))),(IF("00"=(INDEX(ALLCLASSDATA,MATCH("MartialLimitedExpert",CLASSFEATUREHEADERS,0),MATCH($A2065,CLASSNAMEHEADERS,0))),(INDEX(ALLCLASSDATA,MATCH("MartialLimitedExpert",CLASSFEATUREHEADERS,0),MATCH(($A2065 &amp; "Points"),CLASSNAMEHEADERS,0))),(IF("00"=(INDEX(ALLCLASSDATA,MATCH("MartialLimitedTrained",CLASSFEATUREHEADERS,0),MATCH($A2065,CLASSNAMEHEADERS,0))),(INDEX(ALLCLASSDATA,MATCH("MartialLimitedTrained",CLASSFEATUREHEADERS,0),MATCH(($A2065 &amp; "Points"),CLASSNAMEHEADERS,0))),"")))))))))}</f>
        <v>MARTIALLIMITEDINITIALPTS</v>
      </c>
      <c r="H2064" s="223" t="str">
        <f t="array" ref="H2064:H2065">{"MARTIALLIMITEDL01";((IF("01"=(INDEX(ALLCLASSDATA,MATCH("MartialLimitedLegendary",CLASSFEATUREHEADERS,0),MATCH($A2065,CLASSNAMEHEADERS,0))),(INDEX(ALLCLASSDATA,MATCH("MartialLimitedLegendary",CLASSFEATUREHEADERS,0),MATCH(($A2065 &amp; "Points"),CLASSNAMEHEADERS,0))),(IF("01"=(INDEX(ALLCLASSDATA,MATCH("MartialLimitedMaster",CLASSFEATUREHEADERS,0),MATCH($A2065,CLASSNAMEHEADERS,0))),(INDEX(ALLCLASSDATA,MATCH("MartialLimitedMaster",CLASSFEATUREHEADERS,0),MATCH(($A2065 &amp; "Points"),CLASSNAMEHEADERS,0))),(IF("01"=(INDEX(ALLCLASSDATA,MATCH("MartialLimitedExpert",CLASSFEATUREHEADERS,0),MATCH($A2065,CLASSNAMEHEADERS,0))),(INDEX(ALLCLASSDATA,MATCH("MartialLimitedExpert",CLASSFEATUREHEADERS,0),MATCH(($A2065 &amp; "Points"),CLASSNAMEHEADERS,0))),(IF("01"=(INDEX(ALLCLASSDATA,MATCH("MartialLimitedTrained",CLASSFEATUREHEADERS,0),MATCH($A2065,CLASSNAMEHEADERS,0))),(INDEX(ALLCLASSDATA,MATCH("MartialLimitedTrained",CLASSFEATUREHEADERS,0),MATCH(($A2065 &amp; "Points"),CLASSNAMEHEADERS,0))),"")))))))))}</f>
        <v>MARTIALLIMITEDL01</v>
      </c>
      <c r="I2064" s="223"/>
      <c r="J2064" s="223" t="str">
        <f t="array" ref="J2064:J2065">{"MARTIALLIMITEDL03";((IF("03"=(INDEX(ALLCLASSDATA,MATCH("MartialLimitedLegendary",CLASSFEATUREHEADERS,0),MATCH($A2065,CLASSNAMEHEADERS,0))),(INDEX(ALLCLASSDATA,MATCH("MartialLimitedLegendary",CLASSFEATUREHEADERS,0),MATCH(($A2065 &amp; "Points"),CLASSNAMEHEADERS,0))),(IF("03"=(INDEX(ALLCLASSDATA,MATCH("MartialLimitedMaster",CLASSFEATUREHEADERS,0),MATCH($A2065,CLASSNAMEHEADERS,0))),(INDEX(ALLCLASSDATA,MATCH("MartialLimitedMaster",CLASSFEATUREHEADERS,0),MATCH(($A2065 &amp; "Points"),CLASSNAMEHEADERS,0))),(IF("03"=(INDEX(ALLCLASSDATA,MATCH("MartialLimitedExpert",CLASSFEATUREHEADERS,0),MATCH($A2065,CLASSNAMEHEADERS,0))),(INDEX(ALLCLASSDATA,MATCH("MartialLimitedExpert",CLASSFEATUREHEADERS,0),MATCH(($A2065 &amp; "Points"),CLASSNAMEHEADERS,0))),(IF("03"=(INDEX(ALLCLASSDATA,MATCH("MartialLimitedTrained",CLASSFEATUREHEADERS,0),MATCH($A2065,CLASSNAMEHEADERS,0))),(INDEX(ALLCLASSDATA,MATCH("MartialLimitedTrained",CLASSFEATUREHEADERS,0),MATCH(($A2065 &amp; "Points"),CLASSNAMEHEADERS,0))),"")))))))))}</f>
        <v>MARTIALLIMITEDL03</v>
      </c>
      <c r="K2064" s="223"/>
      <c r="L2064" s="223" t="str">
        <f t="array" ref="L2064:L2065">{"MARTIALLIMITEDL05";((IF("05"=(INDEX(ALLCLASSDATA,MATCH("MartialLimitedLegendary",CLASSFEATUREHEADERS,0),MATCH($A2065,CLASSNAMEHEADERS,0))),(INDEX(ALLCLASSDATA,MATCH("MartialLimitedLegendary",CLASSFEATUREHEADERS,0),MATCH(($A2065 &amp; "Points"),CLASSNAMEHEADERS,0))),(IF("05"=(INDEX(ALLCLASSDATA,MATCH("MartialLimitedMaster",CLASSFEATUREHEADERS,0),MATCH($A2065,CLASSNAMEHEADERS,0))),(INDEX(ALLCLASSDATA,MATCH("MartialLimitedMaster",CLASSFEATUREHEADERS,0),MATCH(($A2065 &amp; "Points"),CLASSNAMEHEADERS,0))),(IF("05"=(INDEX(ALLCLASSDATA,MATCH("MartialLimitedExpert",CLASSFEATUREHEADERS,0),MATCH($A2065,CLASSNAMEHEADERS,0))),(INDEX(ALLCLASSDATA,MATCH("MartialLimitedExpert",CLASSFEATUREHEADERS,0),MATCH(($A2065 &amp; "Points"),CLASSNAMEHEADERS,0))),(IF("05"=(INDEX(ALLCLASSDATA,MATCH("MartialLimitedTrained",CLASSFEATUREHEADERS,0),MATCH($A2065,CLASSNAMEHEADERS,0))),(INDEX(ALLCLASSDATA,MATCH("MartialLimitedTrained",CLASSFEATUREHEADERS,0),MATCH(($A2065 &amp; "Points"),CLASSNAMEHEADERS,0))),"")))))))))}</f>
        <v>MARTIALLIMITEDL05</v>
      </c>
      <c r="M2064" s="223"/>
      <c r="N2064" s="223" t="str">
        <f t="array" ref="N2064:N2065">{"MARTIALLIMITEDL07";((IF("07"=(INDEX(ALLCLASSDATA,MATCH("MartialLimitedLegendary",CLASSFEATUREHEADERS,0),MATCH($A2065,CLASSNAMEHEADERS,0))),(INDEX(ALLCLASSDATA,MATCH("MartialLimitedLegendary",CLASSFEATUREHEADERS,0),MATCH(($A2065 &amp; "Points"),CLASSNAMEHEADERS,0))),(IF("07"=(INDEX(ALLCLASSDATA,MATCH("MartialLimitedMaster",CLASSFEATUREHEADERS,0),MATCH($A2065,CLASSNAMEHEADERS,0))),(INDEX(ALLCLASSDATA,MATCH("MartialLimitedMaster",CLASSFEATUREHEADERS,0),MATCH(($A2065 &amp; "Points"),CLASSNAMEHEADERS,0))),(IF("07"=(INDEX(ALLCLASSDATA,MATCH("MartialLimitedExpert",CLASSFEATUREHEADERS,0),MATCH($A2065,CLASSNAMEHEADERS,0))),(INDEX(ALLCLASSDATA,MATCH("MartialLimitedExpert",CLASSFEATUREHEADERS,0),MATCH(($A2065 &amp; "Points"),CLASSNAMEHEADERS,0))),(IF("07"=(INDEX(ALLCLASSDATA,MATCH("MartialLimitedTrained",CLASSFEATUREHEADERS,0),MATCH($A2065,CLASSNAMEHEADERS,0))),(INDEX(ALLCLASSDATA,MATCH("MartialLimitedTrained",CLASSFEATUREHEADERS,0),MATCH(($A2065 &amp; "Points"),CLASSNAMEHEADERS,0))),"")))))))))}</f>
        <v>MARTIALLIMITEDL07</v>
      </c>
      <c r="O2064" s="223"/>
      <c r="P2064" s="223" t="str">
        <f t="array" ref="P2064:P2065">{"MARTIALLIMITEDL09";((IF("09"=(INDEX(ALLCLASSDATA,MATCH("MartialLimitedLegendary",CLASSFEATUREHEADERS,0),MATCH($A2065,CLASSNAMEHEADERS,0))),(INDEX(ALLCLASSDATA,MATCH("MartialLimitedLegendary",CLASSFEATUREHEADERS,0),MATCH(($A2065 &amp; "Points"),CLASSNAMEHEADERS,0))),(IF("09"=(INDEX(ALLCLASSDATA,MATCH("MartialLimitedMaster",CLASSFEATUREHEADERS,0),MATCH($A2065,CLASSNAMEHEADERS,0))),(INDEX(ALLCLASSDATA,MATCH("MartialLimitedMaster",CLASSFEATUREHEADERS,0),MATCH(($A2065 &amp; "Points"),CLASSNAMEHEADERS,0))),(IF("09"=(INDEX(ALLCLASSDATA,MATCH("MartialLimitedExpert",CLASSFEATUREHEADERS,0),MATCH($A2065,CLASSNAMEHEADERS,0))),(INDEX(ALLCLASSDATA,MATCH("MartialLimitedExpert",CLASSFEATUREHEADERS,0),MATCH(($A2065 &amp; "Points"),CLASSNAMEHEADERS,0))),(IF("09"=(INDEX(ALLCLASSDATA,MATCH("MartialLimitedTrained",CLASSFEATUREHEADERS,0),MATCH($A2065,CLASSNAMEHEADERS,0))),(INDEX(ALLCLASSDATA,MATCH("MartialLimitedTrained",CLASSFEATUREHEADERS,0),MATCH(($A2065 &amp; "Points"),CLASSNAMEHEADERS,0))),"")))))))))}</f>
        <v>MARTIALLIMITEDL09</v>
      </c>
      <c r="Q2064" s="223"/>
      <c r="R2064" s="223" t="str">
        <f t="array" ref="R2064:R2065">{"MARTIALLIMITEDL11";((IF("11"=(INDEX(ALLCLASSDATA,MATCH("MartialLimitedLegendary",CLASSFEATUREHEADERS,0),MATCH($A2065,CLASSNAMEHEADERS,0))),(INDEX(ALLCLASSDATA,MATCH("MartialLimitedLegendary",CLASSFEATUREHEADERS,0),MATCH(($A2065 &amp; "Points"),CLASSNAMEHEADERS,0))),(IF("11"=(INDEX(ALLCLASSDATA,MATCH("MartialLimitedMaster",CLASSFEATUREHEADERS,0),MATCH($A2065,CLASSNAMEHEADERS,0))),(INDEX(ALLCLASSDATA,MATCH("MartialLimitedMaster",CLASSFEATUREHEADERS,0),MATCH(($A2065 &amp; "Points"),CLASSNAMEHEADERS,0))),(IF("11"=(INDEX(ALLCLASSDATA,MATCH("MartialLimitedExpert",CLASSFEATUREHEADERS,0),MATCH($A2065,CLASSNAMEHEADERS,0))),(INDEX(ALLCLASSDATA,MATCH("MartialLimitedExpert",CLASSFEATUREHEADERS,0),MATCH(($A2065 &amp; "Points"),CLASSNAMEHEADERS,0))),(IF("11"=(INDEX(ALLCLASSDATA,MATCH("MartialLimitedTrained",CLASSFEATUREHEADERS,0),MATCH($A2065,CLASSNAMEHEADERS,0))),(INDEX(ALLCLASSDATA,MATCH("MartialLimitedTrained",CLASSFEATUREHEADERS,0),MATCH(($A2065 &amp; "Points"),CLASSNAMEHEADERS,0))),"")))))))))}</f>
        <v>MARTIALLIMITEDL11</v>
      </c>
      <c r="S2064" s="223"/>
      <c r="T2064" s="223" t="str">
        <f t="array" ref="T2064:T2065">{"MARTIALLIMITEDL13";((IF("13"=(INDEX(ALLCLASSDATA,MATCH("MartialLimitedLegendary",CLASSFEATUREHEADERS,0),MATCH($A2065,CLASSNAMEHEADERS,0))),(INDEX(ALLCLASSDATA,MATCH("MartialLimitedLegendary",CLASSFEATUREHEADERS,0),MATCH(($A2065 &amp; "Points"),CLASSNAMEHEADERS,0))),(IF("13"=(INDEX(ALLCLASSDATA,MATCH("MartialLimitedMaster",CLASSFEATUREHEADERS,0),MATCH($A2065,CLASSNAMEHEADERS,0))),(INDEX(ALLCLASSDATA,MATCH("MartialLimitedMaster",CLASSFEATUREHEADERS,0),MATCH(($A2065 &amp; "Points"),CLASSNAMEHEADERS,0))),(IF("13"=(INDEX(ALLCLASSDATA,MATCH("MartialLimitedExpert",CLASSFEATUREHEADERS,0),MATCH($A2065,CLASSNAMEHEADERS,0))),(INDEX(ALLCLASSDATA,MATCH("MartialLimitedExpert",CLASSFEATUREHEADERS,0),MATCH(($A2065 &amp; "Points"),CLASSNAMEHEADERS,0))),(IF("13"=(INDEX(ALLCLASSDATA,MATCH("MartialLimitedTrained",CLASSFEATUREHEADERS,0),MATCH($A2065,CLASSNAMEHEADERS,0))),(INDEX(ALLCLASSDATA,MATCH("MartialLimitedTrained",CLASSFEATUREHEADERS,0),MATCH(($A2065 &amp; "Points"),CLASSNAMEHEADERS,0))),"")))))))))}</f>
        <v>MARTIALLIMITEDL13</v>
      </c>
      <c r="U2064" s="223"/>
      <c r="V2064" s="223" t="str">
        <f t="array" ref="V2064:V2065">{"MARTIALLIMITEDL15";((IF("15"=(INDEX(ALLCLASSDATA,MATCH("MartialLimitedLegendary",CLASSFEATUREHEADERS,0),MATCH($A2065,CLASSNAMEHEADERS,0))),(INDEX(ALLCLASSDATA,MATCH("MartialLimitedLegendary",CLASSFEATUREHEADERS,0),MATCH(($A2065 &amp; "Points"),CLASSNAMEHEADERS,0))),(IF("15"=(INDEX(ALLCLASSDATA,MATCH("MartialLimitedMaster",CLASSFEATUREHEADERS,0),MATCH($A2065,CLASSNAMEHEADERS,0))),(INDEX(ALLCLASSDATA,MATCH("MartialLimitedMaster",CLASSFEATUREHEADERS,0),MATCH(($A2065 &amp; "Points"),CLASSNAMEHEADERS,0))),(IF("15"=(INDEX(ALLCLASSDATA,MATCH("MartialLimitedExpert",CLASSFEATUREHEADERS,0),MATCH($A2065,CLASSNAMEHEADERS,0))),(INDEX(ALLCLASSDATA,MATCH("MartialLimitedExpert",CLASSFEATUREHEADERS,0),MATCH(($A2065 &amp; "Points"),CLASSNAMEHEADERS,0))),(IF("15"=(INDEX(ALLCLASSDATA,MATCH("MartialLimitedTrained",CLASSFEATUREHEADERS,0),MATCH($A2065,CLASSNAMEHEADERS,0))),(INDEX(ALLCLASSDATA,MATCH("MartialLimitedTrained",CLASSFEATUREHEADERS,0),MATCH(($A2065 &amp; "Points"),CLASSNAMEHEADERS,0))),"")))))))))}</f>
        <v>MARTIALLIMITEDL15</v>
      </c>
      <c r="W2064" s="223"/>
      <c r="X2064" s="223" t="str">
        <f t="array" ref="X2064:X2065">{"MARTIALLIMITEDL17";((IF("17"=(INDEX(ALLCLASSDATA,MATCH("MartialLimitedLegendary",CLASSFEATUREHEADERS,0),MATCH($A2065,CLASSNAMEHEADERS,0))),(INDEX(ALLCLASSDATA,MATCH("MartialLimitedLegendary",CLASSFEATUREHEADERS,0),MATCH(($A2065 &amp; "Points"),CLASSNAMEHEADERS,0))),(IF("17"=(INDEX(ALLCLASSDATA,MATCH("MartialLimitedMaster",CLASSFEATUREHEADERS,0),MATCH($A2065,CLASSNAMEHEADERS,0))),(INDEX(ALLCLASSDATA,MATCH("MartialLimitedMaster",CLASSFEATUREHEADERS,0),MATCH(($A2065 &amp; "Points"),CLASSNAMEHEADERS,0))),(IF("17"=(INDEX(ALLCLASSDATA,MATCH("MartialLimitedExpert",CLASSFEATUREHEADERS,0),MATCH($A2065,CLASSNAMEHEADERS,0))),(INDEX(ALLCLASSDATA,MATCH("MartialLimitedExpert",CLASSFEATUREHEADERS,0),MATCH(($A2065 &amp; "Points"),CLASSNAMEHEADERS,0))),(IF("17"=(INDEX(ALLCLASSDATA,MATCH("MartialLimitedTrained",CLASSFEATUREHEADERS,0),MATCH($A2065,CLASSNAMEHEADERS,0))),(INDEX(ALLCLASSDATA,MATCH("MartialLimitedTrained",CLASSFEATUREHEADERS,0),MATCH(($A2065 &amp; "Points"),CLASSNAMEHEADERS,0))),"")))))))))}</f>
        <v>MARTIALLIMITEDL17</v>
      </c>
      <c r="Y2064" s="223"/>
      <c r="Z2064" s="223" t="str">
        <f t="array" ref="Z2064:Z2065">{"MARTIALLIMITEDL19";((IF("19"=(INDEX(ALLCLASSDATA,MATCH("MartialLimitedLegendary",CLASSFEATUREHEADERS,0),MATCH($A2065,CLASSNAMEHEADERS,0))),(INDEX(ALLCLASSDATA,MATCH("MartialLimitedLegendary",CLASSFEATUREHEADERS,0),MATCH(($A2065 &amp; "Points"),CLASSNAMEHEADERS,0))),(IF("19"=(INDEX(ALLCLASSDATA,MATCH("MartialLimitedMaster",CLASSFEATUREHEADERS,0),MATCH($A2065,CLASSNAMEHEADERS,0))),(INDEX(ALLCLASSDATA,MATCH("MartialLimitedMaster",CLASSFEATUREHEADERS,0),MATCH(($A2065 &amp; "Points"),CLASSNAMEHEADERS,0))),(IF("19"=(INDEX(ALLCLASSDATA,MATCH("MartialLimitedExpert",CLASSFEATUREHEADERS,0),MATCH($A2065,CLASSNAMEHEADERS,0))),(INDEX(ALLCLASSDATA,MATCH("MartialLimitedExpert",CLASSFEATUREHEADERS,0),MATCH(($A2065 &amp; "Points"),CLASSNAMEHEADERS,0))),(IF("19"=(INDEX(ALLCLASSDATA,MATCH("MartialLimitedTrained",CLASSFEATUREHEADERS,0),MATCH($A2065,CLASSNAMEHEADERS,0))),(INDEX(ALLCLASSDATA,MATCH("MartialLimitedTrained",CLASSFEATUREHEADERS,0),MATCH(($A2065 &amp; "Points"),CLASSNAMEHEADERS,0))),"")))))))))}</f>
        <v>MARTIALLIMITEDL19</v>
      </c>
      <c r="AA2064" s="223"/>
      <c r="AB2064" s="76" t="str">
        <f t="array" ref="AB2064:AB2065">{"MARTIALLIMITED TOTAL";(IF(COUNTBLANK(G2065:AA2065)=17,"L",(IF(COUNTBLANK(G2065:AA2065)=18,"M",(IF(COUNTBLANK(G2065:AA2065)=19,"E",(IF(COUNTBLANK(G2065:AA2065)=20,"T",""))))))))}</f>
        <v>MARTIALLIMITED TOTAL</v>
      </c>
      <c r="AC2064" s="76" t="str">
        <f t="array" ref="AC2064:AC2065">{"MARTIALLIMITED TOTAL";(sum(G2065:AA2065))}</f>
        <v>MARTIALLIMITED TOTAL</v>
      </c>
    </row>
    <row r="2065">
      <c r="A2065" s="48" t="s">
        <v>233</v>
      </c>
      <c r="B2065" s="48"/>
      <c r="C2065" s="48" t="s">
        <v>418</v>
      </c>
      <c r="D2065" s="48" t="s">
        <v>1634</v>
      </c>
      <c r="E2065" s="48" t="s">
        <v>600</v>
      </c>
      <c r="F2065" s="5" t="s">
        <v>603</v>
      </c>
      <c r="G2065" s="47" t="s">
        <v>603</v>
      </c>
      <c r="H2065" s="5" t="s">
        <v>603</v>
      </c>
      <c r="I2065" s="5"/>
      <c r="J2065" s="5" t="s">
        <v>603</v>
      </c>
      <c r="K2065" s="5"/>
      <c r="L2065" s="5" t="s">
        <v>603</v>
      </c>
      <c r="M2065" s="5"/>
      <c r="N2065" s="5" t="s">
        <v>603</v>
      </c>
      <c r="O2065" s="5"/>
      <c r="P2065" s="5" t="s">
        <v>603</v>
      </c>
      <c r="Q2065" s="5"/>
      <c r="R2065" s="5" t="s">
        <v>603</v>
      </c>
      <c r="S2065" s="5"/>
      <c r="T2065" s="5" t="s">
        <v>603</v>
      </c>
      <c r="U2065" s="5"/>
      <c r="V2065" s="5" t="s">
        <v>603</v>
      </c>
      <c r="W2065" s="5"/>
      <c r="X2065" s="5" t="s">
        <v>603</v>
      </c>
      <c r="Y2065" s="5"/>
      <c r="Z2065" s="5" t="s">
        <v>603</v>
      </c>
      <c r="AA2065" s="5"/>
      <c r="AB2065" s="5" t="s">
        <v>603</v>
      </c>
      <c r="AC2065" s="47">
        <v>0.0</v>
      </c>
    </row>
    <row r="2066" hidden="1">
      <c r="A2066" s="222" t="str">
        <f t="array" ref="A2066:A2067">{"FormulaRow31";(INDEX(CLASSLIST,A2005,1))}</f>
        <v>FormulaRow31</v>
      </c>
      <c r="B2066" s="77" t="s">
        <v>236</v>
      </c>
      <c r="C2066" s="222" t="str">
        <f t="array" ref="C2066:C2067">{"CLASSTYPE";((INDEX(ALLCLASSDATA,MATCH("ClassType",CLASSFEATUREHEADERS,0),MATCH($A2067,CLASSNAMEHEADERS,0))))}</f>
        <v>CLASSTYPE</v>
      </c>
      <c r="D2066" s="222" t="str">
        <f t="array" ref="D2066:D2067">{"ATTACK";"Attack"}</f>
        <v>ATTACK</v>
      </c>
      <c r="E2066" s="222" t="str">
        <f t="array" ref="E2066:E2067">{"MARTIAL";"Martial"}</f>
        <v>MARTIAL</v>
      </c>
      <c r="F2066" s="223" t="str">
        <f t="array" ref="F2066:F2067">{"MARTIALINITIAL";((IF(H2067=10,"T",(IF(H2067=50,"E","")))))}</f>
        <v>MARTIALINITIAL</v>
      </c>
      <c r="G2066" s="223" t="str">
        <f t="array" ref="G2066:G2067">{"MARTIALINITIALPTS";((IF("00"=(INDEX(ALLCLASSDATA,MATCH("MartialLegendary",CLASSFEATUREHEADERS,0),MATCH($A2067,CLASSNAMEHEADERS,0))),(INDEX(ALLCLASSDATA,MATCH("MartialLegendary",CLASSFEATUREHEADERS,0),MATCH(($A2067 &amp; "Points"),CLASSNAMEHEADERS,0))),(IF("00"=(INDEX(ALLCLASSDATA,MATCH("MartialMaster",CLASSFEATUREHEADERS,0),MATCH($A2067,CLASSNAMEHEADERS,0))),(INDEX(ALLCLASSDATA,MATCH("MartialMaster",CLASSFEATUREHEADERS,0),MATCH(($A2067 &amp; "Points"),CLASSNAMEHEADERS,0))),(IF("00"=(INDEX(ALLCLASSDATA,MATCH("MartialExpert",CLASSFEATUREHEADERS,0),MATCH($A2067,CLASSNAMEHEADERS,0))),(INDEX(ALLCLASSDATA,MATCH("MartialExpert",CLASSFEATUREHEADERS,0),MATCH(($A2067 &amp; "Points"),CLASSNAMEHEADERS,0))),(IF("00"=(INDEX(ALLCLASSDATA,MATCH("MartialTrained",CLASSFEATUREHEADERS,0),MATCH($A2067,CLASSNAMEHEADERS,0))),(INDEX(ALLCLASSDATA,MATCH("MartialTrained",CLASSFEATUREHEADERS,0),MATCH(($A2067 &amp; "Points"),CLASSNAMEHEADERS,0))),"")))))))))}</f>
        <v>MARTIALINITIALPTS</v>
      </c>
      <c r="H2066" s="223" t="str">
        <f t="array" ref="H2066:H2067">{"MARTIALL01";((IF("01"=(INDEX(ALLCLASSDATA,MATCH("MartialLegendary",CLASSFEATUREHEADERS,0),MATCH($A2067,CLASSNAMEHEADERS,0))),(INDEX(ALLCLASSDATA,MATCH("MartialLegendary",CLASSFEATUREHEADERS,0),MATCH(($A2067 &amp; "Points"),CLASSNAMEHEADERS,0))),(IF("01"=(INDEX(ALLCLASSDATA,MATCH("MartialMaster",CLASSFEATUREHEADERS,0),MATCH($A2067,CLASSNAMEHEADERS,0))),(INDEX(ALLCLASSDATA,MATCH("MartialMaster",CLASSFEATUREHEADERS,0),MATCH(($A2067 &amp; "Points"),CLASSNAMEHEADERS,0))),(IF("01"=(INDEX(ALLCLASSDATA,MATCH("MartialExpert",CLASSFEATUREHEADERS,0),MATCH($A2067,CLASSNAMEHEADERS,0))),(INDEX(ALLCLASSDATA,MATCH("MartialExpert",CLASSFEATUREHEADERS,0),MATCH(($A2067 &amp; "Points"),CLASSNAMEHEADERS,0))),(IF("01"=(INDEX(ALLCLASSDATA,MATCH("MartialTrained",CLASSFEATUREHEADERS,0),MATCH($A2067,CLASSNAMEHEADERS,0))),(INDEX(ALLCLASSDATA,MATCH("MartialTrained",CLASSFEATUREHEADERS,0),MATCH(($A2067 &amp; "Points"),CLASSNAMEHEADERS,0))),"")))))))))}</f>
        <v>MARTIALL01</v>
      </c>
      <c r="I2066" s="223"/>
      <c r="J2066" s="223" t="str">
        <f t="array" ref="J2066:J2067">{"MARTIALL03";((IF("03"=(INDEX(ALLCLASSDATA,MATCH("MartialLegendary",CLASSFEATUREHEADERS,0),MATCH($A2067,CLASSNAMEHEADERS,0))),(INDEX(ALLCLASSDATA,MATCH("MartialLegendary",CLASSFEATUREHEADERS,0),MATCH(($A2067 &amp; "Points"),CLASSNAMEHEADERS,0))),(IF("03"=(INDEX(ALLCLASSDATA,MATCH("MartialMaster",CLASSFEATUREHEADERS,0),MATCH($A2067,CLASSNAMEHEADERS,0))),(INDEX(ALLCLASSDATA,MATCH("MartialMaster",CLASSFEATUREHEADERS,0),MATCH(($A2067 &amp; "Points"),CLASSNAMEHEADERS,0))),(IF("03"=(INDEX(ALLCLASSDATA,MATCH("MartialExpert",CLASSFEATUREHEADERS,0),MATCH($A2067,CLASSNAMEHEADERS,0))),(INDEX(ALLCLASSDATA,MATCH("MartialExpert",CLASSFEATUREHEADERS,0),MATCH(($A2067 &amp; "Points"),CLASSNAMEHEADERS,0))),(IF("03"=(INDEX(ALLCLASSDATA,MATCH("MartialTrained",CLASSFEATUREHEADERS,0),MATCH($A2067,CLASSNAMEHEADERS,0))),(INDEX(ALLCLASSDATA,MATCH("MartialTrained",CLASSFEATUREHEADERS,0),MATCH(($A2067 &amp; "Points"),CLASSNAMEHEADERS,0))),"")))))))))}</f>
        <v>MARTIALL03</v>
      </c>
      <c r="K2066" s="223"/>
      <c r="L2066" s="223" t="str">
        <f t="array" ref="L2066:L2067">{"MARTIALL05";((IF("05"=(INDEX(ALLCLASSDATA,MATCH("MartialLegendary",CLASSFEATUREHEADERS,0),MATCH($A2067,CLASSNAMEHEADERS,0))),(INDEX(ALLCLASSDATA,MATCH("MartialLegendary",CLASSFEATUREHEADERS,0),MATCH(($A2067 &amp; "Points"),CLASSNAMEHEADERS,0))),(IF("05"=(INDEX(ALLCLASSDATA,MATCH("MartialMaster",CLASSFEATUREHEADERS,0),MATCH($A2067,CLASSNAMEHEADERS,0))),(INDEX(ALLCLASSDATA,MATCH("MartialMaster",CLASSFEATUREHEADERS,0),MATCH(($A2067 &amp; "Points"),CLASSNAMEHEADERS,0))),(IF("05"=(INDEX(ALLCLASSDATA,MATCH("MartialExpert",CLASSFEATUREHEADERS,0),MATCH($A2067,CLASSNAMEHEADERS,0))),(INDEX(ALLCLASSDATA,MATCH("MartialExpert",CLASSFEATUREHEADERS,0),MATCH(($A2067 &amp; "Points"),CLASSNAMEHEADERS,0))),(IF("05"=(INDEX(ALLCLASSDATA,MATCH("MartialTrained",CLASSFEATUREHEADERS,0),MATCH($A2067,CLASSNAMEHEADERS,0))),(INDEX(ALLCLASSDATA,MATCH("MartialTrained",CLASSFEATUREHEADERS,0),MATCH(($A2067 &amp; "Points"),CLASSNAMEHEADERS,0))),"")))))))))}</f>
        <v>MARTIALL05</v>
      </c>
      <c r="M2066" s="223"/>
      <c r="N2066" s="223" t="str">
        <f t="array" ref="N2066:N2067">{"MARTIALL07";((IF("07"=(INDEX(ALLCLASSDATA,MATCH("MartialLegendary",CLASSFEATUREHEADERS,0),MATCH($A2067,CLASSNAMEHEADERS,0))),(INDEX(ALLCLASSDATA,MATCH("MartialLegendary",CLASSFEATUREHEADERS,0),MATCH(($A2067 &amp; "Points"),CLASSNAMEHEADERS,0))),(IF("07"=(INDEX(ALLCLASSDATA,MATCH("MartialMaster",CLASSFEATUREHEADERS,0),MATCH($A2067,CLASSNAMEHEADERS,0))),(INDEX(ALLCLASSDATA,MATCH("MartialMaster",CLASSFEATUREHEADERS,0),MATCH(($A2067 &amp; "Points"),CLASSNAMEHEADERS,0))),(IF("07"=(INDEX(ALLCLASSDATA,MATCH("MartialExpert",CLASSFEATUREHEADERS,0),MATCH($A2067,CLASSNAMEHEADERS,0))),(INDEX(ALLCLASSDATA,MATCH("MartialExpert",CLASSFEATUREHEADERS,0),MATCH(($A2067 &amp; "Points"),CLASSNAMEHEADERS,0))),(IF("07"=(INDEX(ALLCLASSDATA,MATCH("MartialTrained",CLASSFEATUREHEADERS,0),MATCH($A2067,CLASSNAMEHEADERS,0))),(INDEX(ALLCLASSDATA,MATCH("MartialTrained",CLASSFEATUREHEADERS,0),MATCH(($A2067 &amp; "Points"),CLASSNAMEHEADERS,0))),"")))))))))}</f>
        <v>MARTIALL07</v>
      </c>
      <c r="O2066" s="223"/>
      <c r="P2066" s="223" t="str">
        <f t="array" ref="P2066:P2067">{"MARTIALL09";((IF("09"=(INDEX(ALLCLASSDATA,MATCH("MartialLegendary",CLASSFEATUREHEADERS,0),MATCH($A2067,CLASSNAMEHEADERS,0))),(INDEX(ALLCLASSDATA,MATCH("MartialLegendary",CLASSFEATUREHEADERS,0),MATCH(($A2067 &amp; "Points"),CLASSNAMEHEADERS,0))),(IF("09"=(INDEX(ALLCLASSDATA,MATCH("MartialMaster",CLASSFEATUREHEADERS,0),MATCH($A2067,CLASSNAMEHEADERS,0))),(INDEX(ALLCLASSDATA,MATCH("MartialMaster",CLASSFEATUREHEADERS,0),MATCH(($A2067 &amp; "Points"),CLASSNAMEHEADERS,0))),(IF("09"=(INDEX(ALLCLASSDATA,MATCH("MartialExpert",CLASSFEATUREHEADERS,0),MATCH($A2067,CLASSNAMEHEADERS,0))),(INDEX(ALLCLASSDATA,MATCH("MartialExpert",CLASSFEATUREHEADERS,0),MATCH(($A2067 &amp; "Points"),CLASSNAMEHEADERS,0))),(IF("09"=(INDEX(ALLCLASSDATA,MATCH("MartialTrained",CLASSFEATUREHEADERS,0),MATCH($A2067,CLASSNAMEHEADERS,0))),(INDEX(ALLCLASSDATA,MATCH("MartialTrained",CLASSFEATUREHEADERS,0),MATCH(($A2067 &amp; "Points"),CLASSNAMEHEADERS,0))),"")))))))))}</f>
        <v>MARTIALL09</v>
      </c>
      <c r="Q2066" s="223"/>
      <c r="R2066" s="223" t="str">
        <f t="array" ref="R2066:R2067">{"MARTIALL11";((IF("11"=(INDEX(ALLCLASSDATA,MATCH("MartialLegendary",CLASSFEATUREHEADERS,0),MATCH($A2067,CLASSNAMEHEADERS,0))),(INDEX(ALLCLASSDATA,MATCH("MartialLegendary",CLASSFEATUREHEADERS,0),MATCH(($A2067 &amp; "Points"),CLASSNAMEHEADERS,0))),(IF("11"=(INDEX(ALLCLASSDATA,MATCH("MartialMaster",CLASSFEATUREHEADERS,0),MATCH($A2067,CLASSNAMEHEADERS,0))),(INDEX(ALLCLASSDATA,MATCH("MartialMaster",CLASSFEATUREHEADERS,0),MATCH(($A2067 &amp; "Points"),CLASSNAMEHEADERS,0))),(IF("11"=(INDEX(ALLCLASSDATA,MATCH("MartialExpert",CLASSFEATUREHEADERS,0),MATCH($A2067,CLASSNAMEHEADERS,0))),(INDEX(ALLCLASSDATA,MATCH("MartialExpert",CLASSFEATUREHEADERS,0),MATCH(($A2067 &amp; "Points"),CLASSNAMEHEADERS,0))),(IF("11"=(INDEX(ALLCLASSDATA,MATCH("MartialTrained",CLASSFEATUREHEADERS,0),MATCH($A2067,CLASSNAMEHEADERS,0))),(INDEX(ALLCLASSDATA,MATCH("MartialTrained",CLASSFEATUREHEADERS,0),MATCH(($A2067 &amp; "Points"),CLASSNAMEHEADERS,0))),"")))))))))}</f>
        <v>MARTIALL11</v>
      </c>
      <c r="S2066" s="223"/>
      <c r="T2066" s="223" t="str">
        <f t="array" ref="T2066:T2067">{"MARTIALL13";((IF("13"=(INDEX(ALLCLASSDATA,MATCH("MartialLegendary",CLASSFEATUREHEADERS,0),MATCH($A2067,CLASSNAMEHEADERS,0))),(INDEX(ALLCLASSDATA,MATCH("MartialLegendary",CLASSFEATUREHEADERS,0),MATCH(($A2067 &amp; "Points"),CLASSNAMEHEADERS,0))),(IF("13"=(INDEX(ALLCLASSDATA,MATCH("MartialMaster",CLASSFEATUREHEADERS,0),MATCH($A2067,CLASSNAMEHEADERS,0))),(INDEX(ALLCLASSDATA,MATCH("MartialMaster",CLASSFEATUREHEADERS,0),MATCH(($A2067 &amp; "Points"),CLASSNAMEHEADERS,0))),(IF("13"=(INDEX(ALLCLASSDATA,MATCH("MartialExpert",CLASSFEATUREHEADERS,0),MATCH($A2067,CLASSNAMEHEADERS,0))),(INDEX(ALLCLASSDATA,MATCH("MartialExpert",CLASSFEATUREHEADERS,0),MATCH(($A2067 &amp; "Points"),CLASSNAMEHEADERS,0))),(IF("13"=(INDEX(ALLCLASSDATA,MATCH("MartialTrained",CLASSFEATUREHEADERS,0),MATCH($A2067,CLASSNAMEHEADERS,0))),(INDEX(ALLCLASSDATA,MATCH("MartialTrained",CLASSFEATUREHEADERS,0),MATCH(($A2067 &amp; "Points"),CLASSNAMEHEADERS,0))),"")))))))))}</f>
        <v>MARTIALL13</v>
      </c>
      <c r="U2066" s="223"/>
      <c r="V2066" s="223" t="str">
        <f t="array" ref="V2066:V2067">{"MARTIALL15";((IF("15"=(INDEX(ALLCLASSDATA,MATCH("MartialLegendary",CLASSFEATUREHEADERS,0),MATCH($A2067,CLASSNAMEHEADERS,0))),(INDEX(ALLCLASSDATA,MATCH("MartialLegendary",CLASSFEATUREHEADERS,0),MATCH(($A2067 &amp; "Points"),CLASSNAMEHEADERS,0))),(IF("15"=(INDEX(ALLCLASSDATA,MATCH("MartialMaster",CLASSFEATUREHEADERS,0),MATCH($A2067,CLASSNAMEHEADERS,0))),(INDEX(ALLCLASSDATA,MATCH("MartialMaster",CLASSFEATUREHEADERS,0),MATCH(($A2067 &amp; "Points"),CLASSNAMEHEADERS,0))),(IF("15"=(INDEX(ALLCLASSDATA,MATCH("MartialExpert",CLASSFEATUREHEADERS,0),MATCH($A2067,CLASSNAMEHEADERS,0))),(INDEX(ALLCLASSDATA,MATCH("MartialExpert",CLASSFEATUREHEADERS,0),MATCH(($A2067 &amp; "Points"),CLASSNAMEHEADERS,0))),(IF("15"=(INDEX(ALLCLASSDATA,MATCH("MartialTrained",CLASSFEATUREHEADERS,0),MATCH($A2067,CLASSNAMEHEADERS,0))),(INDEX(ALLCLASSDATA,MATCH("MartialTrained",CLASSFEATUREHEADERS,0),MATCH(($A2067 &amp; "Points"),CLASSNAMEHEADERS,0))),"")))))))))}</f>
        <v>MARTIALL15</v>
      </c>
      <c r="W2066" s="223"/>
      <c r="X2066" s="223" t="str">
        <f t="array" ref="X2066:X2067">{"MARTIALL17";((IF("17"=(INDEX(ALLCLASSDATA,MATCH("MartialLegendary",CLASSFEATUREHEADERS,0),MATCH($A2067,CLASSNAMEHEADERS,0))),(INDEX(ALLCLASSDATA,MATCH("MartialLegendary",CLASSFEATUREHEADERS,0),MATCH(($A2067 &amp; "Points"),CLASSNAMEHEADERS,0))),(IF("17"=(INDEX(ALLCLASSDATA,MATCH("MartialMaster",CLASSFEATUREHEADERS,0),MATCH($A2067,CLASSNAMEHEADERS,0))),(INDEX(ALLCLASSDATA,MATCH("MartialMaster",CLASSFEATUREHEADERS,0),MATCH(($A2067 &amp; "Points"),CLASSNAMEHEADERS,0))),(IF("17"=(INDEX(ALLCLASSDATA,MATCH("MartialExpert",CLASSFEATUREHEADERS,0),MATCH($A2067,CLASSNAMEHEADERS,0))),(INDEX(ALLCLASSDATA,MATCH("MartialExpert",CLASSFEATUREHEADERS,0),MATCH(($A2067 &amp; "Points"),CLASSNAMEHEADERS,0))),(IF("17"=(INDEX(ALLCLASSDATA,MATCH("MartialTrained",CLASSFEATUREHEADERS,0),MATCH($A2067,CLASSNAMEHEADERS,0))),(INDEX(ALLCLASSDATA,MATCH("MartialTrained",CLASSFEATUREHEADERS,0),MATCH(($A2067 &amp; "Points"),CLASSNAMEHEADERS,0))),"")))))))))}</f>
        <v>MARTIALL17</v>
      </c>
      <c r="Y2066" s="223"/>
      <c r="Z2066" s="223" t="str">
        <f t="array" ref="Z2066:Z2067">{"MARTIALL19";((IF("19"=(INDEX(ALLCLASSDATA,MATCH("MartialLegendary",CLASSFEATUREHEADERS,0),MATCH($A2067,CLASSNAMEHEADERS,0))),(INDEX(ALLCLASSDATA,MATCH("MartialLegendary",CLASSFEATUREHEADERS,0),MATCH(($A2067 &amp; "Points"),CLASSNAMEHEADERS,0))),(IF("19"=(INDEX(ALLCLASSDATA,MATCH("MartialMaster",CLASSFEATUREHEADERS,0),MATCH($A2067,CLASSNAMEHEADERS,0))),(INDEX(ALLCLASSDATA,MATCH("MartialMaster",CLASSFEATUREHEADERS,0),MATCH(($A2067 &amp; "Points"),CLASSNAMEHEADERS,0))),(IF("19"=(INDEX(ALLCLASSDATA,MATCH("MartialExpert",CLASSFEATUREHEADERS,0),MATCH($A2067,CLASSNAMEHEADERS,0))),(INDEX(ALLCLASSDATA,MATCH("MartialExpert",CLASSFEATUREHEADERS,0),MATCH(($A2067 &amp; "Points"),CLASSNAMEHEADERS,0))),(IF("19"=(INDEX(ALLCLASSDATA,MATCH("MartialTrained",CLASSFEATUREHEADERS,0),MATCH($A2067,CLASSNAMEHEADERS,0))),(INDEX(ALLCLASSDATA,MATCH("MartialTrained",CLASSFEATUREHEADERS,0),MATCH(($A2067 &amp; "Points"),CLASSNAMEHEADERS,0))),"")))))))))}</f>
        <v>MARTIALL19</v>
      </c>
      <c r="AA2066" s="223"/>
      <c r="AB2066" s="76" t="str">
        <f t="array" ref="AB2066:AB2067">{"MARTIAL TOTAL";(IF(COUNTBLANK(G2067:AA2067)=17,"L",(IF(COUNTBLANK(G2067:AA2067)=18,"M",(IF(COUNTBLANK(G2067:AA2067)=19,"E",(IF(COUNTBLANK(G2067:AA2067)=20,"T",""))))))))}</f>
        <v>MARTIAL TOTAL</v>
      </c>
      <c r="AC2066" s="76" t="str">
        <f t="array" ref="AC2066:AC2067">{"MARTIAL TOTAL";(sum(G2067:AA2067))}</f>
        <v>MARTIAL TOTAL</v>
      </c>
    </row>
    <row r="2067">
      <c r="A2067" s="48" t="s">
        <v>233</v>
      </c>
      <c r="B2067" s="48"/>
      <c r="C2067" s="48" t="s">
        <v>418</v>
      </c>
      <c r="D2067" s="48" t="s">
        <v>1634</v>
      </c>
      <c r="E2067" s="48" t="s">
        <v>6</v>
      </c>
      <c r="F2067" s="5" t="s">
        <v>603</v>
      </c>
      <c r="G2067" s="47" t="s">
        <v>603</v>
      </c>
      <c r="H2067" s="5" t="s">
        <v>603</v>
      </c>
      <c r="I2067" s="5"/>
      <c r="J2067" s="5" t="s">
        <v>603</v>
      </c>
      <c r="K2067" s="5"/>
      <c r="L2067" s="5" t="s">
        <v>603</v>
      </c>
      <c r="M2067" s="5"/>
      <c r="N2067" s="5" t="s">
        <v>603</v>
      </c>
      <c r="O2067" s="5"/>
      <c r="P2067" s="5" t="s">
        <v>603</v>
      </c>
      <c r="Q2067" s="48"/>
      <c r="R2067" s="5" t="s">
        <v>603</v>
      </c>
      <c r="S2067" s="5"/>
      <c r="T2067" s="5" t="s">
        <v>603</v>
      </c>
      <c r="U2067" s="5"/>
      <c r="V2067" s="5" t="s">
        <v>603</v>
      </c>
      <c r="W2067" s="5"/>
      <c r="X2067" s="5" t="s">
        <v>603</v>
      </c>
      <c r="Y2067" s="5"/>
      <c r="Z2067" s="5" t="s">
        <v>603</v>
      </c>
      <c r="AA2067" s="5"/>
      <c r="AB2067" s="5" t="s">
        <v>603</v>
      </c>
      <c r="AC2067" s="47">
        <v>0.0</v>
      </c>
    </row>
    <row r="2068" hidden="1">
      <c r="A2068" s="222" t="str">
        <f t="array" ref="A2068:A2069">{"FormulaRow32";(INDEX(CLASSLIST,A2005,1))}</f>
        <v>FormulaRow32</v>
      </c>
      <c r="B2068" s="77" t="s">
        <v>236</v>
      </c>
      <c r="C2068" s="222" t="str">
        <f t="array" ref="C2068:C2069">{"CLASSTYPE";((INDEX(ALLCLASSDATA,MATCH("ClassType",CLASSFEATUREHEADERS,0),MATCH($A2069,CLASSNAMEHEADERS,0))))}</f>
        <v>CLASSTYPE</v>
      </c>
      <c r="D2068" s="222" t="str">
        <f t="array" ref="D2068:D2069">{"ATTACK";"Attack"}</f>
        <v>ATTACK</v>
      </c>
      <c r="E2068" s="222" t="str">
        <f t="array" ref="E2068:E2069">{"ADVANCEDGROUP";"AdvancedGroup"}</f>
        <v>ADVANCEDGROUP</v>
      </c>
      <c r="F2068" s="223" t="str">
        <f t="array" ref="F2068:F2069">{"ADVANCEDGROUPINITIAL";((IF(H2069=10,"T",(IF(H2069=50,"E","")))))}</f>
        <v>ADVANCEDGROUPINITIAL</v>
      </c>
      <c r="G2068" s="223" t="str">
        <f t="array" ref="G2068:G2069">{"ADVANCEDGROUPINITIALPTS";((IF("00"=(INDEX(ALLCLASSDATA,MATCH("AdvancedGroupLegendary",CLASSFEATUREHEADERS,0),MATCH($A2069,CLASSNAMEHEADERS,0))),(INDEX(ALLCLASSDATA,MATCH("AdvancedGroupLegendary",CLASSFEATUREHEADERS,0),MATCH(($A2069 &amp; "Points"),CLASSNAMEHEADERS,0))),(IF("00"=(INDEX(ALLCLASSDATA,MATCH("AdvancedGroupMaster",CLASSFEATUREHEADERS,0),MATCH($A2069,CLASSNAMEHEADERS,0))),(INDEX(ALLCLASSDATA,MATCH("AdvancedGroupMaster",CLASSFEATUREHEADERS,0),MATCH(($A2069 &amp; "Points"),CLASSNAMEHEADERS,0))),(IF("00"=(INDEX(ALLCLASSDATA,MATCH("AdvancedGroupExpert",CLASSFEATUREHEADERS,0),MATCH($A2069,CLASSNAMEHEADERS,0))),(INDEX(ALLCLASSDATA,MATCH("AdvancedGroupExpert",CLASSFEATUREHEADERS,0),MATCH(($A2069 &amp; "Points"),CLASSNAMEHEADERS,0))),(IF("00"=(INDEX(ALLCLASSDATA,MATCH("AdvancedGroupTrained",CLASSFEATUREHEADERS,0),MATCH($A2069,CLASSNAMEHEADERS,0))),(INDEX(ALLCLASSDATA,MATCH("AdvancedGroupTrained",CLASSFEATUREHEADERS,0),MATCH(($A2069 &amp; "Points"),CLASSNAMEHEADERS,0))),"")))))))))}</f>
        <v>ADVANCEDGROUPINITIALPTS</v>
      </c>
      <c r="H2068" s="223" t="str">
        <f t="array" ref="H2068:H2069">{"ADVANCEDGROUPL01";((IF("01"=(INDEX(ALLCLASSDATA,MATCH("AdvancedGroupLegendary",CLASSFEATUREHEADERS,0),MATCH($A2069,CLASSNAMEHEADERS,0))),(INDEX(ALLCLASSDATA,MATCH("AdvancedGroupLegendary",CLASSFEATUREHEADERS,0),MATCH(($A2069 &amp; "Points"),CLASSNAMEHEADERS,0))),(IF("01"=(INDEX(ALLCLASSDATA,MATCH("AdvancedGroupMaster",CLASSFEATUREHEADERS,0),MATCH($A2069,CLASSNAMEHEADERS,0))),(INDEX(ALLCLASSDATA,MATCH("AdvancedGroupMaster",CLASSFEATUREHEADERS,0),MATCH(($A2069 &amp; "Points"),CLASSNAMEHEADERS,0))),(IF("01"=(INDEX(ALLCLASSDATA,MATCH("AdvancedGroupExpert",CLASSFEATUREHEADERS,0),MATCH($A2069,CLASSNAMEHEADERS,0))),(INDEX(ALLCLASSDATA,MATCH("AdvancedGroupExpert",CLASSFEATUREHEADERS,0),MATCH(($A2069 &amp; "Points"),CLASSNAMEHEADERS,0))),(IF("01"=(INDEX(ALLCLASSDATA,MATCH("AdvancedGroupTrained",CLASSFEATUREHEADERS,0),MATCH($A2069,CLASSNAMEHEADERS,0))),(INDEX(ALLCLASSDATA,MATCH("AdvancedGroupTrained",CLASSFEATUREHEADERS,0),MATCH(($A2069 &amp; "Points"),CLASSNAMEHEADERS,0))),"")))))))))}</f>
        <v>ADVANCEDGROUPL01</v>
      </c>
      <c r="I2068" s="223"/>
      <c r="J2068" s="223" t="str">
        <f t="array" ref="J2068:J2069">{"ADVANCEDGROUPL03";((IF("03"=(INDEX(ALLCLASSDATA,MATCH("AdvancedGroupLegendary",CLASSFEATUREHEADERS,0),MATCH($A2069,CLASSNAMEHEADERS,0))),(INDEX(ALLCLASSDATA,MATCH("AdvancedGroupLegendary",CLASSFEATUREHEADERS,0),MATCH(($A2069 &amp; "Points"),CLASSNAMEHEADERS,0))),(IF("03"=(INDEX(ALLCLASSDATA,MATCH("AdvancedGroupMaster",CLASSFEATUREHEADERS,0),MATCH($A2069,CLASSNAMEHEADERS,0))),(INDEX(ALLCLASSDATA,MATCH("AdvancedGroupMaster",CLASSFEATUREHEADERS,0),MATCH(($A2069 &amp; "Points"),CLASSNAMEHEADERS,0))),(IF("03"=(INDEX(ALLCLASSDATA,MATCH("AdvancedGroupExpert",CLASSFEATUREHEADERS,0),MATCH($A2069,CLASSNAMEHEADERS,0))),(INDEX(ALLCLASSDATA,MATCH("AdvancedGroupExpert",CLASSFEATUREHEADERS,0),MATCH(($A2069 &amp; "Points"),CLASSNAMEHEADERS,0))),(IF("03"=(INDEX(ALLCLASSDATA,MATCH("AdvancedGroupTrained",CLASSFEATUREHEADERS,0),MATCH($A2069,CLASSNAMEHEADERS,0))),(INDEX(ALLCLASSDATA,MATCH("AdvancedGroupTrained",CLASSFEATUREHEADERS,0),MATCH(($A2069 &amp; "Points"),CLASSNAMEHEADERS,0))),"")))))))))}</f>
        <v>ADVANCEDGROUPL03</v>
      </c>
      <c r="K2068" s="223"/>
      <c r="L2068" s="223" t="str">
        <f t="array" ref="L2068:L2069">{"ADVANCEDGROUPL05";((IF("05"=(INDEX(ALLCLASSDATA,MATCH("AdvancedGroupLegendary",CLASSFEATUREHEADERS,0),MATCH($A2069,CLASSNAMEHEADERS,0))),(INDEX(ALLCLASSDATA,MATCH("AdvancedGroupLegendary",CLASSFEATUREHEADERS,0),MATCH(($A2069 &amp; "Points"),CLASSNAMEHEADERS,0))),(IF("05"=(INDEX(ALLCLASSDATA,MATCH("AdvancedGroupMaster",CLASSFEATUREHEADERS,0),MATCH($A2069,CLASSNAMEHEADERS,0))),(INDEX(ALLCLASSDATA,MATCH("AdvancedGroupMaster",CLASSFEATUREHEADERS,0),MATCH(($A2069 &amp; "Points"),CLASSNAMEHEADERS,0))),(IF("05"=(INDEX(ALLCLASSDATA,MATCH("AdvancedGroupExpert",CLASSFEATUREHEADERS,0),MATCH($A2069,CLASSNAMEHEADERS,0))),(INDEX(ALLCLASSDATA,MATCH("AdvancedGroupExpert",CLASSFEATUREHEADERS,0),MATCH(($A2069 &amp; "Points"),CLASSNAMEHEADERS,0))),(IF("05"=(INDEX(ALLCLASSDATA,MATCH("AdvancedGroupTrained",CLASSFEATUREHEADERS,0),MATCH($A2069,CLASSNAMEHEADERS,0))),(INDEX(ALLCLASSDATA,MATCH("AdvancedGroupTrained",CLASSFEATUREHEADERS,0),MATCH(($A2069 &amp; "Points"),CLASSNAMEHEADERS,0))),"")))))))))}</f>
        <v>ADVANCEDGROUPL05</v>
      </c>
      <c r="M2068" s="223"/>
      <c r="N2068" s="223" t="str">
        <f t="array" ref="N2068:N2069">{"ADVANCEDGROUPL07";((IF("07"=(INDEX(ALLCLASSDATA,MATCH("AdvancedGroupLegendary",CLASSFEATUREHEADERS,0),MATCH($A2069,CLASSNAMEHEADERS,0))),(INDEX(ALLCLASSDATA,MATCH("AdvancedGroupLegendary",CLASSFEATUREHEADERS,0),MATCH(($A2069 &amp; "Points"),CLASSNAMEHEADERS,0))),(IF("07"=(INDEX(ALLCLASSDATA,MATCH("AdvancedGroupMaster",CLASSFEATUREHEADERS,0),MATCH($A2069,CLASSNAMEHEADERS,0))),(INDEX(ALLCLASSDATA,MATCH("AdvancedGroupMaster",CLASSFEATUREHEADERS,0),MATCH(($A2069 &amp; "Points"),CLASSNAMEHEADERS,0))),(IF("07"=(INDEX(ALLCLASSDATA,MATCH("AdvancedGroupExpert",CLASSFEATUREHEADERS,0),MATCH($A2069,CLASSNAMEHEADERS,0))),(INDEX(ALLCLASSDATA,MATCH("AdvancedGroupExpert",CLASSFEATUREHEADERS,0),MATCH(($A2069 &amp; "Points"),CLASSNAMEHEADERS,0))),(IF("07"=(INDEX(ALLCLASSDATA,MATCH("AdvancedGroupTrained",CLASSFEATUREHEADERS,0),MATCH($A2069,CLASSNAMEHEADERS,0))),(INDEX(ALLCLASSDATA,MATCH("AdvancedGroupTrained",CLASSFEATUREHEADERS,0),MATCH(($A2069 &amp; "Points"),CLASSNAMEHEADERS,0))),"")))))))))}</f>
        <v>ADVANCEDGROUPL07</v>
      </c>
      <c r="O2068" s="223"/>
      <c r="P2068" s="223" t="str">
        <f t="array" ref="P2068:P2069">{"ADVANCEDGROUPL09";((IF("09"=(INDEX(ALLCLASSDATA,MATCH("AdvancedGroupLegendary",CLASSFEATUREHEADERS,0),MATCH($A2069,CLASSNAMEHEADERS,0))),(INDEX(ALLCLASSDATA,MATCH("AdvancedGroupLegendary",CLASSFEATUREHEADERS,0),MATCH(($A2069 &amp; "Points"),CLASSNAMEHEADERS,0))),(IF("09"=(INDEX(ALLCLASSDATA,MATCH("AdvancedGroupMaster",CLASSFEATUREHEADERS,0),MATCH($A2069,CLASSNAMEHEADERS,0))),(INDEX(ALLCLASSDATA,MATCH("AdvancedGroupMaster",CLASSFEATUREHEADERS,0),MATCH(($A2069 &amp; "Points"),CLASSNAMEHEADERS,0))),(IF("09"=(INDEX(ALLCLASSDATA,MATCH("AdvancedGroupExpert",CLASSFEATUREHEADERS,0),MATCH($A2069,CLASSNAMEHEADERS,0))),(INDEX(ALLCLASSDATA,MATCH("AdvancedGroupExpert",CLASSFEATUREHEADERS,0),MATCH(($A2069 &amp; "Points"),CLASSNAMEHEADERS,0))),(IF("09"=(INDEX(ALLCLASSDATA,MATCH("AdvancedGroupTrained",CLASSFEATUREHEADERS,0),MATCH($A2069,CLASSNAMEHEADERS,0))),(INDEX(ALLCLASSDATA,MATCH("AdvancedGroupTrained",CLASSFEATUREHEADERS,0),MATCH(($A2069 &amp; "Points"),CLASSNAMEHEADERS,0))),"")))))))))}</f>
        <v>ADVANCEDGROUPL09</v>
      </c>
      <c r="Q2068" s="223"/>
      <c r="R2068" s="223" t="str">
        <f t="array" ref="R2068:R2069">{"ADVANCEDGROUPL11";((IF("11"=(INDEX(ALLCLASSDATA,MATCH("AdvancedGroupLegendary",CLASSFEATUREHEADERS,0),MATCH($A2069,CLASSNAMEHEADERS,0))),(INDEX(ALLCLASSDATA,MATCH("AdvancedGroupLegendary",CLASSFEATUREHEADERS,0),MATCH(($A2069 &amp; "Points"),CLASSNAMEHEADERS,0))),(IF("11"=(INDEX(ALLCLASSDATA,MATCH("AdvancedGroupMaster",CLASSFEATUREHEADERS,0),MATCH($A2069,CLASSNAMEHEADERS,0))),(INDEX(ALLCLASSDATA,MATCH("AdvancedGroupMaster",CLASSFEATUREHEADERS,0),MATCH(($A2069 &amp; "Points"),CLASSNAMEHEADERS,0))),(IF("11"=(INDEX(ALLCLASSDATA,MATCH("AdvancedGroupExpert",CLASSFEATUREHEADERS,0),MATCH($A2069,CLASSNAMEHEADERS,0))),(INDEX(ALLCLASSDATA,MATCH("AdvancedGroupExpert",CLASSFEATUREHEADERS,0),MATCH(($A2069 &amp; "Points"),CLASSNAMEHEADERS,0))),(IF("11"=(INDEX(ALLCLASSDATA,MATCH("AdvancedGroupTrained",CLASSFEATUREHEADERS,0),MATCH($A2069,CLASSNAMEHEADERS,0))),(INDEX(ALLCLASSDATA,MATCH("AdvancedGroupTrained",CLASSFEATUREHEADERS,0),MATCH(($A2069 &amp; "Points"),CLASSNAMEHEADERS,0))),"")))))))))}</f>
        <v>ADVANCEDGROUPL11</v>
      </c>
      <c r="S2068" s="223"/>
      <c r="T2068" s="223" t="str">
        <f t="array" ref="T2068:T2069">{"ADVANCEDGROUPL13";((IF("13"=(INDEX(ALLCLASSDATA,MATCH("AdvancedGroupLegendary",CLASSFEATUREHEADERS,0),MATCH($A2069,CLASSNAMEHEADERS,0))),(INDEX(ALLCLASSDATA,MATCH("AdvancedGroupLegendary",CLASSFEATUREHEADERS,0),MATCH(($A2069 &amp; "Points"),CLASSNAMEHEADERS,0))),(IF("13"=(INDEX(ALLCLASSDATA,MATCH("AdvancedGroupMaster",CLASSFEATUREHEADERS,0),MATCH($A2069,CLASSNAMEHEADERS,0))),(INDEX(ALLCLASSDATA,MATCH("AdvancedGroupMaster",CLASSFEATUREHEADERS,0),MATCH(($A2069 &amp; "Points"),CLASSNAMEHEADERS,0))),(IF("13"=(INDEX(ALLCLASSDATA,MATCH("AdvancedGroupExpert",CLASSFEATUREHEADERS,0),MATCH($A2069,CLASSNAMEHEADERS,0))),(INDEX(ALLCLASSDATA,MATCH("AdvancedGroupExpert",CLASSFEATUREHEADERS,0),MATCH(($A2069 &amp; "Points"),CLASSNAMEHEADERS,0))),(IF("13"=(INDEX(ALLCLASSDATA,MATCH("AdvancedGroupTrained",CLASSFEATUREHEADERS,0),MATCH($A2069,CLASSNAMEHEADERS,0))),(INDEX(ALLCLASSDATA,MATCH("AdvancedGroupTrained",CLASSFEATUREHEADERS,0),MATCH(($A2069 &amp; "Points"),CLASSNAMEHEADERS,0))),"")))))))))}</f>
        <v>ADVANCEDGROUPL13</v>
      </c>
      <c r="U2068" s="223"/>
      <c r="V2068" s="223" t="str">
        <f t="array" ref="V2068:V2069">{"ADVANCEDGROUPL15";((IF("15"=(INDEX(ALLCLASSDATA,MATCH("AdvancedGroupLegendary",CLASSFEATUREHEADERS,0),MATCH($A2069,CLASSNAMEHEADERS,0))),(INDEX(ALLCLASSDATA,MATCH("AdvancedGroupLegendary",CLASSFEATUREHEADERS,0),MATCH(($A2069 &amp; "Points"),CLASSNAMEHEADERS,0))),(IF("15"=(INDEX(ALLCLASSDATA,MATCH("AdvancedGroupMaster",CLASSFEATUREHEADERS,0),MATCH($A2069,CLASSNAMEHEADERS,0))),(INDEX(ALLCLASSDATA,MATCH("AdvancedGroupMaster",CLASSFEATUREHEADERS,0),MATCH(($A2069 &amp; "Points"),CLASSNAMEHEADERS,0))),(IF("15"=(INDEX(ALLCLASSDATA,MATCH("AdvancedGroupExpert",CLASSFEATUREHEADERS,0),MATCH($A2069,CLASSNAMEHEADERS,0))),(INDEX(ALLCLASSDATA,MATCH("AdvancedGroupExpert",CLASSFEATUREHEADERS,0),MATCH(($A2069 &amp; "Points"),CLASSNAMEHEADERS,0))),(IF("15"=(INDEX(ALLCLASSDATA,MATCH("AdvancedGroupTrained",CLASSFEATUREHEADERS,0),MATCH($A2069,CLASSNAMEHEADERS,0))),(INDEX(ALLCLASSDATA,MATCH("AdvancedGroupTrained",CLASSFEATUREHEADERS,0),MATCH(($A2069 &amp; "Points"),CLASSNAMEHEADERS,0))),"")))))))))}</f>
        <v>ADVANCEDGROUPL15</v>
      </c>
      <c r="W2068" s="223"/>
      <c r="X2068" s="223" t="str">
        <f t="array" ref="X2068:X2069">{"ADVANCEDGROUPL17";((IF("17"=(INDEX(ALLCLASSDATA,MATCH("AdvancedGroupLegendary",CLASSFEATUREHEADERS,0),MATCH($A2069,CLASSNAMEHEADERS,0))),(INDEX(ALLCLASSDATA,MATCH("AdvancedGroupLegendary",CLASSFEATUREHEADERS,0),MATCH(($A2069 &amp; "Points"),CLASSNAMEHEADERS,0))),(IF("17"=(INDEX(ALLCLASSDATA,MATCH("AdvancedGroupMaster",CLASSFEATUREHEADERS,0),MATCH($A2069,CLASSNAMEHEADERS,0))),(INDEX(ALLCLASSDATA,MATCH("AdvancedGroupMaster",CLASSFEATUREHEADERS,0),MATCH(($A2069 &amp; "Points"),CLASSNAMEHEADERS,0))),(IF("17"=(INDEX(ALLCLASSDATA,MATCH("AdvancedGroupExpert",CLASSFEATUREHEADERS,0),MATCH($A2069,CLASSNAMEHEADERS,0))),(INDEX(ALLCLASSDATA,MATCH("AdvancedGroupExpert",CLASSFEATUREHEADERS,0),MATCH(($A2069 &amp; "Points"),CLASSNAMEHEADERS,0))),(IF("17"=(INDEX(ALLCLASSDATA,MATCH("AdvancedGroupTrained",CLASSFEATUREHEADERS,0),MATCH($A2069,CLASSNAMEHEADERS,0))),(INDEX(ALLCLASSDATA,MATCH("AdvancedGroupTrained",CLASSFEATUREHEADERS,0),MATCH(($A2069 &amp; "Points"),CLASSNAMEHEADERS,0))),"")))))))))}</f>
        <v>ADVANCEDGROUPL17</v>
      </c>
      <c r="Y2068" s="223"/>
      <c r="Z2068" s="223" t="str">
        <f t="array" ref="Z2068:Z2069">{"ADVANCEDGROUPL19";((IF("19"=(INDEX(ALLCLASSDATA,MATCH("AdvancedGroupLegendary",CLASSFEATUREHEADERS,0),MATCH($A2069,CLASSNAMEHEADERS,0))),(INDEX(ALLCLASSDATA,MATCH("AdvancedGroupLegendary",CLASSFEATUREHEADERS,0),MATCH(($A2069 &amp; "Points"),CLASSNAMEHEADERS,0))),(IF("19"=(INDEX(ALLCLASSDATA,MATCH("AdvancedGroupMaster",CLASSFEATUREHEADERS,0),MATCH($A2069,CLASSNAMEHEADERS,0))),(INDEX(ALLCLASSDATA,MATCH("AdvancedGroupMaster",CLASSFEATUREHEADERS,0),MATCH(($A2069 &amp; "Points"),CLASSNAMEHEADERS,0))),(IF("19"=(INDEX(ALLCLASSDATA,MATCH("AdvancedGroupExpert",CLASSFEATUREHEADERS,0),MATCH($A2069,CLASSNAMEHEADERS,0))),(INDEX(ALLCLASSDATA,MATCH("AdvancedGroupExpert",CLASSFEATUREHEADERS,0),MATCH(($A2069 &amp; "Points"),CLASSNAMEHEADERS,0))),(IF("19"=(INDEX(ALLCLASSDATA,MATCH("AdvancedGroupTrained",CLASSFEATUREHEADERS,0),MATCH($A2069,CLASSNAMEHEADERS,0))),(INDEX(ALLCLASSDATA,MATCH("AdvancedGroupTrained",CLASSFEATUREHEADERS,0),MATCH(($A2069 &amp; "Points"),CLASSNAMEHEADERS,0))),"")))))))))}</f>
        <v>ADVANCEDGROUPL19</v>
      </c>
      <c r="AA2068" s="223"/>
      <c r="AB2068" s="76" t="str">
        <f t="array" ref="AB2068:AB2069">{"ADVANCEDGROUP TOTAL";(IF(COUNTBLANK(G2069:AA2069)=17,"L",(IF(COUNTBLANK(G2069:AA2069)=18,"M",(IF(COUNTBLANK(G2069:AA2069)=19,"E",(IF(COUNTBLANK(G2069:AA2069)=20,"T",""))))))))}</f>
        <v>ADVANCEDGROUP TOTAL</v>
      </c>
      <c r="AC2068" s="76" t="str">
        <f t="array" ref="AC2068:AC2069">{"ADVANCEDGROUP TOTAL";(sum(G2069:AA2069))}</f>
        <v>ADVANCEDGROUP TOTAL</v>
      </c>
    </row>
    <row r="2069">
      <c r="A2069" s="48" t="s">
        <v>233</v>
      </c>
      <c r="B2069" s="48"/>
      <c r="C2069" s="48" t="s">
        <v>418</v>
      </c>
      <c r="D2069" s="48" t="s">
        <v>1634</v>
      </c>
      <c r="E2069" s="48" t="s">
        <v>601</v>
      </c>
      <c r="F2069" s="5" t="s">
        <v>603</v>
      </c>
      <c r="G2069" s="47" t="s">
        <v>603</v>
      </c>
      <c r="H2069" s="5" t="s">
        <v>603</v>
      </c>
      <c r="I2069" s="5"/>
      <c r="J2069" s="5" t="s">
        <v>603</v>
      </c>
      <c r="K2069" s="5"/>
      <c r="L2069" s="5" t="s">
        <v>603</v>
      </c>
      <c r="M2069" s="5"/>
      <c r="N2069" s="5" t="s">
        <v>603</v>
      </c>
      <c r="O2069" s="5"/>
      <c r="P2069" s="5" t="s">
        <v>603</v>
      </c>
      <c r="Q2069" s="5"/>
      <c r="R2069" s="5" t="s">
        <v>603</v>
      </c>
      <c r="S2069" s="5"/>
      <c r="T2069" s="5" t="s">
        <v>603</v>
      </c>
      <c r="U2069" s="5"/>
      <c r="V2069" s="5" t="s">
        <v>603</v>
      </c>
      <c r="W2069" s="5"/>
      <c r="X2069" s="5" t="s">
        <v>603</v>
      </c>
      <c r="Y2069" s="5"/>
      <c r="Z2069" s="5" t="s">
        <v>603</v>
      </c>
      <c r="AA2069" s="5"/>
      <c r="AB2069" s="5" t="s">
        <v>603</v>
      </c>
      <c r="AC2069" s="47">
        <v>0.0</v>
      </c>
    </row>
    <row r="2070" hidden="1">
      <c r="A2070" s="222" t="str">
        <f t="array" ref="A2070:A2071">{"FormulaRow33";(INDEX(CLASSLIST,A2005,1))}</f>
        <v>FormulaRow33</v>
      </c>
      <c r="B2070" s="77" t="s">
        <v>236</v>
      </c>
      <c r="C2070" s="222" t="str">
        <f t="array" ref="C2070:C2071">{"CLASSTYPE";((INDEX(ALLCLASSDATA,MATCH("ClassType",CLASSFEATUREHEADERS,0),MATCH($A2071,CLASSNAMEHEADERS,0))))}</f>
        <v>CLASSTYPE</v>
      </c>
      <c r="D2070" s="222" t="str">
        <f t="array" ref="D2070:D2071">{"ATTACK";"Attack"}</f>
        <v>ATTACK</v>
      </c>
      <c r="E2070" s="222" t="str">
        <f t="array" ref="E2070:E2071">{"ADVANCED";"Advanced"}</f>
        <v>ADVANCED</v>
      </c>
      <c r="F2070" s="223" t="str">
        <f t="array" ref="F2070:F2071">{"ADVANCEDINITIAL";((IF(H2071=10,"T",(IF(H2071=50,"E","")))))}</f>
        <v>ADVANCEDINITIAL</v>
      </c>
      <c r="G2070" s="223" t="str">
        <f t="array" ref="G2070:G2071">{"ADVANCEDINITIALPTS";((IF("00"=(INDEX(ALLCLASSDATA,MATCH("AdvancedLegendary",CLASSFEATUREHEADERS,0),MATCH($A2071,CLASSNAMEHEADERS,0))),(INDEX(ALLCLASSDATA,MATCH("AdvancedLegendary",CLASSFEATUREHEADERS,0),MATCH(($A2071 &amp; "Points"),CLASSNAMEHEADERS,0))),(IF("00"=(INDEX(ALLCLASSDATA,MATCH("AdvancedMaster",CLASSFEATUREHEADERS,0),MATCH($A2071,CLASSNAMEHEADERS,0))),(INDEX(ALLCLASSDATA,MATCH("AdvancedMaster",CLASSFEATUREHEADERS,0),MATCH(($A2071 &amp; "Points"),CLASSNAMEHEADERS,0))),(IF("00"=(INDEX(ALLCLASSDATA,MATCH("AdvancedExpert",CLASSFEATUREHEADERS,0),MATCH($A2071,CLASSNAMEHEADERS,0))),(INDEX(ALLCLASSDATA,MATCH("AdvancedExpert",CLASSFEATUREHEADERS,0),MATCH(($A2071 &amp; "Points"),CLASSNAMEHEADERS,0))),(IF("00"=(INDEX(ALLCLASSDATA,MATCH("AdvancedTrained",CLASSFEATUREHEADERS,0),MATCH($A2071,CLASSNAMEHEADERS,0))),(INDEX(ALLCLASSDATA,MATCH("AdvancedTrained",CLASSFEATUREHEADERS,0),MATCH(($A2071 &amp; "Points"),CLASSNAMEHEADERS,0))),"")))))))))}</f>
        <v>ADVANCEDINITIALPTS</v>
      </c>
      <c r="H2070" s="223" t="str">
        <f t="array" ref="H2070:H2071">{"ADVANCEDL01";((IF("01"=(INDEX(ALLCLASSDATA,MATCH("AdvancedLegendary",CLASSFEATUREHEADERS,0),MATCH($A2071,CLASSNAMEHEADERS,0))),(INDEX(ALLCLASSDATA,MATCH("AdvancedLegendary",CLASSFEATUREHEADERS,0),MATCH(($A2071 &amp; "Points"),CLASSNAMEHEADERS,0))),(IF("01"=(INDEX(ALLCLASSDATA,MATCH("AdvancedMaster",CLASSFEATUREHEADERS,0),MATCH($A2071,CLASSNAMEHEADERS,0))),(INDEX(ALLCLASSDATA,MATCH("AdvancedMaster",CLASSFEATUREHEADERS,0),MATCH(($A2071 &amp; "Points"),CLASSNAMEHEADERS,0))),(IF("01"=(INDEX(ALLCLASSDATA,MATCH("AdvancedExpert",CLASSFEATUREHEADERS,0),MATCH($A2071,CLASSNAMEHEADERS,0))),(INDEX(ALLCLASSDATA,MATCH("AdvancedExpert",CLASSFEATUREHEADERS,0),MATCH(($A2071 &amp; "Points"),CLASSNAMEHEADERS,0))),(IF("01"=(INDEX(ALLCLASSDATA,MATCH("AdvancedTrained",CLASSFEATUREHEADERS,0),MATCH($A2071,CLASSNAMEHEADERS,0))),(INDEX(ALLCLASSDATA,MATCH("AdvancedTrained",CLASSFEATUREHEADERS,0),MATCH(($A2071 &amp; "Points"),CLASSNAMEHEADERS,0))),"")))))))))}</f>
        <v>ADVANCEDL01</v>
      </c>
      <c r="I2070" s="223"/>
      <c r="J2070" s="223" t="str">
        <f t="array" ref="J2070:J2071">{"ADVANCEDL03";((IF("03"=(INDEX(ALLCLASSDATA,MATCH("AdvancedLegendary",CLASSFEATUREHEADERS,0),MATCH($A2071,CLASSNAMEHEADERS,0))),(INDEX(ALLCLASSDATA,MATCH("AdvancedLegendary",CLASSFEATUREHEADERS,0),MATCH(($A2071 &amp; "Points"),CLASSNAMEHEADERS,0))),(IF("03"=(INDEX(ALLCLASSDATA,MATCH("AdvancedMaster",CLASSFEATUREHEADERS,0),MATCH($A2071,CLASSNAMEHEADERS,0))),(INDEX(ALLCLASSDATA,MATCH("AdvancedMaster",CLASSFEATUREHEADERS,0),MATCH(($A2071 &amp; "Points"),CLASSNAMEHEADERS,0))),(IF("03"=(INDEX(ALLCLASSDATA,MATCH("AdvancedExpert",CLASSFEATUREHEADERS,0),MATCH($A2071,CLASSNAMEHEADERS,0))),(INDEX(ALLCLASSDATA,MATCH("AdvancedExpert",CLASSFEATUREHEADERS,0),MATCH(($A2071 &amp; "Points"),CLASSNAMEHEADERS,0))),(IF("03"=(INDEX(ALLCLASSDATA,MATCH("AdvancedTrained",CLASSFEATUREHEADERS,0),MATCH($A2071,CLASSNAMEHEADERS,0))),(INDEX(ALLCLASSDATA,MATCH("AdvancedTrained",CLASSFEATUREHEADERS,0),MATCH(($A2071 &amp; "Points"),CLASSNAMEHEADERS,0))),"")))))))))}</f>
        <v>ADVANCEDL03</v>
      </c>
      <c r="K2070" s="223"/>
      <c r="L2070" s="223" t="str">
        <f t="array" ref="L2070:L2071">{"ADVANCEDL05";((IF("05"=(INDEX(ALLCLASSDATA,MATCH("AdvancedLegendary",CLASSFEATUREHEADERS,0),MATCH($A2071,CLASSNAMEHEADERS,0))),(INDEX(ALLCLASSDATA,MATCH("AdvancedLegendary",CLASSFEATUREHEADERS,0),MATCH(($A2071 &amp; "Points"),CLASSNAMEHEADERS,0))),(IF("05"=(INDEX(ALLCLASSDATA,MATCH("AdvancedMaster",CLASSFEATUREHEADERS,0),MATCH($A2071,CLASSNAMEHEADERS,0))),(INDEX(ALLCLASSDATA,MATCH("AdvancedMaster",CLASSFEATUREHEADERS,0),MATCH(($A2071 &amp; "Points"),CLASSNAMEHEADERS,0))),(IF("05"=(INDEX(ALLCLASSDATA,MATCH("AdvancedExpert",CLASSFEATUREHEADERS,0),MATCH($A2071,CLASSNAMEHEADERS,0))),(INDEX(ALLCLASSDATA,MATCH("AdvancedExpert",CLASSFEATUREHEADERS,0),MATCH(($A2071 &amp; "Points"),CLASSNAMEHEADERS,0))),(IF("05"=(INDEX(ALLCLASSDATA,MATCH("AdvancedTrained",CLASSFEATUREHEADERS,0),MATCH($A2071,CLASSNAMEHEADERS,0))),(INDEX(ALLCLASSDATA,MATCH("AdvancedTrained",CLASSFEATUREHEADERS,0),MATCH(($A2071 &amp; "Points"),CLASSNAMEHEADERS,0))),"")))))))))}</f>
        <v>ADVANCEDL05</v>
      </c>
      <c r="M2070" s="223"/>
      <c r="N2070" s="223" t="str">
        <f t="array" ref="N2070:N2071">{"ADVANCEDL07";((IF("07"=(INDEX(ALLCLASSDATA,MATCH("AdvancedLegendary",CLASSFEATUREHEADERS,0),MATCH($A2071,CLASSNAMEHEADERS,0))),(INDEX(ALLCLASSDATA,MATCH("AdvancedLegendary",CLASSFEATUREHEADERS,0),MATCH(($A2071 &amp; "Points"),CLASSNAMEHEADERS,0))),(IF("07"=(INDEX(ALLCLASSDATA,MATCH("AdvancedMaster",CLASSFEATUREHEADERS,0),MATCH($A2071,CLASSNAMEHEADERS,0))),(INDEX(ALLCLASSDATA,MATCH("AdvancedMaster",CLASSFEATUREHEADERS,0),MATCH(($A2071 &amp; "Points"),CLASSNAMEHEADERS,0))),(IF("07"=(INDEX(ALLCLASSDATA,MATCH("AdvancedExpert",CLASSFEATUREHEADERS,0),MATCH($A2071,CLASSNAMEHEADERS,0))),(INDEX(ALLCLASSDATA,MATCH("AdvancedExpert",CLASSFEATUREHEADERS,0),MATCH(($A2071 &amp; "Points"),CLASSNAMEHEADERS,0))),(IF("07"=(INDEX(ALLCLASSDATA,MATCH("AdvancedTrained",CLASSFEATUREHEADERS,0),MATCH($A2071,CLASSNAMEHEADERS,0))),(INDEX(ALLCLASSDATA,MATCH("AdvancedTrained",CLASSFEATUREHEADERS,0),MATCH(($A2071 &amp; "Points"),CLASSNAMEHEADERS,0))),"")))))))))}</f>
        <v>ADVANCEDL07</v>
      </c>
      <c r="O2070" s="223"/>
      <c r="P2070" s="223" t="str">
        <f t="array" ref="P2070:P2071">{"ADVANCEDL09";((IF("09"=(INDEX(ALLCLASSDATA,MATCH("AdvancedLegendary",CLASSFEATUREHEADERS,0),MATCH($A2071,CLASSNAMEHEADERS,0))),(INDEX(ALLCLASSDATA,MATCH("AdvancedLegendary",CLASSFEATUREHEADERS,0),MATCH(($A2071 &amp; "Points"),CLASSNAMEHEADERS,0))),(IF("09"=(INDEX(ALLCLASSDATA,MATCH("AdvancedMaster",CLASSFEATUREHEADERS,0),MATCH($A2071,CLASSNAMEHEADERS,0))),(INDEX(ALLCLASSDATA,MATCH("AdvancedMaster",CLASSFEATUREHEADERS,0),MATCH(($A2071 &amp; "Points"),CLASSNAMEHEADERS,0))),(IF("09"=(INDEX(ALLCLASSDATA,MATCH("AdvancedExpert",CLASSFEATUREHEADERS,0),MATCH($A2071,CLASSNAMEHEADERS,0))),(INDEX(ALLCLASSDATA,MATCH("AdvancedExpert",CLASSFEATUREHEADERS,0),MATCH(($A2071 &amp; "Points"),CLASSNAMEHEADERS,0))),(IF("09"=(INDEX(ALLCLASSDATA,MATCH("AdvancedTrained",CLASSFEATUREHEADERS,0),MATCH($A2071,CLASSNAMEHEADERS,0))),(INDEX(ALLCLASSDATA,MATCH("AdvancedTrained",CLASSFEATUREHEADERS,0),MATCH(($A2071 &amp; "Points"),CLASSNAMEHEADERS,0))),"")))))))))}</f>
        <v>ADVANCEDL09</v>
      </c>
      <c r="Q2070" s="223"/>
      <c r="R2070" s="223" t="str">
        <f t="array" ref="R2070:R2071">{"ADVANCEDL11";((IF("11"=(INDEX(ALLCLASSDATA,MATCH("AdvancedLegendary",CLASSFEATUREHEADERS,0),MATCH($A2071,CLASSNAMEHEADERS,0))),(INDEX(ALLCLASSDATA,MATCH("AdvancedLegendary",CLASSFEATUREHEADERS,0),MATCH(($A2071 &amp; "Points"),CLASSNAMEHEADERS,0))),(IF("11"=(INDEX(ALLCLASSDATA,MATCH("AdvancedMaster",CLASSFEATUREHEADERS,0),MATCH($A2071,CLASSNAMEHEADERS,0))),(INDEX(ALLCLASSDATA,MATCH("AdvancedMaster",CLASSFEATUREHEADERS,0),MATCH(($A2071 &amp; "Points"),CLASSNAMEHEADERS,0))),(IF("11"=(INDEX(ALLCLASSDATA,MATCH("AdvancedExpert",CLASSFEATUREHEADERS,0),MATCH($A2071,CLASSNAMEHEADERS,0))),(INDEX(ALLCLASSDATA,MATCH("AdvancedExpert",CLASSFEATUREHEADERS,0),MATCH(($A2071 &amp; "Points"),CLASSNAMEHEADERS,0))),(IF("11"=(INDEX(ALLCLASSDATA,MATCH("AdvancedTrained",CLASSFEATUREHEADERS,0),MATCH($A2071,CLASSNAMEHEADERS,0))),(INDEX(ALLCLASSDATA,MATCH("AdvancedTrained",CLASSFEATUREHEADERS,0),MATCH(($A2071 &amp; "Points"),CLASSNAMEHEADERS,0))),"")))))))))}</f>
        <v>ADVANCEDL11</v>
      </c>
      <c r="S2070" s="223"/>
      <c r="T2070" s="223" t="str">
        <f t="array" ref="T2070:T2071">{"ADVANCEDL13";((IF("13"=(INDEX(ALLCLASSDATA,MATCH("AdvancedLegendary",CLASSFEATUREHEADERS,0),MATCH($A2071,CLASSNAMEHEADERS,0))),(INDEX(ALLCLASSDATA,MATCH("AdvancedLegendary",CLASSFEATUREHEADERS,0),MATCH(($A2071 &amp; "Points"),CLASSNAMEHEADERS,0))),(IF("13"=(INDEX(ALLCLASSDATA,MATCH("AdvancedMaster",CLASSFEATUREHEADERS,0),MATCH($A2071,CLASSNAMEHEADERS,0))),(INDEX(ALLCLASSDATA,MATCH("AdvancedMaster",CLASSFEATUREHEADERS,0),MATCH(($A2071 &amp; "Points"),CLASSNAMEHEADERS,0))),(IF("13"=(INDEX(ALLCLASSDATA,MATCH("AdvancedExpert",CLASSFEATUREHEADERS,0),MATCH($A2071,CLASSNAMEHEADERS,0))),(INDEX(ALLCLASSDATA,MATCH("AdvancedExpert",CLASSFEATUREHEADERS,0),MATCH(($A2071 &amp; "Points"),CLASSNAMEHEADERS,0))),(IF("13"=(INDEX(ALLCLASSDATA,MATCH("AdvancedTrained",CLASSFEATUREHEADERS,0),MATCH($A2071,CLASSNAMEHEADERS,0))),(INDEX(ALLCLASSDATA,MATCH("AdvancedTrained",CLASSFEATUREHEADERS,0),MATCH(($A2071 &amp; "Points"),CLASSNAMEHEADERS,0))),"")))))))))}</f>
        <v>ADVANCEDL13</v>
      </c>
      <c r="U2070" s="223"/>
      <c r="V2070" s="223" t="str">
        <f t="array" ref="V2070:V2071">{"ADVANCEDL15";((IF("15"=(INDEX(ALLCLASSDATA,MATCH("AdvancedLegendary",CLASSFEATUREHEADERS,0),MATCH($A2071,CLASSNAMEHEADERS,0))),(INDEX(ALLCLASSDATA,MATCH("AdvancedLegendary",CLASSFEATUREHEADERS,0),MATCH(($A2071 &amp; "Points"),CLASSNAMEHEADERS,0))),(IF("15"=(INDEX(ALLCLASSDATA,MATCH("AdvancedMaster",CLASSFEATUREHEADERS,0),MATCH($A2071,CLASSNAMEHEADERS,0))),(INDEX(ALLCLASSDATA,MATCH("AdvancedMaster",CLASSFEATUREHEADERS,0),MATCH(($A2071 &amp; "Points"),CLASSNAMEHEADERS,0))),(IF("15"=(INDEX(ALLCLASSDATA,MATCH("AdvancedExpert",CLASSFEATUREHEADERS,0),MATCH($A2071,CLASSNAMEHEADERS,0))),(INDEX(ALLCLASSDATA,MATCH("AdvancedExpert",CLASSFEATUREHEADERS,0),MATCH(($A2071 &amp; "Points"),CLASSNAMEHEADERS,0))),(IF("15"=(INDEX(ALLCLASSDATA,MATCH("AdvancedTrained",CLASSFEATUREHEADERS,0),MATCH($A2071,CLASSNAMEHEADERS,0))),(INDEX(ALLCLASSDATA,MATCH("AdvancedTrained",CLASSFEATUREHEADERS,0),MATCH(($A2071 &amp; "Points"),CLASSNAMEHEADERS,0))),"")))))))))}</f>
        <v>ADVANCEDL15</v>
      </c>
      <c r="W2070" s="223"/>
      <c r="X2070" s="223" t="str">
        <f t="array" ref="X2070:X2071">{"ADVANCEDL17";((IF("17"=(INDEX(ALLCLASSDATA,MATCH("AdvancedLegendary",CLASSFEATUREHEADERS,0),MATCH($A2071,CLASSNAMEHEADERS,0))),(INDEX(ALLCLASSDATA,MATCH("AdvancedLegendary",CLASSFEATUREHEADERS,0),MATCH(($A2071 &amp; "Points"),CLASSNAMEHEADERS,0))),(IF("17"=(INDEX(ALLCLASSDATA,MATCH("AdvancedMaster",CLASSFEATUREHEADERS,0),MATCH($A2071,CLASSNAMEHEADERS,0))),(INDEX(ALLCLASSDATA,MATCH("AdvancedMaster",CLASSFEATUREHEADERS,0),MATCH(($A2071 &amp; "Points"),CLASSNAMEHEADERS,0))),(IF("17"=(INDEX(ALLCLASSDATA,MATCH("AdvancedExpert",CLASSFEATUREHEADERS,0),MATCH($A2071,CLASSNAMEHEADERS,0))),(INDEX(ALLCLASSDATA,MATCH("AdvancedExpert",CLASSFEATUREHEADERS,0),MATCH(($A2071 &amp; "Points"),CLASSNAMEHEADERS,0))),(IF("17"=(INDEX(ALLCLASSDATA,MATCH("AdvancedTrained",CLASSFEATUREHEADERS,0),MATCH($A2071,CLASSNAMEHEADERS,0))),(INDEX(ALLCLASSDATA,MATCH("AdvancedTrained",CLASSFEATUREHEADERS,0),MATCH(($A2071 &amp; "Points"),CLASSNAMEHEADERS,0))),"")))))))))}</f>
        <v>ADVANCEDL17</v>
      </c>
      <c r="Y2070" s="223"/>
      <c r="Z2070" s="223" t="str">
        <f t="array" ref="Z2070:Z2071">{"ADVANCEDL19";((IF("19"=(INDEX(ALLCLASSDATA,MATCH("AdvancedLegendary",CLASSFEATUREHEADERS,0),MATCH($A2071,CLASSNAMEHEADERS,0))),(INDEX(ALLCLASSDATA,MATCH("AdvancedLegendary",CLASSFEATUREHEADERS,0),MATCH(($A2071 &amp; "Points"),CLASSNAMEHEADERS,0))),(IF("19"=(INDEX(ALLCLASSDATA,MATCH("AdvancedMaster",CLASSFEATUREHEADERS,0),MATCH($A2071,CLASSNAMEHEADERS,0))),(INDEX(ALLCLASSDATA,MATCH("AdvancedMaster",CLASSFEATUREHEADERS,0),MATCH(($A2071 &amp; "Points"),CLASSNAMEHEADERS,0))),(IF("19"=(INDEX(ALLCLASSDATA,MATCH("AdvancedExpert",CLASSFEATUREHEADERS,0),MATCH($A2071,CLASSNAMEHEADERS,0))),(INDEX(ALLCLASSDATA,MATCH("AdvancedExpert",CLASSFEATUREHEADERS,0),MATCH(($A2071 &amp; "Points"),CLASSNAMEHEADERS,0))),(IF("19"=(INDEX(ALLCLASSDATA,MATCH("AdvancedTrained",CLASSFEATUREHEADERS,0),MATCH($A2071,CLASSNAMEHEADERS,0))),(INDEX(ALLCLASSDATA,MATCH("AdvancedTrained",CLASSFEATUREHEADERS,0),MATCH(($A2071 &amp; "Points"),CLASSNAMEHEADERS,0))),"")))))))))}</f>
        <v>ADVANCEDL19</v>
      </c>
      <c r="AA2070" s="223"/>
      <c r="AB2070" s="76" t="str">
        <f t="array" ref="AB2070:AB2071">{"ADVANCED TOTAL";(IF(COUNTBLANK(G2071:AA2071)=17,"L",(IF(COUNTBLANK(G2071:AA2071)=18,"M",(IF(COUNTBLANK(G2071:AA2071)=19,"E",(IF(COUNTBLANK(G2071:AA2071)=20,"T",""))))))))}</f>
        <v>ADVANCED TOTAL</v>
      </c>
      <c r="AC2070" s="76" t="str">
        <f t="array" ref="AC2070:AC2071">{"ADVANCED TOTAL";(sum(G2071:AA2071))}</f>
        <v>ADVANCED TOTAL</v>
      </c>
    </row>
    <row r="2071">
      <c r="A2071" s="48" t="s">
        <v>233</v>
      </c>
      <c r="B2071" s="48"/>
      <c r="C2071" s="48" t="s">
        <v>418</v>
      </c>
      <c r="D2071" s="97" t="s">
        <v>1634</v>
      </c>
      <c r="E2071" s="97" t="s">
        <v>602</v>
      </c>
      <c r="F2071" s="98" t="s">
        <v>603</v>
      </c>
      <c r="G2071" s="132" t="s">
        <v>603</v>
      </c>
      <c r="H2071" s="98" t="s">
        <v>603</v>
      </c>
      <c r="I2071" s="98"/>
      <c r="J2071" s="98" t="s">
        <v>603</v>
      </c>
      <c r="K2071" s="98"/>
      <c r="L2071" s="98" t="s">
        <v>603</v>
      </c>
      <c r="M2071" s="98"/>
      <c r="N2071" s="98" t="s">
        <v>603</v>
      </c>
      <c r="O2071" s="98"/>
      <c r="P2071" s="98" t="s">
        <v>603</v>
      </c>
      <c r="Q2071" s="98"/>
      <c r="R2071" s="98" t="s">
        <v>603</v>
      </c>
      <c r="S2071" s="98"/>
      <c r="T2071" s="98" t="s">
        <v>603</v>
      </c>
      <c r="U2071" s="98"/>
      <c r="V2071" s="98" t="s">
        <v>603</v>
      </c>
      <c r="W2071" s="98"/>
      <c r="X2071" s="98" t="s">
        <v>603</v>
      </c>
      <c r="Y2071" s="98"/>
      <c r="Z2071" s="98" t="s">
        <v>603</v>
      </c>
      <c r="AA2071" s="98"/>
      <c r="AB2071" s="5" t="s">
        <v>603</v>
      </c>
      <c r="AC2071" s="47">
        <v>0.0</v>
      </c>
    </row>
    <row r="2072" hidden="1">
      <c r="A2072" s="222" t="str">
        <f t="array" ref="A2072:A2073">{"FormulaRow34";(INDEX(CLASSLIST,A2005,1))}</f>
        <v>FormulaRow34</v>
      </c>
      <c r="B2072" s="77" t="s">
        <v>236</v>
      </c>
      <c r="C2072" s="222" t="str">
        <f t="array" ref="C2072:C2073">{"CLASSTYPE";((INDEX(ALLCLASSDATA,MATCH("ClassType",CLASSFEATUREHEADERS,0),MATCH($A2073,CLASSNAMEHEADERS,0))))}</f>
        <v>CLASSTYPE</v>
      </c>
      <c r="D2072" s="222" t="str">
        <f t="array" ref="D2072:D2073">{"DEFENSE";"Defense"}</f>
        <v>DEFENSE</v>
      </c>
      <c r="E2072" s="222" t="str">
        <f t="array" ref="E2072:E2073">{"ARMORSPECIAL";"ArmorAS"}</f>
        <v>ARMORSPECIAL</v>
      </c>
      <c r="F2072" s="223"/>
      <c r="G2072" s="223"/>
      <c r="H2072" s="223" t="str">
        <f t="array" ref="H2072:H2073">{"ARMORSPECIALL01";((IF("01"=INDEX(ALLCLASSDATA,MATCH("ArmorSpecialization",CLASSFEATUREHEADERS,0),MATCH($A2073,CLASSNAMEHEADERS,0)),ArmorAS,"")))}</f>
        <v>ARMORSPECIALL01</v>
      </c>
      <c r="I2072" s="223"/>
      <c r="J2072" s="223" t="str">
        <f t="array" ref="J2072:J2073">{"ARMORSPECIALL03";((IF("03"=INDEX(ALLCLASSDATA,MATCH("ArmorSpecialization",CLASSFEATUREHEADERS,0),MATCH($A2073,CLASSNAMEHEADERS,0)),ArmorAS,"")))}</f>
        <v>ARMORSPECIALL03</v>
      </c>
      <c r="K2072" s="223"/>
      <c r="L2072" s="223" t="str">
        <f t="array" ref="L2072:L2073">{"ARMORSPECIALL05";((IF("05"=INDEX(ALLCLASSDATA,MATCH("ArmorSpecialization",CLASSFEATUREHEADERS,0),MATCH($A2073,CLASSNAMEHEADERS,0)),ArmorAS,"")))}</f>
        <v>ARMORSPECIALL05</v>
      </c>
      <c r="M2072" s="223"/>
      <c r="N2072" s="223" t="str">
        <f t="array" ref="N2072:N2073">{"ARMORSPECIALL07";((IF("07"=INDEX(ALLCLASSDATA,MATCH("ArmorSpecialization",CLASSFEATUREHEADERS,0),MATCH($A2073,CLASSNAMEHEADERS,0)),ArmorAS,"")))}</f>
        <v>ARMORSPECIALL07</v>
      </c>
      <c r="O2072" s="223"/>
      <c r="P2072" s="223" t="str">
        <f t="array" ref="P2072:P2073">{"ARMORSPECIALL09";((IF("09"=INDEX(ALLCLASSDATA,MATCH("ArmorSpecialization",CLASSFEATUREHEADERS,0),MATCH($A2073,CLASSNAMEHEADERS,0)),ArmorAS,"")))}</f>
        <v>ARMORSPECIALL09</v>
      </c>
      <c r="Q2072" s="223"/>
      <c r="R2072" s="223" t="str">
        <f t="array" ref="R2072:R2073">{"ARMORSPECIALL11";((IF("11"=INDEX(ALLCLASSDATA,MATCH("ArmorSpecialization",CLASSFEATUREHEADERS,0),MATCH($A2073,CLASSNAMEHEADERS,0)),ArmorAS,"")))}</f>
        <v>ARMORSPECIALL11</v>
      </c>
      <c r="S2072" s="223"/>
      <c r="T2072" s="223" t="str">
        <f t="array" ref="T2072:T2073">{"ARMORSPECIALL13";((IF("13"=INDEX(ALLCLASSDATA,MATCH("ArmorSpecialization",CLASSFEATUREHEADERS,0),MATCH($A2073,CLASSNAMEHEADERS,0)),ArmorAS,"")))}</f>
        <v>ARMORSPECIALL13</v>
      </c>
      <c r="U2072" s="223"/>
      <c r="V2072" s="223" t="str">
        <f t="array" ref="V2072:V2073">{"ARMORSPECIALL15";((IF("15"=INDEX(ALLCLASSDATA,MATCH("ArmorSpecialization",CLASSFEATUREHEADERS,0),MATCH($A2073,CLASSNAMEHEADERS,0)),ArmorAS,"")))}</f>
        <v>ARMORSPECIALL15</v>
      </c>
      <c r="W2072" s="223"/>
      <c r="X2072" s="223" t="str">
        <f t="array" ref="X2072:X2073">{"ARMORSPECIALL17";((IF("17"=INDEX(ALLCLASSDATA,MATCH("ArmorSpecialization",CLASSFEATUREHEADERS,0),MATCH($A2073,CLASSNAMEHEADERS,0)),ArmorAS,"")))}</f>
        <v>ARMORSPECIALL17</v>
      </c>
      <c r="Y2072" s="223"/>
      <c r="Z2072" s="223" t="str">
        <f t="array" ref="Z2072:Z2073">{"ARMORSPECIALL19";((IF("19"=INDEX(ALLCLASSDATA,MATCH("ArmorSpecialization",CLASSFEATUREHEADERS,0),MATCH($A2073,CLASSNAMEHEADERS,0)),ArmorAS,"")))}</f>
        <v>ARMORSPECIALL19</v>
      </c>
      <c r="AA2072" s="223"/>
      <c r="AB2072" s="76"/>
      <c r="AC2072" s="76" t="str">
        <f t="array" ref="AC2072:AC2073">{"ARMORSPECIAL TOTAL";(sum(G2073:AA2073))}</f>
        <v>ARMORSPECIAL TOTAL</v>
      </c>
    </row>
    <row r="2073">
      <c r="A2073" s="48" t="s">
        <v>233</v>
      </c>
      <c r="B2073" s="48"/>
      <c r="C2073" s="48" t="s">
        <v>418</v>
      </c>
      <c r="D2073" s="48" t="s">
        <v>1900</v>
      </c>
      <c r="E2073" s="48" t="s">
        <v>51</v>
      </c>
      <c r="F2073" s="5"/>
      <c r="G2073" s="47"/>
      <c r="H2073" s="5" t="s">
        <v>603</v>
      </c>
      <c r="I2073" s="5"/>
      <c r="J2073" s="5" t="s">
        <v>603</v>
      </c>
      <c r="K2073" s="5"/>
      <c r="L2073" s="5" t="s">
        <v>603</v>
      </c>
      <c r="M2073" s="5"/>
      <c r="N2073" s="5" t="s">
        <v>603</v>
      </c>
      <c r="O2073" s="5"/>
      <c r="P2073" s="5" t="s">
        <v>603</v>
      </c>
      <c r="Q2073" s="5"/>
      <c r="R2073" s="5" t="s">
        <v>603</v>
      </c>
      <c r="S2073" s="5"/>
      <c r="T2073" s="5" t="s">
        <v>603</v>
      </c>
      <c r="U2073" s="5"/>
      <c r="V2073" s="5" t="s">
        <v>603</v>
      </c>
      <c r="W2073" s="5"/>
      <c r="X2073" s="5" t="s">
        <v>603</v>
      </c>
      <c r="Y2073" s="5"/>
      <c r="Z2073" s="5" t="s">
        <v>603</v>
      </c>
      <c r="AA2073" s="5"/>
      <c r="AB2073" s="5"/>
      <c r="AC2073" s="47">
        <v>0.0</v>
      </c>
    </row>
    <row r="2074" hidden="1">
      <c r="A2074" s="222" t="str">
        <f t="array" ref="A2074:A2075">{"FormulaRow35";(INDEX(CLASSLIST,A2005,1))}</f>
        <v>FormulaRow35</v>
      </c>
      <c r="B2074" s="77" t="s">
        <v>236</v>
      </c>
      <c r="C2074" s="222" t="str">
        <f t="array" ref="C2074:C2075">{"CLASSTYPE";((INDEX(ALLCLASSDATA,MATCH("ClassType",CLASSFEATUREHEADERS,0),MATCH($A2075,CLASSNAMEHEADERS,0))))}</f>
        <v>CLASSTYPE</v>
      </c>
      <c r="D2074" s="222" t="str">
        <f t="array" ref="D2074:D2075">{"DEFENSE";"Defense"}</f>
        <v>DEFENSE</v>
      </c>
      <c r="E2074" s="222" t="str">
        <f t="array" ref="E2074:E2075">{"UNARMORED";"Unarmored"}</f>
        <v>UNARMORED</v>
      </c>
      <c r="F2074" s="223" t="str">
        <f t="array" ref="F2074:F2075">{"UNARMOREDINITIAL";((IF(H2075=10,"T",(IF(H2075=50,"E","")))))}</f>
        <v>UNARMOREDINITIAL</v>
      </c>
      <c r="G2074" s="223" t="str">
        <f t="array" ref="G2074:G2075">{"UNARMOREDINITIALPTS";((IF("00"=(INDEX(ALLCLASSDATA,MATCH("UnarmoredLegendary",CLASSFEATUREHEADERS,0),MATCH($A2075,CLASSNAMEHEADERS,0))),(INDEX(ALLCLASSDATA,MATCH("UnarmoredLegendary",CLASSFEATUREHEADERS,0),MATCH(($A2075 &amp; "Points"),CLASSNAMEHEADERS,0))),(IF("00"=(INDEX(ALLCLASSDATA,MATCH("UnarmoredMaster",CLASSFEATUREHEADERS,0),MATCH($A2075,CLASSNAMEHEADERS,0))),(INDEX(ALLCLASSDATA,MATCH("UnarmoredMaster",CLASSFEATUREHEADERS,0),MATCH(($A2075 &amp; "Points"),CLASSNAMEHEADERS,0))),(IF("00"=(INDEX(ALLCLASSDATA,MATCH("UnarmoredExpert",CLASSFEATUREHEADERS,0),MATCH($A2075,CLASSNAMEHEADERS,0))),(INDEX(ALLCLASSDATA,MATCH("UnarmoredExpert",CLASSFEATUREHEADERS,0),MATCH(($A2075 &amp; "Points"),CLASSNAMEHEADERS,0))),(IF("00"=(INDEX(ALLCLASSDATA,MATCH("UnarmoredTrained",CLASSFEATUREHEADERS,0),MATCH($A2075,CLASSNAMEHEADERS,0))),(INDEX(ALLCLASSDATA,MATCH("UnarmoredTrained",CLASSFEATUREHEADERS,0),MATCH(($A2075 &amp; "Points"),CLASSNAMEHEADERS,0))),"")))))))))}</f>
        <v>UNARMOREDINITIALPTS</v>
      </c>
      <c r="H2074" s="223" t="str">
        <f t="array" ref="H2074:H2075">{"UNARMOREDL01";((IF("01"=(INDEX(ALLCLASSDATA,MATCH("UnarmoredLegendary",CLASSFEATUREHEADERS,0),MATCH($A2075,CLASSNAMEHEADERS,0))),(INDEX(ALLCLASSDATA,MATCH("UnarmoredLegendary",CLASSFEATUREHEADERS,0),MATCH(($A2075 &amp; "Points"),CLASSNAMEHEADERS,0))),(IF("01"=(INDEX(ALLCLASSDATA,MATCH("UnarmoredMaster",CLASSFEATUREHEADERS,0),MATCH($A2075,CLASSNAMEHEADERS,0))),(INDEX(ALLCLASSDATA,MATCH("UnarmoredMaster",CLASSFEATUREHEADERS,0),MATCH(($A2075 &amp; "Points"),CLASSNAMEHEADERS,0))),(IF("01"=(INDEX(ALLCLASSDATA,MATCH("UnarmoredExpert",CLASSFEATUREHEADERS,0),MATCH($A2075,CLASSNAMEHEADERS,0))),(INDEX(ALLCLASSDATA,MATCH("UnarmoredExpert",CLASSFEATUREHEADERS,0),MATCH(($A2075 &amp; "Points"),CLASSNAMEHEADERS,0))),(IF("01"=(INDEX(ALLCLASSDATA,MATCH("UnarmoredTrained",CLASSFEATUREHEADERS,0),MATCH($A2075,CLASSNAMEHEADERS,0))),(INDEX(ALLCLASSDATA,MATCH("UnarmoredTrained",CLASSFEATUREHEADERS,0),MATCH(($A2075 &amp; "Points"),CLASSNAMEHEADERS,0))),"")))))))))}</f>
        <v>UNARMOREDL01</v>
      </c>
      <c r="I2074" s="223"/>
      <c r="J2074" s="223" t="str">
        <f t="array" ref="J2074:J2075">{"UNARMOREDL03";((IF("03"=(INDEX(ALLCLASSDATA,MATCH("UnarmoredLegendary",CLASSFEATUREHEADERS,0),MATCH($A2075,CLASSNAMEHEADERS,0))),(INDEX(ALLCLASSDATA,MATCH("UnarmoredLegendary",CLASSFEATUREHEADERS,0),MATCH(($A2075 &amp; "Points"),CLASSNAMEHEADERS,0))),(IF("03"=(INDEX(ALLCLASSDATA,MATCH("UnarmoredMaster",CLASSFEATUREHEADERS,0),MATCH($A2075,CLASSNAMEHEADERS,0))),(INDEX(ALLCLASSDATA,MATCH("UnarmoredMaster",CLASSFEATUREHEADERS,0),MATCH(($A2075 &amp; "Points"),CLASSNAMEHEADERS,0))),(IF("03"=(INDEX(ALLCLASSDATA,MATCH("UnarmoredExpert",CLASSFEATUREHEADERS,0),MATCH($A2075,CLASSNAMEHEADERS,0))),(INDEX(ALLCLASSDATA,MATCH("UnarmoredExpert",CLASSFEATUREHEADERS,0),MATCH(($A2075 &amp; "Points"),CLASSNAMEHEADERS,0))),(IF("03"=(INDEX(ALLCLASSDATA,MATCH("UnarmoredTrained",CLASSFEATUREHEADERS,0),MATCH($A2075,CLASSNAMEHEADERS,0))),(INDEX(ALLCLASSDATA,MATCH("UnarmoredTrained",CLASSFEATUREHEADERS,0),MATCH(($A2075 &amp; "Points"),CLASSNAMEHEADERS,0))),"")))))))))}</f>
        <v>UNARMOREDL03</v>
      </c>
      <c r="K2074" s="223"/>
      <c r="L2074" s="223" t="str">
        <f t="array" ref="L2074:L2075">{"UNARMOREDL05";((IF("05"=(INDEX(ALLCLASSDATA,MATCH("UnarmoredLegendary",CLASSFEATUREHEADERS,0),MATCH($A2075,CLASSNAMEHEADERS,0))),(INDEX(ALLCLASSDATA,MATCH("UnarmoredLegendary",CLASSFEATUREHEADERS,0),MATCH(($A2075 &amp; "Points"),CLASSNAMEHEADERS,0))),(IF("05"=(INDEX(ALLCLASSDATA,MATCH("UnarmoredMaster",CLASSFEATUREHEADERS,0),MATCH($A2075,CLASSNAMEHEADERS,0))),(INDEX(ALLCLASSDATA,MATCH("UnarmoredMaster",CLASSFEATUREHEADERS,0),MATCH(($A2075 &amp; "Points"),CLASSNAMEHEADERS,0))),(IF("05"=(INDEX(ALLCLASSDATA,MATCH("UnarmoredExpert",CLASSFEATUREHEADERS,0),MATCH($A2075,CLASSNAMEHEADERS,0))),(INDEX(ALLCLASSDATA,MATCH("UnarmoredExpert",CLASSFEATUREHEADERS,0),MATCH(($A2075 &amp; "Points"),CLASSNAMEHEADERS,0))),(IF("05"=(INDEX(ALLCLASSDATA,MATCH("UnarmoredTrained",CLASSFEATUREHEADERS,0),MATCH($A2075,CLASSNAMEHEADERS,0))),(INDEX(ALLCLASSDATA,MATCH("UnarmoredTrained",CLASSFEATUREHEADERS,0),MATCH(($A2075 &amp; "Points"),CLASSNAMEHEADERS,0))),"")))))))))}</f>
        <v>UNARMOREDL05</v>
      </c>
      <c r="M2074" s="223"/>
      <c r="N2074" s="223" t="str">
        <f t="array" ref="N2074:N2075">{"UNARMOREDL07";((IF("07"=(INDEX(ALLCLASSDATA,MATCH("UnarmoredLegendary",CLASSFEATUREHEADERS,0),MATCH($A2075,CLASSNAMEHEADERS,0))),(INDEX(ALLCLASSDATA,MATCH("UnarmoredLegendary",CLASSFEATUREHEADERS,0),MATCH(($A2075 &amp; "Points"),CLASSNAMEHEADERS,0))),(IF("07"=(INDEX(ALLCLASSDATA,MATCH("UnarmoredMaster",CLASSFEATUREHEADERS,0),MATCH($A2075,CLASSNAMEHEADERS,0))),(INDEX(ALLCLASSDATA,MATCH("UnarmoredMaster",CLASSFEATUREHEADERS,0),MATCH(($A2075 &amp; "Points"),CLASSNAMEHEADERS,0))),(IF("07"=(INDEX(ALLCLASSDATA,MATCH("UnarmoredExpert",CLASSFEATUREHEADERS,0),MATCH($A2075,CLASSNAMEHEADERS,0))),(INDEX(ALLCLASSDATA,MATCH("UnarmoredExpert",CLASSFEATUREHEADERS,0),MATCH(($A2075 &amp; "Points"),CLASSNAMEHEADERS,0))),(IF("07"=(INDEX(ALLCLASSDATA,MATCH("UnarmoredTrained",CLASSFEATUREHEADERS,0),MATCH($A2075,CLASSNAMEHEADERS,0))),(INDEX(ALLCLASSDATA,MATCH("UnarmoredTrained",CLASSFEATUREHEADERS,0),MATCH(($A2075 &amp; "Points"),CLASSNAMEHEADERS,0))),"")))))))))}</f>
        <v>UNARMOREDL07</v>
      </c>
      <c r="O2074" s="223"/>
      <c r="P2074" s="223" t="str">
        <f t="array" ref="P2074:P2075">{"UNARMOREDL09";((IF("09"=(INDEX(ALLCLASSDATA,MATCH("UnarmoredLegendary",CLASSFEATUREHEADERS,0),MATCH($A2075,CLASSNAMEHEADERS,0))),(INDEX(ALLCLASSDATA,MATCH("UnarmoredLegendary",CLASSFEATUREHEADERS,0),MATCH(($A2075 &amp; "Points"),CLASSNAMEHEADERS,0))),(IF("09"=(INDEX(ALLCLASSDATA,MATCH("UnarmoredMaster",CLASSFEATUREHEADERS,0),MATCH($A2075,CLASSNAMEHEADERS,0))),(INDEX(ALLCLASSDATA,MATCH("UnarmoredMaster",CLASSFEATUREHEADERS,0),MATCH(($A2075 &amp; "Points"),CLASSNAMEHEADERS,0))),(IF("09"=(INDEX(ALLCLASSDATA,MATCH("UnarmoredExpert",CLASSFEATUREHEADERS,0),MATCH($A2075,CLASSNAMEHEADERS,0))),(INDEX(ALLCLASSDATA,MATCH("UnarmoredExpert",CLASSFEATUREHEADERS,0),MATCH(($A2075 &amp; "Points"),CLASSNAMEHEADERS,0))),(IF("09"=(INDEX(ALLCLASSDATA,MATCH("UnarmoredTrained",CLASSFEATUREHEADERS,0),MATCH($A2075,CLASSNAMEHEADERS,0))),(INDEX(ALLCLASSDATA,MATCH("UnarmoredTrained",CLASSFEATUREHEADERS,0),MATCH(($A2075 &amp; "Points"),CLASSNAMEHEADERS,0))),"")))))))))}</f>
        <v>UNARMOREDL09</v>
      </c>
      <c r="Q2074" s="223"/>
      <c r="R2074" s="223" t="str">
        <f t="array" ref="R2074:R2075">{"UNARMOREDL11";((IF("11"=(INDEX(ALLCLASSDATA,MATCH("UnarmoredLegendary",CLASSFEATUREHEADERS,0),MATCH($A2075,CLASSNAMEHEADERS,0))),(INDEX(ALLCLASSDATA,MATCH("UnarmoredLegendary",CLASSFEATUREHEADERS,0),MATCH(($A2075 &amp; "Points"),CLASSNAMEHEADERS,0))),(IF("11"=(INDEX(ALLCLASSDATA,MATCH("UnarmoredMaster",CLASSFEATUREHEADERS,0),MATCH($A2075,CLASSNAMEHEADERS,0))),(INDEX(ALLCLASSDATA,MATCH("UnarmoredMaster",CLASSFEATUREHEADERS,0),MATCH(($A2075 &amp; "Points"),CLASSNAMEHEADERS,0))),(IF("11"=(INDEX(ALLCLASSDATA,MATCH("UnarmoredExpert",CLASSFEATUREHEADERS,0),MATCH($A2075,CLASSNAMEHEADERS,0))),(INDEX(ALLCLASSDATA,MATCH("UnarmoredExpert",CLASSFEATUREHEADERS,0),MATCH(($A2075 &amp; "Points"),CLASSNAMEHEADERS,0))),(IF("11"=(INDEX(ALLCLASSDATA,MATCH("UnarmoredTrained",CLASSFEATUREHEADERS,0),MATCH($A2075,CLASSNAMEHEADERS,0))),(INDEX(ALLCLASSDATA,MATCH("UnarmoredTrained",CLASSFEATUREHEADERS,0),MATCH(($A2075 &amp; "Points"),CLASSNAMEHEADERS,0))),"")))))))))}</f>
        <v>UNARMOREDL11</v>
      </c>
      <c r="S2074" s="223"/>
      <c r="T2074" s="223" t="str">
        <f t="array" ref="T2074:T2075">{"UNARMOREDL13";((IF("13"=(INDEX(ALLCLASSDATA,MATCH("UnarmoredLegendary",CLASSFEATUREHEADERS,0),MATCH($A2075,CLASSNAMEHEADERS,0))),(INDEX(ALLCLASSDATA,MATCH("UnarmoredLegendary",CLASSFEATUREHEADERS,0),MATCH(($A2075 &amp; "Points"),CLASSNAMEHEADERS,0))),(IF("13"=(INDEX(ALLCLASSDATA,MATCH("UnarmoredMaster",CLASSFEATUREHEADERS,0),MATCH($A2075,CLASSNAMEHEADERS,0))),(INDEX(ALLCLASSDATA,MATCH("UnarmoredMaster",CLASSFEATUREHEADERS,0),MATCH(($A2075 &amp; "Points"),CLASSNAMEHEADERS,0))),(IF("13"=(INDEX(ALLCLASSDATA,MATCH("UnarmoredExpert",CLASSFEATUREHEADERS,0),MATCH($A2075,CLASSNAMEHEADERS,0))),(INDEX(ALLCLASSDATA,MATCH("UnarmoredExpert",CLASSFEATUREHEADERS,0),MATCH(($A2075 &amp; "Points"),CLASSNAMEHEADERS,0))),(IF("13"=(INDEX(ALLCLASSDATA,MATCH("UnarmoredTrained",CLASSFEATUREHEADERS,0),MATCH($A2075,CLASSNAMEHEADERS,0))),(INDEX(ALLCLASSDATA,MATCH("UnarmoredTrained",CLASSFEATUREHEADERS,0),MATCH(($A2075 &amp; "Points"),CLASSNAMEHEADERS,0))),"")))))))))}</f>
        <v>UNARMOREDL13</v>
      </c>
      <c r="U2074" s="223"/>
      <c r="V2074" s="223" t="str">
        <f t="array" ref="V2074:V2075">{"UNARMOREDL15";((IF("15"=(INDEX(ALLCLASSDATA,MATCH("UnarmoredLegendary",CLASSFEATUREHEADERS,0),MATCH($A2075,CLASSNAMEHEADERS,0))),(INDEX(ALLCLASSDATA,MATCH("UnarmoredLegendary",CLASSFEATUREHEADERS,0),MATCH(($A2075 &amp; "Points"),CLASSNAMEHEADERS,0))),(IF("15"=(INDEX(ALLCLASSDATA,MATCH("UnarmoredMaster",CLASSFEATUREHEADERS,0),MATCH($A2075,CLASSNAMEHEADERS,0))),(INDEX(ALLCLASSDATA,MATCH("UnarmoredMaster",CLASSFEATUREHEADERS,0),MATCH(($A2075 &amp; "Points"),CLASSNAMEHEADERS,0))),(IF("15"=(INDEX(ALLCLASSDATA,MATCH("UnarmoredExpert",CLASSFEATUREHEADERS,0),MATCH($A2075,CLASSNAMEHEADERS,0))),(INDEX(ALLCLASSDATA,MATCH("UnarmoredExpert",CLASSFEATUREHEADERS,0),MATCH(($A2075 &amp; "Points"),CLASSNAMEHEADERS,0))),(IF("15"=(INDEX(ALLCLASSDATA,MATCH("UnarmoredTrained",CLASSFEATUREHEADERS,0),MATCH($A2075,CLASSNAMEHEADERS,0))),(INDEX(ALLCLASSDATA,MATCH("UnarmoredTrained",CLASSFEATUREHEADERS,0),MATCH(($A2075 &amp; "Points"),CLASSNAMEHEADERS,0))),"")))))))))}</f>
        <v>UNARMOREDL15</v>
      </c>
      <c r="W2074" s="223"/>
      <c r="X2074" s="223" t="str">
        <f t="array" ref="X2074:X2075">{"UNARMOREDL17";((IF("17"=(INDEX(ALLCLASSDATA,MATCH("UnarmoredLegendary",CLASSFEATUREHEADERS,0),MATCH($A2075,CLASSNAMEHEADERS,0))),(INDEX(ALLCLASSDATA,MATCH("UnarmoredLegendary",CLASSFEATUREHEADERS,0),MATCH(($A2075 &amp; "Points"),CLASSNAMEHEADERS,0))),(IF("17"=(INDEX(ALLCLASSDATA,MATCH("UnarmoredMaster",CLASSFEATUREHEADERS,0),MATCH($A2075,CLASSNAMEHEADERS,0))),(INDEX(ALLCLASSDATA,MATCH("UnarmoredMaster",CLASSFEATUREHEADERS,0),MATCH(($A2075 &amp; "Points"),CLASSNAMEHEADERS,0))),(IF("17"=(INDEX(ALLCLASSDATA,MATCH("UnarmoredExpert",CLASSFEATUREHEADERS,0),MATCH($A2075,CLASSNAMEHEADERS,0))),(INDEX(ALLCLASSDATA,MATCH("UnarmoredExpert",CLASSFEATUREHEADERS,0),MATCH(($A2075 &amp; "Points"),CLASSNAMEHEADERS,0))),(IF("17"=(INDEX(ALLCLASSDATA,MATCH("UnarmoredTrained",CLASSFEATUREHEADERS,0),MATCH($A2075,CLASSNAMEHEADERS,0))),(INDEX(ALLCLASSDATA,MATCH("UnarmoredTrained",CLASSFEATUREHEADERS,0),MATCH(($A2075 &amp; "Points"),CLASSNAMEHEADERS,0))),"")))))))))}</f>
        <v>UNARMOREDL17</v>
      </c>
      <c r="Y2074" s="223"/>
      <c r="Z2074" s="223" t="str">
        <f t="array" ref="Z2074:Z2075">{"UNARMOREDL19";((IF("19"=(INDEX(ALLCLASSDATA,MATCH("UnarmoredLegendary",CLASSFEATUREHEADERS,0),MATCH($A2075,CLASSNAMEHEADERS,0))),(INDEX(ALLCLASSDATA,MATCH("UnarmoredLegendary",CLASSFEATUREHEADERS,0),MATCH(($A2075 &amp; "Points"),CLASSNAMEHEADERS,0))),(IF("19"=(INDEX(ALLCLASSDATA,MATCH("UnarmoredMaster",CLASSFEATUREHEADERS,0),MATCH($A2075,CLASSNAMEHEADERS,0))),(INDEX(ALLCLASSDATA,MATCH("UnarmoredMaster",CLASSFEATUREHEADERS,0),MATCH(($A2075 &amp; "Points"),CLASSNAMEHEADERS,0))),(IF("19"=(INDEX(ALLCLASSDATA,MATCH("UnarmoredExpert",CLASSFEATUREHEADERS,0),MATCH($A2075,CLASSNAMEHEADERS,0))),(INDEX(ALLCLASSDATA,MATCH("UnarmoredExpert",CLASSFEATUREHEADERS,0),MATCH(($A2075 &amp; "Points"),CLASSNAMEHEADERS,0))),(IF("19"=(INDEX(ALLCLASSDATA,MATCH("UnarmoredTrained",CLASSFEATUREHEADERS,0),MATCH($A2075,CLASSNAMEHEADERS,0))),(INDEX(ALLCLASSDATA,MATCH("UnarmoredTrained",CLASSFEATUREHEADERS,0),MATCH(($A2075 &amp; "Points"),CLASSNAMEHEADERS,0))),"")))))))))}</f>
        <v>UNARMOREDL19</v>
      </c>
      <c r="AA2074" s="223"/>
      <c r="AB2074" s="76" t="str">
        <f t="array" ref="AB2074:AB2075">{"UNARMORED TOTAL";(IF(COUNTBLANK(G2075:AA2075)=17,"L",(IF(COUNTBLANK(G2075:AA2075)=18,"M",(IF(COUNTBLANK(G2075:AA2075)=19,"E",(IF(COUNTBLANK(G2075:AA2075)=20,"T",""))))))))}</f>
        <v>UNARMORED TOTAL</v>
      </c>
      <c r="AC2074" s="76" t="str">
        <f t="array" ref="AC2074:AC2075">{"UNARMORED TOTAL";(sum(G2075:AA2075))}</f>
        <v>UNARMORED TOTAL</v>
      </c>
    </row>
    <row r="2075">
      <c r="A2075" s="48" t="s">
        <v>233</v>
      </c>
      <c r="B2075" s="48"/>
      <c r="C2075" s="48" t="s">
        <v>418</v>
      </c>
      <c r="D2075" s="48" t="s">
        <v>1900</v>
      </c>
      <c r="E2075" s="48" t="s">
        <v>78</v>
      </c>
      <c r="F2075" s="5" t="s">
        <v>435</v>
      </c>
      <c r="G2075" s="47" t="s">
        <v>603</v>
      </c>
      <c r="H2075" s="5">
        <v>10.0</v>
      </c>
      <c r="I2075" s="5"/>
      <c r="J2075" s="5" t="s">
        <v>603</v>
      </c>
      <c r="K2075" s="5"/>
      <c r="L2075" s="5" t="s">
        <v>603</v>
      </c>
      <c r="M2075" s="5"/>
      <c r="N2075" s="5" t="s">
        <v>603</v>
      </c>
      <c r="O2075" s="5"/>
      <c r="P2075" s="5" t="s">
        <v>603</v>
      </c>
      <c r="Q2075" s="5"/>
      <c r="R2075" s="5" t="s">
        <v>603</v>
      </c>
      <c r="S2075" s="5"/>
      <c r="T2075" s="5">
        <v>50.0</v>
      </c>
      <c r="U2075" s="5"/>
      <c r="V2075" s="5" t="s">
        <v>603</v>
      </c>
      <c r="W2075" s="5"/>
      <c r="X2075" s="5" t="s">
        <v>603</v>
      </c>
      <c r="Y2075" s="5"/>
      <c r="Z2075" s="5" t="s">
        <v>603</v>
      </c>
      <c r="AA2075" s="5"/>
      <c r="AB2075" s="5" t="s">
        <v>436</v>
      </c>
      <c r="AC2075" s="47">
        <v>60.0</v>
      </c>
    </row>
    <row r="2076" hidden="1">
      <c r="A2076" s="222" t="str">
        <f t="array" ref="A2076:A2077">{"FormulaRow36";(INDEX(CLASSLIST,A2005,1))}</f>
        <v>FormulaRow36</v>
      </c>
      <c r="B2076" s="77" t="s">
        <v>236</v>
      </c>
      <c r="C2076" s="222" t="str">
        <f t="array" ref="C2076:C2077">{"CLASSTYPE";((INDEX(ALLCLASSDATA,MATCH("ClassType",CLASSFEATUREHEADERS,0),MATCH($A2077,CLASSNAMEHEADERS,0))))}</f>
        <v>CLASSTYPE</v>
      </c>
      <c r="D2076" s="222" t="str">
        <f t="array" ref="D2076:D2077">{"DEFENSE";"Defense"}</f>
        <v>DEFENSE</v>
      </c>
      <c r="E2076" s="222" t="str">
        <f t="array" ref="E2076:E2077">{"LIGHT";"Light"}</f>
        <v>LIGHT</v>
      </c>
      <c r="F2076" s="223" t="str">
        <f t="array" ref="F2076:F2077">{"LIGHTINITIAL";((IF(H2077=10,"T",(IF(H2077=50,"E","")))))}</f>
        <v>LIGHTINITIAL</v>
      </c>
      <c r="G2076" s="223" t="str">
        <f t="array" ref="G2076:G2077">{"LIGHTINITIALPTS";((IF("00"=(INDEX(ALLCLASSDATA,MATCH("LightLegendary",CLASSFEATUREHEADERS,0),MATCH($A2077,CLASSNAMEHEADERS,0))),(INDEX(ALLCLASSDATA,MATCH("LightLegendary",CLASSFEATUREHEADERS,0),MATCH(($A2077 &amp; "Points"),CLASSNAMEHEADERS,0))),(IF("00"=(INDEX(ALLCLASSDATA,MATCH("LightMaster",CLASSFEATUREHEADERS,0),MATCH($A2077,CLASSNAMEHEADERS,0))),(INDEX(ALLCLASSDATA,MATCH("LightMaster",CLASSFEATUREHEADERS,0),MATCH(($A2077 &amp; "Points"),CLASSNAMEHEADERS,0))),(IF("00"=(INDEX(ALLCLASSDATA,MATCH("LightExpert",CLASSFEATUREHEADERS,0),MATCH($A2077,CLASSNAMEHEADERS,0))),(INDEX(ALLCLASSDATA,MATCH("LightExpert",CLASSFEATUREHEADERS,0),MATCH(($A2077 &amp; "Points"),CLASSNAMEHEADERS,0))),(IF("00"=(INDEX(ALLCLASSDATA,MATCH("LightTrained",CLASSFEATUREHEADERS,0),MATCH($A2077,CLASSNAMEHEADERS,0))),(INDEX(ALLCLASSDATA,MATCH("LightTrained",CLASSFEATUREHEADERS,0),MATCH(($A2077 &amp; "Points"),CLASSNAMEHEADERS,0))),"")))))))))}</f>
        <v>LIGHTINITIALPTS</v>
      </c>
      <c r="H2076" s="223" t="str">
        <f t="array" ref="H2076:H2077">{"LIGHTL01";((IF("01"=(INDEX(ALLCLASSDATA,MATCH("LightLegendary",CLASSFEATUREHEADERS,0),MATCH($A2077,CLASSNAMEHEADERS,0))),(INDEX(ALLCLASSDATA,MATCH("LightLegendary",CLASSFEATUREHEADERS,0),MATCH(($A2077 &amp; "Points"),CLASSNAMEHEADERS,0))),(IF("01"=(INDEX(ALLCLASSDATA,MATCH("LightMaster",CLASSFEATUREHEADERS,0),MATCH($A2077,CLASSNAMEHEADERS,0))),(INDEX(ALLCLASSDATA,MATCH("LightMaster",CLASSFEATUREHEADERS,0),MATCH(($A2077 &amp; "Points"),CLASSNAMEHEADERS,0))),(IF("01"=(INDEX(ALLCLASSDATA,MATCH("LightExpert",CLASSFEATUREHEADERS,0),MATCH($A2077,CLASSNAMEHEADERS,0))),(INDEX(ALLCLASSDATA,MATCH("LightExpert",CLASSFEATUREHEADERS,0),MATCH(($A2077 &amp; "Points"),CLASSNAMEHEADERS,0))),(IF("01"=(INDEX(ALLCLASSDATA,MATCH("LightTrained",CLASSFEATUREHEADERS,0),MATCH($A2077,CLASSNAMEHEADERS,0))),(INDEX(ALLCLASSDATA,MATCH("LightTrained",CLASSFEATUREHEADERS,0),MATCH(($A2077 &amp; "Points"),CLASSNAMEHEADERS,0))),"")))))))))}</f>
        <v>LIGHTL01</v>
      </c>
      <c r="I2076" s="223"/>
      <c r="J2076" s="223" t="str">
        <f t="array" ref="J2076:J2077">{"LIGHTL03";((IF("03"=(INDEX(ALLCLASSDATA,MATCH("LightLegendary",CLASSFEATUREHEADERS,0),MATCH($A2077,CLASSNAMEHEADERS,0))),(INDEX(ALLCLASSDATA,MATCH("LightLegendary",CLASSFEATUREHEADERS,0),MATCH(($A2077 &amp; "Points"),CLASSNAMEHEADERS,0))),(IF("03"=(INDEX(ALLCLASSDATA,MATCH("LightMaster",CLASSFEATUREHEADERS,0),MATCH($A2077,CLASSNAMEHEADERS,0))),(INDEX(ALLCLASSDATA,MATCH("LightMaster",CLASSFEATUREHEADERS,0),MATCH(($A2077 &amp; "Points"),CLASSNAMEHEADERS,0))),(IF("03"=(INDEX(ALLCLASSDATA,MATCH("LightExpert",CLASSFEATUREHEADERS,0),MATCH($A2077,CLASSNAMEHEADERS,0))),(INDEX(ALLCLASSDATA,MATCH("LightExpert",CLASSFEATUREHEADERS,0),MATCH(($A2077 &amp; "Points"),CLASSNAMEHEADERS,0))),(IF("03"=(INDEX(ALLCLASSDATA,MATCH("LightTrained",CLASSFEATUREHEADERS,0),MATCH($A2077,CLASSNAMEHEADERS,0))),(INDEX(ALLCLASSDATA,MATCH("LightTrained",CLASSFEATUREHEADERS,0),MATCH(($A2077 &amp; "Points"),CLASSNAMEHEADERS,0))),"")))))))))}</f>
        <v>LIGHTL03</v>
      </c>
      <c r="K2076" s="223"/>
      <c r="L2076" s="223" t="str">
        <f t="array" ref="L2076:L2077">{"LIGHTL05";((IF("05"=(INDEX(ALLCLASSDATA,MATCH("LightLegendary",CLASSFEATUREHEADERS,0),MATCH($A2077,CLASSNAMEHEADERS,0))),(INDEX(ALLCLASSDATA,MATCH("LightLegendary",CLASSFEATUREHEADERS,0),MATCH(($A2077 &amp; "Points"),CLASSNAMEHEADERS,0))),(IF("05"=(INDEX(ALLCLASSDATA,MATCH("LightMaster",CLASSFEATUREHEADERS,0),MATCH($A2077,CLASSNAMEHEADERS,0))),(INDEX(ALLCLASSDATA,MATCH("LightMaster",CLASSFEATUREHEADERS,0),MATCH(($A2077 &amp; "Points"),CLASSNAMEHEADERS,0))),(IF("05"=(INDEX(ALLCLASSDATA,MATCH("LightExpert",CLASSFEATUREHEADERS,0),MATCH($A2077,CLASSNAMEHEADERS,0))),(INDEX(ALLCLASSDATA,MATCH("LightExpert",CLASSFEATUREHEADERS,0),MATCH(($A2077 &amp; "Points"),CLASSNAMEHEADERS,0))),(IF("05"=(INDEX(ALLCLASSDATA,MATCH("LightTrained",CLASSFEATUREHEADERS,0),MATCH($A2077,CLASSNAMEHEADERS,0))),(INDEX(ALLCLASSDATA,MATCH("LightTrained",CLASSFEATUREHEADERS,0),MATCH(($A2077 &amp; "Points"),CLASSNAMEHEADERS,0))),"")))))))))}</f>
        <v>LIGHTL05</v>
      </c>
      <c r="M2076" s="223"/>
      <c r="N2076" s="223" t="str">
        <f t="array" ref="N2076:N2077">{"LIGHTL07";((IF("07"=(INDEX(ALLCLASSDATA,MATCH("LightLegendary",CLASSFEATUREHEADERS,0),MATCH($A2077,CLASSNAMEHEADERS,0))),(INDEX(ALLCLASSDATA,MATCH("LightLegendary",CLASSFEATUREHEADERS,0),MATCH(($A2077 &amp; "Points"),CLASSNAMEHEADERS,0))),(IF("07"=(INDEX(ALLCLASSDATA,MATCH("LightMaster",CLASSFEATUREHEADERS,0),MATCH($A2077,CLASSNAMEHEADERS,0))),(INDEX(ALLCLASSDATA,MATCH("LightMaster",CLASSFEATUREHEADERS,0),MATCH(($A2077 &amp; "Points"),CLASSNAMEHEADERS,0))),(IF("07"=(INDEX(ALLCLASSDATA,MATCH("LightExpert",CLASSFEATUREHEADERS,0),MATCH($A2077,CLASSNAMEHEADERS,0))),(INDEX(ALLCLASSDATA,MATCH("LightExpert",CLASSFEATUREHEADERS,0),MATCH(($A2077 &amp; "Points"),CLASSNAMEHEADERS,0))),(IF("07"=(INDEX(ALLCLASSDATA,MATCH("LightTrained",CLASSFEATUREHEADERS,0),MATCH($A2077,CLASSNAMEHEADERS,0))),(INDEX(ALLCLASSDATA,MATCH("LightTrained",CLASSFEATUREHEADERS,0),MATCH(($A2077 &amp; "Points"),CLASSNAMEHEADERS,0))),"")))))))))}</f>
        <v>LIGHTL07</v>
      </c>
      <c r="O2076" s="223"/>
      <c r="P2076" s="223" t="str">
        <f t="array" ref="P2076:P2077">{"LIGHTL09";((IF("09"=(INDEX(ALLCLASSDATA,MATCH("LightLegendary",CLASSFEATUREHEADERS,0),MATCH($A2077,CLASSNAMEHEADERS,0))),(INDEX(ALLCLASSDATA,MATCH("LightLegendary",CLASSFEATUREHEADERS,0),MATCH(($A2077 &amp; "Points"),CLASSNAMEHEADERS,0))),(IF("09"=(INDEX(ALLCLASSDATA,MATCH("LightMaster",CLASSFEATUREHEADERS,0),MATCH($A2077,CLASSNAMEHEADERS,0))),(INDEX(ALLCLASSDATA,MATCH("LightMaster",CLASSFEATUREHEADERS,0),MATCH(($A2077 &amp; "Points"),CLASSNAMEHEADERS,0))),(IF("09"=(INDEX(ALLCLASSDATA,MATCH("LightExpert",CLASSFEATUREHEADERS,0),MATCH($A2077,CLASSNAMEHEADERS,0))),(INDEX(ALLCLASSDATA,MATCH("LightExpert",CLASSFEATUREHEADERS,0),MATCH(($A2077 &amp; "Points"),CLASSNAMEHEADERS,0))),(IF("09"=(INDEX(ALLCLASSDATA,MATCH("LightTrained",CLASSFEATUREHEADERS,0),MATCH($A2077,CLASSNAMEHEADERS,0))),(INDEX(ALLCLASSDATA,MATCH("LightTrained",CLASSFEATUREHEADERS,0),MATCH(($A2077 &amp; "Points"),CLASSNAMEHEADERS,0))),"")))))))))}</f>
        <v>LIGHTL09</v>
      </c>
      <c r="Q2076" s="223"/>
      <c r="R2076" s="223" t="str">
        <f t="array" ref="R2076:R2077">{"LIGHTL11";((IF("11"=(INDEX(ALLCLASSDATA,MATCH("LightLegendary",CLASSFEATUREHEADERS,0),MATCH($A2077,CLASSNAMEHEADERS,0))),(INDEX(ALLCLASSDATA,MATCH("LightLegendary",CLASSFEATUREHEADERS,0),MATCH(($A2077 &amp; "Points"),CLASSNAMEHEADERS,0))),(IF("11"=(INDEX(ALLCLASSDATA,MATCH("LightMaster",CLASSFEATUREHEADERS,0),MATCH($A2077,CLASSNAMEHEADERS,0))),(INDEX(ALLCLASSDATA,MATCH("LightMaster",CLASSFEATUREHEADERS,0),MATCH(($A2077 &amp; "Points"),CLASSNAMEHEADERS,0))),(IF("11"=(INDEX(ALLCLASSDATA,MATCH("LightExpert",CLASSFEATUREHEADERS,0),MATCH($A2077,CLASSNAMEHEADERS,0))),(INDEX(ALLCLASSDATA,MATCH("LightExpert",CLASSFEATUREHEADERS,0),MATCH(($A2077 &amp; "Points"),CLASSNAMEHEADERS,0))),(IF("11"=(INDEX(ALLCLASSDATA,MATCH("LightTrained",CLASSFEATUREHEADERS,0),MATCH($A2077,CLASSNAMEHEADERS,0))),(INDEX(ALLCLASSDATA,MATCH("LightTrained",CLASSFEATUREHEADERS,0),MATCH(($A2077 &amp; "Points"),CLASSNAMEHEADERS,0))),"")))))))))}</f>
        <v>LIGHTL11</v>
      </c>
      <c r="S2076" s="223"/>
      <c r="T2076" s="223" t="str">
        <f t="array" ref="T2076:T2077">{"LIGHTL13";((IF("13"=(INDEX(ALLCLASSDATA,MATCH("LightLegendary",CLASSFEATUREHEADERS,0),MATCH($A2077,CLASSNAMEHEADERS,0))),(INDEX(ALLCLASSDATA,MATCH("LightLegendary",CLASSFEATUREHEADERS,0),MATCH(($A2077 &amp; "Points"),CLASSNAMEHEADERS,0))),(IF("13"=(INDEX(ALLCLASSDATA,MATCH("LightMaster",CLASSFEATUREHEADERS,0),MATCH($A2077,CLASSNAMEHEADERS,0))),(INDEX(ALLCLASSDATA,MATCH("LightMaster",CLASSFEATUREHEADERS,0),MATCH(($A2077 &amp; "Points"),CLASSNAMEHEADERS,0))),(IF("13"=(INDEX(ALLCLASSDATA,MATCH("LightExpert",CLASSFEATUREHEADERS,0),MATCH($A2077,CLASSNAMEHEADERS,0))),(INDEX(ALLCLASSDATA,MATCH("LightExpert",CLASSFEATUREHEADERS,0),MATCH(($A2077 &amp; "Points"),CLASSNAMEHEADERS,0))),(IF("13"=(INDEX(ALLCLASSDATA,MATCH("LightTrained",CLASSFEATUREHEADERS,0),MATCH($A2077,CLASSNAMEHEADERS,0))),(INDEX(ALLCLASSDATA,MATCH("LightTrained",CLASSFEATUREHEADERS,0),MATCH(($A2077 &amp; "Points"),CLASSNAMEHEADERS,0))),"")))))))))}</f>
        <v>LIGHTL13</v>
      </c>
      <c r="U2076" s="223"/>
      <c r="V2076" s="223" t="str">
        <f t="array" ref="V2076:V2077">{"LIGHTL15";((IF("15"=(INDEX(ALLCLASSDATA,MATCH("LightLegendary",CLASSFEATUREHEADERS,0),MATCH($A2077,CLASSNAMEHEADERS,0))),(INDEX(ALLCLASSDATA,MATCH("LightLegendary",CLASSFEATUREHEADERS,0),MATCH(($A2077 &amp; "Points"),CLASSNAMEHEADERS,0))),(IF("15"=(INDEX(ALLCLASSDATA,MATCH("LightMaster",CLASSFEATUREHEADERS,0),MATCH($A2077,CLASSNAMEHEADERS,0))),(INDEX(ALLCLASSDATA,MATCH("LightMaster",CLASSFEATUREHEADERS,0),MATCH(($A2077 &amp; "Points"),CLASSNAMEHEADERS,0))),(IF("15"=(INDEX(ALLCLASSDATA,MATCH("LightExpert",CLASSFEATUREHEADERS,0),MATCH($A2077,CLASSNAMEHEADERS,0))),(INDEX(ALLCLASSDATA,MATCH("LightExpert",CLASSFEATUREHEADERS,0),MATCH(($A2077 &amp; "Points"),CLASSNAMEHEADERS,0))),(IF("15"=(INDEX(ALLCLASSDATA,MATCH("LightTrained",CLASSFEATUREHEADERS,0),MATCH($A2077,CLASSNAMEHEADERS,0))),(INDEX(ALLCLASSDATA,MATCH("LightTrained",CLASSFEATUREHEADERS,0),MATCH(($A2077 &amp; "Points"),CLASSNAMEHEADERS,0))),"")))))))))}</f>
        <v>LIGHTL15</v>
      </c>
      <c r="W2076" s="223"/>
      <c r="X2076" s="223" t="str">
        <f t="array" ref="X2076:X2077">{"LIGHTL17";((IF("17"=(INDEX(ALLCLASSDATA,MATCH("LightLegendary",CLASSFEATUREHEADERS,0),MATCH($A2077,CLASSNAMEHEADERS,0))),(INDEX(ALLCLASSDATA,MATCH("LightLegendary",CLASSFEATUREHEADERS,0),MATCH(($A2077 &amp; "Points"),CLASSNAMEHEADERS,0))),(IF("17"=(INDEX(ALLCLASSDATA,MATCH("LightMaster",CLASSFEATUREHEADERS,0),MATCH($A2077,CLASSNAMEHEADERS,0))),(INDEX(ALLCLASSDATA,MATCH("LightMaster",CLASSFEATUREHEADERS,0),MATCH(($A2077 &amp; "Points"),CLASSNAMEHEADERS,0))),(IF("17"=(INDEX(ALLCLASSDATA,MATCH("LightExpert",CLASSFEATUREHEADERS,0),MATCH($A2077,CLASSNAMEHEADERS,0))),(INDEX(ALLCLASSDATA,MATCH("LightExpert",CLASSFEATUREHEADERS,0),MATCH(($A2077 &amp; "Points"),CLASSNAMEHEADERS,0))),(IF("17"=(INDEX(ALLCLASSDATA,MATCH("LightTrained",CLASSFEATUREHEADERS,0),MATCH($A2077,CLASSNAMEHEADERS,0))),(INDEX(ALLCLASSDATA,MATCH("LightTrained",CLASSFEATUREHEADERS,0),MATCH(($A2077 &amp; "Points"),CLASSNAMEHEADERS,0))),"")))))))))}</f>
        <v>LIGHTL17</v>
      </c>
      <c r="Y2076" s="223"/>
      <c r="Z2076" s="223" t="str">
        <f t="array" ref="Z2076:Z2077">{"LIGHTL19";((IF("19"=(INDEX(ALLCLASSDATA,MATCH("LightLegendary",CLASSFEATUREHEADERS,0),MATCH($A2077,CLASSNAMEHEADERS,0))),(INDEX(ALLCLASSDATA,MATCH("LightLegendary",CLASSFEATUREHEADERS,0),MATCH(($A2077 &amp; "Points"),CLASSNAMEHEADERS,0))),(IF("19"=(INDEX(ALLCLASSDATA,MATCH("LightMaster",CLASSFEATUREHEADERS,0),MATCH($A2077,CLASSNAMEHEADERS,0))),(INDEX(ALLCLASSDATA,MATCH("LightMaster",CLASSFEATUREHEADERS,0),MATCH(($A2077 &amp; "Points"),CLASSNAMEHEADERS,0))),(IF("19"=(INDEX(ALLCLASSDATA,MATCH("LightExpert",CLASSFEATUREHEADERS,0),MATCH($A2077,CLASSNAMEHEADERS,0))),(INDEX(ALLCLASSDATA,MATCH("LightExpert",CLASSFEATUREHEADERS,0),MATCH(($A2077 &amp; "Points"),CLASSNAMEHEADERS,0))),(IF("19"=(INDEX(ALLCLASSDATA,MATCH("LightTrained",CLASSFEATUREHEADERS,0),MATCH($A2077,CLASSNAMEHEADERS,0))),(INDEX(ALLCLASSDATA,MATCH("LightTrained",CLASSFEATUREHEADERS,0),MATCH(($A2077 &amp; "Points"),CLASSNAMEHEADERS,0))),"")))))))))}</f>
        <v>LIGHTL19</v>
      </c>
      <c r="AA2076" s="223"/>
      <c r="AB2076" s="76" t="str">
        <f t="array" ref="AB2076:AB2077">{"LIGHT TOTAL";(IF(COUNTBLANK(G2077:AA2077)=17,"L",(IF(COUNTBLANK(G2077:AA2077)=18,"M",(IF(COUNTBLANK(G2077:AA2077)=19,"E",(IF(COUNTBLANK(G2077:AA2077)=20,"T",""))))))))}</f>
        <v>LIGHT TOTAL</v>
      </c>
      <c r="AC2076" s="76" t="str">
        <f t="array" ref="AC2076:AC2077">{"LIGHT TOTAL";(sum(G2077:AA2077))}</f>
        <v>LIGHT TOTAL</v>
      </c>
    </row>
    <row r="2077">
      <c r="A2077" s="48" t="s">
        <v>233</v>
      </c>
      <c r="B2077" s="48"/>
      <c r="C2077" s="48" t="s">
        <v>418</v>
      </c>
      <c r="D2077" s="48" t="s">
        <v>1900</v>
      </c>
      <c r="E2077" s="48" t="s">
        <v>77</v>
      </c>
      <c r="F2077" s="5" t="s">
        <v>603</v>
      </c>
      <c r="G2077" s="47" t="s">
        <v>603</v>
      </c>
      <c r="H2077" s="5" t="s">
        <v>603</v>
      </c>
      <c r="I2077" s="5"/>
      <c r="J2077" s="5" t="s">
        <v>603</v>
      </c>
      <c r="K2077" s="5"/>
      <c r="L2077" s="5" t="s">
        <v>603</v>
      </c>
      <c r="M2077" s="5"/>
      <c r="N2077" s="5" t="s">
        <v>603</v>
      </c>
      <c r="O2077" s="5"/>
      <c r="P2077" s="5" t="s">
        <v>603</v>
      </c>
      <c r="Q2077" s="5"/>
      <c r="R2077" s="5" t="s">
        <v>603</v>
      </c>
      <c r="S2077" s="5"/>
      <c r="T2077" s="5" t="s">
        <v>603</v>
      </c>
      <c r="U2077" s="5"/>
      <c r="V2077" s="5" t="s">
        <v>603</v>
      </c>
      <c r="W2077" s="5"/>
      <c r="X2077" s="5" t="s">
        <v>603</v>
      </c>
      <c r="Y2077" s="5"/>
      <c r="Z2077" s="5" t="s">
        <v>603</v>
      </c>
      <c r="AA2077" s="5"/>
      <c r="AB2077" s="5" t="s">
        <v>603</v>
      </c>
      <c r="AC2077" s="47">
        <v>0.0</v>
      </c>
    </row>
    <row r="2078" hidden="1">
      <c r="A2078" s="222" t="str">
        <f t="array" ref="A2078:A2079">{"FormulaRow37";(INDEX(CLASSLIST,A2005,1))}</f>
        <v>FormulaRow37</v>
      </c>
      <c r="B2078" s="77" t="s">
        <v>236</v>
      </c>
      <c r="C2078" s="222" t="str">
        <f t="array" ref="C2078:C2079">{"CLASSTYPE";((INDEX(ALLCLASSDATA,MATCH("ClassType",CLASSFEATUREHEADERS,0),MATCH($A2079,CLASSNAMEHEADERS,0))))}</f>
        <v>CLASSTYPE</v>
      </c>
      <c r="D2078" s="222" t="str">
        <f t="array" ref="D2078:D2079">{"DEFENSE";"Defense"}</f>
        <v>DEFENSE</v>
      </c>
      <c r="E2078" s="222" t="str">
        <f t="array" ref="E2078:E2079">{"MEDIUM";"Medium"}</f>
        <v>MEDIUM</v>
      </c>
      <c r="F2078" s="223" t="str">
        <f t="array" ref="F2078:F2079">{"MEDIUMINITIAL";((IF(H2079=10,"T",(IF(H2079=50,"E","")))))}</f>
        <v>MEDIUMINITIAL</v>
      </c>
      <c r="G2078" s="223" t="str">
        <f t="array" ref="G2078:G2079">{"MEDIUMINITIALPTS";((IF("00"=(INDEX(ALLCLASSDATA,MATCH("MediumLegendary",CLASSFEATUREHEADERS,0),MATCH($A2079,CLASSNAMEHEADERS,0))),(INDEX(ALLCLASSDATA,MATCH("MediumLegendary",CLASSFEATUREHEADERS,0),MATCH(($A2079 &amp; "Points"),CLASSNAMEHEADERS,0))),(IF("00"=(INDEX(ALLCLASSDATA,MATCH("MediumMaster",CLASSFEATUREHEADERS,0),MATCH($A2079,CLASSNAMEHEADERS,0))),(INDEX(ALLCLASSDATA,MATCH("MediumMaster",CLASSFEATUREHEADERS,0),MATCH(($A2079 &amp; "Points"),CLASSNAMEHEADERS,0))),(IF("00"=(INDEX(ALLCLASSDATA,MATCH("MediumExpert",CLASSFEATUREHEADERS,0),MATCH($A2079,CLASSNAMEHEADERS,0))),(INDEX(ALLCLASSDATA,MATCH("MediumExpert",CLASSFEATUREHEADERS,0),MATCH(($A2079 &amp; "Points"),CLASSNAMEHEADERS,0))),(IF("00"=(INDEX(ALLCLASSDATA,MATCH("MediumTrained",CLASSFEATUREHEADERS,0),MATCH($A2079,CLASSNAMEHEADERS,0))),(INDEX(ALLCLASSDATA,MATCH("MediumTrained",CLASSFEATUREHEADERS,0),MATCH(($A2079 &amp; "Points"),CLASSNAMEHEADERS,0))),"")))))))))}</f>
        <v>MEDIUMINITIALPTS</v>
      </c>
      <c r="H2078" s="223" t="str">
        <f t="array" ref="H2078:H2079">{"MEDIUML01";((IF("01"=(INDEX(ALLCLASSDATA,MATCH("MediumLegendary",CLASSFEATUREHEADERS,0),MATCH($A2079,CLASSNAMEHEADERS,0))),(INDEX(ALLCLASSDATA,MATCH("MediumLegendary",CLASSFEATUREHEADERS,0),MATCH(($A2079 &amp; "Points"),CLASSNAMEHEADERS,0))),(IF("01"=(INDEX(ALLCLASSDATA,MATCH("MediumMaster",CLASSFEATUREHEADERS,0),MATCH($A2079,CLASSNAMEHEADERS,0))),(INDEX(ALLCLASSDATA,MATCH("MediumMaster",CLASSFEATUREHEADERS,0),MATCH(($A2079 &amp; "Points"),CLASSNAMEHEADERS,0))),(IF("01"=(INDEX(ALLCLASSDATA,MATCH("MediumExpert",CLASSFEATUREHEADERS,0),MATCH($A2079,CLASSNAMEHEADERS,0))),(INDEX(ALLCLASSDATA,MATCH("MediumExpert",CLASSFEATUREHEADERS,0),MATCH(($A2079 &amp; "Points"),CLASSNAMEHEADERS,0))),(IF("01"=(INDEX(ALLCLASSDATA,MATCH("MediumTrained",CLASSFEATUREHEADERS,0),MATCH($A2079,CLASSNAMEHEADERS,0))),(INDEX(ALLCLASSDATA,MATCH("MediumTrained",CLASSFEATUREHEADERS,0),MATCH(($A2079 &amp; "Points"),CLASSNAMEHEADERS,0))),"")))))))))}</f>
        <v>MEDIUML01</v>
      </c>
      <c r="I2078" s="223"/>
      <c r="J2078" s="223" t="str">
        <f t="array" ref="J2078:J2079">{"MEDIUML03";((IF("03"=(INDEX(ALLCLASSDATA,MATCH("MediumLegendary",CLASSFEATUREHEADERS,0),MATCH($A2079,CLASSNAMEHEADERS,0))),(INDEX(ALLCLASSDATA,MATCH("MediumLegendary",CLASSFEATUREHEADERS,0),MATCH(($A2079 &amp; "Points"),CLASSNAMEHEADERS,0))),(IF("03"=(INDEX(ALLCLASSDATA,MATCH("MediumMaster",CLASSFEATUREHEADERS,0),MATCH($A2079,CLASSNAMEHEADERS,0))),(INDEX(ALLCLASSDATA,MATCH("MediumMaster",CLASSFEATUREHEADERS,0),MATCH(($A2079 &amp; "Points"),CLASSNAMEHEADERS,0))),(IF("03"=(INDEX(ALLCLASSDATA,MATCH("MediumExpert",CLASSFEATUREHEADERS,0),MATCH($A2079,CLASSNAMEHEADERS,0))),(INDEX(ALLCLASSDATA,MATCH("MediumExpert",CLASSFEATUREHEADERS,0),MATCH(($A2079 &amp; "Points"),CLASSNAMEHEADERS,0))),(IF("03"=(INDEX(ALLCLASSDATA,MATCH("MediumTrained",CLASSFEATUREHEADERS,0),MATCH($A2079,CLASSNAMEHEADERS,0))),(INDEX(ALLCLASSDATA,MATCH("MediumTrained",CLASSFEATUREHEADERS,0),MATCH(($A2079 &amp; "Points"),CLASSNAMEHEADERS,0))),"")))))))))}</f>
        <v>MEDIUML03</v>
      </c>
      <c r="K2078" s="223"/>
      <c r="L2078" s="223" t="str">
        <f t="array" ref="L2078:L2079">{"MEDIUML05";((IF("05"=(INDEX(ALLCLASSDATA,MATCH("MediumLegendary",CLASSFEATUREHEADERS,0),MATCH($A2079,CLASSNAMEHEADERS,0))),(INDEX(ALLCLASSDATA,MATCH("MediumLegendary",CLASSFEATUREHEADERS,0),MATCH(($A2079 &amp; "Points"),CLASSNAMEHEADERS,0))),(IF("05"=(INDEX(ALLCLASSDATA,MATCH("MediumMaster",CLASSFEATUREHEADERS,0),MATCH($A2079,CLASSNAMEHEADERS,0))),(INDEX(ALLCLASSDATA,MATCH("MediumMaster",CLASSFEATUREHEADERS,0),MATCH(($A2079 &amp; "Points"),CLASSNAMEHEADERS,0))),(IF("05"=(INDEX(ALLCLASSDATA,MATCH("MediumExpert",CLASSFEATUREHEADERS,0),MATCH($A2079,CLASSNAMEHEADERS,0))),(INDEX(ALLCLASSDATA,MATCH("MediumExpert",CLASSFEATUREHEADERS,0),MATCH(($A2079 &amp; "Points"),CLASSNAMEHEADERS,0))),(IF("05"=(INDEX(ALLCLASSDATA,MATCH("MediumTrained",CLASSFEATUREHEADERS,0),MATCH($A2079,CLASSNAMEHEADERS,0))),(INDEX(ALLCLASSDATA,MATCH("MediumTrained",CLASSFEATUREHEADERS,0),MATCH(($A2079 &amp; "Points"),CLASSNAMEHEADERS,0))),"")))))))))}</f>
        <v>MEDIUML05</v>
      </c>
      <c r="M2078" s="223"/>
      <c r="N2078" s="223" t="str">
        <f t="array" ref="N2078:N2079">{"MEDIUML07";((IF("07"=(INDEX(ALLCLASSDATA,MATCH("MediumLegendary",CLASSFEATUREHEADERS,0),MATCH($A2079,CLASSNAMEHEADERS,0))),(INDEX(ALLCLASSDATA,MATCH("MediumLegendary",CLASSFEATUREHEADERS,0),MATCH(($A2079 &amp; "Points"),CLASSNAMEHEADERS,0))),(IF("07"=(INDEX(ALLCLASSDATA,MATCH("MediumMaster",CLASSFEATUREHEADERS,0),MATCH($A2079,CLASSNAMEHEADERS,0))),(INDEX(ALLCLASSDATA,MATCH("MediumMaster",CLASSFEATUREHEADERS,0),MATCH(($A2079 &amp; "Points"),CLASSNAMEHEADERS,0))),(IF("07"=(INDEX(ALLCLASSDATA,MATCH("MediumExpert",CLASSFEATUREHEADERS,0),MATCH($A2079,CLASSNAMEHEADERS,0))),(INDEX(ALLCLASSDATA,MATCH("MediumExpert",CLASSFEATUREHEADERS,0),MATCH(($A2079 &amp; "Points"),CLASSNAMEHEADERS,0))),(IF("07"=(INDEX(ALLCLASSDATA,MATCH("MediumTrained",CLASSFEATUREHEADERS,0),MATCH($A2079,CLASSNAMEHEADERS,0))),(INDEX(ALLCLASSDATA,MATCH("MediumTrained",CLASSFEATUREHEADERS,0),MATCH(($A2079 &amp; "Points"),CLASSNAMEHEADERS,0))),"")))))))))}</f>
        <v>MEDIUML07</v>
      </c>
      <c r="O2078" s="223"/>
      <c r="P2078" s="223" t="str">
        <f t="array" ref="P2078:P2079">{"MEDIUML09";((IF("09"=(INDEX(ALLCLASSDATA,MATCH("MediumLegendary",CLASSFEATUREHEADERS,0),MATCH($A2079,CLASSNAMEHEADERS,0))),(INDEX(ALLCLASSDATA,MATCH("MediumLegendary",CLASSFEATUREHEADERS,0),MATCH(($A2079 &amp; "Points"),CLASSNAMEHEADERS,0))),(IF("09"=(INDEX(ALLCLASSDATA,MATCH("MediumMaster",CLASSFEATUREHEADERS,0),MATCH($A2079,CLASSNAMEHEADERS,0))),(INDEX(ALLCLASSDATA,MATCH("MediumMaster",CLASSFEATUREHEADERS,0),MATCH(($A2079 &amp; "Points"),CLASSNAMEHEADERS,0))),(IF("09"=(INDEX(ALLCLASSDATA,MATCH("MediumExpert",CLASSFEATUREHEADERS,0),MATCH($A2079,CLASSNAMEHEADERS,0))),(INDEX(ALLCLASSDATA,MATCH("MediumExpert",CLASSFEATUREHEADERS,0),MATCH(($A2079 &amp; "Points"),CLASSNAMEHEADERS,0))),(IF("09"=(INDEX(ALLCLASSDATA,MATCH("MediumTrained",CLASSFEATUREHEADERS,0),MATCH($A2079,CLASSNAMEHEADERS,0))),(INDEX(ALLCLASSDATA,MATCH("MediumTrained",CLASSFEATUREHEADERS,0),MATCH(($A2079 &amp; "Points"),CLASSNAMEHEADERS,0))),"")))))))))}</f>
        <v>MEDIUML09</v>
      </c>
      <c r="Q2078" s="223"/>
      <c r="R2078" s="223" t="str">
        <f t="array" ref="R2078:R2079">{"MEDIUML11";((IF("11"=(INDEX(ALLCLASSDATA,MATCH("MediumLegendary",CLASSFEATUREHEADERS,0),MATCH($A2079,CLASSNAMEHEADERS,0))),(INDEX(ALLCLASSDATA,MATCH("MediumLegendary",CLASSFEATUREHEADERS,0),MATCH(($A2079 &amp; "Points"),CLASSNAMEHEADERS,0))),(IF("11"=(INDEX(ALLCLASSDATA,MATCH("MediumMaster",CLASSFEATUREHEADERS,0),MATCH($A2079,CLASSNAMEHEADERS,0))),(INDEX(ALLCLASSDATA,MATCH("MediumMaster",CLASSFEATUREHEADERS,0),MATCH(($A2079 &amp; "Points"),CLASSNAMEHEADERS,0))),(IF("11"=(INDEX(ALLCLASSDATA,MATCH("MediumExpert",CLASSFEATUREHEADERS,0),MATCH($A2079,CLASSNAMEHEADERS,0))),(INDEX(ALLCLASSDATA,MATCH("MediumExpert",CLASSFEATUREHEADERS,0),MATCH(($A2079 &amp; "Points"),CLASSNAMEHEADERS,0))),(IF("11"=(INDEX(ALLCLASSDATA,MATCH("MediumTrained",CLASSFEATUREHEADERS,0),MATCH($A2079,CLASSNAMEHEADERS,0))),(INDEX(ALLCLASSDATA,MATCH("MediumTrained",CLASSFEATUREHEADERS,0),MATCH(($A2079 &amp; "Points"),CLASSNAMEHEADERS,0))),"")))))))))}</f>
        <v>MEDIUML11</v>
      </c>
      <c r="S2078" s="223"/>
      <c r="T2078" s="223" t="str">
        <f t="array" ref="T2078:T2079">{"MEDIUML13";((IF("13"=(INDEX(ALLCLASSDATA,MATCH("MediumLegendary",CLASSFEATUREHEADERS,0),MATCH($A2079,CLASSNAMEHEADERS,0))),(INDEX(ALLCLASSDATA,MATCH("MediumLegendary",CLASSFEATUREHEADERS,0),MATCH(($A2079 &amp; "Points"),CLASSNAMEHEADERS,0))),(IF("13"=(INDEX(ALLCLASSDATA,MATCH("MediumMaster",CLASSFEATUREHEADERS,0),MATCH($A2079,CLASSNAMEHEADERS,0))),(INDEX(ALLCLASSDATA,MATCH("MediumMaster",CLASSFEATUREHEADERS,0),MATCH(($A2079 &amp; "Points"),CLASSNAMEHEADERS,0))),(IF("13"=(INDEX(ALLCLASSDATA,MATCH("MediumExpert",CLASSFEATUREHEADERS,0),MATCH($A2079,CLASSNAMEHEADERS,0))),(INDEX(ALLCLASSDATA,MATCH("MediumExpert",CLASSFEATUREHEADERS,0),MATCH(($A2079 &amp; "Points"),CLASSNAMEHEADERS,0))),(IF("13"=(INDEX(ALLCLASSDATA,MATCH("MediumTrained",CLASSFEATUREHEADERS,0),MATCH($A2079,CLASSNAMEHEADERS,0))),(INDEX(ALLCLASSDATA,MATCH("MediumTrained",CLASSFEATUREHEADERS,0),MATCH(($A2079 &amp; "Points"),CLASSNAMEHEADERS,0))),"")))))))))}</f>
        <v>MEDIUML13</v>
      </c>
      <c r="U2078" s="223"/>
      <c r="V2078" s="223" t="str">
        <f t="array" ref="V2078:V2079">{"MEDIUML15";((IF("15"=(INDEX(ALLCLASSDATA,MATCH("MediumLegendary",CLASSFEATUREHEADERS,0),MATCH($A2079,CLASSNAMEHEADERS,0))),(INDEX(ALLCLASSDATA,MATCH("MediumLegendary",CLASSFEATUREHEADERS,0),MATCH(($A2079 &amp; "Points"),CLASSNAMEHEADERS,0))),(IF("15"=(INDEX(ALLCLASSDATA,MATCH("MediumMaster",CLASSFEATUREHEADERS,0),MATCH($A2079,CLASSNAMEHEADERS,0))),(INDEX(ALLCLASSDATA,MATCH("MediumMaster",CLASSFEATUREHEADERS,0),MATCH(($A2079 &amp; "Points"),CLASSNAMEHEADERS,0))),(IF("15"=(INDEX(ALLCLASSDATA,MATCH("MediumExpert",CLASSFEATUREHEADERS,0),MATCH($A2079,CLASSNAMEHEADERS,0))),(INDEX(ALLCLASSDATA,MATCH("MediumExpert",CLASSFEATUREHEADERS,0),MATCH(($A2079 &amp; "Points"),CLASSNAMEHEADERS,0))),(IF("15"=(INDEX(ALLCLASSDATA,MATCH("MediumTrained",CLASSFEATUREHEADERS,0),MATCH($A2079,CLASSNAMEHEADERS,0))),(INDEX(ALLCLASSDATA,MATCH("MediumTrained",CLASSFEATUREHEADERS,0),MATCH(($A2079 &amp; "Points"),CLASSNAMEHEADERS,0))),"")))))))))}</f>
        <v>MEDIUML15</v>
      </c>
      <c r="W2078" s="223"/>
      <c r="X2078" s="223" t="str">
        <f t="array" ref="X2078:X2079">{"MEDIUML17";((IF("17"=(INDEX(ALLCLASSDATA,MATCH("MediumLegendary",CLASSFEATUREHEADERS,0),MATCH($A2079,CLASSNAMEHEADERS,0))),(INDEX(ALLCLASSDATA,MATCH("MediumLegendary",CLASSFEATUREHEADERS,0),MATCH(($A2079 &amp; "Points"),CLASSNAMEHEADERS,0))),(IF("17"=(INDEX(ALLCLASSDATA,MATCH("MediumMaster",CLASSFEATUREHEADERS,0),MATCH($A2079,CLASSNAMEHEADERS,0))),(INDEX(ALLCLASSDATA,MATCH("MediumMaster",CLASSFEATUREHEADERS,0),MATCH(($A2079 &amp; "Points"),CLASSNAMEHEADERS,0))),(IF("17"=(INDEX(ALLCLASSDATA,MATCH("MediumExpert",CLASSFEATUREHEADERS,0),MATCH($A2079,CLASSNAMEHEADERS,0))),(INDEX(ALLCLASSDATA,MATCH("MediumExpert",CLASSFEATUREHEADERS,0),MATCH(($A2079 &amp; "Points"),CLASSNAMEHEADERS,0))),(IF("17"=(INDEX(ALLCLASSDATA,MATCH("MediumTrained",CLASSFEATUREHEADERS,0),MATCH($A2079,CLASSNAMEHEADERS,0))),(INDEX(ALLCLASSDATA,MATCH("MediumTrained",CLASSFEATUREHEADERS,0),MATCH(($A2079 &amp; "Points"),CLASSNAMEHEADERS,0))),"")))))))))}</f>
        <v>MEDIUML17</v>
      </c>
      <c r="Y2078" s="223"/>
      <c r="Z2078" s="223" t="str">
        <f t="array" ref="Z2078:Z2079">{"MEDIUML19";((IF("19"=(INDEX(ALLCLASSDATA,MATCH("MediumLegendary",CLASSFEATUREHEADERS,0),MATCH($A2079,CLASSNAMEHEADERS,0))),(INDEX(ALLCLASSDATA,MATCH("MediumLegendary",CLASSFEATUREHEADERS,0),MATCH(($A2079 &amp; "Points"),CLASSNAMEHEADERS,0))),(IF("19"=(INDEX(ALLCLASSDATA,MATCH("MediumMaster",CLASSFEATUREHEADERS,0),MATCH($A2079,CLASSNAMEHEADERS,0))),(INDEX(ALLCLASSDATA,MATCH("MediumMaster",CLASSFEATUREHEADERS,0),MATCH(($A2079 &amp; "Points"),CLASSNAMEHEADERS,0))),(IF("19"=(INDEX(ALLCLASSDATA,MATCH("MediumExpert",CLASSFEATUREHEADERS,0),MATCH($A2079,CLASSNAMEHEADERS,0))),(INDEX(ALLCLASSDATA,MATCH("MediumExpert",CLASSFEATUREHEADERS,0),MATCH(($A2079 &amp; "Points"),CLASSNAMEHEADERS,0))),(IF("19"=(INDEX(ALLCLASSDATA,MATCH("MediumTrained",CLASSFEATUREHEADERS,0),MATCH($A2079,CLASSNAMEHEADERS,0))),(INDEX(ALLCLASSDATA,MATCH("MediumTrained",CLASSFEATUREHEADERS,0),MATCH(($A2079 &amp; "Points"),CLASSNAMEHEADERS,0))),"")))))))))}</f>
        <v>MEDIUML19</v>
      </c>
      <c r="AA2078" s="223"/>
      <c r="AB2078" s="76" t="str">
        <f t="array" ref="AB2078:AB2079">{"MEDIUM TOTAL";(IF(COUNTBLANK(G2079:AA2079)=17,"L",(IF(COUNTBLANK(G2079:AA2079)=18,"M",(IF(COUNTBLANK(G2079:AA2079)=19,"E",(IF(COUNTBLANK(G2079:AA2079)=20,"T",""))))))))}</f>
        <v>MEDIUM TOTAL</v>
      </c>
      <c r="AC2078" s="76" t="str">
        <f t="array" ref="AC2078:AC2079">{"MEDIUM TOTAL";(sum(G2079:AA2079))}</f>
        <v>MEDIUM TOTAL</v>
      </c>
    </row>
    <row r="2079">
      <c r="A2079" s="48" t="s">
        <v>233</v>
      </c>
      <c r="B2079" s="48"/>
      <c r="C2079" s="48" t="s">
        <v>418</v>
      </c>
      <c r="D2079" s="48" t="s">
        <v>1900</v>
      </c>
      <c r="E2079" s="48" t="s">
        <v>76</v>
      </c>
      <c r="F2079" s="5" t="s">
        <v>603</v>
      </c>
      <c r="G2079" s="47" t="s">
        <v>603</v>
      </c>
      <c r="H2079" s="5" t="s">
        <v>603</v>
      </c>
      <c r="I2079" s="5"/>
      <c r="J2079" s="5" t="s">
        <v>603</v>
      </c>
      <c r="K2079" s="5"/>
      <c r="L2079" s="5" t="s">
        <v>603</v>
      </c>
      <c r="M2079" s="5"/>
      <c r="N2079" s="5" t="s">
        <v>603</v>
      </c>
      <c r="O2079" s="5"/>
      <c r="P2079" s="5" t="s">
        <v>603</v>
      </c>
      <c r="Q2079" s="5"/>
      <c r="R2079" s="5" t="s">
        <v>603</v>
      </c>
      <c r="S2079" s="5"/>
      <c r="T2079" s="5" t="s">
        <v>603</v>
      </c>
      <c r="U2079" s="5"/>
      <c r="V2079" s="5" t="s">
        <v>603</v>
      </c>
      <c r="W2079" s="5"/>
      <c r="X2079" s="5" t="s">
        <v>603</v>
      </c>
      <c r="Y2079" s="5"/>
      <c r="Z2079" s="5" t="s">
        <v>603</v>
      </c>
      <c r="AA2079" s="5"/>
      <c r="AB2079" s="5" t="s">
        <v>603</v>
      </c>
      <c r="AC2079" s="47">
        <v>0.0</v>
      </c>
    </row>
    <row r="2080" hidden="1">
      <c r="A2080" s="222" t="str">
        <f t="array" ref="A2080:A2081">{"FormulaRow38";(INDEX(CLASSLIST,A2005,1))}</f>
        <v>FormulaRow38</v>
      </c>
      <c r="B2080" s="77" t="s">
        <v>236</v>
      </c>
      <c r="C2080" s="222" t="str">
        <f t="array" ref="C2080:C2081">{"CLASSTYPE";((INDEX(ALLCLASSDATA,MATCH("ClassType",CLASSFEATUREHEADERS,0),MATCH($A2081,CLASSNAMEHEADERS,0))))}</f>
        <v>CLASSTYPE</v>
      </c>
      <c r="D2080" s="222" t="str">
        <f t="array" ref="D2080:D2081">{"DEFENSE";"Defense"}</f>
        <v>DEFENSE</v>
      </c>
      <c r="E2080" s="222" t="str">
        <f t="array" ref="E2080:E2081">{"HEAVY";"Heavy"}</f>
        <v>HEAVY</v>
      </c>
      <c r="F2080" s="223" t="str">
        <f t="array" ref="F2080:F2081">{"HEAVYINITIAL";((IF(H2081=10,"T",(IF(H2081=50,"E","")))))}</f>
        <v>HEAVYINITIAL</v>
      </c>
      <c r="G2080" s="223" t="str">
        <f t="array" ref="G2080:G2081">{"HEAVYINITIALPTS";((IF("00"=(INDEX(ALLCLASSDATA,MATCH("HeavyLegendary",CLASSFEATUREHEADERS,0),MATCH($A2081,CLASSNAMEHEADERS,0))),(INDEX(ALLCLASSDATA,MATCH("HeavyLegendary",CLASSFEATUREHEADERS,0),MATCH(($A2081 &amp; "Points"),CLASSNAMEHEADERS,0))),(IF("00"=(INDEX(ALLCLASSDATA,MATCH("HeavyMaster",CLASSFEATUREHEADERS,0),MATCH($A2081,CLASSNAMEHEADERS,0))),(INDEX(ALLCLASSDATA,MATCH("HeavyMaster",CLASSFEATUREHEADERS,0),MATCH(($A2081 &amp; "Points"),CLASSNAMEHEADERS,0))),(IF("00"=(INDEX(ALLCLASSDATA,MATCH("HeavyExpert",CLASSFEATUREHEADERS,0),MATCH($A2081,CLASSNAMEHEADERS,0))),(INDEX(ALLCLASSDATA,MATCH("HeavyExpert",CLASSFEATUREHEADERS,0),MATCH(($A2081 &amp; "Points"),CLASSNAMEHEADERS,0))),(IF("00"=(INDEX(ALLCLASSDATA,MATCH("HeavyTrained",CLASSFEATUREHEADERS,0),MATCH($A2081,CLASSNAMEHEADERS,0))),(INDEX(ALLCLASSDATA,MATCH("HeavyTrained",CLASSFEATUREHEADERS,0),MATCH(($A2081 &amp; "Points"),CLASSNAMEHEADERS,0))),"")))))))))}</f>
        <v>HEAVYINITIALPTS</v>
      </c>
      <c r="H2080" s="223" t="str">
        <f t="array" ref="H2080:H2081">{"HEAVYL01";((IF("01"=(INDEX(ALLCLASSDATA,MATCH("HeavyLegendary",CLASSFEATUREHEADERS,0),MATCH($A2081,CLASSNAMEHEADERS,0))),(INDEX(ALLCLASSDATA,MATCH("HeavyLegendary",CLASSFEATUREHEADERS,0),MATCH(($A2081 &amp; "Points"),CLASSNAMEHEADERS,0))),(IF("01"=(INDEX(ALLCLASSDATA,MATCH("HeavyMaster",CLASSFEATUREHEADERS,0),MATCH($A2081,CLASSNAMEHEADERS,0))),(INDEX(ALLCLASSDATA,MATCH("HeavyMaster",CLASSFEATUREHEADERS,0),MATCH(($A2081 &amp; "Points"),CLASSNAMEHEADERS,0))),(IF("01"=(INDEX(ALLCLASSDATA,MATCH("HeavyExpert",CLASSFEATUREHEADERS,0),MATCH($A2081,CLASSNAMEHEADERS,0))),(INDEX(ALLCLASSDATA,MATCH("HeavyExpert",CLASSFEATUREHEADERS,0),MATCH(($A2081 &amp; "Points"),CLASSNAMEHEADERS,0))),(IF("01"=(INDEX(ALLCLASSDATA,MATCH("HeavyTrained",CLASSFEATUREHEADERS,0),MATCH($A2081,CLASSNAMEHEADERS,0))),(INDEX(ALLCLASSDATA,MATCH("HeavyTrained",CLASSFEATUREHEADERS,0),MATCH(($A2081 &amp; "Points"),CLASSNAMEHEADERS,0))),"")))))))))}</f>
        <v>HEAVYL01</v>
      </c>
      <c r="I2080" s="223"/>
      <c r="J2080" s="223" t="str">
        <f t="array" ref="J2080:J2081">{"HEAVYL03";((IF("03"=(INDEX(ALLCLASSDATA,MATCH("HeavyLegendary",CLASSFEATUREHEADERS,0),MATCH($A2081,CLASSNAMEHEADERS,0))),(INDEX(ALLCLASSDATA,MATCH("HeavyLegendary",CLASSFEATUREHEADERS,0),MATCH(($A2081 &amp; "Points"),CLASSNAMEHEADERS,0))),(IF("03"=(INDEX(ALLCLASSDATA,MATCH("HeavyMaster",CLASSFEATUREHEADERS,0),MATCH($A2081,CLASSNAMEHEADERS,0))),(INDEX(ALLCLASSDATA,MATCH("HeavyMaster",CLASSFEATUREHEADERS,0),MATCH(($A2081 &amp; "Points"),CLASSNAMEHEADERS,0))),(IF("03"=(INDEX(ALLCLASSDATA,MATCH("HeavyExpert",CLASSFEATUREHEADERS,0),MATCH($A2081,CLASSNAMEHEADERS,0))),(INDEX(ALLCLASSDATA,MATCH("HeavyExpert",CLASSFEATUREHEADERS,0),MATCH(($A2081 &amp; "Points"),CLASSNAMEHEADERS,0))),(IF("03"=(INDEX(ALLCLASSDATA,MATCH("HeavyTrained",CLASSFEATUREHEADERS,0),MATCH($A2081,CLASSNAMEHEADERS,0))),(INDEX(ALLCLASSDATA,MATCH("HeavyTrained",CLASSFEATUREHEADERS,0),MATCH(($A2081 &amp; "Points"),CLASSNAMEHEADERS,0))),"")))))))))}</f>
        <v>HEAVYL03</v>
      </c>
      <c r="K2080" s="223"/>
      <c r="L2080" s="223" t="str">
        <f t="array" ref="L2080:L2081">{"HEAVYL05";((IF("05"=(INDEX(ALLCLASSDATA,MATCH("HeavyLegendary",CLASSFEATUREHEADERS,0),MATCH($A2081,CLASSNAMEHEADERS,0))),(INDEX(ALLCLASSDATA,MATCH("HeavyLegendary",CLASSFEATUREHEADERS,0),MATCH(($A2081 &amp; "Points"),CLASSNAMEHEADERS,0))),(IF("05"=(INDEX(ALLCLASSDATA,MATCH("HeavyMaster",CLASSFEATUREHEADERS,0),MATCH($A2081,CLASSNAMEHEADERS,0))),(INDEX(ALLCLASSDATA,MATCH("HeavyMaster",CLASSFEATUREHEADERS,0),MATCH(($A2081 &amp; "Points"),CLASSNAMEHEADERS,0))),(IF("05"=(INDEX(ALLCLASSDATA,MATCH("HeavyExpert",CLASSFEATUREHEADERS,0),MATCH($A2081,CLASSNAMEHEADERS,0))),(INDEX(ALLCLASSDATA,MATCH("HeavyExpert",CLASSFEATUREHEADERS,0),MATCH(($A2081 &amp; "Points"),CLASSNAMEHEADERS,0))),(IF("05"=(INDEX(ALLCLASSDATA,MATCH("HeavyTrained",CLASSFEATUREHEADERS,0),MATCH($A2081,CLASSNAMEHEADERS,0))),(INDEX(ALLCLASSDATA,MATCH("HeavyTrained",CLASSFEATUREHEADERS,0),MATCH(($A2081 &amp; "Points"),CLASSNAMEHEADERS,0))),"")))))))))}</f>
        <v>HEAVYL05</v>
      </c>
      <c r="M2080" s="223"/>
      <c r="N2080" s="223" t="str">
        <f t="array" ref="N2080:N2081">{"HEAVYL07";((IF("07"=(INDEX(ALLCLASSDATA,MATCH("HeavyLegendary",CLASSFEATUREHEADERS,0),MATCH($A2081,CLASSNAMEHEADERS,0))),(INDEX(ALLCLASSDATA,MATCH("HeavyLegendary",CLASSFEATUREHEADERS,0),MATCH(($A2081 &amp; "Points"),CLASSNAMEHEADERS,0))),(IF("07"=(INDEX(ALLCLASSDATA,MATCH("HeavyMaster",CLASSFEATUREHEADERS,0),MATCH($A2081,CLASSNAMEHEADERS,0))),(INDEX(ALLCLASSDATA,MATCH("HeavyMaster",CLASSFEATUREHEADERS,0),MATCH(($A2081 &amp; "Points"),CLASSNAMEHEADERS,0))),(IF("07"=(INDEX(ALLCLASSDATA,MATCH("HeavyExpert",CLASSFEATUREHEADERS,0),MATCH($A2081,CLASSNAMEHEADERS,0))),(INDEX(ALLCLASSDATA,MATCH("HeavyExpert",CLASSFEATUREHEADERS,0),MATCH(($A2081 &amp; "Points"),CLASSNAMEHEADERS,0))),(IF("07"=(INDEX(ALLCLASSDATA,MATCH("HeavyTrained",CLASSFEATUREHEADERS,0),MATCH($A2081,CLASSNAMEHEADERS,0))),(INDEX(ALLCLASSDATA,MATCH("HeavyTrained",CLASSFEATUREHEADERS,0),MATCH(($A2081 &amp; "Points"),CLASSNAMEHEADERS,0))),"")))))))))}</f>
        <v>HEAVYL07</v>
      </c>
      <c r="O2080" s="223"/>
      <c r="P2080" s="223" t="str">
        <f t="array" ref="P2080:P2081">{"HEAVYL09";((IF("09"=(INDEX(ALLCLASSDATA,MATCH("HeavyLegendary",CLASSFEATUREHEADERS,0),MATCH($A2081,CLASSNAMEHEADERS,0))),(INDEX(ALLCLASSDATA,MATCH("HeavyLegendary",CLASSFEATUREHEADERS,0),MATCH(($A2081 &amp; "Points"),CLASSNAMEHEADERS,0))),(IF("09"=(INDEX(ALLCLASSDATA,MATCH("HeavyMaster",CLASSFEATUREHEADERS,0),MATCH($A2081,CLASSNAMEHEADERS,0))),(INDEX(ALLCLASSDATA,MATCH("HeavyMaster",CLASSFEATUREHEADERS,0),MATCH(($A2081 &amp; "Points"),CLASSNAMEHEADERS,0))),(IF("09"=(INDEX(ALLCLASSDATA,MATCH("HeavyExpert",CLASSFEATUREHEADERS,0),MATCH($A2081,CLASSNAMEHEADERS,0))),(INDEX(ALLCLASSDATA,MATCH("HeavyExpert",CLASSFEATUREHEADERS,0),MATCH(($A2081 &amp; "Points"),CLASSNAMEHEADERS,0))),(IF("09"=(INDEX(ALLCLASSDATA,MATCH("HeavyTrained",CLASSFEATUREHEADERS,0),MATCH($A2081,CLASSNAMEHEADERS,0))),(INDEX(ALLCLASSDATA,MATCH("HeavyTrained",CLASSFEATUREHEADERS,0),MATCH(($A2081 &amp; "Points"),CLASSNAMEHEADERS,0))),"")))))))))}</f>
        <v>HEAVYL09</v>
      </c>
      <c r="Q2080" s="223"/>
      <c r="R2080" s="223" t="str">
        <f t="array" ref="R2080:R2081">{"HEAVYL11";((IF("11"=(INDEX(ALLCLASSDATA,MATCH("HeavyLegendary",CLASSFEATUREHEADERS,0),MATCH($A2081,CLASSNAMEHEADERS,0))),(INDEX(ALLCLASSDATA,MATCH("HeavyLegendary",CLASSFEATUREHEADERS,0),MATCH(($A2081 &amp; "Points"),CLASSNAMEHEADERS,0))),(IF("11"=(INDEX(ALLCLASSDATA,MATCH("HeavyMaster",CLASSFEATUREHEADERS,0),MATCH($A2081,CLASSNAMEHEADERS,0))),(INDEX(ALLCLASSDATA,MATCH("HeavyMaster",CLASSFEATUREHEADERS,0),MATCH(($A2081 &amp; "Points"),CLASSNAMEHEADERS,0))),(IF("11"=(INDEX(ALLCLASSDATA,MATCH("HeavyExpert",CLASSFEATUREHEADERS,0),MATCH($A2081,CLASSNAMEHEADERS,0))),(INDEX(ALLCLASSDATA,MATCH("HeavyExpert",CLASSFEATUREHEADERS,0),MATCH(($A2081 &amp; "Points"),CLASSNAMEHEADERS,0))),(IF("11"=(INDEX(ALLCLASSDATA,MATCH("HeavyTrained",CLASSFEATUREHEADERS,0),MATCH($A2081,CLASSNAMEHEADERS,0))),(INDEX(ALLCLASSDATA,MATCH("HeavyTrained",CLASSFEATUREHEADERS,0),MATCH(($A2081 &amp; "Points"),CLASSNAMEHEADERS,0))),"")))))))))}</f>
        <v>HEAVYL11</v>
      </c>
      <c r="S2080" s="223"/>
      <c r="T2080" s="223" t="str">
        <f t="array" ref="T2080:T2081">{"HEAVYL13";((IF("13"=(INDEX(ALLCLASSDATA,MATCH("HeavyLegendary",CLASSFEATUREHEADERS,0),MATCH($A2081,CLASSNAMEHEADERS,0))),(INDEX(ALLCLASSDATA,MATCH("HeavyLegendary",CLASSFEATUREHEADERS,0),MATCH(($A2081 &amp; "Points"),CLASSNAMEHEADERS,0))),(IF("13"=(INDEX(ALLCLASSDATA,MATCH("HeavyMaster",CLASSFEATUREHEADERS,0),MATCH($A2081,CLASSNAMEHEADERS,0))),(INDEX(ALLCLASSDATA,MATCH("HeavyMaster",CLASSFEATUREHEADERS,0),MATCH(($A2081 &amp; "Points"),CLASSNAMEHEADERS,0))),(IF("13"=(INDEX(ALLCLASSDATA,MATCH("HeavyExpert",CLASSFEATUREHEADERS,0),MATCH($A2081,CLASSNAMEHEADERS,0))),(INDEX(ALLCLASSDATA,MATCH("HeavyExpert",CLASSFEATUREHEADERS,0),MATCH(($A2081 &amp; "Points"),CLASSNAMEHEADERS,0))),(IF("13"=(INDEX(ALLCLASSDATA,MATCH("HeavyTrained",CLASSFEATUREHEADERS,0),MATCH($A2081,CLASSNAMEHEADERS,0))),(INDEX(ALLCLASSDATA,MATCH("HeavyTrained",CLASSFEATUREHEADERS,0),MATCH(($A2081 &amp; "Points"),CLASSNAMEHEADERS,0))),"")))))))))}</f>
        <v>HEAVYL13</v>
      </c>
      <c r="U2080" s="223"/>
      <c r="V2080" s="223" t="str">
        <f t="array" ref="V2080:V2081">{"HEAVYL15";((IF("15"=(INDEX(ALLCLASSDATA,MATCH("HeavyLegendary",CLASSFEATUREHEADERS,0),MATCH($A2081,CLASSNAMEHEADERS,0))),(INDEX(ALLCLASSDATA,MATCH("HeavyLegendary",CLASSFEATUREHEADERS,0),MATCH(($A2081 &amp; "Points"),CLASSNAMEHEADERS,0))),(IF("15"=(INDEX(ALLCLASSDATA,MATCH("HeavyMaster",CLASSFEATUREHEADERS,0),MATCH($A2081,CLASSNAMEHEADERS,0))),(INDEX(ALLCLASSDATA,MATCH("HeavyMaster",CLASSFEATUREHEADERS,0),MATCH(($A2081 &amp; "Points"),CLASSNAMEHEADERS,0))),(IF("15"=(INDEX(ALLCLASSDATA,MATCH("HeavyExpert",CLASSFEATUREHEADERS,0),MATCH($A2081,CLASSNAMEHEADERS,0))),(INDEX(ALLCLASSDATA,MATCH("HeavyExpert",CLASSFEATUREHEADERS,0),MATCH(($A2081 &amp; "Points"),CLASSNAMEHEADERS,0))),(IF("15"=(INDEX(ALLCLASSDATA,MATCH("HeavyTrained",CLASSFEATUREHEADERS,0),MATCH($A2081,CLASSNAMEHEADERS,0))),(INDEX(ALLCLASSDATA,MATCH("HeavyTrained",CLASSFEATUREHEADERS,0),MATCH(($A2081 &amp; "Points"),CLASSNAMEHEADERS,0))),"")))))))))}</f>
        <v>HEAVYL15</v>
      </c>
      <c r="W2080" s="223"/>
      <c r="X2080" s="223" t="str">
        <f t="array" ref="X2080:X2081">{"HEAVYL17";((IF("17"=(INDEX(ALLCLASSDATA,MATCH("HeavyLegendary",CLASSFEATUREHEADERS,0),MATCH($A2081,CLASSNAMEHEADERS,0))),(INDEX(ALLCLASSDATA,MATCH("HeavyLegendary",CLASSFEATUREHEADERS,0),MATCH(($A2081 &amp; "Points"),CLASSNAMEHEADERS,0))),(IF("17"=(INDEX(ALLCLASSDATA,MATCH("HeavyMaster",CLASSFEATUREHEADERS,0),MATCH($A2081,CLASSNAMEHEADERS,0))),(INDEX(ALLCLASSDATA,MATCH("HeavyMaster",CLASSFEATUREHEADERS,0),MATCH(($A2081 &amp; "Points"),CLASSNAMEHEADERS,0))),(IF("17"=(INDEX(ALLCLASSDATA,MATCH("HeavyExpert",CLASSFEATUREHEADERS,0),MATCH($A2081,CLASSNAMEHEADERS,0))),(INDEX(ALLCLASSDATA,MATCH("HeavyExpert",CLASSFEATUREHEADERS,0),MATCH(($A2081 &amp; "Points"),CLASSNAMEHEADERS,0))),(IF("17"=(INDEX(ALLCLASSDATA,MATCH("HeavyTrained",CLASSFEATUREHEADERS,0),MATCH($A2081,CLASSNAMEHEADERS,0))),(INDEX(ALLCLASSDATA,MATCH("HeavyTrained",CLASSFEATUREHEADERS,0),MATCH(($A2081 &amp; "Points"),CLASSNAMEHEADERS,0))),"")))))))))}</f>
        <v>HEAVYL17</v>
      </c>
      <c r="Y2080" s="223"/>
      <c r="Z2080" s="223" t="str">
        <f t="array" ref="Z2080:Z2081">{"HEAVYL19";((IF("19"=(INDEX(ALLCLASSDATA,MATCH("HeavyLegendary",CLASSFEATUREHEADERS,0),MATCH($A2081,CLASSNAMEHEADERS,0))),(INDEX(ALLCLASSDATA,MATCH("HeavyLegendary",CLASSFEATUREHEADERS,0),MATCH(($A2081 &amp; "Points"),CLASSNAMEHEADERS,0))),(IF("19"=(INDEX(ALLCLASSDATA,MATCH("HeavyMaster",CLASSFEATUREHEADERS,0),MATCH($A2081,CLASSNAMEHEADERS,0))),(INDEX(ALLCLASSDATA,MATCH("HeavyMaster",CLASSFEATUREHEADERS,0),MATCH(($A2081 &amp; "Points"),CLASSNAMEHEADERS,0))),(IF("19"=(INDEX(ALLCLASSDATA,MATCH("HeavyExpert",CLASSFEATUREHEADERS,0),MATCH($A2081,CLASSNAMEHEADERS,0))),(INDEX(ALLCLASSDATA,MATCH("HeavyExpert",CLASSFEATUREHEADERS,0),MATCH(($A2081 &amp; "Points"),CLASSNAMEHEADERS,0))),(IF("19"=(INDEX(ALLCLASSDATA,MATCH("HeavyTrained",CLASSFEATUREHEADERS,0),MATCH($A2081,CLASSNAMEHEADERS,0))),(INDEX(ALLCLASSDATA,MATCH("HeavyTrained",CLASSFEATUREHEADERS,0),MATCH(($A2081 &amp; "Points"),CLASSNAMEHEADERS,0))),"")))))))))}</f>
        <v>HEAVYL19</v>
      </c>
      <c r="AA2080" s="223"/>
      <c r="AB2080" s="76" t="str">
        <f t="array" ref="AB2080:AB2081">{"HEAVY TOTAL";(IF(COUNTBLANK(G2081:AA2081)=17,"L",(IF(COUNTBLANK(G2081:AA2081)=18,"M",(IF(COUNTBLANK(G2081:AA2081)=19,"E",(IF(COUNTBLANK(G2081:AA2081)=20,"T",""))))))))}</f>
        <v>HEAVY TOTAL</v>
      </c>
      <c r="AC2080" s="76" t="str">
        <f t="array" ref="AC2080:AC2081">{"HEAVY TOTAL";(sum(G2081:AA2081))}</f>
        <v>HEAVY TOTAL</v>
      </c>
    </row>
    <row r="2081">
      <c r="A2081" s="48" t="s">
        <v>233</v>
      </c>
      <c r="B2081" s="48"/>
      <c r="C2081" s="48" t="s">
        <v>418</v>
      </c>
      <c r="D2081" s="97" t="s">
        <v>1900</v>
      </c>
      <c r="E2081" s="97" t="s">
        <v>533</v>
      </c>
      <c r="F2081" s="98" t="s">
        <v>603</v>
      </c>
      <c r="G2081" s="132" t="s">
        <v>603</v>
      </c>
      <c r="H2081" s="98" t="s">
        <v>603</v>
      </c>
      <c r="I2081" s="98"/>
      <c r="J2081" s="98" t="s">
        <v>603</v>
      </c>
      <c r="K2081" s="98"/>
      <c r="L2081" s="98" t="s">
        <v>603</v>
      </c>
      <c r="M2081" s="98"/>
      <c r="N2081" s="98" t="s">
        <v>603</v>
      </c>
      <c r="O2081" s="98"/>
      <c r="P2081" s="98" t="s">
        <v>603</v>
      </c>
      <c r="Q2081" s="98"/>
      <c r="R2081" s="98" t="s">
        <v>603</v>
      </c>
      <c r="S2081" s="98"/>
      <c r="T2081" s="98" t="s">
        <v>603</v>
      </c>
      <c r="U2081" s="98"/>
      <c r="V2081" s="98" t="s">
        <v>603</v>
      </c>
      <c r="W2081" s="98"/>
      <c r="X2081" s="98" t="s">
        <v>603</v>
      </c>
      <c r="Y2081" s="98"/>
      <c r="Z2081" s="98" t="s">
        <v>603</v>
      </c>
      <c r="AA2081" s="98"/>
      <c r="AB2081" s="5" t="s">
        <v>603</v>
      </c>
      <c r="AC2081" s="47">
        <v>0.0</v>
      </c>
    </row>
    <row r="2082" hidden="1">
      <c r="A2082" s="222" t="str">
        <f t="array" ref="A2082:A2083">{"FormulaRow39";(INDEX(CLASSLIST,A2005,1))}</f>
        <v>FormulaRow39</v>
      </c>
      <c r="B2082" s="77" t="s">
        <v>236</v>
      </c>
      <c r="C2082" s="222" t="str">
        <f t="array" ref="C2082:C2083">{"CLASSTYPE";((INDEX(ALLCLASSDATA,MATCH("ClassType",CLASSFEATUREHEADERS,0),MATCH($A2083,CLASSNAMEHEADERS,0))))}</f>
        <v>CLASSTYPE</v>
      </c>
      <c r="D2082" s="222" t="str">
        <f t="array" ref="D2082:D2083">{"SPELL/ALCHEMY";((IF(INDEX(ALLCLASSDATA,MATCH("CasterType",CLASSFEATUREHEADERS,0),MATCH(($A2083),CLASSNAMEHEADERS,0))="","",(IF(INDEX(ALLCLASSDATA,MATCH("CasterType",CLASSFEATUREHEADERS,0),MATCH(($A2083),CLASSNAMEHEADERS,0))="Alchemy","Alchemy","Spells")))))}</f>
        <v>SPELL/ALCHEMY</v>
      </c>
      <c r="E2082" s="222" t="str">
        <f t="array" ref="E2082:E2083">{"SPELLLIST";(IF(D2083="Spells",((INDEX(ALLCLASSDATA,MATCH("CasterType",CLASSFEATUREHEADERS,0),MATCH(($A2083),CLASSNAMEHEADERS,0))) &amp; ":" &amp; (INDEX(ALLCLASSDATA,MATCH("SpellList",CLASSFEATUREHEADERS,0),MATCH(($A2083),CLASSNAMEHEADERS,0)))),""))}</f>
        <v>SPELLLIST</v>
      </c>
      <c r="F2082" s="223" t="str">
        <f t="array" ref="F2082:F2083">{"SPL";(IF(D2083="Spells","SPL:",""))}</f>
        <v>SPL</v>
      </c>
      <c r="G2082" s="223" t="str">
        <f t="array" ref="G2082:G2083">{"CANTRIP/ALC";(IF(D2083="Spells","C",(IF(D2083="Alchemy","ALC:",""))))}</f>
        <v>CANTRIP/ALC</v>
      </c>
      <c r="H2082" s="223" t="str">
        <f t="array" ref="H2082:H2083">{"SPELL/ALC L01";(IF(D2083="Alchemy","L01",(IF(D2083="Spells","S01",""))))}</f>
        <v>SPELL/ALC L01</v>
      </c>
      <c r="I2082" s="223" t="str">
        <f t="array" ref="I2082:I2083">{"SPELL/ALC L02";(IF(D2083="Alchemy","L02",(IF(D2083="Spells","S01",""))))}</f>
        <v>SPELL/ALC L02</v>
      </c>
      <c r="J2082" s="223" t="str">
        <f t="array" ref="J2082:J2083">{"SPELL/ALC L03";(IF(D2083="Alchemy","L03",(IF(D2083="Spells","S02",""))))}</f>
        <v>SPELL/ALC L03</v>
      </c>
      <c r="K2082" s="223" t="str">
        <f t="array" ref="K2082:K2083">{"SPELL/ALC L04";(IF(D2083="Alchemy","L04",(IF(D2083="Spells","S02",""))))}</f>
        <v>SPELL/ALC L04</v>
      </c>
      <c r="L2082" s="223" t="str">
        <f t="array" ref="L2082:L2083">{"SPELL/ALC L05";(IF(D2083="Alchemy","L05",(IF(D2083="Spells","S03",""))))}</f>
        <v>SPELL/ALC L05</v>
      </c>
      <c r="M2082" s="223" t="str">
        <f t="array" ref="M2082:M2083">{"SPELL/ALC L06";(IF(D2083="Alchemy","L06",(IF(D2083="Spells","S03",""))))}</f>
        <v>SPELL/ALC L06</v>
      </c>
      <c r="N2082" s="223" t="str">
        <f t="array" ref="N2082:N2083">{"SPELL/ALC L07";(IF(D2083="Alchemy","L07",(IF(D2083="Spells","S04",""))))}</f>
        <v>SPELL/ALC L07</v>
      </c>
      <c r="O2082" s="223" t="str">
        <f t="array" ref="O2082:O2083">{"SPELL/ALC L08";(IF(D2083="Alchemy","L08",(IF(D2083="Spells","S04",""))))}</f>
        <v>SPELL/ALC L08</v>
      </c>
      <c r="P2082" s="223" t="str">
        <f t="array" ref="P2082:P2083">{"SPELL/ALC L09";(IF(D2083="Alchemy","L09",(IF(D2083="Spells","S05",""))))}</f>
        <v>SPELL/ALC L09</v>
      </c>
      <c r="Q2082" s="223" t="str">
        <f t="array" ref="Q2082:Q2083">{"SPELL/ALC L10";(IF(D2083="Alchemy","L10",(IF(D2083="Spells","S05",""))))}</f>
        <v>SPELL/ALC L10</v>
      </c>
      <c r="R2082" s="223" t="str">
        <f t="array" ref="R2082:R2083">{"SPELL/ALC L11";(IF(D2083="Alchemy","L11",(IF(D2083="Spells","S06",""))))}</f>
        <v>SPELL/ALC L11</v>
      </c>
      <c r="S2082" s="223" t="str">
        <f t="array" ref="S2082:S2083">{"SPELL/ALC L12";(IF(D2083="Alchemy","L12",(IF(D2083="Spells","S06",""))))}</f>
        <v>SPELL/ALC L12</v>
      </c>
      <c r="T2082" s="223" t="str">
        <f t="array" ref="T2082:T2083">{"SPELL/ALC L13";(IF(D2083="Alchemy","L13",(IF(D2083="Spells","S07",""))))}</f>
        <v>SPELL/ALC L13</v>
      </c>
      <c r="U2082" s="223" t="str">
        <f t="array" ref="U2082:U2083">{"SPELL/ALC L14";(IF(D2083="Alchemy","L14",(IF(D2083="Spells","S07",""))))}</f>
        <v>SPELL/ALC L14</v>
      </c>
      <c r="V2082" s="223" t="str">
        <f t="array" ref="V2082:V2083">{"SPELL/ALC L15";(IF(D2083="Alchemy","L15",(IF(D2083="Spells","S08",""))))}</f>
        <v>SPELL/ALC L15</v>
      </c>
      <c r="W2082" s="223" t="str">
        <f t="array" ref="W2082:W2083">{"SPELL/ALC L16";(IF(D2083="Alchemy","L16",(IF(D2083="Spells","S08",""))))}</f>
        <v>SPELL/ALC L16</v>
      </c>
      <c r="X2082" s="223" t="str">
        <f t="array" ref="X2082:X2083">{"SPELL/ALC L17";(IF(D2083="Alchemy","L17",(IF(D2083="Spells","S09",""))))}</f>
        <v>SPELL/ALC L17</v>
      </c>
      <c r="Y2082" s="223" t="str">
        <f t="array" ref="Y2082:Y2083">{"SPELL/ALC L18";(IF(D2083="Alchemy","L18",(IF(D2083="Spells","S09",""))))}</f>
        <v>SPELL/ALC L18</v>
      </c>
      <c r="Z2082" s="223" t="str">
        <f t="array" ref="Z2082:Z2083">{"SPELL/ALC L19";(IF(D2083="Alchemy","L19",(IF(D2083="Spells","S10",""))))}</f>
        <v>SPELL/ALC L19</v>
      </c>
      <c r="AA2082" s="223" t="str">
        <f t="array" ref="AA2082:AA2083">{"SPELL/ALC L20";(IF(D2083="Alchemy","L20",(IF(D2083="Spells","S10",""))))}</f>
        <v>SPELL/ALC L20</v>
      </c>
      <c r="AB2082" s="76"/>
      <c r="AC2082" s="76"/>
    </row>
    <row r="2083">
      <c r="A2083" s="48" t="s">
        <v>233</v>
      </c>
      <c r="B2083" s="48"/>
      <c r="C2083" s="48" t="s">
        <v>418</v>
      </c>
      <c r="D2083" s="48" t="s">
        <v>1901</v>
      </c>
      <c r="E2083" s="48" t="s">
        <v>1935</v>
      </c>
      <c r="F2083" s="278" t="s">
        <v>1903</v>
      </c>
      <c r="G2083" s="114" t="s">
        <v>653</v>
      </c>
      <c r="H2083" s="279" t="s">
        <v>1536</v>
      </c>
      <c r="I2083" s="28" t="s">
        <v>1536</v>
      </c>
      <c r="J2083" s="28" t="s">
        <v>1542</v>
      </c>
      <c r="K2083" s="28" t="s">
        <v>1542</v>
      </c>
      <c r="L2083" s="28" t="s">
        <v>1545</v>
      </c>
      <c r="M2083" s="28" t="s">
        <v>1545</v>
      </c>
      <c r="N2083" s="28" t="s">
        <v>1548</v>
      </c>
      <c r="O2083" s="28" t="s">
        <v>1548</v>
      </c>
      <c r="P2083" s="28" t="s">
        <v>1553</v>
      </c>
      <c r="Q2083" s="28" t="s">
        <v>1553</v>
      </c>
      <c r="R2083" s="28" t="s">
        <v>1556</v>
      </c>
      <c r="S2083" s="28" t="s">
        <v>1556</v>
      </c>
      <c r="T2083" s="28" t="s">
        <v>1559</v>
      </c>
      <c r="U2083" s="28" t="s">
        <v>1559</v>
      </c>
      <c r="V2083" s="28" t="s">
        <v>1562</v>
      </c>
      <c r="W2083" s="28" t="s">
        <v>1562</v>
      </c>
      <c r="X2083" s="28" t="s">
        <v>1565</v>
      </c>
      <c r="Y2083" s="28" t="s">
        <v>1565</v>
      </c>
      <c r="Z2083" s="28" t="s">
        <v>1568</v>
      </c>
      <c r="AA2083" s="28" t="s">
        <v>1568</v>
      </c>
      <c r="AB2083" s="5"/>
      <c r="AC2083" s="47"/>
    </row>
    <row r="2084" hidden="1">
      <c r="A2084" s="222" t="str">
        <f t="array" ref="A2084:A2085">{"FormulaRow40";(INDEX(CLASSLIST,A2005,1))}</f>
        <v>FormulaRow40</v>
      </c>
      <c r="B2084" s="77" t="s">
        <v>236</v>
      </c>
      <c r="C2084" s="222" t="str">
        <f t="array" ref="C2084:C2085">{"CLASSTYPE";((INDEX(ALLCLASSDATA,MATCH("ClassType",CLASSFEATUREHEADERS,0),MATCH($A2085,CLASSNAMEHEADERS,0))))}</f>
        <v>CLASSTYPE</v>
      </c>
      <c r="D2084" s="222" t="str">
        <f t="array" ref="D2084:D2085">{"SPELL/ALCHEMY";((IF(INDEX(ALLCLASSDATA,MATCH("CasterType",CLASSFEATUREHEADERS,0),MATCH(($A2085),CLASSNAMEHEADERS,0))="","",(IF(INDEX(ALLCLASSDATA,MATCH("CasterType",CLASSFEATUREHEADERS,0),MATCH(($A2085),CLASSNAMEHEADERS,0))="Alchemy","","Spells")))))}</f>
        <v>SPELL/ALCHEMY</v>
      </c>
      <c r="E2084" s="222" t="str">
        <f t="array" ref="E2084:E2085">{"SPELLLIST";(IF(D2085="Spells",((INDEX(ALLCLASSDATA,MATCH("CasterType",CLASSFEATUREHEADERS,0),MATCH(($A2085),CLASSNAMEHEADERS,0))) &amp; ":" &amp; (INDEX(ALLCLASSDATA,MATCH("SpellList",CLASSFEATUREHEADERS,0),MATCH(($A2085),CLASSNAMEHEADERS,0)))),""))}</f>
        <v>SPELLLIST</v>
      </c>
      <c r="F2084" s="222" t="str">
        <f t="array" ref="F2084:F2085">{"SLOTCOST";(IF(D2085="Spells","SlotCost:",""))}</f>
        <v>SLOTCOST</v>
      </c>
      <c r="G2084" s="222" t="str">
        <f t="array" ref="G2084:G2085">{"SLOTCOST CANTRIP";(INDEX(ALLCLASSDATA,MATCH("CantripSlots-L00",CLASSFEATUREHEADERS,0),MATCH(($A2085 &amp; "Points"),CLASSNAMEHEADERS,0)))}</f>
        <v>SLOTCOST CANTRIP</v>
      </c>
      <c r="H2084" s="222" t="str">
        <f t="array" ref="H2084:H2085">{"SLOTCOST L01";(INDEX(ALLCLASSDATA,MATCH("SPL01-L01",CLASSFEATUREHEADERS,0),MATCH(($A2085 &amp; "Points"),CLASSNAMEHEADERS,0)))}</f>
        <v>SLOTCOST L01</v>
      </c>
      <c r="I2084" s="222" t="str">
        <f t="array" ref="I2084:I2085">{"SLOTCOST L02";(INDEX(ALLCLASSDATA,MATCH("SPL01-L02",CLASSFEATUREHEADERS,0),MATCH(($A2085 &amp; "Points"),CLASSNAMEHEADERS,0)))}</f>
        <v>SLOTCOST L02</v>
      </c>
      <c r="J2084" s="222" t="str">
        <f t="array" ref="J2084:J2085">{"SLOTCOST L03";(INDEX(ALLCLASSDATA,MATCH("SPL02-L03",CLASSFEATUREHEADERS,0),MATCH(($A2085 &amp; "Points"),CLASSNAMEHEADERS,0)))}</f>
        <v>SLOTCOST L03</v>
      </c>
      <c r="K2084" s="222" t="str">
        <f t="array" ref="K2084:K2085">{"SLOTCOST L04";(INDEX(ALLCLASSDATA,MATCH("SPL02-L04",CLASSFEATUREHEADERS,0),MATCH(($A2085 &amp; "Points"),CLASSNAMEHEADERS,0)))}</f>
        <v>SLOTCOST L04</v>
      </c>
      <c r="L2084" s="222" t="str">
        <f t="array" ref="L2084:L2085">{"SLOTCOST L05";(INDEX(ALLCLASSDATA,MATCH("SPL03-L05",CLASSFEATUREHEADERS,0),MATCH(($A2085 &amp; "Points"),CLASSNAMEHEADERS,0)))}</f>
        <v>SLOTCOST L05</v>
      </c>
      <c r="M2084" s="222" t="str">
        <f t="array" ref="M2084:M2085">{"SLOTCOST L06";(INDEX(ALLCLASSDATA,MATCH("SPL03-L06",CLASSFEATUREHEADERS,0),MATCH(($A2085 &amp; "Points"),CLASSNAMEHEADERS,0)))}</f>
        <v>SLOTCOST L06</v>
      </c>
      <c r="N2084" s="222" t="str">
        <f t="array" ref="N2084:N2085">{"SLOTCOST L07";(INDEX(ALLCLASSDATA,MATCH("SPL04-L07",CLASSFEATUREHEADERS,0),MATCH(($A2085 &amp; "Points"),CLASSNAMEHEADERS,0)))}</f>
        <v>SLOTCOST L07</v>
      </c>
      <c r="O2084" s="222" t="str">
        <f t="array" ref="O2084:O2085">{"SLOTCOST L08";(INDEX(ALLCLASSDATA,MATCH("SPL04-L08",CLASSFEATUREHEADERS,0),MATCH(($A2085 &amp; "Points"),CLASSNAMEHEADERS,0)))}</f>
        <v>SLOTCOST L08</v>
      </c>
      <c r="P2084" s="222" t="str">
        <f t="array" ref="P2084:P2085">{"SLOTCOST L09";(INDEX(ALLCLASSDATA,MATCH("SPL05-L09",CLASSFEATUREHEADERS,0),MATCH(($A2085 &amp; "Points"),CLASSNAMEHEADERS,0)))}</f>
        <v>SLOTCOST L09</v>
      </c>
      <c r="Q2084" s="222" t="str">
        <f t="array" ref="Q2084:Q2085">{"SLOTCOST L10";(INDEX(ALLCLASSDATA,MATCH("SPL05-L10",CLASSFEATUREHEADERS,0),MATCH(($A2085 &amp; "Points"),CLASSNAMEHEADERS,0)))}</f>
        <v>SLOTCOST L10</v>
      </c>
      <c r="R2084" s="222" t="str">
        <f t="array" ref="R2084:R2085">{"SLOTCOST L11";(INDEX(ALLCLASSDATA,MATCH("SPL06-L11",CLASSFEATUREHEADERS,0),MATCH(($A2085 &amp; "Points"),CLASSNAMEHEADERS,0)))}</f>
        <v>SLOTCOST L11</v>
      </c>
      <c r="S2084" s="222" t="str">
        <f t="array" ref="S2084:S2085">{"SLOTCOST L12";(INDEX(ALLCLASSDATA,MATCH("SPL06-L12",CLASSFEATUREHEADERS,0),MATCH(($A2085 &amp; "Points"),CLASSNAMEHEADERS,0)))}</f>
        <v>SLOTCOST L12</v>
      </c>
      <c r="T2084" s="222" t="str">
        <f t="array" ref="T2084:T2085">{"SLOTCOST L13";(INDEX(ALLCLASSDATA,MATCH("SPL07-L13",CLASSFEATUREHEADERS,0),MATCH(($A2085 &amp; "Points"),CLASSNAMEHEADERS,0)))}</f>
        <v>SLOTCOST L13</v>
      </c>
      <c r="U2084" s="222" t="str">
        <f t="array" ref="U2084:U2085">{"SLOTCOST L14";(INDEX(ALLCLASSDATA,MATCH("SPL07-L14",CLASSFEATUREHEADERS,0),MATCH(($A2085 &amp; "Points"),CLASSNAMEHEADERS,0)))}</f>
        <v>SLOTCOST L14</v>
      </c>
      <c r="V2084" s="222" t="str">
        <f t="array" ref="V2084:V2085">{"SLOTCOST L15";(INDEX(ALLCLASSDATA,MATCH("SPL08-L15",CLASSFEATUREHEADERS,0),MATCH(($A2085 &amp; "Points"),CLASSNAMEHEADERS,0)))}</f>
        <v>SLOTCOST L15</v>
      </c>
      <c r="W2084" s="222" t="str">
        <f t="array" ref="W2084:W2085">{"SLOTCOST L16";(INDEX(ALLCLASSDATA,MATCH("SPL08-L16",CLASSFEATUREHEADERS,0),MATCH(($A2085 &amp; "Points"),CLASSNAMEHEADERS,0)))}</f>
        <v>SLOTCOST L16</v>
      </c>
      <c r="X2084" s="222" t="str">
        <f t="array" ref="X2084:X2085">{"SLOTCOST L17";(INDEX(ALLCLASSDATA,MATCH("SPL09-L17",CLASSFEATUREHEADERS,0),MATCH(($A2085 &amp; "Points"),CLASSNAMEHEADERS,0)))}</f>
        <v>SLOTCOST L17</v>
      </c>
      <c r="Y2084" s="222" t="str">
        <f t="array" ref="Y2084:Y2085">{"SLOTCOST L18";(INDEX(ALLCLASSDATA,MATCH("SPL09-L18",CLASSFEATUREHEADERS,0),MATCH(($A2085 &amp; "Points"),CLASSNAMEHEADERS,0)))}</f>
        <v>SLOTCOST L18</v>
      </c>
      <c r="Z2084" s="222" t="str">
        <f t="array" ref="Z2084:Z2085">{"SLOTCOST L19";(INDEX(ALLCLASSDATA,MATCH("SPL10-L19",CLASSFEATUREHEADERS,0),MATCH(($A2085 &amp; "Points"),CLASSNAMEHEADERS,0)))}</f>
        <v>SLOTCOST L19</v>
      </c>
      <c r="AA2084" s="222" t="str">
        <f t="array" ref="AA2084:AA2085">{"SLOTCOST L20";(INDEX(ALLCLASSDATA,MATCH("SPL10-L20",CLASSFEATUREHEADERS,0),MATCH(($A2085 &amp; "Points"),CLASSNAMEHEADERS,0)))}</f>
        <v>SLOTCOST L20</v>
      </c>
      <c r="AB2084" s="76"/>
      <c r="AC2084" s="76" t="str">
        <f t="array" ref="AC2084:AC2085">{"SLOT TOTAL";(sum(G2085:AA2085))}</f>
        <v>SLOT TOTAL</v>
      </c>
    </row>
    <row r="2085">
      <c r="A2085" s="48" t="s">
        <v>233</v>
      </c>
      <c r="B2085" s="48"/>
      <c r="C2085" s="48" t="s">
        <v>418</v>
      </c>
      <c r="D2085" s="48" t="s">
        <v>1901</v>
      </c>
      <c r="E2085" s="48" t="s">
        <v>1935</v>
      </c>
      <c r="F2085" s="278" t="s">
        <v>1904</v>
      </c>
      <c r="G2085" s="47"/>
      <c r="H2085" s="5">
        <v>30.0</v>
      </c>
      <c r="I2085" s="5">
        <v>10.0</v>
      </c>
      <c r="J2085" s="5">
        <v>30.0</v>
      </c>
      <c r="K2085" s="5">
        <v>10.0</v>
      </c>
      <c r="L2085" s="5">
        <v>30.0</v>
      </c>
      <c r="M2085" s="48">
        <v>10.0</v>
      </c>
      <c r="N2085" s="5">
        <v>30.0</v>
      </c>
      <c r="O2085" s="5">
        <v>10.0</v>
      </c>
      <c r="P2085" s="5">
        <v>30.0</v>
      </c>
      <c r="Q2085" s="5">
        <v>10.0</v>
      </c>
      <c r="R2085" s="5">
        <v>30.0</v>
      </c>
      <c r="S2085" s="5">
        <v>10.0</v>
      </c>
      <c r="T2085" s="5">
        <v>30.0</v>
      </c>
      <c r="U2085" s="5">
        <v>10.0</v>
      </c>
      <c r="V2085" s="5">
        <v>30.0</v>
      </c>
      <c r="W2085" s="5">
        <v>10.0</v>
      </c>
      <c r="X2085" s="5">
        <v>30.0</v>
      </c>
      <c r="Y2085" s="5">
        <v>10.0</v>
      </c>
      <c r="Z2085" s="5">
        <v>190.0</v>
      </c>
      <c r="AA2085" s="5" t="s">
        <v>603</v>
      </c>
      <c r="AB2085" s="5"/>
      <c r="AC2085" s="47">
        <v>550.0</v>
      </c>
    </row>
    <row r="2086" hidden="1">
      <c r="A2086" s="222" t="str">
        <f t="array" ref="A2086:A2087">{"FormulaRow41";(INDEX(CLASSLIST,A2005,1))}</f>
        <v>FormulaRow41</v>
      </c>
      <c r="B2086" s="77" t="s">
        <v>236</v>
      </c>
      <c r="C2086" s="222" t="str">
        <f t="array" ref="C2086:C2087">{"CLASSTYPE";((INDEX(ALLCLASSDATA,MATCH("ClassType",CLASSFEATUREHEADERS,0),MATCH($A2087,CLASSNAMEHEADERS,0))))}</f>
        <v>CLASSTYPE</v>
      </c>
      <c r="D2086" s="222" t="str">
        <f t="array" ref="D2086:D2087">{"SPELL/ALCHEMY";((IF(INDEX(ALLCLASSDATA,MATCH("CasterType",CLASSFEATUREHEADERS,0),MATCH(($A2087),CLASSNAMEHEADERS,0))="","",(IF(INDEX(ALLCLASSDATA,MATCH("CasterType",CLASSFEATUREHEADERS,0),MATCH(($A2087),CLASSNAMEHEADERS,0))="Alchemy","Alchemy","Spells")))))}</f>
        <v>SPELL/ALCHEMY</v>
      </c>
      <c r="E2086" s="222" t="str">
        <f t="array" ref="E2086:E2087">{"SPELLLIST";(IF(D2087="Spells",((INDEX(ALLCLASSDATA,MATCH("CasterType",CLASSFEATUREHEADERS,0),MATCH(($A2087),CLASSNAMEHEADERS,0))) &amp; ":" &amp; (INDEX(ALLCLASSDATA,MATCH("SpellList",CLASSFEATUREHEADERS,0),MATCH(($A2087),CLASSNAMEHEADERS,0)))),""))}</f>
        <v>SPELLLIST</v>
      </c>
      <c r="F2086" s="223" t="str">
        <f t="array" ref="F2086:F2087">{"LEARNEDCOST";(IF(D2087="","","LearnCost:"))}</f>
        <v>LEARNEDCOST</v>
      </c>
      <c r="G2086" s="223" t="str">
        <f t="array" ref="G2086:G2087">{"LEARNED CANTRIPS";(INDEX(ALLCLASSDATA,MATCH("CantripsLearned-L00",CLASSFEATUREHEADERS,0),MATCH(($A2087 &amp; "Points"),CLASSNAMEHEADERS,0)))}</f>
        <v>LEARNED CANTRIPS</v>
      </c>
      <c r="H2086" s="223" t="str">
        <f t="array" ref="H2086:H2087">{"LEARNED L01";(INDEX(ALLCLASSDATA,MATCH("Learned-L01",CLASSFEATUREHEADERS,0),MATCH(($A2087 &amp; "Points"),CLASSNAMEHEADERS,0)))}</f>
        <v>LEARNED L01</v>
      </c>
      <c r="I2086" s="223" t="str">
        <f t="array" ref="I2086:I2087">{"LEARNED L02";(INDEX(ALLCLASSDATA,MATCH("Learned-L02",CLASSFEATUREHEADERS,0),MATCH(($A2087 &amp; "Points"),CLASSNAMEHEADERS,0)))}</f>
        <v>LEARNED L02</v>
      </c>
      <c r="J2086" s="223" t="str">
        <f t="array" ref="J2086:J2087">{"LEARNED L03";(INDEX(ALLCLASSDATA,MATCH("Learned-L03",CLASSFEATUREHEADERS,0),MATCH(($A2087 &amp; "Points"),CLASSNAMEHEADERS,0)))}</f>
        <v>LEARNED L03</v>
      </c>
      <c r="K2086" s="223" t="str">
        <f t="array" ref="K2086:K2087">{"LEARNED L04";(INDEX(ALLCLASSDATA,MATCH("Learned-L04",CLASSFEATUREHEADERS,0),MATCH(($A2087 &amp; "Points"),CLASSNAMEHEADERS,0)))}</f>
        <v>LEARNED L04</v>
      </c>
      <c r="L2086" s="223" t="str">
        <f t="array" ref="L2086:L2087">{"LEARNED L05";(INDEX(ALLCLASSDATA,MATCH("Learned-L05",CLASSFEATUREHEADERS,0),MATCH(($A2087 &amp; "Points"),CLASSNAMEHEADERS,0)))}</f>
        <v>LEARNED L05</v>
      </c>
      <c r="M2086" s="223" t="str">
        <f t="array" ref="M2086:M2087">{"LEARNED L06";(INDEX(ALLCLASSDATA,MATCH("Learned-L06",CLASSFEATUREHEADERS,0),MATCH(($A2087 &amp; "Points"),CLASSNAMEHEADERS,0)))}</f>
        <v>LEARNED L06</v>
      </c>
      <c r="N2086" s="223" t="str">
        <f t="array" ref="N2086:N2087">{"LEARNED L07";(INDEX(ALLCLASSDATA,MATCH("Learned-L07",CLASSFEATUREHEADERS,0),MATCH(($A2087 &amp; "Points"),CLASSNAMEHEADERS,0)))}</f>
        <v>LEARNED L07</v>
      </c>
      <c r="O2086" s="223" t="str">
        <f t="array" ref="O2086:O2087">{"LEARNED L08";(INDEX(ALLCLASSDATA,MATCH("Learned-L08",CLASSFEATUREHEADERS,0),MATCH(($A2087 &amp; "Points"),CLASSNAMEHEADERS,0)))}</f>
        <v>LEARNED L08</v>
      </c>
      <c r="P2086" s="223" t="str">
        <f t="array" ref="P2086:P2087">{"LEARNED L09";(INDEX(ALLCLASSDATA,MATCH("Learned-L09",CLASSFEATUREHEADERS,0),MATCH(($A2087 &amp; "Points"),CLASSNAMEHEADERS,0)))}</f>
        <v>LEARNED L09</v>
      </c>
      <c r="Q2086" s="223" t="str">
        <f t="array" ref="Q2086:Q2087">{"LEARNED L10";(INDEX(ALLCLASSDATA,MATCH("Learned-L10",CLASSFEATUREHEADERS,0),MATCH(($A2087 &amp; "Points"),CLASSNAMEHEADERS,0)))}</f>
        <v>LEARNED L10</v>
      </c>
      <c r="R2086" s="223" t="str">
        <f t="array" ref="R2086:R2087">{"LEARNED L11";(INDEX(ALLCLASSDATA,MATCH("Learned-L11",CLASSFEATUREHEADERS,0),MATCH(($A2087 &amp; "Points"),CLASSNAMEHEADERS,0)))}</f>
        <v>LEARNED L11</v>
      </c>
      <c r="S2086" s="223" t="str">
        <f t="array" ref="S2086:S2087">{"LEARNED L12";(INDEX(ALLCLASSDATA,MATCH("Learned-L12",CLASSFEATUREHEADERS,0),MATCH(($A2087 &amp; "Points"),CLASSNAMEHEADERS,0)))}</f>
        <v>LEARNED L12</v>
      </c>
      <c r="T2086" s="223" t="str">
        <f t="array" ref="T2086:T2087">{"LEARNED L13";(INDEX(ALLCLASSDATA,MATCH("Learned-L13",CLASSFEATUREHEADERS,0),MATCH(($A2087 &amp; "Points"),CLASSNAMEHEADERS,0)))}</f>
        <v>LEARNED L13</v>
      </c>
      <c r="U2086" s="223" t="str">
        <f t="array" ref="U2086:U2087">{"LEARNED L14";(INDEX(ALLCLASSDATA,MATCH("Learned-L14",CLASSFEATUREHEADERS,0),MATCH(($A2087 &amp; "Points"),CLASSNAMEHEADERS,0)))}</f>
        <v>LEARNED L14</v>
      </c>
      <c r="V2086" s="223" t="str">
        <f t="array" ref="V2086:V2087">{"LEARNED L15";(INDEX(ALLCLASSDATA,MATCH("Learned-L15",CLASSFEATUREHEADERS,0),MATCH(($A2087 &amp; "Points"),CLASSNAMEHEADERS,0)))}</f>
        <v>LEARNED L15</v>
      </c>
      <c r="W2086" s="223" t="str">
        <f t="array" ref="W2086:W2087">{"LEARNED L16";(INDEX(ALLCLASSDATA,MATCH("Learned-L16",CLASSFEATUREHEADERS,0),MATCH(($A2087 &amp; "Points"),CLASSNAMEHEADERS,0)))}</f>
        <v>LEARNED L16</v>
      </c>
      <c r="X2086" s="223" t="str">
        <f t="array" ref="X2086:X2087">{"LEARNED L17";(INDEX(ALLCLASSDATA,MATCH("Learned-L17",CLASSFEATUREHEADERS,0),MATCH(($A2087 &amp; "Points"),CLASSNAMEHEADERS,0)))}</f>
        <v>LEARNED L17</v>
      </c>
      <c r="Y2086" s="223" t="str">
        <f t="array" ref="Y2086:Y2087">{"LEARNED L18";(INDEX(ALLCLASSDATA,MATCH("Learned-L18",CLASSFEATUREHEADERS,0),MATCH(($A2087 &amp; "Points"),CLASSNAMEHEADERS,0)))}</f>
        <v>LEARNED L18</v>
      </c>
      <c r="Z2086" s="223" t="str">
        <f t="array" ref="Z2086:Z2087">{"LEARNED L19";(INDEX(ALLCLASSDATA,MATCH("Learned-L19",CLASSFEATUREHEADERS,0),MATCH(($A2087 &amp; "Points"),CLASSNAMEHEADERS,0)))}</f>
        <v>LEARNED L19</v>
      </c>
      <c r="AA2086" s="223" t="str">
        <f t="array" ref="AA2086:AA2087">{"LEARNED L20";(INDEX(ALLCLASSDATA,MATCH("Learned-L20",CLASSFEATUREHEADERS,0),MATCH(($A2087 &amp; "Points"),CLASSNAMEHEADERS,0)))}</f>
        <v>LEARNED L20</v>
      </c>
      <c r="AB2086" s="76"/>
      <c r="AC2086" s="76" t="str">
        <f t="array" ref="AC2086:AC2087">{"LEARNED TOTAL";(sum(G2087:AA2087))}</f>
        <v>LEARNED TOTAL</v>
      </c>
    </row>
    <row r="2087">
      <c r="A2087" s="48" t="s">
        <v>233</v>
      </c>
      <c r="B2087" s="48"/>
      <c r="C2087" s="48" t="s">
        <v>418</v>
      </c>
      <c r="D2087" s="48" t="s">
        <v>1901</v>
      </c>
      <c r="E2087" s="48" t="s">
        <v>1935</v>
      </c>
      <c r="F2087" s="278" t="s">
        <v>1906</v>
      </c>
      <c r="G2087" s="47">
        <v>0.0</v>
      </c>
      <c r="H2087" s="5">
        <v>30.0</v>
      </c>
      <c r="I2087" s="5">
        <v>10.0</v>
      </c>
      <c r="J2087" s="5">
        <v>30.0</v>
      </c>
      <c r="K2087" s="5">
        <v>10.0</v>
      </c>
      <c r="L2087" s="5">
        <v>30.0</v>
      </c>
      <c r="M2087" s="5">
        <v>10.0</v>
      </c>
      <c r="N2087" s="48">
        <v>30.0</v>
      </c>
      <c r="O2087" s="5">
        <v>10.0</v>
      </c>
      <c r="P2087" s="5">
        <v>30.0</v>
      </c>
      <c r="Q2087" s="5">
        <v>10.0</v>
      </c>
      <c r="R2087" s="5">
        <v>30.0</v>
      </c>
      <c r="S2087" s="5">
        <v>10.0</v>
      </c>
      <c r="T2087" s="5">
        <v>30.0</v>
      </c>
      <c r="U2087" s="5">
        <v>10.0</v>
      </c>
      <c r="V2087" s="5">
        <v>30.0</v>
      </c>
      <c r="W2087" s="5">
        <v>10.0</v>
      </c>
      <c r="X2087" s="5">
        <v>30.0</v>
      </c>
      <c r="Y2087" s="5">
        <v>10.0</v>
      </c>
      <c r="Z2087" s="5">
        <v>0.0</v>
      </c>
      <c r="AA2087" s="5" t="s">
        <v>603</v>
      </c>
      <c r="AB2087" s="5"/>
      <c r="AC2087" s="47">
        <v>360.0</v>
      </c>
    </row>
    <row r="2088" hidden="1">
      <c r="A2088" s="222" t="str">
        <f t="array" ref="A2088:A2089">{"FormulaRow42";(INDEX(CLASSLIST,A2005,1))}</f>
        <v>FormulaRow42</v>
      </c>
      <c r="B2088" s="77" t="s">
        <v>236</v>
      </c>
      <c r="C2088" s="222" t="str">
        <f t="array" ref="C2088:C2089">{"CLASSTYPE";((INDEX(ALLCLASSDATA,MATCH("ClassType",CLASSFEATUREHEADERS,0),MATCH($A2089,CLASSNAMEHEADERS,0))))}</f>
        <v>CLASSTYPE</v>
      </c>
      <c r="D2088" s="222" t="str">
        <f t="array" ref="D2088:D2089">{"SPELL/ALCHEMY";((IF(INDEX(ALLCLASSDATA,MATCH("CasterType",CLASSFEATUREHEADERS,0),MATCH(($A2089),CLASSNAMEHEADERS,0))="","",(IF(INDEX(ALLCLASSDATA,MATCH("CasterType",CLASSFEATUREHEADERS,0),MATCH(($A2089),CLASSNAMEHEADERS,0))="Alchemy","","Spells")))))}</f>
        <v>SPELL/ALCHEMY</v>
      </c>
      <c r="E2088" s="222" t="str">
        <f t="array" ref="E2088:E2089">{"SPELLLIST";(IF(D2089="Spells",((INDEX(ALLCLASSDATA,MATCH("CasterType",CLASSFEATUREHEADERS,0),MATCH(($A2089),CLASSNAMEHEADERS,0))) &amp; ":" &amp; (INDEX(ALLCLASSDATA,MATCH("SpellList",CLASSFEATUREHEADERS,0),MATCH(($A2089),CLASSNAMEHEADERS,0)))),""))}</f>
        <v>SPELLLIST</v>
      </c>
      <c r="F2088" s="223" t="str">
        <f t="array" ref="F2088:F2089">{"SLOT/LVL";(IF(D2083="Spells","Slot/LVL:",""))}</f>
        <v>SLOT/LVL</v>
      </c>
      <c r="G2088" s="223" t="str">
        <f t="array" ref="G2088:G2089">{"CANTRIPSLOTS";(INDEX(ALLCLASSDATA,MATCH("CantripSlots-L00",CLASSFEATUREHEADERS,0),MATCH($A2089,CLASSNAMEHEADERS,0)))}</f>
        <v>CANTRIPSLOTS</v>
      </c>
      <c r="H2088" s="223" t="str">
        <f t="array" ref="H2088:H2089">{"SPL01-L01";(INDEX(ALLCLASSDATA,MATCH("SPL01-L01",CLASSFEATUREHEADERS,0),MATCH($A2089,CLASSNAMEHEADERS,0)))}</f>
        <v>SPL01-L01</v>
      </c>
      <c r="I2088" s="223" t="str">
        <f t="array" ref="I2088:I2089">{"SPL01-L02";(INDEX(ALLCLASSDATA,MATCH("SPL01-L02",CLASSFEATUREHEADERS,0),MATCH($A2089,CLASSNAMEHEADERS,0)))}</f>
        <v>SPL01-L02</v>
      </c>
      <c r="J2088" s="223" t="str">
        <f t="array" ref="J2088:J2089">{"SPL02-L03";(INDEX(ALLCLASSDATA,MATCH("SPL02-L03",CLASSFEATUREHEADERS,0),MATCH($A2089,CLASSNAMEHEADERS,0)))}</f>
        <v>SPL02-L03</v>
      </c>
      <c r="K2088" s="223" t="str">
        <f t="array" ref="K2088:K2089">{"SPL02-L04";(INDEX(ALLCLASSDATA,MATCH("SPL02-L04",CLASSFEATUREHEADERS,0),MATCH($A2089,CLASSNAMEHEADERS,0)))}</f>
        <v>SPL02-L04</v>
      </c>
      <c r="L2088" s="223" t="str">
        <f t="array" ref="L2088:L2089">{"SPL03-L05";(INDEX(ALLCLASSDATA,MATCH("SPL03-L05",CLASSFEATUREHEADERS,0),MATCH($A2089,CLASSNAMEHEADERS,0)))}</f>
        <v>SPL03-L05</v>
      </c>
      <c r="M2088" s="223" t="str">
        <f t="array" ref="M2088:M2089">{"SPL03-L06";(INDEX(ALLCLASSDATA,MATCH("SPL03-L06",CLASSFEATUREHEADERS,0),MATCH($A2089,CLASSNAMEHEADERS,0)))}</f>
        <v>SPL03-L06</v>
      </c>
      <c r="N2088" s="223" t="str">
        <f t="array" ref="N2088:N2089">{"SPL04-L07";(INDEX(ALLCLASSDATA,MATCH("SPL04-L07",CLASSFEATUREHEADERS,0),MATCH($A2089,CLASSNAMEHEADERS,0)))}</f>
        <v>SPL04-L07</v>
      </c>
      <c r="O2088" s="223" t="str">
        <f t="array" ref="O2088:O2089">{"SPL04-L08";(INDEX(ALLCLASSDATA,MATCH("SPL04-L08",CLASSFEATUREHEADERS,0),MATCH($A2089,CLASSNAMEHEADERS,0)))}</f>
        <v>SPL04-L08</v>
      </c>
      <c r="P2088" s="223" t="str">
        <f t="array" ref="P2088:P2089">{"SPL05-L09";(INDEX(ALLCLASSDATA,MATCH("SPL05-L09",CLASSFEATUREHEADERS,0),MATCH($A2089,CLASSNAMEHEADERS,0)))}</f>
        <v>SPL05-L09</v>
      </c>
      <c r="Q2088" s="223" t="str">
        <f t="array" ref="Q2088:Q2089">{"SPL05-L10";(INDEX(ALLCLASSDATA,MATCH("SPL05-L10",CLASSFEATUREHEADERS,0),MATCH($A2089,CLASSNAMEHEADERS,0)))}</f>
        <v>SPL05-L10</v>
      </c>
      <c r="R2088" s="223" t="str">
        <f t="array" ref="R2088:R2089">{"SPL06-L11";(INDEX(ALLCLASSDATA,MATCH("SPL06-L11",CLASSFEATUREHEADERS,0),MATCH($A2089,CLASSNAMEHEADERS,0)))}</f>
        <v>SPL06-L11</v>
      </c>
      <c r="S2088" s="223" t="str">
        <f t="array" ref="S2088:S2089">{"SPL06-L12";(INDEX(ALLCLASSDATA,MATCH("SPL06-L12",CLASSFEATUREHEADERS,0),MATCH($A2089,CLASSNAMEHEADERS,0)))}</f>
        <v>SPL06-L12</v>
      </c>
      <c r="T2088" s="223" t="str">
        <f t="array" ref="T2088:T2089">{"SPL07-L13";(INDEX(ALLCLASSDATA,MATCH("SPL07-L13",CLASSFEATUREHEADERS,0),MATCH($A2089,CLASSNAMEHEADERS,0)))}</f>
        <v>SPL07-L13</v>
      </c>
      <c r="U2088" s="223" t="str">
        <f t="array" ref="U2088:U2089">{"SPL07-L14";(INDEX(ALLCLASSDATA,MATCH("SPL07-L14",CLASSFEATUREHEADERS,0),MATCH($A2089,CLASSNAMEHEADERS,0)))}</f>
        <v>SPL07-L14</v>
      </c>
      <c r="V2088" s="223" t="str">
        <f t="array" ref="V2088:V2089">{"SPL08-L15";(INDEX(ALLCLASSDATA,MATCH("SPL08-L15",CLASSFEATUREHEADERS,0),MATCH($A2089,CLASSNAMEHEADERS,0)))}</f>
        <v>SPL08-L15</v>
      </c>
      <c r="W2088" s="223" t="str">
        <f t="array" ref="W2088:W2089">{"SPL08-L16";(INDEX(ALLCLASSDATA,MATCH("SPL08-L16",CLASSFEATUREHEADERS,0),MATCH($A2089,CLASSNAMEHEADERS,0)))}</f>
        <v>SPL08-L16</v>
      </c>
      <c r="X2088" s="223" t="str">
        <f t="array" ref="X2088:X2089">{"SPL09-L17";(INDEX(ALLCLASSDATA,MATCH("SPL09-L17",CLASSFEATUREHEADERS,0),MATCH($A2089,CLASSNAMEHEADERS,0)))}</f>
        <v>SPL09-L17</v>
      </c>
      <c r="Y2088" s="223" t="str">
        <f t="array" ref="Y2088:Y2089">{"SPL09-L18";(INDEX(ALLCLASSDATA,MATCH("SPL09-L18",CLASSFEATUREHEADERS,0),MATCH($A2089,CLASSNAMEHEADERS,0)))}</f>
        <v>SPL09-L18</v>
      </c>
      <c r="Z2088" s="223" t="str">
        <f t="array" ref="Z2088:Z2089">{"SPL10-L19";(INDEX(ALLCLASSDATA,MATCH("SPL10-L19",CLASSFEATUREHEADERS,0),MATCH($A2089,CLASSNAMEHEADERS,0)))}</f>
        <v>SPL10-L19</v>
      </c>
      <c r="AA2088" s="223" t="str">
        <f t="array" ref="AA2088:AA2089">{"SPL10-L20";(INDEX(ALLCLASSDATA,MATCH("SPL10-L20",CLASSFEATUREHEADERS,0),MATCH($A2089,CLASSNAMEHEADERS,0)))}</f>
        <v>SPL10-L20</v>
      </c>
      <c r="AB2088" s="76"/>
      <c r="AC2088" s="76"/>
    </row>
    <row r="2089">
      <c r="A2089" s="48" t="s">
        <v>233</v>
      </c>
      <c r="B2089" s="48"/>
      <c r="C2089" s="48" t="s">
        <v>418</v>
      </c>
      <c r="D2089" s="48" t="s">
        <v>1901</v>
      </c>
      <c r="E2089" s="48" t="s">
        <v>1935</v>
      </c>
      <c r="F2089" s="278" t="s">
        <v>1907</v>
      </c>
      <c r="G2089" s="280"/>
      <c r="H2089" s="50" t="s">
        <v>1539</v>
      </c>
      <c r="I2089" s="50" t="s">
        <v>1537</v>
      </c>
      <c r="J2089" s="50" t="s">
        <v>1539</v>
      </c>
      <c r="K2089" s="50" t="s">
        <v>1537</v>
      </c>
      <c r="L2089" s="50" t="s">
        <v>1539</v>
      </c>
      <c r="M2089" s="50" t="s">
        <v>1537</v>
      </c>
      <c r="N2089" s="50" t="s">
        <v>1539</v>
      </c>
      <c r="O2089" s="50" t="s">
        <v>1537</v>
      </c>
      <c r="P2089" s="50" t="s">
        <v>1539</v>
      </c>
      <c r="Q2089" s="50" t="s">
        <v>1537</v>
      </c>
      <c r="R2089" s="50" t="s">
        <v>1539</v>
      </c>
      <c r="S2089" s="50" t="s">
        <v>1537</v>
      </c>
      <c r="T2089" s="50" t="s">
        <v>1539</v>
      </c>
      <c r="U2089" s="50" t="s">
        <v>1537</v>
      </c>
      <c r="V2089" s="50" t="s">
        <v>1539</v>
      </c>
      <c r="W2089" s="50" t="s">
        <v>1537</v>
      </c>
      <c r="X2089" s="50" t="s">
        <v>1539</v>
      </c>
      <c r="Y2089" s="50" t="s">
        <v>1537</v>
      </c>
      <c r="Z2089" s="50" t="s">
        <v>1537</v>
      </c>
      <c r="AA2089" s="50"/>
      <c r="AB2089" s="278"/>
      <c r="AC2089" s="47"/>
    </row>
    <row r="2090" hidden="1">
      <c r="A2090" s="222" t="str">
        <f t="array" ref="A2090:A2091">{"FormulaRow43";(INDEX(CLASSLIST,A2005,1))}</f>
        <v>FormulaRow43</v>
      </c>
      <c r="B2090" s="77" t="s">
        <v>236</v>
      </c>
      <c r="C2090" s="222" t="str">
        <f t="array" ref="C2090:C2091">{"CLASSTYPE";((INDEX(ALLCLASSDATA,MATCH("ClassType",CLASSFEATUREHEADERS,0),MATCH($A2091,CLASSNAMEHEADERS,0))))}</f>
        <v>CLASSTYPE</v>
      </c>
      <c r="D2090" s="222" t="str">
        <f t="array" ref="D2090:D2091">{"SPELL/ALCHEMY";((IF(INDEX(ALLCLASSDATA,MATCH("CasterType",CLASSFEATUREHEADERS,0),MATCH(($A2091),CLASSNAMEHEADERS,0))="","",(IF(INDEX(ALLCLASSDATA,MATCH("CasterType",CLASSFEATUREHEADERS,0),MATCH(($A2091),CLASSNAMEHEADERS,0))="Alchemy","Alchemy","Spells")))))}</f>
        <v>SPELL/ALCHEMY</v>
      </c>
      <c r="E2090" s="222" t="str">
        <f t="array" ref="E2090:E2091">{"SPELLLIST";(IF(D2091="Spells",((INDEX(ALLCLASSDATA,MATCH("CasterType",CLASSFEATUREHEADERS,0),MATCH(($A2091),CLASSNAMEHEADERS,0))) &amp; ":" &amp; (INDEX(ALLCLASSDATA,MATCH("SpellList",CLASSFEATUREHEADERS,0),MATCH(($A2091),CLASSNAMEHEADERS,0)))),""))}</f>
        <v>SPELLLIST</v>
      </c>
      <c r="F2090" s="223" t="str">
        <f t="array" ref="F2090:F2091">{"LEARNED/LVL";(IF(D2091="","","Learn/LVL:"))}</f>
        <v>LEARNED/LVL</v>
      </c>
      <c r="G2090" s="223" t="str">
        <f t="array" ref="G2090:G2091">{"LEARNEDCANTRIPS";(INDEX(ALLCLASSDATA,MATCH("CantripsLearned-L00",CLASSFEATUREHEADERS,0),MATCH($A2091,CLASSNAMEHEADERS,0)))}</f>
        <v>LEARNEDCANTRIPS</v>
      </c>
      <c r="H2090" s="223" t="str">
        <f t="array" ref="H2090:H2091">{"LEARNED L01";(INDEX(ALLCLASSDATA,MATCH("Learned-L01",CLASSFEATUREHEADERS,0),MATCH($A2091,CLASSNAMEHEADERS,0)))}</f>
        <v>LEARNED L01</v>
      </c>
      <c r="I2090" s="223" t="str">
        <f t="array" ref="I2090:I2091">{"LEARNED L02";(INDEX(ALLCLASSDATA,MATCH("Learned-L02",CLASSFEATUREHEADERS,0),MATCH($A2091,CLASSNAMEHEADERS,0)))}</f>
        <v>LEARNED L02</v>
      </c>
      <c r="J2090" s="223" t="str">
        <f t="array" ref="J2090:J2091">{"LEARNED L03";(INDEX(ALLCLASSDATA,MATCH("Learned-L03",CLASSFEATUREHEADERS,0),MATCH($A2091,CLASSNAMEHEADERS,0)))}</f>
        <v>LEARNED L03</v>
      </c>
      <c r="K2090" s="223" t="str">
        <f t="array" ref="K2090:K2091">{"LEARNED L04";(INDEX(ALLCLASSDATA,MATCH("Learned-L04",CLASSFEATUREHEADERS,0),MATCH($A2091,CLASSNAMEHEADERS,0)))}</f>
        <v>LEARNED L04</v>
      </c>
      <c r="L2090" s="223" t="str">
        <f t="array" ref="L2090:L2091">{"LEARNED L05";(INDEX(ALLCLASSDATA,MATCH("Learned-L05",CLASSFEATUREHEADERS,0),MATCH($A2091,CLASSNAMEHEADERS,0)))}</f>
        <v>LEARNED L05</v>
      </c>
      <c r="M2090" s="223" t="str">
        <f t="array" ref="M2090:M2091">{"LEARNED L06";(INDEX(ALLCLASSDATA,MATCH("Learned-L06",CLASSFEATUREHEADERS,0),MATCH($A2091,CLASSNAMEHEADERS,0)))}</f>
        <v>LEARNED L06</v>
      </c>
      <c r="N2090" s="223" t="str">
        <f t="array" ref="N2090:N2091">{"LEARNED L07";(INDEX(ALLCLASSDATA,MATCH("Learned-L07",CLASSFEATUREHEADERS,0),MATCH($A2091,CLASSNAMEHEADERS,0)))}</f>
        <v>LEARNED L07</v>
      </c>
      <c r="O2090" s="223" t="str">
        <f t="array" ref="O2090:O2091">{"LEARNED L08";(INDEX(ALLCLASSDATA,MATCH("Learned-L08",CLASSFEATUREHEADERS,0),MATCH($A2091,CLASSNAMEHEADERS,0)))}</f>
        <v>LEARNED L08</v>
      </c>
      <c r="P2090" s="223" t="str">
        <f t="array" ref="P2090:P2091">{"LEARNED L09";(INDEX(ALLCLASSDATA,MATCH("Learned-L09",CLASSFEATUREHEADERS,0),MATCH($A2091,CLASSNAMEHEADERS,0)))}</f>
        <v>LEARNED L09</v>
      </c>
      <c r="Q2090" s="223" t="str">
        <f t="array" ref="Q2090:Q2091">{"LEARNED L10";(INDEX(ALLCLASSDATA,MATCH("Learned-L10",CLASSFEATUREHEADERS,0),MATCH($A2091,CLASSNAMEHEADERS,0)))}</f>
        <v>LEARNED L10</v>
      </c>
      <c r="R2090" s="223" t="str">
        <f t="array" ref="R2090:R2091">{"LEARNED L11";(INDEX(ALLCLASSDATA,MATCH("Learned-L11",CLASSFEATUREHEADERS,0),MATCH($A2091,CLASSNAMEHEADERS,0)))}</f>
        <v>LEARNED L11</v>
      </c>
      <c r="S2090" s="223" t="str">
        <f t="array" ref="S2090:S2091">{"LEARNED L12";(INDEX(ALLCLASSDATA,MATCH("Learned-L12",CLASSFEATUREHEADERS,0),MATCH($A2091,CLASSNAMEHEADERS,0)))}</f>
        <v>LEARNED L12</v>
      </c>
      <c r="T2090" s="223" t="str">
        <f t="array" ref="T2090:T2091">{"LEARNED L13";(INDEX(ALLCLASSDATA,MATCH("Learned-L13",CLASSFEATUREHEADERS,0),MATCH($A2091,CLASSNAMEHEADERS,0)))}</f>
        <v>LEARNED L13</v>
      </c>
      <c r="U2090" s="223" t="str">
        <f t="array" ref="U2090:U2091">{"LEARNED L14";(INDEX(ALLCLASSDATA,MATCH("Learned-L14",CLASSFEATUREHEADERS,0),MATCH($A2091,CLASSNAMEHEADERS,0)))}</f>
        <v>LEARNED L14</v>
      </c>
      <c r="V2090" s="223" t="str">
        <f t="array" ref="V2090:V2091">{"LEARNED L15";(INDEX(ALLCLASSDATA,MATCH("Learned-L15",CLASSFEATUREHEADERS,0),MATCH($A2091,CLASSNAMEHEADERS,0)))}</f>
        <v>LEARNED L15</v>
      </c>
      <c r="W2090" s="223" t="str">
        <f t="array" ref="W2090:W2091">{"LEARNED L16";(INDEX(ALLCLASSDATA,MATCH("Learned-L16",CLASSFEATUREHEADERS,0),MATCH($A2091,CLASSNAMEHEADERS,0)))}</f>
        <v>LEARNED L16</v>
      </c>
      <c r="X2090" s="223" t="str">
        <f t="array" ref="X2090:X2091">{"LEARNED L17";(INDEX(ALLCLASSDATA,MATCH("Learned-L17",CLASSFEATUREHEADERS,0),MATCH($A2091,CLASSNAMEHEADERS,0)))}</f>
        <v>LEARNED L17</v>
      </c>
      <c r="Y2090" s="223" t="str">
        <f t="array" ref="Y2090:Y2091">{"LEARNED L18";(INDEX(ALLCLASSDATA,MATCH("Learned-L18",CLASSFEATUREHEADERS,0),MATCH($A2091,CLASSNAMEHEADERS,0)))}</f>
        <v>LEARNED L18</v>
      </c>
      <c r="Z2090" s="223" t="str">
        <f t="array" ref="Z2090:Z2091">{"LEARNED L19";(INDEX(ALLCLASSDATA,MATCH("Learned-L19",CLASSFEATUREHEADERS,0),MATCH($A2091,CLASSNAMEHEADERS,0)))}</f>
        <v>LEARNED L19</v>
      </c>
      <c r="AA2090" s="223" t="str">
        <f t="array" ref="AA2090:AA2091">{"LEARNED L20";(INDEX(ALLCLASSDATA,MATCH("Learned-L20",CLASSFEATUREHEADERS,0),MATCH($A2091,CLASSNAMEHEADERS,0)))}</f>
        <v>LEARNED L20</v>
      </c>
      <c r="AB2090" s="76"/>
      <c r="AC2090" s="76"/>
    </row>
    <row r="2091">
      <c r="A2091" s="48" t="s">
        <v>233</v>
      </c>
      <c r="B2091" s="48"/>
      <c r="C2091" s="48" t="s">
        <v>418</v>
      </c>
      <c r="D2091" s="48" t="s">
        <v>1901</v>
      </c>
      <c r="E2091" s="48" t="s">
        <v>1935</v>
      </c>
      <c r="F2091" s="278" t="s">
        <v>1909</v>
      </c>
      <c r="G2091" s="280" t="s">
        <v>1530</v>
      </c>
      <c r="H2091" s="278" t="s">
        <v>1539</v>
      </c>
      <c r="I2091" s="278" t="s">
        <v>1537</v>
      </c>
      <c r="J2091" s="278" t="s">
        <v>1539</v>
      </c>
      <c r="K2091" s="278" t="s">
        <v>1537</v>
      </c>
      <c r="L2091" s="278" t="s">
        <v>1539</v>
      </c>
      <c r="M2091" s="278" t="s">
        <v>1537</v>
      </c>
      <c r="N2091" s="278" t="s">
        <v>1539</v>
      </c>
      <c r="O2091" s="50" t="s">
        <v>1537</v>
      </c>
      <c r="P2091" s="278" t="s">
        <v>1539</v>
      </c>
      <c r="Q2091" s="278" t="s">
        <v>1537</v>
      </c>
      <c r="R2091" s="278" t="s">
        <v>1539</v>
      </c>
      <c r="S2091" s="278" t="s">
        <v>1537</v>
      </c>
      <c r="T2091" s="278" t="s">
        <v>1539</v>
      </c>
      <c r="U2091" s="278" t="s">
        <v>1537</v>
      </c>
      <c r="V2091" s="278" t="s">
        <v>1539</v>
      </c>
      <c r="W2091" s="278" t="s">
        <v>1537</v>
      </c>
      <c r="X2091" s="278" t="s">
        <v>1539</v>
      </c>
      <c r="Y2091" s="278" t="s">
        <v>1537</v>
      </c>
      <c r="Z2091" s="278" t="s">
        <v>1538</v>
      </c>
      <c r="AA2091" s="278"/>
      <c r="AB2091" s="278"/>
      <c r="AC2091" s="47"/>
    </row>
    <row r="2092" hidden="1">
      <c r="A2092" s="222" t="str">
        <f t="array" ref="A2092:A2093">{"FormulaRow44";(INDEX(CLASSLIST,A2005,1))}</f>
        <v>FormulaRow44</v>
      </c>
      <c r="B2092" s="77" t="s">
        <v>236</v>
      </c>
      <c r="C2092" s="222" t="str">
        <f t="array" ref="C2092:C2093">{"CLASSTYPE";((INDEX(ALLCLASSDATA,MATCH("ClassType",CLASSFEATUREHEADERS,0),MATCH($A2093,CLASSNAMEHEADERS,0))))}</f>
        <v>CLASSTYPE</v>
      </c>
      <c r="D2092" s="222" t="str">
        <f t="array" ref="D2092:D2093">{"SPELL/ALCHEMY";((IF(INDEX(ALLCLASSDATA,MATCH("CasterType",CLASSFEATUREHEADERS,0),MATCH(($A2093),CLASSNAMEHEADERS,0))="","",(IF(INDEX(ALLCLASSDATA,MATCH("CasterType",CLASSFEATUREHEADERS,0),MATCH(($A2093),CLASSNAMEHEADERS,0))="Alchemy","","Spells")))))}</f>
        <v>SPELL/ALCHEMY</v>
      </c>
      <c r="E2092" s="222" t="str">
        <f t="array" ref="E2092:E2093">{"SPELLLIST";(IF(D2093="Spells",((INDEX(ALLCLASSDATA,MATCH("CasterType",CLASSFEATUREHEADERS,0),MATCH(($A2093),CLASSNAMEHEADERS,0))) &amp; ":" &amp; (INDEX(ALLCLASSDATA,MATCH("SpellList",CLASSFEATUREHEADERS,0),MATCH(($A2093),CLASSNAMEHEADERS,0)))),""))}</f>
        <v>SPELLLIST</v>
      </c>
      <c r="F2092" s="223" t="str">
        <f t="array" ref="F2092:F2093">{"TOTALSLOTS";(IF(D2093="","","TotalSlots:"))}</f>
        <v>TOTALSLOTS</v>
      </c>
      <c r="G2092" s="223" t="str">
        <f t="array" ref="G2092:G2093">{"TOTALCANTRIPSLOTS";(G2089)}</f>
        <v>TOTALCANTRIPSLOTS</v>
      </c>
      <c r="H2092" s="223" t="str">
        <f t="array" ref="H2092:H2093">{"TOTALSLOTS L01";(H2089)}</f>
        <v>TOTALSLOTS L01</v>
      </c>
      <c r="I2092" s="223" t="str">
        <f t="array" ref="I2092:I2093">{"TOTALSLOTS L02";(H2093+I2089)}</f>
        <v>TOTALSLOTS L02</v>
      </c>
      <c r="J2092" s="223" t="str">
        <f t="array" ref="J2092:J2093">{"TOTALSLOTS L03";(I2093+J2089)}</f>
        <v>TOTALSLOTS L03</v>
      </c>
      <c r="K2092" s="223" t="str">
        <f t="array" ref="K2092:K2093">{"TOTALSLOTS L04";(J2093+K2089)}</f>
        <v>TOTALSLOTS L04</v>
      </c>
      <c r="L2092" s="223" t="str">
        <f t="array" ref="L2092:L2093">{"TOTALSLOTS L05";(K2093+L2089)}</f>
        <v>TOTALSLOTS L05</v>
      </c>
      <c r="M2092" s="223" t="str">
        <f t="array" ref="M2092:M2093">{"TOTALSLOTS L06";(L2093+M2089)}</f>
        <v>TOTALSLOTS L06</v>
      </c>
      <c r="N2092" s="223" t="str">
        <f t="array" ref="N2092:N2093">{"TOTALSLOTS L07";(M2093+N2089)}</f>
        <v>TOTALSLOTS L07</v>
      </c>
      <c r="O2092" s="223" t="str">
        <f t="array" ref="O2092:O2093">{"TOTALSLOTS L08";(N2093+O2089)}</f>
        <v>TOTALSLOTS L08</v>
      </c>
      <c r="P2092" s="223" t="str">
        <f t="array" ref="P2092:P2093">{"TOTALSLOTS L09";(O2093+P2089)}</f>
        <v>TOTALSLOTS L09</v>
      </c>
      <c r="Q2092" s="223" t="str">
        <f t="array" ref="Q2092:Q2093">{"TOTALSLOTS L10";(P2093+Q2089)}</f>
        <v>TOTALSLOTS L10</v>
      </c>
      <c r="R2092" s="223" t="str">
        <f t="array" ref="R2092:R2093">{"TOTALSLOTS L11";(Q2093+R2089)}</f>
        <v>TOTALSLOTS L11</v>
      </c>
      <c r="S2092" s="223" t="str">
        <f t="array" ref="S2092:S2093">{"TOTALSLOTS L12";(R2093+S2089)}</f>
        <v>TOTALSLOTS L12</v>
      </c>
      <c r="T2092" s="223" t="str">
        <f t="array" ref="T2092:T2093">{"TOTALSLOTS L13";(S2093+T2089)}</f>
        <v>TOTALSLOTS L13</v>
      </c>
      <c r="U2092" s="223" t="str">
        <f t="array" ref="U2092:U2093">{"TOTALSLOTS L14";(T2093+U2089)}</f>
        <v>TOTALSLOTS L14</v>
      </c>
      <c r="V2092" s="223" t="str">
        <f t="array" ref="V2092:V2093">{"TOTALSLOTS L15";(U2093+V2089)}</f>
        <v>TOTALSLOTS L15</v>
      </c>
      <c r="W2092" s="223" t="str">
        <f t="array" ref="W2092:W2093">{"TOTALSLOTS L16";(V2093+W2089)}</f>
        <v>TOTALSLOTS L16</v>
      </c>
      <c r="X2092" s="223" t="str">
        <f t="array" ref="X2092:X2093">{"TOTALSLOTS L17";(W2093+X2089)}</f>
        <v>TOTALSLOTS L17</v>
      </c>
      <c r="Y2092" s="223" t="str">
        <f t="array" ref="Y2092:Y2093">{"TOTALSLOTS L18";(X2093+Y2089)}</f>
        <v>TOTALSLOTS L18</v>
      </c>
      <c r="Z2092" s="223" t="str">
        <f t="array" ref="Z2092:Z2093">{"TOTALSLOTS L19";(Y2093+Z2089)}</f>
        <v>TOTALSLOTS L19</v>
      </c>
      <c r="AA2092" s="223" t="str">
        <f t="array" ref="AA2092:AA2093">{"TOTALSLOTS L20";(Z2093+AA2089)}</f>
        <v>TOTALSLOTS L20</v>
      </c>
      <c r="AB2092" s="76"/>
      <c r="AC2092" s="76"/>
    </row>
    <row r="2093">
      <c r="A2093" s="48" t="s">
        <v>233</v>
      </c>
      <c r="B2093" s="48"/>
      <c r="C2093" s="48" t="s">
        <v>418</v>
      </c>
      <c r="D2093" s="48" t="s">
        <v>1901</v>
      </c>
      <c r="E2093" s="48" t="s">
        <v>1935</v>
      </c>
      <c r="F2093" s="278" t="s">
        <v>1910</v>
      </c>
      <c r="G2093" s="280"/>
      <c r="H2093" s="278" t="s">
        <v>1539</v>
      </c>
      <c r="I2093" s="278">
        <v>4.0</v>
      </c>
      <c r="J2093" s="278">
        <v>7.0</v>
      </c>
      <c r="K2093" s="278">
        <v>8.0</v>
      </c>
      <c r="L2093" s="278">
        <v>11.0</v>
      </c>
      <c r="M2093" s="278">
        <v>12.0</v>
      </c>
      <c r="N2093" s="278">
        <v>15.0</v>
      </c>
      <c r="O2093" s="278">
        <v>16.0</v>
      </c>
      <c r="P2093" s="278">
        <v>19.0</v>
      </c>
      <c r="Q2093" s="278">
        <v>20.0</v>
      </c>
      <c r="R2093" s="278">
        <v>23.0</v>
      </c>
      <c r="S2093" s="278">
        <v>24.0</v>
      </c>
      <c r="T2093" s="278">
        <v>27.0</v>
      </c>
      <c r="U2093" s="278">
        <v>28.0</v>
      </c>
      <c r="V2093" s="278">
        <v>31.0</v>
      </c>
      <c r="W2093" s="278">
        <v>32.0</v>
      </c>
      <c r="X2093" s="278">
        <v>35.0</v>
      </c>
      <c r="Y2093" s="278">
        <v>36.0</v>
      </c>
      <c r="Z2093" s="278">
        <v>37.0</v>
      </c>
      <c r="AA2093" s="278">
        <v>37.0</v>
      </c>
      <c r="AB2093" s="5"/>
      <c r="AC2093" s="47"/>
    </row>
    <row r="2094" hidden="1">
      <c r="A2094" s="222" t="str">
        <f t="array" ref="A2094:A2095">{"FormulaRow45";(INDEX(CLASSLIST,A2005,1))}</f>
        <v>FormulaRow45</v>
      </c>
      <c r="B2094" s="77" t="s">
        <v>236</v>
      </c>
      <c r="C2094" s="222" t="str">
        <f t="array" ref="C2094:C2095">{"CLASSTYPE";((INDEX(ALLCLASSDATA,MATCH("ClassType",CLASSFEATUREHEADERS,0),MATCH($A2095,CLASSNAMEHEADERS,0))))}</f>
        <v>CLASSTYPE</v>
      </c>
      <c r="D2094" s="222" t="str">
        <f t="array" ref="D2094:D2095">{"SPELL/ALCHEMY";((IF(INDEX(ALLCLASSDATA,MATCH("CasterType",CLASSFEATUREHEADERS,0),MATCH(($A2095),CLASSNAMEHEADERS,0))="","",(IF(INDEX(ALLCLASSDATA,MATCH("CasterType",CLASSFEATUREHEADERS,0),MATCH(($A2095),CLASSNAMEHEADERS,0))="Alchemy","Alchemy","Spells")))))}</f>
        <v>SPELL/ALCHEMY</v>
      </c>
      <c r="E2094" s="222" t="str">
        <f t="array" ref="E2094:E2095">{"SPELLLIST";(IF(D2095="Spells",((INDEX(ALLCLASSDATA,MATCH("CasterType",CLASSFEATUREHEADERS,0),MATCH(($A2095),CLASSNAMEHEADERS,0))) &amp; ":" &amp; (INDEX(ALLCLASSDATA,MATCH("SpellList",CLASSFEATUREHEADERS,0),MATCH(($A2095),CLASSNAMEHEADERS,0)))),""))}</f>
        <v>SPELLLIST</v>
      </c>
      <c r="F2094" s="223" t="str">
        <f t="array" ref="F2094:F2095">{"TOTALLEARNED";(IF(D2095="","","TotalLearned:"))}</f>
        <v>TOTALLEARNED</v>
      </c>
      <c r="G2094" s="223" t="str">
        <f t="array" ref="G2094:G2095">{"TOTALCANTRIPSLEARNED";(G2091)}</f>
        <v>TOTALCANTRIPSLEARNED</v>
      </c>
      <c r="H2094" s="223" t="str">
        <f t="array" ref="H2094:H2095">{"TOTALLEARNED L01";(H2091)}</f>
        <v>TOTALLEARNED L01</v>
      </c>
      <c r="I2094" s="223" t="str">
        <f t="array" ref="I2094:I2095">{"TOTALLEARNED L02";(H2095+I2091)}</f>
        <v>TOTALLEARNED L02</v>
      </c>
      <c r="J2094" s="223" t="str">
        <f t="array" ref="J2094:J2095">{"TOTALLEARNED L03";(I2095+J2091)}</f>
        <v>TOTALLEARNED L03</v>
      </c>
      <c r="K2094" s="223" t="str">
        <f t="array" ref="K2094:K2095">{"TOTALLEARNED L04";(J2095+K2091)}</f>
        <v>TOTALLEARNED L04</v>
      </c>
      <c r="L2094" s="223" t="str">
        <f t="array" ref="L2094:L2095">{"TOTALLEARNED L05";(K2095+L2091)}</f>
        <v>TOTALLEARNED L05</v>
      </c>
      <c r="M2094" s="223" t="str">
        <f t="array" ref="M2094:M2095">{"TOTALLEARNED L06";(L2095+M2091)}</f>
        <v>TOTALLEARNED L06</v>
      </c>
      <c r="N2094" s="223" t="str">
        <f t="array" ref="N2094:N2095">{"TOTALLEARNED L07";(M2095+N2091)}</f>
        <v>TOTALLEARNED L07</v>
      </c>
      <c r="O2094" s="223" t="str">
        <f t="array" ref="O2094:O2095">{"TOTALLEARNED L08";(N2095+O2091)}</f>
        <v>TOTALLEARNED L08</v>
      </c>
      <c r="P2094" s="223" t="str">
        <f t="array" ref="P2094:P2095">{"TOTALLEARNED L09";(O2095+P2091)}</f>
        <v>TOTALLEARNED L09</v>
      </c>
      <c r="Q2094" s="223" t="str">
        <f t="array" ref="Q2094:Q2095">{"TOTALLEARNED L10";(P2095+Q2091)}</f>
        <v>TOTALLEARNED L10</v>
      </c>
      <c r="R2094" s="223" t="str">
        <f t="array" ref="R2094:R2095">{"TOTALLEARNED L11";(Q2095+R2091)}</f>
        <v>TOTALLEARNED L11</v>
      </c>
      <c r="S2094" s="223" t="str">
        <f t="array" ref="S2094:S2095">{"TOTALLEARNED L12";(R2095+S2091)}</f>
        <v>TOTALLEARNED L12</v>
      </c>
      <c r="T2094" s="223" t="str">
        <f t="array" ref="T2094:T2095">{"TOTALLEARNED L13";(S2095+T2091)}</f>
        <v>TOTALLEARNED L13</v>
      </c>
      <c r="U2094" s="223" t="str">
        <f t="array" ref="U2094:U2095">{"TOTALLEARNED L14";(T2095+U2091)}</f>
        <v>TOTALLEARNED L14</v>
      </c>
      <c r="V2094" s="223" t="str">
        <f t="array" ref="V2094:V2095">{"TOTALLEARNED L15";(U2095+V2091)}</f>
        <v>TOTALLEARNED L15</v>
      </c>
      <c r="W2094" s="223" t="str">
        <f t="array" ref="W2094:W2095">{"TOTALLEARNED L16";(V2095+W2091)}</f>
        <v>TOTALLEARNED L16</v>
      </c>
      <c r="X2094" s="223" t="str">
        <f t="array" ref="X2094:X2095">{"TOTALLEARNED L17";(W2095+X2091)}</f>
        <v>TOTALLEARNED L17</v>
      </c>
      <c r="Y2094" s="223" t="str">
        <f t="array" ref="Y2094:Y2095">{"TOTALLEARNED L18";(X2095+Y2091)}</f>
        <v>TOTALLEARNED L18</v>
      </c>
      <c r="Z2094" s="223" t="str">
        <f t="array" ref="Z2094:Z2095">{"TOTALLEARNED L19";(Y2095+Z2091)}</f>
        <v>TOTALLEARNED L19</v>
      </c>
      <c r="AA2094" s="223" t="str">
        <f t="array" ref="AA2094:AA2095">{"TOTALLEARNED L20";(Z2095+AA2091)}</f>
        <v>TOTALLEARNED L20</v>
      </c>
      <c r="AB2094" s="76"/>
      <c r="AC2094" s="76"/>
    </row>
    <row r="2095">
      <c r="A2095" s="97" t="s">
        <v>233</v>
      </c>
      <c r="B2095" s="97"/>
      <c r="C2095" s="97" t="s">
        <v>418</v>
      </c>
      <c r="D2095" s="97" t="s">
        <v>1901</v>
      </c>
      <c r="E2095" s="97" t="s">
        <v>1935</v>
      </c>
      <c r="F2095" s="281" t="s">
        <v>1911</v>
      </c>
      <c r="G2095" s="282" t="s">
        <v>1530</v>
      </c>
      <c r="H2095" s="278" t="s">
        <v>1539</v>
      </c>
      <c r="I2095" s="278">
        <v>4.0</v>
      </c>
      <c r="J2095" s="278">
        <v>7.0</v>
      </c>
      <c r="K2095" s="278">
        <v>8.0</v>
      </c>
      <c r="L2095" s="278">
        <v>11.0</v>
      </c>
      <c r="M2095" s="278">
        <v>12.0</v>
      </c>
      <c r="N2095" s="278">
        <v>15.0</v>
      </c>
      <c r="O2095" s="278">
        <v>16.0</v>
      </c>
      <c r="P2095" s="278">
        <v>19.0</v>
      </c>
      <c r="Q2095" s="278">
        <v>20.0</v>
      </c>
      <c r="R2095" s="278">
        <v>23.0</v>
      </c>
      <c r="S2095" s="278">
        <v>24.0</v>
      </c>
      <c r="T2095" s="278">
        <v>27.0</v>
      </c>
      <c r="U2095" s="278">
        <v>28.0</v>
      </c>
      <c r="V2095" s="278">
        <v>31.0</v>
      </c>
      <c r="W2095" s="278">
        <v>32.0</v>
      </c>
      <c r="X2095" s="278">
        <v>35.0</v>
      </c>
      <c r="Y2095" s="278">
        <v>36.0</v>
      </c>
      <c r="Z2095" s="278">
        <v>38.0</v>
      </c>
      <c r="AA2095" s="278">
        <v>38.0</v>
      </c>
      <c r="AB2095" s="5"/>
      <c r="AC2095" s="47"/>
    </row>
    <row r="2096">
      <c r="A2096" s="55">
        <f>VLOOKUP($C2096, CLASSNUMBERFINDER, 2, false)</f>
        <v>24</v>
      </c>
      <c r="B2096" s="58"/>
      <c r="C2096" s="70" t="s">
        <v>238</v>
      </c>
      <c r="D2096" s="71"/>
      <c r="E2096" s="71"/>
      <c r="F2096" s="71"/>
      <c r="G2096" s="72"/>
      <c r="H2096" s="71"/>
      <c r="I2096" s="71"/>
      <c r="J2096" s="71"/>
      <c r="K2096" s="71"/>
      <c r="L2096" s="71"/>
      <c r="M2096" s="71"/>
      <c r="N2096" s="71"/>
      <c r="O2096" s="71"/>
      <c r="P2096" s="71"/>
      <c r="Q2096" s="71"/>
      <c r="R2096" s="71"/>
      <c r="S2096" s="71"/>
      <c r="T2096" s="71"/>
      <c r="U2096" s="71"/>
      <c r="V2096" s="71"/>
      <c r="W2096" s="71"/>
      <c r="X2096" s="71"/>
      <c r="Y2096" s="71"/>
      <c r="Z2096" s="71"/>
      <c r="AA2096" s="71"/>
      <c r="AB2096" s="71"/>
      <c r="AC2096" s="73"/>
    </row>
    <row r="2097" hidden="1">
      <c r="A2097" s="76" t="str">
        <f t="array" ref="A2097:A2098">{"FormulaRow01";(INDEX(CLASSLIST,A2096,1))}</f>
        <v>FormulaRow01</v>
      </c>
      <c r="B2097" s="77" t="s">
        <v>236</v>
      </c>
      <c r="C2097" s="76" t="str">
        <f t="array" ref="C2097:C2098">{"CLASSTYPE";(INDEX(ALLCLASSDATA,MATCH("ClassType",CLASSFEATUREHEADERS,0),MATCH($A2098,CLASSNAMEHEADERS,0)))}</f>
        <v>CLASSTYPE</v>
      </c>
      <c r="D2097" s="81" t="str">
        <f t="array" ref="D2097:D2098">{"TOTAL";("Total: " &amp; H2098+J2098+L2098+N2098+P2098+R2098+T2098+V2098+X2098+Z2098)}</f>
        <v>TOTAL</v>
      </c>
      <c r="E2097" s="81" t="str">
        <f t="array" ref="E2097:E2098">{"BALANCE";(IF((H2098+J2098+L2098+N2098+P2098+R2098+T2098+V2098+X2098+Z2098)=2100,"(balanced)",(IF((H2098+J2098+L2098+N2098+P2098+R2098+T2098+V2098+X2098+Z2098)&gt;2100,"OVERBUDGET: ","UNDERBUDGET: ")) &amp; (H2098+J2098+L2098+N2098+P2098+R2098+T2098+V2098+X2098+Z2098-2100)))}</f>
        <v>BALANCE</v>
      </c>
      <c r="F2097" s="81"/>
      <c r="G2097" s="81"/>
      <c r="H2097" s="81" t="str">
        <f t="array" ref="H2097:H2098">{"SUM LVL0/1/2";((SUMIF(F2099:I2178,"&lt;&gt;#REF!")+(SUMIF(J2099:AA2106,"&lt;&gt;#REF!"))))}</f>
        <v>SUM LVL0/1/2</v>
      </c>
      <c r="I2097" s="81"/>
      <c r="J2097" s="81" t="str">
        <f t="array" ref="J2097:J2098">{"SUM LVL3/4";(SUMIF(J2107:K2178,"&lt;&gt;#REF!"))}</f>
        <v>SUM LVL3/4</v>
      </c>
      <c r="K2097" s="81"/>
      <c r="L2097" s="81" t="str">
        <f t="array" ref="L2097:L2098">{"SUM LVL5/6";(SUMIF(L2107:M2178,"&lt;&gt;#REF!"))}</f>
        <v>SUM LVL5/6</v>
      </c>
      <c r="M2097" s="81"/>
      <c r="N2097" s="81" t="str">
        <f t="array" ref="N2097:N2098">{"SUM LVL7/8";(SUMIF(N2107:O2178,"&lt;&gt;#REF!"))}</f>
        <v>SUM LVL7/8</v>
      </c>
      <c r="O2097" s="81"/>
      <c r="P2097" s="81" t="str">
        <f t="array" ref="P2097:P2098">{"SUM LVL9/10";(SUMIF(P2107:Q2178,"&lt;&gt;#REF!"))}</f>
        <v>SUM LVL9/10</v>
      </c>
      <c r="Q2097" s="81"/>
      <c r="R2097" s="81" t="str">
        <f t="array" ref="R2097:R2098">{"SUM LVL11/12";(SUMIF(R2107:S2178,"&lt;&gt;#REF!"))}</f>
        <v>SUM LVL11/12</v>
      </c>
      <c r="S2097" s="81"/>
      <c r="T2097" s="81" t="str">
        <f t="array" ref="T2097:T2098">{"SUM LVL13/14";(SUMIF(T2107:U2178,"&lt;&gt;#REF!"))}</f>
        <v>SUM LVL13/14</v>
      </c>
      <c r="U2097" s="81"/>
      <c r="V2097" s="81" t="str">
        <f t="array" ref="V2097:V2098">{"SUM LVL15/16";(SUMIF(V2107:W2178,"&lt;&gt;#REF!"))}</f>
        <v>SUM LVL15/16</v>
      </c>
      <c r="W2097" s="81"/>
      <c r="X2097" s="81" t="str">
        <f t="array" ref="X2097:X2098">{"SUM LVL17/18";(SUMIF(X2107:Y2178,"&lt;&gt;#REF!"))}</f>
        <v>SUM LVL17/18</v>
      </c>
      <c r="Y2097" s="81"/>
      <c r="Z2097" s="81" t="str">
        <f t="array" ref="Z2097:Z2098">{"SUM LVL19/20";(SUMIF(Z2107:AA2178,"&lt;&gt;#REF!"))}</f>
        <v>SUM LVL19/20</v>
      </c>
      <c r="AA2097" s="81"/>
      <c r="AB2097" s="76"/>
      <c r="AC2097" s="76" t="str">
        <f t="array" ref="AC2097:AC2098">{"SUM ROWTOTALS";(SUMIF(AC2100:AC2186,"&lt;&gt;#REF!"))}</f>
        <v>SUM ROWTOTALS</v>
      </c>
    </row>
    <row r="2098">
      <c r="A2098" s="48" t="s">
        <v>238</v>
      </c>
      <c r="B2098" s="48"/>
      <c r="C2098" s="48" t="e">
        <v>#N/A</v>
      </c>
      <c r="D2098" s="91" t="e">
        <v>#N/A</v>
      </c>
      <c r="E2098" s="92" t="e">
        <v>#N/A</v>
      </c>
      <c r="F2098" s="91"/>
      <c r="G2098" s="93"/>
      <c r="H2098" s="92" t="e">
        <v>#N/A</v>
      </c>
      <c r="I2098" s="92"/>
      <c r="J2098" s="92" t="e">
        <v>#N/A</v>
      </c>
      <c r="K2098" s="92"/>
      <c r="L2098" s="92" t="e">
        <v>#N/A</v>
      </c>
      <c r="M2098" s="92"/>
      <c r="N2098" s="92" t="e">
        <v>#N/A</v>
      </c>
      <c r="O2098" s="92"/>
      <c r="P2098" s="92" t="e">
        <v>#N/A</v>
      </c>
      <c r="Q2098" s="92"/>
      <c r="R2098" s="92" t="e">
        <v>#N/A</v>
      </c>
      <c r="S2098" s="92"/>
      <c r="T2098" s="92" t="e">
        <v>#N/A</v>
      </c>
      <c r="U2098" s="92"/>
      <c r="V2098" s="92" t="e">
        <v>#N/A</v>
      </c>
      <c r="W2098" s="92"/>
      <c r="X2098" s="92" t="e">
        <v>#N/A</v>
      </c>
      <c r="Y2098" s="92"/>
      <c r="Z2098" s="92" t="e">
        <v>#N/A</v>
      </c>
      <c r="AA2098" s="92"/>
      <c r="AB2098" s="5"/>
      <c r="AC2098" s="47" t="e">
        <v>#N/A</v>
      </c>
    </row>
    <row r="2099" hidden="1">
      <c r="A2099" s="76" t="str">
        <f t="array" ref="A2099:A2100">{"FormulaRow02";(INDEX(CLASSLIST,A2096,1))}</f>
        <v>FormulaRow02</v>
      </c>
      <c r="B2099" s="77" t="s">
        <v>236</v>
      </c>
      <c r="C2099" s="76" t="str">
        <f t="array" ref="C2099:C2100">{"CLASSTYPE";((INDEX(ALLCLASSDATA,MATCH("ClassType",CLASSFEATUREHEADERS,0),MATCH($A2100,CLASSNAMEHEADERS,0))))}</f>
        <v>CLASSTYPE</v>
      </c>
      <c r="D2099" s="81" t="str">
        <f t="array" ref="D2099:D2100">{"FEATURES";"Features"}</f>
        <v>FEATURES</v>
      </c>
      <c r="E2099" s="81" t="str">
        <f t="array" ref="E2099:E2100">{"INITIALFEATURES";"Initial Features"}</f>
        <v>INITIALFEATURES</v>
      </c>
      <c r="F2099" s="81" t="str">
        <f t="array" ref="F2099:F2100">{"KEY";"Key"}</f>
        <v>KEY</v>
      </c>
      <c r="G2099" s="81" t="str">
        <f t="array" ref="G2099:G2100">{"HP";"HP"}</f>
        <v>HP</v>
      </c>
      <c r="H2099" s="81" t="str">
        <f t="array" ref="H2099:H2100">{"CLASSFEATL01";"ClassFeatL01"}</f>
        <v>CLASSFEATL01</v>
      </c>
      <c r="I2099" s="81" t="str">
        <f t="array" ref="I2099:I2100">{"SHIELDBLOCKL01";"ShieldBlockL01"}</f>
        <v>SHIELDBLOCKL01</v>
      </c>
      <c r="J2099" s="81" t="str">
        <f t="array" ref="J2099:J2100">{"INITIALSKILLS";"InitialSkills"}</f>
        <v>INITIALSKILLS</v>
      </c>
      <c r="K2099" s="81" t="str">
        <f t="array" ref="K2099:K2100">{"SUBCLASSSKILLS";"SubclassSkills"}</f>
        <v>SUBCLASSSKILLS</v>
      </c>
      <c r="L2099" s="81" t="str">
        <f t="array" ref="L2099:L2100">{"GRANTEDSKILLS";"GrantedSkills"}</f>
        <v>GRANTEDSKILLS</v>
      </c>
      <c r="M2099" s="81"/>
      <c r="N2099" s="81"/>
      <c r="O2099" s="81"/>
      <c r="P2099" s="81" t="str">
        <f t="array" ref="P2099:P2100">{"FOCUSSPELLS";"FocusSpells:"}</f>
        <v>FOCUSSPELLS</v>
      </c>
      <c r="Q2099" s="81" t="str">
        <f t="array" ref="Q2099:Q2100">{"FOCUSSPELL1-L00";((INDEX(ALLCLASSDATA,MATCH("FocusSpell1-L00",CLASSFEATUREHEADERS,0),MATCH(($A2100),CLASSNAMEHEADERS,0))))}</f>
        <v>FOCUSSPELL1-L00</v>
      </c>
      <c r="R2099" s="81" t="str">
        <f t="array" ref="R2099:R2100">{"FOCUSSPELL2-L00";((INDEX(ALLCLASSDATA,MATCH("FocusSpell2-L00",CLASSFEATUREHEADERS,0),MATCH(($A2100),CLASSNAMEHEADERS,0))))}</f>
        <v>FOCUSSPELL2-L00</v>
      </c>
      <c r="S2099" s="81" t="str">
        <f t="array" ref="S2099:S2100">{"FOCUSSPELL3-L00";((INDEX(ALLCLASSDATA,MATCH("FocusSpell3-L00",CLASSFEATUREHEADERS,0),MATCH(($A2100),CLASSNAMEHEADERS,0))))}</f>
        <v>FOCUSSPELL3-L00</v>
      </c>
      <c r="T2099" s="81" t="str">
        <f t="array" ref="T2099:T2100">{"FOCUSSPELL4-L00";((INDEX(ALLCLASSDATA,MATCH("FocusSpell4-L00",CLASSFEATUREHEADERS,0),MATCH(($A2100),CLASSNAMEHEADERS,0))))}</f>
        <v>FOCUSSPELL4-L00</v>
      </c>
      <c r="U2099" s="81" t="str">
        <f t="array" ref="U2099:U2100">{"FOCUSSPELL5-L00";((INDEX(ALLCLASSDATA,MATCH("FocusSpell5-L00",CLASSFEATUREHEADERS,0),MATCH(($A2100),CLASSNAMEHEADERS,0))))}</f>
        <v>FOCUSSPELL5-L00</v>
      </c>
      <c r="V2099" s="81"/>
      <c r="W2099" s="81"/>
      <c r="X2099" s="81"/>
      <c r="Y2099" s="81"/>
      <c r="Z2099" s="81"/>
      <c r="AA2099" s="81"/>
      <c r="AB2099" s="76"/>
      <c r="AC2099" s="76"/>
    </row>
    <row r="2100">
      <c r="A2100" s="48" t="s">
        <v>238</v>
      </c>
      <c r="B2100" s="48"/>
      <c r="C2100" s="48" t="e">
        <v>#N/A</v>
      </c>
      <c r="D2100" s="48" t="s">
        <v>467</v>
      </c>
      <c r="E2100" s="48" t="s">
        <v>468</v>
      </c>
      <c r="F2100" s="48" t="s">
        <v>469</v>
      </c>
      <c r="G2100" s="114" t="s">
        <v>15</v>
      </c>
      <c r="H2100" s="8" t="s">
        <v>451</v>
      </c>
      <c r="I2100" s="8" t="s">
        <v>463</v>
      </c>
      <c r="J2100" s="8" t="s">
        <v>473</v>
      </c>
      <c r="K2100" s="8" t="s">
        <v>474</v>
      </c>
      <c r="L2100" s="8" t="s">
        <v>475</v>
      </c>
      <c r="M2100" s="8"/>
      <c r="N2100" s="8"/>
      <c r="O2100" s="8"/>
      <c r="P2100" s="8" t="s">
        <v>476</v>
      </c>
      <c r="Q2100" s="8" t="e">
        <v>#N/A</v>
      </c>
      <c r="R2100" s="8" t="e">
        <v>#N/A</v>
      </c>
      <c r="S2100" s="8" t="e">
        <v>#N/A</v>
      </c>
      <c r="T2100" s="8" t="e">
        <v>#N/A</v>
      </c>
      <c r="U2100" s="8" t="e">
        <v>#N/A</v>
      </c>
      <c r="V2100" s="8"/>
      <c r="W2100" s="8"/>
      <c r="X2100" s="8"/>
      <c r="Y2100" s="8"/>
      <c r="Z2100" s="5"/>
      <c r="AA2100" s="5"/>
      <c r="AB2100" s="5"/>
      <c r="AC2100" s="47"/>
    </row>
    <row r="2101" hidden="1">
      <c r="A2101" s="76" t="str">
        <f t="array" ref="A2101:A2102">{"FormulaRow03";(INDEX(CLASSLIST,A2096,1))}</f>
        <v>FormulaRow03</v>
      </c>
      <c r="B2101" s="77" t="s">
        <v>236</v>
      </c>
      <c r="C2101" s="76" t="str">
        <f t="array" ref="C2101:C2102">{"CLASSTYPE";((INDEX(ALLCLASSDATA,MATCH("ClassType",CLASSFEATUREHEADERS,0),MATCH($A2102,CLASSNAMEHEADERS,0))))}</f>
        <v>CLASSTYPE</v>
      </c>
      <c r="D2101" s="76" t="str">
        <f t="array" ref="D2101:D2102">{"FEATUREPTS";"FeaturesPts"}</f>
        <v>FEATUREPTS</v>
      </c>
      <c r="E2101" s="76" t="str">
        <f t="array" ref="E2101:E2102">{"INITIALFEATURES";"Initial Features"}</f>
        <v>INITIALFEATURES</v>
      </c>
      <c r="F2101" s="76" t="str">
        <f t="array" ref="F2101:F2102">{"KEYABILITY";((INDEX(ALLCLASSDATA,MATCH("KEYABILITY",CLASSFEATUREHEADERS,0),MATCH($A2102,CLASSNAMEHEADERS,0))))}</f>
        <v>KEYABILITY</v>
      </c>
      <c r="G2101" s="76" t="str">
        <f t="array" ref="G2101:G2102">{"HP";((INDEX(ALLCLASSDATA,MATCH("HP",CLASSFEATUREHEADERS,0),MATCH(($A2102 &amp; "Points"),CLASSNAMEHEADERS,0))))}</f>
        <v>HP</v>
      </c>
      <c r="H2101" s="76" t="str">
        <f t="array" ref="H2101:H2102">{"CLASSFEATL01";((INDEX(ALLCLASSDATA,MATCH("ClassFeatL01",CLASSFEATUREHEADERS,0),MATCH(($A2102 &amp; "Points"),CLASSNAMEHEADERS,0))))}</f>
        <v>CLASSFEATL01</v>
      </c>
      <c r="I2101" s="76" t="str">
        <f t="array" ref="I2101:I2102">{"SHIELDBLOCKL01";((INDEX(ALLCLASSDATA,MATCH("ShieldBlockL01",CLASSFEATUREHEADERS,0),MATCH(($A2102 &amp; "Points"),CLASSNAMEHEADERS,0))))}</f>
        <v>SHIELDBLOCKL01</v>
      </c>
      <c r="J2101" s="76" t="str">
        <f t="array" ref="J2101:J2102">{"INITIALSKILLINCREASES";((INDEX(ALLCLASSDATA,MATCH("InitialSkillIncreases",CLASSFEATUREHEADERS,0),MATCH(($A2102 &amp; "Points"),CLASSNAMEHEADERS,0))))}</f>
        <v>INITIALSKILLINCREASES</v>
      </c>
      <c r="K2101" s="76" t="str">
        <f t="array" ref="K2101:K2102">{"SUBCLASSSKILLINCREASES";((INDEX(ALLCLASSDATA,MATCH("SubclassSkillIncreases",CLASSFEATUREHEADERS,0),MATCH(($A2102 &amp; "Points"),CLASSNAMEHEADERS,0))))}</f>
        <v>SUBCLASSSKILLINCREASES</v>
      </c>
      <c r="L2101" s="76" t="str">
        <f t="array" ref="L2101:L2102">{"GRANTEDSKILLS";(((INDEX(ALLCLASSDATA,MATCH("SkillsGrantedTotal",CLASSFEATUREHEADERS,0),MATCH(($A2102 &amp; "Points"),CLASSNAMEHEADERS,0)))-(INDEX(ALLCLASSDATA,MATCH("InitialSkillIncreases",CLASSFEATUREHEADERS,0),MATCH(($A2102 &amp; "Points"),CLASSNAMEHEADERS,0)))-(INDEX(ALLCLASSDATA,MATCH("SubclassSkillIncreases",CLASSFEATUREHEADERS,0),MATCH(($A2102 &amp; "Points"),CLASSNAMEHEADERS,0)))))}</f>
        <v>GRANTEDSKILLS</v>
      </c>
      <c r="M2101" s="76"/>
      <c r="N2101" s="76"/>
      <c r="O2101" s="76"/>
      <c r="P2101" s="76"/>
      <c r="Q2101" s="76" t="str">
        <f t="array" ref="Q2101:Q2102">{"FOCUSSPELL1-L00";((INDEX(ALLCLASSDATA,MATCH("FocusSpell1-L00",CLASSFEATUREHEADERS,0),MATCH(($A2102 &amp; "Points"),CLASSNAMEHEADERS,0))))}</f>
        <v>FOCUSSPELL1-L00</v>
      </c>
      <c r="R2101" s="76" t="str">
        <f t="array" ref="R2101:R2102">{"FOCUSSPELL2-L00";((INDEX(ALLCLASSDATA,MATCH("FocusSpell2-L00",CLASSFEATUREHEADERS,0),MATCH(($A2102 &amp; "Points"),CLASSNAMEHEADERS,0))))}</f>
        <v>FOCUSSPELL2-L00</v>
      </c>
      <c r="S2101" s="76" t="str">
        <f t="array" ref="S2101:S2102">{"FOCUSSPELL3-L00";((INDEX(ALLCLASSDATA,MATCH("FocusSpell3-L00",CLASSFEATUREHEADERS,0),MATCH(($A2102 &amp; "Points"),CLASSNAMEHEADERS,0))))}</f>
        <v>FOCUSSPELL3-L00</v>
      </c>
      <c r="T2101" s="76" t="str">
        <f t="array" ref="T2101:T2102">{"FOCUSSPELL4-L00";((INDEX(ALLCLASSDATA,MATCH("FocusSpell4-L00",CLASSFEATUREHEADERS,0),MATCH(($A2102 &amp; "Points"),CLASSNAMEHEADERS,0))))}</f>
        <v>FOCUSSPELL4-L00</v>
      </c>
      <c r="U2101" s="76" t="str">
        <f t="array" ref="U2101:U2102">{"FOCUSSPELL5-L00";((INDEX(ALLCLASSDATA,MATCH("FocusSpell5-L00",CLASSFEATUREHEADERS,0),MATCH(($A2102 &amp; "Points"),CLASSNAMEHEADERS,0))))}</f>
        <v>FOCUSSPELL5-L00</v>
      </c>
      <c r="V2101" s="76"/>
      <c r="W2101" s="76"/>
      <c r="X2101" s="76"/>
      <c r="Y2101" s="76"/>
      <c r="Z2101" s="76"/>
      <c r="AA2101" s="76"/>
      <c r="AB2101" s="76"/>
      <c r="AC2101" s="76" t="str">
        <f t="array" ref="AC2101:AC2102">{"FEATUREPTS TOTAL";(sum(G2102:AA2102))}</f>
        <v>FEATUREPTS TOTAL</v>
      </c>
    </row>
    <row r="2102">
      <c r="A2102" s="48" t="s">
        <v>238</v>
      </c>
      <c r="B2102" s="48"/>
      <c r="C2102" s="48" t="e">
        <v>#N/A</v>
      </c>
      <c r="D2102" s="97" t="s">
        <v>559</v>
      </c>
      <c r="E2102" s="97" t="s">
        <v>468</v>
      </c>
      <c r="F2102" s="97" t="e">
        <v>#N/A</v>
      </c>
      <c r="G2102" s="132" t="e">
        <v>#N/A</v>
      </c>
      <c r="H2102" s="98" t="e">
        <v>#N/A</v>
      </c>
      <c r="I2102" s="98" t="e">
        <v>#N/A</v>
      </c>
      <c r="J2102" s="98" t="e">
        <v>#N/A</v>
      </c>
      <c r="K2102" s="98" t="e">
        <v>#N/A</v>
      </c>
      <c r="L2102" s="98" t="e">
        <v>#N/A</v>
      </c>
      <c r="M2102" s="98"/>
      <c r="N2102" s="98"/>
      <c r="O2102" s="98"/>
      <c r="P2102" s="98"/>
      <c r="Q2102" s="98" t="e">
        <v>#N/A</v>
      </c>
      <c r="R2102" s="98" t="e">
        <v>#N/A</v>
      </c>
      <c r="S2102" s="98" t="e">
        <v>#N/A</v>
      </c>
      <c r="T2102" s="98" t="e">
        <v>#N/A</v>
      </c>
      <c r="U2102" s="98" t="e">
        <v>#N/A</v>
      </c>
      <c r="V2102" s="98"/>
      <c r="W2102" s="98"/>
      <c r="X2102" s="98"/>
      <c r="Y2102" s="98"/>
      <c r="Z2102" s="98"/>
      <c r="AA2102" s="98"/>
      <c r="AB2102" s="5"/>
      <c r="AC2102" s="47" t="e">
        <v>#N/A</v>
      </c>
    </row>
    <row r="2103" hidden="1">
      <c r="A2103" s="76" t="str">
        <f t="array" ref="A2103:A2104">{"FormulaRow04";(INDEX(CLASSLIST,A2096,1))}</f>
        <v>FormulaRow04</v>
      </c>
      <c r="B2103" s="77" t="s">
        <v>236</v>
      </c>
      <c r="C2103" s="76" t="str">
        <f t="array" ref="C2103:C2104">{"CLASSTYPE";((INDEX(ALLCLASSDATA,MATCH("ClassType",CLASSFEATUREHEADERS,0),MATCH($A2104,CLASSNAMEHEADERS,0))))}</f>
        <v>CLASSTYPE</v>
      </c>
      <c r="D2103" s="81" t="str">
        <f t="array" ref="D2103:D2104">{"INITIALFEATURES";"InitialFeatures"}</f>
        <v>INITIALFEATURES</v>
      </c>
      <c r="E2103" s="81" t="str">
        <f t="array" ref="E2103:E2104">{"CLASS/SUBCLASSFEATURES";"Class/Subclass Features"}</f>
        <v>CLASS/SUBCLASSFEATURES</v>
      </c>
      <c r="F2103" s="81"/>
      <c r="G2103" s="136"/>
      <c r="H2103" s="81" t="str">
        <f t="array" ref="H2103:H2104">{"CLASSINITIALABILITY1-L00";((INDEX(ALLCLASSDATA,MATCH("ClassInitialAbility1-L00",CLASSFEATUREHEADERS,0),MATCH(($A2104),CLASSNAMEHEADERS,0))))}</f>
        <v>CLASSINITIALABILITY1-L00</v>
      </c>
      <c r="I2103" s="81" t="str">
        <f t="array" ref="I2103:I2104">{"CLASSINITIALABILITY2-L00";((INDEX(ALLCLASSDATA,MATCH("ClassInitialAbility2-L00",CLASSFEATUREHEADERS,0),MATCH(($A2104),CLASSNAMEHEADERS,0))))}</f>
        <v>CLASSINITIALABILITY2-L00</v>
      </c>
      <c r="J2103" s="81" t="str">
        <f t="array" ref="J2103:J2104">{"CLASSINITIALABILITY3-L00";((INDEX(ALLCLASSDATA,MATCH("ClassInitialAbility3-L00",CLASSFEATUREHEADERS,0),MATCH(($A2104),CLASSNAMEHEADERS,0))))}</f>
        <v>CLASSINITIALABILITY3-L00</v>
      </c>
      <c r="K2103" s="81" t="str">
        <f t="array" ref="K2103:K2104">{"CLASSINITIALABILITY4-L00";((INDEX(ALLCLASSDATA,MATCH("ClassInitialAbility4-L00",CLASSFEATUREHEADERS,0),MATCH(($A2104),CLASSNAMEHEADERS,0))))}</f>
        <v>CLASSINITIALABILITY4-L00</v>
      </c>
      <c r="L2103" s="81" t="str">
        <f t="array" ref="L2103:L2104">{"CLASSINITIALABILITY5-L00";((INDEX(ALLCLASSDATA,MATCH("ClassInitialAbility5-L00",CLASSFEATUREHEADERS,0),MATCH(($A2104),CLASSNAMEHEADERS,0))))}</f>
        <v>CLASSINITIALABILITY5-L00</v>
      </c>
      <c r="M2103" s="81" t="str">
        <f t="array" ref="M2103:M2104">{"CLASSINITIALABILITY6-L00";((INDEX(ALLCLASSDATA,MATCH("ClassInitialAbility6-L00",CLASSFEATUREHEADERS,0),MATCH(($A2104),CLASSNAMEHEADERS,0))))}</f>
        <v>CLASSINITIALABILITY6-L00</v>
      </c>
      <c r="N2103" s="81" t="str">
        <f t="array" ref="N2103:N2104">{"CLASSINITIALABILITY7-L00";((INDEX(ALLCLASSDATA,MATCH("ClassInitialAbility7-L00",CLASSFEATUREHEADERS,0),MATCH(($A2104),CLASSNAMEHEADERS,0))))}</f>
        <v>CLASSINITIALABILITY7-L00</v>
      </c>
      <c r="O2103" s="81" t="str">
        <f t="array" ref="O2103:O2104">{"CLASSINITIALABILITY8-L00";((INDEX(ALLCLASSDATA,MATCH("ClassInitialAbility8-L00",CLASSFEATUREHEADERS,0),MATCH(($A2104),CLASSNAMEHEADERS,0))))}</f>
        <v>CLASSINITIALABILITY8-L00</v>
      </c>
      <c r="P2103" s="81" t="str">
        <f t="array" ref="P2103:P2104">{"CLASSINITIALABILITY9-L00";((INDEX(ALLCLASSDATA,MATCH("ClassInitialAbility9-L00",CLASSFEATUREHEADERS,0),MATCH(($A2104),CLASSNAMEHEADERS,0))))}</f>
        <v>CLASSINITIALABILITY9-L00</v>
      </c>
      <c r="Q2103" s="81" t="str">
        <f t="array" ref="Q2103:Q2104">{"CLASSINITIALABILITY10-L00";((INDEX(ALLCLASSDATA,MATCH("ClassInitialAbility10-L00",CLASSFEATUREHEADERS,0),MATCH(($A2104),CLASSNAMEHEADERS,0))))}</f>
        <v>CLASSINITIALABILITY10-L00</v>
      </c>
      <c r="R2103" s="81" t="str">
        <f t="array" ref="R2103:R2104">{"SUBCLASSINITIAL1-L00";((INDEX(ALLCLASSDATA,MATCH("SubclassInitial1-L00",CLASSFEATUREHEADERS,0),MATCH(($A2104),CLASSNAMEHEADERS,0))))}</f>
        <v>SUBCLASSINITIAL1-L00</v>
      </c>
      <c r="S2103" s="81" t="str">
        <f t="array" ref="S2103:S2104">{"SUBCLASSINITIAL2-L00";((INDEX(ALLCLASSDATA,MATCH("SubclassInitial2-L00",CLASSFEATUREHEADERS,0),MATCH(($A2104),CLASSNAMEHEADERS,0))))}</f>
        <v>SUBCLASSINITIAL2-L00</v>
      </c>
      <c r="T2103" s="81" t="str">
        <f t="array" ref="T2103:T2104">{"SUBCLASSINITIAL3-L00";((INDEX(ALLCLASSDATA,MATCH("SubclassInitial3-L00",CLASSFEATUREHEADERS,0),MATCH(($A2104),CLASSNAMEHEADERS,0))))}</f>
        <v>SUBCLASSINITIAL3-L00</v>
      </c>
      <c r="U2103" s="81" t="str">
        <f t="array" ref="U2103:U2104">{"SUBCLASSINITIAL4-L00";((INDEX(ALLCLASSDATA,MATCH("SubclassInitial4-L00",CLASSFEATUREHEADERS,0),MATCH(($A2104),CLASSNAMEHEADERS,0))))}</f>
        <v>SUBCLASSINITIAL4-L00</v>
      </c>
      <c r="V2103" s="81" t="str">
        <f t="array" ref="V2103:V2104">{"SUBCLASSINITIAL5-L00";((INDEX(ALLCLASSDATA,MATCH("SubclassInitial5-L00",CLASSFEATUREHEADERS,0),MATCH(($A2104),CLASSNAMEHEADERS,0))))}</f>
        <v>SUBCLASSINITIAL5-L00</v>
      </c>
      <c r="W2103" s="81" t="str">
        <f t="array" ref="W2103:W2104">{"SUBCLASSINITIAL6-L00";((INDEX(ALLCLASSDATA,MATCH("SubclassInitial6-L00",CLASSFEATUREHEADERS,0),MATCH(($A2104),CLASSNAMEHEADERS,0))))}</f>
        <v>SUBCLASSINITIAL6-L00</v>
      </c>
      <c r="X2103" s="81" t="str">
        <f t="array" ref="X2103:X2104">{"SUBCLASSINITIAL7-L00";((INDEX(ALLCLASSDATA,MATCH("SubclassInitial7-L00",CLASSFEATUREHEADERS,0),MATCH(($A2104),CLASSNAMEHEADERS,0))))}</f>
        <v>SUBCLASSINITIAL7-L00</v>
      </c>
      <c r="Y2103" s="81" t="str">
        <f t="array" ref="Y2103:Y2104">{"SUBCLASSINITIAL8-L00";((INDEX(ALLCLASSDATA,MATCH("SubclassInitial8-L00",CLASSFEATUREHEADERS,0),MATCH(($A2104),CLASSNAMEHEADERS,0))))}</f>
        <v>SUBCLASSINITIAL8-L00</v>
      </c>
      <c r="Z2103" s="81" t="str">
        <f t="array" ref="Z2103:Z2104">{"SUBCLASSINITIAL9-L00";((INDEX(ALLCLASSDATA,MATCH("SubclassInitial9-L00",CLASSFEATUREHEADERS,0),MATCH(($A2104),CLASSNAMEHEADERS,0))))}</f>
        <v>SUBCLASSINITIAL9-L00</v>
      </c>
      <c r="AA2103" s="81" t="str">
        <f t="array" ref="AA2103:AA2104">{"SUBCLASSINITIAL10-L00";((INDEX(ALLCLASSDATA,MATCH("SubclassInitial10-L00",CLASSFEATUREHEADERS,0),MATCH(($A2104),CLASSNAMEHEADERS,0))))}</f>
        <v>SUBCLASSINITIAL10-L00</v>
      </c>
      <c r="AB2103" s="76"/>
      <c r="AC2103" s="76"/>
    </row>
    <row r="2104">
      <c r="A2104" s="48" t="s">
        <v>238</v>
      </c>
      <c r="B2104" s="48"/>
      <c r="C2104" s="48" t="e">
        <v>#N/A</v>
      </c>
      <c r="D2104" s="48" t="s">
        <v>614</v>
      </c>
      <c r="E2104" s="48" t="s">
        <v>616</v>
      </c>
      <c r="F2104" s="48"/>
      <c r="G2104" s="47"/>
      <c r="H2104" s="5" t="e">
        <v>#N/A</v>
      </c>
      <c r="I2104" s="5" t="e">
        <v>#N/A</v>
      </c>
      <c r="J2104" s="5" t="e">
        <v>#N/A</v>
      </c>
      <c r="K2104" s="5" t="e">
        <v>#N/A</v>
      </c>
      <c r="L2104" s="5" t="e">
        <v>#N/A</v>
      </c>
      <c r="M2104" s="5" t="e">
        <v>#N/A</v>
      </c>
      <c r="N2104" s="5" t="e">
        <v>#N/A</v>
      </c>
      <c r="O2104" s="5" t="e">
        <v>#N/A</v>
      </c>
      <c r="P2104" s="5" t="e">
        <v>#N/A</v>
      </c>
      <c r="Q2104" s="5" t="e">
        <v>#N/A</v>
      </c>
      <c r="R2104" s="5" t="e">
        <v>#N/A</v>
      </c>
      <c r="S2104" s="5" t="e">
        <v>#N/A</v>
      </c>
      <c r="T2104" s="5" t="e">
        <v>#N/A</v>
      </c>
      <c r="U2104" s="5" t="e">
        <v>#N/A</v>
      </c>
      <c r="V2104" s="5" t="e">
        <v>#N/A</v>
      </c>
      <c r="W2104" s="5" t="e">
        <v>#N/A</v>
      </c>
      <c r="X2104" s="5" t="e">
        <v>#N/A</v>
      </c>
      <c r="Y2104" s="5" t="e">
        <v>#N/A</v>
      </c>
      <c r="Z2104" s="5" t="e">
        <v>#N/A</v>
      </c>
      <c r="AA2104" s="5" t="e">
        <v>#N/A</v>
      </c>
      <c r="AB2104" s="5"/>
      <c r="AC2104" s="47"/>
    </row>
    <row r="2105" hidden="1">
      <c r="A2105" s="76" t="str">
        <f t="array" ref="A2105:A2106">{"FormulaRow05";(INDEX(CLASSLIST,A2096,1))}</f>
        <v>FormulaRow05</v>
      </c>
      <c r="B2105" s="77" t="s">
        <v>236</v>
      </c>
      <c r="C2105" s="76" t="str">
        <f t="array" ref="C2105:C2106">{"CLASSTYPE";((INDEX(ALLCLASSDATA,MATCH("ClassType",CLASSFEATUREHEADERS,0),MATCH($A2106,CLASSNAMEHEADERS,0))))}</f>
        <v>CLASSTYPE</v>
      </c>
      <c r="D2105" s="76" t="str">
        <f t="array" ref="D2105:D2106">{"INITIALFEATURESPTS";"InitialFeaturesPts"}</f>
        <v>INITIALFEATURESPTS</v>
      </c>
      <c r="E2105" s="76" t="str">
        <f t="array" ref="E2105:E2106">{"CLASS/SUBCLASSFEATURES";"Class/Subclass Features"}</f>
        <v>CLASS/SUBCLASSFEATURES</v>
      </c>
      <c r="F2105" s="76"/>
      <c r="G2105" s="76"/>
      <c r="H2105" s="76" t="str">
        <f t="array" ref="H2105:H2106">{"CLASSINITIALABILITY1-L00PTS";((INDEX(ALLCLASSDATA,MATCH("ClassInitialAbility1-L00",CLASSFEATUREHEADERS,0),MATCH(($A2106 &amp; "Points"),CLASSNAMEHEADERS,0))))}</f>
        <v>CLASSINITIALABILITY1-L00PTS</v>
      </c>
      <c r="I2105" s="76" t="str">
        <f t="array" ref="I2105:I2106">{"CLASSINITIALABILITY2-L00PTS";((INDEX(ALLCLASSDATA,MATCH("ClassInitialAbility2-L00",CLASSFEATUREHEADERS,0),MATCH(($A2106 &amp; "Points"),CLASSNAMEHEADERS,0))))}</f>
        <v>CLASSINITIALABILITY2-L00PTS</v>
      </c>
      <c r="J2105" s="76" t="str">
        <f t="array" ref="J2105:J2106">{"CLASSINITIALABILITY3-L00PTS";((INDEX(ALLCLASSDATA,MATCH("ClassInitialAbility3-L00",CLASSFEATUREHEADERS,0),MATCH(($A2106 &amp; "Points"),CLASSNAMEHEADERS,0))))}</f>
        <v>CLASSINITIALABILITY3-L00PTS</v>
      </c>
      <c r="K2105" s="76" t="str">
        <f t="array" ref="K2105:K2106">{"CLASSINITIALABILITY4-L00PTS";((INDEX(ALLCLASSDATA,MATCH("ClassInitialAbility4-L00",CLASSFEATUREHEADERS,0),MATCH(($A2106 &amp; "Points"),CLASSNAMEHEADERS,0))))}</f>
        <v>CLASSINITIALABILITY4-L00PTS</v>
      </c>
      <c r="L2105" s="76" t="str">
        <f t="array" ref="L2105:L2106">{"CLASSINITIALABILITY5-L00PTS";((INDEX(ALLCLASSDATA,MATCH("ClassInitialAbility5-L00",CLASSFEATUREHEADERS,0),MATCH(($A2106 &amp; "Points"),CLASSNAMEHEADERS,0))))}</f>
        <v>CLASSINITIALABILITY5-L00PTS</v>
      </c>
      <c r="M2105" s="76" t="str">
        <f t="array" ref="M2105:M2106">{"CLASSINITIALABILITY6-L00PTS";((INDEX(ALLCLASSDATA,MATCH("ClassInitialAbility6-L00",CLASSFEATUREHEADERS,0),MATCH(($A2106 &amp; "Points"),CLASSNAMEHEADERS,0))))}</f>
        <v>CLASSINITIALABILITY6-L00PTS</v>
      </c>
      <c r="N2105" s="76" t="str">
        <f t="array" ref="N2105:N2106">{"CLASSINITIALABILITY7-L00PTS";((INDEX(ALLCLASSDATA,MATCH("ClassInitialAbility7-L00",CLASSFEATUREHEADERS,0),MATCH(($A2106 &amp; "Points"),CLASSNAMEHEADERS,0))))}</f>
        <v>CLASSINITIALABILITY7-L00PTS</v>
      </c>
      <c r="O2105" s="76" t="str">
        <f t="array" ref="O2105:O2106">{"CLASSINITIALABILITY8-L00PTS";((INDEX(ALLCLASSDATA,MATCH("ClassInitialAbility8-L00",CLASSFEATUREHEADERS,0),MATCH(($A2106 &amp; "Points"),CLASSNAMEHEADERS,0))))}</f>
        <v>CLASSINITIALABILITY8-L00PTS</v>
      </c>
      <c r="P2105" s="76" t="str">
        <f t="array" ref="P2105:P2106">{"CLASSINITIALABILITY9-L00PTS";((INDEX(ALLCLASSDATA,MATCH("ClassInitialAbility9-L00",CLASSFEATUREHEADERS,0),MATCH(($A2106 &amp; "Points"),CLASSNAMEHEADERS,0))))}</f>
        <v>CLASSINITIALABILITY9-L00PTS</v>
      </c>
      <c r="Q2105" s="76" t="str">
        <f t="array" ref="Q2105:Q2106">{"CLASSINITIALABILITY10-L00PTS";((INDEX(ALLCLASSDATA,MATCH("ClassInitialAbility10-L00",CLASSFEATUREHEADERS,0),MATCH(($A2106 &amp; "Points"),CLASSNAMEHEADERS,0))))}</f>
        <v>CLASSINITIALABILITY10-L00PTS</v>
      </c>
      <c r="R2105" s="76" t="str">
        <f t="array" ref="R2105:R2106">{"SUBCLASSINITIAL1-L00PTS";((INDEX(ALLCLASSDATA,MATCH("SubclassInitial1-L00",CLASSFEATUREHEADERS,0),MATCH(($A2106 &amp; "Points"),CLASSNAMEHEADERS,0))))}</f>
        <v>SUBCLASSINITIAL1-L00PTS</v>
      </c>
      <c r="S2105" s="76" t="str">
        <f t="array" ref="S2105:S2106">{"SUBCLASSINITIAL2-L00PTS";((INDEX(ALLCLASSDATA,MATCH("SubclassInitial2-L00",CLASSFEATUREHEADERS,0),MATCH(($A2106 &amp; "Points"),CLASSNAMEHEADERS,0))))}</f>
        <v>SUBCLASSINITIAL2-L00PTS</v>
      </c>
      <c r="T2105" s="76" t="str">
        <f t="array" ref="T2105:T2106">{"SUBCLASSINITIAL3-L00PTS";((INDEX(ALLCLASSDATA,MATCH("SubclassInitial3-L00",CLASSFEATUREHEADERS,0),MATCH(($A2106 &amp; "Points"),CLASSNAMEHEADERS,0))))}</f>
        <v>SUBCLASSINITIAL3-L00PTS</v>
      </c>
      <c r="U2105" s="76" t="str">
        <f t="array" ref="U2105:U2106">{"SUBCLASSINITIAL4-L00PTS";((INDEX(ALLCLASSDATA,MATCH("SubclassInitial4-L00",CLASSFEATUREHEADERS,0),MATCH(($A2106 &amp; "Points"),CLASSNAMEHEADERS,0))))}</f>
        <v>SUBCLASSINITIAL4-L00PTS</v>
      </c>
      <c r="V2105" s="76" t="str">
        <f t="array" ref="V2105:V2106">{"SUBCLASSINITIAL5-L00PTS";((INDEX(ALLCLASSDATA,MATCH("SubclassInitial5-L00",CLASSFEATUREHEADERS,0),MATCH(($A2106 &amp; "Points"),CLASSNAMEHEADERS,0))))}</f>
        <v>SUBCLASSINITIAL5-L00PTS</v>
      </c>
      <c r="W2105" s="76" t="str">
        <f t="array" ref="W2105:W2106">{"SUBCLASSINITIAL6-L00PTS";((INDEX(ALLCLASSDATA,MATCH("SubclassInitial6-L00",CLASSFEATUREHEADERS,0),MATCH(($A2106 &amp; "Points"),CLASSNAMEHEADERS,0))))}</f>
        <v>SUBCLASSINITIAL6-L00PTS</v>
      </c>
      <c r="X2105" s="76" t="str">
        <f t="array" ref="X2105:X2106">{"SUBCLASSINITIAL7-L00PTS";((INDEX(ALLCLASSDATA,MATCH("SubclassInitial7-L00",CLASSFEATUREHEADERS,0),MATCH(($A2106 &amp; "Points"),CLASSNAMEHEADERS,0))))}</f>
        <v>SUBCLASSINITIAL7-L00PTS</v>
      </c>
      <c r="Y2105" s="76" t="str">
        <f t="array" ref="Y2105:Y2106">{"SUBCLASSINITIAL8-L00PTS";((INDEX(ALLCLASSDATA,MATCH("SubclassInitial8-L00",CLASSFEATUREHEADERS,0),MATCH(($A2106 &amp; "Points"),CLASSNAMEHEADERS,0))))}</f>
        <v>SUBCLASSINITIAL8-L00PTS</v>
      </c>
      <c r="Z2105" s="76" t="str">
        <f t="array" ref="Z2105:Z2106">{"SUBCLASSINITIAL9-L00PTS";((INDEX(ALLCLASSDATA,MATCH("SubclassInitial9-L00",CLASSFEATUREHEADERS,0),MATCH(($A2106 &amp; "Points"),CLASSNAMEHEADERS,0))))}</f>
        <v>SUBCLASSINITIAL9-L00PTS</v>
      </c>
      <c r="AA2105" s="76" t="str">
        <f t="array" ref="AA2105:AA2106">{"SUBCLASSINITIAL10-L00PTS";((INDEX(ALLCLASSDATA,MATCH("SubclassInitial10-L00",CLASSFEATUREHEADERS,0),MATCH(($A2106 &amp; "Points"),CLASSNAMEHEADERS,0))))}</f>
        <v>SUBCLASSINITIAL10-L00PTS</v>
      </c>
      <c r="AB2105" s="76"/>
      <c r="AC2105" s="76" t="str">
        <f t="array" ref="AC2105:AC2106">{"INITIALFEATUREPTS TOTAL";(sum(G2106:AA2106))}</f>
        <v>INITIALFEATUREPTS TOTAL</v>
      </c>
    </row>
    <row r="2106">
      <c r="A2106" s="48" t="s">
        <v>238</v>
      </c>
      <c r="B2106" s="48"/>
      <c r="C2106" s="48" t="e">
        <v>#N/A</v>
      </c>
      <c r="D2106" s="97" t="s">
        <v>651</v>
      </c>
      <c r="E2106" s="97" t="s">
        <v>616</v>
      </c>
      <c r="F2106" s="97"/>
      <c r="G2106" s="132"/>
      <c r="H2106" s="98" t="e">
        <v>#N/A</v>
      </c>
      <c r="I2106" s="98" t="e">
        <v>#N/A</v>
      </c>
      <c r="J2106" s="97" t="e">
        <v>#N/A</v>
      </c>
      <c r="K2106" s="98" t="e">
        <v>#N/A</v>
      </c>
      <c r="L2106" s="97" t="e">
        <v>#N/A</v>
      </c>
      <c r="M2106" s="98" t="e">
        <v>#N/A</v>
      </c>
      <c r="N2106" s="98" t="e">
        <v>#N/A</v>
      </c>
      <c r="O2106" s="98" t="e">
        <v>#N/A</v>
      </c>
      <c r="P2106" s="98" t="e">
        <v>#N/A</v>
      </c>
      <c r="Q2106" s="98" t="e">
        <v>#N/A</v>
      </c>
      <c r="R2106" s="98" t="e">
        <v>#N/A</v>
      </c>
      <c r="S2106" s="98" t="e">
        <v>#N/A</v>
      </c>
      <c r="T2106" s="98" t="e">
        <v>#N/A</v>
      </c>
      <c r="U2106" s="98" t="e">
        <v>#N/A</v>
      </c>
      <c r="V2106" s="98" t="e">
        <v>#N/A</v>
      </c>
      <c r="W2106" s="98" t="e">
        <v>#N/A</v>
      </c>
      <c r="X2106" s="98" t="e">
        <v>#N/A</v>
      </c>
      <c r="Y2106" s="98" t="e">
        <v>#N/A</v>
      </c>
      <c r="Z2106" s="98" t="e">
        <v>#N/A</v>
      </c>
      <c r="AA2106" s="98" t="e">
        <v>#N/A</v>
      </c>
      <c r="AB2106" s="5"/>
      <c r="AC2106" s="47" t="e">
        <v>#N/A</v>
      </c>
    </row>
    <row r="2107" hidden="1">
      <c r="A2107" s="76" t="str">
        <f t="array" ref="A2107:A2108">{"FormulaRow06";(INDEX(CLASSLIST,A2096,1))}</f>
        <v>FormulaRow06</v>
      </c>
      <c r="B2107" s="77" t="s">
        <v>236</v>
      </c>
      <c r="C2107" s="76" t="str">
        <f t="array" ref="C2107:C2108">{"CLASSTYPE";((INDEX(ALLCLASSDATA,MATCH("ClassType",CLASSFEATUREHEADERS,0),MATCH($A2108,CLASSNAMEHEADERS,0))))}</f>
        <v>CLASSTYPE</v>
      </c>
      <c r="D2107" s="81" t="str">
        <f t="array" ref="D2107:D2108">{"SKILLS";"Skills"}</f>
        <v>SKILLS</v>
      </c>
      <c r="E2107" s="81" t="str">
        <f t="array" ref="E2107:E2108">{"EXTRASKILLINCREASES";"Extra Skill Increases"}</f>
        <v>EXTRASKILLINCREASES</v>
      </c>
      <c r="F2107" s="81"/>
      <c r="G2107" s="81"/>
      <c r="H2107" s="81"/>
      <c r="I2107" s="81" t="str">
        <f t="array" ref="I2107:I2108">{"SKILLINCREASEEXTRA-L02";((INDEX(ALLCLASSDATA,MATCH("SkillIncreaseExtra-L02",CLASSFEATUREHEADERS,0),MATCH(($A2108 &amp; "Points"),CLASSNAMEHEADERS,0))))}</f>
        <v>SKILLINCREASEEXTRA-L02</v>
      </c>
      <c r="J2107" s="81" t="str">
        <f t="array" ref="J2107:J2108">{"SKILLINCREASEEXTRA-L03";((INDEX(ALLCLASSDATA,MATCH("SkillIncreaseExtra-L03",CLASSFEATUREHEADERS,0),MATCH(($A2108 &amp; "Points"),CLASSNAMEHEADERS,0))))}</f>
        <v>SKILLINCREASEEXTRA-L03</v>
      </c>
      <c r="K2107" s="81" t="str">
        <f t="array" ref="K2107:K2108">{"SKILLINCREASEEXTRA-L04";((INDEX(ALLCLASSDATA,MATCH("SkillIncreaseExtra-L04",CLASSFEATUREHEADERS,0),MATCH(($A2108 &amp; "Points"),CLASSNAMEHEADERS,0))))}</f>
        <v>SKILLINCREASEEXTRA-L04</v>
      </c>
      <c r="L2107" s="81" t="str">
        <f t="array" ref="L2107:L2108">{"SKILLINCREASEEXTRA-L05";((INDEX(ALLCLASSDATA,MATCH("SkillIncreaseExtra-L05",CLASSFEATUREHEADERS,0),MATCH(($A2108 &amp; "Points"),CLASSNAMEHEADERS,0))))}</f>
        <v>SKILLINCREASEEXTRA-L05</v>
      </c>
      <c r="M2107" s="81" t="str">
        <f t="array" ref="M2107:M2108">{"SKILLINCREASEEXTRA-L06";((INDEX(ALLCLASSDATA,MATCH("SkillIncreaseExtra-L06",CLASSFEATUREHEADERS,0),MATCH(($A2108 &amp; "Points"),CLASSNAMEHEADERS,0))))}</f>
        <v>SKILLINCREASEEXTRA-L06</v>
      </c>
      <c r="N2107" s="81" t="str">
        <f t="array" ref="N2107:N2108">{"SKILLINCREASEEXTRA-L07";((INDEX(ALLCLASSDATA,MATCH("SkillIncreaseExtra-L07",CLASSFEATUREHEADERS,0),MATCH(($A2108 &amp; "Points"),CLASSNAMEHEADERS,0))))}</f>
        <v>SKILLINCREASEEXTRA-L07</v>
      </c>
      <c r="O2107" s="81" t="str">
        <f t="array" ref="O2107:O2108">{"SKILLINCREASEEXTRA-L08";((INDEX(ALLCLASSDATA,MATCH("SkillIncreaseExtra-L08",CLASSFEATUREHEADERS,0),MATCH(($A2108 &amp; "Points"),CLASSNAMEHEADERS,0))))}</f>
        <v>SKILLINCREASEEXTRA-L08</v>
      </c>
      <c r="P2107" s="81" t="str">
        <f t="array" ref="P2107:P2108">{"SKILLINCREASEEXTRA-L09";((INDEX(ALLCLASSDATA,MATCH("SkillIncreaseExtra-L09",CLASSFEATUREHEADERS,0),MATCH(($A2108 &amp; "Points"),CLASSNAMEHEADERS,0))))}</f>
        <v>SKILLINCREASEEXTRA-L09</v>
      </c>
      <c r="Q2107" s="81" t="str">
        <f t="array" ref="Q2107:Q2108">{"SKILLINCREASEEXTRA-L10";((INDEX(ALLCLASSDATA,MATCH("SkillIncreaseExtra-L10",CLASSFEATUREHEADERS,0),MATCH(($A2108 &amp; "Points"),CLASSNAMEHEADERS,0))))}</f>
        <v>SKILLINCREASEEXTRA-L10</v>
      </c>
      <c r="R2107" s="81" t="str">
        <f t="array" ref="R2107:R2108">{"SKILLINCREASEEXTRA-L11";((INDEX(ALLCLASSDATA,MATCH("SkillIncreaseExtra-L11",CLASSFEATUREHEADERS,0),MATCH(($A2108 &amp; "Points"),CLASSNAMEHEADERS,0))))}</f>
        <v>SKILLINCREASEEXTRA-L11</v>
      </c>
      <c r="S2107" s="81" t="str">
        <f t="array" ref="S2107:S2108">{"SKILLINCREASEEXTRA-L12";((INDEX(ALLCLASSDATA,MATCH("SkillIncreaseExtra-L12",CLASSFEATUREHEADERS,0),MATCH(($A2108 &amp; "Points"),CLASSNAMEHEADERS,0))))}</f>
        <v>SKILLINCREASEEXTRA-L12</v>
      </c>
      <c r="T2107" s="81" t="str">
        <f t="array" ref="T2107:T2108">{"SKILLINCREASEEXTRA-L13";((INDEX(ALLCLASSDATA,MATCH("SkillIncreaseExtra-L13",CLASSFEATUREHEADERS,0),MATCH(($A2108 &amp; "Points"),CLASSNAMEHEADERS,0))))}</f>
        <v>SKILLINCREASEEXTRA-L13</v>
      </c>
      <c r="U2107" s="81" t="str">
        <f t="array" ref="U2107:U2108">{"SKILLINCREASEEXTRA-L14";((INDEX(ALLCLASSDATA,MATCH("SkillIncreaseExtra-L14",CLASSFEATUREHEADERS,0),MATCH(($A2108 &amp; "Points"),CLASSNAMEHEADERS,0))))}</f>
        <v>SKILLINCREASEEXTRA-L14</v>
      </c>
      <c r="V2107" s="81" t="str">
        <f t="array" ref="V2107:V2108">{"SKILLINCREASEEXTRA-L15";((INDEX(ALLCLASSDATA,MATCH("SkillIncreaseExtra-L15",CLASSFEATUREHEADERS,0),MATCH(($A2108 &amp; "Points"),CLASSNAMEHEADERS,0))))}</f>
        <v>SKILLINCREASEEXTRA-L15</v>
      </c>
      <c r="W2107" s="81" t="str">
        <f t="array" ref="W2107:W2108">{"SKILLINCREASEEXTRA-L16";((INDEX(ALLCLASSDATA,MATCH("SkillIncreaseExtra-L16",CLASSFEATUREHEADERS,0),MATCH(($A2108 &amp; "Points"),CLASSNAMEHEADERS,0))))}</f>
        <v>SKILLINCREASEEXTRA-L16</v>
      </c>
      <c r="X2107" s="81" t="str">
        <f t="array" ref="X2107:X2108">{"SKILLINCREASEEXTRA-L17";((INDEX(ALLCLASSDATA,MATCH("SkillIncreaseExtra-L17",CLASSFEATUREHEADERS,0),MATCH(($A2108 &amp; "Points"),CLASSNAMEHEADERS,0))))}</f>
        <v>SKILLINCREASEEXTRA-L17</v>
      </c>
      <c r="Y2107" s="81" t="str">
        <f t="array" ref="Y2107:Y2108">{"SKILLINCREASEEXTRA-L18";((INDEX(ALLCLASSDATA,MATCH("SkillIncreaseExtra-L18",CLASSFEATUREHEADERS,0),MATCH(($A2108 &amp; "Points"),CLASSNAMEHEADERS,0))))}</f>
        <v>SKILLINCREASEEXTRA-L18</v>
      </c>
      <c r="Z2107" s="81" t="str">
        <f t="array" ref="Z2107:Z2108">{"SKILLINCREASEEXTRA-L19";((INDEX(ALLCLASSDATA,MATCH("SkillIncreaseExtra-L19",CLASSFEATUREHEADERS,0),MATCH(($A2108 &amp; "Points"),CLASSNAMEHEADERS,0))))}</f>
        <v>SKILLINCREASEEXTRA-L19</v>
      </c>
      <c r="AA2107" s="81" t="str">
        <f t="array" ref="AA2107:AA2108">{"SKILLINCREASEEXTRA-L20";((INDEX(ALLCLASSDATA,MATCH("SkillIncreaseExtra-L20",CLASSFEATUREHEADERS,0),MATCH(($A2108 &amp; "Points"),CLASSNAMEHEADERS,0))))}</f>
        <v>SKILLINCREASEEXTRA-L20</v>
      </c>
      <c r="AB2107" s="76"/>
      <c r="AC2107" s="76" t="str">
        <f t="array" ref="AC2107:AC2108">{"SKILLINCREASE TOTAL";(sum(G2108:AA2108))}</f>
        <v>SKILLINCREASE TOTAL</v>
      </c>
    </row>
    <row r="2108">
      <c r="A2108" s="48" t="s">
        <v>238</v>
      </c>
      <c r="B2108" s="48"/>
      <c r="C2108" s="48" t="e">
        <v>#N/A</v>
      </c>
      <c r="D2108" s="48" t="s">
        <v>659</v>
      </c>
      <c r="E2108" s="48" t="s">
        <v>661</v>
      </c>
      <c r="F2108" s="48"/>
      <c r="G2108" s="47"/>
      <c r="H2108" s="5"/>
      <c r="I2108" s="5" t="e">
        <v>#N/A</v>
      </c>
      <c r="J2108" s="5" t="e">
        <v>#N/A</v>
      </c>
      <c r="K2108" s="5" t="e">
        <v>#N/A</v>
      </c>
      <c r="L2108" s="48" t="e">
        <v>#N/A</v>
      </c>
      <c r="M2108" s="5" t="e">
        <v>#N/A</v>
      </c>
      <c r="N2108" s="5" t="e">
        <v>#N/A</v>
      </c>
      <c r="O2108" s="5" t="e">
        <v>#N/A</v>
      </c>
      <c r="P2108" s="5" t="e">
        <v>#N/A</v>
      </c>
      <c r="Q2108" s="5" t="e">
        <v>#N/A</v>
      </c>
      <c r="R2108" s="5" t="e">
        <v>#N/A</v>
      </c>
      <c r="S2108" s="5" t="e">
        <v>#N/A</v>
      </c>
      <c r="T2108" s="5" t="e">
        <v>#N/A</v>
      </c>
      <c r="U2108" s="5" t="e">
        <v>#N/A</v>
      </c>
      <c r="V2108" s="5" t="e">
        <v>#N/A</v>
      </c>
      <c r="W2108" s="5" t="e">
        <v>#N/A</v>
      </c>
      <c r="X2108" s="5" t="e">
        <v>#N/A</v>
      </c>
      <c r="Y2108" s="5" t="e">
        <v>#N/A</v>
      </c>
      <c r="Z2108" s="5" t="e">
        <v>#N/A</v>
      </c>
      <c r="AA2108" s="5" t="e">
        <v>#N/A</v>
      </c>
      <c r="AB2108" s="5"/>
      <c r="AC2108" s="47" t="e">
        <v>#N/A</v>
      </c>
    </row>
    <row r="2109" hidden="1">
      <c r="A2109" s="76" t="str">
        <f t="array" ref="A2109:A2110">{"FormulaRow07";(INDEX(CLASSLIST,A2096,1))}</f>
        <v>FormulaRow07</v>
      </c>
      <c r="B2109" s="77" t="s">
        <v>236</v>
      </c>
      <c r="C2109" s="76" t="str">
        <f t="array" ref="C2109:C2110">{"CLASSTYPE";((INDEX(ALLCLASSDATA,MATCH("ClassType",CLASSFEATUREHEADERS,0),MATCH($A2110,CLASSNAMEHEADERS,0))))}</f>
        <v>CLASSTYPE</v>
      </c>
      <c r="D2109" s="76" t="str">
        <f t="array" ref="D2109:D2110">{"SKILLS";"Skills"}</f>
        <v>SKILLS</v>
      </c>
      <c r="E2109" s="76" t="str">
        <f t="array" ref="E2109:E2110">{"EXTRASKILLFEATS";"Extra Skill Feats"}</f>
        <v>EXTRASKILLFEATS</v>
      </c>
      <c r="F2109" s="76"/>
      <c r="G2109" s="76"/>
      <c r="H2109" s="76" t="str">
        <f t="array" ref="H2109:H2110">{"SKILLFEATEXTRA-L01";((INDEX(ALLCLASSDATA,MATCH("SkillFeatExtra-L01",CLASSFEATUREHEADERS,0),MATCH(($A2110 &amp; "Points"),CLASSNAMEHEADERS,0))))}</f>
        <v>SKILLFEATEXTRA-L01</v>
      </c>
      <c r="I2109" s="76" t="str">
        <f t="array" ref="I2109:I2110">{"SKILLFEATEXTRA-L02";((INDEX(ALLCLASSDATA,MATCH("SkillFeatExtra-L02",CLASSFEATUREHEADERS,0),MATCH(($A2110 &amp; "Points"),CLASSNAMEHEADERS,0))))}</f>
        <v>SKILLFEATEXTRA-L02</v>
      </c>
      <c r="J2109" s="76" t="str">
        <f t="array" ref="J2109:J2110">{"SKILLFEATEXTRA-L03";((INDEX(ALLCLASSDATA,MATCH("SkillFeatExtra-L03",CLASSFEATUREHEADERS,0),MATCH(($A2110 &amp; "Points"),CLASSNAMEHEADERS,0))))}</f>
        <v>SKILLFEATEXTRA-L03</v>
      </c>
      <c r="K2109" s="76" t="str">
        <f t="array" ref="K2109:K2110">{"SKILLFEATEXTRA-L04";((INDEX(ALLCLASSDATA,MATCH("SkillFeatExtra-L04",CLASSFEATUREHEADERS,0),MATCH(($A2110 &amp; "Points"),CLASSNAMEHEADERS,0))))}</f>
        <v>SKILLFEATEXTRA-L04</v>
      </c>
      <c r="L2109" s="76" t="str">
        <f t="array" ref="L2109:L2110">{"SKILLFEATEXTRA-L05";((INDEX(ALLCLASSDATA,MATCH("SkillFeatExtra-L05",CLASSFEATUREHEADERS,0),MATCH(($A2110 &amp; "Points"),CLASSNAMEHEADERS,0))))}</f>
        <v>SKILLFEATEXTRA-L05</v>
      </c>
      <c r="M2109" s="76" t="str">
        <f t="array" ref="M2109:M2110">{"SKILLFEATEXTRA-L06";((INDEX(ALLCLASSDATA,MATCH("SkillFeatExtra-L06",CLASSFEATUREHEADERS,0),MATCH(($A2110 &amp; "Points"),CLASSNAMEHEADERS,0))))}</f>
        <v>SKILLFEATEXTRA-L06</v>
      </c>
      <c r="N2109" s="76" t="str">
        <f t="array" ref="N2109:N2110">{"SKILLFEATEXTRA-L07";((INDEX(ALLCLASSDATA,MATCH("SkillFeatExtra-L07",CLASSFEATUREHEADERS,0),MATCH(($A2110 &amp; "Points"),CLASSNAMEHEADERS,0))))}</f>
        <v>SKILLFEATEXTRA-L07</v>
      </c>
      <c r="O2109" s="76" t="str">
        <f t="array" ref="O2109:O2110">{"SKILLFEATEXTRA-L08";((INDEX(ALLCLASSDATA,MATCH("SkillFeatExtra-L08",CLASSFEATUREHEADERS,0),MATCH(($A2110 &amp; "Points"),CLASSNAMEHEADERS,0))))}</f>
        <v>SKILLFEATEXTRA-L08</v>
      </c>
      <c r="P2109" s="76" t="str">
        <f t="array" ref="P2109:P2110">{"SKILLFEATEXTRA-L09";((INDEX(ALLCLASSDATA,MATCH("SkillFeatExtra-L09",CLASSFEATUREHEADERS,0),MATCH(($A2110 &amp; "Points"),CLASSNAMEHEADERS,0))))}</f>
        <v>SKILLFEATEXTRA-L09</v>
      </c>
      <c r="Q2109" s="76" t="str">
        <f t="array" ref="Q2109:Q2110">{"SKILLFEATEXTRA-L10";((INDEX(ALLCLASSDATA,MATCH("SkillFeatExtra-L10",CLASSFEATUREHEADERS,0),MATCH(($A2110 &amp; "Points"),CLASSNAMEHEADERS,0))))}</f>
        <v>SKILLFEATEXTRA-L10</v>
      </c>
      <c r="R2109" s="76" t="str">
        <f t="array" ref="R2109:R2110">{"SKILLFEATEXTRA-L11";((INDEX(ALLCLASSDATA,MATCH("SkillFeatExtra-L11",CLASSFEATUREHEADERS,0),MATCH(($A2110 &amp; "Points"),CLASSNAMEHEADERS,0))))}</f>
        <v>SKILLFEATEXTRA-L11</v>
      </c>
      <c r="S2109" s="76" t="str">
        <f t="array" ref="S2109:S2110">{"SKILLFEATEXTRA-L12";((INDEX(ALLCLASSDATA,MATCH("SkillFeatExtra-L12",CLASSFEATUREHEADERS,0),MATCH(($A2110 &amp; "Points"),CLASSNAMEHEADERS,0))))}</f>
        <v>SKILLFEATEXTRA-L12</v>
      </c>
      <c r="T2109" s="76" t="str">
        <f t="array" ref="T2109:T2110">{"SKILLFEATEXTRA-L13";((INDEX(ALLCLASSDATA,MATCH("SkillFeatExtra-L13",CLASSFEATUREHEADERS,0),MATCH(($A2110 &amp; "Points"),CLASSNAMEHEADERS,0))))}</f>
        <v>SKILLFEATEXTRA-L13</v>
      </c>
      <c r="U2109" s="76" t="str">
        <f t="array" ref="U2109:U2110">{"SKILLFEATEXTRA-L14";((INDEX(ALLCLASSDATA,MATCH("SkillFeatExtra-L14",CLASSFEATUREHEADERS,0),MATCH(($A2110 &amp; "Points"),CLASSNAMEHEADERS,0))))}</f>
        <v>SKILLFEATEXTRA-L14</v>
      </c>
      <c r="V2109" s="76" t="str">
        <f t="array" ref="V2109:V2110">{"SKILLFEATEXTRA-L15";((INDEX(ALLCLASSDATA,MATCH("SkillFeatExtra-L15",CLASSFEATUREHEADERS,0),MATCH(($A2110 &amp; "Points"),CLASSNAMEHEADERS,0))))}</f>
        <v>SKILLFEATEXTRA-L15</v>
      </c>
      <c r="W2109" s="76" t="str">
        <f t="array" ref="W2109:W2110">{"SKILLFEATEXTRA-L16";((INDEX(ALLCLASSDATA,MATCH("SkillFeatExtra-L16",CLASSFEATUREHEADERS,0),MATCH(($A2110 &amp; "Points"),CLASSNAMEHEADERS,0))))}</f>
        <v>SKILLFEATEXTRA-L16</v>
      </c>
      <c r="X2109" s="76" t="str">
        <f t="array" ref="X2109:X2110">{"SKILLFEATEXTRA-L17";((INDEX(ALLCLASSDATA,MATCH("SkillFeatExtra-L17",CLASSFEATUREHEADERS,0),MATCH(($A2110 &amp; "Points"),CLASSNAMEHEADERS,0))))}</f>
        <v>SKILLFEATEXTRA-L17</v>
      </c>
      <c r="Y2109" s="76" t="str">
        <f t="array" ref="Y2109:Y2110">{"SKILLFEATEXTRA-L18";((INDEX(ALLCLASSDATA,MATCH("SkillFeatExtra-L18",CLASSFEATUREHEADERS,0),MATCH(($A2110 &amp; "Points"),CLASSNAMEHEADERS,0))))}</f>
        <v>SKILLFEATEXTRA-L18</v>
      </c>
      <c r="Z2109" s="76" t="str">
        <f t="array" ref="Z2109:Z2110">{"SKILLFEATEXTRA-L19";((INDEX(ALLCLASSDATA,MATCH("SkillFeatExtra-L19",CLASSFEATUREHEADERS,0),MATCH(($A2110 &amp; "Points"),CLASSNAMEHEADERS,0))))}</f>
        <v>SKILLFEATEXTRA-L19</v>
      </c>
      <c r="AA2109" s="76" t="str">
        <f t="array" ref="AA2109:AA2110">{"SKILLFEATEXTRA-L20";((INDEX(ALLCLASSDATA,MATCH("SkillFeatExtra-L20",CLASSFEATUREHEADERS,0),MATCH(($A2110 &amp; "Points"),CLASSNAMEHEADERS,0))))}</f>
        <v>SKILLFEATEXTRA-L20</v>
      </c>
      <c r="AB2109" s="76"/>
      <c r="AC2109" s="76" t="str">
        <f t="array" ref="AC2109:AC2110">{"SKILLFEAT TOTAL";(sum(G2110:AA2110))}</f>
        <v>SKILLFEAT TOTAL</v>
      </c>
    </row>
    <row r="2110">
      <c r="A2110" s="48" t="s">
        <v>238</v>
      </c>
      <c r="B2110" s="48"/>
      <c r="C2110" s="48" t="e">
        <v>#N/A</v>
      </c>
      <c r="D2110" s="97" t="s">
        <v>659</v>
      </c>
      <c r="E2110" s="97" t="s">
        <v>722</v>
      </c>
      <c r="F2110" s="97"/>
      <c r="G2110" s="132"/>
      <c r="H2110" s="98" t="e">
        <v>#N/A</v>
      </c>
      <c r="I2110" s="98" t="e">
        <v>#N/A</v>
      </c>
      <c r="J2110" s="97" t="e">
        <v>#N/A</v>
      </c>
      <c r="K2110" s="98" t="e">
        <v>#N/A</v>
      </c>
      <c r="L2110" s="97" t="e">
        <v>#N/A</v>
      </c>
      <c r="M2110" s="98" t="e">
        <v>#N/A</v>
      </c>
      <c r="N2110" s="98" t="e">
        <v>#N/A</v>
      </c>
      <c r="O2110" s="98" t="e">
        <v>#N/A</v>
      </c>
      <c r="P2110" s="98" t="e">
        <v>#N/A</v>
      </c>
      <c r="Q2110" s="98" t="e">
        <v>#N/A</v>
      </c>
      <c r="R2110" s="98" t="e">
        <v>#N/A</v>
      </c>
      <c r="S2110" s="98" t="e">
        <v>#N/A</v>
      </c>
      <c r="T2110" s="98" t="e">
        <v>#N/A</v>
      </c>
      <c r="U2110" s="98" t="e">
        <v>#N/A</v>
      </c>
      <c r="V2110" s="98" t="e">
        <v>#N/A</v>
      </c>
      <c r="W2110" s="98" t="e">
        <v>#N/A</v>
      </c>
      <c r="X2110" s="98" t="e">
        <v>#N/A</v>
      </c>
      <c r="Y2110" s="98" t="e">
        <v>#N/A</v>
      </c>
      <c r="Z2110" s="98" t="e">
        <v>#N/A</v>
      </c>
      <c r="AA2110" s="98" t="e">
        <v>#N/A</v>
      </c>
      <c r="AB2110" s="5"/>
      <c r="AC2110" s="47" t="e">
        <v>#N/A</v>
      </c>
    </row>
    <row r="2111" hidden="1">
      <c r="A2111" s="76" t="str">
        <f t="array" ref="A2111:A2112">{"FormulaRow08";(INDEX(CLASSLIST,A2096,1))}</f>
        <v>FormulaRow08</v>
      </c>
      <c r="B2111" s="77" t="s">
        <v>236</v>
      </c>
      <c r="C2111" s="76" t="str">
        <f t="array" ref="C2111:C2112">{"CLASSTYPE";((INDEX(ALLCLASSDATA,MATCH("ClassType",CLASSFEATUREHEADERS,0),MATCH($A2112,CLASSNAMEHEADERS,0))))}</f>
        <v>CLASSTYPE</v>
      </c>
      <c r="D2111" s="81" t="str">
        <f t="array" ref="D2111:D2112">{"CLASSABILITY";"ClassAbility"}</f>
        <v>CLASSABILITY</v>
      </c>
      <c r="E2111" s="81" t="str">
        <f t="array" ref="E2111:E2112">{"CLASSABILITY1";"ClassAbility1"}</f>
        <v>CLASSABILITY1</v>
      </c>
      <c r="F2111" s="81"/>
      <c r="G2111" s="81"/>
      <c r="H2111" s="81"/>
      <c r="I2111" s="81"/>
      <c r="J2111" s="81" t="str">
        <f t="array" ref="J2111:J2112">{"CLASSABILITY1-L03";((INDEX(ALLCLASSDATA,MATCH("ClassAbility1-L03",CLASSFEATUREHEADERS,0),MATCH(($A2112),CLASSNAMEHEADERS,0))))}</f>
        <v>CLASSABILITY1-L03</v>
      </c>
      <c r="K2111" s="81"/>
      <c r="L2111" s="81" t="str">
        <f t="array" ref="L2111:L2112">{"CLASSABILITY1-L05";((INDEX(ALLCLASSDATA,MATCH("ClassAbility1-L05",CLASSFEATUREHEADERS,0),MATCH(($A2112),CLASSNAMEHEADERS,0))))}</f>
        <v>CLASSABILITY1-L05</v>
      </c>
      <c r="M2111" s="81"/>
      <c r="N2111" s="81" t="str">
        <f t="array" ref="N2111:N2112">{"CLASSABILITY1-L07";((INDEX(ALLCLASSDATA,MATCH("ClassAbility1-L07",CLASSFEATUREHEADERS,0),MATCH(($A2112),CLASSNAMEHEADERS,0))))}</f>
        <v>CLASSABILITY1-L07</v>
      </c>
      <c r="O2111" s="81"/>
      <c r="P2111" s="81" t="str">
        <f t="array" ref="P2111:P2112">{"CLASSABILITY1-L09";((INDEX(ALLCLASSDATA,MATCH("ClassAbility1-L09",CLASSFEATUREHEADERS,0),MATCH(($A2112),CLASSNAMEHEADERS,0))))}</f>
        <v>CLASSABILITY1-L09</v>
      </c>
      <c r="Q2111" s="81"/>
      <c r="R2111" s="81" t="str">
        <f t="array" ref="R2111:R2112">{"CLASSABILITY1-L11";((INDEX(ALLCLASSDATA,MATCH("ClassAbility1-L11",CLASSFEATUREHEADERS,0),MATCH(($A2112),CLASSNAMEHEADERS,0))))}</f>
        <v>CLASSABILITY1-L11</v>
      </c>
      <c r="S2111" s="81"/>
      <c r="T2111" s="81" t="str">
        <f t="array" ref="T2111:T2112">{"CLASSABILITY1-L13";((INDEX(ALLCLASSDATA,MATCH("ClassAbility1-L13",CLASSFEATUREHEADERS,0),MATCH(($A2112),CLASSNAMEHEADERS,0))))}</f>
        <v>CLASSABILITY1-L13</v>
      </c>
      <c r="U2111" s="81"/>
      <c r="V2111" s="81" t="str">
        <f t="array" ref="V2111:V2112">{"CLASSABILITY1-L15";((INDEX(ALLCLASSDATA,MATCH("ClassAbility1-L15",CLASSFEATUREHEADERS,0),MATCH(($A2112),CLASSNAMEHEADERS,0))))}</f>
        <v>CLASSABILITY1-L15</v>
      </c>
      <c r="W2111" s="81"/>
      <c r="X2111" s="81" t="str">
        <f t="array" ref="X2111:X2112">{"CLASSABILITY1-L17";((INDEX(ALLCLASSDATA,MATCH("ClassAbility1-L17",CLASSFEATUREHEADERS,0),MATCH(($A2112),CLASSNAMEHEADERS,0))))}</f>
        <v>CLASSABILITY1-L17</v>
      </c>
      <c r="Y2111" s="81"/>
      <c r="Z2111" s="81" t="str">
        <f t="array" ref="Z2111:Z2112">{"CLASSABILITY1-L19";((INDEX(ALLCLASSDATA,MATCH("ClassAbility1-L19",CLASSFEATUREHEADERS,0),MATCH(($A2112),CLASSNAMEHEADERS,0))))}</f>
        <v>CLASSABILITY1-L19</v>
      </c>
      <c r="AA2111" s="81"/>
      <c r="AB2111" s="76"/>
      <c r="AC2111" s="76"/>
    </row>
    <row r="2112">
      <c r="A2112" s="48" t="s">
        <v>238</v>
      </c>
      <c r="B2112" s="48"/>
      <c r="C2112" s="48" t="e">
        <v>#N/A</v>
      </c>
      <c r="D2112" s="48" t="s">
        <v>825</v>
      </c>
      <c r="E2112" s="48" t="s">
        <v>826</v>
      </c>
      <c r="F2112" s="5"/>
      <c r="G2112" s="47"/>
      <c r="H2112" s="5"/>
      <c r="I2112" s="5"/>
      <c r="J2112" s="5" t="e">
        <v>#N/A</v>
      </c>
      <c r="K2112" s="5"/>
      <c r="L2112" s="5" t="e">
        <v>#N/A</v>
      </c>
      <c r="M2112" s="5"/>
      <c r="N2112" s="5" t="e">
        <v>#N/A</v>
      </c>
      <c r="O2112" s="5"/>
      <c r="P2112" s="5" t="e">
        <v>#N/A</v>
      </c>
      <c r="Q2112" s="5"/>
      <c r="R2112" s="5" t="e">
        <v>#N/A</v>
      </c>
      <c r="S2112" s="5"/>
      <c r="T2112" s="5" t="e">
        <v>#N/A</v>
      </c>
      <c r="U2112" s="5"/>
      <c r="V2112" s="5" t="e">
        <v>#N/A</v>
      </c>
      <c r="W2112" s="5"/>
      <c r="X2112" s="5" t="e">
        <v>#N/A</v>
      </c>
      <c r="Y2112" s="5"/>
      <c r="Z2112" s="5" t="e">
        <v>#N/A</v>
      </c>
      <c r="AA2112" s="5"/>
      <c r="AB2112" s="5"/>
      <c r="AC2112" s="47"/>
    </row>
    <row r="2113" hidden="1">
      <c r="A2113" s="76" t="str">
        <f t="array" ref="A2113:A2114">{"FormulaRow09";(INDEX(CLASSLIST,A2096,1))}</f>
        <v>FormulaRow09</v>
      </c>
      <c r="B2113" s="77" t="s">
        <v>236</v>
      </c>
      <c r="C2113" s="76" t="str">
        <f t="array" ref="C2113:C2114">{"CLASSTYPE";((INDEX(ALLCLASSDATA,MATCH("ClassType",CLASSFEATUREHEADERS,0),MATCH($A2114,CLASSNAMEHEADERS,0))))}</f>
        <v>CLASSTYPE</v>
      </c>
      <c r="D2113" s="76" t="str">
        <f t="array" ref="D2113:D2114">{"CLASSABILITYPTS";"ClassAbilityPts"}</f>
        <v>CLASSABILITYPTS</v>
      </c>
      <c r="E2113" s="76" t="str">
        <f t="array" ref="E2113:E2114">{"CLASSABILITY1";"ClassAbility1"}</f>
        <v>CLASSABILITY1</v>
      </c>
      <c r="F2113" s="76"/>
      <c r="G2113" s="76"/>
      <c r="H2113" s="76"/>
      <c r="I2113" s="76"/>
      <c r="J2113" s="76" t="str">
        <f t="array" ref="J2113:J2114">{"CLASSABILITY1-L03PTS";((INDEX(ALLCLASSDATA,MATCH("ClassAbility1-L03",CLASSFEATUREHEADERS,0),MATCH(($A2114 &amp; "Points"),CLASSNAMEHEADERS,0))))}</f>
        <v>CLASSABILITY1-L03PTS</v>
      </c>
      <c r="K2113" s="76"/>
      <c r="L2113" s="76" t="str">
        <f t="array" ref="L2113:L2114">{"CLASSABILITY1-L05PTS";((INDEX(ALLCLASSDATA,MATCH("ClassAbility1-L05",CLASSFEATUREHEADERS,0),MATCH(($A2114 &amp; "Points"),CLASSNAMEHEADERS,0))))}</f>
        <v>CLASSABILITY1-L05PTS</v>
      </c>
      <c r="M2113" s="76"/>
      <c r="N2113" s="76" t="str">
        <f t="array" ref="N2113:N2114">{"CLASSABILITY1-L07PTS";((INDEX(ALLCLASSDATA,MATCH("ClassAbility1-L07",CLASSFEATUREHEADERS,0),MATCH(($A2114 &amp; "Points"),CLASSNAMEHEADERS,0))))}</f>
        <v>CLASSABILITY1-L07PTS</v>
      </c>
      <c r="O2113" s="76"/>
      <c r="P2113" s="76" t="str">
        <f t="array" ref="P2113:P2114">{"CLASSABILITY1-L09PTS";((INDEX(ALLCLASSDATA,MATCH("ClassAbility1-L09",CLASSFEATUREHEADERS,0),MATCH(($A2114 &amp; "Points"),CLASSNAMEHEADERS,0))))}</f>
        <v>CLASSABILITY1-L09PTS</v>
      </c>
      <c r="Q2113" s="76"/>
      <c r="R2113" s="76" t="str">
        <f t="array" ref="R2113:R2114">{"CLASSABILITY1-L11PTS";((INDEX(ALLCLASSDATA,MATCH("ClassAbility1-L11",CLASSFEATUREHEADERS,0),MATCH(($A2114 &amp; "Points"),CLASSNAMEHEADERS,0))))}</f>
        <v>CLASSABILITY1-L11PTS</v>
      </c>
      <c r="S2113" s="76"/>
      <c r="T2113" s="76" t="str">
        <f t="array" ref="T2113:T2114">{"CLASSABILITY1-L13PTS";((INDEX(ALLCLASSDATA,MATCH("ClassAbility1-L13",CLASSFEATUREHEADERS,0),MATCH(($A2114 &amp; "Points"),CLASSNAMEHEADERS,0))))}</f>
        <v>CLASSABILITY1-L13PTS</v>
      </c>
      <c r="U2113" s="76"/>
      <c r="V2113" s="76" t="str">
        <f t="array" ref="V2113:V2114">{"CLASSABILITY1-L15PTS";((INDEX(ALLCLASSDATA,MATCH("ClassAbility1-L15",CLASSFEATUREHEADERS,0),MATCH(($A2114 &amp; "Points"),CLASSNAMEHEADERS,0))))}</f>
        <v>CLASSABILITY1-L15PTS</v>
      </c>
      <c r="W2113" s="76"/>
      <c r="X2113" s="76" t="str">
        <f t="array" ref="X2113:X2114">{"CLASSABILITY1-L17PTS";((INDEX(ALLCLASSDATA,MATCH("ClassAbility1-L17",CLASSFEATUREHEADERS,0),MATCH(($A2114 &amp; "Points"),CLASSNAMEHEADERS,0))))}</f>
        <v>CLASSABILITY1-L17PTS</v>
      </c>
      <c r="Y2113" s="76"/>
      <c r="Z2113" s="76" t="str">
        <f t="array" ref="Z2113:Z2114">{"CLASSABILITY1-L19PTS";((INDEX(ALLCLASSDATA,MATCH("ClassAbility1-L19",CLASSFEATUREHEADERS,0),MATCH(($A2114 &amp; "Points"),CLASSNAMEHEADERS,0))))}</f>
        <v>CLASSABILITY1-L19PTS</v>
      </c>
      <c r="AA2113" s="76"/>
      <c r="AB2113" s="76"/>
      <c r="AC2113" s="76" t="str">
        <f t="array" ref="AC2113:AC2114">{"CLASSABILITY1 TOTAL";(sum(G2114:AA2114))}</f>
        <v>CLASSABILITY1 TOTAL</v>
      </c>
    </row>
    <row r="2114">
      <c r="A2114" s="48" t="s">
        <v>238</v>
      </c>
      <c r="B2114" s="48"/>
      <c r="C2114" s="48" t="e">
        <v>#N/A</v>
      </c>
      <c r="D2114" s="48" t="s">
        <v>930</v>
      </c>
      <c r="E2114" s="48" t="s">
        <v>826</v>
      </c>
      <c r="F2114" s="5"/>
      <c r="G2114" s="5"/>
      <c r="H2114" s="5"/>
      <c r="I2114" s="5"/>
      <c r="J2114" s="48" t="e">
        <v>#N/A</v>
      </c>
      <c r="K2114" s="5"/>
      <c r="L2114" s="5" t="e">
        <v>#N/A</v>
      </c>
      <c r="M2114" s="5"/>
      <c r="N2114" s="5" t="e">
        <v>#N/A</v>
      </c>
      <c r="O2114" s="5"/>
      <c r="P2114" s="5" t="e">
        <v>#N/A</v>
      </c>
      <c r="Q2114" s="5"/>
      <c r="R2114" s="5" t="e">
        <v>#N/A</v>
      </c>
      <c r="S2114" s="5"/>
      <c r="T2114" s="5" t="e">
        <v>#N/A</v>
      </c>
      <c r="U2114" s="5"/>
      <c r="V2114" s="5" t="e">
        <v>#N/A</v>
      </c>
      <c r="W2114" s="5"/>
      <c r="X2114" s="5" t="e">
        <v>#N/A</v>
      </c>
      <c r="Y2114" s="5"/>
      <c r="Z2114" s="5" t="e">
        <v>#N/A</v>
      </c>
      <c r="AA2114" s="5"/>
      <c r="AB2114" s="5"/>
      <c r="AC2114" s="47" t="e">
        <v>#N/A</v>
      </c>
    </row>
    <row r="2115" hidden="1">
      <c r="A2115" s="76" t="str">
        <f t="array" ref="A2115:A2116">{"FormulaRow10";(INDEX(CLASSLIST,A2096,1))}</f>
        <v>FormulaRow10</v>
      </c>
      <c r="B2115" s="77" t="s">
        <v>236</v>
      </c>
      <c r="C2115" s="76" t="str">
        <f t="array" ref="C2115:C2116">{"CLASSTYPE";((INDEX(ALLCLASSDATA,MATCH("ClassType",CLASSFEATUREHEADERS,0),MATCH($A2116,CLASSNAMEHEADERS,0))))}</f>
        <v>CLASSTYPE</v>
      </c>
      <c r="D2115" s="76" t="str">
        <f t="array" ref="D2115:D2116">{"CLASSABILITY";"ClassAbility"}</f>
        <v>CLASSABILITY</v>
      </c>
      <c r="E2115" s="76" t="str">
        <f t="array" ref="E2115:E2116">{"CLASSABILITY2";"ClassAbility2"}</f>
        <v>CLASSABILITY2</v>
      </c>
      <c r="F2115" s="76"/>
      <c r="G2115" s="76"/>
      <c r="H2115" s="76"/>
      <c r="I2115" s="76"/>
      <c r="J2115" s="76" t="str">
        <f t="array" ref="J2115:J2116">{"CLASSABILITY2-L03";((INDEX(ALLCLASSDATA,MATCH("ClassAbility2-L03",CLASSFEATUREHEADERS,0),MATCH(($A2116),CLASSNAMEHEADERS,0))))}</f>
        <v>CLASSABILITY2-L03</v>
      </c>
      <c r="K2115" s="76"/>
      <c r="L2115" s="76" t="str">
        <f t="array" ref="L2115:L2116">{"CLASSABILITY2-L05";((INDEX(ALLCLASSDATA,MATCH("ClassAbility2-L05",CLASSFEATUREHEADERS,0),MATCH(($A2116),CLASSNAMEHEADERS,0))))}</f>
        <v>CLASSABILITY2-L05</v>
      </c>
      <c r="M2115" s="76"/>
      <c r="N2115" s="76" t="str">
        <f t="array" ref="N2115:N2116">{"CLASSABILITY2-L07";((INDEX(ALLCLASSDATA,MATCH("ClassAbility2-L07",CLASSFEATUREHEADERS,0),MATCH(($A2116),CLASSNAMEHEADERS,0))))}</f>
        <v>CLASSABILITY2-L07</v>
      </c>
      <c r="O2115" s="76"/>
      <c r="P2115" s="76" t="str">
        <f t="array" ref="P2115:P2116">{"CLASSABILITY2-L09";((INDEX(ALLCLASSDATA,MATCH("ClassAbility2-L09",CLASSFEATUREHEADERS,0),MATCH(($A2116),CLASSNAMEHEADERS,0))))}</f>
        <v>CLASSABILITY2-L09</v>
      </c>
      <c r="Q2115" s="76"/>
      <c r="R2115" s="76" t="str">
        <f t="array" ref="R2115:R2116">{"CLASSABILITY2-L11";((INDEX(ALLCLASSDATA,MATCH("ClassAbility2-L11",CLASSFEATUREHEADERS,0),MATCH(($A2116),CLASSNAMEHEADERS,0))))}</f>
        <v>CLASSABILITY2-L11</v>
      </c>
      <c r="S2115" s="76"/>
      <c r="T2115" s="76" t="str">
        <f t="array" ref="T2115:T2116">{"CLASSABILITY2-L13";((INDEX(ALLCLASSDATA,MATCH("ClassAbility2-L13",CLASSFEATUREHEADERS,0),MATCH(($A2116),CLASSNAMEHEADERS,0))))}</f>
        <v>CLASSABILITY2-L13</v>
      </c>
      <c r="U2115" s="76"/>
      <c r="V2115" s="76" t="str">
        <f t="array" ref="V2115:V2116">{"CLASSABILITY2-L15";((INDEX(ALLCLASSDATA,MATCH("ClassAbility2-L15",CLASSFEATUREHEADERS,0),MATCH(($A2116),CLASSNAMEHEADERS,0))))}</f>
        <v>CLASSABILITY2-L15</v>
      </c>
      <c r="W2115" s="76"/>
      <c r="X2115" s="76" t="str">
        <f t="array" ref="X2115:X2116">{"CLASSABILITY2-L17";((INDEX(ALLCLASSDATA,MATCH("ClassAbility2-L17",CLASSFEATUREHEADERS,0),MATCH(($A2116),CLASSNAMEHEADERS,0))))}</f>
        <v>CLASSABILITY2-L17</v>
      </c>
      <c r="Y2115" s="76"/>
      <c r="Z2115" s="76" t="str">
        <f t="array" ref="Z2115:Z2116">{"CLASSABILITY2-L19";((INDEX(ALLCLASSDATA,MATCH("ClassAbility2-L19",CLASSFEATUREHEADERS,0),MATCH(($A2116),CLASSNAMEHEADERS,0))))}</f>
        <v>CLASSABILITY2-L19</v>
      </c>
      <c r="AA2115" s="76"/>
      <c r="AB2115" s="76"/>
      <c r="AC2115" s="76"/>
    </row>
    <row r="2116">
      <c r="A2116" s="48" t="s">
        <v>238</v>
      </c>
      <c r="B2116" s="48"/>
      <c r="C2116" s="48" t="e">
        <v>#N/A</v>
      </c>
      <c r="D2116" s="48" t="s">
        <v>825</v>
      </c>
      <c r="E2116" s="48" t="s">
        <v>1007</v>
      </c>
      <c r="F2116" s="48"/>
      <c r="G2116" s="47"/>
      <c r="H2116" s="5"/>
      <c r="I2116" s="5"/>
      <c r="J2116" s="5" t="e">
        <v>#N/A</v>
      </c>
      <c r="K2116" s="5"/>
      <c r="L2116" s="5" t="e">
        <v>#N/A</v>
      </c>
      <c r="M2116" s="5"/>
      <c r="N2116" s="5" t="e">
        <v>#N/A</v>
      </c>
      <c r="O2116" s="5"/>
      <c r="P2116" s="5" t="e">
        <v>#N/A</v>
      </c>
      <c r="Q2116" s="5"/>
      <c r="R2116" s="5" t="e">
        <v>#N/A</v>
      </c>
      <c r="S2116" s="5"/>
      <c r="T2116" s="5" t="e">
        <v>#N/A</v>
      </c>
      <c r="U2116" s="5"/>
      <c r="V2116" s="5" t="e">
        <v>#N/A</v>
      </c>
      <c r="W2116" s="5"/>
      <c r="X2116" s="5" t="e">
        <v>#N/A</v>
      </c>
      <c r="Y2116" s="5"/>
      <c r="Z2116" s="5" t="e">
        <v>#N/A</v>
      </c>
      <c r="AA2116" s="5"/>
      <c r="AB2116" s="5"/>
      <c r="AC2116" s="47"/>
    </row>
    <row r="2117" hidden="1">
      <c r="A2117" s="76" t="str">
        <f t="array" ref="A2117:A2118">{"FormulaRow11";(INDEX(CLASSLIST,A2096,1))}</f>
        <v>FormulaRow11</v>
      </c>
      <c r="B2117" s="77" t="s">
        <v>236</v>
      </c>
      <c r="C2117" s="76" t="str">
        <f t="array" ref="C2117:C2118">{"CLASSTYPE";((INDEX(ALLCLASSDATA,MATCH("ClassType",CLASSFEATUREHEADERS,0),MATCH($A2118,CLASSNAMEHEADERS,0))))}</f>
        <v>CLASSTYPE</v>
      </c>
      <c r="D2117" s="76" t="str">
        <f t="array" ref="D2117:D2118">{"CLASSABILITYPTS";"ClassAbilityPts"}</f>
        <v>CLASSABILITYPTS</v>
      </c>
      <c r="E2117" s="76" t="str">
        <f t="array" ref="E2117:E2118">{"CLASSABILITY2";"ClassAbility2"}</f>
        <v>CLASSABILITY2</v>
      </c>
      <c r="F2117" s="76"/>
      <c r="G2117" s="76"/>
      <c r="H2117" s="76"/>
      <c r="I2117" s="76"/>
      <c r="J2117" s="76" t="str">
        <f t="array" ref="J2117:J2118">{"CLASSABILITY2-L03PTS";((INDEX(ALLCLASSDATA,MATCH("ClassAbility2-L03",CLASSFEATUREHEADERS,0),MATCH(($A2118 &amp; "Points"),CLASSNAMEHEADERS,0))))}</f>
        <v>CLASSABILITY2-L03PTS</v>
      </c>
      <c r="K2117" s="76"/>
      <c r="L2117" s="76" t="str">
        <f t="array" ref="L2117:L2118">{"CLASSABILITY2-L05PTS";((INDEX(ALLCLASSDATA,MATCH("ClassAbility2-L05",CLASSFEATUREHEADERS,0),MATCH(($A2118 &amp; "Points"),CLASSNAMEHEADERS,0))))}</f>
        <v>CLASSABILITY2-L05PTS</v>
      </c>
      <c r="M2117" s="76"/>
      <c r="N2117" s="76" t="str">
        <f t="array" ref="N2117:N2118">{"CLASSABILITY2-L07PTS";((INDEX(ALLCLASSDATA,MATCH("ClassAbility2-L07",CLASSFEATUREHEADERS,0),MATCH(($A2118 &amp; "Points"),CLASSNAMEHEADERS,0))))}</f>
        <v>CLASSABILITY2-L07PTS</v>
      </c>
      <c r="O2117" s="76"/>
      <c r="P2117" s="76" t="str">
        <f t="array" ref="P2117:P2118">{"CLASSABILITY2-L09PTS";((INDEX(ALLCLASSDATA,MATCH("ClassAbility2-L09",CLASSFEATUREHEADERS,0),MATCH(($A2118 &amp; "Points"),CLASSNAMEHEADERS,0))))}</f>
        <v>CLASSABILITY2-L09PTS</v>
      </c>
      <c r="Q2117" s="76"/>
      <c r="R2117" s="76" t="str">
        <f t="array" ref="R2117:R2118">{"CLASSABILITY2-L11PTS";((INDEX(ALLCLASSDATA,MATCH("ClassAbility2-L11",CLASSFEATUREHEADERS,0),MATCH(($A2118 &amp; "Points"),CLASSNAMEHEADERS,0))))}</f>
        <v>CLASSABILITY2-L11PTS</v>
      </c>
      <c r="S2117" s="76"/>
      <c r="T2117" s="76" t="str">
        <f t="array" ref="T2117:T2118">{"CLASSABILITY2-L13PTS";((INDEX(ALLCLASSDATA,MATCH("ClassAbility2-L13",CLASSFEATUREHEADERS,0),MATCH(($A2118 &amp; "Points"),CLASSNAMEHEADERS,0))))}</f>
        <v>CLASSABILITY2-L13PTS</v>
      </c>
      <c r="U2117" s="76"/>
      <c r="V2117" s="76" t="str">
        <f t="array" ref="V2117:V2118">{"CLASSABILITY2-L15PTS";((INDEX(ALLCLASSDATA,MATCH("ClassAbility2-L15",CLASSFEATUREHEADERS,0),MATCH(($A2118 &amp; "Points"),CLASSNAMEHEADERS,0))))}</f>
        <v>CLASSABILITY2-L15PTS</v>
      </c>
      <c r="W2117" s="76"/>
      <c r="X2117" s="76" t="str">
        <f t="array" ref="X2117:X2118">{"CLASSABILITY2-L17PTS";((INDEX(ALLCLASSDATA,MATCH("ClassAbility2-L17",CLASSFEATUREHEADERS,0),MATCH(($A2118 &amp; "Points"),CLASSNAMEHEADERS,0))))}</f>
        <v>CLASSABILITY2-L17PTS</v>
      </c>
      <c r="Y2117" s="76"/>
      <c r="Z2117" s="76" t="str">
        <f t="array" ref="Z2117:Z2118">{"CLASSABILITY2-L19PTS";((INDEX(ALLCLASSDATA,MATCH("ClassAbility2-L19",CLASSFEATUREHEADERS,0),MATCH(($A2118 &amp; "Points"),CLASSNAMEHEADERS,0))))}</f>
        <v>CLASSABILITY2-L19PTS</v>
      </c>
      <c r="AA2117" s="76"/>
      <c r="AB2117" s="76"/>
      <c r="AC2117" s="76" t="str">
        <f t="array" ref="AC2117:AC2118">{"CLASSABILITY2 TOTAL";(sum(G2118:AA2118))}</f>
        <v>CLASSABILITY2 TOTAL</v>
      </c>
    </row>
    <row r="2118">
      <c r="A2118" s="48" t="s">
        <v>238</v>
      </c>
      <c r="B2118" s="48"/>
      <c r="C2118" s="48" t="e">
        <v>#N/A</v>
      </c>
      <c r="D2118" s="48" t="s">
        <v>930</v>
      </c>
      <c r="E2118" s="48" t="s">
        <v>1007</v>
      </c>
      <c r="F2118" s="48"/>
      <c r="G2118" s="47"/>
      <c r="H2118" s="5"/>
      <c r="I2118" s="5"/>
      <c r="J2118" s="5" t="e">
        <v>#N/A</v>
      </c>
      <c r="K2118" s="5"/>
      <c r="L2118" s="5" t="e">
        <v>#N/A</v>
      </c>
      <c r="M2118" s="5"/>
      <c r="N2118" s="5" t="e">
        <v>#N/A</v>
      </c>
      <c r="O2118" s="5"/>
      <c r="P2118" s="5" t="e">
        <v>#N/A</v>
      </c>
      <c r="Q2118" s="5"/>
      <c r="R2118" s="5" t="e">
        <v>#N/A</v>
      </c>
      <c r="S2118" s="5"/>
      <c r="T2118" s="5" t="e">
        <v>#N/A</v>
      </c>
      <c r="U2118" s="5"/>
      <c r="V2118" s="5" t="e">
        <v>#N/A</v>
      </c>
      <c r="W2118" s="5"/>
      <c r="X2118" s="5" t="e">
        <v>#N/A</v>
      </c>
      <c r="Y2118" s="5"/>
      <c r="Z2118" s="5" t="e">
        <v>#N/A</v>
      </c>
      <c r="AA2118" s="5"/>
      <c r="AB2118" s="5"/>
      <c r="AC2118" s="47" t="e">
        <v>#N/A</v>
      </c>
    </row>
    <row r="2119" hidden="1">
      <c r="A2119" s="76" t="str">
        <f t="array" ref="A2119:A2120">{"FormulaRow12";(INDEX(CLASSLIST,A2096,1))}</f>
        <v>FormulaRow12</v>
      </c>
      <c r="B2119" s="77" t="s">
        <v>236</v>
      </c>
      <c r="C2119" s="76" t="str">
        <f t="array" ref="C2119:C2120">{"CLASSTYPE";((INDEX(ALLCLASSDATA,MATCH("ClassType",CLASSFEATUREHEADERS,0),MATCH($A2120,CLASSNAMEHEADERS,0))))}</f>
        <v>CLASSTYPE</v>
      </c>
      <c r="D2119" s="76" t="str">
        <f t="array" ref="D2119:D2120">{"CLASSABILITY";"ClassAbility"}</f>
        <v>CLASSABILITY</v>
      </c>
      <c r="E2119" s="76" t="str">
        <f t="array" ref="E2119:E2120">{"CLASSABILITY3";"ClassAbility3"}</f>
        <v>CLASSABILITY3</v>
      </c>
      <c r="F2119" s="76"/>
      <c r="G2119" s="76"/>
      <c r="H2119" s="76"/>
      <c r="I2119" s="76"/>
      <c r="J2119" s="76" t="str">
        <f t="array" ref="J2119:J2120">{"CLASSABILITY3-L03";((INDEX(ALLCLASSDATA,MATCH("ClassAbility3-L03",CLASSFEATUREHEADERS,0),MATCH(($A2120),CLASSNAMEHEADERS,0))))}</f>
        <v>CLASSABILITY3-L03</v>
      </c>
      <c r="K2119" s="76"/>
      <c r="L2119" s="76" t="str">
        <f t="array" ref="L2119:L2120">{"CLASSABILITY3-L05";((INDEX(ALLCLASSDATA,MATCH("ClassAbility3-L05",CLASSFEATUREHEADERS,0),MATCH(($A2120),CLASSNAMEHEADERS,0))))}</f>
        <v>CLASSABILITY3-L05</v>
      </c>
      <c r="M2119" s="76"/>
      <c r="N2119" s="76" t="str">
        <f t="array" ref="N2119:N2120">{"CLASSABILITY3-L07";((INDEX(ALLCLASSDATA,MATCH("ClassAbility3-L07",CLASSFEATUREHEADERS,0),MATCH(($A2120),CLASSNAMEHEADERS,0))))}</f>
        <v>CLASSABILITY3-L07</v>
      </c>
      <c r="O2119" s="76"/>
      <c r="P2119" s="76" t="str">
        <f t="array" ref="P2119:P2120">{"CLASSABILITY3-L09";((INDEX(ALLCLASSDATA,MATCH("ClassAbility3-L09",CLASSFEATUREHEADERS,0),MATCH(($A2120),CLASSNAMEHEADERS,0))))}</f>
        <v>CLASSABILITY3-L09</v>
      </c>
      <c r="Q2119" s="76"/>
      <c r="R2119" s="76" t="str">
        <f t="array" ref="R2119:R2120">{"CLASSABILITY3-L11";((INDEX(ALLCLASSDATA,MATCH("ClassAbility3-L11",CLASSFEATUREHEADERS,0),MATCH(($A2120),CLASSNAMEHEADERS,0))))}</f>
        <v>CLASSABILITY3-L11</v>
      </c>
      <c r="S2119" s="76"/>
      <c r="T2119" s="76" t="str">
        <f t="array" ref="T2119:T2120">{"CLASSABILITY3-L13";((INDEX(ALLCLASSDATA,MATCH("ClassAbility3-L13",CLASSFEATUREHEADERS,0),MATCH(($A2120),CLASSNAMEHEADERS,0))))}</f>
        <v>CLASSABILITY3-L13</v>
      </c>
      <c r="U2119" s="76"/>
      <c r="V2119" s="76" t="str">
        <f t="array" ref="V2119:V2120">{"CLASSABILITY3-L15";((INDEX(ALLCLASSDATA,MATCH("ClassAbility3-L15",CLASSFEATUREHEADERS,0),MATCH(($A2120),CLASSNAMEHEADERS,0))))}</f>
        <v>CLASSABILITY3-L15</v>
      </c>
      <c r="W2119" s="76"/>
      <c r="X2119" s="76" t="str">
        <f t="array" ref="X2119:X2120">{"CLASSABILITY3-L17";((INDEX(ALLCLASSDATA,MATCH("ClassAbility3-L17",CLASSFEATUREHEADERS,0),MATCH(($A2120),CLASSNAMEHEADERS,0))))}</f>
        <v>CLASSABILITY3-L17</v>
      </c>
      <c r="Y2119" s="76"/>
      <c r="Z2119" s="76" t="str">
        <f t="array" ref="Z2119:Z2120">{"CLASSABILITY3-L19";((INDEX(ALLCLASSDATA,MATCH("ClassAbility3-L19",CLASSFEATUREHEADERS,0),MATCH(($A2120),CLASSNAMEHEADERS,0))))}</f>
        <v>CLASSABILITY3-L19</v>
      </c>
      <c r="AA2119" s="76"/>
      <c r="AB2119" s="76"/>
      <c r="AC2119" s="76"/>
    </row>
    <row r="2120">
      <c r="A2120" s="48" t="s">
        <v>238</v>
      </c>
      <c r="B2120" s="48"/>
      <c r="C2120" s="48" t="e">
        <v>#N/A</v>
      </c>
      <c r="D2120" s="48" t="s">
        <v>825</v>
      </c>
      <c r="E2120" s="48" t="s">
        <v>1144</v>
      </c>
      <c r="F2120" s="48"/>
      <c r="G2120" s="47"/>
      <c r="H2120" s="5"/>
      <c r="I2120" s="5"/>
      <c r="J2120" s="5" t="e">
        <v>#N/A</v>
      </c>
      <c r="K2120" s="5"/>
      <c r="L2120" s="5" t="e">
        <v>#N/A</v>
      </c>
      <c r="M2120" s="5"/>
      <c r="N2120" s="5" t="e">
        <v>#N/A</v>
      </c>
      <c r="O2120" s="5"/>
      <c r="P2120" s="5" t="e">
        <v>#N/A</v>
      </c>
      <c r="Q2120" s="5"/>
      <c r="R2120" s="5" t="e">
        <v>#N/A</v>
      </c>
      <c r="S2120" s="5"/>
      <c r="T2120" s="5" t="e">
        <v>#N/A</v>
      </c>
      <c r="U2120" s="5"/>
      <c r="V2120" s="5" t="e">
        <v>#N/A</v>
      </c>
      <c r="W2120" s="5"/>
      <c r="X2120" s="5" t="e">
        <v>#N/A</v>
      </c>
      <c r="Y2120" s="5"/>
      <c r="Z2120" s="5" t="e">
        <v>#N/A</v>
      </c>
      <c r="AA2120" s="5"/>
      <c r="AB2120" s="5"/>
      <c r="AC2120" s="47"/>
    </row>
    <row r="2121" hidden="1">
      <c r="A2121" s="76" t="str">
        <f t="array" ref="A2121:A2122">{"FormulaRow13";(INDEX(CLASSLIST,A2096,1))}</f>
        <v>FormulaRow13</v>
      </c>
      <c r="B2121" s="77" t="s">
        <v>236</v>
      </c>
      <c r="C2121" s="76" t="str">
        <f t="array" ref="C2121:C2122">{"CLASSTYPE";((INDEX(ALLCLASSDATA,MATCH("ClassType",CLASSFEATUREHEADERS,0),MATCH($A2122,CLASSNAMEHEADERS,0))))}</f>
        <v>CLASSTYPE</v>
      </c>
      <c r="D2121" s="76" t="str">
        <f t="array" ref="D2121:D2122">{"CLASSABILITYPTS";"ClassAbilityPts"}</f>
        <v>CLASSABILITYPTS</v>
      </c>
      <c r="E2121" s="76" t="str">
        <f t="array" ref="E2121:E2122">{"CLASSABILITY3";"ClassAbility3"}</f>
        <v>CLASSABILITY3</v>
      </c>
      <c r="F2121" s="76"/>
      <c r="G2121" s="76"/>
      <c r="H2121" s="76"/>
      <c r="I2121" s="76"/>
      <c r="J2121" s="76" t="str">
        <f t="array" ref="J2121:J2122">{"CLASSABILITY3-L03PTS";((INDEX(ALLCLASSDATA,MATCH("ClassAbility3-L03",CLASSFEATUREHEADERS,0),MATCH(($A2122 &amp; "Points"),CLASSNAMEHEADERS,0))))}</f>
        <v>CLASSABILITY3-L03PTS</v>
      </c>
      <c r="K2121" s="76"/>
      <c r="L2121" s="76" t="str">
        <f t="array" ref="L2121:L2122">{"CLASSABILITY3-L05PTS";((INDEX(ALLCLASSDATA,MATCH("ClassAbility3-L05",CLASSFEATUREHEADERS,0),MATCH(($A2122 &amp; "Points"),CLASSNAMEHEADERS,0))))}</f>
        <v>CLASSABILITY3-L05PTS</v>
      </c>
      <c r="M2121" s="76"/>
      <c r="N2121" s="76" t="str">
        <f t="array" ref="N2121:N2122">{"CLASSABILITY3-L07PTS";((INDEX(ALLCLASSDATA,MATCH("ClassAbility3-L07",CLASSFEATUREHEADERS,0),MATCH(($A2122 &amp; "Points"),CLASSNAMEHEADERS,0))))}</f>
        <v>CLASSABILITY3-L07PTS</v>
      </c>
      <c r="O2121" s="76"/>
      <c r="P2121" s="76" t="str">
        <f t="array" ref="P2121:P2122">{"CLASSABILITY3-L09PTS";((INDEX(ALLCLASSDATA,MATCH("ClassAbility3-L09",CLASSFEATUREHEADERS,0),MATCH(($A2122 &amp; "Points"),CLASSNAMEHEADERS,0))))}</f>
        <v>CLASSABILITY3-L09PTS</v>
      </c>
      <c r="Q2121" s="76"/>
      <c r="R2121" s="76" t="str">
        <f t="array" ref="R2121:R2122">{"CLASSABILITY3-L11PTS";((INDEX(ALLCLASSDATA,MATCH("ClassAbility3-L11",CLASSFEATUREHEADERS,0),MATCH(($A2122 &amp; "Points"),CLASSNAMEHEADERS,0))))}</f>
        <v>CLASSABILITY3-L11PTS</v>
      </c>
      <c r="S2121" s="76"/>
      <c r="T2121" s="76" t="str">
        <f t="array" ref="T2121:T2122">{"CLASSABILITY3-L13PTS";((INDEX(ALLCLASSDATA,MATCH("ClassAbility3-L13",CLASSFEATUREHEADERS,0),MATCH(($A2122 &amp; "Points"),CLASSNAMEHEADERS,0))))}</f>
        <v>CLASSABILITY3-L13PTS</v>
      </c>
      <c r="U2121" s="76"/>
      <c r="V2121" s="76" t="str">
        <f t="array" ref="V2121:V2122">{"CLASSABILITY3-L15PTS";((INDEX(ALLCLASSDATA,MATCH("ClassAbility3-L15",CLASSFEATUREHEADERS,0),MATCH(($A2122 &amp; "Points"),CLASSNAMEHEADERS,0))))}</f>
        <v>CLASSABILITY3-L15PTS</v>
      </c>
      <c r="W2121" s="76"/>
      <c r="X2121" s="76" t="str">
        <f t="array" ref="X2121:X2122">{"CLASSABILITY3-L17PTS";((INDEX(ALLCLASSDATA,MATCH("ClassAbility3-L17",CLASSFEATUREHEADERS,0),MATCH(($A2122 &amp; "Points"),CLASSNAMEHEADERS,0))))}</f>
        <v>CLASSABILITY3-L17PTS</v>
      </c>
      <c r="Y2121" s="76"/>
      <c r="Z2121" s="76" t="str">
        <f t="array" ref="Z2121:Z2122">{"CLASSABILITY3-L19PTS";((INDEX(ALLCLASSDATA,MATCH("ClassAbility3-L19",CLASSFEATUREHEADERS,0),MATCH(($A2122 &amp; "Points"),CLASSNAMEHEADERS,0))))}</f>
        <v>CLASSABILITY3-L19PTS</v>
      </c>
      <c r="AA2121" s="76"/>
      <c r="AB2121" s="76"/>
      <c r="AC2121" s="76" t="str">
        <f t="array" ref="AC2121:AC2122">{"CLASSABILITY3 TOTAL";(sum(G2122:AA2122))}</f>
        <v>CLASSABILITY3 TOTAL</v>
      </c>
    </row>
    <row r="2122">
      <c r="A2122" s="48" t="s">
        <v>238</v>
      </c>
      <c r="B2122" s="48"/>
      <c r="C2122" s="48" t="e">
        <v>#N/A</v>
      </c>
      <c r="D2122" s="48" t="s">
        <v>930</v>
      </c>
      <c r="E2122" s="48" t="s">
        <v>1144</v>
      </c>
      <c r="F2122" s="48"/>
      <c r="G2122" s="47"/>
      <c r="H2122" s="5"/>
      <c r="I2122" s="5"/>
      <c r="J2122" s="5" t="e">
        <v>#N/A</v>
      </c>
      <c r="K2122" s="5"/>
      <c r="L2122" s="5" t="e">
        <v>#N/A</v>
      </c>
      <c r="M2122" s="5"/>
      <c r="N2122" s="5" t="e">
        <v>#N/A</v>
      </c>
      <c r="O2122" s="5"/>
      <c r="P2122" s="5" t="e">
        <v>#N/A</v>
      </c>
      <c r="Q2122" s="5"/>
      <c r="R2122" s="5" t="e">
        <v>#N/A</v>
      </c>
      <c r="S2122" s="5"/>
      <c r="T2122" s="5" t="e">
        <v>#N/A</v>
      </c>
      <c r="U2122" s="5"/>
      <c r="V2122" s="5" t="e">
        <v>#N/A</v>
      </c>
      <c r="W2122" s="5"/>
      <c r="X2122" s="5" t="e">
        <v>#N/A</v>
      </c>
      <c r="Y2122" s="5"/>
      <c r="Z2122" s="5" t="e">
        <v>#N/A</v>
      </c>
      <c r="AA2122" s="5"/>
      <c r="AB2122" s="5"/>
      <c r="AC2122" s="47" t="e">
        <v>#N/A</v>
      </c>
    </row>
    <row r="2123" hidden="1">
      <c r="A2123" s="76" t="str">
        <f t="array" ref="A2123:A2124">{"FormulaRow14";(INDEX(CLASSLIST,A2096,1))}</f>
        <v>FormulaRow14</v>
      </c>
      <c r="B2123" s="77" t="s">
        <v>236</v>
      </c>
      <c r="C2123" s="76" t="str">
        <f t="array" ref="C2123:C2124">{"CLASSTYPE";((INDEX(ALLCLASSDATA,MATCH("ClassType",CLASSFEATUREHEADERS,0),MATCH($A2124,CLASSNAMEHEADERS,0))))}</f>
        <v>CLASSTYPE</v>
      </c>
      <c r="D2123" s="76" t="str">
        <f t="array" ref="D2123:D2124">{"CLASSABILITY";"ClassAbility"}</f>
        <v>CLASSABILITY</v>
      </c>
      <c r="E2123" s="76" t="str">
        <f t="array" ref="E2123:E2124">{"CLASSABILITY4";"ClassAbility4"}</f>
        <v>CLASSABILITY4</v>
      </c>
      <c r="F2123" s="76"/>
      <c r="G2123" s="76"/>
      <c r="H2123" s="76"/>
      <c r="I2123" s="76"/>
      <c r="J2123" s="76" t="str">
        <f t="array" ref="J2123:J2124">{"CLASSABILITY4-L03";((INDEX(ALLCLASSDATA,MATCH("ClassAbility4-L03",CLASSFEATUREHEADERS,0),MATCH(($A2124),CLASSNAMEHEADERS,0))))}</f>
        <v>CLASSABILITY4-L03</v>
      </c>
      <c r="K2123" s="76"/>
      <c r="L2123" s="76" t="str">
        <f t="array" ref="L2123:L2124">{"CLASSABILITY4-L05";((INDEX(ALLCLASSDATA,MATCH("ClassAbility4-L05",CLASSFEATUREHEADERS,0),MATCH(($A2124),CLASSNAMEHEADERS,0))))}</f>
        <v>CLASSABILITY4-L05</v>
      </c>
      <c r="M2123" s="76"/>
      <c r="N2123" s="76" t="str">
        <f t="array" ref="N2123:N2124">{"CLASSABILITY4-L07";((INDEX(ALLCLASSDATA,MATCH("ClassAbility4-L07",CLASSFEATUREHEADERS,0),MATCH(($A2124),CLASSNAMEHEADERS,0))))}</f>
        <v>CLASSABILITY4-L07</v>
      </c>
      <c r="O2123" s="76"/>
      <c r="P2123" s="76" t="str">
        <f t="array" ref="P2123:P2124">{"CLASSABILITY4-L09";((INDEX(ALLCLASSDATA,MATCH("ClassAbility4-L09",CLASSFEATUREHEADERS,0),MATCH(($A2124),CLASSNAMEHEADERS,0))))}</f>
        <v>CLASSABILITY4-L09</v>
      </c>
      <c r="Q2123" s="76"/>
      <c r="R2123" s="76" t="str">
        <f t="array" ref="R2123:R2124">{"CLASSABILITY4-L11";((INDEX(ALLCLASSDATA,MATCH("ClassAbility4-L11",CLASSFEATUREHEADERS,0),MATCH(($A2124),CLASSNAMEHEADERS,0))))}</f>
        <v>CLASSABILITY4-L11</v>
      </c>
      <c r="S2123" s="76"/>
      <c r="T2123" s="76" t="str">
        <f t="array" ref="T2123:T2124">{"CLASSABILITY4-L13";((INDEX(ALLCLASSDATA,MATCH("ClassAbility4-L13",CLASSFEATUREHEADERS,0),MATCH(($A2124),CLASSNAMEHEADERS,0))))}</f>
        <v>CLASSABILITY4-L13</v>
      </c>
      <c r="U2123" s="76"/>
      <c r="V2123" s="76" t="str">
        <f t="array" ref="V2123:V2124">{"CLASSABILITY4-L15";((INDEX(ALLCLASSDATA,MATCH("ClassAbility4-L15",CLASSFEATUREHEADERS,0),MATCH(($A2124),CLASSNAMEHEADERS,0))))}</f>
        <v>CLASSABILITY4-L15</v>
      </c>
      <c r="W2123" s="76"/>
      <c r="X2123" s="76" t="str">
        <f t="array" ref="X2123:X2124">{"CLASSABILITY4-L17";((INDEX(ALLCLASSDATA,MATCH("ClassAbility4-L17",CLASSFEATUREHEADERS,0),MATCH(($A2124),CLASSNAMEHEADERS,0))))}</f>
        <v>CLASSABILITY4-L17</v>
      </c>
      <c r="Y2123" s="76"/>
      <c r="Z2123" s="76" t="str">
        <f t="array" ref="Z2123:Z2124">{"CLASSABILITY4-L19";((INDEX(ALLCLASSDATA,MATCH("ClassAbility4-L19",CLASSFEATUREHEADERS,0),MATCH(($A2124),CLASSNAMEHEADERS,0))))}</f>
        <v>CLASSABILITY4-L19</v>
      </c>
      <c r="AA2123" s="76"/>
      <c r="AB2123" s="76"/>
      <c r="AC2123" s="76"/>
    </row>
    <row r="2124">
      <c r="A2124" s="48" t="s">
        <v>238</v>
      </c>
      <c r="B2124" s="48"/>
      <c r="C2124" s="48" t="e">
        <v>#N/A</v>
      </c>
      <c r="D2124" s="48" t="s">
        <v>825</v>
      </c>
      <c r="E2124" s="48" t="s">
        <v>1273</v>
      </c>
      <c r="F2124" s="48"/>
      <c r="G2124" s="47"/>
      <c r="H2124" s="5"/>
      <c r="I2124" s="5"/>
      <c r="J2124" s="5" t="e">
        <v>#N/A</v>
      </c>
      <c r="K2124" s="5"/>
      <c r="L2124" s="5" t="e">
        <v>#N/A</v>
      </c>
      <c r="M2124" s="5"/>
      <c r="N2124" s="5" t="e">
        <v>#N/A</v>
      </c>
      <c r="O2124" s="5"/>
      <c r="P2124" s="5" t="e">
        <v>#N/A</v>
      </c>
      <c r="Q2124" s="5"/>
      <c r="R2124" s="5" t="e">
        <v>#N/A</v>
      </c>
      <c r="S2124" s="5"/>
      <c r="T2124" s="5" t="e">
        <v>#N/A</v>
      </c>
      <c r="U2124" s="5"/>
      <c r="V2124" s="5" t="e">
        <v>#N/A</v>
      </c>
      <c r="W2124" s="5"/>
      <c r="X2124" s="5" t="e">
        <v>#N/A</v>
      </c>
      <c r="Y2124" s="5"/>
      <c r="Z2124" s="5" t="e">
        <v>#N/A</v>
      </c>
      <c r="AA2124" s="5"/>
      <c r="AB2124" s="5"/>
      <c r="AC2124" s="47"/>
    </row>
    <row r="2125" hidden="1">
      <c r="A2125" s="76" t="str">
        <f t="array" ref="A2125:A2126">{"FormulaRow15";(INDEX(CLASSLIST,A2096,1))}</f>
        <v>FormulaRow15</v>
      </c>
      <c r="B2125" s="77" t="s">
        <v>236</v>
      </c>
      <c r="C2125" s="76" t="str">
        <f t="array" ref="C2125:C2126">{"CLASSTYPE";((INDEX(ALLCLASSDATA,MATCH("ClassType",CLASSFEATUREHEADERS,0),MATCH($A2126,CLASSNAMEHEADERS,0))))}</f>
        <v>CLASSTYPE</v>
      </c>
      <c r="D2125" s="76" t="str">
        <f t="array" ref="D2125:D2126">{"CLASSABILITYPTS";"ClassAbilityPts"}</f>
        <v>CLASSABILITYPTS</v>
      </c>
      <c r="E2125" s="76" t="str">
        <f t="array" ref="E2125:E2126">{"CLASSABILITY4";"ClassAbility4"}</f>
        <v>CLASSABILITY4</v>
      </c>
      <c r="F2125" s="76"/>
      <c r="G2125" s="76"/>
      <c r="H2125" s="76"/>
      <c r="I2125" s="76"/>
      <c r="J2125" s="76" t="str">
        <f t="array" ref="J2125:J2126">{"CLASSABILITY4-L03PTS";((INDEX(ALLCLASSDATA,MATCH("ClassAbility4-L03",CLASSFEATUREHEADERS,0),MATCH(($A2126 &amp; "Points"),CLASSNAMEHEADERS,0))))}</f>
        <v>CLASSABILITY4-L03PTS</v>
      </c>
      <c r="K2125" s="76"/>
      <c r="L2125" s="76" t="str">
        <f t="array" ref="L2125:L2126">{"CLASSABILITY4-L05PTS";((INDEX(ALLCLASSDATA,MATCH("ClassAbility4-L05",CLASSFEATUREHEADERS,0),MATCH(($A2126 &amp; "Points"),CLASSNAMEHEADERS,0))))}</f>
        <v>CLASSABILITY4-L05PTS</v>
      </c>
      <c r="M2125" s="76"/>
      <c r="N2125" s="76" t="str">
        <f t="array" ref="N2125:N2126">{"CLASSABILITY4-L07PTS";((INDEX(ALLCLASSDATA,MATCH("ClassAbility4-L07",CLASSFEATUREHEADERS,0),MATCH(($A2126 &amp; "Points"),CLASSNAMEHEADERS,0))))}</f>
        <v>CLASSABILITY4-L07PTS</v>
      </c>
      <c r="O2125" s="76"/>
      <c r="P2125" s="76" t="str">
        <f t="array" ref="P2125:P2126">{"CLASSABILITY4-L09PTS";((INDEX(ALLCLASSDATA,MATCH("ClassAbility4-L09",CLASSFEATUREHEADERS,0),MATCH(($A2126 &amp; "Points"),CLASSNAMEHEADERS,0))))}</f>
        <v>CLASSABILITY4-L09PTS</v>
      </c>
      <c r="Q2125" s="76"/>
      <c r="R2125" s="76" t="str">
        <f t="array" ref="R2125:R2126">{"CLASSABILITY4-L11PTS";((INDEX(ALLCLASSDATA,MATCH("ClassAbility4-L11",CLASSFEATUREHEADERS,0),MATCH(($A2126 &amp; "Points"),CLASSNAMEHEADERS,0))))}</f>
        <v>CLASSABILITY4-L11PTS</v>
      </c>
      <c r="S2125" s="76"/>
      <c r="T2125" s="76" t="str">
        <f t="array" ref="T2125:T2126">{"CLASSABILITY4-L13PTS";((INDEX(ALLCLASSDATA,MATCH("ClassAbility4-L13",CLASSFEATUREHEADERS,0),MATCH(($A2126 &amp; "Points"),CLASSNAMEHEADERS,0))))}</f>
        <v>CLASSABILITY4-L13PTS</v>
      </c>
      <c r="U2125" s="76"/>
      <c r="V2125" s="76" t="str">
        <f t="array" ref="V2125:V2126">{"CLASSABILITY4-L15PTS";((INDEX(ALLCLASSDATA,MATCH("ClassAbility4-L15",CLASSFEATUREHEADERS,0),MATCH(($A2126 &amp; "Points"),CLASSNAMEHEADERS,0))))}</f>
        <v>CLASSABILITY4-L15PTS</v>
      </c>
      <c r="W2125" s="76"/>
      <c r="X2125" s="76" t="str">
        <f t="array" ref="X2125:X2126">{"CLASSABILITY4-L17PTS";((INDEX(ALLCLASSDATA,MATCH("ClassAbility4-L17",CLASSFEATUREHEADERS,0),MATCH(($A2126 &amp; "Points"),CLASSNAMEHEADERS,0))))}</f>
        <v>CLASSABILITY4-L17PTS</v>
      </c>
      <c r="Y2125" s="76"/>
      <c r="Z2125" s="76" t="str">
        <f t="array" ref="Z2125:Z2126">{"CLASSABILITY4-L19PTS";((INDEX(ALLCLASSDATA,MATCH("ClassAbility4-L19",CLASSFEATUREHEADERS,0),MATCH(($A2126 &amp; "Points"),CLASSNAMEHEADERS,0))))}</f>
        <v>CLASSABILITY4-L19PTS</v>
      </c>
      <c r="AA2125" s="76"/>
      <c r="AB2125" s="76"/>
      <c r="AC2125" s="76" t="str">
        <f t="array" ref="AC2125:AC2126">{"CLASSABILITY4 TOTAL";(sum(G2126:AA2126))}</f>
        <v>CLASSABILITY4 TOTAL</v>
      </c>
    </row>
    <row r="2126">
      <c r="A2126" s="48" t="s">
        <v>238</v>
      </c>
      <c r="B2126" s="48"/>
      <c r="C2126" s="48" t="e">
        <v>#N/A</v>
      </c>
      <c r="D2126" s="48" t="s">
        <v>930</v>
      </c>
      <c r="E2126" s="48" t="s">
        <v>1273</v>
      </c>
      <c r="F2126" s="48"/>
      <c r="G2126" s="47"/>
      <c r="H2126" s="5"/>
      <c r="I2126" s="5"/>
      <c r="J2126" s="5" t="e">
        <v>#N/A</v>
      </c>
      <c r="K2126" s="5"/>
      <c r="L2126" s="5" t="e">
        <v>#N/A</v>
      </c>
      <c r="M2126" s="5"/>
      <c r="N2126" s="5" t="e">
        <v>#N/A</v>
      </c>
      <c r="O2126" s="5"/>
      <c r="P2126" s="5" t="e">
        <v>#N/A</v>
      </c>
      <c r="Q2126" s="5"/>
      <c r="R2126" s="5" t="e">
        <v>#N/A</v>
      </c>
      <c r="S2126" s="5"/>
      <c r="T2126" s="5" t="e">
        <v>#N/A</v>
      </c>
      <c r="U2126" s="5"/>
      <c r="V2126" s="5" t="e">
        <v>#N/A</v>
      </c>
      <c r="W2126" s="5"/>
      <c r="X2126" s="5" t="e">
        <v>#N/A</v>
      </c>
      <c r="Y2126" s="5"/>
      <c r="Z2126" s="5" t="e">
        <v>#N/A</v>
      </c>
      <c r="AA2126" s="5"/>
      <c r="AB2126" s="5"/>
      <c r="AC2126" s="47" t="e">
        <v>#N/A</v>
      </c>
    </row>
    <row r="2127" hidden="1">
      <c r="A2127" s="76" t="str">
        <f t="array" ref="A2127:A2128">{"FormulaRow16";(INDEX(CLASSLIST,A2096,1))}</f>
        <v>FormulaRow16</v>
      </c>
      <c r="B2127" s="77" t="s">
        <v>236</v>
      </c>
      <c r="C2127" s="76" t="str">
        <f t="array" ref="C2127:C2128">{"CLASSTYPE";((INDEX(ALLCLASSDATA,MATCH("ClassType",CLASSFEATUREHEADERS,0),MATCH($A2128,CLASSNAMEHEADERS,0))))}</f>
        <v>CLASSTYPE</v>
      </c>
      <c r="D2127" s="76" t="str">
        <f t="array" ref="D2127:D2128">{"CLASSABILITY";"ClassAbility"}</f>
        <v>CLASSABILITY</v>
      </c>
      <c r="E2127" s="76" t="str">
        <f t="array" ref="E2127:E2128">{"SUBCLASSABILITY1";"SubclassAbility1"}</f>
        <v>SUBCLASSABILITY1</v>
      </c>
      <c r="F2127" s="76"/>
      <c r="G2127" s="76"/>
      <c r="H2127" s="76"/>
      <c r="I2127" s="76"/>
      <c r="J2127" s="76" t="str">
        <f t="array" ref="J2127:J2128">{"SUBCLASSABILITY1-L03";((INDEX(ALLCLASSDATA,MATCH("SubclassAbility1-L03",CLASSFEATUREHEADERS,0),MATCH(($A2128),CLASSNAMEHEADERS,0))))}</f>
        <v>SUBCLASSABILITY1-L03</v>
      </c>
      <c r="K2127" s="76"/>
      <c r="L2127" s="76" t="str">
        <f t="array" ref="L2127:L2128">{"SUBCLASSABILITY1-L05";((INDEX(ALLCLASSDATA,MATCH("SubclassAbility1-L05",CLASSFEATUREHEADERS,0),MATCH(($A2128),CLASSNAMEHEADERS,0))))}</f>
        <v>SUBCLASSABILITY1-L05</v>
      </c>
      <c r="M2127" s="76"/>
      <c r="N2127" s="76" t="str">
        <f t="array" ref="N2127:N2128">{"SUBCLASSABILITY1-L07";((INDEX(ALLCLASSDATA,MATCH("SubclassAbility1-L07",CLASSFEATUREHEADERS,0),MATCH(($A2128),CLASSNAMEHEADERS,0))))}</f>
        <v>SUBCLASSABILITY1-L07</v>
      </c>
      <c r="O2127" s="76"/>
      <c r="P2127" s="76" t="str">
        <f t="array" ref="P2127:P2128">{"SUBCLASSABILITY1-L09";((INDEX(ALLCLASSDATA,MATCH("SubclassAbility1-L09",CLASSFEATUREHEADERS,0),MATCH(($A2128),CLASSNAMEHEADERS,0))))}</f>
        <v>SUBCLASSABILITY1-L09</v>
      </c>
      <c r="Q2127" s="76"/>
      <c r="R2127" s="76" t="str">
        <f t="array" ref="R2127:R2128">{"SUBCLASSABILITY1-L11";((INDEX(ALLCLASSDATA,MATCH("SubclassAbility1-L11",CLASSFEATUREHEADERS,0),MATCH(($A2128),CLASSNAMEHEADERS,0))))}</f>
        <v>SUBCLASSABILITY1-L11</v>
      </c>
      <c r="S2127" s="76"/>
      <c r="T2127" s="76" t="str">
        <f t="array" ref="T2127:T2128">{"SUBCLASSABILITY1-L13";((INDEX(ALLCLASSDATA,MATCH("SubclassAbility1-L13",CLASSFEATUREHEADERS,0),MATCH(($A2128),CLASSNAMEHEADERS,0))))}</f>
        <v>SUBCLASSABILITY1-L13</v>
      </c>
      <c r="U2127" s="76"/>
      <c r="V2127" s="76" t="str">
        <f t="array" ref="V2127:V2128">{"SUBCLASSABILITY1-L15";((INDEX(ALLCLASSDATA,MATCH("SubclassAbility1-L15",CLASSFEATUREHEADERS,0),MATCH(($A2128),CLASSNAMEHEADERS,0))))}</f>
        <v>SUBCLASSABILITY1-L15</v>
      </c>
      <c r="W2127" s="76"/>
      <c r="X2127" s="76" t="str">
        <f t="array" ref="X2127:X2128">{"SUBCLASSABILITY1-L17";((INDEX(ALLCLASSDATA,MATCH("SubclassAbility1-L17",CLASSFEATUREHEADERS,0),MATCH(($A2128),CLASSNAMEHEADERS,0))))}</f>
        <v>SUBCLASSABILITY1-L17</v>
      </c>
      <c r="Y2127" s="76"/>
      <c r="Z2127" s="76" t="str">
        <f t="array" ref="Z2127:Z2128">{"SUBCLASSABILITY1-L19";((INDEX(ALLCLASSDATA,MATCH("SubclassAbility1-L19",CLASSFEATUREHEADERS,0),MATCH(($A2128),CLASSNAMEHEADERS,0))))}</f>
        <v>SUBCLASSABILITY1-L19</v>
      </c>
      <c r="AA2127" s="76"/>
      <c r="AB2127" s="76"/>
      <c r="AC2127" s="76"/>
    </row>
    <row r="2128">
      <c r="A2128" s="48" t="s">
        <v>238</v>
      </c>
      <c r="B2128" s="48"/>
      <c r="C2128" s="48" t="e">
        <v>#N/A</v>
      </c>
      <c r="D2128" s="48" t="s">
        <v>825</v>
      </c>
      <c r="E2128" s="28" t="s">
        <v>1355</v>
      </c>
      <c r="F2128" s="5"/>
      <c r="G2128" s="47"/>
      <c r="H2128" s="5"/>
      <c r="I2128" s="5"/>
      <c r="J2128" s="5" t="e">
        <v>#N/A</v>
      </c>
      <c r="K2128" s="5"/>
      <c r="L2128" s="5" t="e">
        <v>#N/A</v>
      </c>
      <c r="M2128" s="5"/>
      <c r="N2128" s="5" t="e">
        <v>#N/A</v>
      </c>
      <c r="O2128" s="5"/>
      <c r="P2128" s="5" t="e">
        <v>#N/A</v>
      </c>
      <c r="Q2128" s="5"/>
      <c r="R2128" s="5" t="e">
        <v>#N/A</v>
      </c>
      <c r="S2128" s="5"/>
      <c r="T2128" s="5" t="e">
        <v>#N/A</v>
      </c>
      <c r="U2128" s="5"/>
      <c r="V2128" s="5" t="e">
        <v>#N/A</v>
      </c>
      <c r="W2128" s="5"/>
      <c r="X2128" s="5" t="e">
        <v>#N/A</v>
      </c>
      <c r="Y2128" s="5"/>
      <c r="Z2128" s="5" t="e">
        <v>#N/A</v>
      </c>
      <c r="AA2128" s="5"/>
      <c r="AB2128" s="5"/>
      <c r="AC2128" s="47"/>
    </row>
    <row r="2129" hidden="1">
      <c r="A2129" s="76" t="str">
        <f t="array" ref="A2129:A2130">{"FormulaRow17";(INDEX(CLASSLIST,A2096,1))}</f>
        <v>FormulaRow17</v>
      </c>
      <c r="B2129" s="77" t="s">
        <v>236</v>
      </c>
      <c r="C2129" s="76" t="str">
        <f t="array" ref="C2129:C2130">{"CLASSTYPE";((INDEX(ALLCLASSDATA,MATCH("ClassType",CLASSFEATUREHEADERS,0),MATCH($A2130,CLASSNAMEHEADERS,0))))}</f>
        <v>CLASSTYPE</v>
      </c>
      <c r="D2129" s="76" t="str">
        <f t="array" ref="D2129:D2130">{"CLASSABILITYPTS";"ClassAbilityPts"}</f>
        <v>CLASSABILITYPTS</v>
      </c>
      <c r="E2129" s="76" t="str">
        <f t="array" ref="E2129:E2130">{"SUBCLASSABILITY1";"SubclassAbility1"}</f>
        <v>SUBCLASSABILITY1</v>
      </c>
      <c r="F2129" s="76"/>
      <c r="G2129" s="76"/>
      <c r="H2129" s="76"/>
      <c r="I2129" s="76"/>
      <c r="J2129" s="76" t="str">
        <f t="array" ref="J2129:J2130">{"SUBCLASSABILITY1-L03PTS";((INDEX(ALLCLASSDATA,MATCH("SubclassAbility1-L03",CLASSFEATUREHEADERS,0),MATCH(($A2130 &amp; "Points"),CLASSNAMEHEADERS,0))))}</f>
        <v>SUBCLASSABILITY1-L03PTS</v>
      </c>
      <c r="K2129" s="76"/>
      <c r="L2129" s="76" t="str">
        <f t="array" ref="L2129:L2130">{"SUBCLASSABILITY1-L05PTS";((INDEX(ALLCLASSDATA,MATCH("SubclassAbility1-L05",CLASSFEATUREHEADERS,0),MATCH(($A2130 &amp; "Points"),CLASSNAMEHEADERS,0))))}</f>
        <v>SUBCLASSABILITY1-L05PTS</v>
      </c>
      <c r="M2129" s="76"/>
      <c r="N2129" s="76" t="str">
        <f t="array" ref="N2129:N2130">{"SUBCLASSABILITY1-L07PTS";((INDEX(ALLCLASSDATA,MATCH("SubclassAbility1-L07",CLASSFEATUREHEADERS,0),MATCH(($A2130 &amp; "Points"),CLASSNAMEHEADERS,0))))}</f>
        <v>SUBCLASSABILITY1-L07PTS</v>
      </c>
      <c r="O2129" s="76"/>
      <c r="P2129" s="76" t="str">
        <f t="array" ref="P2129:P2130">{"SUBCLASSABILITY1-L09PTS";((INDEX(ALLCLASSDATA,MATCH("SubclassAbility1-L09",CLASSFEATUREHEADERS,0),MATCH(($A2130 &amp; "Points"),CLASSNAMEHEADERS,0))))}</f>
        <v>SUBCLASSABILITY1-L09PTS</v>
      </c>
      <c r="Q2129" s="76"/>
      <c r="R2129" s="76" t="str">
        <f t="array" ref="R2129:R2130">{"SUBCLASSABILITY1-L11PTS";((INDEX(ALLCLASSDATA,MATCH("SubclassAbility1-L11",CLASSFEATUREHEADERS,0),MATCH(($A2130 &amp; "Points"),CLASSNAMEHEADERS,0))))}</f>
        <v>SUBCLASSABILITY1-L11PTS</v>
      </c>
      <c r="S2129" s="76"/>
      <c r="T2129" s="76" t="str">
        <f t="array" ref="T2129:T2130">{"SUBCLASSABILITY1-L13PTS";((INDEX(ALLCLASSDATA,MATCH("SubclassAbility1-L13",CLASSFEATUREHEADERS,0),MATCH(($A2130 &amp; "Points"),CLASSNAMEHEADERS,0))))}</f>
        <v>SUBCLASSABILITY1-L13PTS</v>
      </c>
      <c r="U2129" s="76"/>
      <c r="V2129" s="76" t="str">
        <f t="array" ref="V2129:V2130">{"SUBCLASSABILITY1-L15PTS";((INDEX(ALLCLASSDATA,MATCH("SubclassAbility1-L15",CLASSFEATUREHEADERS,0),MATCH(($A2130 &amp; "Points"),CLASSNAMEHEADERS,0))))}</f>
        <v>SUBCLASSABILITY1-L15PTS</v>
      </c>
      <c r="W2129" s="76"/>
      <c r="X2129" s="76" t="str">
        <f t="array" ref="X2129:X2130">{"SUBCLASSABILITY1-L17PTS";((INDEX(ALLCLASSDATA,MATCH("SubclassAbility1-L17",CLASSFEATUREHEADERS,0),MATCH(($A2130 &amp; "Points"),CLASSNAMEHEADERS,0))))}</f>
        <v>SUBCLASSABILITY1-L17PTS</v>
      </c>
      <c r="Y2129" s="76"/>
      <c r="Z2129" s="76" t="str">
        <f t="array" ref="Z2129:Z2130">{"SUBCLASSABILITY1-L19PTS";((INDEX(ALLCLASSDATA,MATCH("SubclassAbility1-L19",CLASSFEATUREHEADERS,0),MATCH(($A2130 &amp; "Points"),CLASSNAMEHEADERS,0))))}</f>
        <v>SUBCLASSABILITY1-L19PTS</v>
      </c>
      <c r="AA2129" s="76"/>
      <c r="AB2129" s="76"/>
      <c r="AC2129" s="76" t="str">
        <f t="array" ref="AC2129:AC2130">{"SUBCLASSABILITY1 TOTAL";(sum(G2130:AA2130))}</f>
        <v>SUBCLASSABILITY1 TOTAL</v>
      </c>
    </row>
    <row r="2130">
      <c r="A2130" s="48" t="s">
        <v>238</v>
      </c>
      <c r="B2130" s="48"/>
      <c r="C2130" s="48" t="e">
        <v>#N/A</v>
      </c>
      <c r="D2130" s="48" t="s">
        <v>930</v>
      </c>
      <c r="E2130" s="28" t="s">
        <v>1355</v>
      </c>
      <c r="F2130" s="5"/>
      <c r="G2130" s="47"/>
      <c r="H2130" s="5"/>
      <c r="I2130" s="5"/>
      <c r="J2130" s="5" t="e">
        <v>#N/A</v>
      </c>
      <c r="K2130" s="5"/>
      <c r="L2130" s="5" t="e">
        <v>#N/A</v>
      </c>
      <c r="M2130" s="5"/>
      <c r="N2130" s="5" t="e">
        <v>#N/A</v>
      </c>
      <c r="O2130" s="5"/>
      <c r="P2130" s="5" t="e">
        <v>#N/A</v>
      </c>
      <c r="Q2130" s="5"/>
      <c r="R2130" s="5" t="e">
        <v>#N/A</v>
      </c>
      <c r="S2130" s="5"/>
      <c r="T2130" s="5" t="e">
        <v>#N/A</v>
      </c>
      <c r="U2130" s="5"/>
      <c r="V2130" s="5" t="e">
        <v>#N/A</v>
      </c>
      <c r="W2130" s="5"/>
      <c r="X2130" s="5" t="e">
        <v>#N/A</v>
      </c>
      <c r="Y2130" s="5"/>
      <c r="Z2130" s="5" t="e">
        <v>#N/A</v>
      </c>
      <c r="AA2130" s="5"/>
      <c r="AB2130" s="5"/>
      <c r="AC2130" s="47" t="e">
        <v>#N/A</v>
      </c>
    </row>
    <row r="2131" hidden="1">
      <c r="A2131" s="76" t="str">
        <f t="array" ref="A2131:A2132">{"FormulaRow18";(INDEX(CLASSLIST,A2096,1))}</f>
        <v>FormulaRow18</v>
      </c>
      <c r="B2131" s="77" t="s">
        <v>236</v>
      </c>
      <c r="C2131" s="76" t="str">
        <f t="array" ref="C2131:C2132">{"CLASSTYPE";((INDEX(ALLCLASSDATA,MATCH("ClassType",CLASSFEATUREHEADERS,0),MATCH($A2132,CLASSNAMEHEADERS,0))))}</f>
        <v>CLASSTYPE</v>
      </c>
      <c r="D2131" s="76" t="str">
        <f t="array" ref="D2131:D2132">{"CLASSABILITY";"ClassAbility"}</f>
        <v>CLASSABILITY</v>
      </c>
      <c r="E2131" s="76" t="str">
        <f t="array" ref="E2131:E2132">{"SUBCLASSABILITY2";"SubclassAbility2"}</f>
        <v>SUBCLASSABILITY2</v>
      </c>
      <c r="F2131" s="76"/>
      <c r="G2131" s="76"/>
      <c r="H2131" s="76"/>
      <c r="I2131" s="76"/>
      <c r="J2131" s="76" t="str">
        <f t="array" ref="J2131:J2132">{"SUBCLASSABILITY2-L03";((INDEX(ALLCLASSDATA,MATCH("SubclassAbility2-L03",CLASSFEATUREHEADERS,0),MATCH(($A2132),CLASSNAMEHEADERS,0))))}</f>
        <v>SUBCLASSABILITY2-L03</v>
      </c>
      <c r="K2131" s="76"/>
      <c r="L2131" s="76" t="str">
        <f t="array" ref="L2131:L2132">{"SUBCLASSABILITY2-L05";((INDEX(ALLCLASSDATA,MATCH("SubclassAbility2-L05",CLASSFEATUREHEADERS,0),MATCH(($A2132),CLASSNAMEHEADERS,0))))}</f>
        <v>SUBCLASSABILITY2-L05</v>
      </c>
      <c r="M2131" s="76"/>
      <c r="N2131" s="76" t="str">
        <f t="array" ref="N2131:N2132">{"SUBCLASSABILITY2-L07";((INDEX(ALLCLASSDATA,MATCH("SubclassAbility2-L07",CLASSFEATUREHEADERS,0),MATCH(($A2132),CLASSNAMEHEADERS,0))))}</f>
        <v>SUBCLASSABILITY2-L07</v>
      </c>
      <c r="O2131" s="76"/>
      <c r="P2131" s="76" t="str">
        <f t="array" ref="P2131:P2132">{"SUBCLASSABILITY2-L09";((INDEX(ALLCLASSDATA,MATCH("SubclassAbility2-L09",CLASSFEATUREHEADERS,0),MATCH(($A2132),CLASSNAMEHEADERS,0))))}</f>
        <v>SUBCLASSABILITY2-L09</v>
      </c>
      <c r="Q2131" s="76"/>
      <c r="R2131" s="76" t="str">
        <f t="array" ref="R2131:R2132">{"SUBCLASSABILITY2-L11";((INDEX(ALLCLASSDATA,MATCH("SubclassAbility2-L11",CLASSFEATUREHEADERS,0),MATCH(($A2132),CLASSNAMEHEADERS,0))))}</f>
        <v>SUBCLASSABILITY2-L11</v>
      </c>
      <c r="S2131" s="76"/>
      <c r="T2131" s="76" t="str">
        <f t="array" ref="T2131:T2132">{"SUBCLASSABILITY2-L13";((INDEX(ALLCLASSDATA,MATCH("SubclassAbility2-L13",CLASSFEATUREHEADERS,0),MATCH(($A2132),CLASSNAMEHEADERS,0))))}</f>
        <v>SUBCLASSABILITY2-L13</v>
      </c>
      <c r="U2131" s="76"/>
      <c r="V2131" s="76" t="str">
        <f t="array" ref="V2131:V2132">{"SUBCLASSABILITY2-L15";((INDEX(ALLCLASSDATA,MATCH("SubclassAbility2-L15",CLASSFEATUREHEADERS,0),MATCH(($A2132),CLASSNAMEHEADERS,0))))}</f>
        <v>SUBCLASSABILITY2-L15</v>
      </c>
      <c r="W2131" s="76"/>
      <c r="X2131" s="76" t="str">
        <f t="array" ref="X2131:X2132">{"SUBCLASSABILITY2-L17";((INDEX(ALLCLASSDATA,MATCH("SubclassAbility2-L17",CLASSFEATUREHEADERS,0),MATCH(($A2132),CLASSNAMEHEADERS,0))))}</f>
        <v>SUBCLASSABILITY2-L17</v>
      </c>
      <c r="Y2131" s="76"/>
      <c r="Z2131" s="76" t="str">
        <f t="array" ref="Z2131:Z2132">{"SUBCLASSABILITY2-L19";((INDEX(ALLCLASSDATA,MATCH("SubclassAbility2-L19",CLASSFEATUREHEADERS,0),MATCH(($A2132),CLASSNAMEHEADERS,0))))}</f>
        <v>SUBCLASSABILITY2-L19</v>
      </c>
      <c r="AA2131" s="76"/>
      <c r="AB2131" s="76"/>
      <c r="AC2131" s="76"/>
    </row>
    <row r="2132">
      <c r="A2132" s="48" t="s">
        <v>238</v>
      </c>
      <c r="B2132" s="48"/>
      <c r="C2132" s="48" t="e">
        <v>#N/A</v>
      </c>
      <c r="D2132" s="48" t="s">
        <v>825</v>
      </c>
      <c r="E2132" s="28" t="s">
        <v>1370</v>
      </c>
      <c r="F2132" s="5"/>
      <c r="G2132" s="47"/>
      <c r="H2132" s="5"/>
      <c r="I2132" s="5"/>
      <c r="J2132" s="5" t="e">
        <v>#N/A</v>
      </c>
      <c r="K2132" s="5"/>
      <c r="L2132" s="5" t="e">
        <v>#N/A</v>
      </c>
      <c r="M2132" s="5"/>
      <c r="N2132" s="5" t="e">
        <v>#N/A</v>
      </c>
      <c r="O2132" s="5"/>
      <c r="P2132" s="5" t="e">
        <v>#N/A</v>
      </c>
      <c r="Q2132" s="5"/>
      <c r="R2132" s="5" t="e">
        <v>#N/A</v>
      </c>
      <c r="S2132" s="5"/>
      <c r="T2132" s="5" t="e">
        <v>#N/A</v>
      </c>
      <c r="U2132" s="5"/>
      <c r="V2132" s="5" t="e">
        <v>#N/A</v>
      </c>
      <c r="W2132" s="5"/>
      <c r="X2132" s="5" t="e">
        <v>#N/A</v>
      </c>
      <c r="Y2132" s="5"/>
      <c r="Z2132" s="5" t="e">
        <v>#N/A</v>
      </c>
      <c r="AA2132" s="5"/>
      <c r="AB2132" s="5"/>
      <c r="AC2132" s="47"/>
    </row>
    <row r="2133" hidden="1">
      <c r="A2133" s="76" t="str">
        <f t="array" ref="A2133:A2134">{"FormulaRow19";(INDEX(CLASSLIST,A2096,1))}</f>
        <v>FormulaRow19</v>
      </c>
      <c r="B2133" s="77" t="s">
        <v>236</v>
      </c>
      <c r="C2133" s="76" t="str">
        <f t="array" ref="C2133:C2134">{"CLASSTYPE";((INDEX(ALLCLASSDATA,MATCH("ClassType",CLASSFEATUREHEADERS,0),MATCH($A2134,CLASSNAMEHEADERS,0))))}</f>
        <v>CLASSTYPE</v>
      </c>
      <c r="D2133" s="76" t="str">
        <f t="array" ref="D2133:D2134">{"CLASSABILITYPTS";"ClassAbilityPts"}</f>
        <v>CLASSABILITYPTS</v>
      </c>
      <c r="E2133" s="76" t="str">
        <f t="array" ref="E2133:E2134">{"SUBCLASSABILITY2";"SubclassAbility2"}</f>
        <v>SUBCLASSABILITY2</v>
      </c>
      <c r="F2133" s="76"/>
      <c r="G2133" s="76"/>
      <c r="H2133" s="76"/>
      <c r="I2133" s="76"/>
      <c r="J2133" s="76" t="str">
        <f t="array" ref="J2133:J2134">{"SUBCLASSABILITY2-L03PTS";((INDEX(ALLCLASSDATA,MATCH("SubclassAbility2-L03",CLASSFEATUREHEADERS,0),MATCH(($A2134 &amp; "Points"),CLASSNAMEHEADERS,0))))}</f>
        <v>SUBCLASSABILITY2-L03PTS</v>
      </c>
      <c r="K2133" s="76"/>
      <c r="L2133" s="76" t="str">
        <f t="array" ref="L2133:L2134">{"SUBCLASSABILITY2-L05PTS";((INDEX(ALLCLASSDATA,MATCH("SubclassAbility2-L05",CLASSFEATUREHEADERS,0),MATCH(($A2134 &amp; "Points"),CLASSNAMEHEADERS,0))))}</f>
        <v>SUBCLASSABILITY2-L05PTS</v>
      </c>
      <c r="M2133" s="76"/>
      <c r="N2133" s="76" t="str">
        <f t="array" ref="N2133:N2134">{"SUBCLASSABILITY2-L07PTS";((INDEX(ALLCLASSDATA,MATCH("SubclassAbility2-L07",CLASSFEATUREHEADERS,0),MATCH(($A2134 &amp; "Points"),CLASSNAMEHEADERS,0))))}</f>
        <v>SUBCLASSABILITY2-L07PTS</v>
      </c>
      <c r="O2133" s="76"/>
      <c r="P2133" s="76" t="str">
        <f t="array" ref="P2133:P2134">{"SUBCLASSABILITY2-L09PTS";((INDEX(ALLCLASSDATA,MATCH("SubclassAbility2-L09",CLASSFEATUREHEADERS,0),MATCH(($A2134 &amp; "Points"),CLASSNAMEHEADERS,0))))}</f>
        <v>SUBCLASSABILITY2-L09PTS</v>
      </c>
      <c r="Q2133" s="76"/>
      <c r="R2133" s="76" t="str">
        <f t="array" ref="R2133:R2134">{"SUBCLASSABILITY2-L11PTS";((INDEX(ALLCLASSDATA,MATCH("SubclassAbility2-L11",CLASSFEATUREHEADERS,0),MATCH(($A2134 &amp; "Points"),CLASSNAMEHEADERS,0))))}</f>
        <v>SUBCLASSABILITY2-L11PTS</v>
      </c>
      <c r="S2133" s="76"/>
      <c r="T2133" s="76" t="str">
        <f t="array" ref="T2133:T2134">{"SUBCLASSABILITY2-L13PTS";((INDEX(ALLCLASSDATA,MATCH("SubclassAbility2-L13",CLASSFEATUREHEADERS,0),MATCH(($A2134 &amp; "Points"),CLASSNAMEHEADERS,0))))}</f>
        <v>SUBCLASSABILITY2-L13PTS</v>
      </c>
      <c r="U2133" s="76"/>
      <c r="V2133" s="76" t="str">
        <f t="array" ref="V2133:V2134">{"SUBCLASSABILITY2-L15PTS";((INDEX(ALLCLASSDATA,MATCH("SubclassAbility2-L15",CLASSFEATUREHEADERS,0),MATCH(($A2134 &amp; "Points"),CLASSNAMEHEADERS,0))))}</f>
        <v>SUBCLASSABILITY2-L15PTS</v>
      </c>
      <c r="W2133" s="76"/>
      <c r="X2133" s="76" t="str">
        <f t="array" ref="X2133:X2134">{"SUBCLASSABILITY2-L17PTS";((INDEX(ALLCLASSDATA,MATCH("SubclassAbility2-L17",CLASSFEATUREHEADERS,0),MATCH(($A2134 &amp; "Points"),CLASSNAMEHEADERS,0))))}</f>
        <v>SUBCLASSABILITY2-L17PTS</v>
      </c>
      <c r="Y2133" s="76"/>
      <c r="Z2133" s="76" t="str">
        <f t="array" ref="Z2133:Z2134">{"SUBCLASSABILITY2-L19PTS";((INDEX(ALLCLASSDATA,MATCH("SubclassAbility2-L19",CLASSFEATUREHEADERS,0),MATCH(($A2134 &amp; "Points"),CLASSNAMEHEADERS,0))))}</f>
        <v>SUBCLASSABILITY2-L19PTS</v>
      </c>
      <c r="AA2133" s="76"/>
      <c r="AB2133" s="76"/>
      <c r="AC2133" s="76" t="str">
        <f t="array" ref="AC2133:AC2134">{"SUBCLASSABILITY2 TOTAL";(sum(G2134:AA2134))}</f>
        <v>SUBCLASSABILITY2 TOTAL</v>
      </c>
    </row>
    <row r="2134">
      <c r="A2134" s="48" t="s">
        <v>238</v>
      </c>
      <c r="B2134" s="48"/>
      <c r="C2134" s="48" t="e">
        <v>#N/A</v>
      </c>
      <c r="D2134" s="97" t="s">
        <v>930</v>
      </c>
      <c r="E2134" s="215" t="s">
        <v>1370</v>
      </c>
      <c r="F2134" s="98"/>
      <c r="G2134" s="132"/>
      <c r="H2134" s="98"/>
      <c r="I2134" s="98"/>
      <c r="J2134" s="98" t="e">
        <v>#N/A</v>
      </c>
      <c r="K2134" s="98"/>
      <c r="L2134" s="98" t="e">
        <v>#N/A</v>
      </c>
      <c r="M2134" s="98"/>
      <c r="N2134" s="98" t="e">
        <v>#N/A</v>
      </c>
      <c r="O2134" s="98"/>
      <c r="P2134" s="98" t="e">
        <v>#N/A</v>
      </c>
      <c r="Q2134" s="98"/>
      <c r="R2134" s="98" t="e">
        <v>#N/A</v>
      </c>
      <c r="S2134" s="98"/>
      <c r="T2134" s="98" t="e">
        <v>#N/A</v>
      </c>
      <c r="U2134" s="98"/>
      <c r="V2134" s="98" t="e">
        <v>#N/A</v>
      </c>
      <c r="W2134" s="98"/>
      <c r="X2134" s="98" t="e">
        <v>#N/A</v>
      </c>
      <c r="Y2134" s="98"/>
      <c r="Z2134" s="98" t="e">
        <v>#N/A</v>
      </c>
      <c r="AA2134" s="98"/>
      <c r="AB2134" s="5"/>
      <c r="AC2134" s="47" t="e">
        <v>#N/A</v>
      </c>
    </row>
    <row r="2135" hidden="1">
      <c r="A2135" s="76" t="str">
        <f t="array" ref="A2135:A2136">{"FormulaRow20";(INDEX(CLASSLIST,A2096,1))}</f>
        <v>FormulaRow20</v>
      </c>
      <c r="B2135" s="77" t="s">
        <v>236</v>
      </c>
      <c r="C2135" s="76" t="str">
        <f t="array" ref="C2135:C2136">{"CLASSTYPE";((INDEX(ALLCLASSDATA,MATCH("ClassType",CLASSFEATUREHEADERS,0),MATCH($A2136,CLASSNAMEHEADERS,0))))}</f>
        <v>CLASSTYPE</v>
      </c>
      <c r="D2135" s="81" t="str">
        <f t="array" ref="D2135:D2136">{"DC";"DC"}</f>
        <v>DC</v>
      </c>
      <c r="E2135" s="81" t="str">
        <f t="array" ref="E2135:E2136">{"CLASSDC";"ClassDC"}</f>
        <v>CLASSDC</v>
      </c>
      <c r="F2135" s="81" t="str">
        <f t="array" ref="F2135:F2136">{"CLASSDCINITIAL";((IF(H2136=10,"T",(IF(H2136=50,"E","")))))}</f>
        <v>CLASSDCINITIAL</v>
      </c>
      <c r="G2135" s="81" t="str">
        <f t="array" ref="G2135:G2136">{"CLASSDCINITIALPTS";((IF("00"=(INDEX(ALLCLASSDATA,MATCH("ClassDCLegendary",CLASSFEATUREHEADERS,0),MATCH($A2136,CLASSNAMEHEADERS,0))),(INDEX(ALLCLASSDATA,MATCH("ClassDCLegendary",CLASSFEATUREHEADERS,0),MATCH(($A2136 &amp; "Points"),CLASSNAMEHEADERS,0))),(IF("00"=(INDEX(ALLCLASSDATA,MATCH("ClassDCMaster",CLASSFEATUREHEADERS,0),MATCH($A2136,CLASSNAMEHEADERS,0))),(INDEX(ALLCLASSDATA,MATCH("ClassDCMaster",CLASSFEATUREHEADERS,0),MATCH(($A2136 &amp; "Points"),CLASSNAMEHEADERS,0))),(IF("00"=(INDEX(ALLCLASSDATA,MATCH("ClassDCExpert",CLASSFEATUREHEADERS,0),MATCH($A2136,CLASSNAMEHEADERS,0))),(INDEX(ALLCLASSDATA,MATCH("ClassDCExpert",CLASSFEATUREHEADERS,0),MATCH(($A2136 &amp; "Points"),CLASSNAMEHEADERS,0))),(IF("00"=(INDEX(ALLCLASSDATA,MATCH("ClassDCTrained",CLASSFEATUREHEADERS,0),MATCH($A2136,CLASSNAMEHEADERS,0))),(INDEX(ALLCLASSDATA,MATCH("ClassDCTrained",CLASSFEATUREHEADERS,0),MATCH(($A2136 &amp; "Points"),CLASSNAMEHEADERS,0))),"")))))))))}</f>
        <v>CLASSDCINITIALPTS</v>
      </c>
      <c r="H2135" s="81" t="str">
        <f t="array" ref="H2135:H2136">{"CLASSDCL01";((IF("01"=(INDEX(ALLCLASSDATA,MATCH("ClassDCLegendary",CLASSFEATUREHEADERS,0),MATCH($A2136,CLASSNAMEHEADERS,0))),(INDEX(ALLCLASSDATA,MATCH("ClassDCLegendary",CLASSFEATUREHEADERS,0),MATCH(($A2136 &amp; "Points"),CLASSNAMEHEADERS,0))),(IF("01"=(INDEX(ALLCLASSDATA,MATCH("ClassDCMaster",CLASSFEATUREHEADERS,0),MATCH($A2136,CLASSNAMEHEADERS,0))),(INDEX(ALLCLASSDATA,MATCH("ClassDCMaster",CLASSFEATUREHEADERS,0),MATCH(($A2136 &amp; "Points"),CLASSNAMEHEADERS,0))),(IF("01"=(INDEX(ALLCLASSDATA,MATCH("ClassDCExpert",CLASSFEATUREHEADERS,0),MATCH($A2136,CLASSNAMEHEADERS,0))),(INDEX(ALLCLASSDATA,MATCH("ClassDCExpert",CLASSFEATUREHEADERS,0),MATCH(($A2136 &amp; "Points"),CLASSNAMEHEADERS,0))),(IF("01"=(INDEX(ALLCLASSDATA,MATCH("ClassDCTrained",CLASSFEATUREHEADERS,0),MATCH($A2136,CLASSNAMEHEADERS,0))),(INDEX(ALLCLASSDATA,MATCH("ClassDCTrained",CLASSFEATUREHEADERS,0),MATCH(($A2136 &amp; "Points"),CLASSNAMEHEADERS,0))),"")))))))))}</f>
        <v>CLASSDCL01</v>
      </c>
      <c r="I2135" s="81"/>
      <c r="J2135" s="81" t="str">
        <f t="array" ref="J2135:J2136">{"CLASSDCL03";((IF("03"=(INDEX(ALLCLASSDATA,MATCH("ClassDCLegendary",CLASSFEATUREHEADERS,0),MATCH($A2136,CLASSNAMEHEADERS,0))),(INDEX(ALLCLASSDATA,MATCH("ClassDCLegendary",CLASSFEATUREHEADERS,0),MATCH(($A2136 &amp; "Points"),CLASSNAMEHEADERS,0))),(IF("03"=(INDEX(ALLCLASSDATA,MATCH("ClassDCMaster",CLASSFEATUREHEADERS,0),MATCH($A2136,CLASSNAMEHEADERS,0))),(INDEX(ALLCLASSDATA,MATCH("ClassDCMaster",CLASSFEATUREHEADERS,0),MATCH(($A2136 &amp; "Points"),CLASSNAMEHEADERS,0))),(IF("03"=(INDEX(ALLCLASSDATA,MATCH("ClassDCExpert",CLASSFEATUREHEADERS,0),MATCH($A2136,CLASSNAMEHEADERS,0))),(INDEX(ALLCLASSDATA,MATCH("ClassDCExpert",CLASSFEATUREHEADERS,0),MATCH(($A2136 &amp; "Points"),CLASSNAMEHEADERS,0))),(IF("03"=(INDEX(ALLCLASSDATA,MATCH("ClassDCTrained",CLASSFEATUREHEADERS,0),MATCH($A2136,CLASSNAMEHEADERS,0))),(INDEX(ALLCLASSDATA,MATCH("ClassDCTrained",CLASSFEATUREHEADERS,0),MATCH(($A2136 &amp; "Points"),CLASSNAMEHEADERS,0))),"")))))))))}</f>
        <v>CLASSDCL03</v>
      </c>
      <c r="K2135" s="81"/>
      <c r="L2135" s="81" t="str">
        <f t="array" ref="L2135:L2136">{"CLASSDCL05";((IF("05"=(INDEX(ALLCLASSDATA,MATCH("ClassDCLegendary",CLASSFEATUREHEADERS,0),MATCH($A2136,CLASSNAMEHEADERS,0))),(INDEX(ALLCLASSDATA,MATCH("ClassDCLegendary",CLASSFEATUREHEADERS,0),MATCH(($A2136 &amp; "Points"),CLASSNAMEHEADERS,0))),(IF("05"=(INDEX(ALLCLASSDATA,MATCH("ClassDCMaster",CLASSFEATUREHEADERS,0),MATCH($A2136,CLASSNAMEHEADERS,0))),(INDEX(ALLCLASSDATA,MATCH("ClassDCMaster",CLASSFEATUREHEADERS,0),MATCH(($A2136 &amp; "Points"),CLASSNAMEHEADERS,0))),(IF("05"=(INDEX(ALLCLASSDATA,MATCH("ClassDCExpert",CLASSFEATUREHEADERS,0),MATCH($A2136,CLASSNAMEHEADERS,0))),(INDEX(ALLCLASSDATA,MATCH("ClassDCExpert",CLASSFEATUREHEADERS,0),MATCH(($A2136 &amp; "Points"),CLASSNAMEHEADERS,0))),(IF("05"=(INDEX(ALLCLASSDATA,MATCH("ClassDCTrained",CLASSFEATUREHEADERS,0),MATCH($A2136,CLASSNAMEHEADERS,0))),(INDEX(ALLCLASSDATA,MATCH("ClassDCTrained",CLASSFEATUREHEADERS,0),MATCH(($A2136 &amp; "Points"),CLASSNAMEHEADERS,0))),"")))))))))}</f>
        <v>CLASSDCL05</v>
      </c>
      <c r="M2135" s="81"/>
      <c r="N2135" s="81" t="str">
        <f t="array" ref="N2135:N2136">{"CLASSDCL07";((IF("07"=(INDEX(ALLCLASSDATA,MATCH("ClassDCLegendary",CLASSFEATUREHEADERS,0),MATCH($A2136,CLASSNAMEHEADERS,0))),(INDEX(ALLCLASSDATA,MATCH("ClassDCLegendary",CLASSFEATUREHEADERS,0),MATCH(($A2136 &amp; "Points"),CLASSNAMEHEADERS,0))),(IF("07"=(INDEX(ALLCLASSDATA,MATCH("ClassDCMaster",CLASSFEATUREHEADERS,0),MATCH($A2136,CLASSNAMEHEADERS,0))),(INDEX(ALLCLASSDATA,MATCH("ClassDCMaster",CLASSFEATUREHEADERS,0),MATCH(($A2136 &amp; "Points"),CLASSNAMEHEADERS,0))),(IF("07"=(INDEX(ALLCLASSDATA,MATCH("ClassDCExpert",CLASSFEATUREHEADERS,0),MATCH($A2136,CLASSNAMEHEADERS,0))),(INDEX(ALLCLASSDATA,MATCH("ClassDCExpert",CLASSFEATUREHEADERS,0),MATCH(($A2136 &amp; "Points"),CLASSNAMEHEADERS,0))),(IF("07"=(INDEX(ALLCLASSDATA,MATCH("ClassDCTrained",CLASSFEATUREHEADERS,0),MATCH($A2136,CLASSNAMEHEADERS,0))),(INDEX(ALLCLASSDATA,MATCH("ClassDCTrained",CLASSFEATUREHEADERS,0),MATCH(($A2136 &amp; "Points"),CLASSNAMEHEADERS,0))),"")))))))))}</f>
        <v>CLASSDCL07</v>
      </c>
      <c r="O2135" s="81"/>
      <c r="P2135" s="81" t="str">
        <f t="array" ref="P2135:P2136">{"CLASSDCL09";((IF("09"=(INDEX(ALLCLASSDATA,MATCH("ClassDCLegendary",CLASSFEATUREHEADERS,0),MATCH($A2136,CLASSNAMEHEADERS,0))),(INDEX(ALLCLASSDATA,MATCH("ClassDCLegendary",CLASSFEATUREHEADERS,0),MATCH(($A2136 &amp; "Points"),CLASSNAMEHEADERS,0))),(IF("09"=(INDEX(ALLCLASSDATA,MATCH("ClassDCMaster",CLASSFEATUREHEADERS,0),MATCH($A2136,CLASSNAMEHEADERS,0))),(INDEX(ALLCLASSDATA,MATCH("ClassDCMaster",CLASSFEATUREHEADERS,0),MATCH(($A2136 &amp; "Points"),CLASSNAMEHEADERS,0))),(IF("09"=(INDEX(ALLCLASSDATA,MATCH("ClassDCExpert",CLASSFEATUREHEADERS,0),MATCH($A2136,CLASSNAMEHEADERS,0))),(INDEX(ALLCLASSDATA,MATCH("ClassDCExpert",CLASSFEATUREHEADERS,0),MATCH(($A2136 &amp; "Points"),CLASSNAMEHEADERS,0))),(IF("09"=(INDEX(ALLCLASSDATA,MATCH("ClassDCTrained",CLASSFEATUREHEADERS,0),MATCH($A2136,CLASSNAMEHEADERS,0))),(INDEX(ALLCLASSDATA,MATCH("ClassDCTrained",CLASSFEATUREHEADERS,0),MATCH(($A2136 &amp; "Points"),CLASSNAMEHEADERS,0))),"")))))))))}</f>
        <v>CLASSDCL09</v>
      </c>
      <c r="Q2135" s="81"/>
      <c r="R2135" s="81" t="str">
        <f t="array" ref="R2135:R2136">{"CLASSDCL11";((IF("11"=(INDEX(ALLCLASSDATA,MATCH("ClassDCLegendary",CLASSFEATUREHEADERS,0),MATCH($A2136,CLASSNAMEHEADERS,0))),(INDEX(ALLCLASSDATA,MATCH("ClassDCLegendary",CLASSFEATUREHEADERS,0),MATCH(($A2136 &amp; "Points"),CLASSNAMEHEADERS,0))),(IF("11"=(INDEX(ALLCLASSDATA,MATCH("ClassDCMaster",CLASSFEATUREHEADERS,0),MATCH($A2136,CLASSNAMEHEADERS,0))),(INDEX(ALLCLASSDATA,MATCH("ClassDCMaster",CLASSFEATUREHEADERS,0),MATCH(($A2136 &amp; "Points"),CLASSNAMEHEADERS,0))),(IF("11"=(INDEX(ALLCLASSDATA,MATCH("ClassDCExpert",CLASSFEATUREHEADERS,0),MATCH($A2136,CLASSNAMEHEADERS,0))),(INDEX(ALLCLASSDATA,MATCH("ClassDCExpert",CLASSFEATUREHEADERS,0),MATCH(($A2136 &amp; "Points"),CLASSNAMEHEADERS,0))),(IF("11"=(INDEX(ALLCLASSDATA,MATCH("ClassDCTrained",CLASSFEATUREHEADERS,0),MATCH($A2136,CLASSNAMEHEADERS,0))),(INDEX(ALLCLASSDATA,MATCH("ClassDCTrained",CLASSFEATUREHEADERS,0),MATCH(($A2136 &amp; "Points"),CLASSNAMEHEADERS,0))),"")))))))))}</f>
        <v>CLASSDCL11</v>
      </c>
      <c r="S2135" s="81"/>
      <c r="T2135" s="81" t="str">
        <f t="array" ref="T2135:T2136">{"CLASSDCL13";((IF("13"=(INDEX(ALLCLASSDATA,MATCH("ClassDCLegendary",CLASSFEATUREHEADERS,0),MATCH($A2136,CLASSNAMEHEADERS,0))),(INDEX(ALLCLASSDATA,MATCH("ClassDCLegendary",CLASSFEATUREHEADERS,0),MATCH(($A2136 &amp; "Points"),CLASSNAMEHEADERS,0))),(IF("13"=(INDEX(ALLCLASSDATA,MATCH("ClassDCMaster",CLASSFEATUREHEADERS,0),MATCH($A2136,CLASSNAMEHEADERS,0))),(INDEX(ALLCLASSDATA,MATCH("ClassDCMaster",CLASSFEATUREHEADERS,0),MATCH(($A2136 &amp; "Points"),CLASSNAMEHEADERS,0))),(IF("13"=(INDEX(ALLCLASSDATA,MATCH("ClassDCExpert",CLASSFEATUREHEADERS,0),MATCH($A2136,CLASSNAMEHEADERS,0))),(INDEX(ALLCLASSDATA,MATCH("ClassDCExpert",CLASSFEATUREHEADERS,0),MATCH(($A2136 &amp; "Points"),CLASSNAMEHEADERS,0))),(IF("13"=(INDEX(ALLCLASSDATA,MATCH("ClassDCTrained",CLASSFEATUREHEADERS,0),MATCH($A2136,CLASSNAMEHEADERS,0))),(INDEX(ALLCLASSDATA,MATCH("ClassDCTrained",CLASSFEATUREHEADERS,0),MATCH(($A2136 &amp; "Points"),CLASSNAMEHEADERS,0))),"")))))))))}</f>
        <v>CLASSDCL13</v>
      </c>
      <c r="U2135" s="81"/>
      <c r="V2135" s="81" t="str">
        <f t="array" ref="V2135:V2136">{"CLASSDCL15";((IF("15"=(INDEX(ALLCLASSDATA,MATCH("ClassDCLegendary",CLASSFEATUREHEADERS,0),MATCH($A2136,CLASSNAMEHEADERS,0))),(INDEX(ALLCLASSDATA,MATCH("ClassDCLegendary",CLASSFEATUREHEADERS,0),MATCH(($A2136 &amp; "Points"),CLASSNAMEHEADERS,0))),(IF("15"=(INDEX(ALLCLASSDATA,MATCH("ClassDCMaster",CLASSFEATUREHEADERS,0),MATCH($A2136,CLASSNAMEHEADERS,0))),(INDEX(ALLCLASSDATA,MATCH("ClassDCMaster",CLASSFEATUREHEADERS,0),MATCH(($A2136 &amp; "Points"),CLASSNAMEHEADERS,0))),(IF("15"=(INDEX(ALLCLASSDATA,MATCH("ClassDCExpert",CLASSFEATUREHEADERS,0),MATCH($A2136,CLASSNAMEHEADERS,0))),(INDEX(ALLCLASSDATA,MATCH("ClassDCExpert",CLASSFEATUREHEADERS,0),MATCH(($A2136 &amp; "Points"),CLASSNAMEHEADERS,0))),(IF("15"=(INDEX(ALLCLASSDATA,MATCH("ClassDCTrained",CLASSFEATUREHEADERS,0),MATCH($A2136,CLASSNAMEHEADERS,0))),(INDEX(ALLCLASSDATA,MATCH("ClassDCTrained",CLASSFEATUREHEADERS,0),MATCH(($A2136 &amp; "Points"),CLASSNAMEHEADERS,0))),"")))))))))}</f>
        <v>CLASSDCL15</v>
      </c>
      <c r="W2135" s="81"/>
      <c r="X2135" s="81" t="str">
        <f t="array" ref="X2135:X2136">{"CLASSDCL17";((IF("17"=(INDEX(ALLCLASSDATA,MATCH("ClassDCLegendary",CLASSFEATUREHEADERS,0),MATCH($A2136,CLASSNAMEHEADERS,0))),(INDEX(ALLCLASSDATA,MATCH("ClassDCLegendary",CLASSFEATUREHEADERS,0),MATCH(($A2136 &amp; "Points"),CLASSNAMEHEADERS,0))),(IF("17"=(INDEX(ALLCLASSDATA,MATCH("ClassDCMaster",CLASSFEATUREHEADERS,0),MATCH($A2136,CLASSNAMEHEADERS,0))),(INDEX(ALLCLASSDATA,MATCH("ClassDCMaster",CLASSFEATUREHEADERS,0),MATCH(($A2136 &amp; "Points"),CLASSNAMEHEADERS,0))),(IF("17"=(INDEX(ALLCLASSDATA,MATCH("ClassDCExpert",CLASSFEATUREHEADERS,0),MATCH($A2136,CLASSNAMEHEADERS,0))),(INDEX(ALLCLASSDATA,MATCH("ClassDCExpert",CLASSFEATUREHEADERS,0),MATCH(($A2136 &amp; "Points"),CLASSNAMEHEADERS,0))),(IF("17"=(INDEX(ALLCLASSDATA,MATCH("ClassDCTrained",CLASSFEATUREHEADERS,0),MATCH($A2136,CLASSNAMEHEADERS,0))),(INDEX(ALLCLASSDATA,MATCH("ClassDCTrained",CLASSFEATUREHEADERS,0),MATCH(($A2136 &amp; "Points"),CLASSNAMEHEADERS,0))),"")))))))))}</f>
        <v>CLASSDCL17</v>
      </c>
      <c r="Y2135" s="81"/>
      <c r="Z2135" s="81" t="str">
        <f t="array" ref="Z2135:Z2136">{"CLASSDCL19";((IF("19"=(INDEX(ALLCLASSDATA,MATCH("ClassDCLegendary",CLASSFEATUREHEADERS,0),MATCH($A2136,CLASSNAMEHEADERS,0))),(INDEX(ALLCLASSDATA,MATCH("ClassDCLegendary",CLASSFEATUREHEADERS,0),MATCH(($A2136 &amp; "Points"),CLASSNAMEHEADERS,0))),(IF("19"=(INDEX(ALLCLASSDATA,MATCH("ClassDCMaster",CLASSFEATUREHEADERS,0),MATCH($A2136,CLASSNAMEHEADERS,0))),(INDEX(ALLCLASSDATA,MATCH("ClassDCMaster",CLASSFEATUREHEADERS,0),MATCH(($A2136 &amp; "Points"),CLASSNAMEHEADERS,0))),(IF("19"=(INDEX(ALLCLASSDATA,MATCH("ClassDCExpert",CLASSFEATUREHEADERS,0),MATCH($A2136,CLASSNAMEHEADERS,0))),(INDEX(ALLCLASSDATA,MATCH("ClassDCExpert",CLASSFEATUREHEADERS,0),MATCH(($A2136 &amp; "Points"),CLASSNAMEHEADERS,0))),(IF("19"=(INDEX(ALLCLASSDATA,MATCH("ClassDCTrained",CLASSFEATUREHEADERS,0),MATCH($A2136,CLASSNAMEHEADERS,0))),(INDEX(ALLCLASSDATA,MATCH("ClassDCTrained",CLASSFEATUREHEADERS,0),MATCH(($A2136 &amp; "Points"),CLASSNAMEHEADERS,0))),"")))))))))}</f>
        <v>CLASSDCL19</v>
      </c>
      <c r="AA2135" s="81"/>
      <c r="AB2135" s="76" t="str">
        <f t="array" ref="AB2135:AB2136">{"CLASSDC TOTAL";(IF(COUNTBLANK(G2136:AA2136)=17,"L",(IF(COUNTBLANK(G2136:AA2136)=18,"M",(IF(COUNTBLANK(G2136:AA2136)=19,"E",(IF(COUNTBLANK(G2136:AA2136)=20,"T",""))))))))}</f>
        <v>CLASSDC TOTAL</v>
      </c>
      <c r="AC2135" s="76" t="str">
        <f t="array" ref="AC2135:AC2136">{"CLASSDC TOTAL";(sum(G2136:AA2136))}</f>
        <v>CLASSDC TOTAL</v>
      </c>
    </row>
    <row r="2136">
      <c r="A2136" s="48" t="s">
        <v>238</v>
      </c>
      <c r="B2136" s="48"/>
      <c r="C2136" s="48" t="e">
        <v>#N/A</v>
      </c>
      <c r="D2136" s="48" t="s">
        <v>1465</v>
      </c>
      <c r="E2136" s="48" t="s">
        <v>1466</v>
      </c>
      <c r="F2136" s="5" t="e">
        <v>#N/A</v>
      </c>
      <c r="G2136" s="47" t="e">
        <v>#N/A</v>
      </c>
      <c r="H2136" s="5" t="e">
        <v>#N/A</v>
      </c>
      <c r="I2136" s="5"/>
      <c r="J2136" s="5" t="e">
        <v>#N/A</v>
      </c>
      <c r="K2136" s="5"/>
      <c r="L2136" s="5" t="e">
        <v>#N/A</v>
      </c>
      <c r="M2136" s="5"/>
      <c r="N2136" s="5" t="e">
        <v>#N/A</v>
      </c>
      <c r="O2136" s="5"/>
      <c r="P2136" s="5" t="e">
        <v>#N/A</v>
      </c>
      <c r="Q2136" s="5"/>
      <c r="R2136" s="5" t="e">
        <v>#N/A</v>
      </c>
      <c r="S2136" s="5"/>
      <c r="T2136" s="5" t="e">
        <v>#N/A</v>
      </c>
      <c r="U2136" s="5"/>
      <c r="V2136" s="5" t="e">
        <v>#N/A</v>
      </c>
      <c r="W2136" s="5"/>
      <c r="X2136" s="5" t="e">
        <v>#N/A</v>
      </c>
      <c r="Y2136" s="5"/>
      <c r="Z2136" s="5" t="e">
        <v>#N/A</v>
      </c>
      <c r="AA2136" s="5"/>
      <c r="AB2136" s="5" t="s">
        <v>603</v>
      </c>
      <c r="AC2136" s="47" t="e">
        <v>#N/A</v>
      </c>
    </row>
    <row r="2137" hidden="1">
      <c r="A2137" s="222" t="str">
        <f t="array" ref="A2137:A2138">{"FormulaRow21";(INDEX(CLASSLIST,A2096,1))}</f>
        <v>FormulaRow21</v>
      </c>
      <c r="B2137" s="77" t="s">
        <v>236</v>
      </c>
      <c r="C2137" s="222" t="str">
        <f t="array" ref="C2137:C2138">{"CLASSTYPE";((INDEX(ALLCLASSDATA,MATCH("ClassType",CLASSFEATUREHEADERS,0),MATCH($A2138,CLASSNAMEHEADERS,0))))}</f>
        <v>CLASSTYPE</v>
      </c>
      <c r="D2137" s="222" t="str">
        <f t="array" ref="D2137:D2138">{"DC";"DC"}</f>
        <v>DC</v>
      </c>
      <c r="E2137" s="222" t="str">
        <f t="array" ref="E2137:E2138">{"SPELLDC";"SpellDC"}</f>
        <v>SPELLDC</v>
      </c>
      <c r="F2137" s="223" t="str">
        <f t="array" ref="F2137:F2138">{"SPELLDCINITIAL";((IF(H2138=10,"T",(IF(H2138=50,"E","")))))}</f>
        <v>SPELLDCINITIAL</v>
      </c>
      <c r="G2137" s="223" t="str">
        <f t="array" ref="G2137:G2138">{"SPELLDCINITIALPTS";((IF("00"=(INDEX(ALLCLASSDATA,MATCH("SpellDCLegendary",CLASSFEATUREHEADERS,0),MATCH($A2138,CLASSNAMEHEADERS,0))),(INDEX(ALLCLASSDATA,MATCH("SpellDCLegendary",CLASSFEATUREHEADERS,0),MATCH(($A2138 &amp; "Points"),CLASSNAMEHEADERS,0))),(IF("00"=(INDEX(ALLCLASSDATA,MATCH("SpellDCMaster",CLASSFEATUREHEADERS,0),MATCH($A2138,CLASSNAMEHEADERS,0))),(INDEX(ALLCLASSDATA,MATCH("SpellDCMaster",CLASSFEATUREHEADERS,0),MATCH(($A2138 &amp; "Points"),CLASSNAMEHEADERS,0))),(IF("00"=(INDEX(ALLCLASSDATA,MATCH("SpellDCExpert",CLASSFEATUREHEADERS,0),MATCH($A2138,CLASSNAMEHEADERS,0))),(INDEX(ALLCLASSDATA,MATCH("SpellDCExpert",CLASSFEATUREHEADERS,0),MATCH(($A2138 &amp; "Points"),CLASSNAMEHEADERS,0))),(IF("00"=(INDEX(ALLCLASSDATA,MATCH("SpellDCTrained",CLASSFEATUREHEADERS,0),MATCH($A2138,CLASSNAMEHEADERS,0))),(INDEX(ALLCLASSDATA,MATCH("SpellDCTrained",CLASSFEATUREHEADERS,0),MATCH(($A2138 &amp; "Points"),CLASSNAMEHEADERS,0))),"")))))))))}</f>
        <v>SPELLDCINITIALPTS</v>
      </c>
      <c r="H2137" s="223" t="str">
        <f t="array" ref="H2137:H2138">{"SPELLDCL01";((IF("01"=(INDEX(ALLCLASSDATA,MATCH("SpellDCLegendary",CLASSFEATUREHEADERS,0),MATCH($A2138,CLASSNAMEHEADERS,0))),(INDEX(ALLCLASSDATA,MATCH("SpellDCLegendary",CLASSFEATUREHEADERS,0),MATCH(($A2138 &amp; "Points"),CLASSNAMEHEADERS,0))),(IF("01"=(INDEX(ALLCLASSDATA,MATCH("SpellDCMaster",CLASSFEATUREHEADERS,0),MATCH($A2138,CLASSNAMEHEADERS,0))),(INDEX(ALLCLASSDATA,MATCH("SpellDCMaster",CLASSFEATUREHEADERS,0),MATCH(($A2138 &amp; "Points"),CLASSNAMEHEADERS,0))),(IF("01"=(INDEX(ALLCLASSDATA,MATCH("SpellDCExpert",CLASSFEATUREHEADERS,0),MATCH($A2138,CLASSNAMEHEADERS,0))),(INDEX(ALLCLASSDATA,MATCH("SpellDCExpert",CLASSFEATUREHEADERS,0),MATCH(($A2138 &amp; "Points"),CLASSNAMEHEADERS,0))),(IF("01"=(INDEX(ALLCLASSDATA,MATCH("SpellDCTrained",CLASSFEATUREHEADERS,0),MATCH($A2138,CLASSNAMEHEADERS,0))),(INDEX(ALLCLASSDATA,MATCH("SpellDCTrained",CLASSFEATUREHEADERS,0),MATCH(($A2138 &amp; "Points"),CLASSNAMEHEADERS,0))),"")))))))))}</f>
        <v>SPELLDCL01</v>
      </c>
      <c r="I2137" s="223"/>
      <c r="J2137" s="223" t="str">
        <f t="array" ref="J2137:J2138">{"SPELLDCL03";((IF("03"=(INDEX(ALLCLASSDATA,MATCH("SpellDCLegendary",CLASSFEATUREHEADERS,0),MATCH($A2138,CLASSNAMEHEADERS,0))),(INDEX(ALLCLASSDATA,MATCH("SpellDCLegendary",CLASSFEATUREHEADERS,0),MATCH(($A2138 &amp; "Points"),CLASSNAMEHEADERS,0))),(IF("03"=(INDEX(ALLCLASSDATA,MATCH("SpellDCMaster",CLASSFEATUREHEADERS,0),MATCH($A2138,CLASSNAMEHEADERS,0))),(INDEX(ALLCLASSDATA,MATCH("SpellDCMaster",CLASSFEATUREHEADERS,0),MATCH(($A2138 &amp; "Points"),CLASSNAMEHEADERS,0))),(IF("03"=(INDEX(ALLCLASSDATA,MATCH("SpellDCExpert",CLASSFEATUREHEADERS,0),MATCH($A2138,CLASSNAMEHEADERS,0))),(INDEX(ALLCLASSDATA,MATCH("SpellDCExpert",CLASSFEATUREHEADERS,0),MATCH(($A2138 &amp; "Points"),CLASSNAMEHEADERS,0))),(IF("03"=(INDEX(ALLCLASSDATA,MATCH("SpellDCTrained",CLASSFEATUREHEADERS,0),MATCH($A2138,CLASSNAMEHEADERS,0))),(INDEX(ALLCLASSDATA,MATCH("SpellDCTrained",CLASSFEATUREHEADERS,0),MATCH(($A2138 &amp; "Points"),CLASSNAMEHEADERS,0))),"")))))))))}</f>
        <v>SPELLDCL03</v>
      </c>
      <c r="K2137" s="223"/>
      <c r="L2137" s="223" t="str">
        <f t="array" ref="L2137:L2138">{"SPELLDCL05";((IF("05"=(INDEX(ALLCLASSDATA,MATCH("SpellDCLegendary",CLASSFEATUREHEADERS,0),MATCH($A2138,CLASSNAMEHEADERS,0))),(INDEX(ALLCLASSDATA,MATCH("SpellDCLegendary",CLASSFEATUREHEADERS,0),MATCH(($A2138 &amp; "Points"),CLASSNAMEHEADERS,0))),(IF("05"=(INDEX(ALLCLASSDATA,MATCH("SpellDCMaster",CLASSFEATUREHEADERS,0),MATCH($A2138,CLASSNAMEHEADERS,0))),(INDEX(ALLCLASSDATA,MATCH("SpellDCMaster",CLASSFEATUREHEADERS,0),MATCH(($A2138 &amp; "Points"),CLASSNAMEHEADERS,0))),(IF("05"=(INDEX(ALLCLASSDATA,MATCH("SpellDCExpert",CLASSFEATUREHEADERS,0),MATCH($A2138,CLASSNAMEHEADERS,0))),(INDEX(ALLCLASSDATA,MATCH("SpellDCExpert",CLASSFEATUREHEADERS,0),MATCH(($A2138 &amp; "Points"),CLASSNAMEHEADERS,0))),(IF("05"=(INDEX(ALLCLASSDATA,MATCH("SpellDCTrained",CLASSFEATUREHEADERS,0),MATCH($A2138,CLASSNAMEHEADERS,0))),(INDEX(ALLCLASSDATA,MATCH("SpellDCTrained",CLASSFEATUREHEADERS,0),MATCH(($A2138 &amp; "Points"),CLASSNAMEHEADERS,0))),"")))))))))}</f>
        <v>SPELLDCL05</v>
      </c>
      <c r="M2137" s="223"/>
      <c r="N2137" s="223" t="str">
        <f t="array" ref="N2137:N2138">{"SPELLDCL07";((IF("07"=(INDEX(ALLCLASSDATA,MATCH("SpellDCLegendary",CLASSFEATUREHEADERS,0),MATCH($A2138,CLASSNAMEHEADERS,0))),(INDEX(ALLCLASSDATA,MATCH("SpellDCLegendary",CLASSFEATUREHEADERS,0),MATCH(($A2138 &amp; "Points"),CLASSNAMEHEADERS,0))),(IF("07"=(INDEX(ALLCLASSDATA,MATCH("SpellDCMaster",CLASSFEATUREHEADERS,0),MATCH($A2138,CLASSNAMEHEADERS,0))),(INDEX(ALLCLASSDATA,MATCH("SpellDCMaster",CLASSFEATUREHEADERS,0),MATCH(($A2138 &amp; "Points"),CLASSNAMEHEADERS,0))),(IF("07"=(INDEX(ALLCLASSDATA,MATCH("SpellDCExpert",CLASSFEATUREHEADERS,0),MATCH($A2138,CLASSNAMEHEADERS,0))),(INDEX(ALLCLASSDATA,MATCH("SpellDCExpert",CLASSFEATUREHEADERS,0),MATCH(($A2138 &amp; "Points"),CLASSNAMEHEADERS,0))),(IF("07"=(INDEX(ALLCLASSDATA,MATCH("SpellDCTrained",CLASSFEATUREHEADERS,0),MATCH($A2138,CLASSNAMEHEADERS,0))),(INDEX(ALLCLASSDATA,MATCH("SpellDCTrained",CLASSFEATUREHEADERS,0),MATCH(($A2138 &amp; "Points"),CLASSNAMEHEADERS,0))),"")))))))))}</f>
        <v>SPELLDCL07</v>
      </c>
      <c r="O2137" s="223"/>
      <c r="P2137" s="223" t="str">
        <f t="array" ref="P2137:P2138">{"SPELLDCL09";((IF("09"=(INDEX(ALLCLASSDATA,MATCH("SpellDCLegendary",CLASSFEATUREHEADERS,0),MATCH($A2138,CLASSNAMEHEADERS,0))),(INDEX(ALLCLASSDATA,MATCH("SpellDCLegendary",CLASSFEATUREHEADERS,0),MATCH(($A2138 &amp; "Points"),CLASSNAMEHEADERS,0))),(IF("09"=(INDEX(ALLCLASSDATA,MATCH("SpellDCMaster",CLASSFEATUREHEADERS,0),MATCH($A2138,CLASSNAMEHEADERS,0))),(INDEX(ALLCLASSDATA,MATCH("SpellDCMaster",CLASSFEATUREHEADERS,0),MATCH(($A2138 &amp; "Points"),CLASSNAMEHEADERS,0))),(IF("09"=(INDEX(ALLCLASSDATA,MATCH("SpellDCExpert",CLASSFEATUREHEADERS,0),MATCH($A2138,CLASSNAMEHEADERS,0))),(INDEX(ALLCLASSDATA,MATCH("SpellDCExpert",CLASSFEATUREHEADERS,0),MATCH(($A2138 &amp; "Points"),CLASSNAMEHEADERS,0))),(IF("09"=(INDEX(ALLCLASSDATA,MATCH("SpellDCTrained",CLASSFEATUREHEADERS,0),MATCH($A2138,CLASSNAMEHEADERS,0))),(INDEX(ALLCLASSDATA,MATCH("SpellDCTrained",CLASSFEATUREHEADERS,0),MATCH(($A2138 &amp; "Points"),CLASSNAMEHEADERS,0))),"")))))))))}</f>
        <v>SPELLDCL09</v>
      </c>
      <c r="Q2137" s="223"/>
      <c r="R2137" s="223" t="str">
        <f t="array" ref="R2137:R2138">{"SPELLDCL11";((IF("11"=(INDEX(ALLCLASSDATA,MATCH("SpellDCLegendary",CLASSFEATUREHEADERS,0),MATCH($A2138,CLASSNAMEHEADERS,0))),(INDEX(ALLCLASSDATA,MATCH("SpellDCLegendary",CLASSFEATUREHEADERS,0),MATCH(($A2138 &amp; "Points"),CLASSNAMEHEADERS,0))),(IF("11"=(INDEX(ALLCLASSDATA,MATCH("SpellDCMaster",CLASSFEATUREHEADERS,0),MATCH($A2138,CLASSNAMEHEADERS,0))),(INDEX(ALLCLASSDATA,MATCH("SpellDCMaster",CLASSFEATUREHEADERS,0),MATCH(($A2138 &amp; "Points"),CLASSNAMEHEADERS,0))),(IF("11"=(INDEX(ALLCLASSDATA,MATCH("SpellDCExpert",CLASSFEATUREHEADERS,0),MATCH($A2138,CLASSNAMEHEADERS,0))),(INDEX(ALLCLASSDATA,MATCH("SpellDCExpert",CLASSFEATUREHEADERS,0),MATCH(($A2138 &amp; "Points"),CLASSNAMEHEADERS,0))),(IF("11"=(INDEX(ALLCLASSDATA,MATCH("SpellDCTrained",CLASSFEATUREHEADERS,0),MATCH($A2138,CLASSNAMEHEADERS,0))),(INDEX(ALLCLASSDATA,MATCH("SpellDCTrained",CLASSFEATUREHEADERS,0),MATCH(($A2138 &amp; "Points"),CLASSNAMEHEADERS,0))),"")))))))))}</f>
        <v>SPELLDCL11</v>
      </c>
      <c r="S2137" s="223"/>
      <c r="T2137" s="223" t="str">
        <f t="array" ref="T2137:T2138">{"SPELLDCL13";((IF("13"=(INDEX(ALLCLASSDATA,MATCH("SpellDCLegendary",CLASSFEATUREHEADERS,0),MATCH($A2138,CLASSNAMEHEADERS,0))),(INDEX(ALLCLASSDATA,MATCH("SpellDCLegendary",CLASSFEATUREHEADERS,0),MATCH(($A2138 &amp; "Points"),CLASSNAMEHEADERS,0))),(IF("13"=(INDEX(ALLCLASSDATA,MATCH("SpellDCMaster",CLASSFEATUREHEADERS,0),MATCH($A2138,CLASSNAMEHEADERS,0))),(INDEX(ALLCLASSDATA,MATCH("SpellDCMaster",CLASSFEATUREHEADERS,0),MATCH(($A2138 &amp; "Points"),CLASSNAMEHEADERS,0))),(IF("13"=(INDEX(ALLCLASSDATA,MATCH("SpellDCExpert",CLASSFEATUREHEADERS,0),MATCH($A2138,CLASSNAMEHEADERS,0))),(INDEX(ALLCLASSDATA,MATCH("SpellDCExpert",CLASSFEATUREHEADERS,0),MATCH(($A2138 &amp; "Points"),CLASSNAMEHEADERS,0))),(IF("13"=(INDEX(ALLCLASSDATA,MATCH("SpellDCTrained",CLASSFEATUREHEADERS,0),MATCH($A2138,CLASSNAMEHEADERS,0))),(INDEX(ALLCLASSDATA,MATCH("SpellDCTrained",CLASSFEATUREHEADERS,0),MATCH(($A2138 &amp; "Points"),CLASSNAMEHEADERS,0))),"")))))))))}</f>
        <v>SPELLDCL13</v>
      </c>
      <c r="U2137" s="223"/>
      <c r="V2137" s="223" t="str">
        <f t="array" ref="V2137:V2138">{"SPELLDCL15";((IF("15"=(INDEX(ALLCLASSDATA,MATCH("SpellDCLegendary",CLASSFEATUREHEADERS,0),MATCH($A2138,CLASSNAMEHEADERS,0))),(INDEX(ALLCLASSDATA,MATCH("SpellDCLegendary",CLASSFEATUREHEADERS,0),MATCH(($A2138 &amp; "Points"),CLASSNAMEHEADERS,0))),(IF("15"=(INDEX(ALLCLASSDATA,MATCH("SpellDCMaster",CLASSFEATUREHEADERS,0),MATCH($A2138,CLASSNAMEHEADERS,0))),(INDEX(ALLCLASSDATA,MATCH("SpellDCMaster",CLASSFEATUREHEADERS,0),MATCH(($A2138 &amp; "Points"),CLASSNAMEHEADERS,0))),(IF("15"=(INDEX(ALLCLASSDATA,MATCH("SpellDCExpert",CLASSFEATUREHEADERS,0),MATCH($A2138,CLASSNAMEHEADERS,0))),(INDEX(ALLCLASSDATA,MATCH("SpellDCExpert",CLASSFEATUREHEADERS,0),MATCH(($A2138 &amp; "Points"),CLASSNAMEHEADERS,0))),(IF("15"=(INDEX(ALLCLASSDATA,MATCH("SpellDCTrained",CLASSFEATUREHEADERS,0),MATCH($A2138,CLASSNAMEHEADERS,0))),(INDEX(ALLCLASSDATA,MATCH("SpellDCTrained",CLASSFEATUREHEADERS,0),MATCH(($A2138 &amp; "Points"),CLASSNAMEHEADERS,0))),"")))))))))}</f>
        <v>SPELLDCL15</v>
      </c>
      <c r="W2137" s="223"/>
      <c r="X2137" s="223" t="str">
        <f t="array" ref="X2137:X2138">{"SPELLDCL17";((IF("17"=(INDEX(ALLCLASSDATA,MATCH("SpellDCLegendary",CLASSFEATUREHEADERS,0),MATCH($A2138,CLASSNAMEHEADERS,0))),(INDEX(ALLCLASSDATA,MATCH("SpellDCLegendary",CLASSFEATUREHEADERS,0),MATCH(($A2138 &amp; "Points"),CLASSNAMEHEADERS,0))),(IF("17"=(INDEX(ALLCLASSDATA,MATCH("SpellDCMaster",CLASSFEATUREHEADERS,0),MATCH($A2138,CLASSNAMEHEADERS,0))),(INDEX(ALLCLASSDATA,MATCH("SpellDCMaster",CLASSFEATUREHEADERS,0),MATCH(($A2138 &amp; "Points"),CLASSNAMEHEADERS,0))),(IF("17"=(INDEX(ALLCLASSDATA,MATCH("SpellDCExpert",CLASSFEATUREHEADERS,0),MATCH($A2138,CLASSNAMEHEADERS,0))),(INDEX(ALLCLASSDATA,MATCH("SpellDCExpert",CLASSFEATUREHEADERS,0),MATCH(($A2138 &amp; "Points"),CLASSNAMEHEADERS,0))),(IF("17"=(INDEX(ALLCLASSDATA,MATCH("SpellDCTrained",CLASSFEATUREHEADERS,0),MATCH($A2138,CLASSNAMEHEADERS,0))),(INDEX(ALLCLASSDATA,MATCH("SpellDCTrained",CLASSFEATUREHEADERS,0),MATCH(($A2138 &amp; "Points"),CLASSNAMEHEADERS,0))),"")))))))))}</f>
        <v>SPELLDCL17</v>
      </c>
      <c r="Y2137" s="223"/>
      <c r="Z2137" s="223" t="str">
        <f t="array" ref="Z2137:Z2138">{"SPELLDCL19";((IF("19"=(INDEX(ALLCLASSDATA,MATCH("SpellDCLegendary",CLASSFEATUREHEADERS,0),MATCH($A2138,CLASSNAMEHEADERS,0))),(INDEX(ALLCLASSDATA,MATCH("SpellDCLegendary",CLASSFEATUREHEADERS,0),MATCH(($A2138 &amp; "Points"),CLASSNAMEHEADERS,0))),(IF("19"=(INDEX(ALLCLASSDATA,MATCH("SpellDCMaster",CLASSFEATUREHEADERS,0),MATCH($A2138,CLASSNAMEHEADERS,0))),(INDEX(ALLCLASSDATA,MATCH("SpellDCMaster",CLASSFEATUREHEADERS,0),MATCH(($A2138 &amp; "Points"),CLASSNAMEHEADERS,0))),(IF("19"=(INDEX(ALLCLASSDATA,MATCH("SpellDCExpert",CLASSFEATUREHEADERS,0),MATCH($A2138,CLASSNAMEHEADERS,0))),(INDEX(ALLCLASSDATA,MATCH("SpellDCExpert",CLASSFEATUREHEADERS,0),MATCH(($A2138 &amp; "Points"),CLASSNAMEHEADERS,0))),(IF("19"=(INDEX(ALLCLASSDATA,MATCH("SpellDCTrained",CLASSFEATUREHEADERS,0),MATCH($A2138,CLASSNAMEHEADERS,0))),(INDEX(ALLCLASSDATA,MATCH("SpellDCTrained",CLASSFEATUREHEADERS,0),MATCH(($A2138 &amp; "Points"),CLASSNAMEHEADERS,0))),"")))))))))}</f>
        <v>SPELLDCL19</v>
      </c>
      <c r="AA2137" s="223"/>
      <c r="AB2137" s="76" t="str">
        <f t="array" ref="AB2137:AB2138">{"SPELLDC TOTAL";(IF(COUNTBLANK(G2138:AA2138)=17,"L",(IF(COUNTBLANK(G2138:AA2138)=18,"M",(IF(COUNTBLANK(G2138:AA2138)=19,"E",(IF(COUNTBLANK(G2138:AA2138)=20,"T",""))))))))}</f>
        <v>SPELLDC TOTAL</v>
      </c>
      <c r="AC2137" s="76" t="str">
        <f t="array" ref="AC2137:AC2138">{"SPELLDC TOTAL";(sum(G2138:AA2138))}</f>
        <v>SPELLDC TOTAL</v>
      </c>
    </row>
    <row r="2138">
      <c r="A2138" s="48" t="s">
        <v>238</v>
      </c>
      <c r="B2138" s="48"/>
      <c r="C2138" s="48" t="e">
        <v>#N/A</v>
      </c>
      <c r="D2138" s="97" t="s">
        <v>1465</v>
      </c>
      <c r="E2138" s="97" t="s">
        <v>1485</v>
      </c>
      <c r="F2138" s="98" t="e">
        <v>#N/A</v>
      </c>
      <c r="G2138" s="132" t="e">
        <v>#N/A</v>
      </c>
      <c r="H2138" s="98" t="e">
        <v>#N/A</v>
      </c>
      <c r="I2138" s="98"/>
      <c r="J2138" s="98" t="e">
        <v>#N/A</v>
      </c>
      <c r="K2138" s="98"/>
      <c r="L2138" s="98" t="e">
        <v>#N/A</v>
      </c>
      <c r="M2138" s="98"/>
      <c r="N2138" s="98" t="e">
        <v>#N/A</v>
      </c>
      <c r="O2138" s="98"/>
      <c r="P2138" s="98" t="e">
        <v>#N/A</v>
      </c>
      <c r="Q2138" s="98"/>
      <c r="R2138" s="98" t="e">
        <v>#N/A</v>
      </c>
      <c r="S2138" s="98"/>
      <c r="T2138" s="98" t="e">
        <v>#N/A</v>
      </c>
      <c r="U2138" s="98"/>
      <c r="V2138" s="98" t="e">
        <v>#N/A</v>
      </c>
      <c r="W2138" s="98"/>
      <c r="X2138" s="98" t="e">
        <v>#N/A</v>
      </c>
      <c r="Y2138" s="98"/>
      <c r="Z2138" s="98" t="e">
        <v>#N/A</v>
      </c>
      <c r="AA2138" s="98"/>
      <c r="AB2138" s="5" t="s">
        <v>603</v>
      </c>
      <c r="AC2138" s="47" t="e">
        <v>#N/A</v>
      </c>
    </row>
    <row r="2139" hidden="1">
      <c r="A2139" s="222" t="str">
        <f t="array" ref="A2139:A2140">{"FormulaRow22";(INDEX(CLASSLIST,A2096,1))}</f>
        <v>FormulaRow22</v>
      </c>
      <c r="B2139" s="77" t="s">
        <v>236</v>
      </c>
      <c r="C2139" s="222" t="str">
        <f t="array" ref="C2139:C2140">{"CLASSTYPE";((INDEX(ALLCLASSDATA,MATCH("ClassType",CLASSFEATUREHEADERS,0),MATCH($A2140,CLASSNAMEHEADERS,0))))}</f>
        <v>CLASSTYPE</v>
      </c>
      <c r="D2139" s="228" t="str">
        <f t="shared" ref="D2139:E2139" si="24">{"PERCEPTION";"Perception"}</f>
        <v>PERCEPTION</v>
      </c>
      <c r="E2139" s="228" t="str">
        <f t="shared" si="24"/>
        <v>PERCEPTION</v>
      </c>
      <c r="F2139" s="230" t="str">
        <f t="array" ref="F2139:F2140">{"PERCEPTIONINITIAL";((IF(H2140=10,"T",(IF(H2140=50,"E","")))))}</f>
        <v>PERCEPTIONINITIAL</v>
      </c>
      <c r="G2139" s="230" t="str">
        <f t="array" ref="G2139:G2140">{"PERCEPTIONINITIALPTS";((IF("00"=(INDEX(ALLCLASSDATA,MATCH("PerceptionLegendary",CLASSFEATUREHEADERS,0),MATCH($A2140,CLASSNAMEHEADERS,0))),(INDEX(ALLCLASSDATA,MATCH("PerceptionLegendary",CLASSFEATUREHEADERS,0),MATCH(($A2140 &amp; "Points"),CLASSNAMEHEADERS,0))),(IF("00"=(INDEX(ALLCLASSDATA,MATCH("PerceptionMaster",CLASSFEATUREHEADERS,0),MATCH($A2140,CLASSNAMEHEADERS,0))),(INDEX(ALLCLASSDATA,MATCH("PerceptionMaster",CLASSFEATUREHEADERS,0),MATCH(($A2140 &amp; "Points"),CLASSNAMEHEADERS,0))),(IF("00"=(INDEX(ALLCLASSDATA,MATCH("PerceptionExpert",CLASSFEATUREHEADERS,0),MATCH($A2140,CLASSNAMEHEADERS,0))),(INDEX(ALLCLASSDATA,MATCH("PerceptionExpert",CLASSFEATUREHEADERS,0),MATCH(($A2140 &amp; "Points"),CLASSNAMEHEADERS,0))),(IF("00"=(INDEX(ALLCLASSDATA,MATCH("PerceptionTrained",CLASSFEATUREHEADERS,0),MATCH($A2140,CLASSNAMEHEADERS,0))),(INDEX(ALLCLASSDATA,MATCH("PerceptionTrained",CLASSFEATUREHEADERS,0),MATCH(($A2140 &amp; "Points"),CLASSNAMEHEADERS,0))),"")))))))))}</f>
        <v>PERCEPTIONINITIALPTS</v>
      </c>
      <c r="H2139" s="230" t="str">
        <f t="array" ref="H2139:H2140">{"PERCEPTIONL01";((IF("01"=(INDEX(ALLCLASSDATA,MATCH("PerceptionLegendary",CLASSFEATUREHEADERS,0),MATCH($A2140,CLASSNAMEHEADERS,0))),(INDEX(ALLCLASSDATA,MATCH("PerceptionLegendary",CLASSFEATUREHEADERS,0),MATCH(($A2140 &amp; "Points"),CLASSNAMEHEADERS,0))),(IF("01"=(INDEX(ALLCLASSDATA,MATCH("PerceptionMaster",CLASSFEATUREHEADERS,0),MATCH($A2140,CLASSNAMEHEADERS,0))),(INDEX(ALLCLASSDATA,MATCH("PerceptionMaster",CLASSFEATUREHEADERS,0),MATCH(($A2140 &amp; "Points"),CLASSNAMEHEADERS,0))),(IF("01"=(INDEX(ALLCLASSDATA,MATCH("PerceptionExpert",CLASSFEATUREHEADERS,0),MATCH($A2140,CLASSNAMEHEADERS,0))),(INDEX(ALLCLASSDATA,MATCH("PerceptionExpert",CLASSFEATUREHEADERS,0),MATCH(($A2140 &amp; "Points"),CLASSNAMEHEADERS,0))),(IF("01"=(INDEX(ALLCLASSDATA,MATCH("PerceptionTrained",CLASSFEATUREHEADERS,0),MATCH($A2140,CLASSNAMEHEADERS,0))),(INDEX(ALLCLASSDATA,MATCH("PerceptionTrained",CLASSFEATUREHEADERS,0),MATCH(($A2140 &amp; "Points"),CLASSNAMEHEADERS,0))),"")))))))))}</f>
        <v>PERCEPTIONL01</v>
      </c>
      <c r="I2139" s="230"/>
      <c r="J2139" s="230" t="str">
        <f t="array" ref="J2139:J2140">{"PERCEPTIONL03";((IF("03"=(INDEX(ALLCLASSDATA,MATCH("PerceptionLegendary",CLASSFEATUREHEADERS,0),MATCH($A2140,CLASSNAMEHEADERS,0))),(INDEX(ALLCLASSDATA,MATCH("PerceptionLegendary",CLASSFEATUREHEADERS,0),MATCH(($A2140 &amp; "Points"),CLASSNAMEHEADERS,0))),(IF("03"=(INDEX(ALLCLASSDATA,MATCH("PerceptionMaster",CLASSFEATUREHEADERS,0),MATCH($A2140,CLASSNAMEHEADERS,0))),(INDEX(ALLCLASSDATA,MATCH("PerceptionMaster",CLASSFEATUREHEADERS,0),MATCH(($A2140 &amp; "Points"),CLASSNAMEHEADERS,0))),(IF("03"=(INDEX(ALLCLASSDATA,MATCH("PerceptionExpert",CLASSFEATUREHEADERS,0),MATCH($A2140,CLASSNAMEHEADERS,0))),(INDEX(ALLCLASSDATA,MATCH("PerceptionExpert",CLASSFEATUREHEADERS,0),MATCH(($A2140 &amp; "Points"),CLASSNAMEHEADERS,0))),(IF("03"=(INDEX(ALLCLASSDATA,MATCH("PerceptionTrained",CLASSFEATUREHEADERS,0),MATCH($A2140,CLASSNAMEHEADERS,0))),(INDEX(ALLCLASSDATA,MATCH("PerceptionTrained",CLASSFEATUREHEADERS,0),MATCH(($A2140 &amp; "Points"),CLASSNAMEHEADERS,0))),"")))))))))}</f>
        <v>PERCEPTIONL03</v>
      </c>
      <c r="K2139" s="230"/>
      <c r="L2139" s="230" t="str">
        <f t="array" ref="L2139:L2140">{"PERCEPTIONL05";((IF("05"=(INDEX(ALLCLASSDATA,MATCH("PerceptionLegendary",CLASSFEATUREHEADERS,0),MATCH($A2140,CLASSNAMEHEADERS,0))),(INDEX(ALLCLASSDATA,MATCH("PerceptionLegendary",CLASSFEATUREHEADERS,0),MATCH(($A2140 &amp; "Points"),CLASSNAMEHEADERS,0))),(IF("05"=(INDEX(ALLCLASSDATA,MATCH("PerceptionMaster",CLASSFEATUREHEADERS,0),MATCH($A2140,CLASSNAMEHEADERS,0))),(INDEX(ALLCLASSDATA,MATCH("PerceptionMaster",CLASSFEATUREHEADERS,0),MATCH(($A2140 &amp; "Points"),CLASSNAMEHEADERS,0))),(IF("05"=(INDEX(ALLCLASSDATA,MATCH("PerceptionExpert",CLASSFEATUREHEADERS,0),MATCH($A2140,CLASSNAMEHEADERS,0))),(INDEX(ALLCLASSDATA,MATCH("PerceptionExpert",CLASSFEATUREHEADERS,0),MATCH(($A2140 &amp; "Points"),CLASSNAMEHEADERS,0))),(IF("05"=(INDEX(ALLCLASSDATA,MATCH("PerceptionTrained",CLASSFEATUREHEADERS,0),MATCH($A2140,CLASSNAMEHEADERS,0))),(INDEX(ALLCLASSDATA,MATCH("PerceptionTrained",CLASSFEATUREHEADERS,0),MATCH(($A2140 &amp; "Points"),CLASSNAMEHEADERS,0))),"")))))))))}</f>
        <v>PERCEPTIONL05</v>
      </c>
      <c r="M2139" s="230"/>
      <c r="N2139" s="230" t="str">
        <f t="array" ref="N2139:N2140">{"PERCEPTIONL07";((IF("07"=(INDEX(ALLCLASSDATA,MATCH("PerceptionLegendary",CLASSFEATUREHEADERS,0),MATCH($A2140,CLASSNAMEHEADERS,0))),(INDEX(ALLCLASSDATA,MATCH("PerceptionLegendary",CLASSFEATUREHEADERS,0),MATCH(($A2140 &amp; "Points"),CLASSNAMEHEADERS,0))),(IF("07"=(INDEX(ALLCLASSDATA,MATCH("PerceptionMaster",CLASSFEATUREHEADERS,0),MATCH($A2140,CLASSNAMEHEADERS,0))),(INDEX(ALLCLASSDATA,MATCH("PerceptionMaster",CLASSFEATUREHEADERS,0),MATCH(($A2140 &amp; "Points"),CLASSNAMEHEADERS,0))),(IF("07"=(INDEX(ALLCLASSDATA,MATCH("PerceptionExpert",CLASSFEATUREHEADERS,0),MATCH($A2140,CLASSNAMEHEADERS,0))),(INDEX(ALLCLASSDATA,MATCH("PerceptionExpert",CLASSFEATUREHEADERS,0),MATCH(($A2140 &amp; "Points"),CLASSNAMEHEADERS,0))),(IF("07"=(INDEX(ALLCLASSDATA,MATCH("PerceptionTrained",CLASSFEATUREHEADERS,0),MATCH($A2140,CLASSNAMEHEADERS,0))),(INDEX(ALLCLASSDATA,MATCH("PerceptionTrained",CLASSFEATUREHEADERS,0),MATCH(($A2140 &amp; "Points"),CLASSNAMEHEADERS,0))),"")))))))))}</f>
        <v>PERCEPTIONL07</v>
      </c>
      <c r="O2139" s="230"/>
      <c r="P2139" s="230" t="str">
        <f t="array" ref="P2139:P2140">{"PERCEPTIONL09";((IF("09"=(INDEX(ALLCLASSDATA,MATCH("PerceptionLegendary",CLASSFEATUREHEADERS,0),MATCH($A2140,CLASSNAMEHEADERS,0))),(INDEX(ALLCLASSDATA,MATCH("PerceptionLegendary",CLASSFEATUREHEADERS,0),MATCH(($A2140 &amp; "Points"),CLASSNAMEHEADERS,0))),(IF("09"=(INDEX(ALLCLASSDATA,MATCH("PerceptionMaster",CLASSFEATUREHEADERS,0),MATCH($A2140,CLASSNAMEHEADERS,0))),(INDEX(ALLCLASSDATA,MATCH("PerceptionMaster",CLASSFEATUREHEADERS,0),MATCH(($A2140 &amp; "Points"),CLASSNAMEHEADERS,0))),(IF("09"=(INDEX(ALLCLASSDATA,MATCH("PerceptionExpert",CLASSFEATUREHEADERS,0),MATCH($A2140,CLASSNAMEHEADERS,0))),(INDEX(ALLCLASSDATA,MATCH("PerceptionExpert",CLASSFEATUREHEADERS,0),MATCH(($A2140 &amp; "Points"),CLASSNAMEHEADERS,0))),(IF("09"=(INDEX(ALLCLASSDATA,MATCH("PerceptionTrained",CLASSFEATUREHEADERS,0),MATCH($A2140,CLASSNAMEHEADERS,0))),(INDEX(ALLCLASSDATA,MATCH("PerceptionTrained",CLASSFEATUREHEADERS,0),MATCH(($A2140 &amp; "Points"),CLASSNAMEHEADERS,0))),"")))))))))}</f>
        <v>PERCEPTIONL09</v>
      </c>
      <c r="Q2139" s="230"/>
      <c r="R2139" s="230" t="str">
        <f t="array" ref="R2139:R2140">{"PERCEPTIONL11";((IF("11"=(INDEX(ALLCLASSDATA,MATCH("PerceptionLegendary",CLASSFEATUREHEADERS,0),MATCH($A2140,CLASSNAMEHEADERS,0))),(INDEX(ALLCLASSDATA,MATCH("PerceptionLegendary",CLASSFEATUREHEADERS,0),MATCH(($A2140 &amp; "Points"),CLASSNAMEHEADERS,0))),(IF("11"=(INDEX(ALLCLASSDATA,MATCH("PerceptionMaster",CLASSFEATUREHEADERS,0),MATCH($A2140,CLASSNAMEHEADERS,0))),(INDEX(ALLCLASSDATA,MATCH("PerceptionMaster",CLASSFEATUREHEADERS,0),MATCH(($A2140 &amp; "Points"),CLASSNAMEHEADERS,0))),(IF("11"=(INDEX(ALLCLASSDATA,MATCH("PerceptionExpert",CLASSFEATUREHEADERS,0),MATCH($A2140,CLASSNAMEHEADERS,0))),(INDEX(ALLCLASSDATA,MATCH("PerceptionExpert",CLASSFEATUREHEADERS,0),MATCH(($A2140 &amp; "Points"),CLASSNAMEHEADERS,0))),(IF("11"=(INDEX(ALLCLASSDATA,MATCH("PerceptionTrained",CLASSFEATUREHEADERS,0),MATCH($A2140,CLASSNAMEHEADERS,0))),(INDEX(ALLCLASSDATA,MATCH("PerceptionTrained",CLASSFEATUREHEADERS,0),MATCH(($A2140 &amp; "Points"),CLASSNAMEHEADERS,0))),"")))))))))}</f>
        <v>PERCEPTIONL11</v>
      </c>
      <c r="S2139" s="230"/>
      <c r="T2139" s="230" t="str">
        <f t="array" ref="T2139:T2140">{"PERCEPTIONL13";((IF("13"=(INDEX(ALLCLASSDATA,MATCH("PerceptionLegendary",CLASSFEATUREHEADERS,0),MATCH($A2140,CLASSNAMEHEADERS,0))),(INDEX(ALLCLASSDATA,MATCH("PerceptionLegendary",CLASSFEATUREHEADERS,0),MATCH(($A2140 &amp; "Points"),CLASSNAMEHEADERS,0))),(IF("13"=(INDEX(ALLCLASSDATA,MATCH("PerceptionMaster",CLASSFEATUREHEADERS,0),MATCH($A2140,CLASSNAMEHEADERS,0))),(INDEX(ALLCLASSDATA,MATCH("PerceptionMaster",CLASSFEATUREHEADERS,0),MATCH(($A2140 &amp; "Points"),CLASSNAMEHEADERS,0))),(IF("13"=(INDEX(ALLCLASSDATA,MATCH("PerceptionExpert",CLASSFEATUREHEADERS,0),MATCH($A2140,CLASSNAMEHEADERS,0))),(INDEX(ALLCLASSDATA,MATCH("PerceptionExpert",CLASSFEATUREHEADERS,0),MATCH(($A2140 &amp; "Points"),CLASSNAMEHEADERS,0))),(IF("13"=(INDEX(ALLCLASSDATA,MATCH("PerceptionTrained",CLASSFEATUREHEADERS,0),MATCH($A2140,CLASSNAMEHEADERS,0))),(INDEX(ALLCLASSDATA,MATCH("PerceptionTrained",CLASSFEATUREHEADERS,0),MATCH(($A2140 &amp; "Points"),CLASSNAMEHEADERS,0))),"")))))))))}</f>
        <v>PERCEPTIONL13</v>
      </c>
      <c r="U2139" s="230"/>
      <c r="V2139" s="230" t="str">
        <f t="array" ref="V2139:V2140">{"PERCEPTIONL15";((IF("15"=(INDEX(ALLCLASSDATA,MATCH("PerceptionLegendary",CLASSFEATUREHEADERS,0),MATCH($A2140,CLASSNAMEHEADERS,0))),(INDEX(ALLCLASSDATA,MATCH("PerceptionLegendary",CLASSFEATUREHEADERS,0),MATCH(($A2140 &amp; "Points"),CLASSNAMEHEADERS,0))),(IF("15"=(INDEX(ALLCLASSDATA,MATCH("PerceptionMaster",CLASSFEATUREHEADERS,0),MATCH($A2140,CLASSNAMEHEADERS,0))),(INDEX(ALLCLASSDATA,MATCH("PerceptionMaster",CLASSFEATUREHEADERS,0),MATCH(($A2140 &amp; "Points"),CLASSNAMEHEADERS,0))),(IF("15"=(INDEX(ALLCLASSDATA,MATCH("PerceptionExpert",CLASSFEATUREHEADERS,0),MATCH($A2140,CLASSNAMEHEADERS,0))),(INDEX(ALLCLASSDATA,MATCH("PerceptionExpert",CLASSFEATUREHEADERS,0),MATCH(($A2140 &amp; "Points"),CLASSNAMEHEADERS,0))),(IF("15"=(INDEX(ALLCLASSDATA,MATCH("PerceptionTrained",CLASSFEATUREHEADERS,0),MATCH($A2140,CLASSNAMEHEADERS,0))),(INDEX(ALLCLASSDATA,MATCH("PerceptionTrained",CLASSFEATUREHEADERS,0),MATCH(($A2140 &amp; "Points"),CLASSNAMEHEADERS,0))),"")))))))))}</f>
        <v>PERCEPTIONL15</v>
      </c>
      <c r="W2139" s="230"/>
      <c r="X2139" s="230" t="str">
        <f t="array" ref="X2139:X2140">{"PERCEPTIONL17";((IF("17"=(INDEX(ALLCLASSDATA,MATCH("PerceptionLegendary",CLASSFEATUREHEADERS,0),MATCH($A2140,CLASSNAMEHEADERS,0))),(INDEX(ALLCLASSDATA,MATCH("PerceptionLegendary",CLASSFEATUREHEADERS,0),MATCH(($A2140 &amp; "Points"),CLASSNAMEHEADERS,0))),(IF("17"=(INDEX(ALLCLASSDATA,MATCH("PerceptionMaster",CLASSFEATUREHEADERS,0),MATCH($A2140,CLASSNAMEHEADERS,0))),(INDEX(ALLCLASSDATA,MATCH("PerceptionMaster",CLASSFEATUREHEADERS,0),MATCH(($A2140 &amp; "Points"),CLASSNAMEHEADERS,0))),(IF("17"=(INDEX(ALLCLASSDATA,MATCH("PerceptionExpert",CLASSFEATUREHEADERS,0),MATCH($A2140,CLASSNAMEHEADERS,0))),(INDEX(ALLCLASSDATA,MATCH("PerceptionExpert",CLASSFEATUREHEADERS,0),MATCH(($A2140 &amp; "Points"),CLASSNAMEHEADERS,0))),(IF("17"=(INDEX(ALLCLASSDATA,MATCH("PerceptionTrained",CLASSFEATUREHEADERS,0),MATCH($A2140,CLASSNAMEHEADERS,0))),(INDEX(ALLCLASSDATA,MATCH("PerceptionTrained",CLASSFEATUREHEADERS,0),MATCH(($A2140 &amp; "Points"),CLASSNAMEHEADERS,0))),"")))))))))}</f>
        <v>PERCEPTIONL17</v>
      </c>
      <c r="Y2139" s="230"/>
      <c r="Z2139" s="230" t="str">
        <f t="array" ref="Z2139:Z2140">{"PERCEPTIONL19";((IF("19"=(INDEX(ALLCLASSDATA,MATCH("PerceptionLegendary",CLASSFEATUREHEADERS,0),MATCH($A2140,CLASSNAMEHEADERS,0))),(INDEX(ALLCLASSDATA,MATCH("PerceptionLegendary",CLASSFEATUREHEADERS,0),MATCH(($A2140 &amp; "Points"),CLASSNAMEHEADERS,0))),(IF("19"=(INDEX(ALLCLASSDATA,MATCH("PerceptionMaster",CLASSFEATUREHEADERS,0),MATCH($A2140,CLASSNAMEHEADERS,0))),(INDEX(ALLCLASSDATA,MATCH("PerceptionMaster",CLASSFEATUREHEADERS,0),MATCH(($A2140 &amp; "Points"),CLASSNAMEHEADERS,0))),(IF("19"=(INDEX(ALLCLASSDATA,MATCH("PerceptionExpert",CLASSFEATUREHEADERS,0),MATCH($A2140,CLASSNAMEHEADERS,0))),(INDEX(ALLCLASSDATA,MATCH("PerceptionExpert",CLASSFEATUREHEADERS,0),MATCH(($A2140 &amp; "Points"),CLASSNAMEHEADERS,0))),(IF("19"=(INDEX(ALLCLASSDATA,MATCH("PerceptionTrained",CLASSFEATUREHEADERS,0),MATCH($A2140,CLASSNAMEHEADERS,0))),(INDEX(ALLCLASSDATA,MATCH("PerceptionTrained",CLASSFEATUREHEADERS,0),MATCH(($A2140 &amp; "Points"),CLASSNAMEHEADERS,0))),"")))))))))}</f>
        <v>PERCEPTIONL19</v>
      </c>
      <c r="AA2139" s="230"/>
      <c r="AB2139" s="76" t="str">
        <f t="array" ref="AB2139:AB2140">{"PERCEPTION TOTAL";(IF(COUNTBLANK(G2140:AA2140)=17,"L",(IF(COUNTBLANK(G2140:AA2140)=18,"M",(IF(COUNTBLANK(G2140:AA2140)=19,"E",(IF(COUNTBLANK(G2140:AA2140)=20,"T",""))))))))}</f>
        <v>PERCEPTION TOTAL</v>
      </c>
      <c r="AC2139" s="76" t="str">
        <f t="array" ref="AC2139:AC2140">{"PERCEPTION TOTAL";(sum(G2140:AA2140))}</f>
        <v>PERCEPTION TOTAL</v>
      </c>
    </row>
    <row r="2140">
      <c r="A2140" s="48" t="s">
        <v>238</v>
      </c>
      <c r="B2140" s="48"/>
      <c r="C2140" s="48" t="e">
        <v>#N/A</v>
      </c>
      <c r="D2140" s="97" t="s">
        <v>637</v>
      </c>
      <c r="E2140" s="97" t="s">
        <v>637</v>
      </c>
      <c r="F2140" s="98" t="e">
        <v>#N/A</v>
      </c>
      <c r="G2140" s="132" t="e">
        <v>#N/A</v>
      </c>
      <c r="H2140" s="98" t="e">
        <v>#N/A</v>
      </c>
      <c r="I2140" s="98"/>
      <c r="J2140" s="98" t="e">
        <v>#N/A</v>
      </c>
      <c r="K2140" s="98"/>
      <c r="L2140" s="98" t="e">
        <v>#N/A</v>
      </c>
      <c r="M2140" s="98"/>
      <c r="N2140" s="98" t="e">
        <v>#N/A</v>
      </c>
      <c r="O2140" s="98"/>
      <c r="P2140" s="98" t="e">
        <v>#N/A</v>
      </c>
      <c r="Q2140" s="98"/>
      <c r="R2140" s="98" t="e">
        <v>#N/A</v>
      </c>
      <c r="S2140" s="98"/>
      <c r="T2140" s="98" t="e">
        <v>#N/A</v>
      </c>
      <c r="U2140" s="98"/>
      <c r="V2140" s="98" t="e">
        <v>#N/A</v>
      </c>
      <c r="W2140" s="98"/>
      <c r="X2140" s="98" t="e">
        <v>#N/A</v>
      </c>
      <c r="Y2140" s="98"/>
      <c r="Z2140" s="98" t="e">
        <v>#N/A</v>
      </c>
      <c r="AA2140" s="98"/>
      <c r="AB2140" s="5" t="s">
        <v>603</v>
      </c>
      <c r="AC2140" s="47" t="e">
        <v>#N/A</v>
      </c>
    </row>
    <row r="2141" hidden="1">
      <c r="A2141" s="222" t="str">
        <f t="array" ref="A2141:A2142">{"FormulaRow23";(INDEX(CLASSLIST,A2096,1))}</f>
        <v>FormulaRow23</v>
      </c>
      <c r="B2141" s="77" t="s">
        <v>236</v>
      </c>
      <c r="C2141" s="222" t="str">
        <f t="array" ref="C2141:C2142">{"CLASSTYPE";((INDEX(ALLCLASSDATA,MATCH("ClassType",CLASSFEATUREHEADERS,0),MATCH($A2142,CLASSNAMEHEADERS,0))))}</f>
        <v>CLASSTYPE</v>
      </c>
      <c r="D2141" s="228" t="str">
        <f t="array" ref="D2141:D2142">{"SAVES";"Saves"}</f>
        <v>SAVES</v>
      </c>
      <c r="E2141" s="228" t="str">
        <f t="array" ref="E2141:E2142">{"FORTITUDESAVE";"FortitudeSave"}</f>
        <v>FORTITUDESAVE</v>
      </c>
      <c r="F2141" s="230" t="str">
        <f t="array" ref="F2141:F2142">{"FORTITUDEINITIAL";((IF(H2142=10,"T",(IF(H2142=50,"E","")))))}</f>
        <v>FORTITUDEINITIAL</v>
      </c>
      <c r="G2141" s="230" t="str">
        <f t="array" ref="G2141:G2142">{"FORTITUDEINITIALPTS";((IF("00"=(INDEX(ALLCLASSDATA,MATCH("FortitudeSaveLegendary",CLASSFEATUREHEADERS,0),MATCH($A2142,CLASSNAMEHEADERS,0))),(INDEX(ALLCLASSDATA,MATCH("FortitudeSaveLegendary",CLASSFEATUREHEADERS,0),MATCH(($A2142 &amp; "Points"),CLASSNAMEHEADERS,0))),(IF("00"=(INDEX(ALLCLASSDATA,MATCH("FortitudeSaveMaster",CLASSFEATUREHEADERS,0),MATCH($A2142,CLASSNAMEHEADERS,0))),(INDEX(ALLCLASSDATA,MATCH("FortitudeSaveMaster",CLASSFEATUREHEADERS,0),MATCH(($A2142 &amp; "Points"),CLASSNAMEHEADERS,0))),(IF("00"=(INDEX(ALLCLASSDATA,MATCH("FortitudeSaveExpert",CLASSFEATUREHEADERS,0),MATCH($A2142,CLASSNAMEHEADERS,0))),(INDEX(ALLCLASSDATA,MATCH("FortitudeSaveExpert",CLASSFEATUREHEADERS,0),MATCH(($A2142 &amp; "Points"),CLASSNAMEHEADERS,0))),(IF("00"=(INDEX(ALLCLASSDATA,MATCH("FortitudeSaveTrained",CLASSFEATUREHEADERS,0),MATCH($A2142,CLASSNAMEHEADERS,0))),(INDEX(ALLCLASSDATA,MATCH("FortitudeSaveTrained",CLASSFEATUREHEADERS,0),MATCH(($A2142 &amp; "Points"),CLASSNAMEHEADERS,0))),"")))))))))}</f>
        <v>FORTITUDEINITIALPTS</v>
      </c>
      <c r="H2141" s="230" t="str">
        <f t="array" ref="H2141:H2142">{"FORTITUDEL01";((IF("01"=(INDEX(ALLCLASSDATA,MATCH("FortitudeSaveLegendary",CLASSFEATUREHEADERS,0),MATCH($A2142,CLASSNAMEHEADERS,0))),(INDEX(ALLCLASSDATA,MATCH("FortitudeSaveLegendary",CLASSFEATUREHEADERS,0),MATCH(($A2142 &amp; "Points"),CLASSNAMEHEADERS,0))),(IF("01"=(INDEX(ALLCLASSDATA,MATCH("FortitudeSaveMaster",CLASSFEATUREHEADERS,0),MATCH($A2142,CLASSNAMEHEADERS,0))),(INDEX(ALLCLASSDATA,MATCH("FortitudeSaveMaster",CLASSFEATUREHEADERS,0),MATCH(($A2142 &amp; "Points"),CLASSNAMEHEADERS,0))),(IF("01"=(INDEX(ALLCLASSDATA,MATCH("FortitudeSaveExpert",CLASSFEATUREHEADERS,0),MATCH($A2142,CLASSNAMEHEADERS,0))),(INDEX(ALLCLASSDATA,MATCH("FortitudeSaveExpert",CLASSFEATUREHEADERS,0),MATCH(($A2142 &amp; "Points"),CLASSNAMEHEADERS,0))),(IF("01"=(INDEX(ALLCLASSDATA,MATCH("FortitudeSaveTrained",CLASSFEATUREHEADERS,0),MATCH($A2142,CLASSNAMEHEADERS,0))),(INDEX(ALLCLASSDATA,MATCH("FortitudeSaveTrained",CLASSFEATUREHEADERS,0),MATCH(($A2142 &amp; "Points"),CLASSNAMEHEADERS,0))),"")))))))))}</f>
        <v>FORTITUDEL01</v>
      </c>
      <c r="I2141" s="230"/>
      <c r="J2141" s="230" t="str">
        <f t="array" ref="J2141:J2142">{"FORTITUDEL03";((IF("03"=(INDEX(ALLCLASSDATA,MATCH("FortitudeSaveLegendary",CLASSFEATUREHEADERS,0),MATCH($A2142,CLASSNAMEHEADERS,0))),(INDEX(ALLCLASSDATA,MATCH("FortitudeSaveLegendary",CLASSFEATUREHEADERS,0),MATCH(($A2142 &amp; "Points"),CLASSNAMEHEADERS,0))),(IF("03"=(INDEX(ALLCLASSDATA,MATCH("FortitudeSaveMaster",CLASSFEATUREHEADERS,0),MATCH($A2142,CLASSNAMEHEADERS,0))),(INDEX(ALLCLASSDATA,MATCH("FortitudeSaveMaster",CLASSFEATUREHEADERS,0),MATCH(($A2142 &amp; "Points"),CLASSNAMEHEADERS,0))),(IF("03"=(INDEX(ALLCLASSDATA,MATCH("FortitudeSaveExpert",CLASSFEATUREHEADERS,0),MATCH($A2142,CLASSNAMEHEADERS,0))),(INDEX(ALLCLASSDATA,MATCH("FortitudeSaveExpert",CLASSFEATUREHEADERS,0),MATCH(($A2142 &amp; "Points"),CLASSNAMEHEADERS,0))),(IF("03"=(INDEX(ALLCLASSDATA,MATCH("FortitudeSaveTrained",CLASSFEATUREHEADERS,0),MATCH($A2142,CLASSNAMEHEADERS,0))),(INDEX(ALLCLASSDATA,MATCH("FortitudeSaveTrained",CLASSFEATUREHEADERS,0),MATCH(($A2142 &amp; "Points"),CLASSNAMEHEADERS,0))),"")))))))))}</f>
        <v>FORTITUDEL03</v>
      </c>
      <c r="K2141" s="230"/>
      <c r="L2141" s="230" t="str">
        <f t="array" ref="L2141:L2142">{"FORTITUDEL05";((IF("05"=(INDEX(ALLCLASSDATA,MATCH("FortitudeSaveLegendary",CLASSFEATUREHEADERS,0),MATCH($A2142,CLASSNAMEHEADERS,0))),(INDEX(ALLCLASSDATA,MATCH("FortitudeSaveLegendary",CLASSFEATUREHEADERS,0),MATCH(($A2142 &amp; "Points"),CLASSNAMEHEADERS,0))),(IF("05"=(INDEX(ALLCLASSDATA,MATCH("FortitudeSaveMaster",CLASSFEATUREHEADERS,0),MATCH($A2142,CLASSNAMEHEADERS,0))),(INDEX(ALLCLASSDATA,MATCH("FortitudeSaveMaster",CLASSFEATUREHEADERS,0),MATCH(($A2142 &amp; "Points"),CLASSNAMEHEADERS,0))),(IF("05"=(INDEX(ALLCLASSDATA,MATCH("FortitudeSaveExpert",CLASSFEATUREHEADERS,0),MATCH($A2142,CLASSNAMEHEADERS,0))),(INDEX(ALLCLASSDATA,MATCH("FortitudeSaveExpert",CLASSFEATUREHEADERS,0),MATCH(($A2142 &amp; "Points"),CLASSNAMEHEADERS,0))),(IF("05"=(INDEX(ALLCLASSDATA,MATCH("FortitudeSaveTrained",CLASSFEATUREHEADERS,0),MATCH($A2142,CLASSNAMEHEADERS,0))),(INDEX(ALLCLASSDATA,MATCH("FortitudeSaveTrained",CLASSFEATUREHEADERS,0),MATCH(($A2142 &amp; "Points"),CLASSNAMEHEADERS,0))),"")))))))))}</f>
        <v>FORTITUDEL05</v>
      </c>
      <c r="M2141" s="230"/>
      <c r="N2141" s="230" t="str">
        <f t="array" ref="N2141:N2142">{"FORTITUDEL07";((IF("07"=(INDEX(ALLCLASSDATA,MATCH("FortitudeSaveLegendary",CLASSFEATUREHEADERS,0),MATCH($A2142,CLASSNAMEHEADERS,0))),(INDEX(ALLCLASSDATA,MATCH("FortitudeSaveLegendary",CLASSFEATUREHEADERS,0),MATCH(($A2142 &amp; "Points"),CLASSNAMEHEADERS,0))),(IF("07"=(INDEX(ALLCLASSDATA,MATCH("FortitudeSaveMaster",CLASSFEATUREHEADERS,0),MATCH($A2142,CLASSNAMEHEADERS,0))),(INDEX(ALLCLASSDATA,MATCH("FortitudeSaveMaster",CLASSFEATUREHEADERS,0),MATCH(($A2142 &amp; "Points"),CLASSNAMEHEADERS,0))),(IF("07"=(INDEX(ALLCLASSDATA,MATCH("FortitudeSaveExpert",CLASSFEATUREHEADERS,0),MATCH($A2142,CLASSNAMEHEADERS,0))),(INDEX(ALLCLASSDATA,MATCH("FortitudeSaveExpert",CLASSFEATUREHEADERS,0),MATCH(($A2142 &amp; "Points"),CLASSNAMEHEADERS,0))),(IF("07"=(INDEX(ALLCLASSDATA,MATCH("FortitudeSaveTrained",CLASSFEATUREHEADERS,0),MATCH($A2142,CLASSNAMEHEADERS,0))),(INDEX(ALLCLASSDATA,MATCH("FortitudeSaveTrained",CLASSFEATUREHEADERS,0),MATCH(($A2142 &amp; "Points"),CLASSNAMEHEADERS,0))),"")))))))))}</f>
        <v>FORTITUDEL07</v>
      </c>
      <c r="O2141" s="230"/>
      <c r="P2141" s="230" t="str">
        <f t="array" ref="P2141:P2142">{"FORTITUDEL09";((IF("09"=(INDEX(ALLCLASSDATA,MATCH("FortitudeSaveLegendary",CLASSFEATUREHEADERS,0),MATCH($A2142,CLASSNAMEHEADERS,0))),(INDEX(ALLCLASSDATA,MATCH("FortitudeSaveLegendary",CLASSFEATUREHEADERS,0),MATCH(($A2142 &amp; "Points"),CLASSNAMEHEADERS,0))),(IF("09"=(INDEX(ALLCLASSDATA,MATCH("FortitudeSaveMaster",CLASSFEATUREHEADERS,0),MATCH($A2142,CLASSNAMEHEADERS,0))),(INDEX(ALLCLASSDATA,MATCH("FortitudeSaveMaster",CLASSFEATUREHEADERS,0),MATCH(($A2142 &amp; "Points"),CLASSNAMEHEADERS,0))),(IF("09"=(INDEX(ALLCLASSDATA,MATCH("FortitudeSaveExpert",CLASSFEATUREHEADERS,0),MATCH($A2142,CLASSNAMEHEADERS,0))),(INDEX(ALLCLASSDATA,MATCH("FortitudeSaveExpert",CLASSFEATUREHEADERS,0),MATCH(($A2142 &amp; "Points"),CLASSNAMEHEADERS,0))),(IF("09"=(INDEX(ALLCLASSDATA,MATCH("FortitudeSaveTrained",CLASSFEATUREHEADERS,0),MATCH($A2142,CLASSNAMEHEADERS,0))),(INDEX(ALLCLASSDATA,MATCH("FortitudeSaveTrained",CLASSFEATUREHEADERS,0),MATCH(($A2142 &amp; "Points"),CLASSNAMEHEADERS,0))),"")))))))))}</f>
        <v>FORTITUDEL09</v>
      </c>
      <c r="Q2141" s="230"/>
      <c r="R2141" s="230" t="str">
        <f t="array" ref="R2141:R2142">{"FORTITUDEL11";((IF("11"=(INDEX(ALLCLASSDATA,MATCH("FortitudeSaveLegendary",CLASSFEATUREHEADERS,0),MATCH($A2142,CLASSNAMEHEADERS,0))),(INDEX(ALLCLASSDATA,MATCH("FortitudeSaveLegendary",CLASSFEATUREHEADERS,0),MATCH(($A2142 &amp; "Points"),CLASSNAMEHEADERS,0))),(IF("11"=(INDEX(ALLCLASSDATA,MATCH("FortitudeSaveMaster",CLASSFEATUREHEADERS,0),MATCH($A2142,CLASSNAMEHEADERS,0))),(INDEX(ALLCLASSDATA,MATCH("FortitudeSaveMaster",CLASSFEATUREHEADERS,0),MATCH(($A2142 &amp; "Points"),CLASSNAMEHEADERS,0))),(IF("11"=(INDEX(ALLCLASSDATA,MATCH("FortitudeSaveExpert",CLASSFEATUREHEADERS,0),MATCH($A2142,CLASSNAMEHEADERS,0))),(INDEX(ALLCLASSDATA,MATCH("FortitudeSaveExpert",CLASSFEATUREHEADERS,0),MATCH(($A2142 &amp; "Points"),CLASSNAMEHEADERS,0))),(IF("11"=(INDEX(ALLCLASSDATA,MATCH("FortitudeSaveTrained",CLASSFEATUREHEADERS,0),MATCH($A2142,CLASSNAMEHEADERS,0))),(INDEX(ALLCLASSDATA,MATCH("FortitudeSaveTrained",CLASSFEATUREHEADERS,0),MATCH(($A2142 &amp; "Points"),CLASSNAMEHEADERS,0))),"")))))))))}</f>
        <v>FORTITUDEL11</v>
      </c>
      <c r="S2141" s="230"/>
      <c r="T2141" s="230" t="str">
        <f t="array" ref="T2141:T2142">{"FORTITUDEL13";((IF("13"=(INDEX(ALLCLASSDATA,MATCH("FortitudeSaveLegendary",CLASSFEATUREHEADERS,0),MATCH($A2142,CLASSNAMEHEADERS,0))),(INDEX(ALLCLASSDATA,MATCH("FortitudeSaveLegendary",CLASSFEATUREHEADERS,0),MATCH(($A2142 &amp; "Points"),CLASSNAMEHEADERS,0))),(IF("13"=(INDEX(ALLCLASSDATA,MATCH("FortitudeSaveMaster",CLASSFEATUREHEADERS,0),MATCH($A2142,CLASSNAMEHEADERS,0))),(INDEX(ALLCLASSDATA,MATCH("FortitudeSaveMaster",CLASSFEATUREHEADERS,0),MATCH(($A2142 &amp; "Points"),CLASSNAMEHEADERS,0))),(IF("13"=(INDEX(ALLCLASSDATA,MATCH("FortitudeSaveExpert",CLASSFEATUREHEADERS,0),MATCH($A2142,CLASSNAMEHEADERS,0))),(INDEX(ALLCLASSDATA,MATCH("FortitudeSaveExpert",CLASSFEATUREHEADERS,0),MATCH(($A2142 &amp; "Points"),CLASSNAMEHEADERS,0))),(IF("13"=(INDEX(ALLCLASSDATA,MATCH("FortitudeSaveTrained",CLASSFEATUREHEADERS,0),MATCH($A2142,CLASSNAMEHEADERS,0))),(INDEX(ALLCLASSDATA,MATCH("FortitudeSaveTrained",CLASSFEATUREHEADERS,0),MATCH(($A2142 &amp; "Points"),CLASSNAMEHEADERS,0))),"")))))))))}</f>
        <v>FORTITUDEL13</v>
      </c>
      <c r="U2141" s="230"/>
      <c r="V2141" s="230" t="str">
        <f t="array" ref="V2141:V2142">{"FORTITUDEL15";((IF("15"=(INDEX(ALLCLASSDATA,MATCH("FortitudeSaveLegendary",CLASSFEATUREHEADERS,0),MATCH($A2142,CLASSNAMEHEADERS,0))),(INDEX(ALLCLASSDATA,MATCH("FortitudeSaveLegendary",CLASSFEATUREHEADERS,0),MATCH(($A2142 &amp; "Points"),CLASSNAMEHEADERS,0))),(IF("15"=(INDEX(ALLCLASSDATA,MATCH("FortitudeSaveMaster",CLASSFEATUREHEADERS,0),MATCH($A2142,CLASSNAMEHEADERS,0))),(INDEX(ALLCLASSDATA,MATCH("FortitudeSaveMaster",CLASSFEATUREHEADERS,0),MATCH(($A2142 &amp; "Points"),CLASSNAMEHEADERS,0))),(IF("15"=(INDEX(ALLCLASSDATA,MATCH("FortitudeSaveExpert",CLASSFEATUREHEADERS,0),MATCH($A2142,CLASSNAMEHEADERS,0))),(INDEX(ALLCLASSDATA,MATCH("FortitudeSaveExpert",CLASSFEATUREHEADERS,0),MATCH(($A2142 &amp; "Points"),CLASSNAMEHEADERS,0))),(IF("15"=(INDEX(ALLCLASSDATA,MATCH("FortitudeSaveTrained",CLASSFEATUREHEADERS,0),MATCH($A2142,CLASSNAMEHEADERS,0))),(INDEX(ALLCLASSDATA,MATCH("FortitudeSaveTrained",CLASSFEATUREHEADERS,0),MATCH(($A2142 &amp; "Points"),CLASSNAMEHEADERS,0))),"")))))))))}</f>
        <v>FORTITUDEL15</v>
      </c>
      <c r="W2141" s="230"/>
      <c r="X2141" s="230" t="str">
        <f t="array" ref="X2141:X2142">{"FORTITUDEL17";((IF("17"=(INDEX(ALLCLASSDATA,MATCH("FortitudeSaveLegendary",CLASSFEATUREHEADERS,0),MATCH($A2142,CLASSNAMEHEADERS,0))),(INDEX(ALLCLASSDATA,MATCH("FortitudeSaveLegendary",CLASSFEATUREHEADERS,0),MATCH(($A2142 &amp; "Points"),CLASSNAMEHEADERS,0))),(IF("17"=(INDEX(ALLCLASSDATA,MATCH("FortitudeSaveMaster",CLASSFEATUREHEADERS,0),MATCH($A2142,CLASSNAMEHEADERS,0))),(INDEX(ALLCLASSDATA,MATCH("FortitudeSaveMaster",CLASSFEATUREHEADERS,0),MATCH(($A2142 &amp; "Points"),CLASSNAMEHEADERS,0))),(IF("17"=(INDEX(ALLCLASSDATA,MATCH("FortitudeSaveExpert",CLASSFEATUREHEADERS,0),MATCH($A2142,CLASSNAMEHEADERS,0))),(INDEX(ALLCLASSDATA,MATCH("FortitudeSaveExpert",CLASSFEATUREHEADERS,0),MATCH(($A2142 &amp; "Points"),CLASSNAMEHEADERS,0))),(IF("17"=(INDEX(ALLCLASSDATA,MATCH("FortitudeSaveTrained",CLASSFEATUREHEADERS,0),MATCH($A2142,CLASSNAMEHEADERS,0))),(INDEX(ALLCLASSDATA,MATCH("FortitudeSaveTrained",CLASSFEATUREHEADERS,0),MATCH(($A2142 &amp; "Points"),CLASSNAMEHEADERS,0))),"")))))))))}</f>
        <v>FORTITUDEL17</v>
      </c>
      <c r="Y2141" s="230"/>
      <c r="Z2141" s="230" t="str">
        <f t="array" ref="Z2141:Z2142">{"FORTITUDEL19";((IF("19"=(INDEX(ALLCLASSDATA,MATCH("FortitudeSaveLegendary",CLASSFEATUREHEADERS,0),MATCH($A2142,CLASSNAMEHEADERS,0))),(INDEX(ALLCLASSDATA,MATCH("FortitudeSaveLegendary",CLASSFEATUREHEADERS,0),MATCH(($A2142 &amp; "Points"),CLASSNAMEHEADERS,0))),(IF("19"=(INDEX(ALLCLASSDATA,MATCH("FortitudeSaveMaster",CLASSFEATUREHEADERS,0),MATCH($A2142,CLASSNAMEHEADERS,0))),(INDEX(ALLCLASSDATA,MATCH("FortitudeSaveMaster",CLASSFEATUREHEADERS,0),MATCH(($A2142 &amp; "Points"),CLASSNAMEHEADERS,0))),(IF("19"=(INDEX(ALLCLASSDATA,MATCH("FortitudeSaveExpert",CLASSFEATUREHEADERS,0),MATCH($A2142,CLASSNAMEHEADERS,0))),(INDEX(ALLCLASSDATA,MATCH("FortitudeSaveExpert",CLASSFEATUREHEADERS,0),MATCH(($A2142 &amp; "Points"),CLASSNAMEHEADERS,0))),(IF("19"=(INDEX(ALLCLASSDATA,MATCH("FortitudeSaveTrained",CLASSFEATUREHEADERS,0),MATCH($A2142,CLASSNAMEHEADERS,0))),(INDEX(ALLCLASSDATA,MATCH("FortitudeSaveTrained",CLASSFEATUREHEADERS,0),MATCH(($A2142 &amp; "Points"),CLASSNAMEHEADERS,0))),"")))))))))}</f>
        <v>FORTITUDEL19</v>
      </c>
      <c r="AA2141" s="230"/>
      <c r="AB2141" s="76" t="str">
        <f t="array" ref="AB2141:AB2142">{"FORTITUDE TOTAL";(IF(COUNTBLANK(G2142:AA2142)=17,"L",(IF(COUNTBLANK(G2142:AA2142)=18,"M",(IF(COUNTBLANK(G2142:AA2142)=19,"E",(IF(COUNTBLANK(G2142:AA2142)=20,"T",""))))))))}</f>
        <v>FORTITUDE TOTAL</v>
      </c>
      <c r="AC2141" s="76" t="str">
        <f t="array" ref="AC2141:AC2142">{"FORTITUDE TOTAL";(sum(G2142:AA2142))}</f>
        <v>FORTITUDE TOTAL</v>
      </c>
    </row>
    <row r="2142">
      <c r="A2142" s="48" t="s">
        <v>238</v>
      </c>
      <c r="B2142" s="48"/>
      <c r="C2142" s="48" t="e">
        <v>#N/A</v>
      </c>
      <c r="D2142" s="48" t="s">
        <v>1549</v>
      </c>
      <c r="E2142" s="48" t="s">
        <v>1550</v>
      </c>
      <c r="F2142" s="5" t="e">
        <v>#N/A</v>
      </c>
      <c r="G2142" s="47" t="e">
        <v>#N/A</v>
      </c>
      <c r="H2142" s="5" t="e">
        <v>#N/A</v>
      </c>
      <c r="I2142" s="5"/>
      <c r="J2142" s="5" t="e">
        <v>#N/A</v>
      </c>
      <c r="K2142" s="5"/>
      <c r="L2142" s="5" t="e">
        <v>#N/A</v>
      </c>
      <c r="M2142" s="5"/>
      <c r="N2142" s="5" t="e">
        <v>#N/A</v>
      </c>
      <c r="O2142" s="5"/>
      <c r="P2142" s="5" t="e">
        <v>#N/A</v>
      </c>
      <c r="Q2142" s="5"/>
      <c r="R2142" s="5" t="e">
        <v>#N/A</v>
      </c>
      <c r="S2142" s="5"/>
      <c r="T2142" s="5" t="e">
        <v>#N/A</v>
      </c>
      <c r="U2142" s="5"/>
      <c r="V2142" s="5" t="e">
        <v>#N/A</v>
      </c>
      <c r="W2142" s="5"/>
      <c r="X2142" s="5" t="e">
        <v>#N/A</v>
      </c>
      <c r="Y2142" s="5"/>
      <c r="Z2142" s="5" t="e">
        <v>#N/A</v>
      </c>
      <c r="AA2142" s="5"/>
      <c r="AB2142" s="5" t="s">
        <v>603</v>
      </c>
      <c r="AC2142" s="47" t="e">
        <v>#N/A</v>
      </c>
    </row>
    <row r="2143" hidden="1">
      <c r="A2143" s="222" t="str">
        <f t="array" ref="A2143:A2144">{"FormulaRow24";(INDEX(CLASSLIST,A2096,1))}</f>
        <v>FormulaRow24</v>
      </c>
      <c r="B2143" s="77" t="s">
        <v>236</v>
      </c>
      <c r="C2143" s="222" t="str">
        <f t="array" ref="C2143:C2144">{"CLASSTYPE";((INDEX(ALLCLASSDATA,MATCH("ClassType",CLASSFEATUREHEADERS,0),MATCH($A2144,CLASSNAMEHEADERS,0))))}</f>
        <v>CLASSTYPE</v>
      </c>
      <c r="D2143" s="222" t="str">
        <f t="array" ref="D2143:D2144">{"SAVES";"Saves"}</f>
        <v>SAVES</v>
      </c>
      <c r="E2143" s="222" t="str">
        <f t="array" ref="E2143:E2144">{"REFLEXSAVE";"ReflexSave"}</f>
        <v>REFLEXSAVE</v>
      </c>
      <c r="F2143" s="223" t="str">
        <f t="array" ref="F2143:F2144">{"REFLEXINITIAL";((IF(H2144=10,"T",(IF(H2144=50,"E","")))))}</f>
        <v>REFLEXINITIAL</v>
      </c>
      <c r="G2143" s="223" t="str">
        <f t="array" ref="G2143:G2144">{"REFLEXINITIALPTS";((IF("00"=(INDEX(ALLCLASSDATA,MATCH("ReflexSaveLegendary",CLASSFEATUREHEADERS,0),MATCH($A2144,CLASSNAMEHEADERS,0))),(INDEX(ALLCLASSDATA,MATCH("ReflexSaveLegendary",CLASSFEATUREHEADERS,0),MATCH(($A2144 &amp; "Points"),CLASSNAMEHEADERS,0))),(IF("00"=(INDEX(ALLCLASSDATA,MATCH("ReflexSaveMaster",CLASSFEATUREHEADERS,0),MATCH($A2144,CLASSNAMEHEADERS,0))),(INDEX(ALLCLASSDATA,MATCH("ReflexSaveMaster",CLASSFEATUREHEADERS,0),MATCH(($A2144 &amp; "Points"),CLASSNAMEHEADERS,0))),(IF("00"=(INDEX(ALLCLASSDATA,MATCH("ReflexSaveExpert",CLASSFEATUREHEADERS,0),MATCH($A2144,CLASSNAMEHEADERS,0))),(INDEX(ALLCLASSDATA,MATCH("ReflexSaveExpert",CLASSFEATUREHEADERS,0),MATCH(($A2144 &amp; "Points"),CLASSNAMEHEADERS,0))),(IF("00"=(INDEX(ALLCLASSDATA,MATCH("ReflexSaveTrained",CLASSFEATUREHEADERS,0),MATCH($A2144,CLASSNAMEHEADERS,0))),(INDEX(ALLCLASSDATA,MATCH("ReflexSaveTrained",CLASSFEATUREHEADERS,0),MATCH(($A2144 &amp; "Points"),CLASSNAMEHEADERS,0))),"")))))))))}</f>
        <v>REFLEXINITIALPTS</v>
      </c>
      <c r="H2143" s="223" t="str">
        <f t="array" ref="H2143:H2144">{"REFLEXL01";((IF("01"=(INDEX(ALLCLASSDATA,MATCH("ReflexSaveLegendary",CLASSFEATUREHEADERS,0),MATCH($A2144,CLASSNAMEHEADERS,0))),(INDEX(ALLCLASSDATA,MATCH("ReflexSaveLegendary",CLASSFEATUREHEADERS,0),MATCH(($A2144 &amp; "Points"),CLASSNAMEHEADERS,0))),(IF("01"=(INDEX(ALLCLASSDATA,MATCH("ReflexSaveMaster",CLASSFEATUREHEADERS,0),MATCH($A2144,CLASSNAMEHEADERS,0))),(INDEX(ALLCLASSDATA,MATCH("ReflexSaveMaster",CLASSFEATUREHEADERS,0),MATCH(($A2144 &amp; "Points"),CLASSNAMEHEADERS,0))),(IF("01"=(INDEX(ALLCLASSDATA,MATCH("ReflexSaveExpert",CLASSFEATUREHEADERS,0),MATCH($A2144,CLASSNAMEHEADERS,0))),(INDEX(ALLCLASSDATA,MATCH("ReflexSaveExpert",CLASSFEATUREHEADERS,0),MATCH(($A2144 &amp; "Points"),CLASSNAMEHEADERS,0))),(IF("01"=(INDEX(ALLCLASSDATA,MATCH("ReflexSaveTrained",CLASSFEATUREHEADERS,0),MATCH($A2144,CLASSNAMEHEADERS,0))),(INDEX(ALLCLASSDATA,MATCH("ReflexSaveTrained",CLASSFEATUREHEADERS,0),MATCH(($A2144 &amp; "Points"),CLASSNAMEHEADERS,0))),"")))))))))}</f>
        <v>REFLEXL01</v>
      </c>
      <c r="I2143" s="223"/>
      <c r="J2143" s="223" t="str">
        <f t="array" ref="J2143:J2144">{"REFLEXL03";((IF("03"=(INDEX(ALLCLASSDATA,MATCH("ReflexSaveLegendary",CLASSFEATUREHEADERS,0),MATCH($A2144,CLASSNAMEHEADERS,0))),(INDEX(ALLCLASSDATA,MATCH("ReflexSaveLegendary",CLASSFEATUREHEADERS,0),MATCH(($A2144 &amp; "Points"),CLASSNAMEHEADERS,0))),(IF("03"=(INDEX(ALLCLASSDATA,MATCH("ReflexSaveMaster",CLASSFEATUREHEADERS,0),MATCH($A2144,CLASSNAMEHEADERS,0))),(INDEX(ALLCLASSDATA,MATCH("ReflexSaveMaster",CLASSFEATUREHEADERS,0),MATCH(($A2144 &amp; "Points"),CLASSNAMEHEADERS,0))),(IF("03"=(INDEX(ALLCLASSDATA,MATCH("ReflexSaveExpert",CLASSFEATUREHEADERS,0),MATCH($A2144,CLASSNAMEHEADERS,0))),(INDEX(ALLCLASSDATA,MATCH("ReflexSaveExpert",CLASSFEATUREHEADERS,0),MATCH(($A2144 &amp; "Points"),CLASSNAMEHEADERS,0))),(IF("03"=(INDEX(ALLCLASSDATA,MATCH("ReflexSaveTrained",CLASSFEATUREHEADERS,0),MATCH($A2144,CLASSNAMEHEADERS,0))),(INDEX(ALLCLASSDATA,MATCH("ReflexSaveTrained",CLASSFEATUREHEADERS,0),MATCH(($A2144 &amp; "Points"),CLASSNAMEHEADERS,0))),"")))))))))}</f>
        <v>REFLEXL03</v>
      </c>
      <c r="K2143" s="223"/>
      <c r="L2143" s="223" t="str">
        <f t="array" ref="L2143:L2144">{"REFLEXL05";((IF("05"=(INDEX(ALLCLASSDATA,MATCH("ReflexSaveLegendary",CLASSFEATUREHEADERS,0),MATCH($A2144,CLASSNAMEHEADERS,0))),(INDEX(ALLCLASSDATA,MATCH("ReflexSaveLegendary",CLASSFEATUREHEADERS,0),MATCH(($A2144 &amp; "Points"),CLASSNAMEHEADERS,0))),(IF("05"=(INDEX(ALLCLASSDATA,MATCH("ReflexSaveMaster",CLASSFEATUREHEADERS,0),MATCH($A2144,CLASSNAMEHEADERS,0))),(INDEX(ALLCLASSDATA,MATCH("ReflexSaveMaster",CLASSFEATUREHEADERS,0),MATCH(($A2144 &amp; "Points"),CLASSNAMEHEADERS,0))),(IF("05"=(INDEX(ALLCLASSDATA,MATCH("ReflexSaveExpert",CLASSFEATUREHEADERS,0),MATCH($A2144,CLASSNAMEHEADERS,0))),(INDEX(ALLCLASSDATA,MATCH("ReflexSaveExpert",CLASSFEATUREHEADERS,0),MATCH(($A2144 &amp; "Points"),CLASSNAMEHEADERS,0))),(IF("05"=(INDEX(ALLCLASSDATA,MATCH("ReflexSaveTrained",CLASSFEATUREHEADERS,0),MATCH($A2144,CLASSNAMEHEADERS,0))),(INDEX(ALLCLASSDATA,MATCH("ReflexSaveTrained",CLASSFEATUREHEADERS,0),MATCH(($A2144 &amp; "Points"),CLASSNAMEHEADERS,0))),"")))))))))}</f>
        <v>REFLEXL05</v>
      </c>
      <c r="M2143" s="223"/>
      <c r="N2143" s="223" t="str">
        <f t="array" ref="N2143:N2144">{"REFLEXL07";((IF("07"=(INDEX(ALLCLASSDATA,MATCH("ReflexSaveLegendary",CLASSFEATUREHEADERS,0),MATCH($A2144,CLASSNAMEHEADERS,0))),(INDEX(ALLCLASSDATA,MATCH("ReflexSaveLegendary",CLASSFEATUREHEADERS,0),MATCH(($A2144 &amp; "Points"),CLASSNAMEHEADERS,0))),(IF("07"=(INDEX(ALLCLASSDATA,MATCH("ReflexSaveMaster",CLASSFEATUREHEADERS,0),MATCH($A2144,CLASSNAMEHEADERS,0))),(INDEX(ALLCLASSDATA,MATCH("ReflexSaveMaster",CLASSFEATUREHEADERS,0),MATCH(($A2144 &amp; "Points"),CLASSNAMEHEADERS,0))),(IF("07"=(INDEX(ALLCLASSDATA,MATCH("ReflexSaveExpert",CLASSFEATUREHEADERS,0),MATCH($A2144,CLASSNAMEHEADERS,0))),(INDEX(ALLCLASSDATA,MATCH("ReflexSaveExpert",CLASSFEATUREHEADERS,0),MATCH(($A2144 &amp; "Points"),CLASSNAMEHEADERS,0))),(IF("07"=(INDEX(ALLCLASSDATA,MATCH("ReflexSaveTrained",CLASSFEATUREHEADERS,0),MATCH($A2144,CLASSNAMEHEADERS,0))),(INDEX(ALLCLASSDATA,MATCH("ReflexSaveTrained",CLASSFEATUREHEADERS,0),MATCH(($A2144 &amp; "Points"),CLASSNAMEHEADERS,0))),"")))))))))}</f>
        <v>REFLEXL07</v>
      </c>
      <c r="O2143" s="223"/>
      <c r="P2143" s="223" t="str">
        <f t="array" ref="P2143:P2144">{"REFLEXL09";((IF("09"=(INDEX(ALLCLASSDATA,MATCH("ReflexSaveLegendary",CLASSFEATUREHEADERS,0),MATCH($A2144,CLASSNAMEHEADERS,0))),(INDEX(ALLCLASSDATA,MATCH("ReflexSaveLegendary",CLASSFEATUREHEADERS,0),MATCH(($A2144 &amp; "Points"),CLASSNAMEHEADERS,0))),(IF("09"=(INDEX(ALLCLASSDATA,MATCH("ReflexSaveMaster",CLASSFEATUREHEADERS,0),MATCH($A2144,CLASSNAMEHEADERS,0))),(INDEX(ALLCLASSDATA,MATCH("ReflexSaveMaster",CLASSFEATUREHEADERS,0),MATCH(($A2144 &amp; "Points"),CLASSNAMEHEADERS,0))),(IF("09"=(INDEX(ALLCLASSDATA,MATCH("ReflexSaveExpert",CLASSFEATUREHEADERS,0),MATCH($A2144,CLASSNAMEHEADERS,0))),(INDEX(ALLCLASSDATA,MATCH("ReflexSaveExpert",CLASSFEATUREHEADERS,0),MATCH(($A2144 &amp; "Points"),CLASSNAMEHEADERS,0))),(IF("09"=(INDEX(ALLCLASSDATA,MATCH("ReflexSaveTrained",CLASSFEATUREHEADERS,0),MATCH($A2144,CLASSNAMEHEADERS,0))),(INDEX(ALLCLASSDATA,MATCH("ReflexSaveTrained",CLASSFEATUREHEADERS,0),MATCH(($A2144 &amp; "Points"),CLASSNAMEHEADERS,0))),"")))))))))}</f>
        <v>REFLEXL09</v>
      </c>
      <c r="Q2143" s="223"/>
      <c r="R2143" s="223" t="str">
        <f t="array" ref="R2143:R2144">{"REFLEXL11";((IF("11"=(INDEX(ALLCLASSDATA,MATCH("ReflexSaveLegendary",CLASSFEATUREHEADERS,0),MATCH($A2144,CLASSNAMEHEADERS,0))),(INDEX(ALLCLASSDATA,MATCH("ReflexSaveLegendary",CLASSFEATUREHEADERS,0),MATCH(($A2144 &amp; "Points"),CLASSNAMEHEADERS,0))),(IF("11"=(INDEX(ALLCLASSDATA,MATCH("ReflexSaveMaster",CLASSFEATUREHEADERS,0),MATCH($A2144,CLASSNAMEHEADERS,0))),(INDEX(ALLCLASSDATA,MATCH("ReflexSaveMaster",CLASSFEATUREHEADERS,0),MATCH(($A2144 &amp; "Points"),CLASSNAMEHEADERS,0))),(IF("11"=(INDEX(ALLCLASSDATA,MATCH("ReflexSaveExpert",CLASSFEATUREHEADERS,0),MATCH($A2144,CLASSNAMEHEADERS,0))),(INDEX(ALLCLASSDATA,MATCH("ReflexSaveExpert",CLASSFEATUREHEADERS,0),MATCH(($A2144 &amp; "Points"),CLASSNAMEHEADERS,0))),(IF("11"=(INDEX(ALLCLASSDATA,MATCH("ReflexSaveTrained",CLASSFEATUREHEADERS,0),MATCH($A2144,CLASSNAMEHEADERS,0))),(INDEX(ALLCLASSDATA,MATCH("ReflexSaveTrained",CLASSFEATUREHEADERS,0),MATCH(($A2144 &amp; "Points"),CLASSNAMEHEADERS,0))),"")))))))))}</f>
        <v>REFLEXL11</v>
      </c>
      <c r="S2143" s="223"/>
      <c r="T2143" s="223" t="str">
        <f t="array" ref="T2143:T2144">{"REFLEXL13";((IF("13"=(INDEX(ALLCLASSDATA,MATCH("ReflexSaveLegendary",CLASSFEATUREHEADERS,0),MATCH($A2144,CLASSNAMEHEADERS,0))),(INDEX(ALLCLASSDATA,MATCH("ReflexSaveLegendary",CLASSFEATUREHEADERS,0),MATCH(($A2144 &amp; "Points"),CLASSNAMEHEADERS,0))),(IF("13"=(INDEX(ALLCLASSDATA,MATCH("ReflexSaveMaster",CLASSFEATUREHEADERS,0),MATCH($A2144,CLASSNAMEHEADERS,0))),(INDEX(ALLCLASSDATA,MATCH("ReflexSaveMaster",CLASSFEATUREHEADERS,0),MATCH(($A2144 &amp; "Points"),CLASSNAMEHEADERS,0))),(IF("13"=(INDEX(ALLCLASSDATA,MATCH("ReflexSaveExpert",CLASSFEATUREHEADERS,0),MATCH($A2144,CLASSNAMEHEADERS,0))),(INDEX(ALLCLASSDATA,MATCH("ReflexSaveExpert",CLASSFEATUREHEADERS,0),MATCH(($A2144 &amp; "Points"),CLASSNAMEHEADERS,0))),(IF("13"=(INDEX(ALLCLASSDATA,MATCH("ReflexSaveTrained",CLASSFEATUREHEADERS,0),MATCH($A2144,CLASSNAMEHEADERS,0))),(INDEX(ALLCLASSDATA,MATCH("ReflexSaveTrained",CLASSFEATUREHEADERS,0),MATCH(($A2144 &amp; "Points"),CLASSNAMEHEADERS,0))),"")))))))))}</f>
        <v>REFLEXL13</v>
      </c>
      <c r="U2143" s="223"/>
      <c r="V2143" s="223" t="str">
        <f t="array" ref="V2143:V2144">{"REFLEXL15";((IF("15"=(INDEX(ALLCLASSDATA,MATCH("ReflexSaveLegendary",CLASSFEATUREHEADERS,0),MATCH($A2144,CLASSNAMEHEADERS,0))),(INDEX(ALLCLASSDATA,MATCH("ReflexSaveLegendary",CLASSFEATUREHEADERS,0),MATCH(($A2144 &amp; "Points"),CLASSNAMEHEADERS,0))),(IF("15"=(INDEX(ALLCLASSDATA,MATCH("ReflexSaveMaster",CLASSFEATUREHEADERS,0),MATCH($A2144,CLASSNAMEHEADERS,0))),(INDEX(ALLCLASSDATA,MATCH("ReflexSaveMaster",CLASSFEATUREHEADERS,0),MATCH(($A2144 &amp; "Points"),CLASSNAMEHEADERS,0))),(IF("15"=(INDEX(ALLCLASSDATA,MATCH("ReflexSaveExpert",CLASSFEATUREHEADERS,0),MATCH($A2144,CLASSNAMEHEADERS,0))),(INDEX(ALLCLASSDATA,MATCH("ReflexSaveExpert",CLASSFEATUREHEADERS,0),MATCH(($A2144 &amp; "Points"),CLASSNAMEHEADERS,0))),(IF("15"=(INDEX(ALLCLASSDATA,MATCH("ReflexSaveTrained",CLASSFEATUREHEADERS,0),MATCH($A2144,CLASSNAMEHEADERS,0))),(INDEX(ALLCLASSDATA,MATCH("ReflexSaveTrained",CLASSFEATUREHEADERS,0),MATCH(($A2144 &amp; "Points"),CLASSNAMEHEADERS,0))),"")))))))))}</f>
        <v>REFLEXL15</v>
      </c>
      <c r="W2143" s="223"/>
      <c r="X2143" s="223" t="str">
        <f t="array" ref="X2143:X2144">{"REFLEXL17";((IF("17"=(INDEX(ALLCLASSDATA,MATCH("ReflexSaveLegendary",CLASSFEATUREHEADERS,0),MATCH($A2144,CLASSNAMEHEADERS,0))),(INDEX(ALLCLASSDATA,MATCH("ReflexSaveLegendary",CLASSFEATUREHEADERS,0),MATCH(($A2144 &amp; "Points"),CLASSNAMEHEADERS,0))),(IF("17"=(INDEX(ALLCLASSDATA,MATCH("ReflexSaveMaster",CLASSFEATUREHEADERS,0),MATCH($A2144,CLASSNAMEHEADERS,0))),(INDEX(ALLCLASSDATA,MATCH("ReflexSaveMaster",CLASSFEATUREHEADERS,0),MATCH(($A2144 &amp; "Points"),CLASSNAMEHEADERS,0))),(IF("17"=(INDEX(ALLCLASSDATA,MATCH("ReflexSaveExpert",CLASSFEATUREHEADERS,0),MATCH($A2144,CLASSNAMEHEADERS,0))),(INDEX(ALLCLASSDATA,MATCH("ReflexSaveExpert",CLASSFEATUREHEADERS,0),MATCH(($A2144 &amp; "Points"),CLASSNAMEHEADERS,0))),(IF("17"=(INDEX(ALLCLASSDATA,MATCH("ReflexSaveTrained",CLASSFEATUREHEADERS,0),MATCH($A2144,CLASSNAMEHEADERS,0))),(INDEX(ALLCLASSDATA,MATCH("ReflexSaveTrained",CLASSFEATUREHEADERS,0),MATCH(($A2144 &amp; "Points"),CLASSNAMEHEADERS,0))),"")))))))))}</f>
        <v>REFLEXL17</v>
      </c>
      <c r="Y2143" s="223"/>
      <c r="Z2143" s="223" t="str">
        <f t="array" ref="Z2143:Z2144">{"REFLEXL19";((IF("19"=(INDEX(ALLCLASSDATA,MATCH("ReflexSaveLegendary",CLASSFEATUREHEADERS,0),MATCH($A2144,CLASSNAMEHEADERS,0))),(INDEX(ALLCLASSDATA,MATCH("ReflexSaveLegendary",CLASSFEATUREHEADERS,0),MATCH(($A2144 &amp; "Points"),CLASSNAMEHEADERS,0))),(IF("19"=(INDEX(ALLCLASSDATA,MATCH("ReflexSaveMaster",CLASSFEATUREHEADERS,0),MATCH($A2144,CLASSNAMEHEADERS,0))),(INDEX(ALLCLASSDATA,MATCH("ReflexSaveMaster",CLASSFEATUREHEADERS,0),MATCH(($A2144 &amp; "Points"),CLASSNAMEHEADERS,0))),(IF("19"=(INDEX(ALLCLASSDATA,MATCH("ReflexSaveExpert",CLASSFEATUREHEADERS,0),MATCH($A2144,CLASSNAMEHEADERS,0))),(INDEX(ALLCLASSDATA,MATCH("ReflexSaveExpert",CLASSFEATUREHEADERS,0),MATCH(($A2144 &amp; "Points"),CLASSNAMEHEADERS,0))),(IF("19"=(INDEX(ALLCLASSDATA,MATCH("ReflexSaveTrained",CLASSFEATUREHEADERS,0),MATCH($A2144,CLASSNAMEHEADERS,0))),(INDEX(ALLCLASSDATA,MATCH("ReflexSaveTrained",CLASSFEATUREHEADERS,0),MATCH(($A2144 &amp; "Points"),CLASSNAMEHEADERS,0))),"")))))))))}</f>
        <v>REFLEXL19</v>
      </c>
      <c r="AA2143" s="223"/>
      <c r="AB2143" s="76" t="str">
        <f t="array" ref="AB2143:AB2144">{"REFLEX TOTAL";(IF(COUNTBLANK(G2144:AA2144)=17,"L",(IF(COUNTBLANK(G2144:AA2144)=18,"M",(IF(COUNTBLANK(G2144:AA2144)=19,"E",(IF(COUNTBLANK(G2144:AA2144)=20,"T",""))))))))}</f>
        <v>REFLEX TOTAL</v>
      </c>
      <c r="AC2143" s="76" t="str">
        <f t="array" ref="AC2143:AC2144">{"REFLEX TOTAL";(sum(G2144:AA2144))}</f>
        <v>REFLEX TOTAL</v>
      </c>
    </row>
    <row r="2144">
      <c r="A2144" s="48" t="s">
        <v>238</v>
      </c>
      <c r="B2144" s="48"/>
      <c r="C2144" s="48" t="e">
        <v>#N/A</v>
      </c>
      <c r="D2144" s="48" t="s">
        <v>1549</v>
      </c>
      <c r="E2144" s="48" t="s">
        <v>1572</v>
      </c>
      <c r="F2144" s="5" t="e">
        <v>#N/A</v>
      </c>
      <c r="G2144" s="47" t="e">
        <v>#N/A</v>
      </c>
      <c r="H2144" s="5" t="e">
        <v>#N/A</v>
      </c>
      <c r="I2144" s="5"/>
      <c r="J2144" s="5" t="e">
        <v>#N/A</v>
      </c>
      <c r="K2144" s="5"/>
      <c r="L2144" s="5" t="e">
        <v>#N/A</v>
      </c>
      <c r="M2144" s="5"/>
      <c r="N2144" s="5" t="e">
        <v>#N/A</v>
      </c>
      <c r="O2144" s="5"/>
      <c r="P2144" s="5" t="e">
        <v>#N/A</v>
      </c>
      <c r="Q2144" s="5"/>
      <c r="R2144" s="5" t="e">
        <v>#N/A</v>
      </c>
      <c r="S2144" s="5"/>
      <c r="T2144" s="5" t="e">
        <v>#N/A</v>
      </c>
      <c r="U2144" s="5"/>
      <c r="V2144" s="5" t="e">
        <v>#N/A</v>
      </c>
      <c r="W2144" s="5"/>
      <c r="X2144" s="5" t="e">
        <v>#N/A</v>
      </c>
      <c r="Y2144" s="5"/>
      <c r="Z2144" s="5" t="e">
        <v>#N/A</v>
      </c>
      <c r="AA2144" s="5"/>
      <c r="AB2144" s="5" t="s">
        <v>603</v>
      </c>
      <c r="AC2144" s="47" t="e">
        <v>#N/A</v>
      </c>
    </row>
    <row r="2145" hidden="1">
      <c r="A2145" s="222" t="str">
        <f t="array" ref="A2145:A2146">{"FormulaRow25";(INDEX(CLASSLIST,A2096,1))}</f>
        <v>FormulaRow25</v>
      </c>
      <c r="B2145" s="77" t="s">
        <v>236</v>
      </c>
      <c r="C2145" s="222" t="str">
        <f t="array" ref="C2145:C2146">{"CLASSTYPE";((INDEX(ALLCLASSDATA,MATCH("ClassType",CLASSFEATUREHEADERS,0),MATCH($A2146,CLASSNAMEHEADERS,0))))}</f>
        <v>CLASSTYPE</v>
      </c>
      <c r="D2145" s="222" t="str">
        <f t="array" ref="D2145:D2146">{"SAVES";"Saves"}</f>
        <v>SAVES</v>
      </c>
      <c r="E2145" s="222" t="str">
        <f t="array" ref="E2145:E2146">{"WILLSAVE";"WillSave"}</f>
        <v>WILLSAVE</v>
      </c>
      <c r="F2145" s="223" t="str">
        <f t="array" ref="F2145:F2146">{"WILLINITIAL";((IF(H2146=10,"T",(IF(H2146=50,"E","")))))}</f>
        <v>WILLINITIAL</v>
      </c>
      <c r="G2145" s="223" t="str">
        <f t="array" ref="G2145:G2146">{"WILLINITIALPTS";((IF("00"=(INDEX(ALLCLASSDATA,MATCH("WillSaveLegendary",CLASSFEATUREHEADERS,0),MATCH($A2146,CLASSNAMEHEADERS,0))),(INDEX(ALLCLASSDATA,MATCH("WillSaveLegendary",CLASSFEATUREHEADERS,0),MATCH(($A2146 &amp; "Points"),CLASSNAMEHEADERS,0))),(IF("00"=(INDEX(ALLCLASSDATA,MATCH("WillSaveMaster",CLASSFEATUREHEADERS,0),MATCH($A2146,CLASSNAMEHEADERS,0))),(INDEX(ALLCLASSDATA,MATCH("WillSaveMaster",CLASSFEATUREHEADERS,0),MATCH(($A2146 &amp; "Points"),CLASSNAMEHEADERS,0))),(IF("00"=(INDEX(ALLCLASSDATA,MATCH("WillSaveExpert",CLASSFEATUREHEADERS,0),MATCH($A2146,CLASSNAMEHEADERS,0))),(INDEX(ALLCLASSDATA,MATCH("WillSaveExpert",CLASSFEATUREHEADERS,0),MATCH(($A2146 &amp; "Points"),CLASSNAMEHEADERS,0))),(IF("00"=(INDEX(ALLCLASSDATA,MATCH("WillSaveTrained",CLASSFEATUREHEADERS,0),MATCH($A2146,CLASSNAMEHEADERS,0))),(INDEX(ALLCLASSDATA,MATCH("WillSaveTrained",CLASSFEATUREHEADERS,0),MATCH(($A2146 &amp; "Points"),CLASSNAMEHEADERS,0))),"")))))))))}</f>
        <v>WILLINITIALPTS</v>
      </c>
      <c r="H2145" s="223" t="str">
        <f t="array" ref="H2145:H2146">{"WILLL01";((IF("01"=(INDEX(ALLCLASSDATA,MATCH("WillSaveLegendary",CLASSFEATUREHEADERS,0),MATCH($A2146,CLASSNAMEHEADERS,0))),(INDEX(ALLCLASSDATA,MATCH("WillSaveLegendary",CLASSFEATUREHEADERS,0),MATCH(($A2146 &amp; "Points"),CLASSNAMEHEADERS,0))),(IF("01"=(INDEX(ALLCLASSDATA,MATCH("WillSaveMaster",CLASSFEATUREHEADERS,0),MATCH($A2146,CLASSNAMEHEADERS,0))),(INDEX(ALLCLASSDATA,MATCH("WillSaveMaster",CLASSFEATUREHEADERS,0),MATCH(($A2146 &amp; "Points"),CLASSNAMEHEADERS,0))),(IF("01"=(INDEX(ALLCLASSDATA,MATCH("WillSaveExpert",CLASSFEATUREHEADERS,0),MATCH($A2146,CLASSNAMEHEADERS,0))),(INDEX(ALLCLASSDATA,MATCH("WillSaveExpert",CLASSFEATUREHEADERS,0),MATCH(($A2146 &amp; "Points"),CLASSNAMEHEADERS,0))),(IF("01"=(INDEX(ALLCLASSDATA,MATCH("WillSaveTrained",CLASSFEATUREHEADERS,0),MATCH($A2146,CLASSNAMEHEADERS,0))),(INDEX(ALLCLASSDATA,MATCH("WillSaveTrained",CLASSFEATUREHEADERS,0),MATCH(($A2146 &amp; "Points"),CLASSNAMEHEADERS,0))),"")))))))))}</f>
        <v>WILLL01</v>
      </c>
      <c r="I2145" s="223"/>
      <c r="J2145" s="223" t="str">
        <f t="array" ref="J2145:J2146">{"WILLL03";((IF("03"=(INDEX(ALLCLASSDATA,MATCH("WillSaveLegendary",CLASSFEATUREHEADERS,0),MATCH($A2146,CLASSNAMEHEADERS,0))),(INDEX(ALLCLASSDATA,MATCH("WillSaveLegendary",CLASSFEATUREHEADERS,0),MATCH(($A2146 &amp; "Points"),CLASSNAMEHEADERS,0))),(IF("03"=(INDEX(ALLCLASSDATA,MATCH("WillSaveMaster",CLASSFEATUREHEADERS,0),MATCH($A2146,CLASSNAMEHEADERS,0))),(INDEX(ALLCLASSDATA,MATCH("WillSaveMaster",CLASSFEATUREHEADERS,0),MATCH(($A2146 &amp; "Points"),CLASSNAMEHEADERS,0))),(IF("03"=(INDEX(ALLCLASSDATA,MATCH("WillSaveExpert",CLASSFEATUREHEADERS,0),MATCH($A2146,CLASSNAMEHEADERS,0))),(INDEX(ALLCLASSDATA,MATCH("WillSaveExpert",CLASSFEATUREHEADERS,0),MATCH(($A2146 &amp; "Points"),CLASSNAMEHEADERS,0))),(IF("03"=(INDEX(ALLCLASSDATA,MATCH("WillSaveTrained",CLASSFEATUREHEADERS,0),MATCH($A2146,CLASSNAMEHEADERS,0))),(INDEX(ALLCLASSDATA,MATCH("WillSaveTrained",CLASSFEATUREHEADERS,0),MATCH(($A2146 &amp; "Points"),CLASSNAMEHEADERS,0))),"")))))))))}</f>
        <v>WILLL03</v>
      </c>
      <c r="K2145" s="223"/>
      <c r="L2145" s="223" t="str">
        <f t="array" ref="L2145:L2146">{"WILLL05";((IF("05"=(INDEX(ALLCLASSDATA,MATCH("WillSaveLegendary",CLASSFEATUREHEADERS,0),MATCH($A2146,CLASSNAMEHEADERS,0))),(INDEX(ALLCLASSDATA,MATCH("WillSaveLegendary",CLASSFEATUREHEADERS,0),MATCH(($A2146 &amp; "Points"),CLASSNAMEHEADERS,0))),(IF("05"=(INDEX(ALLCLASSDATA,MATCH("WillSaveMaster",CLASSFEATUREHEADERS,0),MATCH($A2146,CLASSNAMEHEADERS,0))),(INDEX(ALLCLASSDATA,MATCH("WillSaveMaster",CLASSFEATUREHEADERS,0),MATCH(($A2146 &amp; "Points"),CLASSNAMEHEADERS,0))),(IF("05"=(INDEX(ALLCLASSDATA,MATCH("WillSaveExpert",CLASSFEATUREHEADERS,0),MATCH($A2146,CLASSNAMEHEADERS,0))),(INDEX(ALLCLASSDATA,MATCH("WillSaveExpert",CLASSFEATUREHEADERS,0),MATCH(($A2146 &amp; "Points"),CLASSNAMEHEADERS,0))),(IF("05"=(INDEX(ALLCLASSDATA,MATCH("WillSaveTrained",CLASSFEATUREHEADERS,0),MATCH($A2146,CLASSNAMEHEADERS,0))),(INDEX(ALLCLASSDATA,MATCH("WillSaveTrained",CLASSFEATUREHEADERS,0),MATCH(($A2146 &amp; "Points"),CLASSNAMEHEADERS,0))),"")))))))))}</f>
        <v>WILLL05</v>
      </c>
      <c r="M2145" s="223"/>
      <c r="N2145" s="223" t="str">
        <f t="array" ref="N2145:N2146">{"WILLL07";((IF("07"=(INDEX(ALLCLASSDATA,MATCH("WillSaveLegendary",CLASSFEATUREHEADERS,0),MATCH($A2146,CLASSNAMEHEADERS,0))),(INDEX(ALLCLASSDATA,MATCH("WillSaveLegendary",CLASSFEATUREHEADERS,0),MATCH(($A2146 &amp; "Points"),CLASSNAMEHEADERS,0))),(IF("07"=(INDEX(ALLCLASSDATA,MATCH("WillSaveMaster",CLASSFEATUREHEADERS,0),MATCH($A2146,CLASSNAMEHEADERS,0))),(INDEX(ALLCLASSDATA,MATCH("WillSaveMaster",CLASSFEATUREHEADERS,0),MATCH(($A2146 &amp; "Points"),CLASSNAMEHEADERS,0))),(IF("07"=(INDEX(ALLCLASSDATA,MATCH("WillSaveExpert",CLASSFEATUREHEADERS,0),MATCH($A2146,CLASSNAMEHEADERS,0))),(INDEX(ALLCLASSDATA,MATCH("WillSaveExpert",CLASSFEATUREHEADERS,0),MATCH(($A2146 &amp; "Points"),CLASSNAMEHEADERS,0))),(IF("07"=(INDEX(ALLCLASSDATA,MATCH("WillSaveTrained",CLASSFEATUREHEADERS,0),MATCH($A2146,CLASSNAMEHEADERS,0))),(INDEX(ALLCLASSDATA,MATCH("WillSaveTrained",CLASSFEATUREHEADERS,0),MATCH(($A2146 &amp; "Points"),CLASSNAMEHEADERS,0))),"")))))))))}</f>
        <v>WILLL07</v>
      </c>
      <c r="O2145" s="223"/>
      <c r="P2145" s="223" t="str">
        <f t="array" ref="P2145:P2146">{"WILLL09";((IF("09"=(INDEX(ALLCLASSDATA,MATCH("WillSaveLegendary",CLASSFEATUREHEADERS,0),MATCH($A2146,CLASSNAMEHEADERS,0))),(INDEX(ALLCLASSDATA,MATCH("WillSaveLegendary",CLASSFEATUREHEADERS,0),MATCH(($A2146 &amp; "Points"),CLASSNAMEHEADERS,0))),(IF("09"=(INDEX(ALLCLASSDATA,MATCH("WillSaveMaster",CLASSFEATUREHEADERS,0),MATCH($A2146,CLASSNAMEHEADERS,0))),(INDEX(ALLCLASSDATA,MATCH("WillSaveMaster",CLASSFEATUREHEADERS,0),MATCH(($A2146 &amp; "Points"),CLASSNAMEHEADERS,0))),(IF("09"=(INDEX(ALLCLASSDATA,MATCH("WillSaveExpert",CLASSFEATUREHEADERS,0),MATCH($A2146,CLASSNAMEHEADERS,0))),(INDEX(ALLCLASSDATA,MATCH("WillSaveExpert",CLASSFEATUREHEADERS,0),MATCH(($A2146 &amp; "Points"),CLASSNAMEHEADERS,0))),(IF("09"=(INDEX(ALLCLASSDATA,MATCH("WillSaveTrained",CLASSFEATUREHEADERS,0),MATCH($A2146,CLASSNAMEHEADERS,0))),(INDEX(ALLCLASSDATA,MATCH("WillSaveTrained",CLASSFEATUREHEADERS,0),MATCH(($A2146 &amp; "Points"),CLASSNAMEHEADERS,0))),"")))))))))}</f>
        <v>WILLL09</v>
      </c>
      <c r="Q2145" s="223"/>
      <c r="R2145" s="223" t="str">
        <f t="array" ref="R2145:R2146">{"WILLL11";((IF("11"=(INDEX(ALLCLASSDATA,MATCH("WillSaveLegendary",CLASSFEATUREHEADERS,0),MATCH($A2146,CLASSNAMEHEADERS,0))),(INDEX(ALLCLASSDATA,MATCH("WillSaveLegendary",CLASSFEATUREHEADERS,0),MATCH(($A2146 &amp; "Points"),CLASSNAMEHEADERS,0))),(IF("11"=(INDEX(ALLCLASSDATA,MATCH("WillSaveMaster",CLASSFEATUREHEADERS,0),MATCH($A2146,CLASSNAMEHEADERS,0))),(INDEX(ALLCLASSDATA,MATCH("WillSaveMaster",CLASSFEATUREHEADERS,0),MATCH(($A2146 &amp; "Points"),CLASSNAMEHEADERS,0))),(IF("11"=(INDEX(ALLCLASSDATA,MATCH("WillSaveExpert",CLASSFEATUREHEADERS,0),MATCH($A2146,CLASSNAMEHEADERS,0))),(INDEX(ALLCLASSDATA,MATCH("WillSaveExpert",CLASSFEATUREHEADERS,0),MATCH(($A2146 &amp; "Points"),CLASSNAMEHEADERS,0))),(IF("11"=(INDEX(ALLCLASSDATA,MATCH("WillSaveTrained",CLASSFEATUREHEADERS,0),MATCH($A2146,CLASSNAMEHEADERS,0))),(INDEX(ALLCLASSDATA,MATCH("WillSaveTrained",CLASSFEATUREHEADERS,0),MATCH(($A2146 &amp; "Points"),CLASSNAMEHEADERS,0))),"")))))))))}</f>
        <v>WILLL11</v>
      </c>
      <c r="S2145" s="223"/>
      <c r="T2145" s="223" t="str">
        <f t="array" ref="T2145:T2146">{"WILLL13";((IF("13"=(INDEX(ALLCLASSDATA,MATCH("WillSaveLegendary",CLASSFEATUREHEADERS,0),MATCH($A2146,CLASSNAMEHEADERS,0))),(INDEX(ALLCLASSDATA,MATCH("WillSaveLegendary",CLASSFEATUREHEADERS,0),MATCH(($A2146 &amp; "Points"),CLASSNAMEHEADERS,0))),(IF("13"=(INDEX(ALLCLASSDATA,MATCH("WillSaveMaster",CLASSFEATUREHEADERS,0),MATCH($A2146,CLASSNAMEHEADERS,0))),(INDEX(ALLCLASSDATA,MATCH("WillSaveMaster",CLASSFEATUREHEADERS,0),MATCH(($A2146 &amp; "Points"),CLASSNAMEHEADERS,0))),(IF("13"=(INDEX(ALLCLASSDATA,MATCH("WillSaveExpert",CLASSFEATUREHEADERS,0),MATCH($A2146,CLASSNAMEHEADERS,0))),(INDEX(ALLCLASSDATA,MATCH("WillSaveExpert",CLASSFEATUREHEADERS,0),MATCH(($A2146 &amp; "Points"),CLASSNAMEHEADERS,0))),(IF("13"=(INDEX(ALLCLASSDATA,MATCH("WillSaveTrained",CLASSFEATUREHEADERS,0),MATCH($A2146,CLASSNAMEHEADERS,0))),(INDEX(ALLCLASSDATA,MATCH("WillSaveTrained",CLASSFEATUREHEADERS,0),MATCH(($A2146 &amp; "Points"),CLASSNAMEHEADERS,0))),"")))))))))}</f>
        <v>WILLL13</v>
      </c>
      <c r="U2145" s="223"/>
      <c r="V2145" s="223" t="str">
        <f t="array" ref="V2145:V2146">{"WILLL15";((IF("15"=(INDEX(ALLCLASSDATA,MATCH("WillSaveLegendary",CLASSFEATUREHEADERS,0),MATCH($A2146,CLASSNAMEHEADERS,0))),(INDEX(ALLCLASSDATA,MATCH("WillSaveLegendary",CLASSFEATUREHEADERS,0),MATCH(($A2146 &amp; "Points"),CLASSNAMEHEADERS,0))),(IF("15"=(INDEX(ALLCLASSDATA,MATCH("WillSaveMaster",CLASSFEATUREHEADERS,0),MATCH($A2146,CLASSNAMEHEADERS,0))),(INDEX(ALLCLASSDATA,MATCH("WillSaveMaster",CLASSFEATUREHEADERS,0),MATCH(($A2146 &amp; "Points"),CLASSNAMEHEADERS,0))),(IF("15"=(INDEX(ALLCLASSDATA,MATCH("WillSaveExpert",CLASSFEATUREHEADERS,0),MATCH($A2146,CLASSNAMEHEADERS,0))),(INDEX(ALLCLASSDATA,MATCH("WillSaveExpert",CLASSFEATUREHEADERS,0),MATCH(($A2146 &amp; "Points"),CLASSNAMEHEADERS,0))),(IF("15"=(INDEX(ALLCLASSDATA,MATCH("WillSaveTrained",CLASSFEATUREHEADERS,0),MATCH($A2146,CLASSNAMEHEADERS,0))),(INDEX(ALLCLASSDATA,MATCH("WillSaveTrained",CLASSFEATUREHEADERS,0),MATCH(($A2146 &amp; "Points"),CLASSNAMEHEADERS,0))),"")))))))))}</f>
        <v>WILLL15</v>
      </c>
      <c r="W2145" s="223"/>
      <c r="X2145" s="223" t="str">
        <f t="array" ref="X2145:X2146">{"WILLL17";((IF("17"=(INDEX(ALLCLASSDATA,MATCH("WillSaveLegendary",CLASSFEATUREHEADERS,0),MATCH($A2146,CLASSNAMEHEADERS,0))),(INDEX(ALLCLASSDATA,MATCH("WillSaveLegendary",CLASSFEATUREHEADERS,0),MATCH(($A2146 &amp; "Points"),CLASSNAMEHEADERS,0))),(IF("17"=(INDEX(ALLCLASSDATA,MATCH("WillSaveMaster",CLASSFEATUREHEADERS,0),MATCH($A2146,CLASSNAMEHEADERS,0))),(INDEX(ALLCLASSDATA,MATCH("WillSaveMaster",CLASSFEATUREHEADERS,0),MATCH(($A2146 &amp; "Points"),CLASSNAMEHEADERS,0))),(IF("17"=(INDEX(ALLCLASSDATA,MATCH("WillSaveExpert",CLASSFEATUREHEADERS,0),MATCH($A2146,CLASSNAMEHEADERS,0))),(INDEX(ALLCLASSDATA,MATCH("WillSaveExpert",CLASSFEATUREHEADERS,0),MATCH(($A2146 &amp; "Points"),CLASSNAMEHEADERS,0))),(IF("17"=(INDEX(ALLCLASSDATA,MATCH("WillSaveTrained",CLASSFEATUREHEADERS,0),MATCH($A2146,CLASSNAMEHEADERS,0))),(INDEX(ALLCLASSDATA,MATCH("WillSaveTrained",CLASSFEATUREHEADERS,0),MATCH(($A2146 &amp; "Points"),CLASSNAMEHEADERS,0))),"")))))))))}</f>
        <v>WILLL17</v>
      </c>
      <c r="Y2145" s="223"/>
      <c r="Z2145" s="223" t="str">
        <f t="array" ref="Z2145:Z2146">{"WILLL19";((IF("19"=(INDEX(ALLCLASSDATA,MATCH("WillSaveLegendary",CLASSFEATUREHEADERS,0),MATCH($A2146,CLASSNAMEHEADERS,0))),(INDEX(ALLCLASSDATA,MATCH("WillSaveLegendary",CLASSFEATUREHEADERS,0),MATCH(($A2146 &amp; "Points"),CLASSNAMEHEADERS,0))),(IF("19"=(INDEX(ALLCLASSDATA,MATCH("WillSaveMaster",CLASSFEATUREHEADERS,0),MATCH($A2146,CLASSNAMEHEADERS,0))),(INDEX(ALLCLASSDATA,MATCH("WillSaveMaster",CLASSFEATUREHEADERS,0),MATCH(($A2146 &amp; "Points"),CLASSNAMEHEADERS,0))),(IF("19"=(INDEX(ALLCLASSDATA,MATCH("WillSaveExpert",CLASSFEATUREHEADERS,0),MATCH($A2146,CLASSNAMEHEADERS,0))),(INDEX(ALLCLASSDATA,MATCH("WillSaveExpert",CLASSFEATUREHEADERS,0),MATCH(($A2146 &amp; "Points"),CLASSNAMEHEADERS,0))),(IF("19"=(INDEX(ALLCLASSDATA,MATCH("WillSaveTrained",CLASSFEATUREHEADERS,0),MATCH($A2146,CLASSNAMEHEADERS,0))),(INDEX(ALLCLASSDATA,MATCH("WillSaveTrained",CLASSFEATUREHEADERS,0),MATCH(($A2146 &amp; "Points"),CLASSNAMEHEADERS,0))),"")))))))))}</f>
        <v>WILLL19</v>
      </c>
      <c r="AA2145" s="223"/>
      <c r="AB2145" s="76" t="str">
        <f t="array" ref="AB2145:AB2146">{"WILL TOTAL";(IF(COUNTBLANK(G2146:AA2146)=17,"L",(IF(COUNTBLANK(G2146:AA2146)=18,"M",(IF(COUNTBLANK(G2146:AA2146)=19,"E",(IF(COUNTBLANK(G2146:AA2146)=20,"T",""))))))))}</f>
        <v>WILL TOTAL</v>
      </c>
      <c r="AC2145" s="76" t="str">
        <f t="array" ref="AC2145:AC2146">{"WILL TOTAL";(sum(G2146:AA2146))}</f>
        <v>WILL TOTAL</v>
      </c>
    </row>
    <row r="2146">
      <c r="A2146" s="48" t="s">
        <v>238</v>
      </c>
      <c r="B2146" s="48"/>
      <c r="C2146" s="48" t="e">
        <v>#N/A</v>
      </c>
      <c r="D2146" s="97" t="s">
        <v>1549</v>
      </c>
      <c r="E2146" s="97" t="s">
        <v>1591</v>
      </c>
      <c r="F2146" s="98" t="e">
        <v>#N/A</v>
      </c>
      <c r="G2146" s="132" t="e">
        <v>#N/A</v>
      </c>
      <c r="H2146" s="98" t="e">
        <v>#N/A</v>
      </c>
      <c r="I2146" s="98"/>
      <c r="J2146" s="98" t="e">
        <v>#N/A</v>
      </c>
      <c r="K2146" s="98"/>
      <c r="L2146" s="98" t="e">
        <v>#N/A</v>
      </c>
      <c r="M2146" s="97"/>
      <c r="N2146" s="98" t="e">
        <v>#N/A</v>
      </c>
      <c r="O2146" s="98"/>
      <c r="P2146" s="98" t="e">
        <v>#N/A</v>
      </c>
      <c r="Q2146" s="97"/>
      <c r="R2146" s="98" t="e">
        <v>#N/A</v>
      </c>
      <c r="S2146" s="98"/>
      <c r="T2146" s="98" t="e">
        <v>#N/A</v>
      </c>
      <c r="U2146" s="98"/>
      <c r="V2146" s="98" t="e">
        <v>#N/A</v>
      </c>
      <c r="W2146" s="98"/>
      <c r="X2146" s="98" t="e">
        <v>#N/A</v>
      </c>
      <c r="Y2146" s="98"/>
      <c r="Z2146" s="98" t="e">
        <v>#N/A</v>
      </c>
      <c r="AA2146" s="98"/>
      <c r="AB2146" s="5" t="s">
        <v>603</v>
      </c>
      <c r="AC2146" s="47" t="e">
        <v>#N/A</v>
      </c>
    </row>
    <row r="2147" hidden="1">
      <c r="A2147" s="222" t="str">
        <f t="array" ref="A2147:A2148">{"FormulaRow26";(INDEX(CLASSLIST,A2096,1))}</f>
        <v>FormulaRow26</v>
      </c>
      <c r="B2147" s="77" t="s">
        <v>236</v>
      </c>
      <c r="C2147" s="222" t="str">
        <f t="array" ref="C2147:C2148">{"CLASSTYPE";((INDEX(ALLCLASSDATA,MATCH("ClassType",CLASSFEATUREHEADERS,0),MATCH($A2148,CLASSNAMEHEADERS,0))))}</f>
        <v>CLASSTYPE</v>
      </c>
      <c r="D2147" s="228" t="str">
        <f t="array" ref="D2147:D2148">{"ATTACK";"Attack"}</f>
        <v>ATTACK</v>
      </c>
      <c r="E2147" s="228" t="str">
        <f t="array" ref="E2147:E2148">{"WEAPONSPECIAL";"WeaponCS/WS/GWS"}</f>
        <v>WEAPONSPECIAL</v>
      </c>
      <c r="F2147" s="230"/>
      <c r="G2147" s="230"/>
      <c r="H2147" s="230" t="str">
        <f t="array" ref="H2147:H2148">{"WEAPONSPECIALL01";((IF("01"=INDEX(ALLCLASSDATA,MATCH("WeaponGreaterSpecialization",CLASSFEATUREHEADERS,0),MATCH($A2148,CLASSNAMEHEADERS,0)),WeaponGWS,(IF("01"=INDEX(ALLCLASSDATA,MATCH("WeaponSpecialization",CLASSFEATUREHEADERS,0),MATCH($A2148,CLASSNAMEHEADERS,0)),WeaponWS,(IF("01"=INDEX(ALLCLASSDATA,MATCH("WeaponCriticalSpecialization",CLASSFEATUREHEADERS,0),MATCH($A2148,CLASSNAMEHEADERS,0)),WeaponCS,"")))))))}</f>
        <v>WEAPONSPECIALL01</v>
      </c>
      <c r="I2147" s="230"/>
      <c r="J2147" s="230" t="str">
        <f t="array" ref="J2147:J2148">{"WEAPONSPECIALL03";((IF("03"=INDEX(ALLCLASSDATA,MATCH("WeaponGreaterSpecialization",CLASSFEATUREHEADERS,0),MATCH($A2148,CLASSNAMEHEADERS,0)),WeaponGWS,(IF("03"=INDEX(ALLCLASSDATA,MATCH("WeaponSpecialization",CLASSFEATUREHEADERS,0),MATCH($A2148,CLASSNAMEHEADERS,0)),WeaponWS,(IF("03"=INDEX(ALLCLASSDATA,MATCH("WeaponCriticalSpecialization",CLASSFEATUREHEADERS,0),MATCH($A2148,CLASSNAMEHEADERS,0)),WeaponCS,"")))))))}</f>
        <v>WEAPONSPECIALL03</v>
      </c>
      <c r="K2147" s="230"/>
      <c r="L2147" s="230" t="str">
        <f t="array" ref="L2147:L2148">{"WEAPONSPECIALL05";((IF("05"=INDEX(ALLCLASSDATA,MATCH("WeaponGreaterSpecialization",CLASSFEATUREHEADERS,0),MATCH($A2148,CLASSNAMEHEADERS,0)),WeaponGWS,(IF("05"=INDEX(ALLCLASSDATA,MATCH("WeaponSpecialization",CLASSFEATUREHEADERS,0),MATCH($A2148,CLASSNAMEHEADERS,0)),WeaponWS,(IF("05"=INDEX(ALLCLASSDATA,MATCH("WeaponCriticalSpecialization",CLASSFEATUREHEADERS,0),MATCH($A2148,CLASSNAMEHEADERS,0)),WeaponCS,"")))))))}</f>
        <v>WEAPONSPECIALL05</v>
      </c>
      <c r="M2147" s="230"/>
      <c r="N2147" s="230" t="str">
        <f t="array" ref="N2147:N2148">{"WEAPONSPECIALL07";((IF("07"=INDEX(ALLCLASSDATA,MATCH("WeaponGreaterSpecialization",CLASSFEATUREHEADERS,0),MATCH($A2148,CLASSNAMEHEADERS,0)),WeaponGWS,(IF("07"=INDEX(ALLCLASSDATA,MATCH("WeaponSpecialization",CLASSFEATUREHEADERS,0),MATCH($A2148,CLASSNAMEHEADERS,0)),WeaponWS,(IF("07"=INDEX(ALLCLASSDATA,MATCH("WeaponCriticalSpecialization",CLASSFEATUREHEADERS,0),MATCH($A2148,CLASSNAMEHEADERS,0)),WeaponCS,"")))))))}</f>
        <v>WEAPONSPECIALL07</v>
      </c>
      <c r="O2147" s="230"/>
      <c r="P2147" s="230" t="str">
        <f t="array" ref="P2147:P2148">{"WEAPONSPECIALL09";((IF("09"=INDEX(ALLCLASSDATA,MATCH("WeaponGreaterSpecialization",CLASSFEATUREHEADERS,0),MATCH($A2148,CLASSNAMEHEADERS,0)),WeaponGWS,(IF("09"=INDEX(ALLCLASSDATA,MATCH("WeaponSpecialization",CLASSFEATUREHEADERS,0),MATCH($A2148,CLASSNAMEHEADERS,0)),WeaponWS,(IF("09"=INDEX(ALLCLASSDATA,MATCH("WeaponCriticalSpecialization",CLASSFEATUREHEADERS,0),MATCH($A2148,CLASSNAMEHEADERS,0)),WeaponCS,"")))))))}</f>
        <v>WEAPONSPECIALL09</v>
      </c>
      <c r="Q2147" s="230"/>
      <c r="R2147" s="230" t="str">
        <f t="array" ref="R2147:R2148">{"WEAPONSPECIALL11";((IF("11"=INDEX(ALLCLASSDATA,MATCH("WeaponGreaterSpecialization",CLASSFEATUREHEADERS,0),MATCH($A2148,CLASSNAMEHEADERS,0)),WeaponGWS,(IF("11"=INDEX(ALLCLASSDATA,MATCH("WeaponSpecialization",CLASSFEATUREHEADERS,0),MATCH($A2148,CLASSNAMEHEADERS,0)),WeaponWS,(IF("11"=INDEX(ALLCLASSDATA,MATCH("WeaponCriticalSpecialization",CLASSFEATUREHEADERS,0),MATCH($A2148,CLASSNAMEHEADERS,0)),WeaponCS,"")))))))}</f>
        <v>WEAPONSPECIALL11</v>
      </c>
      <c r="S2147" s="230"/>
      <c r="T2147" s="230" t="str">
        <f t="array" ref="T2147:T2148">{"WEAPONSPECIALL13";((IF("13"=INDEX(ALLCLASSDATA,MATCH("WeaponGreaterSpecialization",CLASSFEATUREHEADERS,0),MATCH($A2148,CLASSNAMEHEADERS,0)),WeaponGWS,(IF("13"=INDEX(ALLCLASSDATA,MATCH("WeaponSpecialization",CLASSFEATUREHEADERS,0),MATCH($A2148,CLASSNAMEHEADERS,0)),WeaponWS,(IF("13"=INDEX(ALLCLASSDATA,MATCH("WeaponCriticalSpecialization",CLASSFEATUREHEADERS,0),MATCH($A2148,CLASSNAMEHEADERS,0)),WeaponCS,"")))))))}</f>
        <v>WEAPONSPECIALL13</v>
      </c>
      <c r="U2147" s="230"/>
      <c r="V2147" s="230" t="str">
        <f t="array" ref="V2147:V2148">{"WEAPONSPECIALL15";((IF("15"=INDEX(ALLCLASSDATA,MATCH("WeaponGreaterSpecialization",CLASSFEATUREHEADERS,0),MATCH($A2148,CLASSNAMEHEADERS,0)),WeaponGWS,(IF("15"=INDEX(ALLCLASSDATA,MATCH("WeaponSpecialization",CLASSFEATUREHEADERS,0),MATCH($A2148,CLASSNAMEHEADERS,0)),WeaponWS,(IF("15"=INDEX(ALLCLASSDATA,MATCH("WeaponCriticalSpecialization",CLASSFEATUREHEADERS,0),MATCH($A2148,CLASSNAMEHEADERS,0)),WeaponCS,"")))))))}</f>
        <v>WEAPONSPECIALL15</v>
      </c>
      <c r="W2147" s="230"/>
      <c r="X2147" s="230" t="str">
        <f t="array" ref="X2147:X2148">{"WEAPONSPECIALL17";((IF("17"=INDEX(ALLCLASSDATA,MATCH("WeaponGreaterSpecialization",CLASSFEATUREHEADERS,0),MATCH($A2148,CLASSNAMEHEADERS,0)),WeaponGWS,(IF("17"=INDEX(ALLCLASSDATA,MATCH("WeaponSpecialization",CLASSFEATUREHEADERS,0),MATCH($A2148,CLASSNAMEHEADERS,0)),WeaponWS,(IF("17"=INDEX(ALLCLASSDATA,MATCH("WeaponCriticalSpecialization",CLASSFEATUREHEADERS,0),MATCH($A2148,CLASSNAMEHEADERS,0)),WeaponCS,"")))))))}</f>
        <v>WEAPONSPECIALL17</v>
      </c>
      <c r="Y2147" s="230"/>
      <c r="Z2147" s="230" t="str">
        <f t="array" ref="Z2147:Z2148">{"WEAPONSPECIALL19";((IF("19"=INDEX(ALLCLASSDATA,MATCH("WeaponGreaterSpecialization",CLASSFEATUREHEADERS,0),MATCH($A2148,CLASSNAMEHEADERS,0)),WeaponGWS,(IF("19"=INDEX(ALLCLASSDATA,MATCH("WeaponSpecialization",CLASSFEATUREHEADERS,0),MATCH($A2148,CLASSNAMEHEADERS,0)),WeaponWS,(IF("19"=INDEX(ALLCLASSDATA,MATCH("WeaponCriticalSpecialization",CLASSFEATUREHEADERS,0),MATCH($A2148,CLASSNAMEHEADERS,0)),WeaponCS,"")))))))}</f>
        <v>WEAPONSPECIALL19</v>
      </c>
      <c r="AA2147" s="230"/>
      <c r="AB2147" s="76"/>
      <c r="AC2147" s="76" t="str">
        <f t="array" ref="AC2147:AC2148">{"WEAPONSPECIAL TOTAL";(sum(G2148:AA2148))}</f>
        <v>WEAPONSPECIAL TOTAL</v>
      </c>
    </row>
    <row r="2148">
      <c r="A2148" s="48" t="s">
        <v>238</v>
      </c>
      <c r="B2148" s="48"/>
      <c r="C2148" s="48" t="e">
        <v>#N/A</v>
      </c>
      <c r="D2148" s="48" t="s">
        <v>1634</v>
      </c>
      <c r="E2148" s="48" t="s">
        <v>1635</v>
      </c>
      <c r="F2148" s="5"/>
      <c r="G2148" s="47"/>
      <c r="H2148" s="5" t="e">
        <v>#N/A</v>
      </c>
      <c r="I2148" s="5"/>
      <c r="J2148" s="5" t="e">
        <v>#N/A</v>
      </c>
      <c r="K2148" s="5"/>
      <c r="L2148" s="5" t="e">
        <v>#N/A</v>
      </c>
      <c r="M2148" s="5"/>
      <c r="N2148" s="5" t="e">
        <v>#N/A</v>
      </c>
      <c r="O2148" s="5"/>
      <c r="P2148" s="5" t="e">
        <v>#N/A</v>
      </c>
      <c r="Q2148" s="5"/>
      <c r="R2148" s="5" t="e">
        <v>#N/A</v>
      </c>
      <c r="S2148" s="5"/>
      <c r="T2148" s="5" t="e">
        <v>#N/A</v>
      </c>
      <c r="U2148" s="5"/>
      <c r="V2148" s="5" t="e">
        <v>#N/A</v>
      </c>
      <c r="W2148" s="5"/>
      <c r="X2148" s="5" t="e">
        <v>#N/A</v>
      </c>
      <c r="Y2148" s="5"/>
      <c r="Z2148" s="5" t="e">
        <v>#N/A</v>
      </c>
      <c r="AA2148" s="5"/>
      <c r="AB2148" s="5"/>
      <c r="AC2148" s="47" t="e">
        <v>#N/A</v>
      </c>
    </row>
    <row r="2149" hidden="1">
      <c r="A2149" s="222" t="str">
        <f t="array" ref="A2149:A2150">{"FormulaRow27";(INDEX(CLASSLIST,A2096,1))}</f>
        <v>FormulaRow27</v>
      </c>
      <c r="B2149" s="77" t="s">
        <v>236</v>
      </c>
      <c r="C2149" s="222" t="str">
        <f t="array" ref="C2149:C2150">{"CLASSTYPE";((INDEX(ALLCLASSDATA,MATCH("ClassType",CLASSFEATUREHEADERS,0),MATCH($A2150,CLASSNAMEHEADERS,0))))}</f>
        <v>CLASSTYPE</v>
      </c>
      <c r="D2149" s="222" t="str">
        <f t="array" ref="D2149:D2150">{"ATTACK";"Attack"}</f>
        <v>ATTACK</v>
      </c>
      <c r="E2149" s="222" t="str">
        <f t="array" ref="E2149:E2150">{"UNARMED";"Unarmed"}</f>
        <v>UNARMED</v>
      </c>
      <c r="F2149" s="223" t="str">
        <f t="array" ref="F2149:F2150">{"UNARMEDINITIAL";((IF(H2150=10,"T",(IF(H2150=50,"E","")))))}</f>
        <v>UNARMEDINITIAL</v>
      </c>
      <c r="G2149" s="223" t="str">
        <f t="array" ref="G2149:G2150">{"UNARMEDINITIALPTS";((IF("00"=(INDEX(ALLCLASSDATA,MATCH("UnarmedLegendary",CLASSFEATUREHEADERS,0),MATCH($A2150,CLASSNAMEHEADERS,0))),(INDEX(ALLCLASSDATA,MATCH("UnarmedLegendary",CLASSFEATUREHEADERS,0),MATCH(($A2150 &amp; "Points"),CLASSNAMEHEADERS,0))),(IF("00"=(INDEX(ALLCLASSDATA,MATCH("UnarmedMaster",CLASSFEATUREHEADERS,0),MATCH($A2150,CLASSNAMEHEADERS,0))),(INDEX(ALLCLASSDATA,MATCH("UnarmedMaster",CLASSFEATUREHEADERS,0),MATCH(($A2150 &amp; "Points"),CLASSNAMEHEADERS,0))),(IF("00"=(INDEX(ALLCLASSDATA,MATCH("UnarmedExpert",CLASSFEATUREHEADERS,0),MATCH($A2150,CLASSNAMEHEADERS,0))),(INDEX(ALLCLASSDATA,MATCH("UnarmedExpert",CLASSFEATUREHEADERS,0),MATCH(($A2150 &amp; "Points"),CLASSNAMEHEADERS,0))),(IF("00"=(INDEX(ALLCLASSDATA,MATCH("UnarmedTrained",CLASSFEATUREHEADERS,0),MATCH($A2150,CLASSNAMEHEADERS,0))),(INDEX(ALLCLASSDATA,MATCH("UnarmedTrained",CLASSFEATUREHEADERS,0),MATCH(($A2150 &amp; "Points"),CLASSNAMEHEADERS,0))),"")))))))))}</f>
        <v>UNARMEDINITIALPTS</v>
      </c>
      <c r="H2149" s="223" t="str">
        <f t="array" ref="H2149:H2150">{"UNARMEDL01";((IF("01"=(INDEX(ALLCLASSDATA,MATCH("UnarmedLegendary",CLASSFEATUREHEADERS,0),MATCH($A2150,CLASSNAMEHEADERS,0))),(INDEX(ALLCLASSDATA,MATCH("UnarmedLegendary",CLASSFEATUREHEADERS,0),MATCH(($A2150 &amp; "Points"),CLASSNAMEHEADERS,0))),(IF("01"=(INDEX(ALLCLASSDATA,MATCH("UnarmedMaster",CLASSFEATUREHEADERS,0),MATCH($A2150,CLASSNAMEHEADERS,0))),(INDEX(ALLCLASSDATA,MATCH("UnarmedMaster",CLASSFEATUREHEADERS,0),MATCH(($A2150 &amp; "Points"),CLASSNAMEHEADERS,0))),(IF("01"=(INDEX(ALLCLASSDATA,MATCH("UnarmedExpert",CLASSFEATUREHEADERS,0),MATCH($A2150,CLASSNAMEHEADERS,0))),(INDEX(ALLCLASSDATA,MATCH("UnarmedExpert",CLASSFEATUREHEADERS,0),MATCH(($A2150 &amp; "Points"),CLASSNAMEHEADERS,0))),(IF("01"=(INDEX(ALLCLASSDATA,MATCH("UnarmedTrained",CLASSFEATUREHEADERS,0),MATCH($A2150,CLASSNAMEHEADERS,0))),(INDEX(ALLCLASSDATA,MATCH("UnarmedTrained",CLASSFEATUREHEADERS,0),MATCH(($A2150 &amp; "Points"),CLASSNAMEHEADERS,0))),"")))))))))}</f>
        <v>UNARMEDL01</v>
      </c>
      <c r="I2149" s="223"/>
      <c r="J2149" s="223" t="str">
        <f t="array" ref="J2149:J2150">{"UNARMEDL03";((IF("03"=(INDEX(ALLCLASSDATA,MATCH("UnarmedLegendary",CLASSFEATUREHEADERS,0),MATCH($A2150,CLASSNAMEHEADERS,0))),(INDEX(ALLCLASSDATA,MATCH("UnarmedLegendary",CLASSFEATUREHEADERS,0),MATCH(($A2150 &amp; "Points"),CLASSNAMEHEADERS,0))),(IF("03"=(INDEX(ALLCLASSDATA,MATCH("UnarmedMaster",CLASSFEATUREHEADERS,0),MATCH($A2150,CLASSNAMEHEADERS,0))),(INDEX(ALLCLASSDATA,MATCH("UnarmedMaster",CLASSFEATUREHEADERS,0),MATCH(($A2150 &amp; "Points"),CLASSNAMEHEADERS,0))),(IF("03"=(INDEX(ALLCLASSDATA,MATCH("UnarmedExpert",CLASSFEATUREHEADERS,0),MATCH($A2150,CLASSNAMEHEADERS,0))),(INDEX(ALLCLASSDATA,MATCH("UnarmedExpert",CLASSFEATUREHEADERS,0),MATCH(($A2150 &amp; "Points"),CLASSNAMEHEADERS,0))),(IF("03"=(INDEX(ALLCLASSDATA,MATCH("UnarmedTrained",CLASSFEATUREHEADERS,0),MATCH($A2150,CLASSNAMEHEADERS,0))),(INDEX(ALLCLASSDATA,MATCH("UnarmedTrained",CLASSFEATUREHEADERS,0),MATCH(($A2150 &amp; "Points"),CLASSNAMEHEADERS,0))),"")))))))))}</f>
        <v>UNARMEDL03</v>
      </c>
      <c r="K2149" s="223"/>
      <c r="L2149" s="223" t="str">
        <f t="array" ref="L2149:L2150">{"UNARMEDL05";((IF("05"=(INDEX(ALLCLASSDATA,MATCH("UnarmedLegendary",CLASSFEATUREHEADERS,0),MATCH($A2150,CLASSNAMEHEADERS,0))),(INDEX(ALLCLASSDATA,MATCH("UnarmedLegendary",CLASSFEATUREHEADERS,0),MATCH(($A2150 &amp; "Points"),CLASSNAMEHEADERS,0))),(IF("05"=(INDEX(ALLCLASSDATA,MATCH("UnarmedMaster",CLASSFEATUREHEADERS,0),MATCH($A2150,CLASSNAMEHEADERS,0))),(INDEX(ALLCLASSDATA,MATCH("UnarmedMaster",CLASSFEATUREHEADERS,0),MATCH(($A2150 &amp; "Points"),CLASSNAMEHEADERS,0))),(IF("05"=(INDEX(ALLCLASSDATA,MATCH("UnarmedExpert",CLASSFEATUREHEADERS,0),MATCH($A2150,CLASSNAMEHEADERS,0))),(INDEX(ALLCLASSDATA,MATCH("UnarmedExpert",CLASSFEATUREHEADERS,0),MATCH(($A2150 &amp; "Points"),CLASSNAMEHEADERS,0))),(IF("05"=(INDEX(ALLCLASSDATA,MATCH("UnarmedTrained",CLASSFEATUREHEADERS,0),MATCH($A2150,CLASSNAMEHEADERS,0))),(INDEX(ALLCLASSDATA,MATCH("UnarmedTrained",CLASSFEATUREHEADERS,0),MATCH(($A2150 &amp; "Points"),CLASSNAMEHEADERS,0))),"")))))))))}</f>
        <v>UNARMEDL05</v>
      </c>
      <c r="M2149" s="223"/>
      <c r="N2149" s="223" t="str">
        <f t="array" ref="N2149:N2150">{"UNARMEDL07";((IF("07"=(INDEX(ALLCLASSDATA,MATCH("UnarmedLegendary",CLASSFEATUREHEADERS,0),MATCH($A2150,CLASSNAMEHEADERS,0))),(INDEX(ALLCLASSDATA,MATCH("UnarmedLegendary",CLASSFEATUREHEADERS,0),MATCH(($A2150 &amp; "Points"),CLASSNAMEHEADERS,0))),(IF("07"=(INDEX(ALLCLASSDATA,MATCH("UnarmedMaster",CLASSFEATUREHEADERS,0),MATCH($A2150,CLASSNAMEHEADERS,0))),(INDEX(ALLCLASSDATA,MATCH("UnarmedMaster",CLASSFEATUREHEADERS,0),MATCH(($A2150 &amp; "Points"),CLASSNAMEHEADERS,0))),(IF("07"=(INDEX(ALLCLASSDATA,MATCH("UnarmedExpert",CLASSFEATUREHEADERS,0),MATCH($A2150,CLASSNAMEHEADERS,0))),(INDEX(ALLCLASSDATA,MATCH("UnarmedExpert",CLASSFEATUREHEADERS,0),MATCH(($A2150 &amp; "Points"),CLASSNAMEHEADERS,0))),(IF("07"=(INDEX(ALLCLASSDATA,MATCH("UnarmedTrained",CLASSFEATUREHEADERS,0),MATCH($A2150,CLASSNAMEHEADERS,0))),(INDEX(ALLCLASSDATA,MATCH("UnarmedTrained",CLASSFEATUREHEADERS,0),MATCH(($A2150 &amp; "Points"),CLASSNAMEHEADERS,0))),"")))))))))}</f>
        <v>UNARMEDL07</v>
      </c>
      <c r="O2149" s="223"/>
      <c r="P2149" s="223" t="str">
        <f t="array" ref="P2149:P2150">{"UNARMEDL09";((IF("09"=(INDEX(ALLCLASSDATA,MATCH("UnarmedLegendary",CLASSFEATUREHEADERS,0),MATCH($A2150,CLASSNAMEHEADERS,0))),(INDEX(ALLCLASSDATA,MATCH("UnarmedLegendary",CLASSFEATUREHEADERS,0),MATCH(($A2150 &amp; "Points"),CLASSNAMEHEADERS,0))),(IF("09"=(INDEX(ALLCLASSDATA,MATCH("UnarmedMaster",CLASSFEATUREHEADERS,0),MATCH($A2150,CLASSNAMEHEADERS,0))),(INDEX(ALLCLASSDATA,MATCH("UnarmedMaster",CLASSFEATUREHEADERS,0),MATCH(($A2150 &amp; "Points"),CLASSNAMEHEADERS,0))),(IF("09"=(INDEX(ALLCLASSDATA,MATCH("UnarmedExpert",CLASSFEATUREHEADERS,0),MATCH($A2150,CLASSNAMEHEADERS,0))),(INDEX(ALLCLASSDATA,MATCH("UnarmedExpert",CLASSFEATUREHEADERS,0),MATCH(($A2150 &amp; "Points"),CLASSNAMEHEADERS,0))),(IF("09"=(INDEX(ALLCLASSDATA,MATCH("UnarmedTrained",CLASSFEATUREHEADERS,0),MATCH($A2150,CLASSNAMEHEADERS,0))),(INDEX(ALLCLASSDATA,MATCH("UnarmedTrained",CLASSFEATUREHEADERS,0),MATCH(($A2150 &amp; "Points"),CLASSNAMEHEADERS,0))),"")))))))))}</f>
        <v>UNARMEDL09</v>
      </c>
      <c r="Q2149" s="223"/>
      <c r="R2149" s="223" t="str">
        <f t="array" ref="R2149:R2150">{"UNARMEDL11";((IF("11"=(INDEX(ALLCLASSDATA,MATCH("UnarmedLegendary",CLASSFEATUREHEADERS,0),MATCH($A2150,CLASSNAMEHEADERS,0))),(INDEX(ALLCLASSDATA,MATCH("UnarmedLegendary",CLASSFEATUREHEADERS,0),MATCH(($A2150 &amp; "Points"),CLASSNAMEHEADERS,0))),(IF("11"=(INDEX(ALLCLASSDATA,MATCH("UnarmedMaster",CLASSFEATUREHEADERS,0),MATCH($A2150,CLASSNAMEHEADERS,0))),(INDEX(ALLCLASSDATA,MATCH("UnarmedMaster",CLASSFEATUREHEADERS,0),MATCH(($A2150 &amp; "Points"),CLASSNAMEHEADERS,0))),(IF("11"=(INDEX(ALLCLASSDATA,MATCH("UnarmedExpert",CLASSFEATUREHEADERS,0),MATCH($A2150,CLASSNAMEHEADERS,0))),(INDEX(ALLCLASSDATA,MATCH("UnarmedExpert",CLASSFEATUREHEADERS,0),MATCH(($A2150 &amp; "Points"),CLASSNAMEHEADERS,0))),(IF("11"=(INDEX(ALLCLASSDATA,MATCH("UnarmedTrained",CLASSFEATUREHEADERS,0),MATCH($A2150,CLASSNAMEHEADERS,0))),(INDEX(ALLCLASSDATA,MATCH("UnarmedTrained",CLASSFEATUREHEADERS,0),MATCH(($A2150 &amp; "Points"),CLASSNAMEHEADERS,0))),"")))))))))}</f>
        <v>UNARMEDL11</v>
      </c>
      <c r="S2149" s="223"/>
      <c r="T2149" s="223" t="str">
        <f t="array" ref="T2149:T2150">{"UNARMEDL13";((IF("13"=(INDEX(ALLCLASSDATA,MATCH("UnarmedLegendary",CLASSFEATUREHEADERS,0),MATCH($A2150,CLASSNAMEHEADERS,0))),(INDEX(ALLCLASSDATA,MATCH("UnarmedLegendary",CLASSFEATUREHEADERS,0),MATCH(($A2150 &amp; "Points"),CLASSNAMEHEADERS,0))),(IF("13"=(INDEX(ALLCLASSDATA,MATCH("UnarmedMaster",CLASSFEATUREHEADERS,0),MATCH($A2150,CLASSNAMEHEADERS,0))),(INDEX(ALLCLASSDATA,MATCH("UnarmedMaster",CLASSFEATUREHEADERS,0),MATCH(($A2150 &amp; "Points"),CLASSNAMEHEADERS,0))),(IF("13"=(INDEX(ALLCLASSDATA,MATCH("UnarmedExpert",CLASSFEATUREHEADERS,0),MATCH($A2150,CLASSNAMEHEADERS,0))),(INDEX(ALLCLASSDATA,MATCH("UnarmedExpert",CLASSFEATUREHEADERS,0),MATCH(($A2150 &amp; "Points"),CLASSNAMEHEADERS,0))),(IF("13"=(INDEX(ALLCLASSDATA,MATCH("UnarmedTrained",CLASSFEATUREHEADERS,0),MATCH($A2150,CLASSNAMEHEADERS,0))),(INDEX(ALLCLASSDATA,MATCH("UnarmedTrained",CLASSFEATUREHEADERS,0),MATCH(($A2150 &amp; "Points"),CLASSNAMEHEADERS,0))),"")))))))))}</f>
        <v>UNARMEDL13</v>
      </c>
      <c r="U2149" s="223"/>
      <c r="V2149" s="223" t="str">
        <f t="array" ref="V2149:V2150">{"UNARMEDL15";((IF("15"=(INDEX(ALLCLASSDATA,MATCH("UnarmedLegendary",CLASSFEATUREHEADERS,0),MATCH($A2150,CLASSNAMEHEADERS,0))),(INDEX(ALLCLASSDATA,MATCH("UnarmedLegendary",CLASSFEATUREHEADERS,0),MATCH(($A2150 &amp; "Points"),CLASSNAMEHEADERS,0))),(IF("15"=(INDEX(ALLCLASSDATA,MATCH("UnarmedMaster",CLASSFEATUREHEADERS,0),MATCH($A2150,CLASSNAMEHEADERS,0))),(INDEX(ALLCLASSDATA,MATCH("UnarmedMaster",CLASSFEATUREHEADERS,0),MATCH(($A2150 &amp; "Points"),CLASSNAMEHEADERS,0))),(IF("15"=(INDEX(ALLCLASSDATA,MATCH("UnarmedExpert",CLASSFEATUREHEADERS,0),MATCH($A2150,CLASSNAMEHEADERS,0))),(INDEX(ALLCLASSDATA,MATCH("UnarmedExpert",CLASSFEATUREHEADERS,0),MATCH(($A2150 &amp; "Points"),CLASSNAMEHEADERS,0))),(IF("15"=(INDEX(ALLCLASSDATA,MATCH("UnarmedTrained",CLASSFEATUREHEADERS,0),MATCH($A2150,CLASSNAMEHEADERS,0))),(INDEX(ALLCLASSDATA,MATCH("UnarmedTrained",CLASSFEATUREHEADERS,0),MATCH(($A2150 &amp; "Points"),CLASSNAMEHEADERS,0))),"")))))))))}</f>
        <v>UNARMEDL15</v>
      </c>
      <c r="W2149" s="223"/>
      <c r="X2149" s="223" t="str">
        <f t="array" ref="X2149:X2150">{"UNARMEDL17";((IF("17"=(INDEX(ALLCLASSDATA,MATCH("UnarmedLegendary",CLASSFEATUREHEADERS,0),MATCH($A2150,CLASSNAMEHEADERS,0))),(INDEX(ALLCLASSDATA,MATCH("UnarmedLegendary",CLASSFEATUREHEADERS,0),MATCH(($A2150 &amp; "Points"),CLASSNAMEHEADERS,0))),(IF("17"=(INDEX(ALLCLASSDATA,MATCH("UnarmedMaster",CLASSFEATUREHEADERS,0),MATCH($A2150,CLASSNAMEHEADERS,0))),(INDEX(ALLCLASSDATA,MATCH("UnarmedMaster",CLASSFEATUREHEADERS,0),MATCH(($A2150 &amp; "Points"),CLASSNAMEHEADERS,0))),(IF("17"=(INDEX(ALLCLASSDATA,MATCH("UnarmedExpert",CLASSFEATUREHEADERS,0),MATCH($A2150,CLASSNAMEHEADERS,0))),(INDEX(ALLCLASSDATA,MATCH("UnarmedExpert",CLASSFEATUREHEADERS,0),MATCH(($A2150 &amp; "Points"),CLASSNAMEHEADERS,0))),(IF("17"=(INDEX(ALLCLASSDATA,MATCH("UnarmedTrained",CLASSFEATUREHEADERS,0),MATCH($A2150,CLASSNAMEHEADERS,0))),(INDEX(ALLCLASSDATA,MATCH("UnarmedTrained",CLASSFEATUREHEADERS,0),MATCH(($A2150 &amp; "Points"),CLASSNAMEHEADERS,0))),"")))))))))}</f>
        <v>UNARMEDL17</v>
      </c>
      <c r="Y2149" s="223"/>
      <c r="Z2149" s="223" t="str">
        <f t="array" ref="Z2149:Z2150">{"UNARMEDL19";((IF("19"=(INDEX(ALLCLASSDATA,MATCH("UnarmedLegendary",CLASSFEATUREHEADERS,0),MATCH($A2150,CLASSNAMEHEADERS,0))),(INDEX(ALLCLASSDATA,MATCH("UnarmedLegendary",CLASSFEATUREHEADERS,0),MATCH(($A2150 &amp; "Points"),CLASSNAMEHEADERS,0))),(IF("19"=(INDEX(ALLCLASSDATA,MATCH("UnarmedMaster",CLASSFEATUREHEADERS,0),MATCH($A2150,CLASSNAMEHEADERS,0))),(INDEX(ALLCLASSDATA,MATCH("UnarmedMaster",CLASSFEATUREHEADERS,0),MATCH(($A2150 &amp; "Points"),CLASSNAMEHEADERS,0))),(IF("19"=(INDEX(ALLCLASSDATA,MATCH("UnarmedExpert",CLASSFEATUREHEADERS,0),MATCH($A2150,CLASSNAMEHEADERS,0))),(INDEX(ALLCLASSDATA,MATCH("UnarmedExpert",CLASSFEATUREHEADERS,0),MATCH(($A2150 &amp; "Points"),CLASSNAMEHEADERS,0))),(IF("19"=(INDEX(ALLCLASSDATA,MATCH("UnarmedTrained",CLASSFEATUREHEADERS,0),MATCH($A2150,CLASSNAMEHEADERS,0))),(INDEX(ALLCLASSDATA,MATCH("UnarmedTrained",CLASSFEATUREHEADERS,0),MATCH(($A2150 &amp; "Points"),CLASSNAMEHEADERS,0))),"")))))))))}</f>
        <v>UNARMEDL19</v>
      </c>
      <c r="AA2149" s="223"/>
      <c r="AB2149" s="76" t="str">
        <f t="array" ref="AB2149:AB2150">{"UNARMED TOTAL";(IF(COUNTBLANK(G2150:AA2150)=17,"L",(IF(COUNTBLANK(G2150:AA2150)=18,"M",(IF(COUNTBLANK(G2150:AA2150)=19,"E",(IF(COUNTBLANK(G2150:AA2150)=20,"T",""))))))))}</f>
        <v>UNARMED TOTAL</v>
      </c>
      <c r="AC2149" s="76" t="str">
        <f t="array" ref="AC2149:AC2150">{"UNARMED TOTAL";(sum(G2150:AA2150))}</f>
        <v>UNARMED TOTAL</v>
      </c>
    </row>
    <row r="2150">
      <c r="A2150" s="48" t="s">
        <v>238</v>
      </c>
      <c r="B2150" s="48"/>
      <c r="C2150" s="48" t="e">
        <v>#N/A</v>
      </c>
      <c r="D2150" s="48" t="s">
        <v>1634</v>
      </c>
      <c r="E2150" s="48" t="s">
        <v>257</v>
      </c>
      <c r="F2150" s="5" t="e">
        <v>#N/A</v>
      </c>
      <c r="G2150" s="47" t="e">
        <v>#N/A</v>
      </c>
      <c r="H2150" s="5" t="e">
        <v>#N/A</v>
      </c>
      <c r="I2150" s="5"/>
      <c r="J2150" s="5" t="e">
        <v>#N/A</v>
      </c>
      <c r="K2150" s="5"/>
      <c r="L2150" s="5" t="e">
        <v>#N/A</v>
      </c>
      <c r="M2150" s="5"/>
      <c r="N2150" s="5" t="e">
        <v>#N/A</v>
      </c>
      <c r="O2150" s="5"/>
      <c r="P2150" s="5" t="e">
        <v>#N/A</v>
      </c>
      <c r="Q2150" s="5"/>
      <c r="R2150" s="5" t="e">
        <v>#N/A</v>
      </c>
      <c r="S2150" s="5"/>
      <c r="T2150" s="5" t="e">
        <v>#N/A</v>
      </c>
      <c r="U2150" s="5"/>
      <c r="V2150" s="5" t="e">
        <v>#N/A</v>
      </c>
      <c r="W2150" s="5"/>
      <c r="X2150" s="5" t="e">
        <v>#N/A</v>
      </c>
      <c r="Y2150" s="5"/>
      <c r="Z2150" s="5" t="e">
        <v>#N/A</v>
      </c>
      <c r="AA2150" s="5"/>
      <c r="AB2150" s="5" t="s">
        <v>603</v>
      </c>
      <c r="AC2150" s="47" t="e">
        <v>#N/A</v>
      </c>
    </row>
    <row r="2151" hidden="1">
      <c r="A2151" s="222" t="str">
        <f t="array" ref="A2151:A2152">{"FormulaRow28";(INDEX(CLASSLIST,A2096,1))}</f>
        <v>FormulaRow28</v>
      </c>
      <c r="B2151" s="77" t="s">
        <v>236</v>
      </c>
      <c r="C2151" s="222" t="str">
        <f t="array" ref="C2151:C2152">{"CLASSTYPE";((INDEX(ALLCLASSDATA,MATCH("ClassType",CLASSFEATUREHEADERS,0),MATCH($A2152,CLASSNAMEHEADERS,0))))}</f>
        <v>CLASSTYPE</v>
      </c>
      <c r="D2151" s="222" t="str">
        <f t="array" ref="D2151:D2152">{"ATTACK";"Attack"}</f>
        <v>ATTACK</v>
      </c>
      <c r="E2151" s="222" t="str">
        <f t="array" ref="E2151:E2152">{"SIMPLELIMITED";"SimpleLimited"}</f>
        <v>SIMPLELIMITED</v>
      </c>
      <c r="F2151" s="223" t="str">
        <f t="array" ref="F2151:F2152">{"SIMPLELIMITEDINITIAL";((IF(H2152=10,"T",(IF(H2152=50,"E","")))))}</f>
        <v>SIMPLELIMITEDINITIAL</v>
      </c>
      <c r="G2151" s="223" t="str">
        <f t="array" ref="G2151:G2152">{"SIMPLELIMITEDINITIALPTS";((IF("00"=(INDEX(ALLCLASSDATA,MATCH("SimpleLimitedLegendary",CLASSFEATUREHEADERS,0),MATCH($A2152,CLASSNAMEHEADERS,0))),(INDEX(ALLCLASSDATA,MATCH("SimpleLimitedLegendary",CLASSFEATUREHEADERS,0),MATCH(($A2152 &amp; "Points"),CLASSNAMEHEADERS,0))),(IF("00"=(INDEX(ALLCLASSDATA,MATCH("SimpleLimitedMaster",CLASSFEATUREHEADERS,0),MATCH($A2152,CLASSNAMEHEADERS,0))),(INDEX(ALLCLASSDATA,MATCH("SimpleLimitedMaster",CLASSFEATUREHEADERS,0),MATCH(($A2152 &amp; "Points"),CLASSNAMEHEADERS,0))),(IF("00"=(INDEX(ALLCLASSDATA,MATCH("SimpleLimitedExpert",CLASSFEATUREHEADERS,0),MATCH($A2152,CLASSNAMEHEADERS,0))),(INDEX(ALLCLASSDATA,MATCH("SimpleLimitedExpert",CLASSFEATUREHEADERS,0),MATCH(($A2152 &amp; "Points"),CLASSNAMEHEADERS,0))),(IF("00"=(INDEX(ALLCLASSDATA,MATCH("SimpleLimitedTrained",CLASSFEATUREHEADERS,0),MATCH($A2152,CLASSNAMEHEADERS,0))),(INDEX(ALLCLASSDATA,MATCH("SimpleLimitedTrained",CLASSFEATUREHEADERS,0),MATCH(($A2152 &amp; "Points"),CLASSNAMEHEADERS,0))),"")))))))))}</f>
        <v>SIMPLELIMITEDINITIALPTS</v>
      </c>
      <c r="H2151" s="223" t="str">
        <f t="array" ref="H2151:H2152">{"SIMPLELIMITEDL01";((IF("01"=(INDEX(ALLCLASSDATA,MATCH("SimpleLimitedLegendary",CLASSFEATUREHEADERS,0),MATCH($A2152,CLASSNAMEHEADERS,0))),(INDEX(ALLCLASSDATA,MATCH("SimpleLimitedLegendary",CLASSFEATUREHEADERS,0),MATCH(($A2152 &amp; "Points"),CLASSNAMEHEADERS,0))),(IF("01"=(INDEX(ALLCLASSDATA,MATCH("SimpleLimitedMaster",CLASSFEATUREHEADERS,0),MATCH($A2152,CLASSNAMEHEADERS,0))),(INDEX(ALLCLASSDATA,MATCH("SimpleLimitedMaster",CLASSFEATUREHEADERS,0),MATCH(($A2152 &amp; "Points"),CLASSNAMEHEADERS,0))),(IF("01"=(INDEX(ALLCLASSDATA,MATCH("SimpleLimitedExpert",CLASSFEATUREHEADERS,0),MATCH($A2152,CLASSNAMEHEADERS,0))),(INDEX(ALLCLASSDATA,MATCH("SimpleLimitedExpert",CLASSFEATUREHEADERS,0),MATCH(($A2152 &amp; "Points"),CLASSNAMEHEADERS,0))),(IF("01"=(INDEX(ALLCLASSDATA,MATCH("SimpleLimitedTrained",CLASSFEATUREHEADERS,0),MATCH($A2152,CLASSNAMEHEADERS,0))),(INDEX(ALLCLASSDATA,MATCH("SimpleLimitedTrained",CLASSFEATUREHEADERS,0),MATCH(($A2152 &amp; "Points"),CLASSNAMEHEADERS,0))),"")))))))))}</f>
        <v>SIMPLELIMITEDL01</v>
      </c>
      <c r="I2151" s="223"/>
      <c r="J2151" s="223" t="str">
        <f t="array" ref="J2151:J2152">{"SIMPLELIMITEDL03";((IF("03"=(INDEX(ALLCLASSDATA,MATCH("SimpleLimitedLegendary",CLASSFEATUREHEADERS,0),MATCH($A2152,CLASSNAMEHEADERS,0))),(INDEX(ALLCLASSDATA,MATCH("SimpleLimitedLegendary",CLASSFEATUREHEADERS,0),MATCH(($A2152 &amp; "Points"),CLASSNAMEHEADERS,0))),(IF("03"=(INDEX(ALLCLASSDATA,MATCH("SimpleLimitedMaster",CLASSFEATUREHEADERS,0),MATCH($A2152,CLASSNAMEHEADERS,0))),(INDEX(ALLCLASSDATA,MATCH("SimpleLimitedMaster",CLASSFEATUREHEADERS,0),MATCH(($A2152 &amp; "Points"),CLASSNAMEHEADERS,0))),(IF("03"=(INDEX(ALLCLASSDATA,MATCH("SimpleLimitedExpert",CLASSFEATUREHEADERS,0),MATCH($A2152,CLASSNAMEHEADERS,0))),(INDEX(ALLCLASSDATA,MATCH("SimpleLimitedExpert",CLASSFEATUREHEADERS,0),MATCH(($A2152 &amp; "Points"),CLASSNAMEHEADERS,0))),(IF("03"=(INDEX(ALLCLASSDATA,MATCH("SimpleLimitedTrained",CLASSFEATUREHEADERS,0),MATCH($A2152,CLASSNAMEHEADERS,0))),(INDEX(ALLCLASSDATA,MATCH("SimpleLimitedTrained",CLASSFEATUREHEADERS,0),MATCH(($A2152 &amp; "Points"),CLASSNAMEHEADERS,0))),"")))))))))}</f>
        <v>SIMPLELIMITEDL03</v>
      </c>
      <c r="K2151" s="223"/>
      <c r="L2151" s="223" t="str">
        <f t="array" ref="L2151:L2152">{"SIMPLELIMITEDL05";((IF("05"=(INDEX(ALLCLASSDATA,MATCH("SimpleLimitedLegendary",CLASSFEATUREHEADERS,0),MATCH($A2152,CLASSNAMEHEADERS,0))),(INDEX(ALLCLASSDATA,MATCH("SimpleLimitedLegendary",CLASSFEATUREHEADERS,0),MATCH(($A2152 &amp; "Points"),CLASSNAMEHEADERS,0))),(IF("05"=(INDEX(ALLCLASSDATA,MATCH("SimpleLimitedMaster",CLASSFEATUREHEADERS,0),MATCH($A2152,CLASSNAMEHEADERS,0))),(INDEX(ALLCLASSDATA,MATCH("SimpleLimitedMaster",CLASSFEATUREHEADERS,0),MATCH(($A2152 &amp; "Points"),CLASSNAMEHEADERS,0))),(IF("05"=(INDEX(ALLCLASSDATA,MATCH("SimpleLimitedExpert",CLASSFEATUREHEADERS,0),MATCH($A2152,CLASSNAMEHEADERS,0))),(INDEX(ALLCLASSDATA,MATCH("SimpleLimitedExpert",CLASSFEATUREHEADERS,0),MATCH(($A2152 &amp; "Points"),CLASSNAMEHEADERS,0))),(IF("05"=(INDEX(ALLCLASSDATA,MATCH("SimpleLimitedTrained",CLASSFEATUREHEADERS,0),MATCH($A2152,CLASSNAMEHEADERS,0))),(INDEX(ALLCLASSDATA,MATCH("SimpleLimitedTrained",CLASSFEATUREHEADERS,0),MATCH(($A2152 &amp; "Points"),CLASSNAMEHEADERS,0))),"")))))))))}</f>
        <v>SIMPLELIMITEDL05</v>
      </c>
      <c r="M2151" s="223"/>
      <c r="N2151" s="223" t="str">
        <f t="array" ref="N2151:N2152">{"SIMPLELIMITEDL07";((IF("07"=(INDEX(ALLCLASSDATA,MATCH("SimpleLimitedLegendary",CLASSFEATUREHEADERS,0),MATCH($A2152,CLASSNAMEHEADERS,0))),(INDEX(ALLCLASSDATA,MATCH("SimpleLimitedLegendary",CLASSFEATUREHEADERS,0),MATCH(($A2152 &amp; "Points"),CLASSNAMEHEADERS,0))),(IF("07"=(INDEX(ALLCLASSDATA,MATCH("SimpleLimitedMaster",CLASSFEATUREHEADERS,0),MATCH($A2152,CLASSNAMEHEADERS,0))),(INDEX(ALLCLASSDATA,MATCH("SimpleLimitedMaster",CLASSFEATUREHEADERS,0),MATCH(($A2152 &amp; "Points"),CLASSNAMEHEADERS,0))),(IF("07"=(INDEX(ALLCLASSDATA,MATCH("SimpleLimitedExpert",CLASSFEATUREHEADERS,0),MATCH($A2152,CLASSNAMEHEADERS,0))),(INDEX(ALLCLASSDATA,MATCH("SimpleLimitedExpert",CLASSFEATUREHEADERS,0),MATCH(($A2152 &amp; "Points"),CLASSNAMEHEADERS,0))),(IF("07"=(INDEX(ALLCLASSDATA,MATCH("SimpleLimitedTrained",CLASSFEATUREHEADERS,0),MATCH($A2152,CLASSNAMEHEADERS,0))),(INDEX(ALLCLASSDATA,MATCH("SimpleLimitedTrained",CLASSFEATUREHEADERS,0),MATCH(($A2152 &amp; "Points"),CLASSNAMEHEADERS,0))),"")))))))))}</f>
        <v>SIMPLELIMITEDL07</v>
      </c>
      <c r="O2151" s="223"/>
      <c r="P2151" s="223" t="str">
        <f t="array" ref="P2151:P2152">{"SIMPLELIMITEDL09";((IF("09"=(INDEX(ALLCLASSDATA,MATCH("SimpleLimitedLegendary",CLASSFEATUREHEADERS,0),MATCH($A2152,CLASSNAMEHEADERS,0))),(INDEX(ALLCLASSDATA,MATCH("SimpleLimitedLegendary",CLASSFEATUREHEADERS,0),MATCH(($A2152 &amp; "Points"),CLASSNAMEHEADERS,0))),(IF("09"=(INDEX(ALLCLASSDATA,MATCH("SimpleLimitedMaster",CLASSFEATUREHEADERS,0),MATCH($A2152,CLASSNAMEHEADERS,0))),(INDEX(ALLCLASSDATA,MATCH("SimpleLimitedMaster",CLASSFEATUREHEADERS,0),MATCH(($A2152 &amp; "Points"),CLASSNAMEHEADERS,0))),(IF("09"=(INDEX(ALLCLASSDATA,MATCH("SimpleLimitedExpert",CLASSFEATUREHEADERS,0),MATCH($A2152,CLASSNAMEHEADERS,0))),(INDEX(ALLCLASSDATA,MATCH("SimpleLimitedExpert",CLASSFEATUREHEADERS,0),MATCH(($A2152 &amp; "Points"),CLASSNAMEHEADERS,0))),(IF("09"=(INDEX(ALLCLASSDATA,MATCH("SimpleLimitedTrained",CLASSFEATUREHEADERS,0),MATCH($A2152,CLASSNAMEHEADERS,0))),(INDEX(ALLCLASSDATA,MATCH("SimpleLimitedTrained",CLASSFEATUREHEADERS,0),MATCH(($A2152 &amp; "Points"),CLASSNAMEHEADERS,0))),"")))))))))}</f>
        <v>SIMPLELIMITEDL09</v>
      </c>
      <c r="Q2151" s="223"/>
      <c r="R2151" s="223" t="str">
        <f t="array" ref="R2151:R2152">{"SIMPLELIMITEDL11";((IF("11"=(INDEX(ALLCLASSDATA,MATCH("SimpleLimitedLegendary",CLASSFEATUREHEADERS,0),MATCH($A2152,CLASSNAMEHEADERS,0))),(INDEX(ALLCLASSDATA,MATCH("SimpleLimitedLegendary",CLASSFEATUREHEADERS,0),MATCH(($A2152 &amp; "Points"),CLASSNAMEHEADERS,0))),(IF("11"=(INDEX(ALLCLASSDATA,MATCH("SimpleLimitedMaster",CLASSFEATUREHEADERS,0),MATCH($A2152,CLASSNAMEHEADERS,0))),(INDEX(ALLCLASSDATA,MATCH("SimpleLimitedMaster",CLASSFEATUREHEADERS,0),MATCH(($A2152 &amp; "Points"),CLASSNAMEHEADERS,0))),(IF("11"=(INDEX(ALLCLASSDATA,MATCH("SimpleLimitedExpert",CLASSFEATUREHEADERS,0),MATCH($A2152,CLASSNAMEHEADERS,0))),(INDEX(ALLCLASSDATA,MATCH("SimpleLimitedExpert",CLASSFEATUREHEADERS,0),MATCH(($A2152 &amp; "Points"),CLASSNAMEHEADERS,0))),(IF("11"=(INDEX(ALLCLASSDATA,MATCH("SimpleLimitedTrained",CLASSFEATUREHEADERS,0),MATCH($A2152,CLASSNAMEHEADERS,0))),(INDEX(ALLCLASSDATA,MATCH("SimpleLimitedTrained",CLASSFEATUREHEADERS,0),MATCH(($A2152 &amp; "Points"),CLASSNAMEHEADERS,0))),"")))))))))}</f>
        <v>SIMPLELIMITEDL11</v>
      </c>
      <c r="S2151" s="223"/>
      <c r="T2151" s="223" t="str">
        <f t="array" ref="T2151:T2152">{"SIMPLELIMITEDL13";((IF("13"=(INDEX(ALLCLASSDATA,MATCH("SimpleLimitedLegendary",CLASSFEATUREHEADERS,0),MATCH($A2152,CLASSNAMEHEADERS,0))),(INDEX(ALLCLASSDATA,MATCH("SimpleLimitedLegendary",CLASSFEATUREHEADERS,0),MATCH(($A2152 &amp; "Points"),CLASSNAMEHEADERS,0))),(IF("13"=(INDEX(ALLCLASSDATA,MATCH("SimpleLimitedMaster",CLASSFEATUREHEADERS,0),MATCH($A2152,CLASSNAMEHEADERS,0))),(INDEX(ALLCLASSDATA,MATCH("SimpleLimitedMaster",CLASSFEATUREHEADERS,0),MATCH(($A2152 &amp; "Points"),CLASSNAMEHEADERS,0))),(IF("13"=(INDEX(ALLCLASSDATA,MATCH("SimpleLimitedExpert",CLASSFEATUREHEADERS,0),MATCH($A2152,CLASSNAMEHEADERS,0))),(INDEX(ALLCLASSDATA,MATCH("SimpleLimitedExpert",CLASSFEATUREHEADERS,0),MATCH(($A2152 &amp; "Points"),CLASSNAMEHEADERS,0))),(IF("13"=(INDEX(ALLCLASSDATA,MATCH("SimpleLimitedTrained",CLASSFEATUREHEADERS,0),MATCH($A2152,CLASSNAMEHEADERS,0))),(INDEX(ALLCLASSDATA,MATCH("SimpleLimitedTrained",CLASSFEATUREHEADERS,0),MATCH(($A2152 &amp; "Points"),CLASSNAMEHEADERS,0))),"")))))))))}</f>
        <v>SIMPLELIMITEDL13</v>
      </c>
      <c r="U2151" s="223"/>
      <c r="V2151" s="223" t="str">
        <f t="array" ref="V2151:V2152">{"SIMPLELIMITEDL15";((IF("15"=(INDEX(ALLCLASSDATA,MATCH("SimpleLimitedLegendary",CLASSFEATUREHEADERS,0),MATCH($A2152,CLASSNAMEHEADERS,0))),(INDEX(ALLCLASSDATA,MATCH("SimpleLimitedLegendary",CLASSFEATUREHEADERS,0),MATCH(($A2152 &amp; "Points"),CLASSNAMEHEADERS,0))),(IF("15"=(INDEX(ALLCLASSDATA,MATCH("SimpleLimitedMaster",CLASSFEATUREHEADERS,0),MATCH($A2152,CLASSNAMEHEADERS,0))),(INDEX(ALLCLASSDATA,MATCH("SimpleLimitedMaster",CLASSFEATUREHEADERS,0),MATCH(($A2152 &amp; "Points"),CLASSNAMEHEADERS,0))),(IF("15"=(INDEX(ALLCLASSDATA,MATCH("SimpleLimitedExpert",CLASSFEATUREHEADERS,0),MATCH($A2152,CLASSNAMEHEADERS,0))),(INDEX(ALLCLASSDATA,MATCH("SimpleLimitedExpert",CLASSFEATUREHEADERS,0),MATCH(($A2152 &amp; "Points"),CLASSNAMEHEADERS,0))),(IF("15"=(INDEX(ALLCLASSDATA,MATCH("SimpleLimitedTrained",CLASSFEATUREHEADERS,0),MATCH($A2152,CLASSNAMEHEADERS,0))),(INDEX(ALLCLASSDATA,MATCH("SimpleLimitedTrained",CLASSFEATUREHEADERS,0),MATCH(($A2152 &amp; "Points"),CLASSNAMEHEADERS,0))),"")))))))))}</f>
        <v>SIMPLELIMITEDL15</v>
      </c>
      <c r="W2151" s="223"/>
      <c r="X2151" s="223" t="str">
        <f t="array" ref="X2151:X2152">{"SIMPLELIMITEDL17";((IF("17"=(INDEX(ALLCLASSDATA,MATCH("SimpleLimitedLegendary",CLASSFEATUREHEADERS,0),MATCH($A2152,CLASSNAMEHEADERS,0))),(INDEX(ALLCLASSDATA,MATCH("SimpleLimitedLegendary",CLASSFEATUREHEADERS,0),MATCH(($A2152 &amp; "Points"),CLASSNAMEHEADERS,0))),(IF("17"=(INDEX(ALLCLASSDATA,MATCH("SimpleLimitedMaster",CLASSFEATUREHEADERS,0),MATCH($A2152,CLASSNAMEHEADERS,0))),(INDEX(ALLCLASSDATA,MATCH("SimpleLimitedMaster",CLASSFEATUREHEADERS,0),MATCH(($A2152 &amp; "Points"),CLASSNAMEHEADERS,0))),(IF("17"=(INDEX(ALLCLASSDATA,MATCH("SimpleLimitedExpert",CLASSFEATUREHEADERS,0),MATCH($A2152,CLASSNAMEHEADERS,0))),(INDEX(ALLCLASSDATA,MATCH("SimpleLimitedExpert",CLASSFEATUREHEADERS,0),MATCH(($A2152 &amp; "Points"),CLASSNAMEHEADERS,0))),(IF("17"=(INDEX(ALLCLASSDATA,MATCH("SimpleLimitedTrained",CLASSFEATUREHEADERS,0),MATCH($A2152,CLASSNAMEHEADERS,0))),(INDEX(ALLCLASSDATA,MATCH("SimpleLimitedTrained",CLASSFEATUREHEADERS,0),MATCH(($A2152 &amp; "Points"),CLASSNAMEHEADERS,0))),"")))))))))}</f>
        <v>SIMPLELIMITEDL17</v>
      </c>
      <c r="Y2151" s="223"/>
      <c r="Z2151" s="223" t="str">
        <f t="array" ref="Z2151:Z2152">{"SIMPLELIMITEDL19";((IF("19"=(INDEX(ALLCLASSDATA,MATCH("SimpleLimitedLegendary",CLASSFEATUREHEADERS,0),MATCH($A2152,CLASSNAMEHEADERS,0))),(INDEX(ALLCLASSDATA,MATCH("SimpleLimitedLegendary",CLASSFEATUREHEADERS,0),MATCH(($A2152 &amp; "Points"),CLASSNAMEHEADERS,0))),(IF("19"=(INDEX(ALLCLASSDATA,MATCH("SimpleLimitedMaster",CLASSFEATUREHEADERS,0),MATCH($A2152,CLASSNAMEHEADERS,0))),(INDEX(ALLCLASSDATA,MATCH("SimpleLimitedMaster",CLASSFEATUREHEADERS,0),MATCH(($A2152 &amp; "Points"),CLASSNAMEHEADERS,0))),(IF("19"=(INDEX(ALLCLASSDATA,MATCH("SimpleLimitedExpert",CLASSFEATUREHEADERS,0),MATCH($A2152,CLASSNAMEHEADERS,0))),(INDEX(ALLCLASSDATA,MATCH("SimpleLimitedExpert",CLASSFEATUREHEADERS,0),MATCH(($A2152 &amp; "Points"),CLASSNAMEHEADERS,0))),(IF("19"=(INDEX(ALLCLASSDATA,MATCH("SimpleLimitedTrained",CLASSFEATUREHEADERS,0),MATCH($A2152,CLASSNAMEHEADERS,0))),(INDEX(ALLCLASSDATA,MATCH("SimpleLimitedTrained",CLASSFEATUREHEADERS,0),MATCH(($A2152 &amp; "Points"),CLASSNAMEHEADERS,0))),"")))))))))}</f>
        <v>SIMPLELIMITEDL19</v>
      </c>
      <c r="AA2151" s="223"/>
      <c r="AB2151" s="76" t="str">
        <f t="array" ref="AB2151:AB2152">{"SIMPLELIMITED TOTAL";(IF(COUNTBLANK(G2152:AA2152)=17,"L",(IF(COUNTBLANK(G2152:AA2152)=18,"M",(IF(COUNTBLANK(G2152:AA2152)=19,"E",(IF(COUNTBLANK(G2152:AA2152)=20,"T",""))))))))}</f>
        <v>SIMPLELIMITED TOTAL</v>
      </c>
      <c r="AC2151" s="76" t="str">
        <f t="array" ref="AC2151:AC2152">{"SIMPLELIMITED TOTAL";(sum(G2152:AA2152))}</f>
        <v>SIMPLELIMITED TOTAL</v>
      </c>
    </row>
    <row r="2152">
      <c r="A2152" s="48" t="s">
        <v>238</v>
      </c>
      <c r="B2152" s="48"/>
      <c r="C2152" s="48" t="e">
        <v>#N/A</v>
      </c>
      <c r="D2152" s="48" t="s">
        <v>1634</v>
      </c>
      <c r="E2152" s="48" t="s">
        <v>599</v>
      </c>
      <c r="F2152" s="5" t="e">
        <v>#N/A</v>
      </c>
      <c r="G2152" s="47" t="e">
        <v>#N/A</v>
      </c>
      <c r="H2152" s="5" t="e">
        <v>#N/A</v>
      </c>
      <c r="I2152" s="5"/>
      <c r="J2152" s="5" t="e">
        <v>#N/A</v>
      </c>
      <c r="K2152" s="5"/>
      <c r="L2152" s="5" t="e">
        <v>#N/A</v>
      </c>
      <c r="M2152" s="5"/>
      <c r="N2152" s="5" t="e">
        <v>#N/A</v>
      </c>
      <c r="O2152" s="5"/>
      <c r="P2152" s="5" t="e">
        <v>#N/A</v>
      </c>
      <c r="Q2152" s="5"/>
      <c r="R2152" s="5" t="e">
        <v>#N/A</v>
      </c>
      <c r="S2152" s="5"/>
      <c r="T2152" s="5" t="e">
        <v>#N/A</v>
      </c>
      <c r="U2152" s="5"/>
      <c r="V2152" s="5" t="e">
        <v>#N/A</v>
      </c>
      <c r="W2152" s="5"/>
      <c r="X2152" s="5" t="e">
        <v>#N/A</v>
      </c>
      <c r="Y2152" s="5"/>
      <c r="Z2152" s="5" t="e">
        <v>#N/A</v>
      </c>
      <c r="AA2152" s="5"/>
      <c r="AB2152" s="5" t="s">
        <v>603</v>
      </c>
      <c r="AC2152" s="47" t="e">
        <v>#N/A</v>
      </c>
    </row>
    <row r="2153" hidden="1">
      <c r="A2153" s="222" t="str">
        <f t="array" ref="A2153:A2154">{"FormulaRow29";(INDEX(CLASSLIST,A2096,1))}</f>
        <v>FormulaRow29</v>
      </c>
      <c r="B2153" s="77" t="s">
        <v>236</v>
      </c>
      <c r="C2153" s="222" t="str">
        <f t="array" ref="C2153:C2154">{"CLASSTYPE";((INDEX(ALLCLASSDATA,MATCH("ClassType",CLASSFEATUREHEADERS,0),MATCH($A2154,CLASSNAMEHEADERS,0))))}</f>
        <v>CLASSTYPE</v>
      </c>
      <c r="D2153" s="222" t="str">
        <f t="array" ref="D2153:D2154">{"ATTACK";"Attack"}</f>
        <v>ATTACK</v>
      </c>
      <c r="E2153" s="222" t="str">
        <f t="array" ref="E2153:E2154">{"SIMPLE";"Simple"}</f>
        <v>SIMPLE</v>
      </c>
      <c r="F2153" s="223" t="str">
        <f t="array" ref="F2153:F2154">{"SIMPLEINITIAL";((IF(H2154=10,"T",(IF(H2154=50,"E","")))))}</f>
        <v>SIMPLEINITIAL</v>
      </c>
      <c r="G2153" s="223" t="str">
        <f t="array" ref="G2153:G2154">{"SIMPLEINITIALPTS";((IF("00"=(INDEX(ALLCLASSDATA,MATCH("SimpleLegendary",CLASSFEATUREHEADERS,0),MATCH($A2154,CLASSNAMEHEADERS,0))),(INDEX(ALLCLASSDATA,MATCH("SimpleLegendary",CLASSFEATUREHEADERS,0),MATCH(($A2154 &amp; "Points"),CLASSNAMEHEADERS,0))),(IF("00"=(INDEX(ALLCLASSDATA,MATCH("SimpleMaster",CLASSFEATUREHEADERS,0),MATCH($A2154,CLASSNAMEHEADERS,0))),(INDEX(ALLCLASSDATA,MATCH("SimpleMaster",CLASSFEATUREHEADERS,0),MATCH(($A2154 &amp; "Points"),CLASSNAMEHEADERS,0))),(IF("00"=(INDEX(ALLCLASSDATA,MATCH("SimpleExpert",CLASSFEATUREHEADERS,0),MATCH($A2154,CLASSNAMEHEADERS,0))),(INDEX(ALLCLASSDATA,MATCH("SimpleExpert",CLASSFEATUREHEADERS,0),MATCH(($A2154 &amp; "Points"),CLASSNAMEHEADERS,0))),(IF("00"=(INDEX(ALLCLASSDATA,MATCH("SimpleTrained",CLASSFEATUREHEADERS,0),MATCH($A2154,CLASSNAMEHEADERS,0))),(INDEX(ALLCLASSDATA,MATCH("SimpleTrained",CLASSFEATUREHEADERS,0),MATCH(($A2154 &amp; "Points"),CLASSNAMEHEADERS,0))),"")))))))))}</f>
        <v>SIMPLEINITIALPTS</v>
      </c>
      <c r="H2153" s="223" t="str">
        <f t="array" ref="H2153:H2154">{"SIMPLEL01";((IF("01"=(INDEX(ALLCLASSDATA,MATCH("SimpleLegendary",CLASSFEATUREHEADERS,0),MATCH($A2154,CLASSNAMEHEADERS,0))),(INDEX(ALLCLASSDATA,MATCH("SimpleLegendary",CLASSFEATUREHEADERS,0),MATCH(($A2154 &amp; "Points"),CLASSNAMEHEADERS,0))),(IF("01"=(INDEX(ALLCLASSDATA,MATCH("SimpleMaster",CLASSFEATUREHEADERS,0),MATCH($A2154,CLASSNAMEHEADERS,0))),(INDEX(ALLCLASSDATA,MATCH("SimpleMaster",CLASSFEATUREHEADERS,0),MATCH(($A2154 &amp; "Points"),CLASSNAMEHEADERS,0))),(IF("01"=(INDEX(ALLCLASSDATA,MATCH("SimpleExpert",CLASSFEATUREHEADERS,0),MATCH($A2154,CLASSNAMEHEADERS,0))),(INDEX(ALLCLASSDATA,MATCH("SimpleExpert",CLASSFEATUREHEADERS,0),MATCH(($A2154 &amp; "Points"),CLASSNAMEHEADERS,0))),(IF("01"=(INDEX(ALLCLASSDATA,MATCH("SimpleTrained",CLASSFEATUREHEADERS,0),MATCH($A2154,CLASSNAMEHEADERS,0))),(INDEX(ALLCLASSDATA,MATCH("SimpleTrained",CLASSFEATUREHEADERS,0),MATCH(($A2154 &amp; "Points"),CLASSNAMEHEADERS,0))),"")))))))))}</f>
        <v>SIMPLEL01</v>
      </c>
      <c r="I2153" s="223"/>
      <c r="J2153" s="223" t="str">
        <f t="array" ref="J2153:J2154">{"SIMPLEL03";((IF("03"=(INDEX(ALLCLASSDATA,MATCH("SimpleLegendary",CLASSFEATUREHEADERS,0),MATCH($A2154,CLASSNAMEHEADERS,0))),(INDEX(ALLCLASSDATA,MATCH("SimpleLegendary",CLASSFEATUREHEADERS,0),MATCH(($A2154 &amp; "Points"),CLASSNAMEHEADERS,0))),(IF("03"=(INDEX(ALLCLASSDATA,MATCH("SimpleMaster",CLASSFEATUREHEADERS,0),MATCH($A2154,CLASSNAMEHEADERS,0))),(INDEX(ALLCLASSDATA,MATCH("SimpleMaster",CLASSFEATUREHEADERS,0),MATCH(($A2154 &amp; "Points"),CLASSNAMEHEADERS,0))),(IF("03"=(INDEX(ALLCLASSDATA,MATCH("SimpleExpert",CLASSFEATUREHEADERS,0),MATCH($A2154,CLASSNAMEHEADERS,0))),(INDEX(ALLCLASSDATA,MATCH("SimpleExpert",CLASSFEATUREHEADERS,0),MATCH(($A2154 &amp; "Points"),CLASSNAMEHEADERS,0))),(IF("03"=(INDEX(ALLCLASSDATA,MATCH("SimpleTrained",CLASSFEATUREHEADERS,0),MATCH($A2154,CLASSNAMEHEADERS,0))),(INDEX(ALLCLASSDATA,MATCH("SimpleTrained",CLASSFEATUREHEADERS,0),MATCH(($A2154 &amp; "Points"),CLASSNAMEHEADERS,0))),"")))))))))}</f>
        <v>SIMPLEL03</v>
      </c>
      <c r="K2153" s="223"/>
      <c r="L2153" s="223" t="str">
        <f t="array" ref="L2153:L2154">{"SIMPLEL05";((IF("05"=(INDEX(ALLCLASSDATA,MATCH("SimpleLegendary",CLASSFEATUREHEADERS,0),MATCH($A2154,CLASSNAMEHEADERS,0))),(INDEX(ALLCLASSDATA,MATCH("SimpleLegendary",CLASSFEATUREHEADERS,0),MATCH(($A2154 &amp; "Points"),CLASSNAMEHEADERS,0))),(IF("05"=(INDEX(ALLCLASSDATA,MATCH("SimpleMaster",CLASSFEATUREHEADERS,0),MATCH($A2154,CLASSNAMEHEADERS,0))),(INDEX(ALLCLASSDATA,MATCH("SimpleMaster",CLASSFEATUREHEADERS,0),MATCH(($A2154 &amp; "Points"),CLASSNAMEHEADERS,0))),(IF("05"=(INDEX(ALLCLASSDATA,MATCH("SimpleExpert",CLASSFEATUREHEADERS,0),MATCH($A2154,CLASSNAMEHEADERS,0))),(INDEX(ALLCLASSDATA,MATCH("SimpleExpert",CLASSFEATUREHEADERS,0),MATCH(($A2154 &amp; "Points"),CLASSNAMEHEADERS,0))),(IF("05"=(INDEX(ALLCLASSDATA,MATCH("SimpleTrained",CLASSFEATUREHEADERS,0),MATCH($A2154,CLASSNAMEHEADERS,0))),(INDEX(ALLCLASSDATA,MATCH("SimpleTrained",CLASSFEATUREHEADERS,0),MATCH(($A2154 &amp; "Points"),CLASSNAMEHEADERS,0))),"")))))))))}</f>
        <v>SIMPLEL05</v>
      </c>
      <c r="M2153" s="223"/>
      <c r="N2153" s="223" t="str">
        <f t="array" ref="N2153:N2154">{"SIMPLEL07";((IF("07"=(INDEX(ALLCLASSDATA,MATCH("SimpleLegendary",CLASSFEATUREHEADERS,0),MATCH($A2154,CLASSNAMEHEADERS,0))),(INDEX(ALLCLASSDATA,MATCH("SimpleLegendary",CLASSFEATUREHEADERS,0),MATCH(($A2154 &amp; "Points"),CLASSNAMEHEADERS,0))),(IF("07"=(INDEX(ALLCLASSDATA,MATCH("SimpleMaster",CLASSFEATUREHEADERS,0),MATCH($A2154,CLASSNAMEHEADERS,0))),(INDEX(ALLCLASSDATA,MATCH("SimpleMaster",CLASSFEATUREHEADERS,0),MATCH(($A2154 &amp; "Points"),CLASSNAMEHEADERS,0))),(IF("07"=(INDEX(ALLCLASSDATA,MATCH("SimpleExpert",CLASSFEATUREHEADERS,0),MATCH($A2154,CLASSNAMEHEADERS,0))),(INDEX(ALLCLASSDATA,MATCH("SimpleExpert",CLASSFEATUREHEADERS,0),MATCH(($A2154 &amp; "Points"),CLASSNAMEHEADERS,0))),(IF("07"=(INDEX(ALLCLASSDATA,MATCH("SimpleTrained",CLASSFEATUREHEADERS,0),MATCH($A2154,CLASSNAMEHEADERS,0))),(INDEX(ALLCLASSDATA,MATCH("SimpleTrained",CLASSFEATUREHEADERS,0),MATCH(($A2154 &amp; "Points"),CLASSNAMEHEADERS,0))),"")))))))))}</f>
        <v>SIMPLEL07</v>
      </c>
      <c r="O2153" s="223"/>
      <c r="P2153" s="223" t="str">
        <f t="array" ref="P2153:P2154">{"SIMPLEL09";((IF("09"=(INDEX(ALLCLASSDATA,MATCH("SimpleLegendary",CLASSFEATUREHEADERS,0),MATCH($A2154,CLASSNAMEHEADERS,0))),(INDEX(ALLCLASSDATA,MATCH("SimpleLegendary",CLASSFEATUREHEADERS,0),MATCH(($A2154 &amp; "Points"),CLASSNAMEHEADERS,0))),(IF("09"=(INDEX(ALLCLASSDATA,MATCH("SimpleMaster",CLASSFEATUREHEADERS,0),MATCH($A2154,CLASSNAMEHEADERS,0))),(INDEX(ALLCLASSDATA,MATCH("SimpleMaster",CLASSFEATUREHEADERS,0),MATCH(($A2154 &amp; "Points"),CLASSNAMEHEADERS,0))),(IF("09"=(INDEX(ALLCLASSDATA,MATCH("SimpleExpert",CLASSFEATUREHEADERS,0),MATCH($A2154,CLASSNAMEHEADERS,0))),(INDEX(ALLCLASSDATA,MATCH("SimpleExpert",CLASSFEATUREHEADERS,0),MATCH(($A2154 &amp; "Points"),CLASSNAMEHEADERS,0))),(IF("09"=(INDEX(ALLCLASSDATA,MATCH("SimpleTrained",CLASSFEATUREHEADERS,0),MATCH($A2154,CLASSNAMEHEADERS,0))),(INDEX(ALLCLASSDATA,MATCH("SimpleTrained",CLASSFEATUREHEADERS,0),MATCH(($A2154 &amp; "Points"),CLASSNAMEHEADERS,0))),"")))))))))}</f>
        <v>SIMPLEL09</v>
      </c>
      <c r="Q2153" s="223"/>
      <c r="R2153" s="223" t="str">
        <f t="array" ref="R2153:R2154">{"SIMPLEL11";((IF("11"=(INDEX(ALLCLASSDATA,MATCH("SimpleLegendary",CLASSFEATUREHEADERS,0),MATCH($A2154,CLASSNAMEHEADERS,0))),(INDEX(ALLCLASSDATA,MATCH("SimpleLegendary",CLASSFEATUREHEADERS,0),MATCH(($A2154 &amp; "Points"),CLASSNAMEHEADERS,0))),(IF("11"=(INDEX(ALLCLASSDATA,MATCH("SimpleMaster",CLASSFEATUREHEADERS,0),MATCH($A2154,CLASSNAMEHEADERS,0))),(INDEX(ALLCLASSDATA,MATCH("SimpleMaster",CLASSFEATUREHEADERS,0),MATCH(($A2154 &amp; "Points"),CLASSNAMEHEADERS,0))),(IF("11"=(INDEX(ALLCLASSDATA,MATCH("SimpleExpert",CLASSFEATUREHEADERS,0),MATCH($A2154,CLASSNAMEHEADERS,0))),(INDEX(ALLCLASSDATA,MATCH("SimpleExpert",CLASSFEATUREHEADERS,0),MATCH(($A2154 &amp; "Points"),CLASSNAMEHEADERS,0))),(IF("11"=(INDEX(ALLCLASSDATA,MATCH("SimpleTrained",CLASSFEATUREHEADERS,0),MATCH($A2154,CLASSNAMEHEADERS,0))),(INDEX(ALLCLASSDATA,MATCH("SimpleTrained",CLASSFEATUREHEADERS,0),MATCH(($A2154 &amp; "Points"),CLASSNAMEHEADERS,0))),"")))))))))}</f>
        <v>SIMPLEL11</v>
      </c>
      <c r="S2153" s="223"/>
      <c r="T2153" s="223" t="str">
        <f t="array" ref="T2153:T2154">{"SIMPLEL13";((IF("13"=(INDEX(ALLCLASSDATA,MATCH("SimpleLegendary",CLASSFEATUREHEADERS,0),MATCH($A2154,CLASSNAMEHEADERS,0))),(INDEX(ALLCLASSDATA,MATCH("SimpleLegendary",CLASSFEATUREHEADERS,0),MATCH(($A2154 &amp; "Points"),CLASSNAMEHEADERS,0))),(IF("13"=(INDEX(ALLCLASSDATA,MATCH("SimpleMaster",CLASSFEATUREHEADERS,0),MATCH($A2154,CLASSNAMEHEADERS,0))),(INDEX(ALLCLASSDATA,MATCH("SimpleMaster",CLASSFEATUREHEADERS,0),MATCH(($A2154 &amp; "Points"),CLASSNAMEHEADERS,0))),(IF("13"=(INDEX(ALLCLASSDATA,MATCH("SimpleExpert",CLASSFEATUREHEADERS,0),MATCH($A2154,CLASSNAMEHEADERS,0))),(INDEX(ALLCLASSDATA,MATCH("SimpleExpert",CLASSFEATUREHEADERS,0),MATCH(($A2154 &amp; "Points"),CLASSNAMEHEADERS,0))),(IF("13"=(INDEX(ALLCLASSDATA,MATCH("SimpleTrained",CLASSFEATUREHEADERS,0),MATCH($A2154,CLASSNAMEHEADERS,0))),(INDEX(ALLCLASSDATA,MATCH("SimpleTrained",CLASSFEATUREHEADERS,0),MATCH(($A2154 &amp; "Points"),CLASSNAMEHEADERS,0))),"")))))))))}</f>
        <v>SIMPLEL13</v>
      </c>
      <c r="U2153" s="223"/>
      <c r="V2153" s="223" t="str">
        <f t="array" ref="V2153:V2154">{"SIMPLEL15";((IF("15"=(INDEX(ALLCLASSDATA,MATCH("SimpleLegendary",CLASSFEATUREHEADERS,0),MATCH($A2154,CLASSNAMEHEADERS,0))),(INDEX(ALLCLASSDATA,MATCH("SimpleLegendary",CLASSFEATUREHEADERS,0),MATCH(($A2154 &amp; "Points"),CLASSNAMEHEADERS,0))),(IF("15"=(INDEX(ALLCLASSDATA,MATCH("SimpleMaster",CLASSFEATUREHEADERS,0),MATCH($A2154,CLASSNAMEHEADERS,0))),(INDEX(ALLCLASSDATA,MATCH("SimpleMaster",CLASSFEATUREHEADERS,0),MATCH(($A2154 &amp; "Points"),CLASSNAMEHEADERS,0))),(IF("15"=(INDEX(ALLCLASSDATA,MATCH("SimpleExpert",CLASSFEATUREHEADERS,0),MATCH($A2154,CLASSNAMEHEADERS,0))),(INDEX(ALLCLASSDATA,MATCH("SimpleExpert",CLASSFEATUREHEADERS,0),MATCH(($A2154 &amp; "Points"),CLASSNAMEHEADERS,0))),(IF("15"=(INDEX(ALLCLASSDATA,MATCH("SimpleTrained",CLASSFEATUREHEADERS,0),MATCH($A2154,CLASSNAMEHEADERS,0))),(INDEX(ALLCLASSDATA,MATCH("SimpleTrained",CLASSFEATUREHEADERS,0),MATCH(($A2154 &amp; "Points"),CLASSNAMEHEADERS,0))),"")))))))))}</f>
        <v>SIMPLEL15</v>
      </c>
      <c r="W2153" s="223"/>
      <c r="X2153" s="223" t="str">
        <f t="array" ref="X2153:X2154">{"SIMPLEL17";((IF("17"=(INDEX(ALLCLASSDATA,MATCH("SimpleLegendary",CLASSFEATUREHEADERS,0),MATCH($A2154,CLASSNAMEHEADERS,0))),(INDEX(ALLCLASSDATA,MATCH("SimpleLegendary",CLASSFEATUREHEADERS,0),MATCH(($A2154 &amp; "Points"),CLASSNAMEHEADERS,0))),(IF("17"=(INDEX(ALLCLASSDATA,MATCH("SimpleMaster",CLASSFEATUREHEADERS,0),MATCH($A2154,CLASSNAMEHEADERS,0))),(INDEX(ALLCLASSDATA,MATCH("SimpleMaster",CLASSFEATUREHEADERS,0),MATCH(($A2154 &amp; "Points"),CLASSNAMEHEADERS,0))),(IF("17"=(INDEX(ALLCLASSDATA,MATCH("SimpleExpert",CLASSFEATUREHEADERS,0),MATCH($A2154,CLASSNAMEHEADERS,0))),(INDEX(ALLCLASSDATA,MATCH("SimpleExpert",CLASSFEATUREHEADERS,0),MATCH(($A2154 &amp; "Points"),CLASSNAMEHEADERS,0))),(IF("17"=(INDEX(ALLCLASSDATA,MATCH("SimpleTrained",CLASSFEATUREHEADERS,0),MATCH($A2154,CLASSNAMEHEADERS,0))),(INDEX(ALLCLASSDATA,MATCH("SimpleTrained",CLASSFEATUREHEADERS,0),MATCH(($A2154 &amp; "Points"),CLASSNAMEHEADERS,0))),"")))))))))}</f>
        <v>SIMPLEL17</v>
      </c>
      <c r="Y2153" s="223"/>
      <c r="Z2153" s="223" t="str">
        <f t="array" ref="Z2153:Z2154">{"SIMPLEL19";((IF("19"=(INDEX(ALLCLASSDATA,MATCH("SimpleLegendary",CLASSFEATUREHEADERS,0),MATCH($A2154,CLASSNAMEHEADERS,0))),(INDEX(ALLCLASSDATA,MATCH("SimpleLegendary",CLASSFEATUREHEADERS,0),MATCH(($A2154 &amp; "Points"),CLASSNAMEHEADERS,0))),(IF("19"=(INDEX(ALLCLASSDATA,MATCH("SimpleMaster",CLASSFEATUREHEADERS,0),MATCH($A2154,CLASSNAMEHEADERS,0))),(INDEX(ALLCLASSDATA,MATCH("SimpleMaster",CLASSFEATUREHEADERS,0),MATCH(($A2154 &amp; "Points"),CLASSNAMEHEADERS,0))),(IF("19"=(INDEX(ALLCLASSDATA,MATCH("SimpleExpert",CLASSFEATUREHEADERS,0),MATCH($A2154,CLASSNAMEHEADERS,0))),(INDEX(ALLCLASSDATA,MATCH("SimpleExpert",CLASSFEATUREHEADERS,0),MATCH(($A2154 &amp; "Points"),CLASSNAMEHEADERS,0))),(IF("19"=(INDEX(ALLCLASSDATA,MATCH("SimpleTrained",CLASSFEATUREHEADERS,0),MATCH($A2154,CLASSNAMEHEADERS,0))),(INDEX(ALLCLASSDATA,MATCH("SimpleTrained",CLASSFEATUREHEADERS,0),MATCH(($A2154 &amp; "Points"),CLASSNAMEHEADERS,0))),"")))))))))}</f>
        <v>SIMPLEL19</v>
      </c>
      <c r="AA2153" s="223"/>
      <c r="AB2153" s="76" t="str">
        <f t="array" ref="AB2153:AB2154">{"SIMPLE TOTAL";(IF(COUNTBLANK(G2154:AA2154)=17,"L",(IF(COUNTBLANK(G2154:AA2154)=18,"M",(IF(COUNTBLANK(G2154:AA2154)=19,"E",(IF(COUNTBLANK(G2154:AA2154)=20,"T",""))))))))}</f>
        <v>SIMPLE TOTAL</v>
      </c>
      <c r="AC2153" s="76" t="str">
        <f t="array" ref="AC2153:AC2154">{"SIMPLE TOTAL";(sum(G2154:AA2154))}</f>
        <v>SIMPLE TOTAL</v>
      </c>
    </row>
    <row r="2154">
      <c r="A2154" s="48" t="s">
        <v>238</v>
      </c>
      <c r="B2154" s="48"/>
      <c r="C2154" s="48" t="e">
        <v>#N/A</v>
      </c>
      <c r="D2154" s="48" t="s">
        <v>1634</v>
      </c>
      <c r="E2154" s="48" t="s">
        <v>68</v>
      </c>
      <c r="F2154" s="5" t="e">
        <v>#N/A</v>
      </c>
      <c r="G2154" s="47" t="e">
        <v>#N/A</v>
      </c>
      <c r="H2154" s="5" t="e">
        <v>#N/A</v>
      </c>
      <c r="I2154" s="5"/>
      <c r="J2154" s="5" t="e">
        <v>#N/A</v>
      </c>
      <c r="K2154" s="5"/>
      <c r="L2154" s="5" t="e">
        <v>#N/A</v>
      </c>
      <c r="M2154" s="5"/>
      <c r="N2154" s="5" t="e">
        <v>#N/A</v>
      </c>
      <c r="O2154" s="5"/>
      <c r="P2154" s="5" t="e">
        <v>#N/A</v>
      </c>
      <c r="Q2154" s="5"/>
      <c r="R2154" s="5" t="e">
        <v>#N/A</v>
      </c>
      <c r="S2154" s="5"/>
      <c r="T2154" s="5" t="e">
        <v>#N/A</v>
      </c>
      <c r="U2154" s="5"/>
      <c r="V2154" s="5" t="e">
        <v>#N/A</v>
      </c>
      <c r="W2154" s="5"/>
      <c r="X2154" s="5" t="e">
        <v>#N/A</v>
      </c>
      <c r="Y2154" s="5"/>
      <c r="Z2154" s="5" t="e">
        <v>#N/A</v>
      </c>
      <c r="AA2154" s="5"/>
      <c r="AB2154" s="5" t="s">
        <v>603</v>
      </c>
      <c r="AC2154" s="47" t="e">
        <v>#N/A</v>
      </c>
    </row>
    <row r="2155" hidden="1">
      <c r="A2155" s="222" t="str">
        <f t="array" ref="A2155:A2156">{"FormulaRow30";(INDEX(CLASSLIST,A2096,1))}</f>
        <v>FormulaRow30</v>
      </c>
      <c r="B2155" s="77" t="s">
        <v>236</v>
      </c>
      <c r="C2155" s="222" t="str">
        <f t="array" ref="C2155:C2156">{"CLASSTYPE";((INDEX(ALLCLASSDATA,MATCH("ClassType",CLASSFEATUREHEADERS,0),MATCH($A2156,CLASSNAMEHEADERS,0))))}</f>
        <v>CLASSTYPE</v>
      </c>
      <c r="D2155" s="222" t="str">
        <f t="array" ref="D2155:D2156">{"ATTACK";"Attack"}</f>
        <v>ATTACK</v>
      </c>
      <c r="E2155" s="222" t="str">
        <f t="array" ref="E2155:E2156">{"MARTIALLIMITED";"MartialLimited"}</f>
        <v>MARTIALLIMITED</v>
      </c>
      <c r="F2155" s="223" t="str">
        <f t="array" ref="F2155:F2156">{"MARTIALLIMITEDINITIAL";((IF(H2156=10,"T",(IF(H2156=50,"E","")))))}</f>
        <v>MARTIALLIMITEDINITIAL</v>
      </c>
      <c r="G2155" s="223" t="str">
        <f t="array" ref="G2155:G2156">{"MARTIALLIMITEDINITIALPTS";((IF("00"=(INDEX(ALLCLASSDATA,MATCH("MartialLimitedLegendary",CLASSFEATUREHEADERS,0),MATCH($A2156,CLASSNAMEHEADERS,0))),(INDEX(ALLCLASSDATA,MATCH("MartialLimitedLegendary",CLASSFEATUREHEADERS,0),MATCH(($A2156 &amp; "Points"),CLASSNAMEHEADERS,0))),(IF("00"=(INDEX(ALLCLASSDATA,MATCH("MartialLimitedMaster",CLASSFEATUREHEADERS,0),MATCH($A2156,CLASSNAMEHEADERS,0))),(INDEX(ALLCLASSDATA,MATCH("MartialLimitedMaster",CLASSFEATUREHEADERS,0),MATCH(($A2156 &amp; "Points"),CLASSNAMEHEADERS,0))),(IF("00"=(INDEX(ALLCLASSDATA,MATCH("MartialLimitedExpert",CLASSFEATUREHEADERS,0),MATCH($A2156,CLASSNAMEHEADERS,0))),(INDEX(ALLCLASSDATA,MATCH("MartialLimitedExpert",CLASSFEATUREHEADERS,0),MATCH(($A2156 &amp; "Points"),CLASSNAMEHEADERS,0))),(IF("00"=(INDEX(ALLCLASSDATA,MATCH("MartialLimitedTrained",CLASSFEATUREHEADERS,0),MATCH($A2156,CLASSNAMEHEADERS,0))),(INDEX(ALLCLASSDATA,MATCH("MartialLimitedTrained",CLASSFEATUREHEADERS,0),MATCH(($A2156 &amp; "Points"),CLASSNAMEHEADERS,0))),"")))))))))}</f>
        <v>MARTIALLIMITEDINITIALPTS</v>
      </c>
      <c r="H2155" s="223" t="str">
        <f t="array" ref="H2155:H2156">{"MARTIALLIMITEDL01";((IF("01"=(INDEX(ALLCLASSDATA,MATCH("MartialLimitedLegendary",CLASSFEATUREHEADERS,0),MATCH($A2156,CLASSNAMEHEADERS,0))),(INDEX(ALLCLASSDATA,MATCH("MartialLimitedLegendary",CLASSFEATUREHEADERS,0),MATCH(($A2156 &amp; "Points"),CLASSNAMEHEADERS,0))),(IF("01"=(INDEX(ALLCLASSDATA,MATCH("MartialLimitedMaster",CLASSFEATUREHEADERS,0),MATCH($A2156,CLASSNAMEHEADERS,0))),(INDEX(ALLCLASSDATA,MATCH("MartialLimitedMaster",CLASSFEATUREHEADERS,0),MATCH(($A2156 &amp; "Points"),CLASSNAMEHEADERS,0))),(IF("01"=(INDEX(ALLCLASSDATA,MATCH("MartialLimitedExpert",CLASSFEATUREHEADERS,0),MATCH($A2156,CLASSNAMEHEADERS,0))),(INDEX(ALLCLASSDATA,MATCH("MartialLimitedExpert",CLASSFEATUREHEADERS,0),MATCH(($A2156 &amp; "Points"),CLASSNAMEHEADERS,0))),(IF("01"=(INDEX(ALLCLASSDATA,MATCH("MartialLimitedTrained",CLASSFEATUREHEADERS,0),MATCH($A2156,CLASSNAMEHEADERS,0))),(INDEX(ALLCLASSDATA,MATCH("MartialLimitedTrained",CLASSFEATUREHEADERS,0),MATCH(($A2156 &amp; "Points"),CLASSNAMEHEADERS,0))),"")))))))))}</f>
        <v>MARTIALLIMITEDL01</v>
      </c>
      <c r="I2155" s="223"/>
      <c r="J2155" s="223" t="str">
        <f t="array" ref="J2155:J2156">{"MARTIALLIMITEDL03";((IF("03"=(INDEX(ALLCLASSDATA,MATCH("MartialLimitedLegendary",CLASSFEATUREHEADERS,0),MATCH($A2156,CLASSNAMEHEADERS,0))),(INDEX(ALLCLASSDATA,MATCH("MartialLimitedLegendary",CLASSFEATUREHEADERS,0),MATCH(($A2156 &amp; "Points"),CLASSNAMEHEADERS,0))),(IF("03"=(INDEX(ALLCLASSDATA,MATCH("MartialLimitedMaster",CLASSFEATUREHEADERS,0),MATCH($A2156,CLASSNAMEHEADERS,0))),(INDEX(ALLCLASSDATA,MATCH("MartialLimitedMaster",CLASSFEATUREHEADERS,0),MATCH(($A2156 &amp; "Points"),CLASSNAMEHEADERS,0))),(IF("03"=(INDEX(ALLCLASSDATA,MATCH("MartialLimitedExpert",CLASSFEATUREHEADERS,0),MATCH($A2156,CLASSNAMEHEADERS,0))),(INDEX(ALLCLASSDATA,MATCH("MartialLimitedExpert",CLASSFEATUREHEADERS,0),MATCH(($A2156 &amp; "Points"),CLASSNAMEHEADERS,0))),(IF("03"=(INDEX(ALLCLASSDATA,MATCH("MartialLimitedTrained",CLASSFEATUREHEADERS,0),MATCH($A2156,CLASSNAMEHEADERS,0))),(INDEX(ALLCLASSDATA,MATCH("MartialLimitedTrained",CLASSFEATUREHEADERS,0),MATCH(($A2156 &amp; "Points"),CLASSNAMEHEADERS,0))),"")))))))))}</f>
        <v>MARTIALLIMITEDL03</v>
      </c>
      <c r="K2155" s="223"/>
      <c r="L2155" s="223" t="str">
        <f t="array" ref="L2155:L2156">{"MARTIALLIMITEDL05";((IF("05"=(INDEX(ALLCLASSDATA,MATCH("MartialLimitedLegendary",CLASSFEATUREHEADERS,0),MATCH($A2156,CLASSNAMEHEADERS,0))),(INDEX(ALLCLASSDATA,MATCH("MartialLimitedLegendary",CLASSFEATUREHEADERS,0),MATCH(($A2156 &amp; "Points"),CLASSNAMEHEADERS,0))),(IF("05"=(INDEX(ALLCLASSDATA,MATCH("MartialLimitedMaster",CLASSFEATUREHEADERS,0),MATCH($A2156,CLASSNAMEHEADERS,0))),(INDEX(ALLCLASSDATA,MATCH("MartialLimitedMaster",CLASSFEATUREHEADERS,0),MATCH(($A2156 &amp; "Points"),CLASSNAMEHEADERS,0))),(IF("05"=(INDEX(ALLCLASSDATA,MATCH("MartialLimitedExpert",CLASSFEATUREHEADERS,0),MATCH($A2156,CLASSNAMEHEADERS,0))),(INDEX(ALLCLASSDATA,MATCH("MartialLimitedExpert",CLASSFEATUREHEADERS,0),MATCH(($A2156 &amp; "Points"),CLASSNAMEHEADERS,0))),(IF("05"=(INDEX(ALLCLASSDATA,MATCH("MartialLimitedTrained",CLASSFEATUREHEADERS,0),MATCH($A2156,CLASSNAMEHEADERS,0))),(INDEX(ALLCLASSDATA,MATCH("MartialLimitedTrained",CLASSFEATUREHEADERS,0),MATCH(($A2156 &amp; "Points"),CLASSNAMEHEADERS,0))),"")))))))))}</f>
        <v>MARTIALLIMITEDL05</v>
      </c>
      <c r="M2155" s="223"/>
      <c r="N2155" s="223" t="str">
        <f t="array" ref="N2155:N2156">{"MARTIALLIMITEDL07";((IF("07"=(INDEX(ALLCLASSDATA,MATCH("MartialLimitedLegendary",CLASSFEATUREHEADERS,0),MATCH($A2156,CLASSNAMEHEADERS,0))),(INDEX(ALLCLASSDATA,MATCH("MartialLimitedLegendary",CLASSFEATUREHEADERS,0),MATCH(($A2156 &amp; "Points"),CLASSNAMEHEADERS,0))),(IF("07"=(INDEX(ALLCLASSDATA,MATCH("MartialLimitedMaster",CLASSFEATUREHEADERS,0),MATCH($A2156,CLASSNAMEHEADERS,0))),(INDEX(ALLCLASSDATA,MATCH("MartialLimitedMaster",CLASSFEATUREHEADERS,0),MATCH(($A2156 &amp; "Points"),CLASSNAMEHEADERS,0))),(IF("07"=(INDEX(ALLCLASSDATA,MATCH("MartialLimitedExpert",CLASSFEATUREHEADERS,0),MATCH($A2156,CLASSNAMEHEADERS,0))),(INDEX(ALLCLASSDATA,MATCH("MartialLimitedExpert",CLASSFEATUREHEADERS,0),MATCH(($A2156 &amp; "Points"),CLASSNAMEHEADERS,0))),(IF("07"=(INDEX(ALLCLASSDATA,MATCH("MartialLimitedTrained",CLASSFEATUREHEADERS,0),MATCH($A2156,CLASSNAMEHEADERS,0))),(INDEX(ALLCLASSDATA,MATCH("MartialLimitedTrained",CLASSFEATUREHEADERS,0),MATCH(($A2156 &amp; "Points"),CLASSNAMEHEADERS,0))),"")))))))))}</f>
        <v>MARTIALLIMITEDL07</v>
      </c>
      <c r="O2155" s="223"/>
      <c r="P2155" s="223" t="str">
        <f t="array" ref="P2155:P2156">{"MARTIALLIMITEDL09";((IF("09"=(INDEX(ALLCLASSDATA,MATCH("MartialLimitedLegendary",CLASSFEATUREHEADERS,0),MATCH($A2156,CLASSNAMEHEADERS,0))),(INDEX(ALLCLASSDATA,MATCH("MartialLimitedLegendary",CLASSFEATUREHEADERS,0),MATCH(($A2156 &amp; "Points"),CLASSNAMEHEADERS,0))),(IF("09"=(INDEX(ALLCLASSDATA,MATCH("MartialLimitedMaster",CLASSFEATUREHEADERS,0),MATCH($A2156,CLASSNAMEHEADERS,0))),(INDEX(ALLCLASSDATA,MATCH("MartialLimitedMaster",CLASSFEATUREHEADERS,0),MATCH(($A2156 &amp; "Points"),CLASSNAMEHEADERS,0))),(IF("09"=(INDEX(ALLCLASSDATA,MATCH("MartialLimitedExpert",CLASSFEATUREHEADERS,0),MATCH($A2156,CLASSNAMEHEADERS,0))),(INDEX(ALLCLASSDATA,MATCH("MartialLimitedExpert",CLASSFEATUREHEADERS,0),MATCH(($A2156 &amp; "Points"),CLASSNAMEHEADERS,0))),(IF("09"=(INDEX(ALLCLASSDATA,MATCH("MartialLimitedTrained",CLASSFEATUREHEADERS,0),MATCH($A2156,CLASSNAMEHEADERS,0))),(INDEX(ALLCLASSDATA,MATCH("MartialLimitedTrained",CLASSFEATUREHEADERS,0),MATCH(($A2156 &amp; "Points"),CLASSNAMEHEADERS,0))),"")))))))))}</f>
        <v>MARTIALLIMITEDL09</v>
      </c>
      <c r="Q2155" s="223"/>
      <c r="R2155" s="223" t="str">
        <f t="array" ref="R2155:R2156">{"MARTIALLIMITEDL11";((IF("11"=(INDEX(ALLCLASSDATA,MATCH("MartialLimitedLegendary",CLASSFEATUREHEADERS,0),MATCH($A2156,CLASSNAMEHEADERS,0))),(INDEX(ALLCLASSDATA,MATCH("MartialLimitedLegendary",CLASSFEATUREHEADERS,0),MATCH(($A2156 &amp; "Points"),CLASSNAMEHEADERS,0))),(IF("11"=(INDEX(ALLCLASSDATA,MATCH("MartialLimitedMaster",CLASSFEATUREHEADERS,0),MATCH($A2156,CLASSNAMEHEADERS,0))),(INDEX(ALLCLASSDATA,MATCH("MartialLimitedMaster",CLASSFEATUREHEADERS,0),MATCH(($A2156 &amp; "Points"),CLASSNAMEHEADERS,0))),(IF("11"=(INDEX(ALLCLASSDATA,MATCH("MartialLimitedExpert",CLASSFEATUREHEADERS,0),MATCH($A2156,CLASSNAMEHEADERS,0))),(INDEX(ALLCLASSDATA,MATCH("MartialLimitedExpert",CLASSFEATUREHEADERS,0),MATCH(($A2156 &amp; "Points"),CLASSNAMEHEADERS,0))),(IF("11"=(INDEX(ALLCLASSDATA,MATCH("MartialLimitedTrained",CLASSFEATUREHEADERS,0),MATCH($A2156,CLASSNAMEHEADERS,0))),(INDEX(ALLCLASSDATA,MATCH("MartialLimitedTrained",CLASSFEATUREHEADERS,0),MATCH(($A2156 &amp; "Points"),CLASSNAMEHEADERS,0))),"")))))))))}</f>
        <v>MARTIALLIMITEDL11</v>
      </c>
      <c r="S2155" s="223"/>
      <c r="T2155" s="223" t="str">
        <f t="array" ref="T2155:T2156">{"MARTIALLIMITEDL13";((IF("13"=(INDEX(ALLCLASSDATA,MATCH("MartialLimitedLegendary",CLASSFEATUREHEADERS,0),MATCH($A2156,CLASSNAMEHEADERS,0))),(INDEX(ALLCLASSDATA,MATCH("MartialLimitedLegendary",CLASSFEATUREHEADERS,0),MATCH(($A2156 &amp; "Points"),CLASSNAMEHEADERS,0))),(IF("13"=(INDEX(ALLCLASSDATA,MATCH("MartialLimitedMaster",CLASSFEATUREHEADERS,0),MATCH($A2156,CLASSNAMEHEADERS,0))),(INDEX(ALLCLASSDATA,MATCH("MartialLimitedMaster",CLASSFEATUREHEADERS,0),MATCH(($A2156 &amp; "Points"),CLASSNAMEHEADERS,0))),(IF("13"=(INDEX(ALLCLASSDATA,MATCH("MartialLimitedExpert",CLASSFEATUREHEADERS,0),MATCH($A2156,CLASSNAMEHEADERS,0))),(INDEX(ALLCLASSDATA,MATCH("MartialLimitedExpert",CLASSFEATUREHEADERS,0),MATCH(($A2156 &amp; "Points"),CLASSNAMEHEADERS,0))),(IF("13"=(INDEX(ALLCLASSDATA,MATCH("MartialLimitedTrained",CLASSFEATUREHEADERS,0),MATCH($A2156,CLASSNAMEHEADERS,0))),(INDEX(ALLCLASSDATA,MATCH("MartialLimitedTrained",CLASSFEATUREHEADERS,0),MATCH(($A2156 &amp; "Points"),CLASSNAMEHEADERS,0))),"")))))))))}</f>
        <v>MARTIALLIMITEDL13</v>
      </c>
      <c r="U2155" s="223"/>
      <c r="V2155" s="223" t="str">
        <f t="array" ref="V2155:V2156">{"MARTIALLIMITEDL15";((IF("15"=(INDEX(ALLCLASSDATA,MATCH("MartialLimitedLegendary",CLASSFEATUREHEADERS,0),MATCH($A2156,CLASSNAMEHEADERS,0))),(INDEX(ALLCLASSDATA,MATCH("MartialLimitedLegendary",CLASSFEATUREHEADERS,0),MATCH(($A2156 &amp; "Points"),CLASSNAMEHEADERS,0))),(IF("15"=(INDEX(ALLCLASSDATA,MATCH("MartialLimitedMaster",CLASSFEATUREHEADERS,0),MATCH($A2156,CLASSNAMEHEADERS,0))),(INDEX(ALLCLASSDATA,MATCH("MartialLimitedMaster",CLASSFEATUREHEADERS,0),MATCH(($A2156 &amp; "Points"),CLASSNAMEHEADERS,0))),(IF("15"=(INDEX(ALLCLASSDATA,MATCH("MartialLimitedExpert",CLASSFEATUREHEADERS,0),MATCH($A2156,CLASSNAMEHEADERS,0))),(INDEX(ALLCLASSDATA,MATCH("MartialLimitedExpert",CLASSFEATUREHEADERS,0),MATCH(($A2156 &amp; "Points"),CLASSNAMEHEADERS,0))),(IF("15"=(INDEX(ALLCLASSDATA,MATCH("MartialLimitedTrained",CLASSFEATUREHEADERS,0),MATCH($A2156,CLASSNAMEHEADERS,0))),(INDEX(ALLCLASSDATA,MATCH("MartialLimitedTrained",CLASSFEATUREHEADERS,0),MATCH(($A2156 &amp; "Points"),CLASSNAMEHEADERS,0))),"")))))))))}</f>
        <v>MARTIALLIMITEDL15</v>
      </c>
      <c r="W2155" s="223"/>
      <c r="X2155" s="223" t="str">
        <f t="array" ref="X2155:X2156">{"MARTIALLIMITEDL17";((IF("17"=(INDEX(ALLCLASSDATA,MATCH("MartialLimitedLegendary",CLASSFEATUREHEADERS,0),MATCH($A2156,CLASSNAMEHEADERS,0))),(INDEX(ALLCLASSDATA,MATCH("MartialLimitedLegendary",CLASSFEATUREHEADERS,0),MATCH(($A2156 &amp; "Points"),CLASSNAMEHEADERS,0))),(IF("17"=(INDEX(ALLCLASSDATA,MATCH("MartialLimitedMaster",CLASSFEATUREHEADERS,0),MATCH($A2156,CLASSNAMEHEADERS,0))),(INDEX(ALLCLASSDATA,MATCH("MartialLimitedMaster",CLASSFEATUREHEADERS,0),MATCH(($A2156 &amp; "Points"),CLASSNAMEHEADERS,0))),(IF("17"=(INDEX(ALLCLASSDATA,MATCH("MartialLimitedExpert",CLASSFEATUREHEADERS,0),MATCH($A2156,CLASSNAMEHEADERS,0))),(INDEX(ALLCLASSDATA,MATCH("MartialLimitedExpert",CLASSFEATUREHEADERS,0),MATCH(($A2156 &amp; "Points"),CLASSNAMEHEADERS,0))),(IF("17"=(INDEX(ALLCLASSDATA,MATCH("MartialLimitedTrained",CLASSFEATUREHEADERS,0),MATCH($A2156,CLASSNAMEHEADERS,0))),(INDEX(ALLCLASSDATA,MATCH("MartialLimitedTrained",CLASSFEATUREHEADERS,0),MATCH(($A2156 &amp; "Points"),CLASSNAMEHEADERS,0))),"")))))))))}</f>
        <v>MARTIALLIMITEDL17</v>
      </c>
      <c r="Y2155" s="223"/>
      <c r="Z2155" s="223" t="str">
        <f t="array" ref="Z2155:Z2156">{"MARTIALLIMITEDL19";((IF("19"=(INDEX(ALLCLASSDATA,MATCH("MartialLimitedLegendary",CLASSFEATUREHEADERS,0),MATCH($A2156,CLASSNAMEHEADERS,0))),(INDEX(ALLCLASSDATA,MATCH("MartialLimitedLegendary",CLASSFEATUREHEADERS,0),MATCH(($A2156 &amp; "Points"),CLASSNAMEHEADERS,0))),(IF("19"=(INDEX(ALLCLASSDATA,MATCH("MartialLimitedMaster",CLASSFEATUREHEADERS,0),MATCH($A2156,CLASSNAMEHEADERS,0))),(INDEX(ALLCLASSDATA,MATCH("MartialLimitedMaster",CLASSFEATUREHEADERS,0),MATCH(($A2156 &amp; "Points"),CLASSNAMEHEADERS,0))),(IF("19"=(INDEX(ALLCLASSDATA,MATCH("MartialLimitedExpert",CLASSFEATUREHEADERS,0),MATCH($A2156,CLASSNAMEHEADERS,0))),(INDEX(ALLCLASSDATA,MATCH("MartialLimitedExpert",CLASSFEATUREHEADERS,0),MATCH(($A2156 &amp; "Points"),CLASSNAMEHEADERS,0))),(IF("19"=(INDEX(ALLCLASSDATA,MATCH("MartialLimitedTrained",CLASSFEATUREHEADERS,0),MATCH($A2156,CLASSNAMEHEADERS,0))),(INDEX(ALLCLASSDATA,MATCH("MartialLimitedTrained",CLASSFEATUREHEADERS,0),MATCH(($A2156 &amp; "Points"),CLASSNAMEHEADERS,0))),"")))))))))}</f>
        <v>MARTIALLIMITEDL19</v>
      </c>
      <c r="AA2155" s="223"/>
      <c r="AB2155" s="76" t="str">
        <f t="array" ref="AB2155:AB2156">{"MARTIALLIMITED TOTAL";(IF(COUNTBLANK(G2156:AA2156)=17,"L",(IF(COUNTBLANK(G2156:AA2156)=18,"M",(IF(COUNTBLANK(G2156:AA2156)=19,"E",(IF(COUNTBLANK(G2156:AA2156)=20,"T",""))))))))}</f>
        <v>MARTIALLIMITED TOTAL</v>
      </c>
      <c r="AC2155" s="76" t="str">
        <f t="array" ref="AC2155:AC2156">{"MARTIALLIMITED TOTAL";(sum(G2156:AA2156))}</f>
        <v>MARTIALLIMITED TOTAL</v>
      </c>
    </row>
    <row r="2156">
      <c r="A2156" s="48" t="s">
        <v>238</v>
      </c>
      <c r="B2156" s="48"/>
      <c r="C2156" s="48" t="e">
        <v>#N/A</v>
      </c>
      <c r="D2156" s="48" t="s">
        <v>1634</v>
      </c>
      <c r="E2156" s="48" t="s">
        <v>600</v>
      </c>
      <c r="F2156" s="5" t="e">
        <v>#N/A</v>
      </c>
      <c r="G2156" s="47" t="e">
        <v>#N/A</v>
      </c>
      <c r="H2156" s="5" t="e">
        <v>#N/A</v>
      </c>
      <c r="I2156" s="5"/>
      <c r="J2156" s="5" t="e">
        <v>#N/A</v>
      </c>
      <c r="K2156" s="5"/>
      <c r="L2156" s="5" t="e">
        <v>#N/A</v>
      </c>
      <c r="M2156" s="5"/>
      <c r="N2156" s="5" t="e">
        <v>#N/A</v>
      </c>
      <c r="O2156" s="5"/>
      <c r="P2156" s="5" t="e">
        <v>#N/A</v>
      </c>
      <c r="Q2156" s="5"/>
      <c r="R2156" s="5" t="e">
        <v>#N/A</v>
      </c>
      <c r="S2156" s="5"/>
      <c r="T2156" s="5" t="e">
        <v>#N/A</v>
      </c>
      <c r="U2156" s="5"/>
      <c r="V2156" s="5" t="e">
        <v>#N/A</v>
      </c>
      <c r="W2156" s="5"/>
      <c r="X2156" s="5" t="e">
        <v>#N/A</v>
      </c>
      <c r="Y2156" s="5"/>
      <c r="Z2156" s="5" t="e">
        <v>#N/A</v>
      </c>
      <c r="AA2156" s="5"/>
      <c r="AB2156" s="5" t="s">
        <v>603</v>
      </c>
      <c r="AC2156" s="47" t="e">
        <v>#N/A</v>
      </c>
    </row>
    <row r="2157" hidden="1">
      <c r="A2157" s="222" t="str">
        <f t="array" ref="A2157:A2158">{"FormulaRow31";(INDEX(CLASSLIST,A2096,1))}</f>
        <v>FormulaRow31</v>
      </c>
      <c r="B2157" s="77" t="s">
        <v>236</v>
      </c>
      <c r="C2157" s="222" t="str">
        <f t="array" ref="C2157:C2158">{"CLASSTYPE";((INDEX(ALLCLASSDATA,MATCH("ClassType",CLASSFEATUREHEADERS,0),MATCH($A2158,CLASSNAMEHEADERS,0))))}</f>
        <v>CLASSTYPE</v>
      </c>
      <c r="D2157" s="222" t="str">
        <f t="array" ref="D2157:D2158">{"ATTACK";"Attack"}</f>
        <v>ATTACK</v>
      </c>
      <c r="E2157" s="222" t="str">
        <f t="array" ref="E2157:E2158">{"MARTIAL";"Martial"}</f>
        <v>MARTIAL</v>
      </c>
      <c r="F2157" s="223" t="str">
        <f t="array" ref="F2157:F2158">{"MARTIALINITIAL";((IF(H2158=10,"T",(IF(H2158=50,"E","")))))}</f>
        <v>MARTIALINITIAL</v>
      </c>
      <c r="G2157" s="223" t="str">
        <f t="array" ref="G2157:G2158">{"MARTIALINITIALPTS";((IF("00"=(INDEX(ALLCLASSDATA,MATCH("MartialLegendary",CLASSFEATUREHEADERS,0),MATCH($A2158,CLASSNAMEHEADERS,0))),(INDEX(ALLCLASSDATA,MATCH("MartialLegendary",CLASSFEATUREHEADERS,0),MATCH(($A2158 &amp; "Points"),CLASSNAMEHEADERS,0))),(IF("00"=(INDEX(ALLCLASSDATA,MATCH("MartialMaster",CLASSFEATUREHEADERS,0),MATCH($A2158,CLASSNAMEHEADERS,0))),(INDEX(ALLCLASSDATA,MATCH("MartialMaster",CLASSFEATUREHEADERS,0),MATCH(($A2158 &amp; "Points"),CLASSNAMEHEADERS,0))),(IF("00"=(INDEX(ALLCLASSDATA,MATCH("MartialExpert",CLASSFEATUREHEADERS,0),MATCH($A2158,CLASSNAMEHEADERS,0))),(INDEX(ALLCLASSDATA,MATCH("MartialExpert",CLASSFEATUREHEADERS,0),MATCH(($A2158 &amp; "Points"),CLASSNAMEHEADERS,0))),(IF("00"=(INDEX(ALLCLASSDATA,MATCH("MartialTrained",CLASSFEATUREHEADERS,0),MATCH($A2158,CLASSNAMEHEADERS,0))),(INDEX(ALLCLASSDATA,MATCH("MartialTrained",CLASSFEATUREHEADERS,0),MATCH(($A2158 &amp; "Points"),CLASSNAMEHEADERS,0))),"")))))))))}</f>
        <v>MARTIALINITIALPTS</v>
      </c>
      <c r="H2157" s="223" t="str">
        <f t="array" ref="H2157:H2158">{"MARTIALL01";((IF("01"=(INDEX(ALLCLASSDATA,MATCH("MartialLegendary",CLASSFEATUREHEADERS,0),MATCH($A2158,CLASSNAMEHEADERS,0))),(INDEX(ALLCLASSDATA,MATCH("MartialLegendary",CLASSFEATUREHEADERS,0),MATCH(($A2158 &amp; "Points"),CLASSNAMEHEADERS,0))),(IF("01"=(INDEX(ALLCLASSDATA,MATCH("MartialMaster",CLASSFEATUREHEADERS,0),MATCH($A2158,CLASSNAMEHEADERS,0))),(INDEX(ALLCLASSDATA,MATCH("MartialMaster",CLASSFEATUREHEADERS,0),MATCH(($A2158 &amp; "Points"),CLASSNAMEHEADERS,0))),(IF("01"=(INDEX(ALLCLASSDATA,MATCH("MartialExpert",CLASSFEATUREHEADERS,0),MATCH($A2158,CLASSNAMEHEADERS,0))),(INDEX(ALLCLASSDATA,MATCH("MartialExpert",CLASSFEATUREHEADERS,0),MATCH(($A2158 &amp; "Points"),CLASSNAMEHEADERS,0))),(IF("01"=(INDEX(ALLCLASSDATA,MATCH("MartialTrained",CLASSFEATUREHEADERS,0),MATCH($A2158,CLASSNAMEHEADERS,0))),(INDEX(ALLCLASSDATA,MATCH("MartialTrained",CLASSFEATUREHEADERS,0),MATCH(($A2158 &amp; "Points"),CLASSNAMEHEADERS,0))),"")))))))))}</f>
        <v>MARTIALL01</v>
      </c>
      <c r="I2157" s="223"/>
      <c r="J2157" s="223" t="str">
        <f t="array" ref="J2157:J2158">{"MARTIALL03";((IF("03"=(INDEX(ALLCLASSDATA,MATCH("MartialLegendary",CLASSFEATUREHEADERS,0),MATCH($A2158,CLASSNAMEHEADERS,0))),(INDEX(ALLCLASSDATA,MATCH("MartialLegendary",CLASSFEATUREHEADERS,0),MATCH(($A2158 &amp; "Points"),CLASSNAMEHEADERS,0))),(IF("03"=(INDEX(ALLCLASSDATA,MATCH("MartialMaster",CLASSFEATUREHEADERS,0),MATCH($A2158,CLASSNAMEHEADERS,0))),(INDEX(ALLCLASSDATA,MATCH("MartialMaster",CLASSFEATUREHEADERS,0),MATCH(($A2158 &amp; "Points"),CLASSNAMEHEADERS,0))),(IF("03"=(INDEX(ALLCLASSDATA,MATCH("MartialExpert",CLASSFEATUREHEADERS,0),MATCH($A2158,CLASSNAMEHEADERS,0))),(INDEX(ALLCLASSDATA,MATCH("MartialExpert",CLASSFEATUREHEADERS,0),MATCH(($A2158 &amp; "Points"),CLASSNAMEHEADERS,0))),(IF("03"=(INDEX(ALLCLASSDATA,MATCH("MartialTrained",CLASSFEATUREHEADERS,0),MATCH($A2158,CLASSNAMEHEADERS,0))),(INDEX(ALLCLASSDATA,MATCH("MartialTrained",CLASSFEATUREHEADERS,0),MATCH(($A2158 &amp; "Points"),CLASSNAMEHEADERS,0))),"")))))))))}</f>
        <v>MARTIALL03</v>
      </c>
      <c r="K2157" s="223"/>
      <c r="L2157" s="223" t="str">
        <f t="array" ref="L2157:L2158">{"MARTIALL05";((IF("05"=(INDEX(ALLCLASSDATA,MATCH("MartialLegendary",CLASSFEATUREHEADERS,0),MATCH($A2158,CLASSNAMEHEADERS,0))),(INDEX(ALLCLASSDATA,MATCH("MartialLegendary",CLASSFEATUREHEADERS,0),MATCH(($A2158 &amp; "Points"),CLASSNAMEHEADERS,0))),(IF("05"=(INDEX(ALLCLASSDATA,MATCH("MartialMaster",CLASSFEATUREHEADERS,0),MATCH($A2158,CLASSNAMEHEADERS,0))),(INDEX(ALLCLASSDATA,MATCH("MartialMaster",CLASSFEATUREHEADERS,0),MATCH(($A2158 &amp; "Points"),CLASSNAMEHEADERS,0))),(IF("05"=(INDEX(ALLCLASSDATA,MATCH("MartialExpert",CLASSFEATUREHEADERS,0),MATCH($A2158,CLASSNAMEHEADERS,0))),(INDEX(ALLCLASSDATA,MATCH("MartialExpert",CLASSFEATUREHEADERS,0),MATCH(($A2158 &amp; "Points"),CLASSNAMEHEADERS,0))),(IF("05"=(INDEX(ALLCLASSDATA,MATCH("MartialTrained",CLASSFEATUREHEADERS,0),MATCH($A2158,CLASSNAMEHEADERS,0))),(INDEX(ALLCLASSDATA,MATCH("MartialTrained",CLASSFEATUREHEADERS,0),MATCH(($A2158 &amp; "Points"),CLASSNAMEHEADERS,0))),"")))))))))}</f>
        <v>MARTIALL05</v>
      </c>
      <c r="M2157" s="223"/>
      <c r="N2157" s="223" t="str">
        <f t="array" ref="N2157:N2158">{"MARTIALL07";((IF("07"=(INDEX(ALLCLASSDATA,MATCH("MartialLegendary",CLASSFEATUREHEADERS,0),MATCH($A2158,CLASSNAMEHEADERS,0))),(INDEX(ALLCLASSDATA,MATCH("MartialLegendary",CLASSFEATUREHEADERS,0),MATCH(($A2158 &amp; "Points"),CLASSNAMEHEADERS,0))),(IF("07"=(INDEX(ALLCLASSDATA,MATCH("MartialMaster",CLASSFEATUREHEADERS,0),MATCH($A2158,CLASSNAMEHEADERS,0))),(INDEX(ALLCLASSDATA,MATCH("MartialMaster",CLASSFEATUREHEADERS,0),MATCH(($A2158 &amp; "Points"),CLASSNAMEHEADERS,0))),(IF("07"=(INDEX(ALLCLASSDATA,MATCH("MartialExpert",CLASSFEATUREHEADERS,0),MATCH($A2158,CLASSNAMEHEADERS,0))),(INDEX(ALLCLASSDATA,MATCH("MartialExpert",CLASSFEATUREHEADERS,0),MATCH(($A2158 &amp; "Points"),CLASSNAMEHEADERS,0))),(IF("07"=(INDEX(ALLCLASSDATA,MATCH("MartialTrained",CLASSFEATUREHEADERS,0),MATCH($A2158,CLASSNAMEHEADERS,0))),(INDEX(ALLCLASSDATA,MATCH("MartialTrained",CLASSFEATUREHEADERS,0),MATCH(($A2158 &amp; "Points"),CLASSNAMEHEADERS,0))),"")))))))))}</f>
        <v>MARTIALL07</v>
      </c>
      <c r="O2157" s="223"/>
      <c r="P2157" s="223" t="str">
        <f t="array" ref="P2157:P2158">{"MARTIALL09";((IF("09"=(INDEX(ALLCLASSDATA,MATCH("MartialLegendary",CLASSFEATUREHEADERS,0),MATCH($A2158,CLASSNAMEHEADERS,0))),(INDEX(ALLCLASSDATA,MATCH("MartialLegendary",CLASSFEATUREHEADERS,0),MATCH(($A2158 &amp; "Points"),CLASSNAMEHEADERS,0))),(IF("09"=(INDEX(ALLCLASSDATA,MATCH("MartialMaster",CLASSFEATUREHEADERS,0),MATCH($A2158,CLASSNAMEHEADERS,0))),(INDEX(ALLCLASSDATA,MATCH("MartialMaster",CLASSFEATUREHEADERS,0),MATCH(($A2158 &amp; "Points"),CLASSNAMEHEADERS,0))),(IF("09"=(INDEX(ALLCLASSDATA,MATCH("MartialExpert",CLASSFEATUREHEADERS,0),MATCH($A2158,CLASSNAMEHEADERS,0))),(INDEX(ALLCLASSDATA,MATCH("MartialExpert",CLASSFEATUREHEADERS,0),MATCH(($A2158 &amp; "Points"),CLASSNAMEHEADERS,0))),(IF("09"=(INDEX(ALLCLASSDATA,MATCH("MartialTrained",CLASSFEATUREHEADERS,0),MATCH($A2158,CLASSNAMEHEADERS,0))),(INDEX(ALLCLASSDATA,MATCH("MartialTrained",CLASSFEATUREHEADERS,0),MATCH(($A2158 &amp; "Points"),CLASSNAMEHEADERS,0))),"")))))))))}</f>
        <v>MARTIALL09</v>
      </c>
      <c r="Q2157" s="223"/>
      <c r="R2157" s="223" t="str">
        <f t="array" ref="R2157:R2158">{"MARTIALL11";((IF("11"=(INDEX(ALLCLASSDATA,MATCH("MartialLegendary",CLASSFEATUREHEADERS,0),MATCH($A2158,CLASSNAMEHEADERS,0))),(INDEX(ALLCLASSDATA,MATCH("MartialLegendary",CLASSFEATUREHEADERS,0),MATCH(($A2158 &amp; "Points"),CLASSNAMEHEADERS,0))),(IF("11"=(INDEX(ALLCLASSDATA,MATCH("MartialMaster",CLASSFEATUREHEADERS,0),MATCH($A2158,CLASSNAMEHEADERS,0))),(INDEX(ALLCLASSDATA,MATCH("MartialMaster",CLASSFEATUREHEADERS,0),MATCH(($A2158 &amp; "Points"),CLASSNAMEHEADERS,0))),(IF("11"=(INDEX(ALLCLASSDATA,MATCH("MartialExpert",CLASSFEATUREHEADERS,0),MATCH($A2158,CLASSNAMEHEADERS,0))),(INDEX(ALLCLASSDATA,MATCH("MartialExpert",CLASSFEATUREHEADERS,0),MATCH(($A2158 &amp; "Points"),CLASSNAMEHEADERS,0))),(IF("11"=(INDEX(ALLCLASSDATA,MATCH("MartialTrained",CLASSFEATUREHEADERS,0),MATCH($A2158,CLASSNAMEHEADERS,0))),(INDEX(ALLCLASSDATA,MATCH("MartialTrained",CLASSFEATUREHEADERS,0),MATCH(($A2158 &amp; "Points"),CLASSNAMEHEADERS,0))),"")))))))))}</f>
        <v>MARTIALL11</v>
      </c>
      <c r="S2157" s="223"/>
      <c r="T2157" s="223" t="str">
        <f t="array" ref="T2157:T2158">{"MARTIALL13";((IF("13"=(INDEX(ALLCLASSDATA,MATCH("MartialLegendary",CLASSFEATUREHEADERS,0),MATCH($A2158,CLASSNAMEHEADERS,0))),(INDEX(ALLCLASSDATA,MATCH("MartialLegendary",CLASSFEATUREHEADERS,0),MATCH(($A2158 &amp; "Points"),CLASSNAMEHEADERS,0))),(IF("13"=(INDEX(ALLCLASSDATA,MATCH("MartialMaster",CLASSFEATUREHEADERS,0),MATCH($A2158,CLASSNAMEHEADERS,0))),(INDEX(ALLCLASSDATA,MATCH("MartialMaster",CLASSFEATUREHEADERS,0),MATCH(($A2158 &amp; "Points"),CLASSNAMEHEADERS,0))),(IF("13"=(INDEX(ALLCLASSDATA,MATCH("MartialExpert",CLASSFEATUREHEADERS,0),MATCH($A2158,CLASSNAMEHEADERS,0))),(INDEX(ALLCLASSDATA,MATCH("MartialExpert",CLASSFEATUREHEADERS,0),MATCH(($A2158 &amp; "Points"),CLASSNAMEHEADERS,0))),(IF("13"=(INDEX(ALLCLASSDATA,MATCH("MartialTrained",CLASSFEATUREHEADERS,0),MATCH($A2158,CLASSNAMEHEADERS,0))),(INDEX(ALLCLASSDATA,MATCH("MartialTrained",CLASSFEATUREHEADERS,0),MATCH(($A2158 &amp; "Points"),CLASSNAMEHEADERS,0))),"")))))))))}</f>
        <v>MARTIALL13</v>
      </c>
      <c r="U2157" s="223"/>
      <c r="V2157" s="223" t="str">
        <f t="array" ref="V2157:V2158">{"MARTIALL15";((IF("15"=(INDEX(ALLCLASSDATA,MATCH("MartialLegendary",CLASSFEATUREHEADERS,0),MATCH($A2158,CLASSNAMEHEADERS,0))),(INDEX(ALLCLASSDATA,MATCH("MartialLegendary",CLASSFEATUREHEADERS,0),MATCH(($A2158 &amp; "Points"),CLASSNAMEHEADERS,0))),(IF("15"=(INDEX(ALLCLASSDATA,MATCH("MartialMaster",CLASSFEATUREHEADERS,0),MATCH($A2158,CLASSNAMEHEADERS,0))),(INDEX(ALLCLASSDATA,MATCH("MartialMaster",CLASSFEATUREHEADERS,0),MATCH(($A2158 &amp; "Points"),CLASSNAMEHEADERS,0))),(IF("15"=(INDEX(ALLCLASSDATA,MATCH("MartialExpert",CLASSFEATUREHEADERS,0),MATCH($A2158,CLASSNAMEHEADERS,0))),(INDEX(ALLCLASSDATA,MATCH("MartialExpert",CLASSFEATUREHEADERS,0),MATCH(($A2158 &amp; "Points"),CLASSNAMEHEADERS,0))),(IF("15"=(INDEX(ALLCLASSDATA,MATCH("MartialTrained",CLASSFEATUREHEADERS,0),MATCH($A2158,CLASSNAMEHEADERS,0))),(INDEX(ALLCLASSDATA,MATCH("MartialTrained",CLASSFEATUREHEADERS,0),MATCH(($A2158 &amp; "Points"),CLASSNAMEHEADERS,0))),"")))))))))}</f>
        <v>MARTIALL15</v>
      </c>
      <c r="W2157" s="223"/>
      <c r="X2157" s="223" t="str">
        <f t="array" ref="X2157:X2158">{"MARTIALL17";((IF("17"=(INDEX(ALLCLASSDATA,MATCH("MartialLegendary",CLASSFEATUREHEADERS,0),MATCH($A2158,CLASSNAMEHEADERS,0))),(INDEX(ALLCLASSDATA,MATCH("MartialLegendary",CLASSFEATUREHEADERS,0),MATCH(($A2158 &amp; "Points"),CLASSNAMEHEADERS,0))),(IF("17"=(INDEX(ALLCLASSDATA,MATCH("MartialMaster",CLASSFEATUREHEADERS,0),MATCH($A2158,CLASSNAMEHEADERS,0))),(INDEX(ALLCLASSDATA,MATCH("MartialMaster",CLASSFEATUREHEADERS,0),MATCH(($A2158 &amp; "Points"),CLASSNAMEHEADERS,0))),(IF("17"=(INDEX(ALLCLASSDATA,MATCH("MartialExpert",CLASSFEATUREHEADERS,0),MATCH($A2158,CLASSNAMEHEADERS,0))),(INDEX(ALLCLASSDATA,MATCH("MartialExpert",CLASSFEATUREHEADERS,0),MATCH(($A2158 &amp; "Points"),CLASSNAMEHEADERS,0))),(IF("17"=(INDEX(ALLCLASSDATA,MATCH("MartialTrained",CLASSFEATUREHEADERS,0),MATCH($A2158,CLASSNAMEHEADERS,0))),(INDEX(ALLCLASSDATA,MATCH("MartialTrained",CLASSFEATUREHEADERS,0),MATCH(($A2158 &amp; "Points"),CLASSNAMEHEADERS,0))),"")))))))))}</f>
        <v>MARTIALL17</v>
      </c>
      <c r="Y2157" s="223"/>
      <c r="Z2157" s="223" t="str">
        <f t="array" ref="Z2157:Z2158">{"MARTIALL19";((IF("19"=(INDEX(ALLCLASSDATA,MATCH("MartialLegendary",CLASSFEATUREHEADERS,0),MATCH($A2158,CLASSNAMEHEADERS,0))),(INDEX(ALLCLASSDATA,MATCH("MartialLegendary",CLASSFEATUREHEADERS,0),MATCH(($A2158 &amp; "Points"),CLASSNAMEHEADERS,0))),(IF("19"=(INDEX(ALLCLASSDATA,MATCH("MartialMaster",CLASSFEATUREHEADERS,0),MATCH($A2158,CLASSNAMEHEADERS,0))),(INDEX(ALLCLASSDATA,MATCH("MartialMaster",CLASSFEATUREHEADERS,0),MATCH(($A2158 &amp; "Points"),CLASSNAMEHEADERS,0))),(IF("19"=(INDEX(ALLCLASSDATA,MATCH("MartialExpert",CLASSFEATUREHEADERS,0),MATCH($A2158,CLASSNAMEHEADERS,0))),(INDEX(ALLCLASSDATA,MATCH("MartialExpert",CLASSFEATUREHEADERS,0),MATCH(($A2158 &amp; "Points"),CLASSNAMEHEADERS,0))),(IF("19"=(INDEX(ALLCLASSDATA,MATCH("MartialTrained",CLASSFEATUREHEADERS,0),MATCH($A2158,CLASSNAMEHEADERS,0))),(INDEX(ALLCLASSDATA,MATCH("MartialTrained",CLASSFEATUREHEADERS,0),MATCH(($A2158 &amp; "Points"),CLASSNAMEHEADERS,0))),"")))))))))}</f>
        <v>MARTIALL19</v>
      </c>
      <c r="AA2157" s="223"/>
      <c r="AB2157" s="76" t="str">
        <f t="array" ref="AB2157:AB2158">{"MARTIAL TOTAL";(IF(COUNTBLANK(G2158:AA2158)=17,"L",(IF(COUNTBLANK(G2158:AA2158)=18,"M",(IF(COUNTBLANK(G2158:AA2158)=19,"E",(IF(COUNTBLANK(G2158:AA2158)=20,"T",""))))))))}</f>
        <v>MARTIAL TOTAL</v>
      </c>
      <c r="AC2157" s="76" t="str">
        <f t="array" ref="AC2157:AC2158">{"MARTIAL TOTAL";(sum(G2158:AA2158))}</f>
        <v>MARTIAL TOTAL</v>
      </c>
    </row>
    <row r="2158">
      <c r="A2158" s="48" t="s">
        <v>238</v>
      </c>
      <c r="B2158" s="48"/>
      <c r="C2158" s="48" t="e">
        <v>#N/A</v>
      </c>
      <c r="D2158" s="48" t="s">
        <v>1634</v>
      </c>
      <c r="E2158" s="48" t="s">
        <v>6</v>
      </c>
      <c r="F2158" s="5" t="e">
        <v>#N/A</v>
      </c>
      <c r="G2158" s="47" t="e">
        <v>#N/A</v>
      </c>
      <c r="H2158" s="5" t="e">
        <v>#N/A</v>
      </c>
      <c r="I2158" s="5"/>
      <c r="J2158" s="5" t="e">
        <v>#N/A</v>
      </c>
      <c r="K2158" s="5"/>
      <c r="L2158" s="5" t="e">
        <v>#N/A</v>
      </c>
      <c r="M2158" s="5"/>
      <c r="N2158" s="5" t="e">
        <v>#N/A</v>
      </c>
      <c r="O2158" s="5"/>
      <c r="P2158" s="5" t="e">
        <v>#N/A</v>
      </c>
      <c r="Q2158" s="48"/>
      <c r="R2158" s="5" t="e">
        <v>#N/A</v>
      </c>
      <c r="S2158" s="5"/>
      <c r="T2158" s="5" t="e">
        <v>#N/A</v>
      </c>
      <c r="U2158" s="5"/>
      <c r="V2158" s="5" t="e">
        <v>#N/A</v>
      </c>
      <c r="W2158" s="5"/>
      <c r="X2158" s="5" t="e">
        <v>#N/A</v>
      </c>
      <c r="Y2158" s="5"/>
      <c r="Z2158" s="5" t="e">
        <v>#N/A</v>
      </c>
      <c r="AA2158" s="5"/>
      <c r="AB2158" s="5" t="s">
        <v>603</v>
      </c>
      <c r="AC2158" s="47" t="e">
        <v>#N/A</v>
      </c>
    </row>
    <row r="2159" hidden="1">
      <c r="A2159" s="222" t="str">
        <f t="array" ref="A2159:A2160">{"FormulaRow32";(INDEX(CLASSLIST,A2096,1))}</f>
        <v>FormulaRow32</v>
      </c>
      <c r="B2159" s="77" t="s">
        <v>236</v>
      </c>
      <c r="C2159" s="222" t="str">
        <f t="array" ref="C2159:C2160">{"CLASSTYPE";((INDEX(ALLCLASSDATA,MATCH("ClassType",CLASSFEATUREHEADERS,0),MATCH($A2160,CLASSNAMEHEADERS,0))))}</f>
        <v>CLASSTYPE</v>
      </c>
      <c r="D2159" s="222" t="str">
        <f t="array" ref="D2159:D2160">{"ATTACK";"Attack"}</f>
        <v>ATTACK</v>
      </c>
      <c r="E2159" s="222" t="str">
        <f t="array" ref="E2159:E2160">{"ADVANCEDGROUP";"AdvancedGroup"}</f>
        <v>ADVANCEDGROUP</v>
      </c>
      <c r="F2159" s="223" t="str">
        <f t="array" ref="F2159:F2160">{"ADVANCEDGROUPINITIAL";((IF(H2160=10,"T",(IF(H2160=50,"E","")))))}</f>
        <v>ADVANCEDGROUPINITIAL</v>
      </c>
      <c r="G2159" s="223" t="str">
        <f t="array" ref="G2159:G2160">{"ADVANCEDGROUPINITIALPTS";((IF("00"=(INDEX(ALLCLASSDATA,MATCH("AdvancedGroupLegendary",CLASSFEATUREHEADERS,0),MATCH($A2160,CLASSNAMEHEADERS,0))),(INDEX(ALLCLASSDATA,MATCH("AdvancedGroupLegendary",CLASSFEATUREHEADERS,0),MATCH(($A2160 &amp; "Points"),CLASSNAMEHEADERS,0))),(IF("00"=(INDEX(ALLCLASSDATA,MATCH("AdvancedGroupMaster",CLASSFEATUREHEADERS,0),MATCH($A2160,CLASSNAMEHEADERS,0))),(INDEX(ALLCLASSDATA,MATCH("AdvancedGroupMaster",CLASSFEATUREHEADERS,0),MATCH(($A2160 &amp; "Points"),CLASSNAMEHEADERS,0))),(IF("00"=(INDEX(ALLCLASSDATA,MATCH("AdvancedGroupExpert",CLASSFEATUREHEADERS,0),MATCH($A2160,CLASSNAMEHEADERS,0))),(INDEX(ALLCLASSDATA,MATCH("AdvancedGroupExpert",CLASSFEATUREHEADERS,0),MATCH(($A2160 &amp; "Points"),CLASSNAMEHEADERS,0))),(IF("00"=(INDEX(ALLCLASSDATA,MATCH("AdvancedGroupTrained",CLASSFEATUREHEADERS,0),MATCH($A2160,CLASSNAMEHEADERS,0))),(INDEX(ALLCLASSDATA,MATCH("AdvancedGroupTrained",CLASSFEATUREHEADERS,0),MATCH(($A2160 &amp; "Points"),CLASSNAMEHEADERS,0))),"")))))))))}</f>
        <v>ADVANCEDGROUPINITIALPTS</v>
      </c>
      <c r="H2159" s="223" t="str">
        <f t="array" ref="H2159:H2160">{"ADVANCEDGROUPL01";((IF("01"=(INDEX(ALLCLASSDATA,MATCH("AdvancedGroupLegendary",CLASSFEATUREHEADERS,0),MATCH($A2160,CLASSNAMEHEADERS,0))),(INDEX(ALLCLASSDATA,MATCH("AdvancedGroupLegendary",CLASSFEATUREHEADERS,0),MATCH(($A2160 &amp; "Points"),CLASSNAMEHEADERS,0))),(IF("01"=(INDEX(ALLCLASSDATA,MATCH("AdvancedGroupMaster",CLASSFEATUREHEADERS,0),MATCH($A2160,CLASSNAMEHEADERS,0))),(INDEX(ALLCLASSDATA,MATCH("AdvancedGroupMaster",CLASSFEATUREHEADERS,0),MATCH(($A2160 &amp; "Points"),CLASSNAMEHEADERS,0))),(IF("01"=(INDEX(ALLCLASSDATA,MATCH("AdvancedGroupExpert",CLASSFEATUREHEADERS,0),MATCH($A2160,CLASSNAMEHEADERS,0))),(INDEX(ALLCLASSDATA,MATCH("AdvancedGroupExpert",CLASSFEATUREHEADERS,0),MATCH(($A2160 &amp; "Points"),CLASSNAMEHEADERS,0))),(IF("01"=(INDEX(ALLCLASSDATA,MATCH("AdvancedGroupTrained",CLASSFEATUREHEADERS,0),MATCH($A2160,CLASSNAMEHEADERS,0))),(INDEX(ALLCLASSDATA,MATCH("AdvancedGroupTrained",CLASSFEATUREHEADERS,0),MATCH(($A2160 &amp; "Points"),CLASSNAMEHEADERS,0))),"")))))))))}</f>
        <v>ADVANCEDGROUPL01</v>
      </c>
      <c r="I2159" s="223"/>
      <c r="J2159" s="223" t="str">
        <f t="array" ref="J2159:J2160">{"ADVANCEDGROUPL03";((IF("03"=(INDEX(ALLCLASSDATA,MATCH("AdvancedGroupLegendary",CLASSFEATUREHEADERS,0),MATCH($A2160,CLASSNAMEHEADERS,0))),(INDEX(ALLCLASSDATA,MATCH("AdvancedGroupLegendary",CLASSFEATUREHEADERS,0),MATCH(($A2160 &amp; "Points"),CLASSNAMEHEADERS,0))),(IF("03"=(INDEX(ALLCLASSDATA,MATCH("AdvancedGroupMaster",CLASSFEATUREHEADERS,0),MATCH($A2160,CLASSNAMEHEADERS,0))),(INDEX(ALLCLASSDATA,MATCH("AdvancedGroupMaster",CLASSFEATUREHEADERS,0),MATCH(($A2160 &amp; "Points"),CLASSNAMEHEADERS,0))),(IF("03"=(INDEX(ALLCLASSDATA,MATCH("AdvancedGroupExpert",CLASSFEATUREHEADERS,0),MATCH($A2160,CLASSNAMEHEADERS,0))),(INDEX(ALLCLASSDATA,MATCH("AdvancedGroupExpert",CLASSFEATUREHEADERS,0),MATCH(($A2160 &amp; "Points"),CLASSNAMEHEADERS,0))),(IF("03"=(INDEX(ALLCLASSDATA,MATCH("AdvancedGroupTrained",CLASSFEATUREHEADERS,0),MATCH($A2160,CLASSNAMEHEADERS,0))),(INDEX(ALLCLASSDATA,MATCH("AdvancedGroupTrained",CLASSFEATUREHEADERS,0),MATCH(($A2160 &amp; "Points"),CLASSNAMEHEADERS,0))),"")))))))))}</f>
        <v>ADVANCEDGROUPL03</v>
      </c>
      <c r="K2159" s="223"/>
      <c r="L2159" s="223" t="str">
        <f t="array" ref="L2159:L2160">{"ADVANCEDGROUPL05";((IF("05"=(INDEX(ALLCLASSDATA,MATCH("AdvancedGroupLegendary",CLASSFEATUREHEADERS,0),MATCH($A2160,CLASSNAMEHEADERS,0))),(INDEX(ALLCLASSDATA,MATCH("AdvancedGroupLegendary",CLASSFEATUREHEADERS,0),MATCH(($A2160 &amp; "Points"),CLASSNAMEHEADERS,0))),(IF("05"=(INDEX(ALLCLASSDATA,MATCH("AdvancedGroupMaster",CLASSFEATUREHEADERS,0),MATCH($A2160,CLASSNAMEHEADERS,0))),(INDEX(ALLCLASSDATA,MATCH("AdvancedGroupMaster",CLASSFEATUREHEADERS,0),MATCH(($A2160 &amp; "Points"),CLASSNAMEHEADERS,0))),(IF("05"=(INDEX(ALLCLASSDATA,MATCH("AdvancedGroupExpert",CLASSFEATUREHEADERS,0),MATCH($A2160,CLASSNAMEHEADERS,0))),(INDEX(ALLCLASSDATA,MATCH("AdvancedGroupExpert",CLASSFEATUREHEADERS,0),MATCH(($A2160 &amp; "Points"),CLASSNAMEHEADERS,0))),(IF("05"=(INDEX(ALLCLASSDATA,MATCH("AdvancedGroupTrained",CLASSFEATUREHEADERS,0),MATCH($A2160,CLASSNAMEHEADERS,0))),(INDEX(ALLCLASSDATA,MATCH("AdvancedGroupTrained",CLASSFEATUREHEADERS,0),MATCH(($A2160 &amp; "Points"),CLASSNAMEHEADERS,0))),"")))))))))}</f>
        <v>ADVANCEDGROUPL05</v>
      </c>
      <c r="M2159" s="223"/>
      <c r="N2159" s="223" t="str">
        <f t="array" ref="N2159:N2160">{"ADVANCEDGROUPL07";((IF("07"=(INDEX(ALLCLASSDATA,MATCH("AdvancedGroupLegendary",CLASSFEATUREHEADERS,0),MATCH($A2160,CLASSNAMEHEADERS,0))),(INDEX(ALLCLASSDATA,MATCH("AdvancedGroupLegendary",CLASSFEATUREHEADERS,0),MATCH(($A2160 &amp; "Points"),CLASSNAMEHEADERS,0))),(IF("07"=(INDEX(ALLCLASSDATA,MATCH("AdvancedGroupMaster",CLASSFEATUREHEADERS,0),MATCH($A2160,CLASSNAMEHEADERS,0))),(INDEX(ALLCLASSDATA,MATCH("AdvancedGroupMaster",CLASSFEATUREHEADERS,0),MATCH(($A2160 &amp; "Points"),CLASSNAMEHEADERS,0))),(IF("07"=(INDEX(ALLCLASSDATA,MATCH("AdvancedGroupExpert",CLASSFEATUREHEADERS,0),MATCH($A2160,CLASSNAMEHEADERS,0))),(INDEX(ALLCLASSDATA,MATCH("AdvancedGroupExpert",CLASSFEATUREHEADERS,0),MATCH(($A2160 &amp; "Points"),CLASSNAMEHEADERS,0))),(IF("07"=(INDEX(ALLCLASSDATA,MATCH("AdvancedGroupTrained",CLASSFEATUREHEADERS,0),MATCH($A2160,CLASSNAMEHEADERS,0))),(INDEX(ALLCLASSDATA,MATCH("AdvancedGroupTrained",CLASSFEATUREHEADERS,0),MATCH(($A2160 &amp; "Points"),CLASSNAMEHEADERS,0))),"")))))))))}</f>
        <v>ADVANCEDGROUPL07</v>
      </c>
      <c r="O2159" s="223"/>
      <c r="P2159" s="223" t="str">
        <f t="array" ref="P2159:P2160">{"ADVANCEDGROUPL09";((IF("09"=(INDEX(ALLCLASSDATA,MATCH("AdvancedGroupLegendary",CLASSFEATUREHEADERS,0),MATCH($A2160,CLASSNAMEHEADERS,0))),(INDEX(ALLCLASSDATA,MATCH("AdvancedGroupLegendary",CLASSFEATUREHEADERS,0),MATCH(($A2160 &amp; "Points"),CLASSNAMEHEADERS,0))),(IF("09"=(INDEX(ALLCLASSDATA,MATCH("AdvancedGroupMaster",CLASSFEATUREHEADERS,0),MATCH($A2160,CLASSNAMEHEADERS,0))),(INDEX(ALLCLASSDATA,MATCH("AdvancedGroupMaster",CLASSFEATUREHEADERS,0),MATCH(($A2160 &amp; "Points"),CLASSNAMEHEADERS,0))),(IF("09"=(INDEX(ALLCLASSDATA,MATCH("AdvancedGroupExpert",CLASSFEATUREHEADERS,0),MATCH($A2160,CLASSNAMEHEADERS,0))),(INDEX(ALLCLASSDATA,MATCH("AdvancedGroupExpert",CLASSFEATUREHEADERS,0),MATCH(($A2160 &amp; "Points"),CLASSNAMEHEADERS,0))),(IF("09"=(INDEX(ALLCLASSDATA,MATCH("AdvancedGroupTrained",CLASSFEATUREHEADERS,0),MATCH($A2160,CLASSNAMEHEADERS,0))),(INDEX(ALLCLASSDATA,MATCH("AdvancedGroupTrained",CLASSFEATUREHEADERS,0),MATCH(($A2160 &amp; "Points"),CLASSNAMEHEADERS,0))),"")))))))))}</f>
        <v>ADVANCEDGROUPL09</v>
      </c>
      <c r="Q2159" s="223"/>
      <c r="R2159" s="223" t="str">
        <f t="array" ref="R2159:R2160">{"ADVANCEDGROUPL11";((IF("11"=(INDEX(ALLCLASSDATA,MATCH("AdvancedGroupLegendary",CLASSFEATUREHEADERS,0),MATCH($A2160,CLASSNAMEHEADERS,0))),(INDEX(ALLCLASSDATA,MATCH("AdvancedGroupLegendary",CLASSFEATUREHEADERS,0),MATCH(($A2160 &amp; "Points"),CLASSNAMEHEADERS,0))),(IF("11"=(INDEX(ALLCLASSDATA,MATCH("AdvancedGroupMaster",CLASSFEATUREHEADERS,0),MATCH($A2160,CLASSNAMEHEADERS,0))),(INDEX(ALLCLASSDATA,MATCH("AdvancedGroupMaster",CLASSFEATUREHEADERS,0),MATCH(($A2160 &amp; "Points"),CLASSNAMEHEADERS,0))),(IF("11"=(INDEX(ALLCLASSDATA,MATCH("AdvancedGroupExpert",CLASSFEATUREHEADERS,0),MATCH($A2160,CLASSNAMEHEADERS,0))),(INDEX(ALLCLASSDATA,MATCH("AdvancedGroupExpert",CLASSFEATUREHEADERS,0),MATCH(($A2160 &amp; "Points"),CLASSNAMEHEADERS,0))),(IF("11"=(INDEX(ALLCLASSDATA,MATCH("AdvancedGroupTrained",CLASSFEATUREHEADERS,0),MATCH($A2160,CLASSNAMEHEADERS,0))),(INDEX(ALLCLASSDATA,MATCH("AdvancedGroupTrained",CLASSFEATUREHEADERS,0),MATCH(($A2160 &amp; "Points"),CLASSNAMEHEADERS,0))),"")))))))))}</f>
        <v>ADVANCEDGROUPL11</v>
      </c>
      <c r="S2159" s="223"/>
      <c r="T2159" s="223" t="str">
        <f t="array" ref="T2159:T2160">{"ADVANCEDGROUPL13";((IF("13"=(INDEX(ALLCLASSDATA,MATCH("AdvancedGroupLegendary",CLASSFEATUREHEADERS,0),MATCH($A2160,CLASSNAMEHEADERS,0))),(INDEX(ALLCLASSDATA,MATCH("AdvancedGroupLegendary",CLASSFEATUREHEADERS,0),MATCH(($A2160 &amp; "Points"),CLASSNAMEHEADERS,0))),(IF("13"=(INDEX(ALLCLASSDATA,MATCH("AdvancedGroupMaster",CLASSFEATUREHEADERS,0),MATCH($A2160,CLASSNAMEHEADERS,0))),(INDEX(ALLCLASSDATA,MATCH("AdvancedGroupMaster",CLASSFEATUREHEADERS,0),MATCH(($A2160 &amp; "Points"),CLASSNAMEHEADERS,0))),(IF("13"=(INDEX(ALLCLASSDATA,MATCH("AdvancedGroupExpert",CLASSFEATUREHEADERS,0),MATCH($A2160,CLASSNAMEHEADERS,0))),(INDEX(ALLCLASSDATA,MATCH("AdvancedGroupExpert",CLASSFEATUREHEADERS,0),MATCH(($A2160 &amp; "Points"),CLASSNAMEHEADERS,0))),(IF("13"=(INDEX(ALLCLASSDATA,MATCH("AdvancedGroupTrained",CLASSFEATUREHEADERS,0),MATCH($A2160,CLASSNAMEHEADERS,0))),(INDEX(ALLCLASSDATA,MATCH("AdvancedGroupTrained",CLASSFEATUREHEADERS,0),MATCH(($A2160 &amp; "Points"),CLASSNAMEHEADERS,0))),"")))))))))}</f>
        <v>ADVANCEDGROUPL13</v>
      </c>
      <c r="U2159" s="223"/>
      <c r="V2159" s="223" t="str">
        <f t="array" ref="V2159:V2160">{"ADVANCEDGROUPL15";((IF("15"=(INDEX(ALLCLASSDATA,MATCH("AdvancedGroupLegendary",CLASSFEATUREHEADERS,0),MATCH($A2160,CLASSNAMEHEADERS,0))),(INDEX(ALLCLASSDATA,MATCH("AdvancedGroupLegendary",CLASSFEATUREHEADERS,0),MATCH(($A2160 &amp; "Points"),CLASSNAMEHEADERS,0))),(IF("15"=(INDEX(ALLCLASSDATA,MATCH("AdvancedGroupMaster",CLASSFEATUREHEADERS,0),MATCH($A2160,CLASSNAMEHEADERS,0))),(INDEX(ALLCLASSDATA,MATCH("AdvancedGroupMaster",CLASSFEATUREHEADERS,0),MATCH(($A2160 &amp; "Points"),CLASSNAMEHEADERS,0))),(IF("15"=(INDEX(ALLCLASSDATA,MATCH("AdvancedGroupExpert",CLASSFEATUREHEADERS,0),MATCH($A2160,CLASSNAMEHEADERS,0))),(INDEX(ALLCLASSDATA,MATCH("AdvancedGroupExpert",CLASSFEATUREHEADERS,0),MATCH(($A2160 &amp; "Points"),CLASSNAMEHEADERS,0))),(IF("15"=(INDEX(ALLCLASSDATA,MATCH("AdvancedGroupTrained",CLASSFEATUREHEADERS,0),MATCH($A2160,CLASSNAMEHEADERS,0))),(INDEX(ALLCLASSDATA,MATCH("AdvancedGroupTrained",CLASSFEATUREHEADERS,0),MATCH(($A2160 &amp; "Points"),CLASSNAMEHEADERS,0))),"")))))))))}</f>
        <v>ADVANCEDGROUPL15</v>
      </c>
      <c r="W2159" s="223"/>
      <c r="X2159" s="223" t="str">
        <f t="array" ref="X2159:X2160">{"ADVANCEDGROUPL17";((IF("17"=(INDEX(ALLCLASSDATA,MATCH("AdvancedGroupLegendary",CLASSFEATUREHEADERS,0),MATCH($A2160,CLASSNAMEHEADERS,0))),(INDEX(ALLCLASSDATA,MATCH("AdvancedGroupLegendary",CLASSFEATUREHEADERS,0),MATCH(($A2160 &amp; "Points"),CLASSNAMEHEADERS,0))),(IF("17"=(INDEX(ALLCLASSDATA,MATCH("AdvancedGroupMaster",CLASSFEATUREHEADERS,0),MATCH($A2160,CLASSNAMEHEADERS,0))),(INDEX(ALLCLASSDATA,MATCH("AdvancedGroupMaster",CLASSFEATUREHEADERS,0),MATCH(($A2160 &amp; "Points"),CLASSNAMEHEADERS,0))),(IF("17"=(INDEX(ALLCLASSDATA,MATCH("AdvancedGroupExpert",CLASSFEATUREHEADERS,0),MATCH($A2160,CLASSNAMEHEADERS,0))),(INDEX(ALLCLASSDATA,MATCH("AdvancedGroupExpert",CLASSFEATUREHEADERS,0),MATCH(($A2160 &amp; "Points"),CLASSNAMEHEADERS,0))),(IF("17"=(INDEX(ALLCLASSDATA,MATCH("AdvancedGroupTrained",CLASSFEATUREHEADERS,0),MATCH($A2160,CLASSNAMEHEADERS,0))),(INDEX(ALLCLASSDATA,MATCH("AdvancedGroupTrained",CLASSFEATUREHEADERS,0),MATCH(($A2160 &amp; "Points"),CLASSNAMEHEADERS,0))),"")))))))))}</f>
        <v>ADVANCEDGROUPL17</v>
      </c>
      <c r="Y2159" s="223"/>
      <c r="Z2159" s="223" t="str">
        <f t="array" ref="Z2159:Z2160">{"ADVANCEDGROUPL19";((IF("19"=(INDEX(ALLCLASSDATA,MATCH("AdvancedGroupLegendary",CLASSFEATUREHEADERS,0),MATCH($A2160,CLASSNAMEHEADERS,0))),(INDEX(ALLCLASSDATA,MATCH("AdvancedGroupLegendary",CLASSFEATUREHEADERS,0),MATCH(($A2160 &amp; "Points"),CLASSNAMEHEADERS,0))),(IF("19"=(INDEX(ALLCLASSDATA,MATCH("AdvancedGroupMaster",CLASSFEATUREHEADERS,0),MATCH($A2160,CLASSNAMEHEADERS,0))),(INDEX(ALLCLASSDATA,MATCH("AdvancedGroupMaster",CLASSFEATUREHEADERS,0),MATCH(($A2160 &amp; "Points"),CLASSNAMEHEADERS,0))),(IF("19"=(INDEX(ALLCLASSDATA,MATCH("AdvancedGroupExpert",CLASSFEATUREHEADERS,0),MATCH($A2160,CLASSNAMEHEADERS,0))),(INDEX(ALLCLASSDATA,MATCH("AdvancedGroupExpert",CLASSFEATUREHEADERS,0),MATCH(($A2160 &amp; "Points"),CLASSNAMEHEADERS,0))),(IF("19"=(INDEX(ALLCLASSDATA,MATCH("AdvancedGroupTrained",CLASSFEATUREHEADERS,0),MATCH($A2160,CLASSNAMEHEADERS,0))),(INDEX(ALLCLASSDATA,MATCH("AdvancedGroupTrained",CLASSFEATUREHEADERS,0),MATCH(($A2160 &amp; "Points"),CLASSNAMEHEADERS,0))),"")))))))))}</f>
        <v>ADVANCEDGROUPL19</v>
      </c>
      <c r="AA2159" s="223"/>
      <c r="AB2159" s="76" t="str">
        <f t="array" ref="AB2159:AB2160">{"ADVANCEDGROUP TOTAL";(IF(COUNTBLANK(G2160:AA2160)=17,"L",(IF(COUNTBLANK(G2160:AA2160)=18,"M",(IF(COUNTBLANK(G2160:AA2160)=19,"E",(IF(COUNTBLANK(G2160:AA2160)=20,"T",""))))))))}</f>
        <v>ADVANCEDGROUP TOTAL</v>
      </c>
      <c r="AC2159" s="76" t="str">
        <f t="array" ref="AC2159:AC2160">{"ADVANCEDGROUP TOTAL";(sum(G2160:AA2160))}</f>
        <v>ADVANCEDGROUP TOTAL</v>
      </c>
    </row>
    <row r="2160">
      <c r="A2160" s="48" t="s">
        <v>238</v>
      </c>
      <c r="B2160" s="48"/>
      <c r="C2160" s="48" t="e">
        <v>#N/A</v>
      </c>
      <c r="D2160" s="48" t="s">
        <v>1634</v>
      </c>
      <c r="E2160" s="48" t="s">
        <v>601</v>
      </c>
      <c r="F2160" s="5" t="e">
        <v>#N/A</v>
      </c>
      <c r="G2160" s="47" t="e">
        <v>#N/A</v>
      </c>
      <c r="H2160" s="5" t="e">
        <v>#N/A</v>
      </c>
      <c r="I2160" s="5"/>
      <c r="J2160" s="5" t="e">
        <v>#N/A</v>
      </c>
      <c r="K2160" s="5"/>
      <c r="L2160" s="5" t="e">
        <v>#N/A</v>
      </c>
      <c r="M2160" s="5"/>
      <c r="N2160" s="5" t="e">
        <v>#N/A</v>
      </c>
      <c r="O2160" s="5"/>
      <c r="P2160" s="5" t="e">
        <v>#N/A</v>
      </c>
      <c r="Q2160" s="5"/>
      <c r="R2160" s="5" t="e">
        <v>#N/A</v>
      </c>
      <c r="S2160" s="5"/>
      <c r="T2160" s="5" t="e">
        <v>#N/A</v>
      </c>
      <c r="U2160" s="5"/>
      <c r="V2160" s="5" t="e">
        <v>#N/A</v>
      </c>
      <c r="W2160" s="5"/>
      <c r="X2160" s="5" t="e">
        <v>#N/A</v>
      </c>
      <c r="Y2160" s="5"/>
      <c r="Z2160" s="5" t="e">
        <v>#N/A</v>
      </c>
      <c r="AA2160" s="5"/>
      <c r="AB2160" s="5" t="s">
        <v>603</v>
      </c>
      <c r="AC2160" s="47" t="e">
        <v>#N/A</v>
      </c>
    </row>
    <row r="2161" hidden="1">
      <c r="A2161" s="222" t="str">
        <f t="array" ref="A2161:A2162">{"FormulaRow33";(INDEX(CLASSLIST,A2096,1))}</f>
        <v>FormulaRow33</v>
      </c>
      <c r="B2161" s="77" t="s">
        <v>236</v>
      </c>
      <c r="C2161" s="222" t="str">
        <f t="array" ref="C2161:C2162">{"CLASSTYPE";((INDEX(ALLCLASSDATA,MATCH("ClassType",CLASSFEATUREHEADERS,0),MATCH($A2162,CLASSNAMEHEADERS,0))))}</f>
        <v>CLASSTYPE</v>
      </c>
      <c r="D2161" s="222" t="str">
        <f t="array" ref="D2161:D2162">{"ATTACK";"Attack"}</f>
        <v>ATTACK</v>
      </c>
      <c r="E2161" s="222" t="str">
        <f t="array" ref="E2161:E2162">{"ADVANCED";"Advanced"}</f>
        <v>ADVANCED</v>
      </c>
      <c r="F2161" s="223" t="str">
        <f t="array" ref="F2161:F2162">{"ADVANCEDINITIAL";((IF(H2162=10,"T",(IF(H2162=50,"E","")))))}</f>
        <v>ADVANCEDINITIAL</v>
      </c>
      <c r="G2161" s="223" t="str">
        <f t="array" ref="G2161:G2162">{"ADVANCEDINITIALPTS";((IF("00"=(INDEX(ALLCLASSDATA,MATCH("AdvancedLegendary",CLASSFEATUREHEADERS,0),MATCH($A2162,CLASSNAMEHEADERS,0))),(INDEX(ALLCLASSDATA,MATCH("AdvancedLegendary",CLASSFEATUREHEADERS,0),MATCH(($A2162 &amp; "Points"),CLASSNAMEHEADERS,0))),(IF("00"=(INDEX(ALLCLASSDATA,MATCH("AdvancedMaster",CLASSFEATUREHEADERS,0),MATCH($A2162,CLASSNAMEHEADERS,0))),(INDEX(ALLCLASSDATA,MATCH("AdvancedMaster",CLASSFEATUREHEADERS,0),MATCH(($A2162 &amp; "Points"),CLASSNAMEHEADERS,0))),(IF("00"=(INDEX(ALLCLASSDATA,MATCH("AdvancedExpert",CLASSFEATUREHEADERS,0),MATCH($A2162,CLASSNAMEHEADERS,0))),(INDEX(ALLCLASSDATA,MATCH("AdvancedExpert",CLASSFEATUREHEADERS,0),MATCH(($A2162 &amp; "Points"),CLASSNAMEHEADERS,0))),(IF("00"=(INDEX(ALLCLASSDATA,MATCH("AdvancedTrained",CLASSFEATUREHEADERS,0),MATCH($A2162,CLASSNAMEHEADERS,0))),(INDEX(ALLCLASSDATA,MATCH("AdvancedTrained",CLASSFEATUREHEADERS,0),MATCH(($A2162 &amp; "Points"),CLASSNAMEHEADERS,0))),"")))))))))}</f>
        <v>ADVANCEDINITIALPTS</v>
      </c>
      <c r="H2161" s="223" t="str">
        <f t="array" ref="H2161:H2162">{"ADVANCEDL01";((IF("01"=(INDEX(ALLCLASSDATA,MATCH("AdvancedLegendary",CLASSFEATUREHEADERS,0),MATCH($A2162,CLASSNAMEHEADERS,0))),(INDEX(ALLCLASSDATA,MATCH("AdvancedLegendary",CLASSFEATUREHEADERS,0),MATCH(($A2162 &amp; "Points"),CLASSNAMEHEADERS,0))),(IF("01"=(INDEX(ALLCLASSDATA,MATCH("AdvancedMaster",CLASSFEATUREHEADERS,0),MATCH($A2162,CLASSNAMEHEADERS,0))),(INDEX(ALLCLASSDATA,MATCH("AdvancedMaster",CLASSFEATUREHEADERS,0),MATCH(($A2162 &amp; "Points"),CLASSNAMEHEADERS,0))),(IF("01"=(INDEX(ALLCLASSDATA,MATCH("AdvancedExpert",CLASSFEATUREHEADERS,0),MATCH($A2162,CLASSNAMEHEADERS,0))),(INDEX(ALLCLASSDATA,MATCH("AdvancedExpert",CLASSFEATUREHEADERS,0),MATCH(($A2162 &amp; "Points"),CLASSNAMEHEADERS,0))),(IF("01"=(INDEX(ALLCLASSDATA,MATCH("AdvancedTrained",CLASSFEATUREHEADERS,0),MATCH($A2162,CLASSNAMEHEADERS,0))),(INDEX(ALLCLASSDATA,MATCH("AdvancedTrained",CLASSFEATUREHEADERS,0),MATCH(($A2162 &amp; "Points"),CLASSNAMEHEADERS,0))),"")))))))))}</f>
        <v>ADVANCEDL01</v>
      </c>
      <c r="I2161" s="223"/>
      <c r="J2161" s="223" t="str">
        <f t="array" ref="J2161:J2162">{"ADVANCEDL03";((IF("03"=(INDEX(ALLCLASSDATA,MATCH("AdvancedLegendary",CLASSFEATUREHEADERS,0),MATCH($A2162,CLASSNAMEHEADERS,0))),(INDEX(ALLCLASSDATA,MATCH("AdvancedLegendary",CLASSFEATUREHEADERS,0),MATCH(($A2162 &amp; "Points"),CLASSNAMEHEADERS,0))),(IF("03"=(INDEX(ALLCLASSDATA,MATCH("AdvancedMaster",CLASSFEATUREHEADERS,0),MATCH($A2162,CLASSNAMEHEADERS,0))),(INDEX(ALLCLASSDATA,MATCH("AdvancedMaster",CLASSFEATUREHEADERS,0),MATCH(($A2162 &amp; "Points"),CLASSNAMEHEADERS,0))),(IF("03"=(INDEX(ALLCLASSDATA,MATCH("AdvancedExpert",CLASSFEATUREHEADERS,0),MATCH($A2162,CLASSNAMEHEADERS,0))),(INDEX(ALLCLASSDATA,MATCH("AdvancedExpert",CLASSFEATUREHEADERS,0),MATCH(($A2162 &amp; "Points"),CLASSNAMEHEADERS,0))),(IF("03"=(INDEX(ALLCLASSDATA,MATCH("AdvancedTrained",CLASSFEATUREHEADERS,0),MATCH($A2162,CLASSNAMEHEADERS,0))),(INDEX(ALLCLASSDATA,MATCH("AdvancedTrained",CLASSFEATUREHEADERS,0),MATCH(($A2162 &amp; "Points"),CLASSNAMEHEADERS,0))),"")))))))))}</f>
        <v>ADVANCEDL03</v>
      </c>
      <c r="K2161" s="223"/>
      <c r="L2161" s="223" t="str">
        <f t="array" ref="L2161:L2162">{"ADVANCEDL05";((IF("05"=(INDEX(ALLCLASSDATA,MATCH("AdvancedLegendary",CLASSFEATUREHEADERS,0),MATCH($A2162,CLASSNAMEHEADERS,0))),(INDEX(ALLCLASSDATA,MATCH("AdvancedLegendary",CLASSFEATUREHEADERS,0),MATCH(($A2162 &amp; "Points"),CLASSNAMEHEADERS,0))),(IF("05"=(INDEX(ALLCLASSDATA,MATCH("AdvancedMaster",CLASSFEATUREHEADERS,0),MATCH($A2162,CLASSNAMEHEADERS,0))),(INDEX(ALLCLASSDATA,MATCH("AdvancedMaster",CLASSFEATUREHEADERS,0),MATCH(($A2162 &amp; "Points"),CLASSNAMEHEADERS,0))),(IF("05"=(INDEX(ALLCLASSDATA,MATCH("AdvancedExpert",CLASSFEATUREHEADERS,0),MATCH($A2162,CLASSNAMEHEADERS,0))),(INDEX(ALLCLASSDATA,MATCH("AdvancedExpert",CLASSFEATUREHEADERS,0),MATCH(($A2162 &amp; "Points"),CLASSNAMEHEADERS,0))),(IF("05"=(INDEX(ALLCLASSDATA,MATCH("AdvancedTrained",CLASSFEATUREHEADERS,0),MATCH($A2162,CLASSNAMEHEADERS,0))),(INDEX(ALLCLASSDATA,MATCH("AdvancedTrained",CLASSFEATUREHEADERS,0),MATCH(($A2162 &amp; "Points"),CLASSNAMEHEADERS,0))),"")))))))))}</f>
        <v>ADVANCEDL05</v>
      </c>
      <c r="M2161" s="223"/>
      <c r="N2161" s="223" t="str">
        <f t="array" ref="N2161:N2162">{"ADVANCEDL07";((IF("07"=(INDEX(ALLCLASSDATA,MATCH("AdvancedLegendary",CLASSFEATUREHEADERS,0),MATCH($A2162,CLASSNAMEHEADERS,0))),(INDEX(ALLCLASSDATA,MATCH("AdvancedLegendary",CLASSFEATUREHEADERS,0),MATCH(($A2162 &amp; "Points"),CLASSNAMEHEADERS,0))),(IF("07"=(INDEX(ALLCLASSDATA,MATCH("AdvancedMaster",CLASSFEATUREHEADERS,0),MATCH($A2162,CLASSNAMEHEADERS,0))),(INDEX(ALLCLASSDATA,MATCH("AdvancedMaster",CLASSFEATUREHEADERS,0),MATCH(($A2162 &amp; "Points"),CLASSNAMEHEADERS,0))),(IF("07"=(INDEX(ALLCLASSDATA,MATCH("AdvancedExpert",CLASSFEATUREHEADERS,0),MATCH($A2162,CLASSNAMEHEADERS,0))),(INDEX(ALLCLASSDATA,MATCH("AdvancedExpert",CLASSFEATUREHEADERS,0),MATCH(($A2162 &amp; "Points"),CLASSNAMEHEADERS,0))),(IF("07"=(INDEX(ALLCLASSDATA,MATCH("AdvancedTrained",CLASSFEATUREHEADERS,0),MATCH($A2162,CLASSNAMEHEADERS,0))),(INDEX(ALLCLASSDATA,MATCH("AdvancedTrained",CLASSFEATUREHEADERS,0),MATCH(($A2162 &amp; "Points"),CLASSNAMEHEADERS,0))),"")))))))))}</f>
        <v>ADVANCEDL07</v>
      </c>
      <c r="O2161" s="223"/>
      <c r="P2161" s="223" t="str">
        <f t="array" ref="P2161:P2162">{"ADVANCEDL09";((IF("09"=(INDEX(ALLCLASSDATA,MATCH("AdvancedLegendary",CLASSFEATUREHEADERS,0),MATCH($A2162,CLASSNAMEHEADERS,0))),(INDEX(ALLCLASSDATA,MATCH("AdvancedLegendary",CLASSFEATUREHEADERS,0),MATCH(($A2162 &amp; "Points"),CLASSNAMEHEADERS,0))),(IF("09"=(INDEX(ALLCLASSDATA,MATCH("AdvancedMaster",CLASSFEATUREHEADERS,0),MATCH($A2162,CLASSNAMEHEADERS,0))),(INDEX(ALLCLASSDATA,MATCH("AdvancedMaster",CLASSFEATUREHEADERS,0),MATCH(($A2162 &amp; "Points"),CLASSNAMEHEADERS,0))),(IF("09"=(INDEX(ALLCLASSDATA,MATCH("AdvancedExpert",CLASSFEATUREHEADERS,0),MATCH($A2162,CLASSNAMEHEADERS,0))),(INDEX(ALLCLASSDATA,MATCH("AdvancedExpert",CLASSFEATUREHEADERS,0),MATCH(($A2162 &amp; "Points"),CLASSNAMEHEADERS,0))),(IF("09"=(INDEX(ALLCLASSDATA,MATCH("AdvancedTrained",CLASSFEATUREHEADERS,0),MATCH($A2162,CLASSNAMEHEADERS,0))),(INDEX(ALLCLASSDATA,MATCH("AdvancedTrained",CLASSFEATUREHEADERS,0),MATCH(($A2162 &amp; "Points"),CLASSNAMEHEADERS,0))),"")))))))))}</f>
        <v>ADVANCEDL09</v>
      </c>
      <c r="Q2161" s="223"/>
      <c r="R2161" s="223" t="str">
        <f t="array" ref="R2161:R2162">{"ADVANCEDL11";((IF("11"=(INDEX(ALLCLASSDATA,MATCH("AdvancedLegendary",CLASSFEATUREHEADERS,0),MATCH($A2162,CLASSNAMEHEADERS,0))),(INDEX(ALLCLASSDATA,MATCH("AdvancedLegendary",CLASSFEATUREHEADERS,0),MATCH(($A2162 &amp; "Points"),CLASSNAMEHEADERS,0))),(IF("11"=(INDEX(ALLCLASSDATA,MATCH("AdvancedMaster",CLASSFEATUREHEADERS,0),MATCH($A2162,CLASSNAMEHEADERS,0))),(INDEX(ALLCLASSDATA,MATCH("AdvancedMaster",CLASSFEATUREHEADERS,0),MATCH(($A2162 &amp; "Points"),CLASSNAMEHEADERS,0))),(IF("11"=(INDEX(ALLCLASSDATA,MATCH("AdvancedExpert",CLASSFEATUREHEADERS,0),MATCH($A2162,CLASSNAMEHEADERS,0))),(INDEX(ALLCLASSDATA,MATCH("AdvancedExpert",CLASSFEATUREHEADERS,0),MATCH(($A2162 &amp; "Points"),CLASSNAMEHEADERS,0))),(IF("11"=(INDEX(ALLCLASSDATA,MATCH("AdvancedTrained",CLASSFEATUREHEADERS,0),MATCH($A2162,CLASSNAMEHEADERS,0))),(INDEX(ALLCLASSDATA,MATCH("AdvancedTrained",CLASSFEATUREHEADERS,0),MATCH(($A2162 &amp; "Points"),CLASSNAMEHEADERS,0))),"")))))))))}</f>
        <v>ADVANCEDL11</v>
      </c>
      <c r="S2161" s="223"/>
      <c r="T2161" s="223" t="str">
        <f t="array" ref="T2161:T2162">{"ADVANCEDL13";((IF("13"=(INDEX(ALLCLASSDATA,MATCH("AdvancedLegendary",CLASSFEATUREHEADERS,0),MATCH($A2162,CLASSNAMEHEADERS,0))),(INDEX(ALLCLASSDATA,MATCH("AdvancedLegendary",CLASSFEATUREHEADERS,0),MATCH(($A2162 &amp; "Points"),CLASSNAMEHEADERS,0))),(IF("13"=(INDEX(ALLCLASSDATA,MATCH("AdvancedMaster",CLASSFEATUREHEADERS,0),MATCH($A2162,CLASSNAMEHEADERS,0))),(INDEX(ALLCLASSDATA,MATCH("AdvancedMaster",CLASSFEATUREHEADERS,0),MATCH(($A2162 &amp; "Points"),CLASSNAMEHEADERS,0))),(IF("13"=(INDEX(ALLCLASSDATA,MATCH("AdvancedExpert",CLASSFEATUREHEADERS,0),MATCH($A2162,CLASSNAMEHEADERS,0))),(INDEX(ALLCLASSDATA,MATCH("AdvancedExpert",CLASSFEATUREHEADERS,0),MATCH(($A2162 &amp; "Points"),CLASSNAMEHEADERS,0))),(IF("13"=(INDEX(ALLCLASSDATA,MATCH("AdvancedTrained",CLASSFEATUREHEADERS,0),MATCH($A2162,CLASSNAMEHEADERS,0))),(INDEX(ALLCLASSDATA,MATCH("AdvancedTrained",CLASSFEATUREHEADERS,0),MATCH(($A2162 &amp; "Points"),CLASSNAMEHEADERS,0))),"")))))))))}</f>
        <v>ADVANCEDL13</v>
      </c>
      <c r="U2161" s="223"/>
      <c r="V2161" s="223" t="str">
        <f t="array" ref="V2161:V2162">{"ADVANCEDL15";((IF("15"=(INDEX(ALLCLASSDATA,MATCH("AdvancedLegendary",CLASSFEATUREHEADERS,0),MATCH($A2162,CLASSNAMEHEADERS,0))),(INDEX(ALLCLASSDATA,MATCH("AdvancedLegendary",CLASSFEATUREHEADERS,0),MATCH(($A2162 &amp; "Points"),CLASSNAMEHEADERS,0))),(IF("15"=(INDEX(ALLCLASSDATA,MATCH("AdvancedMaster",CLASSFEATUREHEADERS,0),MATCH($A2162,CLASSNAMEHEADERS,0))),(INDEX(ALLCLASSDATA,MATCH("AdvancedMaster",CLASSFEATUREHEADERS,0),MATCH(($A2162 &amp; "Points"),CLASSNAMEHEADERS,0))),(IF("15"=(INDEX(ALLCLASSDATA,MATCH("AdvancedExpert",CLASSFEATUREHEADERS,0),MATCH($A2162,CLASSNAMEHEADERS,0))),(INDEX(ALLCLASSDATA,MATCH("AdvancedExpert",CLASSFEATUREHEADERS,0),MATCH(($A2162 &amp; "Points"),CLASSNAMEHEADERS,0))),(IF("15"=(INDEX(ALLCLASSDATA,MATCH("AdvancedTrained",CLASSFEATUREHEADERS,0),MATCH($A2162,CLASSNAMEHEADERS,0))),(INDEX(ALLCLASSDATA,MATCH("AdvancedTrained",CLASSFEATUREHEADERS,0),MATCH(($A2162 &amp; "Points"),CLASSNAMEHEADERS,0))),"")))))))))}</f>
        <v>ADVANCEDL15</v>
      </c>
      <c r="W2161" s="223"/>
      <c r="X2161" s="223" t="str">
        <f t="array" ref="X2161:X2162">{"ADVANCEDL17";((IF("17"=(INDEX(ALLCLASSDATA,MATCH("AdvancedLegendary",CLASSFEATUREHEADERS,0),MATCH($A2162,CLASSNAMEHEADERS,0))),(INDEX(ALLCLASSDATA,MATCH("AdvancedLegendary",CLASSFEATUREHEADERS,0),MATCH(($A2162 &amp; "Points"),CLASSNAMEHEADERS,0))),(IF("17"=(INDEX(ALLCLASSDATA,MATCH("AdvancedMaster",CLASSFEATUREHEADERS,0),MATCH($A2162,CLASSNAMEHEADERS,0))),(INDEX(ALLCLASSDATA,MATCH("AdvancedMaster",CLASSFEATUREHEADERS,0),MATCH(($A2162 &amp; "Points"),CLASSNAMEHEADERS,0))),(IF("17"=(INDEX(ALLCLASSDATA,MATCH("AdvancedExpert",CLASSFEATUREHEADERS,0),MATCH($A2162,CLASSNAMEHEADERS,0))),(INDEX(ALLCLASSDATA,MATCH("AdvancedExpert",CLASSFEATUREHEADERS,0),MATCH(($A2162 &amp; "Points"),CLASSNAMEHEADERS,0))),(IF("17"=(INDEX(ALLCLASSDATA,MATCH("AdvancedTrained",CLASSFEATUREHEADERS,0),MATCH($A2162,CLASSNAMEHEADERS,0))),(INDEX(ALLCLASSDATA,MATCH("AdvancedTrained",CLASSFEATUREHEADERS,0),MATCH(($A2162 &amp; "Points"),CLASSNAMEHEADERS,0))),"")))))))))}</f>
        <v>ADVANCEDL17</v>
      </c>
      <c r="Y2161" s="223"/>
      <c r="Z2161" s="223" t="str">
        <f t="array" ref="Z2161:Z2162">{"ADVANCEDL19";((IF("19"=(INDEX(ALLCLASSDATA,MATCH("AdvancedLegendary",CLASSFEATUREHEADERS,0),MATCH($A2162,CLASSNAMEHEADERS,0))),(INDEX(ALLCLASSDATA,MATCH("AdvancedLegendary",CLASSFEATUREHEADERS,0),MATCH(($A2162 &amp; "Points"),CLASSNAMEHEADERS,0))),(IF("19"=(INDEX(ALLCLASSDATA,MATCH("AdvancedMaster",CLASSFEATUREHEADERS,0),MATCH($A2162,CLASSNAMEHEADERS,0))),(INDEX(ALLCLASSDATA,MATCH("AdvancedMaster",CLASSFEATUREHEADERS,0),MATCH(($A2162 &amp; "Points"),CLASSNAMEHEADERS,0))),(IF("19"=(INDEX(ALLCLASSDATA,MATCH("AdvancedExpert",CLASSFEATUREHEADERS,0),MATCH($A2162,CLASSNAMEHEADERS,0))),(INDEX(ALLCLASSDATA,MATCH("AdvancedExpert",CLASSFEATUREHEADERS,0),MATCH(($A2162 &amp; "Points"),CLASSNAMEHEADERS,0))),(IF("19"=(INDEX(ALLCLASSDATA,MATCH("AdvancedTrained",CLASSFEATUREHEADERS,0),MATCH($A2162,CLASSNAMEHEADERS,0))),(INDEX(ALLCLASSDATA,MATCH("AdvancedTrained",CLASSFEATUREHEADERS,0),MATCH(($A2162 &amp; "Points"),CLASSNAMEHEADERS,0))),"")))))))))}</f>
        <v>ADVANCEDL19</v>
      </c>
      <c r="AA2161" s="223"/>
      <c r="AB2161" s="76" t="str">
        <f t="array" ref="AB2161:AB2162">{"ADVANCED TOTAL";(IF(COUNTBLANK(G2162:AA2162)=17,"L",(IF(COUNTBLANK(G2162:AA2162)=18,"M",(IF(COUNTBLANK(G2162:AA2162)=19,"E",(IF(COUNTBLANK(G2162:AA2162)=20,"T",""))))))))}</f>
        <v>ADVANCED TOTAL</v>
      </c>
      <c r="AC2161" s="76" t="str">
        <f t="array" ref="AC2161:AC2162">{"ADVANCED TOTAL";(sum(G2162:AA2162))}</f>
        <v>ADVANCED TOTAL</v>
      </c>
    </row>
    <row r="2162">
      <c r="A2162" s="48" t="s">
        <v>238</v>
      </c>
      <c r="B2162" s="48"/>
      <c r="C2162" s="48" t="e">
        <v>#N/A</v>
      </c>
      <c r="D2162" s="97" t="s">
        <v>1634</v>
      </c>
      <c r="E2162" s="97" t="s">
        <v>602</v>
      </c>
      <c r="F2162" s="98" t="e">
        <v>#N/A</v>
      </c>
      <c r="G2162" s="132" t="e">
        <v>#N/A</v>
      </c>
      <c r="H2162" s="98" t="e">
        <v>#N/A</v>
      </c>
      <c r="I2162" s="98"/>
      <c r="J2162" s="98" t="e">
        <v>#N/A</v>
      </c>
      <c r="K2162" s="98"/>
      <c r="L2162" s="98" t="e">
        <v>#N/A</v>
      </c>
      <c r="M2162" s="98"/>
      <c r="N2162" s="98" t="e">
        <v>#N/A</v>
      </c>
      <c r="O2162" s="98"/>
      <c r="P2162" s="98" t="e">
        <v>#N/A</v>
      </c>
      <c r="Q2162" s="98"/>
      <c r="R2162" s="98" t="e">
        <v>#N/A</v>
      </c>
      <c r="S2162" s="98"/>
      <c r="T2162" s="98" t="e">
        <v>#N/A</v>
      </c>
      <c r="U2162" s="98"/>
      <c r="V2162" s="98" t="e">
        <v>#N/A</v>
      </c>
      <c r="W2162" s="98"/>
      <c r="X2162" s="98" t="e">
        <v>#N/A</v>
      </c>
      <c r="Y2162" s="98"/>
      <c r="Z2162" s="98" t="e">
        <v>#N/A</v>
      </c>
      <c r="AA2162" s="98"/>
      <c r="AB2162" s="5" t="s">
        <v>603</v>
      </c>
      <c r="AC2162" s="47" t="e">
        <v>#N/A</v>
      </c>
    </row>
    <row r="2163" hidden="1">
      <c r="A2163" s="222" t="str">
        <f t="array" ref="A2163:A2164">{"FormulaRow34";(INDEX(CLASSLIST,A2096,1))}</f>
        <v>FormulaRow34</v>
      </c>
      <c r="B2163" s="77" t="s">
        <v>236</v>
      </c>
      <c r="C2163" s="222" t="str">
        <f t="array" ref="C2163:C2164">{"CLASSTYPE";((INDEX(ALLCLASSDATA,MATCH("ClassType",CLASSFEATUREHEADERS,0),MATCH($A2164,CLASSNAMEHEADERS,0))))}</f>
        <v>CLASSTYPE</v>
      </c>
      <c r="D2163" s="222" t="str">
        <f t="array" ref="D2163:D2164">{"DEFENSE";"Defense"}</f>
        <v>DEFENSE</v>
      </c>
      <c r="E2163" s="222" t="str">
        <f t="array" ref="E2163:E2164">{"ARMORSPECIAL";"ArmorAS"}</f>
        <v>ARMORSPECIAL</v>
      </c>
      <c r="F2163" s="223"/>
      <c r="G2163" s="223"/>
      <c r="H2163" s="223" t="str">
        <f t="array" ref="H2163:H2164">{"ARMORSPECIALL01";((IF("01"=INDEX(ALLCLASSDATA,MATCH("ArmorSpecialization",CLASSFEATUREHEADERS,0),MATCH($A2164,CLASSNAMEHEADERS,0)),ArmorAS,"")))}</f>
        <v>ARMORSPECIALL01</v>
      </c>
      <c r="I2163" s="223"/>
      <c r="J2163" s="223" t="str">
        <f t="array" ref="J2163:J2164">{"ARMORSPECIALL03";((IF("03"=INDEX(ALLCLASSDATA,MATCH("ArmorSpecialization",CLASSFEATUREHEADERS,0),MATCH($A2164,CLASSNAMEHEADERS,0)),ArmorAS,"")))}</f>
        <v>ARMORSPECIALL03</v>
      </c>
      <c r="K2163" s="223"/>
      <c r="L2163" s="223" t="str">
        <f t="array" ref="L2163:L2164">{"ARMORSPECIALL05";((IF("05"=INDEX(ALLCLASSDATA,MATCH("ArmorSpecialization",CLASSFEATUREHEADERS,0),MATCH($A2164,CLASSNAMEHEADERS,0)),ArmorAS,"")))}</f>
        <v>ARMORSPECIALL05</v>
      </c>
      <c r="M2163" s="223"/>
      <c r="N2163" s="223" t="str">
        <f t="array" ref="N2163:N2164">{"ARMORSPECIALL07";((IF("07"=INDEX(ALLCLASSDATA,MATCH("ArmorSpecialization",CLASSFEATUREHEADERS,0),MATCH($A2164,CLASSNAMEHEADERS,0)),ArmorAS,"")))}</f>
        <v>ARMORSPECIALL07</v>
      </c>
      <c r="O2163" s="223"/>
      <c r="P2163" s="223" t="str">
        <f t="array" ref="P2163:P2164">{"ARMORSPECIALL09";((IF("09"=INDEX(ALLCLASSDATA,MATCH("ArmorSpecialization",CLASSFEATUREHEADERS,0),MATCH($A2164,CLASSNAMEHEADERS,0)),ArmorAS,"")))}</f>
        <v>ARMORSPECIALL09</v>
      </c>
      <c r="Q2163" s="223"/>
      <c r="R2163" s="223" t="str">
        <f t="array" ref="R2163:R2164">{"ARMORSPECIALL11";((IF("11"=INDEX(ALLCLASSDATA,MATCH("ArmorSpecialization",CLASSFEATUREHEADERS,0),MATCH($A2164,CLASSNAMEHEADERS,0)),ArmorAS,"")))}</f>
        <v>ARMORSPECIALL11</v>
      </c>
      <c r="S2163" s="223"/>
      <c r="T2163" s="223" t="str">
        <f t="array" ref="T2163:T2164">{"ARMORSPECIALL13";((IF("13"=INDEX(ALLCLASSDATA,MATCH("ArmorSpecialization",CLASSFEATUREHEADERS,0),MATCH($A2164,CLASSNAMEHEADERS,0)),ArmorAS,"")))}</f>
        <v>ARMORSPECIALL13</v>
      </c>
      <c r="U2163" s="223"/>
      <c r="V2163" s="223" t="str">
        <f t="array" ref="V2163:V2164">{"ARMORSPECIALL15";((IF("15"=INDEX(ALLCLASSDATA,MATCH("ArmorSpecialization",CLASSFEATUREHEADERS,0),MATCH($A2164,CLASSNAMEHEADERS,0)),ArmorAS,"")))}</f>
        <v>ARMORSPECIALL15</v>
      </c>
      <c r="W2163" s="223"/>
      <c r="X2163" s="223" t="str">
        <f t="array" ref="X2163:X2164">{"ARMORSPECIALL17";((IF("17"=INDEX(ALLCLASSDATA,MATCH("ArmorSpecialization",CLASSFEATUREHEADERS,0),MATCH($A2164,CLASSNAMEHEADERS,0)),ArmorAS,"")))}</f>
        <v>ARMORSPECIALL17</v>
      </c>
      <c r="Y2163" s="223"/>
      <c r="Z2163" s="223" t="str">
        <f t="array" ref="Z2163:Z2164">{"ARMORSPECIALL19";((IF("19"=INDEX(ALLCLASSDATA,MATCH("ArmorSpecialization",CLASSFEATUREHEADERS,0),MATCH($A2164,CLASSNAMEHEADERS,0)),ArmorAS,"")))}</f>
        <v>ARMORSPECIALL19</v>
      </c>
      <c r="AA2163" s="223"/>
      <c r="AB2163" s="76"/>
      <c r="AC2163" s="76" t="str">
        <f t="array" ref="AC2163:AC2164">{"ARMORSPECIAL TOTAL";(sum(G2164:AA2164))}</f>
        <v>ARMORSPECIAL TOTAL</v>
      </c>
    </row>
    <row r="2164">
      <c r="A2164" s="48" t="s">
        <v>238</v>
      </c>
      <c r="B2164" s="48"/>
      <c r="C2164" s="48" t="e">
        <v>#N/A</v>
      </c>
      <c r="D2164" s="48" t="s">
        <v>1900</v>
      </c>
      <c r="E2164" s="48" t="s">
        <v>51</v>
      </c>
      <c r="F2164" s="5"/>
      <c r="G2164" s="47"/>
      <c r="H2164" s="5" t="e">
        <v>#N/A</v>
      </c>
      <c r="I2164" s="5"/>
      <c r="J2164" s="5" t="e">
        <v>#N/A</v>
      </c>
      <c r="K2164" s="5"/>
      <c r="L2164" s="5" t="e">
        <v>#N/A</v>
      </c>
      <c r="M2164" s="5"/>
      <c r="N2164" s="5" t="e">
        <v>#N/A</v>
      </c>
      <c r="O2164" s="5"/>
      <c r="P2164" s="5" t="e">
        <v>#N/A</v>
      </c>
      <c r="Q2164" s="5"/>
      <c r="R2164" s="5" t="e">
        <v>#N/A</v>
      </c>
      <c r="S2164" s="5"/>
      <c r="T2164" s="5" t="e">
        <v>#N/A</v>
      </c>
      <c r="U2164" s="5"/>
      <c r="V2164" s="5" t="e">
        <v>#N/A</v>
      </c>
      <c r="W2164" s="5"/>
      <c r="X2164" s="5" t="e">
        <v>#N/A</v>
      </c>
      <c r="Y2164" s="5"/>
      <c r="Z2164" s="5" t="e">
        <v>#N/A</v>
      </c>
      <c r="AA2164" s="5"/>
      <c r="AB2164" s="5"/>
      <c r="AC2164" s="47" t="e">
        <v>#N/A</v>
      </c>
    </row>
    <row r="2165" hidden="1">
      <c r="A2165" s="222" t="str">
        <f t="array" ref="A2165:A2166">{"FormulaRow35";(INDEX(CLASSLIST,A2096,1))}</f>
        <v>FormulaRow35</v>
      </c>
      <c r="B2165" s="77" t="s">
        <v>236</v>
      </c>
      <c r="C2165" s="222" t="str">
        <f t="array" ref="C2165:C2166">{"CLASSTYPE";((INDEX(ALLCLASSDATA,MATCH("ClassType",CLASSFEATUREHEADERS,0),MATCH($A2166,CLASSNAMEHEADERS,0))))}</f>
        <v>CLASSTYPE</v>
      </c>
      <c r="D2165" s="222" t="str">
        <f t="array" ref="D2165:D2166">{"DEFENSE";"Defense"}</f>
        <v>DEFENSE</v>
      </c>
      <c r="E2165" s="222" t="str">
        <f t="array" ref="E2165:E2166">{"UNARMORED";"Unarmored"}</f>
        <v>UNARMORED</v>
      </c>
      <c r="F2165" s="223" t="str">
        <f t="array" ref="F2165:F2166">{"UNARMOREDINITIAL";((IF(H2166=10,"T",(IF(H2166=50,"E","")))))}</f>
        <v>UNARMOREDINITIAL</v>
      </c>
      <c r="G2165" s="223" t="str">
        <f t="array" ref="G2165:G2166">{"UNARMOREDINITIALPTS";((IF("00"=(INDEX(ALLCLASSDATA,MATCH("UnarmoredLegendary",CLASSFEATUREHEADERS,0),MATCH($A2166,CLASSNAMEHEADERS,0))),(INDEX(ALLCLASSDATA,MATCH("UnarmoredLegendary",CLASSFEATUREHEADERS,0),MATCH(($A2166 &amp; "Points"),CLASSNAMEHEADERS,0))),(IF("00"=(INDEX(ALLCLASSDATA,MATCH("UnarmoredMaster",CLASSFEATUREHEADERS,0),MATCH($A2166,CLASSNAMEHEADERS,0))),(INDEX(ALLCLASSDATA,MATCH("UnarmoredMaster",CLASSFEATUREHEADERS,0),MATCH(($A2166 &amp; "Points"),CLASSNAMEHEADERS,0))),(IF("00"=(INDEX(ALLCLASSDATA,MATCH("UnarmoredExpert",CLASSFEATUREHEADERS,0),MATCH($A2166,CLASSNAMEHEADERS,0))),(INDEX(ALLCLASSDATA,MATCH("UnarmoredExpert",CLASSFEATUREHEADERS,0),MATCH(($A2166 &amp; "Points"),CLASSNAMEHEADERS,0))),(IF("00"=(INDEX(ALLCLASSDATA,MATCH("UnarmoredTrained",CLASSFEATUREHEADERS,0),MATCH($A2166,CLASSNAMEHEADERS,0))),(INDEX(ALLCLASSDATA,MATCH("UnarmoredTrained",CLASSFEATUREHEADERS,0),MATCH(($A2166 &amp; "Points"),CLASSNAMEHEADERS,0))),"")))))))))}</f>
        <v>UNARMOREDINITIALPTS</v>
      </c>
      <c r="H2165" s="223" t="str">
        <f t="array" ref="H2165:H2166">{"UNARMOREDL01";((IF("01"=(INDEX(ALLCLASSDATA,MATCH("UnarmoredLegendary",CLASSFEATUREHEADERS,0),MATCH($A2166,CLASSNAMEHEADERS,0))),(INDEX(ALLCLASSDATA,MATCH("UnarmoredLegendary",CLASSFEATUREHEADERS,0),MATCH(($A2166 &amp; "Points"),CLASSNAMEHEADERS,0))),(IF("01"=(INDEX(ALLCLASSDATA,MATCH("UnarmoredMaster",CLASSFEATUREHEADERS,0),MATCH($A2166,CLASSNAMEHEADERS,0))),(INDEX(ALLCLASSDATA,MATCH("UnarmoredMaster",CLASSFEATUREHEADERS,0),MATCH(($A2166 &amp; "Points"),CLASSNAMEHEADERS,0))),(IF("01"=(INDEX(ALLCLASSDATA,MATCH("UnarmoredExpert",CLASSFEATUREHEADERS,0),MATCH($A2166,CLASSNAMEHEADERS,0))),(INDEX(ALLCLASSDATA,MATCH("UnarmoredExpert",CLASSFEATUREHEADERS,0),MATCH(($A2166 &amp; "Points"),CLASSNAMEHEADERS,0))),(IF("01"=(INDEX(ALLCLASSDATA,MATCH("UnarmoredTrained",CLASSFEATUREHEADERS,0),MATCH($A2166,CLASSNAMEHEADERS,0))),(INDEX(ALLCLASSDATA,MATCH("UnarmoredTrained",CLASSFEATUREHEADERS,0),MATCH(($A2166 &amp; "Points"),CLASSNAMEHEADERS,0))),"")))))))))}</f>
        <v>UNARMOREDL01</v>
      </c>
      <c r="I2165" s="223"/>
      <c r="J2165" s="223" t="str">
        <f t="array" ref="J2165:J2166">{"UNARMOREDL03";((IF("03"=(INDEX(ALLCLASSDATA,MATCH("UnarmoredLegendary",CLASSFEATUREHEADERS,0),MATCH($A2166,CLASSNAMEHEADERS,0))),(INDEX(ALLCLASSDATA,MATCH("UnarmoredLegendary",CLASSFEATUREHEADERS,0),MATCH(($A2166 &amp; "Points"),CLASSNAMEHEADERS,0))),(IF("03"=(INDEX(ALLCLASSDATA,MATCH("UnarmoredMaster",CLASSFEATUREHEADERS,0),MATCH($A2166,CLASSNAMEHEADERS,0))),(INDEX(ALLCLASSDATA,MATCH("UnarmoredMaster",CLASSFEATUREHEADERS,0),MATCH(($A2166 &amp; "Points"),CLASSNAMEHEADERS,0))),(IF("03"=(INDEX(ALLCLASSDATA,MATCH("UnarmoredExpert",CLASSFEATUREHEADERS,0),MATCH($A2166,CLASSNAMEHEADERS,0))),(INDEX(ALLCLASSDATA,MATCH("UnarmoredExpert",CLASSFEATUREHEADERS,0),MATCH(($A2166 &amp; "Points"),CLASSNAMEHEADERS,0))),(IF("03"=(INDEX(ALLCLASSDATA,MATCH("UnarmoredTrained",CLASSFEATUREHEADERS,0),MATCH($A2166,CLASSNAMEHEADERS,0))),(INDEX(ALLCLASSDATA,MATCH("UnarmoredTrained",CLASSFEATUREHEADERS,0),MATCH(($A2166 &amp; "Points"),CLASSNAMEHEADERS,0))),"")))))))))}</f>
        <v>UNARMOREDL03</v>
      </c>
      <c r="K2165" s="223"/>
      <c r="L2165" s="223" t="str">
        <f t="array" ref="L2165:L2166">{"UNARMOREDL05";((IF("05"=(INDEX(ALLCLASSDATA,MATCH("UnarmoredLegendary",CLASSFEATUREHEADERS,0),MATCH($A2166,CLASSNAMEHEADERS,0))),(INDEX(ALLCLASSDATA,MATCH("UnarmoredLegendary",CLASSFEATUREHEADERS,0),MATCH(($A2166 &amp; "Points"),CLASSNAMEHEADERS,0))),(IF("05"=(INDEX(ALLCLASSDATA,MATCH("UnarmoredMaster",CLASSFEATUREHEADERS,0),MATCH($A2166,CLASSNAMEHEADERS,0))),(INDEX(ALLCLASSDATA,MATCH("UnarmoredMaster",CLASSFEATUREHEADERS,0),MATCH(($A2166 &amp; "Points"),CLASSNAMEHEADERS,0))),(IF("05"=(INDEX(ALLCLASSDATA,MATCH("UnarmoredExpert",CLASSFEATUREHEADERS,0),MATCH($A2166,CLASSNAMEHEADERS,0))),(INDEX(ALLCLASSDATA,MATCH("UnarmoredExpert",CLASSFEATUREHEADERS,0),MATCH(($A2166 &amp; "Points"),CLASSNAMEHEADERS,0))),(IF("05"=(INDEX(ALLCLASSDATA,MATCH("UnarmoredTrained",CLASSFEATUREHEADERS,0),MATCH($A2166,CLASSNAMEHEADERS,0))),(INDEX(ALLCLASSDATA,MATCH("UnarmoredTrained",CLASSFEATUREHEADERS,0),MATCH(($A2166 &amp; "Points"),CLASSNAMEHEADERS,0))),"")))))))))}</f>
        <v>UNARMOREDL05</v>
      </c>
      <c r="M2165" s="223"/>
      <c r="N2165" s="223" t="str">
        <f t="array" ref="N2165:N2166">{"UNARMOREDL07";((IF("07"=(INDEX(ALLCLASSDATA,MATCH("UnarmoredLegendary",CLASSFEATUREHEADERS,0),MATCH($A2166,CLASSNAMEHEADERS,0))),(INDEX(ALLCLASSDATA,MATCH("UnarmoredLegendary",CLASSFEATUREHEADERS,0),MATCH(($A2166 &amp; "Points"),CLASSNAMEHEADERS,0))),(IF("07"=(INDEX(ALLCLASSDATA,MATCH("UnarmoredMaster",CLASSFEATUREHEADERS,0),MATCH($A2166,CLASSNAMEHEADERS,0))),(INDEX(ALLCLASSDATA,MATCH("UnarmoredMaster",CLASSFEATUREHEADERS,0),MATCH(($A2166 &amp; "Points"),CLASSNAMEHEADERS,0))),(IF("07"=(INDEX(ALLCLASSDATA,MATCH("UnarmoredExpert",CLASSFEATUREHEADERS,0),MATCH($A2166,CLASSNAMEHEADERS,0))),(INDEX(ALLCLASSDATA,MATCH("UnarmoredExpert",CLASSFEATUREHEADERS,0),MATCH(($A2166 &amp; "Points"),CLASSNAMEHEADERS,0))),(IF("07"=(INDEX(ALLCLASSDATA,MATCH("UnarmoredTrained",CLASSFEATUREHEADERS,0),MATCH($A2166,CLASSNAMEHEADERS,0))),(INDEX(ALLCLASSDATA,MATCH("UnarmoredTrained",CLASSFEATUREHEADERS,0),MATCH(($A2166 &amp; "Points"),CLASSNAMEHEADERS,0))),"")))))))))}</f>
        <v>UNARMOREDL07</v>
      </c>
      <c r="O2165" s="223"/>
      <c r="P2165" s="223" t="str">
        <f t="array" ref="P2165:P2166">{"UNARMOREDL09";((IF("09"=(INDEX(ALLCLASSDATA,MATCH("UnarmoredLegendary",CLASSFEATUREHEADERS,0),MATCH($A2166,CLASSNAMEHEADERS,0))),(INDEX(ALLCLASSDATA,MATCH("UnarmoredLegendary",CLASSFEATUREHEADERS,0),MATCH(($A2166 &amp; "Points"),CLASSNAMEHEADERS,0))),(IF("09"=(INDEX(ALLCLASSDATA,MATCH("UnarmoredMaster",CLASSFEATUREHEADERS,0),MATCH($A2166,CLASSNAMEHEADERS,0))),(INDEX(ALLCLASSDATA,MATCH("UnarmoredMaster",CLASSFEATUREHEADERS,0),MATCH(($A2166 &amp; "Points"),CLASSNAMEHEADERS,0))),(IF("09"=(INDEX(ALLCLASSDATA,MATCH("UnarmoredExpert",CLASSFEATUREHEADERS,0),MATCH($A2166,CLASSNAMEHEADERS,0))),(INDEX(ALLCLASSDATA,MATCH("UnarmoredExpert",CLASSFEATUREHEADERS,0),MATCH(($A2166 &amp; "Points"),CLASSNAMEHEADERS,0))),(IF("09"=(INDEX(ALLCLASSDATA,MATCH("UnarmoredTrained",CLASSFEATUREHEADERS,0),MATCH($A2166,CLASSNAMEHEADERS,0))),(INDEX(ALLCLASSDATA,MATCH("UnarmoredTrained",CLASSFEATUREHEADERS,0),MATCH(($A2166 &amp; "Points"),CLASSNAMEHEADERS,0))),"")))))))))}</f>
        <v>UNARMOREDL09</v>
      </c>
      <c r="Q2165" s="223"/>
      <c r="R2165" s="223" t="str">
        <f t="array" ref="R2165:R2166">{"UNARMOREDL11";((IF("11"=(INDEX(ALLCLASSDATA,MATCH("UnarmoredLegendary",CLASSFEATUREHEADERS,0),MATCH($A2166,CLASSNAMEHEADERS,0))),(INDEX(ALLCLASSDATA,MATCH("UnarmoredLegendary",CLASSFEATUREHEADERS,0),MATCH(($A2166 &amp; "Points"),CLASSNAMEHEADERS,0))),(IF("11"=(INDEX(ALLCLASSDATA,MATCH("UnarmoredMaster",CLASSFEATUREHEADERS,0),MATCH($A2166,CLASSNAMEHEADERS,0))),(INDEX(ALLCLASSDATA,MATCH("UnarmoredMaster",CLASSFEATUREHEADERS,0),MATCH(($A2166 &amp; "Points"),CLASSNAMEHEADERS,0))),(IF("11"=(INDEX(ALLCLASSDATA,MATCH("UnarmoredExpert",CLASSFEATUREHEADERS,0),MATCH($A2166,CLASSNAMEHEADERS,0))),(INDEX(ALLCLASSDATA,MATCH("UnarmoredExpert",CLASSFEATUREHEADERS,0),MATCH(($A2166 &amp; "Points"),CLASSNAMEHEADERS,0))),(IF("11"=(INDEX(ALLCLASSDATA,MATCH("UnarmoredTrained",CLASSFEATUREHEADERS,0),MATCH($A2166,CLASSNAMEHEADERS,0))),(INDEX(ALLCLASSDATA,MATCH("UnarmoredTrained",CLASSFEATUREHEADERS,0),MATCH(($A2166 &amp; "Points"),CLASSNAMEHEADERS,0))),"")))))))))}</f>
        <v>UNARMOREDL11</v>
      </c>
      <c r="S2165" s="223"/>
      <c r="T2165" s="223" t="str">
        <f t="array" ref="T2165:T2166">{"UNARMOREDL13";((IF("13"=(INDEX(ALLCLASSDATA,MATCH("UnarmoredLegendary",CLASSFEATUREHEADERS,0),MATCH($A2166,CLASSNAMEHEADERS,0))),(INDEX(ALLCLASSDATA,MATCH("UnarmoredLegendary",CLASSFEATUREHEADERS,0),MATCH(($A2166 &amp; "Points"),CLASSNAMEHEADERS,0))),(IF("13"=(INDEX(ALLCLASSDATA,MATCH("UnarmoredMaster",CLASSFEATUREHEADERS,0),MATCH($A2166,CLASSNAMEHEADERS,0))),(INDEX(ALLCLASSDATA,MATCH("UnarmoredMaster",CLASSFEATUREHEADERS,0),MATCH(($A2166 &amp; "Points"),CLASSNAMEHEADERS,0))),(IF("13"=(INDEX(ALLCLASSDATA,MATCH("UnarmoredExpert",CLASSFEATUREHEADERS,0),MATCH($A2166,CLASSNAMEHEADERS,0))),(INDEX(ALLCLASSDATA,MATCH("UnarmoredExpert",CLASSFEATUREHEADERS,0),MATCH(($A2166 &amp; "Points"),CLASSNAMEHEADERS,0))),(IF("13"=(INDEX(ALLCLASSDATA,MATCH("UnarmoredTrained",CLASSFEATUREHEADERS,0),MATCH($A2166,CLASSNAMEHEADERS,0))),(INDEX(ALLCLASSDATA,MATCH("UnarmoredTrained",CLASSFEATUREHEADERS,0),MATCH(($A2166 &amp; "Points"),CLASSNAMEHEADERS,0))),"")))))))))}</f>
        <v>UNARMOREDL13</v>
      </c>
      <c r="U2165" s="223"/>
      <c r="V2165" s="223" t="str">
        <f t="array" ref="V2165:V2166">{"UNARMOREDL15";((IF("15"=(INDEX(ALLCLASSDATA,MATCH("UnarmoredLegendary",CLASSFEATUREHEADERS,0),MATCH($A2166,CLASSNAMEHEADERS,0))),(INDEX(ALLCLASSDATA,MATCH("UnarmoredLegendary",CLASSFEATUREHEADERS,0),MATCH(($A2166 &amp; "Points"),CLASSNAMEHEADERS,0))),(IF("15"=(INDEX(ALLCLASSDATA,MATCH("UnarmoredMaster",CLASSFEATUREHEADERS,0),MATCH($A2166,CLASSNAMEHEADERS,0))),(INDEX(ALLCLASSDATA,MATCH("UnarmoredMaster",CLASSFEATUREHEADERS,0),MATCH(($A2166 &amp; "Points"),CLASSNAMEHEADERS,0))),(IF("15"=(INDEX(ALLCLASSDATA,MATCH("UnarmoredExpert",CLASSFEATUREHEADERS,0),MATCH($A2166,CLASSNAMEHEADERS,0))),(INDEX(ALLCLASSDATA,MATCH("UnarmoredExpert",CLASSFEATUREHEADERS,0),MATCH(($A2166 &amp; "Points"),CLASSNAMEHEADERS,0))),(IF("15"=(INDEX(ALLCLASSDATA,MATCH("UnarmoredTrained",CLASSFEATUREHEADERS,0),MATCH($A2166,CLASSNAMEHEADERS,0))),(INDEX(ALLCLASSDATA,MATCH("UnarmoredTrained",CLASSFEATUREHEADERS,0),MATCH(($A2166 &amp; "Points"),CLASSNAMEHEADERS,0))),"")))))))))}</f>
        <v>UNARMOREDL15</v>
      </c>
      <c r="W2165" s="223"/>
      <c r="X2165" s="223" t="str">
        <f t="array" ref="X2165:X2166">{"UNARMOREDL17";((IF("17"=(INDEX(ALLCLASSDATA,MATCH("UnarmoredLegendary",CLASSFEATUREHEADERS,0),MATCH($A2166,CLASSNAMEHEADERS,0))),(INDEX(ALLCLASSDATA,MATCH("UnarmoredLegendary",CLASSFEATUREHEADERS,0),MATCH(($A2166 &amp; "Points"),CLASSNAMEHEADERS,0))),(IF("17"=(INDEX(ALLCLASSDATA,MATCH("UnarmoredMaster",CLASSFEATUREHEADERS,0),MATCH($A2166,CLASSNAMEHEADERS,0))),(INDEX(ALLCLASSDATA,MATCH("UnarmoredMaster",CLASSFEATUREHEADERS,0),MATCH(($A2166 &amp; "Points"),CLASSNAMEHEADERS,0))),(IF("17"=(INDEX(ALLCLASSDATA,MATCH("UnarmoredExpert",CLASSFEATUREHEADERS,0),MATCH($A2166,CLASSNAMEHEADERS,0))),(INDEX(ALLCLASSDATA,MATCH("UnarmoredExpert",CLASSFEATUREHEADERS,0),MATCH(($A2166 &amp; "Points"),CLASSNAMEHEADERS,0))),(IF("17"=(INDEX(ALLCLASSDATA,MATCH("UnarmoredTrained",CLASSFEATUREHEADERS,0),MATCH($A2166,CLASSNAMEHEADERS,0))),(INDEX(ALLCLASSDATA,MATCH("UnarmoredTrained",CLASSFEATUREHEADERS,0),MATCH(($A2166 &amp; "Points"),CLASSNAMEHEADERS,0))),"")))))))))}</f>
        <v>UNARMOREDL17</v>
      </c>
      <c r="Y2165" s="223"/>
      <c r="Z2165" s="223" t="str">
        <f t="array" ref="Z2165:Z2166">{"UNARMOREDL19";((IF("19"=(INDEX(ALLCLASSDATA,MATCH("UnarmoredLegendary",CLASSFEATUREHEADERS,0),MATCH($A2166,CLASSNAMEHEADERS,0))),(INDEX(ALLCLASSDATA,MATCH("UnarmoredLegendary",CLASSFEATUREHEADERS,0),MATCH(($A2166 &amp; "Points"),CLASSNAMEHEADERS,0))),(IF("19"=(INDEX(ALLCLASSDATA,MATCH("UnarmoredMaster",CLASSFEATUREHEADERS,0),MATCH($A2166,CLASSNAMEHEADERS,0))),(INDEX(ALLCLASSDATA,MATCH("UnarmoredMaster",CLASSFEATUREHEADERS,0),MATCH(($A2166 &amp; "Points"),CLASSNAMEHEADERS,0))),(IF("19"=(INDEX(ALLCLASSDATA,MATCH("UnarmoredExpert",CLASSFEATUREHEADERS,0),MATCH($A2166,CLASSNAMEHEADERS,0))),(INDEX(ALLCLASSDATA,MATCH("UnarmoredExpert",CLASSFEATUREHEADERS,0),MATCH(($A2166 &amp; "Points"),CLASSNAMEHEADERS,0))),(IF("19"=(INDEX(ALLCLASSDATA,MATCH("UnarmoredTrained",CLASSFEATUREHEADERS,0),MATCH($A2166,CLASSNAMEHEADERS,0))),(INDEX(ALLCLASSDATA,MATCH("UnarmoredTrained",CLASSFEATUREHEADERS,0),MATCH(($A2166 &amp; "Points"),CLASSNAMEHEADERS,0))),"")))))))))}</f>
        <v>UNARMOREDL19</v>
      </c>
      <c r="AA2165" s="223"/>
      <c r="AB2165" s="76" t="str">
        <f t="array" ref="AB2165:AB2166">{"UNARMORED TOTAL";(IF(COUNTBLANK(G2166:AA2166)=17,"L",(IF(COUNTBLANK(G2166:AA2166)=18,"M",(IF(COUNTBLANK(G2166:AA2166)=19,"E",(IF(COUNTBLANK(G2166:AA2166)=20,"T",""))))))))}</f>
        <v>UNARMORED TOTAL</v>
      </c>
      <c r="AC2165" s="76" t="str">
        <f t="array" ref="AC2165:AC2166">{"UNARMORED TOTAL";(sum(G2166:AA2166))}</f>
        <v>UNARMORED TOTAL</v>
      </c>
    </row>
    <row r="2166">
      <c r="A2166" s="48" t="s">
        <v>238</v>
      </c>
      <c r="B2166" s="48"/>
      <c r="C2166" s="48" t="e">
        <v>#N/A</v>
      </c>
      <c r="D2166" s="48" t="s">
        <v>1900</v>
      </c>
      <c r="E2166" s="48" t="s">
        <v>78</v>
      </c>
      <c r="F2166" s="5" t="e">
        <v>#N/A</v>
      </c>
      <c r="G2166" s="47" t="e">
        <v>#N/A</v>
      </c>
      <c r="H2166" s="5" t="e">
        <v>#N/A</v>
      </c>
      <c r="I2166" s="5"/>
      <c r="J2166" s="5" t="e">
        <v>#N/A</v>
      </c>
      <c r="K2166" s="5"/>
      <c r="L2166" s="5" t="e">
        <v>#N/A</v>
      </c>
      <c r="M2166" s="5"/>
      <c r="N2166" s="5" t="e">
        <v>#N/A</v>
      </c>
      <c r="O2166" s="5"/>
      <c r="P2166" s="5" t="e">
        <v>#N/A</v>
      </c>
      <c r="Q2166" s="5"/>
      <c r="R2166" s="5" t="e">
        <v>#N/A</v>
      </c>
      <c r="S2166" s="5"/>
      <c r="T2166" s="5" t="e">
        <v>#N/A</v>
      </c>
      <c r="U2166" s="5"/>
      <c r="V2166" s="5" t="e">
        <v>#N/A</v>
      </c>
      <c r="W2166" s="5"/>
      <c r="X2166" s="5" t="e">
        <v>#N/A</v>
      </c>
      <c r="Y2166" s="5"/>
      <c r="Z2166" s="5" t="e">
        <v>#N/A</v>
      </c>
      <c r="AA2166" s="5"/>
      <c r="AB2166" s="5" t="s">
        <v>603</v>
      </c>
      <c r="AC2166" s="47" t="e">
        <v>#N/A</v>
      </c>
    </row>
    <row r="2167" hidden="1">
      <c r="A2167" s="222" t="str">
        <f t="array" ref="A2167:A2168">{"FormulaRow36";(INDEX(CLASSLIST,A2096,1))}</f>
        <v>FormulaRow36</v>
      </c>
      <c r="B2167" s="77" t="s">
        <v>236</v>
      </c>
      <c r="C2167" s="222" t="str">
        <f t="array" ref="C2167:C2168">{"CLASSTYPE";((INDEX(ALLCLASSDATA,MATCH("ClassType",CLASSFEATUREHEADERS,0),MATCH($A2168,CLASSNAMEHEADERS,0))))}</f>
        <v>CLASSTYPE</v>
      </c>
      <c r="D2167" s="222" t="str">
        <f t="array" ref="D2167:D2168">{"DEFENSE";"Defense"}</f>
        <v>DEFENSE</v>
      </c>
      <c r="E2167" s="222" t="str">
        <f t="array" ref="E2167:E2168">{"LIGHT";"Light"}</f>
        <v>LIGHT</v>
      </c>
      <c r="F2167" s="223" t="str">
        <f t="array" ref="F2167:F2168">{"LIGHTINITIAL";((IF(H2168=10,"T",(IF(H2168=50,"E","")))))}</f>
        <v>LIGHTINITIAL</v>
      </c>
      <c r="G2167" s="223" t="str">
        <f t="array" ref="G2167:G2168">{"LIGHTINITIALPTS";((IF("00"=(INDEX(ALLCLASSDATA,MATCH("LightLegendary",CLASSFEATUREHEADERS,0),MATCH($A2168,CLASSNAMEHEADERS,0))),(INDEX(ALLCLASSDATA,MATCH("LightLegendary",CLASSFEATUREHEADERS,0),MATCH(($A2168 &amp; "Points"),CLASSNAMEHEADERS,0))),(IF("00"=(INDEX(ALLCLASSDATA,MATCH("LightMaster",CLASSFEATUREHEADERS,0),MATCH($A2168,CLASSNAMEHEADERS,0))),(INDEX(ALLCLASSDATA,MATCH("LightMaster",CLASSFEATUREHEADERS,0),MATCH(($A2168 &amp; "Points"),CLASSNAMEHEADERS,0))),(IF("00"=(INDEX(ALLCLASSDATA,MATCH("LightExpert",CLASSFEATUREHEADERS,0),MATCH($A2168,CLASSNAMEHEADERS,0))),(INDEX(ALLCLASSDATA,MATCH("LightExpert",CLASSFEATUREHEADERS,0),MATCH(($A2168 &amp; "Points"),CLASSNAMEHEADERS,0))),(IF("00"=(INDEX(ALLCLASSDATA,MATCH("LightTrained",CLASSFEATUREHEADERS,0),MATCH($A2168,CLASSNAMEHEADERS,0))),(INDEX(ALLCLASSDATA,MATCH("LightTrained",CLASSFEATUREHEADERS,0),MATCH(($A2168 &amp; "Points"),CLASSNAMEHEADERS,0))),"")))))))))}</f>
        <v>LIGHTINITIALPTS</v>
      </c>
      <c r="H2167" s="223" t="str">
        <f t="array" ref="H2167:H2168">{"LIGHTL01";((IF("01"=(INDEX(ALLCLASSDATA,MATCH("LightLegendary",CLASSFEATUREHEADERS,0),MATCH($A2168,CLASSNAMEHEADERS,0))),(INDEX(ALLCLASSDATA,MATCH("LightLegendary",CLASSFEATUREHEADERS,0),MATCH(($A2168 &amp; "Points"),CLASSNAMEHEADERS,0))),(IF("01"=(INDEX(ALLCLASSDATA,MATCH("LightMaster",CLASSFEATUREHEADERS,0),MATCH($A2168,CLASSNAMEHEADERS,0))),(INDEX(ALLCLASSDATA,MATCH("LightMaster",CLASSFEATUREHEADERS,0),MATCH(($A2168 &amp; "Points"),CLASSNAMEHEADERS,0))),(IF("01"=(INDEX(ALLCLASSDATA,MATCH("LightExpert",CLASSFEATUREHEADERS,0),MATCH($A2168,CLASSNAMEHEADERS,0))),(INDEX(ALLCLASSDATA,MATCH("LightExpert",CLASSFEATUREHEADERS,0),MATCH(($A2168 &amp; "Points"),CLASSNAMEHEADERS,0))),(IF("01"=(INDEX(ALLCLASSDATA,MATCH("LightTrained",CLASSFEATUREHEADERS,0),MATCH($A2168,CLASSNAMEHEADERS,0))),(INDEX(ALLCLASSDATA,MATCH("LightTrained",CLASSFEATUREHEADERS,0),MATCH(($A2168 &amp; "Points"),CLASSNAMEHEADERS,0))),"")))))))))}</f>
        <v>LIGHTL01</v>
      </c>
      <c r="I2167" s="223"/>
      <c r="J2167" s="223" t="str">
        <f t="array" ref="J2167:J2168">{"LIGHTL03";((IF("03"=(INDEX(ALLCLASSDATA,MATCH("LightLegendary",CLASSFEATUREHEADERS,0),MATCH($A2168,CLASSNAMEHEADERS,0))),(INDEX(ALLCLASSDATA,MATCH("LightLegendary",CLASSFEATUREHEADERS,0),MATCH(($A2168 &amp; "Points"),CLASSNAMEHEADERS,0))),(IF("03"=(INDEX(ALLCLASSDATA,MATCH("LightMaster",CLASSFEATUREHEADERS,0),MATCH($A2168,CLASSNAMEHEADERS,0))),(INDEX(ALLCLASSDATA,MATCH("LightMaster",CLASSFEATUREHEADERS,0),MATCH(($A2168 &amp; "Points"),CLASSNAMEHEADERS,0))),(IF("03"=(INDEX(ALLCLASSDATA,MATCH("LightExpert",CLASSFEATUREHEADERS,0),MATCH($A2168,CLASSNAMEHEADERS,0))),(INDEX(ALLCLASSDATA,MATCH("LightExpert",CLASSFEATUREHEADERS,0),MATCH(($A2168 &amp; "Points"),CLASSNAMEHEADERS,0))),(IF("03"=(INDEX(ALLCLASSDATA,MATCH("LightTrained",CLASSFEATUREHEADERS,0),MATCH($A2168,CLASSNAMEHEADERS,0))),(INDEX(ALLCLASSDATA,MATCH("LightTrained",CLASSFEATUREHEADERS,0),MATCH(($A2168 &amp; "Points"),CLASSNAMEHEADERS,0))),"")))))))))}</f>
        <v>LIGHTL03</v>
      </c>
      <c r="K2167" s="223"/>
      <c r="L2167" s="223" t="str">
        <f t="array" ref="L2167:L2168">{"LIGHTL05";((IF("05"=(INDEX(ALLCLASSDATA,MATCH("LightLegendary",CLASSFEATUREHEADERS,0),MATCH($A2168,CLASSNAMEHEADERS,0))),(INDEX(ALLCLASSDATA,MATCH("LightLegendary",CLASSFEATUREHEADERS,0),MATCH(($A2168 &amp; "Points"),CLASSNAMEHEADERS,0))),(IF("05"=(INDEX(ALLCLASSDATA,MATCH("LightMaster",CLASSFEATUREHEADERS,0),MATCH($A2168,CLASSNAMEHEADERS,0))),(INDEX(ALLCLASSDATA,MATCH("LightMaster",CLASSFEATUREHEADERS,0),MATCH(($A2168 &amp; "Points"),CLASSNAMEHEADERS,0))),(IF("05"=(INDEX(ALLCLASSDATA,MATCH("LightExpert",CLASSFEATUREHEADERS,0),MATCH($A2168,CLASSNAMEHEADERS,0))),(INDEX(ALLCLASSDATA,MATCH("LightExpert",CLASSFEATUREHEADERS,0),MATCH(($A2168 &amp; "Points"),CLASSNAMEHEADERS,0))),(IF("05"=(INDEX(ALLCLASSDATA,MATCH("LightTrained",CLASSFEATUREHEADERS,0),MATCH($A2168,CLASSNAMEHEADERS,0))),(INDEX(ALLCLASSDATA,MATCH("LightTrained",CLASSFEATUREHEADERS,0),MATCH(($A2168 &amp; "Points"),CLASSNAMEHEADERS,0))),"")))))))))}</f>
        <v>LIGHTL05</v>
      </c>
      <c r="M2167" s="223"/>
      <c r="N2167" s="223" t="str">
        <f t="array" ref="N2167:N2168">{"LIGHTL07";((IF("07"=(INDEX(ALLCLASSDATA,MATCH("LightLegendary",CLASSFEATUREHEADERS,0),MATCH($A2168,CLASSNAMEHEADERS,0))),(INDEX(ALLCLASSDATA,MATCH("LightLegendary",CLASSFEATUREHEADERS,0),MATCH(($A2168 &amp; "Points"),CLASSNAMEHEADERS,0))),(IF("07"=(INDEX(ALLCLASSDATA,MATCH("LightMaster",CLASSFEATUREHEADERS,0),MATCH($A2168,CLASSNAMEHEADERS,0))),(INDEX(ALLCLASSDATA,MATCH("LightMaster",CLASSFEATUREHEADERS,0),MATCH(($A2168 &amp; "Points"),CLASSNAMEHEADERS,0))),(IF("07"=(INDEX(ALLCLASSDATA,MATCH("LightExpert",CLASSFEATUREHEADERS,0),MATCH($A2168,CLASSNAMEHEADERS,0))),(INDEX(ALLCLASSDATA,MATCH("LightExpert",CLASSFEATUREHEADERS,0),MATCH(($A2168 &amp; "Points"),CLASSNAMEHEADERS,0))),(IF("07"=(INDEX(ALLCLASSDATA,MATCH("LightTrained",CLASSFEATUREHEADERS,0),MATCH($A2168,CLASSNAMEHEADERS,0))),(INDEX(ALLCLASSDATA,MATCH("LightTrained",CLASSFEATUREHEADERS,0),MATCH(($A2168 &amp; "Points"),CLASSNAMEHEADERS,0))),"")))))))))}</f>
        <v>LIGHTL07</v>
      </c>
      <c r="O2167" s="223"/>
      <c r="P2167" s="223" t="str">
        <f t="array" ref="P2167:P2168">{"LIGHTL09";((IF("09"=(INDEX(ALLCLASSDATA,MATCH("LightLegendary",CLASSFEATUREHEADERS,0),MATCH($A2168,CLASSNAMEHEADERS,0))),(INDEX(ALLCLASSDATA,MATCH("LightLegendary",CLASSFEATUREHEADERS,0),MATCH(($A2168 &amp; "Points"),CLASSNAMEHEADERS,0))),(IF("09"=(INDEX(ALLCLASSDATA,MATCH("LightMaster",CLASSFEATUREHEADERS,0),MATCH($A2168,CLASSNAMEHEADERS,0))),(INDEX(ALLCLASSDATA,MATCH("LightMaster",CLASSFEATUREHEADERS,0),MATCH(($A2168 &amp; "Points"),CLASSNAMEHEADERS,0))),(IF("09"=(INDEX(ALLCLASSDATA,MATCH("LightExpert",CLASSFEATUREHEADERS,0),MATCH($A2168,CLASSNAMEHEADERS,0))),(INDEX(ALLCLASSDATA,MATCH("LightExpert",CLASSFEATUREHEADERS,0),MATCH(($A2168 &amp; "Points"),CLASSNAMEHEADERS,0))),(IF("09"=(INDEX(ALLCLASSDATA,MATCH("LightTrained",CLASSFEATUREHEADERS,0),MATCH($A2168,CLASSNAMEHEADERS,0))),(INDEX(ALLCLASSDATA,MATCH("LightTrained",CLASSFEATUREHEADERS,0),MATCH(($A2168 &amp; "Points"),CLASSNAMEHEADERS,0))),"")))))))))}</f>
        <v>LIGHTL09</v>
      </c>
      <c r="Q2167" s="223"/>
      <c r="R2167" s="223" t="str">
        <f t="array" ref="R2167:R2168">{"LIGHTL11";((IF("11"=(INDEX(ALLCLASSDATA,MATCH("LightLegendary",CLASSFEATUREHEADERS,0),MATCH($A2168,CLASSNAMEHEADERS,0))),(INDEX(ALLCLASSDATA,MATCH("LightLegendary",CLASSFEATUREHEADERS,0),MATCH(($A2168 &amp; "Points"),CLASSNAMEHEADERS,0))),(IF("11"=(INDEX(ALLCLASSDATA,MATCH("LightMaster",CLASSFEATUREHEADERS,0),MATCH($A2168,CLASSNAMEHEADERS,0))),(INDEX(ALLCLASSDATA,MATCH("LightMaster",CLASSFEATUREHEADERS,0),MATCH(($A2168 &amp; "Points"),CLASSNAMEHEADERS,0))),(IF("11"=(INDEX(ALLCLASSDATA,MATCH("LightExpert",CLASSFEATUREHEADERS,0),MATCH($A2168,CLASSNAMEHEADERS,0))),(INDEX(ALLCLASSDATA,MATCH("LightExpert",CLASSFEATUREHEADERS,0),MATCH(($A2168 &amp; "Points"),CLASSNAMEHEADERS,0))),(IF("11"=(INDEX(ALLCLASSDATA,MATCH("LightTrained",CLASSFEATUREHEADERS,0),MATCH($A2168,CLASSNAMEHEADERS,0))),(INDEX(ALLCLASSDATA,MATCH("LightTrained",CLASSFEATUREHEADERS,0),MATCH(($A2168 &amp; "Points"),CLASSNAMEHEADERS,0))),"")))))))))}</f>
        <v>LIGHTL11</v>
      </c>
      <c r="S2167" s="223"/>
      <c r="T2167" s="223" t="str">
        <f t="array" ref="T2167:T2168">{"LIGHTL13";((IF("13"=(INDEX(ALLCLASSDATA,MATCH("LightLegendary",CLASSFEATUREHEADERS,0),MATCH($A2168,CLASSNAMEHEADERS,0))),(INDEX(ALLCLASSDATA,MATCH("LightLegendary",CLASSFEATUREHEADERS,0),MATCH(($A2168 &amp; "Points"),CLASSNAMEHEADERS,0))),(IF("13"=(INDEX(ALLCLASSDATA,MATCH("LightMaster",CLASSFEATUREHEADERS,0),MATCH($A2168,CLASSNAMEHEADERS,0))),(INDEX(ALLCLASSDATA,MATCH("LightMaster",CLASSFEATUREHEADERS,0),MATCH(($A2168 &amp; "Points"),CLASSNAMEHEADERS,0))),(IF("13"=(INDEX(ALLCLASSDATA,MATCH("LightExpert",CLASSFEATUREHEADERS,0),MATCH($A2168,CLASSNAMEHEADERS,0))),(INDEX(ALLCLASSDATA,MATCH("LightExpert",CLASSFEATUREHEADERS,0),MATCH(($A2168 &amp; "Points"),CLASSNAMEHEADERS,0))),(IF("13"=(INDEX(ALLCLASSDATA,MATCH("LightTrained",CLASSFEATUREHEADERS,0),MATCH($A2168,CLASSNAMEHEADERS,0))),(INDEX(ALLCLASSDATA,MATCH("LightTrained",CLASSFEATUREHEADERS,0),MATCH(($A2168 &amp; "Points"),CLASSNAMEHEADERS,0))),"")))))))))}</f>
        <v>LIGHTL13</v>
      </c>
      <c r="U2167" s="223"/>
      <c r="V2167" s="223" t="str">
        <f t="array" ref="V2167:V2168">{"LIGHTL15";((IF("15"=(INDEX(ALLCLASSDATA,MATCH("LightLegendary",CLASSFEATUREHEADERS,0),MATCH($A2168,CLASSNAMEHEADERS,0))),(INDEX(ALLCLASSDATA,MATCH("LightLegendary",CLASSFEATUREHEADERS,0),MATCH(($A2168 &amp; "Points"),CLASSNAMEHEADERS,0))),(IF("15"=(INDEX(ALLCLASSDATA,MATCH("LightMaster",CLASSFEATUREHEADERS,0),MATCH($A2168,CLASSNAMEHEADERS,0))),(INDEX(ALLCLASSDATA,MATCH("LightMaster",CLASSFEATUREHEADERS,0),MATCH(($A2168 &amp; "Points"),CLASSNAMEHEADERS,0))),(IF("15"=(INDEX(ALLCLASSDATA,MATCH("LightExpert",CLASSFEATUREHEADERS,0),MATCH($A2168,CLASSNAMEHEADERS,0))),(INDEX(ALLCLASSDATA,MATCH("LightExpert",CLASSFEATUREHEADERS,0),MATCH(($A2168 &amp; "Points"),CLASSNAMEHEADERS,0))),(IF("15"=(INDEX(ALLCLASSDATA,MATCH("LightTrained",CLASSFEATUREHEADERS,0),MATCH($A2168,CLASSNAMEHEADERS,0))),(INDEX(ALLCLASSDATA,MATCH("LightTrained",CLASSFEATUREHEADERS,0),MATCH(($A2168 &amp; "Points"),CLASSNAMEHEADERS,0))),"")))))))))}</f>
        <v>LIGHTL15</v>
      </c>
      <c r="W2167" s="223"/>
      <c r="X2167" s="223" t="str">
        <f t="array" ref="X2167:X2168">{"LIGHTL17";((IF("17"=(INDEX(ALLCLASSDATA,MATCH("LightLegendary",CLASSFEATUREHEADERS,0),MATCH($A2168,CLASSNAMEHEADERS,0))),(INDEX(ALLCLASSDATA,MATCH("LightLegendary",CLASSFEATUREHEADERS,0),MATCH(($A2168 &amp; "Points"),CLASSNAMEHEADERS,0))),(IF("17"=(INDEX(ALLCLASSDATA,MATCH("LightMaster",CLASSFEATUREHEADERS,0),MATCH($A2168,CLASSNAMEHEADERS,0))),(INDEX(ALLCLASSDATA,MATCH("LightMaster",CLASSFEATUREHEADERS,0),MATCH(($A2168 &amp; "Points"),CLASSNAMEHEADERS,0))),(IF("17"=(INDEX(ALLCLASSDATA,MATCH("LightExpert",CLASSFEATUREHEADERS,0),MATCH($A2168,CLASSNAMEHEADERS,0))),(INDEX(ALLCLASSDATA,MATCH("LightExpert",CLASSFEATUREHEADERS,0),MATCH(($A2168 &amp; "Points"),CLASSNAMEHEADERS,0))),(IF("17"=(INDEX(ALLCLASSDATA,MATCH("LightTrained",CLASSFEATUREHEADERS,0),MATCH($A2168,CLASSNAMEHEADERS,0))),(INDEX(ALLCLASSDATA,MATCH("LightTrained",CLASSFEATUREHEADERS,0),MATCH(($A2168 &amp; "Points"),CLASSNAMEHEADERS,0))),"")))))))))}</f>
        <v>LIGHTL17</v>
      </c>
      <c r="Y2167" s="223"/>
      <c r="Z2167" s="223" t="str">
        <f t="array" ref="Z2167:Z2168">{"LIGHTL19";((IF("19"=(INDEX(ALLCLASSDATA,MATCH("LightLegendary",CLASSFEATUREHEADERS,0),MATCH($A2168,CLASSNAMEHEADERS,0))),(INDEX(ALLCLASSDATA,MATCH("LightLegendary",CLASSFEATUREHEADERS,0),MATCH(($A2168 &amp; "Points"),CLASSNAMEHEADERS,0))),(IF("19"=(INDEX(ALLCLASSDATA,MATCH("LightMaster",CLASSFEATUREHEADERS,0),MATCH($A2168,CLASSNAMEHEADERS,0))),(INDEX(ALLCLASSDATA,MATCH("LightMaster",CLASSFEATUREHEADERS,0),MATCH(($A2168 &amp; "Points"),CLASSNAMEHEADERS,0))),(IF("19"=(INDEX(ALLCLASSDATA,MATCH("LightExpert",CLASSFEATUREHEADERS,0),MATCH($A2168,CLASSNAMEHEADERS,0))),(INDEX(ALLCLASSDATA,MATCH("LightExpert",CLASSFEATUREHEADERS,0),MATCH(($A2168 &amp; "Points"),CLASSNAMEHEADERS,0))),(IF("19"=(INDEX(ALLCLASSDATA,MATCH("LightTrained",CLASSFEATUREHEADERS,0),MATCH($A2168,CLASSNAMEHEADERS,0))),(INDEX(ALLCLASSDATA,MATCH("LightTrained",CLASSFEATUREHEADERS,0),MATCH(($A2168 &amp; "Points"),CLASSNAMEHEADERS,0))),"")))))))))}</f>
        <v>LIGHTL19</v>
      </c>
      <c r="AA2167" s="223"/>
      <c r="AB2167" s="76" t="str">
        <f t="array" ref="AB2167:AB2168">{"LIGHT TOTAL";(IF(COUNTBLANK(G2168:AA2168)=17,"L",(IF(COUNTBLANK(G2168:AA2168)=18,"M",(IF(COUNTBLANK(G2168:AA2168)=19,"E",(IF(COUNTBLANK(G2168:AA2168)=20,"T",""))))))))}</f>
        <v>LIGHT TOTAL</v>
      </c>
      <c r="AC2167" s="76" t="str">
        <f t="array" ref="AC2167:AC2168">{"LIGHT TOTAL";(sum(G2168:AA2168))}</f>
        <v>LIGHT TOTAL</v>
      </c>
    </row>
    <row r="2168">
      <c r="A2168" s="48" t="s">
        <v>238</v>
      </c>
      <c r="B2168" s="48"/>
      <c r="C2168" s="48" t="e">
        <v>#N/A</v>
      </c>
      <c r="D2168" s="48" t="s">
        <v>1900</v>
      </c>
      <c r="E2168" s="48" t="s">
        <v>77</v>
      </c>
      <c r="F2168" s="5" t="e">
        <v>#N/A</v>
      </c>
      <c r="G2168" s="47" t="e">
        <v>#N/A</v>
      </c>
      <c r="H2168" s="5" t="e">
        <v>#N/A</v>
      </c>
      <c r="I2168" s="5"/>
      <c r="J2168" s="5" t="e">
        <v>#N/A</v>
      </c>
      <c r="K2168" s="5"/>
      <c r="L2168" s="5" t="e">
        <v>#N/A</v>
      </c>
      <c r="M2168" s="5"/>
      <c r="N2168" s="5" t="e">
        <v>#N/A</v>
      </c>
      <c r="O2168" s="5"/>
      <c r="P2168" s="5" t="e">
        <v>#N/A</v>
      </c>
      <c r="Q2168" s="5"/>
      <c r="R2168" s="5" t="e">
        <v>#N/A</v>
      </c>
      <c r="S2168" s="5"/>
      <c r="T2168" s="5" t="e">
        <v>#N/A</v>
      </c>
      <c r="U2168" s="5"/>
      <c r="V2168" s="5" t="e">
        <v>#N/A</v>
      </c>
      <c r="W2168" s="5"/>
      <c r="X2168" s="5" t="e">
        <v>#N/A</v>
      </c>
      <c r="Y2168" s="5"/>
      <c r="Z2168" s="5" t="e">
        <v>#N/A</v>
      </c>
      <c r="AA2168" s="5"/>
      <c r="AB2168" s="5" t="s">
        <v>603</v>
      </c>
      <c r="AC2168" s="47" t="e">
        <v>#N/A</v>
      </c>
    </row>
    <row r="2169" hidden="1">
      <c r="A2169" s="222" t="str">
        <f t="array" ref="A2169:A2170">{"FormulaRow37";(INDEX(CLASSLIST,A2096,1))}</f>
        <v>FormulaRow37</v>
      </c>
      <c r="B2169" s="77" t="s">
        <v>236</v>
      </c>
      <c r="C2169" s="222" t="str">
        <f t="array" ref="C2169:C2170">{"CLASSTYPE";((INDEX(ALLCLASSDATA,MATCH("ClassType",CLASSFEATUREHEADERS,0),MATCH($A2170,CLASSNAMEHEADERS,0))))}</f>
        <v>CLASSTYPE</v>
      </c>
      <c r="D2169" s="222" t="str">
        <f t="array" ref="D2169:D2170">{"DEFENSE";"Defense"}</f>
        <v>DEFENSE</v>
      </c>
      <c r="E2169" s="222" t="str">
        <f t="array" ref="E2169:E2170">{"MEDIUM";"Medium"}</f>
        <v>MEDIUM</v>
      </c>
      <c r="F2169" s="223" t="str">
        <f t="array" ref="F2169:F2170">{"MEDIUMINITIAL";((IF(H2170=10,"T",(IF(H2170=50,"E","")))))}</f>
        <v>MEDIUMINITIAL</v>
      </c>
      <c r="G2169" s="223" t="str">
        <f t="array" ref="G2169:G2170">{"MEDIUMINITIALPTS";((IF("00"=(INDEX(ALLCLASSDATA,MATCH("MediumLegendary",CLASSFEATUREHEADERS,0),MATCH($A2170,CLASSNAMEHEADERS,0))),(INDEX(ALLCLASSDATA,MATCH("MediumLegendary",CLASSFEATUREHEADERS,0),MATCH(($A2170 &amp; "Points"),CLASSNAMEHEADERS,0))),(IF("00"=(INDEX(ALLCLASSDATA,MATCH("MediumMaster",CLASSFEATUREHEADERS,0),MATCH($A2170,CLASSNAMEHEADERS,0))),(INDEX(ALLCLASSDATA,MATCH("MediumMaster",CLASSFEATUREHEADERS,0),MATCH(($A2170 &amp; "Points"),CLASSNAMEHEADERS,0))),(IF("00"=(INDEX(ALLCLASSDATA,MATCH("MediumExpert",CLASSFEATUREHEADERS,0),MATCH($A2170,CLASSNAMEHEADERS,0))),(INDEX(ALLCLASSDATA,MATCH("MediumExpert",CLASSFEATUREHEADERS,0),MATCH(($A2170 &amp; "Points"),CLASSNAMEHEADERS,0))),(IF("00"=(INDEX(ALLCLASSDATA,MATCH("MediumTrained",CLASSFEATUREHEADERS,0),MATCH($A2170,CLASSNAMEHEADERS,0))),(INDEX(ALLCLASSDATA,MATCH("MediumTrained",CLASSFEATUREHEADERS,0),MATCH(($A2170 &amp; "Points"),CLASSNAMEHEADERS,0))),"")))))))))}</f>
        <v>MEDIUMINITIALPTS</v>
      </c>
      <c r="H2169" s="223" t="str">
        <f t="array" ref="H2169:H2170">{"MEDIUML01";((IF("01"=(INDEX(ALLCLASSDATA,MATCH("MediumLegendary",CLASSFEATUREHEADERS,0),MATCH($A2170,CLASSNAMEHEADERS,0))),(INDEX(ALLCLASSDATA,MATCH("MediumLegendary",CLASSFEATUREHEADERS,0),MATCH(($A2170 &amp; "Points"),CLASSNAMEHEADERS,0))),(IF("01"=(INDEX(ALLCLASSDATA,MATCH("MediumMaster",CLASSFEATUREHEADERS,0),MATCH($A2170,CLASSNAMEHEADERS,0))),(INDEX(ALLCLASSDATA,MATCH("MediumMaster",CLASSFEATUREHEADERS,0),MATCH(($A2170 &amp; "Points"),CLASSNAMEHEADERS,0))),(IF("01"=(INDEX(ALLCLASSDATA,MATCH("MediumExpert",CLASSFEATUREHEADERS,0),MATCH($A2170,CLASSNAMEHEADERS,0))),(INDEX(ALLCLASSDATA,MATCH("MediumExpert",CLASSFEATUREHEADERS,0),MATCH(($A2170 &amp; "Points"),CLASSNAMEHEADERS,0))),(IF("01"=(INDEX(ALLCLASSDATA,MATCH("MediumTrained",CLASSFEATUREHEADERS,0),MATCH($A2170,CLASSNAMEHEADERS,0))),(INDEX(ALLCLASSDATA,MATCH("MediumTrained",CLASSFEATUREHEADERS,0),MATCH(($A2170 &amp; "Points"),CLASSNAMEHEADERS,0))),"")))))))))}</f>
        <v>MEDIUML01</v>
      </c>
      <c r="I2169" s="223"/>
      <c r="J2169" s="223" t="str">
        <f t="array" ref="J2169:J2170">{"MEDIUML03";((IF("03"=(INDEX(ALLCLASSDATA,MATCH("MediumLegendary",CLASSFEATUREHEADERS,0),MATCH($A2170,CLASSNAMEHEADERS,0))),(INDEX(ALLCLASSDATA,MATCH("MediumLegendary",CLASSFEATUREHEADERS,0),MATCH(($A2170 &amp; "Points"),CLASSNAMEHEADERS,0))),(IF("03"=(INDEX(ALLCLASSDATA,MATCH("MediumMaster",CLASSFEATUREHEADERS,0),MATCH($A2170,CLASSNAMEHEADERS,0))),(INDEX(ALLCLASSDATA,MATCH("MediumMaster",CLASSFEATUREHEADERS,0),MATCH(($A2170 &amp; "Points"),CLASSNAMEHEADERS,0))),(IF("03"=(INDEX(ALLCLASSDATA,MATCH("MediumExpert",CLASSFEATUREHEADERS,0),MATCH($A2170,CLASSNAMEHEADERS,0))),(INDEX(ALLCLASSDATA,MATCH("MediumExpert",CLASSFEATUREHEADERS,0),MATCH(($A2170 &amp; "Points"),CLASSNAMEHEADERS,0))),(IF("03"=(INDEX(ALLCLASSDATA,MATCH("MediumTrained",CLASSFEATUREHEADERS,0),MATCH($A2170,CLASSNAMEHEADERS,0))),(INDEX(ALLCLASSDATA,MATCH("MediumTrained",CLASSFEATUREHEADERS,0),MATCH(($A2170 &amp; "Points"),CLASSNAMEHEADERS,0))),"")))))))))}</f>
        <v>MEDIUML03</v>
      </c>
      <c r="K2169" s="223"/>
      <c r="L2169" s="223" t="str">
        <f t="array" ref="L2169:L2170">{"MEDIUML05";((IF("05"=(INDEX(ALLCLASSDATA,MATCH("MediumLegendary",CLASSFEATUREHEADERS,0),MATCH($A2170,CLASSNAMEHEADERS,0))),(INDEX(ALLCLASSDATA,MATCH("MediumLegendary",CLASSFEATUREHEADERS,0),MATCH(($A2170 &amp; "Points"),CLASSNAMEHEADERS,0))),(IF("05"=(INDEX(ALLCLASSDATA,MATCH("MediumMaster",CLASSFEATUREHEADERS,0),MATCH($A2170,CLASSNAMEHEADERS,0))),(INDEX(ALLCLASSDATA,MATCH("MediumMaster",CLASSFEATUREHEADERS,0),MATCH(($A2170 &amp; "Points"),CLASSNAMEHEADERS,0))),(IF("05"=(INDEX(ALLCLASSDATA,MATCH("MediumExpert",CLASSFEATUREHEADERS,0),MATCH($A2170,CLASSNAMEHEADERS,0))),(INDEX(ALLCLASSDATA,MATCH("MediumExpert",CLASSFEATUREHEADERS,0),MATCH(($A2170 &amp; "Points"),CLASSNAMEHEADERS,0))),(IF("05"=(INDEX(ALLCLASSDATA,MATCH("MediumTrained",CLASSFEATUREHEADERS,0),MATCH($A2170,CLASSNAMEHEADERS,0))),(INDEX(ALLCLASSDATA,MATCH("MediumTrained",CLASSFEATUREHEADERS,0),MATCH(($A2170 &amp; "Points"),CLASSNAMEHEADERS,0))),"")))))))))}</f>
        <v>MEDIUML05</v>
      </c>
      <c r="M2169" s="223"/>
      <c r="N2169" s="223" t="str">
        <f t="array" ref="N2169:N2170">{"MEDIUML07";((IF("07"=(INDEX(ALLCLASSDATA,MATCH("MediumLegendary",CLASSFEATUREHEADERS,0),MATCH($A2170,CLASSNAMEHEADERS,0))),(INDEX(ALLCLASSDATA,MATCH("MediumLegendary",CLASSFEATUREHEADERS,0),MATCH(($A2170 &amp; "Points"),CLASSNAMEHEADERS,0))),(IF("07"=(INDEX(ALLCLASSDATA,MATCH("MediumMaster",CLASSFEATUREHEADERS,0),MATCH($A2170,CLASSNAMEHEADERS,0))),(INDEX(ALLCLASSDATA,MATCH("MediumMaster",CLASSFEATUREHEADERS,0),MATCH(($A2170 &amp; "Points"),CLASSNAMEHEADERS,0))),(IF("07"=(INDEX(ALLCLASSDATA,MATCH("MediumExpert",CLASSFEATUREHEADERS,0),MATCH($A2170,CLASSNAMEHEADERS,0))),(INDEX(ALLCLASSDATA,MATCH("MediumExpert",CLASSFEATUREHEADERS,0),MATCH(($A2170 &amp; "Points"),CLASSNAMEHEADERS,0))),(IF("07"=(INDEX(ALLCLASSDATA,MATCH("MediumTrained",CLASSFEATUREHEADERS,0),MATCH($A2170,CLASSNAMEHEADERS,0))),(INDEX(ALLCLASSDATA,MATCH("MediumTrained",CLASSFEATUREHEADERS,0),MATCH(($A2170 &amp; "Points"),CLASSNAMEHEADERS,0))),"")))))))))}</f>
        <v>MEDIUML07</v>
      </c>
      <c r="O2169" s="223"/>
      <c r="P2169" s="223" t="str">
        <f t="array" ref="P2169:P2170">{"MEDIUML09";((IF("09"=(INDEX(ALLCLASSDATA,MATCH("MediumLegendary",CLASSFEATUREHEADERS,0),MATCH($A2170,CLASSNAMEHEADERS,0))),(INDEX(ALLCLASSDATA,MATCH("MediumLegendary",CLASSFEATUREHEADERS,0),MATCH(($A2170 &amp; "Points"),CLASSNAMEHEADERS,0))),(IF("09"=(INDEX(ALLCLASSDATA,MATCH("MediumMaster",CLASSFEATUREHEADERS,0),MATCH($A2170,CLASSNAMEHEADERS,0))),(INDEX(ALLCLASSDATA,MATCH("MediumMaster",CLASSFEATUREHEADERS,0),MATCH(($A2170 &amp; "Points"),CLASSNAMEHEADERS,0))),(IF("09"=(INDEX(ALLCLASSDATA,MATCH("MediumExpert",CLASSFEATUREHEADERS,0),MATCH($A2170,CLASSNAMEHEADERS,0))),(INDEX(ALLCLASSDATA,MATCH("MediumExpert",CLASSFEATUREHEADERS,0),MATCH(($A2170 &amp; "Points"),CLASSNAMEHEADERS,0))),(IF("09"=(INDEX(ALLCLASSDATA,MATCH("MediumTrained",CLASSFEATUREHEADERS,0),MATCH($A2170,CLASSNAMEHEADERS,0))),(INDEX(ALLCLASSDATA,MATCH("MediumTrained",CLASSFEATUREHEADERS,0),MATCH(($A2170 &amp; "Points"),CLASSNAMEHEADERS,0))),"")))))))))}</f>
        <v>MEDIUML09</v>
      </c>
      <c r="Q2169" s="223"/>
      <c r="R2169" s="223" t="str">
        <f t="array" ref="R2169:R2170">{"MEDIUML11";((IF("11"=(INDEX(ALLCLASSDATA,MATCH("MediumLegendary",CLASSFEATUREHEADERS,0),MATCH($A2170,CLASSNAMEHEADERS,0))),(INDEX(ALLCLASSDATA,MATCH("MediumLegendary",CLASSFEATUREHEADERS,0),MATCH(($A2170 &amp; "Points"),CLASSNAMEHEADERS,0))),(IF("11"=(INDEX(ALLCLASSDATA,MATCH("MediumMaster",CLASSFEATUREHEADERS,0),MATCH($A2170,CLASSNAMEHEADERS,0))),(INDEX(ALLCLASSDATA,MATCH("MediumMaster",CLASSFEATUREHEADERS,0),MATCH(($A2170 &amp; "Points"),CLASSNAMEHEADERS,0))),(IF("11"=(INDEX(ALLCLASSDATA,MATCH("MediumExpert",CLASSFEATUREHEADERS,0),MATCH($A2170,CLASSNAMEHEADERS,0))),(INDEX(ALLCLASSDATA,MATCH("MediumExpert",CLASSFEATUREHEADERS,0),MATCH(($A2170 &amp; "Points"),CLASSNAMEHEADERS,0))),(IF("11"=(INDEX(ALLCLASSDATA,MATCH("MediumTrained",CLASSFEATUREHEADERS,0),MATCH($A2170,CLASSNAMEHEADERS,0))),(INDEX(ALLCLASSDATA,MATCH("MediumTrained",CLASSFEATUREHEADERS,0),MATCH(($A2170 &amp; "Points"),CLASSNAMEHEADERS,0))),"")))))))))}</f>
        <v>MEDIUML11</v>
      </c>
      <c r="S2169" s="223"/>
      <c r="T2169" s="223" t="str">
        <f t="array" ref="T2169:T2170">{"MEDIUML13";((IF("13"=(INDEX(ALLCLASSDATA,MATCH("MediumLegendary",CLASSFEATUREHEADERS,0),MATCH($A2170,CLASSNAMEHEADERS,0))),(INDEX(ALLCLASSDATA,MATCH("MediumLegendary",CLASSFEATUREHEADERS,0),MATCH(($A2170 &amp; "Points"),CLASSNAMEHEADERS,0))),(IF("13"=(INDEX(ALLCLASSDATA,MATCH("MediumMaster",CLASSFEATUREHEADERS,0),MATCH($A2170,CLASSNAMEHEADERS,0))),(INDEX(ALLCLASSDATA,MATCH("MediumMaster",CLASSFEATUREHEADERS,0),MATCH(($A2170 &amp; "Points"),CLASSNAMEHEADERS,0))),(IF("13"=(INDEX(ALLCLASSDATA,MATCH("MediumExpert",CLASSFEATUREHEADERS,0),MATCH($A2170,CLASSNAMEHEADERS,0))),(INDEX(ALLCLASSDATA,MATCH("MediumExpert",CLASSFEATUREHEADERS,0),MATCH(($A2170 &amp; "Points"),CLASSNAMEHEADERS,0))),(IF("13"=(INDEX(ALLCLASSDATA,MATCH("MediumTrained",CLASSFEATUREHEADERS,0),MATCH($A2170,CLASSNAMEHEADERS,0))),(INDEX(ALLCLASSDATA,MATCH("MediumTrained",CLASSFEATUREHEADERS,0),MATCH(($A2170 &amp; "Points"),CLASSNAMEHEADERS,0))),"")))))))))}</f>
        <v>MEDIUML13</v>
      </c>
      <c r="U2169" s="223"/>
      <c r="V2169" s="223" t="str">
        <f t="array" ref="V2169:V2170">{"MEDIUML15";((IF("15"=(INDEX(ALLCLASSDATA,MATCH("MediumLegendary",CLASSFEATUREHEADERS,0),MATCH($A2170,CLASSNAMEHEADERS,0))),(INDEX(ALLCLASSDATA,MATCH("MediumLegendary",CLASSFEATUREHEADERS,0),MATCH(($A2170 &amp; "Points"),CLASSNAMEHEADERS,0))),(IF("15"=(INDEX(ALLCLASSDATA,MATCH("MediumMaster",CLASSFEATUREHEADERS,0),MATCH($A2170,CLASSNAMEHEADERS,0))),(INDEX(ALLCLASSDATA,MATCH("MediumMaster",CLASSFEATUREHEADERS,0),MATCH(($A2170 &amp; "Points"),CLASSNAMEHEADERS,0))),(IF("15"=(INDEX(ALLCLASSDATA,MATCH("MediumExpert",CLASSFEATUREHEADERS,0),MATCH($A2170,CLASSNAMEHEADERS,0))),(INDEX(ALLCLASSDATA,MATCH("MediumExpert",CLASSFEATUREHEADERS,0),MATCH(($A2170 &amp; "Points"),CLASSNAMEHEADERS,0))),(IF("15"=(INDEX(ALLCLASSDATA,MATCH("MediumTrained",CLASSFEATUREHEADERS,0),MATCH($A2170,CLASSNAMEHEADERS,0))),(INDEX(ALLCLASSDATA,MATCH("MediumTrained",CLASSFEATUREHEADERS,0),MATCH(($A2170 &amp; "Points"),CLASSNAMEHEADERS,0))),"")))))))))}</f>
        <v>MEDIUML15</v>
      </c>
      <c r="W2169" s="223"/>
      <c r="X2169" s="223" t="str">
        <f t="array" ref="X2169:X2170">{"MEDIUML17";((IF("17"=(INDEX(ALLCLASSDATA,MATCH("MediumLegendary",CLASSFEATUREHEADERS,0),MATCH($A2170,CLASSNAMEHEADERS,0))),(INDEX(ALLCLASSDATA,MATCH("MediumLegendary",CLASSFEATUREHEADERS,0),MATCH(($A2170 &amp; "Points"),CLASSNAMEHEADERS,0))),(IF("17"=(INDEX(ALLCLASSDATA,MATCH("MediumMaster",CLASSFEATUREHEADERS,0),MATCH($A2170,CLASSNAMEHEADERS,0))),(INDEX(ALLCLASSDATA,MATCH("MediumMaster",CLASSFEATUREHEADERS,0),MATCH(($A2170 &amp; "Points"),CLASSNAMEHEADERS,0))),(IF("17"=(INDEX(ALLCLASSDATA,MATCH("MediumExpert",CLASSFEATUREHEADERS,0),MATCH($A2170,CLASSNAMEHEADERS,0))),(INDEX(ALLCLASSDATA,MATCH("MediumExpert",CLASSFEATUREHEADERS,0),MATCH(($A2170 &amp; "Points"),CLASSNAMEHEADERS,0))),(IF("17"=(INDEX(ALLCLASSDATA,MATCH("MediumTrained",CLASSFEATUREHEADERS,0),MATCH($A2170,CLASSNAMEHEADERS,0))),(INDEX(ALLCLASSDATA,MATCH("MediumTrained",CLASSFEATUREHEADERS,0),MATCH(($A2170 &amp; "Points"),CLASSNAMEHEADERS,0))),"")))))))))}</f>
        <v>MEDIUML17</v>
      </c>
      <c r="Y2169" s="223"/>
      <c r="Z2169" s="223" t="str">
        <f t="array" ref="Z2169:Z2170">{"MEDIUML19";((IF("19"=(INDEX(ALLCLASSDATA,MATCH("MediumLegendary",CLASSFEATUREHEADERS,0),MATCH($A2170,CLASSNAMEHEADERS,0))),(INDEX(ALLCLASSDATA,MATCH("MediumLegendary",CLASSFEATUREHEADERS,0),MATCH(($A2170 &amp; "Points"),CLASSNAMEHEADERS,0))),(IF("19"=(INDEX(ALLCLASSDATA,MATCH("MediumMaster",CLASSFEATUREHEADERS,0),MATCH($A2170,CLASSNAMEHEADERS,0))),(INDEX(ALLCLASSDATA,MATCH("MediumMaster",CLASSFEATUREHEADERS,0),MATCH(($A2170 &amp; "Points"),CLASSNAMEHEADERS,0))),(IF("19"=(INDEX(ALLCLASSDATA,MATCH("MediumExpert",CLASSFEATUREHEADERS,0),MATCH($A2170,CLASSNAMEHEADERS,0))),(INDEX(ALLCLASSDATA,MATCH("MediumExpert",CLASSFEATUREHEADERS,0),MATCH(($A2170 &amp; "Points"),CLASSNAMEHEADERS,0))),(IF("19"=(INDEX(ALLCLASSDATA,MATCH("MediumTrained",CLASSFEATUREHEADERS,0),MATCH($A2170,CLASSNAMEHEADERS,0))),(INDEX(ALLCLASSDATA,MATCH("MediumTrained",CLASSFEATUREHEADERS,0),MATCH(($A2170 &amp; "Points"),CLASSNAMEHEADERS,0))),"")))))))))}</f>
        <v>MEDIUML19</v>
      </c>
      <c r="AA2169" s="223"/>
      <c r="AB2169" s="76" t="str">
        <f t="array" ref="AB2169:AB2170">{"MEDIUM TOTAL";(IF(COUNTBLANK(G2170:AA2170)=17,"L",(IF(COUNTBLANK(G2170:AA2170)=18,"M",(IF(COUNTBLANK(G2170:AA2170)=19,"E",(IF(COUNTBLANK(G2170:AA2170)=20,"T",""))))))))}</f>
        <v>MEDIUM TOTAL</v>
      </c>
      <c r="AC2169" s="76" t="str">
        <f t="array" ref="AC2169:AC2170">{"MEDIUM TOTAL";(sum(G2170:AA2170))}</f>
        <v>MEDIUM TOTAL</v>
      </c>
    </row>
    <row r="2170">
      <c r="A2170" s="48" t="s">
        <v>238</v>
      </c>
      <c r="B2170" s="48"/>
      <c r="C2170" s="48" t="e">
        <v>#N/A</v>
      </c>
      <c r="D2170" s="48" t="s">
        <v>1900</v>
      </c>
      <c r="E2170" s="48" t="s">
        <v>76</v>
      </c>
      <c r="F2170" s="5" t="e">
        <v>#N/A</v>
      </c>
      <c r="G2170" s="47" t="e">
        <v>#N/A</v>
      </c>
      <c r="H2170" s="5" t="e">
        <v>#N/A</v>
      </c>
      <c r="I2170" s="5"/>
      <c r="J2170" s="5" t="e">
        <v>#N/A</v>
      </c>
      <c r="K2170" s="5"/>
      <c r="L2170" s="5" t="e">
        <v>#N/A</v>
      </c>
      <c r="M2170" s="5"/>
      <c r="N2170" s="5" t="e">
        <v>#N/A</v>
      </c>
      <c r="O2170" s="5"/>
      <c r="P2170" s="5" t="e">
        <v>#N/A</v>
      </c>
      <c r="Q2170" s="5"/>
      <c r="R2170" s="5" t="e">
        <v>#N/A</v>
      </c>
      <c r="S2170" s="5"/>
      <c r="T2170" s="5" t="e">
        <v>#N/A</v>
      </c>
      <c r="U2170" s="5"/>
      <c r="V2170" s="5" t="e">
        <v>#N/A</v>
      </c>
      <c r="W2170" s="5"/>
      <c r="X2170" s="5" t="e">
        <v>#N/A</v>
      </c>
      <c r="Y2170" s="5"/>
      <c r="Z2170" s="5" t="e">
        <v>#N/A</v>
      </c>
      <c r="AA2170" s="5"/>
      <c r="AB2170" s="5" t="s">
        <v>603</v>
      </c>
      <c r="AC2170" s="47" t="e">
        <v>#N/A</v>
      </c>
    </row>
    <row r="2171" hidden="1">
      <c r="A2171" s="222" t="str">
        <f t="array" ref="A2171:A2172">{"FormulaRow38";(INDEX(CLASSLIST,A2096,1))}</f>
        <v>FormulaRow38</v>
      </c>
      <c r="B2171" s="77" t="s">
        <v>236</v>
      </c>
      <c r="C2171" s="222" t="str">
        <f t="array" ref="C2171:C2172">{"CLASSTYPE";((INDEX(ALLCLASSDATA,MATCH("ClassType",CLASSFEATUREHEADERS,0),MATCH($A2172,CLASSNAMEHEADERS,0))))}</f>
        <v>CLASSTYPE</v>
      </c>
      <c r="D2171" s="222" t="str">
        <f t="array" ref="D2171:D2172">{"DEFENSE";"Defense"}</f>
        <v>DEFENSE</v>
      </c>
      <c r="E2171" s="222" t="str">
        <f t="array" ref="E2171:E2172">{"HEAVY";"Heavy"}</f>
        <v>HEAVY</v>
      </c>
      <c r="F2171" s="223" t="str">
        <f t="array" ref="F2171:F2172">{"HEAVYINITIAL";((IF(H2172=10,"T",(IF(H2172=50,"E","")))))}</f>
        <v>HEAVYINITIAL</v>
      </c>
      <c r="G2171" s="223" t="str">
        <f t="array" ref="G2171:G2172">{"HEAVYINITIALPTS";((IF("00"=(INDEX(ALLCLASSDATA,MATCH("HeavyLegendary",CLASSFEATUREHEADERS,0),MATCH($A2172,CLASSNAMEHEADERS,0))),(INDEX(ALLCLASSDATA,MATCH("HeavyLegendary",CLASSFEATUREHEADERS,0),MATCH(($A2172 &amp; "Points"),CLASSNAMEHEADERS,0))),(IF("00"=(INDEX(ALLCLASSDATA,MATCH("HeavyMaster",CLASSFEATUREHEADERS,0),MATCH($A2172,CLASSNAMEHEADERS,0))),(INDEX(ALLCLASSDATA,MATCH("HeavyMaster",CLASSFEATUREHEADERS,0),MATCH(($A2172 &amp; "Points"),CLASSNAMEHEADERS,0))),(IF("00"=(INDEX(ALLCLASSDATA,MATCH("HeavyExpert",CLASSFEATUREHEADERS,0),MATCH($A2172,CLASSNAMEHEADERS,0))),(INDEX(ALLCLASSDATA,MATCH("HeavyExpert",CLASSFEATUREHEADERS,0),MATCH(($A2172 &amp; "Points"),CLASSNAMEHEADERS,0))),(IF("00"=(INDEX(ALLCLASSDATA,MATCH("HeavyTrained",CLASSFEATUREHEADERS,0),MATCH($A2172,CLASSNAMEHEADERS,0))),(INDEX(ALLCLASSDATA,MATCH("HeavyTrained",CLASSFEATUREHEADERS,0),MATCH(($A2172 &amp; "Points"),CLASSNAMEHEADERS,0))),"")))))))))}</f>
        <v>HEAVYINITIALPTS</v>
      </c>
      <c r="H2171" s="223" t="str">
        <f t="array" ref="H2171:H2172">{"HEAVYL01";((IF("01"=(INDEX(ALLCLASSDATA,MATCH("HeavyLegendary",CLASSFEATUREHEADERS,0),MATCH($A2172,CLASSNAMEHEADERS,0))),(INDEX(ALLCLASSDATA,MATCH("HeavyLegendary",CLASSFEATUREHEADERS,0),MATCH(($A2172 &amp; "Points"),CLASSNAMEHEADERS,0))),(IF("01"=(INDEX(ALLCLASSDATA,MATCH("HeavyMaster",CLASSFEATUREHEADERS,0),MATCH($A2172,CLASSNAMEHEADERS,0))),(INDEX(ALLCLASSDATA,MATCH("HeavyMaster",CLASSFEATUREHEADERS,0),MATCH(($A2172 &amp; "Points"),CLASSNAMEHEADERS,0))),(IF("01"=(INDEX(ALLCLASSDATA,MATCH("HeavyExpert",CLASSFEATUREHEADERS,0),MATCH($A2172,CLASSNAMEHEADERS,0))),(INDEX(ALLCLASSDATA,MATCH("HeavyExpert",CLASSFEATUREHEADERS,0),MATCH(($A2172 &amp; "Points"),CLASSNAMEHEADERS,0))),(IF("01"=(INDEX(ALLCLASSDATA,MATCH("HeavyTrained",CLASSFEATUREHEADERS,0),MATCH($A2172,CLASSNAMEHEADERS,0))),(INDEX(ALLCLASSDATA,MATCH("HeavyTrained",CLASSFEATUREHEADERS,0),MATCH(($A2172 &amp; "Points"),CLASSNAMEHEADERS,0))),"")))))))))}</f>
        <v>HEAVYL01</v>
      </c>
      <c r="I2171" s="223"/>
      <c r="J2171" s="223" t="str">
        <f t="array" ref="J2171:J2172">{"HEAVYL03";((IF("03"=(INDEX(ALLCLASSDATA,MATCH("HeavyLegendary",CLASSFEATUREHEADERS,0),MATCH($A2172,CLASSNAMEHEADERS,0))),(INDEX(ALLCLASSDATA,MATCH("HeavyLegendary",CLASSFEATUREHEADERS,0),MATCH(($A2172 &amp; "Points"),CLASSNAMEHEADERS,0))),(IF("03"=(INDEX(ALLCLASSDATA,MATCH("HeavyMaster",CLASSFEATUREHEADERS,0),MATCH($A2172,CLASSNAMEHEADERS,0))),(INDEX(ALLCLASSDATA,MATCH("HeavyMaster",CLASSFEATUREHEADERS,0),MATCH(($A2172 &amp; "Points"),CLASSNAMEHEADERS,0))),(IF("03"=(INDEX(ALLCLASSDATA,MATCH("HeavyExpert",CLASSFEATUREHEADERS,0),MATCH($A2172,CLASSNAMEHEADERS,0))),(INDEX(ALLCLASSDATA,MATCH("HeavyExpert",CLASSFEATUREHEADERS,0),MATCH(($A2172 &amp; "Points"),CLASSNAMEHEADERS,0))),(IF("03"=(INDEX(ALLCLASSDATA,MATCH("HeavyTrained",CLASSFEATUREHEADERS,0),MATCH($A2172,CLASSNAMEHEADERS,0))),(INDEX(ALLCLASSDATA,MATCH("HeavyTrained",CLASSFEATUREHEADERS,0),MATCH(($A2172 &amp; "Points"),CLASSNAMEHEADERS,0))),"")))))))))}</f>
        <v>HEAVYL03</v>
      </c>
      <c r="K2171" s="223"/>
      <c r="L2171" s="223" t="str">
        <f t="array" ref="L2171:L2172">{"HEAVYL05";((IF("05"=(INDEX(ALLCLASSDATA,MATCH("HeavyLegendary",CLASSFEATUREHEADERS,0),MATCH($A2172,CLASSNAMEHEADERS,0))),(INDEX(ALLCLASSDATA,MATCH("HeavyLegendary",CLASSFEATUREHEADERS,0),MATCH(($A2172 &amp; "Points"),CLASSNAMEHEADERS,0))),(IF("05"=(INDEX(ALLCLASSDATA,MATCH("HeavyMaster",CLASSFEATUREHEADERS,0),MATCH($A2172,CLASSNAMEHEADERS,0))),(INDEX(ALLCLASSDATA,MATCH("HeavyMaster",CLASSFEATUREHEADERS,0),MATCH(($A2172 &amp; "Points"),CLASSNAMEHEADERS,0))),(IF("05"=(INDEX(ALLCLASSDATA,MATCH("HeavyExpert",CLASSFEATUREHEADERS,0),MATCH($A2172,CLASSNAMEHEADERS,0))),(INDEX(ALLCLASSDATA,MATCH("HeavyExpert",CLASSFEATUREHEADERS,0),MATCH(($A2172 &amp; "Points"),CLASSNAMEHEADERS,0))),(IF("05"=(INDEX(ALLCLASSDATA,MATCH("HeavyTrained",CLASSFEATUREHEADERS,0),MATCH($A2172,CLASSNAMEHEADERS,0))),(INDEX(ALLCLASSDATA,MATCH("HeavyTrained",CLASSFEATUREHEADERS,0),MATCH(($A2172 &amp; "Points"),CLASSNAMEHEADERS,0))),"")))))))))}</f>
        <v>HEAVYL05</v>
      </c>
      <c r="M2171" s="223"/>
      <c r="N2171" s="223" t="str">
        <f t="array" ref="N2171:N2172">{"HEAVYL07";((IF("07"=(INDEX(ALLCLASSDATA,MATCH("HeavyLegendary",CLASSFEATUREHEADERS,0),MATCH($A2172,CLASSNAMEHEADERS,0))),(INDEX(ALLCLASSDATA,MATCH("HeavyLegendary",CLASSFEATUREHEADERS,0),MATCH(($A2172 &amp; "Points"),CLASSNAMEHEADERS,0))),(IF("07"=(INDEX(ALLCLASSDATA,MATCH("HeavyMaster",CLASSFEATUREHEADERS,0),MATCH($A2172,CLASSNAMEHEADERS,0))),(INDEX(ALLCLASSDATA,MATCH("HeavyMaster",CLASSFEATUREHEADERS,0),MATCH(($A2172 &amp; "Points"),CLASSNAMEHEADERS,0))),(IF("07"=(INDEX(ALLCLASSDATA,MATCH("HeavyExpert",CLASSFEATUREHEADERS,0),MATCH($A2172,CLASSNAMEHEADERS,0))),(INDEX(ALLCLASSDATA,MATCH("HeavyExpert",CLASSFEATUREHEADERS,0),MATCH(($A2172 &amp; "Points"),CLASSNAMEHEADERS,0))),(IF("07"=(INDEX(ALLCLASSDATA,MATCH("HeavyTrained",CLASSFEATUREHEADERS,0),MATCH($A2172,CLASSNAMEHEADERS,0))),(INDEX(ALLCLASSDATA,MATCH("HeavyTrained",CLASSFEATUREHEADERS,0),MATCH(($A2172 &amp; "Points"),CLASSNAMEHEADERS,0))),"")))))))))}</f>
        <v>HEAVYL07</v>
      </c>
      <c r="O2171" s="223"/>
      <c r="P2171" s="223" t="str">
        <f t="array" ref="P2171:P2172">{"HEAVYL09";((IF("09"=(INDEX(ALLCLASSDATA,MATCH("HeavyLegendary",CLASSFEATUREHEADERS,0),MATCH($A2172,CLASSNAMEHEADERS,0))),(INDEX(ALLCLASSDATA,MATCH("HeavyLegendary",CLASSFEATUREHEADERS,0),MATCH(($A2172 &amp; "Points"),CLASSNAMEHEADERS,0))),(IF("09"=(INDEX(ALLCLASSDATA,MATCH("HeavyMaster",CLASSFEATUREHEADERS,0),MATCH($A2172,CLASSNAMEHEADERS,0))),(INDEX(ALLCLASSDATA,MATCH("HeavyMaster",CLASSFEATUREHEADERS,0),MATCH(($A2172 &amp; "Points"),CLASSNAMEHEADERS,0))),(IF("09"=(INDEX(ALLCLASSDATA,MATCH("HeavyExpert",CLASSFEATUREHEADERS,0),MATCH($A2172,CLASSNAMEHEADERS,0))),(INDEX(ALLCLASSDATA,MATCH("HeavyExpert",CLASSFEATUREHEADERS,0),MATCH(($A2172 &amp; "Points"),CLASSNAMEHEADERS,0))),(IF("09"=(INDEX(ALLCLASSDATA,MATCH("HeavyTrained",CLASSFEATUREHEADERS,0),MATCH($A2172,CLASSNAMEHEADERS,0))),(INDEX(ALLCLASSDATA,MATCH("HeavyTrained",CLASSFEATUREHEADERS,0),MATCH(($A2172 &amp; "Points"),CLASSNAMEHEADERS,0))),"")))))))))}</f>
        <v>HEAVYL09</v>
      </c>
      <c r="Q2171" s="223"/>
      <c r="R2171" s="223" t="str">
        <f t="array" ref="R2171:R2172">{"HEAVYL11";((IF("11"=(INDEX(ALLCLASSDATA,MATCH("HeavyLegendary",CLASSFEATUREHEADERS,0),MATCH($A2172,CLASSNAMEHEADERS,0))),(INDEX(ALLCLASSDATA,MATCH("HeavyLegendary",CLASSFEATUREHEADERS,0),MATCH(($A2172 &amp; "Points"),CLASSNAMEHEADERS,0))),(IF("11"=(INDEX(ALLCLASSDATA,MATCH("HeavyMaster",CLASSFEATUREHEADERS,0),MATCH($A2172,CLASSNAMEHEADERS,0))),(INDEX(ALLCLASSDATA,MATCH("HeavyMaster",CLASSFEATUREHEADERS,0),MATCH(($A2172 &amp; "Points"),CLASSNAMEHEADERS,0))),(IF("11"=(INDEX(ALLCLASSDATA,MATCH("HeavyExpert",CLASSFEATUREHEADERS,0),MATCH($A2172,CLASSNAMEHEADERS,0))),(INDEX(ALLCLASSDATA,MATCH("HeavyExpert",CLASSFEATUREHEADERS,0),MATCH(($A2172 &amp; "Points"),CLASSNAMEHEADERS,0))),(IF("11"=(INDEX(ALLCLASSDATA,MATCH("HeavyTrained",CLASSFEATUREHEADERS,0),MATCH($A2172,CLASSNAMEHEADERS,0))),(INDEX(ALLCLASSDATA,MATCH("HeavyTrained",CLASSFEATUREHEADERS,0),MATCH(($A2172 &amp; "Points"),CLASSNAMEHEADERS,0))),"")))))))))}</f>
        <v>HEAVYL11</v>
      </c>
      <c r="S2171" s="223"/>
      <c r="T2171" s="223" t="str">
        <f t="array" ref="T2171:T2172">{"HEAVYL13";((IF("13"=(INDEX(ALLCLASSDATA,MATCH("HeavyLegendary",CLASSFEATUREHEADERS,0),MATCH($A2172,CLASSNAMEHEADERS,0))),(INDEX(ALLCLASSDATA,MATCH("HeavyLegendary",CLASSFEATUREHEADERS,0),MATCH(($A2172 &amp; "Points"),CLASSNAMEHEADERS,0))),(IF("13"=(INDEX(ALLCLASSDATA,MATCH("HeavyMaster",CLASSFEATUREHEADERS,0),MATCH($A2172,CLASSNAMEHEADERS,0))),(INDEX(ALLCLASSDATA,MATCH("HeavyMaster",CLASSFEATUREHEADERS,0),MATCH(($A2172 &amp; "Points"),CLASSNAMEHEADERS,0))),(IF("13"=(INDEX(ALLCLASSDATA,MATCH("HeavyExpert",CLASSFEATUREHEADERS,0),MATCH($A2172,CLASSNAMEHEADERS,0))),(INDEX(ALLCLASSDATA,MATCH("HeavyExpert",CLASSFEATUREHEADERS,0),MATCH(($A2172 &amp; "Points"),CLASSNAMEHEADERS,0))),(IF("13"=(INDEX(ALLCLASSDATA,MATCH("HeavyTrained",CLASSFEATUREHEADERS,0),MATCH($A2172,CLASSNAMEHEADERS,0))),(INDEX(ALLCLASSDATA,MATCH("HeavyTrained",CLASSFEATUREHEADERS,0),MATCH(($A2172 &amp; "Points"),CLASSNAMEHEADERS,0))),"")))))))))}</f>
        <v>HEAVYL13</v>
      </c>
      <c r="U2171" s="223"/>
      <c r="V2171" s="223" t="str">
        <f t="array" ref="V2171:V2172">{"HEAVYL15";((IF("15"=(INDEX(ALLCLASSDATA,MATCH("HeavyLegendary",CLASSFEATUREHEADERS,0),MATCH($A2172,CLASSNAMEHEADERS,0))),(INDEX(ALLCLASSDATA,MATCH("HeavyLegendary",CLASSFEATUREHEADERS,0),MATCH(($A2172 &amp; "Points"),CLASSNAMEHEADERS,0))),(IF("15"=(INDEX(ALLCLASSDATA,MATCH("HeavyMaster",CLASSFEATUREHEADERS,0),MATCH($A2172,CLASSNAMEHEADERS,0))),(INDEX(ALLCLASSDATA,MATCH("HeavyMaster",CLASSFEATUREHEADERS,0),MATCH(($A2172 &amp; "Points"),CLASSNAMEHEADERS,0))),(IF("15"=(INDEX(ALLCLASSDATA,MATCH("HeavyExpert",CLASSFEATUREHEADERS,0),MATCH($A2172,CLASSNAMEHEADERS,0))),(INDEX(ALLCLASSDATA,MATCH("HeavyExpert",CLASSFEATUREHEADERS,0),MATCH(($A2172 &amp; "Points"),CLASSNAMEHEADERS,0))),(IF("15"=(INDEX(ALLCLASSDATA,MATCH("HeavyTrained",CLASSFEATUREHEADERS,0),MATCH($A2172,CLASSNAMEHEADERS,0))),(INDEX(ALLCLASSDATA,MATCH("HeavyTrained",CLASSFEATUREHEADERS,0),MATCH(($A2172 &amp; "Points"),CLASSNAMEHEADERS,0))),"")))))))))}</f>
        <v>HEAVYL15</v>
      </c>
      <c r="W2171" s="223"/>
      <c r="X2171" s="223" t="str">
        <f t="array" ref="X2171:X2172">{"HEAVYL17";((IF("17"=(INDEX(ALLCLASSDATA,MATCH("HeavyLegendary",CLASSFEATUREHEADERS,0),MATCH($A2172,CLASSNAMEHEADERS,0))),(INDEX(ALLCLASSDATA,MATCH("HeavyLegendary",CLASSFEATUREHEADERS,0),MATCH(($A2172 &amp; "Points"),CLASSNAMEHEADERS,0))),(IF("17"=(INDEX(ALLCLASSDATA,MATCH("HeavyMaster",CLASSFEATUREHEADERS,0),MATCH($A2172,CLASSNAMEHEADERS,0))),(INDEX(ALLCLASSDATA,MATCH("HeavyMaster",CLASSFEATUREHEADERS,0),MATCH(($A2172 &amp; "Points"),CLASSNAMEHEADERS,0))),(IF("17"=(INDEX(ALLCLASSDATA,MATCH("HeavyExpert",CLASSFEATUREHEADERS,0),MATCH($A2172,CLASSNAMEHEADERS,0))),(INDEX(ALLCLASSDATA,MATCH("HeavyExpert",CLASSFEATUREHEADERS,0),MATCH(($A2172 &amp; "Points"),CLASSNAMEHEADERS,0))),(IF("17"=(INDEX(ALLCLASSDATA,MATCH("HeavyTrained",CLASSFEATUREHEADERS,0),MATCH($A2172,CLASSNAMEHEADERS,0))),(INDEX(ALLCLASSDATA,MATCH("HeavyTrained",CLASSFEATUREHEADERS,0),MATCH(($A2172 &amp; "Points"),CLASSNAMEHEADERS,0))),"")))))))))}</f>
        <v>HEAVYL17</v>
      </c>
      <c r="Y2171" s="223"/>
      <c r="Z2171" s="223" t="str">
        <f t="array" ref="Z2171:Z2172">{"HEAVYL19";((IF("19"=(INDEX(ALLCLASSDATA,MATCH("HeavyLegendary",CLASSFEATUREHEADERS,0),MATCH($A2172,CLASSNAMEHEADERS,0))),(INDEX(ALLCLASSDATA,MATCH("HeavyLegendary",CLASSFEATUREHEADERS,0),MATCH(($A2172 &amp; "Points"),CLASSNAMEHEADERS,0))),(IF("19"=(INDEX(ALLCLASSDATA,MATCH("HeavyMaster",CLASSFEATUREHEADERS,0),MATCH($A2172,CLASSNAMEHEADERS,0))),(INDEX(ALLCLASSDATA,MATCH("HeavyMaster",CLASSFEATUREHEADERS,0),MATCH(($A2172 &amp; "Points"),CLASSNAMEHEADERS,0))),(IF("19"=(INDEX(ALLCLASSDATA,MATCH("HeavyExpert",CLASSFEATUREHEADERS,0),MATCH($A2172,CLASSNAMEHEADERS,0))),(INDEX(ALLCLASSDATA,MATCH("HeavyExpert",CLASSFEATUREHEADERS,0),MATCH(($A2172 &amp; "Points"),CLASSNAMEHEADERS,0))),(IF("19"=(INDEX(ALLCLASSDATA,MATCH("HeavyTrained",CLASSFEATUREHEADERS,0),MATCH($A2172,CLASSNAMEHEADERS,0))),(INDEX(ALLCLASSDATA,MATCH("HeavyTrained",CLASSFEATUREHEADERS,0),MATCH(($A2172 &amp; "Points"),CLASSNAMEHEADERS,0))),"")))))))))}</f>
        <v>HEAVYL19</v>
      </c>
      <c r="AA2171" s="223"/>
      <c r="AB2171" s="76" t="str">
        <f t="array" ref="AB2171:AB2172">{"HEAVY TOTAL";(IF(COUNTBLANK(G2172:AA2172)=17,"L",(IF(COUNTBLANK(G2172:AA2172)=18,"M",(IF(COUNTBLANK(G2172:AA2172)=19,"E",(IF(COUNTBLANK(G2172:AA2172)=20,"T",""))))))))}</f>
        <v>HEAVY TOTAL</v>
      </c>
      <c r="AC2171" s="76" t="str">
        <f t="array" ref="AC2171:AC2172">{"HEAVY TOTAL";(sum(G2172:AA2172))}</f>
        <v>HEAVY TOTAL</v>
      </c>
    </row>
    <row r="2172">
      <c r="A2172" s="48" t="s">
        <v>238</v>
      </c>
      <c r="B2172" s="48"/>
      <c r="C2172" s="48" t="e">
        <v>#N/A</v>
      </c>
      <c r="D2172" s="97" t="s">
        <v>1900</v>
      </c>
      <c r="E2172" s="97" t="s">
        <v>533</v>
      </c>
      <c r="F2172" s="98" t="e">
        <v>#N/A</v>
      </c>
      <c r="G2172" s="132" t="e">
        <v>#N/A</v>
      </c>
      <c r="H2172" s="98" t="e">
        <v>#N/A</v>
      </c>
      <c r="I2172" s="98"/>
      <c r="J2172" s="98" t="e">
        <v>#N/A</v>
      </c>
      <c r="K2172" s="98"/>
      <c r="L2172" s="98" t="e">
        <v>#N/A</v>
      </c>
      <c r="M2172" s="98"/>
      <c r="N2172" s="98" t="e">
        <v>#N/A</v>
      </c>
      <c r="O2172" s="98"/>
      <c r="P2172" s="98" t="e">
        <v>#N/A</v>
      </c>
      <c r="Q2172" s="98"/>
      <c r="R2172" s="98" t="e">
        <v>#N/A</v>
      </c>
      <c r="S2172" s="98"/>
      <c r="T2172" s="98" t="e">
        <v>#N/A</v>
      </c>
      <c r="U2172" s="98"/>
      <c r="V2172" s="98" t="e">
        <v>#N/A</v>
      </c>
      <c r="W2172" s="98"/>
      <c r="X2172" s="98" t="e">
        <v>#N/A</v>
      </c>
      <c r="Y2172" s="98"/>
      <c r="Z2172" s="98" t="e">
        <v>#N/A</v>
      </c>
      <c r="AA2172" s="98"/>
      <c r="AB2172" s="5" t="s">
        <v>603</v>
      </c>
      <c r="AC2172" s="47" t="e">
        <v>#N/A</v>
      </c>
    </row>
    <row r="2173" hidden="1">
      <c r="A2173" s="222" t="str">
        <f t="array" ref="A2173:A2174">{"FormulaRow39";(INDEX(CLASSLIST,A2096,1))}</f>
        <v>FormulaRow39</v>
      </c>
      <c r="B2173" s="77" t="s">
        <v>236</v>
      </c>
      <c r="C2173" s="222" t="str">
        <f t="array" ref="C2173:C2174">{"CLASSTYPE";((INDEX(ALLCLASSDATA,MATCH("ClassType",CLASSFEATUREHEADERS,0),MATCH($A2174,CLASSNAMEHEADERS,0))))}</f>
        <v>CLASSTYPE</v>
      </c>
      <c r="D2173" s="222" t="str">
        <f t="array" ref="D2173:D2174">{"SPELL/ALCHEMY";((IF(INDEX(ALLCLASSDATA,MATCH("CasterType",CLASSFEATUREHEADERS,0),MATCH(($A2174),CLASSNAMEHEADERS,0))="","",(IF(INDEX(ALLCLASSDATA,MATCH("CasterType",CLASSFEATUREHEADERS,0),MATCH(($A2174),CLASSNAMEHEADERS,0))="Alchemy","Alchemy","Spells")))))}</f>
        <v>SPELL/ALCHEMY</v>
      </c>
      <c r="E2173" s="222" t="str">
        <f t="array" ref="E2173:E2174">{"SPELLLIST";(IF(D2174="Spells",((INDEX(ALLCLASSDATA,MATCH("CasterType",CLASSFEATUREHEADERS,0),MATCH(($A2174),CLASSNAMEHEADERS,0))) &amp; ":" &amp; (INDEX(ALLCLASSDATA,MATCH("SpellList",CLASSFEATUREHEADERS,0),MATCH(($A2174),CLASSNAMEHEADERS,0)))),""))}</f>
        <v>SPELLLIST</v>
      </c>
      <c r="F2173" s="223" t="str">
        <f t="array" ref="F2173:F2174">{"SPL";(IF(D2174="Spells","SPL:",""))}</f>
        <v>SPL</v>
      </c>
      <c r="G2173" s="223" t="str">
        <f t="array" ref="G2173:G2174">{"CANTRIP/ALC";(IF(D2174="Spells","C",(IF(D2174="Alchemy","ALC:",""))))}</f>
        <v>CANTRIP/ALC</v>
      </c>
      <c r="H2173" s="223" t="str">
        <f t="array" ref="H2173:H2174">{"SPELL/ALC L01";(IF(D2174="Alchemy","L01",(IF(D2174="Spells","S01",""))))}</f>
        <v>SPELL/ALC L01</v>
      </c>
      <c r="I2173" s="223" t="str">
        <f t="array" ref="I2173:I2174">{"SPELL/ALC L02";(IF(D2174="Alchemy","L02",(IF(D2174="Spells","S01",""))))}</f>
        <v>SPELL/ALC L02</v>
      </c>
      <c r="J2173" s="223" t="str">
        <f t="array" ref="J2173:J2174">{"SPELL/ALC L03";(IF(D2174="Alchemy","L03",(IF(D2174="Spells","S02",""))))}</f>
        <v>SPELL/ALC L03</v>
      </c>
      <c r="K2173" s="223" t="str">
        <f t="array" ref="K2173:K2174">{"SPELL/ALC L04";(IF(D2174="Alchemy","L04",(IF(D2174="Spells","S02",""))))}</f>
        <v>SPELL/ALC L04</v>
      </c>
      <c r="L2173" s="223" t="str">
        <f t="array" ref="L2173:L2174">{"SPELL/ALC L05";(IF(D2174="Alchemy","L05",(IF(D2174="Spells","S03",""))))}</f>
        <v>SPELL/ALC L05</v>
      </c>
      <c r="M2173" s="223" t="str">
        <f t="array" ref="M2173:M2174">{"SPELL/ALC L06";(IF(D2174="Alchemy","L06",(IF(D2174="Spells","S03",""))))}</f>
        <v>SPELL/ALC L06</v>
      </c>
      <c r="N2173" s="223" t="str">
        <f t="array" ref="N2173:N2174">{"SPELL/ALC L07";(IF(D2174="Alchemy","L07",(IF(D2174="Spells","S04",""))))}</f>
        <v>SPELL/ALC L07</v>
      </c>
      <c r="O2173" s="223" t="str">
        <f t="array" ref="O2173:O2174">{"SPELL/ALC L08";(IF(D2174="Alchemy","L08",(IF(D2174="Spells","S04",""))))}</f>
        <v>SPELL/ALC L08</v>
      </c>
      <c r="P2173" s="223" t="str">
        <f t="array" ref="P2173:P2174">{"SPELL/ALC L09";(IF(D2174="Alchemy","L09",(IF(D2174="Spells","S05",""))))}</f>
        <v>SPELL/ALC L09</v>
      </c>
      <c r="Q2173" s="223" t="str">
        <f t="array" ref="Q2173:Q2174">{"SPELL/ALC L10";(IF(D2174="Alchemy","L10",(IF(D2174="Spells","S05",""))))}</f>
        <v>SPELL/ALC L10</v>
      </c>
      <c r="R2173" s="223" t="str">
        <f t="array" ref="R2173:R2174">{"SPELL/ALC L11";(IF(D2174="Alchemy","L11",(IF(D2174="Spells","S06",""))))}</f>
        <v>SPELL/ALC L11</v>
      </c>
      <c r="S2173" s="223" t="str">
        <f t="array" ref="S2173:S2174">{"SPELL/ALC L12";(IF(D2174="Alchemy","L12",(IF(D2174="Spells","S06",""))))}</f>
        <v>SPELL/ALC L12</v>
      </c>
      <c r="T2173" s="223" t="str">
        <f t="array" ref="T2173:T2174">{"SPELL/ALC L13";(IF(D2174="Alchemy","L13",(IF(D2174="Spells","S07",""))))}</f>
        <v>SPELL/ALC L13</v>
      </c>
      <c r="U2173" s="223" t="str">
        <f t="array" ref="U2173:U2174">{"SPELL/ALC L14";(IF(D2174="Alchemy","L14",(IF(D2174="Spells","S07",""))))}</f>
        <v>SPELL/ALC L14</v>
      </c>
      <c r="V2173" s="223" t="str">
        <f t="array" ref="V2173:V2174">{"SPELL/ALC L15";(IF(D2174="Alchemy","L15",(IF(D2174="Spells","S08",""))))}</f>
        <v>SPELL/ALC L15</v>
      </c>
      <c r="W2173" s="223" t="str">
        <f t="array" ref="W2173:W2174">{"SPELL/ALC L16";(IF(D2174="Alchemy","L16",(IF(D2174="Spells","S08",""))))}</f>
        <v>SPELL/ALC L16</v>
      </c>
      <c r="X2173" s="223" t="str">
        <f t="array" ref="X2173:X2174">{"SPELL/ALC L17";(IF(D2174="Alchemy","L17",(IF(D2174="Spells","S09",""))))}</f>
        <v>SPELL/ALC L17</v>
      </c>
      <c r="Y2173" s="223" t="str">
        <f t="array" ref="Y2173:Y2174">{"SPELL/ALC L18";(IF(D2174="Alchemy","L18",(IF(D2174="Spells","S09",""))))}</f>
        <v>SPELL/ALC L18</v>
      </c>
      <c r="Z2173" s="223" t="str">
        <f t="array" ref="Z2173:Z2174">{"SPELL/ALC L19";(IF(D2174="Alchemy","L19",(IF(D2174="Spells","S10",""))))}</f>
        <v>SPELL/ALC L19</v>
      </c>
      <c r="AA2173" s="223" t="str">
        <f t="array" ref="AA2173:AA2174">{"SPELL/ALC L20";(IF(D2174="Alchemy","L20",(IF(D2174="Spells","S10",""))))}</f>
        <v>SPELL/ALC L20</v>
      </c>
      <c r="AB2173" s="76"/>
      <c r="AC2173" s="76"/>
    </row>
    <row r="2174">
      <c r="A2174" s="48" t="s">
        <v>238</v>
      </c>
      <c r="B2174" s="48"/>
      <c r="C2174" s="48" t="e">
        <v>#N/A</v>
      </c>
      <c r="D2174" s="48" t="e">
        <v>#N/A</v>
      </c>
      <c r="E2174" s="48" t="e">
        <v>#N/A</v>
      </c>
      <c r="F2174" s="278" t="e">
        <v>#N/A</v>
      </c>
      <c r="G2174" s="114" t="e">
        <v>#N/A</v>
      </c>
      <c r="H2174" s="279" t="e">
        <v>#N/A</v>
      </c>
      <c r="I2174" s="28" t="e">
        <v>#N/A</v>
      </c>
      <c r="J2174" s="28" t="e">
        <v>#N/A</v>
      </c>
      <c r="K2174" s="28" t="e">
        <v>#N/A</v>
      </c>
      <c r="L2174" s="28" t="e">
        <v>#N/A</v>
      </c>
      <c r="M2174" s="28" t="e">
        <v>#N/A</v>
      </c>
      <c r="N2174" s="28" t="e">
        <v>#N/A</v>
      </c>
      <c r="O2174" s="28" t="e">
        <v>#N/A</v>
      </c>
      <c r="P2174" s="28" t="e">
        <v>#N/A</v>
      </c>
      <c r="Q2174" s="28" t="e">
        <v>#N/A</v>
      </c>
      <c r="R2174" s="28" t="e">
        <v>#N/A</v>
      </c>
      <c r="S2174" s="28" t="e">
        <v>#N/A</v>
      </c>
      <c r="T2174" s="28" t="e">
        <v>#N/A</v>
      </c>
      <c r="U2174" s="28" t="e">
        <v>#N/A</v>
      </c>
      <c r="V2174" s="28" t="e">
        <v>#N/A</v>
      </c>
      <c r="W2174" s="28" t="e">
        <v>#N/A</v>
      </c>
      <c r="X2174" s="28" t="e">
        <v>#N/A</v>
      </c>
      <c r="Y2174" s="28" t="e">
        <v>#N/A</v>
      </c>
      <c r="Z2174" s="28" t="e">
        <v>#N/A</v>
      </c>
      <c r="AA2174" s="28" t="e">
        <v>#N/A</v>
      </c>
      <c r="AB2174" s="5"/>
      <c r="AC2174" s="47"/>
    </row>
    <row r="2175" hidden="1">
      <c r="A2175" s="222" t="str">
        <f t="array" ref="A2175:A2176">{"FormulaRow40";(INDEX(CLASSLIST,A2096,1))}</f>
        <v>FormulaRow40</v>
      </c>
      <c r="B2175" s="77" t="s">
        <v>236</v>
      </c>
      <c r="C2175" s="222" t="str">
        <f t="array" ref="C2175:C2176">{"CLASSTYPE";((INDEX(ALLCLASSDATA,MATCH("ClassType",CLASSFEATUREHEADERS,0),MATCH($A2176,CLASSNAMEHEADERS,0))))}</f>
        <v>CLASSTYPE</v>
      </c>
      <c r="D2175" s="222" t="str">
        <f t="array" ref="D2175:D2176">{"SPELL/ALCHEMY";((IF(INDEX(ALLCLASSDATA,MATCH("CasterType",CLASSFEATUREHEADERS,0),MATCH(($A2176),CLASSNAMEHEADERS,0))="","",(IF(INDEX(ALLCLASSDATA,MATCH("CasterType",CLASSFEATUREHEADERS,0),MATCH(($A2176),CLASSNAMEHEADERS,0))="Alchemy","","Spells")))))}</f>
        <v>SPELL/ALCHEMY</v>
      </c>
      <c r="E2175" s="222" t="str">
        <f t="array" ref="E2175:E2176">{"SPELLLIST";(IF(D2176="Spells",((INDEX(ALLCLASSDATA,MATCH("CasterType",CLASSFEATUREHEADERS,0),MATCH(($A2176),CLASSNAMEHEADERS,0))) &amp; ":" &amp; (INDEX(ALLCLASSDATA,MATCH("SpellList",CLASSFEATUREHEADERS,0),MATCH(($A2176),CLASSNAMEHEADERS,0)))),""))}</f>
        <v>SPELLLIST</v>
      </c>
      <c r="F2175" s="222" t="str">
        <f t="array" ref="F2175:F2176">{"SLOTCOST";(IF(D2176="Spells","SlotCost:",""))}</f>
        <v>SLOTCOST</v>
      </c>
      <c r="G2175" s="222" t="str">
        <f t="array" ref="G2175:G2176">{"SLOTCOST CANTRIP";(INDEX(ALLCLASSDATA,MATCH("CantripSlots-L00",CLASSFEATUREHEADERS,0),MATCH(($A2176 &amp; "Points"),CLASSNAMEHEADERS,0)))}</f>
        <v>SLOTCOST CANTRIP</v>
      </c>
      <c r="H2175" s="222" t="str">
        <f t="array" ref="H2175:H2176">{"SLOTCOST L01";(INDEX(ALLCLASSDATA,MATCH("SPL01-L01",CLASSFEATUREHEADERS,0),MATCH(($A2176 &amp; "Points"),CLASSNAMEHEADERS,0)))}</f>
        <v>SLOTCOST L01</v>
      </c>
      <c r="I2175" s="222" t="str">
        <f t="array" ref="I2175:I2176">{"SLOTCOST L02";(INDEX(ALLCLASSDATA,MATCH("SPL01-L02",CLASSFEATUREHEADERS,0),MATCH(($A2176 &amp; "Points"),CLASSNAMEHEADERS,0)))}</f>
        <v>SLOTCOST L02</v>
      </c>
      <c r="J2175" s="222" t="str">
        <f t="array" ref="J2175:J2176">{"SLOTCOST L03";(INDEX(ALLCLASSDATA,MATCH("SPL02-L03",CLASSFEATUREHEADERS,0),MATCH(($A2176 &amp; "Points"),CLASSNAMEHEADERS,0)))}</f>
        <v>SLOTCOST L03</v>
      </c>
      <c r="K2175" s="222" t="str">
        <f t="array" ref="K2175:K2176">{"SLOTCOST L04";(INDEX(ALLCLASSDATA,MATCH("SPL02-L04",CLASSFEATUREHEADERS,0),MATCH(($A2176 &amp; "Points"),CLASSNAMEHEADERS,0)))}</f>
        <v>SLOTCOST L04</v>
      </c>
      <c r="L2175" s="222" t="str">
        <f t="array" ref="L2175:L2176">{"SLOTCOST L05";(INDEX(ALLCLASSDATA,MATCH("SPL03-L05",CLASSFEATUREHEADERS,0),MATCH(($A2176 &amp; "Points"),CLASSNAMEHEADERS,0)))}</f>
        <v>SLOTCOST L05</v>
      </c>
      <c r="M2175" s="222" t="str">
        <f t="array" ref="M2175:M2176">{"SLOTCOST L06";(INDEX(ALLCLASSDATA,MATCH("SPL03-L06",CLASSFEATUREHEADERS,0),MATCH(($A2176 &amp; "Points"),CLASSNAMEHEADERS,0)))}</f>
        <v>SLOTCOST L06</v>
      </c>
      <c r="N2175" s="222" t="str">
        <f t="array" ref="N2175:N2176">{"SLOTCOST L07";(INDEX(ALLCLASSDATA,MATCH("SPL04-L07",CLASSFEATUREHEADERS,0),MATCH(($A2176 &amp; "Points"),CLASSNAMEHEADERS,0)))}</f>
        <v>SLOTCOST L07</v>
      </c>
      <c r="O2175" s="222" t="str">
        <f t="array" ref="O2175:O2176">{"SLOTCOST L08";(INDEX(ALLCLASSDATA,MATCH("SPL04-L08",CLASSFEATUREHEADERS,0),MATCH(($A2176 &amp; "Points"),CLASSNAMEHEADERS,0)))}</f>
        <v>SLOTCOST L08</v>
      </c>
      <c r="P2175" s="222" t="str">
        <f t="array" ref="P2175:P2176">{"SLOTCOST L09";(INDEX(ALLCLASSDATA,MATCH("SPL05-L09",CLASSFEATUREHEADERS,0),MATCH(($A2176 &amp; "Points"),CLASSNAMEHEADERS,0)))}</f>
        <v>SLOTCOST L09</v>
      </c>
      <c r="Q2175" s="222" t="str">
        <f t="array" ref="Q2175:Q2176">{"SLOTCOST L10";(INDEX(ALLCLASSDATA,MATCH("SPL05-L10",CLASSFEATUREHEADERS,0),MATCH(($A2176 &amp; "Points"),CLASSNAMEHEADERS,0)))}</f>
        <v>SLOTCOST L10</v>
      </c>
      <c r="R2175" s="222" t="str">
        <f t="array" ref="R2175:R2176">{"SLOTCOST L11";(INDEX(ALLCLASSDATA,MATCH("SPL06-L11",CLASSFEATUREHEADERS,0),MATCH(($A2176 &amp; "Points"),CLASSNAMEHEADERS,0)))}</f>
        <v>SLOTCOST L11</v>
      </c>
      <c r="S2175" s="222" t="str">
        <f t="array" ref="S2175:S2176">{"SLOTCOST L12";(INDEX(ALLCLASSDATA,MATCH("SPL06-L12",CLASSFEATUREHEADERS,0),MATCH(($A2176 &amp; "Points"),CLASSNAMEHEADERS,0)))}</f>
        <v>SLOTCOST L12</v>
      </c>
      <c r="T2175" s="222" t="str">
        <f t="array" ref="T2175:T2176">{"SLOTCOST L13";(INDEX(ALLCLASSDATA,MATCH("SPL07-L13",CLASSFEATUREHEADERS,0),MATCH(($A2176 &amp; "Points"),CLASSNAMEHEADERS,0)))}</f>
        <v>SLOTCOST L13</v>
      </c>
      <c r="U2175" s="222" t="str">
        <f t="array" ref="U2175:U2176">{"SLOTCOST L14";(INDEX(ALLCLASSDATA,MATCH("SPL07-L14",CLASSFEATUREHEADERS,0),MATCH(($A2176 &amp; "Points"),CLASSNAMEHEADERS,0)))}</f>
        <v>SLOTCOST L14</v>
      </c>
      <c r="V2175" s="222" t="str">
        <f t="array" ref="V2175:V2176">{"SLOTCOST L15";(INDEX(ALLCLASSDATA,MATCH("SPL08-L15",CLASSFEATUREHEADERS,0),MATCH(($A2176 &amp; "Points"),CLASSNAMEHEADERS,0)))}</f>
        <v>SLOTCOST L15</v>
      </c>
      <c r="W2175" s="222" t="str">
        <f t="array" ref="W2175:W2176">{"SLOTCOST L16";(INDEX(ALLCLASSDATA,MATCH("SPL08-L16",CLASSFEATUREHEADERS,0),MATCH(($A2176 &amp; "Points"),CLASSNAMEHEADERS,0)))}</f>
        <v>SLOTCOST L16</v>
      </c>
      <c r="X2175" s="222" t="str">
        <f t="array" ref="X2175:X2176">{"SLOTCOST L17";(INDEX(ALLCLASSDATA,MATCH("SPL09-L17",CLASSFEATUREHEADERS,0),MATCH(($A2176 &amp; "Points"),CLASSNAMEHEADERS,0)))}</f>
        <v>SLOTCOST L17</v>
      </c>
      <c r="Y2175" s="222" t="str">
        <f t="array" ref="Y2175:Y2176">{"SLOTCOST L18";(INDEX(ALLCLASSDATA,MATCH("SPL09-L18",CLASSFEATUREHEADERS,0),MATCH(($A2176 &amp; "Points"),CLASSNAMEHEADERS,0)))}</f>
        <v>SLOTCOST L18</v>
      </c>
      <c r="Z2175" s="222" t="str">
        <f t="array" ref="Z2175:Z2176">{"SLOTCOST L19";(INDEX(ALLCLASSDATA,MATCH("SPL10-L19",CLASSFEATUREHEADERS,0),MATCH(($A2176 &amp; "Points"),CLASSNAMEHEADERS,0)))}</f>
        <v>SLOTCOST L19</v>
      </c>
      <c r="AA2175" s="222" t="str">
        <f t="array" ref="AA2175:AA2176">{"SLOTCOST L20";(INDEX(ALLCLASSDATA,MATCH("SPL10-L20",CLASSFEATUREHEADERS,0),MATCH(($A2176 &amp; "Points"),CLASSNAMEHEADERS,0)))}</f>
        <v>SLOTCOST L20</v>
      </c>
      <c r="AB2175" s="76"/>
      <c r="AC2175" s="76" t="str">
        <f t="array" ref="AC2175:AC2176">{"SLOT TOTAL";(sum(G2176:AA2176))}</f>
        <v>SLOT TOTAL</v>
      </c>
    </row>
    <row r="2176">
      <c r="A2176" s="48" t="s">
        <v>238</v>
      </c>
      <c r="B2176" s="48"/>
      <c r="C2176" s="48" t="e">
        <v>#N/A</v>
      </c>
      <c r="D2176" s="48" t="e">
        <v>#N/A</v>
      </c>
      <c r="E2176" s="48" t="e">
        <v>#N/A</v>
      </c>
      <c r="F2176" s="278" t="e">
        <v>#N/A</v>
      </c>
      <c r="G2176" s="47" t="e">
        <v>#N/A</v>
      </c>
      <c r="H2176" s="5" t="e">
        <v>#N/A</v>
      </c>
      <c r="I2176" s="5" t="e">
        <v>#N/A</v>
      </c>
      <c r="J2176" s="5" t="e">
        <v>#N/A</v>
      </c>
      <c r="K2176" s="5" t="e">
        <v>#N/A</v>
      </c>
      <c r="L2176" s="5" t="e">
        <v>#N/A</v>
      </c>
      <c r="M2176" s="48" t="e">
        <v>#N/A</v>
      </c>
      <c r="N2176" s="5" t="e">
        <v>#N/A</v>
      </c>
      <c r="O2176" s="5" t="e">
        <v>#N/A</v>
      </c>
      <c r="P2176" s="5" t="e">
        <v>#N/A</v>
      </c>
      <c r="Q2176" s="5" t="e">
        <v>#N/A</v>
      </c>
      <c r="R2176" s="5" t="e">
        <v>#N/A</v>
      </c>
      <c r="S2176" s="5" t="e">
        <v>#N/A</v>
      </c>
      <c r="T2176" s="5" t="e">
        <v>#N/A</v>
      </c>
      <c r="U2176" s="5" t="e">
        <v>#N/A</v>
      </c>
      <c r="V2176" s="5" t="e">
        <v>#N/A</v>
      </c>
      <c r="W2176" s="5" t="e">
        <v>#N/A</v>
      </c>
      <c r="X2176" s="5" t="e">
        <v>#N/A</v>
      </c>
      <c r="Y2176" s="5" t="e">
        <v>#N/A</v>
      </c>
      <c r="Z2176" s="5" t="e">
        <v>#N/A</v>
      </c>
      <c r="AA2176" s="5" t="e">
        <v>#N/A</v>
      </c>
      <c r="AB2176" s="5"/>
      <c r="AC2176" s="47" t="e">
        <v>#N/A</v>
      </c>
    </row>
    <row r="2177" hidden="1">
      <c r="A2177" s="222" t="str">
        <f t="array" ref="A2177:A2178">{"FormulaRow41";(INDEX(CLASSLIST,A2096,1))}</f>
        <v>FormulaRow41</v>
      </c>
      <c r="B2177" s="77" t="s">
        <v>236</v>
      </c>
      <c r="C2177" s="222" t="str">
        <f t="array" ref="C2177:C2178">{"CLASSTYPE";((INDEX(ALLCLASSDATA,MATCH("ClassType",CLASSFEATUREHEADERS,0),MATCH($A2178,CLASSNAMEHEADERS,0))))}</f>
        <v>CLASSTYPE</v>
      </c>
      <c r="D2177" s="222" t="str">
        <f t="array" ref="D2177:D2178">{"SPELL/ALCHEMY";((IF(INDEX(ALLCLASSDATA,MATCH("CasterType",CLASSFEATUREHEADERS,0),MATCH(($A2178),CLASSNAMEHEADERS,0))="","",(IF(INDEX(ALLCLASSDATA,MATCH("CasterType",CLASSFEATUREHEADERS,0),MATCH(($A2178),CLASSNAMEHEADERS,0))="Alchemy","Alchemy","Spells")))))}</f>
        <v>SPELL/ALCHEMY</v>
      </c>
      <c r="E2177" s="222" t="str">
        <f t="array" ref="E2177:E2178">{"SPELLLIST";(IF(D2178="Spells",((INDEX(ALLCLASSDATA,MATCH("CasterType",CLASSFEATUREHEADERS,0),MATCH(($A2178),CLASSNAMEHEADERS,0))) &amp; ":" &amp; (INDEX(ALLCLASSDATA,MATCH("SpellList",CLASSFEATUREHEADERS,0),MATCH(($A2178),CLASSNAMEHEADERS,0)))),""))}</f>
        <v>SPELLLIST</v>
      </c>
      <c r="F2177" s="223" t="str">
        <f t="array" ref="F2177:F2178">{"LEARNEDCOST";(IF(D2178="","","LearnCost:"))}</f>
        <v>LEARNEDCOST</v>
      </c>
      <c r="G2177" s="223" t="str">
        <f t="array" ref="G2177:G2178">{"LEARNED CANTRIPS";(INDEX(ALLCLASSDATA,MATCH("CantripsLearned-L00",CLASSFEATUREHEADERS,0),MATCH(($A2178 &amp; "Points"),CLASSNAMEHEADERS,0)))}</f>
        <v>LEARNED CANTRIPS</v>
      </c>
      <c r="H2177" s="223" t="str">
        <f t="array" ref="H2177:H2178">{"LEARNED L01";(INDEX(ALLCLASSDATA,MATCH("Learned-L01",CLASSFEATUREHEADERS,0),MATCH(($A2178 &amp; "Points"),CLASSNAMEHEADERS,0)))}</f>
        <v>LEARNED L01</v>
      </c>
      <c r="I2177" s="223" t="str">
        <f t="array" ref="I2177:I2178">{"LEARNED L02";(INDEX(ALLCLASSDATA,MATCH("Learned-L02",CLASSFEATUREHEADERS,0),MATCH(($A2178 &amp; "Points"),CLASSNAMEHEADERS,0)))}</f>
        <v>LEARNED L02</v>
      </c>
      <c r="J2177" s="223" t="str">
        <f t="array" ref="J2177:J2178">{"LEARNED L03";(INDEX(ALLCLASSDATA,MATCH("Learned-L03",CLASSFEATUREHEADERS,0),MATCH(($A2178 &amp; "Points"),CLASSNAMEHEADERS,0)))}</f>
        <v>LEARNED L03</v>
      </c>
      <c r="K2177" s="223" t="str">
        <f t="array" ref="K2177:K2178">{"LEARNED L04";(INDEX(ALLCLASSDATA,MATCH("Learned-L04",CLASSFEATUREHEADERS,0),MATCH(($A2178 &amp; "Points"),CLASSNAMEHEADERS,0)))}</f>
        <v>LEARNED L04</v>
      </c>
      <c r="L2177" s="223" t="str">
        <f t="array" ref="L2177:L2178">{"LEARNED L05";(INDEX(ALLCLASSDATA,MATCH("Learned-L05",CLASSFEATUREHEADERS,0),MATCH(($A2178 &amp; "Points"),CLASSNAMEHEADERS,0)))}</f>
        <v>LEARNED L05</v>
      </c>
      <c r="M2177" s="223" t="str">
        <f t="array" ref="M2177:M2178">{"LEARNED L06";(INDEX(ALLCLASSDATA,MATCH("Learned-L06",CLASSFEATUREHEADERS,0),MATCH(($A2178 &amp; "Points"),CLASSNAMEHEADERS,0)))}</f>
        <v>LEARNED L06</v>
      </c>
      <c r="N2177" s="223" t="str">
        <f t="array" ref="N2177:N2178">{"LEARNED L07";(INDEX(ALLCLASSDATA,MATCH("Learned-L07",CLASSFEATUREHEADERS,0),MATCH(($A2178 &amp; "Points"),CLASSNAMEHEADERS,0)))}</f>
        <v>LEARNED L07</v>
      </c>
      <c r="O2177" s="223" t="str">
        <f t="array" ref="O2177:O2178">{"LEARNED L08";(INDEX(ALLCLASSDATA,MATCH("Learned-L08",CLASSFEATUREHEADERS,0),MATCH(($A2178 &amp; "Points"),CLASSNAMEHEADERS,0)))}</f>
        <v>LEARNED L08</v>
      </c>
      <c r="P2177" s="223" t="str">
        <f t="array" ref="P2177:P2178">{"LEARNED L09";(INDEX(ALLCLASSDATA,MATCH("Learned-L09",CLASSFEATUREHEADERS,0),MATCH(($A2178 &amp; "Points"),CLASSNAMEHEADERS,0)))}</f>
        <v>LEARNED L09</v>
      </c>
      <c r="Q2177" s="223" t="str">
        <f t="array" ref="Q2177:Q2178">{"LEARNED L10";(INDEX(ALLCLASSDATA,MATCH("Learned-L10",CLASSFEATUREHEADERS,0),MATCH(($A2178 &amp; "Points"),CLASSNAMEHEADERS,0)))}</f>
        <v>LEARNED L10</v>
      </c>
      <c r="R2177" s="223" t="str">
        <f t="array" ref="R2177:R2178">{"LEARNED L11";(INDEX(ALLCLASSDATA,MATCH("Learned-L11",CLASSFEATUREHEADERS,0),MATCH(($A2178 &amp; "Points"),CLASSNAMEHEADERS,0)))}</f>
        <v>LEARNED L11</v>
      </c>
      <c r="S2177" s="223" t="str">
        <f t="array" ref="S2177:S2178">{"LEARNED L12";(INDEX(ALLCLASSDATA,MATCH("Learned-L12",CLASSFEATUREHEADERS,0),MATCH(($A2178 &amp; "Points"),CLASSNAMEHEADERS,0)))}</f>
        <v>LEARNED L12</v>
      </c>
      <c r="T2177" s="223" t="str">
        <f t="array" ref="T2177:T2178">{"LEARNED L13";(INDEX(ALLCLASSDATA,MATCH("Learned-L13",CLASSFEATUREHEADERS,0),MATCH(($A2178 &amp; "Points"),CLASSNAMEHEADERS,0)))}</f>
        <v>LEARNED L13</v>
      </c>
      <c r="U2177" s="223" t="str">
        <f t="array" ref="U2177:U2178">{"LEARNED L14";(INDEX(ALLCLASSDATA,MATCH("Learned-L14",CLASSFEATUREHEADERS,0),MATCH(($A2178 &amp; "Points"),CLASSNAMEHEADERS,0)))}</f>
        <v>LEARNED L14</v>
      </c>
      <c r="V2177" s="223" t="str">
        <f t="array" ref="V2177:V2178">{"LEARNED L15";(INDEX(ALLCLASSDATA,MATCH("Learned-L15",CLASSFEATUREHEADERS,0),MATCH(($A2178 &amp; "Points"),CLASSNAMEHEADERS,0)))}</f>
        <v>LEARNED L15</v>
      </c>
      <c r="W2177" s="223" t="str">
        <f t="array" ref="W2177:W2178">{"LEARNED L16";(INDEX(ALLCLASSDATA,MATCH("Learned-L16",CLASSFEATUREHEADERS,0),MATCH(($A2178 &amp; "Points"),CLASSNAMEHEADERS,0)))}</f>
        <v>LEARNED L16</v>
      </c>
      <c r="X2177" s="223" t="str">
        <f t="array" ref="X2177:X2178">{"LEARNED L17";(INDEX(ALLCLASSDATA,MATCH("Learned-L17",CLASSFEATUREHEADERS,0),MATCH(($A2178 &amp; "Points"),CLASSNAMEHEADERS,0)))}</f>
        <v>LEARNED L17</v>
      </c>
      <c r="Y2177" s="223" t="str">
        <f t="array" ref="Y2177:Y2178">{"LEARNED L18";(INDEX(ALLCLASSDATA,MATCH("Learned-L18",CLASSFEATUREHEADERS,0),MATCH(($A2178 &amp; "Points"),CLASSNAMEHEADERS,0)))}</f>
        <v>LEARNED L18</v>
      </c>
      <c r="Z2177" s="223" t="str">
        <f t="array" ref="Z2177:Z2178">{"LEARNED L19";(INDEX(ALLCLASSDATA,MATCH("Learned-L19",CLASSFEATUREHEADERS,0),MATCH(($A2178 &amp; "Points"),CLASSNAMEHEADERS,0)))}</f>
        <v>LEARNED L19</v>
      </c>
      <c r="AA2177" s="223" t="str">
        <f t="array" ref="AA2177:AA2178">{"LEARNED L20";(INDEX(ALLCLASSDATA,MATCH("Learned-L20",CLASSFEATUREHEADERS,0),MATCH(($A2178 &amp; "Points"),CLASSNAMEHEADERS,0)))}</f>
        <v>LEARNED L20</v>
      </c>
      <c r="AB2177" s="76"/>
      <c r="AC2177" s="76" t="str">
        <f t="array" ref="AC2177:AC2178">{"LEARNED TOTAL";(sum(G2178:AA2178))}</f>
        <v>LEARNED TOTAL</v>
      </c>
    </row>
    <row r="2178">
      <c r="A2178" s="48" t="s">
        <v>238</v>
      </c>
      <c r="B2178" s="48"/>
      <c r="C2178" s="48" t="e">
        <v>#N/A</v>
      </c>
      <c r="D2178" s="48" t="e">
        <v>#N/A</v>
      </c>
      <c r="E2178" s="48" t="e">
        <v>#N/A</v>
      </c>
      <c r="F2178" s="278" t="e">
        <v>#N/A</v>
      </c>
      <c r="G2178" s="47" t="e">
        <v>#N/A</v>
      </c>
      <c r="H2178" s="5" t="e">
        <v>#N/A</v>
      </c>
      <c r="I2178" s="5" t="e">
        <v>#N/A</v>
      </c>
      <c r="J2178" s="5" t="e">
        <v>#N/A</v>
      </c>
      <c r="K2178" s="5" t="e">
        <v>#N/A</v>
      </c>
      <c r="L2178" s="5" t="e">
        <v>#N/A</v>
      </c>
      <c r="M2178" s="5" t="e">
        <v>#N/A</v>
      </c>
      <c r="N2178" s="48" t="e">
        <v>#N/A</v>
      </c>
      <c r="O2178" s="5" t="e">
        <v>#N/A</v>
      </c>
      <c r="P2178" s="5" t="e">
        <v>#N/A</v>
      </c>
      <c r="Q2178" s="5" t="e">
        <v>#N/A</v>
      </c>
      <c r="R2178" s="5" t="e">
        <v>#N/A</v>
      </c>
      <c r="S2178" s="5" t="e">
        <v>#N/A</v>
      </c>
      <c r="T2178" s="5" t="e">
        <v>#N/A</v>
      </c>
      <c r="U2178" s="5" t="e">
        <v>#N/A</v>
      </c>
      <c r="V2178" s="5" t="e">
        <v>#N/A</v>
      </c>
      <c r="W2178" s="5" t="e">
        <v>#N/A</v>
      </c>
      <c r="X2178" s="5" t="e">
        <v>#N/A</v>
      </c>
      <c r="Y2178" s="5" t="e">
        <v>#N/A</v>
      </c>
      <c r="Z2178" s="5" t="e">
        <v>#N/A</v>
      </c>
      <c r="AA2178" s="5" t="e">
        <v>#N/A</v>
      </c>
      <c r="AB2178" s="5"/>
      <c r="AC2178" s="47" t="e">
        <v>#N/A</v>
      </c>
    </row>
    <row r="2179" hidden="1">
      <c r="A2179" s="222" t="str">
        <f t="array" ref="A2179:A2180">{"FormulaRow42";(INDEX(CLASSLIST,A2096,1))}</f>
        <v>FormulaRow42</v>
      </c>
      <c r="B2179" s="77" t="s">
        <v>236</v>
      </c>
      <c r="C2179" s="222" t="str">
        <f t="array" ref="C2179:C2180">{"CLASSTYPE";((INDEX(ALLCLASSDATA,MATCH("ClassType",CLASSFEATUREHEADERS,0),MATCH($A2180,CLASSNAMEHEADERS,0))))}</f>
        <v>CLASSTYPE</v>
      </c>
      <c r="D2179" s="222" t="str">
        <f t="array" ref="D2179:D2180">{"SPELL/ALCHEMY";((IF(INDEX(ALLCLASSDATA,MATCH("CasterType",CLASSFEATUREHEADERS,0),MATCH(($A2180),CLASSNAMEHEADERS,0))="","",(IF(INDEX(ALLCLASSDATA,MATCH("CasterType",CLASSFEATUREHEADERS,0),MATCH(($A2180),CLASSNAMEHEADERS,0))="Alchemy","","Spells")))))}</f>
        <v>SPELL/ALCHEMY</v>
      </c>
      <c r="E2179" s="222" t="str">
        <f t="array" ref="E2179:E2180">{"SPELLLIST";(IF(D2180="Spells",((INDEX(ALLCLASSDATA,MATCH("CasterType",CLASSFEATUREHEADERS,0),MATCH(($A2180),CLASSNAMEHEADERS,0))) &amp; ":" &amp; (INDEX(ALLCLASSDATA,MATCH("SpellList",CLASSFEATUREHEADERS,0),MATCH(($A2180),CLASSNAMEHEADERS,0)))),""))}</f>
        <v>SPELLLIST</v>
      </c>
      <c r="F2179" s="223" t="str">
        <f t="array" ref="F2179:F2180">{"SLOT/LVL";(IF(D2174="Spells","Slot/LVL:",""))}</f>
        <v>SLOT/LVL</v>
      </c>
      <c r="G2179" s="223" t="str">
        <f t="array" ref="G2179:G2180">{"CANTRIPSLOTS";(INDEX(ALLCLASSDATA,MATCH("CantripSlots-L00",CLASSFEATUREHEADERS,0),MATCH($A2180,CLASSNAMEHEADERS,0)))}</f>
        <v>CANTRIPSLOTS</v>
      </c>
      <c r="H2179" s="223" t="str">
        <f t="array" ref="H2179:H2180">{"SPL01-L01";(INDEX(ALLCLASSDATA,MATCH("SPL01-L01",CLASSFEATUREHEADERS,0),MATCH($A2180,CLASSNAMEHEADERS,0)))}</f>
        <v>SPL01-L01</v>
      </c>
      <c r="I2179" s="223" t="str">
        <f t="array" ref="I2179:I2180">{"SPL01-L02";(INDEX(ALLCLASSDATA,MATCH("SPL01-L02",CLASSFEATUREHEADERS,0),MATCH($A2180,CLASSNAMEHEADERS,0)))}</f>
        <v>SPL01-L02</v>
      </c>
      <c r="J2179" s="223" t="str">
        <f t="array" ref="J2179:J2180">{"SPL02-L03";(INDEX(ALLCLASSDATA,MATCH("SPL02-L03",CLASSFEATUREHEADERS,0),MATCH($A2180,CLASSNAMEHEADERS,0)))}</f>
        <v>SPL02-L03</v>
      </c>
      <c r="K2179" s="223" t="str">
        <f t="array" ref="K2179:K2180">{"SPL02-L04";(INDEX(ALLCLASSDATA,MATCH("SPL02-L04",CLASSFEATUREHEADERS,0),MATCH($A2180,CLASSNAMEHEADERS,0)))}</f>
        <v>SPL02-L04</v>
      </c>
      <c r="L2179" s="223" t="str">
        <f t="array" ref="L2179:L2180">{"SPL03-L05";(INDEX(ALLCLASSDATA,MATCH("SPL03-L05",CLASSFEATUREHEADERS,0),MATCH($A2180,CLASSNAMEHEADERS,0)))}</f>
        <v>SPL03-L05</v>
      </c>
      <c r="M2179" s="223" t="str">
        <f t="array" ref="M2179:M2180">{"SPL03-L06";(INDEX(ALLCLASSDATA,MATCH("SPL03-L06",CLASSFEATUREHEADERS,0),MATCH($A2180,CLASSNAMEHEADERS,0)))}</f>
        <v>SPL03-L06</v>
      </c>
      <c r="N2179" s="223" t="str">
        <f t="array" ref="N2179:N2180">{"SPL04-L07";(INDEX(ALLCLASSDATA,MATCH("SPL04-L07",CLASSFEATUREHEADERS,0),MATCH($A2180,CLASSNAMEHEADERS,0)))}</f>
        <v>SPL04-L07</v>
      </c>
      <c r="O2179" s="223" t="str">
        <f t="array" ref="O2179:O2180">{"SPL04-L08";(INDEX(ALLCLASSDATA,MATCH("SPL04-L08",CLASSFEATUREHEADERS,0),MATCH($A2180,CLASSNAMEHEADERS,0)))}</f>
        <v>SPL04-L08</v>
      </c>
      <c r="P2179" s="223" t="str">
        <f t="array" ref="P2179:P2180">{"SPL05-L09";(INDEX(ALLCLASSDATA,MATCH("SPL05-L09",CLASSFEATUREHEADERS,0),MATCH($A2180,CLASSNAMEHEADERS,0)))}</f>
        <v>SPL05-L09</v>
      </c>
      <c r="Q2179" s="223" t="str">
        <f t="array" ref="Q2179:Q2180">{"SPL05-L10";(INDEX(ALLCLASSDATA,MATCH("SPL05-L10",CLASSFEATUREHEADERS,0),MATCH($A2180,CLASSNAMEHEADERS,0)))}</f>
        <v>SPL05-L10</v>
      </c>
      <c r="R2179" s="223" t="str">
        <f t="array" ref="R2179:R2180">{"SPL06-L11";(INDEX(ALLCLASSDATA,MATCH("SPL06-L11",CLASSFEATUREHEADERS,0),MATCH($A2180,CLASSNAMEHEADERS,0)))}</f>
        <v>SPL06-L11</v>
      </c>
      <c r="S2179" s="223" t="str">
        <f t="array" ref="S2179:S2180">{"SPL06-L12";(INDEX(ALLCLASSDATA,MATCH("SPL06-L12",CLASSFEATUREHEADERS,0),MATCH($A2180,CLASSNAMEHEADERS,0)))}</f>
        <v>SPL06-L12</v>
      </c>
      <c r="T2179" s="223" t="str">
        <f t="array" ref="T2179:T2180">{"SPL07-L13";(INDEX(ALLCLASSDATA,MATCH("SPL07-L13",CLASSFEATUREHEADERS,0),MATCH($A2180,CLASSNAMEHEADERS,0)))}</f>
        <v>SPL07-L13</v>
      </c>
      <c r="U2179" s="223" t="str">
        <f t="array" ref="U2179:U2180">{"SPL07-L14";(INDEX(ALLCLASSDATA,MATCH("SPL07-L14",CLASSFEATUREHEADERS,0),MATCH($A2180,CLASSNAMEHEADERS,0)))}</f>
        <v>SPL07-L14</v>
      </c>
      <c r="V2179" s="223" t="str">
        <f t="array" ref="V2179:V2180">{"SPL08-L15";(INDEX(ALLCLASSDATA,MATCH("SPL08-L15",CLASSFEATUREHEADERS,0),MATCH($A2180,CLASSNAMEHEADERS,0)))}</f>
        <v>SPL08-L15</v>
      </c>
      <c r="W2179" s="223" t="str">
        <f t="array" ref="W2179:W2180">{"SPL08-L16";(INDEX(ALLCLASSDATA,MATCH("SPL08-L16",CLASSFEATUREHEADERS,0),MATCH($A2180,CLASSNAMEHEADERS,0)))}</f>
        <v>SPL08-L16</v>
      </c>
      <c r="X2179" s="223" t="str">
        <f t="array" ref="X2179:X2180">{"SPL09-L17";(INDEX(ALLCLASSDATA,MATCH("SPL09-L17",CLASSFEATUREHEADERS,0),MATCH($A2180,CLASSNAMEHEADERS,0)))}</f>
        <v>SPL09-L17</v>
      </c>
      <c r="Y2179" s="223" t="str">
        <f t="array" ref="Y2179:Y2180">{"SPL09-L18";(INDEX(ALLCLASSDATA,MATCH("SPL09-L18",CLASSFEATUREHEADERS,0),MATCH($A2180,CLASSNAMEHEADERS,0)))}</f>
        <v>SPL09-L18</v>
      </c>
      <c r="Z2179" s="223" t="str">
        <f t="array" ref="Z2179:Z2180">{"SPL10-L19";(INDEX(ALLCLASSDATA,MATCH("SPL10-L19",CLASSFEATUREHEADERS,0),MATCH($A2180,CLASSNAMEHEADERS,0)))}</f>
        <v>SPL10-L19</v>
      </c>
      <c r="AA2179" s="223" t="str">
        <f t="array" ref="AA2179:AA2180">{"SPL10-L20";(INDEX(ALLCLASSDATA,MATCH("SPL10-L20",CLASSFEATUREHEADERS,0),MATCH($A2180,CLASSNAMEHEADERS,0)))}</f>
        <v>SPL10-L20</v>
      </c>
      <c r="AB2179" s="76"/>
      <c r="AC2179" s="76"/>
    </row>
    <row r="2180">
      <c r="A2180" s="48" t="s">
        <v>238</v>
      </c>
      <c r="B2180" s="48"/>
      <c r="C2180" s="48" t="e">
        <v>#N/A</v>
      </c>
      <c r="D2180" s="48" t="e">
        <v>#N/A</v>
      </c>
      <c r="E2180" s="48" t="e">
        <v>#N/A</v>
      </c>
      <c r="F2180" s="278" t="e">
        <v>#N/A</v>
      </c>
      <c r="G2180" s="47" t="e">
        <v>#N/A</v>
      </c>
      <c r="H2180" s="50" t="e">
        <v>#N/A</v>
      </c>
      <c r="I2180" s="50" t="e">
        <v>#N/A</v>
      </c>
      <c r="J2180" s="50" t="e">
        <v>#N/A</v>
      </c>
      <c r="K2180" s="50" t="e">
        <v>#N/A</v>
      </c>
      <c r="L2180" s="50" t="e">
        <v>#N/A</v>
      </c>
      <c r="M2180" s="50" t="e">
        <v>#N/A</v>
      </c>
      <c r="N2180" s="50" t="e">
        <v>#N/A</v>
      </c>
      <c r="O2180" s="50" t="e">
        <v>#N/A</v>
      </c>
      <c r="P2180" s="50" t="e">
        <v>#N/A</v>
      </c>
      <c r="Q2180" s="50" t="e">
        <v>#N/A</v>
      </c>
      <c r="R2180" s="50" t="e">
        <v>#N/A</v>
      </c>
      <c r="S2180" s="50" t="e">
        <v>#N/A</v>
      </c>
      <c r="T2180" s="50" t="e">
        <v>#N/A</v>
      </c>
      <c r="U2180" s="50" t="e">
        <v>#N/A</v>
      </c>
      <c r="V2180" s="50" t="e">
        <v>#N/A</v>
      </c>
      <c r="W2180" s="50" t="e">
        <v>#N/A</v>
      </c>
      <c r="X2180" s="50" t="e">
        <v>#N/A</v>
      </c>
      <c r="Y2180" s="50" t="e">
        <v>#N/A</v>
      </c>
      <c r="Z2180" s="50" t="e">
        <v>#N/A</v>
      </c>
      <c r="AA2180" s="50" t="e">
        <v>#N/A</v>
      </c>
      <c r="AB2180" s="278"/>
      <c r="AC2180" s="47"/>
    </row>
    <row r="2181" hidden="1">
      <c r="A2181" s="222" t="str">
        <f t="array" ref="A2181:A2182">{"FormulaRow43";(INDEX(CLASSLIST,A2096,1))}</f>
        <v>FormulaRow43</v>
      </c>
      <c r="B2181" s="77" t="s">
        <v>236</v>
      </c>
      <c r="C2181" s="222" t="str">
        <f t="array" ref="C2181:C2182">{"CLASSTYPE";((INDEX(ALLCLASSDATA,MATCH("ClassType",CLASSFEATUREHEADERS,0),MATCH($A2182,CLASSNAMEHEADERS,0))))}</f>
        <v>CLASSTYPE</v>
      </c>
      <c r="D2181" s="222" t="str">
        <f t="array" ref="D2181:D2182">{"SPELL/ALCHEMY";((IF(INDEX(ALLCLASSDATA,MATCH("CasterType",CLASSFEATUREHEADERS,0),MATCH(($A2182),CLASSNAMEHEADERS,0))="","",(IF(INDEX(ALLCLASSDATA,MATCH("CasterType",CLASSFEATUREHEADERS,0),MATCH(($A2182),CLASSNAMEHEADERS,0))="Alchemy","Alchemy","Spells")))))}</f>
        <v>SPELL/ALCHEMY</v>
      </c>
      <c r="E2181" s="222" t="str">
        <f t="array" ref="E2181:E2182">{"SPELLLIST";(IF(D2182="Spells",((INDEX(ALLCLASSDATA,MATCH("CasterType",CLASSFEATUREHEADERS,0),MATCH(($A2182),CLASSNAMEHEADERS,0))) &amp; ":" &amp; (INDEX(ALLCLASSDATA,MATCH("SpellList",CLASSFEATUREHEADERS,0),MATCH(($A2182),CLASSNAMEHEADERS,0)))),""))}</f>
        <v>SPELLLIST</v>
      </c>
      <c r="F2181" s="223" t="str">
        <f t="array" ref="F2181:F2182">{"LEARNED/LVL";(IF(D2182="","","Learn/LVL:"))}</f>
        <v>LEARNED/LVL</v>
      </c>
      <c r="G2181" s="223" t="str">
        <f t="array" ref="G2181:G2182">{"LEARNEDCANTRIPS";(INDEX(ALLCLASSDATA,MATCH("CantripsLearned-L00",CLASSFEATUREHEADERS,0),MATCH($A2182,CLASSNAMEHEADERS,0)))}</f>
        <v>LEARNEDCANTRIPS</v>
      </c>
      <c r="H2181" s="223" t="str">
        <f t="array" ref="H2181:H2182">{"LEARNED L01";(INDEX(ALLCLASSDATA,MATCH("Learned-L01",CLASSFEATUREHEADERS,0),MATCH($A2182,CLASSNAMEHEADERS,0)))}</f>
        <v>LEARNED L01</v>
      </c>
      <c r="I2181" s="223" t="str">
        <f t="array" ref="I2181:I2182">{"LEARNED L02";(INDEX(ALLCLASSDATA,MATCH("Learned-L02",CLASSFEATUREHEADERS,0),MATCH($A2182,CLASSNAMEHEADERS,0)))}</f>
        <v>LEARNED L02</v>
      </c>
      <c r="J2181" s="223" t="str">
        <f t="array" ref="J2181:J2182">{"LEARNED L03";(INDEX(ALLCLASSDATA,MATCH("Learned-L03",CLASSFEATUREHEADERS,0),MATCH($A2182,CLASSNAMEHEADERS,0)))}</f>
        <v>LEARNED L03</v>
      </c>
      <c r="K2181" s="223" t="str">
        <f t="array" ref="K2181:K2182">{"LEARNED L04";(INDEX(ALLCLASSDATA,MATCH("Learned-L04",CLASSFEATUREHEADERS,0),MATCH($A2182,CLASSNAMEHEADERS,0)))}</f>
        <v>LEARNED L04</v>
      </c>
      <c r="L2181" s="223" t="str">
        <f t="array" ref="L2181:L2182">{"LEARNED L05";(INDEX(ALLCLASSDATA,MATCH("Learned-L05",CLASSFEATUREHEADERS,0),MATCH($A2182,CLASSNAMEHEADERS,0)))}</f>
        <v>LEARNED L05</v>
      </c>
      <c r="M2181" s="223" t="str">
        <f t="array" ref="M2181:M2182">{"LEARNED L06";(INDEX(ALLCLASSDATA,MATCH("Learned-L06",CLASSFEATUREHEADERS,0),MATCH($A2182,CLASSNAMEHEADERS,0)))}</f>
        <v>LEARNED L06</v>
      </c>
      <c r="N2181" s="223" t="str">
        <f t="array" ref="N2181:N2182">{"LEARNED L07";(INDEX(ALLCLASSDATA,MATCH("Learned-L07",CLASSFEATUREHEADERS,0),MATCH($A2182,CLASSNAMEHEADERS,0)))}</f>
        <v>LEARNED L07</v>
      </c>
      <c r="O2181" s="223" t="str">
        <f t="array" ref="O2181:O2182">{"LEARNED L08";(INDEX(ALLCLASSDATA,MATCH("Learned-L08",CLASSFEATUREHEADERS,0),MATCH($A2182,CLASSNAMEHEADERS,0)))}</f>
        <v>LEARNED L08</v>
      </c>
      <c r="P2181" s="223" t="str">
        <f t="array" ref="P2181:P2182">{"LEARNED L09";(INDEX(ALLCLASSDATA,MATCH("Learned-L09",CLASSFEATUREHEADERS,0),MATCH($A2182,CLASSNAMEHEADERS,0)))}</f>
        <v>LEARNED L09</v>
      </c>
      <c r="Q2181" s="223" t="str">
        <f t="array" ref="Q2181:Q2182">{"LEARNED L10";(INDEX(ALLCLASSDATA,MATCH("Learned-L10",CLASSFEATUREHEADERS,0),MATCH($A2182,CLASSNAMEHEADERS,0)))}</f>
        <v>LEARNED L10</v>
      </c>
      <c r="R2181" s="223" t="str">
        <f t="array" ref="R2181:R2182">{"LEARNED L11";(INDEX(ALLCLASSDATA,MATCH("Learned-L11",CLASSFEATUREHEADERS,0),MATCH($A2182,CLASSNAMEHEADERS,0)))}</f>
        <v>LEARNED L11</v>
      </c>
      <c r="S2181" s="223" t="str">
        <f t="array" ref="S2181:S2182">{"LEARNED L12";(INDEX(ALLCLASSDATA,MATCH("Learned-L12",CLASSFEATUREHEADERS,0),MATCH($A2182,CLASSNAMEHEADERS,0)))}</f>
        <v>LEARNED L12</v>
      </c>
      <c r="T2181" s="223" t="str">
        <f t="array" ref="T2181:T2182">{"LEARNED L13";(INDEX(ALLCLASSDATA,MATCH("Learned-L13",CLASSFEATUREHEADERS,0),MATCH($A2182,CLASSNAMEHEADERS,0)))}</f>
        <v>LEARNED L13</v>
      </c>
      <c r="U2181" s="223" t="str">
        <f t="array" ref="U2181:U2182">{"LEARNED L14";(INDEX(ALLCLASSDATA,MATCH("Learned-L14",CLASSFEATUREHEADERS,0),MATCH($A2182,CLASSNAMEHEADERS,0)))}</f>
        <v>LEARNED L14</v>
      </c>
      <c r="V2181" s="223" t="str">
        <f t="array" ref="V2181:V2182">{"LEARNED L15";(INDEX(ALLCLASSDATA,MATCH("Learned-L15",CLASSFEATUREHEADERS,0),MATCH($A2182,CLASSNAMEHEADERS,0)))}</f>
        <v>LEARNED L15</v>
      </c>
      <c r="W2181" s="223" t="str">
        <f t="array" ref="W2181:W2182">{"LEARNED L16";(INDEX(ALLCLASSDATA,MATCH("Learned-L16",CLASSFEATUREHEADERS,0),MATCH($A2182,CLASSNAMEHEADERS,0)))}</f>
        <v>LEARNED L16</v>
      </c>
      <c r="X2181" s="223" t="str">
        <f t="array" ref="X2181:X2182">{"LEARNED L17";(INDEX(ALLCLASSDATA,MATCH("Learned-L17",CLASSFEATUREHEADERS,0),MATCH($A2182,CLASSNAMEHEADERS,0)))}</f>
        <v>LEARNED L17</v>
      </c>
      <c r="Y2181" s="223" t="str">
        <f t="array" ref="Y2181:Y2182">{"LEARNED L18";(INDEX(ALLCLASSDATA,MATCH("Learned-L18",CLASSFEATUREHEADERS,0),MATCH($A2182,CLASSNAMEHEADERS,0)))}</f>
        <v>LEARNED L18</v>
      </c>
      <c r="Z2181" s="223" t="str">
        <f t="array" ref="Z2181:Z2182">{"LEARNED L19";(INDEX(ALLCLASSDATA,MATCH("Learned-L19",CLASSFEATUREHEADERS,0),MATCH($A2182,CLASSNAMEHEADERS,0)))}</f>
        <v>LEARNED L19</v>
      </c>
      <c r="AA2181" s="223" t="str">
        <f t="array" ref="AA2181:AA2182">{"LEARNED L20";(INDEX(ALLCLASSDATA,MATCH("Learned-L20",CLASSFEATUREHEADERS,0),MATCH($A2182,CLASSNAMEHEADERS,0)))}</f>
        <v>LEARNED L20</v>
      </c>
      <c r="AB2181" s="76"/>
      <c r="AC2181" s="76"/>
    </row>
    <row r="2182">
      <c r="A2182" s="48" t="s">
        <v>238</v>
      </c>
      <c r="B2182" s="48"/>
      <c r="C2182" s="48" t="e">
        <v>#N/A</v>
      </c>
      <c r="D2182" s="48" t="e">
        <v>#N/A</v>
      </c>
      <c r="E2182" s="48" t="e">
        <v>#N/A</v>
      </c>
      <c r="F2182" s="278" t="e">
        <v>#N/A</v>
      </c>
      <c r="G2182" s="47" t="e">
        <v>#N/A</v>
      </c>
      <c r="H2182" s="278" t="e">
        <v>#N/A</v>
      </c>
      <c r="I2182" s="278" t="e">
        <v>#N/A</v>
      </c>
      <c r="J2182" s="278" t="e">
        <v>#N/A</v>
      </c>
      <c r="K2182" s="278" t="e">
        <v>#N/A</v>
      </c>
      <c r="L2182" s="278" t="e">
        <v>#N/A</v>
      </c>
      <c r="M2182" s="278" t="e">
        <v>#N/A</v>
      </c>
      <c r="N2182" s="278" t="e">
        <v>#N/A</v>
      </c>
      <c r="O2182" s="50" t="e">
        <v>#N/A</v>
      </c>
      <c r="P2182" s="278" t="e">
        <v>#N/A</v>
      </c>
      <c r="Q2182" s="278" t="e">
        <v>#N/A</v>
      </c>
      <c r="R2182" s="278" t="e">
        <v>#N/A</v>
      </c>
      <c r="S2182" s="278" t="e">
        <v>#N/A</v>
      </c>
      <c r="T2182" s="278" t="e">
        <v>#N/A</v>
      </c>
      <c r="U2182" s="278" t="e">
        <v>#N/A</v>
      </c>
      <c r="V2182" s="278" t="e">
        <v>#N/A</v>
      </c>
      <c r="W2182" s="278" t="e">
        <v>#N/A</v>
      </c>
      <c r="X2182" s="278" t="e">
        <v>#N/A</v>
      </c>
      <c r="Y2182" s="278" t="e">
        <v>#N/A</v>
      </c>
      <c r="Z2182" s="278" t="e">
        <v>#N/A</v>
      </c>
      <c r="AA2182" s="278" t="e">
        <v>#N/A</v>
      </c>
      <c r="AB2182" s="278"/>
      <c r="AC2182" s="47"/>
    </row>
    <row r="2183" hidden="1">
      <c r="A2183" s="222" t="str">
        <f t="array" ref="A2183:A2184">{"FormulaRow44";(INDEX(CLASSLIST,A2096,1))}</f>
        <v>FormulaRow44</v>
      </c>
      <c r="B2183" s="77" t="s">
        <v>236</v>
      </c>
      <c r="C2183" s="222" t="str">
        <f t="array" ref="C2183:C2184">{"CLASSTYPE";((INDEX(ALLCLASSDATA,MATCH("ClassType",CLASSFEATUREHEADERS,0),MATCH($A2184,CLASSNAMEHEADERS,0))))}</f>
        <v>CLASSTYPE</v>
      </c>
      <c r="D2183" s="222" t="str">
        <f t="array" ref="D2183:D2184">{"SPELL/ALCHEMY";((IF(INDEX(ALLCLASSDATA,MATCH("CasterType",CLASSFEATUREHEADERS,0),MATCH(($A2184),CLASSNAMEHEADERS,0))="","",(IF(INDEX(ALLCLASSDATA,MATCH("CasterType",CLASSFEATUREHEADERS,0),MATCH(($A2184),CLASSNAMEHEADERS,0))="Alchemy","","Spells")))))}</f>
        <v>SPELL/ALCHEMY</v>
      </c>
      <c r="E2183" s="222" t="str">
        <f t="array" ref="E2183:E2184">{"SPELLLIST";(IF(D2184="Spells",((INDEX(ALLCLASSDATA,MATCH("CasterType",CLASSFEATUREHEADERS,0),MATCH(($A2184),CLASSNAMEHEADERS,0))) &amp; ":" &amp; (INDEX(ALLCLASSDATA,MATCH("SpellList",CLASSFEATUREHEADERS,0),MATCH(($A2184),CLASSNAMEHEADERS,0)))),""))}</f>
        <v>SPELLLIST</v>
      </c>
      <c r="F2183" s="223" t="str">
        <f t="array" ref="F2183:F2184">{"TOTALSLOTS";(IF(D2184="","","TotalSlots:"))}</f>
        <v>TOTALSLOTS</v>
      </c>
      <c r="G2183" s="223" t="str">
        <f t="array" ref="G2183:G2184">{"TOTALCANTRIPSLOTS";(G2180)}</f>
        <v>TOTALCANTRIPSLOTS</v>
      </c>
      <c r="H2183" s="223" t="str">
        <f t="array" ref="H2183:H2184">{"TOTALSLOTS L01";(H2180)}</f>
        <v>TOTALSLOTS L01</v>
      </c>
      <c r="I2183" s="223" t="str">
        <f t="array" ref="I2183:I2184">{"TOTALSLOTS L02";(H2184+I2180)}</f>
        <v>TOTALSLOTS L02</v>
      </c>
      <c r="J2183" s="223" t="str">
        <f t="array" ref="J2183:J2184">{"TOTALSLOTS L03";(I2184+J2180)}</f>
        <v>TOTALSLOTS L03</v>
      </c>
      <c r="K2183" s="223" t="str">
        <f t="array" ref="K2183:K2184">{"TOTALSLOTS L04";(J2184+K2180)}</f>
        <v>TOTALSLOTS L04</v>
      </c>
      <c r="L2183" s="223" t="str">
        <f t="array" ref="L2183:L2184">{"TOTALSLOTS L05";(K2184+L2180)}</f>
        <v>TOTALSLOTS L05</v>
      </c>
      <c r="M2183" s="223" t="str">
        <f t="array" ref="M2183:M2184">{"TOTALSLOTS L06";(L2184+M2180)}</f>
        <v>TOTALSLOTS L06</v>
      </c>
      <c r="N2183" s="223" t="str">
        <f t="array" ref="N2183:N2184">{"TOTALSLOTS L07";(M2184+N2180)}</f>
        <v>TOTALSLOTS L07</v>
      </c>
      <c r="O2183" s="223" t="str">
        <f t="array" ref="O2183:O2184">{"TOTALSLOTS L08";(N2184+O2180)}</f>
        <v>TOTALSLOTS L08</v>
      </c>
      <c r="P2183" s="223" t="str">
        <f t="array" ref="P2183:P2184">{"TOTALSLOTS L09";(O2184+P2180)}</f>
        <v>TOTALSLOTS L09</v>
      </c>
      <c r="Q2183" s="223" t="str">
        <f t="array" ref="Q2183:Q2184">{"TOTALSLOTS L10";(P2184+Q2180)}</f>
        <v>TOTALSLOTS L10</v>
      </c>
      <c r="R2183" s="223" t="str">
        <f t="array" ref="R2183:R2184">{"TOTALSLOTS L11";(Q2184+R2180)}</f>
        <v>TOTALSLOTS L11</v>
      </c>
      <c r="S2183" s="223" t="str">
        <f t="array" ref="S2183:S2184">{"TOTALSLOTS L12";(R2184+S2180)}</f>
        <v>TOTALSLOTS L12</v>
      </c>
      <c r="T2183" s="223" t="str">
        <f t="array" ref="T2183:T2184">{"TOTALSLOTS L13";(S2184+T2180)}</f>
        <v>TOTALSLOTS L13</v>
      </c>
      <c r="U2183" s="223" t="str">
        <f t="array" ref="U2183:U2184">{"TOTALSLOTS L14";(T2184+U2180)}</f>
        <v>TOTALSLOTS L14</v>
      </c>
      <c r="V2183" s="223" t="str">
        <f t="array" ref="V2183:V2184">{"TOTALSLOTS L15";(U2184+V2180)}</f>
        <v>TOTALSLOTS L15</v>
      </c>
      <c r="W2183" s="223" t="str">
        <f t="array" ref="W2183:W2184">{"TOTALSLOTS L16";(V2184+W2180)}</f>
        <v>TOTALSLOTS L16</v>
      </c>
      <c r="X2183" s="223" t="str">
        <f t="array" ref="X2183:X2184">{"TOTALSLOTS L17";(W2184+X2180)}</f>
        <v>TOTALSLOTS L17</v>
      </c>
      <c r="Y2183" s="223" t="str">
        <f t="array" ref="Y2183:Y2184">{"TOTALSLOTS L18";(X2184+Y2180)}</f>
        <v>TOTALSLOTS L18</v>
      </c>
      <c r="Z2183" s="223" t="str">
        <f t="array" ref="Z2183:Z2184">{"TOTALSLOTS L19";(Y2184+Z2180)}</f>
        <v>TOTALSLOTS L19</v>
      </c>
      <c r="AA2183" s="223" t="str">
        <f t="array" ref="AA2183:AA2184">{"TOTALSLOTS L20";(Z2184+AA2180)}</f>
        <v>TOTALSLOTS L20</v>
      </c>
      <c r="AB2183" s="76"/>
      <c r="AC2183" s="76"/>
    </row>
    <row r="2184">
      <c r="A2184" s="48" t="s">
        <v>238</v>
      </c>
      <c r="B2184" s="48"/>
      <c r="C2184" s="48" t="e">
        <v>#N/A</v>
      </c>
      <c r="D2184" s="48" t="e">
        <v>#N/A</v>
      </c>
      <c r="E2184" s="48" t="e">
        <v>#N/A</v>
      </c>
      <c r="F2184" s="278" t="e">
        <v>#N/A</v>
      </c>
      <c r="G2184" s="47" t="e">
        <v>#N/A</v>
      </c>
      <c r="H2184" s="278" t="e">
        <v>#N/A</v>
      </c>
      <c r="I2184" s="278" t="e">
        <v>#N/A</v>
      </c>
      <c r="J2184" s="278" t="e">
        <v>#N/A</v>
      </c>
      <c r="K2184" s="278" t="e">
        <v>#N/A</v>
      </c>
      <c r="L2184" s="278" t="e">
        <v>#N/A</v>
      </c>
      <c r="M2184" s="278" t="e">
        <v>#N/A</v>
      </c>
      <c r="N2184" s="278" t="e">
        <v>#N/A</v>
      </c>
      <c r="O2184" s="278" t="e">
        <v>#N/A</v>
      </c>
      <c r="P2184" s="278" t="e">
        <v>#N/A</v>
      </c>
      <c r="Q2184" s="278" t="e">
        <v>#N/A</v>
      </c>
      <c r="R2184" s="278" t="e">
        <v>#N/A</v>
      </c>
      <c r="S2184" s="278" t="e">
        <v>#N/A</v>
      </c>
      <c r="T2184" s="278" t="e">
        <v>#N/A</v>
      </c>
      <c r="U2184" s="278" t="e">
        <v>#N/A</v>
      </c>
      <c r="V2184" s="278" t="e">
        <v>#N/A</v>
      </c>
      <c r="W2184" s="278" t="e">
        <v>#N/A</v>
      </c>
      <c r="X2184" s="278" t="e">
        <v>#N/A</v>
      </c>
      <c r="Y2184" s="278" t="e">
        <v>#N/A</v>
      </c>
      <c r="Z2184" s="278" t="e">
        <v>#N/A</v>
      </c>
      <c r="AA2184" s="278" t="e">
        <v>#N/A</v>
      </c>
      <c r="AB2184" s="5"/>
      <c r="AC2184" s="47"/>
    </row>
    <row r="2185" hidden="1">
      <c r="A2185" s="222" t="str">
        <f t="array" ref="A2185:A2186">{"FormulaRow45";(INDEX(CLASSLIST,A2096,1))}</f>
        <v>FormulaRow45</v>
      </c>
      <c r="B2185" s="77" t="s">
        <v>236</v>
      </c>
      <c r="C2185" s="222" t="str">
        <f t="array" ref="C2185:C2186">{"CLASSTYPE";((INDEX(ALLCLASSDATA,MATCH("ClassType",CLASSFEATUREHEADERS,0),MATCH($A2186,CLASSNAMEHEADERS,0))))}</f>
        <v>CLASSTYPE</v>
      </c>
      <c r="D2185" s="222" t="str">
        <f t="array" ref="D2185:D2186">{"SPELL/ALCHEMY";((IF(INDEX(ALLCLASSDATA,MATCH("CasterType",CLASSFEATUREHEADERS,0),MATCH(($A2186),CLASSNAMEHEADERS,0))="","",(IF(INDEX(ALLCLASSDATA,MATCH("CasterType",CLASSFEATUREHEADERS,0),MATCH(($A2186),CLASSNAMEHEADERS,0))="Alchemy","Alchemy","Spells")))))}</f>
        <v>SPELL/ALCHEMY</v>
      </c>
      <c r="E2185" s="222" t="str">
        <f t="array" ref="E2185:E2186">{"SPELLLIST";(IF(D2186="Spells",((INDEX(ALLCLASSDATA,MATCH("CasterType",CLASSFEATUREHEADERS,0),MATCH(($A2186),CLASSNAMEHEADERS,0))) &amp; ":" &amp; (INDEX(ALLCLASSDATA,MATCH("SpellList",CLASSFEATUREHEADERS,0),MATCH(($A2186),CLASSNAMEHEADERS,0)))),""))}</f>
        <v>SPELLLIST</v>
      </c>
      <c r="F2185" s="223" t="str">
        <f t="array" ref="F2185:F2186">{"TOTALLEARNED";(IF(D2186="","","TotalLearned:"))}</f>
        <v>TOTALLEARNED</v>
      </c>
      <c r="G2185" s="223" t="str">
        <f t="array" ref="G2185:G2186">{"TOTALCANTRIPSLEARNED";(G2182)}</f>
        <v>TOTALCANTRIPSLEARNED</v>
      </c>
      <c r="H2185" s="223" t="str">
        <f t="array" ref="H2185:H2186">{"TOTALLEARNED L01";(H2182)}</f>
        <v>TOTALLEARNED L01</v>
      </c>
      <c r="I2185" s="223" t="str">
        <f t="array" ref="I2185:I2186">{"TOTALLEARNED L02";(H2186+I2182)}</f>
        <v>TOTALLEARNED L02</v>
      </c>
      <c r="J2185" s="223" t="str">
        <f t="array" ref="J2185:J2186">{"TOTALLEARNED L03";(I2186+J2182)}</f>
        <v>TOTALLEARNED L03</v>
      </c>
      <c r="K2185" s="223" t="str">
        <f t="array" ref="K2185:K2186">{"TOTALLEARNED L04";(J2186+K2182)}</f>
        <v>TOTALLEARNED L04</v>
      </c>
      <c r="L2185" s="223" t="str">
        <f t="array" ref="L2185:L2186">{"TOTALLEARNED L05";(K2186+L2182)}</f>
        <v>TOTALLEARNED L05</v>
      </c>
      <c r="M2185" s="223" t="str">
        <f t="array" ref="M2185:M2186">{"TOTALLEARNED L06";(L2186+M2182)}</f>
        <v>TOTALLEARNED L06</v>
      </c>
      <c r="N2185" s="223" t="str">
        <f t="array" ref="N2185:N2186">{"TOTALLEARNED L07";(M2186+N2182)}</f>
        <v>TOTALLEARNED L07</v>
      </c>
      <c r="O2185" s="223" t="str">
        <f t="array" ref="O2185:O2186">{"TOTALLEARNED L08";(N2186+O2182)}</f>
        <v>TOTALLEARNED L08</v>
      </c>
      <c r="P2185" s="223" t="str">
        <f t="array" ref="P2185:P2186">{"TOTALLEARNED L09";(O2186+P2182)}</f>
        <v>TOTALLEARNED L09</v>
      </c>
      <c r="Q2185" s="223" t="str">
        <f t="array" ref="Q2185:Q2186">{"TOTALLEARNED L10";(P2186+Q2182)}</f>
        <v>TOTALLEARNED L10</v>
      </c>
      <c r="R2185" s="223" t="str">
        <f t="array" ref="R2185:R2186">{"TOTALLEARNED L11";(Q2186+R2182)}</f>
        <v>TOTALLEARNED L11</v>
      </c>
      <c r="S2185" s="223" t="str">
        <f t="array" ref="S2185:S2186">{"TOTALLEARNED L12";(R2186+S2182)}</f>
        <v>TOTALLEARNED L12</v>
      </c>
      <c r="T2185" s="223" t="str">
        <f t="array" ref="T2185:T2186">{"TOTALLEARNED L13";(S2186+T2182)}</f>
        <v>TOTALLEARNED L13</v>
      </c>
      <c r="U2185" s="223" t="str">
        <f t="array" ref="U2185:U2186">{"TOTALLEARNED L14";(T2186+U2182)}</f>
        <v>TOTALLEARNED L14</v>
      </c>
      <c r="V2185" s="223" t="str">
        <f t="array" ref="V2185:V2186">{"TOTALLEARNED L15";(U2186+V2182)}</f>
        <v>TOTALLEARNED L15</v>
      </c>
      <c r="W2185" s="223" t="str">
        <f t="array" ref="W2185:W2186">{"TOTALLEARNED L16";(V2186+W2182)}</f>
        <v>TOTALLEARNED L16</v>
      </c>
      <c r="X2185" s="223" t="str">
        <f t="array" ref="X2185:X2186">{"TOTALLEARNED L17";(W2186+X2182)}</f>
        <v>TOTALLEARNED L17</v>
      </c>
      <c r="Y2185" s="223" t="str">
        <f t="array" ref="Y2185:Y2186">{"TOTALLEARNED L18";(X2186+Y2182)}</f>
        <v>TOTALLEARNED L18</v>
      </c>
      <c r="Z2185" s="223" t="str">
        <f t="array" ref="Z2185:Z2186">{"TOTALLEARNED L19";(Y2186+Z2182)}</f>
        <v>TOTALLEARNED L19</v>
      </c>
      <c r="AA2185" s="223" t="str">
        <f t="array" ref="AA2185:AA2186">{"TOTALLEARNED L20";(Z2186+AA2182)}</f>
        <v>TOTALLEARNED L20</v>
      </c>
      <c r="AB2185" s="76"/>
      <c r="AC2185" s="76"/>
    </row>
    <row r="2186">
      <c r="A2186" s="97" t="s">
        <v>238</v>
      </c>
      <c r="B2186" s="97"/>
      <c r="C2186" s="97" t="e">
        <v>#N/A</v>
      </c>
      <c r="D2186" s="97" t="e">
        <v>#N/A</v>
      </c>
      <c r="E2186" s="97" t="e">
        <v>#N/A</v>
      </c>
      <c r="F2186" s="281" t="e">
        <v>#N/A</v>
      </c>
      <c r="G2186" s="132" t="e">
        <v>#N/A</v>
      </c>
      <c r="H2186" s="278" t="e">
        <v>#N/A</v>
      </c>
      <c r="I2186" s="278" t="e">
        <v>#N/A</v>
      </c>
      <c r="J2186" s="278" t="e">
        <v>#N/A</v>
      </c>
      <c r="K2186" s="278" t="e">
        <v>#N/A</v>
      </c>
      <c r="L2186" s="278" t="e">
        <v>#N/A</v>
      </c>
      <c r="M2186" s="278" t="e">
        <v>#N/A</v>
      </c>
      <c r="N2186" s="278" t="e">
        <v>#N/A</v>
      </c>
      <c r="O2186" s="278" t="e">
        <v>#N/A</v>
      </c>
      <c r="P2186" s="278" t="e">
        <v>#N/A</v>
      </c>
      <c r="Q2186" s="278" t="e">
        <v>#N/A</v>
      </c>
      <c r="R2186" s="278" t="e">
        <v>#N/A</v>
      </c>
      <c r="S2186" s="278" t="e">
        <v>#N/A</v>
      </c>
      <c r="T2186" s="278" t="e">
        <v>#N/A</v>
      </c>
      <c r="U2186" s="278" t="e">
        <v>#N/A</v>
      </c>
      <c r="V2186" s="278" t="e">
        <v>#N/A</v>
      </c>
      <c r="W2186" s="278" t="e">
        <v>#N/A</v>
      </c>
      <c r="X2186" s="278" t="e">
        <v>#N/A</v>
      </c>
      <c r="Y2186" s="278" t="e">
        <v>#N/A</v>
      </c>
      <c r="Z2186" s="278" t="e">
        <v>#N/A</v>
      </c>
      <c r="AA2186" s="278" t="e">
        <v>#N/A</v>
      </c>
      <c r="AB2186" s="5"/>
      <c r="AC2186" s="47"/>
    </row>
  </sheetData>
  <autoFilter ref="$A$2:$AA$2186">
    <filterColumn colId="1">
      <filters blank="1"/>
    </filterColumn>
  </autoFilter>
  <conditionalFormatting sqref="D5 D96 D187 D278 D369 D460 D551 D642 D733 D824 D915 D1006 D1097 D1188 D1279 D1370 D1461 D1552 D1643 D1734 D1825 D1916 D2007 D2098">
    <cfRule type="cellIs" dxfId="4" priority="1" operator="notEqual">
      <formula>"Total: 2100"</formula>
    </cfRule>
  </conditionalFormatting>
  <conditionalFormatting sqref="E5 E96 E187 E278 E369 E460 E551 E642 E733 E824 E915 E1006 E1097 E1188 E1279 E1370 E1461 E1552 E1643 E1734 E1825 E1916 E2007 E2098">
    <cfRule type="cellIs" dxfId="4" priority="2" operator="notEqual">
      <formula>"(balanced)"</formula>
    </cfRule>
  </conditionalFormatting>
  <conditionalFormatting sqref="AC5 AC96 AC187 AC278 AC369 AC460 AC551 AC642 AC733 AC824 AC915 AC1006 AC1097 AC1188 AC1279 AC1370 AC1461 AC1552 AC1643 AC1734 AC1825 AC1916 AC2007 AC2098">
    <cfRule type="cellIs" dxfId="4" priority="3" operator="notEqual">
      <formula>2100</formula>
    </cfRule>
  </conditionalFormatting>
  <conditionalFormatting sqref="A2:AC2186">
    <cfRule type="expression" dxfId="4" priority="4">
      <formula>ISERROR(A1)</formula>
    </cfRule>
  </conditionalFormatting>
  <conditionalFormatting sqref="G42:AA79 G133:AA170 G224:AA261 G315:AA352 G406:AA443 G497:AA534 G588:AA625 G679:AA716 G770:AA807 G861:AA898 G952:AA989 G1043:AA1080 G1134:AA1171 G1225:AA1262 G1316:AA1353 G1407:AA1444 G1498:AA1535 G1589:AA1626 G1680:AA1717 G1771:AA1808 G1862:AA1899 G1953:AA1990 G2044:AA2081 G2115:AA2133 G2135:AA2172">
    <cfRule type="colorScale" priority="5">
      <colorScale>
        <cfvo type="min"/>
        <cfvo type="formula" val="50"/>
        <cfvo type="max"/>
        <color rgb="FFEFEFEF"/>
        <color rgb="FFFCE5CD"/>
        <color rgb="FFB4A7D6"/>
      </colorScale>
    </cfRule>
  </conditionalFormatting>
  <conditionalFormatting sqref="F80:AC93 F171:AC184 F262:AC275 F353:AC366 F444:AC457 F535:AC548 F626:AC639 F717:AC730 F808:AC821 F899:AC912 F990:AC1003 F1081:AC1094 F1172:AC1185 F1263:AC1276 F1354:AC1367 F1445:AC1458 F1536:AC1549 F1627:AC1640 F1718:AC1731 F1809:AC1822 F1900:AC1913 F1991:AC2004 F2082:AC2095 F2134:AC2140 F2173:AC2186">
    <cfRule type="cellIs" dxfId="5" priority="6" operator="equal">
      <formula>0</formula>
    </cfRule>
  </conditionalFormatting>
  <dataValidations>
    <dataValidation type="list" allowBlank="1" sqref="C3 C94 C185 C276 C367 C458 C549 C640 C731 C822 C913 C1004 C1095 C1186 C1277 C1368 C1459 C1550 C1641 C1732 C1823 C1914 C2005 C2096">
      <formula1>CLASSPICKER</formula1>
    </dataValidation>
  </dataValidations>
  <hyperlinks>
    <hyperlink r:id="rId1" ref="R1740"/>
    <hyperlink r:id="rId2" ref="S1831"/>
    <hyperlink r:id="rId3" ref="S1922"/>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2" width="11.88"/>
    <col customWidth="1" min="3" max="3" width="13.63"/>
    <col customWidth="1" min="4" max="4" width="19.63"/>
    <col customWidth="1" min="5" max="5" width="6.75"/>
    <col customWidth="1" min="6" max="6" width="6.63"/>
    <col customWidth="1" min="7" max="7" width="8.25"/>
    <col customWidth="1" min="8" max="8" width="5.0"/>
    <col customWidth="1" min="9" max="9" width="8.25"/>
    <col customWidth="1" min="10" max="10" width="4.63"/>
    <col customWidth="1" min="11" max="11" width="8.25"/>
    <col customWidth="1" min="12" max="12" width="4.88"/>
    <col customWidth="1" min="13" max="13" width="8.25"/>
    <col customWidth="1" min="14" max="14" width="4.88"/>
    <col customWidth="1" min="15" max="15" width="8.25"/>
    <col customWidth="1" min="16" max="16" width="4.75"/>
    <col customWidth="1" min="17" max="17" width="8.25"/>
    <col customWidth="1" min="18" max="18" width="4.75"/>
    <col customWidth="1" min="19" max="19" width="8.25"/>
    <col customWidth="1" min="20" max="20" width="4.75"/>
    <col customWidth="1" min="21" max="21" width="8.25"/>
    <col customWidth="1" min="22" max="22" width="5.0"/>
    <col customWidth="1" min="23" max="23" width="8.25"/>
    <col customWidth="1" min="24" max="24" width="4.5"/>
    <col customWidth="1" min="25" max="25" width="8.25"/>
    <col customWidth="1" min="26" max="26" width="4.75"/>
    <col customWidth="1" min="27" max="28" width="6.5"/>
  </cols>
  <sheetData>
    <row r="1">
      <c r="A1" s="3"/>
      <c r="B1" s="5"/>
      <c r="C1" s="5"/>
      <c r="D1" s="5"/>
      <c r="E1" s="5"/>
      <c r="F1" s="47"/>
      <c r="G1" s="5"/>
      <c r="H1" s="5"/>
      <c r="I1" s="5"/>
      <c r="J1" s="5"/>
      <c r="K1" s="5"/>
      <c r="L1" s="5"/>
      <c r="M1" s="5"/>
      <c r="N1" s="5"/>
      <c r="O1" s="5"/>
      <c r="P1" s="5"/>
      <c r="Q1" s="5"/>
      <c r="R1" s="5"/>
      <c r="S1" s="5"/>
      <c r="T1" s="5"/>
      <c r="U1" s="5"/>
      <c r="V1" s="5"/>
      <c r="W1" s="5"/>
      <c r="X1" s="5"/>
      <c r="Y1" s="5"/>
      <c r="Z1" s="5"/>
      <c r="AA1" s="5"/>
      <c r="AB1" s="47"/>
    </row>
    <row r="2">
      <c r="A2" s="48" t="s">
        <v>55</v>
      </c>
      <c r="B2" s="48"/>
      <c r="C2" s="48" t="s">
        <v>145</v>
      </c>
      <c r="D2" s="48" t="s">
        <v>146</v>
      </c>
      <c r="E2" s="48" t="s">
        <v>147</v>
      </c>
      <c r="F2" s="49" t="s">
        <v>148</v>
      </c>
      <c r="G2" s="50" t="s">
        <v>149</v>
      </c>
      <c r="H2" s="50" t="s">
        <v>150</v>
      </c>
      <c r="I2" s="50" t="s">
        <v>151</v>
      </c>
      <c r="J2" s="50" t="s">
        <v>152</v>
      </c>
      <c r="K2" s="50" t="s">
        <v>153</v>
      </c>
      <c r="L2" s="50" t="s">
        <v>154</v>
      </c>
      <c r="M2" s="50" t="s">
        <v>155</v>
      </c>
      <c r="N2" s="50" t="s">
        <v>156</v>
      </c>
      <c r="O2" s="50" t="s">
        <v>157</v>
      </c>
      <c r="P2" s="50" t="s">
        <v>158</v>
      </c>
      <c r="Q2" s="50" t="s">
        <v>159</v>
      </c>
      <c r="R2" s="50" t="s">
        <v>160</v>
      </c>
      <c r="S2" s="50" t="s">
        <v>161</v>
      </c>
      <c r="T2" s="50" t="s">
        <v>162</v>
      </c>
      <c r="U2" s="50" t="s">
        <v>163</v>
      </c>
      <c r="V2" s="50" t="s">
        <v>164</v>
      </c>
      <c r="W2" s="50" t="s">
        <v>165</v>
      </c>
      <c r="X2" s="50" t="s">
        <v>166</v>
      </c>
      <c r="Y2" s="50" t="s">
        <v>167</v>
      </c>
      <c r="Z2" s="50" t="s">
        <v>169</v>
      </c>
      <c r="AA2" s="51" t="s">
        <v>171</v>
      </c>
      <c r="AB2" s="52" t="s">
        <v>172</v>
      </c>
    </row>
    <row r="3">
      <c r="A3" s="55">
        <v>15.0</v>
      </c>
      <c r="B3" s="79" t="s">
        <v>237</v>
      </c>
      <c r="C3" s="80"/>
      <c r="D3" s="80"/>
      <c r="E3" s="80"/>
      <c r="F3" s="80"/>
      <c r="G3" s="80"/>
      <c r="H3" s="80"/>
      <c r="I3" s="80"/>
      <c r="J3" s="80"/>
      <c r="K3" s="80"/>
      <c r="L3" s="80"/>
      <c r="M3" s="80"/>
      <c r="N3" s="80"/>
      <c r="O3" s="80"/>
      <c r="P3" s="80"/>
      <c r="Q3" s="80"/>
      <c r="R3" s="80"/>
      <c r="S3" s="80"/>
      <c r="T3" s="80"/>
      <c r="U3" s="80"/>
      <c r="V3" s="80"/>
      <c r="W3" s="80"/>
      <c r="X3" s="80"/>
      <c r="Y3" s="80"/>
      <c r="Z3" s="80"/>
      <c r="AA3" s="71"/>
      <c r="AB3" s="73"/>
    </row>
    <row r="4" hidden="1">
      <c r="A4" s="76" t="str">
        <f t="array" ref="A4:A5">{"FormulaRow01";(INDEX(CLASSLIST,A3,1))}</f>
        <v>FormulaRow01</v>
      </c>
      <c r="B4" s="76" t="str">
        <f t="array" ref="B4:B5">{"CLASSTYPE";(INDEX(ALLCLASSDATA,MATCH("ClassType",CLASSFEATUREHEADERS,0),MATCH($A5,CLASSNAMEHEADERS,0)))}</f>
        <v>CLASSTYPE</v>
      </c>
      <c r="C4" s="81" t="str">
        <f t="array" ref="C4:C5">{"TOTAL";("Total: " &amp; G5+I5+K5+M5+O5+Q5+S5+U5+W5+Y5)}</f>
        <v>TOTAL</v>
      </c>
      <c r="D4" s="81" t="str">
        <f t="array" ref="D4:D5">{"BALANCE";(IF((G5+I5+K5+M5+O5+Q5+S5+U5+W5+Y5)=2100,"(balanced)",(IF((G5+I5+K5+M5+O5+Q5+S5+U5+W5+Y5)&gt;2100,"OVERBUDGET: ","UNDERBUDGET: ")) &amp; (G5+I5+K5+M5+O5+Q5+S5+U5+W5+Y5-2100)))}</f>
        <v>BALANCE</v>
      </c>
      <c r="E4" s="81"/>
      <c r="F4" s="81"/>
      <c r="G4" s="81" t="str">
        <f t="array" ref="G4:G5">{"SUM LVL0/1/2";((SUMIF(E6:H85,"&lt;&gt;#REF!")+(SUMIF(I6:Z13,"&lt;&gt;#REF!"))))}</f>
        <v>SUM LVL0/1/2</v>
      </c>
      <c r="H4" s="81"/>
      <c r="I4" s="81" t="str">
        <f t="array" ref="I4:I5">{"SUM LVL3/4";(SUMIF(I14:J85,"&lt;&gt;#REF!"))}</f>
        <v>SUM LVL3/4</v>
      </c>
      <c r="J4" s="81"/>
      <c r="K4" s="81" t="str">
        <f t="array" ref="K4:K5">{"SUM LVL5/6";(SUMIF(K14:L85,"&lt;&gt;#REF!"))}</f>
        <v>SUM LVL5/6</v>
      </c>
      <c r="L4" s="81"/>
      <c r="M4" s="81" t="str">
        <f t="array" ref="M4:M5">{"SUM LVL7/8";(SUMIF(M14:N85,"&lt;&gt;#REF!"))}</f>
        <v>SUM LVL7/8</v>
      </c>
      <c r="N4" s="81"/>
      <c r="O4" s="81" t="str">
        <f t="array" ref="O4:O5">{"SUM LVL9/10";(SUMIF(O14:P85,"&lt;&gt;#REF!"))}</f>
        <v>SUM LVL9/10</v>
      </c>
      <c r="P4" s="81"/>
      <c r="Q4" s="81" t="str">
        <f t="array" ref="Q4:Q5">{"SUM LVL11/12";(SUMIF(Q14:R85,"&lt;&gt;#REF!"))}</f>
        <v>SUM LVL11/12</v>
      </c>
      <c r="R4" s="81"/>
      <c r="S4" s="81" t="str">
        <f t="array" ref="S4:S5">{"SUM LVL13/14";(SUMIF(S14:T85,"&lt;&gt;#REF!"))}</f>
        <v>SUM LVL13/14</v>
      </c>
      <c r="T4" s="81"/>
      <c r="U4" s="81" t="str">
        <f t="array" ref="U4:U5">{"SUM LVL15/16";(SUMIF(U14:V85,"&lt;&gt;#REF!"))}</f>
        <v>SUM LVL15/16</v>
      </c>
      <c r="V4" s="81"/>
      <c r="W4" s="81" t="str">
        <f t="array" ref="W4:W5">{"SUM LVL17/18";(SUMIF(W14:X85,"&lt;&gt;#REF!"))}</f>
        <v>SUM LVL17/18</v>
      </c>
      <c r="X4" s="81"/>
      <c r="Y4" s="81" t="str">
        <f t="array" ref="Y4:Y5">{"SUM LVL19/20";(SUMIF(Y14:Z85,"&lt;&gt;#REF!"))}</f>
        <v>SUM LVL19/20</v>
      </c>
      <c r="Z4" s="81"/>
      <c r="AA4" s="76"/>
      <c r="AB4" s="76" t="str">
        <f t="array" ref="AB4:AB5">{"SUM ROWTOTALS";(SUMIF(AB7:AB93,"&lt;&gt;#REF!"))}</f>
        <v>SUM ROWTOTALS</v>
      </c>
    </row>
    <row r="5">
      <c r="A5" s="48" t="s">
        <v>211</v>
      </c>
      <c r="B5" s="48" t="s">
        <v>417</v>
      </c>
      <c r="C5" s="97" t="s">
        <v>452</v>
      </c>
      <c r="D5" s="98" t="s">
        <v>453</v>
      </c>
      <c r="E5" s="97"/>
      <c r="F5" s="99"/>
      <c r="G5" s="98">
        <v>420.0</v>
      </c>
      <c r="H5" s="98"/>
      <c r="I5" s="98">
        <v>90.0</v>
      </c>
      <c r="J5" s="98"/>
      <c r="K5" s="98">
        <v>130.0</v>
      </c>
      <c r="L5" s="98"/>
      <c r="M5" s="98">
        <v>180.0</v>
      </c>
      <c r="N5" s="98"/>
      <c r="O5" s="98">
        <v>190.0</v>
      </c>
      <c r="P5" s="98"/>
      <c r="Q5" s="98">
        <v>180.0</v>
      </c>
      <c r="R5" s="98"/>
      <c r="S5" s="98">
        <v>200.0</v>
      </c>
      <c r="T5" s="98"/>
      <c r="U5" s="98">
        <v>190.0</v>
      </c>
      <c r="V5" s="98"/>
      <c r="W5" s="98">
        <v>80.0</v>
      </c>
      <c r="X5" s="98"/>
      <c r="Y5" s="98">
        <v>300.0</v>
      </c>
      <c r="Z5" s="98"/>
      <c r="AA5" s="5"/>
      <c r="AB5" s="47">
        <v>1960.0</v>
      </c>
    </row>
    <row r="6" hidden="1">
      <c r="A6" s="76" t="str">
        <f t="array" ref="A6:A7">{"FormulaRow02";(INDEX(CLASSLIST,A3,1))}</f>
        <v>FormulaRow02</v>
      </c>
      <c r="B6" s="76" t="str">
        <f t="array" ref="B6:B7">{"CLASSTYPE";((INDEX(ALLCLASSDATA,MATCH("ClassType",CLASSFEATUREHEADERS,0),MATCH($A7,CLASSNAMEHEADERS,0))))}</f>
        <v>CLASSTYPE</v>
      </c>
      <c r="C6" s="81" t="str">
        <f t="array" ref="C6:C7">{"FEATURES";"Features"}</f>
        <v>FEATURES</v>
      </c>
      <c r="D6" s="81" t="str">
        <f t="array" ref="D6:D7">{"INITIALFEATURES";"Initial Features"}</f>
        <v>INITIALFEATURES</v>
      </c>
      <c r="E6" s="81" t="str">
        <f t="array" ref="E6:E7">{"KEY";"Key"}</f>
        <v>KEY</v>
      </c>
      <c r="F6" s="81" t="str">
        <f t="array" ref="F6:F7">{"HP";"HP"}</f>
        <v>HP</v>
      </c>
      <c r="G6" s="81" t="str">
        <f t="array" ref="G6:G7">{"CLASSFEATL01";"ClassFeatL01"}</f>
        <v>CLASSFEATL01</v>
      </c>
      <c r="H6" s="81" t="str">
        <f t="array" ref="H6:H7">{"SHIELDBLOCKL01";"ShieldBlockL01"}</f>
        <v>SHIELDBLOCKL01</v>
      </c>
      <c r="I6" s="81" t="str">
        <f t="array" ref="I6:I7">{"INITIALSKILLS";"InitialSkills"}</f>
        <v>INITIALSKILLS</v>
      </c>
      <c r="J6" s="81" t="str">
        <f t="array" ref="J6:J7">{"SUBCLASSSKILLS";"SubclassSkills"}</f>
        <v>SUBCLASSSKILLS</v>
      </c>
      <c r="K6" s="81" t="str">
        <f t="array" ref="K6:K7">{"GRANTEDSKILLS";"GrantedSkills"}</f>
        <v>GRANTEDSKILLS</v>
      </c>
      <c r="L6" s="81"/>
      <c r="M6" s="81"/>
      <c r="N6" s="81"/>
      <c r="O6" s="81" t="str">
        <f t="array" ref="O6:O7">{"FOCUSSPELLS";"FocusSpells:"}</f>
        <v>FOCUSSPELLS</v>
      </c>
      <c r="P6" s="81" t="str">
        <f t="array" ref="P6:P7">{"FOCUSSPELL1-L00";((INDEX(ALLCLASSDATA,MATCH("FocusSpell1-L00",CLASSFEATUREHEADERS,0),MATCH(($A7),CLASSNAMEHEADERS,0))))}</f>
        <v>FOCUSSPELL1-L00</v>
      </c>
      <c r="Q6" s="81" t="str">
        <f t="array" ref="Q6:Q7">{"FOCUSSPELL2-L00";((INDEX(ALLCLASSDATA,MATCH("FocusSpell2-L00",CLASSFEATUREHEADERS,0),MATCH(($A7),CLASSNAMEHEADERS,0))))}</f>
        <v>FOCUSSPELL2-L00</v>
      </c>
      <c r="R6" s="81" t="str">
        <f t="array" ref="R6:R7">{"FOCUSSPELL3-L00";((INDEX(ALLCLASSDATA,MATCH("FocusSpell3-L00",CLASSFEATUREHEADERS,0),MATCH(($A7),CLASSNAMEHEADERS,0))))}</f>
        <v>FOCUSSPELL3-L00</v>
      </c>
      <c r="S6" s="81" t="str">
        <f t="array" ref="S6:S7">{"FOCUSSPELL4-L00";((INDEX(ALLCLASSDATA,MATCH("FocusSpell4-L00",CLASSFEATUREHEADERS,0),MATCH(($A7),CLASSNAMEHEADERS,0))))}</f>
        <v>FOCUSSPELL4-L00</v>
      </c>
      <c r="T6" s="81" t="str">
        <f t="array" ref="T6:T7">{"FOCUSSPELL5-L00";((INDEX(ALLCLASSDATA,MATCH("FocusSpell5-L00",CLASSFEATUREHEADERS,0),MATCH(($A7),CLASSNAMEHEADERS,0))))}</f>
        <v>FOCUSSPELL5-L00</v>
      </c>
      <c r="U6" s="81"/>
      <c r="V6" s="81"/>
      <c r="W6" s="81"/>
      <c r="X6" s="81"/>
      <c r="Y6" s="81"/>
      <c r="Z6" s="81"/>
      <c r="AA6" s="76"/>
      <c r="AB6" s="76"/>
    </row>
    <row r="7">
      <c r="A7" s="48" t="s">
        <v>211</v>
      </c>
      <c r="B7" s="48" t="s">
        <v>417</v>
      </c>
      <c r="C7" s="48" t="s">
        <v>467</v>
      </c>
      <c r="D7" s="48" t="s">
        <v>468</v>
      </c>
      <c r="E7" s="48" t="s">
        <v>469</v>
      </c>
      <c r="F7" s="114" t="s">
        <v>15</v>
      </c>
      <c r="G7" s="8" t="s">
        <v>451</v>
      </c>
      <c r="H7" s="8" t="s">
        <v>463</v>
      </c>
      <c r="I7" s="8" t="s">
        <v>473</v>
      </c>
      <c r="J7" s="8" t="s">
        <v>474</v>
      </c>
      <c r="K7" s="8" t="s">
        <v>475</v>
      </c>
      <c r="L7" s="8"/>
      <c r="M7" s="8"/>
      <c r="N7" s="8"/>
      <c r="O7" s="8" t="s">
        <v>476</v>
      </c>
      <c r="P7" s="116"/>
      <c r="Q7" s="116"/>
      <c r="R7" s="116"/>
      <c r="S7" s="116"/>
      <c r="T7" s="116"/>
      <c r="U7" s="8"/>
      <c r="V7" s="8"/>
      <c r="W7" s="8"/>
      <c r="X7" s="8"/>
      <c r="Y7" s="5"/>
      <c r="Z7" s="5"/>
      <c r="AA7" s="5"/>
      <c r="AB7" s="47"/>
    </row>
    <row r="8" hidden="1">
      <c r="A8" s="76" t="str">
        <f t="array" ref="A8:A9">{"FormulaRow03";(INDEX(CLASSLIST,A3,1))}</f>
        <v>FormulaRow03</v>
      </c>
      <c r="B8" s="76" t="str">
        <f t="array" ref="B8:B9">{"CLASSTYPE";((INDEX(ALLCLASSDATA,MATCH("ClassType",CLASSFEATUREHEADERS,0),MATCH($A9,CLASSNAMEHEADERS,0))))}</f>
        <v>CLASSTYPE</v>
      </c>
      <c r="C8" s="76" t="str">
        <f t="array" ref="C8:C9">{"FEATUREPTS";"FeaturesPts"}</f>
        <v>FEATUREPTS</v>
      </c>
      <c r="D8" s="76" t="str">
        <f t="array" ref="D8:D9">{"INITIALFEATURES";"Initial Features"}</f>
        <v>INITIALFEATURES</v>
      </c>
      <c r="E8" s="76" t="str">
        <f t="array" ref="E8:E9">{"KEYABILITY";((INDEX(ALLCLASSDATA,MATCH("KEYABILITY",CLASSFEATUREHEADERS,0),MATCH($A9,CLASSNAMEHEADERS,0))))}</f>
        <v>KEYABILITY</v>
      </c>
      <c r="F8" s="76" t="str">
        <f t="array" ref="F8:F9">{"HP";((INDEX(ALLCLASSDATA,MATCH("HP",CLASSFEATUREHEADERS,0),MATCH(($A9 &amp; "Points"),CLASSNAMEHEADERS,0))))}</f>
        <v>HP</v>
      </c>
      <c r="G8" s="76" t="str">
        <f t="array" ref="G8:G9">{"CLASSFEATL01";((INDEX(ALLCLASSDATA,MATCH("ClassFeatL01",CLASSFEATUREHEADERS,0),MATCH(($A9 &amp; "Points"),CLASSNAMEHEADERS,0))))}</f>
        <v>CLASSFEATL01</v>
      </c>
      <c r="H8" s="76" t="str">
        <f t="array" ref="H8:H9">{"SHIELDBLOCKL01";((INDEX(ALLCLASSDATA,MATCH("ShieldBlockL01",CLASSFEATUREHEADERS,0),MATCH(($A9 &amp; "Points"),CLASSNAMEHEADERS,0))))}</f>
        <v>SHIELDBLOCKL01</v>
      </c>
      <c r="I8" s="76" t="str">
        <f t="array" ref="I8:I9">{"INITIALSKILLINCREASES";((INDEX(ALLCLASSDATA,MATCH("InitialSkillIncreases",CLASSFEATUREHEADERS,0),MATCH(($A9 &amp; "Points"),CLASSNAMEHEADERS,0))))}</f>
        <v>INITIALSKILLINCREASES</v>
      </c>
      <c r="J8" s="76" t="str">
        <f t="array" ref="J8:J9">{"SUBCLASSSKILLINCREASES";((INDEX(ALLCLASSDATA,MATCH("SubclassSkillIncreases",CLASSFEATUREHEADERS,0),MATCH(($A9 &amp; "Points"),CLASSNAMEHEADERS,0))))}</f>
        <v>SUBCLASSSKILLINCREASES</v>
      </c>
      <c r="K8" s="76" t="str">
        <f t="array" ref="K8:K9">{"GRANTEDSKILLS";(((INDEX(ALLCLASSDATA,MATCH("SkillsGrantedTotal",CLASSFEATUREHEADERS,0),MATCH(($A9 &amp; "Points"),CLASSNAMEHEADERS,0)))-(INDEX(ALLCLASSDATA,MATCH("InitialSkillIncreases",CLASSFEATUREHEADERS,0),MATCH(($A9 &amp; "Points"),CLASSNAMEHEADERS,0)))-(INDEX(ALLCLASSDATA,MATCH("SubclassSkillIncreases",CLASSFEATUREHEADERS,0),MATCH(($A9 &amp; "Points"),CLASSNAMEHEADERS,0)))))}</f>
        <v>GRANTEDSKILLS</v>
      </c>
      <c r="L8" s="76"/>
      <c r="M8" s="76"/>
      <c r="N8" s="76"/>
      <c r="O8" s="76"/>
      <c r="P8" s="76" t="str">
        <f t="array" ref="P8:P9">{"FOCUSSPELL1-L00";((INDEX(ALLCLASSDATA,MATCH("FocusSpell1-L00",CLASSFEATUREHEADERS,0),MATCH(($A9 &amp; "Points"),CLASSNAMEHEADERS,0))))}</f>
        <v>FOCUSSPELL1-L00</v>
      </c>
      <c r="Q8" s="76" t="str">
        <f t="array" ref="Q8:Q9">{"FOCUSSPELL2-L00";((INDEX(ALLCLASSDATA,MATCH("FocusSpell2-L00",CLASSFEATUREHEADERS,0),MATCH(($A9 &amp; "Points"),CLASSNAMEHEADERS,0))))}</f>
        <v>FOCUSSPELL2-L00</v>
      </c>
      <c r="R8" s="76" t="str">
        <f t="array" ref="R8:R9">{"FOCUSSPELL3-L00";((INDEX(ALLCLASSDATA,MATCH("FocusSpell3-L00",CLASSFEATUREHEADERS,0),MATCH(($A9 &amp; "Points"),CLASSNAMEHEADERS,0))))}</f>
        <v>FOCUSSPELL3-L00</v>
      </c>
      <c r="S8" s="76" t="str">
        <f t="array" ref="S8:S9">{"FOCUSSPELL4-L00";((INDEX(ALLCLASSDATA,MATCH("FocusSpell4-L00",CLASSFEATUREHEADERS,0),MATCH(($A9 &amp; "Points"),CLASSNAMEHEADERS,0))))}</f>
        <v>FOCUSSPELL4-L00</v>
      </c>
      <c r="T8" s="76" t="str">
        <f t="array" ref="T8:T9">{"FOCUSSPELL5-L00";((INDEX(ALLCLASSDATA,MATCH("FocusSpell5-L00",CLASSFEATUREHEADERS,0),MATCH(($A9 &amp; "Points"),CLASSNAMEHEADERS,0))))}</f>
        <v>FOCUSSPELL5-L00</v>
      </c>
      <c r="U8" s="76"/>
      <c r="V8" s="76"/>
      <c r="W8" s="76"/>
      <c r="X8" s="76"/>
      <c r="Y8" s="76"/>
      <c r="Z8" s="76"/>
      <c r="AA8" s="76"/>
      <c r="AB8" s="76" t="str">
        <f t="array" ref="AB8:AB9">{"FEATUREPTS TOTAL";(sum(F9:Z9))}</f>
        <v>FEATUREPTS TOTAL</v>
      </c>
    </row>
    <row r="9">
      <c r="A9" s="48" t="s">
        <v>211</v>
      </c>
      <c r="B9" s="48" t="s">
        <v>417</v>
      </c>
      <c r="C9" s="97" t="s">
        <v>559</v>
      </c>
      <c r="D9" s="97" t="s">
        <v>468</v>
      </c>
      <c r="E9" s="97" t="s">
        <v>263</v>
      </c>
      <c r="F9" s="132">
        <v>80.0</v>
      </c>
      <c r="G9" s="98" t="s">
        <v>603</v>
      </c>
      <c r="H9" s="98">
        <v>10.0</v>
      </c>
      <c r="I9" s="98">
        <v>10.0</v>
      </c>
      <c r="J9" s="98">
        <v>5.0</v>
      </c>
      <c r="K9" s="98">
        <v>5.0</v>
      </c>
      <c r="L9" s="98"/>
      <c r="M9" s="98"/>
      <c r="N9" s="98"/>
      <c r="O9" s="98"/>
      <c r="P9" s="98"/>
      <c r="Q9" s="98"/>
      <c r="R9" s="98"/>
      <c r="S9" s="98"/>
      <c r="T9" s="98"/>
      <c r="U9" s="98"/>
      <c r="V9" s="98"/>
      <c r="W9" s="98"/>
      <c r="X9" s="98"/>
      <c r="Y9" s="98"/>
      <c r="Z9" s="98"/>
      <c r="AA9" s="5"/>
      <c r="AB9" s="47">
        <v>110.0</v>
      </c>
    </row>
    <row r="10" hidden="1">
      <c r="A10" s="76" t="str">
        <f t="array" ref="A10:A11">{"FormulaRow04";(INDEX(CLASSLIST,A3,1))}</f>
        <v>FormulaRow04</v>
      </c>
      <c r="B10" s="76" t="str">
        <f t="array" ref="B10:B11">{"CLASSTYPE";((INDEX(ALLCLASSDATA,MATCH("ClassType",CLASSFEATUREHEADERS,0),MATCH($A11,CLASSNAMEHEADERS,0))))}</f>
        <v>CLASSTYPE</v>
      </c>
      <c r="C10" s="81" t="str">
        <f t="array" ref="C10:C11">{"INITIALFEATURES";"InitialFeatures"}</f>
        <v>INITIALFEATURES</v>
      </c>
      <c r="D10" s="81" t="str">
        <f t="array" ref="D10:D11">{"CLASS/SUBCLASSFEATURES";"Class/Subclass Features"}</f>
        <v>CLASS/SUBCLASSFEATURES</v>
      </c>
      <c r="E10" s="81"/>
      <c r="F10" s="136"/>
      <c r="G10" s="81" t="str">
        <f t="array" ref="G10:G11">{"CLASSINITIALABILITY1-L00";((INDEX(ALLCLASSDATA,MATCH("ClassInitialAbility1-L00",CLASSFEATUREHEADERS,0),MATCH(($A11),CLASSNAMEHEADERS,0))))}</f>
        <v>CLASSINITIALABILITY1-L00</v>
      </c>
      <c r="H10" s="81" t="str">
        <f t="array" ref="H10:H11">{"CLASSINITIALABILITY2-L00";((INDEX(ALLCLASSDATA,MATCH("ClassInitialAbility2-L00",CLASSFEATUREHEADERS,0),MATCH(($A11),CLASSNAMEHEADERS,0))))}</f>
        <v>CLASSINITIALABILITY2-L00</v>
      </c>
      <c r="I10" s="81" t="str">
        <f t="array" ref="I10:I11">{"CLASSINITIALABILITY3-L00";((INDEX(ALLCLASSDATA,MATCH("ClassInitialAbility3-L00",CLASSFEATUREHEADERS,0),MATCH(($A11),CLASSNAMEHEADERS,0))))}</f>
        <v>CLASSINITIALABILITY3-L00</v>
      </c>
      <c r="J10" s="81" t="str">
        <f t="array" ref="J10:J11">{"CLASSINITIALABILITY4-L00";((INDEX(ALLCLASSDATA,MATCH("ClassInitialAbility4-L00",CLASSFEATUREHEADERS,0),MATCH(($A11),CLASSNAMEHEADERS,0))))}</f>
        <v>CLASSINITIALABILITY4-L00</v>
      </c>
      <c r="K10" s="81" t="str">
        <f t="array" ref="K10:K11">{"CLASSINITIALABILITY5-L00";((INDEX(ALLCLASSDATA,MATCH("ClassInitialAbility5-L00",CLASSFEATUREHEADERS,0),MATCH(($A11),CLASSNAMEHEADERS,0))))}</f>
        <v>CLASSINITIALABILITY5-L00</v>
      </c>
      <c r="L10" s="81" t="str">
        <f t="array" ref="L10:L11">{"CLASSINITIALABILITY6-L00";((INDEX(ALLCLASSDATA,MATCH("ClassInitialAbility6-L00",CLASSFEATUREHEADERS,0),MATCH(($A11),CLASSNAMEHEADERS,0))))}</f>
        <v>#REF!</v>
      </c>
      <c r="M10" s="81" t="str">
        <f t="array" ref="M10:M11">{"CLASSINITIALABILITY7-L00";((INDEX(ALLCLASSDATA,MATCH("ClassInitialAbility7-L00",CLASSFEATUREHEADERS,0),MATCH(($A11),CLASSNAMEHEADERS,0))))}</f>
        <v>CLASSINITIALABILITY7-L00</v>
      </c>
      <c r="N10" s="81" t="str">
        <f t="array" ref="N10:N11">{"CLASSINITIALABILITY8-L00";((INDEX(ALLCLASSDATA,MATCH("ClassInitialAbility8-L00",CLASSFEATUREHEADERS,0),MATCH(($A11),CLASSNAMEHEADERS,0))))}</f>
        <v>CLASSINITIALABILITY8-L00</v>
      </c>
      <c r="O10" s="81" t="str">
        <f t="array" ref="O10:O11">{"CLASSINITIALABILITY9-L00";((INDEX(ALLCLASSDATA,MATCH("ClassInitialAbility9-L00",CLASSFEATUREHEADERS,0),MATCH(($A11),CLASSNAMEHEADERS,0))))}</f>
        <v>CLASSINITIALABILITY9-L00</v>
      </c>
      <c r="P10" s="81" t="str">
        <f t="array" ref="P10:P11">{"CLASSINITIALABILITY10-L00";((INDEX(ALLCLASSDATA,MATCH("ClassInitialAbility10-L00",CLASSFEATUREHEADERS,0),MATCH(($A11),CLASSNAMEHEADERS,0))))}</f>
        <v>CLASSINITIALABILITY10-L00</v>
      </c>
      <c r="Q10" s="81" t="str">
        <f t="array" ref="Q10:Q11">{"SUBCLASSINITIAL1-L00";((INDEX(ALLCLASSDATA,MATCH("SubclassInitial1-L00",CLASSFEATUREHEADERS,0),MATCH(($A11),CLASSNAMEHEADERS,0))))}</f>
        <v>SUBCLASSINITIAL1-L00</v>
      </c>
      <c r="R10" s="81" t="str">
        <f t="array" ref="R10:R11">{"SUBCLASSINITIAL2-L00";((INDEX(ALLCLASSDATA,MATCH("SubclassInitial2-L00",CLASSFEATUREHEADERS,0),MATCH(($A11),CLASSNAMEHEADERS,0))))}</f>
        <v>SUBCLASSINITIAL2-L00</v>
      </c>
      <c r="S10" s="81" t="str">
        <f t="array" ref="S10:S11">{"SUBCLASSINITIAL3-L00";((INDEX(ALLCLASSDATA,MATCH("SubclassInitial3-L00",CLASSFEATUREHEADERS,0),MATCH(($A11),CLASSNAMEHEADERS,0))))}</f>
        <v>SUBCLASSINITIAL3-L00</v>
      </c>
      <c r="T10" s="81" t="str">
        <f t="array" ref="T10:T11">{"SUBCLASSINITIAL4-L00";((INDEX(ALLCLASSDATA,MATCH("SubclassInitial4-L00",CLASSFEATUREHEADERS,0),MATCH(($A11),CLASSNAMEHEADERS,0))))}</f>
        <v>SUBCLASSINITIAL4-L00</v>
      </c>
      <c r="U10" s="81" t="str">
        <f t="array" ref="U10:U11">{"SUBCLASSINITIAL5-L00";((INDEX(ALLCLASSDATA,MATCH("SubclassInitial5-L00",CLASSFEATUREHEADERS,0),MATCH(($A11),CLASSNAMEHEADERS,0))))}</f>
        <v>SUBCLASSINITIAL5-L00</v>
      </c>
      <c r="V10" s="81" t="str">
        <f t="array" ref="V10:V11">{"SUBCLASSINITIAL6-L00";((INDEX(ALLCLASSDATA,MATCH("SubclassInitial6-L00",CLASSFEATUREHEADERS,0),MATCH(($A11),CLASSNAMEHEADERS,0))))}</f>
        <v>SUBCLASSINITIAL6-L00</v>
      </c>
      <c r="W10" s="81" t="str">
        <f t="array" ref="W10:W11">{"SUBCLASSINITIAL7-L00";((INDEX(ALLCLASSDATA,MATCH("SubclassInitial7-L00",CLASSFEATUREHEADERS,0),MATCH(($A11),CLASSNAMEHEADERS,0))))}</f>
        <v>SUBCLASSINITIAL7-L00</v>
      </c>
      <c r="X10" s="81" t="str">
        <f t="array" ref="X10:X11">{"SUBCLASSINITIAL8-L00";((INDEX(ALLCLASSDATA,MATCH("SubclassInitial8-L00",CLASSFEATUREHEADERS,0),MATCH(($A11),CLASSNAMEHEADERS,0))))}</f>
        <v>SUBCLASSINITIAL8-L00</v>
      </c>
      <c r="Y10" s="81" t="str">
        <f t="array" ref="Y10:Y11">{"SUBCLASSINITIAL9-L00";((INDEX(ALLCLASSDATA,MATCH("SubclassInitial9-L00",CLASSFEATUREHEADERS,0),MATCH(($A11),CLASSNAMEHEADERS,0))))}</f>
        <v>SUBCLASSINITIAL9-L00</v>
      </c>
      <c r="Z10" s="81" t="str">
        <f t="array" ref="Z10:Z11">{"SUBCLASSINITIAL10-L00";((INDEX(ALLCLASSDATA,MATCH("SubclassInitial10-L00",CLASSFEATUREHEADERS,0),MATCH(($A11),CLASSNAMEHEADERS,0))))}</f>
        <v>SUBCLASSINITIAL10-L00</v>
      </c>
      <c r="AA10" s="76"/>
      <c r="AB10" s="76"/>
    </row>
    <row r="11">
      <c r="A11" s="48" t="s">
        <v>211</v>
      </c>
      <c r="B11" s="48" t="s">
        <v>417</v>
      </c>
      <c r="C11" s="155" t="s">
        <v>614</v>
      </c>
      <c r="D11" s="155" t="s">
        <v>616</v>
      </c>
      <c r="E11" s="155"/>
      <c r="F11" s="156"/>
      <c r="G11" s="157" t="s">
        <v>642</v>
      </c>
      <c r="H11" s="157" t="s">
        <v>643</v>
      </c>
      <c r="I11" s="157" t="s">
        <v>644</v>
      </c>
      <c r="J11" s="157" t="s">
        <v>645</v>
      </c>
      <c r="K11" s="157" t="s">
        <v>646</v>
      </c>
      <c r="L11" s="155" t="s">
        <v>647</v>
      </c>
      <c r="M11" s="157"/>
      <c r="N11" s="157"/>
      <c r="O11" s="157"/>
      <c r="P11" s="157"/>
      <c r="Q11" s="157" t="s">
        <v>648</v>
      </c>
      <c r="R11" s="157"/>
      <c r="S11" s="157"/>
      <c r="T11" s="157"/>
      <c r="U11" s="157"/>
      <c r="V11" s="157"/>
      <c r="W11" s="157"/>
      <c r="X11" s="157"/>
      <c r="Y11" s="157"/>
      <c r="Z11" s="157"/>
      <c r="AA11" s="5"/>
      <c r="AB11" s="47"/>
    </row>
    <row r="12" hidden="1">
      <c r="A12" s="76" t="str">
        <f t="array" ref="A12:A13">{"FormulaRow05";(INDEX(CLASSLIST,A3,1))}</f>
        <v>FormulaRow05</v>
      </c>
      <c r="B12" s="76" t="str">
        <f t="array" ref="B12:B13">{"CLASSTYPE";((INDEX(ALLCLASSDATA,MATCH("ClassType",CLASSFEATUREHEADERS,0),MATCH($A13,CLASSNAMEHEADERS,0))))}</f>
        <v>CLASSTYPE</v>
      </c>
      <c r="C12" s="76" t="str">
        <f t="array" ref="C12:C13">{"INITIALFEATURESPTS";"InitialFeaturesPts"}</f>
        <v>INITIALFEATURESPTS</v>
      </c>
      <c r="D12" s="76" t="str">
        <f t="array" ref="D12:D13">{"CLASS/SUBCLASSFEATURES";"Class/Subclass Features"}</f>
        <v>CLASS/SUBCLASSFEATURES</v>
      </c>
      <c r="E12" s="76"/>
      <c r="F12" s="76"/>
      <c r="G12" s="76" t="str">
        <f t="array" ref="G12:G13">{"CLASSINITIALABILITY1-L00PTS";((INDEX(ALLCLASSDATA,MATCH("ClassInitialAbility1-L00",CLASSFEATUREHEADERS,0),MATCH(($A13 &amp; "Points"),CLASSNAMEHEADERS,0))))}</f>
        <v>CLASSINITIALABILITY1-L00PTS</v>
      </c>
      <c r="H12" s="76" t="str">
        <f t="array" ref="H12:H13">{"CLASSINITIALABILITY2-L00PTS";((INDEX(ALLCLASSDATA,MATCH("ClassInitialAbility2-L00",CLASSFEATUREHEADERS,0),MATCH(($A13 &amp; "Points"),CLASSNAMEHEADERS,0))))}</f>
        <v>CLASSINITIALABILITY2-L00PTS</v>
      </c>
      <c r="I12" s="76" t="str">
        <f t="array" ref="I12:I13">{"CLASSINITIALABILITY3-L00PTS";((INDEX(ALLCLASSDATA,MATCH("ClassInitialAbility3-L00",CLASSFEATUREHEADERS,0),MATCH(($A13 &amp; "Points"),CLASSNAMEHEADERS,0))))}</f>
        <v>CLASSINITIALABILITY3-L00PTS</v>
      </c>
      <c r="J12" s="76" t="str">
        <f t="array" ref="J12:J13">{"CLASSINITIALABILITY4-L00PTS";((INDEX(ALLCLASSDATA,MATCH("ClassInitialAbility4-L00",CLASSFEATUREHEADERS,0),MATCH(($A13 &amp; "Points"),CLASSNAMEHEADERS,0))))}</f>
        <v>CLASSINITIALABILITY4-L00PTS</v>
      </c>
      <c r="K12" s="76" t="str">
        <f t="array" ref="K12:K13">{"CLASSINITIALABILITY5-L00PTS";((INDEX(ALLCLASSDATA,MATCH("ClassInitialAbility5-L00",CLASSFEATUREHEADERS,0),MATCH(($A13 &amp; "Points"),CLASSNAMEHEADERS,0))))}</f>
        <v>CLASSINITIALABILITY5-L00PTS</v>
      </c>
      <c r="L12" s="76" t="str">
        <f t="array" ref="L12:L13">{"CLASSINITIALABILITY6-L00PTS";((INDEX(ALLCLASSDATA,MATCH("ClassInitialAbility6-L00",CLASSFEATUREHEADERS,0),MATCH(($A13 &amp; "Points"),CLASSNAMEHEADERS,0))))}</f>
        <v>CLASSINITIALABILITY6-L00PTS</v>
      </c>
      <c r="M12" s="76" t="str">
        <f t="array" ref="M12:M13">{"CLASSINITIALABILITY7-L00PTS";((INDEX(ALLCLASSDATA,MATCH("ClassInitialAbility7-L00",CLASSFEATUREHEADERS,0),MATCH(($A13 &amp; "Points"),CLASSNAMEHEADERS,0))))}</f>
        <v>CLASSINITIALABILITY7-L00PTS</v>
      </c>
      <c r="N12" s="76" t="str">
        <f t="array" ref="N12:N13">{"CLASSINITIALABILITY8-L00PTS";((INDEX(ALLCLASSDATA,MATCH("ClassInitialAbility8-L00",CLASSFEATUREHEADERS,0),MATCH(($A13 &amp; "Points"),CLASSNAMEHEADERS,0))))}</f>
        <v>CLASSINITIALABILITY8-L00PTS</v>
      </c>
      <c r="O12" s="76" t="str">
        <f t="array" ref="O12:O13">{"CLASSINITIALABILITY9-L00PTS";((INDEX(ALLCLASSDATA,MATCH("ClassInitialAbility9-L00",CLASSFEATUREHEADERS,0),MATCH(($A13 &amp; "Points"),CLASSNAMEHEADERS,0))))}</f>
        <v>CLASSINITIALABILITY9-L00PTS</v>
      </c>
      <c r="P12" s="76" t="str">
        <f t="array" ref="P12:P13">{"CLASSINITIALABILITY10-L00PTS";((INDEX(ALLCLASSDATA,MATCH("ClassInitialAbility10-L00",CLASSFEATUREHEADERS,0),MATCH(($A13 &amp; "Points"),CLASSNAMEHEADERS,0))))}</f>
        <v>CLASSINITIALABILITY10-L00PTS</v>
      </c>
      <c r="Q12" s="76" t="str">
        <f t="array" ref="Q12:Q13">{"SUBCLASSINITIAL1-L00PTS";((INDEX(ALLCLASSDATA,MATCH("SubclassInitial1-L00",CLASSFEATUREHEADERS,0),MATCH(($A13 &amp; "Points"),CLASSNAMEHEADERS,0))))}</f>
        <v>SUBCLASSINITIAL1-L00PTS</v>
      </c>
      <c r="R12" s="76" t="str">
        <f t="array" ref="R12:R13">{"SUBCLASSINITIAL2-L00PTS";((INDEX(ALLCLASSDATA,MATCH("SubclassInitial2-L00",CLASSFEATUREHEADERS,0),MATCH(($A13 &amp; "Points"),CLASSNAMEHEADERS,0))))}</f>
        <v>SUBCLASSINITIAL2-L00PTS</v>
      </c>
      <c r="S12" s="76" t="str">
        <f t="array" ref="S12:S13">{"SUBCLASSINITIAL3-L00PTS";((INDEX(ALLCLASSDATA,MATCH("SubclassInitial3-L00",CLASSFEATUREHEADERS,0),MATCH(($A13 &amp; "Points"),CLASSNAMEHEADERS,0))))}</f>
        <v>SUBCLASSINITIAL3-L00PTS</v>
      </c>
      <c r="T12" s="76" t="str">
        <f t="array" ref="T12:T13">{"SUBCLASSINITIAL4-L00PTS";((INDEX(ALLCLASSDATA,MATCH("SubclassInitial4-L00",CLASSFEATUREHEADERS,0),MATCH(($A13 &amp; "Points"),CLASSNAMEHEADERS,0))))}</f>
        <v>SUBCLASSINITIAL4-L00PTS</v>
      </c>
      <c r="U12" s="76" t="str">
        <f t="array" ref="U12:U13">{"SUBCLASSINITIAL5-L00PTS";((INDEX(ALLCLASSDATA,MATCH("SubclassInitial5-L00",CLASSFEATUREHEADERS,0),MATCH(($A13 &amp; "Points"),CLASSNAMEHEADERS,0))))}</f>
        <v>SUBCLASSINITIAL5-L00PTS</v>
      </c>
      <c r="V12" s="76" t="str">
        <f t="array" ref="V12:V13">{"SUBCLASSINITIAL6-L00PTS";((INDEX(ALLCLASSDATA,MATCH("SubclassInitial6-L00",CLASSFEATUREHEADERS,0),MATCH(($A13 &amp; "Points"),CLASSNAMEHEADERS,0))))}</f>
        <v>SUBCLASSINITIAL6-L00PTS</v>
      </c>
      <c r="W12" s="76" t="str">
        <f t="array" ref="W12:W13">{"SUBCLASSINITIAL7-L00PTS";((INDEX(ALLCLASSDATA,MATCH("SubclassInitial7-L00",CLASSFEATUREHEADERS,0),MATCH(($A13 &amp; "Points"),CLASSNAMEHEADERS,0))))}</f>
        <v>SUBCLASSINITIAL7-L00PTS</v>
      </c>
      <c r="X12" s="76" t="str">
        <f t="array" ref="X12:X13">{"SUBCLASSINITIAL8-L00PTS";((INDEX(ALLCLASSDATA,MATCH("SubclassInitial8-L00",CLASSFEATUREHEADERS,0),MATCH(($A13 &amp; "Points"),CLASSNAMEHEADERS,0))))}</f>
        <v>SUBCLASSINITIAL8-L00PTS</v>
      </c>
      <c r="Y12" s="76" t="str">
        <f t="array" ref="Y12:Y13">{"SUBCLASSINITIAL9-L00PTS";((INDEX(ALLCLASSDATA,MATCH("SubclassInitial9-L00",CLASSFEATUREHEADERS,0),MATCH(($A13 &amp; "Points"),CLASSNAMEHEADERS,0))))}</f>
        <v>SUBCLASSINITIAL9-L00PTS</v>
      </c>
      <c r="Z12" s="76" t="str">
        <f t="array" ref="Z12:Z13">{"SUBCLASSINITIAL10-L00PTS";((INDEX(ALLCLASSDATA,MATCH("SubclassInitial10-L00",CLASSFEATUREHEADERS,0),MATCH(($A13 &amp; "Points"),CLASSNAMEHEADERS,0))))}</f>
        <v>SUBCLASSINITIAL10-L00PTS</v>
      </c>
      <c r="AA12" s="76"/>
      <c r="AB12" s="76" t="str">
        <f t="array" ref="AB12:AB13">{"INITIALFEATUREPTS TOTAL";(sum(F13:Z13))}</f>
        <v>INITIALFEATUREPTS TOTAL</v>
      </c>
    </row>
    <row r="13">
      <c r="A13" s="48" t="s">
        <v>211</v>
      </c>
      <c r="B13" s="48" t="s">
        <v>417</v>
      </c>
      <c r="C13" s="97" t="s">
        <v>651</v>
      </c>
      <c r="D13" s="97" t="s">
        <v>616</v>
      </c>
      <c r="E13" s="97"/>
      <c r="F13" s="132"/>
      <c r="G13" s="98"/>
      <c r="H13" s="98"/>
      <c r="I13" s="97"/>
      <c r="J13" s="98">
        <v>20.0</v>
      </c>
      <c r="K13" s="171"/>
      <c r="L13" s="97"/>
      <c r="M13" s="98"/>
      <c r="N13" s="98"/>
      <c r="O13" s="98"/>
      <c r="P13" s="98"/>
      <c r="Q13" s="98"/>
      <c r="R13" s="98"/>
      <c r="S13" s="98"/>
      <c r="T13" s="98"/>
      <c r="U13" s="98"/>
      <c r="V13" s="98"/>
      <c r="W13" s="98"/>
      <c r="X13" s="98"/>
      <c r="Y13" s="98"/>
      <c r="Z13" s="98"/>
      <c r="AA13" s="5"/>
      <c r="AB13" s="47">
        <v>20.0</v>
      </c>
    </row>
    <row r="14" hidden="1">
      <c r="A14" s="76" t="str">
        <f t="array" ref="A14:A15">{"FormulaRow06";(INDEX(CLASSLIST,A3,1))}</f>
        <v>FormulaRow06</v>
      </c>
      <c r="B14" s="76" t="str">
        <f t="array" ref="B14:B15">{"CLASSTYPE";((INDEX(ALLCLASSDATA,MATCH("ClassType",CLASSFEATUREHEADERS,0),MATCH($A15,CLASSNAMEHEADERS,0))))}</f>
        <v>CLASSTYPE</v>
      </c>
      <c r="C14" s="81" t="str">
        <f t="array" ref="C14:C15">{"SKILLS";"Skills"}</f>
        <v>SKILLS</v>
      </c>
      <c r="D14" s="81" t="str">
        <f t="array" ref="D14:D15">{"EXTRASKILLINCREASES";"Extra Skill Increases"}</f>
        <v>EXTRASKILLINCREASES</v>
      </c>
      <c r="E14" s="81"/>
      <c r="F14" s="81"/>
      <c r="G14" s="81"/>
      <c r="H14" s="81" t="str">
        <f t="array" ref="H14:H15">{"SKILLINCREASEEXTRA-L02";((INDEX(ALLCLASSDATA,MATCH("SkillIncreaseExtra-L02",CLASSFEATUREHEADERS,0),MATCH(($A15 &amp; "Points"),CLASSNAMEHEADERS,0))))}</f>
        <v>SKILLINCREASEEXTRA-L02</v>
      </c>
      <c r="I14" s="81" t="str">
        <f t="array" ref="I14:I15">{"SKILLINCREASEEXTRA-L03";((INDEX(ALLCLASSDATA,MATCH("SkillIncreaseExtra-L03",CLASSFEATUREHEADERS,0),MATCH(($A15 &amp; "Points"),CLASSNAMEHEADERS,0))))}</f>
        <v>SKILLINCREASEEXTRA-L03</v>
      </c>
      <c r="J14" s="81" t="str">
        <f t="array" ref="J14:J15">{"SKILLINCREASEEXTRA-L04";((INDEX(ALLCLASSDATA,MATCH("SkillIncreaseExtra-L04",CLASSFEATUREHEADERS,0),MATCH(($A15 &amp; "Points"),CLASSNAMEHEADERS,0))))}</f>
        <v>SKILLINCREASEEXTRA-L04</v>
      </c>
      <c r="K14" s="81" t="str">
        <f t="array" ref="K14:K15">{"SKILLINCREASEEXTRA-L05";((INDEX(ALLCLASSDATA,MATCH("SkillIncreaseExtra-L05",CLASSFEATUREHEADERS,0),MATCH(($A15 &amp; "Points"),CLASSNAMEHEADERS,0))))}</f>
        <v>SKILLINCREASEEXTRA-L05</v>
      </c>
      <c r="L14" s="81" t="str">
        <f t="array" ref="L14:L15">{"SKILLINCREASEEXTRA-L06";((INDEX(ALLCLASSDATA,MATCH("SkillIncreaseExtra-L06",CLASSFEATUREHEADERS,0),MATCH(($A15 &amp; "Points"),CLASSNAMEHEADERS,0))))}</f>
        <v>SKILLINCREASEEXTRA-L06</v>
      </c>
      <c r="M14" s="81" t="str">
        <f t="array" ref="M14:M15">{"SKILLINCREASEEXTRA-L07";((INDEX(ALLCLASSDATA,MATCH("SkillIncreaseExtra-L07",CLASSFEATUREHEADERS,0),MATCH(($A15 &amp; "Points"),CLASSNAMEHEADERS,0))))}</f>
        <v>SKILLINCREASEEXTRA-L07</v>
      </c>
      <c r="N14" s="81" t="str">
        <f t="array" ref="N14:N15">{"SKILLINCREASEEXTRA-L08";((INDEX(ALLCLASSDATA,MATCH("SkillIncreaseExtra-L08",CLASSFEATUREHEADERS,0),MATCH(($A15 &amp; "Points"),CLASSNAMEHEADERS,0))))}</f>
        <v>SKILLINCREASEEXTRA-L08</v>
      </c>
      <c r="O14" s="81" t="str">
        <f t="array" ref="O14:O15">{"SKILLINCREASEEXTRA-L09";((INDEX(ALLCLASSDATA,MATCH("SkillIncreaseExtra-L09",CLASSFEATUREHEADERS,0),MATCH(($A15 &amp; "Points"),CLASSNAMEHEADERS,0))))}</f>
        <v>SKILLINCREASEEXTRA-L09</v>
      </c>
      <c r="P14" s="81" t="str">
        <f t="array" ref="P14:P15">{"SKILLINCREASEEXTRA-L10";((INDEX(ALLCLASSDATA,MATCH("SkillIncreaseExtra-L10",CLASSFEATUREHEADERS,0),MATCH(($A15 &amp; "Points"),CLASSNAMEHEADERS,0))))}</f>
        <v>SKILLINCREASEEXTRA-L10</v>
      </c>
      <c r="Q14" s="81" t="str">
        <f t="array" ref="Q14:Q15">{"SKILLINCREASEEXTRA-L11";((INDEX(ALLCLASSDATA,MATCH("SkillIncreaseExtra-L11",CLASSFEATUREHEADERS,0),MATCH(($A15 &amp; "Points"),CLASSNAMEHEADERS,0))))}</f>
        <v>SKILLINCREASEEXTRA-L11</v>
      </c>
      <c r="R14" s="81" t="str">
        <f t="array" ref="R14:R15">{"SKILLINCREASEEXTRA-L12";((INDEX(ALLCLASSDATA,MATCH("SkillIncreaseExtra-L12",CLASSFEATUREHEADERS,0),MATCH(($A15 &amp; "Points"),CLASSNAMEHEADERS,0))))}</f>
        <v>SKILLINCREASEEXTRA-L12</v>
      </c>
      <c r="S14" s="81" t="str">
        <f t="array" ref="S14:S15">{"SKILLINCREASEEXTRA-L13";((INDEX(ALLCLASSDATA,MATCH("SkillIncreaseExtra-L13",CLASSFEATUREHEADERS,0),MATCH(($A15 &amp; "Points"),CLASSNAMEHEADERS,0))))}</f>
        <v>SKILLINCREASEEXTRA-L13</v>
      </c>
      <c r="T14" s="81" t="str">
        <f t="array" ref="T14:T15">{"SKILLINCREASEEXTRA-L14";((INDEX(ALLCLASSDATA,MATCH("SkillIncreaseExtra-L14",CLASSFEATUREHEADERS,0),MATCH(($A15 &amp; "Points"),CLASSNAMEHEADERS,0))))}</f>
        <v>SKILLINCREASEEXTRA-L14</v>
      </c>
      <c r="U14" s="81" t="str">
        <f t="array" ref="U14:U15">{"SKILLINCREASEEXTRA-L15";((INDEX(ALLCLASSDATA,MATCH("SkillIncreaseExtra-L15",CLASSFEATUREHEADERS,0),MATCH(($A15 &amp; "Points"),CLASSNAMEHEADERS,0))))}</f>
        <v>SKILLINCREASEEXTRA-L15</v>
      </c>
      <c r="V14" s="81" t="str">
        <f t="array" ref="V14:V15">{"SKILLINCREASEEXTRA-L16";((INDEX(ALLCLASSDATA,MATCH("SkillIncreaseExtra-L16",CLASSFEATUREHEADERS,0),MATCH(($A15 &amp; "Points"),CLASSNAMEHEADERS,0))))}</f>
        <v>SKILLINCREASEEXTRA-L16</v>
      </c>
      <c r="W14" s="81" t="str">
        <f t="array" ref="W14:W15">{"SKILLINCREASEEXTRA-L17";((INDEX(ALLCLASSDATA,MATCH("SkillIncreaseExtra-L17",CLASSFEATUREHEADERS,0),MATCH(($A15 &amp; "Points"),CLASSNAMEHEADERS,0))))}</f>
        <v>SKILLINCREASEEXTRA-L17</v>
      </c>
      <c r="X14" s="81" t="str">
        <f t="array" ref="X14:X15">{"SKILLINCREASEEXTRA-L18";((INDEX(ALLCLASSDATA,MATCH("SkillIncreaseExtra-L18",CLASSFEATUREHEADERS,0),MATCH(($A15 &amp; "Points"),CLASSNAMEHEADERS,0))))}</f>
        <v>SKILLINCREASEEXTRA-L18</v>
      </c>
      <c r="Y14" s="81" t="str">
        <f t="array" ref="Y14:Y15">{"SKILLINCREASEEXTRA-L19";((INDEX(ALLCLASSDATA,MATCH("SkillIncreaseExtra-L19",CLASSFEATUREHEADERS,0),MATCH(($A15 &amp; "Points"),CLASSNAMEHEADERS,0))))}</f>
        <v>SKILLINCREASEEXTRA-L19</v>
      </c>
      <c r="Z14" s="81" t="str">
        <f t="array" ref="Z14:Z15">{"SKILLINCREASEEXTRA-L20";((INDEX(ALLCLASSDATA,MATCH("SkillIncreaseExtra-L20",CLASSFEATUREHEADERS,0),MATCH(($A15 &amp; "Points"),CLASSNAMEHEADERS,0))))}</f>
        <v>SKILLINCREASEEXTRA-L20</v>
      </c>
      <c r="AA14" s="76"/>
      <c r="AB14" s="76" t="str">
        <f t="array" ref="AB14:AB15">{"SKILLINCREASE TOTAL";(sum(F15:Z15))}</f>
        <v>SKILLINCREASE TOTAL</v>
      </c>
    </row>
    <row r="15">
      <c r="A15" s="48" t="s">
        <v>211</v>
      </c>
      <c r="B15" s="48" t="s">
        <v>417</v>
      </c>
      <c r="C15" s="155" t="s">
        <v>659</v>
      </c>
      <c r="D15" s="155" t="s">
        <v>661</v>
      </c>
      <c r="E15" s="155"/>
      <c r="F15" s="156"/>
      <c r="G15" s="157"/>
      <c r="H15" s="157" t="s">
        <v>603</v>
      </c>
      <c r="I15" s="157" t="s">
        <v>603</v>
      </c>
      <c r="J15" s="157" t="s">
        <v>603</v>
      </c>
      <c r="K15" s="155" t="s">
        <v>603</v>
      </c>
      <c r="L15" s="157" t="s">
        <v>603</v>
      </c>
      <c r="M15" s="157" t="s">
        <v>603</v>
      </c>
      <c r="N15" s="157" t="s">
        <v>603</v>
      </c>
      <c r="O15" s="157" t="s">
        <v>603</v>
      </c>
      <c r="P15" s="157" t="s">
        <v>603</v>
      </c>
      <c r="Q15" s="155" t="s">
        <v>603</v>
      </c>
      <c r="R15" s="157" t="s">
        <v>603</v>
      </c>
      <c r="S15" s="157" t="s">
        <v>603</v>
      </c>
      <c r="T15" s="157" t="s">
        <v>603</v>
      </c>
      <c r="U15" s="157" t="s">
        <v>603</v>
      </c>
      <c r="V15" s="157" t="s">
        <v>603</v>
      </c>
      <c r="W15" s="157" t="s">
        <v>603</v>
      </c>
      <c r="X15" s="157" t="s">
        <v>603</v>
      </c>
      <c r="Y15" s="157" t="s">
        <v>603</v>
      </c>
      <c r="Z15" s="157" t="s">
        <v>603</v>
      </c>
      <c r="AA15" s="5"/>
      <c r="AB15" s="47">
        <v>0.0</v>
      </c>
    </row>
    <row r="16" hidden="1">
      <c r="A16" s="76" t="str">
        <f t="array" ref="A16:A17">{"FormulaRow07";(INDEX(CLASSLIST,A3,1))}</f>
        <v>FormulaRow07</v>
      </c>
      <c r="B16" s="76" t="str">
        <f t="array" ref="B16:B17">{"CLASSTYPE";((INDEX(ALLCLASSDATA,MATCH("ClassType",CLASSFEATUREHEADERS,0),MATCH($A17,CLASSNAMEHEADERS,0))))}</f>
        <v>CLASSTYPE</v>
      </c>
      <c r="C16" s="76" t="str">
        <f t="array" ref="C16:C17">{"SKILLS";"Skills"}</f>
        <v>SKILLS</v>
      </c>
      <c r="D16" s="76" t="str">
        <f t="array" ref="D16:D17">{"EXTRASKILLFEATS";"Extra Skill Feats"}</f>
        <v>EXTRASKILLFEATS</v>
      </c>
      <c r="E16" s="76"/>
      <c r="F16" s="76"/>
      <c r="G16" s="76" t="str">
        <f t="array" ref="G16:G17">{"SKILLFEATEXTRA-L01";((INDEX(ALLCLASSDATA,MATCH("SkillFeatExtra-L01",CLASSFEATUREHEADERS,0),MATCH(($A17 &amp; "Points"),CLASSNAMEHEADERS,0))))}</f>
        <v>SKILLFEATEXTRA-L01</v>
      </c>
      <c r="H16" s="76" t="str">
        <f t="array" ref="H16:H17">{"SKILLFEATEXTRA-L02";((INDEX(ALLCLASSDATA,MATCH("SkillFeatExtra-L02",CLASSFEATUREHEADERS,0),MATCH(($A17 &amp; "Points"),CLASSNAMEHEADERS,0))))}</f>
        <v>SKILLFEATEXTRA-L02</v>
      </c>
      <c r="I16" s="76" t="str">
        <f t="array" ref="I16:I17">{"SKILLFEATEXTRA-L03";((INDEX(ALLCLASSDATA,MATCH("SkillFeatExtra-L03",CLASSFEATUREHEADERS,0),MATCH(($A17 &amp; "Points"),CLASSNAMEHEADERS,0))))}</f>
        <v>SKILLFEATEXTRA-L03</v>
      </c>
      <c r="J16" s="76" t="str">
        <f t="array" ref="J16:J17">{"SKILLFEATEXTRA-L04";((INDEX(ALLCLASSDATA,MATCH("SkillFeatExtra-L04",CLASSFEATUREHEADERS,0),MATCH(($A17 &amp; "Points"),CLASSNAMEHEADERS,0))))}</f>
        <v>SKILLFEATEXTRA-L04</v>
      </c>
      <c r="K16" s="76" t="str">
        <f t="array" ref="K16:K17">{"SKILLFEATEXTRA-L05";((INDEX(ALLCLASSDATA,MATCH("SkillFeatExtra-L05",CLASSFEATUREHEADERS,0),MATCH(($A17 &amp; "Points"),CLASSNAMEHEADERS,0))))}</f>
        <v>SKILLFEATEXTRA-L05</v>
      </c>
      <c r="L16" s="76" t="str">
        <f t="array" ref="L16:L17">{"SKILLFEATEXTRA-L06";((INDEX(ALLCLASSDATA,MATCH("SkillFeatExtra-L06",CLASSFEATUREHEADERS,0),MATCH(($A17 &amp; "Points"),CLASSNAMEHEADERS,0))))}</f>
        <v>SKILLFEATEXTRA-L06</v>
      </c>
      <c r="M16" s="76" t="str">
        <f t="array" ref="M16:M17">{"SKILLFEATEXTRA-L07";((INDEX(ALLCLASSDATA,MATCH("SkillFeatExtra-L07",CLASSFEATUREHEADERS,0),MATCH(($A17 &amp; "Points"),CLASSNAMEHEADERS,0))))}</f>
        <v>SKILLFEATEXTRA-L07</v>
      </c>
      <c r="N16" s="76" t="str">
        <f t="array" ref="N16:N17">{"SKILLFEATEXTRA-L08";((INDEX(ALLCLASSDATA,MATCH("SkillFeatExtra-L08",CLASSFEATUREHEADERS,0),MATCH(($A17 &amp; "Points"),CLASSNAMEHEADERS,0))))}</f>
        <v>SKILLFEATEXTRA-L08</v>
      </c>
      <c r="O16" s="76" t="str">
        <f t="array" ref="O16:O17">{"SKILLFEATEXTRA-L09";((INDEX(ALLCLASSDATA,MATCH("SkillFeatExtra-L09",CLASSFEATUREHEADERS,0),MATCH(($A17 &amp; "Points"),CLASSNAMEHEADERS,0))))}</f>
        <v>SKILLFEATEXTRA-L09</v>
      </c>
      <c r="P16" s="76" t="str">
        <f t="array" ref="P16:P17">{"SKILLFEATEXTRA-L10";((INDEX(ALLCLASSDATA,MATCH("SkillFeatExtra-L10",CLASSFEATUREHEADERS,0),MATCH(($A17 &amp; "Points"),CLASSNAMEHEADERS,0))))}</f>
        <v>SKILLFEATEXTRA-L10</v>
      </c>
      <c r="Q16" s="76" t="str">
        <f t="array" ref="Q16:Q17">{"SKILLFEATEXTRA-L11";((INDEX(ALLCLASSDATA,MATCH("SkillFeatExtra-L11",CLASSFEATUREHEADERS,0),MATCH(($A17 &amp; "Points"),CLASSNAMEHEADERS,0))))}</f>
        <v>SKILLFEATEXTRA-L11</v>
      </c>
      <c r="R16" s="76" t="str">
        <f t="array" ref="R16:R17">{"SKILLFEATEXTRA-L12";((INDEX(ALLCLASSDATA,MATCH("SkillFeatExtra-L12",CLASSFEATUREHEADERS,0),MATCH(($A17 &amp; "Points"),CLASSNAMEHEADERS,0))))}</f>
        <v>SKILLFEATEXTRA-L12</v>
      </c>
      <c r="S16" s="76" t="str">
        <f t="array" ref="S16:S17">{"SKILLFEATEXTRA-L13";((INDEX(ALLCLASSDATA,MATCH("SkillFeatExtra-L13",CLASSFEATUREHEADERS,0),MATCH(($A17 &amp; "Points"),CLASSNAMEHEADERS,0))))}</f>
        <v>SKILLFEATEXTRA-L13</v>
      </c>
      <c r="T16" s="76" t="str">
        <f t="array" ref="T16:T17">{"SKILLFEATEXTRA-L14";((INDEX(ALLCLASSDATA,MATCH("SkillFeatExtra-L14",CLASSFEATUREHEADERS,0),MATCH(($A17 &amp; "Points"),CLASSNAMEHEADERS,0))))}</f>
        <v>SKILLFEATEXTRA-L14</v>
      </c>
      <c r="U16" s="76" t="str">
        <f t="array" ref="U16:U17">{"SKILLFEATEXTRA-L15";((INDEX(ALLCLASSDATA,MATCH("SkillFeatExtra-L15",CLASSFEATUREHEADERS,0),MATCH(($A17 &amp; "Points"),CLASSNAMEHEADERS,0))))}</f>
        <v>SKILLFEATEXTRA-L15</v>
      </c>
      <c r="V16" s="76" t="str">
        <f t="array" ref="V16:V17">{"SKILLFEATEXTRA-L16";((INDEX(ALLCLASSDATA,MATCH("SkillFeatExtra-L16",CLASSFEATUREHEADERS,0),MATCH(($A17 &amp; "Points"),CLASSNAMEHEADERS,0))))}</f>
        <v>SKILLFEATEXTRA-L16</v>
      </c>
      <c r="W16" s="76" t="str">
        <f t="array" ref="W16:W17">{"SKILLFEATEXTRA-L17";((INDEX(ALLCLASSDATA,MATCH("SkillFeatExtra-L17",CLASSFEATUREHEADERS,0),MATCH(($A17 &amp; "Points"),CLASSNAMEHEADERS,0))))}</f>
        <v>SKILLFEATEXTRA-L17</v>
      </c>
      <c r="X16" s="76" t="str">
        <f t="array" ref="X16:X17">{"SKILLFEATEXTRA-L18";((INDEX(ALLCLASSDATA,MATCH("SkillFeatExtra-L18",CLASSFEATUREHEADERS,0),MATCH(($A17 &amp; "Points"),CLASSNAMEHEADERS,0))))}</f>
        <v>SKILLFEATEXTRA-L18</v>
      </c>
      <c r="Y16" s="76" t="str">
        <f t="array" ref="Y16:Y17">{"SKILLFEATEXTRA-L19";((INDEX(ALLCLASSDATA,MATCH("SkillFeatExtra-L19",CLASSFEATUREHEADERS,0),MATCH(($A17 &amp; "Points"),CLASSNAMEHEADERS,0))))}</f>
        <v>SKILLFEATEXTRA-L19</v>
      </c>
      <c r="Z16" s="76" t="str">
        <f t="array" ref="Z16:Z17">{"SKILLFEATEXTRA-L20";((INDEX(ALLCLASSDATA,MATCH("SkillFeatExtra-L20",CLASSFEATUREHEADERS,0),MATCH(($A17 &amp; "Points"),CLASSNAMEHEADERS,0))))}</f>
        <v>SKILLFEATEXTRA-L20</v>
      </c>
      <c r="AA16" s="76"/>
      <c r="AB16" s="76" t="str">
        <f t="array" ref="AB16:AB17">{"SKILLFEAT TOTAL";(sum(F17:Z17))}</f>
        <v>SKILLFEAT TOTAL</v>
      </c>
    </row>
    <row r="17">
      <c r="A17" s="48" t="s">
        <v>211</v>
      </c>
      <c r="B17" s="48" t="s">
        <v>417</v>
      </c>
      <c r="C17" s="97" t="s">
        <v>659</v>
      </c>
      <c r="D17" s="97" t="s">
        <v>722</v>
      </c>
      <c r="E17" s="97"/>
      <c r="F17" s="132"/>
      <c r="G17" s="98" t="s">
        <v>603</v>
      </c>
      <c r="H17" s="98" t="s">
        <v>603</v>
      </c>
      <c r="I17" s="97" t="s">
        <v>603</v>
      </c>
      <c r="J17" s="97" t="s">
        <v>603</v>
      </c>
      <c r="K17" s="97" t="s">
        <v>603</v>
      </c>
      <c r="L17" s="98" t="s">
        <v>603</v>
      </c>
      <c r="M17" s="98" t="s">
        <v>603</v>
      </c>
      <c r="N17" s="98" t="s">
        <v>603</v>
      </c>
      <c r="O17" s="98" t="s">
        <v>603</v>
      </c>
      <c r="P17" s="98" t="s">
        <v>603</v>
      </c>
      <c r="Q17" s="98" t="s">
        <v>603</v>
      </c>
      <c r="R17" s="98" t="s">
        <v>603</v>
      </c>
      <c r="S17" s="98" t="s">
        <v>603</v>
      </c>
      <c r="T17" s="98" t="s">
        <v>603</v>
      </c>
      <c r="U17" s="98" t="s">
        <v>603</v>
      </c>
      <c r="V17" s="98" t="s">
        <v>603</v>
      </c>
      <c r="W17" s="98" t="s">
        <v>603</v>
      </c>
      <c r="X17" s="98" t="s">
        <v>603</v>
      </c>
      <c r="Y17" s="98" t="s">
        <v>603</v>
      </c>
      <c r="Z17" s="98" t="s">
        <v>603</v>
      </c>
      <c r="AA17" s="5"/>
      <c r="AB17" s="47">
        <v>0.0</v>
      </c>
    </row>
    <row r="18" hidden="1">
      <c r="A18" s="76" t="str">
        <f t="array" ref="A18:A19">{"FormulaRow08";(INDEX(CLASSLIST,A3,1))}</f>
        <v>FormulaRow08</v>
      </c>
      <c r="B18" s="76" t="str">
        <f t="array" ref="B18:B19">{"CLASSTYPE";((INDEX(ALLCLASSDATA,MATCH("ClassType",CLASSFEATUREHEADERS,0),MATCH($A19,CLASSNAMEHEADERS,0))))}</f>
        <v>CLASSTYPE</v>
      </c>
      <c r="C18" s="81" t="str">
        <f t="array" ref="C18:C19">{"CLASSABILITY";"ClassAbility"}</f>
        <v>CLASSABILITY</v>
      </c>
      <c r="D18" s="81" t="str">
        <f t="array" ref="D18:D19">{"CLASSABILITY1";"ClassAbility1"}</f>
        <v>CLASSABILITY1</v>
      </c>
      <c r="E18" s="81"/>
      <c r="F18" s="81"/>
      <c r="G18" s="81"/>
      <c r="H18" s="81"/>
      <c r="I18" s="81" t="str">
        <f t="array" ref="I18:I19">{"CLASSABILITY1-L03";((INDEX(ALLCLASSDATA,MATCH("ClassAbility1-L03",CLASSFEATUREHEADERS,0),MATCH(($A19),CLASSNAMEHEADERS,0))))}</f>
        <v>CLASSABILITY1-L03</v>
      </c>
      <c r="J18" s="81"/>
      <c r="K18" s="81" t="str">
        <f t="array" ref="K18:K19">{"CLASSABILITY1-L05";((INDEX(ALLCLASSDATA,MATCH("ClassAbility1-L05",CLASSFEATUREHEADERS,0),MATCH(($A19),CLASSNAMEHEADERS,0))))}</f>
        <v>CLASSABILITY1-L05</v>
      </c>
      <c r="L18" s="81"/>
      <c r="M18" s="81" t="str">
        <f t="array" ref="M18:M19">{"CLASSABILITY1-L07";((INDEX(ALLCLASSDATA,MATCH("ClassAbility1-L07",CLASSFEATUREHEADERS,0),MATCH(($A19),CLASSNAMEHEADERS,0))))}</f>
        <v>CLASSABILITY1-L07</v>
      </c>
      <c r="N18" s="81"/>
      <c r="O18" s="81" t="str">
        <f t="array" ref="O18:O19">{"CLASSABILITY1-L09";((INDEX(ALLCLASSDATA,MATCH("ClassAbility1-L09",CLASSFEATUREHEADERS,0),MATCH(($A19),CLASSNAMEHEADERS,0))))}</f>
        <v>CLASSABILITY1-L09</v>
      </c>
      <c r="P18" s="81"/>
      <c r="Q18" s="81" t="str">
        <f t="array" ref="Q18:Q19">{"CLASSABILITY1-L11";((INDEX(ALLCLASSDATA,MATCH("ClassAbility1-L11",CLASSFEATUREHEADERS,0),MATCH(($A19),CLASSNAMEHEADERS,0))))}</f>
        <v>CLASSABILITY1-L11</v>
      </c>
      <c r="R18" s="81"/>
      <c r="S18" s="81" t="str">
        <f t="array" ref="S18:S19">{"CLASSABILITY1-L13";((INDEX(ALLCLASSDATA,MATCH("ClassAbility1-L13",CLASSFEATUREHEADERS,0),MATCH(($A19),CLASSNAMEHEADERS,0))))}</f>
        <v>CLASSABILITY1-L13</v>
      </c>
      <c r="T18" s="81"/>
      <c r="U18" s="81" t="str">
        <f t="array" ref="U18:U19">{"CLASSABILITY1-L15";((INDEX(ALLCLASSDATA,MATCH("ClassAbility1-L15",CLASSFEATUREHEADERS,0),MATCH(($A19),CLASSNAMEHEADERS,0))))}</f>
        <v>CLASSABILITY1-L15</v>
      </c>
      <c r="V18" s="81"/>
      <c r="W18" s="81" t="str">
        <f t="array" ref="W18:W19">{"CLASSABILITY1-L17";((INDEX(ALLCLASSDATA,MATCH("ClassAbility1-L17",CLASSFEATUREHEADERS,0),MATCH(($A19),CLASSNAMEHEADERS,0))))}</f>
        <v>CLASSABILITY1-L17</v>
      </c>
      <c r="X18" s="81"/>
      <c r="Y18" s="81" t="str">
        <f t="array" ref="Y18:Y19">{"CLASSABILITY1-L19";((INDEX(ALLCLASSDATA,MATCH("ClassAbility1-L19",CLASSFEATUREHEADERS,0),MATCH(($A19),CLASSNAMEHEADERS,0))))}</f>
        <v>CLASSABILITY1-L19</v>
      </c>
      <c r="Z18" s="81"/>
      <c r="AA18" s="76"/>
      <c r="AB18" s="76"/>
    </row>
    <row r="19">
      <c r="A19" s="48" t="s">
        <v>211</v>
      </c>
      <c r="B19" s="48" t="s">
        <v>417</v>
      </c>
      <c r="C19" s="48" t="s">
        <v>825</v>
      </c>
      <c r="D19" s="48" t="s">
        <v>826</v>
      </c>
      <c r="E19" s="5"/>
      <c r="F19" s="47"/>
      <c r="G19" s="5"/>
      <c r="H19" s="5"/>
      <c r="I19" s="5"/>
      <c r="J19" s="5"/>
      <c r="K19" s="5" t="s">
        <v>305</v>
      </c>
      <c r="L19" s="5"/>
      <c r="M19" s="5"/>
      <c r="N19" s="5"/>
      <c r="O19" s="5" t="s">
        <v>335</v>
      </c>
      <c r="P19" s="5"/>
      <c r="Q19" s="5" t="s">
        <v>323</v>
      </c>
      <c r="R19" s="5"/>
      <c r="S19" s="5" t="s">
        <v>369</v>
      </c>
      <c r="T19" s="5"/>
      <c r="U19" s="5"/>
      <c r="V19" s="5"/>
      <c r="W19" s="5"/>
      <c r="X19" s="5"/>
      <c r="Y19" s="5" t="s">
        <v>1148</v>
      </c>
      <c r="Z19" s="5"/>
      <c r="AA19" s="5"/>
      <c r="AB19" s="47"/>
    </row>
    <row r="20" hidden="1">
      <c r="A20" s="76" t="str">
        <f t="array" ref="A20:A21">{"FormulaRow09";(INDEX(CLASSLIST,A3,1))}</f>
        <v>FormulaRow09</v>
      </c>
      <c r="B20" s="76" t="str">
        <f t="array" ref="B20:B21">{"CLASSTYPE";((INDEX(ALLCLASSDATA,MATCH("ClassType",CLASSFEATUREHEADERS,0),MATCH($A21,CLASSNAMEHEADERS,0))))}</f>
        <v>CLASSTYPE</v>
      </c>
      <c r="C20" s="76" t="str">
        <f t="array" ref="C20:C21">{"CLASSABILITYPTS";"ClassAbilityPts"}</f>
        <v>CLASSABILITYPTS</v>
      </c>
      <c r="D20" s="76" t="str">
        <f t="array" ref="D20:D21">{"CLASSABILITY1";"ClassAbility1"}</f>
        <v>CLASSABILITY1</v>
      </c>
      <c r="E20" s="76"/>
      <c r="F20" s="76"/>
      <c r="G20" s="76"/>
      <c r="H20" s="76"/>
      <c r="I20" s="76" t="str">
        <f t="array" ref="I20:I21">{"CLASSABILITY1-L03PTS";((INDEX(ALLCLASSDATA,MATCH("ClassAbility1-L03",CLASSFEATUREHEADERS,0),MATCH(($A21 &amp; "Points"),CLASSNAMEHEADERS,0))))}</f>
        <v>CLASSABILITY1-L03PTS</v>
      </c>
      <c r="J20" s="76"/>
      <c r="K20" s="76" t="str">
        <f t="array" ref="K20:K21">{"CLASSABILITY1-L05PTS";((INDEX(ALLCLASSDATA,MATCH("ClassAbility1-L05",CLASSFEATUREHEADERS,0),MATCH(($A21 &amp; "Points"),CLASSNAMEHEADERS,0))))}</f>
        <v>CLASSABILITY1-L05PTS</v>
      </c>
      <c r="L20" s="76"/>
      <c r="M20" s="76" t="str">
        <f t="array" ref="M20:M21">{"CLASSABILITY1-L07PTS";((INDEX(ALLCLASSDATA,MATCH("ClassAbility1-L07",CLASSFEATUREHEADERS,0),MATCH(($A21 &amp; "Points"),CLASSNAMEHEADERS,0))))}</f>
        <v>CLASSABILITY1-L07PTS</v>
      </c>
      <c r="N20" s="76"/>
      <c r="O20" s="76" t="str">
        <f t="array" ref="O20:O21">{"CLASSABILITY1-L09PTS";((INDEX(ALLCLASSDATA,MATCH("ClassAbility1-L09",CLASSFEATUREHEADERS,0),MATCH(($A21 &amp; "Points"),CLASSNAMEHEADERS,0))))}</f>
        <v>CLASSABILITY1-L09PTS</v>
      </c>
      <c r="P20" s="76"/>
      <c r="Q20" s="76" t="str">
        <f t="array" ref="Q20:Q21">{"CLASSABILITY1-L11PTS";((INDEX(ALLCLASSDATA,MATCH("ClassAbility1-L11",CLASSFEATUREHEADERS,0),MATCH(($A21 &amp; "Points"),CLASSNAMEHEADERS,0))))}</f>
        <v>CLASSABILITY1-L11PTS</v>
      </c>
      <c r="R20" s="76"/>
      <c r="S20" s="76" t="str">
        <f t="array" ref="S20:S21">{"CLASSABILITY1-L13PTS";((INDEX(ALLCLASSDATA,MATCH("ClassAbility1-L13",CLASSFEATUREHEADERS,0),MATCH(($A21 &amp; "Points"),CLASSNAMEHEADERS,0))))}</f>
        <v>CLASSABILITY1-L13PTS</v>
      </c>
      <c r="T20" s="76"/>
      <c r="U20" s="76" t="str">
        <f t="array" ref="U20:U21">{"CLASSABILITY1-L15PTS";((INDEX(ALLCLASSDATA,MATCH("ClassAbility1-L15",CLASSFEATUREHEADERS,0),MATCH(($A21 &amp; "Points"),CLASSNAMEHEADERS,0))))}</f>
        <v>CLASSABILITY1-L15PTS</v>
      </c>
      <c r="V20" s="76"/>
      <c r="W20" s="76" t="str">
        <f t="array" ref="W20:W21">{"CLASSABILITY1-L17PTS";((INDEX(ALLCLASSDATA,MATCH("ClassAbility1-L17",CLASSFEATUREHEADERS,0),MATCH(($A21 &amp; "Points"),CLASSNAMEHEADERS,0))))}</f>
        <v>CLASSABILITY1-L17PTS</v>
      </c>
      <c r="X20" s="76"/>
      <c r="Y20" s="76" t="str">
        <f t="array" ref="Y20:Y21">{"CLASSABILITY1-L19PTS";((INDEX(ALLCLASSDATA,MATCH("ClassAbility1-L19",CLASSFEATUREHEADERS,0),MATCH(($A21 &amp; "Points"),CLASSNAMEHEADERS,0))))}</f>
        <v>CLASSABILITY1-L19PTS</v>
      </c>
      <c r="Z20" s="76"/>
      <c r="AA20" s="76"/>
      <c r="AB20" s="76" t="str">
        <f t="array" ref="AB20:AB21">{"CLASSABILITY1 TOTAL";(sum(F21:Z21))}</f>
        <v>CLASSABILITY1 TOTAL</v>
      </c>
    </row>
    <row r="21">
      <c r="A21" s="48" t="s">
        <v>211</v>
      </c>
      <c r="B21" s="48" t="s">
        <v>417</v>
      </c>
      <c r="C21" s="48" t="s">
        <v>930</v>
      </c>
      <c r="D21" s="48" t="s">
        <v>826</v>
      </c>
      <c r="E21" s="5"/>
      <c r="F21" s="5"/>
      <c r="G21" s="5"/>
      <c r="H21" s="5"/>
      <c r="I21" s="48"/>
      <c r="J21" s="5"/>
      <c r="K21" s="5"/>
      <c r="L21" s="5"/>
      <c r="M21" s="5"/>
      <c r="N21" s="5"/>
      <c r="O21" s="5"/>
      <c r="P21" s="5"/>
      <c r="Q21" s="5"/>
      <c r="R21" s="5"/>
      <c r="S21" s="5"/>
      <c r="T21" s="5"/>
      <c r="U21" s="5"/>
      <c r="V21" s="5"/>
      <c r="W21" s="5"/>
      <c r="X21" s="5"/>
      <c r="Y21" s="5"/>
      <c r="Z21" s="5"/>
      <c r="AA21" s="5"/>
      <c r="AB21" s="47">
        <v>0.0</v>
      </c>
    </row>
    <row r="22" hidden="1">
      <c r="A22" s="76" t="str">
        <f t="array" ref="A22:A23">{"FormulaRow10";(INDEX(CLASSLIST,A3,1))}</f>
        <v>FormulaRow10</v>
      </c>
      <c r="B22" s="76" t="str">
        <f t="array" ref="B22:B23">{"CLASSTYPE";((INDEX(ALLCLASSDATA,MATCH("ClassType",CLASSFEATUREHEADERS,0),MATCH($A23,CLASSNAMEHEADERS,0))))}</f>
        <v>CLASSTYPE</v>
      </c>
      <c r="C22" s="76" t="str">
        <f t="array" ref="C22:C23">{"CLASSABILITY";"ClassAbility"}</f>
        <v>CLASSABILITY</v>
      </c>
      <c r="D22" s="76" t="str">
        <f t="array" ref="D22:D23">{"CLASSABILITY2";"ClassAbility2"}</f>
        <v>CLASSABILITY2</v>
      </c>
      <c r="E22" s="76"/>
      <c r="F22" s="76"/>
      <c r="G22" s="76"/>
      <c r="H22" s="76"/>
      <c r="I22" s="76" t="str">
        <f t="array" ref="I22:I23">{"CLASSABILITY2-L03";((INDEX(ALLCLASSDATA,MATCH("ClassAbility2-L03",CLASSFEATUREHEADERS,0),MATCH(($A23),CLASSNAMEHEADERS,0))))}</f>
        <v>CLASSABILITY2-L03</v>
      </c>
      <c r="J22" s="76"/>
      <c r="K22" s="76" t="str">
        <f t="array" ref="K22:K23">{"CLASSABILITY2-L05";((INDEX(ALLCLASSDATA,MATCH("ClassAbility2-L05",CLASSFEATUREHEADERS,0),MATCH(($A23),CLASSNAMEHEADERS,0))))}</f>
        <v>CLASSABILITY2-L05</v>
      </c>
      <c r="L22" s="76"/>
      <c r="M22" s="76" t="str">
        <f t="array" ref="M22:M23">{"CLASSABILITY2-L07";((INDEX(ALLCLASSDATA,MATCH("ClassAbility2-L07",CLASSFEATUREHEADERS,0),MATCH(($A23),CLASSNAMEHEADERS,0))))}</f>
        <v>CLASSABILITY2-L07</v>
      </c>
      <c r="N22" s="76"/>
      <c r="O22" s="76" t="str">
        <f t="array" ref="O22:O23">{"CLASSABILITY2-L09";((INDEX(ALLCLASSDATA,MATCH("ClassAbility2-L09",CLASSFEATUREHEADERS,0),MATCH(($A23),CLASSNAMEHEADERS,0))))}</f>
        <v>CLASSABILITY2-L09</v>
      </c>
      <c r="P22" s="76"/>
      <c r="Q22" s="76" t="str">
        <f t="array" ref="Q22:Q23">{"CLASSABILITY2-L11";((INDEX(ALLCLASSDATA,MATCH("ClassAbility2-L11",CLASSFEATUREHEADERS,0),MATCH(($A23),CLASSNAMEHEADERS,0))))}</f>
        <v>CLASSABILITY2-L11</v>
      </c>
      <c r="R22" s="76"/>
      <c r="S22" s="76" t="str">
        <f t="array" ref="S22:S23">{"CLASSABILITY2-L13";((INDEX(ALLCLASSDATA,MATCH("ClassAbility2-L13",CLASSFEATUREHEADERS,0),MATCH(($A23),CLASSNAMEHEADERS,0))))}</f>
        <v>CLASSABILITY2-L13</v>
      </c>
      <c r="T22" s="76"/>
      <c r="U22" s="76" t="str">
        <f t="array" ref="U22:U23">{"CLASSABILITY2-L15";((INDEX(ALLCLASSDATA,MATCH("ClassAbility2-L15",CLASSFEATUREHEADERS,0),MATCH(($A23),CLASSNAMEHEADERS,0))))}</f>
        <v>CLASSABILITY2-L15</v>
      </c>
      <c r="V22" s="76"/>
      <c r="W22" s="76" t="str">
        <f t="array" ref="W22:W23">{"CLASSABILITY2-L17";((INDEX(ALLCLASSDATA,MATCH("ClassAbility2-L17",CLASSFEATUREHEADERS,0),MATCH(($A23),CLASSNAMEHEADERS,0))))}</f>
        <v>CLASSABILITY2-L17</v>
      </c>
      <c r="X22" s="76"/>
      <c r="Y22" s="76" t="str">
        <f t="array" ref="Y22:Y23">{"CLASSABILITY2-L19";((INDEX(ALLCLASSDATA,MATCH("ClassAbility2-L19",CLASSFEATUREHEADERS,0),MATCH(($A23),CLASSNAMEHEADERS,0))))}</f>
        <v>CLASSABILITY2-L19</v>
      </c>
      <c r="Z22" s="76"/>
      <c r="AA22" s="76"/>
      <c r="AB22" s="76"/>
    </row>
    <row r="23">
      <c r="A23" s="48" t="s">
        <v>211</v>
      </c>
      <c r="B23" s="48" t="s">
        <v>417</v>
      </c>
      <c r="C23" s="48" t="s">
        <v>825</v>
      </c>
      <c r="D23" s="48" t="s">
        <v>1007</v>
      </c>
      <c r="E23" s="48"/>
      <c r="F23" s="47"/>
      <c r="G23" s="5"/>
      <c r="H23" s="5"/>
      <c r="I23" s="5"/>
      <c r="J23" s="5"/>
      <c r="K23" s="5"/>
      <c r="L23" s="5"/>
      <c r="M23" s="5"/>
      <c r="N23" s="5"/>
      <c r="O23" s="5"/>
      <c r="P23" s="5"/>
      <c r="Q23" s="5"/>
      <c r="R23" s="5"/>
      <c r="S23" s="5" t="s">
        <v>1316</v>
      </c>
      <c r="T23" s="5"/>
      <c r="U23" s="5"/>
      <c r="V23" s="5"/>
      <c r="W23" s="5"/>
      <c r="X23" s="5"/>
      <c r="Y23" s="5"/>
      <c r="Z23" s="5"/>
      <c r="AA23" s="5"/>
      <c r="AB23" s="47"/>
    </row>
    <row r="24" hidden="1">
      <c r="A24" s="76" t="str">
        <f t="array" ref="A24:A25">{"FormulaRow11";(INDEX(CLASSLIST,A3,1))}</f>
        <v>FormulaRow11</v>
      </c>
      <c r="B24" s="76" t="str">
        <f t="array" ref="B24:B25">{"CLASSTYPE";((INDEX(ALLCLASSDATA,MATCH("ClassType",CLASSFEATUREHEADERS,0),MATCH($A25,CLASSNAMEHEADERS,0))))}</f>
        <v>CLASSTYPE</v>
      </c>
      <c r="C24" s="76" t="str">
        <f t="array" ref="C24:C25">{"CLASSABILITYPTS";"ClassAbilityPts"}</f>
        <v>CLASSABILITYPTS</v>
      </c>
      <c r="D24" s="76" t="str">
        <f t="array" ref="D24:D25">{"CLASSABILITY2";"ClassAbility2"}</f>
        <v>CLASSABILITY2</v>
      </c>
      <c r="E24" s="76"/>
      <c r="F24" s="76"/>
      <c r="G24" s="76"/>
      <c r="H24" s="76"/>
      <c r="I24" s="76" t="str">
        <f t="array" ref="I24:I25">{"CLASSABILITY2-L03PTS";((INDEX(ALLCLASSDATA,MATCH("ClassAbility2-L03",CLASSFEATUREHEADERS,0),MATCH(($A25 &amp; "Points"),CLASSNAMEHEADERS,0))))}</f>
        <v>CLASSABILITY2-L03PTS</v>
      </c>
      <c r="J24" s="76"/>
      <c r="K24" s="76" t="str">
        <f t="array" ref="K24:K25">{"CLASSABILITY2-L05PTS";((INDEX(ALLCLASSDATA,MATCH("ClassAbility2-L05",CLASSFEATUREHEADERS,0),MATCH(($A25 &amp; "Points"),CLASSNAMEHEADERS,0))))}</f>
        <v>CLASSABILITY2-L05PTS</v>
      </c>
      <c r="L24" s="76"/>
      <c r="M24" s="76" t="str">
        <f t="array" ref="M24:M25">{"CLASSABILITY2-L07PTS";((INDEX(ALLCLASSDATA,MATCH("ClassAbility2-L07",CLASSFEATUREHEADERS,0),MATCH(($A25 &amp; "Points"),CLASSNAMEHEADERS,0))))}</f>
        <v>CLASSABILITY2-L07PTS</v>
      </c>
      <c r="N24" s="76"/>
      <c r="O24" s="76" t="str">
        <f t="array" ref="O24:O25">{"CLASSABILITY2-L09PTS";((INDEX(ALLCLASSDATA,MATCH("ClassAbility2-L09",CLASSFEATUREHEADERS,0),MATCH(($A25 &amp; "Points"),CLASSNAMEHEADERS,0))))}</f>
        <v>CLASSABILITY2-L09PTS</v>
      </c>
      <c r="P24" s="76"/>
      <c r="Q24" s="76" t="str">
        <f t="array" ref="Q24:Q25">{"CLASSABILITY2-L11PTS";((INDEX(ALLCLASSDATA,MATCH("ClassAbility2-L11",CLASSFEATUREHEADERS,0),MATCH(($A25 &amp; "Points"),CLASSNAMEHEADERS,0))))}</f>
        <v>CLASSABILITY2-L11PTS</v>
      </c>
      <c r="R24" s="76"/>
      <c r="S24" s="76" t="str">
        <f t="array" ref="S24:S25">{"CLASSABILITY2-L13PTS";((INDEX(ALLCLASSDATA,MATCH("ClassAbility2-L13",CLASSFEATUREHEADERS,0),MATCH(($A25 &amp; "Points"),CLASSNAMEHEADERS,0))))}</f>
        <v>CLASSABILITY2-L13PTS</v>
      </c>
      <c r="T24" s="76"/>
      <c r="U24" s="76" t="str">
        <f t="array" ref="U24:U25">{"CLASSABILITY2-L15PTS";((INDEX(ALLCLASSDATA,MATCH("ClassAbility2-L15",CLASSFEATUREHEADERS,0),MATCH(($A25 &amp; "Points"),CLASSNAMEHEADERS,0))))}</f>
        <v>CLASSABILITY2-L15PTS</v>
      </c>
      <c r="V24" s="76"/>
      <c r="W24" s="76" t="str">
        <f t="array" ref="W24:W25">{"CLASSABILITY2-L17PTS";((INDEX(ALLCLASSDATA,MATCH("ClassAbility2-L17",CLASSFEATUREHEADERS,0),MATCH(($A25 &amp; "Points"),CLASSNAMEHEADERS,0))))}</f>
        <v>CLASSABILITY2-L17PTS</v>
      </c>
      <c r="X24" s="76"/>
      <c r="Y24" s="76" t="str">
        <f t="array" ref="Y24:Y25">{"CLASSABILITY2-L19PTS";((INDEX(ALLCLASSDATA,MATCH("ClassAbility2-L19",CLASSFEATUREHEADERS,0),MATCH(($A25 &amp; "Points"),CLASSNAMEHEADERS,0))))}</f>
        <v>CLASSABILITY2-L19PTS</v>
      </c>
      <c r="Z24" s="76"/>
      <c r="AA24" s="76"/>
      <c r="AB24" s="76" t="str">
        <f t="array" ref="AB24:AB25">{"CLASSABILITY2 TOTAL";(sum(F25:Z25))}</f>
        <v>CLASSABILITY2 TOTAL</v>
      </c>
    </row>
    <row r="25">
      <c r="A25" s="48" t="s">
        <v>211</v>
      </c>
      <c r="B25" s="48" t="s">
        <v>417</v>
      </c>
      <c r="C25" s="48" t="s">
        <v>930</v>
      </c>
      <c r="D25" s="48" t="s">
        <v>1007</v>
      </c>
      <c r="E25" s="48"/>
      <c r="F25" s="47"/>
      <c r="G25" s="5"/>
      <c r="H25" s="5"/>
      <c r="I25" s="5"/>
      <c r="J25" s="5"/>
      <c r="K25" s="48"/>
      <c r="L25" s="5"/>
      <c r="M25" s="5"/>
      <c r="N25" s="5"/>
      <c r="O25" s="5"/>
      <c r="P25" s="5"/>
      <c r="Q25" s="5"/>
      <c r="R25" s="5"/>
      <c r="S25" s="5"/>
      <c r="T25" s="5"/>
      <c r="U25" s="5"/>
      <c r="V25" s="5"/>
      <c r="W25" s="5"/>
      <c r="X25" s="5"/>
      <c r="Y25" s="5"/>
      <c r="Z25" s="5"/>
      <c r="AA25" s="5"/>
      <c r="AB25" s="47">
        <v>0.0</v>
      </c>
    </row>
    <row r="26" hidden="1">
      <c r="A26" s="76" t="str">
        <f t="array" ref="A26:A27">{"FormulaRow12";(INDEX(CLASSLIST,A3,1))}</f>
        <v>FormulaRow12</v>
      </c>
      <c r="B26" s="76" t="str">
        <f t="array" ref="B26:B27">{"CLASSTYPE";((INDEX(ALLCLASSDATA,MATCH("ClassType",CLASSFEATUREHEADERS,0),MATCH($A27,CLASSNAMEHEADERS,0))))}</f>
        <v>CLASSTYPE</v>
      </c>
      <c r="C26" s="76" t="str">
        <f t="array" ref="C26:C27">{"CLASSABILITY";"ClassAbility"}</f>
        <v>CLASSABILITY</v>
      </c>
      <c r="D26" s="76" t="str">
        <f t="array" ref="D26:D27">{"CLASSABILITY3";"ClassAbility3"}</f>
        <v>CLASSABILITY3</v>
      </c>
      <c r="E26" s="76"/>
      <c r="F26" s="76"/>
      <c r="G26" s="76"/>
      <c r="H26" s="76"/>
      <c r="I26" s="76" t="str">
        <f t="array" ref="I26:I27">{"CLASSABILITY3-L03";((INDEX(ALLCLASSDATA,MATCH("ClassAbility3-L03",CLASSFEATUREHEADERS,0),MATCH(($A27),CLASSNAMEHEADERS,0))))}</f>
        <v>CLASSABILITY3-L03</v>
      </c>
      <c r="J26" s="76"/>
      <c r="K26" s="76" t="str">
        <f t="array" ref="K26:K27">{"CLASSABILITY3-L05";((INDEX(ALLCLASSDATA,MATCH("ClassAbility3-L05",CLASSFEATUREHEADERS,0),MATCH(($A27),CLASSNAMEHEADERS,0))))}</f>
        <v>CLASSABILITY3-L05</v>
      </c>
      <c r="L26" s="76"/>
      <c r="M26" s="76" t="str">
        <f t="array" ref="M26:M27">{"CLASSABILITY3-L07";((INDEX(ALLCLASSDATA,MATCH("ClassAbility3-L07",CLASSFEATUREHEADERS,0),MATCH(($A27),CLASSNAMEHEADERS,0))))}</f>
        <v>CLASSABILITY3-L07</v>
      </c>
      <c r="N26" s="76"/>
      <c r="O26" s="76" t="str">
        <f t="array" ref="O26:O27">{"CLASSABILITY3-L09";((INDEX(ALLCLASSDATA,MATCH("ClassAbility3-L09",CLASSFEATUREHEADERS,0),MATCH(($A27),CLASSNAMEHEADERS,0))))}</f>
        <v>CLASSABILITY3-L09</v>
      </c>
      <c r="P26" s="76"/>
      <c r="Q26" s="76" t="str">
        <f t="array" ref="Q26:Q27">{"CLASSABILITY3-L11";((INDEX(ALLCLASSDATA,MATCH("ClassAbility3-L11",CLASSFEATUREHEADERS,0),MATCH(($A27),CLASSNAMEHEADERS,0))))}</f>
        <v>CLASSABILITY3-L11</v>
      </c>
      <c r="R26" s="76"/>
      <c r="S26" s="76" t="str">
        <f t="array" ref="S26:S27">{"CLASSABILITY3-L13";((INDEX(ALLCLASSDATA,MATCH("ClassAbility3-L13",CLASSFEATUREHEADERS,0),MATCH(($A27),CLASSNAMEHEADERS,0))))}</f>
        <v>CLASSABILITY3-L13</v>
      </c>
      <c r="T26" s="76"/>
      <c r="U26" s="76" t="str">
        <f t="array" ref="U26:U27">{"CLASSABILITY3-L15";((INDEX(ALLCLASSDATA,MATCH("ClassAbility3-L15",CLASSFEATUREHEADERS,0),MATCH(($A27),CLASSNAMEHEADERS,0))))}</f>
        <v>CLASSABILITY3-L15</v>
      </c>
      <c r="V26" s="76"/>
      <c r="W26" s="76" t="str">
        <f t="array" ref="W26:W27">{"CLASSABILITY3-L17";((INDEX(ALLCLASSDATA,MATCH("ClassAbility3-L17",CLASSFEATUREHEADERS,0),MATCH(($A27),CLASSNAMEHEADERS,0))))}</f>
        <v>CLASSABILITY3-L17</v>
      </c>
      <c r="X26" s="76"/>
      <c r="Y26" s="76" t="str">
        <f t="array" ref="Y26:Y27">{"CLASSABILITY3-L19";((INDEX(ALLCLASSDATA,MATCH("ClassAbility3-L19",CLASSFEATUREHEADERS,0),MATCH(($A27),CLASSNAMEHEADERS,0))))}</f>
        <v>CLASSABILITY3-L19</v>
      </c>
      <c r="Z26" s="76"/>
      <c r="AA26" s="76"/>
      <c r="AB26" s="76"/>
    </row>
    <row r="27">
      <c r="A27" s="48" t="s">
        <v>211</v>
      </c>
      <c r="B27" s="48" t="s">
        <v>417</v>
      </c>
      <c r="C27" s="48" t="s">
        <v>825</v>
      </c>
      <c r="D27" s="48" t="s">
        <v>1144</v>
      </c>
      <c r="E27" s="48"/>
      <c r="F27" s="47"/>
      <c r="G27" s="5"/>
      <c r="H27" s="5"/>
      <c r="I27" s="48"/>
      <c r="J27" s="48"/>
      <c r="K27" s="5"/>
      <c r="L27" s="5"/>
      <c r="M27" s="5"/>
      <c r="N27" s="5"/>
      <c r="O27" s="5"/>
      <c r="P27" s="5"/>
      <c r="Q27" s="5"/>
      <c r="R27" s="5"/>
      <c r="S27" s="5"/>
      <c r="T27" s="5"/>
      <c r="U27" s="5"/>
      <c r="V27" s="5"/>
      <c r="W27" s="5"/>
      <c r="X27" s="5"/>
      <c r="Y27" s="5"/>
      <c r="Z27" s="5"/>
      <c r="AA27" s="5"/>
      <c r="AB27" s="47"/>
    </row>
    <row r="28" hidden="1">
      <c r="A28" s="76" t="str">
        <f t="array" ref="A28:A29">{"FormulaRow13";(INDEX(CLASSLIST,A3,1))}</f>
        <v>FormulaRow13</v>
      </c>
      <c r="B28" s="76" t="str">
        <f t="array" ref="B28:B29">{"CLASSTYPE";((INDEX(ALLCLASSDATA,MATCH("ClassType",CLASSFEATUREHEADERS,0),MATCH($A29,CLASSNAMEHEADERS,0))))}</f>
        <v>CLASSTYPE</v>
      </c>
      <c r="C28" s="76" t="str">
        <f t="array" ref="C28:C29">{"CLASSABILITYPTS";"ClassAbilityPts"}</f>
        <v>CLASSABILITYPTS</v>
      </c>
      <c r="D28" s="76" t="str">
        <f t="array" ref="D28:D29">{"CLASSABILITY3";"ClassAbility3"}</f>
        <v>CLASSABILITY3</v>
      </c>
      <c r="E28" s="76"/>
      <c r="F28" s="76"/>
      <c r="G28" s="76"/>
      <c r="H28" s="76"/>
      <c r="I28" s="76" t="str">
        <f t="array" ref="I28:I29">{"CLASSABILITY3-L03PTS";((INDEX(ALLCLASSDATA,MATCH("ClassAbility3-L03",CLASSFEATUREHEADERS,0),MATCH(($A29 &amp; "Points"),CLASSNAMEHEADERS,0))))}</f>
        <v>CLASSABILITY3-L03PTS</v>
      </c>
      <c r="J28" s="76"/>
      <c r="K28" s="76" t="str">
        <f t="array" ref="K28:K29">{"CLASSABILITY3-L05PTS";((INDEX(ALLCLASSDATA,MATCH("ClassAbility3-L05",CLASSFEATUREHEADERS,0),MATCH(($A29 &amp; "Points"),CLASSNAMEHEADERS,0))))}</f>
        <v>CLASSABILITY3-L05PTS</v>
      </c>
      <c r="L28" s="76"/>
      <c r="M28" s="76" t="str">
        <f t="array" ref="M28:M29">{"CLASSABILITY3-L07PTS";((INDEX(ALLCLASSDATA,MATCH("ClassAbility3-L07",CLASSFEATUREHEADERS,0),MATCH(($A29 &amp; "Points"),CLASSNAMEHEADERS,0))))}</f>
        <v>CLASSABILITY3-L07PTS</v>
      </c>
      <c r="N28" s="76"/>
      <c r="O28" s="76" t="str">
        <f t="array" ref="O28:O29">{"CLASSABILITY3-L09PTS";((INDEX(ALLCLASSDATA,MATCH("ClassAbility3-L09",CLASSFEATUREHEADERS,0),MATCH(($A29 &amp; "Points"),CLASSNAMEHEADERS,0))))}</f>
        <v>CLASSABILITY3-L09PTS</v>
      </c>
      <c r="P28" s="76"/>
      <c r="Q28" s="76" t="str">
        <f t="array" ref="Q28:Q29">{"CLASSABILITY3-L11PTS";((INDEX(ALLCLASSDATA,MATCH("ClassAbility3-L11",CLASSFEATUREHEADERS,0),MATCH(($A29 &amp; "Points"),CLASSNAMEHEADERS,0))))}</f>
        <v>CLASSABILITY3-L11PTS</v>
      </c>
      <c r="R28" s="76"/>
      <c r="S28" s="76" t="str">
        <f t="array" ref="S28:S29">{"CLASSABILITY3-L13PTS";((INDEX(ALLCLASSDATA,MATCH("ClassAbility3-L13",CLASSFEATUREHEADERS,0),MATCH(($A29 &amp; "Points"),CLASSNAMEHEADERS,0))))}</f>
        <v>CLASSABILITY3-L13PTS</v>
      </c>
      <c r="T28" s="76"/>
      <c r="U28" s="76" t="str">
        <f t="array" ref="U28:U29">{"CLASSABILITY3-L15PTS";((INDEX(ALLCLASSDATA,MATCH("ClassAbility3-L15",CLASSFEATUREHEADERS,0),MATCH(($A29 &amp; "Points"),CLASSNAMEHEADERS,0))))}</f>
        <v>CLASSABILITY3-L15PTS</v>
      </c>
      <c r="V28" s="76"/>
      <c r="W28" s="76" t="str">
        <f t="array" ref="W28:W29">{"CLASSABILITY3-L17PTS";((INDEX(ALLCLASSDATA,MATCH("ClassAbility3-L17",CLASSFEATUREHEADERS,0),MATCH(($A29 &amp; "Points"),CLASSNAMEHEADERS,0))))}</f>
        <v>CLASSABILITY3-L17PTS</v>
      </c>
      <c r="X28" s="76"/>
      <c r="Y28" s="76" t="str">
        <f t="array" ref="Y28:Y29">{"CLASSABILITY3-L19PTS";((INDEX(ALLCLASSDATA,MATCH("ClassAbility3-L19",CLASSFEATUREHEADERS,0),MATCH(($A29 &amp; "Points"),CLASSNAMEHEADERS,0))))}</f>
        <v>CLASSABILITY3-L19PTS</v>
      </c>
      <c r="Z28" s="76"/>
      <c r="AA28" s="76"/>
      <c r="AB28" s="76" t="str">
        <f t="array" ref="AB28:AB29">{"CLASSABILITY3 TOTAL";(sum(F29:Z29))}</f>
        <v>CLASSABILITY3 TOTAL</v>
      </c>
    </row>
    <row r="29">
      <c r="A29" s="48" t="s">
        <v>211</v>
      </c>
      <c r="B29" s="48" t="s">
        <v>417</v>
      </c>
      <c r="C29" s="48" t="s">
        <v>930</v>
      </c>
      <c r="D29" s="48" t="s">
        <v>1144</v>
      </c>
      <c r="E29" s="48"/>
      <c r="F29" s="47"/>
      <c r="G29" s="5"/>
      <c r="H29" s="5"/>
      <c r="I29" s="48"/>
      <c r="J29" s="5"/>
      <c r="K29" s="48"/>
      <c r="L29" s="48"/>
      <c r="M29" s="5"/>
      <c r="N29" s="5"/>
      <c r="O29" s="5"/>
      <c r="P29" s="5"/>
      <c r="Q29" s="5"/>
      <c r="R29" s="5"/>
      <c r="S29" s="5"/>
      <c r="T29" s="5"/>
      <c r="U29" s="5"/>
      <c r="V29" s="5"/>
      <c r="W29" s="5"/>
      <c r="X29" s="5"/>
      <c r="Y29" s="5"/>
      <c r="Z29" s="5"/>
      <c r="AA29" s="5"/>
      <c r="AB29" s="47">
        <v>0.0</v>
      </c>
    </row>
    <row r="30" hidden="1">
      <c r="A30" s="76" t="str">
        <f t="array" ref="A30:A31">{"FormulaRow14";(INDEX(CLASSLIST,A3,1))}</f>
        <v>FormulaRow14</v>
      </c>
      <c r="B30" s="76" t="str">
        <f t="array" ref="B30:B31">{"CLASSTYPE";((INDEX(ALLCLASSDATA,MATCH("ClassType",CLASSFEATUREHEADERS,0),MATCH($A31,CLASSNAMEHEADERS,0))))}</f>
        <v>CLASSTYPE</v>
      </c>
      <c r="C30" s="76" t="str">
        <f t="array" ref="C30:C31">{"CLASSABILITY";"ClassAbility"}</f>
        <v>CLASSABILITY</v>
      </c>
      <c r="D30" s="76" t="str">
        <f t="array" ref="D30:D31">{"CLASSABILITY4";"ClassAbility4"}</f>
        <v>CLASSABILITY4</v>
      </c>
      <c r="E30" s="76"/>
      <c r="F30" s="76"/>
      <c r="G30" s="76"/>
      <c r="H30" s="76"/>
      <c r="I30" s="76" t="str">
        <f t="array" ref="I30:I31">{"CLASSABILITY4-L03";((INDEX(ALLCLASSDATA,MATCH("ClassAbility4-L03",CLASSFEATUREHEADERS,0),MATCH(($A31),CLASSNAMEHEADERS,0))))}</f>
        <v>CLASSABILITY4-L03</v>
      </c>
      <c r="J30" s="76"/>
      <c r="K30" s="76" t="str">
        <f t="array" ref="K30:K31">{"CLASSABILITY4-L05";((INDEX(ALLCLASSDATA,MATCH("ClassAbility4-L05",CLASSFEATUREHEADERS,0),MATCH(($A31),CLASSNAMEHEADERS,0))))}</f>
        <v>CLASSABILITY4-L05</v>
      </c>
      <c r="L30" s="76"/>
      <c r="M30" s="76" t="str">
        <f t="array" ref="M30:M31">{"CLASSABILITY4-L07";((INDEX(ALLCLASSDATA,MATCH("ClassAbility4-L07",CLASSFEATUREHEADERS,0),MATCH(($A31),CLASSNAMEHEADERS,0))))}</f>
        <v>CLASSABILITY4-L07</v>
      </c>
      <c r="N30" s="76"/>
      <c r="O30" s="76" t="str">
        <f t="array" ref="O30:O31">{"CLASSABILITY4-L09";((INDEX(ALLCLASSDATA,MATCH("ClassAbility4-L09",CLASSFEATUREHEADERS,0),MATCH(($A31),CLASSNAMEHEADERS,0))))}</f>
        <v>CLASSABILITY4-L09</v>
      </c>
      <c r="P30" s="76"/>
      <c r="Q30" s="76" t="str">
        <f t="array" ref="Q30:Q31">{"CLASSABILITY4-L11";((INDEX(ALLCLASSDATA,MATCH("ClassAbility4-L11",CLASSFEATUREHEADERS,0),MATCH(($A31),CLASSNAMEHEADERS,0))))}</f>
        <v>CLASSABILITY4-L11</v>
      </c>
      <c r="R30" s="76"/>
      <c r="S30" s="76" t="str">
        <f t="array" ref="S30:S31">{"CLASSABILITY4-L13";((INDEX(ALLCLASSDATA,MATCH("ClassAbility4-L13",CLASSFEATUREHEADERS,0),MATCH(($A31),CLASSNAMEHEADERS,0))))}</f>
        <v>CLASSABILITY4-L13</v>
      </c>
      <c r="T30" s="76"/>
      <c r="U30" s="76" t="str">
        <f t="array" ref="U30:U31">{"CLASSABILITY4-L15";((INDEX(ALLCLASSDATA,MATCH("ClassAbility4-L15",CLASSFEATUREHEADERS,0),MATCH(($A31),CLASSNAMEHEADERS,0))))}</f>
        <v>CLASSABILITY4-L15</v>
      </c>
      <c r="V30" s="76"/>
      <c r="W30" s="76" t="str">
        <f t="array" ref="W30:W31">{"CLASSABILITY4-L17";((INDEX(ALLCLASSDATA,MATCH("ClassAbility4-L17",CLASSFEATUREHEADERS,0),MATCH(($A31),CLASSNAMEHEADERS,0))))}</f>
        <v>CLASSABILITY4-L17</v>
      </c>
      <c r="X30" s="76"/>
      <c r="Y30" s="76" t="str">
        <f t="array" ref="Y30:Y31">{"CLASSABILITY4-L19";((INDEX(ALLCLASSDATA,MATCH("ClassAbility4-L19",CLASSFEATUREHEADERS,0),MATCH(($A31),CLASSNAMEHEADERS,0))))}</f>
        <v>CLASSABILITY4-L19</v>
      </c>
      <c r="Z30" s="76"/>
      <c r="AA30" s="76"/>
      <c r="AB30" s="76"/>
    </row>
    <row r="31">
      <c r="A31" s="48" t="s">
        <v>211</v>
      </c>
      <c r="B31" s="48" t="s">
        <v>417</v>
      </c>
      <c r="C31" s="48" t="s">
        <v>825</v>
      </c>
      <c r="D31" s="48" t="s">
        <v>1273</v>
      </c>
      <c r="E31" s="48"/>
      <c r="F31" s="47"/>
      <c r="G31" s="5"/>
      <c r="H31" s="5"/>
      <c r="I31" s="5"/>
      <c r="J31" s="5"/>
      <c r="K31" s="5"/>
      <c r="L31" s="5"/>
      <c r="M31" s="48"/>
      <c r="N31" s="5"/>
      <c r="O31" s="5"/>
      <c r="P31" s="5"/>
      <c r="Q31" s="5"/>
      <c r="R31" s="5"/>
      <c r="S31" s="5"/>
      <c r="T31" s="5"/>
      <c r="U31" s="5"/>
      <c r="V31" s="5"/>
      <c r="W31" s="5"/>
      <c r="X31" s="5"/>
      <c r="Y31" s="5"/>
      <c r="Z31" s="5"/>
      <c r="AA31" s="5"/>
      <c r="AB31" s="47"/>
    </row>
    <row r="32" hidden="1">
      <c r="A32" s="76" t="str">
        <f t="array" ref="A32:A33">{"FormulaRow15";(INDEX(CLASSLIST,A3,1))}</f>
        <v>FormulaRow15</v>
      </c>
      <c r="B32" s="76" t="str">
        <f t="array" ref="B32:B33">{"CLASSTYPE";((INDEX(ALLCLASSDATA,MATCH("ClassType",CLASSFEATUREHEADERS,0),MATCH($A33,CLASSNAMEHEADERS,0))))}</f>
        <v>CLASSTYPE</v>
      </c>
      <c r="C32" s="76" t="str">
        <f t="array" ref="C32:C33">{"CLASSABILITYPTS";"ClassAbilityPts"}</f>
        <v>CLASSABILITYPTS</v>
      </c>
      <c r="D32" s="76" t="str">
        <f t="array" ref="D32:D33">{"CLASSABILITY4";"ClassAbility4"}</f>
        <v>CLASSABILITY4</v>
      </c>
      <c r="E32" s="76"/>
      <c r="F32" s="76"/>
      <c r="G32" s="76"/>
      <c r="H32" s="76"/>
      <c r="I32" s="76" t="str">
        <f t="array" ref="I32:I33">{"CLASSABILITY4-L03PTS";((INDEX(ALLCLASSDATA,MATCH("ClassAbility4-L03",CLASSFEATUREHEADERS,0),MATCH(($A33 &amp; "Points"),CLASSNAMEHEADERS,0))))}</f>
        <v>CLASSABILITY4-L03PTS</v>
      </c>
      <c r="J32" s="76"/>
      <c r="K32" s="76" t="str">
        <f t="array" ref="K32:K33">{"CLASSABILITY4-L05PTS";((INDEX(ALLCLASSDATA,MATCH("ClassAbility4-L05",CLASSFEATUREHEADERS,0),MATCH(($A33 &amp; "Points"),CLASSNAMEHEADERS,0))))}</f>
        <v>CLASSABILITY4-L05PTS</v>
      </c>
      <c r="L32" s="76"/>
      <c r="M32" s="76" t="str">
        <f t="array" ref="M32:M33">{"CLASSABILITY4-L07PTS";((INDEX(ALLCLASSDATA,MATCH("ClassAbility4-L07",CLASSFEATUREHEADERS,0),MATCH(($A33 &amp; "Points"),CLASSNAMEHEADERS,0))))}</f>
        <v>CLASSABILITY4-L07PTS</v>
      </c>
      <c r="N32" s="76"/>
      <c r="O32" s="76" t="str">
        <f t="array" ref="O32:O33">{"CLASSABILITY4-L09PTS";((INDEX(ALLCLASSDATA,MATCH("ClassAbility4-L09",CLASSFEATUREHEADERS,0),MATCH(($A33 &amp; "Points"),CLASSNAMEHEADERS,0))))}</f>
        <v>CLASSABILITY4-L09PTS</v>
      </c>
      <c r="P32" s="76"/>
      <c r="Q32" s="76" t="str">
        <f t="array" ref="Q32:Q33">{"CLASSABILITY4-L11PTS";((INDEX(ALLCLASSDATA,MATCH("ClassAbility4-L11",CLASSFEATUREHEADERS,0),MATCH(($A33 &amp; "Points"),CLASSNAMEHEADERS,0))))}</f>
        <v>CLASSABILITY4-L11PTS</v>
      </c>
      <c r="R32" s="76"/>
      <c r="S32" s="76" t="str">
        <f t="array" ref="S32:S33">{"CLASSABILITY4-L13PTS";((INDEX(ALLCLASSDATA,MATCH("ClassAbility4-L13",CLASSFEATUREHEADERS,0),MATCH(($A33 &amp; "Points"),CLASSNAMEHEADERS,0))))}</f>
        <v>CLASSABILITY4-L13PTS</v>
      </c>
      <c r="T32" s="76"/>
      <c r="U32" s="76" t="str">
        <f t="array" ref="U32:U33">{"CLASSABILITY4-L15PTS";((INDEX(ALLCLASSDATA,MATCH("ClassAbility4-L15",CLASSFEATUREHEADERS,0),MATCH(($A33 &amp; "Points"),CLASSNAMEHEADERS,0))))}</f>
        <v>CLASSABILITY4-L15PTS</v>
      </c>
      <c r="V32" s="76"/>
      <c r="W32" s="76" t="str">
        <f t="array" ref="W32:W33">{"CLASSABILITY4-L17PTS";((INDEX(ALLCLASSDATA,MATCH("ClassAbility4-L17",CLASSFEATUREHEADERS,0),MATCH(($A33 &amp; "Points"),CLASSNAMEHEADERS,0))))}</f>
        <v>CLASSABILITY4-L17PTS</v>
      </c>
      <c r="X32" s="76"/>
      <c r="Y32" s="76" t="str">
        <f t="array" ref="Y32:Y33">{"CLASSABILITY4-L19PTS";((INDEX(ALLCLASSDATA,MATCH("ClassAbility4-L19",CLASSFEATUREHEADERS,0),MATCH(($A33 &amp; "Points"),CLASSNAMEHEADERS,0))))}</f>
        <v>CLASSABILITY4-L19PTS</v>
      </c>
      <c r="Z32" s="76"/>
      <c r="AA32" s="76"/>
      <c r="AB32" s="76" t="str">
        <f t="array" ref="AB32:AB33">{"CLASSABILITY4 TOTAL";(sum(F33:Z33))}</f>
        <v>CLASSABILITY4 TOTAL</v>
      </c>
    </row>
    <row r="33">
      <c r="A33" s="48" t="s">
        <v>211</v>
      </c>
      <c r="B33" s="48" t="s">
        <v>417</v>
      </c>
      <c r="C33" s="48" t="s">
        <v>930</v>
      </c>
      <c r="D33" s="48" t="s">
        <v>1273</v>
      </c>
      <c r="E33" s="48"/>
      <c r="F33" s="47"/>
      <c r="G33" s="5"/>
      <c r="H33" s="5"/>
      <c r="I33" s="5"/>
      <c r="J33" s="5"/>
      <c r="K33" s="48"/>
      <c r="L33" s="5"/>
      <c r="M33" s="5"/>
      <c r="N33" s="5"/>
      <c r="O33" s="5"/>
      <c r="P33" s="5"/>
      <c r="Q33" s="5"/>
      <c r="R33" s="5"/>
      <c r="S33" s="5"/>
      <c r="T33" s="5"/>
      <c r="U33" s="5"/>
      <c r="V33" s="5"/>
      <c r="W33" s="5"/>
      <c r="X33" s="5"/>
      <c r="Y33" s="5"/>
      <c r="Z33" s="5"/>
      <c r="AA33" s="5"/>
      <c r="AB33" s="47">
        <v>0.0</v>
      </c>
    </row>
    <row r="34" hidden="1">
      <c r="A34" s="76" t="str">
        <f t="array" ref="A34:A35">{"FormulaRow16";(INDEX(CLASSLIST,A3,1))}</f>
        <v>FormulaRow16</v>
      </c>
      <c r="B34" s="76" t="str">
        <f t="array" ref="B34:B35">{"CLASSTYPE";((INDEX(ALLCLASSDATA,MATCH("ClassType",CLASSFEATUREHEADERS,0),MATCH($A35,CLASSNAMEHEADERS,0))))}</f>
        <v>CLASSTYPE</v>
      </c>
      <c r="C34" s="76" t="str">
        <f t="array" ref="C34:C35">{"CLASSABILITY";"ClassAbility"}</f>
        <v>CLASSABILITY</v>
      </c>
      <c r="D34" s="76" t="str">
        <f t="array" ref="D34:D35">{"SUBCLASSABILITY1";"SubclassAbility1"}</f>
        <v>SUBCLASSABILITY1</v>
      </c>
      <c r="E34" s="76"/>
      <c r="F34" s="76"/>
      <c r="G34" s="76"/>
      <c r="H34" s="76"/>
      <c r="I34" s="76" t="str">
        <f t="array" ref="I34:I35">{"SUBCLASSABILITY1-L03";((INDEX(ALLCLASSDATA,MATCH("SubclassAbility1-L03",CLASSFEATUREHEADERS,0),MATCH(($A35),CLASSNAMEHEADERS,0))))}</f>
        <v>SUBCLASSABILITY1-L03</v>
      </c>
      <c r="J34" s="76"/>
      <c r="K34" s="76" t="str">
        <f t="array" ref="K34:K35">{"SUBCLASSABILITY1-L05";((INDEX(ALLCLASSDATA,MATCH("SubclassAbility1-L05",CLASSFEATUREHEADERS,0),MATCH(($A35),CLASSNAMEHEADERS,0))))}</f>
        <v>SUBCLASSABILITY1-L05</v>
      </c>
      <c r="L34" s="76"/>
      <c r="M34" s="76" t="str">
        <f t="array" ref="M34:M35">{"SUBCLASSABILITY1-L07";((INDEX(ALLCLASSDATA,MATCH("SubclassAbility1-L07",CLASSFEATUREHEADERS,0),MATCH(($A35),CLASSNAMEHEADERS,0))))}</f>
        <v>SUBCLASSABILITY1-L07</v>
      </c>
      <c r="N34" s="76"/>
      <c r="O34" s="76" t="str">
        <f t="array" ref="O34:O35">{"SUBCLASSABILITY1-L09";((INDEX(ALLCLASSDATA,MATCH("SubclassAbility1-L09",CLASSFEATUREHEADERS,0),MATCH(($A35),CLASSNAMEHEADERS,0))))}</f>
        <v>SUBCLASSABILITY1-L09</v>
      </c>
      <c r="P34" s="76"/>
      <c r="Q34" s="76" t="str">
        <f t="array" ref="Q34:Q35">{"SUBCLASSABILITY1-L11";((INDEX(ALLCLASSDATA,MATCH("SubclassAbility1-L11",CLASSFEATUREHEADERS,0),MATCH(($A35),CLASSNAMEHEADERS,0))))}</f>
        <v>SUBCLASSABILITY1-L11</v>
      </c>
      <c r="R34" s="76"/>
      <c r="S34" s="76" t="str">
        <f t="array" ref="S34:S35">{"SUBCLASSABILITY1-L13";((INDEX(ALLCLASSDATA,MATCH("SubclassAbility1-L13",CLASSFEATUREHEADERS,0),MATCH(($A35),CLASSNAMEHEADERS,0))))}</f>
        <v>SUBCLASSABILITY1-L13</v>
      </c>
      <c r="T34" s="76"/>
      <c r="U34" s="76" t="str">
        <f t="array" ref="U34:U35">{"SUBCLASSABILITY1-L15";((INDEX(ALLCLASSDATA,MATCH("SubclassAbility1-L15",CLASSFEATUREHEADERS,0),MATCH(($A35),CLASSNAMEHEADERS,0))))}</f>
        <v>SUBCLASSABILITY1-L15</v>
      </c>
      <c r="V34" s="76"/>
      <c r="W34" s="76" t="str">
        <f t="array" ref="W34:W35">{"SUBCLASSABILITY1-L17";((INDEX(ALLCLASSDATA,MATCH("SubclassAbility1-L17",CLASSFEATUREHEADERS,0),MATCH(($A35),CLASSNAMEHEADERS,0))))}</f>
        <v>SUBCLASSABILITY1-L17</v>
      </c>
      <c r="X34" s="76"/>
      <c r="Y34" s="76" t="str">
        <f t="array" ref="Y34:Y35">{"SUBCLASSABILITY1-L19";((INDEX(ALLCLASSDATA,MATCH("SubclassAbility1-L19",CLASSFEATUREHEADERS,0),MATCH(($A35),CLASSNAMEHEADERS,0))))}</f>
        <v>SUBCLASSABILITY1-L19</v>
      </c>
      <c r="Z34" s="76"/>
      <c r="AA34" s="76"/>
      <c r="AB34" s="76"/>
    </row>
    <row r="35">
      <c r="A35" s="48" t="s">
        <v>211</v>
      </c>
      <c r="B35" s="48" t="s">
        <v>417</v>
      </c>
      <c r="C35" s="48" t="s">
        <v>825</v>
      </c>
      <c r="D35" s="28" t="s">
        <v>1355</v>
      </c>
      <c r="E35" s="5"/>
      <c r="F35" s="47"/>
      <c r="G35" s="5"/>
      <c r="H35" s="5"/>
      <c r="I35" s="5" t="s">
        <v>1188</v>
      </c>
      <c r="J35" s="5"/>
      <c r="K35" s="5"/>
      <c r="L35" s="5"/>
      <c r="M35" s="5" t="s">
        <v>1189</v>
      </c>
      <c r="N35" s="5"/>
      <c r="O35" s="5"/>
      <c r="P35" s="5"/>
      <c r="Q35" s="5" t="s">
        <v>1190</v>
      </c>
      <c r="R35" s="5"/>
      <c r="S35" s="48"/>
      <c r="T35" s="5"/>
      <c r="U35" s="5" t="s">
        <v>1191</v>
      </c>
      <c r="V35" s="5"/>
      <c r="W35" s="5"/>
      <c r="X35" s="5"/>
      <c r="Y35" s="5" t="s">
        <v>1462</v>
      </c>
      <c r="Z35" s="5"/>
      <c r="AA35" s="5"/>
      <c r="AB35" s="47"/>
    </row>
    <row r="36" hidden="1">
      <c r="A36" s="76" t="str">
        <f t="array" ref="A36:A37">{"FormulaRow17";(INDEX(CLASSLIST,A3,1))}</f>
        <v>FormulaRow17</v>
      </c>
      <c r="B36" s="76" t="str">
        <f t="array" ref="B36:B37">{"CLASSTYPE";((INDEX(ALLCLASSDATA,MATCH("ClassType",CLASSFEATUREHEADERS,0),MATCH($A37,CLASSNAMEHEADERS,0))))}</f>
        <v>CLASSTYPE</v>
      </c>
      <c r="C36" s="76" t="str">
        <f t="array" ref="C36:C37">{"CLASSABILITYPTS";"ClassAbilityPts"}</f>
        <v>CLASSABILITYPTS</v>
      </c>
      <c r="D36" s="76" t="str">
        <f t="array" ref="D36:D37">{"SUBCLASSABILITY1";"SubclassAbility1"}</f>
        <v>SUBCLASSABILITY1</v>
      </c>
      <c r="E36" s="76"/>
      <c r="F36" s="76"/>
      <c r="G36" s="76"/>
      <c r="H36" s="76"/>
      <c r="I36" s="76" t="str">
        <f t="array" ref="I36:I37">{"SUBCLASSABILITY1-L03PTS";((INDEX(ALLCLASSDATA,MATCH("SubclassAbility1-L03",CLASSFEATUREHEADERS,0),MATCH(($A37 &amp; "Points"),CLASSNAMEHEADERS,0))))}</f>
        <v>SUBCLASSABILITY1-L03PTS</v>
      </c>
      <c r="J36" s="76"/>
      <c r="K36" s="76" t="str">
        <f t="array" ref="K36:K37">{"SUBCLASSABILITY1-L05PTS";((INDEX(ALLCLASSDATA,MATCH("SubclassAbility1-L05",CLASSFEATUREHEADERS,0),MATCH(($A37 &amp; "Points"),CLASSNAMEHEADERS,0))))}</f>
        <v>SUBCLASSABILITY1-L05PTS</v>
      </c>
      <c r="L36" s="76"/>
      <c r="M36" s="76" t="str">
        <f t="array" ref="M36:M37">{"SUBCLASSABILITY1-L07PTS";((INDEX(ALLCLASSDATA,MATCH("SubclassAbility1-L07",CLASSFEATUREHEADERS,0),MATCH(($A37 &amp; "Points"),CLASSNAMEHEADERS,0))))}</f>
        <v>SUBCLASSABILITY1-L07PTS</v>
      </c>
      <c r="N36" s="76"/>
      <c r="O36" s="76" t="str">
        <f t="array" ref="O36:O37">{"SUBCLASSABILITY1-L09PTS";((INDEX(ALLCLASSDATA,MATCH("SubclassAbility1-L09",CLASSFEATUREHEADERS,0),MATCH(($A37 &amp; "Points"),CLASSNAMEHEADERS,0))))}</f>
        <v>SUBCLASSABILITY1-L09PTS</v>
      </c>
      <c r="P36" s="76"/>
      <c r="Q36" s="76" t="str">
        <f t="array" ref="Q36:Q37">{"SUBCLASSABILITY1-L11PTS";((INDEX(ALLCLASSDATA,MATCH("SubclassAbility1-L11",CLASSFEATUREHEADERS,0),MATCH(($A37 &amp; "Points"),CLASSNAMEHEADERS,0))))}</f>
        <v>SUBCLASSABILITY1-L11PTS</v>
      </c>
      <c r="R36" s="76"/>
      <c r="S36" s="76" t="str">
        <f t="array" ref="S36:S37">{"SUBCLASSABILITY1-L13PTS";((INDEX(ALLCLASSDATA,MATCH("SubclassAbility1-L13",CLASSFEATUREHEADERS,0),MATCH(($A37 &amp; "Points"),CLASSNAMEHEADERS,0))))}</f>
        <v>SUBCLASSABILITY1-L13PTS</v>
      </c>
      <c r="T36" s="76"/>
      <c r="U36" s="76" t="str">
        <f t="array" ref="U36:U37">{"SUBCLASSABILITY1-L15PTS";((INDEX(ALLCLASSDATA,MATCH("SubclassAbility1-L15",CLASSFEATUREHEADERS,0),MATCH(($A37 &amp; "Points"),CLASSNAMEHEADERS,0))))}</f>
        <v>SUBCLASSABILITY1-L15PTS</v>
      </c>
      <c r="V36" s="76"/>
      <c r="W36" s="76" t="str">
        <f t="array" ref="W36:W37">{"SUBCLASSABILITY1-L17PTS";((INDEX(ALLCLASSDATA,MATCH("SubclassAbility1-L17",CLASSFEATUREHEADERS,0),MATCH(($A37 &amp; "Points"),CLASSNAMEHEADERS,0))))}</f>
        <v>SUBCLASSABILITY1-L17PTS</v>
      </c>
      <c r="X36" s="76"/>
      <c r="Y36" s="76" t="str">
        <f t="array" ref="Y36:Y37">{"SUBCLASSABILITY1-L19PTS";((INDEX(ALLCLASSDATA,MATCH("SubclassAbility1-L19",CLASSFEATUREHEADERS,0),MATCH(($A37 &amp; "Points"),CLASSNAMEHEADERS,0))))}</f>
        <v>SUBCLASSABILITY1-L19PTS</v>
      </c>
      <c r="Z36" s="76"/>
      <c r="AA36" s="76"/>
      <c r="AB36" s="76" t="str">
        <f t="array" ref="AB36:AB37">{"SUBCLASSABILITY1 TOTAL";(sum(F37:Z37))}</f>
        <v>SUBCLASSABILITY1 TOTAL</v>
      </c>
    </row>
    <row r="37">
      <c r="A37" s="48" t="s">
        <v>211</v>
      </c>
      <c r="B37" s="48" t="s">
        <v>417</v>
      </c>
      <c r="C37" s="48" t="s">
        <v>930</v>
      </c>
      <c r="D37" s="28" t="s">
        <v>1355</v>
      </c>
      <c r="E37" s="5"/>
      <c r="F37" s="47"/>
      <c r="G37" s="5"/>
      <c r="H37" s="5"/>
      <c r="I37" s="5"/>
      <c r="J37" s="5"/>
      <c r="K37" s="5"/>
      <c r="L37" s="5"/>
      <c r="M37" s="5"/>
      <c r="N37" s="5"/>
      <c r="O37" s="5"/>
      <c r="P37" s="5"/>
      <c r="Q37" s="5"/>
      <c r="R37" s="5"/>
      <c r="S37" s="5"/>
      <c r="T37" s="5"/>
      <c r="U37" s="5"/>
      <c r="V37" s="5"/>
      <c r="W37" s="5"/>
      <c r="X37" s="5"/>
      <c r="Y37" s="5"/>
      <c r="Z37" s="5"/>
      <c r="AA37" s="5"/>
      <c r="AB37" s="47">
        <v>0.0</v>
      </c>
    </row>
    <row r="38" hidden="1">
      <c r="A38" s="76" t="str">
        <f t="array" ref="A38:A39">{"FormulaRow18";(INDEX(CLASSLIST,A3,1))}</f>
        <v>FormulaRow18</v>
      </c>
      <c r="B38" s="76" t="str">
        <f t="array" ref="B38:B39">{"CLASSTYPE";((INDEX(ALLCLASSDATA,MATCH("ClassType",CLASSFEATUREHEADERS,0),MATCH($A39,CLASSNAMEHEADERS,0))))}</f>
        <v>CLASSTYPE</v>
      </c>
      <c r="C38" s="76" t="str">
        <f t="array" ref="C38:C39">{"CLASSABILITY";"ClassAbility"}</f>
        <v>CLASSABILITY</v>
      </c>
      <c r="D38" s="76" t="str">
        <f t="array" ref="D38:D39">{"SUBCLASSABILITY2";"SubclassAbility2"}</f>
        <v>SUBCLASSABILITY2</v>
      </c>
      <c r="E38" s="76"/>
      <c r="F38" s="76"/>
      <c r="G38" s="76"/>
      <c r="H38" s="76"/>
      <c r="I38" s="76" t="str">
        <f t="array" ref="I38:I39">{"SUBCLASSABILITY2-L03";((INDEX(ALLCLASSDATA,MATCH("SubclassAbility2-L03",CLASSFEATUREHEADERS,0),MATCH(($A39),CLASSNAMEHEADERS,0))))}</f>
        <v>SUBCLASSABILITY2-L03</v>
      </c>
      <c r="J38" s="76"/>
      <c r="K38" s="76" t="str">
        <f t="array" ref="K38:K39">{"SUBCLASSABILITY2-L05";((INDEX(ALLCLASSDATA,MATCH("SubclassAbility2-L05",CLASSFEATUREHEADERS,0),MATCH(($A39),CLASSNAMEHEADERS,0))))}</f>
        <v>SUBCLASSABILITY2-L05</v>
      </c>
      <c r="L38" s="76"/>
      <c r="M38" s="76" t="str">
        <f t="array" ref="M38:M39">{"SUBCLASSABILITY2-L07";((INDEX(ALLCLASSDATA,MATCH("SubclassAbility2-L07",CLASSFEATUREHEADERS,0),MATCH(($A39),CLASSNAMEHEADERS,0))))}</f>
        <v>SUBCLASSABILITY2-L07</v>
      </c>
      <c r="N38" s="76"/>
      <c r="O38" s="76" t="str">
        <f t="array" ref="O38:O39">{"SUBCLASSABILITY2-L09";((INDEX(ALLCLASSDATA,MATCH("SubclassAbility2-L09",CLASSFEATUREHEADERS,0),MATCH(($A39),CLASSNAMEHEADERS,0))))}</f>
        <v>SUBCLASSABILITY2-L09</v>
      </c>
      <c r="P38" s="76"/>
      <c r="Q38" s="76" t="str">
        <f t="array" ref="Q38:Q39">{"SUBCLASSABILITY2-L11";((INDEX(ALLCLASSDATA,MATCH("SubclassAbility2-L11",CLASSFEATUREHEADERS,0),MATCH(($A39),CLASSNAMEHEADERS,0))))}</f>
        <v>SUBCLASSABILITY2-L11</v>
      </c>
      <c r="R38" s="76"/>
      <c r="S38" s="76" t="str">
        <f t="array" ref="S38:S39">{"SUBCLASSABILITY2-L13";((INDEX(ALLCLASSDATA,MATCH("SubclassAbility2-L13",CLASSFEATUREHEADERS,0),MATCH(($A39),CLASSNAMEHEADERS,0))))}</f>
        <v>SUBCLASSABILITY2-L13</v>
      </c>
      <c r="T38" s="76"/>
      <c r="U38" s="76" t="str">
        <f t="array" ref="U38:U39">{"SUBCLASSABILITY2-L15";((INDEX(ALLCLASSDATA,MATCH("SubclassAbility2-L15",CLASSFEATUREHEADERS,0),MATCH(($A39),CLASSNAMEHEADERS,0))))}</f>
        <v>SUBCLASSABILITY2-L15</v>
      </c>
      <c r="V38" s="76"/>
      <c r="W38" s="76" t="str">
        <f t="array" ref="W38:W39">{"SUBCLASSABILITY2-L17";((INDEX(ALLCLASSDATA,MATCH("SubclassAbility2-L17",CLASSFEATUREHEADERS,0),MATCH(($A39),CLASSNAMEHEADERS,0))))}</f>
        <v>SUBCLASSABILITY2-L17</v>
      </c>
      <c r="X38" s="76"/>
      <c r="Y38" s="76" t="str">
        <f t="array" ref="Y38:Y39">{"SUBCLASSABILITY2-L19";((INDEX(ALLCLASSDATA,MATCH("SubclassAbility2-L19",CLASSFEATUREHEADERS,0),MATCH(($A39),CLASSNAMEHEADERS,0))))}</f>
        <v>SUBCLASSABILITY2-L19</v>
      </c>
      <c r="Z38" s="76"/>
      <c r="AA38" s="76"/>
      <c r="AB38" s="76"/>
    </row>
    <row r="39">
      <c r="A39" s="48" t="s">
        <v>211</v>
      </c>
      <c r="B39" s="48" t="s">
        <v>417</v>
      </c>
      <c r="C39" s="48" t="s">
        <v>825</v>
      </c>
      <c r="D39" s="28" t="s">
        <v>1370</v>
      </c>
      <c r="E39" s="5"/>
      <c r="F39" s="47"/>
      <c r="G39" s="5"/>
      <c r="H39" s="5"/>
      <c r="I39" s="5"/>
      <c r="J39" s="5"/>
      <c r="K39" s="5"/>
      <c r="L39" s="5"/>
      <c r="M39" s="5"/>
      <c r="N39" s="5"/>
      <c r="O39" s="5"/>
      <c r="P39" s="5"/>
      <c r="Q39" s="5"/>
      <c r="R39" s="5"/>
      <c r="S39" s="5"/>
      <c r="T39" s="5"/>
      <c r="U39" s="5"/>
      <c r="V39" s="5"/>
      <c r="W39" s="5"/>
      <c r="X39" s="5"/>
      <c r="Y39" s="5"/>
      <c r="Z39" s="5"/>
      <c r="AA39" s="5"/>
      <c r="AB39" s="47"/>
    </row>
    <row r="40" hidden="1">
      <c r="A40" s="76" t="str">
        <f t="array" ref="A40:A41">{"FormulaRow19";(INDEX(CLASSLIST,A3,1))}</f>
        <v>FormulaRow19</v>
      </c>
      <c r="B40" s="76" t="str">
        <f t="array" ref="B40:B41">{"CLASSTYPE";((INDEX(ALLCLASSDATA,MATCH("ClassType",CLASSFEATUREHEADERS,0),MATCH($A41,CLASSNAMEHEADERS,0))))}</f>
        <v>CLASSTYPE</v>
      </c>
      <c r="C40" s="76" t="str">
        <f t="array" ref="C40:C41">{"CLASSABILITYPTS";"ClassAbilityPts"}</f>
        <v>CLASSABILITYPTS</v>
      </c>
      <c r="D40" s="76" t="str">
        <f t="array" ref="D40:D41">{"SUBCLASSABILITY2";"SubclassAbility2"}</f>
        <v>SUBCLASSABILITY2</v>
      </c>
      <c r="E40" s="76"/>
      <c r="F40" s="76"/>
      <c r="G40" s="76"/>
      <c r="H40" s="76"/>
      <c r="I40" s="76" t="str">
        <f t="array" ref="I40:I41">{"SUBCLASSABILITY2-L03PTS";((INDEX(ALLCLASSDATA,MATCH("SubclassAbility2-L03",CLASSFEATUREHEADERS,0),MATCH(($A41 &amp; "Points"),CLASSNAMEHEADERS,0))))}</f>
        <v>SUBCLASSABILITY2-L03PTS</v>
      </c>
      <c r="J40" s="76"/>
      <c r="K40" s="76" t="str">
        <f t="array" ref="K40:K41">{"SUBCLASSABILITY2-L05PTS";((INDEX(ALLCLASSDATA,MATCH("SubclassAbility2-L05",CLASSFEATUREHEADERS,0),MATCH(($A41 &amp; "Points"),CLASSNAMEHEADERS,0))))}</f>
        <v>SUBCLASSABILITY2-L05PTS</v>
      </c>
      <c r="L40" s="76"/>
      <c r="M40" s="76" t="str">
        <f t="array" ref="M40:M41">{"SUBCLASSABILITY2-L07PTS";((INDEX(ALLCLASSDATA,MATCH("SubclassAbility2-L07",CLASSFEATUREHEADERS,0),MATCH(($A41 &amp; "Points"),CLASSNAMEHEADERS,0))))}</f>
        <v>SUBCLASSABILITY2-L07PTS</v>
      </c>
      <c r="N40" s="76"/>
      <c r="O40" s="76" t="str">
        <f t="array" ref="O40:O41">{"SUBCLASSABILITY2-L09PTS";((INDEX(ALLCLASSDATA,MATCH("SubclassAbility2-L09",CLASSFEATUREHEADERS,0),MATCH(($A41 &amp; "Points"),CLASSNAMEHEADERS,0))))}</f>
        <v>SUBCLASSABILITY2-L09PTS</v>
      </c>
      <c r="P40" s="76"/>
      <c r="Q40" s="76" t="str">
        <f t="array" ref="Q40:Q41">{"SUBCLASSABILITY2-L11PTS";((INDEX(ALLCLASSDATA,MATCH("SubclassAbility2-L11",CLASSFEATUREHEADERS,0),MATCH(($A41 &amp; "Points"),CLASSNAMEHEADERS,0))))}</f>
        <v>SUBCLASSABILITY2-L11PTS</v>
      </c>
      <c r="R40" s="76"/>
      <c r="S40" s="76" t="str">
        <f t="array" ref="S40:S41">{"SUBCLASSABILITY2-L13PTS";((INDEX(ALLCLASSDATA,MATCH("SubclassAbility2-L13",CLASSFEATUREHEADERS,0),MATCH(($A41 &amp; "Points"),CLASSNAMEHEADERS,0))))}</f>
        <v>SUBCLASSABILITY2-L13PTS</v>
      </c>
      <c r="T40" s="76"/>
      <c r="U40" s="76" t="str">
        <f t="array" ref="U40:U41">{"SUBCLASSABILITY2-L15PTS";((INDEX(ALLCLASSDATA,MATCH("SubclassAbility2-L15",CLASSFEATUREHEADERS,0),MATCH(($A41 &amp; "Points"),CLASSNAMEHEADERS,0))))}</f>
        <v>SUBCLASSABILITY2-L15PTS</v>
      </c>
      <c r="V40" s="76"/>
      <c r="W40" s="76" t="str">
        <f t="array" ref="W40:W41">{"SUBCLASSABILITY2-L17PTS";((INDEX(ALLCLASSDATA,MATCH("SubclassAbility2-L17",CLASSFEATUREHEADERS,0),MATCH(($A41 &amp; "Points"),CLASSNAMEHEADERS,0))))}</f>
        <v>SUBCLASSABILITY2-L17PTS</v>
      </c>
      <c r="X40" s="76"/>
      <c r="Y40" s="76" t="str">
        <f t="array" ref="Y40:Y41">{"SUBCLASSABILITY2-L19PTS";((INDEX(ALLCLASSDATA,MATCH("SubclassAbility2-L19",CLASSFEATUREHEADERS,0),MATCH(($A41 &amp; "Points"),CLASSNAMEHEADERS,0))))}</f>
        <v>SUBCLASSABILITY2-L19PTS</v>
      </c>
      <c r="Z40" s="76"/>
      <c r="AA40" s="76"/>
      <c r="AB40" s="76" t="str">
        <f t="array" ref="AB40:AB41">{"SUBCLASSABILITY2 TOTAL";(sum(F41:Z41))}</f>
        <v>SUBCLASSABILITY2 TOTAL</v>
      </c>
    </row>
    <row r="41">
      <c r="A41" s="48" t="s">
        <v>211</v>
      </c>
      <c r="B41" s="48" t="s">
        <v>417</v>
      </c>
      <c r="C41" s="97" t="s">
        <v>930</v>
      </c>
      <c r="D41" s="215" t="s">
        <v>1370</v>
      </c>
      <c r="E41" s="98"/>
      <c r="F41" s="132"/>
      <c r="G41" s="98"/>
      <c r="H41" s="98"/>
      <c r="I41" s="98"/>
      <c r="J41" s="98"/>
      <c r="K41" s="98"/>
      <c r="L41" s="98"/>
      <c r="M41" s="98"/>
      <c r="N41" s="98"/>
      <c r="O41" s="98"/>
      <c r="P41" s="98"/>
      <c r="Q41" s="98"/>
      <c r="R41" s="98"/>
      <c r="S41" s="98"/>
      <c r="T41" s="98"/>
      <c r="U41" s="98"/>
      <c r="V41" s="98"/>
      <c r="W41" s="98"/>
      <c r="X41" s="98"/>
      <c r="Y41" s="98"/>
      <c r="Z41" s="98"/>
      <c r="AA41" s="5"/>
      <c r="AB41" s="47">
        <v>0.0</v>
      </c>
    </row>
    <row r="42" hidden="1">
      <c r="A42" s="76" t="str">
        <f t="array" ref="A42:A43">{"FormulaRow20";(INDEX(CLASSLIST,A3,1))}</f>
        <v>FormulaRow20</v>
      </c>
      <c r="B42" s="76" t="str">
        <f t="array" ref="B42:B43">{"CLASSTYPE";((INDEX(ALLCLASSDATA,MATCH("ClassType",CLASSFEATUREHEADERS,0),MATCH($A43,CLASSNAMEHEADERS,0))))}</f>
        <v>CLASSTYPE</v>
      </c>
      <c r="C42" s="81" t="str">
        <f t="array" ref="C42:C43">{"DC";"DC"}</f>
        <v>DC</v>
      </c>
      <c r="D42" s="81" t="str">
        <f t="array" ref="D42:D43">{"CLASSDC";"ClassDC"}</f>
        <v>CLASSDC</v>
      </c>
      <c r="E42" s="81" t="str">
        <f t="array" ref="E42:E43">{"CLASSDCINITIAL";((IF(G43=10,"T",(IF(G43=50,"E","")))))}</f>
        <v>CLASSDCINITIAL</v>
      </c>
      <c r="F42" s="81" t="str">
        <f t="array" ref="F42:F43">{"CLASSDCINITIALPTS";((IF("00"=(INDEX(ALLCLASSDATA,MATCH("ClassDCLegendary",CLASSFEATUREHEADERS,0),MATCH($A43,CLASSNAMEHEADERS,0))),(INDEX(ALLCLASSDATA,MATCH("ClassDCLegendary",CLASSFEATUREHEADERS,0),MATCH(($A43 &amp; "Points"),CLASSNAMEHEADERS,0))),(IF("00"=(INDEX(ALLCLASSDATA,MATCH("ClassDCMaster",CLASSFEATUREHEADERS,0),MATCH($A43,CLASSNAMEHEADERS,0))),(INDEX(ALLCLASSDATA,MATCH("ClassDCMaster",CLASSFEATUREHEADERS,0),MATCH(($A43 &amp; "Points"),CLASSNAMEHEADERS,0))),(IF("00"=(INDEX(ALLCLASSDATA,MATCH("ClassDCExpert",CLASSFEATUREHEADERS,0),MATCH($A43,CLASSNAMEHEADERS,0))),(INDEX(ALLCLASSDATA,MATCH("ClassDCExpert",CLASSFEATUREHEADERS,0),MATCH(($A43 &amp; "Points"),CLASSNAMEHEADERS,0))),(IF("00"=(INDEX(ALLCLASSDATA,MATCH("ClassDCTrained",CLASSFEATUREHEADERS,0),MATCH($A43,CLASSNAMEHEADERS,0))),(INDEX(ALLCLASSDATA,MATCH("ClassDCTrained",CLASSFEATUREHEADERS,0),MATCH(($A43 &amp; "Points"),CLASSNAMEHEADERS,0))),"")))))))))}</f>
        <v>CLASSDCINITIALPTS</v>
      </c>
      <c r="G42" s="81" t="str">
        <f t="array" ref="G42:G43">{"CLASSDCL01";((IF("01"=(INDEX(ALLCLASSDATA,MATCH("ClassDCLegendary",CLASSFEATUREHEADERS,0),MATCH($A43,CLASSNAMEHEADERS,0))),(INDEX(ALLCLASSDATA,MATCH("ClassDCLegendary",CLASSFEATUREHEADERS,0),MATCH(($A43 &amp; "Points"),CLASSNAMEHEADERS,0))),(IF("01"=(INDEX(ALLCLASSDATA,MATCH("ClassDCMaster",CLASSFEATUREHEADERS,0),MATCH($A43,CLASSNAMEHEADERS,0))),(INDEX(ALLCLASSDATA,MATCH("ClassDCMaster",CLASSFEATUREHEADERS,0),MATCH(($A43 &amp; "Points"),CLASSNAMEHEADERS,0))),(IF("01"=(INDEX(ALLCLASSDATA,MATCH("ClassDCExpert",CLASSFEATUREHEADERS,0),MATCH($A43,CLASSNAMEHEADERS,0))),(INDEX(ALLCLASSDATA,MATCH("ClassDCExpert",CLASSFEATUREHEADERS,0),MATCH(($A43 &amp; "Points"),CLASSNAMEHEADERS,0))),(IF("01"=(INDEX(ALLCLASSDATA,MATCH("ClassDCTrained",CLASSFEATUREHEADERS,0),MATCH($A43,CLASSNAMEHEADERS,0))),(INDEX(ALLCLASSDATA,MATCH("ClassDCTrained",CLASSFEATUREHEADERS,0),MATCH(($A43 &amp; "Points"),CLASSNAMEHEADERS,0))),"")))))))))}</f>
        <v>CLASSDCL01</v>
      </c>
      <c r="H42" s="81"/>
      <c r="I42" s="81" t="str">
        <f t="array" ref="I42:I43">{"CLASSDCL03";((IF("03"=(INDEX(ALLCLASSDATA,MATCH("ClassDCLegendary",CLASSFEATUREHEADERS,0),MATCH($A43,CLASSNAMEHEADERS,0))),(INDEX(ALLCLASSDATA,MATCH("ClassDCLegendary",CLASSFEATUREHEADERS,0),MATCH(($A43 &amp; "Points"),CLASSNAMEHEADERS,0))),(IF("03"=(INDEX(ALLCLASSDATA,MATCH("ClassDCMaster",CLASSFEATUREHEADERS,0),MATCH($A43,CLASSNAMEHEADERS,0))),(INDEX(ALLCLASSDATA,MATCH("ClassDCMaster",CLASSFEATUREHEADERS,0),MATCH(($A43 &amp; "Points"),CLASSNAMEHEADERS,0))),(IF("03"=(INDEX(ALLCLASSDATA,MATCH("ClassDCExpert",CLASSFEATUREHEADERS,0),MATCH($A43,CLASSNAMEHEADERS,0))),(INDEX(ALLCLASSDATA,MATCH("ClassDCExpert",CLASSFEATUREHEADERS,0),MATCH(($A43 &amp; "Points"),CLASSNAMEHEADERS,0))),(IF("03"=(INDEX(ALLCLASSDATA,MATCH("ClassDCTrained",CLASSFEATUREHEADERS,0),MATCH($A43,CLASSNAMEHEADERS,0))),(INDEX(ALLCLASSDATA,MATCH("ClassDCTrained",CLASSFEATUREHEADERS,0),MATCH(($A43 &amp; "Points"),CLASSNAMEHEADERS,0))),"")))))))))}</f>
        <v>CLASSDCL03</v>
      </c>
      <c r="J42" s="81"/>
      <c r="K42" s="81" t="str">
        <f t="array" ref="K42:K43">{"CLASSDCL05";((IF("05"=(INDEX(ALLCLASSDATA,MATCH("ClassDCLegendary",CLASSFEATUREHEADERS,0),MATCH($A43,CLASSNAMEHEADERS,0))),(INDEX(ALLCLASSDATA,MATCH("ClassDCLegendary",CLASSFEATUREHEADERS,0),MATCH(($A43 &amp; "Points"),CLASSNAMEHEADERS,0))),(IF("05"=(INDEX(ALLCLASSDATA,MATCH("ClassDCMaster",CLASSFEATUREHEADERS,0),MATCH($A43,CLASSNAMEHEADERS,0))),(INDEX(ALLCLASSDATA,MATCH("ClassDCMaster",CLASSFEATUREHEADERS,0),MATCH(($A43 &amp; "Points"),CLASSNAMEHEADERS,0))),(IF("05"=(INDEX(ALLCLASSDATA,MATCH("ClassDCExpert",CLASSFEATUREHEADERS,0),MATCH($A43,CLASSNAMEHEADERS,0))),(INDEX(ALLCLASSDATA,MATCH("ClassDCExpert",CLASSFEATUREHEADERS,0),MATCH(($A43 &amp; "Points"),CLASSNAMEHEADERS,0))),(IF("05"=(INDEX(ALLCLASSDATA,MATCH("ClassDCTrained",CLASSFEATUREHEADERS,0),MATCH($A43,CLASSNAMEHEADERS,0))),(INDEX(ALLCLASSDATA,MATCH("ClassDCTrained",CLASSFEATUREHEADERS,0),MATCH(($A43 &amp; "Points"),CLASSNAMEHEADERS,0))),"")))))))))}</f>
        <v>CLASSDCL05</v>
      </c>
      <c r="L42" s="81"/>
      <c r="M42" s="81" t="str">
        <f t="array" ref="M42:M43">{"CLASSDCL07";((IF("07"=(INDEX(ALLCLASSDATA,MATCH("ClassDCLegendary",CLASSFEATUREHEADERS,0),MATCH($A43,CLASSNAMEHEADERS,0))),(INDEX(ALLCLASSDATA,MATCH("ClassDCLegendary",CLASSFEATUREHEADERS,0),MATCH(($A43 &amp; "Points"),CLASSNAMEHEADERS,0))),(IF("07"=(INDEX(ALLCLASSDATA,MATCH("ClassDCMaster",CLASSFEATUREHEADERS,0),MATCH($A43,CLASSNAMEHEADERS,0))),(INDEX(ALLCLASSDATA,MATCH("ClassDCMaster",CLASSFEATUREHEADERS,0),MATCH(($A43 &amp; "Points"),CLASSNAMEHEADERS,0))),(IF("07"=(INDEX(ALLCLASSDATA,MATCH("ClassDCExpert",CLASSFEATUREHEADERS,0),MATCH($A43,CLASSNAMEHEADERS,0))),(INDEX(ALLCLASSDATA,MATCH("ClassDCExpert",CLASSFEATUREHEADERS,0),MATCH(($A43 &amp; "Points"),CLASSNAMEHEADERS,0))),(IF("07"=(INDEX(ALLCLASSDATA,MATCH("ClassDCTrained",CLASSFEATUREHEADERS,0),MATCH($A43,CLASSNAMEHEADERS,0))),(INDEX(ALLCLASSDATA,MATCH("ClassDCTrained",CLASSFEATUREHEADERS,0),MATCH(($A43 &amp; "Points"),CLASSNAMEHEADERS,0))),"")))))))))}</f>
        <v>CLASSDCL07</v>
      </c>
      <c r="N42" s="81"/>
      <c r="O42" s="81" t="str">
        <f t="array" ref="O42:O43">{"CLASSDCL09";((IF("09"=(INDEX(ALLCLASSDATA,MATCH("ClassDCLegendary",CLASSFEATUREHEADERS,0),MATCH($A43,CLASSNAMEHEADERS,0))),(INDEX(ALLCLASSDATA,MATCH("ClassDCLegendary",CLASSFEATUREHEADERS,0),MATCH(($A43 &amp; "Points"),CLASSNAMEHEADERS,0))),(IF("09"=(INDEX(ALLCLASSDATA,MATCH("ClassDCMaster",CLASSFEATUREHEADERS,0),MATCH($A43,CLASSNAMEHEADERS,0))),(INDEX(ALLCLASSDATA,MATCH("ClassDCMaster",CLASSFEATUREHEADERS,0),MATCH(($A43 &amp; "Points"),CLASSNAMEHEADERS,0))),(IF("09"=(INDEX(ALLCLASSDATA,MATCH("ClassDCExpert",CLASSFEATUREHEADERS,0),MATCH($A43,CLASSNAMEHEADERS,0))),(INDEX(ALLCLASSDATA,MATCH("ClassDCExpert",CLASSFEATUREHEADERS,0),MATCH(($A43 &amp; "Points"),CLASSNAMEHEADERS,0))),(IF("09"=(INDEX(ALLCLASSDATA,MATCH("ClassDCTrained",CLASSFEATUREHEADERS,0),MATCH($A43,CLASSNAMEHEADERS,0))),(INDEX(ALLCLASSDATA,MATCH("ClassDCTrained",CLASSFEATUREHEADERS,0),MATCH(($A43 &amp; "Points"),CLASSNAMEHEADERS,0))),"")))))))))}</f>
        <v>CLASSDCL09</v>
      </c>
      <c r="P42" s="81"/>
      <c r="Q42" s="81" t="str">
        <f t="array" ref="Q42:Q43">{"CLASSDCL11";((IF("11"=(INDEX(ALLCLASSDATA,MATCH("ClassDCLegendary",CLASSFEATUREHEADERS,0),MATCH($A43,CLASSNAMEHEADERS,0))),(INDEX(ALLCLASSDATA,MATCH("ClassDCLegendary",CLASSFEATUREHEADERS,0),MATCH(($A43 &amp; "Points"),CLASSNAMEHEADERS,0))),(IF("11"=(INDEX(ALLCLASSDATA,MATCH("ClassDCMaster",CLASSFEATUREHEADERS,0),MATCH($A43,CLASSNAMEHEADERS,0))),(INDEX(ALLCLASSDATA,MATCH("ClassDCMaster",CLASSFEATUREHEADERS,0),MATCH(($A43 &amp; "Points"),CLASSNAMEHEADERS,0))),(IF("11"=(INDEX(ALLCLASSDATA,MATCH("ClassDCExpert",CLASSFEATUREHEADERS,0),MATCH($A43,CLASSNAMEHEADERS,0))),(INDEX(ALLCLASSDATA,MATCH("ClassDCExpert",CLASSFEATUREHEADERS,0),MATCH(($A43 &amp; "Points"),CLASSNAMEHEADERS,0))),(IF("11"=(INDEX(ALLCLASSDATA,MATCH("ClassDCTrained",CLASSFEATUREHEADERS,0),MATCH($A43,CLASSNAMEHEADERS,0))),(INDEX(ALLCLASSDATA,MATCH("ClassDCTrained",CLASSFEATUREHEADERS,0),MATCH(($A43 &amp; "Points"),CLASSNAMEHEADERS,0))),"")))))))))}</f>
        <v>CLASSDCL11</v>
      </c>
      <c r="R42" s="81"/>
      <c r="S42" s="81" t="str">
        <f t="array" ref="S42:S43">{"CLASSDCL13";((IF("13"=(INDEX(ALLCLASSDATA,MATCH("ClassDCLegendary",CLASSFEATUREHEADERS,0),MATCH($A43,CLASSNAMEHEADERS,0))),(INDEX(ALLCLASSDATA,MATCH("ClassDCLegendary",CLASSFEATUREHEADERS,0),MATCH(($A43 &amp; "Points"),CLASSNAMEHEADERS,0))),(IF("13"=(INDEX(ALLCLASSDATA,MATCH("ClassDCMaster",CLASSFEATUREHEADERS,0),MATCH($A43,CLASSNAMEHEADERS,0))),(INDEX(ALLCLASSDATA,MATCH("ClassDCMaster",CLASSFEATUREHEADERS,0),MATCH(($A43 &amp; "Points"),CLASSNAMEHEADERS,0))),(IF("13"=(INDEX(ALLCLASSDATA,MATCH("ClassDCExpert",CLASSFEATUREHEADERS,0),MATCH($A43,CLASSNAMEHEADERS,0))),(INDEX(ALLCLASSDATA,MATCH("ClassDCExpert",CLASSFEATUREHEADERS,0),MATCH(($A43 &amp; "Points"),CLASSNAMEHEADERS,0))),(IF("13"=(INDEX(ALLCLASSDATA,MATCH("ClassDCTrained",CLASSFEATUREHEADERS,0),MATCH($A43,CLASSNAMEHEADERS,0))),(INDEX(ALLCLASSDATA,MATCH("ClassDCTrained",CLASSFEATUREHEADERS,0),MATCH(($A43 &amp; "Points"),CLASSNAMEHEADERS,0))),"")))))))))}</f>
        <v>CLASSDCL13</v>
      </c>
      <c r="T42" s="81"/>
      <c r="U42" s="81" t="str">
        <f t="array" ref="U42:U43">{"CLASSDCL15";((IF("15"=(INDEX(ALLCLASSDATA,MATCH("ClassDCLegendary",CLASSFEATUREHEADERS,0),MATCH($A43,CLASSNAMEHEADERS,0))),(INDEX(ALLCLASSDATA,MATCH("ClassDCLegendary",CLASSFEATUREHEADERS,0),MATCH(($A43 &amp; "Points"),CLASSNAMEHEADERS,0))),(IF("15"=(INDEX(ALLCLASSDATA,MATCH("ClassDCMaster",CLASSFEATUREHEADERS,0),MATCH($A43,CLASSNAMEHEADERS,0))),(INDEX(ALLCLASSDATA,MATCH("ClassDCMaster",CLASSFEATUREHEADERS,0),MATCH(($A43 &amp; "Points"),CLASSNAMEHEADERS,0))),(IF("15"=(INDEX(ALLCLASSDATA,MATCH("ClassDCExpert",CLASSFEATUREHEADERS,0),MATCH($A43,CLASSNAMEHEADERS,0))),(INDEX(ALLCLASSDATA,MATCH("ClassDCExpert",CLASSFEATUREHEADERS,0),MATCH(($A43 &amp; "Points"),CLASSNAMEHEADERS,0))),(IF("15"=(INDEX(ALLCLASSDATA,MATCH("ClassDCTrained",CLASSFEATUREHEADERS,0),MATCH($A43,CLASSNAMEHEADERS,0))),(INDEX(ALLCLASSDATA,MATCH("ClassDCTrained",CLASSFEATUREHEADERS,0),MATCH(($A43 &amp; "Points"),CLASSNAMEHEADERS,0))),"")))))))))}</f>
        <v>CLASSDCL15</v>
      </c>
      <c r="V42" s="81"/>
      <c r="W42" s="81" t="str">
        <f t="array" ref="W42:W43">{"CLASSDCL17";((IF("17"=(INDEX(ALLCLASSDATA,MATCH("ClassDCLegendary",CLASSFEATUREHEADERS,0),MATCH($A43,CLASSNAMEHEADERS,0))),(INDEX(ALLCLASSDATA,MATCH("ClassDCLegendary",CLASSFEATUREHEADERS,0),MATCH(($A43 &amp; "Points"),CLASSNAMEHEADERS,0))),(IF("17"=(INDEX(ALLCLASSDATA,MATCH("ClassDCMaster",CLASSFEATUREHEADERS,0),MATCH($A43,CLASSNAMEHEADERS,0))),(INDEX(ALLCLASSDATA,MATCH("ClassDCMaster",CLASSFEATUREHEADERS,0),MATCH(($A43 &amp; "Points"),CLASSNAMEHEADERS,0))),(IF("17"=(INDEX(ALLCLASSDATA,MATCH("ClassDCExpert",CLASSFEATUREHEADERS,0),MATCH($A43,CLASSNAMEHEADERS,0))),(INDEX(ALLCLASSDATA,MATCH("ClassDCExpert",CLASSFEATUREHEADERS,0),MATCH(($A43 &amp; "Points"),CLASSNAMEHEADERS,0))),(IF("17"=(INDEX(ALLCLASSDATA,MATCH("ClassDCTrained",CLASSFEATUREHEADERS,0),MATCH($A43,CLASSNAMEHEADERS,0))),(INDEX(ALLCLASSDATA,MATCH("ClassDCTrained",CLASSFEATUREHEADERS,0),MATCH(($A43 &amp; "Points"),CLASSNAMEHEADERS,0))),"")))))))))}</f>
        <v>CLASSDCL17</v>
      </c>
      <c r="X42" s="81"/>
      <c r="Y42" s="81" t="str">
        <f t="array" ref="Y42:Y43">{"CLASSDCL19";((IF("19"=(INDEX(ALLCLASSDATA,MATCH("ClassDCLegendary",CLASSFEATUREHEADERS,0),MATCH($A43,CLASSNAMEHEADERS,0))),(INDEX(ALLCLASSDATA,MATCH("ClassDCLegendary",CLASSFEATUREHEADERS,0),MATCH(($A43 &amp; "Points"),CLASSNAMEHEADERS,0))),(IF("19"=(INDEX(ALLCLASSDATA,MATCH("ClassDCMaster",CLASSFEATUREHEADERS,0),MATCH($A43,CLASSNAMEHEADERS,0))),(INDEX(ALLCLASSDATA,MATCH("ClassDCMaster",CLASSFEATUREHEADERS,0),MATCH(($A43 &amp; "Points"),CLASSNAMEHEADERS,0))),(IF("19"=(INDEX(ALLCLASSDATA,MATCH("ClassDCExpert",CLASSFEATUREHEADERS,0),MATCH($A43,CLASSNAMEHEADERS,0))),(INDEX(ALLCLASSDATA,MATCH("ClassDCExpert",CLASSFEATUREHEADERS,0),MATCH(($A43 &amp; "Points"),CLASSNAMEHEADERS,0))),(IF("19"=(INDEX(ALLCLASSDATA,MATCH("ClassDCTrained",CLASSFEATUREHEADERS,0),MATCH($A43,CLASSNAMEHEADERS,0))),(INDEX(ALLCLASSDATA,MATCH("ClassDCTrained",CLASSFEATUREHEADERS,0),MATCH(($A43 &amp; "Points"),CLASSNAMEHEADERS,0))),"")))))))))}</f>
        <v>CLASSDCL19</v>
      </c>
      <c r="Z42" s="81"/>
      <c r="AA42" s="76" t="str">
        <f t="array" ref="AA42:AA43">{"CLASSDC TOTAL";(IF(COUNTBLANK(F43:Z43)=17,"L",(IF(COUNTBLANK(F43:Z43)=18,"M",(IF(COUNTBLANK(F43:Z43)=19,"E",(IF(COUNTBLANK(F43:Z43)=20,"T",""))))))))}</f>
        <v>CLASSDC TOTAL</v>
      </c>
      <c r="AB42" s="76" t="str">
        <f t="array" ref="AB42:AB43">{"CLASSDC TOTAL";(sum(F43:Z43))}</f>
        <v>CLASSDC TOTAL</v>
      </c>
    </row>
    <row r="43">
      <c r="A43" s="48" t="s">
        <v>211</v>
      </c>
      <c r="B43" s="48" t="s">
        <v>417</v>
      </c>
      <c r="C43" s="48" t="s">
        <v>1465</v>
      </c>
      <c r="D43" s="48" t="s">
        <v>1466</v>
      </c>
      <c r="E43" s="5" t="s">
        <v>603</v>
      </c>
      <c r="F43" s="47" t="s">
        <v>603</v>
      </c>
      <c r="G43" s="5" t="s">
        <v>603</v>
      </c>
      <c r="H43" s="5"/>
      <c r="I43" s="5" t="s">
        <v>603</v>
      </c>
      <c r="J43" s="5"/>
      <c r="K43" s="5" t="s">
        <v>603</v>
      </c>
      <c r="L43" s="5"/>
      <c r="M43" s="5" t="s">
        <v>603</v>
      </c>
      <c r="N43" s="5"/>
      <c r="O43" s="5" t="s">
        <v>603</v>
      </c>
      <c r="P43" s="5"/>
      <c r="Q43" s="5" t="s">
        <v>603</v>
      </c>
      <c r="R43" s="5"/>
      <c r="S43" s="5" t="s">
        <v>603</v>
      </c>
      <c r="T43" s="5"/>
      <c r="U43" s="5" t="s">
        <v>603</v>
      </c>
      <c r="V43" s="5"/>
      <c r="W43" s="5" t="s">
        <v>603</v>
      </c>
      <c r="X43" s="5"/>
      <c r="Y43" s="5" t="s">
        <v>603</v>
      </c>
      <c r="Z43" s="5"/>
      <c r="AA43" s="5" t="s">
        <v>603</v>
      </c>
      <c r="AB43" s="47">
        <v>0.0</v>
      </c>
    </row>
    <row r="44" hidden="1">
      <c r="A44" s="222" t="str">
        <f t="array" ref="A44:A45">{"FormulaRow21";(INDEX(CLASSLIST,A3,1))}</f>
        <v>FormulaRow21</v>
      </c>
      <c r="B44" s="222" t="str">
        <f t="array" ref="B44:B45">{"CLASSTYPE";((INDEX(ALLCLASSDATA,MATCH("ClassType",CLASSFEATUREHEADERS,0),MATCH($A45,CLASSNAMEHEADERS,0))))}</f>
        <v>CLASSTYPE</v>
      </c>
      <c r="C44" s="222" t="str">
        <f t="array" ref="C44:C45">{"DC";"DC"}</f>
        <v>DC</v>
      </c>
      <c r="D44" s="222" t="str">
        <f t="array" ref="D44:D45">{"SPELLDC";"SpellDC"}</f>
        <v>SPELLDC</v>
      </c>
      <c r="E44" s="223" t="str">
        <f t="array" ref="E44:E45">{"SPELLDCINITIAL";((IF(G45=10,"T",(IF(G45=50,"E","")))))}</f>
        <v>SPELLDCINITIAL</v>
      </c>
      <c r="F44" s="223" t="str">
        <f t="array" ref="F44:F45">{"SPELLDCINITIALPTS";((IF("00"=(INDEX(ALLCLASSDATA,MATCH("SpellDCLegendary",CLASSFEATUREHEADERS,0),MATCH($A45,CLASSNAMEHEADERS,0))),(INDEX(ALLCLASSDATA,MATCH("SpellDCLegendary",CLASSFEATUREHEADERS,0),MATCH(($A45 &amp; "Points"),CLASSNAMEHEADERS,0))),(IF("00"=(INDEX(ALLCLASSDATA,MATCH("SpellDCMaster",CLASSFEATUREHEADERS,0),MATCH($A45,CLASSNAMEHEADERS,0))),(INDEX(ALLCLASSDATA,MATCH("SpellDCMaster",CLASSFEATUREHEADERS,0),MATCH(($A45 &amp; "Points"),CLASSNAMEHEADERS,0))),(IF("00"=(INDEX(ALLCLASSDATA,MATCH("SpellDCExpert",CLASSFEATUREHEADERS,0),MATCH($A45,CLASSNAMEHEADERS,0))),(INDEX(ALLCLASSDATA,MATCH("SpellDCExpert",CLASSFEATUREHEADERS,0),MATCH(($A45 &amp; "Points"),CLASSNAMEHEADERS,0))),(IF("00"=(INDEX(ALLCLASSDATA,MATCH("SpellDCTrained",CLASSFEATUREHEADERS,0),MATCH($A45,CLASSNAMEHEADERS,0))),(INDEX(ALLCLASSDATA,MATCH("SpellDCTrained",CLASSFEATUREHEADERS,0),MATCH(($A45 &amp; "Points"),CLASSNAMEHEADERS,0))),"")))))))))}</f>
        <v>SPELLDCINITIALPTS</v>
      </c>
      <c r="G44" s="223" t="str">
        <f t="array" ref="G44:G45">{"SPELLDCL01";((IF("01"=(INDEX(ALLCLASSDATA,MATCH("SpellDCLegendary",CLASSFEATUREHEADERS,0),MATCH($A45,CLASSNAMEHEADERS,0))),(INDEX(ALLCLASSDATA,MATCH("SpellDCLegendary",CLASSFEATUREHEADERS,0),MATCH(($A45 &amp; "Points"),CLASSNAMEHEADERS,0))),(IF("01"=(INDEX(ALLCLASSDATA,MATCH("SpellDCMaster",CLASSFEATUREHEADERS,0),MATCH($A45,CLASSNAMEHEADERS,0))),(INDEX(ALLCLASSDATA,MATCH("SpellDCMaster",CLASSFEATUREHEADERS,0),MATCH(($A45 &amp; "Points"),CLASSNAMEHEADERS,0))),(IF("01"=(INDEX(ALLCLASSDATA,MATCH("SpellDCExpert",CLASSFEATUREHEADERS,0),MATCH($A45,CLASSNAMEHEADERS,0))),(INDEX(ALLCLASSDATA,MATCH("SpellDCExpert",CLASSFEATUREHEADERS,0),MATCH(($A45 &amp; "Points"),CLASSNAMEHEADERS,0))),(IF("01"=(INDEX(ALLCLASSDATA,MATCH("SpellDCTrained",CLASSFEATUREHEADERS,0),MATCH($A45,CLASSNAMEHEADERS,0))),(INDEX(ALLCLASSDATA,MATCH("SpellDCTrained",CLASSFEATUREHEADERS,0),MATCH(($A45 &amp; "Points"),CLASSNAMEHEADERS,0))),"")))))))))}</f>
        <v>SPELLDCL01</v>
      </c>
      <c r="H44" s="223"/>
      <c r="I44" s="223" t="str">
        <f t="array" ref="I44:I45">{"SPELLDCL03";((IF("03"=(INDEX(ALLCLASSDATA,MATCH("SpellDCLegendary",CLASSFEATUREHEADERS,0),MATCH($A45,CLASSNAMEHEADERS,0))),(INDEX(ALLCLASSDATA,MATCH("SpellDCLegendary",CLASSFEATUREHEADERS,0),MATCH(($A45 &amp; "Points"),CLASSNAMEHEADERS,0))),(IF("03"=(INDEX(ALLCLASSDATA,MATCH("SpellDCMaster",CLASSFEATUREHEADERS,0),MATCH($A45,CLASSNAMEHEADERS,0))),(INDEX(ALLCLASSDATA,MATCH("SpellDCMaster",CLASSFEATUREHEADERS,0),MATCH(($A45 &amp; "Points"),CLASSNAMEHEADERS,0))),(IF("03"=(INDEX(ALLCLASSDATA,MATCH("SpellDCExpert",CLASSFEATUREHEADERS,0),MATCH($A45,CLASSNAMEHEADERS,0))),(INDEX(ALLCLASSDATA,MATCH("SpellDCExpert",CLASSFEATUREHEADERS,0),MATCH(($A45 &amp; "Points"),CLASSNAMEHEADERS,0))),(IF("03"=(INDEX(ALLCLASSDATA,MATCH("SpellDCTrained",CLASSFEATUREHEADERS,0),MATCH($A45,CLASSNAMEHEADERS,0))),(INDEX(ALLCLASSDATA,MATCH("SpellDCTrained",CLASSFEATUREHEADERS,0),MATCH(($A45 &amp; "Points"),CLASSNAMEHEADERS,0))),"")))))))))}</f>
        <v>SPELLDCL03</v>
      </c>
      <c r="J44" s="223"/>
      <c r="K44" s="223" t="str">
        <f t="array" ref="K44:K45">{"SPELLDCL05";((IF("05"=(INDEX(ALLCLASSDATA,MATCH("SpellDCLegendary",CLASSFEATUREHEADERS,0),MATCH($A45,CLASSNAMEHEADERS,0))),(INDEX(ALLCLASSDATA,MATCH("SpellDCLegendary",CLASSFEATUREHEADERS,0),MATCH(($A45 &amp; "Points"),CLASSNAMEHEADERS,0))),(IF("05"=(INDEX(ALLCLASSDATA,MATCH("SpellDCMaster",CLASSFEATUREHEADERS,0),MATCH($A45,CLASSNAMEHEADERS,0))),(INDEX(ALLCLASSDATA,MATCH("SpellDCMaster",CLASSFEATUREHEADERS,0),MATCH(($A45 &amp; "Points"),CLASSNAMEHEADERS,0))),(IF("05"=(INDEX(ALLCLASSDATA,MATCH("SpellDCExpert",CLASSFEATUREHEADERS,0),MATCH($A45,CLASSNAMEHEADERS,0))),(INDEX(ALLCLASSDATA,MATCH("SpellDCExpert",CLASSFEATUREHEADERS,0),MATCH(($A45 &amp; "Points"),CLASSNAMEHEADERS,0))),(IF("05"=(INDEX(ALLCLASSDATA,MATCH("SpellDCTrained",CLASSFEATUREHEADERS,0),MATCH($A45,CLASSNAMEHEADERS,0))),(INDEX(ALLCLASSDATA,MATCH("SpellDCTrained",CLASSFEATUREHEADERS,0),MATCH(($A45 &amp; "Points"),CLASSNAMEHEADERS,0))),"")))))))))}</f>
        <v>SPELLDCL05</v>
      </c>
      <c r="L44" s="223"/>
      <c r="M44" s="223" t="str">
        <f t="array" ref="M44:M45">{"SPELLDCL07";((IF("07"=(INDEX(ALLCLASSDATA,MATCH("SpellDCLegendary",CLASSFEATUREHEADERS,0),MATCH($A45,CLASSNAMEHEADERS,0))),(INDEX(ALLCLASSDATA,MATCH("SpellDCLegendary",CLASSFEATUREHEADERS,0),MATCH(($A45 &amp; "Points"),CLASSNAMEHEADERS,0))),(IF("07"=(INDEX(ALLCLASSDATA,MATCH("SpellDCMaster",CLASSFEATUREHEADERS,0),MATCH($A45,CLASSNAMEHEADERS,0))),(INDEX(ALLCLASSDATA,MATCH("SpellDCMaster",CLASSFEATUREHEADERS,0),MATCH(($A45 &amp; "Points"),CLASSNAMEHEADERS,0))),(IF("07"=(INDEX(ALLCLASSDATA,MATCH("SpellDCExpert",CLASSFEATUREHEADERS,0),MATCH($A45,CLASSNAMEHEADERS,0))),(INDEX(ALLCLASSDATA,MATCH("SpellDCExpert",CLASSFEATUREHEADERS,0),MATCH(($A45 &amp; "Points"),CLASSNAMEHEADERS,0))),(IF("07"=(INDEX(ALLCLASSDATA,MATCH("SpellDCTrained",CLASSFEATUREHEADERS,0),MATCH($A45,CLASSNAMEHEADERS,0))),(INDEX(ALLCLASSDATA,MATCH("SpellDCTrained",CLASSFEATUREHEADERS,0),MATCH(($A45 &amp; "Points"),CLASSNAMEHEADERS,0))),"")))))))))}</f>
        <v>SPELLDCL07</v>
      </c>
      <c r="N44" s="223"/>
      <c r="O44" s="223" t="str">
        <f t="array" ref="O44:O45">{"SPELLDCL09";((IF("09"=(INDEX(ALLCLASSDATA,MATCH("SpellDCLegendary",CLASSFEATUREHEADERS,0),MATCH($A45,CLASSNAMEHEADERS,0))),(INDEX(ALLCLASSDATA,MATCH("SpellDCLegendary",CLASSFEATUREHEADERS,0),MATCH(($A45 &amp; "Points"),CLASSNAMEHEADERS,0))),(IF("09"=(INDEX(ALLCLASSDATA,MATCH("SpellDCMaster",CLASSFEATUREHEADERS,0),MATCH($A45,CLASSNAMEHEADERS,0))),(INDEX(ALLCLASSDATA,MATCH("SpellDCMaster",CLASSFEATUREHEADERS,0),MATCH(($A45 &amp; "Points"),CLASSNAMEHEADERS,0))),(IF("09"=(INDEX(ALLCLASSDATA,MATCH("SpellDCExpert",CLASSFEATUREHEADERS,0),MATCH($A45,CLASSNAMEHEADERS,0))),(INDEX(ALLCLASSDATA,MATCH("SpellDCExpert",CLASSFEATUREHEADERS,0),MATCH(($A45 &amp; "Points"),CLASSNAMEHEADERS,0))),(IF("09"=(INDEX(ALLCLASSDATA,MATCH("SpellDCTrained",CLASSFEATUREHEADERS,0),MATCH($A45,CLASSNAMEHEADERS,0))),(INDEX(ALLCLASSDATA,MATCH("SpellDCTrained",CLASSFEATUREHEADERS,0),MATCH(($A45 &amp; "Points"),CLASSNAMEHEADERS,0))),"")))))))))}</f>
        <v>SPELLDCL09</v>
      </c>
      <c r="P44" s="223"/>
      <c r="Q44" s="223" t="str">
        <f t="array" ref="Q44:Q45">{"SPELLDCL11";((IF("11"=(INDEX(ALLCLASSDATA,MATCH("SpellDCLegendary",CLASSFEATUREHEADERS,0),MATCH($A45,CLASSNAMEHEADERS,0))),(INDEX(ALLCLASSDATA,MATCH("SpellDCLegendary",CLASSFEATUREHEADERS,0),MATCH(($A45 &amp; "Points"),CLASSNAMEHEADERS,0))),(IF("11"=(INDEX(ALLCLASSDATA,MATCH("SpellDCMaster",CLASSFEATUREHEADERS,0),MATCH($A45,CLASSNAMEHEADERS,0))),(INDEX(ALLCLASSDATA,MATCH("SpellDCMaster",CLASSFEATUREHEADERS,0),MATCH(($A45 &amp; "Points"),CLASSNAMEHEADERS,0))),(IF("11"=(INDEX(ALLCLASSDATA,MATCH("SpellDCExpert",CLASSFEATUREHEADERS,0),MATCH($A45,CLASSNAMEHEADERS,0))),(INDEX(ALLCLASSDATA,MATCH("SpellDCExpert",CLASSFEATUREHEADERS,0),MATCH(($A45 &amp; "Points"),CLASSNAMEHEADERS,0))),(IF("11"=(INDEX(ALLCLASSDATA,MATCH("SpellDCTrained",CLASSFEATUREHEADERS,0),MATCH($A45,CLASSNAMEHEADERS,0))),(INDEX(ALLCLASSDATA,MATCH("SpellDCTrained",CLASSFEATUREHEADERS,0),MATCH(($A45 &amp; "Points"),CLASSNAMEHEADERS,0))),"")))))))))}</f>
        <v>SPELLDCL11</v>
      </c>
      <c r="R44" s="223"/>
      <c r="S44" s="223" t="str">
        <f t="array" ref="S44:S45">{"SPELLDCL13";((IF("13"=(INDEX(ALLCLASSDATA,MATCH("SpellDCLegendary",CLASSFEATUREHEADERS,0),MATCH($A45,CLASSNAMEHEADERS,0))),(INDEX(ALLCLASSDATA,MATCH("SpellDCLegendary",CLASSFEATUREHEADERS,0),MATCH(($A45 &amp; "Points"),CLASSNAMEHEADERS,0))),(IF("13"=(INDEX(ALLCLASSDATA,MATCH("SpellDCMaster",CLASSFEATUREHEADERS,0),MATCH($A45,CLASSNAMEHEADERS,0))),(INDEX(ALLCLASSDATA,MATCH("SpellDCMaster",CLASSFEATUREHEADERS,0),MATCH(($A45 &amp; "Points"),CLASSNAMEHEADERS,0))),(IF("13"=(INDEX(ALLCLASSDATA,MATCH("SpellDCExpert",CLASSFEATUREHEADERS,0),MATCH($A45,CLASSNAMEHEADERS,0))),(INDEX(ALLCLASSDATA,MATCH("SpellDCExpert",CLASSFEATUREHEADERS,0),MATCH(($A45 &amp; "Points"),CLASSNAMEHEADERS,0))),(IF("13"=(INDEX(ALLCLASSDATA,MATCH("SpellDCTrained",CLASSFEATUREHEADERS,0),MATCH($A45,CLASSNAMEHEADERS,0))),(INDEX(ALLCLASSDATA,MATCH("SpellDCTrained",CLASSFEATUREHEADERS,0),MATCH(($A45 &amp; "Points"),CLASSNAMEHEADERS,0))),"")))))))))}</f>
        <v>SPELLDCL13</v>
      </c>
      <c r="T44" s="223"/>
      <c r="U44" s="223" t="str">
        <f t="array" ref="U44:U45">{"SPELLDCL15";((IF("15"=(INDEX(ALLCLASSDATA,MATCH("SpellDCLegendary",CLASSFEATUREHEADERS,0),MATCH($A45,CLASSNAMEHEADERS,0))),(INDEX(ALLCLASSDATA,MATCH("SpellDCLegendary",CLASSFEATUREHEADERS,0),MATCH(($A45 &amp; "Points"),CLASSNAMEHEADERS,0))),(IF("15"=(INDEX(ALLCLASSDATA,MATCH("SpellDCMaster",CLASSFEATUREHEADERS,0),MATCH($A45,CLASSNAMEHEADERS,0))),(INDEX(ALLCLASSDATA,MATCH("SpellDCMaster",CLASSFEATUREHEADERS,0),MATCH(($A45 &amp; "Points"),CLASSNAMEHEADERS,0))),(IF("15"=(INDEX(ALLCLASSDATA,MATCH("SpellDCExpert",CLASSFEATUREHEADERS,0),MATCH($A45,CLASSNAMEHEADERS,0))),(INDEX(ALLCLASSDATA,MATCH("SpellDCExpert",CLASSFEATUREHEADERS,0),MATCH(($A45 &amp; "Points"),CLASSNAMEHEADERS,0))),(IF("15"=(INDEX(ALLCLASSDATA,MATCH("SpellDCTrained",CLASSFEATUREHEADERS,0),MATCH($A45,CLASSNAMEHEADERS,0))),(INDEX(ALLCLASSDATA,MATCH("SpellDCTrained",CLASSFEATUREHEADERS,0),MATCH(($A45 &amp; "Points"),CLASSNAMEHEADERS,0))),"")))))))))}</f>
        <v>SPELLDCL15</v>
      </c>
      <c r="V44" s="223"/>
      <c r="W44" s="223" t="str">
        <f t="array" ref="W44:W45">{"SPELLDCL17";((IF("17"=(INDEX(ALLCLASSDATA,MATCH("SpellDCLegendary",CLASSFEATUREHEADERS,0),MATCH($A45,CLASSNAMEHEADERS,0))),(INDEX(ALLCLASSDATA,MATCH("SpellDCLegendary",CLASSFEATUREHEADERS,0),MATCH(($A45 &amp; "Points"),CLASSNAMEHEADERS,0))),(IF("17"=(INDEX(ALLCLASSDATA,MATCH("SpellDCMaster",CLASSFEATUREHEADERS,0),MATCH($A45,CLASSNAMEHEADERS,0))),(INDEX(ALLCLASSDATA,MATCH("SpellDCMaster",CLASSFEATUREHEADERS,0),MATCH(($A45 &amp; "Points"),CLASSNAMEHEADERS,0))),(IF("17"=(INDEX(ALLCLASSDATA,MATCH("SpellDCExpert",CLASSFEATUREHEADERS,0),MATCH($A45,CLASSNAMEHEADERS,0))),(INDEX(ALLCLASSDATA,MATCH("SpellDCExpert",CLASSFEATUREHEADERS,0),MATCH(($A45 &amp; "Points"),CLASSNAMEHEADERS,0))),(IF("17"=(INDEX(ALLCLASSDATA,MATCH("SpellDCTrained",CLASSFEATUREHEADERS,0),MATCH($A45,CLASSNAMEHEADERS,0))),(INDEX(ALLCLASSDATA,MATCH("SpellDCTrained",CLASSFEATUREHEADERS,0),MATCH(($A45 &amp; "Points"),CLASSNAMEHEADERS,0))),"")))))))))}</f>
        <v>SPELLDCL17</v>
      </c>
      <c r="X44" s="223"/>
      <c r="Y44" s="223" t="str">
        <f t="array" ref="Y44:Y45">{"SPELLDCL19";((IF("19"=(INDEX(ALLCLASSDATA,MATCH("SpellDCLegendary",CLASSFEATUREHEADERS,0),MATCH($A45,CLASSNAMEHEADERS,0))),(INDEX(ALLCLASSDATA,MATCH("SpellDCLegendary",CLASSFEATUREHEADERS,0),MATCH(($A45 &amp; "Points"),CLASSNAMEHEADERS,0))),(IF("19"=(INDEX(ALLCLASSDATA,MATCH("SpellDCMaster",CLASSFEATUREHEADERS,0),MATCH($A45,CLASSNAMEHEADERS,0))),(INDEX(ALLCLASSDATA,MATCH("SpellDCMaster",CLASSFEATUREHEADERS,0),MATCH(($A45 &amp; "Points"),CLASSNAMEHEADERS,0))),(IF("19"=(INDEX(ALLCLASSDATA,MATCH("SpellDCExpert",CLASSFEATUREHEADERS,0),MATCH($A45,CLASSNAMEHEADERS,0))),(INDEX(ALLCLASSDATA,MATCH("SpellDCExpert",CLASSFEATUREHEADERS,0),MATCH(($A45 &amp; "Points"),CLASSNAMEHEADERS,0))),(IF("19"=(INDEX(ALLCLASSDATA,MATCH("SpellDCTrained",CLASSFEATUREHEADERS,0),MATCH($A45,CLASSNAMEHEADERS,0))),(INDEX(ALLCLASSDATA,MATCH("SpellDCTrained",CLASSFEATUREHEADERS,0),MATCH(($A45 &amp; "Points"),CLASSNAMEHEADERS,0))),"")))))))))}</f>
        <v>SPELLDCL19</v>
      </c>
      <c r="Z44" s="223"/>
      <c r="AA44" s="76" t="str">
        <f t="array" ref="AA44:AA45">{"SPELLDC TOTAL";(IF(COUNTBLANK(F45:Z45)=17,"L",(IF(COUNTBLANK(F45:Z45)=18,"M",(IF(COUNTBLANK(F45:Z45)=19,"E",(IF(COUNTBLANK(F45:Z45)=20,"T",""))))))))}</f>
        <v>SPELLDC TOTAL</v>
      </c>
      <c r="AB44" s="76" t="str">
        <f t="array" ref="AB44:AB45">{"SPELLDC TOTAL";(sum(F45:Z45))}</f>
        <v>SPELLDC TOTAL</v>
      </c>
    </row>
    <row r="45">
      <c r="A45" s="48" t="s">
        <v>211</v>
      </c>
      <c r="B45" s="48" t="s">
        <v>417</v>
      </c>
      <c r="C45" s="97" t="s">
        <v>1465</v>
      </c>
      <c r="D45" s="97" t="s">
        <v>1485</v>
      </c>
      <c r="E45" s="98" t="s">
        <v>435</v>
      </c>
      <c r="F45" s="132" t="s">
        <v>603</v>
      </c>
      <c r="G45" s="98">
        <v>10.0</v>
      </c>
      <c r="H45" s="98"/>
      <c r="I45" s="98" t="s">
        <v>603</v>
      </c>
      <c r="J45" s="98"/>
      <c r="K45" s="98" t="s">
        <v>603</v>
      </c>
      <c r="L45" s="98"/>
      <c r="M45" s="98" t="s">
        <v>603</v>
      </c>
      <c r="N45" s="98"/>
      <c r="O45" s="98" t="s">
        <v>603</v>
      </c>
      <c r="P45" s="98"/>
      <c r="Q45" s="98">
        <v>50.0</v>
      </c>
      <c r="R45" s="98"/>
      <c r="S45" s="98" t="s">
        <v>603</v>
      </c>
      <c r="T45" s="98"/>
      <c r="U45" s="98" t="s">
        <v>603</v>
      </c>
      <c r="V45" s="98"/>
      <c r="W45" s="98" t="s">
        <v>603</v>
      </c>
      <c r="X45" s="98"/>
      <c r="Y45" s="98">
        <v>110.0</v>
      </c>
      <c r="Z45" s="98"/>
      <c r="AA45" s="5" t="s">
        <v>437</v>
      </c>
      <c r="AB45" s="47">
        <v>170.0</v>
      </c>
    </row>
    <row r="46" hidden="1">
      <c r="A46" s="222" t="str">
        <f t="array" ref="A46:A47">{"FormulaRow22";(INDEX(CLASSLIST,A3,1))}</f>
        <v>FormulaRow22</v>
      </c>
      <c r="B46" s="222" t="str">
        <f t="array" ref="B46:B47">{"CLASSTYPE";((INDEX(ALLCLASSDATA,MATCH("ClassType",CLASSFEATUREHEADERS,0),MATCH($A47,CLASSNAMEHEADERS,0))))}</f>
        <v>CLASSTYPE</v>
      </c>
      <c r="C46" s="228" t="str">
        <f t="shared" ref="C46:D46" si="1">{"PERCEPTION";"Perception"}</f>
        <v>PERCEPTION</v>
      </c>
      <c r="D46" s="228" t="str">
        <f t="shared" si="1"/>
        <v>PERCEPTION</v>
      </c>
      <c r="E46" s="230" t="str">
        <f t="array" ref="E46:E47">{"PERCEPTIONINITIAL";((IF(G47=10,"T",(IF(G47=50,"E","")))))}</f>
        <v>PERCEPTIONINITIAL</v>
      </c>
      <c r="F46" s="230" t="str">
        <f t="array" ref="F46:F47">{"PERCEPTIONINITIALPTS";((IF("00"=(INDEX(ALLCLASSDATA,MATCH("PerceptionLegendary",CLASSFEATUREHEADERS,0),MATCH($A47,CLASSNAMEHEADERS,0))),(INDEX(ALLCLASSDATA,MATCH("PerceptionLegendary",CLASSFEATUREHEADERS,0),MATCH(($A47 &amp; "Points"),CLASSNAMEHEADERS,0))),(IF("00"=(INDEX(ALLCLASSDATA,MATCH("PerceptionMaster",CLASSFEATUREHEADERS,0),MATCH($A47,CLASSNAMEHEADERS,0))),(INDEX(ALLCLASSDATA,MATCH("PerceptionMaster",CLASSFEATUREHEADERS,0),MATCH(($A47 &amp; "Points"),CLASSNAMEHEADERS,0))),(IF("00"=(INDEX(ALLCLASSDATA,MATCH("PerceptionExpert",CLASSFEATUREHEADERS,0),MATCH($A47,CLASSNAMEHEADERS,0))),(INDEX(ALLCLASSDATA,MATCH("PerceptionExpert",CLASSFEATUREHEADERS,0),MATCH(($A47 &amp; "Points"),CLASSNAMEHEADERS,0))),(IF("00"=(INDEX(ALLCLASSDATA,MATCH("PerceptionTrained",CLASSFEATUREHEADERS,0),MATCH($A47,CLASSNAMEHEADERS,0))),(INDEX(ALLCLASSDATA,MATCH("PerceptionTrained",CLASSFEATUREHEADERS,0),MATCH(($A47 &amp; "Points"),CLASSNAMEHEADERS,0))),"")))))))))}</f>
        <v>PERCEPTIONINITIALPTS</v>
      </c>
      <c r="G46" s="230" t="str">
        <f t="array" ref="G46:G47">{"PERCEPTIONL01";((IF("01"=(INDEX(ALLCLASSDATA,MATCH("PerceptionLegendary",CLASSFEATUREHEADERS,0),MATCH($A47,CLASSNAMEHEADERS,0))),(INDEX(ALLCLASSDATA,MATCH("PerceptionLegendary",CLASSFEATUREHEADERS,0),MATCH(($A47 &amp; "Points"),CLASSNAMEHEADERS,0))),(IF("01"=(INDEX(ALLCLASSDATA,MATCH("PerceptionMaster",CLASSFEATUREHEADERS,0),MATCH($A47,CLASSNAMEHEADERS,0))),(INDEX(ALLCLASSDATA,MATCH("PerceptionMaster",CLASSFEATUREHEADERS,0),MATCH(($A47 &amp; "Points"),CLASSNAMEHEADERS,0))),(IF("01"=(INDEX(ALLCLASSDATA,MATCH("PerceptionExpert",CLASSFEATUREHEADERS,0),MATCH($A47,CLASSNAMEHEADERS,0))),(INDEX(ALLCLASSDATA,MATCH("PerceptionExpert",CLASSFEATUREHEADERS,0),MATCH(($A47 &amp; "Points"),CLASSNAMEHEADERS,0))),(IF("01"=(INDEX(ALLCLASSDATA,MATCH("PerceptionTrained",CLASSFEATUREHEADERS,0),MATCH($A47,CLASSNAMEHEADERS,0))),(INDEX(ALLCLASSDATA,MATCH("PerceptionTrained",CLASSFEATUREHEADERS,0),MATCH(($A47 &amp; "Points"),CLASSNAMEHEADERS,0))),"")))))))))}</f>
        <v>PERCEPTIONL01</v>
      </c>
      <c r="H46" s="230"/>
      <c r="I46" s="230" t="str">
        <f t="array" ref="I46:I47">{"PERCEPTIONL03";((IF("03"=(INDEX(ALLCLASSDATA,MATCH("PerceptionLegendary",CLASSFEATUREHEADERS,0),MATCH($A47,CLASSNAMEHEADERS,0))),(INDEX(ALLCLASSDATA,MATCH("PerceptionLegendary",CLASSFEATUREHEADERS,0),MATCH(($A47 &amp; "Points"),CLASSNAMEHEADERS,0))),(IF("03"=(INDEX(ALLCLASSDATA,MATCH("PerceptionMaster",CLASSFEATUREHEADERS,0),MATCH($A47,CLASSNAMEHEADERS,0))),(INDEX(ALLCLASSDATA,MATCH("PerceptionMaster",CLASSFEATUREHEADERS,0),MATCH(($A47 &amp; "Points"),CLASSNAMEHEADERS,0))),(IF("03"=(INDEX(ALLCLASSDATA,MATCH("PerceptionExpert",CLASSFEATUREHEADERS,0),MATCH($A47,CLASSNAMEHEADERS,0))),(INDEX(ALLCLASSDATA,MATCH("PerceptionExpert",CLASSFEATUREHEADERS,0),MATCH(($A47 &amp; "Points"),CLASSNAMEHEADERS,0))),(IF("03"=(INDEX(ALLCLASSDATA,MATCH("PerceptionTrained",CLASSFEATUREHEADERS,0),MATCH($A47,CLASSNAMEHEADERS,0))),(INDEX(ALLCLASSDATA,MATCH("PerceptionTrained",CLASSFEATUREHEADERS,0),MATCH(($A47 &amp; "Points"),CLASSNAMEHEADERS,0))),"")))))))))}</f>
        <v>PERCEPTIONL03</v>
      </c>
      <c r="J46" s="230"/>
      <c r="K46" s="230" t="str">
        <f t="array" ref="K46:K47">{"PERCEPTIONL05";((IF("05"=(INDEX(ALLCLASSDATA,MATCH("PerceptionLegendary",CLASSFEATUREHEADERS,0),MATCH($A47,CLASSNAMEHEADERS,0))),(INDEX(ALLCLASSDATA,MATCH("PerceptionLegendary",CLASSFEATUREHEADERS,0),MATCH(($A47 &amp; "Points"),CLASSNAMEHEADERS,0))),(IF("05"=(INDEX(ALLCLASSDATA,MATCH("PerceptionMaster",CLASSFEATUREHEADERS,0),MATCH($A47,CLASSNAMEHEADERS,0))),(INDEX(ALLCLASSDATA,MATCH("PerceptionMaster",CLASSFEATUREHEADERS,0),MATCH(($A47 &amp; "Points"),CLASSNAMEHEADERS,0))),(IF("05"=(INDEX(ALLCLASSDATA,MATCH("PerceptionExpert",CLASSFEATUREHEADERS,0),MATCH($A47,CLASSNAMEHEADERS,0))),(INDEX(ALLCLASSDATA,MATCH("PerceptionExpert",CLASSFEATUREHEADERS,0),MATCH(($A47 &amp; "Points"),CLASSNAMEHEADERS,0))),(IF("05"=(INDEX(ALLCLASSDATA,MATCH("PerceptionTrained",CLASSFEATUREHEADERS,0),MATCH($A47,CLASSNAMEHEADERS,0))),(INDEX(ALLCLASSDATA,MATCH("PerceptionTrained",CLASSFEATUREHEADERS,0),MATCH(($A47 &amp; "Points"),CLASSNAMEHEADERS,0))),"")))))))))}</f>
        <v>PERCEPTIONL05</v>
      </c>
      <c r="L46" s="230"/>
      <c r="M46" s="230" t="str">
        <f t="array" ref="M46:M47">{"PERCEPTIONL07";((IF("07"=(INDEX(ALLCLASSDATA,MATCH("PerceptionLegendary",CLASSFEATUREHEADERS,0),MATCH($A47,CLASSNAMEHEADERS,0))),(INDEX(ALLCLASSDATA,MATCH("PerceptionLegendary",CLASSFEATUREHEADERS,0),MATCH(($A47 &amp; "Points"),CLASSNAMEHEADERS,0))),(IF("07"=(INDEX(ALLCLASSDATA,MATCH("PerceptionMaster",CLASSFEATUREHEADERS,0),MATCH($A47,CLASSNAMEHEADERS,0))),(INDEX(ALLCLASSDATA,MATCH("PerceptionMaster",CLASSFEATUREHEADERS,0),MATCH(($A47 &amp; "Points"),CLASSNAMEHEADERS,0))),(IF("07"=(INDEX(ALLCLASSDATA,MATCH("PerceptionExpert",CLASSFEATUREHEADERS,0),MATCH($A47,CLASSNAMEHEADERS,0))),(INDEX(ALLCLASSDATA,MATCH("PerceptionExpert",CLASSFEATUREHEADERS,0),MATCH(($A47 &amp; "Points"),CLASSNAMEHEADERS,0))),(IF("07"=(INDEX(ALLCLASSDATA,MATCH("PerceptionTrained",CLASSFEATUREHEADERS,0),MATCH($A47,CLASSNAMEHEADERS,0))),(INDEX(ALLCLASSDATA,MATCH("PerceptionTrained",CLASSFEATUREHEADERS,0),MATCH(($A47 &amp; "Points"),CLASSNAMEHEADERS,0))),"")))))))))}</f>
        <v>PERCEPTIONL07</v>
      </c>
      <c r="N46" s="230"/>
      <c r="O46" s="230" t="str">
        <f t="array" ref="O46:O47">{"PERCEPTIONL09";((IF("09"=(INDEX(ALLCLASSDATA,MATCH("PerceptionLegendary",CLASSFEATUREHEADERS,0),MATCH($A47,CLASSNAMEHEADERS,0))),(INDEX(ALLCLASSDATA,MATCH("PerceptionLegendary",CLASSFEATUREHEADERS,0),MATCH(($A47 &amp; "Points"),CLASSNAMEHEADERS,0))),(IF("09"=(INDEX(ALLCLASSDATA,MATCH("PerceptionMaster",CLASSFEATUREHEADERS,0),MATCH($A47,CLASSNAMEHEADERS,0))),(INDEX(ALLCLASSDATA,MATCH("PerceptionMaster",CLASSFEATUREHEADERS,0),MATCH(($A47 &amp; "Points"),CLASSNAMEHEADERS,0))),(IF("09"=(INDEX(ALLCLASSDATA,MATCH("PerceptionExpert",CLASSFEATUREHEADERS,0),MATCH($A47,CLASSNAMEHEADERS,0))),(INDEX(ALLCLASSDATA,MATCH("PerceptionExpert",CLASSFEATUREHEADERS,0),MATCH(($A47 &amp; "Points"),CLASSNAMEHEADERS,0))),(IF("09"=(INDEX(ALLCLASSDATA,MATCH("PerceptionTrained",CLASSFEATUREHEADERS,0),MATCH($A47,CLASSNAMEHEADERS,0))),(INDEX(ALLCLASSDATA,MATCH("PerceptionTrained",CLASSFEATUREHEADERS,0),MATCH(($A47 &amp; "Points"),CLASSNAMEHEADERS,0))),"")))))))))}</f>
        <v>PERCEPTIONL09</v>
      </c>
      <c r="P46" s="230"/>
      <c r="Q46" s="230" t="str">
        <f t="array" ref="Q46:Q47">{"PERCEPTIONL11";((IF("11"=(INDEX(ALLCLASSDATA,MATCH("PerceptionLegendary",CLASSFEATUREHEADERS,0),MATCH($A47,CLASSNAMEHEADERS,0))),(INDEX(ALLCLASSDATA,MATCH("PerceptionLegendary",CLASSFEATUREHEADERS,0),MATCH(($A47 &amp; "Points"),CLASSNAMEHEADERS,0))),(IF("11"=(INDEX(ALLCLASSDATA,MATCH("PerceptionMaster",CLASSFEATUREHEADERS,0),MATCH($A47,CLASSNAMEHEADERS,0))),(INDEX(ALLCLASSDATA,MATCH("PerceptionMaster",CLASSFEATUREHEADERS,0),MATCH(($A47 &amp; "Points"),CLASSNAMEHEADERS,0))),(IF("11"=(INDEX(ALLCLASSDATA,MATCH("PerceptionExpert",CLASSFEATUREHEADERS,0),MATCH($A47,CLASSNAMEHEADERS,0))),(INDEX(ALLCLASSDATA,MATCH("PerceptionExpert",CLASSFEATUREHEADERS,0),MATCH(($A47 &amp; "Points"),CLASSNAMEHEADERS,0))),(IF("11"=(INDEX(ALLCLASSDATA,MATCH("PerceptionTrained",CLASSFEATUREHEADERS,0),MATCH($A47,CLASSNAMEHEADERS,0))),(INDEX(ALLCLASSDATA,MATCH("PerceptionTrained",CLASSFEATUREHEADERS,0),MATCH(($A47 &amp; "Points"),CLASSNAMEHEADERS,0))),"")))))))))}</f>
        <v>PERCEPTIONL11</v>
      </c>
      <c r="R46" s="230"/>
      <c r="S46" s="230" t="str">
        <f t="array" ref="S46:S47">{"PERCEPTIONL13";((IF("13"=(INDEX(ALLCLASSDATA,MATCH("PerceptionLegendary",CLASSFEATUREHEADERS,0),MATCH($A47,CLASSNAMEHEADERS,0))),(INDEX(ALLCLASSDATA,MATCH("PerceptionLegendary",CLASSFEATUREHEADERS,0),MATCH(($A47 &amp; "Points"),CLASSNAMEHEADERS,0))),(IF("13"=(INDEX(ALLCLASSDATA,MATCH("PerceptionMaster",CLASSFEATUREHEADERS,0),MATCH($A47,CLASSNAMEHEADERS,0))),(INDEX(ALLCLASSDATA,MATCH("PerceptionMaster",CLASSFEATUREHEADERS,0),MATCH(($A47 &amp; "Points"),CLASSNAMEHEADERS,0))),(IF("13"=(INDEX(ALLCLASSDATA,MATCH("PerceptionExpert",CLASSFEATUREHEADERS,0),MATCH($A47,CLASSNAMEHEADERS,0))),(INDEX(ALLCLASSDATA,MATCH("PerceptionExpert",CLASSFEATUREHEADERS,0),MATCH(($A47 &amp; "Points"),CLASSNAMEHEADERS,0))),(IF("13"=(INDEX(ALLCLASSDATA,MATCH("PerceptionTrained",CLASSFEATUREHEADERS,0),MATCH($A47,CLASSNAMEHEADERS,0))),(INDEX(ALLCLASSDATA,MATCH("PerceptionTrained",CLASSFEATUREHEADERS,0),MATCH(($A47 &amp; "Points"),CLASSNAMEHEADERS,0))),"")))))))))}</f>
        <v>PERCEPTIONL13</v>
      </c>
      <c r="T46" s="230"/>
      <c r="U46" s="230" t="str">
        <f t="array" ref="U46:U47">{"PERCEPTIONL15";((IF("15"=(INDEX(ALLCLASSDATA,MATCH("PerceptionLegendary",CLASSFEATUREHEADERS,0),MATCH($A47,CLASSNAMEHEADERS,0))),(INDEX(ALLCLASSDATA,MATCH("PerceptionLegendary",CLASSFEATUREHEADERS,0),MATCH(($A47 &amp; "Points"),CLASSNAMEHEADERS,0))),(IF("15"=(INDEX(ALLCLASSDATA,MATCH("PerceptionMaster",CLASSFEATUREHEADERS,0),MATCH($A47,CLASSNAMEHEADERS,0))),(INDEX(ALLCLASSDATA,MATCH("PerceptionMaster",CLASSFEATUREHEADERS,0),MATCH(($A47 &amp; "Points"),CLASSNAMEHEADERS,0))),(IF("15"=(INDEX(ALLCLASSDATA,MATCH("PerceptionExpert",CLASSFEATUREHEADERS,0),MATCH($A47,CLASSNAMEHEADERS,0))),(INDEX(ALLCLASSDATA,MATCH("PerceptionExpert",CLASSFEATUREHEADERS,0),MATCH(($A47 &amp; "Points"),CLASSNAMEHEADERS,0))),(IF("15"=(INDEX(ALLCLASSDATA,MATCH("PerceptionTrained",CLASSFEATUREHEADERS,0),MATCH($A47,CLASSNAMEHEADERS,0))),(INDEX(ALLCLASSDATA,MATCH("PerceptionTrained",CLASSFEATUREHEADERS,0),MATCH(($A47 &amp; "Points"),CLASSNAMEHEADERS,0))),"")))))))))}</f>
        <v>PERCEPTIONL15</v>
      </c>
      <c r="V46" s="230"/>
      <c r="W46" s="230" t="str">
        <f t="array" ref="W46:W47">{"PERCEPTIONL17";((IF("17"=(INDEX(ALLCLASSDATA,MATCH("PerceptionLegendary",CLASSFEATUREHEADERS,0),MATCH($A47,CLASSNAMEHEADERS,0))),(INDEX(ALLCLASSDATA,MATCH("PerceptionLegendary",CLASSFEATUREHEADERS,0),MATCH(($A47 &amp; "Points"),CLASSNAMEHEADERS,0))),(IF("17"=(INDEX(ALLCLASSDATA,MATCH("PerceptionMaster",CLASSFEATUREHEADERS,0),MATCH($A47,CLASSNAMEHEADERS,0))),(INDEX(ALLCLASSDATA,MATCH("PerceptionMaster",CLASSFEATUREHEADERS,0),MATCH(($A47 &amp; "Points"),CLASSNAMEHEADERS,0))),(IF("17"=(INDEX(ALLCLASSDATA,MATCH("PerceptionExpert",CLASSFEATUREHEADERS,0),MATCH($A47,CLASSNAMEHEADERS,0))),(INDEX(ALLCLASSDATA,MATCH("PerceptionExpert",CLASSFEATUREHEADERS,0),MATCH(($A47 &amp; "Points"),CLASSNAMEHEADERS,0))),(IF("17"=(INDEX(ALLCLASSDATA,MATCH("PerceptionTrained",CLASSFEATUREHEADERS,0),MATCH($A47,CLASSNAMEHEADERS,0))),(INDEX(ALLCLASSDATA,MATCH("PerceptionTrained",CLASSFEATUREHEADERS,0),MATCH(($A47 &amp; "Points"),CLASSNAMEHEADERS,0))),"")))))))))}</f>
        <v>PERCEPTIONL17</v>
      </c>
      <c r="X46" s="230"/>
      <c r="Y46" s="230" t="str">
        <f t="array" ref="Y46:Y47">{"PERCEPTIONL19";((IF("19"=(INDEX(ALLCLASSDATA,MATCH("PerceptionLegendary",CLASSFEATUREHEADERS,0),MATCH($A47,CLASSNAMEHEADERS,0))),(INDEX(ALLCLASSDATA,MATCH("PerceptionLegendary",CLASSFEATUREHEADERS,0),MATCH(($A47 &amp; "Points"),CLASSNAMEHEADERS,0))),(IF("19"=(INDEX(ALLCLASSDATA,MATCH("PerceptionMaster",CLASSFEATUREHEADERS,0),MATCH($A47,CLASSNAMEHEADERS,0))),(INDEX(ALLCLASSDATA,MATCH("PerceptionMaster",CLASSFEATUREHEADERS,0),MATCH(($A47 &amp; "Points"),CLASSNAMEHEADERS,0))),(IF("19"=(INDEX(ALLCLASSDATA,MATCH("PerceptionExpert",CLASSFEATUREHEADERS,0),MATCH($A47,CLASSNAMEHEADERS,0))),(INDEX(ALLCLASSDATA,MATCH("PerceptionExpert",CLASSFEATUREHEADERS,0),MATCH(($A47 &amp; "Points"),CLASSNAMEHEADERS,0))),(IF("19"=(INDEX(ALLCLASSDATA,MATCH("PerceptionTrained",CLASSFEATUREHEADERS,0),MATCH($A47,CLASSNAMEHEADERS,0))),(INDEX(ALLCLASSDATA,MATCH("PerceptionTrained",CLASSFEATUREHEADERS,0),MATCH(($A47 &amp; "Points"),CLASSNAMEHEADERS,0))),"")))))))))}</f>
        <v>PERCEPTIONL19</v>
      </c>
      <c r="Z46" s="230"/>
      <c r="AA46" s="76" t="str">
        <f t="array" ref="AA46:AA47">{"PERCEPTION TOTAL";(IF(COUNTBLANK(F47:Z47)=17,"L",(IF(COUNTBLANK(F47:Z47)=18,"M",(IF(COUNTBLANK(F47:Z47)=19,"E",(IF(COUNTBLANK(F47:Z47)=20,"T",""))))))))}</f>
        <v>PERCEPTION TOTAL</v>
      </c>
      <c r="AB46" s="76" t="str">
        <f t="array" ref="AB46:AB47">{"PERCEPTION TOTAL";(sum(F47:Z47))}</f>
        <v>PERCEPTION TOTAL</v>
      </c>
    </row>
    <row r="47">
      <c r="A47" s="48" t="s">
        <v>211</v>
      </c>
      <c r="B47" s="48" t="s">
        <v>417</v>
      </c>
      <c r="C47" s="97" t="s">
        <v>637</v>
      </c>
      <c r="D47" s="97" t="s">
        <v>637</v>
      </c>
      <c r="E47" s="98" t="s">
        <v>435</v>
      </c>
      <c r="F47" s="132" t="s">
        <v>603</v>
      </c>
      <c r="G47" s="98">
        <v>10.0</v>
      </c>
      <c r="H47" s="98"/>
      <c r="I47" s="98" t="s">
        <v>603</v>
      </c>
      <c r="J47" s="98"/>
      <c r="K47" s="98">
        <v>50.0</v>
      </c>
      <c r="L47" s="98"/>
      <c r="M47" s="98" t="s">
        <v>603</v>
      </c>
      <c r="N47" s="98"/>
      <c r="O47" s="98" t="s">
        <v>603</v>
      </c>
      <c r="P47" s="98"/>
      <c r="Q47" s="98" t="s">
        <v>603</v>
      </c>
      <c r="R47" s="98"/>
      <c r="S47" s="98" t="s">
        <v>603</v>
      </c>
      <c r="T47" s="98"/>
      <c r="U47" s="98" t="s">
        <v>603</v>
      </c>
      <c r="V47" s="98"/>
      <c r="W47" s="98" t="s">
        <v>603</v>
      </c>
      <c r="X47" s="98"/>
      <c r="Y47" s="98" t="s">
        <v>603</v>
      </c>
      <c r="Z47" s="98"/>
      <c r="AA47" s="5" t="s">
        <v>436</v>
      </c>
      <c r="AB47" s="47">
        <v>60.0</v>
      </c>
    </row>
    <row r="48" hidden="1">
      <c r="A48" s="222" t="str">
        <f t="array" ref="A48:A49">{"FormulaRow23";(INDEX(CLASSLIST,A3,1))}</f>
        <v>FormulaRow23</v>
      </c>
      <c r="B48" s="222" t="str">
        <f t="array" ref="B48:B49">{"CLASSTYPE";((INDEX(ALLCLASSDATA,MATCH("ClassType",CLASSFEATUREHEADERS,0),MATCH($A49,CLASSNAMEHEADERS,0))))}</f>
        <v>CLASSTYPE</v>
      </c>
      <c r="C48" s="228" t="str">
        <f t="array" ref="C48:C49">{"SAVES";"Saves"}</f>
        <v>SAVES</v>
      </c>
      <c r="D48" s="228" t="str">
        <f t="array" ref="D48:D49">{"FORTITUDESAVE";"FortitudeSave"}</f>
        <v>FORTITUDESAVE</v>
      </c>
      <c r="E48" s="230" t="str">
        <f t="array" ref="E48:E49">{"FORTITUDEINITIAL";((IF(G49=10,"T",(IF(G49=50,"E","")))))}</f>
        <v>FORTITUDEINITIAL</v>
      </c>
      <c r="F48" s="230" t="str">
        <f t="array" ref="F48:F49">{"FORTITUDEINITIALPTS";((IF("00"=(INDEX(ALLCLASSDATA,MATCH("FortitudeSaveLegendary",CLASSFEATUREHEADERS,0),MATCH($A49,CLASSNAMEHEADERS,0))),(INDEX(ALLCLASSDATA,MATCH("FortitudeSaveLegendary",CLASSFEATUREHEADERS,0),MATCH(($A49 &amp; "Points"),CLASSNAMEHEADERS,0))),(IF("00"=(INDEX(ALLCLASSDATA,MATCH("FortitudeSaveMaster",CLASSFEATUREHEADERS,0),MATCH($A49,CLASSNAMEHEADERS,0))),(INDEX(ALLCLASSDATA,MATCH("FortitudeSaveMaster",CLASSFEATUREHEADERS,0),MATCH(($A49 &amp; "Points"),CLASSNAMEHEADERS,0))),(IF("00"=(INDEX(ALLCLASSDATA,MATCH("FortitudeSaveExpert",CLASSFEATUREHEADERS,0),MATCH($A49,CLASSNAMEHEADERS,0))),(INDEX(ALLCLASSDATA,MATCH("FortitudeSaveExpert",CLASSFEATUREHEADERS,0),MATCH(($A49 &amp; "Points"),CLASSNAMEHEADERS,0))),(IF("00"=(INDEX(ALLCLASSDATA,MATCH("FortitudeSaveTrained",CLASSFEATUREHEADERS,0),MATCH($A49,CLASSNAMEHEADERS,0))),(INDEX(ALLCLASSDATA,MATCH("FortitudeSaveTrained",CLASSFEATUREHEADERS,0),MATCH(($A49 &amp; "Points"),CLASSNAMEHEADERS,0))),"")))))))))}</f>
        <v>FORTITUDEINITIALPTS</v>
      </c>
      <c r="G48" s="230" t="str">
        <f t="array" ref="G48:G49">{"FORTITUDEL01";((IF("01"=(INDEX(ALLCLASSDATA,MATCH("FortitudeSaveLegendary",CLASSFEATUREHEADERS,0),MATCH($A49,CLASSNAMEHEADERS,0))),(INDEX(ALLCLASSDATA,MATCH("FortitudeSaveLegendary",CLASSFEATUREHEADERS,0),MATCH(($A49 &amp; "Points"),CLASSNAMEHEADERS,0))),(IF("01"=(INDEX(ALLCLASSDATA,MATCH("FortitudeSaveMaster",CLASSFEATUREHEADERS,0),MATCH($A49,CLASSNAMEHEADERS,0))),(INDEX(ALLCLASSDATA,MATCH("FortitudeSaveMaster",CLASSFEATUREHEADERS,0),MATCH(($A49 &amp; "Points"),CLASSNAMEHEADERS,0))),(IF("01"=(INDEX(ALLCLASSDATA,MATCH("FortitudeSaveExpert",CLASSFEATUREHEADERS,0),MATCH($A49,CLASSNAMEHEADERS,0))),(INDEX(ALLCLASSDATA,MATCH("FortitudeSaveExpert",CLASSFEATUREHEADERS,0),MATCH(($A49 &amp; "Points"),CLASSNAMEHEADERS,0))),(IF("01"=(INDEX(ALLCLASSDATA,MATCH("FortitudeSaveTrained",CLASSFEATUREHEADERS,0),MATCH($A49,CLASSNAMEHEADERS,0))),(INDEX(ALLCLASSDATA,MATCH("FortitudeSaveTrained",CLASSFEATUREHEADERS,0),MATCH(($A49 &amp; "Points"),CLASSNAMEHEADERS,0))),"")))))))))}</f>
        <v>FORTITUDEL01</v>
      </c>
      <c r="H48" s="230"/>
      <c r="I48" s="230" t="str">
        <f t="array" ref="I48:I49">{"FORTITUDEL03";((IF("03"=(INDEX(ALLCLASSDATA,MATCH("FortitudeSaveLegendary",CLASSFEATUREHEADERS,0),MATCH($A49,CLASSNAMEHEADERS,0))),(INDEX(ALLCLASSDATA,MATCH("FortitudeSaveLegendary",CLASSFEATUREHEADERS,0),MATCH(($A49 &amp; "Points"),CLASSNAMEHEADERS,0))),(IF("03"=(INDEX(ALLCLASSDATA,MATCH("FortitudeSaveMaster",CLASSFEATUREHEADERS,0),MATCH($A49,CLASSNAMEHEADERS,0))),(INDEX(ALLCLASSDATA,MATCH("FortitudeSaveMaster",CLASSFEATUREHEADERS,0),MATCH(($A49 &amp; "Points"),CLASSNAMEHEADERS,0))),(IF("03"=(INDEX(ALLCLASSDATA,MATCH("FortitudeSaveExpert",CLASSFEATUREHEADERS,0),MATCH($A49,CLASSNAMEHEADERS,0))),(INDEX(ALLCLASSDATA,MATCH("FortitudeSaveExpert",CLASSFEATUREHEADERS,0),MATCH(($A49 &amp; "Points"),CLASSNAMEHEADERS,0))),(IF("03"=(INDEX(ALLCLASSDATA,MATCH("FortitudeSaveTrained",CLASSFEATUREHEADERS,0),MATCH($A49,CLASSNAMEHEADERS,0))),(INDEX(ALLCLASSDATA,MATCH("FortitudeSaveTrained",CLASSFEATUREHEADERS,0),MATCH(($A49 &amp; "Points"),CLASSNAMEHEADERS,0))),"")))))))))}</f>
        <v>FORTITUDEL03</v>
      </c>
      <c r="J48" s="230"/>
      <c r="K48" s="230" t="str">
        <f t="array" ref="K48:K49">{"FORTITUDEL05";((IF("05"=(INDEX(ALLCLASSDATA,MATCH("FortitudeSaveLegendary",CLASSFEATUREHEADERS,0),MATCH($A49,CLASSNAMEHEADERS,0))),(INDEX(ALLCLASSDATA,MATCH("FortitudeSaveLegendary",CLASSFEATUREHEADERS,0),MATCH(($A49 &amp; "Points"),CLASSNAMEHEADERS,0))),(IF("05"=(INDEX(ALLCLASSDATA,MATCH("FortitudeSaveMaster",CLASSFEATUREHEADERS,0),MATCH($A49,CLASSNAMEHEADERS,0))),(INDEX(ALLCLASSDATA,MATCH("FortitudeSaveMaster",CLASSFEATUREHEADERS,0),MATCH(($A49 &amp; "Points"),CLASSNAMEHEADERS,0))),(IF("05"=(INDEX(ALLCLASSDATA,MATCH("FortitudeSaveExpert",CLASSFEATUREHEADERS,0),MATCH($A49,CLASSNAMEHEADERS,0))),(INDEX(ALLCLASSDATA,MATCH("FortitudeSaveExpert",CLASSFEATUREHEADERS,0),MATCH(($A49 &amp; "Points"),CLASSNAMEHEADERS,0))),(IF("05"=(INDEX(ALLCLASSDATA,MATCH("FortitudeSaveTrained",CLASSFEATUREHEADERS,0),MATCH($A49,CLASSNAMEHEADERS,0))),(INDEX(ALLCLASSDATA,MATCH("FortitudeSaveTrained",CLASSFEATUREHEADERS,0),MATCH(($A49 &amp; "Points"),CLASSNAMEHEADERS,0))),"")))))))))}</f>
        <v>FORTITUDEL05</v>
      </c>
      <c r="L48" s="230"/>
      <c r="M48" s="230" t="str">
        <f t="array" ref="M48:M49">{"FORTITUDEL07";((IF("07"=(INDEX(ALLCLASSDATA,MATCH("FortitudeSaveLegendary",CLASSFEATUREHEADERS,0),MATCH($A49,CLASSNAMEHEADERS,0))),(INDEX(ALLCLASSDATA,MATCH("FortitudeSaveLegendary",CLASSFEATUREHEADERS,0),MATCH(($A49 &amp; "Points"),CLASSNAMEHEADERS,0))),(IF("07"=(INDEX(ALLCLASSDATA,MATCH("FortitudeSaveMaster",CLASSFEATUREHEADERS,0),MATCH($A49,CLASSNAMEHEADERS,0))),(INDEX(ALLCLASSDATA,MATCH("FortitudeSaveMaster",CLASSFEATUREHEADERS,0),MATCH(($A49 &amp; "Points"),CLASSNAMEHEADERS,0))),(IF("07"=(INDEX(ALLCLASSDATA,MATCH("FortitudeSaveExpert",CLASSFEATUREHEADERS,0),MATCH($A49,CLASSNAMEHEADERS,0))),(INDEX(ALLCLASSDATA,MATCH("FortitudeSaveExpert",CLASSFEATUREHEADERS,0),MATCH(($A49 &amp; "Points"),CLASSNAMEHEADERS,0))),(IF("07"=(INDEX(ALLCLASSDATA,MATCH("FortitudeSaveTrained",CLASSFEATUREHEADERS,0),MATCH($A49,CLASSNAMEHEADERS,0))),(INDEX(ALLCLASSDATA,MATCH("FortitudeSaveTrained",CLASSFEATUREHEADERS,0),MATCH(($A49 &amp; "Points"),CLASSNAMEHEADERS,0))),"")))))))))}</f>
        <v>FORTITUDEL07</v>
      </c>
      <c r="N48" s="230"/>
      <c r="O48" s="230" t="str">
        <f t="array" ref="O48:O49">{"FORTITUDEL09";((IF("09"=(INDEX(ALLCLASSDATA,MATCH("FortitudeSaveLegendary",CLASSFEATUREHEADERS,0),MATCH($A49,CLASSNAMEHEADERS,0))),(INDEX(ALLCLASSDATA,MATCH("FortitudeSaveLegendary",CLASSFEATUREHEADERS,0),MATCH(($A49 &amp; "Points"),CLASSNAMEHEADERS,0))),(IF("09"=(INDEX(ALLCLASSDATA,MATCH("FortitudeSaveMaster",CLASSFEATUREHEADERS,0),MATCH($A49,CLASSNAMEHEADERS,0))),(INDEX(ALLCLASSDATA,MATCH("FortitudeSaveMaster",CLASSFEATUREHEADERS,0),MATCH(($A49 &amp; "Points"),CLASSNAMEHEADERS,0))),(IF("09"=(INDEX(ALLCLASSDATA,MATCH("FortitudeSaveExpert",CLASSFEATUREHEADERS,0),MATCH($A49,CLASSNAMEHEADERS,0))),(INDEX(ALLCLASSDATA,MATCH("FortitudeSaveExpert",CLASSFEATUREHEADERS,0),MATCH(($A49 &amp; "Points"),CLASSNAMEHEADERS,0))),(IF("09"=(INDEX(ALLCLASSDATA,MATCH("FortitudeSaveTrained",CLASSFEATUREHEADERS,0),MATCH($A49,CLASSNAMEHEADERS,0))),(INDEX(ALLCLASSDATA,MATCH("FortitudeSaveTrained",CLASSFEATUREHEADERS,0),MATCH(($A49 &amp; "Points"),CLASSNAMEHEADERS,0))),"")))))))))}</f>
        <v>FORTITUDEL09</v>
      </c>
      <c r="P48" s="230"/>
      <c r="Q48" s="230" t="str">
        <f t="array" ref="Q48:Q49">{"FORTITUDEL11";((IF("11"=(INDEX(ALLCLASSDATA,MATCH("FortitudeSaveLegendary",CLASSFEATUREHEADERS,0),MATCH($A49,CLASSNAMEHEADERS,0))),(INDEX(ALLCLASSDATA,MATCH("FortitudeSaveLegendary",CLASSFEATUREHEADERS,0),MATCH(($A49 &amp; "Points"),CLASSNAMEHEADERS,0))),(IF("11"=(INDEX(ALLCLASSDATA,MATCH("FortitudeSaveMaster",CLASSFEATUREHEADERS,0),MATCH($A49,CLASSNAMEHEADERS,0))),(INDEX(ALLCLASSDATA,MATCH("FortitudeSaveMaster",CLASSFEATUREHEADERS,0),MATCH(($A49 &amp; "Points"),CLASSNAMEHEADERS,0))),(IF("11"=(INDEX(ALLCLASSDATA,MATCH("FortitudeSaveExpert",CLASSFEATUREHEADERS,0),MATCH($A49,CLASSNAMEHEADERS,0))),(INDEX(ALLCLASSDATA,MATCH("FortitudeSaveExpert",CLASSFEATUREHEADERS,0),MATCH(($A49 &amp; "Points"),CLASSNAMEHEADERS,0))),(IF("11"=(INDEX(ALLCLASSDATA,MATCH("FortitudeSaveTrained",CLASSFEATUREHEADERS,0),MATCH($A49,CLASSNAMEHEADERS,0))),(INDEX(ALLCLASSDATA,MATCH("FortitudeSaveTrained",CLASSFEATUREHEADERS,0),MATCH(($A49 &amp; "Points"),CLASSNAMEHEADERS,0))),"")))))))))}</f>
        <v>FORTITUDEL11</v>
      </c>
      <c r="R48" s="230"/>
      <c r="S48" s="230" t="str">
        <f t="array" ref="S48:S49">{"FORTITUDEL13";((IF("13"=(INDEX(ALLCLASSDATA,MATCH("FortitudeSaveLegendary",CLASSFEATUREHEADERS,0),MATCH($A49,CLASSNAMEHEADERS,0))),(INDEX(ALLCLASSDATA,MATCH("FortitudeSaveLegendary",CLASSFEATUREHEADERS,0),MATCH(($A49 &amp; "Points"),CLASSNAMEHEADERS,0))),(IF("13"=(INDEX(ALLCLASSDATA,MATCH("FortitudeSaveMaster",CLASSFEATUREHEADERS,0),MATCH($A49,CLASSNAMEHEADERS,0))),(INDEX(ALLCLASSDATA,MATCH("FortitudeSaveMaster",CLASSFEATUREHEADERS,0),MATCH(($A49 &amp; "Points"),CLASSNAMEHEADERS,0))),(IF("13"=(INDEX(ALLCLASSDATA,MATCH("FortitudeSaveExpert",CLASSFEATUREHEADERS,0),MATCH($A49,CLASSNAMEHEADERS,0))),(INDEX(ALLCLASSDATA,MATCH("FortitudeSaveExpert",CLASSFEATUREHEADERS,0),MATCH(($A49 &amp; "Points"),CLASSNAMEHEADERS,0))),(IF("13"=(INDEX(ALLCLASSDATA,MATCH("FortitudeSaveTrained",CLASSFEATUREHEADERS,0),MATCH($A49,CLASSNAMEHEADERS,0))),(INDEX(ALLCLASSDATA,MATCH("FortitudeSaveTrained",CLASSFEATUREHEADERS,0),MATCH(($A49 &amp; "Points"),CLASSNAMEHEADERS,0))),"")))))))))}</f>
        <v>FORTITUDEL13</v>
      </c>
      <c r="T48" s="230"/>
      <c r="U48" s="230" t="str">
        <f t="array" ref="U48:U49">{"FORTITUDEL15";((IF("15"=(INDEX(ALLCLASSDATA,MATCH("FortitudeSaveLegendary",CLASSFEATUREHEADERS,0),MATCH($A49,CLASSNAMEHEADERS,0))),(INDEX(ALLCLASSDATA,MATCH("FortitudeSaveLegendary",CLASSFEATUREHEADERS,0),MATCH(($A49 &amp; "Points"),CLASSNAMEHEADERS,0))),(IF("15"=(INDEX(ALLCLASSDATA,MATCH("FortitudeSaveMaster",CLASSFEATUREHEADERS,0),MATCH($A49,CLASSNAMEHEADERS,0))),(INDEX(ALLCLASSDATA,MATCH("FortitudeSaveMaster",CLASSFEATUREHEADERS,0),MATCH(($A49 &amp; "Points"),CLASSNAMEHEADERS,0))),(IF("15"=(INDEX(ALLCLASSDATA,MATCH("FortitudeSaveExpert",CLASSFEATUREHEADERS,0),MATCH($A49,CLASSNAMEHEADERS,0))),(INDEX(ALLCLASSDATA,MATCH("FortitudeSaveExpert",CLASSFEATUREHEADERS,0),MATCH(($A49 &amp; "Points"),CLASSNAMEHEADERS,0))),(IF("15"=(INDEX(ALLCLASSDATA,MATCH("FortitudeSaveTrained",CLASSFEATUREHEADERS,0),MATCH($A49,CLASSNAMEHEADERS,0))),(INDEX(ALLCLASSDATA,MATCH("FortitudeSaveTrained",CLASSFEATUREHEADERS,0),MATCH(($A49 &amp; "Points"),CLASSNAMEHEADERS,0))),"")))))))))}</f>
        <v>FORTITUDEL15</v>
      </c>
      <c r="V48" s="230"/>
      <c r="W48" s="230" t="str">
        <f t="array" ref="W48:W49">{"FORTITUDEL17";((IF("17"=(INDEX(ALLCLASSDATA,MATCH("FortitudeSaveLegendary",CLASSFEATUREHEADERS,0),MATCH($A49,CLASSNAMEHEADERS,0))),(INDEX(ALLCLASSDATA,MATCH("FortitudeSaveLegendary",CLASSFEATUREHEADERS,0),MATCH(($A49 &amp; "Points"),CLASSNAMEHEADERS,0))),(IF("17"=(INDEX(ALLCLASSDATA,MATCH("FortitudeSaveMaster",CLASSFEATUREHEADERS,0),MATCH($A49,CLASSNAMEHEADERS,0))),(INDEX(ALLCLASSDATA,MATCH("FortitudeSaveMaster",CLASSFEATUREHEADERS,0),MATCH(($A49 &amp; "Points"),CLASSNAMEHEADERS,0))),(IF("17"=(INDEX(ALLCLASSDATA,MATCH("FortitudeSaveExpert",CLASSFEATUREHEADERS,0),MATCH($A49,CLASSNAMEHEADERS,0))),(INDEX(ALLCLASSDATA,MATCH("FortitudeSaveExpert",CLASSFEATUREHEADERS,0),MATCH(($A49 &amp; "Points"),CLASSNAMEHEADERS,0))),(IF("17"=(INDEX(ALLCLASSDATA,MATCH("FortitudeSaveTrained",CLASSFEATUREHEADERS,0),MATCH($A49,CLASSNAMEHEADERS,0))),(INDEX(ALLCLASSDATA,MATCH("FortitudeSaveTrained",CLASSFEATUREHEADERS,0),MATCH(($A49 &amp; "Points"),CLASSNAMEHEADERS,0))),"")))))))))}</f>
        <v>FORTITUDEL17</v>
      </c>
      <c r="X48" s="230"/>
      <c r="Y48" s="230" t="str">
        <f t="array" ref="Y48:Y49">{"FORTITUDEL19";((IF("19"=(INDEX(ALLCLASSDATA,MATCH("FortitudeSaveLegendary",CLASSFEATUREHEADERS,0),MATCH($A49,CLASSNAMEHEADERS,0))),(INDEX(ALLCLASSDATA,MATCH("FortitudeSaveLegendary",CLASSFEATUREHEADERS,0),MATCH(($A49 &amp; "Points"),CLASSNAMEHEADERS,0))),(IF("19"=(INDEX(ALLCLASSDATA,MATCH("FortitudeSaveMaster",CLASSFEATUREHEADERS,0),MATCH($A49,CLASSNAMEHEADERS,0))),(INDEX(ALLCLASSDATA,MATCH("FortitudeSaveMaster",CLASSFEATUREHEADERS,0),MATCH(($A49 &amp; "Points"),CLASSNAMEHEADERS,0))),(IF("19"=(INDEX(ALLCLASSDATA,MATCH("FortitudeSaveExpert",CLASSFEATUREHEADERS,0),MATCH($A49,CLASSNAMEHEADERS,0))),(INDEX(ALLCLASSDATA,MATCH("FortitudeSaveExpert",CLASSFEATUREHEADERS,0),MATCH(($A49 &amp; "Points"),CLASSNAMEHEADERS,0))),(IF("19"=(INDEX(ALLCLASSDATA,MATCH("FortitudeSaveTrained",CLASSFEATUREHEADERS,0),MATCH($A49,CLASSNAMEHEADERS,0))),(INDEX(ALLCLASSDATA,MATCH("FortitudeSaveTrained",CLASSFEATUREHEADERS,0),MATCH(($A49 &amp; "Points"),CLASSNAMEHEADERS,0))),"")))))))))}</f>
        <v>FORTITUDEL19</v>
      </c>
      <c r="Z48" s="230"/>
      <c r="AA48" s="76" t="str">
        <f t="array" ref="AA48:AA49">{"FORTITUDE TOTAL";(IF(COUNTBLANK(F49:Z49)=17,"L",(IF(COUNTBLANK(F49:Z49)=18,"M",(IF(COUNTBLANK(F49:Z49)=19,"E",(IF(COUNTBLANK(F49:Z49)=20,"T",""))))))))}</f>
        <v>FORTITUDE TOTAL</v>
      </c>
      <c r="AB48" s="76" t="str">
        <f t="array" ref="AB48:AB49">{"FORTITUDE TOTAL";(sum(F49:Z49))}</f>
        <v>FORTITUDE TOTAL</v>
      </c>
    </row>
    <row r="49">
      <c r="A49" s="48" t="s">
        <v>211</v>
      </c>
      <c r="B49" s="48" t="s">
        <v>417</v>
      </c>
      <c r="C49" s="48" t="s">
        <v>1549</v>
      </c>
      <c r="D49" s="48" t="s">
        <v>1550</v>
      </c>
      <c r="E49" s="5" t="s">
        <v>436</v>
      </c>
      <c r="F49" s="47">
        <v>10.0</v>
      </c>
      <c r="G49" s="5">
        <v>50.0</v>
      </c>
      <c r="H49" s="5"/>
      <c r="I49" s="5" t="s">
        <v>603</v>
      </c>
      <c r="J49" s="5"/>
      <c r="K49" s="5" t="s">
        <v>603</v>
      </c>
      <c r="L49" s="5"/>
      <c r="M49" s="5" t="s">
        <v>603</v>
      </c>
      <c r="N49" s="5"/>
      <c r="O49" s="5" t="s">
        <v>603</v>
      </c>
      <c r="P49" s="5"/>
      <c r="Q49" s="5" t="s">
        <v>603</v>
      </c>
      <c r="R49" s="5"/>
      <c r="S49" s="5" t="s">
        <v>603</v>
      </c>
      <c r="T49" s="5"/>
      <c r="U49" s="5">
        <v>110.0</v>
      </c>
      <c r="V49" s="5"/>
      <c r="W49" s="5" t="s">
        <v>603</v>
      </c>
      <c r="X49" s="5"/>
      <c r="Y49" s="5" t="s">
        <v>603</v>
      </c>
      <c r="Z49" s="5"/>
      <c r="AA49" s="5" t="s">
        <v>437</v>
      </c>
      <c r="AB49" s="47">
        <v>170.0</v>
      </c>
    </row>
    <row r="50" hidden="1">
      <c r="A50" s="222" t="str">
        <f t="array" ref="A50:A51">{"FormulaRow24";(INDEX(CLASSLIST,A3,1))}</f>
        <v>FormulaRow24</v>
      </c>
      <c r="B50" s="222" t="str">
        <f t="array" ref="B50:B51">{"CLASSTYPE";((INDEX(ALLCLASSDATA,MATCH("ClassType",CLASSFEATUREHEADERS,0),MATCH($A51,CLASSNAMEHEADERS,0))))}</f>
        <v>CLASSTYPE</v>
      </c>
      <c r="C50" s="222" t="str">
        <f t="array" ref="C50:C51">{"SAVES";"Saves"}</f>
        <v>SAVES</v>
      </c>
      <c r="D50" s="222" t="str">
        <f t="array" ref="D50:D51">{"REFLEXSAVE";"ReflexSave"}</f>
        <v>REFLEXSAVE</v>
      </c>
      <c r="E50" s="223" t="str">
        <f t="array" ref="E50:E51">{"REFLEXINITIAL";((IF(G51=10,"T",(IF(G51=50,"E","")))))}</f>
        <v>REFLEXINITIAL</v>
      </c>
      <c r="F50" s="223" t="str">
        <f t="array" ref="F50:F51">{"REFLEXINITIALPTS";((IF("00"=(INDEX(ALLCLASSDATA,MATCH("ReflexSaveLegendary",CLASSFEATUREHEADERS,0),MATCH($A51,CLASSNAMEHEADERS,0))),(INDEX(ALLCLASSDATA,MATCH("ReflexSaveLegendary",CLASSFEATUREHEADERS,0),MATCH(($A51 &amp; "Points"),CLASSNAMEHEADERS,0))),(IF("00"=(INDEX(ALLCLASSDATA,MATCH("ReflexSaveMaster",CLASSFEATUREHEADERS,0),MATCH($A51,CLASSNAMEHEADERS,0))),(INDEX(ALLCLASSDATA,MATCH("ReflexSaveMaster",CLASSFEATUREHEADERS,0),MATCH(($A51 &amp; "Points"),CLASSNAMEHEADERS,0))),(IF("00"=(INDEX(ALLCLASSDATA,MATCH("ReflexSaveExpert",CLASSFEATUREHEADERS,0),MATCH($A51,CLASSNAMEHEADERS,0))),(INDEX(ALLCLASSDATA,MATCH("ReflexSaveExpert",CLASSFEATUREHEADERS,0),MATCH(($A51 &amp; "Points"),CLASSNAMEHEADERS,0))),(IF("00"=(INDEX(ALLCLASSDATA,MATCH("ReflexSaveTrained",CLASSFEATUREHEADERS,0),MATCH($A51,CLASSNAMEHEADERS,0))),(INDEX(ALLCLASSDATA,MATCH("ReflexSaveTrained",CLASSFEATUREHEADERS,0),MATCH(($A51 &amp; "Points"),CLASSNAMEHEADERS,0))),"")))))))))}</f>
        <v>REFLEXINITIALPTS</v>
      </c>
      <c r="G50" s="223" t="str">
        <f t="array" ref="G50:G51">{"REFLEXL01";((IF("01"=(INDEX(ALLCLASSDATA,MATCH("ReflexSaveLegendary",CLASSFEATUREHEADERS,0),MATCH($A51,CLASSNAMEHEADERS,0))),(INDEX(ALLCLASSDATA,MATCH("ReflexSaveLegendary",CLASSFEATUREHEADERS,0),MATCH(($A51 &amp; "Points"),CLASSNAMEHEADERS,0))),(IF("01"=(INDEX(ALLCLASSDATA,MATCH("ReflexSaveMaster",CLASSFEATUREHEADERS,0),MATCH($A51,CLASSNAMEHEADERS,0))),(INDEX(ALLCLASSDATA,MATCH("ReflexSaveMaster",CLASSFEATUREHEADERS,0),MATCH(($A51 &amp; "Points"),CLASSNAMEHEADERS,0))),(IF("01"=(INDEX(ALLCLASSDATA,MATCH("ReflexSaveExpert",CLASSFEATUREHEADERS,0),MATCH($A51,CLASSNAMEHEADERS,0))),(INDEX(ALLCLASSDATA,MATCH("ReflexSaveExpert",CLASSFEATUREHEADERS,0),MATCH(($A51 &amp; "Points"),CLASSNAMEHEADERS,0))),(IF("01"=(INDEX(ALLCLASSDATA,MATCH("ReflexSaveTrained",CLASSFEATUREHEADERS,0),MATCH($A51,CLASSNAMEHEADERS,0))),(INDEX(ALLCLASSDATA,MATCH("ReflexSaveTrained",CLASSFEATUREHEADERS,0),MATCH(($A51 &amp; "Points"),CLASSNAMEHEADERS,0))),"")))))))))}</f>
        <v>REFLEXL01</v>
      </c>
      <c r="H50" s="223"/>
      <c r="I50" s="223" t="str">
        <f t="array" ref="I50:I51">{"REFLEXL03";((IF("03"=(INDEX(ALLCLASSDATA,MATCH("ReflexSaveLegendary",CLASSFEATUREHEADERS,0),MATCH($A51,CLASSNAMEHEADERS,0))),(INDEX(ALLCLASSDATA,MATCH("ReflexSaveLegendary",CLASSFEATUREHEADERS,0),MATCH(($A51 &amp; "Points"),CLASSNAMEHEADERS,0))),(IF("03"=(INDEX(ALLCLASSDATA,MATCH("ReflexSaveMaster",CLASSFEATUREHEADERS,0),MATCH($A51,CLASSNAMEHEADERS,0))),(INDEX(ALLCLASSDATA,MATCH("ReflexSaveMaster",CLASSFEATUREHEADERS,0),MATCH(($A51 &amp; "Points"),CLASSNAMEHEADERS,0))),(IF("03"=(INDEX(ALLCLASSDATA,MATCH("ReflexSaveExpert",CLASSFEATUREHEADERS,0),MATCH($A51,CLASSNAMEHEADERS,0))),(INDEX(ALLCLASSDATA,MATCH("ReflexSaveExpert",CLASSFEATUREHEADERS,0),MATCH(($A51 &amp; "Points"),CLASSNAMEHEADERS,0))),(IF("03"=(INDEX(ALLCLASSDATA,MATCH("ReflexSaveTrained",CLASSFEATUREHEADERS,0),MATCH($A51,CLASSNAMEHEADERS,0))),(INDEX(ALLCLASSDATA,MATCH("ReflexSaveTrained",CLASSFEATUREHEADERS,0),MATCH(($A51 &amp; "Points"),CLASSNAMEHEADERS,0))),"")))))))))}</f>
        <v>REFLEXL03</v>
      </c>
      <c r="J50" s="223"/>
      <c r="K50" s="223" t="str">
        <f t="array" ref="K50:K51">{"REFLEXL05";((IF("05"=(INDEX(ALLCLASSDATA,MATCH("ReflexSaveLegendary",CLASSFEATUREHEADERS,0),MATCH($A51,CLASSNAMEHEADERS,0))),(INDEX(ALLCLASSDATA,MATCH("ReflexSaveLegendary",CLASSFEATUREHEADERS,0),MATCH(($A51 &amp; "Points"),CLASSNAMEHEADERS,0))),(IF("05"=(INDEX(ALLCLASSDATA,MATCH("ReflexSaveMaster",CLASSFEATUREHEADERS,0),MATCH($A51,CLASSNAMEHEADERS,0))),(INDEX(ALLCLASSDATA,MATCH("ReflexSaveMaster",CLASSFEATUREHEADERS,0),MATCH(($A51 &amp; "Points"),CLASSNAMEHEADERS,0))),(IF("05"=(INDEX(ALLCLASSDATA,MATCH("ReflexSaveExpert",CLASSFEATUREHEADERS,0),MATCH($A51,CLASSNAMEHEADERS,0))),(INDEX(ALLCLASSDATA,MATCH("ReflexSaveExpert",CLASSFEATUREHEADERS,0),MATCH(($A51 &amp; "Points"),CLASSNAMEHEADERS,0))),(IF("05"=(INDEX(ALLCLASSDATA,MATCH("ReflexSaveTrained",CLASSFEATUREHEADERS,0),MATCH($A51,CLASSNAMEHEADERS,0))),(INDEX(ALLCLASSDATA,MATCH("ReflexSaveTrained",CLASSFEATUREHEADERS,0),MATCH(($A51 &amp; "Points"),CLASSNAMEHEADERS,0))),"")))))))))}</f>
        <v>REFLEXL05</v>
      </c>
      <c r="L50" s="223"/>
      <c r="M50" s="223" t="str">
        <f t="array" ref="M50:M51">{"REFLEXL07";((IF("07"=(INDEX(ALLCLASSDATA,MATCH("ReflexSaveLegendary",CLASSFEATUREHEADERS,0),MATCH($A51,CLASSNAMEHEADERS,0))),(INDEX(ALLCLASSDATA,MATCH("ReflexSaveLegendary",CLASSFEATUREHEADERS,0),MATCH(($A51 &amp; "Points"),CLASSNAMEHEADERS,0))),(IF("07"=(INDEX(ALLCLASSDATA,MATCH("ReflexSaveMaster",CLASSFEATUREHEADERS,0),MATCH($A51,CLASSNAMEHEADERS,0))),(INDEX(ALLCLASSDATA,MATCH("ReflexSaveMaster",CLASSFEATUREHEADERS,0),MATCH(($A51 &amp; "Points"),CLASSNAMEHEADERS,0))),(IF("07"=(INDEX(ALLCLASSDATA,MATCH("ReflexSaveExpert",CLASSFEATUREHEADERS,0),MATCH($A51,CLASSNAMEHEADERS,0))),(INDEX(ALLCLASSDATA,MATCH("ReflexSaveExpert",CLASSFEATUREHEADERS,0),MATCH(($A51 &amp; "Points"),CLASSNAMEHEADERS,0))),(IF("07"=(INDEX(ALLCLASSDATA,MATCH("ReflexSaveTrained",CLASSFEATUREHEADERS,0),MATCH($A51,CLASSNAMEHEADERS,0))),(INDEX(ALLCLASSDATA,MATCH("ReflexSaveTrained",CLASSFEATUREHEADERS,0),MATCH(($A51 &amp; "Points"),CLASSNAMEHEADERS,0))),"")))))))))}</f>
        <v>REFLEXL07</v>
      </c>
      <c r="N50" s="223"/>
      <c r="O50" s="223" t="str">
        <f t="array" ref="O50:O51">{"REFLEXL09";((IF("09"=(INDEX(ALLCLASSDATA,MATCH("ReflexSaveLegendary",CLASSFEATUREHEADERS,0),MATCH($A51,CLASSNAMEHEADERS,0))),(INDEX(ALLCLASSDATA,MATCH("ReflexSaveLegendary",CLASSFEATUREHEADERS,0),MATCH(($A51 &amp; "Points"),CLASSNAMEHEADERS,0))),(IF("09"=(INDEX(ALLCLASSDATA,MATCH("ReflexSaveMaster",CLASSFEATUREHEADERS,0),MATCH($A51,CLASSNAMEHEADERS,0))),(INDEX(ALLCLASSDATA,MATCH("ReflexSaveMaster",CLASSFEATUREHEADERS,0),MATCH(($A51 &amp; "Points"),CLASSNAMEHEADERS,0))),(IF("09"=(INDEX(ALLCLASSDATA,MATCH("ReflexSaveExpert",CLASSFEATUREHEADERS,0),MATCH($A51,CLASSNAMEHEADERS,0))),(INDEX(ALLCLASSDATA,MATCH("ReflexSaveExpert",CLASSFEATUREHEADERS,0),MATCH(($A51 &amp; "Points"),CLASSNAMEHEADERS,0))),(IF("09"=(INDEX(ALLCLASSDATA,MATCH("ReflexSaveTrained",CLASSFEATUREHEADERS,0),MATCH($A51,CLASSNAMEHEADERS,0))),(INDEX(ALLCLASSDATA,MATCH("ReflexSaveTrained",CLASSFEATUREHEADERS,0),MATCH(($A51 &amp; "Points"),CLASSNAMEHEADERS,0))),"")))))))))}</f>
        <v>REFLEXL09</v>
      </c>
      <c r="P50" s="223"/>
      <c r="Q50" s="223" t="str">
        <f t="array" ref="Q50:Q51">{"REFLEXL11";((IF("11"=(INDEX(ALLCLASSDATA,MATCH("ReflexSaveLegendary",CLASSFEATUREHEADERS,0),MATCH($A51,CLASSNAMEHEADERS,0))),(INDEX(ALLCLASSDATA,MATCH("ReflexSaveLegendary",CLASSFEATUREHEADERS,0),MATCH(($A51 &amp; "Points"),CLASSNAMEHEADERS,0))),(IF("11"=(INDEX(ALLCLASSDATA,MATCH("ReflexSaveMaster",CLASSFEATUREHEADERS,0),MATCH($A51,CLASSNAMEHEADERS,0))),(INDEX(ALLCLASSDATA,MATCH("ReflexSaveMaster",CLASSFEATUREHEADERS,0),MATCH(($A51 &amp; "Points"),CLASSNAMEHEADERS,0))),(IF("11"=(INDEX(ALLCLASSDATA,MATCH("ReflexSaveExpert",CLASSFEATUREHEADERS,0),MATCH($A51,CLASSNAMEHEADERS,0))),(INDEX(ALLCLASSDATA,MATCH("ReflexSaveExpert",CLASSFEATUREHEADERS,0),MATCH(($A51 &amp; "Points"),CLASSNAMEHEADERS,0))),(IF("11"=(INDEX(ALLCLASSDATA,MATCH("ReflexSaveTrained",CLASSFEATUREHEADERS,0),MATCH($A51,CLASSNAMEHEADERS,0))),(INDEX(ALLCLASSDATA,MATCH("ReflexSaveTrained",CLASSFEATUREHEADERS,0),MATCH(($A51 &amp; "Points"),CLASSNAMEHEADERS,0))),"")))))))))}</f>
        <v>REFLEXL11</v>
      </c>
      <c r="R50" s="223"/>
      <c r="S50" s="223" t="str">
        <f t="array" ref="S50:S51">{"REFLEXL13";((IF("13"=(INDEX(ALLCLASSDATA,MATCH("ReflexSaveLegendary",CLASSFEATUREHEADERS,0),MATCH($A51,CLASSNAMEHEADERS,0))),(INDEX(ALLCLASSDATA,MATCH("ReflexSaveLegendary",CLASSFEATUREHEADERS,0),MATCH(($A51 &amp; "Points"),CLASSNAMEHEADERS,0))),(IF("13"=(INDEX(ALLCLASSDATA,MATCH("ReflexSaveMaster",CLASSFEATUREHEADERS,0),MATCH($A51,CLASSNAMEHEADERS,0))),(INDEX(ALLCLASSDATA,MATCH("ReflexSaveMaster",CLASSFEATUREHEADERS,0),MATCH(($A51 &amp; "Points"),CLASSNAMEHEADERS,0))),(IF("13"=(INDEX(ALLCLASSDATA,MATCH("ReflexSaveExpert",CLASSFEATUREHEADERS,0),MATCH($A51,CLASSNAMEHEADERS,0))),(INDEX(ALLCLASSDATA,MATCH("ReflexSaveExpert",CLASSFEATUREHEADERS,0),MATCH(($A51 &amp; "Points"),CLASSNAMEHEADERS,0))),(IF("13"=(INDEX(ALLCLASSDATA,MATCH("ReflexSaveTrained",CLASSFEATUREHEADERS,0),MATCH($A51,CLASSNAMEHEADERS,0))),(INDEX(ALLCLASSDATA,MATCH("ReflexSaveTrained",CLASSFEATUREHEADERS,0),MATCH(($A51 &amp; "Points"),CLASSNAMEHEADERS,0))),"")))))))))}</f>
        <v>REFLEXL13</v>
      </c>
      <c r="T50" s="223"/>
      <c r="U50" s="223" t="str">
        <f t="array" ref="U50:U51">{"REFLEXL15";((IF("15"=(INDEX(ALLCLASSDATA,MATCH("ReflexSaveLegendary",CLASSFEATUREHEADERS,0),MATCH($A51,CLASSNAMEHEADERS,0))),(INDEX(ALLCLASSDATA,MATCH("ReflexSaveLegendary",CLASSFEATUREHEADERS,0),MATCH(($A51 &amp; "Points"),CLASSNAMEHEADERS,0))),(IF("15"=(INDEX(ALLCLASSDATA,MATCH("ReflexSaveMaster",CLASSFEATUREHEADERS,0),MATCH($A51,CLASSNAMEHEADERS,0))),(INDEX(ALLCLASSDATA,MATCH("ReflexSaveMaster",CLASSFEATUREHEADERS,0),MATCH(($A51 &amp; "Points"),CLASSNAMEHEADERS,0))),(IF("15"=(INDEX(ALLCLASSDATA,MATCH("ReflexSaveExpert",CLASSFEATUREHEADERS,0),MATCH($A51,CLASSNAMEHEADERS,0))),(INDEX(ALLCLASSDATA,MATCH("ReflexSaveExpert",CLASSFEATUREHEADERS,0),MATCH(($A51 &amp; "Points"),CLASSNAMEHEADERS,0))),(IF("15"=(INDEX(ALLCLASSDATA,MATCH("ReflexSaveTrained",CLASSFEATUREHEADERS,0),MATCH($A51,CLASSNAMEHEADERS,0))),(INDEX(ALLCLASSDATA,MATCH("ReflexSaveTrained",CLASSFEATUREHEADERS,0),MATCH(($A51 &amp; "Points"),CLASSNAMEHEADERS,0))),"")))))))))}</f>
        <v>REFLEXL15</v>
      </c>
      <c r="V50" s="223"/>
      <c r="W50" s="223" t="str">
        <f t="array" ref="W50:W51">{"REFLEXL17";((IF("17"=(INDEX(ALLCLASSDATA,MATCH("ReflexSaveLegendary",CLASSFEATUREHEADERS,0),MATCH($A51,CLASSNAMEHEADERS,0))),(INDEX(ALLCLASSDATA,MATCH("ReflexSaveLegendary",CLASSFEATUREHEADERS,0),MATCH(($A51 &amp; "Points"),CLASSNAMEHEADERS,0))),(IF("17"=(INDEX(ALLCLASSDATA,MATCH("ReflexSaveMaster",CLASSFEATUREHEADERS,0),MATCH($A51,CLASSNAMEHEADERS,0))),(INDEX(ALLCLASSDATA,MATCH("ReflexSaveMaster",CLASSFEATUREHEADERS,0),MATCH(($A51 &amp; "Points"),CLASSNAMEHEADERS,0))),(IF("17"=(INDEX(ALLCLASSDATA,MATCH("ReflexSaveExpert",CLASSFEATUREHEADERS,0),MATCH($A51,CLASSNAMEHEADERS,0))),(INDEX(ALLCLASSDATA,MATCH("ReflexSaveExpert",CLASSFEATUREHEADERS,0),MATCH(($A51 &amp; "Points"),CLASSNAMEHEADERS,0))),(IF("17"=(INDEX(ALLCLASSDATA,MATCH("ReflexSaveTrained",CLASSFEATUREHEADERS,0),MATCH($A51,CLASSNAMEHEADERS,0))),(INDEX(ALLCLASSDATA,MATCH("ReflexSaveTrained",CLASSFEATUREHEADERS,0),MATCH(($A51 &amp; "Points"),CLASSNAMEHEADERS,0))),"")))))))))}</f>
        <v>REFLEXL17</v>
      </c>
      <c r="X50" s="223"/>
      <c r="Y50" s="223" t="str">
        <f t="array" ref="Y50:Y51">{"REFLEXL19";((IF("19"=(INDEX(ALLCLASSDATA,MATCH("ReflexSaveLegendary",CLASSFEATUREHEADERS,0),MATCH($A51,CLASSNAMEHEADERS,0))),(INDEX(ALLCLASSDATA,MATCH("ReflexSaveLegendary",CLASSFEATUREHEADERS,0),MATCH(($A51 &amp; "Points"),CLASSNAMEHEADERS,0))),(IF("19"=(INDEX(ALLCLASSDATA,MATCH("ReflexSaveMaster",CLASSFEATUREHEADERS,0),MATCH($A51,CLASSNAMEHEADERS,0))),(INDEX(ALLCLASSDATA,MATCH("ReflexSaveMaster",CLASSFEATUREHEADERS,0),MATCH(($A51 &amp; "Points"),CLASSNAMEHEADERS,0))),(IF("19"=(INDEX(ALLCLASSDATA,MATCH("ReflexSaveExpert",CLASSFEATUREHEADERS,0),MATCH($A51,CLASSNAMEHEADERS,0))),(INDEX(ALLCLASSDATA,MATCH("ReflexSaveExpert",CLASSFEATUREHEADERS,0),MATCH(($A51 &amp; "Points"),CLASSNAMEHEADERS,0))),(IF("19"=(INDEX(ALLCLASSDATA,MATCH("ReflexSaveTrained",CLASSFEATUREHEADERS,0),MATCH($A51,CLASSNAMEHEADERS,0))),(INDEX(ALLCLASSDATA,MATCH("ReflexSaveTrained",CLASSFEATUREHEADERS,0),MATCH(($A51 &amp; "Points"),CLASSNAMEHEADERS,0))),"")))))))))}</f>
        <v>REFLEXL19</v>
      </c>
      <c r="Z50" s="223"/>
      <c r="AA50" s="76" t="str">
        <f t="array" ref="AA50:AA51">{"REFLEX TOTAL";(IF(COUNTBLANK(F51:Z51)=17,"L",(IF(COUNTBLANK(F51:Z51)=18,"M",(IF(COUNTBLANK(F51:Z51)=19,"E",(IF(COUNTBLANK(F51:Z51)=20,"T",""))))))))}</f>
        <v>REFLEX TOTAL</v>
      </c>
      <c r="AB50" s="76" t="str">
        <f t="array" ref="AB50:AB51">{"REFLEX TOTAL";(sum(F51:Z51))}</f>
        <v>REFLEX TOTAL</v>
      </c>
    </row>
    <row r="51">
      <c r="A51" s="48" t="s">
        <v>211</v>
      </c>
      <c r="B51" s="48" t="s">
        <v>417</v>
      </c>
      <c r="C51" s="48" t="s">
        <v>1549</v>
      </c>
      <c r="D51" s="48" t="s">
        <v>1572</v>
      </c>
      <c r="E51" s="5" t="s">
        <v>435</v>
      </c>
      <c r="F51" s="47" t="s">
        <v>603</v>
      </c>
      <c r="G51" s="5">
        <v>10.0</v>
      </c>
      <c r="H51" s="5"/>
      <c r="I51" s="5" t="s">
        <v>603</v>
      </c>
      <c r="J51" s="5"/>
      <c r="K51" s="5" t="s">
        <v>603</v>
      </c>
      <c r="L51" s="5"/>
      <c r="M51" s="5" t="s">
        <v>603</v>
      </c>
      <c r="N51" s="5"/>
      <c r="O51" s="48" t="s">
        <v>603</v>
      </c>
      <c r="P51" s="5"/>
      <c r="Q51" s="5">
        <v>50.0</v>
      </c>
      <c r="R51" s="5"/>
      <c r="S51" s="5" t="s">
        <v>603</v>
      </c>
      <c r="T51" s="5"/>
      <c r="U51" s="5" t="s">
        <v>603</v>
      </c>
      <c r="V51" s="5"/>
      <c r="W51" s="5" t="s">
        <v>603</v>
      </c>
      <c r="X51" s="5"/>
      <c r="Y51" s="5" t="s">
        <v>603</v>
      </c>
      <c r="Z51" s="5"/>
      <c r="AA51" s="5" t="s">
        <v>436</v>
      </c>
      <c r="AB51" s="47">
        <v>60.0</v>
      </c>
    </row>
    <row r="52" hidden="1">
      <c r="A52" s="222" t="str">
        <f t="array" ref="A52:A53">{"FormulaRow25";(INDEX(CLASSLIST,A3,1))}</f>
        <v>FormulaRow25</v>
      </c>
      <c r="B52" s="222" t="str">
        <f t="array" ref="B52:B53">{"CLASSTYPE";((INDEX(ALLCLASSDATA,MATCH("ClassType",CLASSFEATUREHEADERS,0),MATCH($A53,CLASSNAMEHEADERS,0))))}</f>
        <v>CLASSTYPE</v>
      </c>
      <c r="C52" s="222" t="str">
        <f t="array" ref="C52:C53">{"SAVES";"Saves"}</f>
        <v>SAVES</v>
      </c>
      <c r="D52" s="222" t="str">
        <f t="array" ref="D52:D53">{"WILLSAVE";"WillSave"}</f>
        <v>WILLSAVE</v>
      </c>
      <c r="E52" s="223" t="str">
        <f t="array" ref="E52:E53">{"WILLINITIAL";((IF(G53=10,"T",(IF(G53=50,"E","")))))}</f>
        <v>WILLINITIAL</v>
      </c>
      <c r="F52" s="223" t="str">
        <f t="array" ref="F52:F53">{"WILLINITIALPTS";((IF("00"=(INDEX(ALLCLASSDATA,MATCH("WillSaveLegendary",CLASSFEATUREHEADERS,0),MATCH($A53,CLASSNAMEHEADERS,0))),(INDEX(ALLCLASSDATA,MATCH("WillSaveLegendary",CLASSFEATUREHEADERS,0),MATCH(($A53 &amp; "Points"),CLASSNAMEHEADERS,0))),(IF("00"=(INDEX(ALLCLASSDATA,MATCH("WillSaveMaster",CLASSFEATUREHEADERS,0),MATCH($A53,CLASSNAMEHEADERS,0))),(INDEX(ALLCLASSDATA,MATCH("WillSaveMaster",CLASSFEATUREHEADERS,0),MATCH(($A53 &amp; "Points"),CLASSNAMEHEADERS,0))),(IF("00"=(INDEX(ALLCLASSDATA,MATCH("WillSaveExpert",CLASSFEATUREHEADERS,0),MATCH($A53,CLASSNAMEHEADERS,0))),(INDEX(ALLCLASSDATA,MATCH("WillSaveExpert",CLASSFEATUREHEADERS,0),MATCH(($A53 &amp; "Points"),CLASSNAMEHEADERS,0))),(IF("00"=(INDEX(ALLCLASSDATA,MATCH("WillSaveTrained",CLASSFEATUREHEADERS,0),MATCH($A53,CLASSNAMEHEADERS,0))),(INDEX(ALLCLASSDATA,MATCH("WillSaveTrained",CLASSFEATUREHEADERS,0),MATCH(($A53 &amp; "Points"),CLASSNAMEHEADERS,0))),"")))))))))}</f>
        <v>WILLINITIALPTS</v>
      </c>
      <c r="G52" s="223" t="str">
        <f t="array" ref="G52:G53">{"WILLL01";((IF("01"=(INDEX(ALLCLASSDATA,MATCH("WillSaveLegendary",CLASSFEATUREHEADERS,0),MATCH($A53,CLASSNAMEHEADERS,0))),(INDEX(ALLCLASSDATA,MATCH("WillSaveLegendary",CLASSFEATUREHEADERS,0),MATCH(($A53 &amp; "Points"),CLASSNAMEHEADERS,0))),(IF("01"=(INDEX(ALLCLASSDATA,MATCH("WillSaveMaster",CLASSFEATUREHEADERS,0),MATCH($A53,CLASSNAMEHEADERS,0))),(INDEX(ALLCLASSDATA,MATCH("WillSaveMaster",CLASSFEATUREHEADERS,0),MATCH(($A53 &amp; "Points"),CLASSNAMEHEADERS,0))),(IF("01"=(INDEX(ALLCLASSDATA,MATCH("WillSaveExpert",CLASSFEATUREHEADERS,0),MATCH($A53,CLASSNAMEHEADERS,0))),(INDEX(ALLCLASSDATA,MATCH("WillSaveExpert",CLASSFEATUREHEADERS,0),MATCH(($A53 &amp; "Points"),CLASSNAMEHEADERS,0))),(IF("01"=(INDEX(ALLCLASSDATA,MATCH("WillSaveTrained",CLASSFEATUREHEADERS,0),MATCH($A53,CLASSNAMEHEADERS,0))),(INDEX(ALLCLASSDATA,MATCH("WillSaveTrained",CLASSFEATUREHEADERS,0),MATCH(($A53 &amp; "Points"),CLASSNAMEHEADERS,0))),"")))))))))}</f>
        <v>WILLL01</v>
      </c>
      <c r="H52" s="223"/>
      <c r="I52" s="223" t="str">
        <f t="array" ref="I52:I53">{"WILLL03";((IF("03"=(INDEX(ALLCLASSDATA,MATCH("WillSaveLegendary",CLASSFEATUREHEADERS,0),MATCH($A53,CLASSNAMEHEADERS,0))),(INDEX(ALLCLASSDATA,MATCH("WillSaveLegendary",CLASSFEATUREHEADERS,0),MATCH(($A53 &amp; "Points"),CLASSNAMEHEADERS,0))),(IF("03"=(INDEX(ALLCLASSDATA,MATCH("WillSaveMaster",CLASSFEATUREHEADERS,0),MATCH($A53,CLASSNAMEHEADERS,0))),(INDEX(ALLCLASSDATA,MATCH("WillSaveMaster",CLASSFEATUREHEADERS,0),MATCH(($A53 &amp; "Points"),CLASSNAMEHEADERS,0))),(IF("03"=(INDEX(ALLCLASSDATA,MATCH("WillSaveExpert",CLASSFEATUREHEADERS,0),MATCH($A53,CLASSNAMEHEADERS,0))),(INDEX(ALLCLASSDATA,MATCH("WillSaveExpert",CLASSFEATUREHEADERS,0),MATCH(($A53 &amp; "Points"),CLASSNAMEHEADERS,0))),(IF("03"=(INDEX(ALLCLASSDATA,MATCH("WillSaveTrained",CLASSFEATUREHEADERS,0),MATCH($A53,CLASSNAMEHEADERS,0))),(INDEX(ALLCLASSDATA,MATCH("WillSaveTrained",CLASSFEATUREHEADERS,0),MATCH(($A53 &amp; "Points"),CLASSNAMEHEADERS,0))),"")))))))))}</f>
        <v>WILLL03</v>
      </c>
      <c r="J52" s="223"/>
      <c r="K52" s="223" t="str">
        <f t="array" ref="K52:K53">{"WILLL05";((IF("05"=(INDEX(ALLCLASSDATA,MATCH("WillSaveLegendary",CLASSFEATUREHEADERS,0),MATCH($A53,CLASSNAMEHEADERS,0))),(INDEX(ALLCLASSDATA,MATCH("WillSaveLegendary",CLASSFEATUREHEADERS,0),MATCH(($A53 &amp; "Points"),CLASSNAMEHEADERS,0))),(IF("05"=(INDEX(ALLCLASSDATA,MATCH("WillSaveMaster",CLASSFEATUREHEADERS,0),MATCH($A53,CLASSNAMEHEADERS,0))),(INDEX(ALLCLASSDATA,MATCH("WillSaveMaster",CLASSFEATUREHEADERS,0),MATCH(($A53 &amp; "Points"),CLASSNAMEHEADERS,0))),(IF("05"=(INDEX(ALLCLASSDATA,MATCH("WillSaveExpert",CLASSFEATUREHEADERS,0),MATCH($A53,CLASSNAMEHEADERS,0))),(INDEX(ALLCLASSDATA,MATCH("WillSaveExpert",CLASSFEATUREHEADERS,0),MATCH(($A53 &amp; "Points"),CLASSNAMEHEADERS,0))),(IF("05"=(INDEX(ALLCLASSDATA,MATCH("WillSaveTrained",CLASSFEATUREHEADERS,0),MATCH($A53,CLASSNAMEHEADERS,0))),(INDEX(ALLCLASSDATA,MATCH("WillSaveTrained",CLASSFEATUREHEADERS,0),MATCH(($A53 &amp; "Points"),CLASSNAMEHEADERS,0))),"")))))))))}</f>
        <v>WILLL05</v>
      </c>
      <c r="L52" s="223"/>
      <c r="M52" s="223" t="str">
        <f t="array" ref="M52:M53">{"WILLL07";((IF("07"=(INDEX(ALLCLASSDATA,MATCH("WillSaveLegendary",CLASSFEATUREHEADERS,0),MATCH($A53,CLASSNAMEHEADERS,0))),(INDEX(ALLCLASSDATA,MATCH("WillSaveLegendary",CLASSFEATUREHEADERS,0),MATCH(($A53 &amp; "Points"),CLASSNAMEHEADERS,0))),(IF("07"=(INDEX(ALLCLASSDATA,MATCH("WillSaveMaster",CLASSFEATUREHEADERS,0),MATCH($A53,CLASSNAMEHEADERS,0))),(INDEX(ALLCLASSDATA,MATCH("WillSaveMaster",CLASSFEATUREHEADERS,0),MATCH(($A53 &amp; "Points"),CLASSNAMEHEADERS,0))),(IF("07"=(INDEX(ALLCLASSDATA,MATCH("WillSaveExpert",CLASSFEATUREHEADERS,0),MATCH($A53,CLASSNAMEHEADERS,0))),(INDEX(ALLCLASSDATA,MATCH("WillSaveExpert",CLASSFEATUREHEADERS,0),MATCH(($A53 &amp; "Points"),CLASSNAMEHEADERS,0))),(IF("07"=(INDEX(ALLCLASSDATA,MATCH("WillSaveTrained",CLASSFEATUREHEADERS,0),MATCH($A53,CLASSNAMEHEADERS,0))),(INDEX(ALLCLASSDATA,MATCH("WillSaveTrained",CLASSFEATUREHEADERS,0),MATCH(($A53 &amp; "Points"),CLASSNAMEHEADERS,0))),"")))))))))}</f>
        <v>WILLL07</v>
      </c>
      <c r="N52" s="223"/>
      <c r="O52" s="223" t="str">
        <f t="array" ref="O52:O53">{"WILLL09";((IF("09"=(INDEX(ALLCLASSDATA,MATCH("WillSaveLegendary",CLASSFEATUREHEADERS,0),MATCH($A53,CLASSNAMEHEADERS,0))),(INDEX(ALLCLASSDATA,MATCH("WillSaveLegendary",CLASSFEATUREHEADERS,0),MATCH(($A53 &amp; "Points"),CLASSNAMEHEADERS,0))),(IF("09"=(INDEX(ALLCLASSDATA,MATCH("WillSaveMaster",CLASSFEATUREHEADERS,0),MATCH($A53,CLASSNAMEHEADERS,0))),(INDEX(ALLCLASSDATA,MATCH("WillSaveMaster",CLASSFEATUREHEADERS,0),MATCH(($A53 &amp; "Points"),CLASSNAMEHEADERS,0))),(IF("09"=(INDEX(ALLCLASSDATA,MATCH("WillSaveExpert",CLASSFEATUREHEADERS,0),MATCH($A53,CLASSNAMEHEADERS,0))),(INDEX(ALLCLASSDATA,MATCH("WillSaveExpert",CLASSFEATUREHEADERS,0),MATCH(($A53 &amp; "Points"),CLASSNAMEHEADERS,0))),(IF("09"=(INDEX(ALLCLASSDATA,MATCH("WillSaveTrained",CLASSFEATUREHEADERS,0),MATCH($A53,CLASSNAMEHEADERS,0))),(INDEX(ALLCLASSDATA,MATCH("WillSaveTrained",CLASSFEATUREHEADERS,0),MATCH(($A53 &amp; "Points"),CLASSNAMEHEADERS,0))),"")))))))))}</f>
        <v>WILLL09</v>
      </c>
      <c r="P52" s="223"/>
      <c r="Q52" s="223" t="str">
        <f t="array" ref="Q52:Q53">{"WILLL11";((IF("11"=(INDEX(ALLCLASSDATA,MATCH("WillSaveLegendary",CLASSFEATUREHEADERS,0),MATCH($A53,CLASSNAMEHEADERS,0))),(INDEX(ALLCLASSDATA,MATCH("WillSaveLegendary",CLASSFEATUREHEADERS,0),MATCH(($A53 &amp; "Points"),CLASSNAMEHEADERS,0))),(IF("11"=(INDEX(ALLCLASSDATA,MATCH("WillSaveMaster",CLASSFEATUREHEADERS,0),MATCH($A53,CLASSNAMEHEADERS,0))),(INDEX(ALLCLASSDATA,MATCH("WillSaveMaster",CLASSFEATUREHEADERS,0),MATCH(($A53 &amp; "Points"),CLASSNAMEHEADERS,0))),(IF("11"=(INDEX(ALLCLASSDATA,MATCH("WillSaveExpert",CLASSFEATUREHEADERS,0),MATCH($A53,CLASSNAMEHEADERS,0))),(INDEX(ALLCLASSDATA,MATCH("WillSaveExpert",CLASSFEATUREHEADERS,0),MATCH(($A53 &amp; "Points"),CLASSNAMEHEADERS,0))),(IF("11"=(INDEX(ALLCLASSDATA,MATCH("WillSaveTrained",CLASSFEATUREHEADERS,0),MATCH($A53,CLASSNAMEHEADERS,0))),(INDEX(ALLCLASSDATA,MATCH("WillSaveTrained",CLASSFEATUREHEADERS,0),MATCH(($A53 &amp; "Points"),CLASSNAMEHEADERS,0))),"")))))))))}</f>
        <v>WILLL11</v>
      </c>
      <c r="R52" s="223"/>
      <c r="S52" s="223" t="str">
        <f t="array" ref="S52:S53">{"WILLL13";((IF("13"=(INDEX(ALLCLASSDATA,MATCH("WillSaveLegendary",CLASSFEATUREHEADERS,0),MATCH($A53,CLASSNAMEHEADERS,0))),(INDEX(ALLCLASSDATA,MATCH("WillSaveLegendary",CLASSFEATUREHEADERS,0),MATCH(($A53 &amp; "Points"),CLASSNAMEHEADERS,0))),(IF("13"=(INDEX(ALLCLASSDATA,MATCH("WillSaveMaster",CLASSFEATUREHEADERS,0),MATCH($A53,CLASSNAMEHEADERS,0))),(INDEX(ALLCLASSDATA,MATCH("WillSaveMaster",CLASSFEATUREHEADERS,0),MATCH(($A53 &amp; "Points"),CLASSNAMEHEADERS,0))),(IF("13"=(INDEX(ALLCLASSDATA,MATCH("WillSaveExpert",CLASSFEATUREHEADERS,0),MATCH($A53,CLASSNAMEHEADERS,0))),(INDEX(ALLCLASSDATA,MATCH("WillSaveExpert",CLASSFEATUREHEADERS,0),MATCH(($A53 &amp; "Points"),CLASSNAMEHEADERS,0))),(IF("13"=(INDEX(ALLCLASSDATA,MATCH("WillSaveTrained",CLASSFEATUREHEADERS,0),MATCH($A53,CLASSNAMEHEADERS,0))),(INDEX(ALLCLASSDATA,MATCH("WillSaveTrained",CLASSFEATUREHEADERS,0),MATCH(($A53 &amp; "Points"),CLASSNAMEHEADERS,0))),"")))))))))}</f>
        <v>WILLL13</v>
      </c>
      <c r="T52" s="223"/>
      <c r="U52" s="223" t="str">
        <f t="array" ref="U52:U53">{"WILLL15";((IF("15"=(INDEX(ALLCLASSDATA,MATCH("WillSaveLegendary",CLASSFEATUREHEADERS,0),MATCH($A53,CLASSNAMEHEADERS,0))),(INDEX(ALLCLASSDATA,MATCH("WillSaveLegendary",CLASSFEATUREHEADERS,0),MATCH(($A53 &amp; "Points"),CLASSNAMEHEADERS,0))),(IF("15"=(INDEX(ALLCLASSDATA,MATCH("WillSaveMaster",CLASSFEATUREHEADERS,0),MATCH($A53,CLASSNAMEHEADERS,0))),(INDEX(ALLCLASSDATA,MATCH("WillSaveMaster",CLASSFEATUREHEADERS,0),MATCH(($A53 &amp; "Points"),CLASSNAMEHEADERS,0))),(IF("15"=(INDEX(ALLCLASSDATA,MATCH("WillSaveExpert",CLASSFEATUREHEADERS,0),MATCH($A53,CLASSNAMEHEADERS,0))),(INDEX(ALLCLASSDATA,MATCH("WillSaveExpert",CLASSFEATUREHEADERS,0),MATCH(($A53 &amp; "Points"),CLASSNAMEHEADERS,0))),(IF("15"=(INDEX(ALLCLASSDATA,MATCH("WillSaveTrained",CLASSFEATUREHEADERS,0),MATCH($A53,CLASSNAMEHEADERS,0))),(INDEX(ALLCLASSDATA,MATCH("WillSaveTrained",CLASSFEATUREHEADERS,0),MATCH(($A53 &amp; "Points"),CLASSNAMEHEADERS,0))),"")))))))))}</f>
        <v>WILLL15</v>
      </c>
      <c r="V52" s="223"/>
      <c r="W52" s="223" t="str">
        <f t="array" ref="W52:W53">{"WILLL17";((IF("17"=(INDEX(ALLCLASSDATA,MATCH("WillSaveLegendary",CLASSFEATUREHEADERS,0),MATCH($A53,CLASSNAMEHEADERS,0))),(INDEX(ALLCLASSDATA,MATCH("WillSaveLegendary",CLASSFEATUREHEADERS,0),MATCH(($A53 &amp; "Points"),CLASSNAMEHEADERS,0))),(IF("17"=(INDEX(ALLCLASSDATA,MATCH("WillSaveMaster",CLASSFEATUREHEADERS,0),MATCH($A53,CLASSNAMEHEADERS,0))),(INDEX(ALLCLASSDATA,MATCH("WillSaveMaster",CLASSFEATUREHEADERS,0),MATCH(($A53 &amp; "Points"),CLASSNAMEHEADERS,0))),(IF("17"=(INDEX(ALLCLASSDATA,MATCH("WillSaveExpert",CLASSFEATUREHEADERS,0),MATCH($A53,CLASSNAMEHEADERS,0))),(INDEX(ALLCLASSDATA,MATCH("WillSaveExpert",CLASSFEATUREHEADERS,0),MATCH(($A53 &amp; "Points"),CLASSNAMEHEADERS,0))),(IF("17"=(INDEX(ALLCLASSDATA,MATCH("WillSaveTrained",CLASSFEATUREHEADERS,0),MATCH($A53,CLASSNAMEHEADERS,0))),(INDEX(ALLCLASSDATA,MATCH("WillSaveTrained",CLASSFEATUREHEADERS,0),MATCH(($A53 &amp; "Points"),CLASSNAMEHEADERS,0))),"")))))))))}</f>
        <v>WILLL17</v>
      </c>
      <c r="X52" s="223"/>
      <c r="Y52" s="223" t="str">
        <f t="array" ref="Y52:Y53">{"WILLL19";((IF("19"=(INDEX(ALLCLASSDATA,MATCH("WillSaveLegendary",CLASSFEATUREHEADERS,0),MATCH($A53,CLASSNAMEHEADERS,0))),(INDEX(ALLCLASSDATA,MATCH("WillSaveLegendary",CLASSFEATUREHEADERS,0),MATCH(($A53 &amp; "Points"),CLASSNAMEHEADERS,0))),(IF("19"=(INDEX(ALLCLASSDATA,MATCH("WillSaveMaster",CLASSFEATUREHEADERS,0),MATCH($A53,CLASSNAMEHEADERS,0))),(INDEX(ALLCLASSDATA,MATCH("WillSaveMaster",CLASSFEATUREHEADERS,0),MATCH(($A53 &amp; "Points"),CLASSNAMEHEADERS,0))),(IF("19"=(INDEX(ALLCLASSDATA,MATCH("WillSaveExpert",CLASSFEATUREHEADERS,0),MATCH($A53,CLASSNAMEHEADERS,0))),(INDEX(ALLCLASSDATA,MATCH("WillSaveExpert",CLASSFEATUREHEADERS,0),MATCH(($A53 &amp; "Points"),CLASSNAMEHEADERS,0))),(IF("19"=(INDEX(ALLCLASSDATA,MATCH("WillSaveTrained",CLASSFEATUREHEADERS,0),MATCH($A53,CLASSNAMEHEADERS,0))),(INDEX(ALLCLASSDATA,MATCH("WillSaveTrained",CLASSFEATUREHEADERS,0),MATCH(($A53 &amp; "Points"),CLASSNAMEHEADERS,0))),"")))))))))}</f>
        <v>WILLL19</v>
      </c>
      <c r="Z52" s="223"/>
      <c r="AA52" s="76" t="str">
        <f t="array" ref="AA52:AA53">{"WILL TOTAL";(IF(COUNTBLANK(F53:Z53)=17,"L",(IF(COUNTBLANK(F53:Z53)=18,"M",(IF(COUNTBLANK(F53:Z53)=19,"E",(IF(COUNTBLANK(F53:Z53)=20,"T",""))))))))}</f>
        <v>WILL TOTAL</v>
      </c>
      <c r="AB52" s="76" t="str">
        <f t="array" ref="AB52:AB53">{"WILL TOTAL";(sum(F53:Z53))}</f>
        <v>WILL TOTAL</v>
      </c>
    </row>
    <row r="53">
      <c r="A53" s="48" t="s">
        <v>211</v>
      </c>
      <c r="B53" s="48" t="s">
        <v>417</v>
      </c>
      <c r="C53" s="97" t="s">
        <v>1549</v>
      </c>
      <c r="D53" s="97" t="s">
        <v>1591</v>
      </c>
      <c r="E53" s="98" t="s">
        <v>436</v>
      </c>
      <c r="F53" s="132">
        <v>10.0</v>
      </c>
      <c r="G53" s="98">
        <v>50.0</v>
      </c>
      <c r="H53" s="98"/>
      <c r="I53" s="98" t="s">
        <v>603</v>
      </c>
      <c r="J53" s="98"/>
      <c r="K53" s="98" t="s">
        <v>603</v>
      </c>
      <c r="L53" s="97"/>
      <c r="M53" s="98" t="s">
        <v>603</v>
      </c>
      <c r="N53" s="98"/>
      <c r="O53" s="98">
        <v>110.0</v>
      </c>
      <c r="P53" s="97"/>
      <c r="Q53" s="98" t="s">
        <v>603</v>
      </c>
      <c r="R53" s="98"/>
      <c r="S53" s="98" t="s">
        <v>603</v>
      </c>
      <c r="T53" s="98"/>
      <c r="U53" s="98" t="s">
        <v>603</v>
      </c>
      <c r="V53" s="98"/>
      <c r="W53" s="98" t="s">
        <v>603</v>
      </c>
      <c r="X53" s="98"/>
      <c r="Y53" s="98" t="s">
        <v>603</v>
      </c>
      <c r="Z53" s="98"/>
      <c r="AA53" s="5" t="s">
        <v>437</v>
      </c>
      <c r="AB53" s="47">
        <v>170.0</v>
      </c>
    </row>
    <row r="54" hidden="1">
      <c r="A54" s="222" t="str">
        <f t="array" ref="A54:A55">{"FormulaRow26";(INDEX(CLASSLIST,A3,1))}</f>
        <v>FormulaRow26</v>
      </c>
      <c r="B54" s="222" t="str">
        <f t="array" ref="B54:B55">{"CLASSTYPE";((INDEX(ALLCLASSDATA,MATCH("ClassType",CLASSFEATUREHEADERS,0),MATCH($A55,CLASSNAMEHEADERS,0))))}</f>
        <v>CLASSTYPE</v>
      </c>
      <c r="C54" s="228" t="str">
        <f t="array" ref="C54:C55">{"ATTACK";"Attack"}</f>
        <v>ATTACK</v>
      </c>
      <c r="D54" s="228" t="str">
        <f t="array" ref="D54:D55">{"WEAPONSPECIAL";"WeaponCS/WS/GWS"}</f>
        <v>WEAPONSPECIAL</v>
      </c>
      <c r="E54" s="230"/>
      <c r="F54" s="230"/>
      <c r="G54" s="230" t="str">
        <f t="array" ref="G54:G55">{"WEAPONSPECIALL01";((IF("01"=INDEX(ALLCLASSDATA,MATCH("WeaponGreaterSpecialization",CLASSFEATUREHEADERS,0),MATCH($A55,CLASSNAMEHEADERS,0)),WeaponGWS,(IF("01"=INDEX(ALLCLASSDATA,MATCH("WeaponSpecialization",CLASSFEATUREHEADERS,0),MATCH($A55,CLASSNAMEHEADERS,0)),WeaponWS,(IF("01"=INDEX(ALLCLASSDATA,MATCH("WeaponCriticalSpecialization",CLASSFEATUREHEADERS,0),MATCH($A55,CLASSNAMEHEADERS,0)),WeaponCS,"")))))))}</f>
        <v>WEAPONSPECIALL01</v>
      </c>
      <c r="H54" s="230"/>
      <c r="I54" s="230" t="str">
        <f t="array" ref="I54:I55">{"WEAPONSPECIALL03";((IF("03"=INDEX(ALLCLASSDATA,MATCH("WeaponGreaterSpecialization",CLASSFEATUREHEADERS,0),MATCH($A55,CLASSNAMEHEADERS,0)),WeaponGWS,(IF("03"=INDEX(ALLCLASSDATA,MATCH("WeaponSpecialization",CLASSFEATUREHEADERS,0),MATCH($A55,CLASSNAMEHEADERS,0)),WeaponWS,(IF("03"=INDEX(ALLCLASSDATA,MATCH("WeaponCriticalSpecialization",CLASSFEATUREHEADERS,0),MATCH($A55,CLASSNAMEHEADERS,0)),WeaponCS,"")))))))}</f>
        <v>WEAPONSPECIALL03</v>
      </c>
      <c r="J54" s="230"/>
      <c r="K54" s="230" t="str">
        <f t="array" ref="K54:K55">{"WEAPONSPECIALL05";((IF("05"=INDEX(ALLCLASSDATA,MATCH("WeaponGreaterSpecialization",CLASSFEATUREHEADERS,0),MATCH($A55,CLASSNAMEHEADERS,0)),WeaponGWS,(IF("05"=INDEX(ALLCLASSDATA,MATCH("WeaponSpecialization",CLASSFEATUREHEADERS,0),MATCH($A55,CLASSNAMEHEADERS,0)),WeaponWS,(IF("05"=INDEX(ALLCLASSDATA,MATCH("WeaponCriticalSpecialization",CLASSFEATUREHEADERS,0),MATCH($A55,CLASSNAMEHEADERS,0)),WeaponCS,"")))))))}</f>
        <v>WEAPONSPECIALL05</v>
      </c>
      <c r="L54" s="230"/>
      <c r="M54" s="230" t="str">
        <f t="array" ref="M54:M55">{"WEAPONSPECIALL07";((IF("07"=INDEX(ALLCLASSDATA,MATCH("WeaponGreaterSpecialization",CLASSFEATUREHEADERS,0),MATCH($A55,CLASSNAMEHEADERS,0)),WeaponGWS,(IF("07"=INDEX(ALLCLASSDATA,MATCH("WeaponSpecialization",CLASSFEATUREHEADERS,0),MATCH($A55,CLASSNAMEHEADERS,0)),WeaponWS,(IF("07"=INDEX(ALLCLASSDATA,MATCH("WeaponCriticalSpecialization",CLASSFEATUREHEADERS,0),MATCH($A55,CLASSNAMEHEADERS,0)),WeaponCS,"")))))))}</f>
        <v>WEAPONSPECIALL07</v>
      </c>
      <c r="N54" s="230"/>
      <c r="O54" s="230" t="str">
        <f t="array" ref="O54:O55">{"WEAPONSPECIALL09";((IF("09"=INDEX(ALLCLASSDATA,MATCH("WeaponGreaterSpecialization",CLASSFEATUREHEADERS,0),MATCH($A55,CLASSNAMEHEADERS,0)),WeaponGWS,(IF("09"=INDEX(ALLCLASSDATA,MATCH("WeaponSpecialization",CLASSFEATUREHEADERS,0),MATCH($A55,CLASSNAMEHEADERS,0)),WeaponWS,(IF("09"=INDEX(ALLCLASSDATA,MATCH("WeaponCriticalSpecialization",CLASSFEATUREHEADERS,0),MATCH($A55,CLASSNAMEHEADERS,0)),WeaponCS,"")))))))}</f>
        <v>WEAPONSPECIALL09</v>
      </c>
      <c r="P54" s="230"/>
      <c r="Q54" s="230" t="str">
        <f t="array" ref="Q54:Q55">{"WEAPONSPECIALL11";((IF("11"=INDEX(ALLCLASSDATA,MATCH("WeaponGreaterSpecialization",CLASSFEATUREHEADERS,0),MATCH($A55,CLASSNAMEHEADERS,0)),WeaponGWS,(IF("11"=INDEX(ALLCLASSDATA,MATCH("WeaponSpecialization",CLASSFEATUREHEADERS,0),MATCH($A55,CLASSNAMEHEADERS,0)),WeaponWS,(IF("11"=INDEX(ALLCLASSDATA,MATCH("WeaponCriticalSpecialization",CLASSFEATUREHEADERS,0),MATCH($A55,CLASSNAMEHEADERS,0)),WeaponCS,"")))))))}</f>
        <v>WEAPONSPECIALL11</v>
      </c>
      <c r="R54" s="230"/>
      <c r="S54" s="230" t="str">
        <f t="array" ref="S54:S55">{"WEAPONSPECIALL13";((IF("13"=INDEX(ALLCLASSDATA,MATCH("WeaponGreaterSpecialization",CLASSFEATUREHEADERS,0),MATCH($A55,CLASSNAMEHEADERS,0)),WeaponGWS,(IF("13"=INDEX(ALLCLASSDATA,MATCH("WeaponSpecialization",CLASSFEATUREHEADERS,0),MATCH($A55,CLASSNAMEHEADERS,0)),WeaponWS,(IF("13"=INDEX(ALLCLASSDATA,MATCH("WeaponCriticalSpecialization",CLASSFEATUREHEADERS,0),MATCH($A55,CLASSNAMEHEADERS,0)),WeaponCS,"")))))))}</f>
        <v>WEAPONSPECIALL13</v>
      </c>
      <c r="T54" s="230"/>
      <c r="U54" s="230" t="str">
        <f t="array" ref="U54:U55">{"WEAPONSPECIALL15";((IF("15"=INDEX(ALLCLASSDATA,MATCH("WeaponGreaterSpecialization",CLASSFEATUREHEADERS,0),MATCH($A55,CLASSNAMEHEADERS,0)),WeaponGWS,(IF("15"=INDEX(ALLCLASSDATA,MATCH("WeaponSpecialization",CLASSFEATUREHEADERS,0),MATCH($A55,CLASSNAMEHEADERS,0)),WeaponWS,(IF("15"=INDEX(ALLCLASSDATA,MATCH("WeaponCriticalSpecialization",CLASSFEATUREHEADERS,0),MATCH($A55,CLASSNAMEHEADERS,0)),WeaponCS,"")))))))}</f>
        <v>WEAPONSPECIALL15</v>
      </c>
      <c r="V54" s="230"/>
      <c r="W54" s="230" t="str">
        <f t="array" ref="W54:W55">{"WEAPONSPECIALL17";((IF("17"=INDEX(ALLCLASSDATA,MATCH("WeaponGreaterSpecialization",CLASSFEATUREHEADERS,0),MATCH($A55,CLASSNAMEHEADERS,0)),WeaponGWS,(IF("17"=INDEX(ALLCLASSDATA,MATCH("WeaponSpecialization",CLASSFEATUREHEADERS,0),MATCH($A55,CLASSNAMEHEADERS,0)),WeaponWS,(IF("17"=INDEX(ALLCLASSDATA,MATCH("WeaponCriticalSpecialization",CLASSFEATUREHEADERS,0),MATCH($A55,CLASSNAMEHEADERS,0)),WeaponCS,"")))))))}</f>
        <v>WEAPONSPECIALL17</v>
      </c>
      <c r="X54" s="230"/>
      <c r="Y54" s="230" t="str">
        <f t="array" ref="Y54:Y55">{"WEAPONSPECIALL19";((IF("19"=INDEX(ALLCLASSDATA,MATCH("WeaponGreaterSpecialization",CLASSFEATUREHEADERS,0),MATCH($A55,CLASSNAMEHEADERS,0)),WeaponGWS,(IF("19"=INDEX(ALLCLASSDATA,MATCH("WeaponSpecialization",CLASSFEATUREHEADERS,0),MATCH($A55,CLASSNAMEHEADERS,0)),WeaponWS,(IF("19"=INDEX(ALLCLASSDATA,MATCH("WeaponCriticalSpecialization",CLASSFEATUREHEADERS,0),MATCH($A55,CLASSNAMEHEADERS,0)),WeaponCS,"")))))))}</f>
        <v>WEAPONSPECIALL19</v>
      </c>
      <c r="Z54" s="230"/>
      <c r="AA54" s="76"/>
      <c r="AB54" s="76" t="str">
        <f t="array" ref="AB54:AB55">{"WEAPONSPECIAL TOTAL";(sum(F55:Z55))}</f>
        <v>WEAPONSPECIAL TOTAL</v>
      </c>
    </row>
    <row r="55">
      <c r="A55" s="48" t="s">
        <v>211</v>
      </c>
      <c r="B55" s="48" t="s">
        <v>417</v>
      </c>
      <c r="C55" s="48" t="s">
        <v>1634</v>
      </c>
      <c r="D55" s="48" t="s">
        <v>1635</v>
      </c>
      <c r="E55" s="5"/>
      <c r="F55" s="47"/>
      <c r="G55" s="5" t="s">
        <v>603</v>
      </c>
      <c r="H55" s="5"/>
      <c r="I55" s="5" t="s">
        <v>603</v>
      </c>
      <c r="J55" s="5"/>
      <c r="K55" s="5" t="s">
        <v>603</v>
      </c>
      <c r="L55" s="5"/>
      <c r="M55" s="5">
        <v>50.0</v>
      </c>
      <c r="N55" s="5"/>
      <c r="O55" s="5" t="s">
        <v>603</v>
      </c>
      <c r="P55" s="5"/>
      <c r="Q55" s="5" t="s">
        <v>603</v>
      </c>
      <c r="R55" s="5"/>
      <c r="S55" s="5">
        <v>70.0</v>
      </c>
      <c r="T55" s="5"/>
      <c r="U55" s="5" t="s">
        <v>603</v>
      </c>
      <c r="V55" s="5"/>
      <c r="W55" s="5" t="s">
        <v>603</v>
      </c>
      <c r="X55" s="5"/>
      <c r="Y55" s="5" t="s">
        <v>603</v>
      </c>
      <c r="Z55" s="5"/>
      <c r="AA55" s="5"/>
      <c r="AB55" s="47">
        <v>120.0</v>
      </c>
    </row>
    <row r="56" hidden="1">
      <c r="A56" s="222" t="str">
        <f t="array" ref="A56:A57">{"FormulaRow27";(INDEX(CLASSLIST,A3,1))}</f>
        <v>FormulaRow27</v>
      </c>
      <c r="B56" s="222" t="str">
        <f t="array" ref="B56:B57">{"CLASSTYPE";((INDEX(ALLCLASSDATA,MATCH("ClassType",CLASSFEATUREHEADERS,0),MATCH($A57,CLASSNAMEHEADERS,0))))}</f>
        <v>CLASSTYPE</v>
      </c>
      <c r="C56" s="222" t="str">
        <f t="array" ref="C56:C57">{"ATTACK";"Attack"}</f>
        <v>ATTACK</v>
      </c>
      <c r="D56" s="222" t="str">
        <f t="array" ref="D56:D57">{"UNARMED";"Unarmed"}</f>
        <v>UNARMED</v>
      </c>
      <c r="E56" s="223" t="str">
        <f t="array" ref="E56:E57">{"UNARMEDINITIAL";((IF(G57=10,"T",(IF(G57=50,"E","")))))}</f>
        <v>UNARMEDINITIAL</v>
      </c>
      <c r="F56" s="223" t="str">
        <f t="array" ref="F56:F57">{"UNARMEDINITIALPTS";((IF("00"=(INDEX(ALLCLASSDATA,MATCH("UnarmedLegendary",CLASSFEATUREHEADERS,0),MATCH($A57,CLASSNAMEHEADERS,0))),(INDEX(ALLCLASSDATA,MATCH("UnarmedLegendary",CLASSFEATUREHEADERS,0),MATCH(($A57 &amp; "Points"),CLASSNAMEHEADERS,0))),(IF("00"=(INDEX(ALLCLASSDATA,MATCH("UnarmedMaster",CLASSFEATUREHEADERS,0),MATCH($A57,CLASSNAMEHEADERS,0))),(INDEX(ALLCLASSDATA,MATCH("UnarmedMaster",CLASSFEATUREHEADERS,0),MATCH(($A57 &amp; "Points"),CLASSNAMEHEADERS,0))),(IF("00"=(INDEX(ALLCLASSDATA,MATCH("UnarmedExpert",CLASSFEATUREHEADERS,0),MATCH($A57,CLASSNAMEHEADERS,0))),(INDEX(ALLCLASSDATA,MATCH("UnarmedExpert",CLASSFEATUREHEADERS,0),MATCH(($A57 &amp; "Points"),CLASSNAMEHEADERS,0))),(IF("00"=(INDEX(ALLCLASSDATA,MATCH("UnarmedTrained",CLASSFEATUREHEADERS,0),MATCH($A57,CLASSNAMEHEADERS,0))),(INDEX(ALLCLASSDATA,MATCH("UnarmedTrained",CLASSFEATUREHEADERS,0),MATCH(($A57 &amp; "Points"),CLASSNAMEHEADERS,0))),"")))))))))}</f>
        <v>UNARMEDINITIALPTS</v>
      </c>
      <c r="G56" s="223" t="str">
        <f t="array" ref="G56:G57">{"UNARMEDL01";((IF("01"=(INDEX(ALLCLASSDATA,MATCH("UnarmedLegendary",CLASSFEATUREHEADERS,0),MATCH($A57,CLASSNAMEHEADERS,0))),(INDEX(ALLCLASSDATA,MATCH("UnarmedLegendary",CLASSFEATUREHEADERS,0),MATCH(($A57 &amp; "Points"),CLASSNAMEHEADERS,0))),(IF("01"=(INDEX(ALLCLASSDATA,MATCH("UnarmedMaster",CLASSFEATUREHEADERS,0),MATCH($A57,CLASSNAMEHEADERS,0))),(INDEX(ALLCLASSDATA,MATCH("UnarmedMaster",CLASSFEATUREHEADERS,0),MATCH(($A57 &amp; "Points"),CLASSNAMEHEADERS,0))),(IF("01"=(INDEX(ALLCLASSDATA,MATCH("UnarmedExpert",CLASSFEATUREHEADERS,0),MATCH($A57,CLASSNAMEHEADERS,0))),(INDEX(ALLCLASSDATA,MATCH("UnarmedExpert",CLASSFEATUREHEADERS,0),MATCH(($A57 &amp; "Points"),CLASSNAMEHEADERS,0))),(IF("01"=(INDEX(ALLCLASSDATA,MATCH("UnarmedTrained",CLASSFEATUREHEADERS,0),MATCH($A57,CLASSNAMEHEADERS,0))),(INDEX(ALLCLASSDATA,MATCH("UnarmedTrained",CLASSFEATUREHEADERS,0),MATCH(($A57 &amp; "Points"),CLASSNAMEHEADERS,0))),"")))))))))}</f>
        <v>UNARMEDL01</v>
      </c>
      <c r="H56" s="223"/>
      <c r="I56" s="223" t="str">
        <f t="array" ref="I56:I57">{"UNARMEDL03";((IF("03"=(INDEX(ALLCLASSDATA,MATCH("UnarmedLegendary",CLASSFEATUREHEADERS,0),MATCH($A57,CLASSNAMEHEADERS,0))),(INDEX(ALLCLASSDATA,MATCH("UnarmedLegendary",CLASSFEATUREHEADERS,0),MATCH(($A57 &amp; "Points"),CLASSNAMEHEADERS,0))),(IF("03"=(INDEX(ALLCLASSDATA,MATCH("UnarmedMaster",CLASSFEATUREHEADERS,0),MATCH($A57,CLASSNAMEHEADERS,0))),(INDEX(ALLCLASSDATA,MATCH("UnarmedMaster",CLASSFEATUREHEADERS,0),MATCH(($A57 &amp; "Points"),CLASSNAMEHEADERS,0))),(IF("03"=(INDEX(ALLCLASSDATA,MATCH("UnarmedExpert",CLASSFEATUREHEADERS,0),MATCH($A57,CLASSNAMEHEADERS,0))),(INDEX(ALLCLASSDATA,MATCH("UnarmedExpert",CLASSFEATUREHEADERS,0),MATCH(($A57 &amp; "Points"),CLASSNAMEHEADERS,0))),(IF("03"=(INDEX(ALLCLASSDATA,MATCH("UnarmedTrained",CLASSFEATUREHEADERS,0),MATCH($A57,CLASSNAMEHEADERS,0))),(INDEX(ALLCLASSDATA,MATCH("UnarmedTrained",CLASSFEATUREHEADERS,0),MATCH(($A57 &amp; "Points"),CLASSNAMEHEADERS,0))),"")))))))))}</f>
        <v>UNARMEDL03</v>
      </c>
      <c r="J56" s="223"/>
      <c r="K56" s="223" t="str">
        <f t="array" ref="K56:K57">{"UNARMEDL05";((IF("05"=(INDEX(ALLCLASSDATA,MATCH("UnarmedLegendary",CLASSFEATUREHEADERS,0),MATCH($A57,CLASSNAMEHEADERS,0))),(INDEX(ALLCLASSDATA,MATCH("UnarmedLegendary",CLASSFEATUREHEADERS,0),MATCH(($A57 &amp; "Points"),CLASSNAMEHEADERS,0))),(IF("05"=(INDEX(ALLCLASSDATA,MATCH("UnarmedMaster",CLASSFEATUREHEADERS,0),MATCH($A57,CLASSNAMEHEADERS,0))),(INDEX(ALLCLASSDATA,MATCH("UnarmedMaster",CLASSFEATUREHEADERS,0),MATCH(($A57 &amp; "Points"),CLASSNAMEHEADERS,0))),(IF("05"=(INDEX(ALLCLASSDATA,MATCH("UnarmedExpert",CLASSFEATUREHEADERS,0),MATCH($A57,CLASSNAMEHEADERS,0))),(INDEX(ALLCLASSDATA,MATCH("UnarmedExpert",CLASSFEATUREHEADERS,0),MATCH(($A57 &amp; "Points"),CLASSNAMEHEADERS,0))),(IF("05"=(INDEX(ALLCLASSDATA,MATCH("UnarmedTrained",CLASSFEATUREHEADERS,0),MATCH($A57,CLASSNAMEHEADERS,0))),(INDEX(ALLCLASSDATA,MATCH("UnarmedTrained",CLASSFEATUREHEADERS,0),MATCH(($A57 &amp; "Points"),CLASSNAMEHEADERS,0))),"")))))))))}</f>
        <v>UNARMEDL05</v>
      </c>
      <c r="L56" s="223"/>
      <c r="M56" s="223" t="str">
        <f t="array" ref="M56:M57">{"UNARMEDL07";((IF("07"=(INDEX(ALLCLASSDATA,MATCH("UnarmedLegendary",CLASSFEATUREHEADERS,0),MATCH($A57,CLASSNAMEHEADERS,0))),(INDEX(ALLCLASSDATA,MATCH("UnarmedLegendary",CLASSFEATUREHEADERS,0),MATCH(($A57 &amp; "Points"),CLASSNAMEHEADERS,0))),(IF("07"=(INDEX(ALLCLASSDATA,MATCH("UnarmedMaster",CLASSFEATUREHEADERS,0),MATCH($A57,CLASSNAMEHEADERS,0))),(INDEX(ALLCLASSDATA,MATCH("UnarmedMaster",CLASSFEATUREHEADERS,0),MATCH(($A57 &amp; "Points"),CLASSNAMEHEADERS,0))),(IF("07"=(INDEX(ALLCLASSDATA,MATCH("UnarmedExpert",CLASSFEATUREHEADERS,0),MATCH($A57,CLASSNAMEHEADERS,0))),(INDEX(ALLCLASSDATA,MATCH("UnarmedExpert",CLASSFEATUREHEADERS,0),MATCH(($A57 &amp; "Points"),CLASSNAMEHEADERS,0))),(IF("07"=(INDEX(ALLCLASSDATA,MATCH("UnarmedTrained",CLASSFEATUREHEADERS,0),MATCH($A57,CLASSNAMEHEADERS,0))),(INDEX(ALLCLASSDATA,MATCH("UnarmedTrained",CLASSFEATUREHEADERS,0),MATCH(($A57 &amp; "Points"),CLASSNAMEHEADERS,0))),"")))))))))}</f>
        <v>UNARMEDL07</v>
      </c>
      <c r="N56" s="223"/>
      <c r="O56" s="223" t="str">
        <f t="array" ref="O56:O57">{"UNARMEDL09";((IF("09"=(INDEX(ALLCLASSDATA,MATCH("UnarmedLegendary",CLASSFEATUREHEADERS,0),MATCH($A57,CLASSNAMEHEADERS,0))),(INDEX(ALLCLASSDATA,MATCH("UnarmedLegendary",CLASSFEATUREHEADERS,0),MATCH(($A57 &amp; "Points"),CLASSNAMEHEADERS,0))),(IF("09"=(INDEX(ALLCLASSDATA,MATCH("UnarmedMaster",CLASSFEATUREHEADERS,0),MATCH($A57,CLASSNAMEHEADERS,0))),(INDEX(ALLCLASSDATA,MATCH("UnarmedMaster",CLASSFEATUREHEADERS,0),MATCH(($A57 &amp; "Points"),CLASSNAMEHEADERS,0))),(IF("09"=(INDEX(ALLCLASSDATA,MATCH("UnarmedExpert",CLASSFEATUREHEADERS,0),MATCH($A57,CLASSNAMEHEADERS,0))),(INDEX(ALLCLASSDATA,MATCH("UnarmedExpert",CLASSFEATUREHEADERS,0),MATCH(($A57 &amp; "Points"),CLASSNAMEHEADERS,0))),(IF("09"=(INDEX(ALLCLASSDATA,MATCH("UnarmedTrained",CLASSFEATUREHEADERS,0),MATCH($A57,CLASSNAMEHEADERS,0))),(INDEX(ALLCLASSDATA,MATCH("UnarmedTrained",CLASSFEATUREHEADERS,0),MATCH(($A57 &amp; "Points"),CLASSNAMEHEADERS,0))),"")))))))))}</f>
        <v>UNARMEDL09</v>
      </c>
      <c r="P56" s="223"/>
      <c r="Q56" s="223" t="str">
        <f t="array" ref="Q56:Q57">{"UNARMEDL11";((IF("11"=(INDEX(ALLCLASSDATA,MATCH("UnarmedLegendary",CLASSFEATUREHEADERS,0),MATCH($A57,CLASSNAMEHEADERS,0))),(INDEX(ALLCLASSDATA,MATCH("UnarmedLegendary",CLASSFEATUREHEADERS,0),MATCH(($A57 &amp; "Points"),CLASSNAMEHEADERS,0))),(IF("11"=(INDEX(ALLCLASSDATA,MATCH("UnarmedMaster",CLASSFEATUREHEADERS,0),MATCH($A57,CLASSNAMEHEADERS,0))),(INDEX(ALLCLASSDATA,MATCH("UnarmedMaster",CLASSFEATUREHEADERS,0),MATCH(($A57 &amp; "Points"),CLASSNAMEHEADERS,0))),(IF("11"=(INDEX(ALLCLASSDATA,MATCH("UnarmedExpert",CLASSFEATUREHEADERS,0),MATCH($A57,CLASSNAMEHEADERS,0))),(INDEX(ALLCLASSDATA,MATCH("UnarmedExpert",CLASSFEATUREHEADERS,0),MATCH(($A57 &amp; "Points"),CLASSNAMEHEADERS,0))),(IF("11"=(INDEX(ALLCLASSDATA,MATCH("UnarmedTrained",CLASSFEATUREHEADERS,0),MATCH($A57,CLASSNAMEHEADERS,0))),(INDEX(ALLCLASSDATA,MATCH("UnarmedTrained",CLASSFEATUREHEADERS,0),MATCH(($A57 &amp; "Points"),CLASSNAMEHEADERS,0))),"")))))))))}</f>
        <v>UNARMEDL11</v>
      </c>
      <c r="R56" s="223"/>
      <c r="S56" s="223" t="str">
        <f t="array" ref="S56:S57">{"UNARMEDL13";((IF("13"=(INDEX(ALLCLASSDATA,MATCH("UnarmedLegendary",CLASSFEATUREHEADERS,0),MATCH($A57,CLASSNAMEHEADERS,0))),(INDEX(ALLCLASSDATA,MATCH("UnarmedLegendary",CLASSFEATUREHEADERS,0),MATCH(($A57 &amp; "Points"),CLASSNAMEHEADERS,0))),(IF("13"=(INDEX(ALLCLASSDATA,MATCH("UnarmedMaster",CLASSFEATUREHEADERS,0),MATCH($A57,CLASSNAMEHEADERS,0))),(INDEX(ALLCLASSDATA,MATCH("UnarmedMaster",CLASSFEATUREHEADERS,0),MATCH(($A57 &amp; "Points"),CLASSNAMEHEADERS,0))),(IF("13"=(INDEX(ALLCLASSDATA,MATCH("UnarmedExpert",CLASSFEATUREHEADERS,0),MATCH($A57,CLASSNAMEHEADERS,0))),(INDEX(ALLCLASSDATA,MATCH("UnarmedExpert",CLASSFEATUREHEADERS,0),MATCH(($A57 &amp; "Points"),CLASSNAMEHEADERS,0))),(IF("13"=(INDEX(ALLCLASSDATA,MATCH("UnarmedTrained",CLASSFEATUREHEADERS,0),MATCH($A57,CLASSNAMEHEADERS,0))),(INDEX(ALLCLASSDATA,MATCH("UnarmedTrained",CLASSFEATUREHEADERS,0),MATCH(($A57 &amp; "Points"),CLASSNAMEHEADERS,0))),"")))))))))}</f>
        <v>UNARMEDL13</v>
      </c>
      <c r="T56" s="223"/>
      <c r="U56" s="223" t="str">
        <f t="array" ref="U56:U57">{"UNARMEDL15";((IF("15"=(INDEX(ALLCLASSDATA,MATCH("UnarmedLegendary",CLASSFEATUREHEADERS,0),MATCH($A57,CLASSNAMEHEADERS,0))),(INDEX(ALLCLASSDATA,MATCH("UnarmedLegendary",CLASSFEATUREHEADERS,0),MATCH(($A57 &amp; "Points"),CLASSNAMEHEADERS,0))),(IF("15"=(INDEX(ALLCLASSDATA,MATCH("UnarmedMaster",CLASSFEATUREHEADERS,0),MATCH($A57,CLASSNAMEHEADERS,0))),(INDEX(ALLCLASSDATA,MATCH("UnarmedMaster",CLASSFEATUREHEADERS,0),MATCH(($A57 &amp; "Points"),CLASSNAMEHEADERS,0))),(IF("15"=(INDEX(ALLCLASSDATA,MATCH("UnarmedExpert",CLASSFEATUREHEADERS,0),MATCH($A57,CLASSNAMEHEADERS,0))),(INDEX(ALLCLASSDATA,MATCH("UnarmedExpert",CLASSFEATUREHEADERS,0),MATCH(($A57 &amp; "Points"),CLASSNAMEHEADERS,0))),(IF("15"=(INDEX(ALLCLASSDATA,MATCH("UnarmedTrained",CLASSFEATUREHEADERS,0),MATCH($A57,CLASSNAMEHEADERS,0))),(INDEX(ALLCLASSDATA,MATCH("UnarmedTrained",CLASSFEATUREHEADERS,0),MATCH(($A57 &amp; "Points"),CLASSNAMEHEADERS,0))),"")))))))))}</f>
        <v>UNARMEDL15</v>
      </c>
      <c r="V56" s="223"/>
      <c r="W56" s="223" t="str">
        <f t="array" ref="W56:W57">{"UNARMEDL17";((IF("17"=(INDEX(ALLCLASSDATA,MATCH("UnarmedLegendary",CLASSFEATUREHEADERS,0),MATCH($A57,CLASSNAMEHEADERS,0))),(INDEX(ALLCLASSDATA,MATCH("UnarmedLegendary",CLASSFEATUREHEADERS,0),MATCH(($A57 &amp; "Points"),CLASSNAMEHEADERS,0))),(IF("17"=(INDEX(ALLCLASSDATA,MATCH("UnarmedMaster",CLASSFEATUREHEADERS,0),MATCH($A57,CLASSNAMEHEADERS,0))),(INDEX(ALLCLASSDATA,MATCH("UnarmedMaster",CLASSFEATUREHEADERS,0),MATCH(($A57 &amp; "Points"),CLASSNAMEHEADERS,0))),(IF("17"=(INDEX(ALLCLASSDATA,MATCH("UnarmedExpert",CLASSFEATUREHEADERS,0),MATCH($A57,CLASSNAMEHEADERS,0))),(INDEX(ALLCLASSDATA,MATCH("UnarmedExpert",CLASSFEATUREHEADERS,0),MATCH(($A57 &amp; "Points"),CLASSNAMEHEADERS,0))),(IF("17"=(INDEX(ALLCLASSDATA,MATCH("UnarmedTrained",CLASSFEATUREHEADERS,0),MATCH($A57,CLASSNAMEHEADERS,0))),(INDEX(ALLCLASSDATA,MATCH("UnarmedTrained",CLASSFEATUREHEADERS,0),MATCH(($A57 &amp; "Points"),CLASSNAMEHEADERS,0))),"")))))))))}</f>
        <v>UNARMEDL17</v>
      </c>
      <c r="X56" s="223"/>
      <c r="Y56" s="223" t="str">
        <f t="array" ref="Y56:Y57">{"UNARMEDL19";((IF("19"=(INDEX(ALLCLASSDATA,MATCH("UnarmedLegendary",CLASSFEATUREHEADERS,0),MATCH($A57,CLASSNAMEHEADERS,0))),(INDEX(ALLCLASSDATA,MATCH("UnarmedLegendary",CLASSFEATUREHEADERS,0),MATCH(($A57 &amp; "Points"),CLASSNAMEHEADERS,0))),(IF("19"=(INDEX(ALLCLASSDATA,MATCH("UnarmedMaster",CLASSFEATUREHEADERS,0),MATCH($A57,CLASSNAMEHEADERS,0))),(INDEX(ALLCLASSDATA,MATCH("UnarmedMaster",CLASSFEATUREHEADERS,0),MATCH(($A57 &amp; "Points"),CLASSNAMEHEADERS,0))),(IF("19"=(INDEX(ALLCLASSDATA,MATCH("UnarmedExpert",CLASSFEATUREHEADERS,0),MATCH($A57,CLASSNAMEHEADERS,0))),(INDEX(ALLCLASSDATA,MATCH("UnarmedExpert",CLASSFEATUREHEADERS,0),MATCH(($A57 &amp; "Points"),CLASSNAMEHEADERS,0))),(IF("19"=(INDEX(ALLCLASSDATA,MATCH("UnarmedTrained",CLASSFEATUREHEADERS,0),MATCH($A57,CLASSNAMEHEADERS,0))),(INDEX(ALLCLASSDATA,MATCH("UnarmedTrained",CLASSFEATUREHEADERS,0),MATCH(($A57 &amp; "Points"),CLASSNAMEHEADERS,0))),"")))))))))}</f>
        <v>UNARMEDL19</v>
      </c>
      <c r="Z56" s="223"/>
      <c r="AA56" s="76" t="str">
        <f t="array" ref="AA56:AA57">{"UNARMED TOTAL";(IF(COUNTBLANK(F57:Z57)=17,"L",(IF(COUNTBLANK(F57:Z57)=18,"M",(IF(COUNTBLANK(F57:Z57)=19,"E",(IF(COUNTBLANK(F57:Z57)=20,"T",""))))))))}</f>
        <v>UNARMED TOTAL</v>
      </c>
      <c r="AB56" s="76" t="str">
        <f t="array" ref="AB56:AB57">{"UNARMED TOTAL";(sum(F57:Z57))}</f>
        <v>UNARMED TOTAL</v>
      </c>
    </row>
    <row r="57">
      <c r="A57" s="48" t="s">
        <v>211</v>
      </c>
      <c r="B57" s="48" t="s">
        <v>417</v>
      </c>
      <c r="C57" s="48" t="s">
        <v>1634</v>
      </c>
      <c r="D57" s="48" t="s">
        <v>257</v>
      </c>
      <c r="E57" s="5" t="s">
        <v>435</v>
      </c>
      <c r="F57" s="47" t="s">
        <v>603</v>
      </c>
      <c r="G57" s="5">
        <v>10.0</v>
      </c>
      <c r="H57" s="5"/>
      <c r="I57" s="5" t="s">
        <v>603</v>
      </c>
      <c r="J57" s="5"/>
      <c r="K57" s="5" t="s">
        <v>603</v>
      </c>
      <c r="L57" s="5"/>
      <c r="M57" s="5" t="s">
        <v>436</v>
      </c>
      <c r="N57" s="5"/>
      <c r="O57" s="5" t="s">
        <v>603</v>
      </c>
      <c r="P57" s="5"/>
      <c r="Q57" s="5" t="s">
        <v>603</v>
      </c>
      <c r="R57" s="5"/>
      <c r="S57" s="5" t="s">
        <v>603</v>
      </c>
      <c r="T57" s="5"/>
      <c r="U57" s="5" t="s">
        <v>603</v>
      </c>
      <c r="V57" s="5"/>
      <c r="W57" s="5" t="s">
        <v>603</v>
      </c>
      <c r="X57" s="5"/>
      <c r="Y57" s="5" t="s">
        <v>603</v>
      </c>
      <c r="Z57" s="5"/>
      <c r="AA57" s="5" t="s">
        <v>436</v>
      </c>
      <c r="AB57" s="47">
        <v>10.0</v>
      </c>
    </row>
    <row r="58" hidden="1">
      <c r="A58" s="222" t="str">
        <f t="array" ref="A58:A59">{"FormulaRow28";(INDEX(CLASSLIST,A3,1))}</f>
        <v>FormulaRow28</v>
      </c>
      <c r="B58" s="222" t="str">
        <f t="array" ref="B58:B59">{"CLASSTYPE";((INDEX(ALLCLASSDATA,MATCH("ClassType",CLASSFEATUREHEADERS,0),MATCH($A59,CLASSNAMEHEADERS,0))))}</f>
        <v>CLASSTYPE</v>
      </c>
      <c r="C58" s="222" t="str">
        <f t="array" ref="C58:C59">{"ATTACK";"Attack"}</f>
        <v>ATTACK</v>
      </c>
      <c r="D58" s="222" t="str">
        <f t="array" ref="D58:D59">{"SIMPLELIMITED";"SimpleLimited"}</f>
        <v>SIMPLELIMITED</v>
      </c>
      <c r="E58" s="223" t="str">
        <f t="array" ref="E58:E59">{"SIMPLELIMITEDINITIAL";((IF(G59=10,"T",(IF(G59=50,"E","")))))}</f>
        <v>SIMPLELIMITEDINITIAL</v>
      </c>
      <c r="F58" s="223" t="str">
        <f t="array" ref="F58:F59">{"SIMPLELIMITEDINITIALPTS";((IF("00"=(INDEX(ALLCLASSDATA,MATCH("SimpleLimitedLegendary",CLASSFEATUREHEADERS,0),MATCH($A59,CLASSNAMEHEADERS,0))),(INDEX(ALLCLASSDATA,MATCH("SimpleLimitedLegendary",CLASSFEATUREHEADERS,0),MATCH(($A59 &amp; "Points"),CLASSNAMEHEADERS,0))),(IF("00"=(INDEX(ALLCLASSDATA,MATCH("SimpleLimitedMaster",CLASSFEATUREHEADERS,0),MATCH($A59,CLASSNAMEHEADERS,0))),(INDEX(ALLCLASSDATA,MATCH("SimpleLimitedMaster",CLASSFEATUREHEADERS,0),MATCH(($A59 &amp; "Points"),CLASSNAMEHEADERS,0))),(IF("00"=(INDEX(ALLCLASSDATA,MATCH("SimpleLimitedExpert",CLASSFEATUREHEADERS,0),MATCH($A59,CLASSNAMEHEADERS,0))),(INDEX(ALLCLASSDATA,MATCH("SimpleLimitedExpert",CLASSFEATUREHEADERS,0),MATCH(($A59 &amp; "Points"),CLASSNAMEHEADERS,0))),(IF("00"=(INDEX(ALLCLASSDATA,MATCH("SimpleLimitedTrained",CLASSFEATUREHEADERS,0),MATCH($A59,CLASSNAMEHEADERS,0))),(INDEX(ALLCLASSDATA,MATCH("SimpleLimitedTrained",CLASSFEATUREHEADERS,0),MATCH(($A59 &amp; "Points"),CLASSNAMEHEADERS,0))),"")))))))))}</f>
        <v>SIMPLELIMITEDINITIALPTS</v>
      </c>
      <c r="G58" s="223" t="str">
        <f t="array" ref="G58:G59">{"SIMPLELIMITEDL01";((IF("01"=(INDEX(ALLCLASSDATA,MATCH("SimpleLimitedLegendary",CLASSFEATUREHEADERS,0),MATCH($A59,CLASSNAMEHEADERS,0))),(INDEX(ALLCLASSDATA,MATCH("SimpleLimitedLegendary",CLASSFEATUREHEADERS,0),MATCH(($A59 &amp; "Points"),CLASSNAMEHEADERS,0))),(IF("01"=(INDEX(ALLCLASSDATA,MATCH("SimpleLimitedMaster",CLASSFEATUREHEADERS,0),MATCH($A59,CLASSNAMEHEADERS,0))),(INDEX(ALLCLASSDATA,MATCH("SimpleLimitedMaster",CLASSFEATUREHEADERS,0),MATCH(($A59 &amp; "Points"),CLASSNAMEHEADERS,0))),(IF("01"=(INDEX(ALLCLASSDATA,MATCH("SimpleLimitedExpert",CLASSFEATUREHEADERS,0),MATCH($A59,CLASSNAMEHEADERS,0))),(INDEX(ALLCLASSDATA,MATCH("SimpleLimitedExpert",CLASSFEATUREHEADERS,0),MATCH(($A59 &amp; "Points"),CLASSNAMEHEADERS,0))),(IF("01"=(INDEX(ALLCLASSDATA,MATCH("SimpleLimitedTrained",CLASSFEATUREHEADERS,0),MATCH($A59,CLASSNAMEHEADERS,0))),(INDEX(ALLCLASSDATA,MATCH("SimpleLimitedTrained",CLASSFEATUREHEADERS,0),MATCH(($A59 &amp; "Points"),CLASSNAMEHEADERS,0))),"")))))))))}</f>
        <v>SIMPLELIMITEDL01</v>
      </c>
      <c r="H58" s="223"/>
      <c r="I58" s="223" t="str">
        <f t="array" ref="I58:I59">{"SIMPLELIMITEDL03";((IF("03"=(INDEX(ALLCLASSDATA,MATCH("SimpleLimitedLegendary",CLASSFEATUREHEADERS,0),MATCH($A59,CLASSNAMEHEADERS,0))),(INDEX(ALLCLASSDATA,MATCH("SimpleLimitedLegendary",CLASSFEATUREHEADERS,0),MATCH(($A59 &amp; "Points"),CLASSNAMEHEADERS,0))),(IF("03"=(INDEX(ALLCLASSDATA,MATCH("SimpleLimitedMaster",CLASSFEATUREHEADERS,0),MATCH($A59,CLASSNAMEHEADERS,0))),(INDEX(ALLCLASSDATA,MATCH("SimpleLimitedMaster",CLASSFEATUREHEADERS,0),MATCH(($A59 &amp; "Points"),CLASSNAMEHEADERS,0))),(IF("03"=(INDEX(ALLCLASSDATA,MATCH("SimpleLimitedExpert",CLASSFEATUREHEADERS,0),MATCH($A59,CLASSNAMEHEADERS,0))),(INDEX(ALLCLASSDATA,MATCH("SimpleLimitedExpert",CLASSFEATUREHEADERS,0),MATCH(($A59 &amp; "Points"),CLASSNAMEHEADERS,0))),(IF("03"=(INDEX(ALLCLASSDATA,MATCH("SimpleLimitedTrained",CLASSFEATUREHEADERS,0),MATCH($A59,CLASSNAMEHEADERS,0))),(INDEX(ALLCLASSDATA,MATCH("SimpleLimitedTrained",CLASSFEATUREHEADERS,0),MATCH(($A59 &amp; "Points"),CLASSNAMEHEADERS,0))),"")))))))))}</f>
        <v>SIMPLELIMITEDL03</v>
      </c>
      <c r="J58" s="223"/>
      <c r="K58" s="223" t="str">
        <f t="array" ref="K58:K59">{"SIMPLELIMITEDL05";((IF("05"=(INDEX(ALLCLASSDATA,MATCH("SimpleLimitedLegendary",CLASSFEATUREHEADERS,0),MATCH($A59,CLASSNAMEHEADERS,0))),(INDEX(ALLCLASSDATA,MATCH("SimpleLimitedLegendary",CLASSFEATUREHEADERS,0),MATCH(($A59 &amp; "Points"),CLASSNAMEHEADERS,0))),(IF("05"=(INDEX(ALLCLASSDATA,MATCH("SimpleLimitedMaster",CLASSFEATUREHEADERS,0),MATCH($A59,CLASSNAMEHEADERS,0))),(INDEX(ALLCLASSDATA,MATCH("SimpleLimitedMaster",CLASSFEATUREHEADERS,0),MATCH(($A59 &amp; "Points"),CLASSNAMEHEADERS,0))),(IF("05"=(INDEX(ALLCLASSDATA,MATCH("SimpleLimitedExpert",CLASSFEATUREHEADERS,0),MATCH($A59,CLASSNAMEHEADERS,0))),(INDEX(ALLCLASSDATA,MATCH("SimpleLimitedExpert",CLASSFEATUREHEADERS,0),MATCH(($A59 &amp; "Points"),CLASSNAMEHEADERS,0))),(IF("05"=(INDEX(ALLCLASSDATA,MATCH("SimpleLimitedTrained",CLASSFEATUREHEADERS,0),MATCH($A59,CLASSNAMEHEADERS,0))),(INDEX(ALLCLASSDATA,MATCH("SimpleLimitedTrained",CLASSFEATUREHEADERS,0),MATCH(($A59 &amp; "Points"),CLASSNAMEHEADERS,0))),"")))))))))}</f>
        <v>SIMPLELIMITEDL05</v>
      </c>
      <c r="L58" s="223"/>
      <c r="M58" s="223" t="str">
        <f t="array" ref="M58:M59">{"SIMPLELIMITEDL07";((IF("07"=(INDEX(ALLCLASSDATA,MATCH("SimpleLimitedLegendary",CLASSFEATUREHEADERS,0),MATCH($A59,CLASSNAMEHEADERS,0))),(INDEX(ALLCLASSDATA,MATCH("SimpleLimitedLegendary",CLASSFEATUREHEADERS,0),MATCH(($A59 &amp; "Points"),CLASSNAMEHEADERS,0))),(IF("07"=(INDEX(ALLCLASSDATA,MATCH("SimpleLimitedMaster",CLASSFEATUREHEADERS,0),MATCH($A59,CLASSNAMEHEADERS,0))),(INDEX(ALLCLASSDATA,MATCH("SimpleLimitedMaster",CLASSFEATUREHEADERS,0),MATCH(($A59 &amp; "Points"),CLASSNAMEHEADERS,0))),(IF("07"=(INDEX(ALLCLASSDATA,MATCH("SimpleLimitedExpert",CLASSFEATUREHEADERS,0),MATCH($A59,CLASSNAMEHEADERS,0))),(INDEX(ALLCLASSDATA,MATCH("SimpleLimitedExpert",CLASSFEATUREHEADERS,0),MATCH(($A59 &amp; "Points"),CLASSNAMEHEADERS,0))),(IF("07"=(INDEX(ALLCLASSDATA,MATCH("SimpleLimitedTrained",CLASSFEATUREHEADERS,0),MATCH($A59,CLASSNAMEHEADERS,0))),(INDEX(ALLCLASSDATA,MATCH("SimpleLimitedTrained",CLASSFEATUREHEADERS,0),MATCH(($A59 &amp; "Points"),CLASSNAMEHEADERS,0))),"")))))))))}</f>
        <v>SIMPLELIMITEDL07</v>
      </c>
      <c r="N58" s="223"/>
      <c r="O58" s="223" t="str">
        <f t="array" ref="O58:O59">{"SIMPLELIMITEDL09";((IF("09"=(INDEX(ALLCLASSDATA,MATCH("SimpleLimitedLegendary",CLASSFEATUREHEADERS,0),MATCH($A59,CLASSNAMEHEADERS,0))),(INDEX(ALLCLASSDATA,MATCH("SimpleLimitedLegendary",CLASSFEATUREHEADERS,0),MATCH(($A59 &amp; "Points"),CLASSNAMEHEADERS,0))),(IF("09"=(INDEX(ALLCLASSDATA,MATCH("SimpleLimitedMaster",CLASSFEATUREHEADERS,0),MATCH($A59,CLASSNAMEHEADERS,0))),(INDEX(ALLCLASSDATA,MATCH("SimpleLimitedMaster",CLASSFEATUREHEADERS,0),MATCH(($A59 &amp; "Points"),CLASSNAMEHEADERS,0))),(IF("09"=(INDEX(ALLCLASSDATA,MATCH("SimpleLimitedExpert",CLASSFEATUREHEADERS,0),MATCH($A59,CLASSNAMEHEADERS,0))),(INDEX(ALLCLASSDATA,MATCH("SimpleLimitedExpert",CLASSFEATUREHEADERS,0),MATCH(($A59 &amp; "Points"),CLASSNAMEHEADERS,0))),(IF("09"=(INDEX(ALLCLASSDATA,MATCH("SimpleLimitedTrained",CLASSFEATUREHEADERS,0),MATCH($A59,CLASSNAMEHEADERS,0))),(INDEX(ALLCLASSDATA,MATCH("SimpleLimitedTrained",CLASSFEATUREHEADERS,0),MATCH(($A59 &amp; "Points"),CLASSNAMEHEADERS,0))),"")))))))))}</f>
        <v>SIMPLELIMITEDL09</v>
      </c>
      <c r="P58" s="223"/>
      <c r="Q58" s="223" t="str">
        <f t="array" ref="Q58:Q59">{"SIMPLELIMITEDL11";((IF("11"=(INDEX(ALLCLASSDATA,MATCH("SimpleLimitedLegendary",CLASSFEATUREHEADERS,0),MATCH($A59,CLASSNAMEHEADERS,0))),(INDEX(ALLCLASSDATA,MATCH("SimpleLimitedLegendary",CLASSFEATUREHEADERS,0),MATCH(($A59 &amp; "Points"),CLASSNAMEHEADERS,0))),(IF("11"=(INDEX(ALLCLASSDATA,MATCH("SimpleLimitedMaster",CLASSFEATUREHEADERS,0),MATCH($A59,CLASSNAMEHEADERS,0))),(INDEX(ALLCLASSDATA,MATCH("SimpleLimitedMaster",CLASSFEATUREHEADERS,0),MATCH(($A59 &amp; "Points"),CLASSNAMEHEADERS,0))),(IF("11"=(INDEX(ALLCLASSDATA,MATCH("SimpleLimitedExpert",CLASSFEATUREHEADERS,0),MATCH($A59,CLASSNAMEHEADERS,0))),(INDEX(ALLCLASSDATA,MATCH("SimpleLimitedExpert",CLASSFEATUREHEADERS,0),MATCH(($A59 &amp; "Points"),CLASSNAMEHEADERS,0))),(IF("11"=(INDEX(ALLCLASSDATA,MATCH("SimpleLimitedTrained",CLASSFEATUREHEADERS,0),MATCH($A59,CLASSNAMEHEADERS,0))),(INDEX(ALLCLASSDATA,MATCH("SimpleLimitedTrained",CLASSFEATUREHEADERS,0),MATCH(($A59 &amp; "Points"),CLASSNAMEHEADERS,0))),"")))))))))}</f>
        <v>SIMPLELIMITEDL11</v>
      </c>
      <c r="R58" s="223"/>
      <c r="S58" s="223" t="str">
        <f t="array" ref="S58:S59">{"SIMPLELIMITEDL13";((IF("13"=(INDEX(ALLCLASSDATA,MATCH("SimpleLimitedLegendary",CLASSFEATUREHEADERS,0),MATCH($A59,CLASSNAMEHEADERS,0))),(INDEX(ALLCLASSDATA,MATCH("SimpleLimitedLegendary",CLASSFEATUREHEADERS,0),MATCH(($A59 &amp; "Points"),CLASSNAMEHEADERS,0))),(IF("13"=(INDEX(ALLCLASSDATA,MATCH("SimpleLimitedMaster",CLASSFEATUREHEADERS,0),MATCH($A59,CLASSNAMEHEADERS,0))),(INDEX(ALLCLASSDATA,MATCH("SimpleLimitedMaster",CLASSFEATUREHEADERS,0),MATCH(($A59 &amp; "Points"),CLASSNAMEHEADERS,0))),(IF("13"=(INDEX(ALLCLASSDATA,MATCH("SimpleLimitedExpert",CLASSFEATUREHEADERS,0),MATCH($A59,CLASSNAMEHEADERS,0))),(INDEX(ALLCLASSDATA,MATCH("SimpleLimitedExpert",CLASSFEATUREHEADERS,0),MATCH(($A59 &amp; "Points"),CLASSNAMEHEADERS,0))),(IF("13"=(INDEX(ALLCLASSDATA,MATCH("SimpleLimitedTrained",CLASSFEATUREHEADERS,0),MATCH($A59,CLASSNAMEHEADERS,0))),(INDEX(ALLCLASSDATA,MATCH("SimpleLimitedTrained",CLASSFEATUREHEADERS,0),MATCH(($A59 &amp; "Points"),CLASSNAMEHEADERS,0))),"")))))))))}</f>
        <v>SIMPLELIMITEDL13</v>
      </c>
      <c r="T58" s="223"/>
      <c r="U58" s="223" t="str">
        <f t="array" ref="U58:U59">{"SIMPLELIMITEDL15";((IF("15"=(INDEX(ALLCLASSDATA,MATCH("SimpleLimitedLegendary",CLASSFEATUREHEADERS,0),MATCH($A59,CLASSNAMEHEADERS,0))),(INDEX(ALLCLASSDATA,MATCH("SimpleLimitedLegendary",CLASSFEATUREHEADERS,0),MATCH(($A59 &amp; "Points"),CLASSNAMEHEADERS,0))),(IF("15"=(INDEX(ALLCLASSDATA,MATCH("SimpleLimitedMaster",CLASSFEATUREHEADERS,0),MATCH($A59,CLASSNAMEHEADERS,0))),(INDEX(ALLCLASSDATA,MATCH("SimpleLimitedMaster",CLASSFEATUREHEADERS,0),MATCH(($A59 &amp; "Points"),CLASSNAMEHEADERS,0))),(IF("15"=(INDEX(ALLCLASSDATA,MATCH("SimpleLimitedExpert",CLASSFEATUREHEADERS,0),MATCH($A59,CLASSNAMEHEADERS,0))),(INDEX(ALLCLASSDATA,MATCH("SimpleLimitedExpert",CLASSFEATUREHEADERS,0),MATCH(($A59 &amp; "Points"),CLASSNAMEHEADERS,0))),(IF("15"=(INDEX(ALLCLASSDATA,MATCH("SimpleLimitedTrained",CLASSFEATUREHEADERS,0),MATCH($A59,CLASSNAMEHEADERS,0))),(INDEX(ALLCLASSDATA,MATCH("SimpleLimitedTrained",CLASSFEATUREHEADERS,0),MATCH(($A59 &amp; "Points"),CLASSNAMEHEADERS,0))),"")))))))))}</f>
        <v>SIMPLELIMITEDL15</v>
      </c>
      <c r="V58" s="223"/>
      <c r="W58" s="223" t="str">
        <f t="array" ref="W58:W59">{"SIMPLELIMITEDL17";((IF("17"=(INDEX(ALLCLASSDATA,MATCH("SimpleLimitedLegendary",CLASSFEATUREHEADERS,0),MATCH($A59,CLASSNAMEHEADERS,0))),(INDEX(ALLCLASSDATA,MATCH("SimpleLimitedLegendary",CLASSFEATUREHEADERS,0),MATCH(($A59 &amp; "Points"),CLASSNAMEHEADERS,0))),(IF("17"=(INDEX(ALLCLASSDATA,MATCH("SimpleLimitedMaster",CLASSFEATUREHEADERS,0),MATCH($A59,CLASSNAMEHEADERS,0))),(INDEX(ALLCLASSDATA,MATCH("SimpleLimitedMaster",CLASSFEATUREHEADERS,0),MATCH(($A59 &amp; "Points"),CLASSNAMEHEADERS,0))),(IF("17"=(INDEX(ALLCLASSDATA,MATCH("SimpleLimitedExpert",CLASSFEATUREHEADERS,0),MATCH($A59,CLASSNAMEHEADERS,0))),(INDEX(ALLCLASSDATA,MATCH("SimpleLimitedExpert",CLASSFEATUREHEADERS,0),MATCH(($A59 &amp; "Points"),CLASSNAMEHEADERS,0))),(IF("17"=(INDEX(ALLCLASSDATA,MATCH("SimpleLimitedTrained",CLASSFEATUREHEADERS,0),MATCH($A59,CLASSNAMEHEADERS,0))),(INDEX(ALLCLASSDATA,MATCH("SimpleLimitedTrained",CLASSFEATUREHEADERS,0),MATCH(($A59 &amp; "Points"),CLASSNAMEHEADERS,0))),"")))))))))}</f>
        <v>SIMPLELIMITEDL17</v>
      </c>
      <c r="X58" s="223"/>
      <c r="Y58" s="223" t="str">
        <f t="array" ref="Y58:Y59">{"SIMPLELIMITEDL19";((IF("19"=(INDEX(ALLCLASSDATA,MATCH("SimpleLimitedLegendary",CLASSFEATUREHEADERS,0),MATCH($A59,CLASSNAMEHEADERS,0))),(INDEX(ALLCLASSDATA,MATCH("SimpleLimitedLegendary",CLASSFEATUREHEADERS,0),MATCH(($A59 &amp; "Points"),CLASSNAMEHEADERS,0))),(IF("19"=(INDEX(ALLCLASSDATA,MATCH("SimpleLimitedMaster",CLASSFEATUREHEADERS,0),MATCH($A59,CLASSNAMEHEADERS,0))),(INDEX(ALLCLASSDATA,MATCH("SimpleLimitedMaster",CLASSFEATUREHEADERS,0),MATCH(($A59 &amp; "Points"),CLASSNAMEHEADERS,0))),(IF("19"=(INDEX(ALLCLASSDATA,MATCH("SimpleLimitedExpert",CLASSFEATUREHEADERS,0),MATCH($A59,CLASSNAMEHEADERS,0))),(INDEX(ALLCLASSDATA,MATCH("SimpleLimitedExpert",CLASSFEATUREHEADERS,0),MATCH(($A59 &amp; "Points"),CLASSNAMEHEADERS,0))),(IF("19"=(INDEX(ALLCLASSDATA,MATCH("SimpleLimitedTrained",CLASSFEATUREHEADERS,0),MATCH($A59,CLASSNAMEHEADERS,0))),(INDEX(ALLCLASSDATA,MATCH("SimpleLimitedTrained",CLASSFEATUREHEADERS,0),MATCH(($A59 &amp; "Points"),CLASSNAMEHEADERS,0))),"")))))))))}</f>
        <v>SIMPLELIMITEDL19</v>
      </c>
      <c r="Z58" s="223"/>
      <c r="AA58" s="76" t="str">
        <f t="array" ref="AA58:AA59">{"SIMPLELIMITED TOTAL";(IF(COUNTBLANK(F59:Z59)=17,"L",(IF(COUNTBLANK(F59:Z59)=18,"M",(IF(COUNTBLANK(F59:Z59)=19,"E",(IF(COUNTBLANK(F59:Z59)=20,"T",""))))))))}</f>
        <v>SIMPLELIMITED TOTAL</v>
      </c>
      <c r="AB58" s="76" t="str">
        <f t="array" ref="AB58:AB59">{"SIMPLELIMITED TOTAL";(sum(F59:Z59))}</f>
        <v>SIMPLELIMITED TOTAL</v>
      </c>
    </row>
    <row r="59">
      <c r="A59" s="48" t="s">
        <v>211</v>
      </c>
      <c r="B59" s="48" t="s">
        <v>417</v>
      </c>
      <c r="C59" s="48" t="s">
        <v>1634</v>
      </c>
      <c r="D59" s="48" t="s">
        <v>599</v>
      </c>
      <c r="E59" s="5" t="s">
        <v>603</v>
      </c>
      <c r="F59" s="47" t="s">
        <v>603</v>
      </c>
      <c r="G59" s="5" t="s">
        <v>603</v>
      </c>
      <c r="H59" s="5"/>
      <c r="I59" s="5" t="s">
        <v>603</v>
      </c>
      <c r="J59" s="5"/>
      <c r="K59" s="5" t="s">
        <v>603</v>
      </c>
      <c r="L59" s="5"/>
      <c r="M59" s="5" t="s">
        <v>603</v>
      </c>
      <c r="N59" s="5"/>
      <c r="O59" s="5" t="s">
        <v>603</v>
      </c>
      <c r="P59" s="5"/>
      <c r="Q59" s="5" t="s">
        <v>603</v>
      </c>
      <c r="R59" s="5"/>
      <c r="S59" s="5" t="s">
        <v>603</v>
      </c>
      <c r="T59" s="5"/>
      <c r="U59" s="5" t="s">
        <v>603</v>
      </c>
      <c r="V59" s="5"/>
      <c r="W59" s="5" t="s">
        <v>603</v>
      </c>
      <c r="X59" s="5"/>
      <c r="Y59" s="5" t="s">
        <v>603</v>
      </c>
      <c r="Z59" s="5"/>
      <c r="AA59" s="5" t="s">
        <v>603</v>
      </c>
      <c r="AB59" s="47">
        <v>0.0</v>
      </c>
    </row>
    <row r="60" hidden="1">
      <c r="A60" s="222" t="str">
        <f t="array" ref="A60:A61">{"FormulaRow29";(INDEX(CLASSLIST,A3,1))}</f>
        <v>FormulaRow29</v>
      </c>
      <c r="B60" s="222" t="str">
        <f t="array" ref="B60:B61">{"CLASSTYPE";((INDEX(ALLCLASSDATA,MATCH("ClassType",CLASSFEATUREHEADERS,0),MATCH($A61,CLASSNAMEHEADERS,0))))}</f>
        <v>CLASSTYPE</v>
      </c>
      <c r="C60" s="222" t="str">
        <f t="array" ref="C60:C61">{"ATTACK";"Attack"}</f>
        <v>ATTACK</v>
      </c>
      <c r="D60" s="222" t="str">
        <f t="array" ref="D60:D61">{"SIMPLE";"Simple"}</f>
        <v>SIMPLE</v>
      </c>
      <c r="E60" s="223" t="str">
        <f t="array" ref="E60:E61">{"SIMPLEINITIAL";((IF(G61=10,"T",(IF(G61=50,"E","")))))}</f>
        <v>SIMPLEINITIAL</v>
      </c>
      <c r="F60" s="223" t="str">
        <f t="array" ref="F60:F61">{"SIMPLEINITIALPTS";((IF("00"=(INDEX(ALLCLASSDATA,MATCH("SimpleLegendary",CLASSFEATUREHEADERS,0),MATCH($A61,CLASSNAMEHEADERS,0))),(INDEX(ALLCLASSDATA,MATCH("SimpleLegendary",CLASSFEATUREHEADERS,0),MATCH(($A61 &amp; "Points"),CLASSNAMEHEADERS,0))),(IF("00"=(INDEX(ALLCLASSDATA,MATCH("SimpleMaster",CLASSFEATUREHEADERS,0),MATCH($A61,CLASSNAMEHEADERS,0))),(INDEX(ALLCLASSDATA,MATCH("SimpleMaster",CLASSFEATUREHEADERS,0),MATCH(($A61 &amp; "Points"),CLASSNAMEHEADERS,0))),(IF("00"=(INDEX(ALLCLASSDATA,MATCH("SimpleExpert",CLASSFEATUREHEADERS,0),MATCH($A61,CLASSNAMEHEADERS,0))),(INDEX(ALLCLASSDATA,MATCH("SimpleExpert",CLASSFEATUREHEADERS,0),MATCH(($A61 &amp; "Points"),CLASSNAMEHEADERS,0))),(IF("00"=(INDEX(ALLCLASSDATA,MATCH("SimpleTrained",CLASSFEATUREHEADERS,0),MATCH($A61,CLASSNAMEHEADERS,0))),(INDEX(ALLCLASSDATA,MATCH("SimpleTrained",CLASSFEATUREHEADERS,0),MATCH(($A61 &amp; "Points"),CLASSNAMEHEADERS,0))),"")))))))))}</f>
        <v>SIMPLEINITIALPTS</v>
      </c>
      <c r="G60" s="223" t="str">
        <f t="array" ref="G60:G61">{"SIMPLEL01";((IF("01"=(INDEX(ALLCLASSDATA,MATCH("SimpleLegendary",CLASSFEATUREHEADERS,0),MATCH($A61,CLASSNAMEHEADERS,0))),(INDEX(ALLCLASSDATA,MATCH("SimpleLegendary",CLASSFEATUREHEADERS,0),MATCH(($A61 &amp; "Points"),CLASSNAMEHEADERS,0))),(IF("01"=(INDEX(ALLCLASSDATA,MATCH("SimpleMaster",CLASSFEATUREHEADERS,0),MATCH($A61,CLASSNAMEHEADERS,0))),(INDEX(ALLCLASSDATA,MATCH("SimpleMaster",CLASSFEATUREHEADERS,0),MATCH(($A61 &amp; "Points"),CLASSNAMEHEADERS,0))),(IF("01"=(INDEX(ALLCLASSDATA,MATCH("SimpleExpert",CLASSFEATUREHEADERS,0),MATCH($A61,CLASSNAMEHEADERS,0))),(INDEX(ALLCLASSDATA,MATCH("SimpleExpert",CLASSFEATUREHEADERS,0),MATCH(($A61 &amp; "Points"),CLASSNAMEHEADERS,0))),(IF("01"=(INDEX(ALLCLASSDATA,MATCH("SimpleTrained",CLASSFEATUREHEADERS,0),MATCH($A61,CLASSNAMEHEADERS,0))),(INDEX(ALLCLASSDATA,MATCH("SimpleTrained",CLASSFEATUREHEADERS,0),MATCH(($A61 &amp; "Points"),CLASSNAMEHEADERS,0))),"")))))))))}</f>
        <v>SIMPLEL01</v>
      </c>
      <c r="H60" s="223"/>
      <c r="I60" s="223" t="str">
        <f t="array" ref="I60:I61">{"SIMPLEL03";((IF("03"=(INDEX(ALLCLASSDATA,MATCH("SimpleLegendary",CLASSFEATUREHEADERS,0),MATCH($A61,CLASSNAMEHEADERS,0))),(INDEX(ALLCLASSDATA,MATCH("SimpleLegendary",CLASSFEATUREHEADERS,0),MATCH(($A61 &amp; "Points"),CLASSNAMEHEADERS,0))),(IF("03"=(INDEX(ALLCLASSDATA,MATCH("SimpleMaster",CLASSFEATUREHEADERS,0),MATCH($A61,CLASSNAMEHEADERS,0))),(INDEX(ALLCLASSDATA,MATCH("SimpleMaster",CLASSFEATUREHEADERS,0),MATCH(($A61 &amp; "Points"),CLASSNAMEHEADERS,0))),(IF("03"=(INDEX(ALLCLASSDATA,MATCH("SimpleExpert",CLASSFEATUREHEADERS,0),MATCH($A61,CLASSNAMEHEADERS,0))),(INDEX(ALLCLASSDATA,MATCH("SimpleExpert",CLASSFEATUREHEADERS,0),MATCH(($A61 &amp; "Points"),CLASSNAMEHEADERS,0))),(IF("03"=(INDEX(ALLCLASSDATA,MATCH("SimpleTrained",CLASSFEATUREHEADERS,0),MATCH($A61,CLASSNAMEHEADERS,0))),(INDEX(ALLCLASSDATA,MATCH("SimpleTrained",CLASSFEATUREHEADERS,0),MATCH(($A61 &amp; "Points"),CLASSNAMEHEADERS,0))),"")))))))))}</f>
        <v>SIMPLEL03</v>
      </c>
      <c r="J60" s="223"/>
      <c r="K60" s="223" t="str">
        <f t="array" ref="K60:K61">{"SIMPLEL05";((IF("05"=(INDEX(ALLCLASSDATA,MATCH("SimpleLegendary",CLASSFEATUREHEADERS,0),MATCH($A61,CLASSNAMEHEADERS,0))),(INDEX(ALLCLASSDATA,MATCH("SimpleLegendary",CLASSFEATUREHEADERS,0),MATCH(($A61 &amp; "Points"),CLASSNAMEHEADERS,0))),(IF("05"=(INDEX(ALLCLASSDATA,MATCH("SimpleMaster",CLASSFEATUREHEADERS,0),MATCH($A61,CLASSNAMEHEADERS,0))),(INDEX(ALLCLASSDATA,MATCH("SimpleMaster",CLASSFEATUREHEADERS,0),MATCH(($A61 &amp; "Points"),CLASSNAMEHEADERS,0))),(IF("05"=(INDEX(ALLCLASSDATA,MATCH("SimpleExpert",CLASSFEATUREHEADERS,0),MATCH($A61,CLASSNAMEHEADERS,0))),(INDEX(ALLCLASSDATA,MATCH("SimpleExpert",CLASSFEATUREHEADERS,0),MATCH(($A61 &amp; "Points"),CLASSNAMEHEADERS,0))),(IF("05"=(INDEX(ALLCLASSDATA,MATCH("SimpleTrained",CLASSFEATUREHEADERS,0),MATCH($A61,CLASSNAMEHEADERS,0))),(INDEX(ALLCLASSDATA,MATCH("SimpleTrained",CLASSFEATUREHEADERS,0),MATCH(($A61 &amp; "Points"),CLASSNAMEHEADERS,0))),"")))))))))}</f>
        <v>SIMPLEL05</v>
      </c>
      <c r="L60" s="223"/>
      <c r="M60" s="223" t="str">
        <f t="array" ref="M60:M61">{"SIMPLEL07";((IF("07"=(INDEX(ALLCLASSDATA,MATCH("SimpleLegendary",CLASSFEATUREHEADERS,0),MATCH($A61,CLASSNAMEHEADERS,0))),(INDEX(ALLCLASSDATA,MATCH("SimpleLegendary",CLASSFEATUREHEADERS,0),MATCH(($A61 &amp; "Points"),CLASSNAMEHEADERS,0))),(IF("07"=(INDEX(ALLCLASSDATA,MATCH("SimpleMaster",CLASSFEATUREHEADERS,0),MATCH($A61,CLASSNAMEHEADERS,0))),(INDEX(ALLCLASSDATA,MATCH("SimpleMaster",CLASSFEATUREHEADERS,0),MATCH(($A61 &amp; "Points"),CLASSNAMEHEADERS,0))),(IF("07"=(INDEX(ALLCLASSDATA,MATCH("SimpleExpert",CLASSFEATUREHEADERS,0),MATCH($A61,CLASSNAMEHEADERS,0))),(INDEX(ALLCLASSDATA,MATCH("SimpleExpert",CLASSFEATUREHEADERS,0),MATCH(($A61 &amp; "Points"),CLASSNAMEHEADERS,0))),(IF("07"=(INDEX(ALLCLASSDATA,MATCH("SimpleTrained",CLASSFEATUREHEADERS,0),MATCH($A61,CLASSNAMEHEADERS,0))),(INDEX(ALLCLASSDATA,MATCH("SimpleTrained",CLASSFEATUREHEADERS,0),MATCH(($A61 &amp; "Points"),CLASSNAMEHEADERS,0))),"")))))))))}</f>
        <v>SIMPLEL07</v>
      </c>
      <c r="N60" s="223"/>
      <c r="O60" s="223" t="str">
        <f t="array" ref="O60:O61">{"SIMPLEL09";((IF("09"=(INDEX(ALLCLASSDATA,MATCH("SimpleLegendary",CLASSFEATUREHEADERS,0),MATCH($A61,CLASSNAMEHEADERS,0))),(INDEX(ALLCLASSDATA,MATCH("SimpleLegendary",CLASSFEATUREHEADERS,0),MATCH(($A61 &amp; "Points"),CLASSNAMEHEADERS,0))),(IF("09"=(INDEX(ALLCLASSDATA,MATCH("SimpleMaster",CLASSFEATUREHEADERS,0),MATCH($A61,CLASSNAMEHEADERS,0))),(INDEX(ALLCLASSDATA,MATCH("SimpleMaster",CLASSFEATUREHEADERS,0),MATCH(($A61 &amp; "Points"),CLASSNAMEHEADERS,0))),(IF("09"=(INDEX(ALLCLASSDATA,MATCH("SimpleExpert",CLASSFEATUREHEADERS,0),MATCH($A61,CLASSNAMEHEADERS,0))),(INDEX(ALLCLASSDATA,MATCH("SimpleExpert",CLASSFEATUREHEADERS,0),MATCH(($A61 &amp; "Points"),CLASSNAMEHEADERS,0))),(IF("09"=(INDEX(ALLCLASSDATA,MATCH("SimpleTrained",CLASSFEATUREHEADERS,0),MATCH($A61,CLASSNAMEHEADERS,0))),(INDEX(ALLCLASSDATA,MATCH("SimpleTrained",CLASSFEATUREHEADERS,0),MATCH(($A61 &amp; "Points"),CLASSNAMEHEADERS,0))),"")))))))))}</f>
        <v>SIMPLEL09</v>
      </c>
      <c r="P60" s="223"/>
      <c r="Q60" s="223" t="str">
        <f t="array" ref="Q60:Q61">{"SIMPLEL11";((IF("11"=(INDEX(ALLCLASSDATA,MATCH("SimpleLegendary",CLASSFEATUREHEADERS,0),MATCH($A61,CLASSNAMEHEADERS,0))),(INDEX(ALLCLASSDATA,MATCH("SimpleLegendary",CLASSFEATUREHEADERS,0),MATCH(($A61 &amp; "Points"),CLASSNAMEHEADERS,0))),(IF("11"=(INDEX(ALLCLASSDATA,MATCH("SimpleMaster",CLASSFEATUREHEADERS,0),MATCH($A61,CLASSNAMEHEADERS,0))),(INDEX(ALLCLASSDATA,MATCH("SimpleMaster",CLASSFEATUREHEADERS,0),MATCH(($A61 &amp; "Points"),CLASSNAMEHEADERS,0))),(IF("11"=(INDEX(ALLCLASSDATA,MATCH("SimpleExpert",CLASSFEATUREHEADERS,0),MATCH($A61,CLASSNAMEHEADERS,0))),(INDEX(ALLCLASSDATA,MATCH("SimpleExpert",CLASSFEATUREHEADERS,0),MATCH(($A61 &amp; "Points"),CLASSNAMEHEADERS,0))),(IF("11"=(INDEX(ALLCLASSDATA,MATCH("SimpleTrained",CLASSFEATUREHEADERS,0),MATCH($A61,CLASSNAMEHEADERS,0))),(INDEX(ALLCLASSDATA,MATCH("SimpleTrained",CLASSFEATUREHEADERS,0),MATCH(($A61 &amp; "Points"),CLASSNAMEHEADERS,0))),"")))))))))}</f>
        <v>SIMPLEL11</v>
      </c>
      <c r="R60" s="223"/>
      <c r="S60" s="223" t="str">
        <f t="array" ref="S60:S61">{"SIMPLEL13";((IF("13"=(INDEX(ALLCLASSDATA,MATCH("SimpleLegendary",CLASSFEATUREHEADERS,0),MATCH($A61,CLASSNAMEHEADERS,0))),(INDEX(ALLCLASSDATA,MATCH("SimpleLegendary",CLASSFEATUREHEADERS,0),MATCH(($A61 &amp; "Points"),CLASSNAMEHEADERS,0))),(IF("13"=(INDEX(ALLCLASSDATA,MATCH("SimpleMaster",CLASSFEATUREHEADERS,0),MATCH($A61,CLASSNAMEHEADERS,0))),(INDEX(ALLCLASSDATA,MATCH("SimpleMaster",CLASSFEATUREHEADERS,0),MATCH(($A61 &amp; "Points"),CLASSNAMEHEADERS,0))),(IF("13"=(INDEX(ALLCLASSDATA,MATCH("SimpleExpert",CLASSFEATUREHEADERS,0),MATCH($A61,CLASSNAMEHEADERS,0))),(INDEX(ALLCLASSDATA,MATCH("SimpleExpert",CLASSFEATUREHEADERS,0),MATCH(($A61 &amp; "Points"),CLASSNAMEHEADERS,0))),(IF("13"=(INDEX(ALLCLASSDATA,MATCH("SimpleTrained",CLASSFEATUREHEADERS,0),MATCH($A61,CLASSNAMEHEADERS,0))),(INDEX(ALLCLASSDATA,MATCH("SimpleTrained",CLASSFEATUREHEADERS,0),MATCH(($A61 &amp; "Points"),CLASSNAMEHEADERS,0))),"")))))))))}</f>
        <v>SIMPLEL13</v>
      </c>
      <c r="T60" s="223"/>
      <c r="U60" s="223" t="str">
        <f t="array" ref="U60:U61">{"SIMPLEL15";((IF("15"=(INDEX(ALLCLASSDATA,MATCH("SimpleLegendary",CLASSFEATUREHEADERS,0),MATCH($A61,CLASSNAMEHEADERS,0))),(INDEX(ALLCLASSDATA,MATCH("SimpleLegendary",CLASSFEATUREHEADERS,0),MATCH(($A61 &amp; "Points"),CLASSNAMEHEADERS,0))),(IF("15"=(INDEX(ALLCLASSDATA,MATCH("SimpleMaster",CLASSFEATUREHEADERS,0),MATCH($A61,CLASSNAMEHEADERS,0))),(INDEX(ALLCLASSDATA,MATCH("SimpleMaster",CLASSFEATUREHEADERS,0),MATCH(($A61 &amp; "Points"),CLASSNAMEHEADERS,0))),(IF("15"=(INDEX(ALLCLASSDATA,MATCH("SimpleExpert",CLASSFEATUREHEADERS,0),MATCH($A61,CLASSNAMEHEADERS,0))),(INDEX(ALLCLASSDATA,MATCH("SimpleExpert",CLASSFEATUREHEADERS,0),MATCH(($A61 &amp; "Points"),CLASSNAMEHEADERS,0))),(IF("15"=(INDEX(ALLCLASSDATA,MATCH("SimpleTrained",CLASSFEATUREHEADERS,0),MATCH($A61,CLASSNAMEHEADERS,0))),(INDEX(ALLCLASSDATA,MATCH("SimpleTrained",CLASSFEATUREHEADERS,0),MATCH(($A61 &amp; "Points"),CLASSNAMEHEADERS,0))),"")))))))))}</f>
        <v>SIMPLEL15</v>
      </c>
      <c r="V60" s="223"/>
      <c r="W60" s="223" t="str">
        <f t="array" ref="W60:W61">{"SIMPLEL17";((IF("17"=(INDEX(ALLCLASSDATA,MATCH("SimpleLegendary",CLASSFEATUREHEADERS,0),MATCH($A61,CLASSNAMEHEADERS,0))),(INDEX(ALLCLASSDATA,MATCH("SimpleLegendary",CLASSFEATUREHEADERS,0),MATCH(($A61 &amp; "Points"),CLASSNAMEHEADERS,0))),(IF("17"=(INDEX(ALLCLASSDATA,MATCH("SimpleMaster",CLASSFEATUREHEADERS,0),MATCH($A61,CLASSNAMEHEADERS,0))),(INDEX(ALLCLASSDATA,MATCH("SimpleMaster",CLASSFEATUREHEADERS,0),MATCH(($A61 &amp; "Points"),CLASSNAMEHEADERS,0))),(IF("17"=(INDEX(ALLCLASSDATA,MATCH("SimpleExpert",CLASSFEATUREHEADERS,0),MATCH($A61,CLASSNAMEHEADERS,0))),(INDEX(ALLCLASSDATA,MATCH("SimpleExpert",CLASSFEATUREHEADERS,0),MATCH(($A61 &amp; "Points"),CLASSNAMEHEADERS,0))),(IF("17"=(INDEX(ALLCLASSDATA,MATCH("SimpleTrained",CLASSFEATUREHEADERS,0),MATCH($A61,CLASSNAMEHEADERS,0))),(INDEX(ALLCLASSDATA,MATCH("SimpleTrained",CLASSFEATUREHEADERS,0),MATCH(($A61 &amp; "Points"),CLASSNAMEHEADERS,0))),"")))))))))}</f>
        <v>SIMPLEL17</v>
      </c>
      <c r="X60" s="223"/>
      <c r="Y60" s="223" t="str">
        <f t="array" ref="Y60:Y61">{"SIMPLEL19";((IF("19"=(INDEX(ALLCLASSDATA,MATCH("SimpleLegendary",CLASSFEATUREHEADERS,0),MATCH($A61,CLASSNAMEHEADERS,0))),(INDEX(ALLCLASSDATA,MATCH("SimpleLegendary",CLASSFEATUREHEADERS,0),MATCH(($A61 &amp; "Points"),CLASSNAMEHEADERS,0))),(IF("19"=(INDEX(ALLCLASSDATA,MATCH("SimpleMaster",CLASSFEATUREHEADERS,0),MATCH($A61,CLASSNAMEHEADERS,0))),(INDEX(ALLCLASSDATA,MATCH("SimpleMaster",CLASSFEATUREHEADERS,0),MATCH(($A61 &amp; "Points"),CLASSNAMEHEADERS,0))),(IF("19"=(INDEX(ALLCLASSDATA,MATCH("SimpleExpert",CLASSFEATUREHEADERS,0),MATCH($A61,CLASSNAMEHEADERS,0))),(INDEX(ALLCLASSDATA,MATCH("SimpleExpert",CLASSFEATUREHEADERS,0),MATCH(($A61 &amp; "Points"),CLASSNAMEHEADERS,0))),(IF("19"=(INDEX(ALLCLASSDATA,MATCH("SimpleTrained",CLASSFEATUREHEADERS,0),MATCH($A61,CLASSNAMEHEADERS,0))),(INDEX(ALLCLASSDATA,MATCH("SimpleTrained",CLASSFEATUREHEADERS,0),MATCH(($A61 &amp; "Points"),CLASSNAMEHEADERS,0))),"")))))))))}</f>
        <v>SIMPLEL19</v>
      </c>
      <c r="Z60" s="223"/>
      <c r="AA60" s="76" t="str">
        <f t="array" ref="AA60:AA61">{"SIMPLE TOTAL";(IF(COUNTBLANK(F61:Z61)=17,"L",(IF(COUNTBLANK(F61:Z61)=18,"M",(IF(COUNTBLANK(F61:Z61)=19,"E",(IF(COUNTBLANK(F61:Z61)=20,"T",""))))))))}</f>
        <v>SIMPLE TOTAL</v>
      </c>
      <c r="AB60" s="76" t="str">
        <f t="array" ref="AB60:AB61">{"SIMPLE TOTAL";(sum(F61:Z61))}</f>
        <v>SIMPLE TOTAL</v>
      </c>
    </row>
    <row r="61">
      <c r="A61" s="48" t="s">
        <v>211</v>
      </c>
      <c r="B61" s="48" t="s">
        <v>417</v>
      </c>
      <c r="C61" s="48" t="s">
        <v>1634</v>
      </c>
      <c r="D61" s="48" t="s">
        <v>68</v>
      </c>
      <c r="E61" s="5" t="s">
        <v>435</v>
      </c>
      <c r="F61" s="47" t="s">
        <v>603</v>
      </c>
      <c r="G61" s="5">
        <v>10.0</v>
      </c>
      <c r="H61" s="5"/>
      <c r="I61" s="5" t="s">
        <v>603</v>
      </c>
      <c r="J61" s="5"/>
      <c r="K61" s="48" t="s">
        <v>603</v>
      </c>
      <c r="L61" s="5"/>
      <c r="M61" s="5" t="s">
        <v>436</v>
      </c>
      <c r="N61" s="5"/>
      <c r="O61" s="5" t="s">
        <v>603</v>
      </c>
      <c r="P61" s="5"/>
      <c r="Q61" s="5" t="s">
        <v>603</v>
      </c>
      <c r="R61" s="5"/>
      <c r="S61" s="5" t="s">
        <v>603</v>
      </c>
      <c r="T61" s="5"/>
      <c r="U61" s="5" t="s">
        <v>603</v>
      </c>
      <c r="V61" s="5"/>
      <c r="W61" s="5" t="s">
        <v>603</v>
      </c>
      <c r="X61" s="5"/>
      <c r="Y61" s="5" t="s">
        <v>603</v>
      </c>
      <c r="Z61" s="5"/>
      <c r="AA61" s="5" t="s">
        <v>436</v>
      </c>
      <c r="AB61" s="47">
        <v>10.0</v>
      </c>
    </row>
    <row r="62" hidden="1">
      <c r="A62" s="222" t="str">
        <f t="array" ref="A62:A63">{"FormulaRow30";(INDEX(CLASSLIST,A3,1))}</f>
        <v>FormulaRow30</v>
      </c>
      <c r="B62" s="222" t="str">
        <f t="array" ref="B62:B63">{"CLASSTYPE";((INDEX(ALLCLASSDATA,MATCH("ClassType",CLASSFEATUREHEADERS,0),MATCH($A63,CLASSNAMEHEADERS,0))))}</f>
        <v>CLASSTYPE</v>
      </c>
      <c r="C62" s="222" t="str">
        <f t="array" ref="C62:C63">{"ATTACK";"Attack"}</f>
        <v>ATTACK</v>
      </c>
      <c r="D62" s="222" t="str">
        <f t="array" ref="D62:D63">{"MARTIALLIMITED";"MartialLimited"}</f>
        <v>MARTIALLIMITED</v>
      </c>
      <c r="E62" s="223" t="str">
        <f t="array" ref="E62:E63">{"MARTIALLIMITEDINITIAL";((IF(G63=10,"T",(IF(G63=50,"E","")))))}</f>
        <v>MARTIALLIMITEDINITIAL</v>
      </c>
      <c r="F62" s="223" t="str">
        <f t="array" ref="F62:F63">{"MARTIALLIMITEDINITIALPTS";((IF("00"=(INDEX(ALLCLASSDATA,MATCH("MartialLimitedLegendary",CLASSFEATUREHEADERS,0),MATCH($A63,CLASSNAMEHEADERS,0))),(INDEX(ALLCLASSDATA,MATCH("MartialLimitedLegendary",CLASSFEATUREHEADERS,0),MATCH(($A63 &amp; "Points"),CLASSNAMEHEADERS,0))),(IF("00"=(INDEX(ALLCLASSDATA,MATCH("MartialLimitedMaster",CLASSFEATUREHEADERS,0),MATCH($A63,CLASSNAMEHEADERS,0))),(INDEX(ALLCLASSDATA,MATCH("MartialLimitedMaster",CLASSFEATUREHEADERS,0),MATCH(($A63 &amp; "Points"),CLASSNAMEHEADERS,0))),(IF("00"=(INDEX(ALLCLASSDATA,MATCH("MartialLimitedExpert",CLASSFEATUREHEADERS,0),MATCH($A63,CLASSNAMEHEADERS,0))),(INDEX(ALLCLASSDATA,MATCH("MartialLimitedExpert",CLASSFEATUREHEADERS,0),MATCH(($A63 &amp; "Points"),CLASSNAMEHEADERS,0))),(IF("00"=(INDEX(ALLCLASSDATA,MATCH("MartialLimitedTrained",CLASSFEATUREHEADERS,0),MATCH($A63,CLASSNAMEHEADERS,0))),(INDEX(ALLCLASSDATA,MATCH("MartialLimitedTrained",CLASSFEATUREHEADERS,0),MATCH(($A63 &amp; "Points"),CLASSNAMEHEADERS,0))),"")))))))))}</f>
        <v>MARTIALLIMITEDINITIALPTS</v>
      </c>
      <c r="G62" s="223" t="str">
        <f t="array" ref="G62:G63">{"MARTIALLIMITEDL01";((IF("01"=(INDEX(ALLCLASSDATA,MATCH("MartialLimitedLegendary",CLASSFEATUREHEADERS,0),MATCH($A63,CLASSNAMEHEADERS,0))),(INDEX(ALLCLASSDATA,MATCH("MartialLimitedLegendary",CLASSFEATUREHEADERS,0),MATCH(($A63 &amp; "Points"),CLASSNAMEHEADERS,0))),(IF("01"=(INDEX(ALLCLASSDATA,MATCH("MartialLimitedMaster",CLASSFEATUREHEADERS,0),MATCH($A63,CLASSNAMEHEADERS,0))),(INDEX(ALLCLASSDATA,MATCH("MartialLimitedMaster",CLASSFEATUREHEADERS,0),MATCH(($A63 &amp; "Points"),CLASSNAMEHEADERS,0))),(IF("01"=(INDEX(ALLCLASSDATA,MATCH("MartialLimitedExpert",CLASSFEATUREHEADERS,0),MATCH($A63,CLASSNAMEHEADERS,0))),(INDEX(ALLCLASSDATA,MATCH("MartialLimitedExpert",CLASSFEATUREHEADERS,0),MATCH(($A63 &amp; "Points"),CLASSNAMEHEADERS,0))),(IF("01"=(INDEX(ALLCLASSDATA,MATCH("MartialLimitedTrained",CLASSFEATUREHEADERS,0),MATCH($A63,CLASSNAMEHEADERS,0))),(INDEX(ALLCLASSDATA,MATCH("MartialLimitedTrained",CLASSFEATUREHEADERS,0),MATCH(($A63 &amp; "Points"),CLASSNAMEHEADERS,0))),"")))))))))}</f>
        <v>MARTIALLIMITEDL01</v>
      </c>
      <c r="H62" s="223"/>
      <c r="I62" s="223" t="str">
        <f t="array" ref="I62:I63">{"MARTIALLIMITEDL03";((IF("03"=(INDEX(ALLCLASSDATA,MATCH("MartialLimitedLegendary",CLASSFEATUREHEADERS,0),MATCH($A63,CLASSNAMEHEADERS,0))),(INDEX(ALLCLASSDATA,MATCH("MartialLimitedLegendary",CLASSFEATUREHEADERS,0),MATCH(($A63 &amp; "Points"),CLASSNAMEHEADERS,0))),(IF("03"=(INDEX(ALLCLASSDATA,MATCH("MartialLimitedMaster",CLASSFEATUREHEADERS,0),MATCH($A63,CLASSNAMEHEADERS,0))),(INDEX(ALLCLASSDATA,MATCH("MartialLimitedMaster",CLASSFEATUREHEADERS,0),MATCH(($A63 &amp; "Points"),CLASSNAMEHEADERS,0))),(IF("03"=(INDEX(ALLCLASSDATA,MATCH("MartialLimitedExpert",CLASSFEATUREHEADERS,0),MATCH($A63,CLASSNAMEHEADERS,0))),(INDEX(ALLCLASSDATA,MATCH("MartialLimitedExpert",CLASSFEATUREHEADERS,0),MATCH(($A63 &amp; "Points"),CLASSNAMEHEADERS,0))),(IF("03"=(INDEX(ALLCLASSDATA,MATCH("MartialLimitedTrained",CLASSFEATUREHEADERS,0),MATCH($A63,CLASSNAMEHEADERS,0))),(INDEX(ALLCLASSDATA,MATCH("MartialLimitedTrained",CLASSFEATUREHEADERS,0),MATCH(($A63 &amp; "Points"),CLASSNAMEHEADERS,0))),"")))))))))}</f>
        <v>MARTIALLIMITEDL03</v>
      </c>
      <c r="J62" s="223"/>
      <c r="K62" s="223" t="str">
        <f t="array" ref="K62:K63">{"MARTIALLIMITEDL05";((IF("05"=(INDEX(ALLCLASSDATA,MATCH("MartialLimitedLegendary",CLASSFEATUREHEADERS,0),MATCH($A63,CLASSNAMEHEADERS,0))),(INDEX(ALLCLASSDATA,MATCH("MartialLimitedLegendary",CLASSFEATUREHEADERS,0),MATCH(($A63 &amp; "Points"),CLASSNAMEHEADERS,0))),(IF("05"=(INDEX(ALLCLASSDATA,MATCH("MartialLimitedMaster",CLASSFEATUREHEADERS,0),MATCH($A63,CLASSNAMEHEADERS,0))),(INDEX(ALLCLASSDATA,MATCH("MartialLimitedMaster",CLASSFEATUREHEADERS,0),MATCH(($A63 &amp; "Points"),CLASSNAMEHEADERS,0))),(IF("05"=(INDEX(ALLCLASSDATA,MATCH("MartialLimitedExpert",CLASSFEATUREHEADERS,0),MATCH($A63,CLASSNAMEHEADERS,0))),(INDEX(ALLCLASSDATA,MATCH("MartialLimitedExpert",CLASSFEATUREHEADERS,0),MATCH(($A63 &amp; "Points"),CLASSNAMEHEADERS,0))),(IF("05"=(INDEX(ALLCLASSDATA,MATCH("MartialLimitedTrained",CLASSFEATUREHEADERS,0),MATCH($A63,CLASSNAMEHEADERS,0))),(INDEX(ALLCLASSDATA,MATCH("MartialLimitedTrained",CLASSFEATUREHEADERS,0),MATCH(($A63 &amp; "Points"),CLASSNAMEHEADERS,0))),"")))))))))}</f>
        <v>MARTIALLIMITEDL05</v>
      </c>
      <c r="L62" s="223"/>
      <c r="M62" s="223" t="str">
        <f t="array" ref="M62:M63">{"MARTIALLIMITEDL07";((IF("07"=(INDEX(ALLCLASSDATA,MATCH("MartialLimitedLegendary",CLASSFEATUREHEADERS,0),MATCH($A63,CLASSNAMEHEADERS,0))),(INDEX(ALLCLASSDATA,MATCH("MartialLimitedLegendary",CLASSFEATUREHEADERS,0),MATCH(($A63 &amp; "Points"),CLASSNAMEHEADERS,0))),(IF("07"=(INDEX(ALLCLASSDATA,MATCH("MartialLimitedMaster",CLASSFEATUREHEADERS,0),MATCH($A63,CLASSNAMEHEADERS,0))),(INDEX(ALLCLASSDATA,MATCH("MartialLimitedMaster",CLASSFEATUREHEADERS,0),MATCH(($A63 &amp; "Points"),CLASSNAMEHEADERS,0))),(IF("07"=(INDEX(ALLCLASSDATA,MATCH("MartialLimitedExpert",CLASSFEATUREHEADERS,0),MATCH($A63,CLASSNAMEHEADERS,0))),(INDEX(ALLCLASSDATA,MATCH("MartialLimitedExpert",CLASSFEATUREHEADERS,0),MATCH(($A63 &amp; "Points"),CLASSNAMEHEADERS,0))),(IF("07"=(INDEX(ALLCLASSDATA,MATCH("MartialLimitedTrained",CLASSFEATUREHEADERS,0),MATCH($A63,CLASSNAMEHEADERS,0))),(INDEX(ALLCLASSDATA,MATCH("MartialLimitedTrained",CLASSFEATUREHEADERS,0),MATCH(($A63 &amp; "Points"),CLASSNAMEHEADERS,0))),"")))))))))}</f>
        <v>MARTIALLIMITEDL07</v>
      </c>
      <c r="N62" s="223"/>
      <c r="O62" s="223" t="str">
        <f t="array" ref="O62:O63">{"MARTIALLIMITEDL09";((IF("09"=(INDEX(ALLCLASSDATA,MATCH("MartialLimitedLegendary",CLASSFEATUREHEADERS,0),MATCH($A63,CLASSNAMEHEADERS,0))),(INDEX(ALLCLASSDATA,MATCH("MartialLimitedLegendary",CLASSFEATUREHEADERS,0),MATCH(($A63 &amp; "Points"),CLASSNAMEHEADERS,0))),(IF("09"=(INDEX(ALLCLASSDATA,MATCH("MartialLimitedMaster",CLASSFEATUREHEADERS,0),MATCH($A63,CLASSNAMEHEADERS,0))),(INDEX(ALLCLASSDATA,MATCH("MartialLimitedMaster",CLASSFEATUREHEADERS,0),MATCH(($A63 &amp; "Points"),CLASSNAMEHEADERS,0))),(IF("09"=(INDEX(ALLCLASSDATA,MATCH("MartialLimitedExpert",CLASSFEATUREHEADERS,0),MATCH($A63,CLASSNAMEHEADERS,0))),(INDEX(ALLCLASSDATA,MATCH("MartialLimitedExpert",CLASSFEATUREHEADERS,0),MATCH(($A63 &amp; "Points"),CLASSNAMEHEADERS,0))),(IF("09"=(INDEX(ALLCLASSDATA,MATCH("MartialLimitedTrained",CLASSFEATUREHEADERS,0),MATCH($A63,CLASSNAMEHEADERS,0))),(INDEX(ALLCLASSDATA,MATCH("MartialLimitedTrained",CLASSFEATUREHEADERS,0),MATCH(($A63 &amp; "Points"),CLASSNAMEHEADERS,0))),"")))))))))}</f>
        <v>MARTIALLIMITEDL09</v>
      </c>
      <c r="P62" s="223"/>
      <c r="Q62" s="223" t="str">
        <f t="array" ref="Q62:Q63">{"MARTIALLIMITEDL11";((IF("11"=(INDEX(ALLCLASSDATA,MATCH("MartialLimitedLegendary",CLASSFEATUREHEADERS,0),MATCH($A63,CLASSNAMEHEADERS,0))),(INDEX(ALLCLASSDATA,MATCH("MartialLimitedLegendary",CLASSFEATUREHEADERS,0),MATCH(($A63 &amp; "Points"),CLASSNAMEHEADERS,0))),(IF("11"=(INDEX(ALLCLASSDATA,MATCH("MartialLimitedMaster",CLASSFEATUREHEADERS,0),MATCH($A63,CLASSNAMEHEADERS,0))),(INDEX(ALLCLASSDATA,MATCH("MartialLimitedMaster",CLASSFEATUREHEADERS,0),MATCH(($A63 &amp; "Points"),CLASSNAMEHEADERS,0))),(IF("11"=(INDEX(ALLCLASSDATA,MATCH("MartialLimitedExpert",CLASSFEATUREHEADERS,0),MATCH($A63,CLASSNAMEHEADERS,0))),(INDEX(ALLCLASSDATA,MATCH("MartialLimitedExpert",CLASSFEATUREHEADERS,0),MATCH(($A63 &amp; "Points"),CLASSNAMEHEADERS,0))),(IF("11"=(INDEX(ALLCLASSDATA,MATCH("MartialLimitedTrained",CLASSFEATUREHEADERS,0),MATCH($A63,CLASSNAMEHEADERS,0))),(INDEX(ALLCLASSDATA,MATCH("MartialLimitedTrained",CLASSFEATUREHEADERS,0),MATCH(($A63 &amp; "Points"),CLASSNAMEHEADERS,0))),"")))))))))}</f>
        <v>MARTIALLIMITEDL11</v>
      </c>
      <c r="R62" s="223"/>
      <c r="S62" s="223" t="str">
        <f t="array" ref="S62:S63">{"MARTIALLIMITEDL13";((IF("13"=(INDEX(ALLCLASSDATA,MATCH("MartialLimitedLegendary",CLASSFEATUREHEADERS,0),MATCH($A63,CLASSNAMEHEADERS,0))),(INDEX(ALLCLASSDATA,MATCH("MartialLimitedLegendary",CLASSFEATUREHEADERS,0),MATCH(($A63 &amp; "Points"),CLASSNAMEHEADERS,0))),(IF("13"=(INDEX(ALLCLASSDATA,MATCH("MartialLimitedMaster",CLASSFEATUREHEADERS,0),MATCH($A63,CLASSNAMEHEADERS,0))),(INDEX(ALLCLASSDATA,MATCH("MartialLimitedMaster",CLASSFEATUREHEADERS,0),MATCH(($A63 &amp; "Points"),CLASSNAMEHEADERS,0))),(IF("13"=(INDEX(ALLCLASSDATA,MATCH("MartialLimitedExpert",CLASSFEATUREHEADERS,0),MATCH($A63,CLASSNAMEHEADERS,0))),(INDEX(ALLCLASSDATA,MATCH("MartialLimitedExpert",CLASSFEATUREHEADERS,0),MATCH(($A63 &amp; "Points"),CLASSNAMEHEADERS,0))),(IF("13"=(INDEX(ALLCLASSDATA,MATCH("MartialLimitedTrained",CLASSFEATUREHEADERS,0),MATCH($A63,CLASSNAMEHEADERS,0))),(INDEX(ALLCLASSDATA,MATCH("MartialLimitedTrained",CLASSFEATUREHEADERS,0),MATCH(($A63 &amp; "Points"),CLASSNAMEHEADERS,0))),"")))))))))}</f>
        <v>MARTIALLIMITEDL13</v>
      </c>
      <c r="T62" s="223"/>
      <c r="U62" s="223" t="str">
        <f t="array" ref="U62:U63">{"MARTIALLIMITEDL15";((IF("15"=(INDEX(ALLCLASSDATA,MATCH("MartialLimitedLegendary",CLASSFEATUREHEADERS,0),MATCH($A63,CLASSNAMEHEADERS,0))),(INDEX(ALLCLASSDATA,MATCH("MartialLimitedLegendary",CLASSFEATUREHEADERS,0),MATCH(($A63 &amp; "Points"),CLASSNAMEHEADERS,0))),(IF("15"=(INDEX(ALLCLASSDATA,MATCH("MartialLimitedMaster",CLASSFEATUREHEADERS,0),MATCH($A63,CLASSNAMEHEADERS,0))),(INDEX(ALLCLASSDATA,MATCH("MartialLimitedMaster",CLASSFEATUREHEADERS,0),MATCH(($A63 &amp; "Points"),CLASSNAMEHEADERS,0))),(IF("15"=(INDEX(ALLCLASSDATA,MATCH("MartialLimitedExpert",CLASSFEATUREHEADERS,0),MATCH($A63,CLASSNAMEHEADERS,0))),(INDEX(ALLCLASSDATA,MATCH("MartialLimitedExpert",CLASSFEATUREHEADERS,0),MATCH(($A63 &amp; "Points"),CLASSNAMEHEADERS,0))),(IF("15"=(INDEX(ALLCLASSDATA,MATCH("MartialLimitedTrained",CLASSFEATUREHEADERS,0),MATCH($A63,CLASSNAMEHEADERS,0))),(INDEX(ALLCLASSDATA,MATCH("MartialLimitedTrained",CLASSFEATUREHEADERS,0),MATCH(($A63 &amp; "Points"),CLASSNAMEHEADERS,0))),"")))))))))}</f>
        <v>MARTIALLIMITEDL15</v>
      </c>
      <c r="V62" s="223"/>
      <c r="W62" s="223" t="str">
        <f t="array" ref="W62:W63">{"MARTIALLIMITEDL17";((IF("17"=(INDEX(ALLCLASSDATA,MATCH("MartialLimitedLegendary",CLASSFEATUREHEADERS,0),MATCH($A63,CLASSNAMEHEADERS,0))),(INDEX(ALLCLASSDATA,MATCH("MartialLimitedLegendary",CLASSFEATUREHEADERS,0),MATCH(($A63 &amp; "Points"),CLASSNAMEHEADERS,0))),(IF("17"=(INDEX(ALLCLASSDATA,MATCH("MartialLimitedMaster",CLASSFEATUREHEADERS,0),MATCH($A63,CLASSNAMEHEADERS,0))),(INDEX(ALLCLASSDATA,MATCH("MartialLimitedMaster",CLASSFEATUREHEADERS,0),MATCH(($A63 &amp; "Points"),CLASSNAMEHEADERS,0))),(IF("17"=(INDEX(ALLCLASSDATA,MATCH("MartialLimitedExpert",CLASSFEATUREHEADERS,0),MATCH($A63,CLASSNAMEHEADERS,0))),(INDEX(ALLCLASSDATA,MATCH("MartialLimitedExpert",CLASSFEATUREHEADERS,0),MATCH(($A63 &amp; "Points"),CLASSNAMEHEADERS,0))),(IF("17"=(INDEX(ALLCLASSDATA,MATCH("MartialLimitedTrained",CLASSFEATUREHEADERS,0),MATCH($A63,CLASSNAMEHEADERS,0))),(INDEX(ALLCLASSDATA,MATCH("MartialLimitedTrained",CLASSFEATUREHEADERS,0),MATCH(($A63 &amp; "Points"),CLASSNAMEHEADERS,0))),"")))))))))}</f>
        <v>MARTIALLIMITEDL17</v>
      </c>
      <c r="X62" s="223"/>
      <c r="Y62" s="223" t="str">
        <f t="array" ref="Y62:Y63">{"MARTIALLIMITEDL19";((IF("19"=(INDEX(ALLCLASSDATA,MATCH("MartialLimitedLegendary",CLASSFEATUREHEADERS,0),MATCH($A63,CLASSNAMEHEADERS,0))),(INDEX(ALLCLASSDATA,MATCH("MartialLimitedLegendary",CLASSFEATUREHEADERS,0),MATCH(($A63 &amp; "Points"),CLASSNAMEHEADERS,0))),(IF("19"=(INDEX(ALLCLASSDATA,MATCH("MartialLimitedMaster",CLASSFEATUREHEADERS,0),MATCH($A63,CLASSNAMEHEADERS,0))),(INDEX(ALLCLASSDATA,MATCH("MartialLimitedMaster",CLASSFEATUREHEADERS,0),MATCH(($A63 &amp; "Points"),CLASSNAMEHEADERS,0))),(IF("19"=(INDEX(ALLCLASSDATA,MATCH("MartialLimitedExpert",CLASSFEATUREHEADERS,0),MATCH($A63,CLASSNAMEHEADERS,0))),(INDEX(ALLCLASSDATA,MATCH("MartialLimitedExpert",CLASSFEATUREHEADERS,0),MATCH(($A63 &amp; "Points"),CLASSNAMEHEADERS,0))),(IF("19"=(INDEX(ALLCLASSDATA,MATCH("MartialLimitedTrained",CLASSFEATUREHEADERS,0),MATCH($A63,CLASSNAMEHEADERS,0))),(INDEX(ALLCLASSDATA,MATCH("MartialLimitedTrained",CLASSFEATUREHEADERS,0),MATCH(($A63 &amp; "Points"),CLASSNAMEHEADERS,0))),"")))))))))}</f>
        <v>MARTIALLIMITEDL19</v>
      </c>
      <c r="Z62" s="223"/>
      <c r="AA62" s="76" t="str">
        <f t="array" ref="AA62:AA63">{"MARTIALLIMITED TOTAL";(IF(COUNTBLANK(F63:Z63)=17,"L",(IF(COUNTBLANK(F63:Z63)=18,"M",(IF(COUNTBLANK(F63:Z63)=19,"E",(IF(COUNTBLANK(F63:Z63)=20,"T",""))))))))}</f>
        <v>MARTIALLIMITED TOTAL</v>
      </c>
      <c r="AB62" s="76" t="str">
        <f t="array" ref="AB62:AB63">{"MARTIALLIMITED TOTAL";(sum(F63:Z63))}</f>
        <v>MARTIALLIMITED TOTAL</v>
      </c>
    </row>
    <row r="63">
      <c r="A63" s="48" t="s">
        <v>211</v>
      </c>
      <c r="B63" s="48" t="s">
        <v>417</v>
      </c>
      <c r="C63" s="48" t="s">
        <v>1634</v>
      </c>
      <c r="D63" s="48" t="s">
        <v>600</v>
      </c>
      <c r="E63" s="5" t="s">
        <v>435</v>
      </c>
      <c r="F63" s="47" t="s">
        <v>603</v>
      </c>
      <c r="G63" s="5">
        <v>10.0</v>
      </c>
      <c r="H63" s="5"/>
      <c r="I63" s="5" t="s">
        <v>603</v>
      </c>
      <c r="J63" s="5"/>
      <c r="K63" s="5" t="s">
        <v>603</v>
      </c>
      <c r="L63" s="5"/>
      <c r="M63" s="5">
        <v>50.0</v>
      </c>
      <c r="N63" s="5"/>
      <c r="O63" s="5" t="s">
        <v>603</v>
      </c>
      <c r="P63" s="5"/>
      <c r="Q63" s="5" t="s">
        <v>603</v>
      </c>
      <c r="R63" s="5"/>
      <c r="S63" s="5" t="s">
        <v>603</v>
      </c>
      <c r="T63" s="5"/>
      <c r="U63" s="5" t="s">
        <v>603</v>
      </c>
      <c r="V63" s="5"/>
      <c r="W63" s="5" t="s">
        <v>603</v>
      </c>
      <c r="X63" s="5"/>
      <c r="Y63" s="5" t="s">
        <v>603</v>
      </c>
      <c r="Z63" s="5"/>
      <c r="AA63" s="5" t="s">
        <v>436</v>
      </c>
      <c r="AB63" s="47">
        <v>60.0</v>
      </c>
    </row>
    <row r="64" hidden="1">
      <c r="A64" s="222" t="str">
        <f t="array" ref="A64:A65">{"FormulaRow31";(INDEX(CLASSLIST,A3,1))}</f>
        <v>FormulaRow31</v>
      </c>
      <c r="B64" s="222" t="str">
        <f t="array" ref="B64:B65">{"CLASSTYPE";((INDEX(ALLCLASSDATA,MATCH("ClassType",CLASSFEATUREHEADERS,0),MATCH($A65,CLASSNAMEHEADERS,0))))}</f>
        <v>CLASSTYPE</v>
      </c>
      <c r="C64" s="222" t="str">
        <f t="array" ref="C64:C65">{"ATTACK";"Attack"}</f>
        <v>ATTACK</v>
      </c>
      <c r="D64" s="222" t="str">
        <f t="array" ref="D64:D65">{"MARTIAL";"Martial"}</f>
        <v>MARTIAL</v>
      </c>
      <c r="E64" s="223" t="str">
        <f t="array" ref="E64:E65">{"MARTIALINITIAL";((IF(G65=10,"T",(IF(G65=50,"E","")))))}</f>
        <v>MARTIALINITIAL</v>
      </c>
      <c r="F64" s="223" t="str">
        <f t="array" ref="F64:F65">{"MARTIALINITIALPTS";((IF("00"=(INDEX(ALLCLASSDATA,MATCH("MartialLegendary",CLASSFEATUREHEADERS,0),MATCH($A65,CLASSNAMEHEADERS,0))),(INDEX(ALLCLASSDATA,MATCH("MartialLegendary",CLASSFEATUREHEADERS,0),MATCH(($A65 &amp; "Points"),CLASSNAMEHEADERS,0))),(IF("00"=(INDEX(ALLCLASSDATA,MATCH("MartialMaster",CLASSFEATUREHEADERS,0),MATCH($A65,CLASSNAMEHEADERS,0))),(INDEX(ALLCLASSDATA,MATCH("MartialMaster",CLASSFEATUREHEADERS,0),MATCH(($A65 &amp; "Points"),CLASSNAMEHEADERS,0))),(IF("00"=(INDEX(ALLCLASSDATA,MATCH("MartialExpert",CLASSFEATUREHEADERS,0),MATCH($A65,CLASSNAMEHEADERS,0))),(INDEX(ALLCLASSDATA,MATCH("MartialExpert",CLASSFEATUREHEADERS,0),MATCH(($A65 &amp; "Points"),CLASSNAMEHEADERS,0))),(IF("00"=(INDEX(ALLCLASSDATA,MATCH("MartialTrained",CLASSFEATUREHEADERS,0),MATCH($A65,CLASSNAMEHEADERS,0))),(INDEX(ALLCLASSDATA,MATCH("MartialTrained",CLASSFEATUREHEADERS,0),MATCH(($A65 &amp; "Points"),CLASSNAMEHEADERS,0))),"")))))))))}</f>
        <v>MARTIALINITIALPTS</v>
      </c>
      <c r="G64" s="223" t="str">
        <f t="array" ref="G64:G65">{"MARTIALL01";((IF("01"=(INDEX(ALLCLASSDATA,MATCH("MartialLegendary",CLASSFEATUREHEADERS,0),MATCH($A65,CLASSNAMEHEADERS,0))),(INDEX(ALLCLASSDATA,MATCH("MartialLegendary",CLASSFEATUREHEADERS,0),MATCH(($A65 &amp; "Points"),CLASSNAMEHEADERS,0))),(IF("01"=(INDEX(ALLCLASSDATA,MATCH("MartialMaster",CLASSFEATUREHEADERS,0),MATCH($A65,CLASSNAMEHEADERS,0))),(INDEX(ALLCLASSDATA,MATCH("MartialMaster",CLASSFEATUREHEADERS,0),MATCH(($A65 &amp; "Points"),CLASSNAMEHEADERS,0))),(IF("01"=(INDEX(ALLCLASSDATA,MATCH("MartialExpert",CLASSFEATUREHEADERS,0),MATCH($A65,CLASSNAMEHEADERS,0))),(INDEX(ALLCLASSDATA,MATCH("MartialExpert",CLASSFEATUREHEADERS,0),MATCH(($A65 &amp; "Points"),CLASSNAMEHEADERS,0))),(IF("01"=(INDEX(ALLCLASSDATA,MATCH("MartialTrained",CLASSFEATUREHEADERS,0),MATCH($A65,CLASSNAMEHEADERS,0))),(INDEX(ALLCLASSDATA,MATCH("MartialTrained",CLASSFEATUREHEADERS,0),MATCH(($A65 &amp; "Points"),CLASSNAMEHEADERS,0))),"")))))))))}</f>
        <v>MARTIALL01</v>
      </c>
      <c r="H64" s="223"/>
      <c r="I64" s="223" t="str">
        <f t="array" ref="I64:I65">{"MARTIALL03";((IF("03"=(INDEX(ALLCLASSDATA,MATCH("MartialLegendary",CLASSFEATUREHEADERS,0),MATCH($A65,CLASSNAMEHEADERS,0))),(INDEX(ALLCLASSDATA,MATCH("MartialLegendary",CLASSFEATUREHEADERS,0),MATCH(($A65 &amp; "Points"),CLASSNAMEHEADERS,0))),(IF("03"=(INDEX(ALLCLASSDATA,MATCH("MartialMaster",CLASSFEATUREHEADERS,0),MATCH($A65,CLASSNAMEHEADERS,0))),(INDEX(ALLCLASSDATA,MATCH("MartialMaster",CLASSFEATUREHEADERS,0),MATCH(($A65 &amp; "Points"),CLASSNAMEHEADERS,0))),(IF("03"=(INDEX(ALLCLASSDATA,MATCH("MartialExpert",CLASSFEATUREHEADERS,0),MATCH($A65,CLASSNAMEHEADERS,0))),(INDEX(ALLCLASSDATA,MATCH("MartialExpert",CLASSFEATUREHEADERS,0),MATCH(($A65 &amp; "Points"),CLASSNAMEHEADERS,0))),(IF("03"=(INDEX(ALLCLASSDATA,MATCH("MartialTrained",CLASSFEATUREHEADERS,0),MATCH($A65,CLASSNAMEHEADERS,0))),(INDEX(ALLCLASSDATA,MATCH("MartialTrained",CLASSFEATUREHEADERS,0),MATCH(($A65 &amp; "Points"),CLASSNAMEHEADERS,0))),"")))))))))}</f>
        <v>MARTIALL03</v>
      </c>
      <c r="J64" s="223"/>
      <c r="K64" s="223" t="str">
        <f t="array" ref="K64:K65">{"MARTIALL05";((IF("05"=(INDEX(ALLCLASSDATA,MATCH("MartialLegendary",CLASSFEATUREHEADERS,0),MATCH($A65,CLASSNAMEHEADERS,0))),(INDEX(ALLCLASSDATA,MATCH("MartialLegendary",CLASSFEATUREHEADERS,0),MATCH(($A65 &amp; "Points"),CLASSNAMEHEADERS,0))),(IF("05"=(INDEX(ALLCLASSDATA,MATCH("MartialMaster",CLASSFEATUREHEADERS,0),MATCH($A65,CLASSNAMEHEADERS,0))),(INDEX(ALLCLASSDATA,MATCH("MartialMaster",CLASSFEATUREHEADERS,0),MATCH(($A65 &amp; "Points"),CLASSNAMEHEADERS,0))),(IF("05"=(INDEX(ALLCLASSDATA,MATCH("MartialExpert",CLASSFEATUREHEADERS,0),MATCH($A65,CLASSNAMEHEADERS,0))),(INDEX(ALLCLASSDATA,MATCH("MartialExpert",CLASSFEATUREHEADERS,0),MATCH(($A65 &amp; "Points"),CLASSNAMEHEADERS,0))),(IF("05"=(INDEX(ALLCLASSDATA,MATCH("MartialTrained",CLASSFEATUREHEADERS,0),MATCH($A65,CLASSNAMEHEADERS,0))),(INDEX(ALLCLASSDATA,MATCH("MartialTrained",CLASSFEATUREHEADERS,0),MATCH(($A65 &amp; "Points"),CLASSNAMEHEADERS,0))),"")))))))))}</f>
        <v>MARTIALL05</v>
      </c>
      <c r="L64" s="223"/>
      <c r="M64" s="223" t="str">
        <f t="array" ref="M64:M65">{"MARTIALL07";((IF("07"=(INDEX(ALLCLASSDATA,MATCH("MartialLegendary",CLASSFEATUREHEADERS,0),MATCH($A65,CLASSNAMEHEADERS,0))),(INDEX(ALLCLASSDATA,MATCH("MartialLegendary",CLASSFEATUREHEADERS,0),MATCH(($A65 &amp; "Points"),CLASSNAMEHEADERS,0))),(IF("07"=(INDEX(ALLCLASSDATA,MATCH("MartialMaster",CLASSFEATUREHEADERS,0),MATCH($A65,CLASSNAMEHEADERS,0))),(INDEX(ALLCLASSDATA,MATCH("MartialMaster",CLASSFEATUREHEADERS,0),MATCH(($A65 &amp; "Points"),CLASSNAMEHEADERS,0))),(IF("07"=(INDEX(ALLCLASSDATA,MATCH("MartialExpert",CLASSFEATUREHEADERS,0),MATCH($A65,CLASSNAMEHEADERS,0))),(INDEX(ALLCLASSDATA,MATCH("MartialExpert",CLASSFEATUREHEADERS,0),MATCH(($A65 &amp; "Points"),CLASSNAMEHEADERS,0))),(IF("07"=(INDEX(ALLCLASSDATA,MATCH("MartialTrained",CLASSFEATUREHEADERS,0),MATCH($A65,CLASSNAMEHEADERS,0))),(INDEX(ALLCLASSDATA,MATCH("MartialTrained",CLASSFEATUREHEADERS,0),MATCH(($A65 &amp; "Points"),CLASSNAMEHEADERS,0))),"")))))))))}</f>
        <v>MARTIALL07</v>
      </c>
      <c r="N64" s="223"/>
      <c r="O64" s="223" t="str">
        <f t="array" ref="O64:O65">{"MARTIALL09";((IF("09"=(INDEX(ALLCLASSDATA,MATCH("MartialLegendary",CLASSFEATUREHEADERS,0),MATCH($A65,CLASSNAMEHEADERS,0))),(INDEX(ALLCLASSDATA,MATCH("MartialLegendary",CLASSFEATUREHEADERS,0),MATCH(($A65 &amp; "Points"),CLASSNAMEHEADERS,0))),(IF("09"=(INDEX(ALLCLASSDATA,MATCH("MartialMaster",CLASSFEATUREHEADERS,0),MATCH($A65,CLASSNAMEHEADERS,0))),(INDEX(ALLCLASSDATA,MATCH("MartialMaster",CLASSFEATUREHEADERS,0),MATCH(($A65 &amp; "Points"),CLASSNAMEHEADERS,0))),(IF("09"=(INDEX(ALLCLASSDATA,MATCH("MartialExpert",CLASSFEATUREHEADERS,0),MATCH($A65,CLASSNAMEHEADERS,0))),(INDEX(ALLCLASSDATA,MATCH("MartialExpert",CLASSFEATUREHEADERS,0),MATCH(($A65 &amp; "Points"),CLASSNAMEHEADERS,0))),(IF("09"=(INDEX(ALLCLASSDATA,MATCH("MartialTrained",CLASSFEATUREHEADERS,0),MATCH($A65,CLASSNAMEHEADERS,0))),(INDEX(ALLCLASSDATA,MATCH("MartialTrained",CLASSFEATUREHEADERS,0),MATCH(($A65 &amp; "Points"),CLASSNAMEHEADERS,0))),"")))))))))}</f>
        <v>MARTIALL09</v>
      </c>
      <c r="P64" s="223"/>
      <c r="Q64" s="223" t="str">
        <f t="array" ref="Q64:Q65">{"MARTIALL11";((IF("11"=(INDEX(ALLCLASSDATA,MATCH("MartialLegendary",CLASSFEATUREHEADERS,0),MATCH($A65,CLASSNAMEHEADERS,0))),(INDEX(ALLCLASSDATA,MATCH("MartialLegendary",CLASSFEATUREHEADERS,0),MATCH(($A65 &amp; "Points"),CLASSNAMEHEADERS,0))),(IF("11"=(INDEX(ALLCLASSDATA,MATCH("MartialMaster",CLASSFEATUREHEADERS,0),MATCH($A65,CLASSNAMEHEADERS,0))),(INDEX(ALLCLASSDATA,MATCH("MartialMaster",CLASSFEATUREHEADERS,0),MATCH(($A65 &amp; "Points"),CLASSNAMEHEADERS,0))),(IF("11"=(INDEX(ALLCLASSDATA,MATCH("MartialExpert",CLASSFEATUREHEADERS,0),MATCH($A65,CLASSNAMEHEADERS,0))),(INDEX(ALLCLASSDATA,MATCH("MartialExpert",CLASSFEATUREHEADERS,0),MATCH(($A65 &amp; "Points"),CLASSNAMEHEADERS,0))),(IF("11"=(INDEX(ALLCLASSDATA,MATCH("MartialTrained",CLASSFEATUREHEADERS,0),MATCH($A65,CLASSNAMEHEADERS,0))),(INDEX(ALLCLASSDATA,MATCH("MartialTrained",CLASSFEATUREHEADERS,0),MATCH(($A65 &amp; "Points"),CLASSNAMEHEADERS,0))),"")))))))))}</f>
        <v>MARTIALL11</v>
      </c>
      <c r="R64" s="223"/>
      <c r="S64" s="223" t="str">
        <f t="array" ref="S64:S65">{"MARTIALL13";((IF("13"=(INDEX(ALLCLASSDATA,MATCH("MartialLegendary",CLASSFEATUREHEADERS,0),MATCH($A65,CLASSNAMEHEADERS,0))),(INDEX(ALLCLASSDATA,MATCH("MartialLegendary",CLASSFEATUREHEADERS,0),MATCH(($A65 &amp; "Points"),CLASSNAMEHEADERS,0))),(IF("13"=(INDEX(ALLCLASSDATA,MATCH("MartialMaster",CLASSFEATUREHEADERS,0),MATCH($A65,CLASSNAMEHEADERS,0))),(INDEX(ALLCLASSDATA,MATCH("MartialMaster",CLASSFEATUREHEADERS,0),MATCH(($A65 &amp; "Points"),CLASSNAMEHEADERS,0))),(IF("13"=(INDEX(ALLCLASSDATA,MATCH("MartialExpert",CLASSFEATUREHEADERS,0),MATCH($A65,CLASSNAMEHEADERS,0))),(INDEX(ALLCLASSDATA,MATCH("MartialExpert",CLASSFEATUREHEADERS,0),MATCH(($A65 &amp; "Points"),CLASSNAMEHEADERS,0))),(IF("13"=(INDEX(ALLCLASSDATA,MATCH("MartialTrained",CLASSFEATUREHEADERS,0),MATCH($A65,CLASSNAMEHEADERS,0))),(INDEX(ALLCLASSDATA,MATCH("MartialTrained",CLASSFEATUREHEADERS,0),MATCH(($A65 &amp; "Points"),CLASSNAMEHEADERS,0))),"")))))))))}</f>
        <v>MARTIALL13</v>
      </c>
      <c r="T64" s="223"/>
      <c r="U64" s="223" t="str">
        <f t="array" ref="U64:U65">{"MARTIALL15";((IF("15"=(INDEX(ALLCLASSDATA,MATCH("MartialLegendary",CLASSFEATUREHEADERS,0),MATCH($A65,CLASSNAMEHEADERS,0))),(INDEX(ALLCLASSDATA,MATCH("MartialLegendary",CLASSFEATUREHEADERS,0),MATCH(($A65 &amp; "Points"),CLASSNAMEHEADERS,0))),(IF("15"=(INDEX(ALLCLASSDATA,MATCH("MartialMaster",CLASSFEATUREHEADERS,0),MATCH($A65,CLASSNAMEHEADERS,0))),(INDEX(ALLCLASSDATA,MATCH("MartialMaster",CLASSFEATUREHEADERS,0),MATCH(($A65 &amp; "Points"),CLASSNAMEHEADERS,0))),(IF("15"=(INDEX(ALLCLASSDATA,MATCH("MartialExpert",CLASSFEATUREHEADERS,0),MATCH($A65,CLASSNAMEHEADERS,0))),(INDEX(ALLCLASSDATA,MATCH("MartialExpert",CLASSFEATUREHEADERS,0),MATCH(($A65 &amp; "Points"),CLASSNAMEHEADERS,0))),(IF("15"=(INDEX(ALLCLASSDATA,MATCH("MartialTrained",CLASSFEATUREHEADERS,0),MATCH($A65,CLASSNAMEHEADERS,0))),(INDEX(ALLCLASSDATA,MATCH("MartialTrained",CLASSFEATUREHEADERS,0),MATCH(($A65 &amp; "Points"),CLASSNAMEHEADERS,0))),"")))))))))}</f>
        <v>MARTIALL15</v>
      </c>
      <c r="V64" s="223"/>
      <c r="W64" s="223" t="str">
        <f t="array" ref="W64:W65">{"MARTIALL17";((IF("17"=(INDEX(ALLCLASSDATA,MATCH("MartialLegendary",CLASSFEATUREHEADERS,0),MATCH($A65,CLASSNAMEHEADERS,0))),(INDEX(ALLCLASSDATA,MATCH("MartialLegendary",CLASSFEATUREHEADERS,0),MATCH(($A65 &amp; "Points"),CLASSNAMEHEADERS,0))),(IF("17"=(INDEX(ALLCLASSDATA,MATCH("MartialMaster",CLASSFEATUREHEADERS,0),MATCH($A65,CLASSNAMEHEADERS,0))),(INDEX(ALLCLASSDATA,MATCH("MartialMaster",CLASSFEATUREHEADERS,0),MATCH(($A65 &amp; "Points"),CLASSNAMEHEADERS,0))),(IF("17"=(INDEX(ALLCLASSDATA,MATCH("MartialExpert",CLASSFEATUREHEADERS,0),MATCH($A65,CLASSNAMEHEADERS,0))),(INDEX(ALLCLASSDATA,MATCH("MartialExpert",CLASSFEATUREHEADERS,0),MATCH(($A65 &amp; "Points"),CLASSNAMEHEADERS,0))),(IF("17"=(INDEX(ALLCLASSDATA,MATCH("MartialTrained",CLASSFEATUREHEADERS,0),MATCH($A65,CLASSNAMEHEADERS,0))),(INDEX(ALLCLASSDATA,MATCH("MartialTrained",CLASSFEATUREHEADERS,0),MATCH(($A65 &amp; "Points"),CLASSNAMEHEADERS,0))),"")))))))))}</f>
        <v>MARTIALL17</v>
      </c>
      <c r="X64" s="223"/>
      <c r="Y64" s="223" t="str">
        <f t="array" ref="Y64:Y65">{"MARTIALL19";((IF("19"=(INDEX(ALLCLASSDATA,MATCH("MartialLegendary",CLASSFEATUREHEADERS,0),MATCH($A65,CLASSNAMEHEADERS,0))),(INDEX(ALLCLASSDATA,MATCH("MartialLegendary",CLASSFEATUREHEADERS,0),MATCH(($A65 &amp; "Points"),CLASSNAMEHEADERS,0))),(IF("19"=(INDEX(ALLCLASSDATA,MATCH("MartialMaster",CLASSFEATUREHEADERS,0),MATCH($A65,CLASSNAMEHEADERS,0))),(INDEX(ALLCLASSDATA,MATCH("MartialMaster",CLASSFEATUREHEADERS,0),MATCH(($A65 &amp; "Points"),CLASSNAMEHEADERS,0))),(IF("19"=(INDEX(ALLCLASSDATA,MATCH("MartialExpert",CLASSFEATUREHEADERS,0),MATCH($A65,CLASSNAMEHEADERS,0))),(INDEX(ALLCLASSDATA,MATCH("MartialExpert",CLASSFEATUREHEADERS,0),MATCH(($A65 &amp; "Points"),CLASSNAMEHEADERS,0))),(IF("19"=(INDEX(ALLCLASSDATA,MATCH("MartialTrained",CLASSFEATUREHEADERS,0),MATCH($A65,CLASSNAMEHEADERS,0))),(INDEX(ALLCLASSDATA,MATCH("MartialTrained",CLASSFEATUREHEADERS,0),MATCH(($A65 &amp; "Points"),CLASSNAMEHEADERS,0))),"")))))))))}</f>
        <v>MARTIALL19</v>
      </c>
      <c r="Z64" s="223"/>
      <c r="AA64" s="76" t="str">
        <f t="array" ref="AA64:AA65">{"MARTIAL TOTAL";(IF(COUNTBLANK(F65:Z65)=17,"L",(IF(COUNTBLANK(F65:Z65)=18,"M",(IF(COUNTBLANK(F65:Z65)=19,"E",(IF(COUNTBLANK(F65:Z65)=20,"T",""))))))))}</f>
        <v>MARTIAL TOTAL</v>
      </c>
      <c r="AB64" s="76" t="str">
        <f t="array" ref="AB64:AB65">{"MARTIAL TOTAL";(sum(F65:Z65))}</f>
        <v>MARTIAL TOTAL</v>
      </c>
    </row>
    <row r="65">
      <c r="A65" s="48" t="s">
        <v>211</v>
      </c>
      <c r="B65" s="48" t="s">
        <v>417</v>
      </c>
      <c r="C65" s="48" t="s">
        <v>1634</v>
      </c>
      <c r="D65" s="48" t="s">
        <v>6</v>
      </c>
      <c r="E65" s="5" t="s">
        <v>603</v>
      </c>
      <c r="F65" s="47" t="s">
        <v>603</v>
      </c>
      <c r="G65" s="5" t="s">
        <v>603</v>
      </c>
      <c r="H65" s="5"/>
      <c r="I65" s="5">
        <v>10.0</v>
      </c>
      <c r="J65" s="5"/>
      <c r="K65" s="5" t="s">
        <v>603</v>
      </c>
      <c r="L65" s="5"/>
      <c r="M65" s="5" t="s">
        <v>603</v>
      </c>
      <c r="N65" s="5"/>
      <c r="O65" s="5" t="s">
        <v>603</v>
      </c>
      <c r="P65" s="48"/>
      <c r="Q65" s="5" t="s">
        <v>603</v>
      </c>
      <c r="R65" s="5"/>
      <c r="S65" s="5" t="s">
        <v>603</v>
      </c>
      <c r="T65" s="5"/>
      <c r="U65" s="5" t="s">
        <v>603</v>
      </c>
      <c r="V65" s="5"/>
      <c r="W65" s="5" t="s">
        <v>603</v>
      </c>
      <c r="X65" s="5"/>
      <c r="Y65" s="5" t="s">
        <v>603</v>
      </c>
      <c r="Z65" s="5"/>
      <c r="AA65" s="5" t="s">
        <v>435</v>
      </c>
      <c r="AB65" s="47">
        <v>10.0</v>
      </c>
    </row>
    <row r="66" hidden="1">
      <c r="A66" s="222" t="str">
        <f t="array" ref="A66:A67">{"FormulaRow32";(INDEX(CLASSLIST,A3,1))}</f>
        <v>FormulaRow32</v>
      </c>
      <c r="B66" s="222" t="str">
        <f t="array" ref="B66:B67">{"CLASSTYPE";((INDEX(ALLCLASSDATA,MATCH("ClassType",CLASSFEATUREHEADERS,0),MATCH($A67,CLASSNAMEHEADERS,0))))}</f>
        <v>CLASSTYPE</v>
      </c>
      <c r="C66" s="222" t="str">
        <f t="array" ref="C66:C67">{"ATTACK";"Attack"}</f>
        <v>ATTACK</v>
      </c>
      <c r="D66" s="222" t="str">
        <f t="array" ref="D66:D67">{"ADVANCEDGROUP";"AdvancedGroup"}</f>
        <v>ADVANCEDGROUP</v>
      </c>
      <c r="E66" s="223" t="str">
        <f t="array" ref="E66:E67">{"ADVANCEDGROUPINITIAL";((IF(G67=10,"T",(IF(G67=50,"E","")))))}</f>
        <v>ADVANCEDGROUPINITIAL</v>
      </c>
      <c r="F66" s="223" t="str">
        <f t="array" ref="F66:F67">{"ADVANCEDGROUPINITIALPTS";((IF("00"=(INDEX(ALLCLASSDATA,MATCH("AdvancedGroupLegendary",CLASSFEATUREHEADERS,0),MATCH($A67,CLASSNAMEHEADERS,0))),(INDEX(ALLCLASSDATA,MATCH("AdvancedGroupLegendary",CLASSFEATUREHEADERS,0),MATCH(($A67 &amp; "Points"),CLASSNAMEHEADERS,0))),(IF("00"=(INDEX(ALLCLASSDATA,MATCH("AdvancedGroupMaster",CLASSFEATUREHEADERS,0),MATCH($A67,CLASSNAMEHEADERS,0))),(INDEX(ALLCLASSDATA,MATCH("AdvancedGroupMaster",CLASSFEATUREHEADERS,0),MATCH(($A67 &amp; "Points"),CLASSNAMEHEADERS,0))),(IF("00"=(INDEX(ALLCLASSDATA,MATCH("AdvancedGroupExpert",CLASSFEATUREHEADERS,0),MATCH($A67,CLASSNAMEHEADERS,0))),(INDEX(ALLCLASSDATA,MATCH("AdvancedGroupExpert",CLASSFEATUREHEADERS,0),MATCH(($A67 &amp; "Points"),CLASSNAMEHEADERS,0))),(IF("00"=(INDEX(ALLCLASSDATA,MATCH("AdvancedGroupTrained",CLASSFEATUREHEADERS,0),MATCH($A67,CLASSNAMEHEADERS,0))),(INDEX(ALLCLASSDATA,MATCH("AdvancedGroupTrained",CLASSFEATUREHEADERS,0),MATCH(($A67 &amp; "Points"),CLASSNAMEHEADERS,0))),"")))))))))}</f>
        <v>ADVANCEDGROUPINITIALPTS</v>
      </c>
      <c r="G66" s="223" t="str">
        <f t="array" ref="G66:G67">{"ADVANCEDGROUPL01";((IF("01"=(INDEX(ALLCLASSDATA,MATCH("AdvancedGroupLegendary",CLASSFEATUREHEADERS,0),MATCH($A67,CLASSNAMEHEADERS,0))),(INDEX(ALLCLASSDATA,MATCH("AdvancedGroupLegendary",CLASSFEATUREHEADERS,0),MATCH(($A67 &amp; "Points"),CLASSNAMEHEADERS,0))),(IF("01"=(INDEX(ALLCLASSDATA,MATCH("AdvancedGroupMaster",CLASSFEATUREHEADERS,0),MATCH($A67,CLASSNAMEHEADERS,0))),(INDEX(ALLCLASSDATA,MATCH("AdvancedGroupMaster",CLASSFEATUREHEADERS,0),MATCH(($A67 &amp; "Points"),CLASSNAMEHEADERS,0))),(IF("01"=(INDEX(ALLCLASSDATA,MATCH("AdvancedGroupExpert",CLASSFEATUREHEADERS,0),MATCH($A67,CLASSNAMEHEADERS,0))),(INDEX(ALLCLASSDATA,MATCH("AdvancedGroupExpert",CLASSFEATUREHEADERS,0),MATCH(($A67 &amp; "Points"),CLASSNAMEHEADERS,0))),(IF("01"=(INDEX(ALLCLASSDATA,MATCH("AdvancedGroupTrained",CLASSFEATUREHEADERS,0),MATCH($A67,CLASSNAMEHEADERS,0))),(INDEX(ALLCLASSDATA,MATCH("AdvancedGroupTrained",CLASSFEATUREHEADERS,0),MATCH(($A67 &amp; "Points"),CLASSNAMEHEADERS,0))),"")))))))))}</f>
        <v>ADVANCEDGROUPL01</v>
      </c>
      <c r="H66" s="223"/>
      <c r="I66" s="223" t="str">
        <f t="array" ref="I66:I67">{"ADVANCEDGROUPL03";((IF("03"=(INDEX(ALLCLASSDATA,MATCH("AdvancedGroupLegendary",CLASSFEATUREHEADERS,0),MATCH($A67,CLASSNAMEHEADERS,0))),(INDEX(ALLCLASSDATA,MATCH("AdvancedGroupLegendary",CLASSFEATUREHEADERS,0),MATCH(($A67 &amp; "Points"),CLASSNAMEHEADERS,0))),(IF("03"=(INDEX(ALLCLASSDATA,MATCH("AdvancedGroupMaster",CLASSFEATUREHEADERS,0),MATCH($A67,CLASSNAMEHEADERS,0))),(INDEX(ALLCLASSDATA,MATCH("AdvancedGroupMaster",CLASSFEATUREHEADERS,0),MATCH(($A67 &amp; "Points"),CLASSNAMEHEADERS,0))),(IF("03"=(INDEX(ALLCLASSDATA,MATCH("AdvancedGroupExpert",CLASSFEATUREHEADERS,0),MATCH($A67,CLASSNAMEHEADERS,0))),(INDEX(ALLCLASSDATA,MATCH("AdvancedGroupExpert",CLASSFEATUREHEADERS,0),MATCH(($A67 &amp; "Points"),CLASSNAMEHEADERS,0))),(IF("03"=(INDEX(ALLCLASSDATA,MATCH("AdvancedGroupTrained",CLASSFEATUREHEADERS,0),MATCH($A67,CLASSNAMEHEADERS,0))),(INDEX(ALLCLASSDATA,MATCH("AdvancedGroupTrained",CLASSFEATUREHEADERS,0),MATCH(($A67 &amp; "Points"),CLASSNAMEHEADERS,0))),"")))))))))}</f>
        <v>ADVANCEDGROUPL03</v>
      </c>
      <c r="J66" s="223"/>
      <c r="K66" s="223" t="str">
        <f t="array" ref="K66:K67">{"ADVANCEDGROUPL05";((IF("05"=(INDEX(ALLCLASSDATA,MATCH("AdvancedGroupLegendary",CLASSFEATUREHEADERS,0),MATCH($A67,CLASSNAMEHEADERS,0))),(INDEX(ALLCLASSDATA,MATCH("AdvancedGroupLegendary",CLASSFEATUREHEADERS,0),MATCH(($A67 &amp; "Points"),CLASSNAMEHEADERS,0))),(IF("05"=(INDEX(ALLCLASSDATA,MATCH("AdvancedGroupMaster",CLASSFEATUREHEADERS,0),MATCH($A67,CLASSNAMEHEADERS,0))),(INDEX(ALLCLASSDATA,MATCH("AdvancedGroupMaster",CLASSFEATUREHEADERS,0),MATCH(($A67 &amp; "Points"),CLASSNAMEHEADERS,0))),(IF("05"=(INDEX(ALLCLASSDATA,MATCH("AdvancedGroupExpert",CLASSFEATUREHEADERS,0),MATCH($A67,CLASSNAMEHEADERS,0))),(INDEX(ALLCLASSDATA,MATCH("AdvancedGroupExpert",CLASSFEATUREHEADERS,0),MATCH(($A67 &amp; "Points"),CLASSNAMEHEADERS,0))),(IF("05"=(INDEX(ALLCLASSDATA,MATCH("AdvancedGroupTrained",CLASSFEATUREHEADERS,0),MATCH($A67,CLASSNAMEHEADERS,0))),(INDEX(ALLCLASSDATA,MATCH("AdvancedGroupTrained",CLASSFEATUREHEADERS,0),MATCH(($A67 &amp; "Points"),CLASSNAMEHEADERS,0))),"")))))))))}</f>
        <v>ADVANCEDGROUPL05</v>
      </c>
      <c r="L66" s="223"/>
      <c r="M66" s="223" t="str">
        <f t="array" ref="M66:M67">{"ADVANCEDGROUPL07";((IF("07"=(INDEX(ALLCLASSDATA,MATCH("AdvancedGroupLegendary",CLASSFEATUREHEADERS,0),MATCH($A67,CLASSNAMEHEADERS,0))),(INDEX(ALLCLASSDATA,MATCH("AdvancedGroupLegendary",CLASSFEATUREHEADERS,0),MATCH(($A67 &amp; "Points"),CLASSNAMEHEADERS,0))),(IF("07"=(INDEX(ALLCLASSDATA,MATCH("AdvancedGroupMaster",CLASSFEATUREHEADERS,0),MATCH($A67,CLASSNAMEHEADERS,0))),(INDEX(ALLCLASSDATA,MATCH("AdvancedGroupMaster",CLASSFEATUREHEADERS,0),MATCH(($A67 &amp; "Points"),CLASSNAMEHEADERS,0))),(IF("07"=(INDEX(ALLCLASSDATA,MATCH("AdvancedGroupExpert",CLASSFEATUREHEADERS,0),MATCH($A67,CLASSNAMEHEADERS,0))),(INDEX(ALLCLASSDATA,MATCH("AdvancedGroupExpert",CLASSFEATUREHEADERS,0),MATCH(($A67 &amp; "Points"),CLASSNAMEHEADERS,0))),(IF("07"=(INDEX(ALLCLASSDATA,MATCH("AdvancedGroupTrained",CLASSFEATUREHEADERS,0),MATCH($A67,CLASSNAMEHEADERS,0))),(INDEX(ALLCLASSDATA,MATCH("AdvancedGroupTrained",CLASSFEATUREHEADERS,0),MATCH(($A67 &amp; "Points"),CLASSNAMEHEADERS,0))),"")))))))))}</f>
        <v>ADVANCEDGROUPL07</v>
      </c>
      <c r="N66" s="223"/>
      <c r="O66" s="223" t="str">
        <f t="array" ref="O66:O67">{"ADVANCEDGROUPL09";((IF("09"=(INDEX(ALLCLASSDATA,MATCH("AdvancedGroupLegendary",CLASSFEATUREHEADERS,0),MATCH($A67,CLASSNAMEHEADERS,0))),(INDEX(ALLCLASSDATA,MATCH("AdvancedGroupLegendary",CLASSFEATUREHEADERS,0),MATCH(($A67 &amp; "Points"),CLASSNAMEHEADERS,0))),(IF("09"=(INDEX(ALLCLASSDATA,MATCH("AdvancedGroupMaster",CLASSFEATUREHEADERS,0),MATCH($A67,CLASSNAMEHEADERS,0))),(INDEX(ALLCLASSDATA,MATCH("AdvancedGroupMaster",CLASSFEATUREHEADERS,0),MATCH(($A67 &amp; "Points"),CLASSNAMEHEADERS,0))),(IF("09"=(INDEX(ALLCLASSDATA,MATCH("AdvancedGroupExpert",CLASSFEATUREHEADERS,0),MATCH($A67,CLASSNAMEHEADERS,0))),(INDEX(ALLCLASSDATA,MATCH("AdvancedGroupExpert",CLASSFEATUREHEADERS,0),MATCH(($A67 &amp; "Points"),CLASSNAMEHEADERS,0))),(IF("09"=(INDEX(ALLCLASSDATA,MATCH("AdvancedGroupTrained",CLASSFEATUREHEADERS,0),MATCH($A67,CLASSNAMEHEADERS,0))),(INDEX(ALLCLASSDATA,MATCH("AdvancedGroupTrained",CLASSFEATUREHEADERS,0),MATCH(($A67 &amp; "Points"),CLASSNAMEHEADERS,0))),"")))))))))}</f>
        <v>ADVANCEDGROUPL09</v>
      </c>
      <c r="P66" s="223"/>
      <c r="Q66" s="223" t="str">
        <f t="array" ref="Q66:Q67">{"ADVANCEDGROUPL11";((IF("11"=(INDEX(ALLCLASSDATA,MATCH("AdvancedGroupLegendary",CLASSFEATUREHEADERS,0),MATCH($A67,CLASSNAMEHEADERS,0))),(INDEX(ALLCLASSDATA,MATCH("AdvancedGroupLegendary",CLASSFEATUREHEADERS,0),MATCH(($A67 &amp; "Points"),CLASSNAMEHEADERS,0))),(IF("11"=(INDEX(ALLCLASSDATA,MATCH("AdvancedGroupMaster",CLASSFEATUREHEADERS,0),MATCH($A67,CLASSNAMEHEADERS,0))),(INDEX(ALLCLASSDATA,MATCH("AdvancedGroupMaster",CLASSFEATUREHEADERS,0),MATCH(($A67 &amp; "Points"),CLASSNAMEHEADERS,0))),(IF("11"=(INDEX(ALLCLASSDATA,MATCH("AdvancedGroupExpert",CLASSFEATUREHEADERS,0),MATCH($A67,CLASSNAMEHEADERS,0))),(INDEX(ALLCLASSDATA,MATCH("AdvancedGroupExpert",CLASSFEATUREHEADERS,0),MATCH(($A67 &amp; "Points"),CLASSNAMEHEADERS,0))),(IF("11"=(INDEX(ALLCLASSDATA,MATCH("AdvancedGroupTrained",CLASSFEATUREHEADERS,0),MATCH($A67,CLASSNAMEHEADERS,0))),(INDEX(ALLCLASSDATA,MATCH("AdvancedGroupTrained",CLASSFEATUREHEADERS,0),MATCH(($A67 &amp; "Points"),CLASSNAMEHEADERS,0))),"")))))))))}</f>
        <v>ADVANCEDGROUPL11</v>
      </c>
      <c r="R66" s="223"/>
      <c r="S66" s="223" t="str">
        <f t="array" ref="S66:S67">{"ADVANCEDGROUPL13";((IF("13"=(INDEX(ALLCLASSDATA,MATCH("AdvancedGroupLegendary",CLASSFEATUREHEADERS,0),MATCH($A67,CLASSNAMEHEADERS,0))),(INDEX(ALLCLASSDATA,MATCH("AdvancedGroupLegendary",CLASSFEATUREHEADERS,0),MATCH(($A67 &amp; "Points"),CLASSNAMEHEADERS,0))),(IF("13"=(INDEX(ALLCLASSDATA,MATCH("AdvancedGroupMaster",CLASSFEATUREHEADERS,0),MATCH($A67,CLASSNAMEHEADERS,0))),(INDEX(ALLCLASSDATA,MATCH("AdvancedGroupMaster",CLASSFEATUREHEADERS,0),MATCH(($A67 &amp; "Points"),CLASSNAMEHEADERS,0))),(IF("13"=(INDEX(ALLCLASSDATA,MATCH("AdvancedGroupExpert",CLASSFEATUREHEADERS,0),MATCH($A67,CLASSNAMEHEADERS,0))),(INDEX(ALLCLASSDATA,MATCH("AdvancedGroupExpert",CLASSFEATUREHEADERS,0),MATCH(($A67 &amp; "Points"),CLASSNAMEHEADERS,0))),(IF("13"=(INDEX(ALLCLASSDATA,MATCH("AdvancedGroupTrained",CLASSFEATUREHEADERS,0),MATCH($A67,CLASSNAMEHEADERS,0))),(INDEX(ALLCLASSDATA,MATCH("AdvancedGroupTrained",CLASSFEATUREHEADERS,0),MATCH(($A67 &amp; "Points"),CLASSNAMEHEADERS,0))),"")))))))))}</f>
        <v>ADVANCEDGROUPL13</v>
      </c>
      <c r="T66" s="223"/>
      <c r="U66" s="223" t="str">
        <f t="array" ref="U66:U67">{"ADVANCEDGROUPL15";((IF("15"=(INDEX(ALLCLASSDATA,MATCH("AdvancedGroupLegendary",CLASSFEATUREHEADERS,0),MATCH($A67,CLASSNAMEHEADERS,0))),(INDEX(ALLCLASSDATA,MATCH("AdvancedGroupLegendary",CLASSFEATUREHEADERS,0),MATCH(($A67 &amp; "Points"),CLASSNAMEHEADERS,0))),(IF("15"=(INDEX(ALLCLASSDATA,MATCH("AdvancedGroupMaster",CLASSFEATUREHEADERS,0),MATCH($A67,CLASSNAMEHEADERS,0))),(INDEX(ALLCLASSDATA,MATCH("AdvancedGroupMaster",CLASSFEATUREHEADERS,0),MATCH(($A67 &amp; "Points"),CLASSNAMEHEADERS,0))),(IF("15"=(INDEX(ALLCLASSDATA,MATCH("AdvancedGroupExpert",CLASSFEATUREHEADERS,0),MATCH($A67,CLASSNAMEHEADERS,0))),(INDEX(ALLCLASSDATA,MATCH("AdvancedGroupExpert",CLASSFEATUREHEADERS,0),MATCH(($A67 &amp; "Points"),CLASSNAMEHEADERS,0))),(IF("15"=(INDEX(ALLCLASSDATA,MATCH("AdvancedGroupTrained",CLASSFEATUREHEADERS,0),MATCH($A67,CLASSNAMEHEADERS,0))),(INDEX(ALLCLASSDATA,MATCH("AdvancedGroupTrained",CLASSFEATUREHEADERS,0),MATCH(($A67 &amp; "Points"),CLASSNAMEHEADERS,0))),"")))))))))}</f>
        <v>ADVANCEDGROUPL15</v>
      </c>
      <c r="V66" s="223"/>
      <c r="W66" s="223" t="str">
        <f t="array" ref="W66:W67">{"ADVANCEDGROUPL17";((IF("17"=(INDEX(ALLCLASSDATA,MATCH("AdvancedGroupLegendary",CLASSFEATUREHEADERS,0),MATCH($A67,CLASSNAMEHEADERS,0))),(INDEX(ALLCLASSDATA,MATCH("AdvancedGroupLegendary",CLASSFEATUREHEADERS,0),MATCH(($A67 &amp; "Points"),CLASSNAMEHEADERS,0))),(IF("17"=(INDEX(ALLCLASSDATA,MATCH("AdvancedGroupMaster",CLASSFEATUREHEADERS,0),MATCH($A67,CLASSNAMEHEADERS,0))),(INDEX(ALLCLASSDATA,MATCH("AdvancedGroupMaster",CLASSFEATUREHEADERS,0),MATCH(($A67 &amp; "Points"),CLASSNAMEHEADERS,0))),(IF("17"=(INDEX(ALLCLASSDATA,MATCH("AdvancedGroupExpert",CLASSFEATUREHEADERS,0),MATCH($A67,CLASSNAMEHEADERS,0))),(INDEX(ALLCLASSDATA,MATCH("AdvancedGroupExpert",CLASSFEATUREHEADERS,0),MATCH(($A67 &amp; "Points"),CLASSNAMEHEADERS,0))),(IF("17"=(INDEX(ALLCLASSDATA,MATCH("AdvancedGroupTrained",CLASSFEATUREHEADERS,0),MATCH($A67,CLASSNAMEHEADERS,0))),(INDEX(ALLCLASSDATA,MATCH("AdvancedGroupTrained",CLASSFEATUREHEADERS,0),MATCH(($A67 &amp; "Points"),CLASSNAMEHEADERS,0))),"")))))))))}</f>
        <v>ADVANCEDGROUPL17</v>
      </c>
      <c r="X66" s="223"/>
      <c r="Y66" s="223" t="str">
        <f t="array" ref="Y66:Y67">{"ADVANCEDGROUPL19";((IF("19"=(INDEX(ALLCLASSDATA,MATCH("AdvancedGroupLegendary",CLASSFEATUREHEADERS,0),MATCH($A67,CLASSNAMEHEADERS,0))),(INDEX(ALLCLASSDATA,MATCH("AdvancedGroupLegendary",CLASSFEATUREHEADERS,0),MATCH(($A67 &amp; "Points"),CLASSNAMEHEADERS,0))),(IF("19"=(INDEX(ALLCLASSDATA,MATCH("AdvancedGroupMaster",CLASSFEATUREHEADERS,0),MATCH($A67,CLASSNAMEHEADERS,0))),(INDEX(ALLCLASSDATA,MATCH("AdvancedGroupMaster",CLASSFEATUREHEADERS,0),MATCH(($A67 &amp; "Points"),CLASSNAMEHEADERS,0))),(IF("19"=(INDEX(ALLCLASSDATA,MATCH("AdvancedGroupExpert",CLASSFEATUREHEADERS,0),MATCH($A67,CLASSNAMEHEADERS,0))),(INDEX(ALLCLASSDATA,MATCH("AdvancedGroupExpert",CLASSFEATUREHEADERS,0),MATCH(($A67 &amp; "Points"),CLASSNAMEHEADERS,0))),(IF("19"=(INDEX(ALLCLASSDATA,MATCH("AdvancedGroupTrained",CLASSFEATUREHEADERS,0),MATCH($A67,CLASSNAMEHEADERS,0))),(INDEX(ALLCLASSDATA,MATCH("AdvancedGroupTrained",CLASSFEATUREHEADERS,0),MATCH(($A67 &amp; "Points"),CLASSNAMEHEADERS,0))),"")))))))))}</f>
        <v>ADVANCEDGROUPL19</v>
      </c>
      <c r="Z66" s="223"/>
      <c r="AA66" s="76" t="str">
        <f t="array" ref="AA66:AA67">{"ADVANCEDGROUP TOTAL";(IF(COUNTBLANK(F67:Z67)=17,"L",(IF(COUNTBLANK(F67:Z67)=18,"M",(IF(COUNTBLANK(F67:Z67)=19,"E",(IF(COUNTBLANK(F67:Z67)=20,"T",""))))))))}</f>
        <v>ADVANCEDGROUP TOTAL</v>
      </c>
      <c r="AB66" s="76" t="str">
        <f t="array" ref="AB66:AB67">{"ADVANCEDGROUP TOTAL";(sum(F67:Z67))}</f>
        <v>ADVANCEDGROUP TOTAL</v>
      </c>
    </row>
    <row r="67">
      <c r="A67" s="48" t="s">
        <v>211</v>
      </c>
      <c r="B67" s="48" t="s">
        <v>417</v>
      </c>
      <c r="C67" s="48" t="s">
        <v>1634</v>
      </c>
      <c r="D67" s="48" t="s">
        <v>601</v>
      </c>
      <c r="E67" s="5" t="s">
        <v>603</v>
      </c>
      <c r="F67" s="47" t="s">
        <v>603</v>
      </c>
      <c r="G67" s="5" t="s">
        <v>603</v>
      </c>
      <c r="H67" s="5"/>
      <c r="I67" s="5" t="s">
        <v>603</v>
      </c>
      <c r="J67" s="5"/>
      <c r="K67" s="5" t="s">
        <v>603</v>
      </c>
      <c r="L67" s="5"/>
      <c r="M67" s="5" t="s">
        <v>603</v>
      </c>
      <c r="N67" s="5"/>
      <c r="O67" s="5" t="s">
        <v>603</v>
      </c>
      <c r="P67" s="5"/>
      <c r="Q67" s="5" t="s">
        <v>603</v>
      </c>
      <c r="R67" s="5"/>
      <c r="S67" s="5" t="s">
        <v>603</v>
      </c>
      <c r="T67" s="5"/>
      <c r="U67" s="5" t="s">
        <v>603</v>
      </c>
      <c r="V67" s="5"/>
      <c r="W67" s="5" t="s">
        <v>603</v>
      </c>
      <c r="X67" s="5"/>
      <c r="Y67" s="5" t="s">
        <v>603</v>
      </c>
      <c r="Z67" s="5"/>
      <c r="AA67" s="5" t="s">
        <v>603</v>
      </c>
      <c r="AB67" s="47">
        <v>0.0</v>
      </c>
    </row>
    <row r="68" hidden="1">
      <c r="A68" s="222" t="str">
        <f t="array" ref="A68:A69">{"FormulaRow33";(INDEX(CLASSLIST,A3,1))}</f>
        <v>FormulaRow33</v>
      </c>
      <c r="B68" s="222" t="str">
        <f t="array" ref="B68:B69">{"CLASSTYPE";((INDEX(ALLCLASSDATA,MATCH("ClassType",CLASSFEATUREHEADERS,0),MATCH($A69,CLASSNAMEHEADERS,0))))}</f>
        <v>CLASSTYPE</v>
      </c>
      <c r="C68" s="222" t="str">
        <f t="array" ref="C68:C69">{"ATTACK";"Attack"}</f>
        <v>ATTACK</v>
      </c>
      <c r="D68" s="222" t="str">
        <f t="array" ref="D68:D69">{"ADVANCED";"Advanced"}</f>
        <v>ADVANCED</v>
      </c>
      <c r="E68" s="223" t="str">
        <f t="array" ref="E68:E69">{"ADVANCEDINITIAL";((IF(G69=10,"T",(IF(G69=50,"E","")))))}</f>
        <v>ADVANCEDINITIAL</v>
      </c>
      <c r="F68" s="223" t="str">
        <f t="array" ref="F68:F69">{"ADVANCEDINITIALPTS";((IF("00"=(INDEX(ALLCLASSDATA,MATCH("AdvancedLegendary",CLASSFEATUREHEADERS,0),MATCH($A69,CLASSNAMEHEADERS,0))),(INDEX(ALLCLASSDATA,MATCH("AdvancedLegendary",CLASSFEATUREHEADERS,0),MATCH(($A69 &amp; "Points"),CLASSNAMEHEADERS,0))),(IF("00"=(INDEX(ALLCLASSDATA,MATCH("AdvancedMaster",CLASSFEATUREHEADERS,0),MATCH($A69,CLASSNAMEHEADERS,0))),(INDEX(ALLCLASSDATA,MATCH("AdvancedMaster",CLASSFEATUREHEADERS,0),MATCH(($A69 &amp; "Points"),CLASSNAMEHEADERS,0))),(IF("00"=(INDEX(ALLCLASSDATA,MATCH("AdvancedExpert",CLASSFEATUREHEADERS,0),MATCH($A69,CLASSNAMEHEADERS,0))),(INDEX(ALLCLASSDATA,MATCH("AdvancedExpert",CLASSFEATUREHEADERS,0),MATCH(($A69 &amp; "Points"),CLASSNAMEHEADERS,0))),(IF("00"=(INDEX(ALLCLASSDATA,MATCH("AdvancedTrained",CLASSFEATUREHEADERS,0),MATCH($A69,CLASSNAMEHEADERS,0))),(INDEX(ALLCLASSDATA,MATCH("AdvancedTrained",CLASSFEATUREHEADERS,0),MATCH(($A69 &amp; "Points"),CLASSNAMEHEADERS,0))),"")))))))))}</f>
        <v>ADVANCEDINITIALPTS</v>
      </c>
      <c r="G68" s="223" t="str">
        <f t="array" ref="G68:G69">{"ADVANCEDL01";((IF("01"=(INDEX(ALLCLASSDATA,MATCH("AdvancedLegendary",CLASSFEATUREHEADERS,0),MATCH($A69,CLASSNAMEHEADERS,0))),(INDEX(ALLCLASSDATA,MATCH("AdvancedLegendary",CLASSFEATUREHEADERS,0),MATCH(($A69 &amp; "Points"),CLASSNAMEHEADERS,0))),(IF("01"=(INDEX(ALLCLASSDATA,MATCH("AdvancedMaster",CLASSFEATUREHEADERS,0),MATCH($A69,CLASSNAMEHEADERS,0))),(INDEX(ALLCLASSDATA,MATCH("AdvancedMaster",CLASSFEATUREHEADERS,0),MATCH(($A69 &amp; "Points"),CLASSNAMEHEADERS,0))),(IF("01"=(INDEX(ALLCLASSDATA,MATCH("AdvancedExpert",CLASSFEATUREHEADERS,0),MATCH($A69,CLASSNAMEHEADERS,0))),(INDEX(ALLCLASSDATA,MATCH("AdvancedExpert",CLASSFEATUREHEADERS,0),MATCH(($A69 &amp; "Points"),CLASSNAMEHEADERS,0))),(IF("01"=(INDEX(ALLCLASSDATA,MATCH("AdvancedTrained",CLASSFEATUREHEADERS,0),MATCH($A69,CLASSNAMEHEADERS,0))),(INDEX(ALLCLASSDATA,MATCH("AdvancedTrained",CLASSFEATUREHEADERS,0),MATCH(($A69 &amp; "Points"),CLASSNAMEHEADERS,0))),"")))))))))}</f>
        <v>ADVANCEDL01</v>
      </c>
      <c r="H68" s="223"/>
      <c r="I68" s="223" t="str">
        <f t="array" ref="I68:I69">{"ADVANCEDL03";((IF("03"=(INDEX(ALLCLASSDATA,MATCH("AdvancedLegendary",CLASSFEATUREHEADERS,0),MATCH($A69,CLASSNAMEHEADERS,0))),(INDEX(ALLCLASSDATA,MATCH("AdvancedLegendary",CLASSFEATUREHEADERS,0),MATCH(($A69 &amp; "Points"),CLASSNAMEHEADERS,0))),(IF("03"=(INDEX(ALLCLASSDATA,MATCH("AdvancedMaster",CLASSFEATUREHEADERS,0),MATCH($A69,CLASSNAMEHEADERS,0))),(INDEX(ALLCLASSDATA,MATCH("AdvancedMaster",CLASSFEATUREHEADERS,0),MATCH(($A69 &amp; "Points"),CLASSNAMEHEADERS,0))),(IF("03"=(INDEX(ALLCLASSDATA,MATCH("AdvancedExpert",CLASSFEATUREHEADERS,0),MATCH($A69,CLASSNAMEHEADERS,0))),(INDEX(ALLCLASSDATA,MATCH("AdvancedExpert",CLASSFEATUREHEADERS,0),MATCH(($A69 &amp; "Points"),CLASSNAMEHEADERS,0))),(IF("03"=(INDEX(ALLCLASSDATA,MATCH("AdvancedTrained",CLASSFEATUREHEADERS,0),MATCH($A69,CLASSNAMEHEADERS,0))),(INDEX(ALLCLASSDATA,MATCH("AdvancedTrained",CLASSFEATUREHEADERS,0),MATCH(($A69 &amp; "Points"),CLASSNAMEHEADERS,0))),"")))))))))}</f>
        <v>ADVANCEDL03</v>
      </c>
      <c r="J68" s="223"/>
      <c r="K68" s="223" t="str">
        <f t="array" ref="K68:K69">{"ADVANCEDL05";((IF("05"=(INDEX(ALLCLASSDATA,MATCH("AdvancedLegendary",CLASSFEATUREHEADERS,0),MATCH($A69,CLASSNAMEHEADERS,0))),(INDEX(ALLCLASSDATA,MATCH("AdvancedLegendary",CLASSFEATUREHEADERS,0),MATCH(($A69 &amp; "Points"),CLASSNAMEHEADERS,0))),(IF("05"=(INDEX(ALLCLASSDATA,MATCH("AdvancedMaster",CLASSFEATUREHEADERS,0),MATCH($A69,CLASSNAMEHEADERS,0))),(INDEX(ALLCLASSDATA,MATCH("AdvancedMaster",CLASSFEATUREHEADERS,0),MATCH(($A69 &amp; "Points"),CLASSNAMEHEADERS,0))),(IF("05"=(INDEX(ALLCLASSDATA,MATCH("AdvancedExpert",CLASSFEATUREHEADERS,0),MATCH($A69,CLASSNAMEHEADERS,0))),(INDEX(ALLCLASSDATA,MATCH("AdvancedExpert",CLASSFEATUREHEADERS,0),MATCH(($A69 &amp; "Points"),CLASSNAMEHEADERS,0))),(IF("05"=(INDEX(ALLCLASSDATA,MATCH("AdvancedTrained",CLASSFEATUREHEADERS,0),MATCH($A69,CLASSNAMEHEADERS,0))),(INDEX(ALLCLASSDATA,MATCH("AdvancedTrained",CLASSFEATUREHEADERS,0),MATCH(($A69 &amp; "Points"),CLASSNAMEHEADERS,0))),"")))))))))}</f>
        <v>ADVANCEDL05</v>
      </c>
      <c r="L68" s="223"/>
      <c r="M68" s="223" t="str">
        <f t="array" ref="M68:M69">{"ADVANCEDL07";((IF("07"=(INDEX(ALLCLASSDATA,MATCH("AdvancedLegendary",CLASSFEATUREHEADERS,0),MATCH($A69,CLASSNAMEHEADERS,0))),(INDEX(ALLCLASSDATA,MATCH("AdvancedLegendary",CLASSFEATUREHEADERS,0),MATCH(($A69 &amp; "Points"),CLASSNAMEHEADERS,0))),(IF("07"=(INDEX(ALLCLASSDATA,MATCH("AdvancedMaster",CLASSFEATUREHEADERS,0),MATCH($A69,CLASSNAMEHEADERS,0))),(INDEX(ALLCLASSDATA,MATCH("AdvancedMaster",CLASSFEATUREHEADERS,0),MATCH(($A69 &amp; "Points"),CLASSNAMEHEADERS,0))),(IF("07"=(INDEX(ALLCLASSDATA,MATCH("AdvancedExpert",CLASSFEATUREHEADERS,0),MATCH($A69,CLASSNAMEHEADERS,0))),(INDEX(ALLCLASSDATA,MATCH("AdvancedExpert",CLASSFEATUREHEADERS,0),MATCH(($A69 &amp; "Points"),CLASSNAMEHEADERS,0))),(IF("07"=(INDEX(ALLCLASSDATA,MATCH("AdvancedTrained",CLASSFEATUREHEADERS,0),MATCH($A69,CLASSNAMEHEADERS,0))),(INDEX(ALLCLASSDATA,MATCH("AdvancedTrained",CLASSFEATUREHEADERS,0),MATCH(($A69 &amp; "Points"),CLASSNAMEHEADERS,0))),"")))))))))}</f>
        <v>ADVANCEDL07</v>
      </c>
      <c r="N68" s="223"/>
      <c r="O68" s="223" t="str">
        <f t="array" ref="O68:O69">{"ADVANCEDL09";((IF("09"=(INDEX(ALLCLASSDATA,MATCH("AdvancedLegendary",CLASSFEATUREHEADERS,0),MATCH($A69,CLASSNAMEHEADERS,0))),(INDEX(ALLCLASSDATA,MATCH("AdvancedLegendary",CLASSFEATUREHEADERS,0),MATCH(($A69 &amp; "Points"),CLASSNAMEHEADERS,0))),(IF("09"=(INDEX(ALLCLASSDATA,MATCH("AdvancedMaster",CLASSFEATUREHEADERS,0),MATCH($A69,CLASSNAMEHEADERS,0))),(INDEX(ALLCLASSDATA,MATCH("AdvancedMaster",CLASSFEATUREHEADERS,0),MATCH(($A69 &amp; "Points"),CLASSNAMEHEADERS,0))),(IF("09"=(INDEX(ALLCLASSDATA,MATCH("AdvancedExpert",CLASSFEATUREHEADERS,0),MATCH($A69,CLASSNAMEHEADERS,0))),(INDEX(ALLCLASSDATA,MATCH("AdvancedExpert",CLASSFEATUREHEADERS,0),MATCH(($A69 &amp; "Points"),CLASSNAMEHEADERS,0))),(IF("09"=(INDEX(ALLCLASSDATA,MATCH("AdvancedTrained",CLASSFEATUREHEADERS,0),MATCH($A69,CLASSNAMEHEADERS,0))),(INDEX(ALLCLASSDATA,MATCH("AdvancedTrained",CLASSFEATUREHEADERS,0),MATCH(($A69 &amp; "Points"),CLASSNAMEHEADERS,0))),"")))))))))}</f>
        <v>ADVANCEDL09</v>
      </c>
      <c r="P68" s="223"/>
      <c r="Q68" s="223" t="str">
        <f t="array" ref="Q68:Q69">{"ADVANCEDL11";((IF("11"=(INDEX(ALLCLASSDATA,MATCH("AdvancedLegendary",CLASSFEATUREHEADERS,0),MATCH($A69,CLASSNAMEHEADERS,0))),(INDEX(ALLCLASSDATA,MATCH("AdvancedLegendary",CLASSFEATUREHEADERS,0),MATCH(($A69 &amp; "Points"),CLASSNAMEHEADERS,0))),(IF("11"=(INDEX(ALLCLASSDATA,MATCH("AdvancedMaster",CLASSFEATUREHEADERS,0),MATCH($A69,CLASSNAMEHEADERS,0))),(INDEX(ALLCLASSDATA,MATCH("AdvancedMaster",CLASSFEATUREHEADERS,0),MATCH(($A69 &amp; "Points"),CLASSNAMEHEADERS,0))),(IF("11"=(INDEX(ALLCLASSDATA,MATCH("AdvancedExpert",CLASSFEATUREHEADERS,0),MATCH($A69,CLASSNAMEHEADERS,0))),(INDEX(ALLCLASSDATA,MATCH("AdvancedExpert",CLASSFEATUREHEADERS,0),MATCH(($A69 &amp; "Points"),CLASSNAMEHEADERS,0))),(IF("11"=(INDEX(ALLCLASSDATA,MATCH("AdvancedTrained",CLASSFEATUREHEADERS,0),MATCH($A69,CLASSNAMEHEADERS,0))),(INDEX(ALLCLASSDATA,MATCH("AdvancedTrained",CLASSFEATUREHEADERS,0),MATCH(($A69 &amp; "Points"),CLASSNAMEHEADERS,0))),"")))))))))}</f>
        <v>ADVANCEDL11</v>
      </c>
      <c r="R68" s="223"/>
      <c r="S68" s="223" t="str">
        <f t="array" ref="S68:S69">{"ADVANCEDL13";((IF("13"=(INDEX(ALLCLASSDATA,MATCH("AdvancedLegendary",CLASSFEATUREHEADERS,0),MATCH($A69,CLASSNAMEHEADERS,0))),(INDEX(ALLCLASSDATA,MATCH("AdvancedLegendary",CLASSFEATUREHEADERS,0),MATCH(($A69 &amp; "Points"),CLASSNAMEHEADERS,0))),(IF("13"=(INDEX(ALLCLASSDATA,MATCH("AdvancedMaster",CLASSFEATUREHEADERS,0),MATCH($A69,CLASSNAMEHEADERS,0))),(INDEX(ALLCLASSDATA,MATCH("AdvancedMaster",CLASSFEATUREHEADERS,0),MATCH(($A69 &amp; "Points"),CLASSNAMEHEADERS,0))),(IF("13"=(INDEX(ALLCLASSDATA,MATCH("AdvancedExpert",CLASSFEATUREHEADERS,0),MATCH($A69,CLASSNAMEHEADERS,0))),(INDEX(ALLCLASSDATA,MATCH("AdvancedExpert",CLASSFEATUREHEADERS,0),MATCH(($A69 &amp; "Points"),CLASSNAMEHEADERS,0))),(IF("13"=(INDEX(ALLCLASSDATA,MATCH("AdvancedTrained",CLASSFEATUREHEADERS,0),MATCH($A69,CLASSNAMEHEADERS,0))),(INDEX(ALLCLASSDATA,MATCH("AdvancedTrained",CLASSFEATUREHEADERS,0),MATCH(($A69 &amp; "Points"),CLASSNAMEHEADERS,0))),"")))))))))}</f>
        <v>ADVANCEDL13</v>
      </c>
      <c r="T68" s="223"/>
      <c r="U68" s="223" t="str">
        <f t="array" ref="U68:U69">{"ADVANCEDL15";((IF("15"=(INDEX(ALLCLASSDATA,MATCH("AdvancedLegendary",CLASSFEATUREHEADERS,0),MATCH($A69,CLASSNAMEHEADERS,0))),(INDEX(ALLCLASSDATA,MATCH("AdvancedLegendary",CLASSFEATUREHEADERS,0),MATCH(($A69 &amp; "Points"),CLASSNAMEHEADERS,0))),(IF("15"=(INDEX(ALLCLASSDATA,MATCH("AdvancedMaster",CLASSFEATUREHEADERS,0),MATCH($A69,CLASSNAMEHEADERS,0))),(INDEX(ALLCLASSDATA,MATCH("AdvancedMaster",CLASSFEATUREHEADERS,0),MATCH(($A69 &amp; "Points"),CLASSNAMEHEADERS,0))),(IF("15"=(INDEX(ALLCLASSDATA,MATCH("AdvancedExpert",CLASSFEATUREHEADERS,0),MATCH($A69,CLASSNAMEHEADERS,0))),(INDEX(ALLCLASSDATA,MATCH("AdvancedExpert",CLASSFEATUREHEADERS,0),MATCH(($A69 &amp; "Points"),CLASSNAMEHEADERS,0))),(IF("15"=(INDEX(ALLCLASSDATA,MATCH("AdvancedTrained",CLASSFEATUREHEADERS,0),MATCH($A69,CLASSNAMEHEADERS,0))),(INDEX(ALLCLASSDATA,MATCH("AdvancedTrained",CLASSFEATUREHEADERS,0),MATCH(($A69 &amp; "Points"),CLASSNAMEHEADERS,0))),"")))))))))}</f>
        <v>ADVANCEDL15</v>
      </c>
      <c r="V68" s="223"/>
      <c r="W68" s="223" t="str">
        <f t="array" ref="W68:W69">{"ADVANCEDL17";((IF("17"=(INDEX(ALLCLASSDATA,MATCH("AdvancedLegendary",CLASSFEATUREHEADERS,0),MATCH($A69,CLASSNAMEHEADERS,0))),(INDEX(ALLCLASSDATA,MATCH("AdvancedLegendary",CLASSFEATUREHEADERS,0),MATCH(($A69 &amp; "Points"),CLASSNAMEHEADERS,0))),(IF("17"=(INDEX(ALLCLASSDATA,MATCH("AdvancedMaster",CLASSFEATUREHEADERS,0),MATCH($A69,CLASSNAMEHEADERS,0))),(INDEX(ALLCLASSDATA,MATCH("AdvancedMaster",CLASSFEATUREHEADERS,0),MATCH(($A69 &amp; "Points"),CLASSNAMEHEADERS,0))),(IF("17"=(INDEX(ALLCLASSDATA,MATCH("AdvancedExpert",CLASSFEATUREHEADERS,0),MATCH($A69,CLASSNAMEHEADERS,0))),(INDEX(ALLCLASSDATA,MATCH("AdvancedExpert",CLASSFEATUREHEADERS,0),MATCH(($A69 &amp; "Points"),CLASSNAMEHEADERS,0))),(IF("17"=(INDEX(ALLCLASSDATA,MATCH("AdvancedTrained",CLASSFEATUREHEADERS,0),MATCH($A69,CLASSNAMEHEADERS,0))),(INDEX(ALLCLASSDATA,MATCH("AdvancedTrained",CLASSFEATUREHEADERS,0),MATCH(($A69 &amp; "Points"),CLASSNAMEHEADERS,0))),"")))))))))}</f>
        <v>ADVANCEDL17</v>
      </c>
      <c r="X68" s="223"/>
      <c r="Y68" s="223" t="str">
        <f t="array" ref="Y68:Y69">{"ADVANCEDL19";((IF("19"=(INDEX(ALLCLASSDATA,MATCH("AdvancedLegendary",CLASSFEATUREHEADERS,0),MATCH($A69,CLASSNAMEHEADERS,0))),(INDEX(ALLCLASSDATA,MATCH("AdvancedLegendary",CLASSFEATUREHEADERS,0),MATCH(($A69 &amp; "Points"),CLASSNAMEHEADERS,0))),(IF("19"=(INDEX(ALLCLASSDATA,MATCH("AdvancedMaster",CLASSFEATUREHEADERS,0),MATCH($A69,CLASSNAMEHEADERS,0))),(INDEX(ALLCLASSDATA,MATCH("AdvancedMaster",CLASSFEATUREHEADERS,0),MATCH(($A69 &amp; "Points"),CLASSNAMEHEADERS,0))),(IF("19"=(INDEX(ALLCLASSDATA,MATCH("AdvancedExpert",CLASSFEATUREHEADERS,0),MATCH($A69,CLASSNAMEHEADERS,0))),(INDEX(ALLCLASSDATA,MATCH("AdvancedExpert",CLASSFEATUREHEADERS,0),MATCH(($A69 &amp; "Points"),CLASSNAMEHEADERS,0))),(IF("19"=(INDEX(ALLCLASSDATA,MATCH("AdvancedTrained",CLASSFEATUREHEADERS,0),MATCH($A69,CLASSNAMEHEADERS,0))),(INDEX(ALLCLASSDATA,MATCH("AdvancedTrained",CLASSFEATUREHEADERS,0),MATCH(($A69 &amp; "Points"),CLASSNAMEHEADERS,0))),"")))))))))}</f>
        <v>ADVANCEDL19</v>
      </c>
      <c r="Z68" s="223"/>
      <c r="AA68" s="76" t="str">
        <f t="array" ref="AA68:AA69">{"ADVANCED TOTAL";(IF(COUNTBLANK(F69:Z69)=17,"L",(IF(COUNTBLANK(F69:Z69)=18,"M",(IF(COUNTBLANK(F69:Z69)=19,"E",(IF(COUNTBLANK(F69:Z69)=20,"T",""))))))))}</f>
        <v>ADVANCED TOTAL</v>
      </c>
      <c r="AB68" s="76" t="str">
        <f t="array" ref="AB68:AB69">{"ADVANCED TOTAL";(sum(F69:Z69))}</f>
        <v>ADVANCED TOTAL</v>
      </c>
    </row>
    <row r="69">
      <c r="A69" s="48" t="s">
        <v>211</v>
      </c>
      <c r="B69" s="48" t="s">
        <v>417</v>
      </c>
      <c r="C69" s="97" t="s">
        <v>1634</v>
      </c>
      <c r="D69" s="97" t="s">
        <v>602</v>
      </c>
      <c r="E69" s="98" t="s">
        <v>603</v>
      </c>
      <c r="F69" s="132" t="s">
        <v>603</v>
      </c>
      <c r="G69" s="98" t="s">
        <v>603</v>
      </c>
      <c r="H69" s="98"/>
      <c r="I69" s="98" t="s">
        <v>603</v>
      </c>
      <c r="J69" s="98"/>
      <c r="K69" s="98" t="s">
        <v>603</v>
      </c>
      <c r="L69" s="98"/>
      <c r="M69" s="98" t="s">
        <v>603</v>
      </c>
      <c r="N69" s="98"/>
      <c r="O69" s="98" t="s">
        <v>603</v>
      </c>
      <c r="P69" s="98"/>
      <c r="Q69" s="98" t="s">
        <v>603</v>
      </c>
      <c r="R69" s="98"/>
      <c r="S69" s="98" t="s">
        <v>603</v>
      </c>
      <c r="T69" s="98"/>
      <c r="U69" s="98" t="s">
        <v>603</v>
      </c>
      <c r="V69" s="98"/>
      <c r="W69" s="98" t="s">
        <v>603</v>
      </c>
      <c r="X69" s="98"/>
      <c r="Y69" s="98" t="s">
        <v>603</v>
      </c>
      <c r="Z69" s="98"/>
      <c r="AA69" s="5" t="s">
        <v>603</v>
      </c>
      <c r="AB69" s="47">
        <v>0.0</v>
      </c>
    </row>
    <row r="70" hidden="1">
      <c r="A70" s="222" t="str">
        <f t="array" ref="A70:A71">{"FormulaRow34";(INDEX(CLASSLIST,A3,1))}</f>
        <v>FormulaRow34</v>
      </c>
      <c r="B70" s="222" t="str">
        <f t="array" ref="B70:B71">{"CLASSTYPE";((INDEX(ALLCLASSDATA,MATCH("ClassType",CLASSFEATUREHEADERS,0),MATCH($A71,CLASSNAMEHEADERS,0))))}</f>
        <v>CLASSTYPE</v>
      </c>
      <c r="C70" s="222" t="str">
        <f t="array" ref="C70:C71">{"DEFENSE";"Defense"}</f>
        <v>DEFENSE</v>
      </c>
      <c r="D70" s="222" t="str">
        <f t="array" ref="D70:D71">{"ARMORSPECIAL";"ArmorAS"}</f>
        <v>ARMORSPECIAL</v>
      </c>
      <c r="E70" s="223"/>
      <c r="F70" s="223"/>
      <c r="G70" s="223" t="str">
        <f t="array" ref="G70:G71">{"ARMORSPECIALL01";((IF("01"=INDEX(ALLCLASSDATA,MATCH("ArmorSpecialization",CLASSFEATUREHEADERS,0),MATCH($A71,CLASSNAMEHEADERS,0)),ArmorAS,"")))}</f>
        <v>ARMORSPECIALL01</v>
      </c>
      <c r="H70" s="223"/>
      <c r="I70" s="223" t="str">
        <f t="array" ref="I70:I71">{"ARMORSPECIALL03";((IF("03"=INDEX(ALLCLASSDATA,MATCH("ArmorSpecialization",CLASSFEATUREHEADERS,0),MATCH($A71,CLASSNAMEHEADERS,0)),ArmorAS,"")))}</f>
        <v>ARMORSPECIALL03</v>
      </c>
      <c r="J70" s="223"/>
      <c r="K70" s="223" t="str">
        <f t="array" ref="K70:K71">{"ARMORSPECIALL05";((IF("05"=INDEX(ALLCLASSDATA,MATCH("ArmorSpecialization",CLASSFEATUREHEADERS,0),MATCH($A71,CLASSNAMEHEADERS,0)),ArmorAS,"")))}</f>
        <v>ARMORSPECIALL05</v>
      </c>
      <c r="L70" s="223"/>
      <c r="M70" s="223" t="str">
        <f t="array" ref="M70:M71">{"ARMORSPECIALL07";((IF("07"=INDEX(ALLCLASSDATA,MATCH("ArmorSpecialization",CLASSFEATUREHEADERS,0),MATCH($A71,CLASSNAMEHEADERS,0)),ArmorAS,"")))}</f>
        <v>ARMORSPECIALL07</v>
      </c>
      <c r="N70" s="223"/>
      <c r="O70" s="223" t="str">
        <f t="array" ref="O70:O71">{"ARMORSPECIALL09";((IF("09"=INDEX(ALLCLASSDATA,MATCH("ArmorSpecialization",CLASSFEATUREHEADERS,0),MATCH($A71,CLASSNAMEHEADERS,0)),ArmorAS,"")))}</f>
        <v>ARMORSPECIALL09</v>
      </c>
      <c r="P70" s="223"/>
      <c r="Q70" s="223" t="str">
        <f t="array" ref="Q70:Q71">{"ARMORSPECIALL11";((IF("11"=INDEX(ALLCLASSDATA,MATCH("ArmorSpecialization",CLASSFEATUREHEADERS,0),MATCH($A71,CLASSNAMEHEADERS,0)),ArmorAS,"")))}</f>
        <v>ARMORSPECIALL11</v>
      </c>
      <c r="R70" s="223"/>
      <c r="S70" s="223" t="str">
        <f t="array" ref="S70:S71">{"ARMORSPECIALL13";((IF("13"=INDEX(ALLCLASSDATA,MATCH("ArmorSpecialization",CLASSFEATUREHEADERS,0),MATCH($A71,CLASSNAMEHEADERS,0)),ArmorAS,"")))}</f>
        <v>ARMORSPECIALL13</v>
      </c>
      <c r="T70" s="223"/>
      <c r="U70" s="223" t="str">
        <f t="array" ref="U70:U71">{"ARMORSPECIALL15";((IF("15"=INDEX(ALLCLASSDATA,MATCH("ArmorSpecialization",CLASSFEATUREHEADERS,0),MATCH($A71,CLASSNAMEHEADERS,0)),ArmorAS,"")))}</f>
        <v>ARMORSPECIALL15</v>
      </c>
      <c r="V70" s="223"/>
      <c r="W70" s="223" t="str">
        <f t="array" ref="W70:W71">{"ARMORSPECIALL17";((IF("17"=INDEX(ALLCLASSDATA,MATCH("ArmorSpecialization",CLASSFEATUREHEADERS,0),MATCH($A71,CLASSNAMEHEADERS,0)),ArmorAS,"")))}</f>
        <v>ARMORSPECIALL17</v>
      </c>
      <c r="X70" s="223"/>
      <c r="Y70" s="223" t="str">
        <f t="array" ref="Y70:Y71">{"ARMORSPECIALL19";((IF("19"=INDEX(ALLCLASSDATA,MATCH("ArmorSpecialization",CLASSFEATUREHEADERS,0),MATCH($A71,CLASSNAMEHEADERS,0)),ArmorAS,"")))}</f>
        <v>ARMORSPECIALL19</v>
      </c>
      <c r="Z70" s="223"/>
      <c r="AA70" s="76"/>
      <c r="AB70" s="76" t="str">
        <f t="array" ref="AB70:AB71">{"ARMORSPECIAL TOTAL";(sum(F71:Z71))}</f>
        <v>ARMORSPECIAL TOTAL</v>
      </c>
    </row>
    <row r="71">
      <c r="A71" s="48" t="s">
        <v>211</v>
      </c>
      <c r="B71" s="48" t="s">
        <v>417</v>
      </c>
      <c r="C71" s="48" t="s">
        <v>1900</v>
      </c>
      <c r="D71" s="48" t="s">
        <v>51</v>
      </c>
      <c r="E71" s="5"/>
      <c r="F71" s="47"/>
      <c r="G71" s="5" t="s">
        <v>603</v>
      </c>
      <c r="H71" s="5"/>
      <c r="I71" s="5" t="s">
        <v>603</v>
      </c>
      <c r="J71" s="5"/>
      <c r="K71" s="5" t="s">
        <v>603</v>
      </c>
      <c r="L71" s="5"/>
      <c r="M71" s="5" t="s">
        <v>603</v>
      </c>
      <c r="N71" s="5"/>
      <c r="O71" s="5" t="s">
        <v>603</v>
      </c>
      <c r="P71" s="5"/>
      <c r="Q71" s="5" t="s">
        <v>603</v>
      </c>
      <c r="R71" s="5"/>
      <c r="S71" s="5" t="s">
        <v>603</v>
      </c>
      <c r="T71" s="5"/>
      <c r="U71" s="5" t="s">
        <v>603</v>
      </c>
      <c r="V71" s="5"/>
      <c r="W71" s="5" t="s">
        <v>603</v>
      </c>
      <c r="X71" s="5"/>
      <c r="Y71" s="5" t="s">
        <v>603</v>
      </c>
      <c r="Z71" s="5"/>
      <c r="AA71" s="5"/>
      <c r="AB71" s="47">
        <v>0.0</v>
      </c>
    </row>
    <row r="72" hidden="1">
      <c r="A72" s="222" t="str">
        <f t="array" ref="A72:A73">{"FormulaRow35";(INDEX(CLASSLIST,A3,1))}</f>
        <v>FormulaRow35</v>
      </c>
      <c r="B72" s="222" t="str">
        <f t="array" ref="B72:B73">{"CLASSTYPE";((INDEX(ALLCLASSDATA,MATCH("ClassType",CLASSFEATUREHEADERS,0),MATCH($A73,CLASSNAMEHEADERS,0))))}</f>
        <v>CLASSTYPE</v>
      </c>
      <c r="C72" s="222" t="str">
        <f t="array" ref="C72:C73">{"DEFENSE";"Defense"}</f>
        <v>DEFENSE</v>
      </c>
      <c r="D72" s="222" t="str">
        <f t="array" ref="D72:D73">{"UNARMORED";"Unarmored"}</f>
        <v>UNARMORED</v>
      </c>
      <c r="E72" s="223" t="str">
        <f t="array" ref="E72:E73">{"UNARMOREDINITIAL";((IF(G73=10,"T",(IF(G73=50,"E","")))))}</f>
        <v>UNARMOREDINITIAL</v>
      </c>
      <c r="F72" s="223" t="str">
        <f t="array" ref="F72:F73">{"UNARMOREDINITIALPTS";((IF("00"=(INDEX(ALLCLASSDATA,MATCH("UnarmoredLegendary",CLASSFEATUREHEADERS,0),MATCH($A73,CLASSNAMEHEADERS,0))),(INDEX(ALLCLASSDATA,MATCH("UnarmoredLegendary",CLASSFEATUREHEADERS,0),MATCH(($A73 &amp; "Points"),CLASSNAMEHEADERS,0))),(IF("00"=(INDEX(ALLCLASSDATA,MATCH("UnarmoredMaster",CLASSFEATUREHEADERS,0),MATCH($A73,CLASSNAMEHEADERS,0))),(INDEX(ALLCLASSDATA,MATCH("UnarmoredMaster",CLASSFEATUREHEADERS,0),MATCH(($A73 &amp; "Points"),CLASSNAMEHEADERS,0))),(IF("00"=(INDEX(ALLCLASSDATA,MATCH("UnarmoredExpert",CLASSFEATUREHEADERS,0),MATCH($A73,CLASSNAMEHEADERS,0))),(INDEX(ALLCLASSDATA,MATCH("UnarmoredExpert",CLASSFEATUREHEADERS,0),MATCH(($A73 &amp; "Points"),CLASSNAMEHEADERS,0))),(IF("00"=(INDEX(ALLCLASSDATA,MATCH("UnarmoredTrained",CLASSFEATUREHEADERS,0),MATCH($A73,CLASSNAMEHEADERS,0))),(INDEX(ALLCLASSDATA,MATCH("UnarmoredTrained",CLASSFEATUREHEADERS,0),MATCH(($A73 &amp; "Points"),CLASSNAMEHEADERS,0))),"")))))))))}</f>
        <v>UNARMOREDINITIALPTS</v>
      </c>
      <c r="G72" s="223" t="str">
        <f t="array" ref="G72:G73">{"UNARMOREDL01";((IF("01"=(INDEX(ALLCLASSDATA,MATCH("UnarmoredLegendary",CLASSFEATUREHEADERS,0),MATCH($A73,CLASSNAMEHEADERS,0))),(INDEX(ALLCLASSDATA,MATCH("UnarmoredLegendary",CLASSFEATUREHEADERS,0),MATCH(($A73 &amp; "Points"),CLASSNAMEHEADERS,0))),(IF("01"=(INDEX(ALLCLASSDATA,MATCH("UnarmoredMaster",CLASSFEATUREHEADERS,0),MATCH($A73,CLASSNAMEHEADERS,0))),(INDEX(ALLCLASSDATA,MATCH("UnarmoredMaster",CLASSFEATUREHEADERS,0),MATCH(($A73 &amp; "Points"),CLASSNAMEHEADERS,0))),(IF("01"=(INDEX(ALLCLASSDATA,MATCH("UnarmoredExpert",CLASSFEATUREHEADERS,0),MATCH($A73,CLASSNAMEHEADERS,0))),(INDEX(ALLCLASSDATA,MATCH("UnarmoredExpert",CLASSFEATUREHEADERS,0),MATCH(($A73 &amp; "Points"),CLASSNAMEHEADERS,0))),(IF("01"=(INDEX(ALLCLASSDATA,MATCH("UnarmoredTrained",CLASSFEATUREHEADERS,0),MATCH($A73,CLASSNAMEHEADERS,0))),(INDEX(ALLCLASSDATA,MATCH("UnarmoredTrained",CLASSFEATUREHEADERS,0),MATCH(($A73 &amp; "Points"),CLASSNAMEHEADERS,0))),"")))))))))}</f>
        <v>UNARMOREDL01</v>
      </c>
      <c r="H72" s="223"/>
      <c r="I72" s="223" t="str">
        <f t="array" ref="I72:I73">{"UNARMOREDL03";((IF("03"=(INDEX(ALLCLASSDATA,MATCH("UnarmoredLegendary",CLASSFEATUREHEADERS,0),MATCH($A73,CLASSNAMEHEADERS,0))),(INDEX(ALLCLASSDATA,MATCH("UnarmoredLegendary",CLASSFEATUREHEADERS,0),MATCH(($A73 &amp; "Points"),CLASSNAMEHEADERS,0))),(IF("03"=(INDEX(ALLCLASSDATA,MATCH("UnarmoredMaster",CLASSFEATUREHEADERS,0),MATCH($A73,CLASSNAMEHEADERS,0))),(INDEX(ALLCLASSDATA,MATCH("UnarmoredMaster",CLASSFEATUREHEADERS,0),MATCH(($A73 &amp; "Points"),CLASSNAMEHEADERS,0))),(IF("03"=(INDEX(ALLCLASSDATA,MATCH("UnarmoredExpert",CLASSFEATUREHEADERS,0),MATCH($A73,CLASSNAMEHEADERS,0))),(INDEX(ALLCLASSDATA,MATCH("UnarmoredExpert",CLASSFEATUREHEADERS,0),MATCH(($A73 &amp; "Points"),CLASSNAMEHEADERS,0))),(IF("03"=(INDEX(ALLCLASSDATA,MATCH("UnarmoredTrained",CLASSFEATUREHEADERS,0),MATCH($A73,CLASSNAMEHEADERS,0))),(INDEX(ALLCLASSDATA,MATCH("UnarmoredTrained",CLASSFEATUREHEADERS,0),MATCH(($A73 &amp; "Points"),CLASSNAMEHEADERS,0))),"")))))))))}</f>
        <v>UNARMOREDL03</v>
      </c>
      <c r="J72" s="223"/>
      <c r="K72" s="223" t="str">
        <f t="array" ref="K72:K73">{"UNARMOREDL05";((IF("05"=(INDEX(ALLCLASSDATA,MATCH("UnarmoredLegendary",CLASSFEATUREHEADERS,0),MATCH($A73,CLASSNAMEHEADERS,0))),(INDEX(ALLCLASSDATA,MATCH("UnarmoredLegendary",CLASSFEATUREHEADERS,0),MATCH(($A73 &amp; "Points"),CLASSNAMEHEADERS,0))),(IF("05"=(INDEX(ALLCLASSDATA,MATCH("UnarmoredMaster",CLASSFEATUREHEADERS,0),MATCH($A73,CLASSNAMEHEADERS,0))),(INDEX(ALLCLASSDATA,MATCH("UnarmoredMaster",CLASSFEATUREHEADERS,0),MATCH(($A73 &amp; "Points"),CLASSNAMEHEADERS,0))),(IF("05"=(INDEX(ALLCLASSDATA,MATCH("UnarmoredExpert",CLASSFEATUREHEADERS,0),MATCH($A73,CLASSNAMEHEADERS,0))),(INDEX(ALLCLASSDATA,MATCH("UnarmoredExpert",CLASSFEATUREHEADERS,0),MATCH(($A73 &amp; "Points"),CLASSNAMEHEADERS,0))),(IF("05"=(INDEX(ALLCLASSDATA,MATCH("UnarmoredTrained",CLASSFEATUREHEADERS,0),MATCH($A73,CLASSNAMEHEADERS,0))),(INDEX(ALLCLASSDATA,MATCH("UnarmoredTrained",CLASSFEATUREHEADERS,0),MATCH(($A73 &amp; "Points"),CLASSNAMEHEADERS,0))),"")))))))))}</f>
        <v>UNARMOREDL05</v>
      </c>
      <c r="L72" s="223"/>
      <c r="M72" s="223" t="str">
        <f t="array" ref="M72:M73">{"UNARMOREDL07";((IF("07"=(INDEX(ALLCLASSDATA,MATCH("UnarmoredLegendary",CLASSFEATUREHEADERS,0),MATCH($A73,CLASSNAMEHEADERS,0))),(INDEX(ALLCLASSDATA,MATCH("UnarmoredLegendary",CLASSFEATUREHEADERS,0),MATCH(($A73 &amp; "Points"),CLASSNAMEHEADERS,0))),(IF("07"=(INDEX(ALLCLASSDATA,MATCH("UnarmoredMaster",CLASSFEATUREHEADERS,0),MATCH($A73,CLASSNAMEHEADERS,0))),(INDEX(ALLCLASSDATA,MATCH("UnarmoredMaster",CLASSFEATUREHEADERS,0),MATCH(($A73 &amp; "Points"),CLASSNAMEHEADERS,0))),(IF("07"=(INDEX(ALLCLASSDATA,MATCH("UnarmoredExpert",CLASSFEATUREHEADERS,0),MATCH($A73,CLASSNAMEHEADERS,0))),(INDEX(ALLCLASSDATA,MATCH("UnarmoredExpert",CLASSFEATUREHEADERS,0),MATCH(($A73 &amp; "Points"),CLASSNAMEHEADERS,0))),(IF("07"=(INDEX(ALLCLASSDATA,MATCH("UnarmoredTrained",CLASSFEATUREHEADERS,0),MATCH($A73,CLASSNAMEHEADERS,0))),(INDEX(ALLCLASSDATA,MATCH("UnarmoredTrained",CLASSFEATUREHEADERS,0),MATCH(($A73 &amp; "Points"),CLASSNAMEHEADERS,0))),"")))))))))}</f>
        <v>UNARMOREDL07</v>
      </c>
      <c r="N72" s="223"/>
      <c r="O72" s="223" t="str">
        <f t="array" ref="O72:O73">{"UNARMOREDL09";((IF("09"=(INDEX(ALLCLASSDATA,MATCH("UnarmoredLegendary",CLASSFEATUREHEADERS,0),MATCH($A73,CLASSNAMEHEADERS,0))),(INDEX(ALLCLASSDATA,MATCH("UnarmoredLegendary",CLASSFEATUREHEADERS,0),MATCH(($A73 &amp; "Points"),CLASSNAMEHEADERS,0))),(IF("09"=(INDEX(ALLCLASSDATA,MATCH("UnarmoredMaster",CLASSFEATUREHEADERS,0),MATCH($A73,CLASSNAMEHEADERS,0))),(INDEX(ALLCLASSDATA,MATCH("UnarmoredMaster",CLASSFEATUREHEADERS,0),MATCH(($A73 &amp; "Points"),CLASSNAMEHEADERS,0))),(IF("09"=(INDEX(ALLCLASSDATA,MATCH("UnarmoredExpert",CLASSFEATUREHEADERS,0),MATCH($A73,CLASSNAMEHEADERS,0))),(INDEX(ALLCLASSDATA,MATCH("UnarmoredExpert",CLASSFEATUREHEADERS,0),MATCH(($A73 &amp; "Points"),CLASSNAMEHEADERS,0))),(IF("09"=(INDEX(ALLCLASSDATA,MATCH("UnarmoredTrained",CLASSFEATUREHEADERS,0),MATCH($A73,CLASSNAMEHEADERS,0))),(INDEX(ALLCLASSDATA,MATCH("UnarmoredTrained",CLASSFEATUREHEADERS,0),MATCH(($A73 &amp; "Points"),CLASSNAMEHEADERS,0))),"")))))))))}</f>
        <v>UNARMOREDL09</v>
      </c>
      <c r="P72" s="223"/>
      <c r="Q72" s="223" t="str">
        <f t="array" ref="Q72:Q73">{"UNARMOREDL11";((IF("11"=(INDEX(ALLCLASSDATA,MATCH("UnarmoredLegendary",CLASSFEATUREHEADERS,0),MATCH($A73,CLASSNAMEHEADERS,0))),(INDEX(ALLCLASSDATA,MATCH("UnarmoredLegendary",CLASSFEATUREHEADERS,0),MATCH(($A73 &amp; "Points"),CLASSNAMEHEADERS,0))),(IF("11"=(INDEX(ALLCLASSDATA,MATCH("UnarmoredMaster",CLASSFEATUREHEADERS,0),MATCH($A73,CLASSNAMEHEADERS,0))),(INDEX(ALLCLASSDATA,MATCH("UnarmoredMaster",CLASSFEATUREHEADERS,0),MATCH(($A73 &amp; "Points"),CLASSNAMEHEADERS,0))),(IF("11"=(INDEX(ALLCLASSDATA,MATCH("UnarmoredExpert",CLASSFEATUREHEADERS,0),MATCH($A73,CLASSNAMEHEADERS,0))),(INDEX(ALLCLASSDATA,MATCH("UnarmoredExpert",CLASSFEATUREHEADERS,0),MATCH(($A73 &amp; "Points"),CLASSNAMEHEADERS,0))),(IF("11"=(INDEX(ALLCLASSDATA,MATCH("UnarmoredTrained",CLASSFEATUREHEADERS,0),MATCH($A73,CLASSNAMEHEADERS,0))),(INDEX(ALLCLASSDATA,MATCH("UnarmoredTrained",CLASSFEATUREHEADERS,0),MATCH(($A73 &amp; "Points"),CLASSNAMEHEADERS,0))),"")))))))))}</f>
        <v>UNARMOREDL11</v>
      </c>
      <c r="R72" s="223"/>
      <c r="S72" s="223" t="str">
        <f t="array" ref="S72:S73">{"UNARMOREDL13";((IF("13"=(INDEX(ALLCLASSDATA,MATCH("UnarmoredLegendary",CLASSFEATUREHEADERS,0),MATCH($A73,CLASSNAMEHEADERS,0))),(INDEX(ALLCLASSDATA,MATCH("UnarmoredLegendary",CLASSFEATUREHEADERS,0),MATCH(($A73 &amp; "Points"),CLASSNAMEHEADERS,0))),(IF("13"=(INDEX(ALLCLASSDATA,MATCH("UnarmoredMaster",CLASSFEATUREHEADERS,0),MATCH($A73,CLASSNAMEHEADERS,0))),(INDEX(ALLCLASSDATA,MATCH("UnarmoredMaster",CLASSFEATUREHEADERS,0),MATCH(($A73 &amp; "Points"),CLASSNAMEHEADERS,0))),(IF("13"=(INDEX(ALLCLASSDATA,MATCH("UnarmoredExpert",CLASSFEATUREHEADERS,0),MATCH($A73,CLASSNAMEHEADERS,0))),(INDEX(ALLCLASSDATA,MATCH("UnarmoredExpert",CLASSFEATUREHEADERS,0),MATCH(($A73 &amp; "Points"),CLASSNAMEHEADERS,0))),(IF("13"=(INDEX(ALLCLASSDATA,MATCH("UnarmoredTrained",CLASSFEATUREHEADERS,0),MATCH($A73,CLASSNAMEHEADERS,0))),(INDEX(ALLCLASSDATA,MATCH("UnarmoredTrained",CLASSFEATUREHEADERS,0),MATCH(($A73 &amp; "Points"),CLASSNAMEHEADERS,0))),"")))))))))}</f>
        <v>UNARMOREDL13</v>
      </c>
      <c r="T72" s="223"/>
      <c r="U72" s="223" t="str">
        <f t="array" ref="U72:U73">{"UNARMOREDL15";((IF("15"=(INDEX(ALLCLASSDATA,MATCH("UnarmoredLegendary",CLASSFEATUREHEADERS,0),MATCH($A73,CLASSNAMEHEADERS,0))),(INDEX(ALLCLASSDATA,MATCH("UnarmoredLegendary",CLASSFEATUREHEADERS,0),MATCH(($A73 &amp; "Points"),CLASSNAMEHEADERS,0))),(IF("15"=(INDEX(ALLCLASSDATA,MATCH("UnarmoredMaster",CLASSFEATUREHEADERS,0),MATCH($A73,CLASSNAMEHEADERS,0))),(INDEX(ALLCLASSDATA,MATCH("UnarmoredMaster",CLASSFEATUREHEADERS,0),MATCH(($A73 &amp; "Points"),CLASSNAMEHEADERS,0))),(IF("15"=(INDEX(ALLCLASSDATA,MATCH("UnarmoredExpert",CLASSFEATUREHEADERS,0),MATCH($A73,CLASSNAMEHEADERS,0))),(INDEX(ALLCLASSDATA,MATCH("UnarmoredExpert",CLASSFEATUREHEADERS,0),MATCH(($A73 &amp; "Points"),CLASSNAMEHEADERS,0))),(IF("15"=(INDEX(ALLCLASSDATA,MATCH("UnarmoredTrained",CLASSFEATUREHEADERS,0),MATCH($A73,CLASSNAMEHEADERS,0))),(INDEX(ALLCLASSDATA,MATCH("UnarmoredTrained",CLASSFEATUREHEADERS,0),MATCH(($A73 &amp; "Points"),CLASSNAMEHEADERS,0))),"")))))))))}</f>
        <v>UNARMOREDL15</v>
      </c>
      <c r="V72" s="223"/>
      <c r="W72" s="223" t="str">
        <f t="array" ref="W72:W73">{"UNARMOREDL17";((IF("17"=(INDEX(ALLCLASSDATA,MATCH("UnarmoredLegendary",CLASSFEATUREHEADERS,0),MATCH($A73,CLASSNAMEHEADERS,0))),(INDEX(ALLCLASSDATA,MATCH("UnarmoredLegendary",CLASSFEATUREHEADERS,0),MATCH(($A73 &amp; "Points"),CLASSNAMEHEADERS,0))),(IF("17"=(INDEX(ALLCLASSDATA,MATCH("UnarmoredMaster",CLASSFEATUREHEADERS,0),MATCH($A73,CLASSNAMEHEADERS,0))),(INDEX(ALLCLASSDATA,MATCH("UnarmoredMaster",CLASSFEATUREHEADERS,0),MATCH(($A73 &amp; "Points"),CLASSNAMEHEADERS,0))),(IF("17"=(INDEX(ALLCLASSDATA,MATCH("UnarmoredExpert",CLASSFEATUREHEADERS,0),MATCH($A73,CLASSNAMEHEADERS,0))),(INDEX(ALLCLASSDATA,MATCH("UnarmoredExpert",CLASSFEATUREHEADERS,0),MATCH(($A73 &amp; "Points"),CLASSNAMEHEADERS,0))),(IF("17"=(INDEX(ALLCLASSDATA,MATCH("UnarmoredTrained",CLASSFEATUREHEADERS,0),MATCH($A73,CLASSNAMEHEADERS,0))),(INDEX(ALLCLASSDATA,MATCH("UnarmoredTrained",CLASSFEATUREHEADERS,0),MATCH(($A73 &amp; "Points"),CLASSNAMEHEADERS,0))),"")))))))))}</f>
        <v>UNARMOREDL17</v>
      </c>
      <c r="X72" s="223"/>
      <c r="Y72" s="223" t="str">
        <f t="array" ref="Y72:Y73">{"UNARMOREDL19";((IF("19"=(INDEX(ALLCLASSDATA,MATCH("UnarmoredLegendary",CLASSFEATUREHEADERS,0),MATCH($A73,CLASSNAMEHEADERS,0))),(INDEX(ALLCLASSDATA,MATCH("UnarmoredLegendary",CLASSFEATUREHEADERS,0),MATCH(($A73 &amp; "Points"),CLASSNAMEHEADERS,0))),(IF("19"=(INDEX(ALLCLASSDATA,MATCH("UnarmoredMaster",CLASSFEATUREHEADERS,0),MATCH($A73,CLASSNAMEHEADERS,0))),(INDEX(ALLCLASSDATA,MATCH("UnarmoredMaster",CLASSFEATUREHEADERS,0),MATCH(($A73 &amp; "Points"),CLASSNAMEHEADERS,0))),(IF("19"=(INDEX(ALLCLASSDATA,MATCH("UnarmoredExpert",CLASSFEATUREHEADERS,0),MATCH($A73,CLASSNAMEHEADERS,0))),(INDEX(ALLCLASSDATA,MATCH("UnarmoredExpert",CLASSFEATUREHEADERS,0),MATCH(($A73 &amp; "Points"),CLASSNAMEHEADERS,0))),(IF("19"=(INDEX(ALLCLASSDATA,MATCH("UnarmoredTrained",CLASSFEATUREHEADERS,0),MATCH($A73,CLASSNAMEHEADERS,0))),(INDEX(ALLCLASSDATA,MATCH("UnarmoredTrained",CLASSFEATUREHEADERS,0),MATCH(($A73 &amp; "Points"),CLASSNAMEHEADERS,0))),"")))))))))}</f>
        <v>UNARMOREDL19</v>
      </c>
      <c r="Z72" s="223"/>
      <c r="AA72" s="76" t="str">
        <f t="array" ref="AA72:AA73">{"UNARMORED TOTAL";(IF(COUNTBLANK(F73:Z73)=17,"L",(IF(COUNTBLANK(F73:Z73)=18,"M",(IF(COUNTBLANK(F73:Z73)=19,"E",(IF(COUNTBLANK(F73:Z73)=20,"T",""))))))))}</f>
        <v>UNARMORED TOTAL</v>
      </c>
      <c r="AB72" s="76" t="str">
        <f t="array" ref="AB72:AB73">{"UNARMORED TOTAL";(sum(F73:Z73))}</f>
        <v>UNARMORED TOTAL</v>
      </c>
    </row>
    <row r="73">
      <c r="A73" s="48" t="s">
        <v>211</v>
      </c>
      <c r="B73" s="48" t="s">
        <v>417</v>
      </c>
      <c r="C73" s="48" t="s">
        <v>1900</v>
      </c>
      <c r="D73" s="48" t="s">
        <v>78</v>
      </c>
      <c r="E73" s="5" t="s">
        <v>435</v>
      </c>
      <c r="F73" s="47" t="s">
        <v>603</v>
      </c>
      <c r="G73" s="5">
        <v>10.0</v>
      </c>
      <c r="H73" s="5"/>
      <c r="I73" s="5" t="s">
        <v>603</v>
      </c>
      <c r="J73" s="5"/>
      <c r="K73" s="5" t="s">
        <v>603</v>
      </c>
      <c r="L73" s="5"/>
      <c r="M73" s="5" t="s">
        <v>603</v>
      </c>
      <c r="N73" s="5"/>
      <c r="O73" s="5" t="s">
        <v>603</v>
      </c>
      <c r="P73" s="5"/>
      <c r="Q73" s="5" t="s">
        <v>603</v>
      </c>
      <c r="R73" s="5"/>
      <c r="S73" s="5" t="s">
        <v>436</v>
      </c>
      <c r="T73" s="5"/>
      <c r="U73" s="5" t="s">
        <v>603</v>
      </c>
      <c r="V73" s="5"/>
      <c r="W73" s="5" t="s">
        <v>603</v>
      </c>
      <c r="X73" s="5"/>
      <c r="Y73" s="5" t="s">
        <v>603</v>
      </c>
      <c r="Z73" s="5"/>
      <c r="AA73" s="5" t="s">
        <v>436</v>
      </c>
      <c r="AB73" s="47">
        <v>10.0</v>
      </c>
    </row>
    <row r="74" hidden="1">
      <c r="A74" s="222" t="str">
        <f t="array" ref="A74:A75">{"FormulaRow36";(INDEX(CLASSLIST,A3,1))}</f>
        <v>FormulaRow36</v>
      </c>
      <c r="B74" s="222" t="str">
        <f t="array" ref="B74:B75">{"CLASSTYPE";((INDEX(ALLCLASSDATA,MATCH("ClassType",CLASSFEATUREHEADERS,0),MATCH($A75,CLASSNAMEHEADERS,0))))}</f>
        <v>CLASSTYPE</v>
      </c>
      <c r="C74" s="222" t="str">
        <f t="array" ref="C74:C75">{"DEFENSE";"Defense"}</f>
        <v>DEFENSE</v>
      </c>
      <c r="D74" s="222" t="str">
        <f t="array" ref="D74:D75">{"LIGHT";"Light"}</f>
        <v>LIGHT</v>
      </c>
      <c r="E74" s="223" t="str">
        <f t="array" ref="E74:E75">{"LIGHTINITIAL";((IF(G75=10,"T",(IF(G75=50,"E","")))))}</f>
        <v>LIGHTINITIAL</v>
      </c>
      <c r="F74" s="223" t="str">
        <f t="array" ref="F74:F75">{"LIGHTINITIALPTS";((IF("00"=(INDEX(ALLCLASSDATA,MATCH("LightLegendary",CLASSFEATUREHEADERS,0),MATCH($A75,CLASSNAMEHEADERS,0))),(INDEX(ALLCLASSDATA,MATCH("LightLegendary",CLASSFEATUREHEADERS,0),MATCH(($A75 &amp; "Points"),CLASSNAMEHEADERS,0))),(IF("00"=(INDEX(ALLCLASSDATA,MATCH("LightMaster",CLASSFEATUREHEADERS,0),MATCH($A75,CLASSNAMEHEADERS,0))),(INDEX(ALLCLASSDATA,MATCH("LightMaster",CLASSFEATUREHEADERS,0),MATCH(($A75 &amp; "Points"),CLASSNAMEHEADERS,0))),(IF("00"=(INDEX(ALLCLASSDATA,MATCH("LightExpert",CLASSFEATUREHEADERS,0),MATCH($A75,CLASSNAMEHEADERS,0))),(INDEX(ALLCLASSDATA,MATCH("LightExpert",CLASSFEATUREHEADERS,0),MATCH(($A75 &amp; "Points"),CLASSNAMEHEADERS,0))),(IF("00"=(INDEX(ALLCLASSDATA,MATCH("LightTrained",CLASSFEATUREHEADERS,0),MATCH($A75,CLASSNAMEHEADERS,0))),(INDEX(ALLCLASSDATA,MATCH("LightTrained",CLASSFEATUREHEADERS,0),MATCH(($A75 &amp; "Points"),CLASSNAMEHEADERS,0))),"")))))))))}</f>
        <v>LIGHTINITIALPTS</v>
      </c>
      <c r="G74" s="223" t="str">
        <f t="array" ref="G74:G75">{"LIGHTL01";((IF("01"=(INDEX(ALLCLASSDATA,MATCH("LightLegendary",CLASSFEATUREHEADERS,0),MATCH($A75,CLASSNAMEHEADERS,0))),(INDEX(ALLCLASSDATA,MATCH("LightLegendary",CLASSFEATUREHEADERS,0),MATCH(($A75 &amp; "Points"),CLASSNAMEHEADERS,0))),(IF("01"=(INDEX(ALLCLASSDATA,MATCH("LightMaster",CLASSFEATUREHEADERS,0),MATCH($A75,CLASSNAMEHEADERS,0))),(INDEX(ALLCLASSDATA,MATCH("LightMaster",CLASSFEATUREHEADERS,0),MATCH(($A75 &amp; "Points"),CLASSNAMEHEADERS,0))),(IF("01"=(INDEX(ALLCLASSDATA,MATCH("LightExpert",CLASSFEATUREHEADERS,0),MATCH($A75,CLASSNAMEHEADERS,0))),(INDEX(ALLCLASSDATA,MATCH("LightExpert",CLASSFEATUREHEADERS,0),MATCH(($A75 &amp; "Points"),CLASSNAMEHEADERS,0))),(IF("01"=(INDEX(ALLCLASSDATA,MATCH("LightTrained",CLASSFEATUREHEADERS,0),MATCH($A75,CLASSNAMEHEADERS,0))),(INDEX(ALLCLASSDATA,MATCH("LightTrained",CLASSFEATUREHEADERS,0),MATCH(($A75 &amp; "Points"),CLASSNAMEHEADERS,0))),"")))))))))}</f>
        <v>LIGHTL01</v>
      </c>
      <c r="H74" s="223"/>
      <c r="I74" s="223" t="str">
        <f t="array" ref="I74:I75">{"LIGHTL03";((IF("03"=(INDEX(ALLCLASSDATA,MATCH("LightLegendary",CLASSFEATUREHEADERS,0),MATCH($A75,CLASSNAMEHEADERS,0))),(INDEX(ALLCLASSDATA,MATCH("LightLegendary",CLASSFEATUREHEADERS,0),MATCH(($A75 &amp; "Points"),CLASSNAMEHEADERS,0))),(IF("03"=(INDEX(ALLCLASSDATA,MATCH("LightMaster",CLASSFEATUREHEADERS,0),MATCH($A75,CLASSNAMEHEADERS,0))),(INDEX(ALLCLASSDATA,MATCH("LightMaster",CLASSFEATUREHEADERS,0),MATCH(($A75 &amp; "Points"),CLASSNAMEHEADERS,0))),(IF("03"=(INDEX(ALLCLASSDATA,MATCH("LightExpert",CLASSFEATUREHEADERS,0),MATCH($A75,CLASSNAMEHEADERS,0))),(INDEX(ALLCLASSDATA,MATCH("LightExpert",CLASSFEATUREHEADERS,0),MATCH(($A75 &amp; "Points"),CLASSNAMEHEADERS,0))),(IF("03"=(INDEX(ALLCLASSDATA,MATCH("LightTrained",CLASSFEATUREHEADERS,0),MATCH($A75,CLASSNAMEHEADERS,0))),(INDEX(ALLCLASSDATA,MATCH("LightTrained",CLASSFEATUREHEADERS,0),MATCH(($A75 &amp; "Points"),CLASSNAMEHEADERS,0))),"")))))))))}</f>
        <v>LIGHTL03</v>
      </c>
      <c r="J74" s="223"/>
      <c r="K74" s="223" t="str">
        <f t="array" ref="K74:K75">{"LIGHTL05";((IF("05"=(INDEX(ALLCLASSDATA,MATCH("LightLegendary",CLASSFEATUREHEADERS,0),MATCH($A75,CLASSNAMEHEADERS,0))),(INDEX(ALLCLASSDATA,MATCH("LightLegendary",CLASSFEATUREHEADERS,0),MATCH(($A75 &amp; "Points"),CLASSNAMEHEADERS,0))),(IF("05"=(INDEX(ALLCLASSDATA,MATCH("LightMaster",CLASSFEATUREHEADERS,0),MATCH($A75,CLASSNAMEHEADERS,0))),(INDEX(ALLCLASSDATA,MATCH("LightMaster",CLASSFEATUREHEADERS,0),MATCH(($A75 &amp; "Points"),CLASSNAMEHEADERS,0))),(IF("05"=(INDEX(ALLCLASSDATA,MATCH("LightExpert",CLASSFEATUREHEADERS,0),MATCH($A75,CLASSNAMEHEADERS,0))),(INDEX(ALLCLASSDATA,MATCH("LightExpert",CLASSFEATUREHEADERS,0),MATCH(($A75 &amp; "Points"),CLASSNAMEHEADERS,0))),(IF("05"=(INDEX(ALLCLASSDATA,MATCH("LightTrained",CLASSFEATUREHEADERS,0),MATCH($A75,CLASSNAMEHEADERS,0))),(INDEX(ALLCLASSDATA,MATCH("LightTrained",CLASSFEATUREHEADERS,0),MATCH(($A75 &amp; "Points"),CLASSNAMEHEADERS,0))),"")))))))))}</f>
        <v>LIGHTL05</v>
      </c>
      <c r="L74" s="223"/>
      <c r="M74" s="223" t="str">
        <f t="array" ref="M74:M75">{"LIGHTL07";((IF("07"=(INDEX(ALLCLASSDATA,MATCH("LightLegendary",CLASSFEATUREHEADERS,0),MATCH($A75,CLASSNAMEHEADERS,0))),(INDEX(ALLCLASSDATA,MATCH("LightLegendary",CLASSFEATUREHEADERS,0),MATCH(($A75 &amp; "Points"),CLASSNAMEHEADERS,0))),(IF("07"=(INDEX(ALLCLASSDATA,MATCH("LightMaster",CLASSFEATUREHEADERS,0),MATCH($A75,CLASSNAMEHEADERS,0))),(INDEX(ALLCLASSDATA,MATCH("LightMaster",CLASSFEATUREHEADERS,0),MATCH(($A75 &amp; "Points"),CLASSNAMEHEADERS,0))),(IF("07"=(INDEX(ALLCLASSDATA,MATCH("LightExpert",CLASSFEATUREHEADERS,0),MATCH($A75,CLASSNAMEHEADERS,0))),(INDEX(ALLCLASSDATA,MATCH("LightExpert",CLASSFEATUREHEADERS,0),MATCH(($A75 &amp; "Points"),CLASSNAMEHEADERS,0))),(IF("07"=(INDEX(ALLCLASSDATA,MATCH("LightTrained",CLASSFEATUREHEADERS,0),MATCH($A75,CLASSNAMEHEADERS,0))),(INDEX(ALLCLASSDATA,MATCH("LightTrained",CLASSFEATUREHEADERS,0),MATCH(($A75 &amp; "Points"),CLASSNAMEHEADERS,0))),"")))))))))}</f>
        <v>LIGHTL07</v>
      </c>
      <c r="N74" s="223"/>
      <c r="O74" s="223" t="str">
        <f t="array" ref="O74:O75">{"LIGHTL09";((IF("09"=(INDEX(ALLCLASSDATA,MATCH("LightLegendary",CLASSFEATUREHEADERS,0),MATCH($A75,CLASSNAMEHEADERS,0))),(INDEX(ALLCLASSDATA,MATCH("LightLegendary",CLASSFEATUREHEADERS,0),MATCH(($A75 &amp; "Points"),CLASSNAMEHEADERS,0))),(IF("09"=(INDEX(ALLCLASSDATA,MATCH("LightMaster",CLASSFEATUREHEADERS,0),MATCH($A75,CLASSNAMEHEADERS,0))),(INDEX(ALLCLASSDATA,MATCH("LightMaster",CLASSFEATUREHEADERS,0),MATCH(($A75 &amp; "Points"),CLASSNAMEHEADERS,0))),(IF("09"=(INDEX(ALLCLASSDATA,MATCH("LightExpert",CLASSFEATUREHEADERS,0),MATCH($A75,CLASSNAMEHEADERS,0))),(INDEX(ALLCLASSDATA,MATCH("LightExpert",CLASSFEATUREHEADERS,0),MATCH(($A75 &amp; "Points"),CLASSNAMEHEADERS,0))),(IF("09"=(INDEX(ALLCLASSDATA,MATCH("LightTrained",CLASSFEATUREHEADERS,0),MATCH($A75,CLASSNAMEHEADERS,0))),(INDEX(ALLCLASSDATA,MATCH("LightTrained",CLASSFEATUREHEADERS,0),MATCH(($A75 &amp; "Points"),CLASSNAMEHEADERS,0))),"")))))))))}</f>
        <v>LIGHTL09</v>
      </c>
      <c r="P74" s="223"/>
      <c r="Q74" s="223" t="str">
        <f t="array" ref="Q74:Q75">{"LIGHTL11";((IF("11"=(INDEX(ALLCLASSDATA,MATCH("LightLegendary",CLASSFEATUREHEADERS,0),MATCH($A75,CLASSNAMEHEADERS,0))),(INDEX(ALLCLASSDATA,MATCH("LightLegendary",CLASSFEATUREHEADERS,0),MATCH(($A75 &amp; "Points"),CLASSNAMEHEADERS,0))),(IF("11"=(INDEX(ALLCLASSDATA,MATCH("LightMaster",CLASSFEATUREHEADERS,0),MATCH($A75,CLASSNAMEHEADERS,0))),(INDEX(ALLCLASSDATA,MATCH("LightMaster",CLASSFEATUREHEADERS,0),MATCH(($A75 &amp; "Points"),CLASSNAMEHEADERS,0))),(IF("11"=(INDEX(ALLCLASSDATA,MATCH("LightExpert",CLASSFEATUREHEADERS,0),MATCH($A75,CLASSNAMEHEADERS,0))),(INDEX(ALLCLASSDATA,MATCH("LightExpert",CLASSFEATUREHEADERS,0),MATCH(($A75 &amp; "Points"),CLASSNAMEHEADERS,0))),(IF("11"=(INDEX(ALLCLASSDATA,MATCH("LightTrained",CLASSFEATUREHEADERS,0),MATCH($A75,CLASSNAMEHEADERS,0))),(INDEX(ALLCLASSDATA,MATCH("LightTrained",CLASSFEATUREHEADERS,0),MATCH(($A75 &amp; "Points"),CLASSNAMEHEADERS,0))),"")))))))))}</f>
        <v>LIGHTL11</v>
      </c>
      <c r="R74" s="223"/>
      <c r="S74" s="223" t="str">
        <f t="array" ref="S74:S75">{"LIGHTL13";((IF("13"=(INDEX(ALLCLASSDATA,MATCH("LightLegendary",CLASSFEATUREHEADERS,0),MATCH($A75,CLASSNAMEHEADERS,0))),(INDEX(ALLCLASSDATA,MATCH("LightLegendary",CLASSFEATUREHEADERS,0),MATCH(($A75 &amp; "Points"),CLASSNAMEHEADERS,0))),(IF("13"=(INDEX(ALLCLASSDATA,MATCH("LightMaster",CLASSFEATUREHEADERS,0),MATCH($A75,CLASSNAMEHEADERS,0))),(INDEX(ALLCLASSDATA,MATCH("LightMaster",CLASSFEATUREHEADERS,0),MATCH(($A75 &amp; "Points"),CLASSNAMEHEADERS,0))),(IF("13"=(INDEX(ALLCLASSDATA,MATCH("LightExpert",CLASSFEATUREHEADERS,0),MATCH($A75,CLASSNAMEHEADERS,0))),(INDEX(ALLCLASSDATA,MATCH("LightExpert",CLASSFEATUREHEADERS,0),MATCH(($A75 &amp; "Points"),CLASSNAMEHEADERS,0))),(IF("13"=(INDEX(ALLCLASSDATA,MATCH("LightTrained",CLASSFEATUREHEADERS,0),MATCH($A75,CLASSNAMEHEADERS,0))),(INDEX(ALLCLASSDATA,MATCH("LightTrained",CLASSFEATUREHEADERS,0),MATCH(($A75 &amp; "Points"),CLASSNAMEHEADERS,0))),"")))))))))}</f>
        <v>LIGHTL13</v>
      </c>
      <c r="T74" s="223"/>
      <c r="U74" s="223" t="str">
        <f t="array" ref="U74:U75">{"LIGHTL15";((IF("15"=(INDEX(ALLCLASSDATA,MATCH("LightLegendary",CLASSFEATUREHEADERS,0),MATCH($A75,CLASSNAMEHEADERS,0))),(INDEX(ALLCLASSDATA,MATCH("LightLegendary",CLASSFEATUREHEADERS,0),MATCH(($A75 &amp; "Points"),CLASSNAMEHEADERS,0))),(IF("15"=(INDEX(ALLCLASSDATA,MATCH("LightMaster",CLASSFEATUREHEADERS,0),MATCH($A75,CLASSNAMEHEADERS,0))),(INDEX(ALLCLASSDATA,MATCH("LightMaster",CLASSFEATUREHEADERS,0),MATCH(($A75 &amp; "Points"),CLASSNAMEHEADERS,0))),(IF("15"=(INDEX(ALLCLASSDATA,MATCH("LightExpert",CLASSFEATUREHEADERS,0),MATCH($A75,CLASSNAMEHEADERS,0))),(INDEX(ALLCLASSDATA,MATCH("LightExpert",CLASSFEATUREHEADERS,0),MATCH(($A75 &amp; "Points"),CLASSNAMEHEADERS,0))),(IF("15"=(INDEX(ALLCLASSDATA,MATCH("LightTrained",CLASSFEATUREHEADERS,0),MATCH($A75,CLASSNAMEHEADERS,0))),(INDEX(ALLCLASSDATA,MATCH("LightTrained",CLASSFEATUREHEADERS,0),MATCH(($A75 &amp; "Points"),CLASSNAMEHEADERS,0))),"")))))))))}</f>
        <v>LIGHTL15</v>
      </c>
      <c r="V74" s="223"/>
      <c r="W74" s="223" t="str">
        <f t="array" ref="W74:W75">{"LIGHTL17";((IF("17"=(INDEX(ALLCLASSDATA,MATCH("LightLegendary",CLASSFEATUREHEADERS,0),MATCH($A75,CLASSNAMEHEADERS,0))),(INDEX(ALLCLASSDATA,MATCH("LightLegendary",CLASSFEATUREHEADERS,0),MATCH(($A75 &amp; "Points"),CLASSNAMEHEADERS,0))),(IF("17"=(INDEX(ALLCLASSDATA,MATCH("LightMaster",CLASSFEATUREHEADERS,0),MATCH($A75,CLASSNAMEHEADERS,0))),(INDEX(ALLCLASSDATA,MATCH("LightMaster",CLASSFEATUREHEADERS,0),MATCH(($A75 &amp; "Points"),CLASSNAMEHEADERS,0))),(IF("17"=(INDEX(ALLCLASSDATA,MATCH("LightExpert",CLASSFEATUREHEADERS,0),MATCH($A75,CLASSNAMEHEADERS,0))),(INDEX(ALLCLASSDATA,MATCH("LightExpert",CLASSFEATUREHEADERS,0),MATCH(($A75 &amp; "Points"),CLASSNAMEHEADERS,0))),(IF("17"=(INDEX(ALLCLASSDATA,MATCH("LightTrained",CLASSFEATUREHEADERS,0),MATCH($A75,CLASSNAMEHEADERS,0))),(INDEX(ALLCLASSDATA,MATCH("LightTrained",CLASSFEATUREHEADERS,0),MATCH(($A75 &amp; "Points"),CLASSNAMEHEADERS,0))),"")))))))))}</f>
        <v>LIGHTL17</v>
      </c>
      <c r="X74" s="223"/>
      <c r="Y74" s="223" t="str">
        <f t="array" ref="Y74:Y75">{"LIGHTL19";((IF("19"=(INDEX(ALLCLASSDATA,MATCH("LightLegendary",CLASSFEATUREHEADERS,0),MATCH($A75,CLASSNAMEHEADERS,0))),(INDEX(ALLCLASSDATA,MATCH("LightLegendary",CLASSFEATUREHEADERS,0),MATCH(($A75 &amp; "Points"),CLASSNAMEHEADERS,0))),(IF("19"=(INDEX(ALLCLASSDATA,MATCH("LightMaster",CLASSFEATUREHEADERS,0),MATCH($A75,CLASSNAMEHEADERS,0))),(INDEX(ALLCLASSDATA,MATCH("LightMaster",CLASSFEATUREHEADERS,0),MATCH(($A75 &amp; "Points"),CLASSNAMEHEADERS,0))),(IF("19"=(INDEX(ALLCLASSDATA,MATCH("LightExpert",CLASSFEATUREHEADERS,0),MATCH($A75,CLASSNAMEHEADERS,0))),(INDEX(ALLCLASSDATA,MATCH("LightExpert",CLASSFEATUREHEADERS,0),MATCH(($A75 &amp; "Points"),CLASSNAMEHEADERS,0))),(IF("19"=(INDEX(ALLCLASSDATA,MATCH("LightTrained",CLASSFEATUREHEADERS,0),MATCH($A75,CLASSNAMEHEADERS,0))),(INDEX(ALLCLASSDATA,MATCH("LightTrained",CLASSFEATUREHEADERS,0),MATCH(($A75 &amp; "Points"),CLASSNAMEHEADERS,0))),"")))))))))}</f>
        <v>LIGHTL19</v>
      </c>
      <c r="Z74" s="223"/>
      <c r="AA74" s="76" t="str">
        <f t="array" ref="AA74:AA75">{"LIGHT TOTAL";(IF(COUNTBLANK(F75:Z75)=17,"L",(IF(COUNTBLANK(F75:Z75)=18,"M",(IF(COUNTBLANK(F75:Z75)=19,"E",(IF(COUNTBLANK(F75:Z75)=20,"T",""))))))))}</f>
        <v>LIGHT TOTAL</v>
      </c>
      <c r="AB74" s="76" t="str">
        <f t="array" ref="AB74:AB75">{"LIGHT TOTAL";(sum(F75:Z75))}</f>
        <v>LIGHT TOTAL</v>
      </c>
    </row>
    <row r="75">
      <c r="A75" s="48" t="s">
        <v>211</v>
      </c>
      <c r="B75" s="48" t="s">
        <v>417</v>
      </c>
      <c r="C75" s="48" t="s">
        <v>1900</v>
      </c>
      <c r="D75" s="48" t="s">
        <v>77</v>
      </c>
      <c r="E75" s="5" t="s">
        <v>435</v>
      </c>
      <c r="F75" s="47" t="s">
        <v>603</v>
      </c>
      <c r="G75" s="5">
        <v>10.0</v>
      </c>
      <c r="H75" s="5"/>
      <c r="I75" s="5" t="s">
        <v>603</v>
      </c>
      <c r="J75" s="5"/>
      <c r="K75" s="48" t="s">
        <v>603</v>
      </c>
      <c r="L75" s="5"/>
      <c r="M75" s="5" t="s">
        <v>603</v>
      </c>
      <c r="N75" s="5"/>
      <c r="O75" s="5" t="s">
        <v>603</v>
      </c>
      <c r="P75" s="5"/>
      <c r="Q75" s="48" t="s">
        <v>603</v>
      </c>
      <c r="R75" s="5"/>
      <c r="S75" s="5" t="s">
        <v>436</v>
      </c>
      <c r="T75" s="5"/>
      <c r="U75" s="5" t="s">
        <v>603</v>
      </c>
      <c r="V75" s="5"/>
      <c r="W75" s="5" t="s">
        <v>603</v>
      </c>
      <c r="X75" s="5"/>
      <c r="Y75" s="5" t="s">
        <v>603</v>
      </c>
      <c r="Z75" s="5"/>
      <c r="AA75" s="5" t="s">
        <v>436</v>
      </c>
      <c r="AB75" s="47">
        <v>10.0</v>
      </c>
    </row>
    <row r="76" hidden="1">
      <c r="A76" s="222" t="str">
        <f t="array" ref="A76:A77">{"FormulaRow37";(INDEX(CLASSLIST,A3,1))}</f>
        <v>FormulaRow37</v>
      </c>
      <c r="B76" s="222" t="str">
        <f t="array" ref="B76:B77">{"CLASSTYPE";((INDEX(ALLCLASSDATA,MATCH("ClassType",CLASSFEATUREHEADERS,0),MATCH($A77,CLASSNAMEHEADERS,0))))}</f>
        <v>CLASSTYPE</v>
      </c>
      <c r="C76" s="222" t="str">
        <f t="array" ref="C76:C77">{"DEFENSE";"Defense"}</f>
        <v>DEFENSE</v>
      </c>
      <c r="D76" s="222" t="str">
        <f t="array" ref="D76:D77">{"MEDIUM";"Medium"}</f>
        <v>MEDIUM</v>
      </c>
      <c r="E76" s="223" t="str">
        <f t="array" ref="E76:E77">{"MEDIUMINITIAL";((IF(G77=10,"T",(IF(G77=50,"E","")))))}</f>
        <v>MEDIUMINITIAL</v>
      </c>
      <c r="F76" s="223" t="str">
        <f t="array" ref="F76:F77">{"MEDIUMINITIALPTS";((IF("00"=(INDEX(ALLCLASSDATA,MATCH("MediumLegendary",CLASSFEATUREHEADERS,0),MATCH($A77,CLASSNAMEHEADERS,0))),(INDEX(ALLCLASSDATA,MATCH("MediumLegendary",CLASSFEATUREHEADERS,0),MATCH(($A77 &amp; "Points"),CLASSNAMEHEADERS,0))),(IF("00"=(INDEX(ALLCLASSDATA,MATCH("MediumMaster",CLASSFEATUREHEADERS,0),MATCH($A77,CLASSNAMEHEADERS,0))),(INDEX(ALLCLASSDATA,MATCH("MediumMaster",CLASSFEATUREHEADERS,0),MATCH(($A77 &amp; "Points"),CLASSNAMEHEADERS,0))),(IF("00"=(INDEX(ALLCLASSDATA,MATCH("MediumExpert",CLASSFEATUREHEADERS,0),MATCH($A77,CLASSNAMEHEADERS,0))),(INDEX(ALLCLASSDATA,MATCH("MediumExpert",CLASSFEATUREHEADERS,0),MATCH(($A77 &amp; "Points"),CLASSNAMEHEADERS,0))),(IF("00"=(INDEX(ALLCLASSDATA,MATCH("MediumTrained",CLASSFEATUREHEADERS,0),MATCH($A77,CLASSNAMEHEADERS,0))),(INDEX(ALLCLASSDATA,MATCH("MediumTrained",CLASSFEATUREHEADERS,0),MATCH(($A77 &amp; "Points"),CLASSNAMEHEADERS,0))),"")))))))))}</f>
        <v>MEDIUMINITIALPTS</v>
      </c>
      <c r="G76" s="223" t="str">
        <f t="array" ref="G76:G77">{"MEDIUML01";((IF("01"=(INDEX(ALLCLASSDATA,MATCH("MediumLegendary",CLASSFEATUREHEADERS,0),MATCH($A77,CLASSNAMEHEADERS,0))),(INDEX(ALLCLASSDATA,MATCH("MediumLegendary",CLASSFEATUREHEADERS,0),MATCH(($A77 &amp; "Points"),CLASSNAMEHEADERS,0))),(IF("01"=(INDEX(ALLCLASSDATA,MATCH("MediumMaster",CLASSFEATUREHEADERS,0),MATCH($A77,CLASSNAMEHEADERS,0))),(INDEX(ALLCLASSDATA,MATCH("MediumMaster",CLASSFEATUREHEADERS,0),MATCH(($A77 &amp; "Points"),CLASSNAMEHEADERS,0))),(IF("01"=(INDEX(ALLCLASSDATA,MATCH("MediumExpert",CLASSFEATUREHEADERS,0),MATCH($A77,CLASSNAMEHEADERS,0))),(INDEX(ALLCLASSDATA,MATCH("MediumExpert",CLASSFEATUREHEADERS,0),MATCH(($A77 &amp; "Points"),CLASSNAMEHEADERS,0))),(IF("01"=(INDEX(ALLCLASSDATA,MATCH("MediumTrained",CLASSFEATUREHEADERS,0),MATCH($A77,CLASSNAMEHEADERS,0))),(INDEX(ALLCLASSDATA,MATCH("MediumTrained",CLASSFEATUREHEADERS,0),MATCH(($A77 &amp; "Points"),CLASSNAMEHEADERS,0))),"")))))))))}</f>
        <v>MEDIUML01</v>
      </c>
      <c r="H76" s="223"/>
      <c r="I76" s="223" t="str">
        <f t="array" ref="I76:I77">{"MEDIUML03";((IF("03"=(INDEX(ALLCLASSDATA,MATCH("MediumLegendary",CLASSFEATUREHEADERS,0),MATCH($A77,CLASSNAMEHEADERS,0))),(INDEX(ALLCLASSDATA,MATCH("MediumLegendary",CLASSFEATUREHEADERS,0),MATCH(($A77 &amp; "Points"),CLASSNAMEHEADERS,0))),(IF("03"=(INDEX(ALLCLASSDATA,MATCH("MediumMaster",CLASSFEATUREHEADERS,0),MATCH($A77,CLASSNAMEHEADERS,0))),(INDEX(ALLCLASSDATA,MATCH("MediumMaster",CLASSFEATUREHEADERS,0),MATCH(($A77 &amp; "Points"),CLASSNAMEHEADERS,0))),(IF("03"=(INDEX(ALLCLASSDATA,MATCH("MediumExpert",CLASSFEATUREHEADERS,0),MATCH($A77,CLASSNAMEHEADERS,0))),(INDEX(ALLCLASSDATA,MATCH("MediumExpert",CLASSFEATUREHEADERS,0),MATCH(($A77 &amp; "Points"),CLASSNAMEHEADERS,0))),(IF("03"=(INDEX(ALLCLASSDATA,MATCH("MediumTrained",CLASSFEATUREHEADERS,0),MATCH($A77,CLASSNAMEHEADERS,0))),(INDEX(ALLCLASSDATA,MATCH("MediumTrained",CLASSFEATUREHEADERS,0),MATCH(($A77 &amp; "Points"),CLASSNAMEHEADERS,0))),"")))))))))}</f>
        <v>MEDIUML03</v>
      </c>
      <c r="J76" s="223"/>
      <c r="K76" s="223" t="str">
        <f t="array" ref="K76:K77">{"MEDIUML05";((IF("05"=(INDEX(ALLCLASSDATA,MATCH("MediumLegendary",CLASSFEATUREHEADERS,0),MATCH($A77,CLASSNAMEHEADERS,0))),(INDEX(ALLCLASSDATA,MATCH("MediumLegendary",CLASSFEATUREHEADERS,0),MATCH(($A77 &amp; "Points"),CLASSNAMEHEADERS,0))),(IF("05"=(INDEX(ALLCLASSDATA,MATCH("MediumMaster",CLASSFEATUREHEADERS,0),MATCH($A77,CLASSNAMEHEADERS,0))),(INDEX(ALLCLASSDATA,MATCH("MediumMaster",CLASSFEATUREHEADERS,0),MATCH(($A77 &amp; "Points"),CLASSNAMEHEADERS,0))),(IF("05"=(INDEX(ALLCLASSDATA,MATCH("MediumExpert",CLASSFEATUREHEADERS,0),MATCH($A77,CLASSNAMEHEADERS,0))),(INDEX(ALLCLASSDATA,MATCH("MediumExpert",CLASSFEATUREHEADERS,0),MATCH(($A77 &amp; "Points"),CLASSNAMEHEADERS,0))),(IF("05"=(INDEX(ALLCLASSDATA,MATCH("MediumTrained",CLASSFEATUREHEADERS,0),MATCH($A77,CLASSNAMEHEADERS,0))),(INDEX(ALLCLASSDATA,MATCH("MediumTrained",CLASSFEATUREHEADERS,0),MATCH(($A77 &amp; "Points"),CLASSNAMEHEADERS,0))),"")))))))))}</f>
        <v>MEDIUML05</v>
      </c>
      <c r="L76" s="223"/>
      <c r="M76" s="223" t="str">
        <f t="array" ref="M76:M77">{"MEDIUML07";((IF("07"=(INDEX(ALLCLASSDATA,MATCH("MediumLegendary",CLASSFEATUREHEADERS,0),MATCH($A77,CLASSNAMEHEADERS,0))),(INDEX(ALLCLASSDATA,MATCH("MediumLegendary",CLASSFEATUREHEADERS,0),MATCH(($A77 &amp; "Points"),CLASSNAMEHEADERS,0))),(IF("07"=(INDEX(ALLCLASSDATA,MATCH("MediumMaster",CLASSFEATUREHEADERS,0),MATCH($A77,CLASSNAMEHEADERS,0))),(INDEX(ALLCLASSDATA,MATCH("MediumMaster",CLASSFEATUREHEADERS,0),MATCH(($A77 &amp; "Points"),CLASSNAMEHEADERS,0))),(IF("07"=(INDEX(ALLCLASSDATA,MATCH("MediumExpert",CLASSFEATUREHEADERS,0),MATCH($A77,CLASSNAMEHEADERS,0))),(INDEX(ALLCLASSDATA,MATCH("MediumExpert",CLASSFEATUREHEADERS,0),MATCH(($A77 &amp; "Points"),CLASSNAMEHEADERS,0))),(IF("07"=(INDEX(ALLCLASSDATA,MATCH("MediumTrained",CLASSFEATUREHEADERS,0),MATCH($A77,CLASSNAMEHEADERS,0))),(INDEX(ALLCLASSDATA,MATCH("MediumTrained",CLASSFEATUREHEADERS,0),MATCH(($A77 &amp; "Points"),CLASSNAMEHEADERS,0))),"")))))))))}</f>
        <v>MEDIUML07</v>
      </c>
      <c r="N76" s="223"/>
      <c r="O76" s="223" t="str">
        <f t="array" ref="O76:O77">{"MEDIUML09";((IF("09"=(INDEX(ALLCLASSDATA,MATCH("MediumLegendary",CLASSFEATUREHEADERS,0),MATCH($A77,CLASSNAMEHEADERS,0))),(INDEX(ALLCLASSDATA,MATCH("MediumLegendary",CLASSFEATUREHEADERS,0),MATCH(($A77 &amp; "Points"),CLASSNAMEHEADERS,0))),(IF("09"=(INDEX(ALLCLASSDATA,MATCH("MediumMaster",CLASSFEATUREHEADERS,0),MATCH($A77,CLASSNAMEHEADERS,0))),(INDEX(ALLCLASSDATA,MATCH("MediumMaster",CLASSFEATUREHEADERS,0),MATCH(($A77 &amp; "Points"),CLASSNAMEHEADERS,0))),(IF("09"=(INDEX(ALLCLASSDATA,MATCH("MediumExpert",CLASSFEATUREHEADERS,0),MATCH($A77,CLASSNAMEHEADERS,0))),(INDEX(ALLCLASSDATA,MATCH("MediumExpert",CLASSFEATUREHEADERS,0),MATCH(($A77 &amp; "Points"),CLASSNAMEHEADERS,0))),(IF("09"=(INDEX(ALLCLASSDATA,MATCH("MediumTrained",CLASSFEATUREHEADERS,0),MATCH($A77,CLASSNAMEHEADERS,0))),(INDEX(ALLCLASSDATA,MATCH("MediumTrained",CLASSFEATUREHEADERS,0),MATCH(($A77 &amp; "Points"),CLASSNAMEHEADERS,0))),"")))))))))}</f>
        <v>MEDIUML09</v>
      </c>
      <c r="P76" s="223"/>
      <c r="Q76" s="223" t="str">
        <f t="array" ref="Q76:Q77">{"MEDIUML11";((IF("11"=(INDEX(ALLCLASSDATA,MATCH("MediumLegendary",CLASSFEATUREHEADERS,0),MATCH($A77,CLASSNAMEHEADERS,0))),(INDEX(ALLCLASSDATA,MATCH("MediumLegendary",CLASSFEATUREHEADERS,0),MATCH(($A77 &amp; "Points"),CLASSNAMEHEADERS,0))),(IF("11"=(INDEX(ALLCLASSDATA,MATCH("MediumMaster",CLASSFEATUREHEADERS,0),MATCH($A77,CLASSNAMEHEADERS,0))),(INDEX(ALLCLASSDATA,MATCH("MediumMaster",CLASSFEATUREHEADERS,0),MATCH(($A77 &amp; "Points"),CLASSNAMEHEADERS,0))),(IF("11"=(INDEX(ALLCLASSDATA,MATCH("MediumExpert",CLASSFEATUREHEADERS,0),MATCH($A77,CLASSNAMEHEADERS,0))),(INDEX(ALLCLASSDATA,MATCH("MediumExpert",CLASSFEATUREHEADERS,0),MATCH(($A77 &amp; "Points"),CLASSNAMEHEADERS,0))),(IF("11"=(INDEX(ALLCLASSDATA,MATCH("MediumTrained",CLASSFEATUREHEADERS,0),MATCH($A77,CLASSNAMEHEADERS,0))),(INDEX(ALLCLASSDATA,MATCH("MediumTrained",CLASSFEATUREHEADERS,0),MATCH(($A77 &amp; "Points"),CLASSNAMEHEADERS,0))),"")))))))))}</f>
        <v>MEDIUML11</v>
      </c>
      <c r="R76" s="223"/>
      <c r="S76" s="223" t="str">
        <f t="array" ref="S76:S77">{"MEDIUML13";((IF("13"=(INDEX(ALLCLASSDATA,MATCH("MediumLegendary",CLASSFEATUREHEADERS,0),MATCH($A77,CLASSNAMEHEADERS,0))),(INDEX(ALLCLASSDATA,MATCH("MediumLegendary",CLASSFEATUREHEADERS,0),MATCH(($A77 &amp; "Points"),CLASSNAMEHEADERS,0))),(IF("13"=(INDEX(ALLCLASSDATA,MATCH("MediumMaster",CLASSFEATUREHEADERS,0),MATCH($A77,CLASSNAMEHEADERS,0))),(INDEX(ALLCLASSDATA,MATCH("MediumMaster",CLASSFEATUREHEADERS,0),MATCH(($A77 &amp; "Points"),CLASSNAMEHEADERS,0))),(IF("13"=(INDEX(ALLCLASSDATA,MATCH("MediumExpert",CLASSFEATUREHEADERS,0),MATCH($A77,CLASSNAMEHEADERS,0))),(INDEX(ALLCLASSDATA,MATCH("MediumExpert",CLASSFEATUREHEADERS,0),MATCH(($A77 &amp; "Points"),CLASSNAMEHEADERS,0))),(IF("13"=(INDEX(ALLCLASSDATA,MATCH("MediumTrained",CLASSFEATUREHEADERS,0),MATCH($A77,CLASSNAMEHEADERS,0))),(INDEX(ALLCLASSDATA,MATCH("MediumTrained",CLASSFEATUREHEADERS,0),MATCH(($A77 &amp; "Points"),CLASSNAMEHEADERS,0))),"")))))))))}</f>
        <v>MEDIUML13</v>
      </c>
      <c r="T76" s="223"/>
      <c r="U76" s="223" t="str">
        <f t="array" ref="U76:U77">{"MEDIUML15";((IF("15"=(INDEX(ALLCLASSDATA,MATCH("MediumLegendary",CLASSFEATUREHEADERS,0),MATCH($A77,CLASSNAMEHEADERS,0))),(INDEX(ALLCLASSDATA,MATCH("MediumLegendary",CLASSFEATUREHEADERS,0),MATCH(($A77 &amp; "Points"),CLASSNAMEHEADERS,0))),(IF("15"=(INDEX(ALLCLASSDATA,MATCH("MediumMaster",CLASSFEATUREHEADERS,0),MATCH($A77,CLASSNAMEHEADERS,0))),(INDEX(ALLCLASSDATA,MATCH("MediumMaster",CLASSFEATUREHEADERS,0),MATCH(($A77 &amp; "Points"),CLASSNAMEHEADERS,0))),(IF("15"=(INDEX(ALLCLASSDATA,MATCH("MediumExpert",CLASSFEATUREHEADERS,0),MATCH($A77,CLASSNAMEHEADERS,0))),(INDEX(ALLCLASSDATA,MATCH("MediumExpert",CLASSFEATUREHEADERS,0),MATCH(($A77 &amp; "Points"),CLASSNAMEHEADERS,0))),(IF("15"=(INDEX(ALLCLASSDATA,MATCH("MediumTrained",CLASSFEATUREHEADERS,0),MATCH($A77,CLASSNAMEHEADERS,0))),(INDEX(ALLCLASSDATA,MATCH("MediumTrained",CLASSFEATUREHEADERS,0),MATCH(($A77 &amp; "Points"),CLASSNAMEHEADERS,0))),"")))))))))}</f>
        <v>MEDIUML15</v>
      </c>
      <c r="V76" s="223"/>
      <c r="W76" s="223" t="str">
        <f t="array" ref="W76:W77">{"MEDIUML17";((IF("17"=(INDEX(ALLCLASSDATA,MATCH("MediumLegendary",CLASSFEATUREHEADERS,0),MATCH($A77,CLASSNAMEHEADERS,0))),(INDEX(ALLCLASSDATA,MATCH("MediumLegendary",CLASSFEATUREHEADERS,0),MATCH(($A77 &amp; "Points"),CLASSNAMEHEADERS,0))),(IF("17"=(INDEX(ALLCLASSDATA,MATCH("MediumMaster",CLASSFEATUREHEADERS,0),MATCH($A77,CLASSNAMEHEADERS,0))),(INDEX(ALLCLASSDATA,MATCH("MediumMaster",CLASSFEATUREHEADERS,0),MATCH(($A77 &amp; "Points"),CLASSNAMEHEADERS,0))),(IF("17"=(INDEX(ALLCLASSDATA,MATCH("MediumExpert",CLASSFEATUREHEADERS,0),MATCH($A77,CLASSNAMEHEADERS,0))),(INDEX(ALLCLASSDATA,MATCH("MediumExpert",CLASSFEATUREHEADERS,0),MATCH(($A77 &amp; "Points"),CLASSNAMEHEADERS,0))),(IF("17"=(INDEX(ALLCLASSDATA,MATCH("MediumTrained",CLASSFEATUREHEADERS,0),MATCH($A77,CLASSNAMEHEADERS,0))),(INDEX(ALLCLASSDATA,MATCH("MediumTrained",CLASSFEATUREHEADERS,0),MATCH(($A77 &amp; "Points"),CLASSNAMEHEADERS,0))),"")))))))))}</f>
        <v>MEDIUML17</v>
      </c>
      <c r="X76" s="223"/>
      <c r="Y76" s="223" t="str">
        <f t="array" ref="Y76:Y77">{"MEDIUML19";((IF("19"=(INDEX(ALLCLASSDATA,MATCH("MediumLegendary",CLASSFEATUREHEADERS,0),MATCH($A77,CLASSNAMEHEADERS,0))),(INDEX(ALLCLASSDATA,MATCH("MediumLegendary",CLASSFEATUREHEADERS,0),MATCH(($A77 &amp; "Points"),CLASSNAMEHEADERS,0))),(IF("19"=(INDEX(ALLCLASSDATA,MATCH("MediumMaster",CLASSFEATUREHEADERS,0),MATCH($A77,CLASSNAMEHEADERS,0))),(INDEX(ALLCLASSDATA,MATCH("MediumMaster",CLASSFEATUREHEADERS,0),MATCH(($A77 &amp; "Points"),CLASSNAMEHEADERS,0))),(IF("19"=(INDEX(ALLCLASSDATA,MATCH("MediumExpert",CLASSFEATUREHEADERS,0),MATCH($A77,CLASSNAMEHEADERS,0))),(INDEX(ALLCLASSDATA,MATCH("MediumExpert",CLASSFEATUREHEADERS,0),MATCH(($A77 &amp; "Points"),CLASSNAMEHEADERS,0))),(IF("19"=(INDEX(ALLCLASSDATA,MATCH("MediumTrained",CLASSFEATUREHEADERS,0),MATCH($A77,CLASSNAMEHEADERS,0))),(INDEX(ALLCLASSDATA,MATCH("MediumTrained",CLASSFEATUREHEADERS,0),MATCH(($A77 &amp; "Points"),CLASSNAMEHEADERS,0))),"")))))))))}</f>
        <v>MEDIUML19</v>
      </c>
      <c r="Z76" s="223"/>
      <c r="AA76" s="76" t="str">
        <f t="array" ref="AA76:AA77">{"MEDIUM TOTAL";(IF(COUNTBLANK(F77:Z77)=17,"L",(IF(COUNTBLANK(F77:Z77)=18,"M",(IF(COUNTBLANK(F77:Z77)=19,"E",(IF(COUNTBLANK(F77:Z77)=20,"T",""))))))))}</f>
        <v>MEDIUM TOTAL</v>
      </c>
      <c r="AB76" s="76" t="str">
        <f t="array" ref="AB76:AB77">{"MEDIUM TOTAL";(sum(F77:Z77))}</f>
        <v>MEDIUM TOTAL</v>
      </c>
    </row>
    <row r="77">
      <c r="A77" s="48" t="s">
        <v>211</v>
      </c>
      <c r="B77" s="48" t="s">
        <v>417</v>
      </c>
      <c r="C77" s="48" t="s">
        <v>1900</v>
      </c>
      <c r="D77" s="48" t="s">
        <v>76</v>
      </c>
      <c r="E77" s="5" t="s">
        <v>435</v>
      </c>
      <c r="F77" s="47" t="s">
        <v>603</v>
      </c>
      <c r="G77" s="5">
        <v>10.0</v>
      </c>
      <c r="H77" s="5"/>
      <c r="I77" s="5" t="s">
        <v>603</v>
      </c>
      <c r="J77" s="5"/>
      <c r="K77" s="48" t="s">
        <v>603</v>
      </c>
      <c r="L77" s="5"/>
      <c r="M77" s="5" t="s">
        <v>603</v>
      </c>
      <c r="N77" s="5"/>
      <c r="O77" s="5" t="s">
        <v>603</v>
      </c>
      <c r="P77" s="5"/>
      <c r="Q77" s="5" t="s">
        <v>603</v>
      </c>
      <c r="R77" s="5"/>
      <c r="S77" s="5">
        <v>50.0</v>
      </c>
      <c r="T77" s="5"/>
      <c r="U77" s="5" t="s">
        <v>603</v>
      </c>
      <c r="V77" s="5"/>
      <c r="W77" s="5" t="s">
        <v>603</v>
      </c>
      <c r="X77" s="5"/>
      <c r="Y77" s="5" t="s">
        <v>603</v>
      </c>
      <c r="Z77" s="5"/>
      <c r="AA77" s="5" t="s">
        <v>436</v>
      </c>
      <c r="AB77" s="47">
        <v>60.0</v>
      </c>
    </row>
    <row r="78" hidden="1">
      <c r="A78" s="222" t="str">
        <f t="array" ref="A78:A79">{"FormulaRow38";(INDEX(CLASSLIST,A3,1))}</f>
        <v>FormulaRow38</v>
      </c>
      <c r="B78" s="222" t="str">
        <f t="array" ref="B78:B79">{"CLASSTYPE";((INDEX(ALLCLASSDATA,MATCH("ClassType",CLASSFEATUREHEADERS,0),MATCH($A79,CLASSNAMEHEADERS,0))))}</f>
        <v>CLASSTYPE</v>
      </c>
      <c r="C78" s="222" t="str">
        <f t="array" ref="C78:C79">{"DEFENSE";"Defense"}</f>
        <v>DEFENSE</v>
      </c>
      <c r="D78" s="222" t="str">
        <f t="array" ref="D78:D79">{"HEAVY";"Heavy"}</f>
        <v>HEAVY</v>
      </c>
      <c r="E78" s="223" t="str">
        <f t="array" ref="E78:E79">{"HEAVYINITIAL";((IF(G79=10,"T",(IF(G79=50,"E","")))))}</f>
        <v>HEAVYINITIAL</v>
      </c>
      <c r="F78" s="223" t="str">
        <f t="array" ref="F78:F79">{"HEAVYINITIALPTS";((IF("00"=(INDEX(ALLCLASSDATA,MATCH("HeavyLegendary",CLASSFEATUREHEADERS,0),MATCH($A79,CLASSNAMEHEADERS,0))),(INDEX(ALLCLASSDATA,MATCH("HeavyLegendary",CLASSFEATUREHEADERS,0),MATCH(($A79 &amp; "Points"),CLASSNAMEHEADERS,0))),(IF("00"=(INDEX(ALLCLASSDATA,MATCH("HeavyMaster",CLASSFEATUREHEADERS,0),MATCH($A79,CLASSNAMEHEADERS,0))),(INDEX(ALLCLASSDATA,MATCH("HeavyMaster",CLASSFEATUREHEADERS,0),MATCH(($A79 &amp; "Points"),CLASSNAMEHEADERS,0))),(IF("00"=(INDEX(ALLCLASSDATA,MATCH("HeavyExpert",CLASSFEATUREHEADERS,0),MATCH($A79,CLASSNAMEHEADERS,0))),(INDEX(ALLCLASSDATA,MATCH("HeavyExpert",CLASSFEATUREHEADERS,0),MATCH(($A79 &amp; "Points"),CLASSNAMEHEADERS,0))),(IF("00"=(INDEX(ALLCLASSDATA,MATCH("HeavyTrained",CLASSFEATUREHEADERS,0),MATCH($A79,CLASSNAMEHEADERS,0))),(INDEX(ALLCLASSDATA,MATCH("HeavyTrained",CLASSFEATUREHEADERS,0),MATCH(($A79 &amp; "Points"),CLASSNAMEHEADERS,0))),"")))))))))}</f>
        <v>HEAVYINITIALPTS</v>
      </c>
      <c r="G78" s="223" t="str">
        <f t="array" ref="G78:G79">{"HEAVYL01";((IF("01"=(INDEX(ALLCLASSDATA,MATCH("HeavyLegendary",CLASSFEATUREHEADERS,0),MATCH($A79,CLASSNAMEHEADERS,0))),(INDEX(ALLCLASSDATA,MATCH("HeavyLegendary",CLASSFEATUREHEADERS,0),MATCH(($A79 &amp; "Points"),CLASSNAMEHEADERS,0))),(IF("01"=(INDEX(ALLCLASSDATA,MATCH("HeavyMaster",CLASSFEATUREHEADERS,0),MATCH($A79,CLASSNAMEHEADERS,0))),(INDEX(ALLCLASSDATA,MATCH("HeavyMaster",CLASSFEATUREHEADERS,0),MATCH(($A79 &amp; "Points"),CLASSNAMEHEADERS,0))),(IF("01"=(INDEX(ALLCLASSDATA,MATCH("HeavyExpert",CLASSFEATUREHEADERS,0),MATCH($A79,CLASSNAMEHEADERS,0))),(INDEX(ALLCLASSDATA,MATCH("HeavyExpert",CLASSFEATUREHEADERS,0),MATCH(($A79 &amp; "Points"),CLASSNAMEHEADERS,0))),(IF("01"=(INDEX(ALLCLASSDATA,MATCH("HeavyTrained",CLASSFEATUREHEADERS,0),MATCH($A79,CLASSNAMEHEADERS,0))),(INDEX(ALLCLASSDATA,MATCH("HeavyTrained",CLASSFEATUREHEADERS,0),MATCH(($A79 &amp; "Points"),CLASSNAMEHEADERS,0))),"")))))))))}</f>
        <v>HEAVYL01</v>
      </c>
      <c r="H78" s="223"/>
      <c r="I78" s="223" t="str">
        <f t="array" ref="I78:I79">{"HEAVYL03";((IF("03"=(INDEX(ALLCLASSDATA,MATCH("HeavyLegendary",CLASSFEATUREHEADERS,0),MATCH($A79,CLASSNAMEHEADERS,0))),(INDEX(ALLCLASSDATA,MATCH("HeavyLegendary",CLASSFEATUREHEADERS,0),MATCH(($A79 &amp; "Points"),CLASSNAMEHEADERS,0))),(IF("03"=(INDEX(ALLCLASSDATA,MATCH("HeavyMaster",CLASSFEATUREHEADERS,0),MATCH($A79,CLASSNAMEHEADERS,0))),(INDEX(ALLCLASSDATA,MATCH("HeavyMaster",CLASSFEATUREHEADERS,0),MATCH(($A79 &amp; "Points"),CLASSNAMEHEADERS,0))),(IF("03"=(INDEX(ALLCLASSDATA,MATCH("HeavyExpert",CLASSFEATUREHEADERS,0),MATCH($A79,CLASSNAMEHEADERS,0))),(INDEX(ALLCLASSDATA,MATCH("HeavyExpert",CLASSFEATUREHEADERS,0),MATCH(($A79 &amp; "Points"),CLASSNAMEHEADERS,0))),(IF("03"=(INDEX(ALLCLASSDATA,MATCH("HeavyTrained",CLASSFEATUREHEADERS,0),MATCH($A79,CLASSNAMEHEADERS,0))),(INDEX(ALLCLASSDATA,MATCH("HeavyTrained",CLASSFEATUREHEADERS,0),MATCH(($A79 &amp; "Points"),CLASSNAMEHEADERS,0))),"")))))))))}</f>
        <v>HEAVYL03</v>
      </c>
      <c r="J78" s="223"/>
      <c r="K78" s="223" t="str">
        <f t="array" ref="K78:K79">{"HEAVYL05";((IF("05"=(INDEX(ALLCLASSDATA,MATCH("HeavyLegendary",CLASSFEATUREHEADERS,0),MATCH($A79,CLASSNAMEHEADERS,0))),(INDEX(ALLCLASSDATA,MATCH("HeavyLegendary",CLASSFEATUREHEADERS,0),MATCH(($A79 &amp; "Points"),CLASSNAMEHEADERS,0))),(IF("05"=(INDEX(ALLCLASSDATA,MATCH("HeavyMaster",CLASSFEATUREHEADERS,0),MATCH($A79,CLASSNAMEHEADERS,0))),(INDEX(ALLCLASSDATA,MATCH("HeavyMaster",CLASSFEATUREHEADERS,0),MATCH(($A79 &amp; "Points"),CLASSNAMEHEADERS,0))),(IF("05"=(INDEX(ALLCLASSDATA,MATCH("HeavyExpert",CLASSFEATUREHEADERS,0),MATCH($A79,CLASSNAMEHEADERS,0))),(INDEX(ALLCLASSDATA,MATCH("HeavyExpert",CLASSFEATUREHEADERS,0),MATCH(($A79 &amp; "Points"),CLASSNAMEHEADERS,0))),(IF("05"=(INDEX(ALLCLASSDATA,MATCH("HeavyTrained",CLASSFEATUREHEADERS,0),MATCH($A79,CLASSNAMEHEADERS,0))),(INDEX(ALLCLASSDATA,MATCH("HeavyTrained",CLASSFEATUREHEADERS,0),MATCH(($A79 &amp; "Points"),CLASSNAMEHEADERS,0))),"")))))))))}</f>
        <v>HEAVYL05</v>
      </c>
      <c r="L78" s="223"/>
      <c r="M78" s="223" t="str">
        <f t="array" ref="M78:M79">{"HEAVYL07";((IF("07"=(INDEX(ALLCLASSDATA,MATCH("HeavyLegendary",CLASSFEATUREHEADERS,0),MATCH($A79,CLASSNAMEHEADERS,0))),(INDEX(ALLCLASSDATA,MATCH("HeavyLegendary",CLASSFEATUREHEADERS,0),MATCH(($A79 &amp; "Points"),CLASSNAMEHEADERS,0))),(IF("07"=(INDEX(ALLCLASSDATA,MATCH("HeavyMaster",CLASSFEATUREHEADERS,0),MATCH($A79,CLASSNAMEHEADERS,0))),(INDEX(ALLCLASSDATA,MATCH("HeavyMaster",CLASSFEATUREHEADERS,0),MATCH(($A79 &amp; "Points"),CLASSNAMEHEADERS,0))),(IF("07"=(INDEX(ALLCLASSDATA,MATCH("HeavyExpert",CLASSFEATUREHEADERS,0),MATCH($A79,CLASSNAMEHEADERS,0))),(INDEX(ALLCLASSDATA,MATCH("HeavyExpert",CLASSFEATUREHEADERS,0),MATCH(($A79 &amp; "Points"),CLASSNAMEHEADERS,0))),(IF("07"=(INDEX(ALLCLASSDATA,MATCH("HeavyTrained",CLASSFEATUREHEADERS,0),MATCH($A79,CLASSNAMEHEADERS,0))),(INDEX(ALLCLASSDATA,MATCH("HeavyTrained",CLASSFEATUREHEADERS,0),MATCH(($A79 &amp; "Points"),CLASSNAMEHEADERS,0))),"")))))))))}</f>
        <v>HEAVYL07</v>
      </c>
      <c r="N78" s="223"/>
      <c r="O78" s="223" t="str">
        <f t="array" ref="O78:O79">{"HEAVYL09";((IF("09"=(INDEX(ALLCLASSDATA,MATCH("HeavyLegendary",CLASSFEATUREHEADERS,0),MATCH($A79,CLASSNAMEHEADERS,0))),(INDEX(ALLCLASSDATA,MATCH("HeavyLegendary",CLASSFEATUREHEADERS,0),MATCH(($A79 &amp; "Points"),CLASSNAMEHEADERS,0))),(IF("09"=(INDEX(ALLCLASSDATA,MATCH("HeavyMaster",CLASSFEATUREHEADERS,0),MATCH($A79,CLASSNAMEHEADERS,0))),(INDEX(ALLCLASSDATA,MATCH("HeavyMaster",CLASSFEATUREHEADERS,0),MATCH(($A79 &amp; "Points"),CLASSNAMEHEADERS,0))),(IF("09"=(INDEX(ALLCLASSDATA,MATCH("HeavyExpert",CLASSFEATUREHEADERS,0),MATCH($A79,CLASSNAMEHEADERS,0))),(INDEX(ALLCLASSDATA,MATCH("HeavyExpert",CLASSFEATUREHEADERS,0),MATCH(($A79 &amp; "Points"),CLASSNAMEHEADERS,0))),(IF("09"=(INDEX(ALLCLASSDATA,MATCH("HeavyTrained",CLASSFEATUREHEADERS,0),MATCH($A79,CLASSNAMEHEADERS,0))),(INDEX(ALLCLASSDATA,MATCH("HeavyTrained",CLASSFEATUREHEADERS,0),MATCH(($A79 &amp; "Points"),CLASSNAMEHEADERS,0))),"")))))))))}</f>
        <v>HEAVYL09</v>
      </c>
      <c r="P78" s="223"/>
      <c r="Q78" s="223" t="str">
        <f t="array" ref="Q78:Q79">{"HEAVYL11";((IF("11"=(INDEX(ALLCLASSDATA,MATCH("HeavyLegendary",CLASSFEATUREHEADERS,0),MATCH($A79,CLASSNAMEHEADERS,0))),(INDEX(ALLCLASSDATA,MATCH("HeavyLegendary",CLASSFEATUREHEADERS,0),MATCH(($A79 &amp; "Points"),CLASSNAMEHEADERS,0))),(IF("11"=(INDEX(ALLCLASSDATA,MATCH("HeavyMaster",CLASSFEATUREHEADERS,0),MATCH($A79,CLASSNAMEHEADERS,0))),(INDEX(ALLCLASSDATA,MATCH("HeavyMaster",CLASSFEATUREHEADERS,0),MATCH(($A79 &amp; "Points"),CLASSNAMEHEADERS,0))),(IF("11"=(INDEX(ALLCLASSDATA,MATCH("HeavyExpert",CLASSFEATUREHEADERS,0),MATCH($A79,CLASSNAMEHEADERS,0))),(INDEX(ALLCLASSDATA,MATCH("HeavyExpert",CLASSFEATUREHEADERS,0),MATCH(($A79 &amp; "Points"),CLASSNAMEHEADERS,0))),(IF("11"=(INDEX(ALLCLASSDATA,MATCH("HeavyTrained",CLASSFEATUREHEADERS,0),MATCH($A79,CLASSNAMEHEADERS,0))),(INDEX(ALLCLASSDATA,MATCH("HeavyTrained",CLASSFEATUREHEADERS,0),MATCH(($A79 &amp; "Points"),CLASSNAMEHEADERS,0))),"")))))))))}</f>
        <v>HEAVYL11</v>
      </c>
      <c r="R78" s="223"/>
      <c r="S78" s="223" t="str">
        <f t="array" ref="S78:S79">{"HEAVYL13";((IF("13"=(INDEX(ALLCLASSDATA,MATCH("HeavyLegendary",CLASSFEATUREHEADERS,0),MATCH($A79,CLASSNAMEHEADERS,0))),(INDEX(ALLCLASSDATA,MATCH("HeavyLegendary",CLASSFEATUREHEADERS,0),MATCH(($A79 &amp; "Points"),CLASSNAMEHEADERS,0))),(IF("13"=(INDEX(ALLCLASSDATA,MATCH("HeavyMaster",CLASSFEATUREHEADERS,0),MATCH($A79,CLASSNAMEHEADERS,0))),(INDEX(ALLCLASSDATA,MATCH("HeavyMaster",CLASSFEATUREHEADERS,0),MATCH(($A79 &amp; "Points"),CLASSNAMEHEADERS,0))),(IF("13"=(INDEX(ALLCLASSDATA,MATCH("HeavyExpert",CLASSFEATUREHEADERS,0),MATCH($A79,CLASSNAMEHEADERS,0))),(INDEX(ALLCLASSDATA,MATCH("HeavyExpert",CLASSFEATUREHEADERS,0),MATCH(($A79 &amp; "Points"),CLASSNAMEHEADERS,0))),(IF("13"=(INDEX(ALLCLASSDATA,MATCH("HeavyTrained",CLASSFEATUREHEADERS,0),MATCH($A79,CLASSNAMEHEADERS,0))),(INDEX(ALLCLASSDATA,MATCH("HeavyTrained",CLASSFEATUREHEADERS,0),MATCH(($A79 &amp; "Points"),CLASSNAMEHEADERS,0))),"")))))))))}</f>
        <v>HEAVYL13</v>
      </c>
      <c r="T78" s="223"/>
      <c r="U78" s="223" t="str">
        <f t="array" ref="U78:U79">{"HEAVYL15";((IF("15"=(INDEX(ALLCLASSDATA,MATCH("HeavyLegendary",CLASSFEATUREHEADERS,0),MATCH($A79,CLASSNAMEHEADERS,0))),(INDEX(ALLCLASSDATA,MATCH("HeavyLegendary",CLASSFEATUREHEADERS,0),MATCH(($A79 &amp; "Points"),CLASSNAMEHEADERS,0))),(IF("15"=(INDEX(ALLCLASSDATA,MATCH("HeavyMaster",CLASSFEATUREHEADERS,0),MATCH($A79,CLASSNAMEHEADERS,0))),(INDEX(ALLCLASSDATA,MATCH("HeavyMaster",CLASSFEATUREHEADERS,0),MATCH(($A79 &amp; "Points"),CLASSNAMEHEADERS,0))),(IF("15"=(INDEX(ALLCLASSDATA,MATCH("HeavyExpert",CLASSFEATUREHEADERS,0),MATCH($A79,CLASSNAMEHEADERS,0))),(INDEX(ALLCLASSDATA,MATCH("HeavyExpert",CLASSFEATUREHEADERS,0),MATCH(($A79 &amp; "Points"),CLASSNAMEHEADERS,0))),(IF("15"=(INDEX(ALLCLASSDATA,MATCH("HeavyTrained",CLASSFEATUREHEADERS,0),MATCH($A79,CLASSNAMEHEADERS,0))),(INDEX(ALLCLASSDATA,MATCH("HeavyTrained",CLASSFEATUREHEADERS,0),MATCH(($A79 &amp; "Points"),CLASSNAMEHEADERS,0))),"")))))))))}</f>
        <v>HEAVYL15</v>
      </c>
      <c r="V78" s="223"/>
      <c r="W78" s="223" t="str">
        <f t="array" ref="W78:W79">{"HEAVYL17";((IF("17"=(INDEX(ALLCLASSDATA,MATCH("HeavyLegendary",CLASSFEATUREHEADERS,0),MATCH($A79,CLASSNAMEHEADERS,0))),(INDEX(ALLCLASSDATA,MATCH("HeavyLegendary",CLASSFEATUREHEADERS,0),MATCH(($A79 &amp; "Points"),CLASSNAMEHEADERS,0))),(IF("17"=(INDEX(ALLCLASSDATA,MATCH("HeavyMaster",CLASSFEATUREHEADERS,0),MATCH($A79,CLASSNAMEHEADERS,0))),(INDEX(ALLCLASSDATA,MATCH("HeavyMaster",CLASSFEATUREHEADERS,0),MATCH(($A79 &amp; "Points"),CLASSNAMEHEADERS,0))),(IF("17"=(INDEX(ALLCLASSDATA,MATCH("HeavyExpert",CLASSFEATUREHEADERS,0),MATCH($A79,CLASSNAMEHEADERS,0))),(INDEX(ALLCLASSDATA,MATCH("HeavyExpert",CLASSFEATUREHEADERS,0),MATCH(($A79 &amp; "Points"),CLASSNAMEHEADERS,0))),(IF("17"=(INDEX(ALLCLASSDATA,MATCH("HeavyTrained",CLASSFEATUREHEADERS,0),MATCH($A79,CLASSNAMEHEADERS,0))),(INDEX(ALLCLASSDATA,MATCH("HeavyTrained",CLASSFEATUREHEADERS,0),MATCH(($A79 &amp; "Points"),CLASSNAMEHEADERS,0))),"")))))))))}</f>
        <v>HEAVYL17</v>
      </c>
      <c r="X78" s="223"/>
      <c r="Y78" s="223" t="str">
        <f t="array" ref="Y78:Y79">{"HEAVYL19";((IF("19"=(INDEX(ALLCLASSDATA,MATCH("HeavyLegendary",CLASSFEATUREHEADERS,0),MATCH($A79,CLASSNAMEHEADERS,0))),(INDEX(ALLCLASSDATA,MATCH("HeavyLegendary",CLASSFEATUREHEADERS,0),MATCH(($A79 &amp; "Points"),CLASSNAMEHEADERS,0))),(IF("19"=(INDEX(ALLCLASSDATA,MATCH("HeavyMaster",CLASSFEATUREHEADERS,0),MATCH($A79,CLASSNAMEHEADERS,0))),(INDEX(ALLCLASSDATA,MATCH("HeavyMaster",CLASSFEATUREHEADERS,0),MATCH(($A79 &amp; "Points"),CLASSNAMEHEADERS,0))),(IF("19"=(INDEX(ALLCLASSDATA,MATCH("HeavyExpert",CLASSFEATUREHEADERS,0),MATCH($A79,CLASSNAMEHEADERS,0))),(INDEX(ALLCLASSDATA,MATCH("HeavyExpert",CLASSFEATUREHEADERS,0),MATCH(($A79 &amp; "Points"),CLASSNAMEHEADERS,0))),(IF("19"=(INDEX(ALLCLASSDATA,MATCH("HeavyTrained",CLASSFEATUREHEADERS,0),MATCH($A79,CLASSNAMEHEADERS,0))),(INDEX(ALLCLASSDATA,MATCH("HeavyTrained",CLASSFEATUREHEADERS,0),MATCH(($A79 &amp; "Points"),CLASSNAMEHEADERS,0))),"")))))))))}</f>
        <v>HEAVYL19</v>
      </c>
      <c r="Z78" s="223"/>
      <c r="AA78" s="76" t="str">
        <f t="array" ref="AA78:AA79">{"HEAVY TOTAL";(IF(COUNTBLANK(F79:Z79)=17,"L",(IF(COUNTBLANK(F79:Z79)=18,"M",(IF(COUNTBLANK(F79:Z79)=19,"E",(IF(COUNTBLANK(F79:Z79)=20,"T",""))))))))}</f>
        <v>HEAVY TOTAL</v>
      </c>
      <c r="AB78" s="76" t="str">
        <f t="array" ref="AB78:AB79">{"HEAVY TOTAL";(sum(F79:Z79))}</f>
        <v>HEAVY TOTAL</v>
      </c>
    </row>
    <row r="79">
      <c r="A79" s="48" t="s">
        <v>211</v>
      </c>
      <c r="B79" s="48" t="s">
        <v>417</v>
      </c>
      <c r="C79" s="97" t="s">
        <v>1900</v>
      </c>
      <c r="D79" s="97" t="s">
        <v>533</v>
      </c>
      <c r="E79" s="98" t="s">
        <v>603</v>
      </c>
      <c r="F79" s="132" t="s">
        <v>603</v>
      </c>
      <c r="G79" s="98" t="s">
        <v>603</v>
      </c>
      <c r="H79" s="98"/>
      <c r="I79" s="98" t="s">
        <v>603</v>
      </c>
      <c r="J79" s="98"/>
      <c r="K79" s="98" t="s">
        <v>603</v>
      </c>
      <c r="L79" s="98"/>
      <c r="M79" s="98" t="s">
        <v>603</v>
      </c>
      <c r="N79" s="98"/>
      <c r="O79" s="98" t="s">
        <v>603</v>
      </c>
      <c r="P79" s="98"/>
      <c r="Q79" s="97" t="s">
        <v>603</v>
      </c>
      <c r="R79" s="98"/>
      <c r="S79" s="98" t="s">
        <v>603</v>
      </c>
      <c r="T79" s="98"/>
      <c r="U79" s="98" t="s">
        <v>603</v>
      </c>
      <c r="V79" s="98"/>
      <c r="W79" s="98" t="s">
        <v>603</v>
      </c>
      <c r="X79" s="98"/>
      <c r="Y79" s="98" t="s">
        <v>603</v>
      </c>
      <c r="Z79" s="98"/>
      <c r="AA79" s="5" t="s">
        <v>603</v>
      </c>
      <c r="AB79" s="47">
        <v>0.0</v>
      </c>
    </row>
    <row r="80" hidden="1">
      <c r="A80" s="222" t="str">
        <f t="array" ref="A80:A81">{"FormulaRow39";(INDEX(CLASSLIST,A3,1))}</f>
        <v>FormulaRow39</v>
      </c>
      <c r="B80" s="222" t="str">
        <f t="array" ref="B80:B81">{"CLASSTYPE";((INDEX(ALLCLASSDATA,MATCH("ClassType",CLASSFEATUREHEADERS,0),MATCH($A81,CLASSNAMEHEADERS,0))))}</f>
        <v>CLASSTYPE</v>
      </c>
      <c r="C80" s="222" t="str">
        <f t="array" ref="C80:C81">{"SPELL/ALCHEMY";((IF(INDEX(ALLCLASSDATA,MATCH("CasterType",CLASSFEATUREHEADERS,0),MATCH(($A81),CLASSNAMEHEADERS,0))="","",(IF(INDEX(ALLCLASSDATA,MATCH("CasterType",CLASSFEATUREHEADERS,0),MATCH(($A81),CLASSNAMEHEADERS,0))="Alchemy","Alchemy","Spells")))))}</f>
        <v>SPELL/ALCHEMY</v>
      </c>
      <c r="D80" s="222" t="str">
        <f t="array" ref="D80:D81">{"SPELLLIST";(IF(C81="Spells",((INDEX(ALLCLASSDATA,MATCH("CasterType",CLASSFEATUREHEADERS,0),MATCH(($A81),CLASSNAMEHEADERS,0))) &amp; ":" &amp; (INDEX(ALLCLASSDATA,MATCH("SpellList",CLASSFEATUREHEADERS,0),MATCH(($A81),CLASSNAMEHEADERS,0)))),""))}</f>
        <v>SPELLLIST</v>
      </c>
      <c r="E80" s="223" t="str">
        <f t="array" ref="E80:E81">{"SPL";(IF(C81="Spells","SPL:",""))}</f>
        <v>SPL</v>
      </c>
      <c r="F80" s="223" t="str">
        <f t="array" ref="F80:F81">{"CANTRIP/ALC";(IF(C81="Spells","C",(IF(C81="Alchemy","ALC:",""))))}</f>
        <v>CANTRIP/ALC</v>
      </c>
      <c r="G80" s="223" t="str">
        <f t="array" ref="G80:G81">{"SPELL/ALC L01";(IF(C81="Alchemy","L01",(IF(C81="Spells","S01",""))))}</f>
        <v>SPELL/ALC L01</v>
      </c>
      <c r="H80" s="223" t="str">
        <f t="array" ref="H80:H81">{"SPELL/ALC L02";(IF(C81="Alchemy","L02",(IF(C81="Spells","S01",""))))}</f>
        <v>SPELL/ALC L02</v>
      </c>
      <c r="I80" s="223" t="str">
        <f t="array" ref="I80:I81">{"SPELL/ALC L03";(IF(C81="Alchemy","L03",(IF(C81="Spells","S02",""))))}</f>
        <v>SPELL/ALC L03</v>
      </c>
      <c r="J80" s="223" t="str">
        <f t="array" ref="J80:J81">{"SPELL/ALC L04";(IF(C81="Alchemy","L04",(IF(C81="Spells","S02",""))))}</f>
        <v>SPELL/ALC L04</v>
      </c>
      <c r="K80" s="223" t="str">
        <f t="array" ref="K80:K81">{"SPELL/ALC L05";(IF(C81="Alchemy","L05",(IF(C81="Spells","S03",""))))}</f>
        <v>SPELL/ALC L05</v>
      </c>
      <c r="L80" s="223" t="str">
        <f t="array" ref="L80:L81">{"SPELL/ALC L06";(IF(C81="Alchemy","L06",(IF(C81="Spells","S03",""))))}</f>
        <v>SPELL/ALC L06</v>
      </c>
      <c r="M80" s="223" t="str">
        <f t="array" ref="M80:M81">{"SPELL/ALC L07";(IF(C81="Alchemy","L07",(IF(C81="Spells","S04",""))))}</f>
        <v>SPELL/ALC L07</v>
      </c>
      <c r="N80" s="223" t="str">
        <f t="array" ref="N80:N81">{"SPELL/ALC L08";(IF(C81="Alchemy","L08",(IF(C81="Spells","S04",""))))}</f>
        <v>SPELL/ALC L08</v>
      </c>
      <c r="O80" s="223" t="str">
        <f t="array" ref="O80:O81">{"SPELL/ALC L09";(IF(C81="Alchemy","L09",(IF(C81="Spells","S05",""))))}</f>
        <v>SPELL/ALC L09</v>
      </c>
      <c r="P80" s="223" t="str">
        <f t="array" ref="P80:P81">{"SPELL/ALC L10";(IF(C81="Alchemy","L10",(IF(C81="Spells","S05",""))))}</f>
        <v>SPELL/ALC L10</v>
      </c>
      <c r="Q80" s="223" t="str">
        <f t="array" ref="Q80:Q81">{"SPELL/ALC L11";(IF(C81="Alchemy","L11",(IF(C81="Spells","S06",""))))}</f>
        <v>SPELL/ALC L11</v>
      </c>
      <c r="R80" s="223" t="str">
        <f t="array" ref="R80:R81">{"SPELL/ALC L12";(IF(C81="Alchemy","L12",(IF(C81="Spells","S06",""))))}</f>
        <v>SPELL/ALC L12</v>
      </c>
      <c r="S80" s="223" t="str">
        <f t="array" ref="S80:S81">{"SPELL/ALC L13";(IF(C81="Alchemy","L13",(IF(C81="Spells","S07",""))))}</f>
        <v>SPELL/ALC L13</v>
      </c>
      <c r="T80" s="223" t="str">
        <f t="array" ref="T80:T81">{"SPELL/ALC L14";(IF(C81="Alchemy","L14",(IF(C81="Spells","S07",""))))}</f>
        <v>SPELL/ALC L14</v>
      </c>
      <c r="U80" s="223" t="str">
        <f t="array" ref="U80:U81">{"SPELL/ALC L15";(IF(C81="Alchemy","L15",(IF(C81="Spells","S08",""))))}</f>
        <v>SPELL/ALC L15</v>
      </c>
      <c r="V80" s="223" t="str">
        <f t="array" ref="V80:V81">{"SPELL/ALC L16";(IF(C81="Alchemy","L16",(IF(C81="Spells","S08",""))))}</f>
        <v>SPELL/ALC L16</v>
      </c>
      <c r="W80" s="223" t="str">
        <f t="array" ref="W80:W81">{"SPELL/ALC L17";(IF(C81="Alchemy","L17",(IF(C81="Spells","S09",""))))}</f>
        <v>SPELL/ALC L17</v>
      </c>
      <c r="X80" s="223" t="str">
        <f t="array" ref="X80:X81">{"SPELL/ALC L18";(IF(C81="Alchemy","L18",(IF(C81="Spells","S09",""))))}</f>
        <v>SPELL/ALC L18</v>
      </c>
      <c r="Y80" s="223" t="str">
        <f t="array" ref="Y80:Y81">{"SPELL/ALC L19";(IF(C81="Alchemy","L19",(IF(C81="Spells","S10",""))))}</f>
        <v>SPELL/ALC L19</v>
      </c>
      <c r="Z80" s="223" t="str">
        <f t="array" ref="Z80:Z81">{"SPELL/ALC L20";(IF(C81="Alchemy","L20",(IF(C81="Spells","S10",""))))}</f>
        <v>SPELL/ALC L20</v>
      </c>
      <c r="AA80" s="76"/>
      <c r="AB80" s="76"/>
    </row>
    <row r="81">
      <c r="A81" s="48" t="s">
        <v>211</v>
      </c>
      <c r="B81" s="48" t="s">
        <v>417</v>
      </c>
      <c r="C81" s="48" t="s">
        <v>1901</v>
      </c>
      <c r="D81" s="48" t="s">
        <v>1902</v>
      </c>
      <c r="E81" s="278" t="s">
        <v>1903</v>
      </c>
      <c r="F81" s="114" t="s">
        <v>653</v>
      </c>
      <c r="G81" s="279" t="s">
        <v>1536</v>
      </c>
      <c r="H81" s="28" t="s">
        <v>1536</v>
      </c>
      <c r="I81" s="28" t="s">
        <v>1542</v>
      </c>
      <c r="J81" s="28" t="s">
        <v>1542</v>
      </c>
      <c r="K81" s="28" t="s">
        <v>1545</v>
      </c>
      <c r="L81" s="28" t="s">
        <v>1545</v>
      </c>
      <c r="M81" s="28" t="s">
        <v>1548</v>
      </c>
      <c r="N81" s="28" t="s">
        <v>1548</v>
      </c>
      <c r="O81" s="28" t="s">
        <v>1553</v>
      </c>
      <c r="P81" s="28" t="s">
        <v>1553</v>
      </c>
      <c r="Q81" s="28" t="s">
        <v>1556</v>
      </c>
      <c r="R81" s="28" t="s">
        <v>1556</v>
      </c>
      <c r="S81" s="28" t="s">
        <v>1559</v>
      </c>
      <c r="T81" s="28" t="s">
        <v>1559</v>
      </c>
      <c r="U81" s="28" t="s">
        <v>1562</v>
      </c>
      <c r="V81" s="28" t="s">
        <v>1562</v>
      </c>
      <c r="W81" s="28" t="s">
        <v>1565</v>
      </c>
      <c r="X81" s="28" t="s">
        <v>1565</v>
      </c>
      <c r="Y81" s="28" t="s">
        <v>1568</v>
      </c>
      <c r="Z81" s="28" t="s">
        <v>1568</v>
      </c>
      <c r="AA81" s="5"/>
      <c r="AB81" s="47"/>
    </row>
    <row r="82" hidden="1">
      <c r="A82" s="222" t="str">
        <f t="array" ref="A82:A83">{"FormulaRow40";(INDEX(CLASSLIST,A3,1))}</f>
        <v>FormulaRow40</v>
      </c>
      <c r="B82" s="222" t="str">
        <f t="array" ref="B82:B83">{"CLASSTYPE";((INDEX(ALLCLASSDATA,MATCH("ClassType",CLASSFEATUREHEADERS,0),MATCH($A83,CLASSNAMEHEADERS,0))))}</f>
        <v>CLASSTYPE</v>
      </c>
      <c r="C82" s="222" t="str">
        <f t="array" ref="C82:C83">{"SPELL/ALCHEMY";((IF(INDEX(ALLCLASSDATA,MATCH("CasterType",CLASSFEATUREHEADERS,0),MATCH(($A83),CLASSNAMEHEADERS,0))="","",(IF(INDEX(ALLCLASSDATA,MATCH("CasterType",CLASSFEATUREHEADERS,0),MATCH(($A83),CLASSNAMEHEADERS,0))="Alchemy","","Spells")))))}</f>
        <v>SPELL/ALCHEMY</v>
      </c>
      <c r="D82" s="222" t="str">
        <f t="array" ref="D82:D83">{"SPELLLIST";(IF(C83="Spells",((INDEX(ALLCLASSDATA,MATCH("CasterType",CLASSFEATUREHEADERS,0),MATCH(($A83),CLASSNAMEHEADERS,0))) &amp; ":" &amp; (INDEX(ALLCLASSDATA,MATCH("SpellList",CLASSFEATUREHEADERS,0),MATCH(($A83),CLASSNAMEHEADERS,0)))),""))}</f>
        <v>SPELLLIST</v>
      </c>
      <c r="E82" s="222" t="str">
        <f t="array" ref="E82:E83">{"SLOTCOST";(IF(C83="Spells","SlotCost:",""))}</f>
        <v>SLOTCOST</v>
      </c>
      <c r="F82" s="222" t="str">
        <f t="array" ref="F82:F83">{"SLOTCOST CANTRIP";(INDEX(ALLCLASSDATA,MATCH("CantripSlots-L00",CLASSFEATUREHEADERS,0),MATCH(($A83 &amp; "Points"),CLASSNAMEHEADERS,0)))}</f>
        <v>SLOTCOST CANTRIP</v>
      </c>
      <c r="G82" s="222" t="str">
        <f t="array" ref="G82:G83">{"SLOTCOST L01";(INDEX(ALLCLASSDATA,MATCH("SPL01-L01",CLASSFEATUREHEADERS,0),MATCH(($A83 &amp; "Points"),CLASSNAMEHEADERS,0)))}</f>
        <v>SLOTCOST L01</v>
      </c>
      <c r="H82" s="222" t="str">
        <f t="array" ref="H82:H83">{"SLOTCOST L02";(INDEX(ALLCLASSDATA,MATCH("SPL01-L02",CLASSFEATUREHEADERS,0),MATCH(($A83 &amp; "Points"),CLASSNAMEHEADERS,0)))}</f>
        <v>#REF!</v>
      </c>
      <c r="I82" s="222" t="str">
        <f t="array" ref="I82:I83">{"SLOTCOST L03";(INDEX(ALLCLASSDATA,MATCH("SPL02-L03",CLASSFEATUREHEADERS,0),MATCH(($A83 &amp; "Points"),CLASSNAMEHEADERS,0)))}</f>
        <v>SLOTCOST L03</v>
      </c>
      <c r="J82" s="222" t="str">
        <f t="array" ref="J82:J83">{"SLOTCOST L04";(INDEX(ALLCLASSDATA,MATCH("SPL02-L04",CLASSFEATUREHEADERS,0),MATCH(($A83 &amp; "Points"),CLASSNAMEHEADERS,0)))}</f>
        <v>#REF!</v>
      </c>
      <c r="K82" s="222" t="str">
        <f t="array" ref="K82:K83">{"SLOTCOST L05";(INDEX(ALLCLASSDATA,MATCH("SPL03-L05",CLASSFEATUREHEADERS,0),MATCH(($A83 &amp; "Points"),CLASSNAMEHEADERS,0)))}</f>
        <v>SLOTCOST L05</v>
      </c>
      <c r="L82" s="222" t="str">
        <f t="array" ref="L82:L83">{"SLOTCOST L06";(INDEX(ALLCLASSDATA,MATCH("SPL03-L06",CLASSFEATUREHEADERS,0),MATCH(($A83 &amp; "Points"),CLASSNAMEHEADERS,0)))}</f>
        <v>#REF!</v>
      </c>
      <c r="M82" s="222" t="str">
        <f t="array" ref="M82:M83">{"SLOTCOST L07";(INDEX(ALLCLASSDATA,MATCH("SPL04-L07",CLASSFEATUREHEADERS,0),MATCH(($A83 &amp; "Points"),CLASSNAMEHEADERS,0)))}</f>
        <v>SLOTCOST L07</v>
      </c>
      <c r="N82" s="222" t="str">
        <f t="array" ref="N82:N83">{"SLOTCOST L08";(INDEX(ALLCLASSDATA,MATCH("SPL04-L08",CLASSFEATUREHEADERS,0),MATCH(($A83 &amp; "Points"),CLASSNAMEHEADERS,0)))}</f>
        <v>#REF!</v>
      </c>
      <c r="O82" s="222" t="str">
        <f t="array" ref="O82:O83">{"SLOTCOST L09";(INDEX(ALLCLASSDATA,MATCH("SPL05-L09",CLASSFEATUREHEADERS,0),MATCH(($A83 &amp; "Points"),CLASSNAMEHEADERS,0)))}</f>
        <v>SLOTCOST L09</v>
      </c>
      <c r="P82" s="222" t="str">
        <f t="array" ref="P82:P83">{"SLOTCOST L10";(INDEX(ALLCLASSDATA,MATCH("SPL05-L10",CLASSFEATUREHEADERS,0),MATCH(($A83 &amp; "Points"),CLASSNAMEHEADERS,0)))}</f>
        <v>#REF!</v>
      </c>
      <c r="Q82" s="222" t="str">
        <f t="array" ref="Q82:Q83">{"SLOTCOST L11";(INDEX(ALLCLASSDATA,MATCH("SPL06-L11",CLASSFEATUREHEADERS,0),MATCH(($A83 &amp; "Points"),CLASSNAMEHEADERS,0)))}</f>
        <v>SLOTCOST L11</v>
      </c>
      <c r="R82" s="222" t="str">
        <f t="array" ref="R82:R83">{"SLOTCOST L12";(INDEX(ALLCLASSDATA,MATCH("SPL06-L12",CLASSFEATUREHEADERS,0),MATCH(($A83 &amp; "Points"),CLASSNAMEHEADERS,0)))}</f>
        <v>#REF!</v>
      </c>
      <c r="S82" s="222" t="str">
        <f t="array" ref="S82:S83">{"SLOTCOST L13";(INDEX(ALLCLASSDATA,MATCH("SPL07-L13",CLASSFEATUREHEADERS,0),MATCH(($A83 &amp; "Points"),CLASSNAMEHEADERS,0)))}</f>
        <v>SLOTCOST L13</v>
      </c>
      <c r="T82" s="222" t="str">
        <f t="array" ref="T82:T83">{"SLOTCOST L14";(INDEX(ALLCLASSDATA,MATCH("SPL07-L14",CLASSFEATUREHEADERS,0),MATCH(($A83 &amp; "Points"),CLASSNAMEHEADERS,0)))}</f>
        <v>#REF!</v>
      </c>
      <c r="U82" s="222" t="str">
        <f t="array" ref="U82:U83">{"SLOTCOST L15";(INDEX(ALLCLASSDATA,MATCH("SPL08-L15",CLASSFEATUREHEADERS,0),MATCH(($A83 &amp; "Points"),CLASSNAMEHEADERS,0)))}</f>
        <v>SLOTCOST L15</v>
      </c>
      <c r="V82" s="222" t="str">
        <f t="array" ref="V82:V83">{"SLOTCOST L16";(INDEX(ALLCLASSDATA,MATCH("SPL08-L16",CLASSFEATUREHEADERS,0),MATCH(($A83 &amp; "Points"),CLASSNAMEHEADERS,0)))}</f>
        <v>#REF!</v>
      </c>
      <c r="W82" s="222" t="str">
        <f t="array" ref="W82:W83">{"SLOTCOST L17";(INDEX(ALLCLASSDATA,MATCH("SPL09-L17",CLASSFEATUREHEADERS,0),MATCH(($A83 &amp; "Points"),CLASSNAMEHEADERS,0)))}</f>
        <v>SLOTCOST L17</v>
      </c>
      <c r="X82" s="222" t="str">
        <f t="array" ref="X82:X83">{"SLOTCOST L18";(INDEX(ALLCLASSDATA,MATCH("SPL09-L18",CLASSFEATUREHEADERS,0),MATCH(($A83 &amp; "Points"),CLASSNAMEHEADERS,0)))}</f>
        <v>#REF!</v>
      </c>
      <c r="Y82" s="222" t="str">
        <f t="array" ref="Y82:Y83">{"SLOTCOST L19";(INDEX(ALLCLASSDATA,MATCH("SPL10-L19",CLASSFEATUREHEADERS,0),MATCH(($A83 &amp; "Points"),CLASSNAMEHEADERS,0)))}</f>
        <v>SLOTCOST L19</v>
      </c>
      <c r="Z82" s="222" t="str">
        <f t="array" ref="Z82:Z83">{"SLOTCOST L20";(INDEX(ALLCLASSDATA,MATCH("SPL10-L20",CLASSFEATUREHEADERS,0),MATCH(($A83 &amp; "Points"),CLASSNAMEHEADERS,0)))}</f>
        <v>SLOTCOST L20</v>
      </c>
      <c r="AA82" s="76"/>
      <c r="AB82" s="76" t="str">
        <f t="array" ref="AB82:AB83">{"SLOT TOTAL";(sum(F83:Z83))}</f>
        <v>SLOT TOTAL</v>
      </c>
    </row>
    <row r="83">
      <c r="A83" s="48" t="s">
        <v>211</v>
      </c>
      <c r="B83" s="48" t="s">
        <v>417</v>
      </c>
      <c r="C83" s="48" t="s">
        <v>1901</v>
      </c>
      <c r="D83" s="48" t="s">
        <v>1902</v>
      </c>
      <c r="E83" s="278" t="s">
        <v>1904</v>
      </c>
      <c r="F83" s="47">
        <v>0.0</v>
      </c>
      <c r="G83" s="5">
        <v>20.0</v>
      </c>
      <c r="H83" s="48" t="s">
        <v>1905</v>
      </c>
      <c r="I83" s="5">
        <v>20.0</v>
      </c>
      <c r="J83" s="48" t="s">
        <v>1905</v>
      </c>
      <c r="K83" s="5">
        <v>20.0</v>
      </c>
      <c r="L83" s="48" t="s">
        <v>1905</v>
      </c>
      <c r="M83" s="5">
        <v>20.0</v>
      </c>
      <c r="N83" s="48" t="s">
        <v>1905</v>
      </c>
      <c r="O83" s="5">
        <v>20.0</v>
      </c>
      <c r="P83" s="48" t="s">
        <v>1905</v>
      </c>
      <c r="Q83" s="5">
        <v>20.0</v>
      </c>
      <c r="R83" s="48" t="s">
        <v>1905</v>
      </c>
      <c r="S83" s="5">
        <v>20.0</v>
      </c>
      <c r="T83" s="48" t="s">
        <v>1905</v>
      </c>
      <c r="U83" s="5">
        <v>20.0</v>
      </c>
      <c r="V83" s="48" t="s">
        <v>1905</v>
      </c>
      <c r="W83" s="5">
        <v>20.0</v>
      </c>
      <c r="X83" s="48" t="s">
        <v>1905</v>
      </c>
      <c r="Y83" s="5">
        <v>190.0</v>
      </c>
      <c r="Z83" s="5" t="s">
        <v>603</v>
      </c>
      <c r="AA83" s="5"/>
      <c r="AB83" s="47">
        <v>370.0</v>
      </c>
    </row>
    <row r="84" hidden="1">
      <c r="A84" s="222" t="str">
        <f t="array" ref="A84:A85">{"FormulaRow41";(INDEX(CLASSLIST,A3,1))}</f>
        <v>FormulaRow41</v>
      </c>
      <c r="B84" s="222" t="str">
        <f t="array" ref="B84:B85">{"CLASSTYPE";((INDEX(ALLCLASSDATA,MATCH("ClassType",CLASSFEATUREHEADERS,0),MATCH($A85,CLASSNAMEHEADERS,0))))}</f>
        <v>CLASSTYPE</v>
      </c>
      <c r="C84" s="222" t="str">
        <f t="array" ref="C84:C85">{"SPELL/ALCHEMY";((IF(INDEX(ALLCLASSDATA,MATCH("CasterType",CLASSFEATUREHEADERS,0),MATCH(($A85),CLASSNAMEHEADERS,0))="","",(IF(INDEX(ALLCLASSDATA,MATCH("CasterType",CLASSFEATUREHEADERS,0),MATCH(($A85),CLASSNAMEHEADERS,0))="Alchemy","Alchemy","Spells")))))}</f>
        <v>SPELL/ALCHEMY</v>
      </c>
      <c r="D84" s="222" t="str">
        <f t="array" ref="D84:D85">{"SPELLLIST";(IF(C85="Spells",((INDEX(ALLCLASSDATA,MATCH("CasterType",CLASSFEATUREHEADERS,0),MATCH(($A85),CLASSNAMEHEADERS,0))) &amp; ":" &amp; (INDEX(ALLCLASSDATA,MATCH("SpellList",CLASSFEATUREHEADERS,0),MATCH(($A85),CLASSNAMEHEADERS,0)))),""))}</f>
        <v>SPELLLIST</v>
      </c>
      <c r="E84" s="223" t="str">
        <f t="array" ref="E84:E85">{"LEARNEDCOST";(IF(C85="","","LearnCost:"))}</f>
        <v>LEARNEDCOST</v>
      </c>
      <c r="F84" s="223" t="str">
        <f t="array" ref="F84:F85">{"LEARNED CANTRIPS";(INDEX(ALLCLASSDATA,MATCH("CantripsLearned-L00",CLASSFEATUREHEADERS,0),MATCH(($A85 &amp; "Points"),CLASSNAMEHEADERS,0)))}</f>
        <v>LEARNED CANTRIPS</v>
      </c>
      <c r="G84" s="223" t="str">
        <f t="array" ref="G84:G85">{"LEARNED L01";(INDEX(ALLCLASSDATA,MATCH("Learned-L01",CLASSFEATUREHEADERS,0),MATCH(($A85 &amp; "Points"),CLASSNAMEHEADERS,0)))}</f>
        <v>LEARNED L01</v>
      </c>
      <c r="H84" s="223" t="str">
        <f t="array" ref="H84:H85">{"LEARNED L02";(INDEX(ALLCLASSDATA,MATCH("Learned-L02",CLASSFEATUREHEADERS,0),MATCH(($A85 &amp; "Points"),CLASSNAMEHEADERS,0)))}</f>
        <v>LEARNED L02</v>
      </c>
      <c r="I84" s="223" t="str">
        <f t="array" ref="I84:I85">{"LEARNED L03";(INDEX(ALLCLASSDATA,MATCH("Learned-L03",CLASSFEATUREHEADERS,0),MATCH(($A85 &amp; "Points"),CLASSNAMEHEADERS,0)))}</f>
        <v>LEARNED L03</v>
      </c>
      <c r="J84" s="223" t="str">
        <f t="array" ref="J84:J85">{"LEARNED L04";(INDEX(ALLCLASSDATA,MATCH("Learned-L04",CLASSFEATUREHEADERS,0),MATCH(($A85 &amp; "Points"),CLASSNAMEHEADERS,0)))}</f>
        <v>LEARNED L04</v>
      </c>
      <c r="K84" s="223" t="str">
        <f t="array" ref="K84:K85">{"LEARNED L05";(INDEX(ALLCLASSDATA,MATCH("Learned-L05",CLASSFEATUREHEADERS,0),MATCH(($A85 &amp; "Points"),CLASSNAMEHEADERS,0)))}</f>
        <v>LEARNED L05</v>
      </c>
      <c r="L84" s="223" t="str">
        <f t="array" ref="L84:L85">{"LEARNED L06";(INDEX(ALLCLASSDATA,MATCH("Learned-L06",CLASSFEATUREHEADERS,0),MATCH(($A85 &amp; "Points"),CLASSNAMEHEADERS,0)))}</f>
        <v>LEARNED L06</v>
      </c>
      <c r="M84" s="223" t="str">
        <f t="array" ref="M84:M85">{"LEARNED L07";(INDEX(ALLCLASSDATA,MATCH("Learned-L07",CLASSFEATUREHEADERS,0),MATCH(($A85 &amp; "Points"),CLASSNAMEHEADERS,0)))}</f>
        <v>LEARNED L07</v>
      </c>
      <c r="N84" s="223" t="str">
        <f t="array" ref="N84:N85">{"LEARNED L08";(INDEX(ALLCLASSDATA,MATCH("Learned-L08",CLASSFEATUREHEADERS,0),MATCH(($A85 &amp; "Points"),CLASSNAMEHEADERS,0)))}</f>
        <v>LEARNED L08</v>
      </c>
      <c r="O84" s="223" t="str">
        <f t="array" ref="O84:O85">{"LEARNED L09";(INDEX(ALLCLASSDATA,MATCH("Learned-L09",CLASSFEATUREHEADERS,0),MATCH(($A85 &amp; "Points"),CLASSNAMEHEADERS,0)))}</f>
        <v>LEARNED L09</v>
      </c>
      <c r="P84" s="223" t="str">
        <f t="array" ref="P84:P85">{"LEARNED L10";(INDEX(ALLCLASSDATA,MATCH("Learned-L10",CLASSFEATUREHEADERS,0),MATCH(($A85 &amp; "Points"),CLASSNAMEHEADERS,0)))}</f>
        <v>LEARNED L10</v>
      </c>
      <c r="Q84" s="223" t="str">
        <f t="array" ref="Q84:Q85">{"LEARNED L11";(INDEX(ALLCLASSDATA,MATCH("Learned-L11",CLASSFEATUREHEADERS,0),MATCH(($A85 &amp; "Points"),CLASSNAMEHEADERS,0)))}</f>
        <v>LEARNED L11</v>
      </c>
      <c r="R84" s="223" t="str">
        <f t="array" ref="R84:R85">{"LEARNED L12";(INDEX(ALLCLASSDATA,MATCH("Learned-L12",CLASSFEATUREHEADERS,0),MATCH(($A85 &amp; "Points"),CLASSNAMEHEADERS,0)))}</f>
        <v>LEARNED L12</v>
      </c>
      <c r="S84" s="223" t="str">
        <f t="array" ref="S84:S85">{"LEARNED L13";(INDEX(ALLCLASSDATA,MATCH("Learned-L13",CLASSFEATUREHEADERS,0),MATCH(($A85 &amp; "Points"),CLASSNAMEHEADERS,0)))}</f>
        <v>LEARNED L13</v>
      </c>
      <c r="T84" s="223" t="str">
        <f t="array" ref="T84:T85">{"LEARNED L14";(INDEX(ALLCLASSDATA,MATCH("Learned-L14",CLASSFEATUREHEADERS,0),MATCH(($A85 &amp; "Points"),CLASSNAMEHEADERS,0)))}</f>
        <v>LEARNED L14</v>
      </c>
      <c r="U84" s="223" t="str">
        <f t="array" ref="U84:U85">{"LEARNED L15";(INDEX(ALLCLASSDATA,MATCH("Learned-L15",CLASSFEATUREHEADERS,0),MATCH(($A85 &amp; "Points"),CLASSNAMEHEADERS,0)))}</f>
        <v>LEARNED L15</v>
      </c>
      <c r="V84" s="223" t="str">
        <f t="array" ref="V84:V85">{"LEARNED L16";(INDEX(ALLCLASSDATA,MATCH("Learned-L16",CLASSFEATUREHEADERS,0),MATCH(($A85 &amp; "Points"),CLASSNAMEHEADERS,0)))}</f>
        <v>LEARNED L16</v>
      </c>
      <c r="W84" s="223" t="str">
        <f t="array" ref="W84:W85">{"LEARNED L17";(INDEX(ALLCLASSDATA,MATCH("Learned-L17",CLASSFEATUREHEADERS,0),MATCH(($A85 &amp; "Points"),CLASSNAMEHEADERS,0)))}</f>
        <v>LEARNED L17</v>
      </c>
      <c r="X84" s="223" t="str">
        <f t="array" ref="X84:X85">{"LEARNED L18";(INDEX(ALLCLASSDATA,MATCH("Learned-L18",CLASSFEATUREHEADERS,0),MATCH(($A85 &amp; "Points"),CLASSNAMEHEADERS,0)))}</f>
        <v>LEARNED L18</v>
      </c>
      <c r="Y84" s="223" t="str">
        <f t="array" ref="Y84:Y85">{"LEARNED L19";(INDEX(ALLCLASSDATA,MATCH("Learned-L19",CLASSFEATUREHEADERS,0),MATCH(($A85 &amp; "Points"),CLASSNAMEHEADERS,0)))}</f>
        <v>LEARNED L19</v>
      </c>
      <c r="Z84" s="223" t="str">
        <f t="array" ref="Z84:Z85">{"LEARNED L20";(INDEX(ALLCLASSDATA,MATCH("Learned-L20",CLASSFEATUREHEADERS,0),MATCH(($A85 &amp; "Points"),CLASSNAMEHEADERS,0)))}</f>
        <v>LEARNED L20</v>
      </c>
      <c r="AA84" s="76"/>
      <c r="AB84" s="76" t="str">
        <f t="array" ref="AB84:AB85">{"LEARNED TOTAL";(sum(F85:Z85))}</f>
        <v>LEARNED TOTAL</v>
      </c>
    </row>
    <row r="85">
      <c r="A85" s="48" t="s">
        <v>211</v>
      </c>
      <c r="B85" s="48" t="s">
        <v>417</v>
      </c>
      <c r="C85" s="48" t="s">
        <v>1901</v>
      </c>
      <c r="D85" s="48" t="s">
        <v>1902</v>
      </c>
      <c r="E85" s="278" t="s">
        <v>1906</v>
      </c>
      <c r="F85" s="47"/>
      <c r="G85" s="5">
        <v>40.0</v>
      </c>
      <c r="H85" s="5">
        <v>20.0</v>
      </c>
      <c r="I85" s="5">
        <v>40.0</v>
      </c>
      <c r="J85" s="5">
        <v>20.0</v>
      </c>
      <c r="K85" s="5">
        <v>40.0</v>
      </c>
      <c r="L85" s="5">
        <v>20.0</v>
      </c>
      <c r="M85" s="48">
        <v>40.0</v>
      </c>
      <c r="N85" s="5">
        <v>20.0</v>
      </c>
      <c r="O85" s="5">
        <v>40.0</v>
      </c>
      <c r="P85" s="5">
        <v>20.0</v>
      </c>
      <c r="Q85" s="5">
        <v>40.0</v>
      </c>
      <c r="R85" s="5">
        <v>20.0</v>
      </c>
      <c r="S85" s="5">
        <v>40.0</v>
      </c>
      <c r="T85" s="5">
        <v>20.0</v>
      </c>
      <c r="U85" s="5">
        <v>40.0</v>
      </c>
      <c r="V85" s="5">
        <v>20.0</v>
      </c>
      <c r="W85" s="5">
        <v>40.0</v>
      </c>
      <c r="X85" s="5">
        <v>20.0</v>
      </c>
      <c r="Y85" s="5">
        <v>0.0</v>
      </c>
      <c r="Z85" s="5" t="s">
        <v>603</v>
      </c>
      <c r="AA85" s="5"/>
      <c r="AB85" s="47">
        <v>540.0</v>
      </c>
    </row>
    <row r="86" hidden="1">
      <c r="A86" s="222" t="str">
        <f t="array" ref="A86:A87">{"FormulaRow42";(INDEX(CLASSLIST,A3,1))}</f>
        <v>FormulaRow42</v>
      </c>
      <c r="B86" s="222" t="str">
        <f t="array" ref="B86:B87">{"CLASSTYPE";((INDEX(ALLCLASSDATA,MATCH("ClassType",CLASSFEATUREHEADERS,0),MATCH($A87,CLASSNAMEHEADERS,0))))}</f>
        <v>CLASSTYPE</v>
      </c>
      <c r="C86" s="222" t="str">
        <f t="array" ref="C86:C87">{"SPELL/ALCHEMY";((IF(INDEX(ALLCLASSDATA,MATCH("CasterType",CLASSFEATUREHEADERS,0),MATCH(($A87),CLASSNAMEHEADERS,0))="","",(IF(INDEX(ALLCLASSDATA,MATCH("CasterType",CLASSFEATUREHEADERS,0),MATCH(($A87),CLASSNAMEHEADERS,0))="Alchemy","","Spells")))))}</f>
        <v>SPELL/ALCHEMY</v>
      </c>
      <c r="D86" s="222" t="str">
        <f t="array" ref="D86:D87">{"SPELLLIST";(IF(C87="Spells",((INDEX(ALLCLASSDATA,MATCH("CasterType",CLASSFEATUREHEADERS,0),MATCH(($A87),CLASSNAMEHEADERS,0))) &amp; ":" &amp; (INDEX(ALLCLASSDATA,MATCH("SpellList",CLASSFEATUREHEADERS,0),MATCH(($A87),CLASSNAMEHEADERS,0)))),""))}</f>
        <v>SPELLLIST</v>
      </c>
      <c r="E86" s="223" t="str">
        <f t="array" ref="E86:E87">{"SLOT/LVL";(IF(C81="Spells","Slot/LVL:",""))}</f>
        <v>SLOT/LVL</v>
      </c>
      <c r="F86" s="223" t="str">
        <f t="array" ref="F86:F87">{"CANTRIPSLOTS";(INDEX(ALLCLASSDATA,MATCH("CantripSlots-L00",CLASSFEATUREHEADERS,0),MATCH($A87,CLASSNAMEHEADERS,0)))}</f>
        <v>#REF!</v>
      </c>
      <c r="G86" s="223" t="str">
        <f t="array" ref="G86:G87">{"SPL01-L01";(INDEX(ALLCLASSDATA,MATCH("SPL01-L01",CLASSFEATUREHEADERS,0),MATCH($A87,CLASSNAMEHEADERS,0)))}</f>
        <v>SPL01-L01</v>
      </c>
      <c r="H86" s="223" t="str">
        <f t="array" ref="H86:H87">{"SPL01-L02";(INDEX(ALLCLASSDATA,MATCH("SPL01-L02",CLASSFEATUREHEADERS,0),MATCH($A87,CLASSNAMEHEADERS,0)))}</f>
        <v>#REF!</v>
      </c>
      <c r="I86" s="223" t="str">
        <f t="array" ref="I86:I87">{"SPL02-L03";(INDEX(ALLCLASSDATA,MATCH("SPL02-L03",CLASSFEATUREHEADERS,0),MATCH($A87,CLASSNAMEHEADERS,0)))}</f>
        <v>SPL02-L03</v>
      </c>
      <c r="J86" s="223" t="str">
        <f t="array" ref="J86:J87">{"SPL02-L04";(INDEX(ALLCLASSDATA,MATCH("SPL02-L04",CLASSFEATUREHEADERS,0),MATCH($A87,CLASSNAMEHEADERS,0)))}</f>
        <v>#REF!</v>
      </c>
      <c r="K86" s="223" t="str">
        <f t="array" ref="K86:K87">{"SPL03-L05";(INDEX(ALLCLASSDATA,MATCH("SPL03-L05",CLASSFEATUREHEADERS,0),MATCH($A87,CLASSNAMEHEADERS,0)))}</f>
        <v>SPL03-L05</v>
      </c>
      <c r="L86" s="223" t="str">
        <f t="array" ref="L86:L87">{"SPL03-L06";(INDEX(ALLCLASSDATA,MATCH("SPL03-L06",CLASSFEATUREHEADERS,0),MATCH($A87,CLASSNAMEHEADERS,0)))}</f>
        <v>#REF!</v>
      </c>
      <c r="M86" s="223" t="str">
        <f t="array" ref="M86:M87">{"SPL04-L07";(INDEX(ALLCLASSDATA,MATCH("SPL04-L07",CLASSFEATUREHEADERS,0),MATCH($A87,CLASSNAMEHEADERS,0)))}</f>
        <v>SPL04-L07</v>
      </c>
      <c r="N86" s="223" t="str">
        <f t="array" ref="N86:N87">{"SPL04-L08";(INDEX(ALLCLASSDATA,MATCH("SPL04-L08",CLASSFEATUREHEADERS,0),MATCH($A87,CLASSNAMEHEADERS,0)))}</f>
        <v>#REF!</v>
      </c>
      <c r="O86" s="223" t="str">
        <f t="array" ref="O86:O87">{"SPL05-L09";(INDEX(ALLCLASSDATA,MATCH("SPL05-L09",CLASSFEATUREHEADERS,0),MATCH($A87,CLASSNAMEHEADERS,0)))}</f>
        <v>SPL05-L09</v>
      </c>
      <c r="P86" s="223" t="str">
        <f t="array" ref="P86:P87">{"SPL05-L10";(INDEX(ALLCLASSDATA,MATCH("SPL05-L10",CLASSFEATUREHEADERS,0),MATCH($A87,CLASSNAMEHEADERS,0)))}</f>
        <v>#REF!</v>
      </c>
      <c r="Q86" s="223" t="str">
        <f t="array" ref="Q86:Q87">{"SPL06-L11";(INDEX(ALLCLASSDATA,MATCH("SPL06-L11",CLASSFEATUREHEADERS,0),MATCH($A87,CLASSNAMEHEADERS,0)))}</f>
        <v>SPL06-L11</v>
      </c>
      <c r="R86" s="223" t="str">
        <f t="array" ref="R86:R87">{"SPL06-L12";(INDEX(ALLCLASSDATA,MATCH("SPL06-L12",CLASSFEATUREHEADERS,0),MATCH($A87,CLASSNAMEHEADERS,0)))}</f>
        <v>#REF!</v>
      </c>
      <c r="S86" s="223" t="str">
        <f t="array" ref="S86:S87">{"SPL07-L13";(INDEX(ALLCLASSDATA,MATCH("SPL07-L13",CLASSFEATUREHEADERS,0),MATCH($A87,CLASSNAMEHEADERS,0)))}</f>
        <v>SPL07-L13</v>
      </c>
      <c r="T86" s="223" t="str">
        <f t="array" ref="T86:T87">{"SPL07-L14";(INDEX(ALLCLASSDATA,MATCH("SPL07-L14",CLASSFEATUREHEADERS,0),MATCH($A87,CLASSNAMEHEADERS,0)))}</f>
        <v>#REF!</v>
      </c>
      <c r="U86" s="223" t="str">
        <f t="array" ref="U86:U87">{"SPL08-L15";(INDEX(ALLCLASSDATA,MATCH("SPL08-L15",CLASSFEATUREHEADERS,0),MATCH($A87,CLASSNAMEHEADERS,0)))}</f>
        <v>SPL08-L15</v>
      </c>
      <c r="V86" s="223" t="str">
        <f t="array" ref="V86:V87">{"SPL08-L16";(INDEX(ALLCLASSDATA,MATCH("SPL08-L16",CLASSFEATUREHEADERS,0),MATCH($A87,CLASSNAMEHEADERS,0)))}</f>
        <v>#REF!</v>
      </c>
      <c r="W86" s="223" t="str">
        <f t="array" ref="W86:W87">{"SPL09-L17";(INDEX(ALLCLASSDATA,MATCH("SPL09-L17",CLASSFEATUREHEADERS,0),MATCH($A87,CLASSNAMEHEADERS,0)))}</f>
        <v>SPL09-L17</v>
      </c>
      <c r="X86" s="223" t="str">
        <f t="array" ref="X86:X87">{"SPL09-L18";(INDEX(ALLCLASSDATA,MATCH("SPL09-L18",CLASSFEATUREHEADERS,0),MATCH($A87,CLASSNAMEHEADERS,0)))}</f>
        <v>#REF!</v>
      </c>
      <c r="Y86" s="223" t="str">
        <f t="array" ref="Y86:Y87">{"SPL10-L19";(INDEX(ALLCLASSDATA,MATCH("SPL10-L19",CLASSFEATUREHEADERS,0),MATCH($A87,CLASSNAMEHEADERS,0)))}</f>
        <v>SPL10-L19</v>
      </c>
      <c r="Z86" s="223" t="str">
        <f t="array" ref="Z86:Z87">{"SPL10-L20";(INDEX(ALLCLASSDATA,MATCH("SPL10-L20",CLASSFEATUREHEADERS,0),MATCH($A87,CLASSNAMEHEADERS,0)))}</f>
        <v>SPL10-L20</v>
      </c>
      <c r="AA86" s="76"/>
      <c r="AB86" s="76"/>
    </row>
    <row r="87">
      <c r="A87" s="48" t="s">
        <v>211</v>
      </c>
      <c r="B87" s="48" t="s">
        <v>417</v>
      </c>
      <c r="C87" s="48" t="s">
        <v>1901</v>
      </c>
      <c r="D87" s="48" t="s">
        <v>1902</v>
      </c>
      <c r="E87" s="278" t="s">
        <v>1907</v>
      </c>
      <c r="F87" s="114">
        <v>3.0</v>
      </c>
      <c r="G87" s="50" t="s">
        <v>1538</v>
      </c>
      <c r="H87" s="50" t="s">
        <v>1908</v>
      </c>
      <c r="I87" s="50" t="s">
        <v>1538</v>
      </c>
      <c r="J87" s="50" t="s">
        <v>1908</v>
      </c>
      <c r="K87" s="50" t="s">
        <v>1538</v>
      </c>
      <c r="L87" s="50" t="s">
        <v>1908</v>
      </c>
      <c r="M87" s="50" t="s">
        <v>1538</v>
      </c>
      <c r="N87" s="50" t="s">
        <v>1908</v>
      </c>
      <c r="O87" s="50" t="s">
        <v>1538</v>
      </c>
      <c r="P87" s="50" t="s">
        <v>1908</v>
      </c>
      <c r="Q87" s="50" t="s">
        <v>1538</v>
      </c>
      <c r="R87" s="50" t="s">
        <v>1908</v>
      </c>
      <c r="S87" s="50" t="s">
        <v>1538</v>
      </c>
      <c r="T87" s="50" t="s">
        <v>1908</v>
      </c>
      <c r="U87" s="50" t="s">
        <v>1538</v>
      </c>
      <c r="V87" s="50" t="s">
        <v>1908</v>
      </c>
      <c r="W87" s="50" t="s">
        <v>1538</v>
      </c>
      <c r="X87" s="50" t="s">
        <v>1908</v>
      </c>
      <c r="Y87" s="50" t="s">
        <v>1537</v>
      </c>
      <c r="Z87" s="50"/>
      <c r="AA87" s="278"/>
      <c r="AB87" s="47"/>
    </row>
    <row r="88" hidden="1">
      <c r="A88" s="222" t="str">
        <f t="array" ref="A88:A89">{"FormulaRow43";(INDEX(CLASSLIST,A3,1))}</f>
        <v>FormulaRow43</v>
      </c>
      <c r="B88" s="222" t="str">
        <f t="array" ref="B88:B89">{"CLASSTYPE";((INDEX(ALLCLASSDATA,MATCH("ClassType",CLASSFEATUREHEADERS,0),MATCH($A89,CLASSNAMEHEADERS,0))))}</f>
        <v>CLASSTYPE</v>
      </c>
      <c r="C88" s="222" t="str">
        <f t="array" ref="C88:C89">{"SPELL/ALCHEMY";((IF(INDEX(ALLCLASSDATA,MATCH("CasterType",CLASSFEATUREHEADERS,0),MATCH(($A89),CLASSNAMEHEADERS,0))="","",(IF(INDEX(ALLCLASSDATA,MATCH("CasterType",CLASSFEATUREHEADERS,0),MATCH(($A89),CLASSNAMEHEADERS,0))="Alchemy","Alchemy","Spells")))))}</f>
        <v>SPELL/ALCHEMY</v>
      </c>
      <c r="D88" s="222" t="str">
        <f t="array" ref="D88:D89">{"SPELLLIST";(IF(C89="Spells",((INDEX(ALLCLASSDATA,MATCH("CasterType",CLASSFEATUREHEADERS,0),MATCH(($A89),CLASSNAMEHEADERS,0))) &amp; ":" &amp; (INDEX(ALLCLASSDATA,MATCH("SpellList",CLASSFEATUREHEADERS,0),MATCH(($A89),CLASSNAMEHEADERS,0)))),""))}</f>
        <v>SPELLLIST</v>
      </c>
      <c r="E88" s="223" t="str">
        <f t="array" ref="E88:E89">{"LEARNED/LVL";(IF(C89="","","Learn/LVL:"))}</f>
        <v>LEARNED/LVL</v>
      </c>
      <c r="F88" s="223" t="str">
        <f t="array" ref="F88:F89">{"LEARNEDCANTRIPS";(INDEX(ALLCLASSDATA,MATCH("CantripsLearned-L00",CLASSFEATUREHEADERS,0),MATCH($A89,CLASSNAMEHEADERS,0)))}</f>
        <v>LEARNEDCANTRIPS</v>
      </c>
      <c r="G88" s="223" t="str">
        <f t="array" ref="G88:G89">{"LEARNED L01";(INDEX(ALLCLASSDATA,MATCH("Learned-L01",CLASSFEATUREHEADERS,0),MATCH($A89,CLASSNAMEHEADERS,0)))}</f>
        <v>LEARNED L01</v>
      </c>
      <c r="H88" s="223" t="str">
        <f t="array" ref="H88:H89">{"LEARNED L02";(INDEX(ALLCLASSDATA,MATCH("Learned-L02",CLASSFEATUREHEADERS,0),MATCH($A89,CLASSNAMEHEADERS,0)))}</f>
        <v>LEARNED L02</v>
      </c>
      <c r="I88" s="223" t="str">
        <f t="array" ref="I88:I89">{"LEARNED L03";(INDEX(ALLCLASSDATA,MATCH("Learned-L03",CLASSFEATUREHEADERS,0),MATCH($A89,CLASSNAMEHEADERS,0)))}</f>
        <v>LEARNED L03</v>
      </c>
      <c r="J88" s="223" t="str">
        <f t="array" ref="J88:J89">{"LEARNED L04";(INDEX(ALLCLASSDATA,MATCH("Learned-L04",CLASSFEATUREHEADERS,0),MATCH($A89,CLASSNAMEHEADERS,0)))}</f>
        <v>LEARNED L04</v>
      </c>
      <c r="K88" s="223" t="str">
        <f t="array" ref="K88:K89">{"LEARNED L05";(INDEX(ALLCLASSDATA,MATCH("Learned-L05",CLASSFEATUREHEADERS,0),MATCH($A89,CLASSNAMEHEADERS,0)))}</f>
        <v>LEARNED L05</v>
      </c>
      <c r="L88" s="223" t="str">
        <f t="array" ref="L88:L89">{"LEARNED L06";(INDEX(ALLCLASSDATA,MATCH("Learned-L06",CLASSFEATUREHEADERS,0),MATCH($A89,CLASSNAMEHEADERS,0)))}</f>
        <v>LEARNED L06</v>
      </c>
      <c r="M88" s="223" t="str">
        <f t="array" ref="M88:M89">{"LEARNED L07";(INDEX(ALLCLASSDATA,MATCH("Learned-L07",CLASSFEATUREHEADERS,0),MATCH($A89,CLASSNAMEHEADERS,0)))}</f>
        <v>LEARNED L07</v>
      </c>
      <c r="N88" s="223" t="str">
        <f t="array" ref="N88:N89">{"LEARNED L08";(INDEX(ALLCLASSDATA,MATCH("Learned-L08",CLASSFEATUREHEADERS,0),MATCH($A89,CLASSNAMEHEADERS,0)))}</f>
        <v>LEARNED L08</v>
      </c>
      <c r="O88" s="223" t="str">
        <f t="array" ref="O88:O89">{"LEARNED L09";(INDEX(ALLCLASSDATA,MATCH("Learned-L09",CLASSFEATUREHEADERS,0),MATCH($A89,CLASSNAMEHEADERS,0)))}</f>
        <v>LEARNED L09</v>
      </c>
      <c r="P88" s="223" t="str">
        <f t="array" ref="P88:P89">{"LEARNED L10";(INDEX(ALLCLASSDATA,MATCH("Learned-L10",CLASSFEATUREHEADERS,0),MATCH($A89,CLASSNAMEHEADERS,0)))}</f>
        <v>LEARNED L10</v>
      </c>
      <c r="Q88" s="223" t="str">
        <f t="array" ref="Q88:Q89">{"LEARNED L11";(INDEX(ALLCLASSDATA,MATCH("Learned-L11",CLASSFEATUREHEADERS,0),MATCH($A89,CLASSNAMEHEADERS,0)))}</f>
        <v>LEARNED L11</v>
      </c>
      <c r="R88" s="223" t="str">
        <f t="array" ref="R88:R89">{"LEARNED L12";(INDEX(ALLCLASSDATA,MATCH("Learned-L12",CLASSFEATUREHEADERS,0),MATCH($A89,CLASSNAMEHEADERS,0)))}</f>
        <v>LEARNED L12</v>
      </c>
      <c r="S88" s="223" t="str">
        <f t="array" ref="S88:S89">{"LEARNED L13";(INDEX(ALLCLASSDATA,MATCH("Learned-L13",CLASSFEATUREHEADERS,0),MATCH($A89,CLASSNAMEHEADERS,0)))}</f>
        <v>LEARNED L13</v>
      </c>
      <c r="T88" s="223" t="str">
        <f t="array" ref="T88:T89">{"LEARNED L14";(INDEX(ALLCLASSDATA,MATCH("Learned-L14",CLASSFEATUREHEADERS,0),MATCH($A89,CLASSNAMEHEADERS,0)))}</f>
        <v>LEARNED L14</v>
      </c>
      <c r="U88" s="223" t="str">
        <f t="array" ref="U88:U89">{"LEARNED L15";(INDEX(ALLCLASSDATA,MATCH("Learned-L15",CLASSFEATUREHEADERS,0),MATCH($A89,CLASSNAMEHEADERS,0)))}</f>
        <v>LEARNED L15</v>
      </c>
      <c r="V88" s="223" t="str">
        <f t="array" ref="V88:V89">{"LEARNED L16";(INDEX(ALLCLASSDATA,MATCH("Learned-L16",CLASSFEATUREHEADERS,0),MATCH($A89,CLASSNAMEHEADERS,0)))}</f>
        <v>LEARNED L16</v>
      </c>
      <c r="W88" s="223" t="str">
        <f t="array" ref="W88:W89">{"LEARNED L17";(INDEX(ALLCLASSDATA,MATCH("Learned-L17",CLASSFEATUREHEADERS,0),MATCH($A89,CLASSNAMEHEADERS,0)))}</f>
        <v>LEARNED L17</v>
      </c>
      <c r="X88" s="223" t="str">
        <f t="array" ref="X88:X89">{"LEARNED L18";(INDEX(ALLCLASSDATA,MATCH("Learned-L18",CLASSFEATUREHEADERS,0),MATCH($A89,CLASSNAMEHEADERS,0)))}</f>
        <v>LEARNED L18</v>
      </c>
      <c r="Y88" s="223" t="str">
        <f t="array" ref="Y88:Y89">{"LEARNED L19";(INDEX(ALLCLASSDATA,MATCH("Learned-L19",CLASSFEATUREHEADERS,0),MATCH($A89,CLASSNAMEHEADERS,0)))}</f>
        <v>LEARNED L19</v>
      </c>
      <c r="Z88" s="223" t="str">
        <f t="array" ref="Z88:Z89">{"LEARNED L20";(INDEX(ALLCLASSDATA,MATCH("Learned-L20",CLASSFEATUREHEADERS,0),MATCH($A89,CLASSNAMEHEADERS,0)))}</f>
        <v>LEARNED L20</v>
      </c>
      <c r="AA88" s="76"/>
      <c r="AB88" s="76"/>
    </row>
    <row r="89">
      <c r="A89" s="48" t="s">
        <v>211</v>
      </c>
      <c r="B89" s="48" t="s">
        <v>417</v>
      </c>
      <c r="C89" s="48" t="s">
        <v>1901</v>
      </c>
      <c r="D89" s="48" t="s">
        <v>1902</v>
      </c>
      <c r="E89" s="278" t="s">
        <v>1909</v>
      </c>
      <c r="F89" s="280"/>
      <c r="G89" s="278" t="s">
        <v>1573</v>
      </c>
      <c r="H89" s="278" t="s">
        <v>1538</v>
      </c>
      <c r="I89" s="278" t="s">
        <v>1573</v>
      </c>
      <c r="J89" s="278" t="s">
        <v>1538</v>
      </c>
      <c r="K89" s="50" t="s">
        <v>1573</v>
      </c>
      <c r="L89" s="50" t="s">
        <v>1538</v>
      </c>
      <c r="M89" s="278" t="s">
        <v>1573</v>
      </c>
      <c r="N89" s="50" t="s">
        <v>1538</v>
      </c>
      <c r="O89" s="278" t="s">
        <v>1573</v>
      </c>
      <c r="P89" s="278" t="s">
        <v>1538</v>
      </c>
      <c r="Q89" s="278" t="s">
        <v>1573</v>
      </c>
      <c r="R89" s="278" t="s">
        <v>1538</v>
      </c>
      <c r="S89" s="278" t="s">
        <v>1573</v>
      </c>
      <c r="T89" s="278" t="s">
        <v>1538</v>
      </c>
      <c r="U89" s="278" t="s">
        <v>1573</v>
      </c>
      <c r="V89" s="278" t="s">
        <v>1538</v>
      </c>
      <c r="W89" s="278" t="s">
        <v>1573</v>
      </c>
      <c r="X89" s="278" t="s">
        <v>1538</v>
      </c>
      <c r="Y89" s="278" t="s">
        <v>1538</v>
      </c>
      <c r="Z89" s="278"/>
      <c r="AA89" s="278"/>
      <c r="AB89" s="47"/>
    </row>
    <row r="90" hidden="1">
      <c r="A90" s="222" t="str">
        <f t="array" ref="A90:A91">{"FormulaRow44";(INDEX(CLASSLIST,A3,1))}</f>
        <v>FormulaRow44</v>
      </c>
      <c r="B90" s="222" t="str">
        <f t="array" ref="B90:B91">{"CLASSTYPE";((INDEX(ALLCLASSDATA,MATCH("ClassType",CLASSFEATUREHEADERS,0),MATCH($A91,CLASSNAMEHEADERS,0))))}</f>
        <v>CLASSTYPE</v>
      </c>
      <c r="C90" s="222" t="str">
        <f t="array" ref="C90:C91">{"SPELL/ALCHEMY";((IF(INDEX(ALLCLASSDATA,MATCH("CasterType",CLASSFEATUREHEADERS,0),MATCH(($A91),CLASSNAMEHEADERS,0))="","",(IF(INDEX(ALLCLASSDATA,MATCH("CasterType",CLASSFEATUREHEADERS,0),MATCH(($A91),CLASSNAMEHEADERS,0))="Alchemy","","Spells")))))}</f>
        <v>SPELL/ALCHEMY</v>
      </c>
      <c r="D90" s="222" t="str">
        <f t="array" ref="D90:D91">{"SPELLLIST";(IF(C91="Spells",((INDEX(ALLCLASSDATA,MATCH("CasterType",CLASSFEATUREHEADERS,0),MATCH(($A91),CLASSNAMEHEADERS,0))) &amp; ":" &amp; (INDEX(ALLCLASSDATA,MATCH("SpellList",CLASSFEATUREHEADERS,0),MATCH(($A91),CLASSNAMEHEADERS,0)))),""))}</f>
        <v>SPELLLIST</v>
      </c>
      <c r="E90" s="223" t="str">
        <f t="array" ref="E90:E91">{"TOTALSLOTS";(IF(C91="","","TotalSlots:"))}</f>
        <v>TOTALSLOTS</v>
      </c>
      <c r="F90" s="223" t="str">
        <f t="array" ref="F90:F91">{"TOTALCANTRIPSLOTS";(F87)}</f>
        <v>TOTALCANTRIPSLOTS</v>
      </c>
      <c r="G90" s="223" t="str">
        <f t="array" ref="G90:G91">{"TOTALSLOTS L01";(G87)}</f>
        <v>TOTALSLOTS L01</v>
      </c>
      <c r="H90" s="223" t="str">
        <f t="array" ref="H90:H91">{"TOTALSLOTS L02";(G91+H87)}</f>
        <v>TOTALSLOTS L02</v>
      </c>
      <c r="I90" s="223" t="str">
        <f t="array" ref="I90:I91">{"TOTALSLOTS L03";(H91+I87)}</f>
        <v>TOTALSLOTS L03</v>
      </c>
      <c r="J90" s="223" t="str">
        <f t="array" ref="J90:J91">{"TOTALSLOTS L04";(I91+J87)}</f>
        <v>TOTALSLOTS L04</v>
      </c>
      <c r="K90" s="223" t="str">
        <f t="array" ref="K90:K91">{"TOTALSLOTS L05";(J91+K87)}</f>
        <v>TOTALSLOTS L05</v>
      </c>
      <c r="L90" s="223" t="str">
        <f t="array" ref="L90:L91">{"TOTALSLOTS L06";(K91+L87)}</f>
        <v>TOTALSLOTS L06</v>
      </c>
      <c r="M90" s="223" t="str">
        <f t="array" ref="M90:M91">{"TOTALSLOTS L07";(L91+M87)}</f>
        <v>TOTALSLOTS L07</v>
      </c>
      <c r="N90" s="223" t="str">
        <f t="array" ref="N90:N91">{"TOTALSLOTS L08";(M91+N87)}</f>
        <v>TOTALSLOTS L08</v>
      </c>
      <c r="O90" s="223" t="str">
        <f t="array" ref="O90:O91">{"TOTALSLOTS L09";(N91+O87)}</f>
        <v>TOTALSLOTS L09</v>
      </c>
      <c r="P90" s="223" t="str">
        <f t="array" ref="P90:P91">{"TOTALSLOTS L10";(O91+P87)}</f>
        <v>TOTALSLOTS L10</v>
      </c>
      <c r="Q90" s="223" t="str">
        <f t="array" ref="Q90:Q91">{"TOTALSLOTS L11";(P91+Q87)}</f>
        <v>TOTALSLOTS L11</v>
      </c>
      <c r="R90" s="223" t="str">
        <f t="array" ref="R90:R91">{"TOTALSLOTS L12";(Q91+R87)}</f>
        <v>TOTALSLOTS L12</v>
      </c>
      <c r="S90" s="223" t="str">
        <f t="array" ref="S90:S91">{"TOTALSLOTS L13";(R91+S87)}</f>
        <v>TOTALSLOTS L13</v>
      </c>
      <c r="T90" s="223" t="str">
        <f t="array" ref="T90:T91">{"TOTALSLOTS L14";(S91+T87)}</f>
        <v>TOTALSLOTS L14</v>
      </c>
      <c r="U90" s="223" t="str">
        <f t="array" ref="U90:U91">{"TOTALSLOTS L15";(T91+U87)}</f>
        <v>TOTALSLOTS L15</v>
      </c>
      <c r="V90" s="223" t="str">
        <f t="array" ref="V90:V91">{"TOTALSLOTS L16";(U91+V87)}</f>
        <v>TOTALSLOTS L16</v>
      </c>
      <c r="W90" s="223" t="str">
        <f t="array" ref="W90:W91">{"TOTALSLOTS L17";(V91+W87)}</f>
        <v>TOTALSLOTS L17</v>
      </c>
      <c r="X90" s="223" t="str">
        <f t="array" ref="X90:X91">{"TOTALSLOTS L18";(W91+X87)}</f>
        <v>TOTALSLOTS L18</v>
      </c>
      <c r="Y90" s="223" t="str">
        <f t="array" ref="Y90:Y91">{"TOTALSLOTS L19";(X91+Y87)}</f>
        <v>TOTALSLOTS L19</v>
      </c>
      <c r="Z90" s="223" t="str">
        <f t="array" ref="Z90:Z91">{"TOTALSLOTS L20";(Y91+Z87)}</f>
        <v>TOTALSLOTS L20</v>
      </c>
      <c r="AA90" s="76"/>
      <c r="AB90" s="76"/>
    </row>
    <row r="91">
      <c r="A91" s="48" t="s">
        <v>211</v>
      </c>
      <c r="B91" s="48" t="s">
        <v>417</v>
      </c>
      <c r="C91" s="48" t="s">
        <v>1901</v>
      </c>
      <c r="D91" s="48" t="s">
        <v>1902</v>
      </c>
      <c r="E91" s="278" t="s">
        <v>1910</v>
      </c>
      <c r="F91" s="47">
        <v>3.0</v>
      </c>
      <c r="G91" s="278" t="s">
        <v>1538</v>
      </c>
      <c r="H91" s="278">
        <v>2.0</v>
      </c>
      <c r="I91" s="278">
        <v>4.0</v>
      </c>
      <c r="J91" s="278">
        <v>4.0</v>
      </c>
      <c r="K91" s="278">
        <v>6.0</v>
      </c>
      <c r="L91" s="278">
        <v>6.0</v>
      </c>
      <c r="M91" s="278">
        <v>8.0</v>
      </c>
      <c r="N91" s="278">
        <v>8.0</v>
      </c>
      <c r="O91" s="278">
        <v>10.0</v>
      </c>
      <c r="P91" s="278">
        <v>10.0</v>
      </c>
      <c r="Q91" s="278">
        <v>12.0</v>
      </c>
      <c r="R91" s="278">
        <v>12.0</v>
      </c>
      <c r="S91" s="278">
        <v>14.0</v>
      </c>
      <c r="T91" s="278">
        <v>14.0</v>
      </c>
      <c r="U91" s="278">
        <v>16.0</v>
      </c>
      <c r="V91" s="278">
        <v>16.0</v>
      </c>
      <c r="W91" s="278">
        <v>18.0</v>
      </c>
      <c r="X91" s="278">
        <v>18.0</v>
      </c>
      <c r="Y91" s="278">
        <v>19.0</v>
      </c>
      <c r="Z91" s="278">
        <v>19.0</v>
      </c>
      <c r="AA91" s="5"/>
      <c r="AB91" s="47"/>
    </row>
    <row r="92" hidden="1">
      <c r="A92" s="222" t="str">
        <f t="array" ref="A92:A93">{"FormulaRow45";(INDEX(CLASSLIST,A3,1))}</f>
        <v>FormulaRow45</v>
      </c>
      <c r="B92" s="222" t="str">
        <f t="array" ref="B92:B93">{"CLASSTYPE";((INDEX(ALLCLASSDATA,MATCH("ClassType",CLASSFEATUREHEADERS,0),MATCH($A93,CLASSNAMEHEADERS,0))))}</f>
        <v>CLASSTYPE</v>
      </c>
      <c r="C92" s="222" t="str">
        <f t="array" ref="C92:C93">{"SPELL/ALCHEMY";((IF(INDEX(ALLCLASSDATA,MATCH("CasterType",CLASSFEATUREHEADERS,0),MATCH(($A93),CLASSNAMEHEADERS,0))="","",(IF(INDEX(ALLCLASSDATA,MATCH("CasterType",CLASSFEATUREHEADERS,0),MATCH(($A93),CLASSNAMEHEADERS,0))="Alchemy","Alchemy","Spells")))))}</f>
        <v>SPELL/ALCHEMY</v>
      </c>
      <c r="D92" s="222" t="str">
        <f t="array" ref="D92:D93">{"SPELLLIST";(IF(C93="Spells",((INDEX(ALLCLASSDATA,MATCH("CasterType",CLASSFEATUREHEADERS,0),MATCH(($A93),CLASSNAMEHEADERS,0))) &amp; ":" &amp; (INDEX(ALLCLASSDATA,MATCH("SpellList",CLASSFEATUREHEADERS,0),MATCH(($A93),CLASSNAMEHEADERS,0)))),""))}</f>
        <v>SPELLLIST</v>
      </c>
      <c r="E92" s="223" t="str">
        <f t="array" ref="E92:E93">{"TOTALLEARNED";(IF(C93="","","TotalLearned:"))}</f>
        <v>TOTALLEARNED</v>
      </c>
      <c r="F92" s="223" t="str">
        <f t="array" ref="F92:F93">{"TOTALCANTRIPSLEARNED";(F89)}</f>
        <v>TOTALCANTRIPSLEARNED</v>
      </c>
      <c r="G92" s="223" t="str">
        <f t="array" ref="G92:G93">{"TOTALLEARNED L01";(G89)}</f>
        <v>TOTALLEARNED L01</v>
      </c>
      <c r="H92" s="223" t="str">
        <f t="array" ref="H92:H93">{"TOTALLEARNED L02";(G93+H89)}</f>
        <v>TOTALLEARNED L02</v>
      </c>
      <c r="I92" s="223" t="str">
        <f t="array" ref="I92:I93">{"TOTALLEARNED L03";(H93+I89)}</f>
        <v>TOTALLEARNED L03</v>
      </c>
      <c r="J92" s="223" t="str">
        <f t="array" ref="J92:J93">{"TOTALLEARNED L04";(I93+J89)}</f>
        <v>TOTALLEARNED L04</v>
      </c>
      <c r="K92" s="223" t="str">
        <f t="array" ref="K92:K93">{"TOTALLEARNED L05";(J93+K89)}</f>
        <v>TOTALLEARNED L05</v>
      </c>
      <c r="L92" s="223" t="str">
        <f t="array" ref="L92:L93">{"TOTALLEARNED L06";(K93+L89)}</f>
        <v>TOTALLEARNED L06</v>
      </c>
      <c r="M92" s="223" t="str">
        <f t="array" ref="M92:M93">{"TOTALLEARNED L07";(L93+M89)}</f>
        <v>TOTALLEARNED L07</v>
      </c>
      <c r="N92" s="223" t="str">
        <f t="array" ref="N92:N93">{"TOTALLEARNED L08";(M93+N89)}</f>
        <v>TOTALLEARNED L08</v>
      </c>
      <c r="O92" s="223" t="str">
        <f t="array" ref="O92:O93">{"TOTALLEARNED L09";(N93+O89)}</f>
        <v>TOTALLEARNED L09</v>
      </c>
      <c r="P92" s="223" t="str">
        <f t="array" ref="P92:P93">{"TOTALLEARNED L10";(O93+P89)}</f>
        <v>TOTALLEARNED L10</v>
      </c>
      <c r="Q92" s="223" t="str">
        <f t="array" ref="Q92:Q93">{"TOTALLEARNED L11";(P93+Q89)}</f>
        <v>TOTALLEARNED L11</v>
      </c>
      <c r="R92" s="223" t="str">
        <f t="array" ref="R92:R93">{"TOTALLEARNED L12";(Q93+R89)}</f>
        <v>TOTALLEARNED L12</v>
      </c>
      <c r="S92" s="223" t="str">
        <f t="array" ref="S92:S93">{"TOTALLEARNED L13";(R93+S89)}</f>
        <v>TOTALLEARNED L13</v>
      </c>
      <c r="T92" s="223" t="str">
        <f t="array" ref="T92:T93">{"TOTALLEARNED L14";(S93+T89)}</f>
        <v>TOTALLEARNED L14</v>
      </c>
      <c r="U92" s="223" t="str">
        <f t="array" ref="U92:U93">{"TOTALLEARNED L15";(T93+U89)}</f>
        <v>TOTALLEARNED L15</v>
      </c>
      <c r="V92" s="223" t="str">
        <f t="array" ref="V92:V93">{"TOTALLEARNED L16";(U93+V89)}</f>
        <v>TOTALLEARNED L16</v>
      </c>
      <c r="W92" s="223" t="str">
        <f t="array" ref="W92:W93">{"TOTALLEARNED L17";(V93+W89)}</f>
        <v>TOTALLEARNED L17</v>
      </c>
      <c r="X92" s="223" t="str">
        <f t="array" ref="X92:X93">{"TOTALLEARNED L18";(W93+X89)}</f>
        <v>TOTALLEARNED L18</v>
      </c>
      <c r="Y92" s="223" t="str">
        <f t="array" ref="Y92:Y93">{"TOTALLEARNED L19";(X93+Y89)}</f>
        <v>TOTALLEARNED L19</v>
      </c>
      <c r="Z92" s="223" t="str">
        <f t="array" ref="Z92:Z93">{"TOTALLEARNED L20";(Y93+Z89)}</f>
        <v>TOTALLEARNED L20</v>
      </c>
      <c r="AA92" s="76"/>
      <c r="AB92" s="76"/>
    </row>
    <row r="93">
      <c r="A93" s="97" t="s">
        <v>211</v>
      </c>
      <c r="B93" s="97" t="s">
        <v>417</v>
      </c>
      <c r="C93" s="97" t="s">
        <v>1901</v>
      </c>
      <c r="D93" s="97" t="s">
        <v>1902</v>
      </c>
      <c r="E93" s="281" t="s">
        <v>1911</v>
      </c>
      <c r="F93" s="282"/>
      <c r="G93" s="278" t="s">
        <v>1573</v>
      </c>
      <c r="H93" s="278">
        <v>6.0</v>
      </c>
      <c r="I93" s="278">
        <v>10.0</v>
      </c>
      <c r="J93" s="278">
        <v>12.0</v>
      </c>
      <c r="K93" s="278">
        <v>16.0</v>
      </c>
      <c r="L93" s="278">
        <v>18.0</v>
      </c>
      <c r="M93" s="278">
        <v>22.0</v>
      </c>
      <c r="N93" s="278">
        <v>24.0</v>
      </c>
      <c r="O93" s="278">
        <v>28.0</v>
      </c>
      <c r="P93" s="278">
        <v>30.0</v>
      </c>
      <c r="Q93" s="278">
        <v>34.0</v>
      </c>
      <c r="R93" s="278">
        <v>36.0</v>
      </c>
      <c r="S93" s="278">
        <v>40.0</v>
      </c>
      <c r="T93" s="278">
        <v>42.0</v>
      </c>
      <c r="U93" s="278">
        <v>46.0</v>
      </c>
      <c r="V93" s="278">
        <v>48.0</v>
      </c>
      <c r="W93" s="278">
        <v>52.0</v>
      </c>
      <c r="X93" s="278">
        <v>54.0</v>
      </c>
      <c r="Y93" s="278">
        <v>56.0</v>
      </c>
      <c r="Z93" s="278">
        <v>56.0</v>
      </c>
      <c r="AA93" s="5"/>
      <c r="AB93" s="47"/>
    </row>
    <row r="94">
      <c r="A94" s="55">
        <v>16.0</v>
      </c>
      <c r="B94" s="79" t="s">
        <v>1912</v>
      </c>
      <c r="C94" s="80"/>
      <c r="D94" s="80"/>
      <c r="E94" s="80"/>
      <c r="F94" s="80"/>
      <c r="G94" s="80"/>
      <c r="H94" s="80"/>
      <c r="I94" s="80"/>
      <c r="J94" s="80"/>
      <c r="K94" s="80"/>
      <c r="L94" s="80"/>
      <c r="M94" s="80"/>
      <c r="N94" s="80"/>
      <c r="O94" s="80"/>
      <c r="P94" s="80"/>
      <c r="Q94" s="80"/>
      <c r="R94" s="80"/>
      <c r="S94" s="80"/>
      <c r="T94" s="80"/>
      <c r="U94" s="80"/>
      <c r="V94" s="80"/>
      <c r="W94" s="80"/>
      <c r="X94" s="80"/>
      <c r="Y94" s="80"/>
      <c r="Z94" s="80"/>
      <c r="AA94" s="283"/>
      <c r="AB94" s="73"/>
    </row>
    <row r="95" hidden="1">
      <c r="A95" s="76" t="str">
        <f t="array" ref="A95:A96">{"FormulaRow01";(INDEX(CLASSLIST,A94,1))}</f>
        <v>FormulaRow01</v>
      </c>
      <c r="B95" s="76" t="str">
        <f t="array" ref="B95:B96">{"CLASSTYPE";(INDEX(ALLCLASSDATA,MATCH("ClassType",CLASSFEATUREHEADERS,0),MATCH($A96,CLASSNAMEHEADERS,0)))}</f>
        <v>CLASSTYPE</v>
      </c>
      <c r="C95" s="81" t="str">
        <f t="array" ref="C95:C96">{"TOTAL";("Total: " &amp; G96+I96+K96+M96+O96+Q96+S96+U96+W96+Y96)}</f>
        <v>TOTAL</v>
      </c>
      <c r="D95" s="81" t="str">
        <f t="array" ref="D95:D96">{"BALANCE";(IF((G96+I96+K96+M96+O96+Q96+S96+U96+W96+Y96)=2100,"(balanced)",(IF((G96+I96+K96+M96+O96+Q96+S96+U96+W96+Y96)&gt;2100,"OVERBUDGET: ","UNDERBUDGET: ")) &amp; (G96+I96+K96+M96+O96+Q96+S96+U96+W96+Y96-2100)))}</f>
        <v>BALANCE</v>
      </c>
      <c r="E95" s="81"/>
      <c r="F95" s="81"/>
      <c r="G95" s="81" t="str">
        <f t="array" ref="G95:G96">{"SUM LVL0/1/2";((SUMIF(E97:H176,"&lt;&gt;#REF!")+(SUMIF(I97:Z104,"&lt;&gt;#REF!"))))}</f>
        <v>SUM LVL0/1/2</v>
      </c>
      <c r="H95" s="81"/>
      <c r="I95" s="81" t="str">
        <f t="array" ref="I95:I96">{"SUM LVL3/4";(SUMIF(I105:J176,"&lt;&gt;#REF!"))}</f>
        <v>SUM LVL3/4</v>
      </c>
      <c r="J95" s="81"/>
      <c r="K95" s="81" t="str">
        <f t="array" ref="K95:K96">{"SUM LVL5/6";(SUMIF(K105:L176,"&lt;&gt;#REF!"))}</f>
        <v>SUM LVL5/6</v>
      </c>
      <c r="L95" s="81"/>
      <c r="M95" s="81" t="str">
        <f t="array" ref="M95:M96">{"SUM LVL7/8";(SUMIF(M105:N176,"&lt;&gt;#REF!"))}</f>
        <v>SUM LVL7/8</v>
      </c>
      <c r="N95" s="81"/>
      <c r="O95" s="81" t="str">
        <f t="array" ref="O95:O96">{"SUM LVL9/10";(SUMIF(O105:P176,"&lt;&gt;#REF!"))}</f>
        <v>SUM LVL9/10</v>
      </c>
      <c r="P95" s="81"/>
      <c r="Q95" s="81" t="str">
        <f t="array" ref="Q95:Q96">{"SUM LVL11/12";(SUMIF(Q105:R176,"&lt;&gt;#REF!"))}</f>
        <v>SUM LVL11/12</v>
      </c>
      <c r="R95" s="81"/>
      <c r="S95" s="81" t="str">
        <f t="array" ref="S95:S96">{"SUM LVL13/14";(SUMIF(S105:T176,"&lt;&gt;#REF!"))}</f>
        <v>SUM LVL13/14</v>
      </c>
      <c r="T95" s="81"/>
      <c r="U95" s="81" t="str">
        <f t="array" ref="U95:U96">{"SUM LVL15/16";(SUMIF(U105:V176,"&lt;&gt;#REF!"))}</f>
        <v>SUM LVL15/16</v>
      </c>
      <c r="V95" s="81"/>
      <c r="W95" s="81" t="str">
        <f t="array" ref="W95:W96">{"SUM LVL17/18";(SUMIF(W105:X176,"&lt;&gt;#REF!"))}</f>
        <v>SUM LVL17/18</v>
      </c>
      <c r="X95" s="81"/>
      <c r="Y95" s="81" t="str">
        <f t="array" ref="Y95:Y96">{"SUM LVL19/20";(SUMIF(Y105:Z176,"&lt;&gt;#REF!"))}</f>
        <v>SUM LVL19/20</v>
      </c>
      <c r="Z95" s="81"/>
      <c r="AA95" s="76"/>
      <c r="AB95" s="76" t="str">
        <f t="array" ref="AB95:AB96">{"SUM ROWTOTALS";(SUMIF(AB98:AB184,"&lt;&gt;#REF!"))}</f>
        <v>SUM ROWTOTALS</v>
      </c>
    </row>
    <row r="96">
      <c r="A96" s="48" t="s">
        <v>219</v>
      </c>
      <c r="B96" s="48" t="s">
        <v>418</v>
      </c>
      <c r="C96" s="97" t="s">
        <v>1913</v>
      </c>
      <c r="D96" s="98" t="s">
        <v>1914</v>
      </c>
      <c r="E96" s="97"/>
      <c r="F96" s="99"/>
      <c r="G96" s="98">
        <v>350.0</v>
      </c>
      <c r="H96" s="98"/>
      <c r="I96" s="98">
        <v>130.0</v>
      </c>
      <c r="J96" s="98"/>
      <c r="K96" s="98">
        <v>130.0</v>
      </c>
      <c r="L96" s="98"/>
      <c r="M96" s="98">
        <v>130.0</v>
      </c>
      <c r="N96" s="98"/>
      <c r="O96" s="98">
        <v>190.0</v>
      </c>
      <c r="P96" s="98"/>
      <c r="Q96" s="98">
        <v>230.0</v>
      </c>
      <c r="R96" s="98"/>
      <c r="S96" s="98">
        <v>200.0</v>
      </c>
      <c r="T96" s="98"/>
      <c r="U96" s="98">
        <v>190.0</v>
      </c>
      <c r="V96" s="98"/>
      <c r="W96" s="98">
        <v>80.0</v>
      </c>
      <c r="X96" s="98"/>
      <c r="Y96" s="98">
        <v>380.0</v>
      </c>
      <c r="Z96" s="98"/>
      <c r="AA96" s="5"/>
      <c r="AB96" s="47">
        <v>2010.0</v>
      </c>
    </row>
    <row r="97" hidden="1">
      <c r="A97" s="76" t="str">
        <f t="array" ref="A97:A98">{"FormulaRow02";(INDEX(CLASSLIST,A94,1))}</f>
        <v>FormulaRow02</v>
      </c>
      <c r="B97" s="76" t="str">
        <f t="array" ref="B97:B98">{"CLASSTYPE";((INDEX(ALLCLASSDATA,MATCH("ClassType",CLASSFEATUREHEADERS,0),MATCH($A98,CLASSNAMEHEADERS,0))))}</f>
        <v>CLASSTYPE</v>
      </c>
      <c r="C97" s="81" t="str">
        <f t="array" ref="C97:C98">{"FEATURES";"Features"}</f>
        <v>FEATURES</v>
      </c>
      <c r="D97" s="81" t="str">
        <f t="array" ref="D97:D98">{"INITIALFEATURES";"Initial Features"}</f>
        <v>INITIALFEATURES</v>
      </c>
      <c r="E97" s="81" t="str">
        <f t="array" ref="E97:E98">{"KEY";"Key"}</f>
        <v>KEY</v>
      </c>
      <c r="F97" s="81" t="str">
        <f t="array" ref="F97:F98">{"HP";"HP"}</f>
        <v>HP</v>
      </c>
      <c r="G97" s="81" t="str">
        <f t="array" ref="G97:G98">{"CLASSFEATL01";"ClassFeatL01"}</f>
        <v>CLASSFEATL01</v>
      </c>
      <c r="H97" s="81" t="str">
        <f t="array" ref="H97:H98">{"SHIELDBLOCKL01";"ShieldBlockL01"}</f>
        <v>SHIELDBLOCKL01</v>
      </c>
      <c r="I97" s="81" t="str">
        <f t="array" ref="I97:I98">{"INITIALSKILLS";"InitialSkills"}</f>
        <v>INITIALSKILLS</v>
      </c>
      <c r="J97" s="81" t="str">
        <f t="array" ref="J97:J98">{"SUBCLASSSKILLS";"SubclassSkills"}</f>
        <v>SUBCLASSSKILLS</v>
      </c>
      <c r="K97" s="81" t="str">
        <f t="array" ref="K97:K98">{"GRANTEDSKILLS";"GrantedSkills"}</f>
        <v>GRANTEDSKILLS</v>
      </c>
      <c r="L97" s="81"/>
      <c r="M97" s="81"/>
      <c r="N97" s="81"/>
      <c r="O97" s="81" t="str">
        <f t="array" ref="O97:O98">{"FOCUSSPELLS";"FocusSpells:"}</f>
        <v>FOCUSSPELLS</v>
      </c>
      <c r="P97" s="81" t="str">
        <f t="array" ref="P97:P98">{"FOCUSSPELL1-L00";((INDEX(ALLCLASSDATA,MATCH("FocusSpell1-L00",CLASSFEATUREHEADERS,0),MATCH(($A98),CLASSNAMEHEADERS,0))))}</f>
        <v>FOCUSSPELL1-L00</v>
      </c>
      <c r="Q97" s="81" t="str">
        <f t="array" ref="Q97:Q98">{"FOCUSSPELL2-L00";((INDEX(ALLCLASSDATA,MATCH("FocusSpell2-L00",CLASSFEATUREHEADERS,0),MATCH(($A98),CLASSNAMEHEADERS,0))))}</f>
        <v>FOCUSSPELL2-L00</v>
      </c>
      <c r="R97" s="81" t="str">
        <f t="array" ref="R97:R98">{"FOCUSSPELL3-L00";((INDEX(ALLCLASSDATA,MATCH("FocusSpell3-L00",CLASSFEATUREHEADERS,0),MATCH(($A98),CLASSNAMEHEADERS,0))))}</f>
        <v>FOCUSSPELL3-L00</v>
      </c>
      <c r="S97" s="81" t="str">
        <f t="array" ref="S97:S98">{"FOCUSSPELL4-L00";((INDEX(ALLCLASSDATA,MATCH("FocusSpell4-L00",CLASSFEATUREHEADERS,0),MATCH(($A98),CLASSNAMEHEADERS,0))))}</f>
        <v>FOCUSSPELL4-L00</v>
      </c>
      <c r="T97" s="81" t="str">
        <f t="array" ref="T97:T98">{"FOCUSSPELL5-L00";((INDEX(ALLCLASSDATA,MATCH("FocusSpell5-L00",CLASSFEATUREHEADERS,0),MATCH(($A98),CLASSNAMEHEADERS,0))))}</f>
        <v>FOCUSSPELL5-L00</v>
      </c>
      <c r="U97" s="81"/>
      <c r="V97" s="81"/>
      <c r="W97" s="81"/>
      <c r="X97" s="81"/>
      <c r="Y97" s="81"/>
      <c r="Z97" s="81"/>
      <c r="AA97" s="76"/>
      <c r="AB97" s="76"/>
    </row>
    <row r="98">
      <c r="A98" s="48" t="s">
        <v>219</v>
      </c>
      <c r="B98" s="48" t="s">
        <v>418</v>
      </c>
      <c r="C98" s="48" t="s">
        <v>467</v>
      </c>
      <c r="D98" s="48" t="s">
        <v>468</v>
      </c>
      <c r="E98" s="48" t="s">
        <v>469</v>
      </c>
      <c r="F98" s="114" t="s">
        <v>15</v>
      </c>
      <c r="G98" s="8" t="s">
        <v>451</v>
      </c>
      <c r="H98" s="8" t="s">
        <v>463</v>
      </c>
      <c r="I98" s="8" t="s">
        <v>473</v>
      </c>
      <c r="J98" s="8" t="s">
        <v>474</v>
      </c>
      <c r="K98" s="8" t="s">
        <v>475</v>
      </c>
      <c r="L98" s="8"/>
      <c r="M98" s="8"/>
      <c r="N98" s="8"/>
      <c r="O98" s="8" t="s">
        <v>476</v>
      </c>
      <c r="P98" s="116"/>
      <c r="Q98" s="116"/>
      <c r="R98" s="116"/>
      <c r="S98" s="116"/>
      <c r="T98" s="116"/>
      <c r="U98" s="8"/>
      <c r="V98" s="8"/>
      <c r="W98" s="8"/>
      <c r="X98" s="8"/>
      <c r="Y98" s="5"/>
      <c r="Z98" s="5"/>
      <c r="AA98" s="5"/>
      <c r="AB98" s="47"/>
    </row>
    <row r="99" hidden="1">
      <c r="A99" s="76" t="str">
        <f t="array" ref="A99:A100">{"FormulaRow03";(INDEX(CLASSLIST,A94,1))}</f>
        <v>FormulaRow03</v>
      </c>
      <c r="B99" s="76" t="str">
        <f t="array" ref="B99:B100">{"CLASSTYPE";((INDEX(ALLCLASSDATA,MATCH("ClassType",CLASSFEATUREHEADERS,0),MATCH($A100,CLASSNAMEHEADERS,0))))}</f>
        <v>CLASSTYPE</v>
      </c>
      <c r="C99" s="76" t="str">
        <f t="array" ref="C99:C100">{"FEATUREPTS";"FeaturesPts"}</f>
        <v>FEATUREPTS</v>
      </c>
      <c r="D99" s="76" t="str">
        <f t="array" ref="D99:D100">{"INITIALFEATURES";"Initial Features"}</f>
        <v>INITIALFEATURES</v>
      </c>
      <c r="E99" s="76" t="str">
        <f t="array" ref="E99:E100">{"KEYABILITY";((INDEX(ALLCLASSDATA,MATCH("KEYABILITY",CLASSFEATUREHEADERS,0),MATCH($A100,CLASSNAMEHEADERS,0))))}</f>
        <v>KEYABILITY</v>
      </c>
      <c r="F99" s="76" t="str">
        <f t="array" ref="F99:F100">{"HP";((INDEX(ALLCLASSDATA,MATCH("HP",CLASSFEATUREHEADERS,0),MATCH(($A100 &amp; "Points"),CLASSNAMEHEADERS,0))))}</f>
        <v>HP</v>
      </c>
      <c r="G99" s="76" t="str">
        <f t="array" ref="G99:G100">{"CLASSFEATL01";((INDEX(ALLCLASSDATA,MATCH("ClassFeatL01",CLASSFEATUREHEADERS,0),MATCH(($A100 &amp; "Points"),CLASSNAMEHEADERS,0))))}</f>
        <v>CLASSFEATL01</v>
      </c>
      <c r="H99" s="76" t="str">
        <f t="array" ref="H99:H100">{"SHIELDBLOCKL01";((INDEX(ALLCLASSDATA,MATCH("ShieldBlockL01",CLASSFEATUREHEADERS,0),MATCH(($A100 &amp; "Points"),CLASSNAMEHEADERS,0))))}</f>
        <v>SHIELDBLOCKL01</v>
      </c>
      <c r="I99" s="76" t="str">
        <f t="array" ref="I99:I100">{"INITIALSKILLINCREASES";((INDEX(ALLCLASSDATA,MATCH("InitialSkillIncreases",CLASSFEATUREHEADERS,0),MATCH(($A100 &amp; "Points"),CLASSNAMEHEADERS,0))))}</f>
        <v>INITIALSKILLINCREASES</v>
      </c>
      <c r="J99" s="76" t="str">
        <f t="array" ref="J99:J100">{"SUBCLASSSKILLINCREASES";((INDEX(ALLCLASSDATA,MATCH("SubclassSkillIncreases",CLASSFEATUREHEADERS,0),MATCH(($A100 &amp; "Points"),CLASSNAMEHEADERS,0))))}</f>
        <v>SUBCLASSSKILLINCREASES</v>
      </c>
      <c r="K99" s="76" t="str">
        <f t="array" ref="K99:K100">{"GRANTEDSKILLS";(((INDEX(ALLCLASSDATA,MATCH("SkillsGrantedTotal",CLASSFEATUREHEADERS,0),MATCH(($A100 &amp; "Points"),CLASSNAMEHEADERS,0)))-(INDEX(ALLCLASSDATA,MATCH("InitialSkillIncreases",CLASSFEATUREHEADERS,0),MATCH(($A100 &amp; "Points"),CLASSNAMEHEADERS,0)))-(INDEX(ALLCLASSDATA,MATCH("SubclassSkillIncreases",CLASSFEATUREHEADERS,0),MATCH(($A100 &amp; "Points"),CLASSNAMEHEADERS,0)))))}</f>
        <v>GRANTEDSKILLS</v>
      </c>
      <c r="L99" s="76"/>
      <c r="M99" s="76"/>
      <c r="N99" s="76"/>
      <c r="O99" s="76"/>
      <c r="P99" s="76" t="str">
        <f t="array" ref="P99:P100">{"FOCUSSPELL1-L00";((INDEX(ALLCLASSDATA,MATCH("FocusSpell1-L00",CLASSFEATUREHEADERS,0),MATCH(($A100 &amp; "Points"),CLASSNAMEHEADERS,0))))}</f>
        <v>FOCUSSPELL1-L00</v>
      </c>
      <c r="Q99" s="76" t="str">
        <f t="array" ref="Q99:Q100">{"FOCUSSPELL2-L00";((INDEX(ALLCLASSDATA,MATCH("FocusSpell2-L00",CLASSFEATUREHEADERS,0),MATCH(($A100 &amp; "Points"),CLASSNAMEHEADERS,0))))}</f>
        <v>FOCUSSPELL2-L00</v>
      </c>
      <c r="R99" s="76" t="str">
        <f t="array" ref="R99:R100">{"FOCUSSPELL3-L00";((INDEX(ALLCLASSDATA,MATCH("FocusSpell3-L00",CLASSFEATUREHEADERS,0),MATCH(($A100 &amp; "Points"),CLASSNAMEHEADERS,0))))}</f>
        <v>FOCUSSPELL3-L00</v>
      </c>
      <c r="S99" s="76" t="str">
        <f t="array" ref="S99:S100">{"FOCUSSPELL4-L00";((INDEX(ALLCLASSDATA,MATCH("FocusSpell4-L00",CLASSFEATUREHEADERS,0),MATCH(($A100 &amp; "Points"),CLASSNAMEHEADERS,0))))}</f>
        <v>FOCUSSPELL4-L00</v>
      </c>
      <c r="T99" s="76" t="str">
        <f t="array" ref="T99:T100">{"FOCUSSPELL5-L00";((INDEX(ALLCLASSDATA,MATCH("FocusSpell5-L00",CLASSFEATUREHEADERS,0),MATCH(($A100 &amp; "Points"),CLASSNAMEHEADERS,0))))}</f>
        <v>FOCUSSPELL5-L00</v>
      </c>
      <c r="U99" s="76"/>
      <c r="V99" s="76"/>
      <c r="W99" s="76"/>
      <c r="X99" s="76"/>
      <c r="Y99" s="76"/>
      <c r="Z99" s="76"/>
      <c r="AA99" s="76"/>
      <c r="AB99" s="76" t="str">
        <f t="array" ref="AB99:AB100">{"FEATUREPTS TOTAL";(sum(F100:Z100))}</f>
        <v>FEATUREPTS TOTAL</v>
      </c>
    </row>
    <row r="100">
      <c r="A100" s="48" t="s">
        <v>219</v>
      </c>
      <c r="B100" s="48" t="s">
        <v>418</v>
      </c>
      <c r="C100" s="97" t="s">
        <v>559</v>
      </c>
      <c r="D100" s="97" t="s">
        <v>468</v>
      </c>
      <c r="E100" s="97" t="s">
        <v>263</v>
      </c>
      <c r="F100" s="132">
        <v>80.0</v>
      </c>
      <c r="G100" s="98">
        <v>10.0</v>
      </c>
      <c r="H100" s="98" t="s">
        <v>603</v>
      </c>
      <c r="I100" s="98">
        <v>10.0</v>
      </c>
      <c r="J100" s="98">
        <v>5.0</v>
      </c>
      <c r="K100" s="98">
        <v>5.0</v>
      </c>
      <c r="L100" s="98"/>
      <c r="M100" s="98"/>
      <c r="N100" s="98"/>
      <c r="O100" s="98"/>
      <c r="P100" s="98"/>
      <c r="Q100" s="98"/>
      <c r="R100" s="98"/>
      <c r="S100" s="98"/>
      <c r="T100" s="98"/>
      <c r="U100" s="98"/>
      <c r="V100" s="98"/>
      <c r="W100" s="98"/>
      <c r="X100" s="98"/>
      <c r="Y100" s="98"/>
      <c r="Z100" s="98"/>
      <c r="AA100" s="5"/>
      <c r="AB100" s="47">
        <v>110.0</v>
      </c>
    </row>
    <row r="101" hidden="1">
      <c r="A101" s="76" t="str">
        <f t="array" ref="A101:A102">{"FormulaRow04";(INDEX(CLASSLIST,A94,1))}</f>
        <v>FormulaRow04</v>
      </c>
      <c r="B101" s="76" t="str">
        <f t="array" ref="B101:B102">{"CLASSTYPE";((INDEX(ALLCLASSDATA,MATCH("ClassType",CLASSFEATUREHEADERS,0),MATCH($A102,CLASSNAMEHEADERS,0))))}</f>
        <v>CLASSTYPE</v>
      </c>
      <c r="C101" s="81" t="str">
        <f t="array" ref="C101:C102">{"INITIALFEATURES";"InitialFeatures"}</f>
        <v>INITIALFEATURES</v>
      </c>
      <c r="D101" s="81" t="str">
        <f t="array" ref="D101:D102">{"CLASS/SUBCLASSFEATURES";"Class/Subclass Features"}</f>
        <v>CLASS/SUBCLASSFEATURES</v>
      </c>
      <c r="E101" s="81"/>
      <c r="F101" s="136"/>
      <c r="G101" s="81" t="str">
        <f t="array" ref="G101:G102">{"CLASSINITIALABILITY1-L00";((INDEX(ALLCLASSDATA,MATCH("ClassInitialAbility1-L00",CLASSFEATUREHEADERS,0),MATCH(($A102),CLASSNAMEHEADERS,0))))}</f>
        <v>CLASSINITIALABILITY1-L00</v>
      </c>
      <c r="H101" s="81" t="str">
        <f t="array" ref="H101:H102">{"CLASSINITIALABILITY2-L00";((INDEX(ALLCLASSDATA,MATCH("ClassInitialAbility2-L00",CLASSFEATUREHEADERS,0),MATCH(($A102),CLASSNAMEHEADERS,0))))}</f>
        <v>CLASSINITIALABILITY2-L00</v>
      </c>
      <c r="I101" s="81" t="str">
        <f t="array" ref="I101:I102">{"CLASSINITIALABILITY3-L00";((INDEX(ALLCLASSDATA,MATCH("ClassInitialAbility3-L00",CLASSFEATUREHEADERS,0),MATCH(($A102),CLASSNAMEHEADERS,0))))}</f>
        <v>CLASSINITIALABILITY3-L00</v>
      </c>
      <c r="J101" s="81" t="str">
        <f t="array" ref="J101:J102">{"CLASSINITIALABILITY4-L00";((INDEX(ALLCLASSDATA,MATCH("ClassInitialAbility4-L00",CLASSFEATUREHEADERS,0),MATCH(($A102),CLASSNAMEHEADERS,0))))}</f>
        <v>CLASSINITIALABILITY4-L00</v>
      </c>
      <c r="K101" s="81" t="str">
        <f t="array" ref="K101:K102">{"CLASSINITIALABILITY5-L00";((INDEX(ALLCLASSDATA,MATCH("ClassInitialAbility5-L00",CLASSFEATUREHEADERS,0),MATCH(($A102),CLASSNAMEHEADERS,0))))}</f>
        <v>CLASSINITIALABILITY5-L00</v>
      </c>
      <c r="L101" s="81" t="str">
        <f t="array" ref="L101:L102">{"CLASSINITIALABILITY6-L00";((INDEX(ALLCLASSDATA,MATCH("ClassInitialAbility6-L00",CLASSFEATUREHEADERS,0),MATCH(($A102),CLASSNAMEHEADERS,0))))}</f>
        <v>#REF!</v>
      </c>
      <c r="M101" s="81" t="str">
        <f t="array" ref="M101:M102">{"CLASSINITIALABILITY7-L00";((INDEX(ALLCLASSDATA,MATCH("ClassInitialAbility7-L00",CLASSFEATUREHEADERS,0),MATCH(($A102),CLASSNAMEHEADERS,0))))}</f>
        <v>CLASSINITIALABILITY7-L00</v>
      </c>
      <c r="N101" s="81" t="str">
        <f t="array" ref="N101:N102">{"CLASSINITIALABILITY8-L00";((INDEX(ALLCLASSDATA,MATCH("ClassInitialAbility8-L00",CLASSFEATUREHEADERS,0),MATCH(($A102),CLASSNAMEHEADERS,0))))}</f>
        <v>CLASSINITIALABILITY8-L00</v>
      </c>
      <c r="O101" s="81" t="str">
        <f t="array" ref="O101:O102">{"CLASSINITIALABILITY9-L00";((INDEX(ALLCLASSDATA,MATCH("ClassInitialAbility9-L00",CLASSFEATUREHEADERS,0),MATCH(($A102),CLASSNAMEHEADERS,0))))}</f>
        <v>CLASSINITIALABILITY9-L00</v>
      </c>
      <c r="P101" s="81" t="str">
        <f t="array" ref="P101:P102">{"CLASSINITIALABILITY10-L00";((INDEX(ALLCLASSDATA,MATCH("ClassInitialAbility10-L00",CLASSFEATUREHEADERS,0),MATCH(($A102),CLASSNAMEHEADERS,0))))}</f>
        <v>CLASSINITIALABILITY10-L00</v>
      </c>
      <c r="Q101" s="81" t="str">
        <f t="array" ref="Q101:Q102">{"SUBCLASSINITIAL1-L00";((INDEX(ALLCLASSDATA,MATCH("SubclassInitial1-L00",CLASSFEATUREHEADERS,0),MATCH(($A102),CLASSNAMEHEADERS,0))))}</f>
        <v>SUBCLASSINITIAL1-L00</v>
      </c>
      <c r="R101" s="81" t="str">
        <f t="array" ref="R101:R102">{"SUBCLASSINITIAL2-L00";((INDEX(ALLCLASSDATA,MATCH("SubclassInitial2-L00",CLASSFEATUREHEADERS,0),MATCH(($A102),CLASSNAMEHEADERS,0))))}</f>
        <v>SUBCLASSINITIAL2-L00</v>
      </c>
      <c r="S101" s="81" t="str">
        <f t="array" ref="S101:S102">{"SUBCLASSINITIAL3-L00";((INDEX(ALLCLASSDATA,MATCH("SubclassInitial3-L00",CLASSFEATUREHEADERS,0),MATCH(($A102),CLASSNAMEHEADERS,0))))}</f>
        <v>SUBCLASSINITIAL3-L00</v>
      </c>
      <c r="T101" s="81" t="str">
        <f t="array" ref="T101:T102">{"SUBCLASSINITIAL4-L00";((INDEX(ALLCLASSDATA,MATCH("SubclassInitial4-L00",CLASSFEATUREHEADERS,0),MATCH(($A102),CLASSNAMEHEADERS,0))))}</f>
        <v>SUBCLASSINITIAL4-L00</v>
      </c>
      <c r="U101" s="81" t="str">
        <f t="array" ref="U101:U102">{"SUBCLASSINITIAL5-L00";((INDEX(ALLCLASSDATA,MATCH("SubclassInitial5-L00",CLASSFEATUREHEADERS,0),MATCH(($A102),CLASSNAMEHEADERS,0))))}</f>
        <v>SUBCLASSINITIAL5-L00</v>
      </c>
      <c r="V101" s="81" t="str">
        <f t="array" ref="V101:V102">{"SUBCLASSINITIAL6-L00";((INDEX(ALLCLASSDATA,MATCH("SubclassInitial6-L00",CLASSFEATUREHEADERS,0),MATCH(($A102),CLASSNAMEHEADERS,0))))}</f>
        <v>SUBCLASSINITIAL6-L00</v>
      </c>
      <c r="W101" s="81" t="str">
        <f t="array" ref="W101:W102">{"SUBCLASSINITIAL7-L00";((INDEX(ALLCLASSDATA,MATCH("SubclassInitial7-L00",CLASSFEATUREHEADERS,0),MATCH(($A102),CLASSNAMEHEADERS,0))))}</f>
        <v>SUBCLASSINITIAL7-L00</v>
      </c>
      <c r="X101" s="81" t="str">
        <f t="array" ref="X101:X102">{"SUBCLASSINITIAL8-L00";((INDEX(ALLCLASSDATA,MATCH("SubclassInitial8-L00",CLASSFEATUREHEADERS,0),MATCH(($A102),CLASSNAMEHEADERS,0))))}</f>
        <v>SUBCLASSINITIAL8-L00</v>
      </c>
      <c r="Y101" s="81" t="str">
        <f t="array" ref="Y101:Y102">{"SUBCLASSINITIAL9-L00";((INDEX(ALLCLASSDATA,MATCH("SubclassInitial9-L00",CLASSFEATUREHEADERS,0),MATCH(($A102),CLASSNAMEHEADERS,0))))}</f>
        <v>SUBCLASSINITIAL9-L00</v>
      </c>
      <c r="Z101" s="81" t="str">
        <f t="array" ref="Z101:Z102">{"SUBCLASSINITIAL10-L00";((INDEX(ALLCLASSDATA,MATCH("SubclassInitial10-L00",CLASSFEATUREHEADERS,0),MATCH(($A102),CLASSNAMEHEADERS,0))))}</f>
        <v>SUBCLASSINITIAL10-L00</v>
      </c>
      <c r="AA101" s="76"/>
      <c r="AB101" s="76"/>
    </row>
    <row r="102">
      <c r="A102" s="48" t="s">
        <v>219</v>
      </c>
      <c r="B102" s="48" t="s">
        <v>418</v>
      </c>
      <c r="C102" s="48" t="s">
        <v>614</v>
      </c>
      <c r="D102" s="48" t="s">
        <v>616</v>
      </c>
      <c r="E102" s="48"/>
      <c r="F102" s="47"/>
      <c r="G102" s="5" t="s">
        <v>642</v>
      </c>
      <c r="H102" s="5" t="s">
        <v>643</v>
      </c>
      <c r="I102" s="5" t="s">
        <v>644</v>
      </c>
      <c r="J102" s="5" t="s">
        <v>645</v>
      </c>
      <c r="K102" s="5"/>
      <c r="L102" s="48" t="s">
        <v>647</v>
      </c>
      <c r="M102" s="5"/>
      <c r="N102" s="5"/>
      <c r="O102" s="5"/>
      <c r="P102" s="5"/>
      <c r="Q102" s="5" t="s">
        <v>648</v>
      </c>
      <c r="R102" s="5"/>
      <c r="S102" s="5"/>
      <c r="T102" s="5"/>
      <c r="U102" s="5"/>
      <c r="V102" s="5"/>
      <c r="W102" s="5"/>
      <c r="X102" s="5"/>
      <c r="Y102" s="5"/>
      <c r="Z102" s="5"/>
      <c r="AA102" s="5"/>
      <c r="AB102" s="47"/>
    </row>
    <row r="103" hidden="1">
      <c r="A103" s="76" t="str">
        <f t="array" ref="A103:A104">{"FormulaRow05";(INDEX(CLASSLIST,A94,1))}</f>
        <v>FormulaRow05</v>
      </c>
      <c r="B103" s="76" t="str">
        <f t="array" ref="B103:B104">{"CLASSTYPE";((INDEX(ALLCLASSDATA,MATCH("ClassType",CLASSFEATUREHEADERS,0),MATCH($A104,CLASSNAMEHEADERS,0))))}</f>
        <v>CLASSTYPE</v>
      </c>
      <c r="C103" s="76" t="str">
        <f t="array" ref="C103:C104">{"INITIALFEATURESPTS";"InitialFeaturesPts"}</f>
        <v>INITIALFEATURESPTS</v>
      </c>
      <c r="D103" s="76" t="str">
        <f t="array" ref="D103:D104">{"CLASS/SUBCLASSFEATURES";"Class/Subclass Features"}</f>
        <v>CLASS/SUBCLASSFEATURES</v>
      </c>
      <c r="E103" s="76"/>
      <c r="F103" s="76"/>
      <c r="G103" s="76" t="str">
        <f t="array" ref="G103:G104">{"CLASSINITIALABILITY1-L00PTS";((INDEX(ALLCLASSDATA,MATCH("ClassInitialAbility1-L00",CLASSFEATUREHEADERS,0),MATCH(($A104 &amp; "Points"),CLASSNAMEHEADERS,0))))}</f>
        <v>CLASSINITIALABILITY1-L00PTS</v>
      </c>
      <c r="H103" s="76" t="str">
        <f t="array" ref="H103:H104">{"CLASSINITIALABILITY2-L00PTS";((INDEX(ALLCLASSDATA,MATCH("ClassInitialAbility2-L00",CLASSFEATUREHEADERS,0),MATCH(($A104 &amp; "Points"),CLASSNAMEHEADERS,0))))}</f>
        <v>CLASSINITIALABILITY2-L00PTS</v>
      </c>
      <c r="I103" s="76" t="str">
        <f t="array" ref="I103:I104">{"CLASSINITIALABILITY3-L00PTS";((INDEX(ALLCLASSDATA,MATCH("ClassInitialAbility3-L00",CLASSFEATUREHEADERS,0),MATCH(($A104 &amp; "Points"),CLASSNAMEHEADERS,0))))}</f>
        <v>CLASSINITIALABILITY3-L00PTS</v>
      </c>
      <c r="J103" s="76" t="str">
        <f t="array" ref="J103:J104">{"CLASSINITIALABILITY4-L00PTS";((INDEX(ALLCLASSDATA,MATCH("ClassInitialAbility4-L00",CLASSFEATUREHEADERS,0),MATCH(($A104 &amp; "Points"),CLASSNAMEHEADERS,0))))}</f>
        <v>CLASSINITIALABILITY4-L00PTS</v>
      </c>
      <c r="K103" s="76" t="str">
        <f t="array" ref="K103:K104">{"CLASSINITIALABILITY5-L00PTS";((INDEX(ALLCLASSDATA,MATCH("ClassInitialAbility5-L00",CLASSFEATUREHEADERS,0),MATCH(($A104 &amp; "Points"),CLASSNAMEHEADERS,0))))}</f>
        <v>CLASSINITIALABILITY5-L00PTS</v>
      </c>
      <c r="L103" s="76" t="str">
        <f t="array" ref="L103:L104">{"CLASSINITIALABILITY6-L00PTS";((INDEX(ALLCLASSDATA,MATCH("ClassInitialAbility6-L00",CLASSFEATUREHEADERS,0),MATCH(($A104 &amp; "Points"),CLASSNAMEHEADERS,0))))}</f>
        <v>CLASSINITIALABILITY6-L00PTS</v>
      </c>
      <c r="M103" s="76" t="str">
        <f t="array" ref="M103:M104">{"CLASSINITIALABILITY7-L00PTS";((INDEX(ALLCLASSDATA,MATCH("ClassInitialAbility7-L00",CLASSFEATUREHEADERS,0),MATCH(($A104 &amp; "Points"),CLASSNAMEHEADERS,0))))}</f>
        <v>CLASSINITIALABILITY7-L00PTS</v>
      </c>
      <c r="N103" s="76" t="str">
        <f t="array" ref="N103:N104">{"CLASSINITIALABILITY8-L00PTS";((INDEX(ALLCLASSDATA,MATCH("ClassInitialAbility8-L00",CLASSFEATUREHEADERS,0),MATCH(($A104 &amp; "Points"),CLASSNAMEHEADERS,0))))}</f>
        <v>CLASSINITIALABILITY8-L00PTS</v>
      </c>
      <c r="O103" s="76" t="str">
        <f t="array" ref="O103:O104">{"CLASSINITIALABILITY9-L00PTS";((INDEX(ALLCLASSDATA,MATCH("ClassInitialAbility9-L00",CLASSFEATUREHEADERS,0),MATCH(($A104 &amp; "Points"),CLASSNAMEHEADERS,0))))}</f>
        <v>CLASSINITIALABILITY9-L00PTS</v>
      </c>
      <c r="P103" s="76" t="str">
        <f t="array" ref="P103:P104">{"CLASSINITIALABILITY10-L00PTS";((INDEX(ALLCLASSDATA,MATCH("ClassInitialAbility10-L00",CLASSFEATUREHEADERS,0),MATCH(($A104 &amp; "Points"),CLASSNAMEHEADERS,0))))}</f>
        <v>CLASSINITIALABILITY10-L00PTS</v>
      </c>
      <c r="Q103" s="76" t="str">
        <f t="array" ref="Q103:Q104">{"SUBCLASSINITIAL1-L00PTS";((INDEX(ALLCLASSDATA,MATCH("SubclassInitial1-L00",CLASSFEATUREHEADERS,0),MATCH(($A104 &amp; "Points"),CLASSNAMEHEADERS,0))))}</f>
        <v>SUBCLASSINITIAL1-L00PTS</v>
      </c>
      <c r="R103" s="76" t="str">
        <f t="array" ref="R103:R104">{"SUBCLASSINITIAL2-L00PTS";((INDEX(ALLCLASSDATA,MATCH("SubclassInitial2-L00",CLASSFEATUREHEADERS,0),MATCH(($A104 &amp; "Points"),CLASSNAMEHEADERS,0))))}</f>
        <v>SUBCLASSINITIAL2-L00PTS</v>
      </c>
      <c r="S103" s="76" t="str">
        <f t="array" ref="S103:S104">{"SUBCLASSINITIAL3-L00PTS";((INDEX(ALLCLASSDATA,MATCH("SubclassInitial3-L00",CLASSFEATUREHEADERS,0),MATCH(($A104 &amp; "Points"),CLASSNAMEHEADERS,0))))}</f>
        <v>SUBCLASSINITIAL3-L00PTS</v>
      </c>
      <c r="T103" s="76" t="str">
        <f t="array" ref="T103:T104">{"SUBCLASSINITIAL4-L00PTS";((INDEX(ALLCLASSDATA,MATCH("SubclassInitial4-L00",CLASSFEATUREHEADERS,0),MATCH(($A104 &amp; "Points"),CLASSNAMEHEADERS,0))))}</f>
        <v>SUBCLASSINITIAL4-L00PTS</v>
      </c>
      <c r="U103" s="76" t="str">
        <f t="array" ref="U103:U104">{"SUBCLASSINITIAL5-L00PTS";((INDEX(ALLCLASSDATA,MATCH("SubclassInitial5-L00",CLASSFEATUREHEADERS,0),MATCH(($A104 &amp; "Points"),CLASSNAMEHEADERS,0))))}</f>
        <v>SUBCLASSINITIAL5-L00PTS</v>
      </c>
      <c r="V103" s="76" t="str">
        <f t="array" ref="V103:V104">{"SUBCLASSINITIAL6-L00PTS";((INDEX(ALLCLASSDATA,MATCH("SubclassInitial6-L00",CLASSFEATUREHEADERS,0),MATCH(($A104 &amp; "Points"),CLASSNAMEHEADERS,0))))}</f>
        <v>SUBCLASSINITIAL6-L00PTS</v>
      </c>
      <c r="W103" s="76" t="str">
        <f t="array" ref="W103:W104">{"SUBCLASSINITIAL7-L00PTS";((INDEX(ALLCLASSDATA,MATCH("SubclassInitial7-L00",CLASSFEATUREHEADERS,0),MATCH(($A104 &amp; "Points"),CLASSNAMEHEADERS,0))))}</f>
        <v>SUBCLASSINITIAL7-L00PTS</v>
      </c>
      <c r="X103" s="76" t="str">
        <f t="array" ref="X103:X104">{"SUBCLASSINITIAL8-L00PTS";((INDEX(ALLCLASSDATA,MATCH("SubclassInitial8-L00",CLASSFEATUREHEADERS,0),MATCH(($A104 &amp; "Points"),CLASSNAMEHEADERS,0))))}</f>
        <v>SUBCLASSINITIAL8-L00PTS</v>
      </c>
      <c r="Y103" s="76" t="str">
        <f t="array" ref="Y103:Y104">{"SUBCLASSINITIAL9-L00PTS";((INDEX(ALLCLASSDATA,MATCH("SubclassInitial9-L00",CLASSFEATUREHEADERS,0),MATCH(($A104 &amp; "Points"),CLASSNAMEHEADERS,0))))}</f>
        <v>SUBCLASSINITIAL9-L00PTS</v>
      </c>
      <c r="Z103" s="76" t="str">
        <f t="array" ref="Z103:Z104">{"SUBCLASSINITIAL10-L00PTS";((INDEX(ALLCLASSDATA,MATCH("SubclassInitial10-L00",CLASSFEATUREHEADERS,0),MATCH(($A104 &amp; "Points"),CLASSNAMEHEADERS,0))))}</f>
        <v>SUBCLASSINITIAL10-L00PTS</v>
      </c>
      <c r="AA103" s="76"/>
      <c r="AB103" s="76" t="str">
        <f t="array" ref="AB103:AB104">{"INITIALFEATUREPTS TOTAL";(sum(F104:Z104))}</f>
        <v>INITIALFEATUREPTS TOTAL</v>
      </c>
    </row>
    <row r="104">
      <c r="A104" s="48" t="s">
        <v>219</v>
      </c>
      <c r="B104" s="48" t="s">
        <v>418</v>
      </c>
      <c r="C104" s="97" t="s">
        <v>651</v>
      </c>
      <c r="D104" s="97" t="s">
        <v>616</v>
      </c>
      <c r="E104" s="97"/>
      <c r="F104" s="132"/>
      <c r="G104" s="98"/>
      <c r="H104" s="98"/>
      <c r="I104" s="97"/>
      <c r="J104" s="98">
        <v>20.0</v>
      </c>
      <c r="K104" s="97"/>
      <c r="L104" s="98"/>
      <c r="M104" s="98"/>
      <c r="N104" s="98"/>
      <c r="O104" s="98"/>
      <c r="P104" s="98"/>
      <c r="Q104" s="98"/>
      <c r="R104" s="98"/>
      <c r="S104" s="98"/>
      <c r="T104" s="98"/>
      <c r="U104" s="98"/>
      <c r="V104" s="98"/>
      <c r="W104" s="98"/>
      <c r="X104" s="98"/>
      <c r="Y104" s="98"/>
      <c r="Z104" s="98"/>
      <c r="AA104" s="5"/>
      <c r="AB104" s="47">
        <v>20.0</v>
      </c>
    </row>
    <row r="105" hidden="1">
      <c r="A105" s="76" t="str">
        <f t="array" ref="A105:A106">{"FormulaRow06";(INDEX(CLASSLIST,A94,1))}</f>
        <v>FormulaRow06</v>
      </c>
      <c r="B105" s="76" t="str">
        <f t="array" ref="B105:B106">{"CLASSTYPE";((INDEX(ALLCLASSDATA,MATCH("ClassType",CLASSFEATUREHEADERS,0),MATCH($A106,CLASSNAMEHEADERS,0))))}</f>
        <v>CLASSTYPE</v>
      </c>
      <c r="C105" s="81" t="str">
        <f t="array" ref="C105:C106">{"SKILLS";"Skills"}</f>
        <v>SKILLS</v>
      </c>
      <c r="D105" s="81" t="str">
        <f t="array" ref="D105:D106">{"EXTRASKILLINCREASES";"Extra Skill Increases"}</f>
        <v>EXTRASKILLINCREASES</v>
      </c>
      <c r="E105" s="81"/>
      <c r="F105" s="81"/>
      <c r="G105" s="81"/>
      <c r="H105" s="81" t="str">
        <f t="array" ref="H105:H106">{"SKILLINCREASEEXTRA-L02";((INDEX(ALLCLASSDATA,MATCH("SkillIncreaseExtra-L02",CLASSFEATUREHEADERS,0),MATCH(($A106 &amp; "Points"),CLASSNAMEHEADERS,0))))}</f>
        <v>SKILLINCREASEEXTRA-L02</v>
      </c>
      <c r="I105" s="81" t="str">
        <f t="array" ref="I105:I106">{"SKILLINCREASEEXTRA-L03";((INDEX(ALLCLASSDATA,MATCH("SkillIncreaseExtra-L03",CLASSFEATUREHEADERS,0),MATCH(($A106 &amp; "Points"),CLASSNAMEHEADERS,0))))}</f>
        <v>SKILLINCREASEEXTRA-L03</v>
      </c>
      <c r="J105" s="81" t="str">
        <f t="array" ref="J105:J106">{"SKILLINCREASEEXTRA-L04";((INDEX(ALLCLASSDATA,MATCH("SkillIncreaseExtra-L04",CLASSFEATUREHEADERS,0),MATCH(($A106 &amp; "Points"),CLASSNAMEHEADERS,0))))}</f>
        <v>SKILLINCREASEEXTRA-L04</v>
      </c>
      <c r="K105" s="81" t="str">
        <f t="array" ref="K105:K106">{"SKILLINCREASEEXTRA-L05";((INDEX(ALLCLASSDATA,MATCH("SkillIncreaseExtra-L05",CLASSFEATUREHEADERS,0),MATCH(($A106 &amp; "Points"),CLASSNAMEHEADERS,0))))}</f>
        <v>SKILLINCREASEEXTRA-L05</v>
      </c>
      <c r="L105" s="81" t="str">
        <f t="array" ref="L105:L106">{"SKILLINCREASEEXTRA-L06";((INDEX(ALLCLASSDATA,MATCH("SkillIncreaseExtra-L06",CLASSFEATUREHEADERS,0),MATCH(($A106 &amp; "Points"),CLASSNAMEHEADERS,0))))}</f>
        <v>SKILLINCREASEEXTRA-L06</v>
      </c>
      <c r="M105" s="81" t="str">
        <f t="array" ref="M105:M106">{"SKILLINCREASEEXTRA-L07";((INDEX(ALLCLASSDATA,MATCH("SkillIncreaseExtra-L07",CLASSFEATUREHEADERS,0),MATCH(($A106 &amp; "Points"),CLASSNAMEHEADERS,0))))}</f>
        <v>SKILLINCREASEEXTRA-L07</v>
      </c>
      <c r="N105" s="81" t="str">
        <f t="array" ref="N105:N106">{"SKILLINCREASEEXTRA-L08";((INDEX(ALLCLASSDATA,MATCH("SkillIncreaseExtra-L08",CLASSFEATUREHEADERS,0),MATCH(($A106 &amp; "Points"),CLASSNAMEHEADERS,0))))}</f>
        <v>SKILLINCREASEEXTRA-L08</v>
      </c>
      <c r="O105" s="81" t="str">
        <f t="array" ref="O105:O106">{"SKILLINCREASEEXTRA-L09";((INDEX(ALLCLASSDATA,MATCH("SkillIncreaseExtra-L09",CLASSFEATUREHEADERS,0),MATCH(($A106 &amp; "Points"),CLASSNAMEHEADERS,0))))}</f>
        <v>SKILLINCREASEEXTRA-L09</v>
      </c>
      <c r="P105" s="81" t="str">
        <f t="array" ref="P105:P106">{"SKILLINCREASEEXTRA-L10";((INDEX(ALLCLASSDATA,MATCH("SkillIncreaseExtra-L10",CLASSFEATUREHEADERS,0),MATCH(($A106 &amp; "Points"),CLASSNAMEHEADERS,0))))}</f>
        <v>SKILLINCREASEEXTRA-L10</v>
      </c>
      <c r="Q105" s="81" t="str">
        <f t="array" ref="Q105:Q106">{"SKILLINCREASEEXTRA-L11";((INDEX(ALLCLASSDATA,MATCH("SkillIncreaseExtra-L11",CLASSFEATUREHEADERS,0),MATCH(($A106 &amp; "Points"),CLASSNAMEHEADERS,0))))}</f>
        <v>SKILLINCREASEEXTRA-L11</v>
      </c>
      <c r="R105" s="81" t="str">
        <f t="array" ref="R105:R106">{"SKILLINCREASEEXTRA-L12";((INDEX(ALLCLASSDATA,MATCH("SkillIncreaseExtra-L12",CLASSFEATUREHEADERS,0),MATCH(($A106 &amp; "Points"),CLASSNAMEHEADERS,0))))}</f>
        <v>SKILLINCREASEEXTRA-L12</v>
      </c>
      <c r="S105" s="81" t="str">
        <f t="array" ref="S105:S106">{"SKILLINCREASEEXTRA-L13";((INDEX(ALLCLASSDATA,MATCH("SkillIncreaseExtra-L13",CLASSFEATUREHEADERS,0),MATCH(($A106 &amp; "Points"),CLASSNAMEHEADERS,0))))}</f>
        <v>SKILLINCREASEEXTRA-L13</v>
      </c>
      <c r="T105" s="81" t="str">
        <f t="array" ref="T105:T106">{"SKILLINCREASEEXTRA-L14";((INDEX(ALLCLASSDATA,MATCH("SkillIncreaseExtra-L14",CLASSFEATUREHEADERS,0),MATCH(($A106 &amp; "Points"),CLASSNAMEHEADERS,0))))}</f>
        <v>SKILLINCREASEEXTRA-L14</v>
      </c>
      <c r="U105" s="81" t="str">
        <f t="array" ref="U105:U106">{"SKILLINCREASEEXTRA-L15";((INDEX(ALLCLASSDATA,MATCH("SkillIncreaseExtra-L15",CLASSFEATUREHEADERS,0),MATCH(($A106 &amp; "Points"),CLASSNAMEHEADERS,0))))}</f>
        <v>SKILLINCREASEEXTRA-L15</v>
      </c>
      <c r="V105" s="81" t="str">
        <f t="array" ref="V105:V106">{"SKILLINCREASEEXTRA-L16";((INDEX(ALLCLASSDATA,MATCH("SkillIncreaseExtra-L16",CLASSFEATUREHEADERS,0),MATCH(($A106 &amp; "Points"),CLASSNAMEHEADERS,0))))}</f>
        <v>SKILLINCREASEEXTRA-L16</v>
      </c>
      <c r="W105" s="81" t="str">
        <f t="array" ref="W105:W106">{"SKILLINCREASEEXTRA-L17";((INDEX(ALLCLASSDATA,MATCH("SkillIncreaseExtra-L17",CLASSFEATUREHEADERS,0),MATCH(($A106 &amp; "Points"),CLASSNAMEHEADERS,0))))}</f>
        <v>SKILLINCREASEEXTRA-L17</v>
      </c>
      <c r="X105" s="81" t="str">
        <f t="array" ref="X105:X106">{"SKILLINCREASEEXTRA-L18";((INDEX(ALLCLASSDATA,MATCH("SkillIncreaseExtra-L18",CLASSFEATUREHEADERS,0),MATCH(($A106 &amp; "Points"),CLASSNAMEHEADERS,0))))}</f>
        <v>SKILLINCREASEEXTRA-L18</v>
      </c>
      <c r="Y105" s="81" t="str">
        <f t="array" ref="Y105:Y106">{"SKILLINCREASEEXTRA-L19";((INDEX(ALLCLASSDATA,MATCH("SkillIncreaseExtra-L19",CLASSFEATUREHEADERS,0),MATCH(($A106 &amp; "Points"),CLASSNAMEHEADERS,0))))}</f>
        <v>SKILLINCREASEEXTRA-L19</v>
      </c>
      <c r="Z105" s="81" t="str">
        <f t="array" ref="Z105:Z106">{"SKILLINCREASEEXTRA-L20";((INDEX(ALLCLASSDATA,MATCH("SkillIncreaseExtra-L20",CLASSFEATUREHEADERS,0),MATCH(($A106 &amp; "Points"),CLASSNAMEHEADERS,0))))}</f>
        <v>SKILLINCREASEEXTRA-L20</v>
      </c>
      <c r="AA105" s="76"/>
      <c r="AB105" s="76" t="str">
        <f t="array" ref="AB105:AB106">{"SKILLINCREASE TOTAL";(sum(F106:Z106))}</f>
        <v>SKILLINCREASE TOTAL</v>
      </c>
    </row>
    <row r="106">
      <c r="A106" s="48" t="s">
        <v>219</v>
      </c>
      <c r="B106" s="48" t="s">
        <v>418</v>
      </c>
      <c r="C106" s="48" t="s">
        <v>659</v>
      </c>
      <c r="D106" s="48" t="s">
        <v>661</v>
      </c>
      <c r="E106" s="48"/>
      <c r="F106" s="47"/>
      <c r="G106" s="5"/>
      <c r="H106" s="5" t="s">
        <v>603</v>
      </c>
      <c r="I106" s="5" t="s">
        <v>603</v>
      </c>
      <c r="J106" s="5" t="s">
        <v>603</v>
      </c>
      <c r="K106" s="48" t="s">
        <v>603</v>
      </c>
      <c r="L106" s="5" t="s">
        <v>603</v>
      </c>
      <c r="M106" s="5" t="s">
        <v>603</v>
      </c>
      <c r="N106" s="5" t="s">
        <v>603</v>
      </c>
      <c r="O106" s="5" t="s">
        <v>603</v>
      </c>
      <c r="P106" s="5" t="s">
        <v>603</v>
      </c>
      <c r="Q106" s="5" t="s">
        <v>603</v>
      </c>
      <c r="R106" s="5" t="s">
        <v>603</v>
      </c>
      <c r="S106" s="5" t="s">
        <v>603</v>
      </c>
      <c r="T106" s="5" t="s">
        <v>603</v>
      </c>
      <c r="U106" s="5" t="s">
        <v>603</v>
      </c>
      <c r="V106" s="5" t="s">
        <v>603</v>
      </c>
      <c r="W106" s="5" t="s">
        <v>603</v>
      </c>
      <c r="X106" s="5" t="s">
        <v>603</v>
      </c>
      <c r="Y106" s="5" t="s">
        <v>603</v>
      </c>
      <c r="Z106" s="5" t="s">
        <v>603</v>
      </c>
      <c r="AA106" s="5"/>
      <c r="AB106" s="47">
        <v>0.0</v>
      </c>
    </row>
    <row r="107" hidden="1">
      <c r="A107" s="76" t="str">
        <f t="array" ref="A107:A108">{"FormulaRow07";(INDEX(CLASSLIST,A94,1))}</f>
        <v>FormulaRow07</v>
      </c>
      <c r="B107" s="76" t="str">
        <f t="array" ref="B107:B108">{"CLASSTYPE";((INDEX(ALLCLASSDATA,MATCH("ClassType",CLASSFEATUREHEADERS,0),MATCH($A108,CLASSNAMEHEADERS,0))))}</f>
        <v>CLASSTYPE</v>
      </c>
      <c r="C107" s="76" t="str">
        <f t="array" ref="C107:C108">{"SKILLS";"Skills"}</f>
        <v>SKILLS</v>
      </c>
      <c r="D107" s="76" t="str">
        <f t="array" ref="D107:D108">{"EXTRASKILLFEATS";"Extra Skill Feats"}</f>
        <v>EXTRASKILLFEATS</v>
      </c>
      <c r="E107" s="76"/>
      <c r="F107" s="76"/>
      <c r="G107" s="76" t="str">
        <f t="array" ref="G107:G108">{"SKILLFEATEXTRA-L01";((INDEX(ALLCLASSDATA,MATCH("SkillFeatExtra-L01",CLASSFEATUREHEADERS,0),MATCH(($A108 &amp; "Points"),CLASSNAMEHEADERS,0))))}</f>
        <v>SKILLFEATEXTRA-L01</v>
      </c>
      <c r="H107" s="76" t="str">
        <f t="array" ref="H107:H108">{"SKILLFEATEXTRA-L02";((INDEX(ALLCLASSDATA,MATCH("SkillFeatExtra-L02",CLASSFEATUREHEADERS,0),MATCH(($A108 &amp; "Points"),CLASSNAMEHEADERS,0))))}</f>
        <v>SKILLFEATEXTRA-L02</v>
      </c>
      <c r="I107" s="76" t="str">
        <f t="array" ref="I107:I108">{"SKILLFEATEXTRA-L03";((INDEX(ALLCLASSDATA,MATCH("SkillFeatExtra-L03",CLASSFEATUREHEADERS,0),MATCH(($A108 &amp; "Points"),CLASSNAMEHEADERS,0))))}</f>
        <v>SKILLFEATEXTRA-L03</v>
      </c>
      <c r="J107" s="76" t="str">
        <f t="array" ref="J107:J108">{"SKILLFEATEXTRA-L04";((INDEX(ALLCLASSDATA,MATCH("SkillFeatExtra-L04",CLASSFEATUREHEADERS,0),MATCH(($A108 &amp; "Points"),CLASSNAMEHEADERS,0))))}</f>
        <v>SKILLFEATEXTRA-L04</v>
      </c>
      <c r="K107" s="76" t="str">
        <f t="array" ref="K107:K108">{"SKILLFEATEXTRA-L05";((INDEX(ALLCLASSDATA,MATCH("SkillFeatExtra-L05",CLASSFEATUREHEADERS,0),MATCH(($A108 &amp; "Points"),CLASSNAMEHEADERS,0))))}</f>
        <v>SKILLFEATEXTRA-L05</v>
      </c>
      <c r="L107" s="76" t="str">
        <f t="array" ref="L107:L108">{"SKILLFEATEXTRA-L06";((INDEX(ALLCLASSDATA,MATCH("SkillFeatExtra-L06",CLASSFEATUREHEADERS,0),MATCH(($A108 &amp; "Points"),CLASSNAMEHEADERS,0))))}</f>
        <v>SKILLFEATEXTRA-L06</v>
      </c>
      <c r="M107" s="76" t="str">
        <f t="array" ref="M107:M108">{"SKILLFEATEXTRA-L07";((INDEX(ALLCLASSDATA,MATCH("SkillFeatExtra-L07",CLASSFEATUREHEADERS,0),MATCH(($A108 &amp; "Points"),CLASSNAMEHEADERS,0))))}</f>
        <v>SKILLFEATEXTRA-L07</v>
      </c>
      <c r="N107" s="76" t="str">
        <f t="array" ref="N107:N108">{"SKILLFEATEXTRA-L08";((INDEX(ALLCLASSDATA,MATCH("SkillFeatExtra-L08",CLASSFEATUREHEADERS,0),MATCH(($A108 &amp; "Points"),CLASSNAMEHEADERS,0))))}</f>
        <v>SKILLFEATEXTRA-L08</v>
      </c>
      <c r="O107" s="76" t="str">
        <f t="array" ref="O107:O108">{"SKILLFEATEXTRA-L09";((INDEX(ALLCLASSDATA,MATCH("SkillFeatExtra-L09",CLASSFEATUREHEADERS,0),MATCH(($A108 &amp; "Points"),CLASSNAMEHEADERS,0))))}</f>
        <v>SKILLFEATEXTRA-L09</v>
      </c>
      <c r="P107" s="76" t="str">
        <f t="array" ref="P107:P108">{"SKILLFEATEXTRA-L10";((INDEX(ALLCLASSDATA,MATCH("SkillFeatExtra-L10",CLASSFEATUREHEADERS,0),MATCH(($A108 &amp; "Points"),CLASSNAMEHEADERS,0))))}</f>
        <v>SKILLFEATEXTRA-L10</v>
      </c>
      <c r="Q107" s="76" t="str">
        <f t="array" ref="Q107:Q108">{"SKILLFEATEXTRA-L11";((INDEX(ALLCLASSDATA,MATCH("SkillFeatExtra-L11",CLASSFEATUREHEADERS,0),MATCH(($A108 &amp; "Points"),CLASSNAMEHEADERS,0))))}</f>
        <v>SKILLFEATEXTRA-L11</v>
      </c>
      <c r="R107" s="76" t="str">
        <f t="array" ref="R107:R108">{"SKILLFEATEXTRA-L12";((INDEX(ALLCLASSDATA,MATCH("SkillFeatExtra-L12",CLASSFEATUREHEADERS,0),MATCH(($A108 &amp; "Points"),CLASSNAMEHEADERS,0))))}</f>
        <v>SKILLFEATEXTRA-L12</v>
      </c>
      <c r="S107" s="76" t="str">
        <f t="array" ref="S107:S108">{"SKILLFEATEXTRA-L13";((INDEX(ALLCLASSDATA,MATCH("SkillFeatExtra-L13",CLASSFEATUREHEADERS,0),MATCH(($A108 &amp; "Points"),CLASSNAMEHEADERS,0))))}</f>
        <v>SKILLFEATEXTRA-L13</v>
      </c>
      <c r="T107" s="76" t="str">
        <f t="array" ref="T107:T108">{"SKILLFEATEXTRA-L14";((INDEX(ALLCLASSDATA,MATCH("SkillFeatExtra-L14",CLASSFEATUREHEADERS,0),MATCH(($A108 &amp; "Points"),CLASSNAMEHEADERS,0))))}</f>
        <v>SKILLFEATEXTRA-L14</v>
      </c>
      <c r="U107" s="76" t="str">
        <f t="array" ref="U107:U108">{"SKILLFEATEXTRA-L15";((INDEX(ALLCLASSDATA,MATCH("SkillFeatExtra-L15",CLASSFEATUREHEADERS,0),MATCH(($A108 &amp; "Points"),CLASSNAMEHEADERS,0))))}</f>
        <v>SKILLFEATEXTRA-L15</v>
      </c>
      <c r="V107" s="76" t="str">
        <f t="array" ref="V107:V108">{"SKILLFEATEXTRA-L16";((INDEX(ALLCLASSDATA,MATCH("SkillFeatExtra-L16",CLASSFEATUREHEADERS,0),MATCH(($A108 &amp; "Points"),CLASSNAMEHEADERS,0))))}</f>
        <v>SKILLFEATEXTRA-L16</v>
      </c>
      <c r="W107" s="76" t="str">
        <f t="array" ref="W107:W108">{"SKILLFEATEXTRA-L17";((INDEX(ALLCLASSDATA,MATCH("SkillFeatExtra-L17",CLASSFEATUREHEADERS,0),MATCH(($A108 &amp; "Points"),CLASSNAMEHEADERS,0))))}</f>
        <v>SKILLFEATEXTRA-L17</v>
      </c>
      <c r="X107" s="76" t="str">
        <f t="array" ref="X107:X108">{"SKILLFEATEXTRA-L18";((INDEX(ALLCLASSDATA,MATCH("SkillFeatExtra-L18",CLASSFEATUREHEADERS,0),MATCH(($A108 &amp; "Points"),CLASSNAMEHEADERS,0))))}</f>
        <v>SKILLFEATEXTRA-L18</v>
      </c>
      <c r="Y107" s="76" t="str">
        <f t="array" ref="Y107:Y108">{"SKILLFEATEXTRA-L19";((INDEX(ALLCLASSDATA,MATCH("SkillFeatExtra-L19",CLASSFEATUREHEADERS,0),MATCH(($A108 &amp; "Points"),CLASSNAMEHEADERS,0))))}</f>
        <v>SKILLFEATEXTRA-L19</v>
      </c>
      <c r="Z107" s="76" t="str">
        <f t="array" ref="Z107:Z108">{"SKILLFEATEXTRA-L20";((INDEX(ALLCLASSDATA,MATCH("SkillFeatExtra-L20",CLASSFEATUREHEADERS,0),MATCH(($A108 &amp; "Points"),CLASSNAMEHEADERS,0))))}</f>
        <v>SKILLFEATEXTRA-L20</v>
      </c>
      <c r="AA107" s="76"/>
      <c r="AB107" s="76" t="str">
        <f t="array" ref="AB107:AB108">{"SKILLFEAT TOTAL";(sum(F108:Z108))}</f>
        <v>SKILLFEAT TOTAL</v>
      </c>
    </row>
    <row r="108">
      <c r="A108" s="48" t="s">
        <v>219</v>
      </c>
      <c r="B108" s="48" t="s">
        <v>418</v>
      </c>
      <c r="C108" s="97" t="s">
        <v>659</v>
      </c>
      <c r="D108" s="97" t="s">
        <v>722</v>
      </c>
      <c r="E108" s="97"/>
      <c r="F108" s="132"/>
      <c r="G108" s="98" t="s">
        <v>603</v>
      </c>
      <c r="H108" s="98" t="s">
        <v>603</v>
      </c>
      <c r="I108" s="97" t="s">
        <v>603</v>
      </c>
      <c r="J108" s="98" t="s">
        <v>603</v>
      </c>
      <c r="K108" s="97" t="s">
        <v>603</v>
      </c>
      <c r="L108" s="98" t="s">
        <v>603</v>
      </c>
      <c r="M108" s="98" t="s">
        <v>603</v>
      </c>
      <c r="N108" s="98" t="s">
        <v>603</v>
      </c>
      <c r="O108" s="98" t="s">
        <v>603</v>
      </c>
      <c r="P108" s="98" t="s">
        <v>603</v>
      </c>
      <c r="Q108" s="98" t="s">
        <v>603</v>
      </c>
      <c r="R108" s="98" t="s">
        <v>603</v>
      </c>
      <c r="S108" s="98" t="s">
        <v>603</v>
      </c>
      <c r="T108" s="98" t="s">
        <v>603</v>
      </c>
      <c r="U108" s="98" t="s">
        <v>603</v>
      </c>
      <c r="V108" s="98" t="s">
        <v>603</v>
      </c>
      <c r="W108" s="98" t="s">
        <v>603</v>
      </c>
      <c r="X108" s="98" t="s">
        <v>603</v>
      </c>
      <c r="Y108" s="98" t="s">
        <v>603</v>
      </c>
      <c r="Z108" s="98" t="s">
        <v>603</v>
      </c>
      <c r="AA108" s="5"/>
      <c r="AB108" s="47">
        <v>0.0</v>
      </c>
    </row>
    <row r="109" hidden="1">
      <c r="A109" s="76" t="str">
        <f t="array" ref="A109:A110">{"FormulaRow08";(INDEX(CLASSLIST,A94,1))}</f>
        <v>FormulaRow08</v>
      </c>
      <c r="B109" s="76" t="str">
        <f t="array" ref="B109:B110">{"CLASSTYPE";((INDEX(ALLCLASSDATA,MATCH("ClassType",CLASSFEATUREHEADERS,0),MATCH($A110,CLASSNAMEHEADERS,0))))}</f>
        <v>CLASSTYPE</v>
      </c>
      <c r="C109" s="81" t="str">
        <f t="array" ref="C109:C110">{"CLASSABILITY";"ClassAbility"}</f>
        <v>CLASSABILITY</v>
      </c>
      <c r="D109" s="81" t="str">
        <f t="array" ref="D109:D110">{"CLASSABILITY1";"ClassAbility1"}</f>
        <v>CLASSABILITY1</v>
      </c>
      <c r="E109" s="81"/>
      <c r="F109" s="81"/>
      <c r="G109" s="81"/>
      <c r="H109" s="81"/>
      <c r="I109" s="81" t="str">
        <f t="array" ref="I109:I110">{"CLASSABILITY1-L03";((INDEX(ALLCLASSDATA,MATCH("ClassAbility1-L03",CLASSFEATUREHEADERS,0),MATCH(($A110),CLASSNAMEHEADERS,0))))}</f>
        <v>CLASSABILITY1-L03</v>
      </c>
      <c r="J109" s="81"/>
      <c r="K109" s="81" t="str">
        <f t="array" ref="K109:K110">{"CLASSABILITY1-L05";((INDEX(ALLCLASSDATA,MATCH("ClassAbility1-L05",CLASSFEATUREHEADERS,0),MATCH(($A110),CLASSNAMEHEADERS,0))))}</f>
        <v>CLASSABILITY1-L05</v>
      </c>
      <c r="L109" s="81"/>
      <c r="M109" s="81" t="str">
        <f t="array" ref="M109:M110">{"CLASSABILITY1-L07";((INDEX(ALLCLASSDATA,MATCH("ClassAbility1-L07",CLASSFEATUREHEADERS,0),MATCH(($A110),CLASSNAMEHEADERS,0))))}</f>
        <v>CLASSABILITY1-L07</v>
      </c>
      <c r="N109" s="81"/>
      <c r="O109" s="81" t="str">
        <f t="array" ref="O109:O110">{"CLASSABILITY1-L09";((INDEX(ALLCLASSDATA,MATCH("ClassAbility1-L09",CLASSFEATUREHEADERS,0),MATCH(($A110),CLASSNAMEHEADERS,0))))}</f>
        <v>CLASSABILITY1-L09</v>
      </c>
      <c r="P109" s="81"/>
      <c r="Q109" s="81" t="str">
        <f t="array" ref="Q109:Q110">{"CLASSABILITY1-L11";((INDEX(ALLCLASSDATA,MATCH("ClassAbility1-L11",CLASSFEATUREHEADERS,0),MATCH(($A110),CLASSNAMEHEADERS,0))))}</f>
        <v>CLASSABILITY1-L11</v>
      </c>
      <c r="R109" s="81"/>
      <c r="S109" s="81" t="str">
        <f t="array" ref="S109:S110">{"CLASSABILITY1-L13";((INDEX(ALLCLASSDATA,MATCH("ClassAbility1-L13",CLASSFEATUREHEADERS,0),MATCH(($A110),CLASSNAMEHEADERS,0))))}</f>
        <v>CLASSABILITY1-L13</v>
      </c>
      <c r="T109" s="81"/>
      <c r="U109" s="81" t="str">
        <f t="array" ref="U109:U110">{"CLASSABILITY1-L15";((INDEX(ALLCLASSDATA,MATCH("ClassAbility1-L15",CLASSFEATUREHEADERS,0),MATCH(($A110),CLASSNAMEHEADERS,0))))}</f>
        <v>CLASSABILITY1-L15</v>
      </c>
      <c r="V109" s="81"/>
      <c r="W109" s="81" t="str">
        <f t="array" ref="W109:W110">{"CLASSABILITY1-L17";((INDEX(ALLCLASSDATA,MATCH("ClassAbility1-L17",CLASSFEATUREHEADERS,0),MATCH(($A110),CLASSNAMEHEADERS,0))))}</f>
        <v>CLASSABILITY1-L17</v>
      </c>
      <c r="X109" s="81"/>
      <c r="Y109" s="81" t="str">
        <f t="array" ref="Y109:Y110">{"CLASSABILITY1-L19";((INDEX(ALLCLASSDATA,MATCH("ClassAbility1-L19",CLASSFEATUREHEADERS,0),MATCH(($A110),CLASSNAMEHEADERS,0))))}</f>
        <v>CLASSABILITY1-L19</v>
      </c>
      <c r="Z109" s="81"/>
      <c r="AA109" s="76"/>
      <c r="AB109" s="76"/>
    </row>
    <row r="110">
      <c r="A110" s="48" t="s">
        <v>219</v>
      </c>
      <c r="B110" s="48" t="s">
        <v>418</v>
      </c>
      <c r="C110" s="48" t="s">
        <v>825</v>
      </c>
      <c r="D110" s="48" t="s">
        <v>826</v>
      </c>
      <c r="E110" s="5"/>
      <c r="F110" s="47"/>
      <c r="G110" s="5"/>
      <c r="H110" s="5"/>
      <c r="I110" s="5"/>
      <c r="J110" s="5"/>
      <c r="K110" s="5" t="s">
        <v>305</v>
      </c>
      <c r="L110" s="5"/>
      <c r="M110" s="5"/>
      <c r="N110" s="5"/>
      <c r="O110" s="5" t="s">
        <v>335</v>
      </c>
      <c r="P110" s="5"/>
      <c r="Q110" s="5" t="s">
        <v>323</v>
      </c>
      <c r="R110" s="5"/>
      <c r="S110" s="5" t="s">
        <v>369</v>
      </c>
      <c r="T110" s="5"/>
      <c r="U110" s="5"/>
      <c r="V110" s="5"/>
      <c r="W110" s="5"/>
      <c r="X110" s="5"/>
      <c r="Y110" s="5" t="s">
        <v>1148</v>
      </c>
      <c r="Z110" s="5"/>
      <c r="AA110" s="5"/>
      <c r="AB110" s="47"/>
    </row>
    <row r="111" hidden="1">
      <c r="A111" s="76" t="str">
        <f t="array" ref="A111:A112">{"FormulaRow09";(INDEX(CLASSLIST,A94,1))}</f>
        <v>FormulaRow09</v>
      </c>
      <c r="B111" s="76" t="str">
        <f t="array" ref="B111:B112">{"CLASSTYPE";((INDEX(ALLCLASSDATA,MATCH("ClassType",CLASSFEATUREHEADERS,0),MATCH($A112,CLASSNAMEHEADERS,0))))}</f>
        <v>CLASSTYPE</v>
      </c>
      <c r="C111" s="76" t="str">
        <f t="array" ref="C111:C112">{"CLASSABILITYPTS";"ClassAbilityPts"}</f>
        <v>CLASSABILITYPTS</v>
      </c>
      <c r="D111" s="76" t="str">
        <f t="array" ref="D111:D112">{"CLASSABILITY1";"ClassAbility1"}</f>
        <v>CLASSABILITY1</v>
      </c>
      <c r="E111" s="76"/>
      <c r="F111" s="76"/>
      <c r="G111" s="76"/>
      <c r="H111" s="76"/>
      <c r="I111" s="76" t="str">
        <f t="array" ref="I111:I112">{"CLASSABILITY1-L03PTS";((INDEX(ALLCLASSDATA,MATCH("ClassAbility1-L03",CLASSFEATUREHEADERS,0),MATCH(($A112 &amp; "Points"),CLASSNAMEHEADERS,0))))}</f>
        <v>CLASSABILITY1-L03PTS</v>
      </c>
      <c r="J111" s="76"/>
      <c r="K111" s="76" t="str">
        <f t="array" ref="K111:K112">{"CLASSABILITY1-L05PTS";((INDEX(ALLCLASSDATA,MATCH("ClassAbility1-L05",CLASSFEATUREHEADERS,0),MATCH(($A112 &amp; "Points"),CLASSNAMEHEADERS,0))))}</f>
        <v>CLASSABILITY1-L05PTS</v>
      </c>
      <c r="L111" s="76"/>
      <c r="M111" s="76" t="str">
        <f t="array" ref="M111:M112">{"CLASSABILITY1-L07PTS";((INDEX(ALLCLASSDATA,MATCH("ClassAbility1-L07",CLASSFEATUREHEADERS,0),MATCH(($A112 &amp; "Points"),CLASSNAMEHEADERS,0))))}</f>
        <v>CLASSABILITY1-L07PTS</v>
      </c>
      <c r="N111" s="76"/>
      <c r="O111" s="76" t="str">
        <f t="array" ref="O111:O112">{"CLASSABILITY1-L09PTS";((INDEX(ALLCLASSDATA,MATCH("ClassAbility1-L09",CLASSFEATUREHEADERS,0),MATCH(($A112 &amp; "Points"),CLASSNAMEHEADERS,0))))}</f>
        <v>CLASSABILITY1-L09PTS</v>
      </c>
      <c r="P111" s="76"/>
      <c r="Q111" s="76" t="str">
        <f t="array" ref="Q111:Q112">{"CLASSABILITY1-L11PTS";((INDEX(ALLCLASSDATA,MATCH("ClassAbility1-L11",CLASSFEATUREHEADERS,0),MATCH(($A112 &amp; "Points"),CLASSNAMEHEADERS,0))))}</f>
        <v>CLASSABILITY1-L11PTS</v>
      </c>
      <c r="R111" s="76"/>
      <c r="S111" s="76" t="str">
        <f t="array" ref="S111:S112">{"CLASSABILITY1-L13PTS";((INDEX(ALLCLASSDATA,MATCH("ClassAbility1-L13",CLASSFEATUREHEADERS,0),MATCH(($A112 &amp; "Points"),CLASSNAMEHEADERS,0))))}</f>
        <v>CLASSABILITY1-L13PTS</v>
      </c>
      <c r="T111" s="76"/>
      <c r="U111" s="76" t="str">
        <f t="array" ref="U111:U112">{"CLASSABILITY1-L15PTS";((INDEX(ALLCLASSDATA,MATCH("ClassAbility1-L15",CLASSFEATUREHEADERS,0),MATCH(($A112 &amp; "Points"),CLASSNAMEHEADERS,0))))}</f>
        <v>CLASSABILITY1-L15PTS</v>
      </c>
      <c r="V111" s="76"/>
      <c r="W111" s="76" t="str">
        <f t="array" ref="W111:W112">{"CLASSABILITY1-L17PTS";((INDEX(ALLCLASSDATA,MATCH("ClassAbility1-L17",CLASSFEATUREHEADERS,0),MATCH(($A112 &amp; "Points"),CLASSNAMEHEADERS,0))))}</f>
        <v>CLASSABILITY1-L17PTS</v>
      </c>
      <c r="X111" s="76"/>
      <c r="Y111" s="76" t="str">
        <f t="array" ref="Y111:Y112">{"CLASSABILITY1-L19PTS";((INDEX(ALLCLASSDATA,MATCH("ClassAbility1-L19",CLASSFEATUREHEADERS,0),MATCH(($A112 &amp; "Points"),CLASSNAMEHEADERS,0))))}</f>
        <v>CLASSABILITY1-L19PTS</v>
      </c>
      <c r="Z111" s="76"/>
      <c r="AA111" s="76"/>
      <c r="AB111" s="76" t="str">
        <f t="array" ref="AB111:AB112">{"CLASSABILITY1 TOTAL";(sum(F112:Z112))}</f>
        <v>CLASSABILITY1 TOTAL</v>
      </c>
    </row>
    <row r="112">
      <c r="A112" s="48" t="s">
        <v>219</v>
      </c>
      <c r="B112" s="48" t="s">
        <v>418</v>
      </c>
      <c r="C112" s="48" t="s">
        <v>930</v>
      </c>
      <c r="D112" s="48" t="s">
        <v>826</v>
      </c>
      <c r="E112" s="5"/>
      <c r="F112" s="5"/>
      <c r="G112" s="5"/>
      <c r="H112" s="5"/>
      <c r="I112" s="48"/>
      <c r="J112" s="5"/>
      <c r="K112" s="5"/>
      <c r="L112" s="5"/>
      <c r="M112" s="5"/>
      <c r="N112" s="5"/>
      <c r="O112" s="5"/>
      <c r="P112" s="5"/>
      <c r="Q112" s="5"/>
      <c r="R112" s="5"/>
      <c r="S112" s="5"/>
      <c r="T112" s="5"/>
      <c r="U112" s="5"/>
      <c r="V112" s="5"/>
      <c r="W112" s="5"/>
      <c r="X112" s="5"/>
      <c r="Y112" s="5"/>
      <c r="Z112" s="5"/>
      <c r="AA112" s="5"/>
      <c r="AB112" s="47">
        <v>0.0</v>
      </c>
    </row>
    <row r="113" hidden="1">
      <c r="A113" s="76" t="str">
        <f t="array" ref="A113:A114">{"FormulaRow10";(INDEX(CLASSLIST,A94,1))}</f>
        <v>FormulaRow10</v>
      </c>
      <c r="B113" s="76" t="str">
        <f t="array" ref="B113:B114">{"CLASSTYPE";((INDEX(ALLCLASSDATA,MATCH("ClassType",CLASSFEATUREHEADERS,0),MATCH($A114,CLASSNAMEHEADERS,0))))}</f>
        <v>CLASSTYPE</v>
      </c>
      <c r="C113" s="76" t="str">
        <f t="array" ref="C113:C114">{"CLASSABILITY";"ClassAbility"}</f>
        <v>CLASSABILITY</v>
      </c>
      <c r="D113" s="76" t="str">
        <f t="array" ref="D113:D114">{"CLASSABILITY2";"ClassAbility2"}</f>
        <v>CLASSABILITY2</v>
      </c>
      <c r="E113" s="76"/>
      <c r="F113" s="76"/>
      <c r="G113" s="76"/>
      <c r="H113" s="76"/>
      <c r="I113" s="76" t="str">
        <f t="array" ref="I113:I114">{"CLASSABILITY2-L03";((INDEX(ALLCLASSDATA,MATCH("ClassAbility2-L03",CLASSFEATUREHEADERS,0),MATCH(($A114),CLASSNAMEHEADERS,0))))}</f>
        <v>CLASSABILITY2-L03</v>
      </c>
      <c r="J113" s="76"/>
      <c r="K113" s="76" t="str">
        <f t="array" ref="K113:K114">{"CLASSABILITY2-L05";((INDEX(ALLCLASSDATA,MATCH("ClassAbility2-L05",CLASSFEATUREHEADERS,0),MATCH(($A114),CLASSNAMEHEADERS,0))))}</f>
        <v>CLASSABILITY2-L05</v>
      </c>
      <c r="L113" s="76"/>
      <c r="M113" s="76" t="str">
        <f t="array" ref="M113:M114">{"CLASSABILITY2-L07";((INDEX(ALLCLASSDATA,MATCH("ClassAbility2-L07",CLASSFEATUREHEADERS,0),MATCH(($A114),CLASSNAMEHEADERS,0))))}</f>
        <v>CLASSABILITY2-L07</v>
      </c>
      <c r="N113" s="76"/>
      <c r="O113" s="76" t="str">
        <f t="array" ref="O113:O114">{"CLASSABILITY2-L09";((INDEX(ALLCLASSDATA,MATCH("ClassAbility2-L09",CLASSFEATUREHEADERS,0),MATCH(($A114),CLASSNAMEHEADERS,0))))}</f>
        <v>CLASSABILITY2-L09</v>
      </c>
      <c r="P113" s="76"/>
      <c r="Q113" s="76" t="str">
        <f t="array" ref="Q113:Q114">{"CLASSABILITY2-L11";((INDEX(ALLCLASSDATA,MATCH("ClassAbility2-L11",CLASSFEATUREHEADERS,0),MATCH(($A114),CLASSNAMEHEADERS,0))))}</f>
        <v>CLASSABILITY2-L11</v>
      </c>
      <c r="R113" s="76"/>
      <c r="S113" s="76" t="str">
        <f t="array" ref="S113:S114">{"CLASSABILITY2-L13";((INDEX(ALLCLASSDATA,MATCH("ClassAbility2-L13",CLASSFEATUREHEADERS,0),MATCH(($A114),CLASSNAMEHEADERS,0))))}</f>
        <v>CLASSABILITY2-L13</v>
      </c>
      <c r="T113" s="76"/>
      <c r="U113" s="76" t="str">
        <f t="array" ref="U113:U114">{"CLASSABILITY2-L15";((INDEX(ALLCLASSDATA,MATCH("ClassAbility2-L15",CLASSFEATUREHEADERS,0),MATCH(($A114),CLASSNAMEHEADERS,0))))}</f>
        <v>CLASSABILITY2-L15</v>
      </c>
      <c r="V113" s="76"/>
      <c r="W113" s="76" t="str">
        <f t="array" ref="W113:W114">{"CLASSABILITY2-L17";((INDEX(ALLCLASSDATA,MATCH("ClassAbility2-L17",CLASSFEATUREHEADERS,0),MATCH(($A114),CLASSNAMEHEADERS,0))))}</f>
        <v>CLASSABILITY2-L17</v>
      </c>
      <c r="X113" s="76"/>
      <c r="Y113" s="76" t="str">
        <f t="array" ref="Y113:Y114">{"CLASSABILITY2-L19";((INDEX(ALLCLASSDATA,MATCH("ClassAbility2-L19",CLASSFEATUREHEADERS,0),MATCH(($A114),CLASSNAMEHEADERS,0))))}</f>
        <v>CLASSABILITY2-L19</v>
      </c>
      <c r="Z113" s="76"/>
      <c r="AA113" s="76"/>
      <c r="AB113" s="76"/>
    </row>
    <row r="114">
      <c r="A114" s="48" t="s">
        <v>219</v>
      </c>
      <c r="B114" s="48" t="s">
        <v>418</v>
      </c>
      <c r="C114" s="48" t="s">
        <v>825</v>
      </c>
      <c r="D114" s="48" t="s">
        <v>1007</v>
      </c>
      <c r="E114" s="48"/>
      <c r="F114" s="47"/>
      <c r="G114" s="5"/>
      <c r="H114" s="5"/>
      <c r="I114" s="5"/>
      <c r="J114" s="5"/>
      <c r="K114" s="5"/>
      <c r="L114" s="5"/>
      <c r="M114" s="5"/>
      <c r="N114" s="5"/>
      <c r="O114" s="5"/>
      <c r="P114" s="5"/>
      <c r="Q114" s="5"/>
      <c r="R114" s="5"/>
      <c r="S114" s="5" t="s">
        <v>1316</v>
      </c>
      <c r="T114" s="5"/>
      <c r="U114" s="5"/>
      <c r="V114" s="5"/>
      <c r="W114" s="5"/>
      <c r="X114" s="5"/>
      <c r="Y114" s="5"/>
      <c r="Z114" s="5"/>
      <c r="AA114" s="5"/>
      <c r="AB114" s="47"/>
    </row>
    <row r="115" hidden="1">
      <c r="A115" s="76" t="str">
        <f t="array" ref="A115:A116">{"FormulaRow11";(INDEX(CLASSLIST,A94,1))}</f>
        <v>FormulaRow11</v>
      </c>
      <c r="B115" s="76" t="str">
        <f t="array" ref="B115:B116">{"CLASSTYPE";((INDEX(ALLCLASSDATA,MATCH("ClassType",CLASSFEATUREHEADERS,0),MATCH($A116,CLASSNAMEHEADERS,0))))}</f>
        <v>CLASSTYPE</v>
      </c>
      <c r="C115" s="76" t="str">
        <f t="array" ref="C115:C116">{"CLASSABILITYPTS";"ClassAbilityPts"}</f>
        <v>CLASSABILITYPTS</v>
      </c>
      <c r="D115" s="76" t="str">
        <f t="array" ref="D115:D116">{"CLASSABILITY2";"ClassAbility2"}</f>
        <v>CLASSABILITY2</v>
      </c>
      <c r="E115" s="76"/>
      <c r="F115" s="76"/>
      <c r="G115" s="76"/>
      <c r="H115" s="76"/>
      <c r="I115" s="76" t="str">
        <f t="array" ref="I115:I116">{"CLASSABILITY2-L03PTS";((INDEX(ALLCLASSDATA,MATCH("ClassAbility2-L03",CLASSFEATUREHEADERS,0),MATCH(($A116 &amp; "Points"),CLASSNAMEHEADERS,0))))}</f>
        <v>CLASSABILITY2-L03PTS</v>
      </c>
      <c r="J115" s="76"/>
      <c r="K115" s="76" t="str">
        <f t="array" ref="K115:K116">{"CLASSABILITY2-L05PTS";((INDEX(ALLCLASSDATA,MATCH("ClassAbility2-L05",CLASSFEATUREHEADERS,0),MATCH(($A116 &amp; "Points"),CLASSNAMEHEADERS,0))))}</f>
        <v>CLASSABILITY2-L05PTS</v>
      </c>
      <c r="L115" s="76"/>
      <c r="M115" s="76" t="str">
        <f t="array" ref="M115:M116">{"CLASSABILITY2-L07PTS";((INDEX(ALLCLASSDATA,MATCH("ClassAbility2-L07",CLASSFEATUREHEADERS,0),MATCH(($A116 &amp; "Points"),CLASSNAMEHEADERS,0))))}</f>
        <v>CLASSABILITY2-L07PTS</v>
      </c>
      <c r="N115" s="76"/>
      <c r="O115" s="76" t="str">
        <f t="array" ref="O115:O116">{"CLASSABILITY2-L09PTS";((INDEX(ALLCLASSDATA,MATCH("ClassAbility2-L09",CLASSFEATUREHEADERS,0),MATCH(($A116 &amp; "Points"),CLASSNAMEHEADERS,0))))}</f>
        <v>CLASSABILITY2-L09PTS</v>
      </c>
      <c r="P115" s="76"/>
      <c r="Q115" s="76" t="str">
        <f t="array" ref="Q115:Q116">{"CLASSABILITY2-L11PTS";((INDEX(ALLCLASSDATA,MATCH("ClassAbility2-L11",CLASSFEATUREHEADERS,0),MATCH(($A116 &amp; "Points"),CLASSNAMEHEADERS,0))))}</f>
        <v>CLASSABILITY2-L11PTS</v>
      </c>
      <c r="R115" s="76"/>
      <c r="S115" s="76" t="str">
        <f t="array" ref="S115:S116">{"CLASSABILITY2-L13PTS";((INDEX(ALLCLASSDATA,MATCH("ClassAbility2-L13",CLASSFEATUREHEADERS,0),MATCH(($A116 &amp; "Points"),CLASSNAMEHEADERS,0))))}</f>
        <v>CLASSABILITY2-L13PTS</v>
      </c>
      <c r="T115" s="76"/>
      <c r="U115" s="76" t="str">
        <f t="array" ref="U115:U116">{"CLASSABILITY2-L15PTS";((INDEX(ALLCLASSDATA,MATCH("ClassAbility2-L15",CLASSFEATUREHEADERS,0),MATCH(($A116 &amp; "Points"),CLASSNAMEHEADERS,0))))}</f>
        <v>CLASSABILITY2-L15PTS</v>
      </c>
      <c r="V115" s="76"/>
      <c r="W115" s="76" t="str">
        <f t="array" ref="W115:W116">{"CLASSABILITY2-L17PTS";((INDEX(ALLCLASSDATA,MATCH("ClassAbility2-L17",CLASSFEATUREHEADERS,0),MATCH(($A116 &amp; "Points"),CLASSNAMEHEADERS,0))))}</f>
        <v>CLASSABILITY2-L17PTS</v>
      </c>
      <c r="X115" s="76"/>
      <c r="Y115" s="76" t="str">
        <f t="array" ref="Y115:Y116">{"CLASSABILITY2-L19PTS";((INDEX(ALLCLASSDATA,MATCH("ClassAbility2-L19",CLASSFEATUREHEADERS,0),MATCH(($A116 &amp; "Points"),CLASSNAMEHEADERS,0))))}</f>
        <v>CLASSABILITY2-L19PTS</v>
      </c>
      <c r="Z115" s="76"/>
      <c r="AA115" s="76"/>
      <c r="AB115" s="76" t="str">
        <f t="array" ref="AB115:AB116">{"CLASSABILITY2 TOTAL";(sum(F116:Z116))}</f>
        <v>CLASSABILITY2 TOTAL</v>
      </c>
    </row>
    <row r="116">
      <c r="A116" s="48" t="s">
        <v>219</v>
      </c>
      <c r="B116" s="48" t="s">
        <v>418</v>
      </c>
      <c r="C116" s="48" t="s">
        <v>930</v>
      </c>
      <c r="D116" s="48" t="s">
        <v>1007</v>
      </c>
      <c r="E116" s="48"/>
      <c r="F116" s="47"/>
      <c r="G116" s="5"/>
      <c r="H116" s="5"/>
      <c r="I116" s="5"/>
      <c r="J116" s="5"/>
      <c r="K116" s="5"/>
      <c r="L116" s="5"/>
      <c r="M116" s="5"/>
      <c r="N116" s="5"/>
      <c r="O116" s="5"/>
      <c r="P116" s="5"/>
      <c r="Q116" s="5"/>
      <c r="R116" s="5"/>
      <c r="S116" s="5"/>
      <c r="T116" s="5"/>
      <c r="U116" s="5"/>
      <c r="V116" s="5"/>
      <c r="W116" s="5"/>
      <c r="X116" s="5"/>
      <c r="Y116" s="5"/>
      <c r="Z116" s="5"/>
      <c r="AA116" s="5"/>
      <c r="AB116" s="47">
        <v>0.0</v>
      </c>
    </row>
    <row r="117" hidden="1">
      <c r="A117" s="76" t="str">
        <f t="array" ref="A117:A118">{"FormulaRow12";(INDEX(CLASSLIST,A94,1))}</f>
        <v>FormulaRow12</v>
      </c>
      <c r="B117" s="76" t="str">
        <f t="array" ref="B117:B118">{"CLASSTYPE";((INDEX(ALLCLASSDATA,MATCH("ClassType",CLASSFEATUREHEADERS,0),MATCH($A118,CLASSNAMEHEADERS,0))))}</f>
        <v>CLASSTYPE</v>
      </c>
      <c r="C117" s="76" t="str">
        <f t="array" ref="C117:C118">{"CLASSABILITY";"ClassAbility"}</f>
        <v>CLASSABILITY</v>
      </c>
      <c r="D117" s="76" t="str">
        <f t="array" ref="D117:D118">{"CLASSABILITY3";"ClassAbility3"}</f>
        <v>CLASSABILITY3</v>
      </c>
      <c r="E117" s="76"/>
      <c r="F117" s="76"/>
      <c r="G117" s="76"/>
      <c r="H117" s="76"/>
      <c r="I117" s="76" t="str">
        <f t="array" ref="I117:I118">{"CLASSABILITY3-L03";((INDEX(ALLCLASSDATA,MATCH("ClassAbility3-L03",CLASSFEATUREHEADERS,0),MATCH(($A118),CLASSNAMEHEADERS,0))))}</f>
        <v>CLASSABILITY3-L03</v>
      </c>
      <c r="J117" s="76"/>
      <c r="K117" s="76" t="str">
        <f t="array" ref="K117:K118">{"CLASSABILITY3-L05";((INDEX(ALLCLASSDATA,MATCH("ClassAbility3-L05",CLASSFEATUREHEADERS,0),MATCH(($A118),CLASSNAMEHEADERS,0))))}</f>
        <v>CLASSABILITY3-L05</v>
      </c>
      <c r="L117" s="76"/>
      <c r="M117" s="76" t="str">
        <f t="array" ref="M117:M118">{"CLASSABILITY3-L07";((INDEX(ALLCLASSDATA,MATCH("ClassAbility3-L07",CLASSFEATUREHEADERS,0),MATCH(($A118),CLASSNAMEHEADERS,0))))}</f>
        <v>CLASSABILITY3-L07</v>
      </c>
      <c r="N117" s="76"/>
      <c r="O117" s="76" t="str">
        <f t="array" ref="O117:O118">{"CLASSABILITY3-L09";((INDEX(ALLCLASSDATA,MATCH("ClassAbility3-L09",CLASSFEATUREHEADERS,0),MATCH(($A118),CLASSNAMEHEADERS,0))))}</f>
        <v>CLASSABILITY3-L09</v>
      </c>
      <c r="P117" s="76"/>
      <c r="Q117" s="76" t="str">
        <f t="array" ref="Q117:Q118">{"CLASSABILITY3-L11";((INDEX(ALLCLASSDATA,MATCH("ClassAbility3-L11",CLASSFEATUREHEADERS,0),MATCH(($A118),CLASSNAMEHEADERS,0))))}</f>
        <v>CLASSABILITY3-L11</v>
      </c>
      <c r="R117" s="76"/>
      <c r="S117" s="76" t="str">
        <f t="array" ref="S117:S118">{"CLASSABILITY3-L13";((INDEX(ALLCLASSDATA,MATCH("ClassAbility3-L13",CLASSFEATUREHEADERS,0),MATCH(($A118),CLASSNAMEHEADERS,0))))}</f>
        <v>CLASSABILITY3-L13</v>
      </c>
      <c r="T117" s="76"/>
      <c r="U117" s="76" t="str">
        <f t="array" ref="U117:U118">{"CLASSABILITY3-L15";((INDEX(ALLCLASSDATA,MATCH("ClassAbility3-L15",CLASSFEATUREHEADERS,0),MATCH(($A118),CLASSNAMEHEADERS,0))))}</f>
        <v>CLASSABILITY3-L15</v>
      </c>
      <c r="V117" s="76"/>
      <c r="W117" s="76" t="str">
        <f t="array" ref="W117:W118">{"CLASSABILITY3-L17";((INDEX(ALLCLASSDATA,MATCH("ClassAbility3-L17",CLASSFEATUREHEADERS,0),MATCH(($A118),CLASSNAMEHEADERS,0))))}</f>
        <v>CLASSABILITY3-L17</v>
      </c>
      <c r="X117" s="76"/>
      <c r="Y117" s="76" t="str">
        <f t="array" ref="Y117:Y118">{"CLASSABILITY3-L19";((INDEX(ALLCLASSDATA,MATCH("ClassAbility3-L19",CLASSFEATUREHEADERS,0),MATCH(($A118),CLASSNAMEHEADERS,0))))}</f>
        <v>CLASSABILITY3-L19</v>
      </c>
      <c r="Z117" s="76"/>
      <c r="AA117" s="76"/>
      <c r="AB117" s="76"/>
    </row>
    <row r="118">
      <c r="A118" s="48" t="s">
        <v>219</v>
      </c>
      <c r="B118" s="48" t="s">
        <v>418</v>
      </c>
      <c r="C118" s="48" t="s">
        <v>825</v>
      </c>
      <c r="D118" s="48" t="s">
        <v>1144</v>
      </c>
      <c r="E118" s="48"/>
      <c r="F118" s="47"/>
      <c r="G118" s="5"/>
      <c r="H118" s="5"/>
      <c r="I118" s="5"/>
      <c r="J118" s="5"/>
      <c r="K118" s="5"/>
      <c r="L118" s="5"/>
      <c r="M118" s="5"/>
      <c r="N118" s="5"/>
      <c r="O118" s="5"/>
      <c r="P118" s="5"/>
      <c r="Q118" s="5"/>
      <c r="R118" s="5"/>
      <c r="S118" s="5"/>
      <c r="T118" s="5"/>
      <c r="U118" s="5"/>
      <c r="V118" s="5"/>
      <c r="W118" s="5"/>
      <c r="X118" s="5"/>
      <c r="Y118" s="5"/>
      <c r="Z118" s="5"/>
      <c r="AA118" s="5"/>
      <c r="AB118" s="47"/>
    </row>
    <row r="119" hidden="1">
      <c r="A119" s="76" t="str">
        <f t="array" ref="A119:A120">{"FormulaRow13";(INDEX(CLASSLIST,A94,1))}</f>
        <v>FormulaRow13</v>
      </c>
      <c r="B119" s="76" t="str">
        <f t="array" ref="B119:B120">{"CLASSTYPE";((INDEX(ALLCLASSDATA,MATCH("ClassType",CLASSFEATUREHEADERS,0),MATCH($A120,CLASSNAMEHEADERS,0))))}</f>
        <v>CLASSTYPE</v>
      </c>
      <c r="C119" s="76" t="str">
        <f t="array" ref="C119:C120">{"CLASSABILITYPTS";"ClassAbilityPts"}</f>
        <v>CLASSABILITYPTS</v>
      </c>
      <c r="D119" s="76" t="str">
        <f t="array" ref="D119:D120">{"CLASSABILITY3";"ClassAbility3"}</f>
        <v>CLASSABILITY3</v>
      </c>
      <c r="E119" s="76"/>
      <c r="F119" s="76"/>
      <c r="G119" s="76"/>
      <c r="H119" s="76"/>
      <c r="I119" s="76" t="str">
        <f t="array" ref="I119:I120">{"CLASSABILITY3-L03PTS";((INDEX(ALLCLASSDATA,MATCH("ClassAbility3-L03",CLASSFEATUREHEADERS,0),MATCH(($A120 &amp; "Points"),CLASSNAMEHEADERS,0))))}</f>
        <v>CLASSABILITY3-L03PTS</v>
      </c>
      <c r="J119" s="76"/>
      <c r="K119" s="76" t="str">
        <f t="array" ref="K119:K120">{"CLASSABILITY3-L05PTS";((INDEX(ALLCLASSDATA,MATCH("ClassAbility3-L05",CLASSFEATUREHEADERS,0),MATCH(($A120 &amp; "Points"),CLASSNAMEHEADERS,0))))}</f>
        <v>CLASSABILITY3-L05PTS</v>
      </c>
      <c r="L119" s="76"/>
      <c r="M119" s="76" t="str">
        <f t="array" ref="M119:M120">{"CLASSABILITY3-L07PTS";((INDEX(ALLCLASSDATA,MATCH("ClassAbility3-L07",CLASSFEATUREHEADERS,0),MATCH(($A120 &amp; "Points"),CLASSNAMEHEADERS,0))))}</f>
        <v>CLASSABILITY3-L07PTS</v>
      </c>
      <c r="N119" s="76"/>
      <c r="O119" s="76" t="str">
        <f t="array" ref="O119:O120">{"CLASSABILITY3-L09PTS";((INDEX(ALLCLASSDATA,MATCH("ClassAbility3-L09",CLASSFEATUREHEADERS,0),MATCH(($A120 &amp; "Points"),CLASSNAMEHEADERS,0))))}</f>
        <v>CLASSABILITY3-L09PTS</v>
      </c>
      <c r="P119" s="76"/>
      <c r="Q119" s="76" t="str">
        <f t="array" ref="Q119:Q120">{"CLASSABILITY3-L11PTS";((INDEX(ALLCLASSDATA,MATCH("ClassAbility3-L11",CLASSFEATUREHEADERS,0),MATCH(($A120 &amp; "Points"),CLASSNAMEHEADERS,0))))}</f>
        <v>CLASSABILITY3-L11PTS</v>
      </c>
      <c r="R119" s="76"/>
      <c r="S119" s="76" t="str">
        <f t="array" ref="S119:S120">{"CLASSABILITY3-L13PTS";((INDEX(ALLCLASSDATA,MATCH("ClassAbility3-L13",CLASSFEATUREHEADERS,0),MATCH(($A120 &amp; "Points"),CLASSNAMEHEADERS,0))))}</f>
        <v>CLASSABILITY3-L13PTS</v>
      </c>
      <c r="T119" s="76"/>
      <c r="U119" s="76" t="str">
        <f t="array" ref="U119:U120">{"CLASSABILITY3-L15PTS";((INDEX(ALLCLASSDATA,MATCH("ClassAbility3-L15",CLASSFEATUREHEADERS,0),MATCH(($A120 &amp; "Points"),CLASSNAMEHEADERS,0))))}</f>
        <v>CLASSABILITY3-L15PTS</v>
      </c>
      <c r="V119" s="76"/>
      <c r="W119" s="76" t="str">
        <f t="array" ref="W119:W120">{"CLASSABILITY3-L17PTS";((INDEX(ALLCLASSDATA,MATCH("ClassAbility3-L17",CLASSFEATUREHEADERS,0),MATCH(($A120 &amp; "Points"),CLASSNAMEHEADERS,0))))}</f>
        <v>CLASSABILITY3-L17PTS</v>
      </c>
      <c r="X119" s="76"/>
      <c r="Y119" s="76" t="str">
        <f t="array" ref="Y119:Y120">{"CLASSABILITY3-L19PTS";((INDEX(ALLCLASSDATA,MATCH("ClassAbility3-L19",CLASSFEATUREHEADERS,0),MATCH(($A120 &amp; "Points"),CLASSNAMEHEADERS,0))))}</f>
        <v>CLASSABILITY3-L19PTS</v>
      </c>
      <c r="Z119" s="76"/>
      <c r="AA119" s="76"/>
      <c r="AB119" s="76" t="str">
        <f t="array" ref="AB119:AB120">{"CLASSABILITY3 TOTAL";(sum(F120:Z120))}</f>
        <v>CLASSABILITY3 TOTAL</v>
      </c>
    </row>
    <row r="120">
      <c r="A120" s="48" t="s">
        <v>219</v>
      </c>
      <c r="B120" s="48" t="s">
        <v>418</v>
      </c>
      <c r="C120" s="48" t="s">
        <v>930</v>
      </c>
      <c r="D120" s="48" t="s">
        <v>1144</v>
      </c>
      <c r="E120" s="48"/>
      <c r="F120" s="47"/>
      <c r="G120" s="5"/>
      <c r="H120" s="5"/>
      <c r="I120" s="5"/>
      <c r="J120" s="5"/>
      <c r="K120" s="5"/>
      <c r="L120" s="5"/>
      <c r="M120" s="5"/>
      <c r="N120" s="5"/>
      <c r="O120" s="5"/>
      <c r="P120" s="5"/>
      <c r="Q120" s="5"/>
      <c r="R120" s="5"/>
      <c r="S120" s="5"/>
      <c r="T120" s="5"/>
      <c r="U120" s="5"/>
      <c r="V120" s="5"/>
      <c r="W120" s="5"/>
      <c r="X120" s="5"/>
      <c r="Y120" s="5"/>
      <c r="Z120" s="5"/>
      <c r="AA120" s="5"/>
      <c r="AB120" s="47">
        <v>0.0</v>
      </c>
    </row>
    <row r="121" hidden="1">
      <c r="A121" s="76" t="str">
        <f t="array" ref="A121:A122">{"FormulaRow14";(INDEX(CLASSLIST,A94,1))}</f>
        <v>FormulaRow14</v>
      </c>
      <c r="B121" s="76" t="str">
        <f t="array" ref="B121:B122">{"CLASSTYPE";((INDEX(ALLCLASSDATA,MATCH("ClassType",CLASSFEATUREHEADERS,0),MATCH($A122,CLASSNAMEHEADERS,0))))}</f>
        <v>CLASSTYPE</v>
      </c>
      <c r="C121" s="76" t="str">
        <f t="array" ref="C121:C122">{"CLASSABILITY";"ClassAbility"}</f>
        <v>CLASSABILITY</v>
      </c>
      <c r="D121" s="76" t="str">
        <f t="array" ref="D121:D122">{"CLASSABILITY4";"ClassAbility4"}</f>
        <v>CLASSABILITY4</v>
      </c>
      <c r="E121" s="76"/>
      <c r="F121" s="76"/>
      <c r="G121" s="76"/>
      <c r="H121" s="76"/>
      <c r="I121" s="76" t="str">
        <f t="array" ref="I121:I122">{"CLASSABILITY4-L03";((INDEX(ALLCLASSDATA,MATCH("ClassAbility4-L03",CLASSFEATUREHEADERS,0),MATCH(($A122),CLASSNAMEHEADERS,0))))}</f>
        <v>CLASSABILITY4-L03</v>
      </c>
      <c r="J121" s="76"/>
      <c r="K121" s="76" t="str">
        <f t="array" ref="K121:K122">{"CLASSABILITY4-L05";((INDEX(ALLCLASSDATA,MATCH("ClassAbility4-L05",CLASSFEATUREHEADERS,0),MATCH(($A122),CLASSNAMEHEADERS,0))))}</f>
        <v>CLASSABILITY4-L05</v>
      </c>
      <c r="L121" s="76"/>
      <c r="M121" s="76" t="str">
        <f t="array" ref="M121:M122">{"CLASSABILITY4-L07";((INDEX(ALLCLASSDATA,MATCH("ClassAbility4-L07",CLASSFEATUREHEADERS,0),MATCH(($A122),CLASSNAMEHEADERS,0))))}</f>
        <v>CLASSABILITY4-L07</v>
      </c>
      <c r="N121" s="76"/>
      <c r="O121" s="76" t="str">
        <f t="array" ref="O121:O122">{"CLASSABILITY4-L09";((INDEX(ALLCLASSDATA,MATCH("ClassAbility4-L09",CLASSFEATUREHEADERS,0),MATCH(($A122),CLASSNAMEHEADERS,0))))}</f>
        <v>CLASSABILITY4-L09</v>
      </c>
      <c r="P121" s="76"/>
      <c r="Q121" s="76" t="str">
        <f t="array" ref="Q121:Q122">{"CLASSABILITY4-L11";((INDEX(ALLCLASSDATA,MATCH("ClassAbility4-L11",CLASSFEATUREHEADERS,0),MATCH(($A122),CLASSNAMEHEADERS,0))))}</f>
        <v>CLASSABILITY4-L11</v>
      </c>
      <c r="R121" s="76"/>
      <c r="S121" s="76" t="str">
        <f t="array" ref="S121:S122">{"CLASSABILITY4-L13";((INDEX(ALLCLASSDATA,MATCH("ClassAbility4-L13",CLASSFEATUREHEADERS,0),MATCH(($A122),CLASSNAMEHEADERS,0))))}</f>
        <v>CLASSABILITY4-L13</v>
      </c>
      <c r="T121" s="76"/>
      <c r="U121" s="76" t="str">
        <f t="array" ref="U121:U122">{"CLASSABILITY4-L15";((INDEX(ALLCLASSDATA,MATCH("ClassAbility4-L15",CLASSFEATUREHEADERS,0),MATCH(($A122),CLASSNAMEHEADERS,0))))}</f>
        <v>CLASSABILITY4-L15</v>
      </c>
      <c r="V121" s="76"/>
      <c r="W121" s="76" t="str">
        <f t="array" ref="W121:W122">{"CLASSABILITY4-L17";((INDEX(ALLCLASSDATA,MATCH("ClassAbility4-L17",CLASSFEATUREHEADERS,0),MATCH(($A122),CLASSNAMEHEADERS,0))))}</f>
        <v>CLASSABILITY4-L17</v>
      </c>
      <c r="X121" s="76"/>
      <c r="Y121" s="76" t="str">
        <f t="array" ref="Y121:Y122">{"CLASSABILITY4-L19";((INDEX(ALLCLASSDATA,MATCH("ClassAbility4-L19",CLASSFEATUREHEADERS,0),MATCH(($A122),CLASSNAMEHEADERS,0))))}</f>
        <v>CLASSABILITY4-L19</v>
      </c>
      <c r="Z121" s="76"/>
      <c r="AA121" s="76"/>
      <c r="AB121" s="76"/>
    </row>
    <row r="122">
      <c r="A122" s="48" t="s">
        <v>219</v>
      </c>
      <c r="B122" s="48" t="s">
        <v>418</v>
      </c>
      <c r="C122" s="48" t="s">
        <v>825</v>
      </c>
      <c r="D122" s="48" t="s">
        <v>1273</v>
      </c>
      <c r="E122" s="48"/>
      <c r="F122" s="47"/>
      <c r="G122" s="5"/>
      <c r="H122" s="5"/>
      <c r="I122" s="5"/>
      <c r="J122" s="5"/>
      <c r="K122" s="5"/>
      <c r="L122" s="5"/>
      <c r="M122" s="5"/>
      <c r="N122" s="5"/>
      <c r="O122" s="5"/>
      <c r="P122" s="5"/>
      <c r="Q122" s="5"/>
      <c r="R122" s="5"/>
      <c r="S122" s="5"/>
      <c r="T122" s="5"/>
      <c r="U122" s="5"/>
      <c r="V122" s="5"/>
      <c r="W122" s="5"/>
      <c r="X122" s="5"/>
      <c r="Y122" s="5"/>
      <c r="Z122" s="5"/>
      <c r="AA122" s="5"/>
      <c r="AB122" s="47"/>
    </row>
    <row r="123" hidden="1">
      <c r="A123" s="76" t="str">
        <f t="array" ref="A123:A124">{"FormulaRow15";(INDEX(CLASSLIST,A94,1))}</f>
        <v>FormulaRow15</v>
      </c>
      <c r="B123" s="76" t="str">
        <f t="array" ref="B123:B124">{"CLASSTYPE";((INDEX(ALLCLASSDATA,MATCH("ClassType",CLASSFEATUREHEADERS,0),MATCH($A124,CLASSNAMEHEADERS,0))))}</f>
        <v>CLASSTYPE</v>
      </c>
      <c r="C123" s="76" t="str">
        <f t="array" ref="C123:C124">{"CLASSABILITYPTS";"ClassAbilityPts"}</f>
        <v>CLASSABILITYPTS</v>
      </c>
      <c r="D123" s="76" t="str">
        <f t="array" ref="D123:D124">{"CLASSABILITY4";"ClassAbility4"}</f>
        <v>CLASSABILITY4</v>
      </c>
      <c r="E123" s="76"/>
      <c r="F123" s="76"/>
      <c r="G123" s="76"/>
      <c r="H123" s="76"/>
      <c r="I123" s="76" t="str">
        <f t="array" ref="I123:I124">{"CLASSABILITY4-L03PTS";((INDEX(ALLCLASSDATA,MATCH("ClassAbility4-L03",CLASSFEATUREHEADERS,0),MATCH(($A124 &amp; "Points"),CLASSNAMEHEADERS,0))))}</f>
        <v>CLASSABILITY4-L03PTS</v>
      </c>
      <c r="J123" s="76"/>
      <c r="K123" s="76" t="str">
        <f t="array" ref="K123:K124">{"CLASSABILITY4-L05PTS";((INDEX(ALLCLASSDATA,MATCH("ClassAbility4-L05",CLASSFEATUREHEADERS,0),MATCH(($A124 &amp; "Points"),CLASSNAMEHEADERS,0))))}</f>
        <v>CLASSABILITY4-L05PTS</v>
      </c>
      <c r="L123" s="76"/>
      <c r="M123" s="76" t="str">
        <f t="array" ref="M123:M124">{"CLASSABILITY4-L07PTS";((INDEX(ALLCLASSDATA,MATCH("ClassAbility4-L07",CLASSFEATUREHEADERS,0),MATCH(($A124 &amp; "Points"),CLASSNAMEHEADERS,0))))}</f>
        <v>CLASSABILITY4-L07PTS</v>
      </c>
      <c r="N123" s="76"/>
      <c r="O123" s="76" t="str">
        <f t="array" ref="O123:O124">{"CLASSABILITY4-L09PTS";((INDEX(ALLCLASSDATA,MATCH("ClassAbility4-L09",CLASSFEATUREHEADERS,0),MATCH(($A124 &amp; "Points"),CLASSNAMEHEADERS,0))))}</f>
        <v>CLASSABILITY4-L09PTS</v>
      </c>
      <c r="P123" s="76"/>
      <c r="Q123" s="76" t="str">
        <f t="array" ref="Q123:Q124">{"CLASSABILITY4-L11PTS";((INDEX(ALLCLASSDATA,MATCH("ClassAbility4-L11",CLASSFEATUREHEADERS,0),MATCH(($A124 &amp; "Points"),CLASSNAMEHEADERS,0))))}</f>
        <v>CLASSABILITY4-L11PTS</v>
      </c>
      <c r="R123" s="76"/>
      <c r="S123" s="76" t="str">
        <f t="array" ref="S123:S124">{"CLASSABILITY4-L13PTS";((INDEX(ALLCLASSDATA,MATCH("ClassAbility4-L13",CLASSFEATUREHEADERS,0),MATCH(($A124 &amp; "Points"),CLASSNAMEHEADERS,0))))}</f>
        <v>CLASSABILITY4-L13PTS</v>
      </c>
      <c r="T123" s="76"/>
      <c r="U123" s="76" t="str">
        <f t="array" ref="U123:U124">{"CLASSABILITY4-L15PTS";((INDEX(ALLCLASSDATA,MATCH("ClassAbility4-L15",CLASSFEATUREHEADERS,0),MATCH(($A124 &amp; "Points"),CLASSNAMEHEADERS,0))))}</f>
        <v>CLASSABILITY4-L15PTS</v>
      </c>
      <c r="V123" s="76"/>
      <c r="W123" s="76" t="str">
        <f t="array" ref="W123:W124">{"CLASSABILITY4-L17PTS";((INDEX(ALLCLASSDATA,MATCH("ClassAbility4-L17",CLASSFEATUREHEADERS,0),MATCH(($A124 &amp; "Points"),CLASSNAMEHEADERS,0))))}</f>
        <v>CLASSABILITY4-L17PTS</v>
      </c>
      <c r="X123" s="76"/>
      <c r="Y123" s="76" t="str">
        <f t="array" ref="Y123:Y124">{"CLASSABILITY4-L19PTS";((INDEX(ALLCLASSDATA,MATCH("ClassAbility4-L19",CLASSFEATUREHEADERS,0),MATCH(($A124 &amp; "Points"),CLASSNAMEHEADERS,0))))}</f>
        <v>CLASSABILITY4-L19PTS</v>
      </c>
      <c r="Z123" s="76"/>
      <c r="AA123" s="76"/>
      <c r="AB123" s="76" t="str">
        <f t="array" ref="AB123:AB124">{"CLASSABILITY4 TOTAL";(sum(F124:Z124))}</f>
        <v>CLASSABILITY4 TOTAL</v>
      </c>
    </row>
    <row r="124">
      <c r="A124" s="48" t="s">
        <v>219</v>
      </c>
      <c r="B124" s="48" t="s">
        <v>418</v>
      </c>
      <c r="C124" s="48" t="s">
        <v>930</v>
      </c>
      <c r="D124" s="48" t="s">
        <v>1273</v>
      </c>
      <c r="E124" s="48"/>
      <c r="F124" s="47"/>
      <c r="G124" s="5"/>
      <c r="H124" s="5"/>
      <c r="I124" s="5"/>
      <c r="J124" s="5"/>
      <c r="K124" s="5"/>
      <c r="L124" s="5"/>
      <c r="M124" s="5"/>
      <c r="N124" s="5"/>
      <c r="O124" s="5"/>
      <c r="P124" s="5"/>
      <c r="Q124" s="5"/>
      <c r="R124" s="5"/>
      <c r="S124" s="5"/>
      <c r="T124" s="5"/>
      <c r="U124" s="5"/>
      <c r="V124" s="5"/>
      <c r="W124" s="5"/>
      <c r="X124" s="5"/>
      <c r="Y124" s="5"/>
      <c r="Z124" s="5"/>
      <c r="AA124" s="5"/>
      <c r="AB124" s="47">
        <v>0.0</v>
      </c>
    </row>
    <row r="125" hidden="1">
      <c r="A125" s="76" t="str">
        <f t="array" ref="A125:A126">{"FormulaRow16";(INDEX(CLASSLIST,A94,1))}</f>
        <v>FormulaRow16</v>
      </c>
      <c r="B125" s="76" t="str">
        <f t="array" ref="B125:B126">{"CLASSTYPE";((INDEX(ALLCLASSDATA,MATCH("ClassType",CLASSFEATUREHEADERS,0),MATCH($A126,CLASSNAMEHEADERS,0))))}</f>
        <v>CLASSTYPE</v>
      </c>
      <c r="C125" s="76" t="str">
        <f t="array" ref="C125:C126">{"CLASSABILITY";"ClassAbility"}</f>
        <v>CLASSABILITY</v>
      </c>
      <c r="D125" s="76" t="str">
        <f t="array" ref="D125:D126">{"SUBCLASSABILITY1";"SubclassAbility1"}</f>
        <v>SUBCLASSABILITY1</v>
      </c>
      <c r="E125" s="76"/>
      <c r="F125" s="76"/>
      <c r="G125" s="76"/>
      <c r="H125" s="76"/>
      <c r="I125" s="76" t="str">
        <f t="array" ref="I125:I126">{"SUBCLASSABILITY1-L03";((INDEX(ALLCLASSDATA,MATCH("SubclassAbility1-L03",CLASSFEATUREHEADERS,0),MATCH(($A126),CLASSNAMEHEADERS,0))))}</f>
        <v>SUBCLASSABILITY1-L03</v>
      </c>
      <c r="J125" s="76"/>
      <c r="K125" s="76" t="str">
        <f t="array" ref="K125:K126">{"SUBCLASSABILITY1-L05";((INDEX(ALLCLASSDATA,MATCH("SubclassAbility1-L05",CLASSFEATUREHEADERS,0),MATCH(($A126),CLASSNAMEHEADERS,0))))}</f>
        <v>SUBCLASSABILITY1-L05</v>
      </c>
      <c r="L125" s="76"/>
      <c r="M125" s="76" t="str">
        <f t="array" ref="M125:M126">{"SUBCLASSABILITY1-L07";((INDEX(ALLCLASSDATA,MATCH("SubclassAbility1-L07",CLASSFEATUREHEADERS,0),MATCH(($A126),CLASSNAMEHEADERS,0))))}</f>
        <v>SUBCLASSABILITY1-L07</v>
      </c>
      <c r="N125" s="76"/>
      <c r="O125" s="76" t="str">
        <f t="array" ref="O125:O126">{"SUBCLASSABILITY1-L09";((INDEX(ALLCLASSDATA,MATCH("SubclassAbility1-L09",CLASSFEATUREHEADERS,0),MATCH(($A126),CLASSNAMEHEADERS,0))))}</f>
        <v>SUBCLASSABILITY1-L09</v>
      </c>
      <c r="P125" s="76"/>
      <c r="Q125" s="76" t="str">
        <f t="array" ref="Q125:Q126">{"SUBCLASSABILITY1-L11";((INDEX(ALLCLASSDATA,MATCH("SubclassAbility1-L11",CLASSFEATUREHEADERS,0),MATCH(($A126),CLASSNAMEHEADERS,0))))}</f>
        <v>SUBCLASSABILITY1-L11</v>
      </c>
      <c r="R125" s="76"/>
      <c r="S125" s="76" t="str">
        <f t="array" ref="S125:S126">{"SUBCLASSABILITY1-L13";((INDEX(ALLCLASSDATA,MATCH("SubclassAbility1-L13",CLASSFEATUREHEADERS,0),MATCH(($A126),CLASSNAMEHEADERS,0))))}</f>
        <v>SUBCLASSABILITY1-L13</v>
      </c>
      <c r="T125" s="76"/>
      <c r="U125" s="76" t="str">
        <f t="array" ref="U125:U126">{"SUBCLASSABILITY1-L15";((INDEX(ALLCLASSDATA,MATCH("SubclassAbility1-L15",CLASSFEATUREHEADERS,0),MATCH(($A126),CLASSNAMEHEADERS,0))))}</f>
        <v>SUBCLASSABILITY1-L15</v>
      </c>
      <c r="V125" s="76"/>
      <c r="W125" s="76" t="str">
        <f t="array" ref="W125:W126">{"SUBCLASSABILITY1-L17";((INDEX(ALLCLASSDATA,MATCH("SubclassAbility1-L17",CLASSFEATUREHEADERS,0),MATCH(($A126),CLASSNAMEHEADERS,0))))}</f>
        <v>SUBCLASSABILITY1-L17</v>
      </c>
      <c r="X125" s="76"/>
      <c r="Y125" s="76" t="str">
        <f t="array" ref="Y125:Y126">{"SUBCLASSABILITY1-L19";((INDEX(ALLCLASSDATA,MATCH("SubclassAbility1-L19",CLASSFEATUREHEADERS,0),MATCH(($A126),CLASSNAMEHEADERS,0))))}</f>
        <v>SUBCLASSABILITY1-L19</v>
      </c>
      <c r="Z125" s="76"/>
      <c r="AA125" s="76"/>
      <c r="AB125" s="76"/>
    </row>
    <row r="126">
      <c r="A126" s="48" t="s">
        <v>219</v>
      </c>
      <c r="B126" s="48" t="s">
        <v>418</v>
      </c>
      <c r="C126" s="48" t="s">
        <v>825</v>
      </c>
      <c r="D126" s="28" t="s">
        <v>1355</v>
      </c>
      <c r="E126" s="5"/>
      <c r="F126" s="47"/>
      <c r="G126" s="5"/>
      <c r="H126" s="5"/>
      <c r="I126" s="5" t="s">
        <v>1188</v>
      </c>
      <c r="J126" s="5"/>
      <c r="K126" s="5"/>
      <c r="L126" s="5"/>
      <c r="M126" s="5" t="s">
        <v>1189</v>
      </c>
      <c r="N126" s="5"/>
      <c r="O126" s="5"/>
      <c r="P126" s="5"/>
      <c r="Q126" s="5" t="s">
        <v>1190</v>
      </c>
      <c r="R126" s="5"/>
      <c r="S126" s="5"/>
      <c r="T126" s="5"/>
      <c r="U126" s="5" t="s">
        <v>1191</v>
      </c>
      <c r="V126" s="5"/>
      <c r="W126" s="5"/>
      <c r="X126" s="5"/>
      <c r="Y126" s="5" t="s">
        <v>1462</v>
      </c>
      <c r="Z126" s="5"/>
      <c r="AA126" s="5"/>
      <c r="AB126" s="47"/>
    </row>
    <row r="127" hidden="1">
      <c r="A127" s="76" t="str">
        <f t="array" ref="A127:A128">{"FormulaRow17";(INDEX(CLASSLIST,A94,1))}</f>
        <v>FormulaRow17</v>
      </c>
      <c r="B127" s="76" t="str">
        <f t="array" ref="B127:B128">{"CLASSTYPE";((INDEX(ALLCLASSDATA,MATCH("ClassType",CLASSFEATUREHEADERS,0),MATCH($A128,CLASSNAMEHEADERS,0))))}</f>
        <v>CLASSTYPE</v>
      </c>
      <c r="C127" s="76" t="str">
        <f t="array" ref="C127:C128">{"CLASSABILITYPTS";"ClassAbilityPts"}</f>
        <v>CLASSABILITYPTS</v>
      </c>
      <c r="D127" s="76" t="str">
        <f t="array" ref="D127:D128">{"SUBCLASSABILITY1";"SubclassAbility1"}</f>
        <v>SUBCLASSABILITY1</v>
      </c>
      <c r="E127" s="76"/>
      <c r="F127" s="76"/>
      <c r="G127" s="76"/>
      <c r="H127" s="76"/>
      <c r="I127" s="76" t="str">
        <f t="array" ref="I127:I128">{"SUBCLASSABILITY1-L03PTS";((INDEX(ALLCLASSDATA,MATCH("SubclassAbility1-L03",CLASSFEATUREHEADERS,0),MATCH(($A128 &amp; "Points"),CLASSNAMEHEADERS,0))))}</f>
        <v>SUBCLASSABILITY1-L03PTS</v>
      </c>
      <c r="J127" s="76"/>
      <c r="K127" s="76" t="str">
        <f t="array" ref="K127:K128">{"SUBCLASSABILITY1-L05PTS";((INDEX(ALLCLASSDATA,MATCH("SubclassAbility1-L05",CLASSFEATUREHEADERS,0),MATCH(($A128 &amp; "Points"),CLASSNAMEHEADERS,0))))}</f>
        <v>SUBCLASSABILITY1-L05PTS</v>
      </c>
      <c r="L127" s="76"/>
      <c r="M127" s="76" t="str">
        <f t="array" ref="M127:M128">{"SUBCLASSABILITY1-L07PTS";((INDEX(ALLCLASSDATA,MATCH("SubclassAbility1-L07",CLASSFEATUREHEADERS,0),MATCH(($A128 &amp; "Points"),CLASSNAMEHEADERS,0))))}</f>
        <v>SUBCLASSABILITY1-L07PTS</v>
      </c>
      <c r="N127" s="76"/>
      <c r="O127" s="76" t="str">
        <f t="array" ref="O127:O128">{"SUBCLASSABILITY1-L09PTS";((INDEX(ALLCLASSDATA,MATCH("SubclassAbility1-L09",CLASSFEATUREHEADERS,0),MATCH(($A128 &amp; "Points"),CLASSNAMEHEADERS,0))))}</f>
        <v>SUBCLASSABILITY1-L09PTS</v>
      </c>
      <c r="P127" s="76"/>
      <c r="Q127" s="76" t="str">
        <f t="array" ref="Q127:Q128">{"SUBCLASSABILITY1-L11PTS";((INDEX(ALLCLASSDATA,MATCH("SubclassAbility1-L11",CLASSFEATUREHEADERS,0),MATCH(($A128 &amp; "Points"),CLASSNAMEHEADERS,0))))}</f>
        <v>SUBCLASSABILITY1-L11PTS</v>
      </c>
      <c r="R127" s="76"/>
      <c r="S127" s="76" t="str">
        <f t="array" ref="S127:S128">{"SUBCLASSABILITY1-L13PTS";((INDEX(ALLCLASSDATA,MATCH("SubclassAbility1-L13",CLASSFEATUREHEADERS,0),MATCH(($A128 &amp; "Points"),CLASSNAMEHEADERS,0))))}</f>
        <v>SUBCLASSABILITY1-L13PTS</v>
      </c>
      <c r="T127" s="76"/>
      <c r="U127" s="76" t="str">
        <f t="array" ref="U127:U128">{"SUBCLASSABILITY1-L15PTS";((INDEX(ALLCLASSDATA,MATCH("SubclassAbility1-L15",CLASSFEATUREHEADERS,0),MATCH(($A128 &amp; "Points"),CLASSNAMEHEADERS,0))))}</f>
        <v>SUBCLASSABILITY1-L15PTS</v>
      </c>
      <c r="V127" s="76"/>
      <c r="W127" s="76" t="str">
        <f t="array" ref="W127:W128">{"SUBCLASSABILITY1-L17PTS";((INDEX(ALLCLASSDATA,MATCH("SubclassAbility1-L17",CLASSFEATUREHEADERS,0),MATCH(($A128 &amp; "Points"),CLASSNAMEHEADERS,0))))}</f>
        <v>SUBCLASSABILITY1-L17PTS</v>
      </c>
      <c r="X127" s="76"/>
      <c r="Y127" s="76" t="str">
        <f t="array" ref="Y127:Y128">{"SUBCLASSABILITY1-L19PTS";((INDEX(ALLCLASSDATA,MATCH("SubclassAbility1-L19",CLASSFEATUREHEADERS,0),MATCH(($A128 &amp; "Points"),CLASSNAMEHEADERS,0))))}</f>
        <v>SUBCLASSABILITY1-L19PTS</v>
      </c>
      <c r="Z127" s="76"/>
      <c r="AA127" s="76"/>
      <c r="AB127" s="76" t="str">
        <f t="array" ref="AB127:AB128">{"SUBCLASSABILITY1 TOTAL";(sum(F128:Z128))}</f>
        <v>SUBCLASSABILITY1 TOTAL</v>
      </c>
    </row>
    <row r="128">
      <c r="A128" s="48" t="s">
        <v>219</v>
      </c>
      <c r="B128" s="48" t="s">
        <v>418</v>
      </c>
      <c r="C128" s="48" t="s">
        <v>930</v>
      </c>
      <c r="D128" s="28" t="s">
        <v>1355</v>
      </c>
      <c r="E128" s="5"/>
      <c r="F128" s="47"/>
      <c r="G128" s="5"/>
      <c r="H128" s="5"/>
      <c r="I128" s="5"/>
      <c r="J128" s="5"/>
      <c r="K128" s="5"/>
      <c r="L128" s="5"/>
      <c r="M128" s="5"/>
      <c r="N128" s="5"/>
      <c r="O128" s="5"/>
      <c r="P128" s="5"/>
      <c r="Q128" s="5"/>
      <c r="R128" s="5"/>
      <c r="S128" s="5"/>
      <c r="T128" s="5"/>
      <c r="U128" s="5"/>
      <c r="V128" s="5"/>
      <c r="W128" s="5"/>
      <c r="X128" s="5"/>
      <c r="Y128" s="5"/>
      <c r="Z128" s="5"/>
      <c r="AA128" s="5"/>
      <c r="AB128" s="47">
        <v>0.0</v>
      </c>
    </row>
    <row r="129" hidden="1">
      <c r="A129" s="76" t="str">
        <f t="array" ref="A129:A130">{"FormulaRow18";(INDEX(CLASSLIST,A94,1))}</f>
        <v>FormulaRow18</v>
      </c>
      <c r="B129" s="76" t="str">
        <f t="array" ref="B129:B130">{"CLASSTYPE";((INDEX(ALLCLASSDATA,MATCH("ClassType",CLASSFEATUREHEADERS,0),MATCH($A130,CLASSNAMEHEADERS,0))))}</f>
        <v>CLASSTYPE</v>
      </c>
      <c r="C129" s="76" t="str">
        <f t="array" ref="C129:C130">{"CLASSABILITY";"ClassAbility"}</f>
        <v>CLASSABILITY</v>
      </c>
      <c r="D129" s="76" t="str">
        <f t="array" ref="D129:D130">{"SUBCLASSABILITY2";"SubclassAbility2"}</f>
        <v>SUBCLASSABILITY2</v>
      </c>
      <c r="E129" s="76"/>
      <c r="F129" s="76"/>
      <c r="G129" s="76"/>
      <c r="H129" s="76"/>
      <c r="I129" s="76" t="str">
        <f t="array" ref="I129:I130">{"SUBCLASSABILITY2-L03";((INDEX(ALLCLASSDATA,MATCH("SubclassAbility2-L03",CLASSFEATUREHEADERS,0),MATCH(($A130),CLASSNAMEHEADERS,0))))}</f>
        <v>SUBCLASSABILITY2-L03</v>
      </c>
      <c r="J129" s="76"/>
      <c r="K129" s="76" t="str">
        <f t="array" ref="K129:K130">{"SUBCLASSABILITY2-L05";((INDEX(ALLCLASSDATA,MATCH("SubclassAbility2-L05",CLASSFEATUREHEADERS,0),MATCH(($A130),CLASSNAMEHEADERS,0))))}</f>
        <v>SUBCLASSABILITY2-L05</v>
      </c>
      <c r="L129" s="76"/>
      <c r="M129" s="76" t="str">
        <f t="array" ref="M129:M130">{"SUBCLASSABILITY2-L07";((INDEX(ALLCLASSDATA,MATCH("SubclassAbility2-L07",CLASSFEATUREHEADERS,0),MATCH(($A130),CLASSNAMEHEADERS,0))))}</f>
        <v>SUBCLASSABILITY2-L07</v>
      </c>
      <c r="N129" s="76"/>
      <c r="O129" s="76" t="str">
        <f t="array" ref="O129:O130">{"SUBCLASSABILITY2-L09";((INDEX(ALLCLASSDATA,MATCH("SubclassAbility2-L09",CLASSFEATUREHEADERS,0),MATCH(($A130),CLASSNAMEHEADERS,0))))}</f>
        <v>SUBCLASSABILITY2-L09</v>
      </c>
      <c r="P129" s="76"/>
      <c r="Q129" s="76" t="str">
        <f t="array" ref="Q129:Q130">{"SUBCLASSABILITY2-L11";((INDEX(ALLCLASSDATA,MATCH("SubclassAbility2-L11",CLASSFEATUREHEADERS,0),MATCH(($A130),CLASSNAMEHEADERS,0))))}</f>
        <v>SUBCLASSABILITY2-L11</v>
      </c>
      <c r="R129" s="76"/>
      <c r="S129" s="76" t="str">
        <f t="array" ref="S129:S130">{"SUBCLASSABILITY2-L13";((INDEX(ALLCLASSDATA,MATCH("SubclassAbility2-L13",CLASSFEATUREHEADERS,0),MATCH(($A130),CLASSNAMEHEADERS,0))))}</f>
        <v>SUBCLASSABILITY2-L13</v>
      </c>
      <c r="T129" s="76"/>
      <c r="U129" s="76" t="str">
        <f t="array" ref="U129:U130">{"SUBCLASSABILITY2-L15";((INDEX(ALLCLASSDATA,MATCH("SubclassAbility2-L15",CLASSFEATUREHEADERS,0),MATCH(($A130),CLASSNAMEHEADERS,0))))}</f>
        <v>SUBCLASSABILITY2-L15</v>
      </c>
      <c r="V129" s="76"/>
      <c r="W129" s="76" t="str">
        <f t="array" ref="W129:W130">{"SUBCLASSABILITY2-L17";((INDEX(ALLCLASSDATA,MATCH("SubclassAbility2-L17",CLASSFEATUREHEADERS,0),MATCH(($A130),CLASSNAMEHEADERS,0))))}</f>
        <v>SUBCLASSABILITY2-L17</v>
      </c>
      <c r="X129" s="76"/>
      <c r="Y129" s="76" t="str">
        <f t="array" ref="Y129:Y130">{"SUBCLASSABILITY2-L19";((INDEX(ALLCLASSDATA,MATCH("SubclassAbility2-L19",CLASSFEATUREHEADERS,0),MATCH(($A130),CLASSNAMEHEADERS,0))))}</f>
        <v>SUBCLASSABILITY2-L19</v>
      </c>
      <c r="Z129" s="76"/>
      <c r="AA129" s="76"/>
      <c r="AB129" s="76"/>
    </row>
    <row r="130">
      <c r="A130" s="48" t="s">
        <v>219</v>
      </c>
      <c r="B130" s="48" t="s">
        <v>418</v>
      </c>
      <c r="C130" s="48" t="s">
        <v>825</v>
      </c>
      <c r="D130" s="28" t="s">
        <v>1370</v>
      </c>
      <c r="E130" s="5"/>
      <c r="F130" s="47"/>
      <c r="G130" s="5"/>
      <c r="H130" s="5"/>
      <c r="I130" s="5"/>
      <c r="J130" s="5"/>
      <c r="K130" s="5"/>
      <c r="L130" s="5"/>
      <c r="M130" s="5"/>
      <c r="N130" s="5"/>
      <c r="O130" s="5"/>
      <c r="P130" s="5"/>
      <c r="Q130" s="5"/>
      <c r="R130" s="5"/>
      <c r="S130" s="5"/>
      <c r="T130" s="5"/>
      <c r="U130" s="5"/>
      <c r="V130" s="5"/>
      <c r="W130" s="5"/>
      <c r="X130" s="5"/>
      <c r="Y130" s="5"/>
      <c r="Z130" s="5"/>
      <c r="AA130" s="5"/>
      <c r="AB130" s="47"/>
    </row>
    <row r="131" hidden="1">
      <c r="A131" s="76" t="str">
        <f t="array" ref="A131:A132">{"FormulaRow19";(INDEX(CLASSLIST,A94,1))}</f>
        <v>FormulaRow19</v>
      </c>
      <c r="B131" s="76" t="str">
        <f t="array" ref="B131:B132">{"CLASSTYPE";((INDEX(ALLCLASSDATA,MATCH("ClassType",CLASSFEATUREHEADERS,0),MATCH($A132,CLASSNAMEHEADERS,0))))}</f>
        <v>CLASSTYPE</v>
      </c>
      <c r="C131" s="76" t="str">
        <f t="array" ref="C131:C132">{"CLASSABILITYPTS";"ClassAbilityPts"}</f>
        <v>CLASSABILITYPTS</v>
      </c>
      <c r="D131" s="76" t="str">
        <f t="array" ref="D131:D132">{"SUBCLASSABILITY2";"SubclassAbility2"}</f>
        <v>SUBCLASSABILITY2</v>
      </c>
      <c r="E131" s="76"/>
      <c r="F131" s="76"/>
      <c r="G131" s="76"/>
      <c r="H131" s="76"/>
      <c r="I131" s="76" t="str">
        <f t="array" ref="I131:I132">{"SUBCLASSABILITY2-L03PTS";((INDEX(ALLCLASSDATA,MATCH("SubclassAbility2-L03",CLASSFEATUREHEADERS,0),MATCH(($A132 &amp; "Points"),CLASSNAMEHEADERS,0))))}</f>
        <v>SUBCLASSABILITY2-L03PTS</v>
      </c>
      <c r="J131" s="76"/>
      <c r="K131" s="76" t="str">
        <f t="array" ref="K131:K132">{"SUBCLASSABILITY2-L05PTS";((INDEX(ALLCLASSDATA,MATCH("SubclassAbility2-L05",CLASSFEATUREHEADERS,0),MATCH(($A132 &amp; "Points"),CLASSNAMEHEADERS,0))))}</f>
        <v>SUBCLASSABILITY2-L05PTS</v>
      </c>
      <c r="L131" s="76"/>
      <c r="M131" s="76" t="str">
        <f t="array" ref="M131:M132">{"SUBCLASSABILITY2-L07PTS";((INDEX(ALLCLASSDATA,MATCH("SubclassAbility2-L07",CLASSFEATUREHEADERS,0),MATCH(($A132 &amp; "Points"),CLASSNAMEHEADERS,0))))}</f>
        <v>SUBCLASSABILITY2-L07PTS</v>
      </c>
      <c r="N131" s="76"/>
      <c r="O131" s="76" t="str">
        <f t="array" ref="O131:O132">{"SUBCLASSABILITY2-L09PTS";((INDEX(ALLCLASSDATA,MATCH("SubclassAbility2-L09",CLASSFEATUREHEADERS,0),MATCH(($A132 &amp; "Points"),CLASSNAMEHEADERS,0))))}</f>
        <v>SUBCLASSABILITY2-L09PTS</v>
      </c>
      <c r="P131" s="76"/>
      <c r="Q131" s="76" t="str">
        <f t="array" ref="Q131:Q132">{"SUBCLASSABILITY2-L11PTS";((INDEX(ALLCLASSDATA,MATCH("SubclassAbility2-L11",CLASSFEATUREHEADERS,0),MATCH(($A132 &amp; "Points"),CLASSNAMEHEADERS,0))))}</f>
        <v>SUBCLASSABILITY2-L11PTS</v>
      </c>
      <c r="R131" s="76"/>
      <c r="S131" s="76" t="str">
        <f t="array" ref="S131:S132">{"SUBCLASSABILITY2-L13PTS";((INDEX(ALLCLASSDATA,MATCH("SubclassAbility2-L13",CLASSFEATUREHEADERS,0),MATCH(($A132 &amp; "Points"),CLASSNAMEHEADERS,0))))}</f>
        <v>SUBCLASSABILITY2-L13PTS</v>
      </c>
      <c r="T131" s="76"/>
      <c r="U131" s="76" t="str">
        <f t="array" ref="U131:U132">{"SUBCLASSABILITY2-L15PTS";((INDEX(ALLCLASSDATA,MATCH("SubclassAbility2-L15",CLASSFEATUREHEADERS,0),MATCH(($A132 &amp; "Points"),CLASSNAMEHEADERS,0))))}</f>
        <v>SUBCLASSABILITY2-L15PTS</v>
      </c>
      <c r="V131" s="76"/>
      <c r="W131" s="76" t="str">
        <f t="array" ref="W131:W132">{"SUBCLASSABILITY2-L17PTS";((INDEX(ALLCLASSDATA,MATCH("SubclassAbility2-L17",CLASSFEATUREHEADERS,0),MATCH(($A132 &amp; "Points"),CLASSNAMEHEADERS,0))))}</f>
        <v>SUBCLASSABILITY2-L17PTS</v>
      </c>
      <c r="X131" s="76"/>
      <c r="Y131" s="76" t="str">
        <f t="array" ref="Y131:Y132">{"SUBCLASSABILITY2-L19PTS";((INDEX(ALLCLASSDATA,MATCH("SubclassAbility2-L19",CLASSFEATUREHEADERS,0),MATCH(($A132 &amp; "Points"),CLASSNAMEHEADERS,0))))}</f>
        <v>SUBCLASSABILITY2-L19PTS</v>
      </c>
      <c r="Z131" s="76"/>
      <c r="AA131" s="76"/>
      <c r="AB131" s="76" t="str">
        <f t="array" ref="AB131:AB132">{"SUBCLASSABILITY2 TOTAL";(sum(F132:Z132))}</f>
        <v>SUBCLASSABILITY2 TOTAL</v>
      </c>
    </row>
    <row r="132">
      <c r="A132" s="48" t="s">
        <v>219</v>
      </c>
      <c r="B132" s="48" t="s">
        <v>418</v>
      </c>
      <c r="C132" s="97" t="s">
        <v>930</v>
      </c>
      <c r="D132" s="215" t="s">
        <v>1370</v>
      </c>
      <c r="E132" s="98"/>
      <c r="F132" s="132"/>
      <c r="G132" s="98"/>
      <c r="H132" s="98"/>
      <c r="I132" s="98"/>
      <c r="J132" s="98"/>
      <c r="K132" s="98"/>
      <c r="L132" s="98"/>
      <c r="M132" s="98"/>
      <c r="N132" s="98"/>
      <c r="O132" s="98"/>
      <c r="P132" s="98"/>
      <c r="Q132" s="98"/>
      <c r="R132" s="98"/>
      <c r="S132" s="98"/>
      <c r="T132" s="98"/>
      <c r="U132" s="98"/>
      <c r="V132" s="98"/>
      <c r="W132" s="98"/>
      <c r="X132" s="98"/>
      <c r="Y132" s="98"/>
      <c r="Z132" s="98"/>
      <c r="AA132" s="5"/>
      <c r="AB132" s="47">
        <v>0.0</v>
      </c>
    </row>
    <row r="133" hidden="1">
      <c r="A133" s="76" t="str">
        <f t="array" ref="A133:A134">{"FormulaRow20";(INDEX(CLASSLIST,A94,1))}</f>
        <v>FormulaRow20</v>
      </c>
      <c r="B133" s="76" t="str">
        <f t="array" ref="B133:B134">{"CLASSTYPE";((INDEX(ALLCLASSDATA,MATCH("ClassType",CLASSFEATUREHEADERS,0),MATCH($A134,CLASSNAMEHEADERS,0))))}</f>
        <v>CLASSTYPE</v>
      </c>
      <c r="C133" s="81" t="str">
        <f t="array" ref="C133:C134">{"DC";"DC"}</f>
        <v>DC</v>
      </c>
      <c r="D133" s="81" t="str">
        <f t="array" ref="D133:D134">{"CLASSDC";"ClassDC"}</f>
        <v>CLASSDC</v>
      </c>
      <c r="E133" s="81" t="str">
        <f t="array" ref="E133:E134">{"CLASSDCINITIAL";((IF(G134=10,"T",(IF(G134=50,"E","")))))}</f>
        <v>CLASSDCINITIAL</v>
      </c>
      <c r="F133" s="81" t="str">
        <f t="array" ref="F133:F134">{"CLASSDCINITIALPTS";((IF("00"=(INDEX(ALLCLASSDATA,MATCH("ClassDCLegendary",CLASSFEATUREHEADERS,0),MATCH($A134,CLASSNAMEHEADERS,0))),(INDEX(ALLCLASSDATA,MATCH("ClassDCLegendary",CLASSFEATUREHEADERS,0),MATCH(($A134 &amp; "Points"),CLASSNAMEHEADERS,0))),(IF("00"=(INDEX(ALLCLASSDATA,MATCH("ClassDCMaster",CLASSFEATUREHEADERS,0),MATCH($A134,CLASSNAMEHEADERS,0))),(INDEX(ALLCLASSDATA,MATCH("ClassDCMaster",CLASSFEATUREHEADERS,0),MATCH(($A134 &amp; "Points"),CLASSNAMEHEADERS,0))),(IF("00"=(INDEX(ALLCLASSDATA,MATCH("ClassDCExpert",CLASSFEATUREHEADERS,0),MATCH($A134,CLASSNAMEHEADERS,0))),(INDEX(ALLCLASSDATA,MATCH("ClassDCExpert",CLASSFEATUREHEADERS,0),MATCH(($A134 &amp; "Points"),CLASSNAMEHEADERS,0))),(IF("00"=(INDEX(ALLCLASSDATA,MATCH("ClassDCTrained",CLASSFEATUREHEADERS,0),MATCH($A134,CLASSNAMEHEADERS,0))),(INDEX(ALLCLASSDATA,MATCH("ClassDCTrained",CLASSFEATUREHEADERS,0),MATCH(($A134 &amp; "Points"),CLASSNAMEHEADERS,0))),"")))))))))}</f>
        <v>CLASSDCINITIALPTS</v>
      </c>
      <c r="G133" s="81" t="str">
        <f t="array" ref="G133:G134">{"CLASSDCL01";((IF("01"=(INDEX(ALLCLASSDATA,MATCH("ClassDCLegendary",CLASSFEATUREHEADERS,0),MATCH($A134,CLASSNAMEHEADERS,0))),(INDEX(ALLCLASSDATA,MATCH("ClassDCLegendary",CLASSFEATUREHEADERS,0),MATCH(($A134 &amp; "Points"),CLASSNAMEHEADERS,0))),(IF("01"=(INDEX(ALLCLASSDATA,MATCH("ClassDCMaster",CLASSFEATUREHEADERS,0),MATCH($A134,CLASSNAMEHEADERS,0))),(INDEX(ALLCLASSDATA,MATCH("ClassDCMaster",CLASSFEATUREHEADERS,0),MATCH(($A134 &amp; "Points"),CLASSNAMEHEADERS,0))),(IF("01"=(INDEX(ALLCLASSDATA,MATCH("ClassDCExpert",CLASSFEATUREHEADERS,0),MATCH($A134,CLASSNAMEHEADERS,0))),(INDEX(ALLCLASSDATA,MATCH("ClassDCExpert",CLASSFEATUREHEADERS,0),MATCH(($A134 &amp; "Points"),CLASSNAMEHEADERS,0))),(IF("01"=(INDEX(ALLCLASSDATA,MATCH("ClassDCTrained",CLASSFEATUREHEADERS,0),MATCH($A134,CLASSNAMEHEADERS,0))),(INDEX(ALLCLASSDATA,MATCH("ClassDCTrained",CLASSFEATUREHEADERS,0),MATCH(($A134 &amp; "Points"),CLASSNAMEHEADERS,0))),"")))))))))}</f>
        <v>CLASSDCL01</v>
      </c>
      <c r="H133" s="81"/>
      <c r="I133" s="81" t="str">
        <f t="array" ref="I133:I134">{"CLASSDCL03";((IF("03"=(INDEX(ALLCLASSDATA,MATCH("ClassDCLegendary",CLASSFEATUREHEADERS,0),MATCH($A134,CLASSNAMEHEADERS,0))),(INDEX(ALLCLASSDATA,MATCH("ClassDCLegendary",CLASSFEATUREHEADERS,0),MATCH(($A134 &amp; "Points"),CLASSNAMEHEADERS,0))),(IF("03"=(INDEX(ALLCLASSDATA,MATCH("ClassDCMaster",CLASSFEATUREHEADERS,0),MATCH($A134,CLASSNAMEHEADERS,0))),(INDEX(ALLCLASSDATA,MATCH("ClassDCMaster",CLASSFEATUREHEADERS,0),MATCH(($A134 &amp; "Points"),CLASSNAMEHEADERS,0))),(IF("03"=(INDEX(ALLCLASSDATA,MATCH("ClassDCExpert",CLASSFEATUREHEADERS,0),MATCH($A134,CLASSNAMEHEADERS,0))),(INDEX(ALLCLASSDATA,MATCH("ClassDCExpert",CLASSFEATUREHEADERS,0),MATCH(($A134 &amp; "Points"),CLASSNAMEHEADERS,0))),(IF("03"=(INDEX(ALLCLASSDATA,MATCH("ClassDCTrained",CLASSFEATUREHEADERS,0),MATCH($A134,CLASSNAMEHEADERS,0))),(INDEX(ALLCLASSDATA,MATCH("ClassDCTrained",CLASSFEATUREHEADERS,0),MATCH(($A134 &amp; "Points"),CLASSNAMEHEADERS,0))),"")))))))))}</f>
        <v>CLASSDCL03</v>
      </c>
      <c r="J133" s="81"/>
      <c r="K133" s="81" t="str">
        <f t="array" ref="K133:K134">{"CLASSDCL05";((IF("05"=(INDEX(ALLCLASSDATA,MATCH("ClassDCLegendary",CLASSFEATUREHEADERS,0),MATCH($A134,CLASSNAMEHEADERS,0))),(INDEX(ALLCLASSDATA,MATCH("ClassDCLegendary",CLASSFEATUREHEADERS,0),MATCH(($A134 &amp; "Points"),CLASSNAMEHEADERS,0))),(IF("05"=(INDEX(ALLCLASSDATA,MATCH("ClassDCMaster",CLASSFEATUREHEADERS,0),MATCH($A134,CLASSNAMEHEADERS,0))),(INDEX(ALLCLASSDATA,MATCH("ClassDCMaster",CLASSFEATUREHEADERS,0),MATCH(($A134 &amp; "Points"),CLASSNAMEHEADERS,0))),(IF("05"=(INDEX(ALLCLASSDATA,MATCH("ClassDCExpert",CLASSFEATUREHEADERS,0),MATCH($A134,CLASSNAMEHEADERS,0))),(INDEX(ALLCLASSDATA,MATCH("ClassDCExpert",CLASSFEATUREHEADERS,0),MATCH(($A134 &amp; "Points"),CLASSNAMEHEADERS,0))),(IF("05"=(INDEX(ALLCLASSDATA,MATCH("ClassDCTrained",CLASSFEATUREHEADERS,0),MATCH($A134,CLASSNAMEHEADERS,0))),(INDEX(ALLCLASSDATA,MATCH("ClassDCTrained",CLASSFEATUREHEADERS,0),MATCH(($A134 &amp; "Points"),CLASSNAMEHEADERS,0))),"")))))))))}</f>
        <v>CLASSDCL05</v>
      </c>
      <c r="L133" s="81"/>
      <c r="M133" s="81" t="str">
        <f t="array" ref="M133:M134">{"CLASSDCL07";((IF("07"=(INDEX(ALLCLASSDATA,MATCH("ClassDCLegendary",CLASSFEATUREHEADERS,0),MATCH($A134,CLASSNAMEHEADERS,0))),(INDEX(ALLCLASSDATA,MATCH("ClassDCLegendary",CLASSFEATUREHEADERS,0),MATCH(($A134 &amp; "Points"),CLASSNAMEHEADERS,0))),(IF("07"=(INDEX(ALLCLASSDATA,MATCH("ClassDCMaster",CLASSFEATUREHEADERS,0),MATCH($A134,CLASSNAMEHEADERS,0))),(INDEX(ALLCLASSDATA,MATCH("ClassDCMaster",CLASSFEATUREHEADERS,0),MATCH(($A134 &amp; "Points"),CLASSNAMEHEADERS,0))),(IF("07"=(INDEX(ALLCLASSDATA,MATCH("ClassDCExpert",CLASSFEATUREHEADERS,0),MATCH($A134,CLASSNAMEHEADERS,0))),(INDEX(ALLCLASSDATA,MATCH("ClassDCExpert",CLASSFEATUREHEADERS,0),MATCH(($A134 &amp; "Points"),CLASSNAMEHEADERS,0))),(IF("07"=(INDEX(ALLCLASSDATA,MATCH("ClassDCTrained",CLASSFEATUREHEADERS,0),MATCH($A134,CLASSNAMEHEADERS,0))),(INDEX(ALLCLASSDATA,MATCH("ClassDCTrained",CLASSFEATUREHEADERS,0),MATCH(($A134 &amp; "Points"),CLASSNAMEHEADERS,0))),"")))))))))}</f>
        <v>CLASSDCL07</v>
      </c>
      <c r="N133" s="81"/>
      <c r="O133" s="81" t="str">
        <f t="array" ref="O133:O134">{"CLASSDCL09";((IF("09"=(INDEX(ALLCLASSDATA,MATCH("ClassDCLegendary",CLASSFEATUREHEADERS,0),MATCH($A134,CLASSNAMEHEADERS,0))),(INDEX(ALLCLASSDATA,MATCH("ClassDCLegendary",CLASSFEATUREHEADERS,0),MATCH(($A134 &amp; "Points"),CLASSNAMEHEADERS,0))),(IF("09"=(INDEX(ALLCLASSDATA,MATCH("ClassDCMaster",CLASSFEATUREHEADERS,0),MATCH($A134,CLASSNAMEHEADERS,0))),(INDEX(ALLCLASSDATA,MATCH("ClassDCMaster",CLASSFEATUREHEADERS,0),MATCH(($A134 &amp; "Points"),CLASSNAMEHEADERS,0))),(IF("09"=(INDEX(ALLCLASSDATA,MATCH("ClassDCExpert",CLASSFEATUREHEADERS,0),MATCH($A134,CLASSNAMEHEADERS,0))),(INDEX(ALLCLASSDATA,MATCH("ClassDCExpert",CLASSFEATUREHEADERS,0),MATCH(($A134 &amp; "Points"),CLASSNAMEHEADERS,0))),(IF("09"=(INDEX(ALLCLASSDATA,MATCH("ClassDCTrained",CLASSFEATUREHEADERS,0),MATCH($A134,CLASSNAMEHEADERS,0))),(INDEX(ALLCLASSDATA,MATCH("ClassDCTrained",CLASSFEATUREHEADERS,0),MATCH(($A134 &amp; "Points"),CLASSNAMEHEADERS,0))),"")))))))))}</f>
        <v>CLASSDCL09</v>
      </c>
      <c r="P133" s="81"/>
      <c r="Q133" s="81" t="str">
        <f t="array" ref="Q133:Q134">{"CLASSDCL11";((IF("11"=(INDEX(ALLCLASSDATA,MATCH("ClassDCLegendary",CLASSFEATUREHEADERS,0),MATCH($A134,CLASSNAMEHEADERS,0))),(INDEX(ALLCLASSDATA,MATCH("ClassDCLegendary",CLASSFEATUREHEADERS,0),MATCH(($A134 &amp; "Points"),CLASSNAMEHEADERS,0))),(IF("11"=(INDEX(ALLCLASSDATA,MATCH("ClassDCMaster",CLASSFEATUREHEADERS,0),MATCH($A134,CLASSNAMEHEADERS,0))),(INDEX(ALLCLASSDATA,MATCH("ClassDCMaster",CLASSFEATUREHEADERS,0),MATCH(($A134 &amp; "Points"),CLASSNAMEHEADERS,0))),(IF("11"=(INDEX(ALLCLASSDATA,MATCH("ClassDCExpert",CLASSFEATUREHEADERS,0),MATCH($A134,CLASSNAMEHEADERS,0))),(INDEX(ALLCLASSDATA,MATCH("ClassDCExpert",CLASSFEATUREHEADERS,0),MATCH(($A134 &amp; "Points"),CLASSNAMEHEADERS,0))),(IF("11"=(INDEX(ALLCLASSDATA,MATCH("ClassDCTrained",CLASSFEATUREHEADERS,0),MATCH($A134,CLASSNAMEHEADERS,0))),(INDEX(ALLCLASSDATA,MATCH("ClassDCTrained",CLASSFEATUREHEADERS,0),MATCH(($A134 &amp; "Points"),CLASSNAMEHEADERS,0))),"")))))))))}</f>
        <v>CLASSDCL11</v>
      </c>
      <c r="R133" s="81"/>
      <c r="S133" s="81" t="str">
        <f t="array" ref="S133:S134">{"CLASSDCL13";((IF("13"=(INDEX(ALLCLASSDATA,MATCH("ClassDCLegendary",CLASSFEATUREHEADERS,0),MATCH($A134,CLASSNAMEHEADERS,0))),(INDEX(ALLCLASSDATA,MATCH("ClassDCLegendary",CLASSFEATUREHEADERS,0),MATCH(($A134 &amp; "Points"),CLASSNAMEHEADERS,0))),(IF("13"=(INDEX(ALLCLASSDATA,MATCH("ClassDCMaster",CLASSFEATUREHEADERS,0),MATCH($A134,CLASSNAMEHEADERS,0))),(INDEX(ALLCLASSDATA,MATCH("ClassDCMaster",CLASSFEATUREHEADERS,0),MATCH(($A134 &amp; "Points"),CLASSNAMEHEADERS,0))),(IF("13"=(INDEX(ALLCLASSDATA,MATCH("ClassDCExpert",CLASSFEATUREHEADERS,0),MATCH($A134,CLASSNAMEHEADERS,0))),(INDEX(ALLCLASSDATA,MATCH("ClassDCExpert",CLASSFEATUREHEADERS,0),MATCH(($A134 &amp; "Points"),CLASSNAMEHEADERS,0))),(IF("13"=(INDEX(ALLCLASSDATA,MATCH("ClassDCTrained",CLASSFEATUREHEADERS,0),MATCH($A134,CLASSNAMEHEADERS,0))),(INDEX(ALLCLASSDATA,MATCH("ClassDCTrained",CLASSFEATUREHEADERS,0),MATCH(($A134 &amp; "Points"),CLASSNAMEHEADERS,0))),"")))))))))}</f>
        <v>CLASSDCL13</v>
      </c>
      <c r="T133" s="81"/>
      <c r="U133" s="81" t="str">
        <f t="array" ref="U133:U134">{"CLASSDCL15";((IF("15"=(INDEX(ALLCLASSDATA,MATCH("ClassDCLegendary",CLASSFEATUREHEADERS,0),MATCH($A134,CLASSNAMEHEADERS,0))),(INDEX(ALLCLASSDATA,MATCH("ClassDCLegendary",CLASSFEATUREHEADERS,0),MATCH(($A134 &amp; "Points"),CLASSNAMEHEADERS,0))),(IF("15"=(INDEX(ALLCLASSDATA,MATCH("ClassDCMaster",CLASSFEATUREHEADERS,0),MATCH($A134,CLASSNAMEHEADERS,0))),(INDEX(ALLCLASSDATA,MATCH("ClassDCMaster",CLASSFEATUREHEADERS,0),MATCH(($A134 &amp; "Points"),CLASSNAMEHEADERS,0))),(IF("15"=(INDEX(ALLCLASSDATA,MATCH("ClassDCExpert",CLASSFEATUREHEADERS,0),MATCH($A134,CLASSNAMEHEADERS,0))),(INDEX(ALLCLASSDATA,MATCH("ClassDCExpert",CLASSFEATUREHEADERS,0),MATCH(($A134 &amp; "Points"),CLASSNAMEHEADERS,0))),(IF("15"=(INDEX(ALLCLASSDATA,MATCH("ClassDCTrained",CLASSFEATUREHEADERS,0),MATCH($A134,CLASSNAMEHEADERS,0))),(INDEX(ALLCLASSDATA,MATCH("ClassDCTrained",CLASSFEATUREHEADERS,0),MATCH(($A134 &amp; "Points"),CLASSNAMEHEADERS,0))),"")))))))))}</f>
        <v>CLASSDCL15</v>
      </c>
      <c r="V133" s="81"/>
      <c r="W133" s="81" t="str">
        <f t="array" ref="W133:W134">{"CLASSDCL17";((IF("17"=(INDEX(ALLCLASSDATA,MATCH("ClassDCLegendary",CLASSFEATUREHEADERS,0),MATCH($A134,CLASSNAMEHEADERS,0))),(INDEX(ALLCLASSDATA,MATCH("ClassDCLegendary",CLASSFEATUREHEADERS,0),MATCH(($A134 &amp; "Points"),CLASSNAMEHEADERS,0))),(IF("17"=(INDEX(ALLCLASSDATA,MATCH("ClassDCMaster",CLASSFEATUREHEADERS,0),MATCH($A134,CLASSNAMEHEADERS,0))),(INDEX(ALLCLASSDATA,MATCH("ClassDCMaster",CLASSFEATUREHEADERS,0),MATCH(($A134 &amp; "Points"),CLASSNAMEHEADERS,0))),(IF("17"=(INDEX(ALLCLASSDATA,MATCH("ClassDCExpert",CLASSFEATUREHEADERS,0),MATCH($A134,CLASSNAMEHEADERS,0))),(INDEX(ALLCLASSDATA,MATCH("ClassDCExpert",CLASSFEATUREHEADERS,0),MATCH(($A134 &amp; "Points"),CLASSNAMEHEADERS,0))),(IF("17"=(INDEX(ALLCLASSDATA,MATCH("ClassDCTrained",CLASSFEATUREHEADERS,0),MATCH($A134,CLASSNAMEHEADERS,0))),(INDEX(ALLCLASSDATA,MATCH("ClassDCTrained",CLASSFEATUREHEADERS,0),MATCH(($A134 &amp; "Points"),CLASSNAMEHEADERS,0))),"")))))))))}</f>
        <v>CLASSDCL17</v>
      </c>
      <c r="X133" s="81"/>
      <c r="Y133" s="81" t="str">
        <f t="array" ref="Y133:Y134">{"CLASSDCL19";((IF("19"=(INDEX(ALLCLASSDATA,MATCH("ClassDCLegendary",CLASSFEATUREHEADERS,0),MATCH($A134,CLASSNAMEHEADERS,0))),(INDEX(ALLCLASSDATA,MATCH("ClassDCLegendary",CLASSFEATUREHEADERS,0),MATCH(($A134 &amp; "Points"),CLASSNAMEHEADERS,0))),(IF("19"=(INDEX(ALLCLASSDATA,MATCH("ClassDCMaster",CLASSFEATUREHEADERS,0),MATCH($A134,CLASSNAMEHEADERS,0))),(INDEX(ALLCLASSDATA,MATCH("ClassDCMaster",CLASSFEATUREHEADERS,0),MATCH(($A134 &amp; "Points"),CLASSNAMEHEADERS,0))),(IF("19"=(INDEX(ALLCLASSDATA,MATCH("ClassDCExpert",CLASSFEATUREHEADERS,0),MATCH($A134,CLASSNAMEHEADERS,0))),(INDEX(ALLCLASSDATA,MATCH("ClassDCExpert",CLASSFEATUREHEADERS,0),MATCH(($A134 &amp; "Points"),CLASSNAMEHEADERS,0))),(IF("19"=(INDEX(ALLCLASSDATA,MATCH("ClassDCTrained",CLASSFEATUREHEADERS,0),MATCH($A134,CLASSNAMEHEADERS,0))),(INDEX(ALLCLASSDATA,MATCH("ClassDCTrained",CLASSFEATUREHEADERS,0),MATCH(($A134 &amp; "Points"),CLASSNAMEHEADERS,0))),"")))))))))}</f>
        <v>CLASSDCL19</v>
      </c>
      <c r="Z133" s="81"/>
      <c r="AA133" s="76" t="str">
        <f t="array" ref="AA133:AA134">{"CLASSDC TOTAL";(IF(COUNTBLANK(F134:Z134)=17,"L",(IF(COUNTBLANK(F134:Z134)=18,"M",(IF(COUNTBLANK(F134:Z134)=19,"E",(IF(COUNTBLANK(F134:Z134)=20,"T",""))))))))}</f>
        <v>CLASSDC TOTAL</v>
      </c>
      <c r="AB133" s="76" t="str">
        <f t="array" ref="AB133:AB134">{"CLASSDC TOTAL";(sum(F134:Z134))}</f>
        <v>CLASSDC TOTAL</v>
      </c>
    </row>
    <row r="134">
      <c r="A134" s="48" t="s">
        <v>219</v>
      </c>
      <c r="B134" s="48" t="s">
        <v>418</v>
      </c>
      <c r="C134" s="48" t="s">
        <v>1465</v>
      </c>
      <c r="D134" s="48" t="s">
        <v>1466</v>
      </c>
      <c r="E134" s="5" t="s">
        <v>603</v>
      </c>
      <c r="F134" s="47" t="s">
        <v>603</v>
      </c>
      <c r="G134" s="5" t="s">
        <v>603</v>
      </c>
      <c r="H134" s="5"/>
      <c r="I134" s="5" t="s">
        <v>603</v>
      </c>
      <c r="J134" s="5"/>
      <c r="K134" s="5" t="s">
        <v>603</v>
      </c>
      <c r="L134" s="5"/>
      <c r="M134" s="5" t="s">
        <v>603</v>
      </c>
      <c r="N134" s="5"/>
      <c r="O134" s="5" t="s">
        <v>603</v>
      </c>
      <c r="P134" s="5"/>
      <c r="Q134" s="5" t="s">
        <v>603</v>
      </c>
      <c r="R134" s="5"/>
      <c r="S134" s="5" t="s">
        <v>603</v>
      </c>
      <c r="T134" s="5"/>
      <c r="U134" s="5" t="s">
        <v>603</v>
      </c>
      <c r="V134" s="5"/>
      <c r="W134" s="5" t="s">
        <v>603</v>
      </c>
      <c r="X134" s="5"/>
      <c r="Y134" s="5" t="s">
        <v>603</v>
      </c>
      <c r="Z134" s="5"/>
      <c r="AA134" s="5" t="s">
        <v>603</v>
      </c>
      <c r="AB134" s="47">
        <v>0.0</v>
      </c>
    </row>
    <row r="135" hidden="1">
      <c r="A135" s="222" t="str">
        <f t="array" ref="A135:A136">{"FormulaRow21";(INDEX(CLASSLIST,A94,1))}</f>
        <v>FormulaRow21</v>
      </c>
      <c r="B135" s="222" t="str">
        <f t="array" ref="B135:B136">{"CLASSTYPE";((INDEX(ALLCLASSDATA,MATCH("ClassType",CLASSFEATUREHEADERS,0),MATCH($A136,CLASSNAMEHEADERS,0))))}</f>
        <v>CLASSTYPE</v>
      </c>
      <c r="C135" s="222" t="str">
        <f t="array" ref="C135:C136">{"DC";"DC"}</f>
        <v>DC</v>
      </c>
      <c r="D135" s="222" t="str">
        <f t="array" ref="D135:D136">{"SPELLDC";"SpellDC"}</f>
        <v>SPELLDC</v>
      </c>
      <c r="E135" s="223" t="str">
        <f t="array" ref="E135:E136">{"SPELLDCINITIAL";((IF(G136=10,"T",(IF(G136=50,"E","")))))}</f>
        <v>SPELLDCINITIAL</v>
      </c>
      <c r="F135" s="223" t="str">
        <f t="array" ref="F135:F136">{"SPELLDCINITIALPTS";((IF("00"=(INDEX(ALLCLASSDATA,MATCH("SpellDCLegendary",CLASSFEATUREHEADERS,0),MATCH($A136,CLASSNAMEHEADERS,0))),(INDEX(ALLCLASSDATA,MATCH("SpellDCLegendary",CLASSFEATUREHEADERS,0),MATCH(($A136 &amp; "Points"),CLASSNAMEHEADERS,0))),(IF("00"=(INDEX(ALLCLASSDATA,MATCH("SpellDCMaster",CLASSFEATUREHEADERS,0),MATCH($A136,CLASSNAMEHEADERS,0))),(INDEX(ALLCLASSDATA,MATCH("SpellDCMaster",CLASSFEATUREHEADERS,0),MATCH(($A136 &amp; "Points"),CLASSNAMEHEADERS,0))),(IF("00"=(INDEX(ALLCLASSDATA,MATCH("SpellDCExpert",CLASSFEATUREHEADERS,0),MATCH($A136,CLASSNAMEHEADERS,0))),(INDEX(ALLCLASSDATA,MATCH("SpellDCExpert",CLASSFEATUREHEADERS,0),MATCH(($A136 &amp; "Points"),CLASSNAMEHEADERS,0))),(IF("00"=(INDEX(ALLCLASSDATA,MATCH("SpellDCTrained",CLASSFEATUREHEADERS,0),MATCH($A136,CLASSNAMEHEADERS,0))),(INDEX(ALLCLASSDATA,MATCH("SpellDCTrained",CLASSFEATUREHEADERS,0),MATCH(($A136 &amp; "Points"),CLASSNAMEHEADERS,0))),"")))))))))}</f>
        <v>SPELLDCINITIALPTS</v>
      </c>
      <c r="G135" s="223" t="str">
        <f t="array" ref="G135:G136">{"SPELLDCL01";((IF("01"=(INDEX(ALLCLASSDATA,MATCH("SpellDCLegendary",CLASSFEATUREHEADERS,0),MATCH($A136,CLASSNAMEHEADERS,0))),(INDEX(ALLCLASSDATA,MATCH("SpellDCLegendary",CLASSFEATUREHEADERS,0),MATCH(($A136 &amp; "Points"),CLASSNAMEHEADERS,0))),(IF("01"=(INDEX(ALLCLASSDATA,MATCH("SpellDCMaster",CLASSFEATUREHEADERS,0),MATCH($A136,CLASSNAMEHEADERS,0))),(INDEX(ALLCLASSDATA,MATCH("SpellDCMaster",CLASSFEATUREHEADERS,0),MATCH(($A136 &amp; "Points"),CLASSNAMEHEADERS,0))),(IF("01"=(INDEX(ALLCLASSDATA,MATCH("SpellDCExpert",CLASSFEATUREHEADERS,0),MATCH($A136,CLASSNAMEHEADERS,0))),(INDEX(ALLCLASSDATA,MATCH("SpellDCExpert",CLASSFEATUREHEADERS,0),MATCH(($A136 &amp; "Points"),CLASSNAMEHEADERS,0))),(IF("01"=(INDEX(ALLCLASSDATA,MATCH("SpellDCTrained",CLASSFEATUREHEADERS,0),MATCH($A136,CLASSNAMEHEADERS,0))),(INDEX(ALLCLASSDATA,MATCH("SpellDCTrained",CLASSFEATUREHEADERS,0),MATCH(($A136 &amp; "Points"),CLASSNAMEHEADERS,0))),"")))))))))}</f>
        <v>SPELLDCL01</v>
      </c>
      <c r="H135" s="223"/>
      <c r="I135" s="223" t="str">
        <f t="array" ref="I135:I136">{"SPELLDCL03";((IF("03"=(INDEX(ALLCLASSDATA,MATCH("SpellDCLegendary",CLASSFEATUREHEADERS,0),MATCH($A136,CLASSNAMEHEADERS,0))),(INDEX(ALLCLASSDATA,MATCH("SpellDCLegendary",CLASSFEATUREHEADERS,0),MATCH(($A136 &amp; "Points"),CLASSNAMEHEADERS,0))),(IF("03"=(INDEX(ALLCLASSDATA,MATCH("SpellDCMaster",CLASSFEATUREHEADERS,0),MATCH($A136,CLASSNAMEHEADERS,0))),(INDEX(ALLCLASSDATA,MATCH("SpellDCMaster",CLASSFEATUREHEADERS,0),MATCH(($A136 &amp; "Points"),CLASSNAMEHEADERS,0))),(IF("03"=(INDEX(ALLCLASSDATA,MATCH("SpellDCExpert",CLASSFEATUREHEADERS,0),MATCH($A136,CLASSNAMEHEADERS,0))),(INDEX(ALLCLASSDATA,MATCH("SpellDCExpert",CLASSFEATUREHEADERS,0),MATCH(($A136 &amp; "Points"),CLASSNAMEHEADERS,0))),(IF("03"=(INDEX(ALLCLASSDATA,MATCH("SpellDCTrained",CLASSFEATUREHEADERS,0),MATCH($A136,CLASSNAMEHEADERS,0))),(INDEX(ALLCLASSDATA,MATCH("SpellDCTrained",CLASSFEATUREHEADERS,0),MATCH(($A136 &amp; "Points"),CLASSNAMEHEADERS,0))),"")))))))))}</f>
        <v>SPELLDCL03</v>
      </c>
      <c r="J135" s="223"/>
      <c r="K135" s="223" t="str">
        <f t="array" ref="K135:K136">{"SPELLDCL05";((IF("05"=(INDEX(ALLCLASSDATA,MATCH("SpellDCLegendary",CLASSFEATUREHEADERS,0),MATCH($A136,CLASSNAMEHEADERS,0))),(INDEX(ALLCLASSDATA,MATCH("SpellDCLegendary",CLASSFEATUREHEADERS,0),MATCH(($A136 &amp; "Points"),CLASSNAMEHEADERS,0))),(IF("05"=(INDEX(ALLCLASSDATA,MATCH("SpellDCMaster",CLASSFEATUREHEADERS,0),MATCH($A136,CLASSNAMEHEADERS,0))),(INDEX(ALLCLASSDATA,MATCH("SpellDCMaster",CLASSFEATUREHEADERS,0),MATCH(($A136 &amp; "Points"),CLASSNAMEHEADERS,0))),(IF("05"=(INDEX(ALLCLASSDATA,MATCH("SpellDCExpert",CLASSFEATUREHEADERS,0),MATCH($A136,CLASSNAMEHEADERS,0))),(INDEX(ALLCLASSDATA,MATCH("SpellDCExpert",CLASSFEATUREHEADERS,0),MATCH(($A136 &amp; "Points"),CLASSNAMEHEADERS,0))),(IF("05"=(INDEX(ALLCLASSDATA,MATCH("SpellDCTrained",CLASSFEATUREHEADERS,0),MATCH($A136,CLASSNAMEHEADERS,0))),(INDEX(ALLCLASSDATA,MATCH("SpellDCTrained",CLASSFEATUREHEADERS,0),MATCH(($A136 &amp; "Points"),CLASSNAMEHEADERS,0))),"")))))))))}</f>
        <v>SPELLDCL05</v>
      </c>
      <c r="L135" s="223"/>
      <c r="M135" s="223" t="str">
        <f t="array" ref="M135:M136">{"SPELLDCL07";((IF("07"=(INDEX(ALLCLASSDATA,MATCH("SpellDCLegendary",CLASSFEATUREHEADERS,0),MATCH($A136,CLASSNAMEHEADERS,0))),(INDEX(ALLCLASSDATA,MATCH("SpellDCLegendary",CLASSFEATUREHEADERS,0),MATCH(($A136 &amp; "Points"),CLASSNAMEHEADERS,0))),(IF("07"=(INDEX(ALLCLASSDATA,MATCH("SpellDCMaster",CLASSFEATUREHEADERS,0),MATCH($A136,CLASSNAMEHEADERS,0))),(INDEX(ALLCLASSDATA,MATCH("SpellDCMaster",CLASSFEATUREHEADERS,0),MATCH(($A136 &amp; "Points"),CLASSNAMEHEADERS,0))),(IF("07"=(INDEX(ALLCLASSDATA,MATCH("SpellDCExpert",CLASSFEATUREHEADERS,0),MATCH($A136,CLASSNAMEHEADERS,0))),(INDEX(ALLCLASSDATA,MATCH("SpellDCExpert",CLASSFEATUREHEADERS,0),MATCH(($A136 &amp; "Points"),CLASSNAMEHEADERS,0))),(IF("07"=(INDEX(ALLCLASSDATA,MATCH("SpellDCTrained",CLASSFEATUREHEADERS,0),MATCH($A136,CLASSNAMEHEADERS,0))),(INDEX(ALLCLASSDATA,MATCH("SpellDCTrained",CLASSFEATUREHEADERS,0),MATCH(($A136 &amp; "Points"),CLASSNAMEHEADERS,0))),"")))))))))}</f>
        <v>SPELLDCL07</v>
      </c>
      <c r="N135" s="223"/>
      <c r="O135" s="223" t="str">
        <f t="array" ref="O135:O136">{"SPELLDCL09";((IF("09"=(INDEX(ALLCLASSDATA,MATCH("SpellDCLegendary",CLASSFEATUREHEADERS,0),MATCH($A136,CLASSNAMEHEADERS,0))),(INDEX(ALLCLASSDATA,MATCH("SpellDCLegendary",CLASSFEATUREHEADERS,0),MATCH(($A136 &amp; "Points"),CLASSNAMEHEADERS,0))),(IF("09"=(INDEX(ALLCLASSDATA,MATCH("SpellDCMaster",CLASSFEATUREHEADERS,0),MATCH($A136,CLASSNAMEHEADERS,0))),(INDEX(ALLCLASSDATA,MATCH("SpellDCMaster",CLASSFEATUREHEADERS,0),MATCH(($A136 &amp; "Points"),CLASSNAMEHEADERS,0))),(IF("09"=(INDEX(ALLCLASSDATA,MATCH("SpellDCExpert",CLASSFEATUREHEADERS,0),MATCH($A136,CLASSNAMEHEADERS,0))),(INDEX(ALLCLASSDATA,MATCH("SpellDCExpert",CLASSFEATUREHEADERS,0),MATCH(($A136 &amp; "Points"),CLASSNAMEHEADERS,0))),(IF("09"=(INDEX(ALLCLASSDATA,MATCH("SpellDCTrained",CLASSFEATUREHEADERS,0),MATCH($A136,CLASSNAMEHEADERS,0))),(INDEX(ALLCLASSDATA,MATCH("SpellDCTrained",CLASSFEATUREHEADERS,0),MATCH(($A136 &amp; "Points"),CLASSNAMEHEADERS,0))),"")))))))))}</f>
        <v>SPELLDCL09</v>
      </c>
      <c r="P135" s="223"/>
      <c r="Q135" s="223" t="str">
        <f t="array" ref="Q135:Q136">{"SPELLDCL11";((IF("11"=(INDEX(ALLCLASSDATA,MATCH("SpellDCLegendary",CLASSFEATUREHEADERS,0),MATCH($A136,CLASSNAMEHEADERS,0))),(INDEX(ALLCLASSDATA,MATCH("SpellDCLegendary",CLASSFEATUREHEADERS,0),MATCH(($A136 &amp; "Points"),CLASSNAMEHEADERS,0))),(IF("11"=(INDEX(ALLCLASSDATA,MATCH("SpellDCMaster",CLASSFEATUREHEADERS,0),MATCH($A136,CLASSNAMEHEADERS,0))),(INDEX(ALLCLASSDATA,MATCH("SpellDCMaster",CLASSFEATUREHEADERS,0),MATCH(($A136 &amp; "Points"),CLASSNAMEHEADERS,0))),(IF("11"=(INDEX(ALLCLASSDATA,MATCH("SpellDCExpert",CLASSFEATUREHEADERS,0),MATCH($A136,CLASSNAMEHEADERS,0))),(INDEX(ALLCLASSDATA,MATCH("SpellDCExpert",CLASSFEATUREHEADERS,0),MATCH(($A136 &amp; "Points"),CLASSNAMEHEADERS,0))),(IF("11"=(INDEX(ALLCLASSDATA,MATCH("SpellDCTrained",CLASSFEATUREHEADERS,0),MATCH($A136,CLASSNAMEHEADERS,0))),(INDEX(ALLCLASSDATA,MATCH("SpellDCTrained",CLASSFEATUREHEADERS,0),MATCH(($A136 &amp; "Points"),CLASSNAMEHEADERS,0))),"")))))))))}</f>
        <v>SPELLDCL11</v>
      </c>
      <c r="R135" s="223"/>
      <c r="S135" s="223" t="str">
        <f t="array" ref="S135:S136">{"SPELLDCL13";((IF("13"=(INDEX(ALLCLASSDATA,MATCH("SpellDCLegendary",CLASSFEATUREHEADERS,0),MATCH($A136,CLASSNAMEHEADERS,0))),(INDEX(ALLCLASSDATA,MATCH("SpellDCLegendary",CLASSFEATUREHEADERS,0),MATCH(($A136 &amp; "Points"),CLASSNAMEHEADERS,0))),(IF("13"=(INDEX(ALLCLASSDATA,MATCH("SpellDCMaster",CLASSFEATUREHEADERS,0),MATCH($A136,CLASSNAMEHEADERS,0))),(INDEX(ALLCLASSDATA,MATCH("SpellDCMaster",CLASSFEATUREHEADERS,0),MATCH(($A136 &amp; "Points"),CLASSNAMEHEADERS,0))),(IF("13"=(INDEX(ALLCLASSDATA,MATCH("SpellDCExpert",CLASSFEATUREHEADERS,0),MATCH($A136,CLASSNAMEHEADERS,0))),(INDEX(ALLCLASSDATA,MATCH("SpellDCExpert",CLASSFEATUREHEADERS,0),MATCH(($A136 &amp; "Points"),CLASSNAMEHEADERS,0))),(IF("13"=(INDEX(ALLCLASSDATA,MATCH("SpellDCTrained",CLASSFEATUREHEADERS,0),MATCH($A136,CLASSNAMEHEADERS,0))),(INDEX(ALLCLASSDATA,MATCH("SpellDCTrained",CLASSFEATUREHEADERS,0),MATCH(($A136 &amp; "Points"),CLASSNAMEHEADERS,0))),"")))))))))}</f>
        <v>SPELLDCL13</v>
      </c>
      <c r="T135" s="223"/>
      <c r="U135" s="223" t="str">
        <f t="array" ref="U135:U136">{"SPELLDCL15";((IF("15"=(INDEX(ALLCLASSDATA,MATCH("SpellDCLegendary",CLASSFEATUREHEADERS,0),MATCH($A136,CLASSNAMEHEADERS,0))),(INDEX(ALLCLASSDATA,MATCH("SpellDCLegendary",CLASSFEATUREHEADERS,0),MATCH(($A136 &amp; "Points"),CLASSNAMEHEADERS,0))),(IF("15"=(INDEX(ALLCLASSDATA,MATCH("SpellDCMaster",CLASSFEATUREHEADERS,0),MATCH($A136,CLASSNAMEHEADERS,0))),(INDEX(ALLCLASSDATA,MATCH("SpellDCMaster",CLASSFEATUREHEADERS,0),MATCH(($A136 &amp; "Points"),CLASSNAMEHEADERS,0))),(IF("15"=(INDEX(ALLCLASSDATA,MATCH("SpellDCExpert",CLASSFEATUREHEADERS,0),MATCH($A136,CLASSNAMEHEADERS,0))),(INDEX(ALLCLASSDATA,MATCH("SpellDCExpert",CLASSFEATUREHEADERS,0),MATCH(($A136 &amp; "Points"),CLASSNAMEHEADERS,0))),(IF("15"=(INDEX(ALLCLASSDATA,MATCH("SpellDCTrained",CLASSFEATUREHEADERS,0),MATCH($A136,CLASSNAMEHEADERS,0))),(INDEX(ALLCLASSDATA,MATCH("SpellDCTrained",CLASSFEATUREHEADERS,0),MATCH(($A136 &amp; "Points"),CLASSNAMEHEADERS,0))),"")))))))))}</f>
        <v>SPELLDCL15</v>
      </c>
      <c r="V135" s="223"/>
      <c r="W135" s="223" t="str">
        <f t="array" ref="W135:W136">{"SPELLDCL17";((IF("17"=(INDEX(ALLCLASSDATA,MATCH("SpellDCLegendary",CLASSFEATUREHEADERS,0),MATCH($A136,CLASSNAMEHEADERS,0))),(INDEX(ALLCLASSDATA,MATCH("SpellDCLegendary",CLASSFEATUREHEADERS,0),MATCH(($A136 &amp; "Points"),CLASSNAMEHEADERS,0))),(IF("17"=(INDEX(ALLCLASSDATA,MATCH("SpellDCMaster",CLASSFEATUREHEADERS,0),MATCH($A136,CLASSNAMEHEADERS,0))),(INDEX(ALLCLASSDATA,MATCH("SpellDCMaster",CLASSFEATUREHEADERS,0),MATCH(($A136 &amp; "Points"),CLASSNAMEHEADERS,0))),(IF("17"=(INDEX(ALLCLASSDATA,MATCH("SpellDCExpert",CLASSFEATUREHEADERS,0),MATCH($A136,CLASSNAMEHEADERS,0))),(INDEX(ALLCLASSDATA,MATCH("SpellDCExpert",CLASSFEATUREHEADERS,0),MATCH(($A136 &amp; "Points"),CLASSNAMEHEADERS,0))),(IF("17"=(INDEX(ALLCLASSDATA,MATCH("SpellDCTrained",CLASSFEATUREHEADERS,0),MATCH($A136,CLASSNAMEHEADERS,0))),(INDEX(ALLCLASSDATA,MATCH("SpellDCTrained",CLASSFEATUREHEADERS,0),MATCH(($A136 &amp; "Points"),CLASSNAMEHEADERS,0))),"")))))))))}</f>
        <v>SPELLDCL17</v>
      </c>
      <c r="X135" s="223"/>
      <c r="Y135" s="223" t="str">
        <f t="array" ref="Y135:Y136">{"SPELLDCL19";((IF("19"=(INDEX(ALLCLASSDATA,MATCH("SpellDCLegendary",CLASSFEATUREHEADERS,0),MATCH($A136,CLASSNAMEHEADERS,0))),(INDEX(ALLCLASSDATA,MATCH("SpellDCLegendary",CLASSFEATUREHEADERS,0),MATCH(($A136 &amp; "Points"),CLASSNAMEHEADERS,0))),(IF("19"=(INDEX(ALLCLASSDATA,MATCH("SpellDCMaster",CLASSFEATUREHEADERS,0),MATCH($A136,CLASSNAMEHEADERS,0))),(INDEX(ALLCLASSDATA,MATCH("SpellDCMaster",CLASSFEATUREHEADERS,0),MATCH(($A136 &amp; "Points"),CLASSNAMEHEADERS,0))),(IF("19"=(INDEX(ALLCLASSDATA,MATCH("SpellDCExpert",CLASSFEATUREHEADERS,0),MATCH($A136,CLASSNAMEHEADERS,0))),(INDEX(ALLCLASSDATA,MATCH("SpellDCExpert",CLASSFEATUREHEADERS,0),MATCH(($A136 &amp; "Points"),CLASSNAMEHEADERS,0))),(IF("19"=(INDEX(ALLCLASSDATA,MATCH("SpellDCTrained",CLASSFEATUREHEADERS,0),MATCH($A136,CLASSNAMEHEADERS,0))),(INDEX(ALLCLASSDATA,MATCH("SpellDCTrained",CLASSFEATUREHEADERS,0),MATCH(($A136 &amp; "Points"),CLASSNAMEHEADERS,0))),"")))))))))}</f>
        <v>SPELLDCL19</v>
      </c>
      <c r="Z135" s="223"/>
      <c r="AA135" s="76" t="str">
        <f t="array" ref="AA135:AA136">{"SPELLDC TOTAL";(IF(COUNTBLANK(F136:Z136)=17,"L",(IF(COUNTBLANK(F136:Z136)=18,"M",(IF(COUNTBLANK(F136:Z136)=19,"E",(IF(COUNTBLANK(F136:Z136)=20,"T",""))))))))}</f>
        <v>SPELLDC TOTAL</v>
      </c>
      <c r="AB135" s="76" t="str">
        <f t="array" ref="AB135:AB136">{"SPELLDC TOTAL";(sum(F136:Z136))}</f>
        <v>SPELLDC TOTAL</v>
      </c>
    </row>
    <row r="136">
      <c r="A136" s="48" t="s">
        <v>219</v>
      </c>
      <c r="B136" s="48" t="s">
        <v>418</v>
      </c>
      <c r="C136" s="97" t="s">
        <v>1465</v>
      </c>
      <c r="D136" s="97" t="s">
        <v>1485</v>
      </c>
      <c r="E136" s="98" t="s">
        <v>435</v>
      </c>
      <c r="F136" s="132" t="s">
        <v>603</v>
      </c>
      <c r="G136" s="98">
        <v>10.0</v>
      </c>
      <c r="H136" s="98"/>
      <c r="I136" s="98" t="s">
        <v>603</v>
      </c>
      <c r="J136" s="98"/>
      <c r="K136" s="98" t="s">
        <v>603</v>
      </c>
      <c r="L136" s="98"/>
      <c r="M136" s="98">
        <v>50.0</v>
      </c>
      <c r="N136" s="98"/>
      <c r="O136" s="98" t="s">
        <v>603</v>
      </c>
      <c r="P136" s="98"/>
      <c r="Q136" s="98" t="s">
        <v>603</v>
      </c>
      <c r="R136" s="98"/>
      <c r="S136" s="98" t="s">
        <v>603</v>
      </c>
      <c r="T136" s="98"/>
      <c r="U136" s="98">
        <v>110.0</v>
      </c>
      <c r="V136" s="98"/>
      <c r="W136" s="98" t="s">
        <v>603</v>
      </c>
      <c r="X136" s="98"/>
      <c r="Y136" s="98">
        <v>190.0</v>
      </c>
      <c r="Z136" s="98"/>
      <c r="AA136" s="5" t="s">
        <v>466</v>
      </c>
      <c r="AB136" s="47">
        <v>360.0</v>
      </c>
    </row>
    <row r="137" hidden="1">
      <c r="A137" s="222" t="str">
        <f t="array" ref="A137:A138">{"FormulaRow22";(INDEX(CLASSLIST,A94,1))}</f>
        <v>FormulaRow22</v>
      </c>
      <c r="B137" s="222" t="str">
        <f t="array" ref="B137:B138">{"CLASSTYPE";((INDEX(ALLCLASSDATA,MATCH("ClassType",CLASSFEATUREHEADERS,0),MATCH($A138,CLASSNAMEHEADERS,0))))}</f>
        <v>CLASSTYPE</v>
      </c>
      <c r="C137" s="228" t="str">
        <f t="shared" ref="C137:D137" si="2">{"PERCEPTION";"Perception"}</f>
        <v>PERCEPTION</v>
      </c>
      <c r="D137" s="228" t="str">
        <f t="shared" si="2"/>
        <v>PERCEPTION</v>
      </c>
      <c r="E137" s="230" t="str">
        <f t="array" ref="E137:E138">{"PERCEPTIONINITIAL";((IF(G138=10,"T",(IF(G138=50,"E","")))))}</f>
        <v>PERCEPTIONINITIAL</v>
      </c>
      <c r="F137" s="230" t="str">
        <f t="array" ref="F137:F138">{"PERCEPTIONINITIALPTS";((IF("00"=(INDEX(ALLCLASSDATA,MATCH("PerceptionLegendary",CLASSFEATUREHEADERS,0),MATCH($A138,CLASSNAMEHEADERS,0))),(INDEX(ALLCLASSDATA,MATCH("PerceptionLegendary",CLASSFEATUREHEADERS,0),MATCH(($A138 &amp; "Points"),CLASSNAMEHEADERS,0))),(IF("00"=(INDEX(ALLCLASSDATA,MATCH("PerceptionMaster",CLASSFEATUREHEADERS,0),MATCH($A138,CLASSNAMEHEADERS,0))),(INDEX(ALLCLASSDATA,MATCH("PerceptionMaster",CLASSFEATUREHEADERS,0),MATCH(($A138 &amp; "Points"),CLASSNAMEHEADERS,0))),(IF("00"=(INDEX(ALLCLASSDATA,MATCH("PerceptionExpert",CLASSFEATUREHEADERS,0),MATCH($A138,CLASSNAMEHEADERS,0))),(INDEX(ALLCLASSDATA,MATCH("PerceptionExpert",CLASSFEATUREHEADERS,0),MATCH(($A138 &amp; "Points"),CLASSNAMEHEADERS,0))),(IF("00"=(INDEX(ALLCLASSDATA,MATCH("PerceptionTrained",CLASSFEATUREHEADERS,0),MATCH($A138,CLASSNAMEHEADERS,0))),(INDEX(ALLCLASSDATA,MATCH("PerceptionTrained",CLASSFEATUREHEADERS,0),MATCH(($A138 &amp; "Points"),CLASSNAMEHEADERS,0))),"")))))))))}</f>
        <v>PERCEPTIONINITIALPTS</v>
      </c>
      <c r="G137" s="230" t="str">
        <f t="array" ref="G137:G138">{"PERCEPTIONL01";((IF("01"=(INDEX(ALLCLASSDATA,MATCH("PerceptionLegendary",CLASSFEATUREHEADERS,0),MATCH($A138,CLASSNAMEHEADERS,0))),(INDEX(ALLCLASSDATA,MATCH("PerceptionLegendary",CLASSFEATUREHEADERS,0),MATCH(($A138 &amp; "Points"),CLASSNAMEHEADERS,0))),(IF("01"=(INDEX(ALLCLASSDATA,MATCH("PerceptionMaster",CLASSFEATUREHEADERS,0),MATCH($A138,CLASSNAMEHEADERS,0))),(INDEX(ALLCLASSDATA,MATCH("PerceptionMaster",CLASSFEATUREHEADERS,0),MATCH(($A138 &amp; "Points"),CLASSNAMEHEADERS,0))),(IF("01"=(INDEX(ALLCLASSDATA,MATCH("PerceptionExpert",CLASSFEATUREHEADERS,0),MATCH($A138,CLASSNAMEHEADERS,0))),(INDEX(ALLCLASSDATA,MATCH("PerceptionExpert",CLASSFEATUREHEADERS,0),MATCH(($A138 &amp; "Points"),CLASSNAMEHEADERS,0))),(IF("01"=(INDEX(ALLCLASSDATA,MATCH("PerceptionTrained",CLASSFEATUREHEADERS,0),MATCH($A138,CLASSNAMEHEADERS,0))),(INDEX(ALLCLASSDATA,MATCH("PerceptionTrained",CLASSFEATUREHEADERS,0),MATCH(($A138 &amp; "Points"),CLASSNAMEHEADERS,0))),"")))))))))}</f>
        <v>PERCEPTIONL01</v>
      </c>
      <c r="H137" s="230"/>
      <c r="I137" s="230" t="str">
        <f t="array" ref="I137:I138">{"PERCEPTIONL03";((IF("03"=(INDEX(ALLCLASSDATA,MATCH("PerceptionLegendary",CLASSFEATUREHEADERS,0),MATCH($A138,CLASSNAMEHEADERS,0))),(INDEX(ALLCLASSDATA,MATCH("PerceptionLegendary",CLASSFEATUREHEADERS,0),MATCH(($A138 &amp; "Points"),CLASSNAMEHEADERS,0))),(IF("03"=(INDEX(ALLCLASSDATA,MATCH("PerceptionMaster",CLASSFEATUREHEADERS,0),MATCH($A138,CLASSNAMEHEADERS,0))),(INDEX(ALLCLASSDATA,MATCH("PerceptionMaster",CLASSFEATUREHEADERS,0),MATCH(($A138 &amp; "Points"),CLASSNAMEHEADERS,0))),(IF("03"=(INDEX(ALLCLASSDATA,MATCH("PerceptionExpert",CLASSFEATUREHEADERS,0),MATCH($A138,CLASSNAMEHEADERS,0))),(INDEX(ALLCLASSDATA,MATCH("PerceptionExpert",CLASSFEATUREHEADERS,0),MATCH(($A138 &amp; "Points"),CLASSNAMEHEADERS,0))),(IF("03"=(INDEX(ALLCLASSDATA,MATCH("PerceptionTrained",CLASSFEATUREHEADERS,0),MATCH($A138,CLASSNAMEHEADERS,0))),(INDEX(ALLCLASSDATA,MATCH("PerceptionTrained",CLASSFEATUREHEADERS,0),MATCH(($A138 &amp; "Points"),CLASSNAMEHEADERS,0))),"")))))))))}</f>
        <v>PERCEPTIONL03</v>
      </c>
      <c r="J137" s="230"/>
      <c r="K137" s="230" t="str">
        <f t="array" ref="K137:K138">{"PERCEPTIONL05";((IF("05"=(INDEX(ALLCLASSDATA,MATCH("PerceptionLegendary",CLASSFEATUREHEADERS,0),MATCH($A138,CLASSNAMEHEADERS,0))),(INDEX(ALLCLASSDATA,MATCH("PerceptionLegendary",CLASSFEATUREHEADERS,0),MATCH(($A138 &amp; "Points"),CLASSNAMEHEADERS,0))),(IF("05"=(INDEX(ALLCLASSDATA,MATCH("PerceptionMaster",CLASSFEATUREHEADERS,0),MATCH($A138,CLASSNAMEHEADERS,0))),(INDEX(ALLCLASSDATA,MATCH("PerceptionMaster",CLASSFEATUREHEADERS,0),MATCH(($A138 &amp; "Points"),CLASSNAMEHEADERS,0))),(IF("05"=(INDEX(ALLCLASSDATA,MATCH("PerceptionExpert",CLASSFEATUREHEADERS,0),MATCH($A138,CLASSNAMEHEADERS,0))),(INDEX(ALLCLASSDATA,MATCH("PerceptionExpert",CLASSFEATUREHEADERS,0),MATCH(($A138 &amp; "Points"),CLASSNAMEHEADERS,0))),(IF("05"=(INDEX(ALLCLASSDATA,MATCH("PerceptionTrained",CLASSFEATUREHEADERS,0),MATCH($A138,CLASSNAMEHEADERS,0))),(INDEX(ALLCLASSDATA,MATCH("PerceptionTrained",CLASSFEATUREHEADERS,0),MATCH(($A138 &amp; "Points"),CLASSNAMEHEADERS,0))),"")))))))))}</f>
        <v>PERCEPTIONL05</v>
      </c>
      <c r="L137" s="230"/>
      <c r="M137" s="230" t="str">
        <f t="array" ref="M137:M138">{"PERCEPTIONL07";((IF("07"=(INDEX(ALLCLASSDATA,MATCH("PerceptionLegendary",CLASSFEATUREHEADERS,0),MATCH($A138,CLASSNAMEHEADERS,0))),(INDEX(ALLCLASSDATA,MATCH("PerceptionLegendary",CLASSFEATUREHEADERS,0),MATCH(($A138 &amp; "Points"),CLASSNAMEHEADERS,0))),(IF("07"=(INDEX(ALLCLASSDATA,MATCH("PerceptionMaster",CLASSFEATUREHEADERS,0),MATCH($A138,CLASSNAMEHEADERS,0))),(INDEX(ALLCLASSDATA,MATCH("PerceptionMaster",CLASSFEATUREHEADERS,0),MATCH(($A138 &amp; "Points"),CLASSNAMEHEADERS,0))),(IF("07"=(INDEX(ALLCLASSDATA,MATCH("PerceptionExpert",CLASSFEATUREHEADERS,0),MATCH($A138,CLASSNAMEHEADERS,0))),(INDEX(ALLCLASSDATA,MATCH("PerceptionExpert",CLASSFEATUREHEADERS,0),MATCH(($A138 &amp; "Points"),CLASSNAMEHEADERS,0))),(IF("07"=(INDEX(ALLCLASSDATA,MATCH("PerceptionTrained",CLASSFEATUREHEADERS,0),MATCH($A138,CLASSNAMEHEADERS,0))),(INDEX(ALLCLASSDATA,MATCH("PerceptionTrained",CLASSFEATUREHEADERS,0),MATCH(($A138 &amp; "Points"),CLASSNAMEHEADERS,0))),"")))))))))}</f>
        <v>PERCEPTIONL07</v>
      </c>
      <c r="N137" s="230"/>
      <c r="O137" s="230" t="str">
        <f t="array" ref="O137:O138">{"PERCEPTIONL09";((IF("09"=(INDEX(ALLCLASSDATA,MATCH("PerceptionLegendary",CLASSFEATUREHEADERS,0),MATCH($A138,CLASSNAMEHEADERS,0))),(INDEX(ALLCLASSDATA,MATCH("PerceptionLegendary",CLASSFEATUREHEADERS,0),MATCH(($A138 &amp; "Points"),CLASSNAMEHEADERS,0))),(IF("09"=(INDEX(ALLCLASSDATA,MATCH("PerceptionMaster",CLASSFEATUREHEADERS,0),MATCH($A138,CLASSNAMEHEADERS,0))),(INDEX(ALLCLASSDATA,MATCH("PerceptionMaster",CLASSFEATUREHEADERS,0),MATCH(($A138 &amp; "Points"),CLASSNAMEHEADERS,0))),(IF("09"=(INDEX(ALLCLASSDATA,MATCH("PerceptionExpert",CLASSFEATUREHEADERS,0),MATCH($A138,CLASSNAMEHEADERS,0))),(INDEX(ALLCLASSDATA,MATCH("PerceptionExpert",CLASSFEATUREHEADERS,0),MATCH(($A138 &amp; "Points"),CLASSNAMEHEADERS,0))),(IF("09"=(INDEX(ALLCLASSDATA,MATCH("PerceptionTrained",CLASSFEATUREHEADERS,0),MATCH($A138,CLASSNAMEHEADERS,0))),(INDEX(ALLCLASSDATA,MATCH("PerceptionTrained",CLASSFEATUREHEADERS,0),MATCH(($A138 &amp; "Points"),CLASSNAMEHEADERS,0))),"")))))))))}</f>
        <v>PERCEPTIONL09</v>
      </c>
      <c r="P137" s="230"/>
      <c r="Q137" s="230" t="str">
        <f t="array" ref="Q137:Q138">{"PERCEPTIONL11";((IF("11"=(INDEX(ALLCLASSDATA,MATCH("PerceptionLegendary",CLASSFEATUREHEADERS,0),MATCH($A138,CLASSNAMEHEADERS,0))),(INDEX(ALLCLASSDATA,MATCH("PerceptionLegendary",CLASSFEATUREHEADERS,0),MATCH(($A138 &amp; "Points"),CLASSNAMEHEADERS,0))),(IF("11"=(INDEX(ALLCLASSDATA,MATCH("PerceptionMaster",CLASSFEATUREHEADERS,0),MATCH($A138,CLASSNAMEHEADERS,0))),(INDEX(ALLCLASSDATA,MATCH("PerceptionMaster",CLASSFEATUREHEADERS,0),MATCH(($A138 &amp; "Points"),CLASSNAMEHEADERS,0))),(IF("11"=(INDEX(ALLCLASSDATA,MATCH("PerceptionExpert",CLASSFEATUREHEADERS,0),MATCH($A138,CLASSNAMEHEADERS,0))),(INDEX(ALLCLASSDATA,MATCH("PerceptionExpert",CLASSFEATUREHEADERS,0),MATCH(($A138 &amp; "Points"),CLASSNAMEHEADERS,0))),(IF("11"=(INDEX(ALLCLASSDATA,MATCH("PerceptionTrained",CLASSFEATUREHEADERS,0),MATCH($A138,CLASSNAMEHEADERS,0))),(INDEX(ALLCLASSDATA,MATCH("PerceptionTrained",CLASSFEATUREHEADERS,0),MATCH(($A138 &amp; "Points"),CLASSNAMEHEADERS,0))),"")))))))))}</f>
        <v>PERCEPTIONL11</v>
      </c>
      <c r="R137" s="230"/>
      <c r="S137" s="230" t="str">
        <f t="array" ref="S137:S138">{"PERCEPTIONL13";((IF("13"=(INDEX(ALLCLASSDATA,MATCH("PerceptionLegendary",CLASSFEATUREHEADERS,0),MATCH($A138,CLASSNAMEHEADERS,0))),(INDEX(ALLCLASSDATA,MATCH("PerceptionLegendary",CLASSFEATUREHEADERS,0),MATCH(($A138 &amp; "Points"),CLASSNAMEHEADERS,0))),(IF("13"=(INDEX(ALLCLASSDATA,MATCH("PerceptionMaster",CLASSFEATUREHEADERS,0),MATCH($A138,CLASSNAMEHEADERS,0))),(INDEX(ALLCLASSDATA,MATCH("PerceptionMaster",CLASSFEATUREHEADERS,0),MATCH(($A138 &amp; "Points"),CLASSNAMEHEADERS,0))),(IF("13"=(INDEX(ALLCLASSDATA,MATCH("PerceptionExpert",CLASSFEATUREHEADERS,0),MATCH($A138,CLASSNAMEHEADERS,0))),(INDEX(ALLCLASSDATA,MATCH("PerceptionExpert",CLASSFEATUREHEADERS,0),MATCH(($A138 &amp; "Points"),CLASSNAMEHEADERS,0))),(IF("13"=(INDEX(ALLCLASSDATA,MATCH("PerceptionTrained",CLASSFEATUREHEADERS,0),MATCH($A138,CLASSNAMEHEADERS,0))),(INDEX(ALLCLASSDATA,MATCH("PerceptionTrained",CLASSFEATUREHEADERS,0),MATCH(($A138 &amp; "Points"),CLASSNAMEHEADERS,0))),"")))))))))}</f>
        <v>PERCEPTIONL13</v>
      </c>
      <c r="T137" s="230"/>
      <c r="U137" s="230" t="str">
        <f t="array" ref="U137:U138">{"PERCEPTIONL15";((IF("15"=(INDEX(ALLCLASSDATA,MATCH("PerceptionLegendary",CLASSFEATUREHEADERS,0),MATCH($A138,CLASSNAMEHEADERS,0))),(INDEX(ALLCLASSDATA,MATCH("PerceptionLegendary",CLASSFEATUREHEADERS,0),MATCH(($A138 &amp; "Points"),CLASSNAMEHEADERS,0))),(IF("15"=(INDEX(ALLCLASSDATA,MATCH("PerceptionMaster",CLASSFEATUREHEADERS,0),MATCH($A138,CLASSNAMEHEADERS,0))),(INDEX(ALLCLASSDATA,MATCH("PerceptionMaster",CLASSFEATUREHEADERS,0),MATCH(($A138 &amp; "Points"),CLASSNAMEHEADERS,0))),(IF("15"=(INDEX(ALLCLASSDATA,MATCH("PerceptionExpert",CLASSFEATUREHEADERS,0),MATCH($A138,CLASSNAMEHEADERS,0))),(INDEX(ALLCLASSDATA,MATCH("PerceptionExpert",CLASSFEATUREHEADERS,0),MATCH(($A138 &amp; "Points"),CLASSNAMEHEADERS,0))),(IF("15"=(INDEX(ALLCLASSDATA,MATCH("PerceptionTrained",CLASSFEATUREHEADERS,0),MATCH($A138,CLASSNAMEHEADERS,0))),(INDEX(ALLCLASSDATA,MATCH("PerceptionTrained",CLASSFEATUREHEADERS,0),MATCH(($A138 &amp; "Points"),CLASSNAMEHEADERS,0))),"")))))))))}</f>
        <v>PERCEPTIONL15</v>
      </c>
      <c r="V137" s="230"/>
      <c r="W137" s="230" t="str">
        <f t="array" ref="W137:W138">{"PERCEPTIONL17";((IF("17"=(INDEX(ALLCLASSDATA,MATCH("PerceptionLegendary",CLASSFEATUREHEADERS,0),MATCH($A138,CLASSNAMEHEADERS,0))),(INDEX(ALLCLASSDATA,MATCH("PerceptionLegendary",CLASSFEATUREHEADERS,0),MATCH(($A138 &amp; "Points"),CLASSNAMEHEADERS,0))),(IF("17"=(INDEX(ALLCLASSDATA,MATCH("PerceptionMaster",CLASSFEATUREHEADERS,0),MATCH($A138,CLASSNAMEHEADERS,0))),(INDEX(ALLCLASSDATA,MATCH("PerceptionMaster",CLASSFEATUREHEADERS,0),MATCH(($A138 &amp; "Points"),CLASSNAMEHEADERS,0))),(IF("17"=(INDEX(ALLCLASSDATA,MATCH("PerceptionExpert",CLASSFEATUREHEADERS,0),MATCH($A138,CLASSNAMEHEADERS,0))),(INDEX(ALLCLASSDATA,MATCH("PerceptionExpert",CLASSFEATUREHEADERS,0),MATCH(($A138 &amp; "Points"),CLASSNAMEHEADERS,0))),(IF("17"=(INDEX(ALLCLASSDATA,MATCH("PerceptionTrained",CLASSFEATUREHEADERS,0),MATCH($A138,CLASSNAMEHEADERS,0))),(INDEX(ALLCLASSDATA,MATCH("PerceptionTrained",CLASSFEATUREHEADERS,0),MATCH(($A138 &amp; "Points"),CLASSNAMEHEADERS,0))),"")))))))))}</f>
        <v>PERCEPTIONL17</v>
      </c>
      <c r="X137" s="230"/>
      <c r="Y137" s="230" t="str">
        <f t="array" ref="Y137:Y138">{"PERCEPTIONL19";((IF("19"=(INDEX(ALLCLASSDATA,MATCH("PerceptionLegendary",CLASSFEATUREHEADERS,0),MATCH($A138,CLASSNAMEHEADERS,0))),(INDEX(ALLCLASSDATA,MATCH("PerceptionLegendary",CLASSFEATUREHEADERS,0),MATCH(($A138 &amp; "Points"),CLASSNAMEHEADERS,0))),(IF("19"=(INDEX(ALLCLASSDATA,MATCH("PerceptionMaster",CLASSFEATUREHEADERS,0),MATCH($A138,CLASSNAMEHEADERS,0))),(INDEX(ALLCLASSDATA,MATCH("PerceptionMaster",CLASSFEATUREHEADERS,0),MATCH(($A138 &amp; "Points"),CLASSNAMEHEADERS,0))),(IF("19"=(INDEX(ALLCLASSDATA,MATCH("PerceptionExpert",CLASSFEATUREHEADERS,0),MATCH($A138,CLASSNAMEHEADERS,0))),(INDEX(ALLCLASSDATA,MATCH("PerceptionExpert",CLASSFEATUREHEADERS,0),MATCH(($A138 &amp; "Points"),CLASSNAMEHEADERS,0))),(IF("19"=(INDEX(ALLCLASSDATA,MATCH("PerceptionTrained",CLASSFEATUREHEADERS,0),MATCH($A138,CLASSNAMEHEADERS,0))),(INDEX(ALLCLASSDATA,MATCH("PerceptionTrained",CLASSFEATUREHEADERS,0),MATCH(($A138 &amp; "Points"),CLASSNAMEHEADERS,0))),"")))))))))}</f>
        <v>PERCEPTIONL19</v>
      </c>
      <c r="Z137" s="230"/>
      <c r="AA137" s="76" t="str">
        <f t="array" ref="AA137:AA138">{"PERCEPTION TOTAL";(IF(COUNTBLANK(F138:Z138)=17,"L",(IF(COUNTBLANK(F138:Z138)=18,"M",(IF(COUNTBLANK(F138:Z138)=19,"E",(IF(COUNTBLANK(F138:Z138)=20,"T",""))))))))}</f>
        <v>PERCEPTION TOTAL</v>
      </c>
      <c r="AB137" s="76" t="str">
        <f t="array" ref="AB137:AB138">{"PERCEPTION TOTAL";(sum(F138:Z138))}</f>
        <v>PERCEPTION TOTAL</v>
      </c>
    </row>
    <row r="138">
      <c r="A138" s="48" t="s">
        <v>219</v>
      </c>
      <c r="B138" s="48" t="s">
        <v>418</v>
      </c>
      <c r="C138" s="97" t="s">
        <v>637</v>
      </c>
      <c r="D138" s="97" t="s">
        <v>637</v>
      </c>
      <c r="E138" s="98" t="s">
        <v>435</v>
      </c>
      <c r="F138" s="132" t="s">
        <v>603</v>
      </c>
      <c r="G138" s="98">
        <v>10.0</v>
      </c>
      <c r="H138" s="98"/>
      <c r="I138" s="98" t="s">
        <v>603</v>
      </c>
      <c r="J138" s="98"/>
      <c r="K138" s="98">
        <v>50.0</v>
      </c>
      <c r="L138" s="98"/>
      <c r="M138" s="98" t="s">
        <v>603</v>
      </c>
      <c r="N138" s="98"/>
      <c r="O138" s="98" t="s">
        <v>603</v>
      </c>
      <c r="P138" s="98"/>
      <c r="Q138" s="98" t="s">
        <v>603</v>
      </c>
      <c r="R138" s="98"/>
      <c r="S138" s="98" t="s">
        <v>603</v>
      </c>
      <c r="T138" s="98"/>
      <c r="U138" s="98" t="s">
        <v>603</v>
      </c>
      <c r="V138" s="98"/>
      <c r="W138" s="98" t="s">
        <v>603</v>
      </c>
      <c r="X138" s="98"/>
      <c r="Y138" s="98" t="s">
        <v>603</v>
      </c>
      <c r="Z138" s="98"/>
      <c r="AA138" s="5" t="s">
        <v>436</v>
      </c>
      <c r="AB138" s="47">
        <v>60.0</v>
      </c>
    </row>
    <row r="139" hidden="1">
      <c r="A139" s="222" t="str">
        <f t="array" ref="A139:A140">{"FormulaRow23";(INDEX(CLASSLIST,A94,1))}</f>
        <v>FormulaRow23</v>
      </c>
      <c r="B139" s="222" t="str">
        <f t="array" ref="B139:B140">{"CLASSTYPE";((INDEX(ALLCLASSDATA,MATCH("ClassType",CLASSFEATUREHEADERS,0),MATCH($A140,CLASSNAMEHEADERS,0))))}</f>
        <v>CLASSTYPE</v>
      </c>
      <c r="C139" s="228" t="str">
        <f t="array" ref="C139:C140">{"SAVES";"Saves"}</f>
        <v>SAVES</v>
      </c>
      <c r="D139" s="228" t="str">
        <f t="array" ref="D139:D140">{"FORTITUDESAVE";"FortitudeSave"}</f>
        <v>FORTITUDESAVE</v>
      </c>
      <c r="E139" s="230" t="str">
        <f t="array" ref="E139:E140">{"FORTITUDEINITIAL";((IF(G140=10,"T",(IF(G140=50,"E","")))))}</f>
        <v>FORTITUDEINITIAL</v>
      </c>
      <c r="F139" s="230" t="str">
        <f t="array" ref="F139:F140">{"FORTITUDEINITIALPTS";((IF("00"=(INDEX(ALLCLASSDATA,MATCH("FortitudeSaveLegendary",CLASSFEATUREHEADERS,0),MATCH($A140,CLASSNAMEHEADERS,0))),(INDEX(ALLCLASSDATA,MATCH("FortitudeSaveLegendary",CLASSFEATUREHEADERS,0),MATCH(($A140 &amp; "Points"),CLASSNAMEHEADERS,0))),(IF("00"=(INDEX(ALLCLASSDATA,MATCH("FortitudeSaveMaster",CLASSFEATUREHEADERS,0),MATCH($A140,CLASSNAMEHEADERS,0))),(INDEX(ALLCLASSDATA,MATCH("FortitudeSaveMaster",CLASSFEATUREHEADERS,0),MATCH(($A140 &amp; "Points"),CLASSNAMEHEADERS,0))),(IF("00"=(INDEX(ALLCLASSDATA,MATCH("FortitudeSaveExpert",CLASSFEATUREHEADERS,0),MATCH($A140,CLASSNAMEHEADERS,0))),(INDEX(ALLCLASSDATA,MATCH("FortitudeSaveExpert",CLASSFEATUREHEADERS,0),MATCH(($A140 &amp; "Points"),CLASSNAMEHEADERS,0))),(IF("00"=(INDEX(ALLCLASSDATA,MATCH("FortitudeSaveTrained",CLASSFEATUREHEADERS,0),MATCH($A140,CLASSNAMEHEADERS,0))),(INDEX(ALLCLASSDATA,MATCH("FortitudeSaveTrained",CLASSFEATUREHEADERS,0),MATCH(($A140 &amp; "Points"),CLASSNAMEHEADERS,0))),"")))))))))}</f>
        <v>FORTITUDEINITIALPTS</v>
      </c>
      <c r="G139" s="230" t="str">
        <f t="array" ref="G139:G140">{"FORTITUDEL01";((IF("01"=(INDEX(ALLCLASSDATA,MATCH("FortitudeSaveLegendary",CLASSFEATUREHEADERS,0),MATCH($A140,CLASSNAMEHEADERS,0))),(INDEX(ALLCLASSDATA,MATCH("FortitudeSaveLegendary",CLASSFEATUREHEADERS,0),MATCH(($A140 &amp; "Points"),CLASSNAMEHEADERS,0))),(IF("01"=(INDEX(ALLCLASSDATA,MATCH("FortitudeSaveMaster",CLASSFEATUREHEADERS,0),MATCH($A140,CLASSNAMEHEADERS,0))),(INDEX(ALLCLASSDATA,MATCH("FortitudeSaveMaster",CLASSFEATUREHEADERS,0),MATCH(($A140 &amp; "Points"),CLASSNAMEHEADERS,0))),(IF("01"=(INDEX(ALLCLASSDATA,MATCH("FortitudeSaveExpert",CLASSFEATUREHEADERS,0),MATCH($A140,CLASSNAMEHEADERS,0))),(INDEX(ALLCLASSDATA,MATCH("FortitudeSaveExpert",CLASSFEATUREHEADERS,0),MATCH(($A140 &amp; "Points"),CLASSNAMEHEADERS,0))),(IF("01"=(INDEX(ALLCLASSDATA,MATCH("FortitudeSaveTrained",CLASSFEATUREHEADERS,0),MATCH($A140,CLASSNAMEHEADERS,0))),(INDEX(ALLCLASSDATA,MATCH("FortitudeSaveTrained",CLASSFEATUREHEADERS,0),MATCH(($A140 &amp; "Points"),CLASSNAMEHEADERS,0))),"")))))))))}</f>
        <v>FORTITUDEL01</v>
      </c>
      <c r="H139" s="230"/>
      <c r="I139" s="230" t="str">
        <f t="array" ref="I139:I140">{"FORTITUDEL03";((IF("03"=(INDEX(ALLCLASSDATA,MATCH("FortitudeSaveLegendary",CLASSFEATUREHEADERS,0),MATCH($A140,CLASSNAMEHEADERS,0))),(INDEX(ALLCLASSDATA,MATCH("FortitudeSaveLegendary",CLASSFEATUREHEADERS,0),MATCH(($A140 &amp; "Points"),CLASSNAMEHEADERS,0))),(IF("03"=(INDEX(ALLCLASSDATA,MATCH("FortitudeSaveMaster",CLASSFEATUREHEADERS,0),MATCH($A140,CLASSNAMEHEADERS,0))),(INDEX(ALLCLASSDATA,MATCH("FortitudeSaveMaster",CLASSFEATUREHEADERS,0),MATCH(($A140 &amp; "Points"),CLASSNAMEHEADERS,0))),(IF("03"=(INDEX(ALLCLASSDATA,MATCH("FortitudeSaveExpert",CLASSFEATUREHEADERS,0),MATCH($A140,CLASSNAMEHEADERS,0))),(INDEX(ALLCLASSDATA,MATCH("FortitudeSaveExpert",CLASSFEATUREHEADERS,0),MATCH(($A140 &amp; "Points"),CLASSNAMEHEADERS,0))),(IF("03"=(INDEX(ALLCLASSDATA,MATCH("FortitudeSaveTrained",CLASSFEATUREHEADERS,0),MATCH($A140,CLASSNAMEHEADERS,0))),(INDEX(ALLCLASSDATA,MATCH("FortitudeSaveTrained",CLASSFEATUREHEADERS,0),MATCH(($A140 &amp; "Points"),CLASSNAMEHEADERS,0))),"")))))))))}</f>
        <v>FORTITUDEL03</v>
      </c>
      <c r="J139" s="230"/>
      <c r="K139" s="230" t="str">
        <f t="array" ref="K139:K140">{"FORTITUDEL05";((IF("05"=(INDEX(ALLCLASSDATA,MATCH("FortitudeSaveLegendary",CLASSFEATUREHEADERS,0),MATCH($A140,CLASSNAMEHEADERS,0))),(INDEX(ALLCLASSDATA,MATCH("FortitudeSaveLegendary",CLASSFEATUREHEADERS,0),MATCH(($A140 &amp; "Points"),CLASSNAMEHEADERS,0))),(IF("05"=(INDEX(ALLCLASSDATA,MATCH("FortitudeSaveMaster",CLASSFEATUREHEADERS,0),MATCH($A140,CLASSNAMEHEADERS,0))),(INDEX(ALLCLASSDATA,MATCH("FortitudeSaveMaster",CLASSFEATUREHEADERS,0),MATCH(($A140 &amp; "Points"),CLASSNAMEHEADERS,0))),(IF("05"=(INDEX(ALLCLASSDATA,MATCH("FortitudeSaveExpert",CLASSFEATUREHEADERS,0),MATCH($A140,CLASSNAMEHEADERS,0))),(INDEX(ALLCLASSDATA,MATCH("FortitudeSaveExpert",CLASSFEATUREHEADERS,0),MATCH(($A140 &amp; "Points"),CLASSNAMEHEADERS,0))),(IF("05"=(INDEX(ALLCLASSDATA,MATCH("FortitudeSaveTrained",CLASSFEATUREHEADERS,0),MATCH($A140,CLASSNAMEHEADERS,0))),(INDEX(ALLCLASSDATA,MATCH("FortitudeSaveTrained",CLASSFEATUREHEADERS,0),MATCH(($A140 &amp; "Points"),CLASSNAMEHEADERS,0))),"")))))))))}</f>
        <v>FORTITUDEL05</v>
      </c>
      <c r="L139" s="230"/>
      <c r="M139" s="230" t="str">
        <f t="array" ref="M139:M140">{"FORTITUDEL07";((IF("07"=(INDEX(ALLCLASSDATA,MATCH("FortitudeSaveLegendary",CLASSFEATUREHEADERS,0),MATCH($A140,CLASSNAMEHEADERS,0))),(INDEX(ALLCLASSDATA,MATCH("FortitudeSaveLegendary",CLASSFEATUREHEADERS,0),MATCH(($A140 &amp; "Points"),CLASSNAMEHEADERS,0))),(IF("07"=(INDEX(ALLCLASSDATA,MATCH("FortitudeSaveMaster",CLASSFEATUREHEADERS,0),MATCH($A140,CLASSNAMEHEADERS,0))),(INDEX(ALLCLASSDATA,MATCH("FortitudeSaveMaster",CLASSFEATUREHEADERS,0),MATCH(($A140 &amp; "Points"),CLASSNAMEHEADERS,0))),(IF("07"=(INDEX(ALLCLASSDATA,MATCH("FortitudeSaveExpert",CLASSFEATUREHEADERS,0),MATCH($A140,CLASSNAMEHEADERS,0))),(INDEX(ALLCLASSDATA,MATCH("FortitudeSaveExpert",CLASSFEATUREHEADERS,0),MATCH(($A140 &amp; "Points"),CLASSNAMEHEADERS,0))),(IF("07"=(INDEX(ALLCLASSDATA,MATCH("FortitudeSaveTrained",CLASSFEATUREHEADERS,0),MATCH($A140,CLASSNAMEHEADERS,0))),(INDEX(ALLCLASSDATA,MATCH("FortitudeSaveTrained",CLASSFEATUREHEADERS,0),MATCH(($A140 &amp; "Points"),CLASSNAMEHEADERS,0))),"")))))))))}</f>
        <v>FORTITUDEL07</v>
      </c>
      <c r="N139" s="230"/>
      <c r="O139" s="230" t="str">
        <f t="array" ref="O139:O140">{"FORTITUDEL09";((IF("09"=(INDEX(ALLCLASSDATA,MATCH("FortitudeSaveLegendary",CLASSFEATUREHEADERS,0),MATCH($A140,CLASSNAMEHEADERS,0))),(INDEX(ALLCLASSDATA,MATCH("FortitudeSaveLegendary",CLASSFEATUREHEADERS,0),MATCH(($A140 &amp; "Points"),CLASSNAMEHEADERS,0))),(IF("09"=(INDEX(ALLCLASSDATA,MATCH("FortitudeSaveMaster",CLASSFEATUREHEADERS,0),MATCH($A140,CLASSNAMEHEADERS,0))),(INDEX(ALLCLASSDATA,MATCH("FortitudeSaveMaster",CLASSFEATUREHEADERS,0),MATCH(($A140 &amp; "Points"),CLASSNAMEHEADERS,0))),(IF("09"=(INDEX(ALLCLASSDATA,MATCH("FortitudeSaveExpert",CLASSFEATUREHEADERS,0),MATCH($A140,CLASSNAMEHEADERS,0))),(INDEX(ALLCLASSDATA,MATCH("FortitudeSaveExpert",CLASSFEATUREHEADERS,0),MATCH(($A140 &amp; "Points"),CLASSNAMEHEADERS,0))),(IF("09"=(INDEX(ALLCLASSDATA,MATCH("FortitudeSaveTrained",CLASSFEATUREHEADERS,0),MATCH($A140,CLASSNAMEHEADERS,0))),(INDEX(ALLCLASSDATA,MATCH("FortitudeSaveTrained",CLASSFEATUREHEADERS,0),MATCH(($A140 &amp; "Points"),CLASSNAMEHEADERS,0))),"")))))))))}</f>
        <v>FORTITUDEL09</v>
      </c>
      <c r="P139" s="230"/>
      <c r="Q139" s="230" t="str">
        <f t="array" ref="Q139:Q140">{"FORTITUDEL11";((IF("11"=(INDEX(ALLCLASSDATA,MATCH("FortitudeSaveLegendary",CLASSFEATUREHEADERS,0),MATCH($A140,CLASSNAMEHEADERS,0))),(INDEX(ALLCLASSDATA,MATCH("FortitudeSaveLegendary",CLASSFEATUREHEADERS,0),MATCH(($A140 &amp; "Points"),CLASSNAMEHEADERS,0))),(IF("11"=(INDEX(ALLCLASSDATA,MATCH("FortitudeSaveMaster",CLASSFEATUREHEADERS,0),MATCH($A140,CLASSNAMEHEADERS,0))),(INDEX(ALLCLASSDATA,MATCH("FortitudeSaveMaster",CLASSFEATUREHEADERS,0),MATCH(($A140 &amp; "Points"),CLASSNAMEHEADERS,0))),(IF("11"=(INDEX(ALLCLASSDATA,MATCH("FortitudeSaveExpert",CLASSFEATUREHEADERS,0),MATCH($A140,CLASSNAMEHEADERS,0))),(INDEX(ALLCLASSDATA,MATCH("FortitudeSaveExpert",CLASSFEATUREHEADERS,0),MATCH(($A140 &amp; "Points"),CLASSNAMEHEADERS,0))),(IF("11"=(INDEX(ALLCLASSDATA,MATCH("FortitudeSaveTrained",CLASSFEATUREHEADERS,0),MATCH($A140,CLASSNAMEHEADERS,0))),(INDEX(ALLCLASSDATA,MATCH("FortitudeSaveTrained",CLASSFEATUREHEADERS,0),MATCH(($A140 &amp; "Points"),CLASSNAMEHEADERS,0))),"")))))))))}</f>
        <v>FORTITUDEL11</v>
      </c>
      <c r="R139" s="230"/>
      <c r="S139" s="230" t="str">
        <f t="array" ref="S139:S140">{"FORTITUDEL13";((IF("13"=(INDEX(ALLCLASSDATA,MATCH("FortitudeSaveLegendary",CLASSFEATUREHEADERS,0),MATCH($A140,CLASSNAMEHEADERS,0))),(INDEX(ALLCLASSDATA,MATCH("FortitudeSaveLegendary",CLASSFEATUREHEADERS,0),MATCH(($A140 &amp; "Points"),CLASSNAMEHEADERS,0))),(IF("13"=(INDEX(ALLCLASSDATA,MATCH("FortitudeSaveMaster",CLASSFEATUREHEADERS,0),MATCH($A140,CLASSNAMEHEADERS,0))),(INDEX(ALLCLASSDATA,MATCH("FortitudeSaveMaster",CLASSFEATUREHEADERS,0),MATCH(($A140 &amp; "Points"),CLASSNAMEHEADERS,0))),(IF("13"=(INDEX(ALLCLASSDATA,MATCH("FortitudeSaveExpert",CLASSFEATUREHEADERS,0),MATCH($A140,CLASSNAMEHEADERS,0))),(INDEX(ALLCLASSDATA,MATCH("FortitudeSaveExpert",CLASSFEATUREHEADERS,0),MATCH(($A140 &amp; "Points"),CLASSNAMEHEADERS,0))),(IF("13"=(INDEX(ALLCLASSDATA,MATCH("FortitudeSaveTrained",CLASSFEATUREHEADERS,0),MATCH($A140,CLASSNAMEHEADERS,0))),(INDEX(ALLCLASSDATA,MATCH("FortitudeSaveTrained",CLASSFEATUREHEADERS,0),MATCH(($A140 &amp; "Points"),CLASSNAMEHEADERS,0))),"")))))))))}</f>
        <v>FORTITUDEL13</v>
      </c>
      <c r="T139" s="230"/>
      <c r="U139" s="230" t="str">
        <f t="array" ref="U139:U140">{"FORTITUDEL15";((IF("15"=(INDEX(ALLCLASSDATA,MATCH("FortitudeSaveLegendary",CLASSFEATUREHEADERS,0),MATCH($A140,CLASSNAMEHEADERS,0))),(INDEX(ALLCLASSDATA,MATCH("FortitudeSaveLegendary",CLASSFEATUREHEADERS,0),MATCH(($A140 &amp; "Points"),CLASSNAMEHEADERS,0))),(IF("15"=(INDEX(ALLCLASSDATA,MATCH("FortitudeSaveMaster",CLASSFEATUREHEADERS,0),MATCH($A140,CLASSNAMEHEADERS,0))),(INDEX(ALLCLASSDATA,MATCH("FortitudeSaveMaster",CLASSFEATUREHEADERS,0),MATCH(($A140 &amp; "Points"),CLASSNAMEHEADERS,0))),(IF("15"=(INDEX(ALLCLASSDATA,MATCH("FortitudeSaveExpert",CLASSFEATUREHEADERS,0),MATCH($A140,CLASSNAMEHEADERS,0))),(INDEX(ALLCLASSDATA,MATCH("FortitudeSaveExpert",CLASSFEATUREHEADERS,0),MATCH(($A140 &amp; "Points"),CLASSNAMEHEADERS,0))),(IF("15"=(INDEX(ALLCLASSDATA,MATCH("FortitudeSaveTrained",CLASSFEATUREHEADERS,0),MATCH($A140,CLASSNAMEHEADERS,0))),(INDEX(ALLCLASSDATA,MATCH("FortitudeSaveTrained",CLASSFEATUREHEADERS,0),MATCH(($A140 &amp; "Points"),CLASSNAMEHEADERS,0))),"")))))))))}</f>
        <v>FORTITUDEL15</v>
      </c>
      <c r="V139" s="230"/>
      <c r="W139" s="230" t="str">
        <f t="array" ref="W139:W140">{"FORTITUDEL17";((IF("17"=(INDEX(ALLCLASSDATA,MATCH("FortitudeSaveLegendary",CLASSFEATUREHEADERS,0),MATCH($A140,CLASSNAMEHEADERS,0))),(INDEX(ALLCLASSDATA,MATCH("FortitudeSaveLegendary",CLASSFEATUREHEADERS,0),MATCH(($A140 &amp; "Points"),CLASSNAMEHEADERS,0))),(IF("17"=(INDEX(ALLCLASSDATA,MATCH("FortitudeSaveMaster",CLASSFEATUREHEADERS,0),MATCH($A140,CLASSNAMEHEADERS,0))),(INDEX(ALLCLASSDATA,MATCH("FortitudeSaveMaster",CLASSFEATUREHEADERS,0),MATCH(($A140 &amp; "Points"),CLASSNAMEHEADERS,0))),(IF("17"=(INDEX(ALLCLASSDATA,MATCH("FortitudeSaveExpert",CLASSFEATUREHEADERS,0),MATCH($A140,CLASSNAMEHEADERS,0))),(INDEX(ALLCLASSDATA,MATCH("FortitudeSaveExpert",CLASSFEATUREHEADERS,0),MATCH(($A140 &amp; "Points"),CLASSNAMEHEADERS,0))),(IF("17"=(INDEX(ALLCLASSDATA,MATCH("FortitudeSaveTrained",CLASSFEATUREHEADERS,0),MATCH($A140,CLASSNAMEHEADERS,0))),(INDEX(ALLCLASSDATA,MATCH("FortitudeSaveTrained",CLASSFEATUREHEADERS,0),MATCH(($A140 &amp; "Points"),CLASSNAMEHEADERS,0))),"")))))))))}</f>
        <v>FORTITUDEL17</v>
      </c>
      <c r="X139" s="230"/>
      <c r="Y139" s="230" t="str">
        <f t="array" ref="Y139:Y140">{"FORTITUDEL19";((IF("19"=(INDEX(ALLCLASSDATA,MATCH("FortitudeSaveLegendary",CLASSFEATUREHEADERS,0),MATCH($A140,CLASSNAMEHEADERS,0))),(INDEX(ALLCLASSDATA,MATCH("FortitudeSaveLegendary",CLASSFEATUREHEADERS,0),MATCH(($A140 &amp; "Points"),CLASSNAMEHEADERS,0))),(IF("19"=(INDEX(ALLCLASSDATA,MATCH("FortitudeSaveMaster",CLASSFEATUREHEADERS,0),MATCH($A140,CLASSNAMEHEADERS,0))),(INDEX(ALLCLASSDATA,MATCH("FortitudeSaveMaster",CLASSFEATUREHEADERS,0),MATCH(($A140 &amp; "Points"),CLASSNAMEHEADERS,0))),(IF("19"=(INDEX(ALLCLASSDATA,MATCH("FortitudeSaveExpert",CLASSFEATUREHEADERS,0),MATCH($A140,CLASSNAMEHEADERS,0))),(INDEX(ALLCLASSDATA,MATCH("FortitudeSaveExpert",CLASSFEATUREHEADERS,0),MATCH(($A140 &amp; "Points"),CLASSNAMEHEADERS,0))),(IF("19"=(INDEX(ALLCLASSDATA,MATCH("FortitudeSaveTrained",CLASSFEATUREHEADERS,0),MATCH($A140,CLASSNAMEHEADERS,0))),(INDEX(ALLCLASSDATA,MATCH("FortitudeSaveTrained",CLASSFEATUREHEADERS,0),MATCH(($A140 &amp; "Points"),CLASSNAMEHEADERS,0))),"")))))))))}</f>
        <v>FORTITUDEL19</v>
      </c>
      <c r="Z139" s="230"/>
      <c r="AA139" s="76" t="str">
        <f t="array" ref="AA139:AA140">{"FORTITUDE TOTAL";(IF(COUNTBLANK(F140:Z140)=17,"L",(IF(COUNTBLANK(F140:Z140)=18,"M",(IF(COUNTBLANK(F140:Z140)=19,"E",(IF(COUNTBLANK(F140:Z140)=20,"T",""))))))))}</f>
        <v>FORTITUDE TOTAL</v>
      </c>
      <c r="AB139" s="76" t="str">
        <f t="array" ref="AB139:AB140">{"FORTITUDE TOTAL";(sum(F140:Z140))}</f>
        <v>FORTITUDE TOTAL</v>
      </c>
    </row>
    <row r="140">
      <c r="A140" s="48" t="s">
        <v>219</v>
      </c>
      <c r="B140" s="48" t="s">
        <v>418</v>
      </c>
      <c r="C140" s="48" t="s">
        <v>1549</v>
      </c>
      <c r="D140" s="48" t="s">
        <v>1550</v>
      </c>
      <c r="E140" s="5" t="s">
        <v>435</v>
      </c>
      <c r="F140" s="47" t="s">
        <v>603</v>
      </c>
      <c r="G140" s="5">
        <v>10.0</v>
      </c>
      <c r="H140" s="5"/>
      <c r="I140" s="5">
        <v>50.0</v>
      </c>
      <c r="J140" s="5"/>
      <c r="K140" s="5" t="s">
        <v>603</v>
      </c>
      <c r="L140" s="5"/>
      <c r="M140" s="5" t="s">
        <v>603</v>
      </c>
      <c r="N140" s="5"/>
      <c r="O140" s="5" t="s">
        <v>603</v>
      </c>
      <c r="P140" s="5"/>
      <c r="Q140" s="5" t="s">
        <v>603</v>
      </c>
      <c r="R140" s="5"/>
      <c r="S140" s="5" t="s">
        <v>603</v>
      </c>
      <c r="T140" s="5"/>
      <c r="U140" s="5" t="s">
        <v>603</v>
      </c>
      <c r="V140" s="5"/>
      <c r="W140" s="5" t="s">
        <v>603</v>
      </c>
      <c r="X140" s="5"/>
      <c r="Y140" s="5" t="s">
        <v>603</v>
      </c>
      <c r="Z140" s="5"/>
      <c r="AA140" s="5" t="s">
        <v>436</v>
      </c>
      <c r="AB140" s="47">
        <v>60.0</v>
      </c>
    </row>
    <row r="141" hidden="1">
      <c r="A141" s="222" t="str">
        <f t="array" ref="A141:A142">{"FormulaRow24";(INDEX(CLASSLIST,A94,1))}</f>
        <v>FormulaRow24</v>
      </c>
      <c r="B141" s="222" t="str">
        <f t="array" ref="B141:B142">{"CLASSTYPE";((INDEX(ALLCLASSDATA,MATCH("ClassType",CLASSFEATUREHEADERS,0),MATCH($A142,CLASSNAMEHEADERS,0))))}</f>
        <v>CLASSTYPE</v>
      </c>
      <c r="C141" s="222" t="str">
        <f t="array" ref="C141:C142">{"SAVES";"Saves"}</f>
        <v>SAVES</v>
      </c>
      <c r="D141" s="222" t="str">
        <f t="array" ref="D141:D142">{"REFLEXSAVE";"ReflexSave"}</f>
        <v>REFLEXSAVE</v>
      </c>
      <c r="E141" s="223" t="str">
        <f t="array" ref="E141:E142">{"REFLEXINITIAL";((IF(G142=10,"T",(IF(G142=50,"E","")))))}</f>
        <v>REFLEXINITIAL</v>
      </c>
      <c r="F141" s="223" t="str">
        <f t="array" ref="F141:F142">{"REFLEXINITIALPTS";((IF("00"=(INDEX(ALLCLASSDATA,MATCH("ReflexSaveLegendary",CLASSFEATUREHEADERS,0),MATCH($A142,CLASSNAMEHEADERS,0))),(INDEX(ALLCLASSDATA,MATCH("ReflexSaveLegendary",CLASSFEATUREHEADERS,0),MATCH(($A142 &amp; "Points"),CLASSNAMEHEADERS,0))),(IF("00"=(INDEX(ALLCLASSDATA,MATCH("ReflexSaveMaster",CLASSFEATUREHEADERS,0),MATCH($A142,CLASSNAMEHEADERS,0))),(INDEX(ALLCLASSDATA,MATCH("ReflexSaveMaster",CLASSFEATUREHEADERS,0),MATCH(($A142 &amp; "Points"),CLASSNAMEHEADERS,0))),(IF("00"=(INDEX(ALLCLASSDATA,MATCH("ReflexSaveExpert",CLASSFEATUREHEADERS,0),MATCH($A142,CLASSNAMEHEADERS,0))),(INDEX(ALLCLASSDATA,MATCH("ReflexSaveExpert",CLASSFEATUREHEADERS,0),MATCH(($A142 &amp; "Points"),CLASSNAMEHEADERS,0))),(IF("00"=(INDEX(ALLCLASSDATA,MATCH("ReflexSaveTrained",CLASSFEATUREHEADERS,0),MATCH($A142,CLASSNAMEHEADERS,0))),(INDEX(ALLCLASSDATA,MATCH("ReflexSaveTrained",CLASSFEATUREHEADERS,0),MATCH(($A142 &amp; "Points"),CLASSNAMEHEADERS,0))),"")))))))))}</f>
        <v>REFLEXINITIALPTS</v>
      </c>
      <c r="G141" s="223" t="str">
        <f t="array" ref="G141:G142">{"REFLEXL01";((IF("01"=(INDEX(ALLCLASSDATA,MATCH("ReflexSaveLegendary",CLASSFEATUREHEADERS,0),MATCH($A142,CLASSNAMEHEADERS,0))),(INDEX(ALLCLASSDATA,MATCH("ReflexSaveLegendary",CLASSFEATUREHEADERS,0),MATCH(($A142 &amp; "Points"),CLASSNAMEHEADERS,0))),(IF("01"=(INDEX(ALLCLASSDATA,MATCH("ReflexSaveMaster",CLASSFEATUREHEADERS,0),MATCH($A142,CLASSNAMEHEADERS,0))),(INDEX(ALLCLASSDATA,MATCH("ReflexSaveMaster",CLASSFEATUREHEADERS,0),MATCH(($A142 &amp; "Points"),CLASSNAMEHEADERS,0))),(IF("01"=(INDEX(ALLCLASSDATA,MATCH("ReflexSaveExpert",CLASSFEATUREHEADERS,0),MATCH($A142,CLASSNAMEHEADERS,0))),(INDEX(ALLCLASSDATA,MATCH("ReflexSaveExpert",CLASSFEATUREHEADERS,0),MATCH(($A142 &amp; "Points"),CLASSNAMEHEADERS,0))),(IF("01"=(INDEX(ALLCLASSDATA,MATCH("ReflexSaveTrained",CLASSFEATUREHEADERS,0),MATCH($A142,CLASSNAMEHEADERS,0))),(INDEX(ALLCLASSDATA,MATCH("ReflexSaveTrained",CLASSFEATUREHEADERS,0),MATCH(($A142 &amp; "Points"),CLASSNAMEHEADERS,0))),"")))))))))}</f>
        <v>REFLEXL01</v>
      </c>
      <c r="H141" s="223"/>
      <c r="I141" s="223" t="str">
        <f t="array" ref="I141:I142">{"REFLEXL03";((IF("03"=(INDEX(ALLCLASSDATA,MATCH("ReflexSaveLegendary",CLASSFEATUREHEADERS,0),MATCH($A142,CLASSNAMEHEADERS,0))),(INDEX(ALLCLASSDATA,MATCH("ReflexSaveLegendary",CLASSFEATUREHEADERS,0),MATCH(($A142 &amp; "Points"),CLASSNAMEHEADERS,0))),(IF("03"=(INDEX(ALLCLASSDATA,MATCH("ReflexSaveMaster",CLASSFEATUREHEADERS,0),MATCH($A142,CLASSNAMEHEADERS,0))),(INDEX(ALLCLASSDATA,MATCH("ReflexSaveMaster",CLASSFEATUREHEADERS,0),MATCH(($A142 &amp; "Points"),CLASSNAMEHEADERS,0))),(IF("03"=(INDEX(ALLCLASSDATA,MATCH("ReflexSaveExpert",CLASSFEATUREHEADERS,0),MATCH($A142,CLASSNAMEHEADERS,0))),(INDEX(ALLCLASSDATA,MATCH("ReflexSaveExpert",CLASSFEATUREHEADERS,0),MATCH(($A142 &amp; "Points"),CLASSNAMEHEADERS,0))),(IF("03"=(INDEX(ALLCLASSDATA,MATCH("ReflexSaveTrained",CLASSFEATUREHEADERS,0),MATCH($A142,CLASSNAMEHEADERS,0))),(INDEX(ALLCLASSDATA,MATCH("ReflexSaveTrained",CLASSFEATUREHEADERS,0),MATCH(($A142 &amp; "Points"),CLASSNAMEHEADERS,0))),"")))))))))}</f>
        <v>REFLEXL03</v>
      </c>
      <c r="J141" s="223"/>
      <c r="K141" s="223" t="str">
        <f t="array" ref="K141:K142">{"REFLEXL05";((IF("05"=(INDEX(ALLCLASSDATA,MATCH("ReflexSaveLegendary",CLASSFEATUREHEADERS,0),MATCH($A142,CLASSNAMEHEADERS,0))),(INDEX(ALLCLASSDATA,MATCH("ReflexSaveLegendary",CLASSFEATUREHEADERS,0),MATCH(($A142 &amp; "Points"),CLASSNAMEHEADERS,0))),(IF("05"=(INDEX(ALLCLASSDATA,MATCH("ReflexSaveMaster",CLASSFEATUREHEADERS,0),MATCH($A142,CLASSNAMEHEADERS,0))),(INDEX(ALLCLASSDATA,MATCH("ReflexSaveMaster",CLASSFEATUREHEADERS,0),MATCH(($A142 &amp; "Points"),CLASSNAMEHEADERS,0))),(IF("05"=(INDEX(ALLCLASSDATA,MATCH("ReflexSaveExpert",CLASSFEATUREHEADERS,0),MATCH($A142,CLASSNAMEHEADERS,0))),(INDEX(ALLCLASSDATA,MATCH("ReflexSaveExpert",CLASSFEATUREHEADERS,0),MATCH(($A142 &amp; "Points"),CLASSNAMEHEADERS,0))),(IF("05"=(INDEX(ALLCLASSDATA,MATCH("ReflexSaveTrained",CLASSFEATUREHEADERS,0),MATCH($A142,CLASSNAMEHEADERS,0))),(INDEX(ALLCLASSDATA,MATCH("ReflexSaveTrained",CLASSFEATUREHEADERS,0),MATCH(($A142 &amp; "Points"),CLASSNAMEHEADERS,0))),"")))))))))}</f>
        <v>REFLEXL05</v>
      </c>
      <c r="L141" s="223"/>
      <c r="M141" s="223" t="str">
        <f t="array" ref="M141:M142">{"REFLEXL07";((IF("07"=(INDEX(ALLCLASSDATA,MATCH("ReflexSaveLegendary",CLASSFEATUREHEADERS,0),MATCH($A142,CLASSNAMEHEADERS,0))),(INDEX(ALLCLASSDATA,MATCH("ReflexSaveLegendary",CLASSFEATUREHEADERS,0),MATCH(($A142 &amp; "Points"),CLASSNAMEHEADERS,0))),(IF("07"=(INDEX(ALLCLASSDATA,MATCH("ReflexSaveMaster",CLASSFEATUREHEADERS,0),MATCH($A142,CLASSNAMEHEADERS,0))),(INDEX(ALLCLASSDATA,MATCH("ReflexSaveMaster",CLASSFEATUREHEADERS,0),MATCH(($A142 &amp; "Points"),CLASSNAMEHEADERS,0))),(IF("07"=(INDEX(ALLCLASSDATA,MATCH("ReflexSaveExpert",CLASSFEATUREHEADERS,0),MATCH($A142,CLASSNAMEHEADERS,0))),(INDEX(ALLCLASSDATA,MATCH("ReflexSaveExpert",CLASSFEATUREHEADERS,0),MATCH(($A142 &amp; "Points"),CLASSNAMEHEADERS,0))),(IF("07"=(INDEX(ALLCLASSDATA,MATCH("ReflexSaveTrained",CLASSFEATUREHEADERS,0),MATCH($A142,CLASSNAMEHEADERS,0))),(INDEX(ALLCLASSDATA,MATCH("ReflexSaveTrained",CLASSFEATUREHEADERS,0),MATCH(($A142 &amp; "Points"),CLASSNAMEHEADERS,0))),"")))))))))}</f>
        <v>REFLEXL07</v>
      </c>
      <c r="N141" s="223"/>
      <c r="O141" s="223" t="str">
        <f t="array" ref="O141:O142">{"REFLEXL09";((IF("09"=(INDEX(ALLCLASSDATA,MATCH("ReflexSaveLegendary",CLASSFEATUREHEADERS,0),MATCH($A142,CLASSNAMEHEADERS,0))),(INDEX(ALLCLASSDATA,MATCH("ReflexSaveLegendary",CLASSFEATUREHEADERS,0),MATCH(($A142 &amp; "Points"),CLASSNAMEHEADERS,0))),(IF("09"=(INDEX(ALLCLASSDATA,MATCH("ReflexSaveMaster",CLASSFEATUREHEADERS,0),MATCH($A142,CLASSNAMEHEADERS,0))),(INDEX(ALLCLASSDATA,MATCH("ReflexSaveMaster",CLASSFEATUREHEADERS,0),MATCH(($A142 &amp; "Points"),CLASSNAMEHEADERS,0))),(IF("09"=(INDEX(ALLCLASSDATA,MATCH("ReflexSaveExpert",CLASSFEATUREHEADERS,0),MATCH($A142,CLASSNAMEHEADERS,0))),(INDEX(ALLCLASSDATA,MATCH("ReflexSaveExpert",CLASSFEATUREHEADERS,0),MATCH(($A142 &amp; "Points"),CLASSNAMEHEADERS,0))),(IF("09"=(INDEX(ALLCLASSDATA,MATCH("ReflexSaveTrained",CLASSFEATUREHEADERS,0),MATCH($A142,CLASSNAMEHEADERS,0))),(INDEX(ALLCLASSDATA,MATCH("ReflexSaveTrained",CLASSFEATUREHEADERS,0),MATCH(($A142 &amp; "Points"),CLASSNAMEHEADERS,0))),"")))))))))}</f>
        <v>REFLEXL09</v>
      </c>
      <c r="P141" s="223"/>
      <c r="Q141" s="223" t="str">
        <f t="array" ref="Q141:Q142">{"REFLEXL11";((IF("11"=(INDEX(ALLCLASSDATA,MATCH("ReflexSaveLegendary",CLASSFEATUREHEADERS,0),MATCH($A142,CLASSNAMEHEADERS,0))),(INDEX(ALLCLASSDATA,MATCH("ReflexSaveLegendary",CLASSFEATUREHEADERS,0),MATCH(($A142 &amp; "Points"),CLASSNAMEHEADERS,0))),(IF("11"=(INDEX(ALLCLASSDATA,MATCH("ReflexSaveMaster",CLASSFEATUREHEADERS,0),MATCH($A142,CLASSNAMEHEADERS,0))),(INDEX(ALLCLASSDATA,MATCH("ReflexSaveMaster",CLASSFEATUREHEADERS,0),MATCH(($A142 &amp; "Points"),CLASSNAMEHEADERS,0))),(IF("11"=(INDEX(ALLCLASSDATA,MATCH("ReflexSaveExpert",CLASSFEATUREHEADERS,0),MATCH($A142,CLASSNAMEHEADERS,0))),(INDEX(ALLCLASSDATA,MATCH("ReflexSaveExpert",CLASSFEATUREHEADERS,0),MATCH(($A142 &amp; "Points"),CLASSNAMEHEADERS,0))),(IF("11"=(INDEX(ALLCLASSDATA,MATCH("ReflexSaveTrained",CLASSFEATUREHEADERS,0),MATCH($A142,CLASSNAMEHEADERS,0))),(INDEX(ALLCLASSDATA,MATCH("ReflexSaveTrained",CLASSFEATUREHEADERS,0),MATCH(($A142 &amp; "Points"),CLASSNAMEHEADERS,0))),"")))))))))}</f>
        <v>REFLEXL11</v>
      </c>
      <c r="R141" s="223"/>
      <c r="S141" s="223" t="str">
        <f t="array" ref="S141:S142">{"REFLEXL13";((IF("13"=(INDEX(ALLCLASSDATA,MATCH("ReflexSaveLegendary",CLASSFEATUREHEADERS,0),MATCH($A142,CLASSNAMEHEADERS,0))),(INDEX(ALLCLASSDATA,MATCH("ReflexSaveLegendary",CLASSFEATUREHEADERS,0),MATCH(($A142 &amp; "Points"),CLASSNAMEHEADERS,0))),(IF("13"=(INDEX(ALLCLASSDATA,MATCH("ReflexSaveMaster",CLASSFEATUREHEADERS,0),MATCH($A142,CLASSNAMEHEADERS,0))),(INDEX(ALLCLASSDATA,MATCH("ReflexSaveMaster",CLASSFEATUREHEADERS,0),MATCH(($A142 &amp; "Points"),CLASSNAMEHEADERS,0))),(IF("13"=(INDEX(ALLCLASSDATA,MATCH("ReflexSaveExpert",CLASSFEATUREHEADERS,0),MATCH($A142,CLASSNAMEHEADERS,0))),(INDEX(ALLCLASSDATA,MATCH("ReflexSaveExpert",CLASSFEATUREHEADERS,0),MATCH(($A142 &amp; "Points"),CLASSNAMEHEADERS,0))),(IF("13"=(INDEX(ALLCLASSDATA,MATCH("ReflexSaveTrained",CLASSFEATUREHEADERS,0),MATCH($A142,CLASSNAMEHEADERS,0))),(INDEX(ALLCLASSDATA,MATCH("ReflexSaveTrained",CLASSFEATUREHEADERS,0),MATCH(($A142 &amp; "Points"),CLASSNAMEHEADERS,0))),"")))))))))}</f>
        <v>REFLEXL13</v>
      </c>
      <c r="T141" s="223"/>
      <c r="U141" s="223" t="str">
        <f t="array" ref="U141:U142">{"REFLEXL15";((IF("15"=(INDEX(ALLCLASSDATA,MATCH("ReflexSaveLegendary",CLASSFEATUREHEADERS,0),MATCH($A142,CLASSNAMEHEADERS,0))),(INDEX(ALLCLASSDATA,MATCH("ReflexSaveLegendary",CLASSFEATUREHEADERS,0),MATCH(($A142 &amp; "Points"),CLASSNAMEHEADERS,0))),(IF("15"=(INDEX(ALLCLASSDATA,MATCH("ReflexSaveMaster",CLASSFEATUREHEADERS,0),MATCH($A142,CLASSNAMEHEADERS,0))),(INDEX(ALLCLASSDATA,MATCH("ReflexSaveMaster",CLASSFEATUREHEADERS,0),MATCH(($A142 &amp; "Points"),CLASSNAMEHEADERS,0))),(IF("15"=(INDEX(ALLCLASSDATA,MATCH("ReflexSaveExpert",CLASSFEATUREHEADERS,0),MATCH($A142,CLASSNAMEHEADERS,0))),(INDEX(ALLCLASSDATA,MATCH("ReflexSaveExpert",CLASSFEATUREHEADERS,0),MATCH(($A142 &amp; "Points"),CLASSNAMEHEADERS,0))),(IF("15"=(INDEX(ALLCLASSDATA,MATCH("ReflexSaveTrained",CLASSFEATUREHEADERS,0),MATCH($A142,CLASSNAMEHEADERS,0))),(INDEX(ALLCLASSDATA,MATCH("ReflexSaveTrained",CLASSFEATUREHEADERS,0),MATCH(($A142 &amp; "Points"),CLASSNAMEHEADERS,0))),"")))))))))}</f>
        <v>REFLEXL15</v>
      </c>
      <c r="V141" s="223"/>
      <c r="W141" s="223" t="str">
        <f t="array" ref="W141:W142">{"REFLEXL17";((IF("17"=(INDEX(ALLCLASSDATA,MATCH("ReflexSaveLegendary",CLASSFEATUREHEADERS,0),MATCH($A142,CLASSNAMEHEADERS,0))),(INDEX(ALLCLASSDATA,MATCH("ReflexSaveLegendary",CLASSFEATUREHEADERS,0),MATCH(($A142 &amp; "Points"),CLASSNAMEHEADERS,0))),(IF("17"=(INDEX(ALLCLASSDATA,MATCH("ReflexSaveMaster",CLASSFEATUREHEADERS,0),MATCH($A142,CLASSNAMEHEADERS,0))),(INDEX(ALLCLASSDATA,MATCH("ReflexSaveMaster",CLASSFEATUREHEADERS,0),MATCH(($A142 &amp; "Points"),CLASSNAMEHEADERS,0))),(IF("17"=(INDEX(ALLCLASSDATA,MATCH("ReflexSaveExpert",CLASSFEATUREHEADERS,0),MATCH($A142,CLASSNAMEHEADERS,0))),(INDEX(ALLCLASSDATA,MATCH("ReflexSaveExpert",CLASSFEATUREHEADERS,0),MATCH(($A142 &amp; "Points"),CLASSNAMEHEADERS,0))),(IF("17"=(INDEX(ALLCLASSDATA,MATCH("ReflexSaveTrained",CLASSFEATUREHEADERS,0),MATCH($A142,CLASSNAMEHEADERS,0))),(INDEX(ALLCLASSDATA,MATCH("ReflexSaveTrained",CLASSFEATUREHEADERS,0),MATCH(($A142 &amp; "Points"),CLASSNAMEHEADERS,0))),"")))))))))}</f>
        <v>REFLEXL17</v>
      </c>
      <c r="X141" s="223"/>
      <c r="Y141" s="223" t="str">
        <f t="array" ref="Y141:Y142">{"REFLEXL19";((IF("19"=(INDEX(ALLCLASSDATA,MATCH("ReflexSaveLegendary",CLASSFEATUREHEADERS,0),MATCH($A142,CLASSNAMEHEADERS,0))),(INDEX(ALLCLASSDATA,MATCH("ReflexSaveLegendary",CLASSFEATUREHEADERS,0),MATCH(($A142 &amp; "Points"),CLASSNAMEHEADERS,0))),(IF("19"=(INDEX(ALLCLASSDATA,MATCH("ReflexSaveMaster",CLASSFEATUREHEADERS,0),MATCH($A142,CLASSNAMEHEADERS,0))),(INDEX(ALLCLASSDATA,MATCH("ReflexSaveMaster",CLASSFEATUREHEADERS,0),MATCH(($A142 &amp; "Points"),CLASSNAMEHEADERS,0))),(IF("19"=(INDEX(ALLCLASSDATA,MATCH("ReflexSaveExpert",CLASSFEATUREHEADERS,0),MATCH($A142,CLASSNAMEHEADERS,0))),(INDEX(ALLCLASSDATA,MATCH("ReflexSaveExpert",CLASSFEATUREHEADERS,0),MATCH(($A142 &amp; "Points"),CLASSNAMEHEADERS,0))),(IF("19"=(INDEX(ALLCLASSDATA,MATCH("ReflexSaveTrained",CLASSFEATUREHEADERS,0),MATCH($A142,CLASSNAMEHEADERS,0))),(INDEX(ALLCLASSDATA,MATCH("ReflexSaveTrained",CLASSFEATUREHEADERS,0),MATCH(($A142 &amp; "Points"),CLASSNAMEHEADERS,0))),"")))))))))}</f>
        <v>REFLEXL19</v>
      </c>
      <c r="Z141" s="223"/>
      <c r="AA141" s="76" t="str">
        <f t="array" ref="AA141:AA142">{"REFLEX TOTAL";(IF(COUNTBLANK(F142:Z142)=17,"L",(IF(COUNTBLANK(F142:Z142)=18,"M",(IF(COUNTBLANK(F142:Z142)=19,"E",(IF(COUNTBLANK(F142:Z142)=20,"T",""))))))))}</f>
        <v>REFLEX TOTAL</v>
      </c>
      <c r="AB141" s="76" t="str">
        <f t="array" ref="AB141:AB142">{"REFLEX TOTAL";(sum(F142:Z142))}</f>
        <v>REFLEX TOTAL</v>
      </c>
    </row>
    <row r="142">
      <c r="A142" s="48" t="s">
        <v>219</v>
      </c>
      <c r="B142" s="48" t="s">
        <v>418</v>
      </c>
      <c r="C142" s="48" t="s">
        <v>1549</v>
      </c>
      <c r="D142" s="48" t="s">
        <v>1572</v>
      </c>
      <c r="E142" s="5" t="s">
        <v>435</v>
      </c>
      <c r="F142" s="47" t="s">
        <v>603</v>
      </c>
      <c r="G142" s="5">
        <v>10.0</v>
      </c>
      <c r="H142" s="5"/>
      <c r="I142" s="5" t="s">
        <v>603</v>
      </c>
      <c r="J142" s="5"/>
      <c r="K142" s="5" t="s">
        <v>603</v>
      </c>
      <c r="L142" s="5"/>
      <c r="M142" s="5" t="s">
        <v>603</v>
      </c>
      <c r="N142" s="5"/>
      <c r="O142" s="5" t="s">
        <v>603</v>
      </c>
      <c r="P142" s="5"/>
      <c r="Q142" s="5">
        <v>50.0</v>
      </c>
      <c r="R142" s="5"/>
      <c r="S142" s="5" t="s">
        <v>603</v>
      </c>
      <c r="T142" s="5"/>
      <c r="U142" s="5" t="s">
        <v>603</v>
      </c>
      <c r="V142" s="5"/>
      <c r="W142" s="5" t="s">
        <v>603</v>
      </c>
      <c r="X142" s="5"/>
      <c r="Y142" s="5" t="s">
        <v>603</v>
      </c>
      <c r="Z142" s="5"/>
      <c r="AA142" s="5" t="s">
        <v>436</v>
      </c>
      <c r="AB142" s="47">
        <v>60.0</v>
      </c>
    </row>
    <row r="143" hidden="1">
      <c r="A143" s="222" t="str">
        <f t="array" ref="A143:A144">{"FormulaRow25";(INDEX(CLASSLIST,A94,1))}</f>
        <v>FormulaRow25</v>
      </c>
      <c r="B143" s="222" t="str">
        <f t="array" ref="B143:B144">{"CLASSTYPE";((INDEX(ALLCLASSDATA,MATCH("ClassType",CLASSFEATUREHEADERS,0),MATCH($A144,CLASSNAMEHEADERS,0))))}</f>
        <v>CLASSTYPE</v>
      </c>
      <c r="C143" s="222" t="str">
        <f t="array" ref="C143:C144">{"SAVES";"Saves"}</f>
        <v>SAVES</v>
      </c>
      <c r="D143" s="222" t="str">
        <f t="array" ref="D143:D144">{"WILLSAVE";"WillSave"}</f>
        <v>WILLSAVE</v>
      </c>
      <c r="E143" s="223" t="str">
        <f t="array" ref="E143:E144">{"WILLINITIAL";((IF(G144=10,"T",(IF(G144=50,"E","")))))}</f>
        <v>WILLINITIAL</v>
      </c>
      <c r="F143" s="223" t="str">
        <f t="array" ref="F143:F144">{"WILLINITIALPTS";((IF("00"=(INDEX(ALLCLASSDATA,MATCH("WillSaveLegendary",CLASSFEATUREHEADERS,0),MATCH($A144,CLASSNAMEHEADERS,0))),(INDEX(ALLCLASSDATA,MATCH("WillSaveLegendary",CLASSFEATUREHEADERS,0),MATCH(($A144 &amp; "Points"),CLASSNAMEHEADERS,0))),(IF("00"=(INDEX(ALLCLASSDATA,MATCH("WillSaveMaster",CLASSFEATUREHEADERS,0),MATCH($A144,CLASSNAMEHEADERS,0))),(INDEX(ALLCLASSDATA,MATCH("WillSaveMaster",CLASSFEATUREHEADERS,0),MATCH(($A144 &amp; "Points"),CLASSNAMEHEADERS,0))),(IF("00"=(INDEX(ALLCLASSDATA,MATCH("WillSaveExpert",CLASSFEATUREHEADERS,0),MATCH($A144,CLASSNAMEHEADERS,0))),(INDEX(ALLCLASSDATA,MATCH("WillSaveExpert",CLASSFEATUREHEADERS,0),MATCH(($A144 &amp; "Points"),CLASSNAMEHEADERS,0))),(IF("00"=(INDEX(ALLCLASSDATA,MATCH("WillSaveTrained",CLASSFEATUREHEADERS,0),MATCH($A144,CLASSNAMEHEADERS,0))),(INDEX(ALLCLASSDATA,MATCH("WillSaveTrained",CLASSFEATUREHEADERS,0),MATCH(($A144 &amp; "Points"),CLASSNAMEHEADERS,0))),"")))))))))}</f>
        <v>WILLINITIALPTS</v>
      </c>
      <c r="G143" s="223" t="str">
        <f t="array" ref="G143:G144">{"WILLL01";((IF("01"=(INDEX(ALLCLASSDATA,MATCH("WillSaveLegendary",CLASSFEATUREHEADERS,0),MATCH($A144,CLASSNAMEHEADERS,0))),(INDEX(ALLCLASSDATA,MATCH("WillSaveLegendary",CLASSFEATUREHEADERS,0),MATCH(($A144 &amp; "Points"),CLASSNAMEHEADERS,0))),(IF("01"=(INDEX(ALLCLASSDATA,MATCH("WillSaveMaster",CLASSFEATUREHEADERS,0),MATCH($A144,CLASSNAMEHEADERS,0))),(INDEX(ALLCLASSDATA,MATCH("WillSaveMaster",CLASSFEATUREHEADERS,0),MATCH(($A144 &amp; "Points"),CLASSNAMEHEADERS,0))),(IF("01"=(INDEX(ALLCLASSDATA,MATCH("WillSaveExpert",CLASSFEATUREHEADERS,0),MATCH($A144,CLASSNAMEHEADERS,0))),(INDEX(ALLCLASSDATA,MATCH("WillSaveExpert",CLASSFEATUREHEADERS,0),MATCH(($A144 &amp; "Points"),CLASSNAMEHEADERS,0))),(IF("01"=(INDEX(ALLCLASSDATA,MATCH("WillSaveTrained",CLASSFEATUREHEADERS,0),MATCH($A144,CLASSNAMEHEADERS,0))),(INDEX(ALLCLASSDATA,MATCH("WillSaveTrained",CLASSFEATUREHEADERS,0),MATCH(($A144 &amp; "Points"),CLASSNAMEHEADERS,0))),"")))))))))}</f>
        <v>WILLL01</v>
      </c>
      <c r="H143" s="223"/>
      <c r="I143" s="223" t="str">
        <f t="array" ref="I143:I144">{"WILLL03";((IF("03"=(INDEX(ALLCLASSDATA,MATCH("WillSaveLegendary",CLASSFEATUREHEADERS,0),MATCH($A144,CLASSNAMEHEADERS,0))),(INDEX(ALLCLASSDATA,MATCH("WillSaveLegendary",CLASSFEATUREHEADERS,0),MATCH(($A144 &amp; "Points"),CLASSNAMEHEADERS,0))),(IF("03"=(INDEX(ALLCLASSDATA,MATCH("WillSaveMaster",CLASSFEATUREHEADERS,0),MATCH($A144,CLASSNAMEHEADERS,0))),(INDEX(ALLCLASSDATA,MATCH("WillSaveMaster",CLASSFEATUREHEADERS,0),MATCH(($A144 &amp; "Points"),CLASSNAMEHEADERS,0))),(IF("03"=(INDEX(ALLCLASSDATA,MATCH("WillSaveExpert",CLASSFEATUREHEADERS,0),MATCH($A144,CLASSNAMEHEADERS,0))),(INDEX(ALLCLASSDATA,MATCH("WillSaveExpert",CLASSFEATUREHEADERS,0),MATCH(($A144 &amp; "Points"),CLASSNAMEHEADERS,0))),(IF("03"=(INDEX(ALLCLASSDATA,MATCH("WillSaveTrained",CLASSFEATUREHEADERS,0),MATCH($A144,CLASSNAMEHEADERS,0))),(INDEX(ALLCLASSDATA,MATCH("WillSaveTrained",CLASSFEATUREHEADERS,0),MATCH(($A144 &amp; "Points"),CLASSNAMEHEADERS,0))),"")))))))))}</f>
        <v>WILLL03</v>
      </c>
      <c r="J143" s="223"/>
      <c r="K143" s="223" t="str">
        <f t="array" ref="K143:K144">{"WILLL05";((IF("05"=(INDEX(ALLCLASSDATA,MATCH("WillSaveLegendary",CLASSFEATUREHEADERS,0),MATCH($A144,CLASSNAMEHEADERS,0))),(INDEX(ALLCLASSDATA,MATCH("WillSaveLegendary",CLASSFEATUREHEADERS,0),MATCH(($A144 &amp; "Points"),CLASSNAMEHEADERS,0))),(IF("05"=(INDEX(ALLCLASSDATA,MATCH("WillSaveMaster",CLASSFEATUREHEADERS,0),MATCH($A144,CLASSNAMEHEADERS,0))),(INDEX(ALLCLASSDATA,MATCH("WillSaveMaster",CLASSFEATUREHEADERS,0),MATCH(($A144 &amp; "Points"),CLASSNAMEHEADERS,0))),(IF("05"=(INDEX(ALLCLASSDATA,MATCH("WillSaveExpert",CLASSFEATUREHEADERS,0),MATCH($A144,CLASSNAMEHEADERS,0))),(INDEX(ALLCLASSDATA,MATCH("WillSaveExpert",CLASSFEATUREHEADERS,0),MATCH(($A144 &amp; "Points"),CLASSNAMEHEADERS,0))),(IF("05"=(INDEX(ALLCLASSDATA,MATCH("WillSaveTrained",CLASSFEATUREHEADERS,0),MATCH($A144,CLASSNAMEHEADERS,0))),(INDEX(ALLCLASSDATA,MATCH("WillSaveTrained",CLASSFEATUREHEADERS,0),MATCH(($A144 &amp; "Points"),CLASSNAMEHEADERS,0))),"")))))))))}</f>
        <v>WILLL05</v>
      </c>
      <c r="L143" s="223"/>
      <c r="M143" s="223" t="str">
        <f t="array" ref="M143:M144">{"WILLL07";((IF("07"=(INDEX(ALLCLASSDATA,MATCH("WillSaveLegendary",CLASSFEATUREHEADERS,0),MATCH($A144,CLASSNAMEHEADERS,0))),(INDEX(ALLCLASSDATA,MATCH("WillSaveLegendary",CLASSFEATUREHEADERS,0),MATCH(($A144 &amp; "Points"),CLASSNAMEHEADERS,0))),(IF("07"=(INDEX(ALLCLASSDATA,MATCH("WillSaveMaster",CLASSFEATUREHEADERS,0),MATCH($A144,CLASSNAMEHEADERS,0))),(INDEX(ALLCLASSDATA,MATCH("WillSaveMaster",CLASSFEATUREHEADERS,0),MATCH(($A144 &amp; "Points"),CLASSNAMEHEADERS,0))),(IF("07"=(INDEX(ALLCLASSDATA,MATCH("WillSaveExpert",CLASSFEATUREHEADERS,0),MATCH($A144,CLASSNAMEHEADERS,0))),(INDEX(ALLCLASSDATA,MATCH("WillSaveExpert",CLASSFEATUREHEADERS,0),MATCH(($A144 &amp; "Points"),CLASSNAMEHEADERS,0))),(IF("07"=(INDEX(ALLCLASSDATA,MATCH("WillSaveTrained",CLASSFEATUREHEADERS,0),MATCH($A144,CLASSNAMEHEADERS,0))),(INDEX(ALLCLASSDATA,MATCH("WillSaveTrained",CLASSFEATUREHEADERS,0),MATCH(($A144 &amp; "Points"),CLASSNAMEHEADERS,0))),"")))))))))}</f>
        <v>WILLL07</v>
      </c>
      <c r="N143" s="223"/>
      <c r="O143" s="223" t="str">
        <f t="array" ref="O143:O144">{"WILLL09";((IF("09"=(INDEX(ALLCLASSDATA,MATCH("WillSaveLegendary",CLASSFEATUREHEADERS,0),MATCH($A144,CLASSNAMEHEADERS,0))),(INDEX(ALLCLASSDATA,MATCH("WillSaveLegendary",CLASSFEATUREHEADERS,0),MATCH(($A144 &amp; "Points"),CLASSNAMEHEADERS,0))),(IF("09"=(INDEX(ALLCLASSDATA,MATCH("WillSaveMaster",CLASSFEATUREHEADERS,0),MATCH($A144,CLASSNAMEHEADERS,0))),(INDEX(ALLCLASSDATA,MATCH("WillSaveMaster",CLASSFEATUREHEADERS,0),MATCH(($A144 &amp; "Points"),CLASSNAMEHEADERS,0))),(IF("09"=(INDEX(ALLCLASSDATA,MATCH("WillSaveExpert",CLASSFEATUREHEADERS,0),MATCH($A144,CLASSNAMEHEADERS,0))),(INDEX(ALLCLASSDATA,MATCH("WillSaveExpert",CLASSFEATUREHEADERS,0),MATCH(($A144 &amp; "Points"),CLASSNAMEHEADERS,0))),(IF("09"=(INDEX(ALLCLASSDATA,MATCH("WillSaveTrained",CLASSFEATUREHEADERS,0),MATCH($A144,CLASSNAMEHEADERS,0))),(INDEX(ALLCLASSDATA,MATCH("WillSaveTrained",CLASSFEATUREHEADERS,0),MATCH(($A144 &amp; "Points"),CLASSNAMEHEADERS,0))),"")))))))))}</f>
        <v>WILLL09</v>
      </c>
      <c r="P143" s="223"/>
      <c r="Q143" s="223" t="str">
        <f t="array" ref="Q143:Q144">{"WILLL11";((IF("11"=(INDEX(ALLCLASSDATA,MATCH("WillSaveLegendary",CLASSFEATUREHEADERS,0),MATCH($A144,CLASSNAMEHEADERS,0))),(INDEX(ALLCLASSDATA,MATCH("WillSaveLegendary",CLASSFEATUREHEADERS,0),MATCH(($A144 &amp; "Points"),CLASSNAMEHEADERS,0))),(IF("11"=(INDEX(ALLCLASSDATA,MATCH("WillSaveMaster",CLASSFEATUREHEADERS,0),MATCH($A144,CLASSNAMEHEADERS,0))),(INDEX(ALLCLASSDATA,MATCH("WillSaveMaster",CLASSFEATUREHEADERS,0),MATCH(($A144 &amp; "Points"),CLASSNAMEHEADERS,0))),(IF("11"=(INDEX(ALLCLASSDATA,MATCH("WillSaveExpert",CLASSFEATUREHEADERS,0),MATCH($A144,CLASSNAMEHEADERS,0))),(INDEX(ALLCLASSDATA,MATCH("WillSaveExpert",CLASSFEATUREHEADERS,0),MATCH(($A144 &amp; "Points"),CLASSNAMEHEADERS,0))),(IF("11"=(INDEX(ALLCLASSDATA,MATCH("WillSaveTrained",CLASSFEATUREHEADERS,0),MATCH($A144,CLASSNAMEHEADERS,0))),(INDEX(ALLCLASSDATA,MATCH("WillSaveTrained",CLASSFEATUREHEADERS,0),MATCH(($A144 &amp; "Points"),CLASSNAMEHEADERS,0))),"")))))))))}</f>
        <v>WILLL11</v>
      </c>
      <c r="R143" s="223"/>
      <c r="S143" s="223" t="str">
        <f t="array" ref="S143:S144">{"WILLL13";((IF("13"=(INDEX(ALLCLASSDATA,MATCH("WillSaveLegendary",CLASSFEATUREHEADERS,0),MATCH($A144,CLASSNAMEHEADERS,0))),(INDEX(ALLCLASSDATA,MATCH("WillSaveLegendary",CLASSFEATUREHEADERS,0),MATCH(($A144 &amp; "Points"),CLASSNAMEHEADERS,0))),(IF("13"=(INDEX(ALLCLASSDATA,MATCH("WillSaveMaster",CLASSFEATUREHEADERS,0),MATCH($A144,CLASSNAMEHEADERS,0))),(INDEX(ALLCLASSDATA,MATCH("WillSaveMaster",CLASSFEATUREHEADERS,0),MATCH(($A144 &amp; "Points"),CLASSNAMEHEADERS,0))),(IF("13"=(INDEX(ALLCLASSDATA,MATCH("WillSaveExpert",CLASSFEATUREHEADERS,0),MATCH($A144,CLASSNAMEHEADERS,0))),(INDEX(ALLCLASSDATA,MATCH("WillSaveExpert",CLASSFEATUREHEADERS,0),MATCH(($A144 &amp; "Points"),CLASSNAMEHEADERS,0))),(IF("13"=(INDEX(ALLCLASSDATA,MATCH("WillSaveTrained",CLASSFEATUREHEADERS,0),MATCH($A144,CLASSNAMEHEADERS,0))),(INDEX(ALLCLASSDATA,MATCH("WillSaveTrained",CLASSFEATUREHEADERS,0),MATCH(($A144 &amp; "Points"),CLASSNAMEHEADERS,0))),"")))))))))}</f>
        <v>WILLL13</v>
      </c>
      <c r="T143" s="223"/>
      <c r="U143" s="223" t="str">
        <f t="array" ref="U143:U144">{"WILLL15";((IF("15"=(INDEX(ALLCLASSDATA,MATCH("WillSaveLegendary",CLASSFEATUREHEADERS,0),MATCH($A144,CLASSNAMEHEADERS,0))),(INDEX(ALLCLASSDATA,MATCH("WillSaveLegendary",CLASSFEATUREHEADERS,0),MATCH(($A144 &amp; "Points"),CLASSNAMEHEADERS,0))),(IF("15"=(INDEX(ALLCLASSDATA,MATCH("WillSaveMaster",CLASSFEATUREHEADERS,0),MATCH($A144,CLASSNAMEHEADERS,0))),(INDEX(ALLCLASSDATA,MATCH("WillSaveMaster",CLASSFEATUREHEADERS,0),MATCH(($A144 &amp; "Points"),CLASSNAMEHEADERS,0))),(IF("15"=(INDEX(ALLCLASSDATA,MATCH("WillSaveExpert",CLASSFEATUREHEADERS,0),MATCH($A144,CLASSNAMEHEADERS,0))),(INDEX(ALLCLASSDATA,MATCH("WillSaveExpert",CLASSFEATUREHEADERS,0),MATCH(($A144 &amp; "Points"),CLASSNAMEHEADERS,0))),(IF("15"=(INDEX(ALLCLASSDATA,MATCH("WillSaveTrained",CLASSFEATUREHEADERS,0),MATCH($A144,CLASSNAMEHEADERS,0))),(INDEX(ALLCLASSDATA,MATCH("WillSaveTrained",CLASSFEATUREHEADERS,0),MATCH(($A144 &amp; "Points"),CLASSNAMEHEADERS,0))),"")))))))))}</f>
        <v>WILLL15</v>
      </c>
      <c r="V143" s="223"/>
      <c r="W143" s="223" t="str">
        <f t="array" ref="W143:W144">{"WILLL17";((IF("17"=(INDEX(ALLCLASSDATA,MATCH("WillSaveLegendary",CLASSFEATUREHEADERS,0),MATCH($A144,CLASSNAMEHEADERS,0))),(INDEX(ALLCLASSDATA,MATCH("WillSaveLegendary",CLASSFEATUREHEADERS,0),MATCH(($A144 &amp; "Points"),CLASSNAMEHEADERS,0))),(IF("17"=(INDEX(ALLCLASSDATA,MATCH("WillSaveMaster",CLASSFEATUREHEADERS,0),MATCH($A144,CLASSNAMEHEADERS,0))),(INDEX(ALLCLASSDATA,MATCH("WillSaveMaster",CLASSFEATUREHEADERS,0),MATCH(($A144 &amp; "Points"),CLASSNAMEHEADERS,0))),(IF("17"=(INDEX(ALLCLASSDATA,MATCH("WillSaveExpert",CLASSFEATUREHEADERS,0),MATCH($A144,CLASSNAMEHEADERS,0))),(INDEX(ALLCLASSDATA,MATCH("WillSaveExpert",CLASSFEATUREHEADERS,0),MATCH(($A144 &amp; "Points"),CLASSNAMEHEADERS,0))),(IF("17"=(INDEX(ALLCLASSDATA,MATCH("WillSaveTrained",CLASSFEATUREHEADERS,0),MATCH($A144,CLASSNAMEHEADERS,0))),(INDEX(ALLCLASSDATA,MATCH("WillSaveTrained",CLASSFEATUREHEADERS,0),MATCH(($A144 &amp; "Points"),CLASSNAMEHEADERS,0))),"")))))))))}</f>
        <v>WILLL17</v>
      </c>
      <c r="X143" s="223"/>
      <c r="Y143" s="223" t="str">
        <f t="array" ref="Y143:Y144">{"WILLL19";((IF("19"=(INDEX(ALLCLASSDATA,MATCH("WillSaveLegendary",CLASSFEATUREHEADERS,0),MATCH($A144,CLASSNAMEHEADERS,0))),(INDEX(ALLCLASSDATA,MATCH("WillSaveLegendary",CLASSFEATUREHEADERS,0),MATCH(($A144 &amp; "Points"),CLASSNAMEHEADERS,0))),(IF("19"=(INDEX(ALLCLASSDATA,MATCH("WillSaveMaster",CLASSFEATUREHEADERS,0),MATCH($A144,CLASSNAMEHEADERS,0))),(INDEX(ALLCLASSDATA,MATCH("WillSaveMaster",CLASSFEATUREHEADERS,0),MATCH(($A144 &amp; "Points"),CLASSNAMEHEADERS,0))),(IF("19"=(INDEX(ALLCLASSDATA,MATCH("WillSaveExpert",CLASSFEATUREHEADERS,0),MATCH($A144,CLASSNAMEHEADERS,0))),(INDEX(ALLCLASSDATA,MATCH("WillSaveExpert",CLASSFEATUREHEADERS,0),MATCH(($A144 &amp; "Points"),CLASSNAMEHEADERS,0))),(IF("19"=(INDEX(ALLCLASSDATA,MATCH("WillSaveTrained",CLASSFEATUREHEADERS,0),MATCH($A144,CLASSNAMEHEADERS,0))),(INDEX(ALLCLASSDATA,MATCH("WillSaveTrained",CLASSFEATUREHEADERS,0),MATCH(($A144 &amp; "Points"),CLASSNAMEHEADERS,0))),"")))))))))}</f>
        <v>WILLL19</v>
      </c>
      <c r="Z143" s="223"/>
      <c r="AA143" s="76" t="str">
        <f t="array" ref="AA143:AA144">{"WILL TOTAL";(IF(COUNTBLANK(F144:Z144)=17,"L",(IF(COUNTBLANK(F144:Z144)=18,"M",(IF(COUNTBLANK(F144:Z144)=19,"E",(IF(COUNTBLANK(F144:Z144)=20,"T",""))))))))}</f>
        <v>WILL TOTAL</v>
      </c>
      <c r="AB143" s="76" t="str">
        <f t="array" ref="AB143:AB144">{"WILL TOTAL";(sum(F144:Z144))}</f>
        <v>WILL TOTAL</v>
      </c>
    </row>
    <row r="144">
      <c r="A144" s="48" t="s">
        <v>219</v>
      </c>
      <c r="B144" s="48" t="s">
        <v>418</v>
      </c>
      <c r="C144" s="97" t="s">
        <v>1549</v>
      </c>
      <c r="D144" s="97" t="s">
        <v>1591</v>
      </c>
      <c r="E144" s="98" t="s">
        <v>436</v>
      </c>
      <c r="F144" s="132">
        <v>10.0</v>
      </c>
      <c r="G144" s="98">
        <v>50.0</v>
      </c>
      <c r="H144" s="98"/>
      <c r="I144" s="98" t="s">
        <v>603</v>
      </c>
      <c r="J144" s="98"/>
      <c r="K144" s="98" t="s">
        <v>603</v>
      </c>
      <c r="L144" s="97"/>
      <c r="M144" s="98" t="s">
        <v>603</v>
      </c>
      <c r="N144" s="98"/>
      <c r="O144" s="98">
        <v>110.0</v>
      </c>
      <c r="P144" s="97"/>
      <c r="Q144" s="98" t="s">
        <v>603</v>
      </c>
      <c r="R144" s="98"/>
      <c r="S144" s="98" t="s">
        <v>603</v>
      </c>
      <c r="T144" s="98"/>
      <c r="U144" s="98" t="s">
        <v>603</v>
      </c>
      <c r="V144" s="98"/>
      <c r="W144" s="98" t="s">
        <v>603</v>
      </c>
      <c r="X144" s="98"/>
      <c r="Y144" s="98" t="s">
        <v>603</v>
      </c>
      <c r="Z144" s="98"/>
      <c r="AA144" s="5" t="s">
        <v>437</v>
      </c>
      <c r="AB144" s="47">
        <v>170.0</v>
      </c>
    </row>
    <row r="145" hidden="1">
      <c r="A145" s="222" t="str">
        <f t="array" ref="A145:A146">{"FormulaRow26";(INDEX(CLASSLIST,A94,1))}</f>
        <v>FormulaRow26</v>
      </c>
      <c r="B145" s="222" t="str">
        <f t="array" ref="B145:B146">{"CLASSTYPE";((INDEX(ALLCLASSDATA,MATCH("ClassType",CLASSFEATUREHEADERS,0),MATCH($A146,CLASSNAMEHEADERS,0))))}</f>
        <v>CLASSTYPE</v>
      </c>
      <c r="C145" s="228" t="str">
        <f t="array" ref="C145:C146">{"ATTACK";"Attack"}</f>
        <v>ATTACK</v>
      </c>
      <c r="D145" s="228" t="str">
        <f t="array" ref="D145:D146">{"WEAPONSPECIAL";"WeaponCS/WS/GWS"}</f>
        <v>WEAPONSPECIAL</v>
      </c>
      <c r="E145" s="230"/>
      <c r="F145" s="230"/>
      <c r="G145" s="230" t="str">
        <f t="array" ref="G145:G146">{"WEAPONSPECIALL01";((IF("01"=INDEX(ALLCLASSDATA,MATCH("WeaponGreaterSpecialization",CLASSFEATUREHEADERS,0),MATCH($A146,CLASSNAMEHEADERS,0)),WeaponGWS,(IF("01"=INDEX(ALLCLASSDATA,MATCH("WeaponSpecialization",CLASSFEATUREHEADERS,0),MATCH($A146,CLASSNAMEHEADERS,0)),WeaponWS,(IF("01"=INDEX(ALLCLASSDATA,MATCH("WeaponCriticalSpecialization",CLASSFEATUREHEADERS,0),MATCH($A146,CLASSNAMEHEADERS,0)),WeaponCS,"")))))))}</f>
        <v>WEAPONSPECIALL01</v>
      </c>
      <c r="H145" s="230"/>
      <c r="I145" s="230" t="str">
        <f t="array" ref="I145:I146">{"WEAPONSPECIALL03";((IF("03"=INDEX(ALLCLASSDATA,MATCH("WeaponGreaterSpecialization",CLASSFEATUREHEADERS,0),MATCH($A146,CLASSNAMEHEADERS,0)),WeaponGWS,(IF("03"=INDEX(ALLCLASSDATA,MATCH("WeaponSpecialization",CLASSFEATUREHEADERS,0),MATCH($A146,CLASSNAMEHEADERS,0)),WeaponWS,(IF("03"=INDEX(ALLCLASSDATA,MATCH("WeaponCriticalSpecialization",CLASSFEATUREHEADERS,0),MATCH($A146,CLASSNAMEHEADERS,0)),WeaponCS,"")))))))}</f>
        <v>WEAPONSPECIALL03</v>
      </c>
      <c r="J145" s="230"/>
      <c r="K145" s="230" t="str">
        <f t="array" ref="K145:K146">{"WEAPONSPECIALL05";((IF("05"=INDEX(ALLCLASSDATA,MATCH("WeaponGreaterSpecialization",CLASSFEATUREHEADERS,0),MATCH($A146,CLASSNAMEHEADERS,0)),WeaponGWS,(IF("05"=INDEX(ALLCLASSDATA,MATCH("WeaponSpecialization",CLASSFEATUREHEADERS,0),MATCH($A146,CLASSNAMEHEADERS,0)),WeaponWS,(IF("05"=INDEX(ALLCLASSDATA,MATCH("WeaponCriticalSpecialization",CLASSFEATUREHEADERS,0),MATCH($A146,CLASSNAMEHEADERS,0)),WeaponCS,"")))))))}</f>
        <v>WEAPONSPECIALL05</v>
      </c>
      <c r="L145" s="230"/>
      <c r="M145" s="230" t="str">
        <f t="array" ref="M145:M146">{"WEAPONSPECIALL07";((IF("07"=INDEX(ALLCLASSDATA,MATCH("WeaponGreaterSpecialization",CLASSFEATUREHEADERS,0),MATCH($A146,CLASSNAMEHEADERS,0)),WeaponGWS,(IF("07"=INDEX(ALLCLASSDATA,MATCH("WeaponSpecialization",CLASSFEATUREHEADERS,0),MATCH($A146,CLASSNAMEHEADERS,0)),WeaponWS,(IF("07"=INDEX(ALLCLASSDATA,MATCH("WeaponCriticalSpecialization",CLASSFEATUREHEADERS,0),MATCH($A146,CLASSNAMEHEADERS,0)),WeaponCS,"")))))))}</f>
        <v>WEAPONSPECIALL07</v>
      </c>
      <c r="N145" s="230"/>
      <c r="O145" s="230" t="str">
        <f t="array" ref="O145:O146">{"WEAPONSPECIALL09";((IF("09"=INDEX(ALLCLASSDATA,MATCH("WeaponGreaterSpecialization",CLASSFEATUREHEADERS,0),MATCH($A146,CLASSNAMEHEADERS,0)),WeaponGWS,(IF("09"=INDEX(ALLCLASSDATA,MATCH("WeaponSpecialization",CLASSFEATUREHEADERS,0),MATCH($A146,CLASSNAMEHEADERS,0)),WeaponWS,(IF("09"=INDEX(ALLCLASSDATA,MATCH("WeaponCriticalSpecialization",CLASSFEATUREHEADERS,0),MATCH($A146,CLASSNAMEHEADERS,0)),WeaponCS,"")))))))}</f>
        <v>WEAPONSPECIALL09</v>
      </c>
      <c r="P145" s="230"/>
      <c r="Q145" s="230" t="str">
        <f t="array" ref="Q145:Q146">{"WEAPONSPECIALL11";((IF("11"=INDEX(ALLCLASSDATA,MATCH("WeaponGreaterSpecialization",CLASSFEATUREHEADERS,0),MATCH($A146,CLASSNAMEHEADERS,0)),WeaponGWS,(IF("11"=INDEX(ALLCLASSDATA,MATCH("WeaponSpecialization",CLASSFEATUREHEADERS,0),MATCH($A146,CLASSNAMEHEADERS,0)),WeaponWS,(IF("11"=INDEX(ALLCLASSDATA,MATCH("WeaponCriticalSpecialization",CLASSFEATUREHEADERS,0),MATCH($A146,CLASSNAMEHEADERS,0)),WeaponCS,"")))))))}</f>
        <v>WEAPONSPECIALL11</v>
      </c>
      <c r="R145" s="230"/>
      <c r="S145" s="230" t="str">
        <f t="array" ref="S145:S146">{"WEAPONSPECIALL13";((IF("13"=INDEX(ALLCLASSDATA,MATCH("WeaponGreaterSpecialization",CLASSFEATUREHEADERS,0),MATCH($A146,CLASSNAMEHEADERS,0)),WeaponGWS,(IF("13"=INDEX(ALLCLASSDATA,MATCH("WeaponSpecialization",CLASSFEATUREHEADERS,0),MATCH($A146,CLASSNAMEHEADERS,0)),WeaponWS,(IF("13"=INDEX(ALLCLASSDATA,MATCH("WeaponCriticalSpecialization",CLASSFEATUREHEADERS,0),MATCH($A146,CLASSNAMEHEADERS,0)),WeaponCS,"")))))))}</f>
        <v>WEAPONSPECIALL13</v>
      </c>
      <c r="T145" s="230"/>
      <c r="U145" s="230" t="str">
        <f t="array" ref="U145:U146">{"WEAPONSPECIALL15";((IF("15"=INDEX(ALLCLASSDATA,MATCH("WeaponGreaterSpecialization",CLASSFEATUREHEADERS,0),MATCH($A146,CLASSNAMEHEADERS,0)),WeaponGWS,(IF("15"=INDEX(ALLCLASSDATA,MATCH("WeaponSpecialization",CLASSFEATUREHEADERS,0),MATCH($A146,CLASSNAMEHEADERS,0)),WeaponWS,(IF("15"=INDEX(ALLCLASSDATA,MATCH("WeaponCriticalSpecialization",CLASSFEATUREHEADERS,0),MATCH($A146,CLASSNAMEHEADERS,0)),WeaponCS,"")))))))}</f>
        <v>WEAPONSPECIALL15</v>
      </c>
      <c r="V145" s="230"/>
      <c r="W145" s="230" t="str">
        <f t="array" ref="W145:W146">{"WEAPONSPECIALL17";((IF("17"=INDEX(ALLCLASSDATA,MATCH("WeaponGreaterSpecialization",CLASSFEATUREHEADERS,0),MATCH($A146,CLASSNAMEHEADERS,0)),WeaponGWS,(IF("17"=INDEX(ALLCLASSDATA,MATCH("WeaponSpecialization",CLASSFEATUREHEADERS,0),MATCH($A146,CLASSNAMEHEADERS,0)),WeaponWS,(IF("17"=INDEX(ALLCLASSDATA,MATCH("WeaponCriticalSpecialization",CLASSFEATUREHEADERS,0),MATCH($A146,CLASSNAMEHEADERS,0)),WeaponCS,"")))))))}</f>
        <v>WEAPONSPECIALL17</v>
      </c>
      <c r="X145" s="230"/>
      <c r="Y145" s="230" t="str">
        <f t="array" ref="Y145:Y146">{"WEAPONSPECIALL19";((IF("19"=INDEX(ALLCLASSDATA,MATCH("WeaponGreaterSpecialization",CLASSFEATUREHEADERS,0),MATCH($A146,CLASSNAMEHEADERS,0)),WeaponGWS,(IF("19"=INDEX(ALLCLASSDATA,MATCH("WeaponSpecialization",CLASSFEATUREHEADERS,0),MATCH($A146,CLASSNAMEHEADERS,0)),WeaponWS,(IF("19"=INDEX(ALLCLASSDATA,MATCH("WeaponCriticalSpecialization",CLASSFEATUREHEADERS,0),MATCH($A146,CLASSNAMEHEADERS,0)),WeaponCS,"")))))))}</f>
        <v>WEAPONSPECIALL19</v>
      </c>
      <c r="Z145" s="230"/>
      <c r="AA145" s="76"/>
      <c r="AB145" s="76" t="str">
        <f t="array" ref="AB145:AB146">{"WEAPONSPECIAL TOTAL";(sum(F146:Z146))}</f>
        <v>WEAPONSPECIAL TOTAL</v>
      </c>
    </row>
    <row r="146">
      <c r="A146" s="48" t="s">
        <v>219</v>
      </c>
      <c r="B146" s="48" t="s">
        <v>418</v>
      </c>
      <c r="C146" s="48" t="s">
        <v>1634</v>
      </c>
      <c r="D146" s="48" t="s">
        <v>1635</v>
      </c>
      <c r="E146" s="5"/>
      <c r="F146" s="47"/>
      <c r="G146" s="5" t="s">
        <v>603</v>
      </c>
      <c r="H146" s="5"/>
      <c r="I146" s="5" t="s">
        <v>603</v>
      </c>
      <c r="J146" s="5"/>
      <c r="K146" s="5" t="s">
        <v>603</v>
      </c>
      <c r="L146" s="5"/>
      <c r="M146" s="5" t="s">
        <v>603</v>
      </c>
      <c r="N146" s="5"/>
      <c r="O146" s="5" t="s">
        <v>603</v>
      </c>
      <c r="P146" s="5"/>
      <c r="Q146" s="5">
        <v>50.0</v>
      </c>
      <c r="R146" s="5"/>
      <c r="S146" s="5">
        <v>70.0</v>
      </c>
      <c r="T146" s="5"/>
      <c r="U146" s="5" t="s">
        <v>603</v>
      </c>
      <c r="V146" s="5"/>
      <c r="W146" s="5" t="s">
        <v>603</v>
      </c>
      <c r="X146" s="5"/>
      <c r="Y146" s="5" t="s">
        <v>603</v>
      </c>
      <c r="Z146" s="5"/>
      <c r="AA146" s="5"/>
      <c r="AB146" s="47">
        <v>120.0</v>
      </c>
    </row>
    <row r="147" hidden="1">
      <c r="A147" s="222" t="str">
        <f t="array" ref="A147:A148">{"FormulaRow27";(INDEX(CLASSLIST,A94,1))}</f>
        <v>FormulaRow27</v>
      </c>
      <c r="B147" s="222" t="str">
        <f t="array" ref="B147:B148">{"CLASSTYPE";((INDEX(ALLCLASSDATA,MATCH("ClassType",CLASSFEATUREHEADERS,0),MATCH($A148,CLASSNAMEHEADERS,0))))}</f>
        <v>CLASSTYPE</v>
      </c>
      <c r="C147" s="222" t="str">
        <f t="array" ref="C147:C148">{"ATTACK";"Attack"}</f>
        <v>ATTACK</v>
      </c>
      <c r="D147" s="222" t="str">
        <f t="array" ref="D147:D148">{"UNARMED";"Unarmed"}</f>
        <v>UNARMED</v>
      </c>
      <c r="E147" s="223" t="str">
        <f t="array" ref="E147:E148">{"UNARMEDINITIAL";((IF(G148=10,"T",(IF(G148=50,"E","")))))}</f>
        <v>UNARMEDINITIAL</v>
      </c>
      <c r="F147" s="223" t="str">
        <f t="array" ref="F147:F148">{"UNARMEDINITIALPTS";((IF("00"=(INDEX(ALLCLASSDATA,MATCH("UnarmedLegendary",CLASSFEATUREHEADERS,0),MATCH($A148,CLASSNAMEHEADERS,0))),(INDEX(ALLCLASSDATA,MATCH("UnarmedLegendary",CLASSFEATUREHEADERS,0),MATCH(($A148 &amp; "Points"),CLASSNAMEHEADERS,0))),(IF("00"=(INDEX(ALLCLASSDATA,MATCH("UnarmedMaster",CLASSFEATUREHEADERS,0),MATCH($A148,CLASSNAMEHEADERS,0))),(INDEX(ALLCLASSDATA,MATCH("UnarmedMaster",CLASSFEATUREHEADERS,0),MATCH(($A148 &amp; "Points"),CLASSNAMEHEADERS,0))),(IF("00"=(INDEX(ALLCLASSDATA,MATCH("UnarmedExpert",CLASSFEATUREHEADERS,0),MATCH($A148,CLASSNAMEHEADERS,0))),(INDEX(ALLCLASSDATA,MATCH("UnarmedExpert",CLASSFEATUREHEADERS,0),MATCH(($A148 &amp; "Points"),CLASSNAMEHEADERS,0))),(IF("00"=(INDEX(ALLCLASSDATA,MATCH("UnarmedTrained",CLASSFEATUREHEADERS,0),MATCH($A148,CLASSNAMEHEADERS,0))),(INDEX(ALLCLASSDATA,MATCH("UnarmedTrained",CLASSFEATUREHEADERS,0),MATCH(($A148 &amp; "Points"),CLASSNAMEHEADERS,0))),"")))))))))}</f>
        <v>UNARMEDINITIALPTS</v>
      </c>
      <c r="G147" s="223" t="str">
        <f t="array" ref="G147:G148">{"UNARMEDL01";((IF("01"=(INDEX(ALLCLASSDATA,MATCH("UnarmedLegendary",CLASSFEATUREHEADERS,0),MATCH($A148,CLASSNAMEHEADERS,0))),(INDEX(ALLCLASSDATA,MATCH("UnarmedLegendary",CLASSFEATUREHEADERS,0),MATCH(($A148 &amp; "Points"),CLASSNAMEHEADERS,0))),(IF("01"=(INDEX(ALLCLASSDATA,MATCH("UnarmedMaster",CLASSFEATUREHEADERS,0),MATCH($A148,CLASSNAMEHEADERS,0))),(INDEX(ALLCLASSDATA,MATCH("UnarmedMaster",CLASSFEATUREHEADERS,0),MATCH(($A148 &amp; "Points"),CLASSNAMEHEADERS,0))),(IF("01"=(INDEX(ALLCLASSDATA,MATCH("UnarmedExpert",CLASSFEATUREHEADERS,0),MATCH($A148,CLASSNAMEHEADERS,0))),(INDEX(ALLCLASSDATA,MATCH("UnarmedExpert",CLASSFEATUREHEADERS,0),MATCH(($A148 &amp; "Points"),CLASSNAMEHEADERS,0))),(IF("01"=(INDEX(ALLCLASSDATA,MATCH("UnarmedTrained",CLASSFEATUREHEADERS,0),MATCH($A148,CLASSNAMEHEADERS,0))),(INDEX(ALLCLASSDATA,MATCH("UnarmedTrained",CLASSFEATUREHEADERS,0),MATCH(($A148 &amp; "Points"),CLASSNAMEHEADERS,0))),"")))))))))}</f>
        <v>UNARMEDL01</v>
      </c>
      <c r="H147" s="223"/>
      <c r="I147" s="223" t="str">
        <f t="array" ref="I147:I148">{"UNARMEDL03";((IF("03"=(INDEX(ALLCLASSDATA,MATCH("UnarmedLegendary",CLASSFEATUREHEADERS,0),MATCH($A148,CLASSNAMEHEADERS,0))),(INDEX(ALLCLASSDATA,MATCH("UnarmedLegendary",CLASSFEATUREHEADERS,0),MATCH(($A148 &amp; "Points"),CLASSNAMEHEADERS,0))),(IF("03"=(INDEX(ALLCLASSDATA,MATCH("UnarmedMaster",CLASSFEATUREHEADERS,0),MATCH($A148,CLASSNAMEHEADERS,0))),(INDEX(ALLCLASSDATA,MATCH("UnarmedMaster",CLASSFEATUREHEADERS,0),MATCH(($A148 &amp; "Points"),CLASSNAMEHEADERS,0))),(IF("03"=(INDEX(ALLCLASSDATA,MATCH("UnarmedExpert",CLASSFEATUREHEADERS,0),MATCH($A148,CLASSNAMEHEADERS,0))),(INDEX(ALLCLASSDATA,MATCH("UnarmedExpert",CLASSFEATUREHEADERS,0),MATCH(($A148 &amp; "Points"),CLASSNAMEHEADERS,0))),(IF("03"=(INDEX(ALLCLASSDATA,MATCH("UnarmedTrained",CLASSFEATUREHEADERS,0),MATCH($A148,CLASSNAMEHEADERS,0))),(INDEX(ALLCLASSDATA,MATCH("UnarmedTrained",CLASSFEATUREHEADERS,0),MATCH(($A148 &amp; "Points"),CLASSNAMEHEADERS,0))),"")))))))))}</f>
        <v>UNARMEDL03</v>
      </c>
      <c r="J147" s="223"/>
      <c r="K147" s="223" t="str">
        <f t="array" ref="K147:K148">{"UNARMEDL05";((IF("05"=(INDEX(ALLCLASSDATA,MATCH("UnarmedLegendary",CLASSFEATUREHEADERS,0),MATCH($A148,CLASSNAMEHEADERS,0))),(INDEX(ALLCLASSDATA,MATCH("UnarmedLegendary",CLASSFEATUREHEADERS,0),MATCH(($A148 &amp; "Points"),CLASSNAMEHEADERS,0))),(IF("05"=(INDEX(ALLCLASSDATA,MATCH("UnarmedMaster",CLASSFEATUREHEADERS,0),MATCH($A148,CLASSNAMEHEADERS,0))),(INDEX(ALLCLASSDATA,MATCH("UnarmedMaster",CLASSFEATUREHEADERS,0),MATCH(($A148 &amp; "Points"),CLASSNAMEHEADERS,0))),(IF("05"=(INDEX(ALLCLASSDATA,MATCH("UnarmedExpert",CLASSFEATUREHEADERS,0),MATCH($A148,CLASSNAMEHEADERS,0))),(INDEX(ALLCLASSDATA,MATCH("UnarmedExpert",CLASSFEATUREHEADERS,0),MATCH(($A148 &amp; "Points"),CLASSNAMEHEADERS,0))),(IF("05"=(INDEX(ALLCLASSDATA,MATCH("UnarmedTrained",CLASSFEATUREHEADERS,0),MATCH($A148,CLASSNAMEHEADERS,0))),(INDEX(ALLCLASSDATA,MATCH("UnarmedTrained",CLASSFEATUREHEADERS,0),MATCH(($A148 &amp; "Points"),CLASSNAMEHEADERS,0))),"")))))))))}</f>
        <v>UNARMEDL05</v>
      </c>
      <c r="L147" s="223"/>
      <c r="M147" s="223" t="str">
        <f t="array" ref="M147:M148">{"UNARMEDL07";((IF("07"=(INDEX(ALLCLASSDATA,MATCH("UnarmedLegendary",CLASSFEATUREHEADERS,0),MATCH($A148,CLASSNAMEHEADERS,0))),(INDEX(ALLCLASSDATA,MATCH("UnarmedLegendary",CLASSFEATUREHEADERS,0),MATCH(($A148 &amp; "Points"),CLASSNAMEHEADERS,0))),(IF("07"=(INDEX(ALLCLASSDATA,MATCH("UnarmedMaster",CLASSFEATUREHEADERS,0),MATCH($A148,CLASSNAMEHEADERS,0))),(INDEX(ALLCLASSDATA,MATCH("UnarmedMaster",CLASSFEATUREHEADERS,0),MATCH(($A148 &amp; "Points"),CLASSNAMEHEADERS,0))),(IF("07"=(INDEX(ALLCLASSDATA,MATCH("UnarmedExpert",CLASSFEATUREHEADERS,0),MATCH($A148,CLASSNAMEHEADERS,0))),(INDEX(ALLCLASSDATA,MATCH("UnarmedExpert",CLASSFEATUREHEADERS,0),MATCH(($A148 &amp; "Points"),CLASSNAMEHEADERS,0))),(IF("07"=(INDEX(ALLCLASSDATA,MATCH("UnarmedTrained",CLASSFEATUREHEADERS,0),MATCH($A148,CLASSNAMEHEADERS,0))),(INDEX(ALLCLASSDATA,MATCH("UnarmedTrained",CLASSFEATUREHEADERS,0),MATCH(($A148 &amp; "Points"),CLASSNAMEHEADERS,0))),"")))))))))}</f>
        <v>UNARMEDL07</v>
      </c>
      <c r="N147" s="223"/>
      <c r="O147" s="223" t="str">
        <f t="array" ref="O147:O148">{"UNARMEDL09";((IF("09"=(INDEX(ALLCLASSDATA,MATCH("UnarmedLegendary",CLASSFEATUREHEADERS,0),MATCH($A148,CLASSNAMEHEADERS,0))),(INDEX(ALLCLASSDATA,MATCH("UnarmedLegendary",CLASSFEATUREHEADERS,0),MATCH(($A148 &amp; "Points"),CLASSNAMEHEADERS,0))),(IF("09"=(INDEX(ALLCLASSDATA,MATCH("UnarmedMaster",CLASSFEATUREHEADERS,0),MATCH($A148,CLASSNAMEHEADERS,0))),(INDEX(ALLCLASSDATA,MATCH("UnarmedMaster",CLASSFEATUREHEADERS,0),MATCH(($A148 &amp; "Points"),CLASSNAMEHEADERS,0))),(IF("09"=(INDEX(ALLCLASSDATA,MATCH("UnarmedExpert",CLASSFEATUREHEADERS,0),MATCH($A148,CLASSNAMEHEADERS,0))),(INDEX(ALLCLASSDATA,MATCH("UnarmedExpert",CLASSFEATUREHEADERS,0),MATCH(($A148 &amp; "Points"),CLASSNAMEHEADERS,0))),(IF("09"=(INDEX(ALLCLASSDATA,MATCH("UnarmedTrained",CLASSFEATUREHEADERS,0),MATCH($A148,CLASSNAMEHEADERS,0))),(INDEX(ALLCLASSDATA,MATCH("UnarmedTrained",CLASSFEATUREHEADERS,0),MATCH(($A148 &amp; "Points"),CLASSNAMEHEADERS,0))),"")))))))))}</f>
        <v>UNARMEDL09</v>
      </c>
      <c r="P147" s="223"/>
      <c r="Q147" s="223" t="str">
        <f t="array" ref="Q147:Q148">{"UNARMEDL11";((IF("11"=(INDEX(ALLCLASSDATA,MATCH("UnarmedLegendary",CLASSFEATUREHEADERS,0),MATCH($A148,CLASSNAMEHEADERS,0))),(INDEX(ALLCLASSDATA,MATCH("UnarmedLegendary",CLASSFEATUREHEADERS,0),MATCH(($A148 &amp; "Points"),CLASSNAMEHEADERS,0))),(IF("11"=(INDEX(ALLCLASSDATA,MATCH("UnarmedMaster",CLASSFEATUREHEADERS,0),MATCH($A148,CLASSNAMEHEADERS,0))),(INDEX(ALLCLASSDATA,MATCH("UnarmedMaster",CLASSFEATUREHEADERS,0),MATCH(($A148 &amp; "Points"),CLASSNAMEHEADERS,0))),(IF("11"=(INDEX(ALLCLASSDATA,MATCH("UnarmedExpert",CLASSFEATUREHEADERS,0),MATCH($A148,CLASSNAMEHEADERS,0))),(INDEX(ALLCLASSDATA,MATCH("UnarmedExpert",CLASSFEATUREHEADERS,0),MATCH(($A148 &amp; "Points"),CLASSNAMEHEADERS,0))),(IF("11"=(INDEX(ALLCLASSDATA,MATCH("UnarmedTrained",CLASSFEATUREHEADERS,0),MATCH($A148,CLASSNAMEHEADERS,0))),(INDEX(ALLCLASSDATA,MATCH("UnarmedTrained",CLASSFEATUREHEADERS,0),MATCH(($A148 &amp; "Points"),CLASSNAMEHEADERS,0))),"")))))))))}</f>
        <v>UNARMEDL11</v>
      </c>
      <c r="R147" s="223"/>
      <c r="S147" s="223" t="str">
        <f t="array" ref="S147:S148">{"UNARMEDL13";((IF("13"=(INDEX(ALLCLASSDATA,MATCH("UnarmedLegendary",CLASSFEATUREHEADERS,0),MATCH($A148,CLASSNAMEHEADERS,0))),(INDEX(ALLCLASSDATA,MATCH("UnarmedLegendary",CLASSFEATUREHEADERS,0),MATCH(($A148 &amp; "Points"),CLASSNAMEHEADERS,0))),(IF("13"=(INDEX(ALLCLASSDATA,MATCH("UnarmedMaster",CLASSFEATUREHEADERS,0),MATCH($A148,CLASSNAMEHEADERS,0))),(INDEX(ALLCLASSDATA,MATCH("UnarmedMaster",CLASSFEATUREHEADERS,0),MATCH(($A148 &amp; "Points"),CLASSNAMEHEADERS,0))),(IF("13"=(INDEX(ALLCLASSDATA,MATCH("UnarmedExpert",CLASSFEATUREHEADERS,0),MATCH($A148,CLASSNAMEHEADERS,0))),(INDEX(ALLCLASSDATA,MATCH("UnarmedExpert",CLASSFEATUREHEADERS,0),MATCH(($A148 &amp; "Points"),CLASSNAMEHEADERS,0))),(IF("13"=(INDEX(ALLCLASSDATA,MATCH("UnarmedTrained",CLASSFEATUREHEADERS,0),MATCH($A148,CLASSNAMEHEADERS,0))),(INDEX(ALLCLASSDATA,MATCH("UnarmedTrained",CLASSFEATUREHEADERS,0),MATCH(($A148 &amp; "Points"),CLASSNAMEHEADERS,0))),"")))))))))}</f>
        <v>UNARMEDL13</v>
      </c>
      <c r="T147" s="223"/>
      <c r="U147" s="223" t="str">
        <f t="array" ref="U147:U148">{"UNARMEDL15";((IF("15"=(INDEX(ALLCLASSDATA,MATCH("UnarmedLegendary",CLASSFEATUREHEADERS,0),MATCH($A148,CLASSNAMEHEADERS,0))),(INDEX(ALLCLASSDATA,MATCH("UnarmedLegendary",CLASSFEATUREHEADERS,0),MATCH(($A148 &amp; "Points"),CLASSNAMEHEADERS,0))),(IF("15"=(INDEX(ALLCLASSDATA,MATCH("UnarmedMaster",CLASSFEATUREHEADERS,0),MATCH($A148,CLASSNAMEHEADERS,0))),(INDEX(ALLCLASSDATA,MATCH("UnarmedMaster",CLASSFEATUREHEADERS,0),MATCH(($A148 &amp; "Points"),CLASSNAMEHEADERS,0))),(IF("15"=(INDEX(ALLCLASSDATA,MATCH("UnarmedExpert",CLASSFEATUREHEADERS,0),MATCH($A148,CLASSNAMEHEADERS,0))),(INDEX(ALLCLASSDATA,MATCH("UnarmedExpert",CLASSFEATUREHEADERS,0),MATCH(($A148 &amp; "Points"),CLASSNAMEHEADERS,0))),(IF("15"=(INDEX(ALLCLASSDATA,MATCH("UnarmedTrained",CLASSFEATUREHEADERS,0),MATCH($A148,CLASSNAMEHEADERS,0))),(INDEX(ALLCLASSDATA,MATCH("UnarmedTrained",CLASSFEATUREHEADERS,0),MATCH(($A148 &amp; "Points"),CLASSNAMEHEADERS,0))),"")))))))))}</f>
        <v>UNARMEDL15</v>
      </c>
      <c r="V147" s="223"/>
      <c r="W147" s="223" t="str">
        <f t="array" ref="W147:W148">{"UNARMEDL17";((IF("17"=(INDEX(ALLCLASSDATA,MATCH("UnarmedLegendary",CLASSFEATUREHEADERS,0),MATCH($A148,CLASSNAMEHEADERS,0))),(INDEX(ALLCLASSDATA,MATCH("UnarmedLegendary",CLASSFEATUREHEADERS,0),MATCH(($A148 &amp; "Points"),CLASSNAMEHEADERS,0))),(IF("17"=(INDEX(ALLCLASSDATA,MATCH("UnarmedMaster",CLASSFEATUREHEADERS,0),MATCH($A148,CLASSNAMEHEADERS,0))),(INDEX(ALLCLASSDATA,MATCH("UnarmedMaster",CLASSFEATUREHEADERS,0),MATCH(($A148 &amp; "Points"),CLASSNAMEHEADERS,0))),(IF("17"=(INDEX(ALLCLASSDATA,MATCH("UnarmedExpert",CLASSFEATUREHEADERS,0),MATCH($A148,CLASSNAMEHEADERS,0))),(INDEX(ALLCLASSDATA,MATCH("UnarmedExpert",CLASSFEATUREHEADERS,0),MATCH(($A148 &amp; "Points"),CLASSNAMEHEADERS,0))),(IF("17"=(INDEX(ALLCLASSDATA,MATCH("UnarmedTrained",CLASSFEATUREHEADERS,0),MATCH($A148,CLASSNAMEHEADERS,0))),(INDEX(ALLCLASSDATA,MATCH("UnarmedTrained",CLASSFEATUREHEADERS,0),MATCH(($A148 &amp; "Points"),CLASSNAMEHEADERS,0))),"")))))))))}</f>
        <v>UNARMEDL17</v>
      </c>
      <c r="X147" s="223"/>
      <c r="Y147" s="223" t="str">
        <f t="array" ref="Y147:Y148">{"UNARMEDL19";((IF("19"=(INDEX(ALLCLASSDATA,MATCH("UnarmedLegendary",CLASSFEATUREHEADERS,0),MATCH($A148,CLASSNAMEHEADERS,0))),(INDEX(ALLCLASSDATA,MATCH("UnarmedLegendary",CLASSFEATUREHEADERS,0),MATCH(($A148 &amp; "Points"),CLASSNAMEHEADERS,0))),(IF("19"=(INDEX(ALLCLASSDATA,MATCH("UnarmedMaster",CLASSFEATUREHEADERS,0),MATCH($A148,CLASSNAMEHEADERS,0))),(INDEX(ALLCLASSDATA,MATCH("UnarmedMaster",CLASSFEATUREHEADERS,0),MATCH(($A148 &amp; "Points"),CLASSNAMEHEADERS,0))),(IF("19"=(INDEX(ALLCLASSDATA,MATCH("UnarmedExpert",CLASSFEATUREHEADERS,0),MATCH($A148,CLASSNAMEHEADERS,0))),(INDEX(ALLCLASSDATA,MATCH("UnarmedExpert",CLASSFEATUREHEADERS,0),MATCH(($A148 &amp; "Points"),CLASSNAMEHEADERS,0))),(IF("19"=(INDEX(ALLCLASSDATA,MATCH("UnarmedTrained",CLASSFEATUREHEADERS,0),MATCH($A148,CLASSNAMEHEADERS,0))),(INDEX(ALLCLASSDATA,MATCH("UnarmedTrained",CLASSFEATUREHEADERS,0),MATCH(($A148 &amp; "Points"),CLASSNAMEHEADERS,0))),"")))))))))}</f>
        <v>UNARMEDL19</v>
      </c>
      <c r="Z147" s="223"/>
      <c r="AA147" s="76" t="str">
        <f t="array" ref="AA147:AA148">{"UNARMED TOTAL";(IF(COUNTBLANK(F148:Z148)=17,"L",(IF(COUNTBLANK(F148:Z148)=18,"M",(IF(COUNTBLANK(F148:Z148)=19,"E",(IF(COUNTBLANK(F148:Z148)=20,"T",""))))))))}</f>
        <v>UNARMED TOTAL</v>
      </c>
      <c r="AB147" s="76" t="str">
        <f t="array" ref="AB147:AB148">{"UNARMED TOTAL";(sum(F148:Z148))}</f>
        <v>UNARMED TOTAL</v>
      </c>
    </row>
    <row r="148">
      <c r="A148" s="48" t="s">
        <v>219</v>
      </c>
      <c r="B148" s="48" t="s">
        <v>418</v>
      </c>
      <c r="C148" s="48" t="s">
        <v>1634</v>
      </c>
      <c r="D148" s="48" t="s">
        <v>257</v>
      </c>
      <c r="E148" s="5" t="s">
        <v>435</v>
      </c>
      <c r="F148" s="47" t="s">
        <v>603</v>
      </c>
      <c r="G148" s="5">
        <v>10.0</v>
      </c>
      <c r="H148" s="5"/>
      <c r="I148" s="5" t="s">
        <v>603</v>
      </c>
      <c r="J148" s="5"/>
      <c r="K148" s="5" t="s">
        <v>603</v>
      </c>
      <c r="L148" s="5"/>
      <c r="M148" s="5" t="s">
        <v>603</v>
      </c>
      <c r="N148" s="5"/>
      <c r="O148" s="5" t="s">
        <v>603</v>
      </c>
      <c r="P148" s="5"/>
      <c r="Q148" s="5" t="s">
        <v>436</v>
      </c>
      <c r="R148" s="5"/>
      <c r="S148" s="5" t="s">
        <v>603</v>
      </c>
      <c r="T148" s="5"/>
      <c r="U148" s="5" t="s">
        <v>603</v>
      </c>
      <c r="V148" s="5"/>
      <c r="W148" s="5" t="s">
        <v>603</v>
      </c>
      <c r="X148" s="5"/>
      <c r="Y148" s="5" t="s">
        <v>603</v>
      </c>
      <c r="Z148" s="5"/>
      <c r="AA148" s="5" t="s">
        <v>436</v>
      </c>
      <c r="AB148" s="47">
        <v>10.0</v>
      </c>
    </row>
    <row r="149" hidden="1">
      <c r="A149" s="222" t="str">
        <f t="array" ref="A149:A150">{"FormulaRow28";(INDEX(CLASSLIST,A94,1))}</f>
        <v>FormulaRow28</v>
      </c>
      <c r="B149" s="222" t="str">
        <f t="array" ref="B149:B150">{"CLASSTYPE";((INDEX(ALLCLASSDATA,MATCH("ClassType",CLASSFEATUREHEADERS,0),MATCH($A150,CLASSNAMEHEADERS,0))))}</f>
        <v>CLASSTYPE</v>
      </c>
      <c r="C149" s="222" t="str">
        <f t="array" ref="C149:C150">{"ATTACK";"Attack"}</f>
        <v>ATTACK</v>
      </c>
      <c r="D149" s="222" t="str">
        <f t="array" ref="D149:D150">{"SIMPLELIMITED";"SimpleLimited"}</f>
        <v>SIMPLELIMITED</v>
      </c>
      <c r="E149" s="223" t="str">
        <f t="array" ref="E149:E150">{"SIMPLELIMITEDINITIAL";((IF(G150=10,"T",(IF(G150=50,"E","")))))}</f>
        <v>SIMPLELIMITEDINITIAL</v>
      </c>
      <c r="F149" s="223" t="str">
        <f t="array" ref="F149:F150">{"SIMPLELIMITEDINITIALPTS";((IF("00"=(INDEX(ALLCLASSDATA,MATCH("SimpleLimitedLegendary",CLASSFEATUREHEADERS,0),MATCH($A150,CLASSNAMEHEADERS,0))),(INDEX(ALLCLASSDATA,MATCH("SimpleLimitedLegendary",CLASSFEATUREHEADERS,0),MATCH(($A150 &amp; "Points"),CLASSNAMEHEADERS,0))),(IF("00"=(INDEX(ALLCLASSDATA,MATCH("SimpleLimitedMaster",CLASSFEATUREHEADERS,0),MATCH($A150,CLASSNAMEHEADERS,0))),(INDEX(ALLCLASSDATA,MATCH("SimpleLimitedMaster",CLASSFEATUREHEADERS,0),MATCH(($A150 &amp; "Points"),CLASSNAMEHEADERS,0))),(IF("00"=(INDEX(ALLCLASSDATA,MATCH("SimpleLimitedExpert",CLASSFEATUREHEADERS,0),MATCH($A150,CLASSNAMEHEADERS,0))),(INDEX(ALLCLASSDATA,MATCH("SimpleLimitedExpert",CLASSFEATUREHEADERS,0),MATCH(($A150 &amp; "Points"),CLASSNAMEHEADERS,0))),(IF("00"=(INDEX(ALLCLASSDATA,MATCH("SimpleLimitedTrained",CLASSFEATUREHEADERS,0),MATCH($A150,CLASSNAMEHEADERS,0))),(INDEX(ALLCLASSDATA,MATCH("SimpleLimitedTrained",CLASSFEATUREHEADERS,0),MATCH(($A150 &amp; "Points"),CLASSNAMEHEADERS,0))),"")))))))))}</f>
        <v>SIMPLELIMITEDINITIALPTS</v>
      </c>
      <c r="G149" s="223" t="str">
        <f t="array" ref="G149:G150">{"SIMPLELIMITEDL01";((IF("01"=(INDEX(ALLCLASSDATA,MATCH("SimpleLimitedLegendary",CLASSFEATUREHEADERS,0),MATCH($A150,CLASSNAMEHEADERS,0))),(INDEX(ALLCLASSDATA,MATCH("SimpleLimitedLegendary",CLASSFEATUREHEADERS,0),MATCH(($A150 &amp; "Points"),CLASSNAMEHEADERS,0))),(IF("01"=(INDEX(ALLCLASSDATA,MATCH("SimpleLimitedMaster",CLASSFEATUREHEADERS,0),MATCH($A150,CLASSNAMEHEADERS,0))),(INDEX(ALLCLASSDATA,MATCH("SimpleLimitedMaster",CLASSFEATUREHEADERS,0),MATCH(($A150 &amp; "Points"),CLASSNAMEHEADERS,0))),(IF("01"=(INDEX(ALLCLASSDATA,MATCH("SimpleLimitedExpert",CLASSFEATUREHEADERS,0),MATCH($A150,CLASSNAMEHEADERS,0))),(INDEX(ALLCLASSDATA,MATCH("SimpleLimitedExpert",CLASSFEATUREHEADERS,0),MATCH(($A150 &amp; "Points"),CLASSNAMEHEADERS,0))),(IF("01"=(INDEX(ALLCLASSDATA,MATCH("SimpleLimitedTrained",CLASSFEATUREHEADERS,0),MATCH($A150,CLASSNAMEHEADERS,0))),(INDEX(ALLCLASSDATA,MATCH("SimpleLimitedTrained",CLASSFEATUREHEADERS,0),MATCH(($A150 &amp; "Points"),CLASSNAMEHEADERS,0))),"")))))))))}</f>
        <v>SIMPLELIMITEDL01</v>
      </c>
      <c r="H149" s="223"/>
      <c r="I149" s="223" t="str">
        <f t="array" ref="I149:I150">{"SIMPLELIMITEDL03";((IF("03"=(INDEX(ALLCLASSDATA,MATCH("SimpleLimitedLegendary",CLASSFEATUREHEADERS,0),MATCH($A150,CLASSNAMEHEADERS,0))),(INDEX(ALLCLASSDATA,MATCH("SimpleLimitedLegendary",CLASSFEATUREHEADERS,0),MATCH(($A150 &amp; "Points"),CLASSNAMEHEADERS,0))),(IF("03"=(INDEX(ALLCLASSDATA,MATCH("SimpleLimitedMaster",CLASSFEATUREHEADERS,0),MATCH($A150,CLASSNAMEHEADERS,0))),(INDEX(ALLCLASSDATA,MATCH("SimpleLimitedMaster",CLASSFEATUREHEADERS,0),MATCH(($A150 &amp; "Points"),CLASSNAMEHEADERS,0))),(IF("03"=(INDEX(ALLCLASSDATA,MATCH("SimpleLimitedExpert",CLASSFEATUREHEADERS,0),MATCH($A150,CLASSNAMEHEADERS,0))),(INDEX(ALLCLASSDATA,MATCH("SimpleLimitedExpert",CLASSFEATUREHEADERS,0),MATCH(($A150 &amp; "Points"),CLASSNAMEHEADERS,0))),(IF("03"=(INDEX(ALLCLASSDATA,MATCH("SimpleLimitedTrained",CLASSFEATUREHEADERS,0),MATCH($A150,CLASSNAMEHEADERS,0))),(INDEX(ALLCLASSDATA,MATCH("SimpleLimitedTrained",CLASSFEATUREHEADERS,0),MATCH(($A150 &amp; "Points"),CLASSNAMEHEADERS,0))),"")))))))))}</f>
        <v>SIMPLELIMITEDL03</v>
      </c>
      <c r="J149" s="223"/>
      <c r="K149" s="223" t="str">
        <f t="array" ref="K149:K150">{"SIMPLELIMITEDL05";((IF("05"=(INDEX(ALLCLASSDATA,MATCH("SimpleLimitedLegendary",CLASSFEATUREHEADERS,0),MATCH($A150,CLASSNAMEHEADERS,0))),(INDEX(ALLCLASSDATA,MATCH("SimpleLimitedLegendary",CLASSFEATUREHEADERS,0),MATCH(($A150 &amp; "Points"),CLASSNAMEHEADERS,0))),(IF("05"=(INDEX(ALLCLASSDATA,MATCH("SimpleLimitedMaster",CLASSFEATUREHEADERS,0),MATCH($A150,CLASSNAMEHEADERS,0))),(INDEX(ALLCLASSDATA,MATCH("SimpleLimitedMaster",CLASSFEATUREHEADERS,0),MATCH(($A150 &amp; "Points"),CLASSNAMEHEADERS,0))),(IF("05"=(INDEX(ALLCLASSDATA,MATCH("SimpleLimitedExpert",CLASSFEATUREHEADERS,0),MATCH($A150,CLASSNAMEHEADERS,0))),(INDEX(ALLCLASSDATA,MATCH("SimpleLimitedExpert",CLASSFEATUREHEADERS,0),MATCH(($A150 &amp; "Points"),CLASSNAMEHEADERS,0))),(IF("05"=(INDEX(ALLCLASSDATA,MATCH("SimpleLimitedTrained",CLASSFEATUREHEADERS,0),MATCH($A150,CLASSNAMEHEADERS,0))),(INDEX(ALLCLASSDATA,MATCH("SimpleLimitedTrained",CLASSFEATUREHEADERS,0),MATCH(($A150 &amp; "Points"),CLASSNAMEHEADERS,0))),"")))))))))}</f>
        <v>SIMPLELIMITEDL05</v>
      </c>
      <c r="L149" s="223"/>
      <c r="M149" s="223" t="str">
        <f t="array" ref="M149:M150">{"SIMPLELIMITEDL07";((IF("07"=(INDEX(ALLCLASSDATA,MATCH("SimpleLimitedLegendary",CLASSFEATUREHEADERS,0),MATCH($A150,CLASSNAMEHEADERS,0))),(INDEX(ALLCLASSDATA,MATCH("SimpleLimitedLegendary",CLASSFEATUREHEADERS,0),MATCH(($A150 &amp; "Points"),CLASSNAMEHEADERS,0))),(IF("07"=(INDEX(ALLCLASSDATA,MATCH("SimpleLimitedMaster",CLASSFEATUREHEADERS,0),MATCH($A150,CLASSNAMEHEADERS,0))),(INDEX(ALLCLASSDATA,MATCH("SimpleLimitedMaster",CLASSFEATUREHEADERS,0),MATCH(($A150 &amp; "Points"),CLASSNAMEHEADERS,0))),(IF("07"=(INDEX(ALLCLASSDATA,MATCH("SimpleLimitedExpert",CLASSFEATUREHEADERS,0),MATCH($A150,CLASSNAMEHEADERS,0))),(INDEX(ALLCLASSDATA,MATCH("SimpleLimitedExpert",CLASSFEATUREHEADERS,0),MATCH(($A150 &amp; "Points"),CLASSNAMEHEADERS,0))),(IF("07"=(INDEX(ALLCLASSDATA,MATCH("SimpleLimitedTrained",CLASSFEATUREHEADERS,0),MATCH($A150,CLASSNAMEHEADERS,0))),(INDEX(ALLCLASSDATA,MATCH("SimpleLimitedTrained",CLASSFEATUREHEADERS,0),MATCH(($A150 &amp; "Points"),CLASSNAMEHEADERS,0))),"")))))))))}</f>
        <v>SIMPLELIMITEDL07</v>
      </c>
      <c r="N149" s="223"/>
      <c r="O149" s="223" t="str">
        <f t="array" ref="O149:O150">{"SIMPLELIMITEDL09";((IF("09"=(INDEX(ALLCLASSDATA,MATCH("SimpleLimitedLegendary",CLASSFEATUREHEADERS,0),MATCH($A150,CLASSNAMEHEADERS,0))),(INDEX(ALLCLASSDATA,MATCH("SimpleLimitedLegendary",CLASSFEATUREHEADERS,0),MATCH(($A150 &amp; "Points"),CLASSNAMEHEADERS,0))),(IF("09"=(INDEX(ALLCLASSDATA,MATCH("SimpleLimitedMaster",CLASSFEATUREHEADERS,0),MATCH($A150,CLASSNAMEHEADERS,0))),(INDEX(ALLCLASSDATA,MATCH("SimpleLimitedMaster",CLASSFEATUREHEADERS,0),MATCH(($A150 &amp; "Points"),CLASSNAMEHEADERS,0))),(IF("09"=(INDEX(ALLCLASSDATA,MATCH("SimpleLimitedExpert",CLASSFEATUREHEADERS,0),MATCH($A150,CLASSNAMEHEADERS,0))),(INDEX(ALLCLASSDATA,MATCH("SimpleLimitedExpert",CLASSFEATUREHEADERS,0),MATCH(($A150 &amp; "Points"),CLASSNAMEHEADERS,0))),(IF("09"=(INDEX(ALLCLASSDATA,MATCH("SimpleLimitedTrained",CLASSFEATUREHEADERS,0),MATCH($A150,CLASSNAMEHEADERS,0))),(INDEX(ALLCLASSDATA,MATCH("SimpleLimitedTrained",CLASSFEATUREHEADERS,0),MATCH(($A150 &amp; "Points"),CLASSNAMEHEADERS,0))),"")))))))))}</f>
        <v>SIMPLELIMITEDL09</v>
      </c>
      <c r="P149" s="223"/>
      <c r="Q149" s="223" t="str">
        <f t="array" ref="Q149:Q150">{"SIMPLELIMITEDL11";((IF("11"=(INDEX(ALLCLASSDATA,MATCH("SimpleLimitedLegendary",CLASSFEATUREHEADERS,0),MATCH($A150,CLASSNAMEHEADERS,0))),(INDEX(ALLCLASSDATA,MATCH("SimpleLimitedLegendary",CLASSFEATUREHEADERS,0),MATCH(($A150 &amp; "Points"),CLASSNAMEHEADERS,0))),(IF("11"=(INDEX(ALLCLASSDATA,MATCH("SimpleLimitedMaster",CLASSFEATUREHEADERS,0),MATCH($A150,CLASSNAMEHEADERS,0))),(INDEX(ALLCLASSDATA,MATCH("SimpleLimitedMaster",CLASSFEATUREHEADERS,0),MATCH(($A150 &amp; "Points"),CLASSNAMEHEADERS,0))),(IF("11"=(INDEX(ALLCLASSDATA,MATCH("SimpleLimitedExpert",CLASSFEATUREHEADERS,0),MATCH($A150,CLASSNAMEHEADERS,0))),(INDEX(ALLCLASSDATA,MATCH("SimpleLimitedExpert",CLASSFEATUREHEADERS,0),MATCH(($A150 &amp; "Points"),CLASSNAMEHEADERS,0))),(IF("11"=(INDEX(ALLCLASSDATA,MATCH("SimpleLimitedTrained",CLASSFEATUREHEADERS,0),MATCH($A150,CLASSNAMEHEADERS,0))),(INDEX(ALLCLASSDATA,MATCH("SimpleLimitedTrained",CLASSFEATUREHEADERS,0),MATCH(($A150 &amp; "Points"),CLASSNAMEHEADERS,0))),"")))))))))}</f>
        <v>SIMPLELIMITEDL11</v>
      </c>
      <c r="R149" s="223"/>
      <c r="S149" s="223" t="str">
        <f t="array" ref="S149:S150">{"SIMPLELIMITEDL13";((IF("13"=(INDEX(ALLCLASSDATA,MATCH("SimpleLimitedLegendary",CLASSFEATUREHEADERS,0),MATCH($A150,CLASSNAMEHEADERS,0))),(INDEX(ALLCLASSDATA,MATCH("SimpleLimitedLegendary",CLASSFEATUREHEADERS,0),MATCH(($A150 &amp; "Points"),CLASSNAMEHEADERS,0))),(IF("13"=(INDEX(ALLCLASSDATA,MATCH("SimpleLimitedMaster",CLASSFEATUREHEADERS,0),MATCH($A150,CLASSNAMEHEADERS,0))),(INDEX(ALLCLASSDATA,MATCH("SimpleLimitedMaster",CLASSFEATUREHEADERS,0),MATCH(($A150 &amp; "Points"),CLASSNAMEHEADERS,0))),(IF("13"=(INDEX(ALLCLASSDATA,MATCH("SimpleLimitedExpert",CLASSFEATUREHEADERS,0),MATCH($A150,CLASSNAMEHEADERS,0))),(INDEX(ALLCLASSDATA,MATCH("SimpleLimitedExpert",CLASSFEATUREHEADERS,0),MATCH(($A150 &amp; "Points"),CLASSNAMEHEADERS,0))),(IF("13"=(INDEX(ALLCLASSDATA,MATCH("SimpleLimitedTrained",CLASSFEATUREHEADERS,0),MATCH($A150,CLASSNAMEHEADERS,0))),(INDEX(ALLCLASSDATA,MATCH("SimpleLimitedTrained",CLASSFEATUREHEADERS,0),MATCH(($A150 &amp; "Points"),CLASSNAMEHEADERS,0))),"")))))))))}</f>
        <v>SIMPLELIMITEDL13</v>
      </c>
      <c r="T149" s="223"/>
      <c r="U149" s="223" t="str">
        <f t="array" ref="U149:U150">{"SIMPLELIMITEDL15";((IF("15"=(INDEX(ALLCLASSDATA,MATCH("SimpleLimitedLegendary",CLASSFEATUREHEADERS,0),MATCH($A150,CLASSNAMEHEADERS,0))),(INDEX(ALLCLASSDATA,MATCH("SimpleLimitedLegendary",CLASSFEATUREHEADERS,0),MATCH(($A150 &amp; "Points"),CLASSNAMEHEADERS,0))),(IF("15"=(INDEX(ALLCLASSDATA,MATCH("SimpleLimitedMaster",CLASSFEATUREHEADERS,0),MATCH($A150,CLASSNAMEHEADERS,0))),(INDEX(ALLCLASSDATA,MATCH("SimpleLimitedMaster",CLASSFEATUREHEADERS,0),MATCH(($A150 &amp; "Points"),CLASSNAMEHEADERS,0))),(IF("15"=(INDEX(ALLCLASSDATA,MATCH("SimpleLimitedExpert",CLASSFEATUREHEADERS,0),MATCH($A150,CLASSNAMEHEADERS,0))),(INDEX(ALLCLASSDATA,MATCH("SimpleLimitedExpert",CLASSFEATUREHEADERS,0),MATCH(($A150 &amp; "Points"),CLASSNAMEHEADERS,0))),(IF("15"=(INDEX(ALLCLASSDATA,MATCH("SimpleLimitedTrained",CLASSFEATUREHEADERS,0),MATCH($A150,CLASSNAMEHEADERS,0))),(INDEX(ALLCLASSDATA,MATCH("SimpleLimitedTrained",CLASSFEATUREHEADERS,0),MATCH(($A150 &amp; "Points"),CLASSNAMEHEADERS,0))),"")))))))))}</f>
        <v>SIMPLELIMITEDL15</v>
      </c>
      <c r="V149" s="223"/>
      <c r="W149" s="223" t="str">
        <f t="array" ref="W149:W150">{"SIMPLELIMITEDL17";((IF("17"=(INDEX(ALLCLASSDATA,MATCH("SimpleLimitedLegendary",CLASSFEATUREHEADERS,0),MATCH($A150,CLASSNAMEHEADERS,0))),(INDEX(ALLCLASSDATA,MATCH("SimpleLimitedLegendary",CLASSFEATUREHEADERS,0),MATCH(($A150 &amp; "Points"),CLASSNAMEHEADERS,0))),(IF("17"=(INDEX(ALLCLASSDATA,MATCH("SimpleLimitedMaster",CLASSFEATUREHEADERS,0),MATCH($A150,CLASSNAMEHEADERS,0))),(INDEX(ALLCLASSDATA,MATCH("SimpleLimitedMaster",CLASSFEATUREHEADERS,0),MATCH(($A150 &amp; "Points"),CLASSNAMEHEADERS,0))),(IF("17"=(INDEX(ALLCLASSDATA,MATCH("SimpleLimitedExpert",CLASSFEATUREHEADERS,0),MATCH($A150,CLASSNAMEHEADERS,0))),(INDEX(ALLCLASSDATA,MATCH("SimpleLimitedExpert",CLASSFEATUREHEADERS,0),MATCH(($A150 &amp; "Points"),CLASSNAMEHEADERS,0))),(IF("17"=(INDEX(ALLCLASSDATA,MATCH("SimpleLimitedTrained",CLASSFEATUREHEADERS,0),MATCH($A150,CLASSNAMEHEADERS,0))),(INDEX(ALLCLASSDATA,MATCH("SimpleLimitedTrained",CLASSFEATUREHEADERS,0),MATCH(($A150 &amp; "Points"),CLASSNAMEHEADERS,0))),"")))))))))}</f>
        <v>SIMPLELIMITEDL17</v>
      </c>
      <c r="X149" s="223"/>
      <c r="Y149" s="223" t="str">
        <f t="array" ref="Y149:Y150">{"SIMPLELIMITEDL19";((IF("19"=(INDEX(ALLCLASSDATA,MATCH("SimpleLimitedLegendary",CLASSFEATUREHEADERS,0),MATCH($A150,CLASSNAMEHEADERS,0))),(INDEX(ALLCLASSDATA,MATCH("SimpleLimitedLegendary",CLASSFEATUREHEADERS,0),MATCH(($A150 &amp; "Points"),CLASSNAMEHEADERS,0))),(IF("19"=(INDEX(ALLCLASSDATA,MATCH("SimpleLimitedMaster",CLASSFEATUREHEADERS,0),MATCH($A150,CLASSNAMEHEADERS,0))),(INDEX(ALLCLASSDATA,MATCH("SimpleLimitedMaster",CLASSFEATUREHEADERS,0),MATCH(($A150 &amp; "Points"),CLASSNAMEHEADERS,0))),(IF("19"=(INDEX(ALLCLASSDATA,MATCH("SimpleLimitedExpert",CLASSFEATUREHEADERS,0),MATCH($A150,CLASSNAMEHEADERS,0))),(INDEX(ALLCLASSDATA,MATCH("SimpleLimitedExpert",CLASSFEATUREHEADERS,0),MATCH(($A150 &amp; "Points"),CLASSNAMEHEADERS,0))),(IF("19"=(INDEX(ALLCLASSDATA,MATCH("SimpleLimitedTrained",CLASSFEATUREHEADERS,0),MATCH($A150,CLASSNAMEHEADERS,0))),(INDEX(ALLCLASSDATA,MATCH("SimpleLimitedTrained",CLASSFEATUREHEADERS,0),MATCH(($A150 &amp; "Points"),CLASSNAMEHEADERS,0))),"")))))))))}</f>
        <v>SIMPLELIMITEDL19</v>
      </c>
      <c r="Z149" s="223"/>
      <c r="AA149" s="76" t="str">
        <f t="array" ref="AA149:AA150">{"SIMPLELIMITED TOTAL";(IF(COUNTBLANK(F150:Z150)=17,"L",(IF(COUNTBLANK(F150:Z150)=18,"M",(IF(COUNTBLANK(F150:Z150)=19,"E",(IF(COUNTBLANK(F150:Z150)=20,"T",""))))))))}</f>
        <v>SIMPLELIMITED TOTAL</v>
      </c>
      <c r="AB149" s="76" t="str">
        <f t="array" ref="AB149:AB150">{"SIMPLELIMITED TOTAL";(sum(F150:Z150))}</f>
        <v>SIMPLELIMITED TOTAL</v>
      </c>
    </row>
    <row r="150">
      <c r="A150" s="48" t="s">
        <v>219</v>
      </c>
      <c r="B150" s="48" t="s">
        <v>418</v>
      </c>
      <c r="C150" s="48" t="s">
        <v>1634</v>
      </c>
      <c r="D150" s="48" t="s">
        <v>599</v>
      </c>
      <c r="E150" s="5" t="s">
        <v>603</v>
      </c>
      <c r="F150" s="47" t="s">
        <v>603</v>
      </c>
      <c r="G150" s="5" t="s">
        <v>603</v>
      </c>
      <c r="H150" s="5"/>
      <c r="I150" s="5" t="s">
        <v>603</v>
      </c>
      <c r="J150" s="5"/>
      <c r="K150" s="5" t="s">
        <v>603</v>
      </c>
      <c r="L150" s="5"/>
      <c r="M150" s="5" t="s">
        <v>603</v>
      </c>
      <c r="N150" s="5"/>
      <c r="O150" s="5" t="s">
        <v>603</v>
      </c>
      <c r="P150" s="5"/>
      <c r="Q150" s="5" t="s">
        <v>603</v>
      </c>
      <c r="R150" s="5"/>
      <c r="S150" s="5" t="s">
        <v>603</v>
      </c>
      <c r="T150" s="5"/>
      <c r="U150" s="5" t="s">
        <v>603</v>
      </c>
      <c r="V150" s="5"/>
      <c r="W150" s="5" t="s">
        <v>603</v>
      </c>
      <c r="X150" s="5"/>
      <c r="Y150" s="5" t="s">
        <v>603</v>
      </c>
      <c r="Z150" s="5"/>
      <c r="AA150" s="5" t="s">
        <v>603</v>
      </c>
      <c r="AB150" s="47">
        <v>0.0</v>
      </c>
    </row>
    <row r="151" hidden="1">
      <c r="A151" s="222" t="str">
        <f t="array" ref="A151:A152">{"FormulaRow29";(INDEX(CLASSLIST,A94,1))}</f>
        <v>FormulaRow29</v>
      </c>
      <c r="B151" s="222" t="str">
        <f t="array" ref="B151:B152">{"CLASSTYPE";((INDEX(ALLCLASSDATA,MATCH("ClassType",CLASSFEATUREHEADERS,0),MATCH($A152,CLASSNAMEHEADERS,0))))}</f>
        <v>CLASSTYPE</v>
      </c>
      <c r="C151" s="222" t="str">
        <f t="array" ref="C151:C152">{"ATTACK";"Attack"}</f>
        <v>ATTACK</v>
      </c>
      <c r="D151" s="222" t="str">
        <f t="array" ref="D151:D152">{"SIMPLE";"Simple"}</f>
        <v>SIMPLE</v>
      </c>
      <c r="E151" s="223" t="str">
        <f t="array" ref="E151:E152">{"SIMPLEINITIAL";((IF(G152=10,"T",(IF(G152=50,"E","")))))}</f>
        <v>SIMPLEINITIAL</v>
      </c>
      <c r="F151" s="223" t="str">
        <f t="array" ref="F151:F152">{"SIMPLEINITIALPTS";((IF("00"=(INDEX(ALLCLASSDATA,MATCH("SimpleLegendary",CLASSFEATUREHEADERS,0),MATCH($A152,CLASSNAMEHEADERS,0))),(INDEX(ALLCLASSDATA,MATCH("SimpleLegendary",CLASSFEATUREHEADERS,0),MATCH(($A152 &amp; "Points"),CLASSNAMEHEADERS,0))),(IF("00"=(INDEX(ALLCLASSDATA,MATCH("SimpleMaster",CLASSFEATUREHEADERS,0),MATCH($A152,CLASSNAMEHEADERS,0))),(INDEX(ALLCLASSDATA,MATCH("SimpleMaster",CLASSFEATUREHEADERS,0),MATCH(($A152 &amp; "Points"),CLASSNAMEHEADERS,0))),(IF("00"=(INDEX(ALLCLASSDATA,MATCH("SimpleExpert",CLASSFEATUREHEADERS,0),MATCH($A152,CLASSNAMEHEADERS,0))),(INDEX(ALLCLASSDATA,MATCH("SimpleExpert",CLASSFEATUREHEADERS,0),MATCH(($A152 &amp; "Points"),CLASSNAMEHEADERS,0))),(IF("00"=(INDEX(ALLCLASSDATA,MATCH("SimpleTrained",CLASSFEATUREHEADERS,0),MATCH($A152,CLASSNAMEHEADERS,0))),(INDEX(ALLCLASSDATA,MATCH("SimpleTrained",CLASSFEATUREHEADERS,0),MATCH(($A152 &amp; "Points"),CLASSNAMEHEADERS,0))),"")))))))))}</f>
        <v>SIMPLEINITIALPTS</v>
      </c>
      <c r="G151" s="223" t="str">
        <f t="array" ref="G151:G152">{"SIMPLEL01";((IF("01"=(INDEX(ALLCLASSDATA,MATCH("SimpleLegendary",CLASSFEATUREHEADERS,0),MATCH($A152,CLASSNAMEHEADERS,0))),(INDEX(ALLCLASSDATA,MATCH("SimpleLegendary",CLASSFEATUREHEADERS,0),MATCH(($A152 &amp; "Points"),CLASSNAMEHEADERS,0))),(IF("01"=(INDEX(ALLCLASSDATA,MATCH("SimpleMaster",CLASSFEATUREHEADERS,0),MATCH($A152,CLASSNAMEHEADERS,0))),(INDEX(ALLCLASSDATA,MATCH("SimpleMaster",CLASSFEATUREHEADERS,0),MATCH(($A152 &amp; "Points"),CLASSNAMEHEADERS,0))),(IF("01"=(INDEX(ALLCLASSDATA,MATCH("SimpleExpert",CLASSFEATUREHEADERS,0),MATCH($A152,CLASSNAMEHEADERS,0))),(INDEX(ALLCLASSDATA,MATCH("SimpleExpert",CLASSFEATUREHEADERS,0),MATCH(($A152 &amp; "Points"),CLASSNAMEHEADERS,0))),(IF("01"=(INDEX(ALLCLASSDATA,MATCH("SimpleTrained",CLASSFEATUREHEADERS,0),MATCH($A152,CLASSNAMEHEADERS,0))),(INDEX(ALLCLASSDATA,MATCH("SimpleTrained",CLASSFEATUREHEADERS,0),MATCH(($A152 &amp; "Points"),CLASSNAMEHEADERS,0))),"")))))))))}</f>
        <v>SIMPLEL01</v>
      </c>
      <c r="H151" s="223"/>
      <c r="I151" s="223" t="str">
        <f t="array" ref="I151:I152">{"SIMPLEL03";((IF("03"=(INDEX(ALLCLASSDATA,MATCH("SimpleLegendary",CLASSFEATUREHEADERS,0),MATCH($A152,CLASSNAMEHEADERS,0))),(INDEX(ALLCLASSDATA,MATCH("SimpleLegendary",CLASSFEATUREHEADERS,0),MATCH(($A152 &amp; "Points"),CLASSNAMEHEADERS,0))),(IF("03"=(INDEX(ALLCLASSDATA,MATCH("SimpleMaster",CLASSFEATUREHEADERS,0),MATCH($A152,CLASSNAMEHEADERS,0))),(INDEX(ALLCLASSDATA,MATCH("SimpleMaster",CLASSFEATUREHEADERS,0),MATCH(($A152 &amp; "Points"),CLASSNAMEHEADERS,0))),(IF("03"=(INDEX(ALLCLASSDATA,MATCH("SimpleExpert",CLASSFEATUREHEADERS,0),MATCH($A152,CLASSNAMEHEADERS,0))),(INDEX(ALLCLASSDATA,MATCH("SimpleExpert",CLASSFEATUREHEADERS,0),MATCH(($A152 &amp; "Points"),CLASSNAMEHEADERS,0))),(IF("03"=(INDEX(ALLCLASSDATA,MATCH("SimpleTrained",CLASSFEATUREHEADERS,0),MATCH($A152,CLASSNAMEHEADERS,0))),(INDEX(ALLCLASSDATA,MATCH("SimpleTrained",CLASSFEATUREHEADERS,0),MATCH(($A152 &amp; "Points"),CLASSNAMEHEADERS,0))),"")))))))))}</f>
        <v>SIMPLEL03</v>
      </c>
      <c r="J151" s="223"/>
      <c r="K151" s="223" t="str">
        <f t="array" ref="K151:K152">{"SIMPLEL05";((IF("05"=(INDEX(ALLCLASSDATA,MATCH("SimpleLegendary",CLASSFEATUREHEADERS,0),MATCH($A152,CLASSNAMEHEADERS,0))),(INDEX(ALLCLASSDATA,MATCH("SimpleLegendary",CLASSFEATUREHEADERS,0),MATCH(($A152 &amp; "Points"),CLASSNAMEHEADERS,0))),(IF("05"=(INDEX(ALLCLASSDATA,MATCH("SimpleMaster",CLASSFEATUREHEADERS,0),MATCH($A152,CLASSNAMEHEADERS,0))),(INDEX(ALLCLASSDATA,MATCH("SimpleMaster",CLASSFEATUREHEADERS,0),MATCH(($A152 &amp; "Points"),CLASSNAMEHEADERS,0))),(IF("05"=(INDEX(ALLCLASSDATA,MATCH("SimpleExpert",CLASSFEATUREHEADERS,0),MATCH($A152,CLASSNAMEHEADERS,0))),(INDEX(ALLCLASSDATA,MATCH("SimpleExpert",CLASSFEATUREHEADERS,0),MATCH(($A152 &amp; "Points"),CLASSNAMEHEADERS,0))),(IF("05"=(INDEX(ALLCLASSDATA,MATCH("SimpleTrained",CLASSFEATUREHEADERS,0),MATCH($A152,CLASSNAMEHEADERS,0))),(INDEX(ALLCLASSDATA,MATCH("SimpleTrained",CLASSFEATUREHEADERS,0),MATCH(($A152 &amp; "Points"),CLASSNAMEHEADERS,0))),"")))))))))}</f>
        <v>SIMPLEL05</v>
      </c>
      <c r="L151" s="223"/>
      <c r="M151" s="223" t="str">
        <f t="array" ref="M151:M152">{"SIMPLEL07";((IF("07"=(INDEX(ALLCLASSDATA,MATCH("SimpleLegendary",CLASSFEATUREHEADERS,0),MATCH($A152,CLASSNAMEHEADERS,0))),(INDEX(ALLCLASSDATA,MATCH("SimpleLegendary",CLASSFEATUREHEADERS,0),MATCH(($A152 &amp; "Points"),CLASSNAMEHEADERS,0))),(IF("07"=(INDEX(ALLCLASSDATA,MATCH("SimpleMaster",CLASSFEATUREHEADERS,0),MATCH($A152,CLASSNAMEHEADERS,0))),(INDEX(ALLCLASSDATA,MATCH("SimpleMaster",CLASSFEATUREHEADERS,0),MATCH(($A152 &amp; "Points"),CLASSNAMEHEADERS,0))),(IF("07"=(INDEX(ALLCLASSDATA,MATCH("SimpleExpert",CLASSFEATUREHEADERS,0),MATCH($A152,CLASSNAMEHEADERS,0))),(INDEX(ALLCLASSDATA,MATCH("SimpleExpert",CLASSFEATUREHEADERS,0),MATCH(($A152 &amp; "Points"),CLASSNAMEHEADERS,0))),(IF("07"=(INDEX(ALLCLASSDATA,MATCH("SimpleTrained",CLASSFEATUREHEADERS,0),MATCH($A152,CLASSNAMEHEADERS,0))),(INDEX(ALLCLASSDATA,MATCH("SimpleTrained",CLASSFEATUREHEADERS,0),MATCH(($A152 &amp; "Points"),CLASSNAMEHEADERS,0))),"")))))))))}</f>
        <v>SIMPLEL07</v>
      </c>
      <c r="N151" s="223"/>
      <c r="O151" s="223" t="str">
        <f t="array" ref="O151:O152">{"SIMPLEL09";((IF("09"=(INDEX(ALLCLASSDATA,MATCH("SimpleLegendary",CLASSFEATUREHEADERS,0),MATCH($A152,CLASSNAMEHEADERS,0))),(INDEX(ALLCLASSDATA,MATCH("SimpleLegendary",CLASSFEATUREHEADERS,0),MATCH(($A152 &amp; "Points"),CLASSNAMEHEADERS,0))),(IF("09"=(INDEX(ALLCLASSDATA,MATCH("SimpleMaster",CLASSFEATUREHEADERS,0),MATCH($A152,CLASSNAMEHEADERS,0))),(INDEX(ALLCLASSDATA,MATCH("SimpleMaster",CLASSFEATUREHEADERS,0),MATCH(($A152 &amp; "Points"),CLASSNAMEHEADERS,0))),(IF("09"=(INDEX(ALLCLASSDATA,MATCH("SimpleExpert",CLASSFEATUREHEADERS,0),MATCH($A152,CLASSNAMEHEADERS,0))),(INDEX(ALLCLASSDATA,MATCH("SimpleExpert",CLASSFEATUREHEADERS,0),MATCH(($A152 &amp; "Points"),CLASSNAMEHEADERS,0))),(IF("09"=(INDEX(ALLCLASSDATA,MATCH("SimpleTrained",CLASSFEATUREHEADERS,0),MATCH($A152,CLASSNAMEHEADERS,0))),(INDEX(ALLCLASSDATA,MATCH("SimpleTrained",CLASSFEATUREHEADERS,0),MATCH(($A152 &amp; "Points"),CLASSNAMEHEADERS,0))),"")))))))))}</f>
        <v>SIMPLEL09</v>
      </c>
      <c r="P151" s="223"/>
      <c r="Q151" s="223" t="str">
        <f t="array" ref="Q151:Q152">{"SIMPLEL11";((IF("11"=(INDEX(ALLCLASSDATA,MATCH("SimpleLegendary",CLASSFEATUREHEADERS,0),MATCH($A152,CLASSNAMEHEADERS,0))),(INDEX(ALLCLASSDATA,MATCH("SimpleLegendary",CLASSFEATUREHEADERS,0),MATCH(($A152 &amp; "Points"),CLASSNAMEHEADERS,0))),(IF("11"=(INDEX(ALLCLASSDATA,MATCH("SimpleMaster",CLASSFEATUREHEADERS,0),MATCH($A152,CLASSNAMEHEADERS,0))),(INDEX(ALLCLASSDATA,MATCH("SimpleMaster",CLASSFEATUREHEADERS,0),MATCH(($A152 &amp; "Points"),CLASSNAMEHEADERS,0))),(IF("11"=(INDEX(ALLCLASSDATA,MATCH("SimpleExpert",CLASSFEATUREHEADERS,0),MATCH($A152,CLASSNAMEHEADERS,0))),(INDEX(ALLCLASSDATA,MATCH("SimpleExpert",CLASSFEATUREHEADERS,0),MATCH(($A152 &amp; "Points"),CLASSNAMEHEADERS,0))),(IF("11"=(INDEX(ALLCLASSDATA,MATCH("SimpleTrained",CLASSFEATUREHEADERS,0),MATCH($A152,CLASSNAMEHEADERS,0))),(INDEX(ALLCLASSDATA,MATCH("SimpleTrained",CLASSFEATUREHEADERS,0),MATCH(($A152 &amp; "Points"),CLASSNAMEHEADERS,0))),"")))))))))}</f>
        <v>SIMPLEL11</v>
      </c>
      <c r="R151" s="223"/>
      <c r="S151" s="223" t="str">
        <f t="array" ref="S151:S152">{"SIMPLEL13";((IF("13"=(INDEX(ALLCLASSDATA,MATCH("SimpleLegendary",CLASSFEATUREHEADERS,0),MATCH($A152,CLASSNAMEHEADERS,0))),(INDEX(ALLCLASSDATA,MATCH("SimpleLegendary",CLASSFEATUREHEADERS,0),MATCH(($A152 &amp; "Points"),CLASSNAMEHEADERS,0))),(IF("13"=(INDEX(ALLCLASSDATA,MATCH("SimpleMaster",CLASSFEATUREHEADERS,0),MATCH($A152,CLASSNAMEHEADERS,0))),(INDEX(ALLCLASSDATA,MATCH("SimpleMaster",CLASSFEATUREHEADERS,0),MATCH(($A152 &amp; "Points"),CLASSNAMEHEADERS,0))),(IF("13"=(INDEX(ALLCLASSDATA,MATCH("SimpleExpert",CLASSFEATUREHEADERS,0),MATCH($A152,CLASSNAMEHEADERS,0))),(INDEX(ALLCLASSDATA,MATCH("SimpleExpert",CLASSFEATUREHEADERS,0),MATCH(($A152 &amp; "Points"),CLASSNAMEHEADERS,0))),(IF("13"=(INDEX(ALLCLASSDATA,MATCH("SimpleTrained",CLASSFEATUREHEADERS,0),MATCH($A152,CLASSNAMEHEADERS,0))),(INDEX(ALLCLASSDATA,MATCH("SimpleTrained",CLASSFEATUREHEADERS,0),MATCH(($A152 &amp; "Points"),CLASSNAMEHEADERS,0))),"")))))))))}</f>
        <v>SIMPLEL13</v>
      </c>
      <c r="T151" s="223"/>
      <c r="U151" s="223" t="str">
        <f t="array" ref="U151:U152">{"SIMPLEL15";((IF("15"=(INDEX(ALLCLASSDATA,MATCH("SimpleLegendary",CLASSFEATUREHEADERS,0),MATCH($A152,CLASSNAMEHEADERS,0))),(INDEX(ALLCLASSDATA,MATCH("SimpleLegendary",CLASSFEATUREHEADERS,0),MATCH(($A152 &amp; "Points"),CLASSNAMEHEADERS,0))),(IF("15"=(INDEX(ALLCLASSDATA,MATCH("SimpleMaster",CLASSFEATUREHEADERS,0),MATCH($A152,CLASSNAMEHEADERS,0))),(INDEX(ALLCLASSDATA,MATCH("SimpleMaster",CLASSFEATUREHEADERS,0),MATCH(($A152 &amp; "Points"),CLASSNAMEHEADERS,0))),(IF("15"=(INDEX(ALLCLASSDATA,MATCH("SimpleExpert",CLASSFEATUREHEADERS,0),MATCH($A152,CLASSNAMEHEADERS,0))),(INDEX(ALLCLASSDATA,MATCH("SimpleExpert",CLASSFEATUREHEADERS,0),MATCH(($A152 &amp; "Points"),CLASSNAMEHEADERS,0))),(IF("15"=(INDEX(ALLCLASSDATA,MATCH("SimpleTrained",CLASSFEATUREHEADERS,0),MATCH($A152,CLASSNAMEHEADERS,0))),(INDEX(ALLCLASSDATA,MATCH("SimpleTrained",CLASSFEATUREHEADERS,0),MATCH(($A152 &amp; "Points"),CLASSNAMEHEADERS,0))),"")))))))))}</f>
        <v>SIMPLEL15</v>
      </c>
      <c r="V151" s="223"/>
      <c r="W151" s="223" t="str">
        <f t="array" ref="W151:W152">{"SIMPLEL17";((IF("17"=(INDEX(ALLCLASSDATA,MATCH("SimpleLegendary",CLASSFEATUREHEADERS,0),MATCH($A152,CLASSNAMEHEADERS,0))),(INDEX(ALLCLASSDATA,MATCH("SimpleLegendary",CLASSFEATUREHEADERS,0),MATCH(($A152 &amp; "Points"),CLASSNAMEHEADERS,0))),(IF("17"=(INDEX(ALLCLASSDATA,MATCH("SimpleMaster",CLASSFEATUREHEADERS,0),MATCH($A152,CLASSNAMEHEADERS,0))),(INDEX(ALLCLASSDATA,MATCH("SimpleMaster",CLASSFEATUREHEADERS,0),MATCH(($A152 &amp; "Points"),CLASSNAMEHEADERS,0))),(IF("17"=(INDEX(ALLCLASSDATA,MATCH("SimpleExpert",CLASSFEATUREHEADERS,0),MATCH($A152,CLASSNAMEHEADERS,0))),(INDEX(ALLCLASSDATA,MATCH("SimpleExpert",CLASSFEATUREHEADERS,0),MATCH(($A152 &amp; "Points"),CLASSNAMEHEADERS,0))),(IF("17"=(INDEX(ALLCLASSDATA,MATCH("SimpleTrained",CLASSFEATUREHEADERS,0),MATCH($A152,CLASSNAMEHEADERS,0))),(INDEX(ALLCLASSDATA,MATCH("SimpleTrained",CLASSFEATUREHEADERS,0),MATCH(($A152 &amp; "Points"),CLASSNAMEHEADERS,0))),"")))))))))}</f>
        <v>SIMPLEL17</v>
      </c>
      <c r="X151" s="223"/>
      <c r="Y151" s="223" t="str">
        <f t="array" ref="Y151:Y152">{"SIMPLEL19";((IF("19"=(INDEX(ALLCLASSDATA,MATCH("SimpleLegendary",CLASSFEATUREHEADERS,0),MATCH($A152,CLASSNAMEHEADERS,0))),(INDEX(ALLCLASSDATA,MATCH("SimpleLegendary",CLASSFEATUREHEADERS,0),MATCH(($A152 &amp; "Points"),CLASSNAMEHEADERS,0))),(IF("19"=(INDEX(ALLCLASSDATA,MATCH("SimpleMaster",CLASSFEATUREHEADERS,0),MATCH($A152,CLASSNAMEHEADERS,0))),(INDEX(ALLCLASSDATA,MATCH("SimpleMaster",CLASSFEATUREHEADERS,0),MATCH(($A152 &amp; "Points"),CLASSNAMEHEADERS,0))),(IF("19"=(INDEX(ALLCLASSDATA,MATCH("SimpleExpert",CLASSFEATUREHEADERS,0),MATCH($A152,CLASSNAMEHEADERS,0))),(INDEX(ALLCLASSDATA,MATCH("SimpleExpert",CLASSFEATUREHEADERS,0),MATCH(($A152 &amp; "Points"),CLASSNAMEHEADERS,0))),(IF("19"=(INDEX(ALLCLASSDATA,MATCH("SimpleTrained",CLASSFEATUREHEADERS,0),MATCH($A152,CLASSNAMEHEADERS,0))),(INDEX(ALLCLASSDATA,MATCH("SimpleTrained",CLASSFEATUREHEADERS,0),MATCH(($A152 &amp; "Points"),CLASSNAMEHEADERS,0))),"")))))))))}</f>
        <v>SIMPLEL19</v>
      </c>
      <c r="Z151" s="223"/>
      <c r="AA151" s="76" t="str">
        <f t="array" ref="AA151:AA152">{"SIMPLE TOTAL";(IF(COUNTBLANK(F152:Z152)=17,"L",(IF(COUNTBLANK(F152:Z152)=18,"M",(IF(COUNTBLANK(F152:Z152)=19,"E",(IF(COUNTBLANK(F152:Z152)=20,"T",""))))))))}</f>
        <v>SIMPLE TOTAL</v>
      </c>
      <c r="AB151" s="76" t="str">
        <f t="array" ref="AB151:AB152">{"SIMPLE TOTAL";(sum(F152:Z152))}</f>
        <v>SIMPLE TOTAL</v>
      </c>
    </row>
    <row r="152">
      <c r="A152" s="48" t="s">
        <v>219</v>
      </c>
      <c r="B152" s="48" t="s">
        <v>418</v>
      </c>
      <c r="C152" s="48" t="s">
        <v>1634</v>
      </c>
      <c r="D152" s="48" t="s">
        <v>68</v>
      </c>
      <c r="E152" s="5" t="s">
        <v>435</v>
      </c>
      <c r="F152" s="47" t="s">
        <v>603</v>
      </c>
      <c r="G152" s="5">
        <v>10.0</v>
      </c>
      <c r="H152" s="5"/>
      <c r="I152" s="5" t="s">
        <v>603</v>
      </c>
      <c r="J152" s="5"/>
      <c r="K152" s="5" t="s">
        <v>603</v>
      </c>
      <c r="L152" s="5"/>
      <c r="M152" s="5" t="s">
        <v>603</v>
      </c>
      <c r="N152" s="5"/>
      <c r="O152" s="5" t="s">
        <v>603</v>
      </c>
      <c r="P152" s="5"/>
      <c r="Q152" s="5" t="s">
        <v>436</v>
      </c>
      <c r="R152" s="5"/>
      <c r="S152" s="5" t="s">
        <v>603</v>
      </c>
      <c r="T152" s="5"/>
      <c r="U152" s="5" t="s">
        <v>603</v>
      </c>
      <c r="V152" s="5"/>
      <c r="W152" s="5" t="s">
        <v>603</v>
      </c>
      <c r="X152" s="5"/>
      <c r="Y152" s="5" t="s">
        <v>603</v>
      </c>
      <c r="Z152" s="5"/>
      <c r="AA152" s="5" t="s">
        <v>436</v>
      </c>
      <c r="AB152" s="47">
        <v>10.0</v>
      </c>
    </row>
    <row r="153" hidden="1">
      <c r="A153" s="222" t="str">
        <f t="array" ref="A153:A154">{"FormulaRow30";(INDEX(CLASSLIST,A94,1))}</f>
        <v>FormulaRow30</v>
      </c>
      <c r="B153" s="222" t="str">
        <f t="array" ref="B153:B154">{"CLASSTYPE";((INDEX(ALLCLASSDATA,MATCH("ClassType",CLASSFEATUREHEADERS,0),MATCH($A154,CLASSNAMEHEADERS,0))))}</f>
        <v>CLASSTYPE</v>
      </c>
      <c r="C153" s="222" t="str">
        <f t="array" ref="C153:C154">{"ATTACK";"Attack"}</f>
        <v>ATTACK</v>
      </c>
      <c r="D153" s="222" t="str">
        <f t="array" ref="D153:D154">{"MARTIALLIMITED";"MartialLimited"}</f>
        <v>MARTIALLIMITED</v>
      </c>
      <c r="E153" s="223" t="str">
        <f t="array" ref="E153:E154">{"MARTIALLIMITEDINITIAL";((IF(G154=10,"T",(IF(G154=50,"E","")))))}</f>
        <v>MARTIALLIMITEDINITIAL</v>
      </c>
      <c r="F153" s="223" t="str">
        <f t="array" ref="F153:F154">{"MARTIALLIMITEDINITIALPTS";((IF("00"=(INDEX(ALLCLASSDATA,MATCH("MartialLimitedLegendary",CLASSFEATUREHEADERS,0),MATCH($A154,CLASSNAMEHEADERS,0))),(INDEX(ALLCLASSDATA,MATCH("MartialLimitedLegendary",CLASSFEATUREHEADERS,0),MATCH(($A154 &amp; "Points"),CLASSNAMEHEADERS,0))),(IF("00"=(INDEX(ALLCLASSDATA,MATCH("MartialLimitedMaster",CLASSFEATUREHEADERS,0),MATCH($A154,CLASSNAMEHEADERS,0))),(INDEX(ALLCLASSDATA,MATCH("MartialLimitedMaster",CLASSFEATUREHEADERS,0),MATCH(($A154 &amp; "Points"),CLASSNAMEHEADERS,0))),(IF("00"=(INDEX(ALLCLASSDATA,MATCH("MartialLimitedExpert",CLASSFEATUREHEADERS,0),MATCH($A154,CLASSNAMEHEADERS,0))),(INDEX(ALLCLASSDATA,MATCH("MartialLimitedExpert",CLASSFEATUREHEADERS,0),MATCH(($A154 &amp; "Points"),CLASSNAMEHEADERS,0))),(IF("00"=(INDEX(ALLCLASSDATA,MATCH("MartialLimitedTrained",CLASSFEATUREHEADERS,0),MATCH($A154,CLASSNAMEHEADERS,0))),(INDEX(ALLCLASSDATA,MATCH("MartialLimitedTrained",CLASSFEATUREHEADERS,0),MATCH(($A154 &amp; "Points"),CLASSNAMEHEADERS,0))),"")))))))))}</f>
        <v>MARTIALLIMITEDINITIALPTS</v>
      </c>
      <c r="G153" s="223" t="str">
        <f t="array" ref="G153:G154">{"MARTIALLIMITEDL01";((IF("01"=(INDEX(ALLCLASSDATA,MATCH("MartialLimitedLegendary",CLASSFEATUREHEADERS,0),MATCH($A154,CLASSNAMEHEADERS,0))),(INDEX(ALLCLASSDATA,MATCH("MartialLimitedLegendary",CLASSFEATUREHEADERS,0),MATCH(($A154 &amp; "Points"),CLASSNAMEHEADERS,0))),(IF("01"=(INDEX(ALLCLASSDATA,MATCH("MartialLimitedMaster",CLASSFEATUREHEADERS,0),MATCH($A154,CLASSNAMEHEADERS,0))),(INDEX(ALLCLASSDATA,MATCH("MartialLimitedMaster",CLASSFEATUREHEADERS,0),MATCH(($A154 &amp; "Points"),CLASSNAMEHEADERS,0))),(IF("01"=(INDEX(ALLCLASSDATA,MATCH("MartialLimitedExpert",CLASSFEATUREHEADERS,0),MATCH($A154,CLASSNAMEHEADERS,0))),(INDEX(ALLCLASSDATA,MATCH("MartialLimitedExpert",CLASSFEATUREHEADERS,0),MATCH(($A154 &amp; "Points"),CLASSNAMEHEADERS,0))),(IF("01"=(INDEX(ALLCLASSDATA,MATCH("MartialLimitedTrained",CLASSFEATUREHEADERS,0),MATCH($A154,CLASSNAMEHEADERS,0))),(INDEX(ALLCLASSDATA,MATCH("MartialLimitedTrained",CLASSFEATUREHEADERS,0),MATCH(($A154 &amp; "Points"),CLASSNAMEHEADERS,0))),"")))))))))}</f>
        <v>MARTIALLIMITEDL01</v>
      </c>
      <c r="H153" s="223"/>
      <c r="I153" s="223" t="str">
        <f t="array" ref="I153:I154">{"MARTIALLIMITEDL03";((IF("03"=(INDEX(ALLCLASSDATA,MATCH("MartialLimitedLegendary",CLASSFEATUREHEADERS,0),MATCH($A154,CLASSNAMEHEADERS,0))),(INDEX(ALLCLASSDATA,MATCH("MartialLimitedLegendary",CLASSFEATUREHEADERS,0),MATCH(($A154 &amp; "Points"),CLASSNAMEHEADERS,0))),(IF("03"=(INDEX(ALLCLASSDATA,MATCH("MartialLimitedMaster",CLASSFEATUREHEADERS,0),MATCH($A154,CLASSNAMEHEADERS,0))),(INDEX(ALLCLASSDATA,MATCH("MartialLimitedMaster",CLASSFEATUREHEADERS,0),MATCH(($A154 &amp; "Points"),CLASSNAMEHEADERS,0))),(IF("03"=(INDEX(ALLCLASSDATA,MATCH("MartialLimitedExpert",CLASSFEATUREHEADERS,0),MATCH($A154,CLASSNAMEHEADERS,0))),(INDEX(ALLCLASSDATA,MATCH("MartialLimitedExpert",CLASSFEATUREHEADERS,0),MATCH(($A154 &amp; "Points"),CLASSNAMEHEADERS,0))),(IF("03"=(INDEX(ALLCLASSDATA,MATCH("MartialLimitedTrained",CLASSFEATUREHEADERS,0),MATCH($A154,CLASSNAMEHEADERS,0))),(INDEX(ALLCLASSDATA,MATCH("MartialLimitedTrained",CLASSFEATUREHEADERS,0),MATCH(($A154 &amp; "Points"),CLASSNAMEHEADERS,0))),"")))))))))}</f>
        <v>MARTIALLIMITEDL03</v>
      </c>
      <c r="J153" s="223"/>
      <c r="K153" s="223" t="str">
        <f t="array" ref="K153:K154">{"MARTIALLIMITEDL05";((IF("05"=(INDEX(ALLCLASSDATA,MATCH("MartialLimitedLegendary",CLASSFEATUREHEADERS,0),MATCH($A154,CLASSNAMEHEADERS,0))),(INDEX(ALLCLASSDATA,MATCH("MartialLimitedLegendary",CLASSFEATUREHEADERS,0),MATCH(($A154 &amp; "Points"),CLASSNAMEHEADERS,0))),(IF("05"=(INDEX(ALLCLASSDATA,MATCH("MartialLimitedMaster",CLASSFEATUREHEADERS,0),MATCH($A154,CLASSNAMEHEADERS,0))),(INDEX(ALLCLASSDATA,MATCH("MartialLimitedMaster",CLASSFEATUREHEADERS,0),MATCH(($A154 &amp; "Points"),CLASSNAMEHEADERS,0))),(IF("05"=(INDEX(ALLCLASSDATA,MATCH("MartialLimitedExpert",CLASSFEATUREHEADERS,0),MATCH($A154,CLASSNAMEHEADERS,0))),(INDEX(ALLCLASSDATA,MATCH("MartialLimitedExpert",CLASSFEATUREHEADERS,0),MATCH(($A154 &amp; "Points"),CLASSNAMEHEADERS,0))),(IF("05"=(INDEX(ALLCLASSDATA,MATCH("MartialLimitedTrained",CLASSFEATUREHEADERS,0),MATCH($A154,CLASSNAMEHEADERS,0))),(INDEX(ALLCLASSDATA,MATCH("MartialLimitedTrained",CLASSFEATUREHEADERS,0),MATCH(($A154 &amp; "Points"),CLASSNAMEHEADERS,0))),"")))))))))}</f>
        <v>MARTIALLIMITEDL05</v>
      </c>
      <c r="L153" s="223"/>
      <c r="M153" s="223" t="str">
        <f t="array" ref="M153:M154">{"MARTIALLIMITEDL07";((IF("07"=(INDEX(ALLCLASSDATA,MATCH("MartialLimitedLegendary",CLASSFEATUREHEADERS,0),MATCH($A154,CLASSNAMEHEADERS,0))),(INDEX(ALLCLASSDATA,MATCH("MartialLimitedLegendary",CLASSFEATUREHEADERS,0),MATCH(($A154 &amp; "Points"),CLASSNAMEHEADERS,0))),(IF("07"=(INDEX(ALLCLASSDATA,MATCH("MartialLimitedMaster",CLASSFEATUREHEADERS,0),MATCH($A154,CLASSNAMEHEADERS,0))),(INDEX(ALLCLASSDATA,MATCH("MartialLimitedMaster",CLASSFEATUREHEADERS,0),MATCH(($A154 &amp; "Points"),CLASSNAMEHEADERS,0))),(IF("07"=(INDEX(ALLCLASSDATA,MATCH("MartialLimitedExpert",CLASSFEATUREHEADERS,0),MATCH($A154,CLASSNAMEHEADERS,0))),(INDEX(ALLCLASSDATA,MATCH("MartialLimitedExpert",CLASSFEATUREHEADERS,0),MATCH(($A154 &amp; "Points"),CLASSNAMEHEADERS,0))),(IF("07"=(INDEX(ALLCLASSDATA,MATCH("MartialLimitedTrained",CLASSFEATUREHEADERS,0),MATCH($A154,CLASSNAMEHEADERS,0))),(INDEX(ALLCLASSDATA,MATCH("MartialLimitedTrained",CLASSFEATUREHEADERS,0),MATCH(($A154 &amp; "Points"),CLASSNAMEHEADERS,0))),"")))))))))}</f>
        <v>MARTIALLIMITEDL07</v>
      </c>
      <c r="N153" s="223"/>
      <c r="O153" s="223" t="str">
        <f t="array" ref="O153:O154">{"MARTIALLIMITEDL09";((IF("09"=(INDEX(ALLCLASSDATA,MATCH("MartialLimitedLegendary",CLASSFEATUREHEADERS,0),MATCH($A154,CLASSNAMEHEADERS,0))),(INDEX(ALLCLASSDATA,MATCH("MartialLimitedLegendary",CLASSFEATUREHEADERS,0),MATCH(($A154 &amp; "Points"),CLASSNAMEHEADERS,0))),(IF("09"=(INDEX(ALLCLASSDATA,MATCH("MartialLimitedMaster",CLASSFEATUREHEADERS,0),MATCH($A154,CLASSNAMEHEADERS,0))),(INDEX(ALLCLASSDATA,MATCH("MartialLimitedMaster",CLASSFEATUREHEADERS,0),MATCH(($A154 &amp; "Points"),CLASSNAMEHEADERS,0))),(IF("09"=(INDEX(ALLCLASSDATA,MATCH("MartialLimitedExpert",CLASSFEATUREHEADERS,0),MATCH($A154,CLASSNAMEHEADERS,0))),(INDEX(ALLCLASSDATA,MATCH("MartialLimitedExpert",CLASSFEATUREHEADERS,0),MATCH(($A154 &amp; "Points"),CLASSNAMEHEADERS,0))),(IF("09"=(INDEX(ALLCLASSDATA,MATCH("MartialLimitedTrained",CLASSFEATUREHEADERS,0),MATCH($A154,CLASSNAMEHEADERS,0))),(INDEX(ALLCLASSDATA,MATCH("MartialLimitedTrained",CLASSFEATUREHEADERS,0),MATCH(($A154 &amp; "Points"),CLASSNAMEHEADERS,0))),"")))))))))}</f>
        <v>MARTIALLIMITEDL09</v>
      </c>
      <c r="P153" s="223"/>
      <c r="Q153" s="223" t="str">
        <f t="array" ref="Q153:Q154">{"MARTIALLIMITEDL11";((IF("11"=(INDEX(ALLCLASSDATA,MATCH("MartialLimitedLegendary",CLASSFEATUREHEADERS,0),MATCH($A154,CLASSNAMEHEADERS,0))),(INDEX(ALLCLASSDATA,MATCH("MartialLimitedLegendary",CLASSFEATUREHEADERS,0),MATCH(($A154 &amp; "Points"),CLASSNAMEHEADERS,0))),(IF("11"=(INDEX(ALLCLASSDATA,MATCH("MartialLimitedMaster",CLASSFEATUREHEADERS,0),MATCH($A154,CLASSNAMEHEADERS,0))),(INDEX(ALLCLASSDATA,MATCH("MartialLimitedMaster",CLASSFEATUREHEADERS,0),MATCH(($A154 &amp; "Points"),CLASSNAMEHEADERS,0))),(IF("11"=(INDEX(ALLCLASSDATA,MATCH("MartialLimitedExpert",CLASSFEATUREHEADERS,0),MATCH($A154,CLASSNAMEHEADERS,0))),(INDEX(ALLCLASSDATA,MATCH("MartialLimitedExpert",CLASSFEATUREHEADERS,0),MATCH(($A154 &amp; "Points"),CLASSNAMEHEADERS,0))),(IF("11"=(INDEX(ALLCLASSDATA,MATCH("MartialLimitedTrained",CLASSFEATUREHEADERS,0),MATCH($A154,CLASSNAMEHEADERS,0))),(INDEX(ALLCLASSDATA,MATCH("MartialLimitedTrained",CLASSFEATUREHEADERS,0),MATCH(($A154 &amp; "Points"),CLASSNAMEHEADERS,0))),"")))))))))}</f>
        <v>MARTIALLIMITEDL11</v>
      </c>
      <c r="R153" s="223"/>
      <c r="S153" s="223" t="str">
        <f t="array" ref="S153:S154">{"MARTIALLIMITEDL13";((IF("13"=(INDEX(ALLCLASSDATA,MATCH("MartialLimitedLegendary",CLASSFEATUREHEADERS,0),MATCH($A154,CLASSNAMEHEADERS,0))),(INDEX(ALLCLASSDATA,MATCH("MartialLimitedLegendary",CLASSFEATUREHEADERS,0),MATCH(($A154 &amp; "Points"),CLASSNAMEHEADERS,0))),(IF("13"=(INDEX(ALLCLASSDATA,MATCH("MartialLimitedMaster",CLASSFEATUREHEADERS,0),MATCH($A154,CLASSNAMEHEADERS,0))),(INDEX(ALLCLASSDATA,MATCH("MartialLimitedMaster",CLASSFEATUREHEADERS,0),MATCH(($A154 &amp; "Points"),CLASSNAMEHEADERS,0))),(IF("13"=(INDEX(ALLCLASSDATA,MATCH("MartialLimitedExpert",CLASSFEATUREHEADERS,0),MATCH($A154,CLASSNAMEHEADERS,0))),(INDEX(ALLCLASSDATA,MATCH("MartialLimitedExpert",CLASSFEATUREHEADERS,0),MATCH(($A154 &amp; "Points"),CLASSNAMEHEADERS,0))),(IF("13"=(INDEX(ALLCLASSDATA,MATCH("MartialLimitedTrained",CLASSFEATUREHEADERS,0),MATCH($A154,CLASSNAMEHEADERS,0))),(INDEX(ALLCLASSDATA,MATCH("MartialLimitedTrained",CLASSFEATUREHEADERS,0),MATCH(($A154 &amp; "Points"),CLASSNAMEHEADERS,0))),"")))))))))}</f>
        <v>MARTIALLIMITEDL13</v>
      </c>
      <c r="T153" s="223"/>
      <c r="U153" s="223" t="str">
        <f t="array" ref="U153:U154">{"MARTIALLIMITEDL15";((IF("15"=(INDEX(ALLCLASSDATA,MATCH("MartialLimitedLegendary",CLASSFEATUREHEADERS,0),MATCH($A154,CLASSNAMEHEADERS,0))),(INDEX(ALLCLASSDATA,MATCH("MartialLimitedLegendary",CLASSFEATUREHEADERS,0),MATCH(($A154 &amp; "Points"),CLASSNAMEHEADERS,0))),(IF("15"=(INDEX(ALLCLASSDATA,MATCH("MartialLimitedMaster",CLASSFEATUREHEADERS,0),MATCH($A154,CLASSNAMEHEADERS,0))),(INDEX(ALLCLASSDATA,MATCH("MartialLimitedMaster",CLASSFEATUREHEADERS,0),MATCH(($A154 &amp; "Points"),CLASSNAMEHEADERS,0))),(IF("15"=(INDEX(ALLCLASSDATA,MATCH("MartialLimitedExpert",CLASSFEATUREHEADERS,0),MATCH($A154,CLASSNAMEHEADERS,0))),(INDEX(ALLCLASSDATA,MATCH("MartialLimitedExpert",CLASSFEATUREHEADERS,0),MATCH(($A154 &amp; "Points"),CLASSNAMEHEADERS,0))),(IF("15"=(INDEX(ALLCLASSDATA,MATCH("MartialLimitedTrained",CLASSFEATUREHEADERS,0),MATCH($A154,CLASSNAMEHEADERS,0))),(INDEX(ALLCLASSDATA,MATCH("MartialLimitedTrained",CLASSFEATUREHEADERS,0),MATCH(($A154 &amp; "Points"),CLASSNAMEHEADERS,0))),"")))))))))}</f>
        <v>MARTIALLIMITEDL15</v>
      </c>
      <c r="V153" s="223"/>
      <c r="W153" s="223" t="str">
        <f t="array" ref="W153:W154">{"MARTIALLIMITEDL17";((IF("17"=(INDEX(ALLCLASSDATA,MATCH("MartialLimitedLegendary",CLASSFEATUREHEADERS,0),MATCH($A154,CLASSNAMEHEADERS,0))),(INDEX(ALLCLASSDATA,MATCH("MartialLimitedLegendary",CLASSFEATUREHEADERS,0),MATCH(($A154 &amp; "Points"),CLASSNAMEHEADERS,0))),(IF("17"=(INDEX(ALLCLASSDATA,MATCH("MartialLimitedMaster",CLASSFEATUREHEADERS,0),MATCH($A154,CLASSNAMEHEADERS,0))),(INDEX(ALLCLASSDATA,MATCH("MartialLimitedMaster",CLASSFEATUREHEADERS,0),MATCH(($A154 &amp; "Points"),CLASSNAMEHEADERS,0))),(IF("17"=(INDEX(ALLCLASSDATA,MATCH("MartialLimitedExpert",CLASSFEATUREHEADERS,0),MATCH($A154,CLASSNAMEHEADERS,0))),(INDEX(ALLCLASSDATA,MATCH("MartialLimitedExpert",CLASSFEATUREHEADERS,0),MATCH(($A154 &amp; "Points"),CLASSNAMEHEADERS,0))),(IF("17"=(INDEX(ALLCLASSDATA,MATCH("MartialLimitedTrained",CLASSFEATUREHEADERS,0),MATCH($A154,CLASSNAMEHEADERS,0))),(INDEX(ALLCLASSDATA,MATCH("MartialLimitedTrained",CLASSFEATUREHEADERS,0),MATCH(($A154 &amp; "Points"),CLASSNAMEHEADERS,0))),"")))))))))}</f>
        <v>MARTIALLIMITEDL17</v>
      </c>
      <c r="X153" s="223"/>
      <c r="Y153" s="223" t="str">
        <f t="array" ref="Y153:Y154">{"MARTIALLIMITEDL19";((IF("19"=(INDEX(ALLCLASSDATA,MATCH("MartialLimitedLegendary",CLASSFEATUREHEADERS,0),MATCH($A154,CLASSNAMEHEADERS,0))),(INDEX(ALLCLASSDATA,MATCH("MartialLimitedLegendary",CLASSFEATUREHEADERS,0),MATCH(($A154 &amp; "Points"),CLASSNAMEHEADERS,0))),(IF("19"=(INDEX(ALLCLASSDATA,MATCH("MartialLimitedMaster",CLASSFEATUREHEADERS,0),MATCH($A154,CLASSNAMEHEADERS,0))),(INDEX(ALLCLASSDATA,MATCH("MartialLimitedMaster",CLASSFEATUREHEADERS,0),MATCH(($A154 &amp; "Points"),CLASSNAMEHEADERS,0))),(IF("19"=(INDEX(ALLCLASSDATA,MATCH("MartialLimitedExpert",CLASSFEATUREHEADERS,0),MATCH($A154,CLASSNAMEHEADERS,0))),(INDEX(ALLCLASSDATA,MATCH("MartialLimitedExpert",CLASSFEATUREHEADERS,0),MATCH(($A154 &amp; "Points"),CLASSNAMEHEADERS,0))),(IF("19"=(INDEX(ALLCLASSDATA,MATCH("MartialLimitedTrained",CLASSFEATUREHEADERS,0),MATCH($A154,CLASSNAMEHEADERS,0))),(INDEX(ALLCLASSDATA,MATCH("MartialLimitedTrained",CLASSFEATUREHEADERS,0),MATCH(($A154 &amp; "Points"),CLASSNAMEHEADERS,0))),"")))))))))}</f>
        <v>MARTIALLIMITEDL19</v>
      </c>
      <c r="Z153" s="223"/>
      <c r="AA153" s="76" t="str">
        <f t="array" ref="AA153:AA154">{"MARTIALLIMITED TOTAL";(IF(COUNTBLANK(F154:Z154)=17,"L",(IF(COUNTBLANK(F154:Z154)=18,"M",(IF(COUNTBLANK(F154:Z154)=19,"E",(IF(COUNTBLANK(F154:Z154)=20,"T",""))))))))}</f>
        <v>MARTIALLIMITED TOTAL</v>
      </c>
      <c r="AB153" s="76" t="str">
        <f t="array" ref="AB153:AB154">{"MARTIALLIMITED TOTAL";(sum(F154:Z154))}</f>
        <v>MARTIALLIMITED TOTAL</v>
      </c>
    </row>
    <row r="154">
      <c r="A154" s="48" t="s">
        <v>219</v>
      </c>
      <c r="B154" s="48" t="s">
        <v>418</v>
      </c>
      <c r="C154" s="48" t="s">
        <v>1634</v>
      </c>
      <c r="D154" s="48" t="s">
        <v>600</v>
      </c>
      <c r="E154" s="5" t="s">
        <v>435</v>
      </c>
      <c r="F154" s="47" t="s">
        <v>603</v>
      </c>
      <c r="G154" s="5">
        <v>10.0</v>
      </c>
      <c r="H154" s="5"/>
      <c r="I154" s="5" t="s">
        <v>603</v>
      </c>
      <c r="J154" s="5"/>
      <c r="K154" s="5" t="s">
        <v>603</v>
      </c>
      <c r="L154" s="5"/>
      <c r="M154" s="5" t="s">
        <v>603</v>
      </c>
      <c r="N154" s="5"/>
      <c r="O154" s="5" t="s">
        <v>603</v>
      </c>
      <c r="P154" s="5"/>
      <c r="Q154" s="5">
        <v>50.0</v>
      </c>
      <c r="R154" s="5"/>
      <c r="S154" s="5" t="s">
        <v>603</v>
      </c>
      <c r="T154" s="5"/>
      <c r="U154" s="5" t="s">
        <v>603</v>
      </c>
      <c r="V154" s="5"/>
      <c r="W154" s="5" t="s">
        <v>603</v>
      </c>
      <c r="X154" s="5"/>
      <c r="Y154" s="5" t="s">
        <v>603</v>
      </c>
      <c r="Z154" s="5"/>
      <c r="AA154" s="5" t="s">
        <v>436</v>
      </c>
      <c r="AB154" s="47">
        <v>60.0</v>
      </c>
    </row>
    <row r="155" hidden="1">
      <c r="A155" s="222" t="str">
        <f t="array" ref="A155:A156">{"FormulaRow31";(INDEX(CLASSLIST,A94,1))}</f>
        <v>FormulaRow31</v>
      </c>
      <c r="B155" s="222" t="str">
        <f t="array" ref="B155:B156">{"CLASSTYPE";((INDEX(ALLCLASSDATA,MATCH("ClassType",CLASSFEATUREHEADERS,0),MATCH($A156,CLASSNAMEHEADERS,0))))}</f>
        <v>CLASSTYPE</v>
      </c>
      <c r="C155" s="222" t="str">
        <f t="array" ref="C155:C156">{"ATTACK";"Attack"}</f>
        <v>ATTACK</v>
      </c>
      <c r="D155" s="222" t="str">
        <f t="array" ref="D155:D156">{"MARTIAL";"Martial"}</f>
        <v>MARTIAL</v>
      </c>
      <c r="E155" s="223" t="str">
        <f t="array" ref="E155:E156">{"MARTIALINITIAL";((IF(G156=10,"T",(IF(G156=50,"E","")))))}</f>
        <v>MARTIALINITIAL</v>
      </c>
      <c r="F155" s="223" t="str">
        <f t="array" ref="F155:F156">{"MARTIALINITIALPTS";((IF("00"=(INDEX(ALLCLASSDATA,MATCH("MartialLegendary",CLASSFEATUREHEADERS,0),MATCH($A156,CLASSNAMEHEADERS,0))),(INDEX(ALLCLASSDATA,MATCH("MartialLegendary",CLASSFEATUREHEADERS,0),MATCH(($A156 &amp; "Points"),CLASSNAMEHEADERS,0))),(IF("00"=(INDEX(ALLCLASSDATA,MATCH("MartialMaster",CLASSFEATUREHEADERS,0),MATCH($A156,CLASSNAMEHEADERS,0))),(INDEX(ALLCLASSDATA,MATCH("MartialMaster",CLASSFEATUREHEADERS,0),MATCH(($A156 &amp; "Points"),CLASSNAMEHEADERS,0))),(IF("00"=(INDEX(ALLCLASSDATA,MATCH("MartialExpert",CLASSFEATUREHEADERS,0),MATCH($A156,CLASSNAMEHEADERS,0))),(INDEX(ALLCLASSDATA,MATCH("MartialExpert",CLASSFEATUREHEADERS,0),MATCH(($A156 &amp; "Points"),CLASSNAMEHEADERS,0))),(IF("00"=(INDEX(ALLCLASSDATA,MATCH("MartialTrained",CLASSFEATUREHEADERS,0),MATCH($A156,CLASSNAMEHEADERS,0))),(INDEX(ALLCLASSDATA,MATCH("MartialTrained",CLASSFEATUREHEADERS,0),MATCH(($A156 &amp; "Points"),CLASSNAMEHEADERS,0))),"")))))))))}</f>
        <v>MARTIALINITIALPTS</v>
      </c>
      <c r="G155" s="223" t="str">
        <f t="array" ref="G155:G156">{"MARTIALL01";((IF("01"=(INDEX(ALLCLASSDATA,MATCH("MartialLegendary",CLASSFEATUREHEADERS,0),MATCH($A156,CLASSNAMEHEADERS,0))),(INDEX(ALLCLASSDATA,MATCH("MartialLegendary",CLASSFEATUREHEADERS,0),MATCH(($A156 &amp; "Points"),CLASSNAMEHEADERS,0))),(IF("01"=(INDEX(ALLCLASSDATA,MATCH("MartialMaster",CLASSFEATUREHEADERS,0),MATCH($A156,CLASSNAMEHEADERS,0))),(INDEX(ALLCLASSDATA,MATCH("MartialMaster",CLASSFEATUREHEADERS,0),MATCH(($A156 &amp; "Points"),CLASSNAMEHEADERS,0))),(IF("01"=(INDEX(ALLCLASSDATA,MATCH("MartialExpert",CLASSFEATUREHEADERS,0),MATCH($A156,CLASSNAMEHEADERS,0))),(INDEX(ALLCLASSDATA,MATCH("MartialExpert",CLASSFEATUREHEADERS,0),MATCH(($A156 &amp; "Points"),CLASSNAMEHEADERS,0))),(IF("01"=(INDEX(ALLCLASSDATA,MATCH("MartialTrained",CLASSFEATUREHEADERS,0),MATCH($A156,CLASSNAMEHEADERS,0))),(INDEX(ALLCLASSDATA,MATCH("MartialTrained",CLASSFEATUREHEADERS,0),MATCH(($A156 &amp; "Points"),CLASSNAMEHEADERS,0))),"")))))))))}</f>
        <v>MARTIALL01</v>
      </c>
      <c r="H155" s="223"/>
      <c r="I155" s="223" t="str">
        <f t="array" ref="I155:I156">{"MARTIALL03";((IF("03"=(INDEX(ALLCLASSDATA,MATCH("MartialLegendary",CLASSFEATUREHEADERS,0),MATCH($A156,CLASSNAMEHEADERS,0))),(INDEX(ALLCLASSDATA,MATCH("MartialLegendary",CLASSFEATUREHEADERS,0),MATCH(($A156 &amp; "Points"),CLASSNAMEHEADERS,0))),(IF("03"=(INDEX(ALLCLASSDATA,MATCH("MartialMaster",CLASSFEATUREHEADERS,0),MATCH($A156,CLASSNAMEHEADERS,0))),(INDEX(ALLCLASSDATA,MATCH("MartialMaster",CLASSFEATUREHEADERS,0),MATCH(($A156 &amp; "Points"),CLASSNAMEHEADERS,0))),(IF("03"=(INDEX(ALLCLASSDATA,MATCH("MartialExpert",CLASSFEATUREHEADERS,0),MATCH($A156,CLASSNAMEHEADERS,0))),(INDEX(ALLCLASSDATA,MATCH("MartialExpert",CLASSFEATUREHEADERS,0),MATCH(($A156 &amp; "Points"),CLASSNAMEHEADERS,0))),(IF("03"=(INDEX(ALLCLASSDATA,MATCH("MartialTrained",CLASSFEATUREHEADERS,0),MATCH($A156,CLASSNAMEHEADERS,0))),(INDEX(ALLCLASSDATA,MATCH("MartialTrained",CLASSFEATUREHEADERS,0),MATCH(($A156 &amp; "Points"),CLASSNAMEHEADERS,0))),"")))))))))}</f>
        <v>MARTIALL03</v>
      </c>
      <c r="J155" s="223"/>
      <c r="K155" s="223" t="str">
        <f t="array" ref="K155:K156">{"MARTIALL05";((IF("05"=(INDEX(ALLCLASSDATA,MATCH("MartialLegendary",CLASSFEATUREHEADERS,0),MATCH($A156,CLASSNAMEHEADERS,0))),(INDEX(ALLCLASSDATA,MATCH("MartialLegendary",CLASSFEATUREHEADERS,0),MATCH(($A156 &amp; "Points"),CLASSNAMEHEADERS,0))),(IF("05"=(INDEX(ALLCLASSDATA,MATCH("MartialMaster",CLASSFEATUREHEADERS,0),MATCH($A156,CLASSNAMEHEADERS,0))),(INDEX(ALLCLASSDATA,MATCH("MartialMaster",CLASSFEATUREHEADERS,0),MATCH(($A156 &amp; "Points"),CLASSNAMEHEADERS,0))),(IF("05"=(INDEX(ALLCLASSDATA,MATCH("MartialExpert",CLASSFEATUREHEADERS,0),MATCH($A156,CLASSNAMEHEADERS,0))),(INDEX(ALLCLASSDATA,MATCH("MartialExpert",CLASSFEATUREHEADERS,0),MATCH(($A156 &amp; "Points"),CLASSNAMEHEADERS,0))),(IF("05"=(INDEX(ALLCLASSDATA,MATCH("MartialTrained",CLASSFEATUREHEADERS,0),MATCH($A156,CLASSNAMEHEADERS,0))),(INDEX(ALLCLASSDATA,MATCH("MartialTrained",CLASSFEATUREHEADERS,0),MATCH(($A156 &amp; "Points"),CLASSNAMEHEADERS,0))),"")))))))))}</f>
        <v>MARTIALL05</v>
      </c>
      <c r="L155" s="223"/>
      <c r="M155" s="223" t="str">
        <f t="array" ref="M155:M156">{"MARTIALL07";((IF("07"=(INDEX(ALLCLASSDATA,MATCH("MartialLegendary",CLASSFEATUREHEADERS,0),MATCH($A156,CLASSNAMEHEADERS,0))),(INDEX(ALLCLASSDATA,MATCH("MartialLegendary",CLASSFEATUREHEADERS,0),MATCH(($A156 &amp; "Points"),CLASSNAMEHEADERS,0))),(IF("07"=(INDEX(ALLCLASSDATA,MATCH("MartialMaster",CLASSFEATUREHEADERS,0),MATCH($A156,CLASSNAMEHEADERS,0))),(INDEX(ALLCLASSDATA,MATCH("MartialMaster",CLASSFEATUREHEADERS,0),MATCH(($A156 &amp; "Points"),CLASSNAMEHEADERS,0))),(IF("07"=(INDEX(ALLCLASSDATA,MATCH("MartialExpert",CLASSFEATUREHEADERS,0),MATCH($A156,CLASSNAMEHEADERS,0))),(INDEX(ALLCLASSDATA,MATCH("MartialExpert",CLASSFEATUREHEADERS,0),MATCH(($A156 &amp; "Points"),CLASSNAMEHEADERS,0))),(IF("07"=(INDEX(ALLCLASSDATA,MATCH("MartialTrained",CLASSFEATUREHEADERS,0),MATCH($A156,CLASSNAMEHEADERS,0))),(INDEX(ALLCLASSDATA,MATCH("MartialTrained",CLASSFEATUREHEADERS,0),MATCH(($A156 &amp; "Points"),CLASSNAMEHEADERS,0))),"")))))))))}</f>
        <v>MARTIALL07</v>
      </c>
      <c r="N155" s="223"/>
      <c r="O155" s="223" t="str">
        <f t="array" ref="O155:O156">{"MARTIALL09";((IF("09"=(INDEX(ALLCLASSDATA,MATCH("MartialLegendary",CLASSFEATUREHEADERS,0),MATCH($A156,CLASSNAMEHEADERS,0))),(INDEX(ALLCLASSDATA,MATCH("MartialLegendary",CLASSFEATUREHEADERS,0),MATCH(($A156 &amp; "Points"),CLASSNAMEHEADERS,0))),(IF("09"=(INDEX(ALLCLASSDATA,MATCH("MartialMaster",CLASSFEATUREHEADERS,0),MATCH($A156,CLASSNAMEHEADERS,0))),(INDEX(ALLCLASSDATA,MATCH("MartialMaster",CLASSFEATUREHEADERS,0),MATCH(($A156 &amp; "Points"),CLASSNAMEHEADERS,0))),(IF("09"=(INDEX(ALLCLASSDATA,MATCH("MartialExpert",CLASSFEATUREHEADERS,0),MATCH($A156,CLASSNAMEHEADERS,0))),(INDEX(ALLCLASSDATA,MATCH("MartialExpert",CLASSFEATUREHEADERS,0),MATCH(($A156 &amp; "Points"),CLASSNAMEHEADERS,0))),(IF("09"=(INDEX(ALLCLASSDATA,MATCH("MartialTrained",CLASSFEATUREHEADERS,0),MATCH($A156,CLASSNAMEHEADERS,0))),(INDEX(ALLCLASSDATA,MATCH("MartialTrained",CLASSFEATUREHEADERS,0),MATCH(($A156 &amp; "Points"),CLASSNAMEHEADERS,0))),"")))))))))}</f>
        <v>MARTIALL09</v>
      </c>
      <c r="P155" s="223"/>
      <c r="Q155" s="223" t="str">
        <f t="array" ref="Q155:Q156">{"MARTIALL11";((IF("11"=(INDEX(ALLCLASSDATA,MATCH("MartialLegendary",CLASSFEATUREHEADERS,0),MATCH($A156,CLASSNAMEHEADERS,0))),(INDEX(ALLCLASSDATA,MATCH("MartialLegendary",CLASSFEATUREHEADERS,0),MATCH(($A156 &amp; "Points"),CLASSNAMEHEADERS,0))),(IF("11"=(INDEX(ALLCLASSDATA,MATCH("MartialMaster",CLASSFEATUREHEADERS,0),MATCH($A156,CLASSNAMEHEADERS,0))),(INDEX(ALLCLASSDATA,MATCH("MartialMaster",CLASSFEATUREHEADERS,0),MATCH(($A156 &amp; "Points"),CLASSNAMEHEADERS,0))),(IF("11"=(INDEX(ALLCLASSDATA,MATCH("MartialExpert",CLASSFEATUREHEADERS,0),MATCH($A156,CLASSNAMEHEADERS,0))),(INDEX(ALLCLASSDATA,MATCH("MartialExpert",CLASSFEATUREHEADERS,0),MATCH(($A156 &amp; "Points"),CLASSNAMEHEADERS,0))),(IF("11"=(INDEX(ALLCLASSDATA,MATCH("MartialTrained",CLASSFEATUREHEADERS,0),MATCH($A156,CLASSNAMEHEADERS,0))),(INDEX(ALLCLASSDATA,MATCH("MartialTrained",CLASSFEATUREHEADERS,0),MATCH(($A156 &amp; "Points"),CLASSNAMEHEADERS,0))),"")))))))))}</f>
        <v>MARTIALL11</v>
      </c>
      <c r="R155" s="223"/>
      <c r="S155" s="223" t="str">
        <f t="array" ref="S155:S156">{"MARTIALL13";((IF("13"=(INDEX(ALLCLASSDATA,MATCH("MartialLegendary",CLASSFEATUREHEADERS,0),MATCH($A156,CLASSNAMEHEADERS,0))),(INDEX(ALLCLASSDATA,MATCH("MartialLegendary",CLASSFEATUREHEADERS,0),MATCH(($A156 &amp; "Points"),CLASSNAMEHEADERS,0))),(IF("13"=(INDEX(ALLCLASSDATA,MATCH("MartialMaster",CLASSFEATUREHEADERS,0),MATCH($A156,CLASSNAMEHEADERS,0))),(INDEX(ALLCLASSDATA,MATCH("MartialMaster",CLASSFEATUREHEADERS,0),MATCH(($A156 &amp; "Points"),CLASSNAMEHEADERS,0))),(IF("13"=(INDEX(ALLCLASSDATA,MATCH("MartialExpert",CLASSFEATUREHEADERS,0),MATCH($A156,CLASSNAMEHEADERS,0))),(INDEX(ALLCLASSDATA,MATCH("MartialExpert",CLASSFEATUREHEADERS,0),MATCH(($A156 &amp; "Points"),CLASSNAMEHEADERS,0))),(IF("13"=(INDEX(ALLCLASSDATA,MATCH("MartialTrained",CLASSFEATUREHEADERS,0),MATCH($A156,CLASSNAMEHEADERS,0))),(INDEX(ALLCLASSDATA,MATCH("MartialTrained",CLASSFEATUREHEADERS,0),MATCH(($A156 &amp; "Points"),CLASSNAMEHEADERS,0))),"")))))))))}</f>
        <v>MARTIALL13</v>
      </c>
      <c r="T155" s="223"/>
      <c r="U155" s="223" t="str">
        <f t="array" ref="U155:U156">{"MARTIALL15";((IF("15"=(INDEX(ALLCLASSDATA,MATCH("MartialLegendary",CLASSFEATUREHEADERS,0),MATCH($A156,CLASSNAMEHEADERS,0))),(INDEX(ALLCLASSDATA,MATCH("MartialLegendary",CLASSFEATUREHEADERS,0),MATCH(($A156 &amp; "Points"),CLASSNAMEHEADERS,0))),(IF("15"=(INDEX(ALLCLASSDATA,MATCH("MartialMaster",CLASSFEATUREHEADERS,0),MATCH($A156,CLASSNAMEHEADERS,0))),(INDEX(ALLCLASSDATA,MATCH("MartialMaster",CLASSFEATUREHEADERS,0),MATCH(($A156 &amp; "Points"),CLASSNAMEHEADERS,0))),(IF("15"=(INDEX(ALLCLASSDATA,MATCH("MartialExpert",CLASSFEATUREHEADERS,0),MATCH($A156,CLASSNAMEHEADERS,0))),(INDEX(ALLCLASSDATA,MATCH("MartialExpert",CLASSFEATUREHEADERS,0),MATCH(($A156 &amp; "Points"),CLASSNAMEHEADERS,0))),(IF("15"=(INDEX(ALLCLASSDATA,MATCH("MartialTrained",CLASSFEATUREHEADERS,0),MATCH($A156,CLASSNAMEHEADERS,0))),(INDEX(ALLCLASSDATA,MATCH("MartialTrained",CLASSFEATUREHEADERS,0),MATCH(($A156 &amp; "Points"),CLASSNAMEHEADERS,0))),"")))))))))}</f>
        <v>MARTIALL15</v>
      </c>
      <c r="V155" s="223"/>
      <c r="W155" s="223" t="str">
        <f t="array" ref="W155:W156">{"MARTIALL17";((IF("17"=(INDEX(ALLCLASSDATA,MATCH("MartialLegendary",CLASSFEATUREHEADERS,0),MATCH($A156,CLASSNAMEHEADERS,0))),(INDEX(ALLCLASSDATA,MATCH("MartialLegendary",CLASSFEATUREHEADERS,0),MATCH(($A156 &amp; "Points"),CLASSNAMEHEADERS,0))),(IF("17"=(INDEX(ALLCLASSDATA,MATCH("MartialMaster",CLASSFEATUREHEADERS,0),MATCH($A156,CLASSNAMEHEADERS,0))),(INDEX(ALLCLASSDATA,MATCH("MartialMaster",CLASSFEATUREHEADERS,0),MATCH(($A156 &amp; "Points"),CLASSNAMEHEADERS,0))),(IF("17"=(INDEX(ALLCLASSDATA,MATCH("MartialExpert",CLASSFEATUREHEADERS,0),MATCH($A156,CLASSNAMEHEADERS,0))),(INDEX(ALLCLASSDATA,MATCH("MartialExpert",CLASSFEATUREHEADERS,0),MATCH(($A156 &amp; "Points"),CLASSNAMEHEADERS,0))),(IF("17"=(INDEX(ALLCLASSDATA,MATCH("MartialTrained",CLASSFEATUREHEADERS,0),MATCH($A156,CLASSNAMEHEADERS,0))),(INDEX(ALLCLASSDATA,MATCH("MartialTrained",CLASSFEATUREHEADERS,0),MATCH(($A156 &amp; "Points"),CLASSNAMEHEADERS,0))),"")))))))))}</f>
        <v>MARTIALL17</v>
      </c>
      <c r="X155" s="223"/>
      <c r="Y155" s="223" t="str">
        <f t="array" ref="Y155:Y156">{"MARTIALL19";((IF("19"=(INDEX(ALLCLASSDATA,MATCH("MartialLegendary",CLASSFEATUREHEADERS,0),MATCH($A156,CLASSNAMEHEADERS,0))),(INDEX(ALLCLASSDATA,MATCH("MartialLegendary",CLASSFEATUREHEADERS,0),MATCH(($A156 &amp; "Points"),CLASSNAMEHEADERS,0))),(IF("19"=(INDEX(ALLCLASSDATA,MATCH("MartialMaster",CLASSFEATUREHEADERS,0),MATCH($A156,CLASSNAMEHEADERS,0))),(INDEX(ALLCLASSDATA,MATCH("MartialMaster",CLASSFEATUREHEADERS,0),MATCH(($A156 &amp; "Points"),CLASSNAMEHEADERS,0))),(IF("19"=(INDEX(ALLCLASSDATA,MATCH("MartialExpert",CLASSFEATUREHEADERS,0),MATCH($A156,CLASSNAMEHEADERS,0))),(INDEX(ALLCLASSDATA,MATCH("MartialExpert",CLASSFEATUREHEADERS,0),MATCH(($A156 &amp; "Points"),CLASSNAMEHEADERS,0))),(IF("19"=(INDEX(ALLCLASSDATA,MATCH("MartialTrained",CLASSFEATUREHEADERS,0),MATCH($A156,CLASSNAMEHEADERS,0))),(INDEX(ALLCLASSDATA,MATCH("MartialTrained",CLASSFEATUREHEADERS,0),MATCH(($A156 &amp; "Points"),CLASSNAMEHEADERS,0))),"")))))))))}</f>
        <v>MARTIALL19</v>
      </c>
      <c r="Z155" s="223"/>
      <c r="AA155" s="76" t="str">
        <f t="array" ref="AA155:AA156">{"MARTIAL TOTAL";(IF(COUNTBLANK(F156:Z156)=17,"L",(IF(COUNTBLANK(F156:Z156)=18,"M",(IF(COUNTBLANK(F156:Z156)=19,"E",(IF(COUNTBLANK(F156:Z156)=20,"T",""))))))))}</f>
        <v>MARTIAL TOTAL</v>
      </c>
      <c r="AB155" s="76" t="str">
        <f t="array" ref="AB155:AB156">{"MARTIAL TOTAL";(sum(F156:Z156))}</f>
        <v>MARTIAL TOTAL</v>
      </c>
    </row>
    <row r="156">
      <c r="A156" s="48" t="s">
        <v>219</v>
      </c>
      <c r="B156" s="48" t="s">
        <v>418</v>
      </c>
      <c r="C156" s="48" t="s">
        <v>1634</v>
      </c>
      <c r="D156" s="48" t="s">
        <v>6</v>
      </c>
      <c r="E156" s="5" t="s">
        <v>603</v>
      </c>
      <c r="F156" s="47" t="s">
        <v>603</v>
      </c>
      <c r="G156" s="5" t="s">
        <v>603</v>
      </c>
      <c r="H156" s="5"/>
      <c r="I156" s="5" t="s">
        <v>603</v>
      </c>
      <c r="J156" s="5"/>
      <c r="K156" s="5" t="s">
        <v>603</v>
      </c>
      <c r="L156" s="5"/>
      <c r="M156" s="5" t="s">
        <v>603</v>
      </c>
      <c r="N156" s="5"/>
      <c r="O156" s="5" t="s">
        <v>603</v>
      </c>
      <c r="P156" s="48"/>
      <c r="Q156" s="5" t="s">
        <v>603</v>
      </c>
      <c r="R156" s="5"/>
      <c r="S156" s="5" t="s">
        <v>603</v>
      </c>
      <c r="T156" s="5"/>
      <c r="U156" s="5" t="s">
        <v>603</v>
      </c>
      <c r="V156" s="5"/>
      <c r="W156" s="5" t="s">
        <v>603</v>
      </c>
      <c r="X156" s="5"/>
      <c r="Y156" s="5" t="s">
        <v>603</v>
      </c>
      <c r="Z156" s="5"/>
      <c r="AA156" s="5" t="s">
        <v>603</v>
      </c>
      <c r="AB156" s="47">
        <v>0.0</v>
      </c>
    </row>
    <row r="157" hidden="1">
      <c r="A157" s="222" t="str">
        <f t="array" ref="A157:A158">{"FormulaRow32";(INDEX(CLASSLIST,A94,1))}</f>
        <v>FormulaRow32</v>
      </c>
      <c r="B157" s="222" t="str">
        <f t="array" ref="B157:B158">{"CLASSTYPE";((INDEX(ALLCLASSDATA,MATCH("ClassType",CLASSFEATUREHEADERS,0),MATCH($A158,CLASSNAMEHEADERS,0))))}</f>
        <v>CLASSTYPE</v>
      </c>
      <c r="C157" s="222" t="str">
        <f t="array" ref="C157:C158">{"ATTACK";"Attack"}</f>
        <v>ATTACK</v>
      </c>
      <c r="D157" s="222" t="str">
        <f t="array" ref="D157:D158">{"ADVANCEDGROUP";"AdvancedGroup"}</f>
        <v>ADVANCEDGROUP</v>
      </c>
      <c r="E157" s="223" t="str">
        <f t="array" ref="E157:E158">{"ADVANCEDGROUPINITIAL";((IF(G158=10,"T",(IF(G158=50,"E","")))))}</f>
        <v>ADVANCEDGROUPINITIAL</v>
      </c>
      <c r="F157" s="223" t="str">
        <f t="array" ref="F157:F158">{"ADVANCEDGROUPINITIALPTS";((IF("00"=(INDEX(ALLCLASSDATA,MATCH("AdvancedGroupLegendary",CLASSFEATUREHEADERS,0),MATCH($A158,CLASSNAMEHEADERS,0))),(INDEX(ALLCLASSDATA,MATCH("AdvancedGroupLegendary",CLASSFEATUREHEADERS,0),MATCH(($A158 &amp; "Points"),CLASSNAMEHEADERS,0))),(IF("00"=(INDEX(ALLCLASSDATA,MATCH("AdvancedGroupMaster",CLASSFEATUREHEADERS,0),MATCH($A158,CLASSNAMEHEADERS,0))),(INDEX(ALLCLASSDATA,MATCH("AdvancedGroupMaster",CLASSFEATUREHEADERS,0),MATCH(($A158 &amp; "Points"),CLASSNAMEHEADERS,0))),(IF("00"=(INDEX(ALLCLASSDATA,MATCH("AdvancedGroupExpert",CLASSFEATUREHEADERS,0),MATCH($A158,CLASSNAMEHEADERS,0))),(INDEX(ALLCLASSDATA,MATCH("AdvancedGroupExpert",CLASSFEATUREHEADERS,0),MATCH(($A158 &amp; "Points"),CLASSNAMEHEADERS,0))),(IF("00"=(INDEX(ALLCLASSDATA,MATCH("AdvancedGroupTrained",CLASSFEATUREHEADERS,0),MATCH($A158,CLASSNAMEHEADERS,0))),(INDEX(ALLCLASSDATA,MATCH("AdvancedGroupTrained",CLASSFEATUREHEADERS,0),MATCH(($A158 &amp; "Points"),CLASSNAMEHEADERS,0))),"")))))))))}</f>
        <v>ADVANCEDGROUPINITIALPTS</v>
      </c>
      <c r="G157" s="223" t="str">
        <f t="array" ref="G157:G158">{"ADVANCEDGROUPL01";((IF("01"=(INDEX(ALLCLASSDATA,MATCH("AdvancedGroupLegendary",CLASSFEATUREHEADERS,0),MATCH($A158,CLASSNAMEHEADERS,0))),(INDEX(ALLCLASSDATA,MATCH("AdvancedGroupLegendary",CLASSFEATUREHEADERS,0),MATCH(($A158 &amp; "Points"),CLASSNAMEHEADERS,0))),(IF("01"=(INDEX(ALLCLASSDATA,MATCH("AdvancedGroupMaster",CLASSFEATUREHEADERS,0),MATCH($A158,CLASSNAMEHEADERS,0))),(INDEX(ALLCLASSDATA,MATCH("AdvancedGroupMaster",CLASSFEATUREHEADERS,0),MATCH(($A158 &amp; "Points"),CLASSNAMEHEADERS,0))),(IF("01"=(INDEX(ALLCLASSDATA,MATCH("AdvancedGroupExpert",CLASSFEATUREHEADERS,0),MATCH($A158,CLASSNAMEHEADERS,0))),(INDEX(ALLCLASSDATA,MATCH("AdvancedGroupExpert",CLASSFEATUREHEADERS,0),MATCH(($A158 &amp; "Points"),CLASSNAMEHEADERS,0))),(IF("01"=(INDEX(ALLCLASSDATA,MATCH("AdvancedGroupTrained",CLASSFEATUREHEADERS,0),MATCH($A158,CLASSNAMEHEADERS,0))),(INDEX(ALLCLASSDATA,MATCH("AdvancedGroupTrained",CLASSFEATUREHEADERS,0),MATCH(($A158 &amp; "Points"),CLASSNAMEHEADERS,0))),"")))))))))}</f>
        <v>ADVANCEDGROUPL01</v>
      </c>
      <c r="H157" s="223"/>
      <c r="I157" s="223" t="str">
        <f t="array" ref="I157:I158">{"ADVANCEDGROUPL03";((IF("03"=(INDEX(ALLCLASSDATA,MATCH("AdvancedGroupLegendary",CLASSFEATUREHEADERS,0),MATCH($A158,CLASSNAMEHEADERS,0))),(INDEX(ALLCLASSDATA,MATCH("AdvancedGroupLegendary",CLASSFEATUREHEADERS,0),MATCH(($A158 &amp; "Points"),CLASSNAMEHEADERS,0))),(IF("03"=(INDEX(ALLCLASSDATA,MATCH("AdvancedGroupMaster",CLASSFEATUREHEADERS,0),MATCH($A158,CLASSNAMEHEADERS,0))),(INDEX(ALLCLASSDATA,MATCH("AdvancedGroupMaster",CLASSFEATUREHEADERS,0),MATCH(($A158 &amp; "Points"),CLASSNAMEHEADERS,0))),(IF("03"=(INDEX(ALLCLASSDATA,MATCH("AdvancedGroupExpert",CLASSFEATUREHEADERS,0),MATCH($A158,CLASSNAMEHEADERS,0))),(INDEX(ALLCLASSDATA,MATCH("AdvancedGroupExpert",CLASSFEATUREHEADERS,0),MATCH(($A158 &amp; "Points"),CLASSNAMEHEADERS,0))),(IF("03"=(INDEX(ALLCLASSDATA,MATCH("AdvancedGroupTrained",CLASSFEATUREHEADERS,0),MATCH($A158,CLASSNAMEHEADERS,0))),(INDEX(ALLCLASSDATA,MATCH("AdvancedGroupTrained",CLASSFEATUREHEADERS,0),MATCH(($A158 &amp; "Points"),CLASSNAMEHEADERS,0))),"")))))))))}</f>
        <v>ADVANCEDGROUPL03</v>
      </c>
      <c r="J157" s="223"/>
      <c r="K157" s="223" t="str">
        <f t="array" ref="K157:K158">{"ADVANCEDGROUPL05";((IF("05"=(INDEX(ALLCLASSDATA,MATCH("AdvancedGroupLegendary",CLASSFEATUREHEADERS,0),MATCH($A158,CLASSNAMEHEADERS,0))),(INDEX(ALLCLASSDATA,MATCH("AdvancedGroupLegendary",CLASSFEATUREHEADERS,0),MATCH(($A158 &amp; "Points"),CLASSNAMEHEADERS,0))),(IF("05"=(INDEX(ALLCLASSDATA,MATCH("AdvancedGroupMaster",CLASSFEATUREHEADERS,0),MATCH($A158,CLASSNAMEHEADERS,0))),(INDEX(ALLCLASSDATA,MATCH("AdvancedGroupMaster",CLASSFEATUREHEADERS,0),MATCH(($A158 &amp; "Points"),CLASSNAMEHEADERS,0))),(IF("05"=(INDEX(ALLCLASSDATA,MATCH("AdvancedGroupExpert",CLASSFEATUREHEADERS,0),MATCH($A158,CLASSNAMEHEADERS,0))),(INDEX(ALLCLASSDATA,MATCH("AdvancedGroupExpert",CLASSFEATUREHEADERS,0),MATCH(($A158 &amp; "Points"),CLASSNAMEHEADERS,0))),(IF("05"=(INDEX(ALLCLASSDATA,MATCH("AdvancedGroupTrained",CLASSFEATUREHEADERS,0),MATCH($A158,CLASSNAMEHEADERS,0))),(INDEX(ALLCLASSDATA,MATCH("AdvancedGroupTrained",CLASSFEATUREHEADERS,0),MATCH(($A158 &amp; "Points"),CLASSNAMEHEADERS,0))),"")))))))))}</f>
        <v>ADVANCEDGROUPL05</v>
      </c>
      <c r="L157" s="223"/>
      <c r="M157" s="223" t="str">
        <f t="array" ref="M157:M158">{"ADVANCEDGROUPL07";((IF("07"=(INDEX(ALLCLASSDATA,MATCH("AdvancedGroupLegendary",CLASSFEATUREHEADERS,0),MATCH($A158,CLASSNAMEHEADERS,0))),(INDEX(ALLCLASSDATA,MATCH("AdvancedGroupLegendary",CLASSFEATUREHEADERS,0),MATCH(($A158 &amp; "Points"),CLASSNAMEHEADERS,0))),(IF("07"=(INDEX(ALLCLASSDATA,MATCH("AdvancedGroupMaster",CLASSFEATUREHEADERS,0),MATCH($A158,CLASSNAMEHEADERS,0))),(INDEX(ALLCLASSDATA,MATCH("AdvancedGroupMaster",CLASSFEATUREHEADERS,0),MATCH(($A158 &amp; "Points"),CLASSNAMEHEADERS,0))),(IF("07"=(INDEX(ALLCLASSDATA,MATCH("AdvancedGroupExpert",CLASSFEATUREHEADERS,0),MATCH($A158,CLASSNAMEHEADERS,0))),(INDEX(ALLCLASSDATA,MATCH("AdvancedGroupExpert",CLASSFEATUREHEADERS,0),MATCH(($A158 &amp; "Points"),CLASSNAMEHEADERS,0))),(IF("07"=(INDEX(ALLCLASSDATA,MATCH("AdvancedGroupTrained",CLASSFEATUREHEADERS,0),MATCH($A158,CLASSNAMEHEADERS,0))),(INDEX(ALLCLASSDATA,MATCH("AdvancedGroupTrained",CLASSFEATUREHEADERS,0),MATCH(($A158 &amp; "Points"),CLASSNAMEHEADERS,0))),"")))))))))}</f>
        <v>ADVANCEDGROUPL07</v>
      </c>
      <c r="N157" s="223"/>
      <c r="O157" s="223" t="str">
        <f t="array" ref="O157:O158">{"ADVANCEDGROUPL09";((IF("09"=(INDEX(ALLCLASSDATA,MATCH("AdvancedGroupLegendary",CLASSFEATUREHEADERS,0),MATCH($A158,CLASSNAMEHEADERS,0))),(INDEX(ALLCLASSDATA,MATCH("AdvancedGroupLegendary",CLASSFEATUREHEADERS,0),MATCH(($A158 &amp; "Points"),CLASSNAMEHEADERS,0))),(IF("09"=(INDEX(ALLCLASSDATA,MATCH("AdvancedGroupMaster",CLASSFEATUREHEADERS,0),MATCH($A158,CLASSNAMEHEADERS,0))),(INDEX(ALLCLASSDATA,MATCH("AdvancedGroupMaster",CLASSFEATUREHEADERS,0),MATCH(($A158 &amp; "Points"),CLASSNAMEHEADERS,0))),(IF("09"=(INDEX(ALLCLASSDATA,MATCH("AdvancedGroupExpert",CLASSFEATUREHEADERS,0),MATCH($A158,CLASSNAMEHEADERS,0))),(INDEX(ALLCLASSDATA,MATCH("AdvancedGroupExpert",CLASSFEATUREHEADERS,0),MATCH(($A158 &amp; "Points"),CLASSNAMEHEADERS,0))),(IF("09"=(INDEX(ALLCLASSDATA,MATCH("AdvancedGroupTrained",CLASSFEATUREHEADERS,0),MATCH($A158,CLASSNAMEHEADERS,0))),(INDEX(ALLCLASSDATA,MATCH("AdvancedGroupTrained",CLASSFEATUREHEADERS,0),MATCH(($A158 &amp; "Points"),CLASSNAMEHEADERS,0))),"")))))))))}</f>
        <v>ADVANCEDGROUPL09</v>
      </c>
      <c r="P157" s="223"/>
      <c r="Q157" s="223" t="str">
        <f t="array" ref="Q157:Q158">{"ADVANCEDGROUPL11";((IF("11"=(INDEX(ALLCLASSDATA,MATCH("AdvancedGroupLegendary",CLASSFEATUREHEADERS,0),MATCH($A158,CLASSNAMEHEADERS,0))),(INDEX(ALLCLASSDATA,MATCH("AdvancedGroupLegendary",CLASSFEATUREHEADERS,0),MATCH(($A158 &amp; "Points"),CLASSNAMEHEADERS,0))),(IF("11"=(INDEX(ALLCLASSDATA,MATCH("AdvancedGroupMaster",CLASSFEATUREHEADERS,0),MATCH($A158,CLASSNAMEHEADERS,0))),(INDEX(ALLCLASSDATA,MATCH("AdvancedGroupMaster",CLASSFEATUREHEADERS,0),MATCH(($A158 &amp; "Points"),CLASSNAMEHEADERS,0))),(IF("11"=(INDEX(ALLCLASSDATA,MATCH("AdvancedGroupExpert",CLASSFEATUREHEADERS,0),MATCH($A158,CLASSNAMEHEADERS,0))),(INDEX(ALLCLASSDATA,MATCH("AdvancedGroupExpert",CLASSFEATUREHEADERS,0),MATCH(($A158 &amp; "Points"),CLASSNAMEHEADERS,0))),(IF("11"=(INDEX(ALLCLASSDATA,MATCH("AdvancedGroupTrained",CLASSFEATUREHEADERS,0),MATCH($A158,CLASSNAMEHEADERS,0))),(INDEX(ALLCLASSDATA,MATCH("AdvancedGroupTrained",CLASSFEATUREHEADERS,0),MATCH(($A158 &amp; "Points"),CLASSNAMEHEADERS,0))),"")))))))))}</f>
        <v>ADVANCEDGROUPL11</v>
      </c>
      <c r="R157" s="223"/>
      <c r="S157" s="223" t="str">
        <f t="array" ref="S157:S158">{"ADVANCEDGROUPL13";((IF("13"=(INDEX(ALLCLASSDATA,MATCH("AdvancedGroupLegendary",CLASSFEATUREHEADERS,0),MATCH($A158,CLASSNAMEHEADERS,0))),(INDEX(ALLCLASSDATA,MATCH("AdvancedGroupLegendary",CLASSFEATUREHEADERS,0),MATCH(($A158 &amp; "Points"),CLASSNAMEHEADERS,0))),(IF("13"=(INDEX(ALLCLASSDATA,MATCH("AdvancedGroupMaster",CLASSFEATUREHEADERS,0),MATCH($A158,CLASSNAMEHEADERS,0))),(INDEX(ALLCLASSDATA,MATCH("AdvancedGroupMaster",CLASSFEATUREHEADERS,0),MATCH(($A158 &amp; "Points"),CLASSNAMEHEADERS,0))),(IF("13"=(INDEX(ALLCLASSDATA,MATCH("AdvancedGroupExpert",CLASSFEATUREHEADERS,0),MATCH($A158,CLASSNAMEHEADERS,0))),(INDEX(ALLCLASSDATA,MATCH("AdvancedGroupExpert",CLASSFEATUREHEADERS,0),MATCH(($A158 &amp; "Points"),CLASSNAMEHEADERS,0))),(IF("13"=(INDEX(ALLCLASSDATA,MATCH("AdvancedGroupTrained",CLASSFEATUREHEADERS,0),MATCH($A158,CLASSNAMEHEADERS,0))),(INDEX(ALLCLASSDATA,MATCH("AdvancedGroupTrained",CLASSFEATUREHEADERS,0),MATCH(($A158 &amp; "Points"),CLASSNAMEHEADERS,0))),"")))))))))}</f>
        <v>ADVANCEDGROUPL13</v>
      </c>
      <c r="T157" s="223"/>
      <c r="U157" s="223" t="str">
        <f t="array" ref="U157:U158">{"ADVANCEDGROUPL15";((IF("15"=(INDEX(ALLCLASSDATA,MATCH("AdvancedGroupLegendary",CLASSFEATUREHEADERS,0),MATCH($A158,CLASSNAMEHEADERS,0))),(INDEX(ALLCLASSDATA,MATCH("AdvancedGroupLegendary",CLASSFEATUREHEADERS,0),MATCH(($A158 &amp; "Points"),CLASSNAMEHEADERS,0))),(IF("15"=(INDEX(ALLCLASSDATA,MATCH("AdvancedGroupMaster",CLASSFEATUREHEADERS,0),MATCH($A158,CLASSNAMEHEADERS,0))),(INDEX(ALLCLASSDATA,MATCH("AdvancedGroupMaster",CLASSFEATUREHEADERS,0),MATCH(($A158 &amp; "Points"),CLASSNAMEHEADERS,0))),(IF("15"=(INDEX(ALLCLASSDATA,MATCH("AdvancedGroupExpert",CLASSFEATUREHEADERS,0),MATCH($A158,CLASSNAMEHEADERS,0))),(INDEX(ALLCLASSDATA,MATCH("AdvancedGroupExpert",CLASSFEATUREHEADERS,0),MATCH(($A158 &amp; "Points"),CLASSNAMEHEADERS,0))),(IF("15"=(INDEX(ALLCLASSDATA,MATCH("AdvancedGroupTrained",CLASSFEATUREHEADERS,0),MATCH($A158,CLASSNAMEHEADERS,0))),(INDEX(ALLCLASSDATA,MATCH("AdvancedGroupTrained",CLASSFEATUREHEADERS,0),MATCH(($A158 &amp; "Points"),CLASSNAMEHEADERS,0))),"")))))))))}</f>
        <v>ADVANCEDGROUPL15</v>
      </c>
      <c r="V157" s="223"/>
      <c r="W157" s="223" t="str">
        <f t="array" ref="W157:W158">{"ADVANCEDGROUPL17";((IF("17"=(INDEX(ALLCLASSDATA,MATCH("AdvancedGroupLegendary",CLASSFEATUREHEADERS,0),MATCH($A158,CLASSNAMEHEADERS,0))),(INDEX(ALLCLASSDATA,MATCH("AdvancedGroupLegendary",CLASSFEATUREHEADERS,0),MATCH(($A158 &amp; "Points"),CLASSNAMEHEADERS,0))),(IF("17"=(INDEX(ALLCLASSDATA,MATCH("AdvancedGroupMaster",CLASSFEATUREHEADERS,0),MATCH($A158,CLASSNAMEHEADERS,0))),(INDEX(ALLCLASSDATA,MATCH("AdvancedGroupMaster",CLASSFEATUREHEADERS,0),MATCH(($A158 &amp; "Points"),CLASSNAMEHEADERS,0))),(IF("17"=(INDEX(ALLCLASSDATA,MATCH("AdvancedGroupExpert",CLASSFEATUREHEADERS,0),MATCH($A158,CLASSNAMEHEADERS,0))),(INDEX(ALLCLASSDATA,MATCH("AdvancedGroupExpert",CLASSFEATUREHEADERS,0),MATCH(($A158 &amp; "Points"),CLASSNAMEHEADERS,0))),(IF("17"=(INDEX(ALLCLASSDATA,MATCH("AdvancedGroupTrained",CLASSFEATUREHEADERS,0),MATCH($A158,CLASSNAMEHEADERS,0))),(INDEX(ALLCLASSDATA,MATCH("AdvancedGroupTrained",CLASSFEATUREHEADERS,0),MATCH(($A158 &amp; "Points"),CLASSNAMEHEADERS,0))),"")))))))))}</f>
        <v>ADVANCEDGROUPL17</v>
      </c>
      <c r="X157" s="223"/>
      <c r="Y157" s="223" t="str">
        <f t="array" ref="Y157:Y158">{"ADVANCEDGROUPL19";((IF("19"=(INDEX(ALLCLASSDATA,MATCH("AdvancedGroupLegendary",CLASSFEATUREHEADERS,0),MATCH($A158,CLASSNAMEHEADERS,0))),(INDEX(ALLCLASSDATA,MATCH("AdvancedGroupLegendary",CLASSFEATUREHEADERS,0),MATCH(($A158 &amp; "Points"),CLASSNAMEHEADERS,0))),(IF("19"=(INDEX(ALLCLASSDATA,MATCH("AdvancedGroupMaster",CLASSFEATUREHEADERS,0),MATCH($A158,CLASSNAMEHEADERS,0))),(INDEX(ALLCLASSDATA,MATCH("AdvancedGroupMaster",CLASSFEATUREHEADERS,0),MATCH(($A158 &amp; "Points"),CLASSNAMEHEADERS,0))),(IF("19"=(INDEX(ALLCLASSDATA,MATCH("AdvancedGroupExpert",CLASSFEATUREHEADERS,0),MATCH($A158,CLASSNAMEHEADERS,0))),(INDEX(ALLCLASSDATA,MATCH("AdvancedGroupExpert",CLASSFEATUREHEADERS,0),MATCH(($A158 &amp; "Points"),CLASSNAMEHEADERS,0))),(IF("19"=(INDEX(ALLCLASSDATA,MATCH("AdvancedGroupTrained",CLASSFEATUREHEADERS,0),MATCH($A158,CLASSNAMEHEADERS,0))),(INDEX(ALLCLASSDATA,MATCH("AdvancedGroupTrained",CLASSFEATUREHEADERS,0),MATCH(($A158 &amp; "Points"),CLASSNAMEHEADERS,0))),"")))))))))}</f>
        <v>ADVANCEDGROUPL19</v>
      </c>
      <c r="Z157" s="223"/>
      <c r="AA157" s="76" t="str">
        <f t="array" ref="AA157:AA158">{"ADVANCEDGROUP TOTAL";(IF(COUNTBLANK(F158:Z158)=17,"L",(IF(COUNTBLANK(F158:Z158)=18,"M",(IF(COUNTBLANK(F158:Z158)=19,"E",(IF(COUNTBLANK(F158:Z158)=20,"T",""))))))))}</f>
        <v>ADVANCEDGROUP TOTAL</v>
      </c>
      <c r="AB157" s="76" t="str">
        <f t="array" ref="AB157:AB158">{"ADVANCEDGROUP TOTAL";(sum(F158:Z158))}</f>
        <v>ADVANCEDGROUP TOTAL</v>
      </c>
    </row>
    <row r="158">
      <c r="A158" s="48" t="s">
        <v>219</v>
      </c>
      <c r="B158" s="48" t="s">
        <v>418</v>
      </c>
      <c r="C158" s="48" t="s">
        <v>1634</v>
      </c>
      <c r="D158" s="48" t="s">
        <v>601</v>
      </c>
      <c r="E158" s="5" t="s">
        <v>603</v>
      </c>
      <c r="F158" s="47" t="s">
        <v>603</v>
      </c>
      <c r="G158" s="5" t="s">
        <v>603</v>
      </c>
      <c r="H158" s="5"/>
      <c r="I158" s="5" t="s">
        <v>603</v>
      </c>
      <c r="J158" s="5"/>
      <c r="K158" s="5" t="s">
        <v>603</v>
      </c>
      <c r="L158" s="5"/>
      <c r="M158" s="5" t="s">
        <v>603</v>
      </c>
      <c r="N158" s="5"/>
      <c r="O158" s="5" t="s">
        <v>603</v>
      </c>
      <c r="P158" s="5"/>
      <c r="Q158" s="5" t="s">
        <v>603</v>
      </c>
      <c r="R158" s="5"/>
      <c r="S158" s="5" t="s">
        <v>603</v>
      </c>
      <c r="T158" s="5"/>
      <c r="U158" s="5" t="s">
        <v>603</v>
      </c>
      <c r="V158" s="5"/>
      <c r="W158" s="5" t="s">
        <v>603</v>
      </c>
      <c r="X158" s="5"/>
      <c r="Y158" s="5" t="s">
        <v>603</v>
      </c>
      <c r="Z158" s="5"/>
      <c r="AA158" s="5" t="s">
        <v>603</v>
      </c>
      <c r="AB158" s="47">
        <v>0.0</v>
      </c>
    </row>
    <row r="159" hidden="1">
      <c r="A159" s="222" t="str">
        <f t="array" ref="A159:A160">{"FormulaRow33";(INDEX(CLASSLIST,A94,1))}</f>
        <v>FormulaRow33</v>
      </c>
      <c r="B159" s="222" t="str">
        <f t="array" ref="B159:B160">{"CLASSTYPE";((INDEX(ALLCLASSDATA,MATCH("ClassType",CLASSFEATUREHEADERS,0),MATCH($A160,CLASSNAMEHEADERS,0))))}</f>
        <v>CLASSTYPE</v>
      </c>
      <c r="C159" s="222" t="str">
        <f t="array" ref="C159:C160">{"ATTACK";"Attack"}</f>
        <v>ATTACK</v>
      </c>
      <c r="D159" s="222" t="str">
        <f t="array" ref="D159:D160">{"ADVANCED";"Advanced"}</f>
        <v>ADVANCED</v>
      </c>
      <c r="E159" s="223" t="str">
        <f t="array" ref="E159:E160">{"ADVANCEDINITIAL";((IF(G160=10,"T",(IF(G160=50,"E","")))))}</f>
        <v>ADVANCEDINITIAL</v>
      </c>
      <c r="F159" s="223" t="str">
        <f t="array" ref="F159:F160">{"ADVANCEDINITIALPTS";((IF("00"=(INDEX(ALLCLASSDATA,MATCH("AdvancedLegendary",CLASSFEATUREHEADERS,0),MATCH($A160,CLASSNAMEHEADERS,0))),(INDEX(ALLCLASSDATA,MATCH("AdvancedLegendary",CLASSFEATUREHEADERS,0),MATCH(($A160 &amp; "Points"),CLASSNAMEHEADERS,0))),(IF("00"=(INDEX(ALLCLASSDATA,MATCH("AdvancedMaster",CLASSFEATUREHEADERS,0),MATCH($A160,CLASSNAMEHEADERS,0))),(INDEX(ALLCLASSDATA,MATCH("AdvancedMaster",CLASSFEATUREHEADERS,0),MATCH(($A160 &amp; "Points"),CLASSNAMEHEADERS,0))),(IF("00"=(INDEX(ALLCLASSDATA,MATCH("AdvancedExpert",CLASSFEATUREHEADERS,0),MATCH($A160,CLASSNAMEHEADERS,0))),(INDEX(ALLCLASSDATA,MATCH("AdvancedExpert",CLASSFEATUREHEADERS,0),MATCH(($A160 &amp; "Points"),CLASSNAMEHEADERS,0))),(IF("00"=(INDEX(ALLCLASSDATA,MATCH("AdvancedTrained",CLASSFEATUREHEADERS,0),MATCH($A160,CLASSNAMEHEADERS,0))),(INDEX(ALLCLASSDATA,MATCH("AdvancedTrained",CLASSFEATUREHEADERS,0),MATCH(($A160 &amp; "Points"),CLASSNAMEHEADERS,0))),"")))))))))}</f>
        <v>ADVANCEDINITIALPTS</v>
      </c>
      <c r="G159" s="223" t="str">
        <f t="array" ref="G159:G160">{"ADVANCEDL01";((IF("01"=(INDEX(ALLCLASSDATA,MATCH("AdvancedLegendary",CLASSFEATUREHEADERS,0),MATCH($A160,CLASSNAMEHEADERS,0))),(INDEX(ALLCLASSDATA,MATCH("AdvancedLegendary",CLASSFEATUREHEADERS,0),MATCH(($A160 &amp; "Points"),CLASSNAMEHEADERS,0))),(IF("01"=(INDEX(ALLCLASSDATA,MATCH("AdvancedMaster",CLASSFEATUREHEADERS,0),MATCH($A160,CLASSNAMEHEADERS,0))),(INDEX(ALLCLASSDATA,MATCH("AdvancedMaster",CLASSFEATUREHEADERS,0),MATCH(($A160 &amp; "Points"),CLASSNAMEHEADERS,0))),(IF("01"=(INDEX(ALLCLASSDATA,MATCH("AdvancedExpert",CLASSFEATUREHEADERS,0),MATCH($A160,CLASSNAMEHEADERS,0))),(INDEX(ALLCLASSDATA,MATCH("AdvancedExpert",CLASSFEATUREHEADERS,0),MATCH(($A160 &amp; "Points"),CLASSNAMEHEADERS,0))),(IF("01"=(INDEX(ALLCLASSDATA,MATCH("AdvancedTrained",CLASSFEATUREHEADERS,0),MATCH($A160,CLASSNAMEHEADERS,0))),(INDEX(ALLCLASSDATA,MATCH("AdvancedTrained",CLASSFEATUREHEADERS,0),MATCH(($A160 &amp; "Points"),CLASSNAMEHEADERS,0))),"")))))))))}</f>
        <v>ADVANCEDL01</v>
      </c>
      <c r="H159" s="223"/>
      <c r="I159" s="223" t="str">
        <f t="array" ref="I159:I160">{"ADVANCEDL03";((IF("03"=(INDEX(ALLCLASSDATA,MATCH("AdvancedLegendary",CLASSFEATUREHEADERS,0),MATCH($A160,CLASSNAMEHEADERS,0))),(INDEX(ALLCLASSDATA,MATCH("AdvancedLegendary",CLASSFEATUREHEADERS,0),MATCH(($A160 &amp; "Points"),CLASSNAMEHEADERS,0))),(IF("03"=(INDEX(ALLCLASSDATA,MATCH("AdvancedMaster",CLASSFEATUREHEADERS,0),MATCH($A160,CLASSNAMEHEADERS,0))),(INDEX(ALLCLASSDATA,MATCH("AdvancedMaster",CLASSFEATUREHEADERS,0),MATCH(($A160 &amp; "Points"),CLASSNAMEHEADERS,0))),(IF("03"=(INDEX(ALLCLASSDATA,MATCH("AdvancedExpert",CLASSFEATUREHEADERS,0),MATCH($A160,CLASSNAMEHEADERS,0))),(INDEX(ALLCLASSDATA,MATCH("AdvancedExpert",CLASSFEATUREHEADERS,0),MATCH(($A160 &amp; "Points"),CLASSNAMEHEADERS,0))),(IF("03"=(INDEX(ALLCLASSDATA,MATCH("AdvancedTrained",CLASSFEATUREHEADERS,0),MATCH($A160,CLASSNAMEHEADERS,0))),(INDEX(ALLCLASSDATA,MATCH("AdvancedTrained",CLASSFEATUREHEADERS,0),MATCH(($A160 &amp; "Points"),CLASSNAMEHEADERS,0))),"")))))))))}</f>
        <v>ADVANCEDL03</v>
      </c>
      <c r="J159" s="223"/>
      <c r="K159" s="223" t="str">
        <f t="array" ref="K159:K160">{"ADVANCEDL05";((IF("05"=(INDEX(ALLCLASSDATA,MATCH("AdvancedLegendary",CLASSFEATUREHEADERS,0),MATCH($A160,CLASSNAMEHEADERS,0))),(INDEX(ALLCLASSDATA,MATCH("AdvancedLegendary",CLASSFEATUREHEADERS,0),MATCH(($A160 &amp; "Points"),CLASSNAMEHEADERS,0))),(IF("05"=(INDEX(ALLCLASSDATA,MATCH("AdvancedMaster",CLASSFEATUREHEADERS,0),MATCH($A160,CLASSNAMEHEADERS,0))),(INDEX(ALLCLASSDATA,MATCH("AdvancedMaster",CLASSFEATUREHEADERS,0),MATCH(($A160 &amp; "Points"),CLASSNAMEHEADERS,0))),(IF("05"=(INDEX(ALLCLASSDATA,MATCH("AdvancedExpert",CLASSFEATUREHEADERS,0),MATCH($A160,CLASSNAMEHEADERS,0))),(INDEX(ALLCLASSDATA,MATCH("AdvancedExpert",CLASSFEATUREHEADERS,0),MATCH(($A160 &amp; "Points"),CLASSNAMEHEADERS,0))),(IF("05"=(INDEX(ALLCLASSDATA,MATCH("AdvancedTrained",CLASSFEATUREHEADERS,0),MATCH($A160,CLASSNAMEHEADERS,0))),(INDEX(ALLCLASSDATA,MATCH("AdvancedTrained",CLASSFEATUREHEADERS,0),MATCH(($A160 &amp; "Points"),CLASSNAMEHEADERS,0))),"")))))))))}</f>
        <v>ADVANCEDL05</v>
      </c>
      <c r="L159" s="223"/>
      <c r="M159" s="223" t="str">
        <f t="array" ref="M159:M160">{"ADVANCEDL07";((IF("07"=(INDEX(ALLCLASSDATA,MATCH("AdvancedLegendary",CLASSFEATUREHEADERS,0),MATCH($A160,CLASSNAMEHEADERS,0))),(INDEX(ALLCLASSDATA,MATCH("AdvancedLegendary",CLASSFEATUREHEADERS,0),MATCH(($A160 &amp; "Points"),CLASSNAMEHEADERS,0))),(IF("07"=(INDEX(ALLCLASSDATA,MATCH("AdvancedMaster",CLASSFEATUREHEADERS,0),MATCH($A160,CLASSNAMEHEADERS,0))),(INDEX(ALLCLASSDATA,MATCH("AdvancedMaster",CLASSFEATUREHEADERS,0),MATCH(($A160 &amp; "Points"),CLASSNAMEHEADERS,0))),(IF("07"=(INDEX(ALLCLASSDATA,MATCH("AdvancedExpert",CLASSFEATUREHEADERS,0),MATCH($A160,CLASSNAMEHEADERS,0))),(INDEX(ALLCLASSDATA,MATCH("AdvancedExpert",CLASSFEATUREHEADERS,0),MATCH(($A160 &amp; "Points"),CLASSNAMEHEADERS,0))),(IF("07"=(INDEX(ALLCLASSDATA,MATCH("AdvancedTrained",CLASSFEATUREHEADERS,0),MATCH($A160,CLASSNAMEHEADERS,0))),(INDEX(ALLCLASSDATA,MATCH("AdvancedTrained",CLASSFEATUREHEADERS,0),MATCH(($A160 &amp; "Points"),CLASSNAMEHEADERS,0))),"")))))))))}</f>
        <v>ADVANCEDL07</v>
      </c>
      <c r="N159" s="223"/>
      <c r="O159" s="223" t="str">
        <f t="array" ref="O159:O160">{"ADVANCEDL09";((IF("09"=(INDEX(ALLCLASSDATA,MATCH("AdvancedLegendary",CLASSFEATUREHEADERS,0),MATCH($A160,CLASSNAMEHEADERS,0))),(INDEX(ALLCLASSDATA,MATCH("AdvancedLegendary",CLASSFEATUREHEADERS,0),MATCH(($A160 &amp; "Points"),CLASSNAMEHEADERS,0))),(IF("09"=(INDEX(ALLCLASSDATA,MATCH("AdvancedMaster",CLASSFEATUREHEADERS,0),MATCH($A160,CLASSNAMEHEADERS,0))),(INDEX(ALLCLASSDATA,MATCH("AdvancedMaster",CLASSFEATUREHEADERS,0),MATCH(($A160 &amp; "Points"),CLASSNAMEHEADERS,0))),(IF("09"=(INDEX(ALLCLASSDATA,MATCH("AdvancedExpert",CLASSFEATUREHEADERS,0),MATCH($A160,CLASSNAMEHEADERS,0))),(INDEX(ALLCLASSDATA,MATCH("AdvancedExpert",CLASSFEATUREHEADERS,0),MATCH(($A160 &amp; "Points"),CLASSNAMEHEADERS,0))),(IF("09"=(INDEX(ALLCLASSDATA,MATCH("AdvancedTrained",CLASSFEATUREHEADERS,0),MATCH($A160,CLASSNAMEHEADERS,0))),(INDEX(ALLCLASSDATA,MATCH("AdvancedTrained",CLASSFEATUREHEADERS,0),MATCH(($A160 &amp; "Points"),CLASSNAMEHEADERS,0))),"")))))))))}</f>
        <v>ADVANCEDL09</v>
      </c>
      <c r="P159" s="223"/>
      <c r="Q159" s="223" t="str">
        <f t="array" ref="Q159:Q160">{"ADVANCEDL11";((IF("11"=(INDEX(ALLCLASSDATA,MATCH("AdvancedLegendary",CLASSFEATUREHEADERS,0),MATCH($A160,CLASSNAMEHEADERS,0))),(INDEX(ALLCLASSDATA,MATCH("AdvancedLegendary",CLASSFEATUREHEADERS,0),MATCH(($A160 &amp; "Points"),CLASSNAMEHEADERS,0))),(IF("11"=(INDEX(ALLCLASSDATA,MATCH("AdvancedMaster",CLASSFEATUREHEADERS,0),MATCH($A160,CLASSNAMEHEADERS,0))),(INDEX(ALLCLASSDATA,MATCH("AdvancedMaster",CLASSFEATUREHEADERS,0),MATCH(($A160 &amp; "Points"),CLASSNAMEHEADERS,0))),(IF("11"=(INDEX(ALLCLASSDATA,MATCH("AdvancedExpert",CLASSFEATUREHEADERS,0),MATCH($A160,CLASSNAMEHEADERS,0))),(INDEX(ALLCLASSDATA,MATCH("AdvancedExpert",CLASSFEATUREHEADERS,0),MATCH(($A160 &amp; "Points"),CLASSNAMEHEADERS,0))),(IF("11"=(INDEX(ALLCLASSDATA,MATCH("AdvancedTrained",CLASSFEATUREHEADERS,0),MATCH($A160,CLASSNAMEHEADERS,0))),(INDEX(ALLCLASSDATA,MATCH("AdvancedTrained",CLASSFEATUREHEADERS,0),MATCH(($A160 &amp; "Points"),CLASSNAMEHEADERS,0))),"")))))))))}</f>
        <v>ADVANCEDL11</v>
      </c>
      <c r="R159" s="223"/>
      <c r="S159" s="223" t="str">
        <f t="array" ref="S159:S160">{"ADVANCEDL13";((IF("13"=(INDEX(ALLCLASSDATA,MATCH("AdvancedLegendary",CLASSFEATUREHEADERS,0),MATCH($A160,CLASSNAMEHEADERS,0))),(INDEX(ALLCLASSDATA,MATCH("AdvancedLegendary",CLASSFEATUREHEADERS,0),MATCH(($A160 &amp; "Points"),CLASSNAMEHEADERS,0))),(IF("13"=(INDEX(ALLCLASSDATA,MATCH("AdvancedMaster",CLASSFEATUREHEADERS,0),MATCH($A160,CLASSNAMEHEADERS,0))),(INDEX(ALLCLASSDATA,MATCH("AdvancedMaster",CLASSFEATUREHEADERS,0),MATCH(($A160 &amp; "Points"),CLASSNAMEHEADERS,0))),(IF("13"=(INDEX(ALLCLASSDATA,MATCH("AdvancedExpert",CLASSFEATUREHEADERS,0),MATCH($A160,CLASSNAMEHEADERS,0))),(INDEX(ALLCLASSDATA,MATCH("AdvancedExpert",CLASSFEATUREHEADERS,0),MATCH(($A160 &amp; "Points"),CLASSNAMEHEADERS,0))),(IF("13"=(INDEX(ALLCLASSDATA,MATCH("AdvancedTrained",CLASSFEATUREHEADERS,0),MATCH($A160,CLASSNAMEHEADERS,0))),(INDEX(ALLCLASSDATA,MATCH("AdvancedTrained",CLASSFEATUREHEADERS,0),MATCH(($A160 &amp; "Points"),CLASSNAMEHEADERS,0))),"")))))))))}</f>
        <v>ADVANCEDL13</v>
      </c>
      <c r="T159" s="223"/>
      <c r="U159" s="223" t="str">
        <f t="array" ref="U159:U160">{"ADVANCEDL15";((IF("15"=(INDEX(ALLCLASSDATA,MATCH("AdvancedLegendary",CLASSFEATUREHEADERS,0),MATCH($A160,CLASSNAMEHEADERS,0))),(INDEX(ALLCLASSDATA,MATCH("AdvancedLegendary",CLASSFEATUREHEADERS,0),MATCH(($A160 &amp; "Points"),CLASSNAMEHEADERS,0))),(IF("15"=(INDEX(ALLCLASSDATA,MATCH("AdvancedMaster",CLASSFEATUREHEADERS,0),MATCH($A160,CLASSNAMEHEADERS,0))),(INDEX(ALLCLASSDATA,MATCH("AdvancedMaster",CLASSFEATUREHEADERS,0),MATCH(($A160 &amp; "Points"),CLASSNAMEHEADERS,0))),(IF("15"=(INDEX(ALLCLASSDATA,MATCH("AdvancedExpert",CLASSFEATUREHEADERS,0),MATCH($A160,CLASSNAMEHEADERS,0))),(INDEX(ALLCLASSDATA,MATCH("AdvancedExpert",CLASSFEATUREHEADERS,0),MATCH(($A160 &amp; "Points"),CLASSNAMEHEADERS,0))),(IF("15"=(INDEX(ALLCLASSDATA,MATCH("AdvancedTrained",CLASSFEATUREHEADERS,0),MATCH($A160,CLASSNAMEHEADERS,0))),(INDEX(ALLCLASSDATA,MATCH("AdvancedTrained",CLASSFEATUREHEADERS,0),MATCH(($A160 &amp; "Points"),CLASSNAMEHEADERS,0))),"")))))))))}</f>
        <v>ADVANCEDL15</v>
      </c>
      <c r="V159" s="223"/>
      <c r="W159" s="223" t="str">
        <f t="array" ref="W159:W160">{"ADVANCEDL17";((IF("17"=(INDEX(ALLCLASSDATA,MATCH("AdvancedLegendary",CLASSFEATUREHEADERS,0),MATCH($A160,CLASSNAMEHEADERS,0))),(INDEX(ALLCLASSDATA,MATCH("AdvancedLegendary",CLASSFEATUREHEADERS,0),MATCH(($A160 &amp; "Points"),CLASSNAMEHEADERS,0))),(IF("17"=(INDEX(ALLCLASSDATA,MATCH("AdvancedMaster",CLASSFEATUREHEADERS,0),MATCH($A160,CLASSNAMEHEADERS,0))),(INDEX(ALLCLASSDATA,MATCH("AdvancedMaster",CLASSFEATUREHEADERS,0),MATCH(($A160 &amp; "Points"),CLASSNAMEHEADERS,0))),(IF("17"=(INDEX(ALLCLASSDATA,MATCH("AdvancedExpert",CLASSFEATUREHEADERS,0),MATCH($A160,CLASSNAMEHEADERS,0))),(INDEX(ALLCLASSDATA,MATCH("AdvancedExpert",CLASSFEATUREHEADERS,0),MATCH(($A160 &amp; "Points"),CLASSNAMEHEADERS,0))),(IF("17"=(INDEX(ALLCLASSDATA,MATCH("AdvancedTrained",CLASSFEATUREHEADERS,0),MATCH($A160,CLASSNAMEHEADERS,0))),(INDEX(ALLCLASSDATA,MATCH("AdvancedTrained",CLASSFEATUREHEADERS,0),MATCH(($A160 &amp; "Points"),CLASSNAMEHEADERS,0))),"")))))))))}</f>
        <v>ADVANCEDL17</v>
      </c>
      <c r="X159" s="223"/>
      <c r="Y159" s="223" t="str">
        <f t="array" ref="Y159:Y160">{"ADVANCEDL19";((IF("19"=(INDEX(ALLCLASSDATA,MATCH("AdvancedLegendary",CLASSFEATUREHEADERS,0),MATCH($A160,CLASSNAMEHEADERS,0))),(INDEX(ALLCLASSDATA,MATCH("AdvancedLegendary",CLASSFEATUREHEADERS,0),MATCH(($A160 &amp; "Points"),CLASSNAMEHEADERS,0))),(IF("19"=(INDEX(ALLCLASSDATA,MATCH("AdvancedMaster",CLASSFEATUREHEADERS,0),MATCH($A160,CLASSNAMEHEADERS,0))),(INDEX(ALLCLASSDATA,MATCH("AdvancedMaster",CLASSFEATUREHEADERS,0),MATCH(($A160 &amp; "Points"),CLASSNAMEHEADERS,0))),(IF("19"=(INDEX(ALLCLASSDATA,MATCH("AdvancedExpert",CLASSFEATUREHEADERS,0),MATCH($A160,CLASSNAMEHEADERS,0))),(INDEX(ALLCLASSDATA,MATCH("AdvancedExpert",CLASSFEATUREHEADERS,0),MATCH(($A160 &amp; "Points"),CLASSNAMEHEADERS,0))),(IF("19"=(INDEX(ALLCLASSDATA,MATCH("AdvancedTrained",CLASSFEATUREHEADERS,0),MATCH($A160,CLASSNAMEHEADERS,0))),(INDEX(ALLCLASSDATA,MATCH("AdvancedTrained",CLASSFEATUREHEADERS,0),MATCH(($A160 &amp; "Points"),CLASSNAMEHEADERS,0))),"")))))))))}</f>
        <v>ADVANCEDL19</v>
      </c>
      <c r="Z159" s="223"/>
      <c r="AA159" s="76" t="str">
        <f t="array" ref="AA159:AA160">{"ADVANCED TOTAL";(IF(COUNTBLANK(F160:Z160)=17,"L",(IF(COUNTBLANK(F160:Z160)=18,"M",(IF(COUNTBLANK(F160:Z160)=19,"E",(IF(COUNTBLANK(F160:Z160)=20,"T",""))))))))}</f>
        <v>ADVANCED TOTAL</v>
      </c>
      <c r="AB159" s="76" t="str">
        <f t="array" ref="AB159:AB160">{"ADVANCED TOTAL";(sum(F160:Z160))}</f>
        <v>ADVANCED TOTAL</v>
      </c>
    </row>
    <row r="160">
      <c r="A160" s="48" t="s">
        <v>219</v>
      </c>
      <c r="B160" s="48" t="s">
        <v>418</v>
      </c>
      <c r="C160" s="97" t="s">
        <v>1634</v>
      </c>
      <c r="D160" s="97" t="s">
        <v>602</v>
      </c>
      <c r="E160" s="98" t="s">
        <v>603</v>
      </c>
      <c r="F160" s="132" t="s">
        <v>603</v>
      </c>
      <c r="G160" s="98" t="s">
        <v>603</v>
      </c>
      <c r="H160" s="98"/>
      <c r="I160" s="98" t="s">
        <v>603</v>
      </c>
      <c r="J160" s="98"/>
      <c r="K160" s="98" t="s">
        <v>603</v>
      </c>
      <c r="L160" s="98"/>
      <c r="M160" s="98" t="s">
        <v>603</v>
      </c>
      <c r="N160" s="98"/>
      <c r="O160" s="98" t="s">
        <v>603</v>
      </c>
      <c r="P160" s="98"/>
      <c r="Q160" s="98" t="s">
        <v>603</v>
      </c>
      <c r="R160" s="98"/>
      <c r="S160" s="98" t="s">
        <v>603</v>
      </c>
      <c r="T160" s="98"/>
      <c r="U160" s="98" t="s">
        <v>603</v>
      </c>
      <c r="V160" s="98"/>
      <c r="W160" s="98" t="s">
        <v>603</v>
      </c>
      <c r="X160" s="98"/>
      <c r="Y160" s="98" t="s">
        <v>603</v>
      </c>
      <c r="Z160" s="98"/>
      <c r="AA160" s="5" t="s">
        <v>603</v>
      </c>
      <c r="AB160" s="47">
        <v>0.0</v>
      </c>
    </row>
    <row r="161" hidden="1">
      <c r="A161" s="222" t="str">
        <f t="array" ref="A161:A162">{"FormulaRow34";(INDEX(CLASSLIST,A94,1))}</f>
        <v>FormulaRow34</v>
      </c>
      <c r="B161" s="222" t="str">
        <f t="array" ref="B161:B162">{"CLASSTYPE";((INDEX(ALLCLASSDATA,MATCH("ClassType",CLASSFEATUREHEADERS,0),MATCH($A162,CLASSNAMEHEADERS,0))))}</f>
        <v>CLASSTYPE</v>
      </c>
      <c r="C161" s="222" t="str">
        <f t="array" ref="C161:C162">{"DEFENSE";"Defense"}</f>
        <v>DEFENSE</v>
      </c>
      <c r="D161" s="222" t="str">
        <f t="array" ref="D161:D162">{"ARMORSPECIAL";"ArmorAS"}</f>
        <v>ARMORSPECIAL</v>
      </c>
      <c r="E161" s="223"/>
      <c r="F161" s="223"/>
      <c r="G161" s="223" t="str">
        <f t="array" ref="G161:G162">{"ARMORSPECIALL01";((IF("01"=INDEX(ALLCLASSDATA,MATCH("ArmorSpecialization",CLASSFEATUREHEADERS,0),MATCH($A162,CLASSNAMEHEADERS,0)),ArmorAS,"")))}</f>
        <v>ARMORSPECIALL01</v>
      </c>
      <c r="H161" s="223"/>
      <c r="I161" s="223" t="str">
        <f t="array" ref="I161:I162">{"ARMORSPECIALL03";((IF("03"=INDEX(ALLCLASSDATA,MATCH("ArmorSpecialization",CLASSFEATUREHEADERS,0),MATCH($A162,CLASSNAMEHEADERS,0)),ArmorAS,"")))}</f>
        <v>ARMORSPECIALL03</v>
      </c>
      <c r="J161" s="223"/>
      <c r="K161" s="223" t="str">
        <f t="array" ref="K161:K162">{"ARMORSPECIALL05";((IF("05"=INDEX(ALLCLASSDATA,MATCH("ArmorSpecialization",CLASSFEATUREHEADERS,0),MATCH($A162,CLASSNAMEHEADERS,0)),ArmorAS,"")))}</f>
        <v>ARMORSPECIALL05</v>
      </c>
      <c r="L161" s="223"/>
      <c r="M161" s="223" t="str">
        <f t="array" ref="M161:M162">{"ARMORSPECIALL07";((IF("07"=INDEX(ALLCLASSDATA,MATCH("ArmorSpecialization",CLASSFEATUREHEADERS,0),MATCH($A162,CLASSNAMEHEADERS,0)),ArmorAS,"")))}</f>
        <v>ARMORSPECIALL07</v>
      </c>
      <c r="N161" s="223"/>
      <c r="O161" s="223" t="str">
        <f t="array" ref="O161:O162">{"ARMORSPECIALL09";((IF("09"=INDEX(ALLCLASSDATA,MATCH("ArmorSpecialization",CLASSFEATUREHEADERS,0),MATCH($A162,CLASSNAMEHEADERS,0)),ArmorAS,"")))}</f>
        <v>ARMORSPECIALL09</v>
      </c>
      <c r="P161" s="223"/>
      <c r="Q161" s="223" t="str">
        <f t="array" ref="Q161:Q162">{"ARMORSPECIALL11";((IF("11"=INDEX(ALLCLASSDATA,MATCH("ArmorSpecialization",CLASSFEATUREHEADERS,0),MATCH($A162,CLASSNAMEHEADERS,0)),ArmorAS,"")))}</f>
        <v>ARMORSPECIALL11</v>
      </c>
      <c r="R161" s="223"/>
      <c r="S161" s="223" t="str">
        <f t="array" ref="S161:S162">{"ARMORSPECIALL13";((IF("13"=INDEX(ALLCLASSDATA,MATCH("ArmorSpecialization",CLASSFEATUREHEADERS,0),MATCH($A162,CLASSNAMEHEADERS,0)),ArmorAS,"")))}</f>
        <v>ARMORSPECIALL13</v>
      </c>
      <c r="T161" s="223"/>
      <c r="U161" s="223" t="str">
        <f t="array" ref="U161:U162">{"ARMORSPECIALL15";((IF("15"=INDEX(ALLCLASSDATA,MATCH("ArmorSpecialization",CLASSFEATUREHEADERS,0),MATCH($A162,CLASSNAMEHEADERS,0)),ArmorAS,"")))}</f>
        <v>ARMORSPECIALL15</v>
      </c>
      <c r="V161" s="223"/>
      <c r="W161" s="223" t="str">
        <f t="array" ref="W161:W162">{"ARMORSPECIALL17";((IF("17"=INDEX(ALLCLASSDATA,MATCH("ArmorSpecialization",CLASSFEATUREHEADERS,0),MATCH($A162,CLASSNAMEHEADERS,0)),ArmorAS,"")))}</f>
        <v>ARMORSPECIALL17</v>
      </c>
      <c r="X161" s="223"/>
      <c r="Y161" s="223" t="str">
        <f t="array" ref="Y161:Y162">{"ARMORSPECIALL19";((IF("19"=INDEX(ALLCLASSDATA,MATCH("ArmorSpecialization",CLASSFEATUREHEADERS,0),MATCH($A162,CLASSNAMEHEADERS,0)),ArmorAS,"")))}</f>
        <v>ARMORSPECIALL19</v>
      </c>
      <c r="Z161" s="223"/>
      <c r="AA161" s="76"/>
      <c r="AB161" s="76" t="str">
        <f t="array" ref="AB161:AB162">{"ARMORSPECIAL TOTAL";(sum(F162:Z162))}</f>
        <v>ARMORSPECIAL TOTAL</v>
      </c>
    </row>
    <row r="162">
      <c r="A162" s="48" t="s">
        <v>219</v>
      </c>
      <c r="B162" s="48" t="s">
        <v>418</v>
      </c>
      <c r="C162" s="48" t="s">
        <v>1900</v>
      </c>
      <c r="D162" s="48" t="s">
        <v>51</v>
      </c>
      <c r="E162" s="5"/>
      <c r="F162" s="47"/>
      <c r="G162" s="5" t="s">
        <v>603</v>
      </c>
      <c r="H162" s="5"/>
      <c r="I162" s="5" t="s">
        <v>603</v>
      </c>
      <c r="J162" s="5"/>
      <c r="K162" s="5" t="s">
        <v>603</v>
      </c>
      <c r="L162" s="5"/>
      <c r="M162" s="5" t="s">
        <v>603</v>
      </c>
      <c r="N162" s="5"/>
      <c r="O162" s="5" t="s">
        <v>603</v>
      </c>
      <c r="P162" s="5"/>
      <c r="Q162" s="5" t="s">
        <v>603</v>
      </c>
      <c r="R162" s="5"/>
      <c r="S162" s="5" t="s">
        <v>603</v>
      </c>
      <c r="T162" s="5"/>
      <c r="U162" s="5" t="s">
        <v>603</v>
      </c>
      <c r="V162" s="5"/>
      <c r="W162" s="5" t="s">
        <v>603</v>
      </c>
      <c r="X162" s="5"/>
      <c r="Y162" s="5" t="s">
        <v>603</v>
      </c>
      <c r="Z162" s="5"/>
      <c r="AA162" s="5"/>
      <c r="AB162" s="47">
        <v>0.0</v>
      </c>
    </row>
    <row r="163" hidden="1">
      <c r="A163" s="222" t="str">
        <f t="array" ref="A163:A164">{"FormulaRow35";(INDEX(CLASSLIST,A94,1))}</f>
        <v>FormulaRow35</v>
      </c>
      <c r="B163" s="222" t="str">
        <f t="array" ref="B163:B164">{"CLASSTYPE";((INDEX(ALLCLASSDATA,MATCH("ClassType",CLASSFEATUREHEADERS,0),MATCH($A164,CLASSNAMEHEADERS,0))))}</f>
        <v>CLASSTYPE</v>
      </c>
      <c r="C163" s="222" t="str">
        <f t="array" ref="C163:C164">{"DEFENSE";"Defense"}</f>
        <v>DEFENSE</v>
      </c>
      <c r="D163" s="222" t="str">
        <f t="array" ref="D163:D164">{"UNARMORED";"Unarmored"}</f>
        <v>UNARMORED</v>
      </c>
      <c r="E163" s="223" t="str">
        <f t="array" ref="E163:E164">{"UNARMOREDINITIAL";((IF(G164=10,"T",(IF(G164=50,"E","")))))}</f>
        <v>UNARMOREDINITIAL</v>
      </c>
      <c r="F163" s="223" t="str">
        <f t="array" ref="F163:F164">{"UNARMOREDINITIALPTS";((IF("00"=(INDEX(ALLCLASSDATA,MATCH("UnarmoredLegendary",CLASSFEATUREHEADERS,0),MATCH($A164,CLASSNAMEHEADERS,0))),(INDEX(ALLCLASSDATA,MATCH("UnarmoredLegendary",CLASSFEATUREHEADERS,0),MATCH(($A164 &amp; "Points"),CLASSNAMEHEADERS,0))),(IF("00"=(INDEX(ALLCLASSDATA,MATCH("UnarmoredMaster",CLASSFEATUREHEADERS,0),MATCH($A164,CLASSNAMEHEADERS,0))),(INDEX(ALLCLASSDATA,MATCH("UnarmoredMaster",CLASSFEATUREHEADERS,0),MATCH(($A164 &amp; "Points"),CLASSNAMEHEADERS,0))),(IF("00"=(INDEX(ALLCLASSDATA,MATCH("UnarmoredExpert",CLASSFEATUREHEADERS,0),MATCH($A164,CLASSNAMEHEADERS,0))),(INDEX(ALLCLASSDATA,MATCH("UnarmoredExpert",CLASSFEATUREHEADERS,0),MATCH(($A164 &amp; "Points"),CLASSNAMEHEADERS,0))),(IF("00"=(INDEX(ALLCLASSDATA,MATCH("UnarmoredTrained",CLASSFEATUREHEADERS,0),MATCH($A164,CLASSNAMEHEADERS,0))),(INDEX(ALLCLASSDATA,MATCH("UnarmoredTrained",CLASSFEATUREHEADERS,0),MATCH(($A164 &amp; "Points"),CLASSNAMEHEADERS,0))),"")))))))))}</f>
        <v>UNARMOREDINITIALPTS</v>
      </c>
      <c r="G163" s="223" t="str">
        <f t="array" ref="G163:G164">{"UNARMOREDL01";((IF("01"=(INDEX(ALLCLASSDATA,MATCH("UnarmoredLegendary",CLASSFEATUREHEADERS,0),MATCH($A164,CLASSNAMEHEADERS,0))),(INDEX(ALLCLASSDATA,MATCH("UnarmoredLegendary",CLASSFEATUREHEADERS,0),MATCH(($A164 &amp; "Points"),CLASSNAMEHEADERS,0))),(IF("01"=(INDEX(ALLCLASSDATA,MATCH("UnarmoredMaster",CLASSFEATUREHEADERS,0),MATCH($A164,CLASSNAMEHEADERS,0))),(INDEX(ALLCLASSDATA,MATCH("UnarmoredMaster",CLASSFEATUREHEADERS,0),MATCH(($A164 &amp; "Points"),CLASSNAMEHEADERS,0))),(IF("01"=(INDEX(ALLCLASSDATA,MATCH("UnarmoredExpert",CLASSFEATUREHEADERS,0),MATCH($A164,CLASSNAMEHEADERS,0))),(INDEX(ALLCLASSDATA,MATCH("UnarmoredExpert",CLASSFEATUREHEADERS,0),MATCH(($A164 &amp; "Points"),CLASSNAMEHEADERS,0))),(IF("01"=(INDEX(ALLCLASSDATA,MATCH("UnarmoredTrained",CLASSFEATUREHEADERS,0),MATCH($A164,CLASSNAMEHEADERS,0))),(INDEX(ALLCLASSDATA,MATCH("UnarmoredTrained",CLASSFEATUREHEADERS,0),MATCH(($A164 &amp; "Points"),CLASSNAMEHEADERS,0))),"")))))))))}</f>
        <v>UNARMOREDL01</v>
      </c>
      <c r="H163" s="223"/>
      <c r="I163" s="223" t="str">
        <f t="array" ref="I163:I164">{"UNARMOREDL03";((IF("03"=(INDEX(ALLCLASSDATA,MATCH("UnarmoredLegendary",CLASSFEATUREHEADERS,0),MATCH($A164,CLASSNAMEHEADERS,0))),(INDEX(ALLCLASSDATA,MATCH("UnarmoredLegendary",CLASSFEATUREHEADERS,0),MATCH(($A164 &amp; "Points"),CLASSNAMEHEADERS,0))),(IF("03"=(INDEX(ALLCLASSDATA,MATCH("UnarmoredMaster",CLASSFEATUREHEADERS,0),MATCH($A164,CLASSNAMEHEADERS,0))),(INDEX(ALLCLASSDATA,MATCH("UnarmoredMaster",CLASSFEATUREHEADERS,0),MATCH(($A164 &amp; "Points"),CLASSNAMEHEADERS,0))),(IF("03"=(INDEX(ALLCLASSDATA,MATCH("UnarmoredExpert",CLASSFEATUREHEADERS,0),MATCH($A164,CLASSNAMEHEADERS,0))),(INDEX(ALLCLASSDATA,MATCH("UnarmoredExpert",CLASSFEATUREHEADERS,0),MATCH(($A164 &amp; "Points"),CLASSNAMEHEADERS,0))),(IF("03"=(INDEX(ALLCLASSDATA,MATCH("UnarmoredTrained",CLASSFEATUREHEADERS,0),MATCH($A164,CLASSNAMEHEADERS,0))),(INDEX(ALLCLASSDATA,MATCH("UnarmoredTrained",CLASSFEATUREHEADERS,0),MATCH(($A164 &amp; "Points"),CLASSNAMEHEADERS,0))),"")))))))))}</f>
        <v>UNARMOREDL03</v>
      </c>
      <c r="J163" s="223"/>
      <c r="K163" s="223" t="str">
        <f t="array" ref="K163:K164">{"UNARMOREDL05";((IF("05"=(INDEX(ALLCLASSDATA,MATCH("UnarmoredLegendary",CLASSFEATUREHEADERS,0),MATCH($A164,CLASSNAMEHEADERS,0))),(INDEX(ALLCLASSDATA,MATCH("UnarmoredLegendary",CLASSFEATUREHEADERS,0),MATCH(($A164 &amp; "Points"),CLASSNAMEHEADERS,0))),(IF("05"=(INDEX(ALLCLASSDATA,MATCH("UnarmoredMaster",CLASSFEATUREHEADERS,0),MATCH($A164,CLASSNAMEHEADERS,0))),(INDEX(ALLCLASSDATA,MATCH("UnarmoredMaster",CLASSFEATUREHEADERS,0),MATCH(($A164 &amp; "Points"),CLASSNAMEHEADERS,0))),(IF("05"=(INDEX(ALLCLASSDATA,MATCH("UnarmoredExpert",CLASSFEATUREHEADERS,0),MATCH($A164,CLASSNAMEHEADERS,0))),(INDEX(ALLCLASSDATA,MATCH("UnarmoredExpert",CLASSFEATUREHEADERS,0),MATCH(($A164 &amp; "Points"),CLASSNAMEHEADERS,0))),(IF("05"=(INDEX(ALLCLASSDATA,MATCH("UnarmoredTrained",CLASSFEATUREHEADERS,0),MATCH($A164,CLASSNAMEHEADERS,0))),(INDEX(ALLCLASSDATA,MATCH("UnarmoredTrained",CLASSFEATUREHEADERS,0),MATCH(($A164 &amp; "Points"),CLASSNAMEHEADERS,0))),"")))))))))}</f>
        <v>UNARMOREDL05</v>
      </c>
      <c r="L163" s="223"/>
      <c r="M163" s="223" t="str">
        <f t="array" ref="M163:M164">{"UNARMOREDL07";((IF("07"=(INDEX(ALLCLASSDATA,MATCH("UnarmoredLegendary",CLASSFEATUREHEADERS,0),MATCH($A164,CLASSNAMEHEADERS,0))),(INDEX(ALLCLASSDATA,MATCH("UnarmoredLegendary",CLASSFEATUREHEADERS,0),MATCH(($A164 &amp; "Points"),CLASSNAMEHEADERS,0))),(IF("07"=(INDEX(ALLCLASSDATA,MATCH("UnarmoredMaster",CLASSFEATUREHEADERS,0),MATCH($A164,CLASSNAMEHEADERS,0))),(INDEX(ALLCLASSDATA,MATCH("UnarmoredMaster",CLASSFEATUREHEADERS,0),MATCH(($A164 &amp; "Points"),CLASSNAMEHEADERS,0))),(IF("07"=(INDEX(ALLCLASSDATA,MATCH("UnarmoredExpert",CLASSFEATUREHEADERS,0),MATCH($A164,CLASSNAMEHEADERS,0))),(INDEX(ALLCLASSDATA,MATCH("UnarmoredExpert",CLASSFEATUREHEADERS,0),MATCH(($A164 &amp; "Points"),CLASSNAMEHEADERS,0))),(IF("07"=(INDEX(ALLCLASSDATA,MATCH("UnarmoredTrained",CLASSFEATUREHEADERS,0),MATCH($A164,CLASSNAMEHEADERS,0))),(INDEX(ALLCLASSDATA,MATCH("UnarmoredTrained",CLASSFEATUREHEADERS,0),MATCH(($A164 &amp; "Points"),CLASSNAMEHEADERS,0))),"")))))))))}</f>
        <v>UNARMOREDL07</v>
      </c>
      <c r="N163" s="223"/>
      <c r="O163" s="223" t="str">
        <f t="array" ref="O163:O164">{"UNARMOREDL09";((IF("09"=(INDEX(ALLCLASSDATA,MATCH("UnarmoredLegendary",CLASSFEATUREHEADERS,0),MATCH($A164,CLASSNAMEHEADERS,0))),(INDEX(ALLCLASSDATA,MATCH("UnarmoredLegendary",CLASSFEATUREHEADERS,0),MATCH(($A164 &amp; "Points"),CLASSNAMEHEADERS,0))),(IF("09"=(INDEX(ALLCLASSDATA,MATCH("UnarmoredMaster",CLASSFEATUREHEADERS,0),MATCH($A164,CLASSNAMEHEADERS,0))),(INDEX(ALLCLASSDATA,MATCH("UnarmoredMaster",CLASSFEATUREHEADERS,0),MATCH(($A164 &amp; "Points"),CLASSNAMEHEADERS,0))),(IF("09"=(INDEX(ALLCLASSDATA,MATCH("UnarmoredExpert",CLASSFEATUREHEADERS,0),MATCH($A164,CLASSNAMEHEADERS,0))),(INDEX(ALLCLASSDATA,MATCH("UnarmoredExpert",CLASSFEATUREHEADERS,0),MATCH(($A164 &amp; "Points"),CLASSNAMEHEADERS,0))),(IF("09"=(INDEX(ALLCLASSDATA,MATCH("UnarmoredTrained",CLASSFEATUREHEADERS,0),MATCH($A164,CLASSNAMEHEADERS,0))),(INDEX(ALLCLASSDATA,MATCH("UnarmoredTrained",CLASSFEATUREHEADERS,0),MATCH(($A164 &amp; "Points"),CLASSNAMEHEADERS,0))),"")))))))))}</f>
        <v>UNARMOREDL09</v>
      </c>
      <c r="P163" s="223"/>
      <c r="Q163" s="223" t="str">
        <f t="array" ref="Q163:Q164">{"UNARMOREDL11";((IF("11"=(INDEX(ALLCLASSDATA,MATCH("UnarmoredLegendary",CLASSFEATUREHEADERS,0),MATCH($A164,CLASSNAMEHEADERS,0))),(INDEX(ALLCLASSDATA,MATCH("UnarmoredLegendary",CLASSFEATUREHEADERS,0),MATCH(($A164 &amp; "Points"),CLASSNAMEHEADERS,0))),(IF("11"=(INDEX(ALLCLASSDATA,MATCH("UnarmoredMaster",CLASSFEATUREHEADERS,0),MATCH($A164,CLASSNAMEHEADERS,0))),(INDEX(ALLCLASSDATA,MATCH("UnarmoredMaster",CLASSFEATUREHEADERS,0),MATCH(($A164 &amp; "Points"),CLASSNAMEHEADERS,0))),(IF("11"=(INDEX(ALLCLASSDATA,MATCH("UnarmoredExpert",CLASSFEATUREHEADERS,0),MATCH($A164,CLASSNAMEHEADERS,0))),(INDEX(ALLCLASSDATA,MATCH("UnarmoredExpert",CLASSFEATUREHEADERS,0),MATCH(($A164 &amp; "Points"),CLASSNAMEHEADERS,0))),(IF("11"=(INDEX(ALLCLASSDATA,MATCH("UnarmoredTrained",CLASSFEATUREHEADERS,0),MATCH($A164,CLASSNAMEHEADERS,0))),(INDEX(ALLCLASSDATA,MATCH("UnarmoredTrained",CLASSFEATUREHEADERS,0),MATCH(($A164 &amp; "Points"),CLASSNAMEHEADERS,0))),"")))))))))}</f>
        <v>UNARMOREDL11</v>
      </c>
      <c r="R163" s="223"/>
      <c r="S163" s="223" t="str">
        <f t="array" ref="S163:S164">{"UNARMOREDL13";((IF("13"=(INDEX(ALLCLASSDATA,MATCH("UnarmoredLegendary",CLASSFEATUREHEADERS,0),MATCH($A164,CLASSNAMEHEADERS,0))),(INDEX(ALLCLASSDATA,MATCH("UnarmoredLegendary",CLASSFEATUREHEADERS,0),MATCH(($A164 &amp; "Points"),CLASSNAMEHEADERS,0))),(IF("13"=(INDEX(ALLCLASSDATA,MATCH("UnarmoredMaster",CLASSFEATUREHEADERS,0),MATCH($A164,CLASSNAMEHEADERS,0))),(INDEX(ALLCLASSDATA,MATCH("UnarmoredMaster",CLASSFEATUREHEADERS,0),MATCH(($A164 &amp; "Points"),CLASSNAMEHEADERS,0))),(IF("13"=(INDEX(ALLCLASSDATA,MATCH("UnarmoredExpert",CLASSFEATUREHEADERS,0),MATCH($A164,CLASSNAMEHEADERS,0))),(INDEX(ALLCLASSDATA,MATCH("UnarmoredExpert",CLASSFEATUREHEADERS,0),MATCH(($A164 &amp; "Points"),CLASSNAMEHEADERS,0))),(IF("13"=(INDEX(ALLCLASSDATA,MATCH("UnarmoredTrained",CLASSFEATUREHEADERS,0),MATCH($A164,CLASSNAMEHEADERS,0))),(INDEX(ALLCLASSDATA,MATCH("UnarmoredTrained",CLASSFEATUREHEADERS,0),MATCH(($A164 &amp; "Points"),CLASSNAMEHEADERS,0))),"")))))))))}</f>
        <v>UNARMOREDL13</v>
      </c>
      <c r="T163" s="223"/>
      <c r="U163" s="223" t="str">
        <f t="array" ref="U163:U164">{"UNARMOREDL15";((IF("15"=(INDEX(ALLCLASSDATA,MATCH("UnarmoredLegendary",CLASSFEATUREHEADERS,0),MATCH($A164,CLASSNAMEHEADERS,0))),(INDEX(ALLCLASSDATA,MATCH("UnarmoredLegendary",CLASSFEATUREHEADERS,0),MATCH(($A164 &amp; "Points"),CLASSNAMEHEADERS,0))),(IF("15"=(INDEX(ALLCLASSDATA,MATCH("UnarmoredMaster",CLASSFEATUREHEADERS,0),MATCH($A164,CLASSNAMEHEADERS,0))),(INDEX(ALLCLASSDATA,MATCH("UnarmoredMaster",CLASSFEATUREHEADERS,0),MATCH(($A164 &amp; "Points"),CLASSNAMEHEADERS,0))),(IF("15"=(INDEX(ALLCLASSDATA,MATCH("UnarmoredExpert",CLASSFEATUREHEADERS,0),MATCH($A164,CLASSNAMEHEADERS,0))),(INDEX(ALLCLASSDATA,MATCH("UnarmoredExpert",CLASSFEATUREHEADERS,0),MATCH(($A164 &amp; "Points"),CLASSNAMEHEADERS,0))),(IF("15"=(INDEX(ALLCLASSDATA,MATCH("UnarmoredTrained",CLASSFEATUREHEADERS,0),MATCH($A164,CLASSNAMEHEADERS,0))),(INDEX(ALLCLASSDATA,MATCH("UnarmoredTrained",CLASSFEATUREHEADERS,0),MATCH(($A164 &amp; "Points"),CLASSNAMEHEADERS,0))),"")))))))))}</f>
        <v>UNARMOREDL15</v>
      </c>
      <c r="V163" s="223"/>
      <c r="W163" s="223" t="str">
        <f t="array" ref="W163:W164">{"UNARMOREDL17";((IF("17"=(INDEX(ALLCLASSDATA,MATCH("UnarmoredLegendary",CLASSFEATUREHEADERS,0),MATCH($A164,CLASSNAMEHEADERS,0))),(INDEX(ALLCLASSDATA,MATCH("UnarmoredLegendary",CLASSFEATUREHEADERS,0),MATCH(($A164 &amp; "Points"),CLASSNAMEHEADERS,0))),(IF("17"=(INDEX(ALLCLASSDATA,MATCH("UnarmoredMaster",CLASSFEATUREHEADERS,0),MATCH($A164,CLASSNAMEHEADERS,0))),(INDEX(ALLCLASSDATA,MATCH("UnarmoredMaster",CLASSFEATUREHEADERS,0),MATCH(($A164 &amp; "Points"),CLASSNAMEHEADERS,0))),(IF("17"=(INDEX(ALLCLASSDATA,MATCH("UnarmoredExpert",CLASSFEATUREHEADERS,0),MATCH($A164,CLASSNAMEHEADERS,0))),(INDEX(ALLCLASSDATA,MATCH("UnarmoredExpert",CLASSFEATUREHEADERS,0),MATCH(($A164 &amp; "Points"),CLASSNAMEHEADERS,0))),(IF("17"=(INDEX(ALLCLASSDATA,MATCH("UnarmoredTrained",CLASSFEATUREHEADERS,0),MATCH($A164,CLASSNAMEHEADERS,0))),(INDEX(ALLCLASSDATA,MATCH("UnarmoredTrained",CLASSFEATUREHEADERS,0),MATCH(($A164 &amp; "Points"),CLASSNAMEHEADERS,0))),"")))))))))}</f>
        <v>UNARMOREDL17</v>
      </c>
      <c r="X163" s="223"/>
      <c r="Y163" s="223" t="str">
        <f t="array" ref="Y163:Y164">{"UNARMOREDL19";((IF("19"=(INDEX(ALLCLASSDATA,MATCH("UnarmoredLegendary",CLASSFEATUREHEADERS,0),MATCH($A164,CLASSNAMEHEADERS,0))),(INDEX(ALLCLASSDATA,MATCH("UnarmoredLegendary",CLASSFEATUREHEADERS,0),MATCH(($A164 &amp; "Points"),CLASSNAMEHEADERS,0))),(IF("19"=(INDEX(ALLCLASSDATA,MATCH("UnarmoredMaster",CLASSFEATUREHEADERS,0),MATCH($A164,CLASSNAMEHEADERS,0))),(INDEX(ALLCLASSDATA,MATCH("UnarmoredMaster",CLASSFEATUREHEADERS,0),MATCH(($A164 &amp; "Points"),CLASSNAMEHEADERS,0))),(IF("19"=(INDEX(ALLCLASSDATA,MATCH("UnarmoredExpert",CLASSFEATUREHEADERS,0),MATCH($A164,CLASSNAMEHEADERS,0))),(INDEX(ALLCLASSDATA,MATCH("UnarmoredExpert",CLASSFEATUREHEADERS,0),MATCH(($A164 &amp; "Points"),CLASSNAMEHEADERS,0))),(IF("19"=(INDEX(ALLCLASSDATA,MATCH("UnarmoredTrained",CLASSFEATUREHEADERS,0),MATCH($A164,CLASSNAMEHEADERS,0))),(INDEX(ALLCLASSDATA,MATCH("UnarmoredTrained",CLASSFEATUREHEADERS,0),MATCH(($A164 &amp; "Points"),CLASSNAMEHEADERS,0))),"")))))))))}</f>
        <v>UNARMOREDL19</v>
      </c>
      <c r="Z163" s="223"/>
      <c r="AA163" s="76" t="str">
        <f t="array" ref="AA163:AA164">{"UNARMORED TOTAL";(IF(COUNTBLANK(F164:Z164)=17,"L",(IF(COUNTBLANK(F164:Z164)=18,"M",(IF(COUNTBLANK(F164:Z164)=19,"E",(IF(COUNTBLANK(F164:Z164)=20,"T",""))))))))}</f>
        <v>UNARMORED TOTAL</v>
      </c>
      <c r="AB163" s="76" t="str">
        <f t="array" ref="AB163:AB164">{"UNARMORED TOTAL";(sum(F164:Z164))}</f>
        <v>UNARMORED TOTAL</v>
      </c>
    </row>
    <row r="164">
      <c r="A164" s="48" t="s">
        <v>219</v>
      </c>
      <c r="B164" s="48" t="s">
        <v>418</v>
      </c>
      <c r="C164" s="48" t="s">
        <v>1900</v>
      </c>
      <c r="D164" s="48" t="s">
        <v>78</v>
      </c>
      <c r="E164" s="5" t="s">
        <v>435</v>
      </c>
      <c r="F164" s="47" t="s">
        <v>603</v>
      </c>
      <c r="G164" s="5">
        <v>10.0</v>
      </c>
      <c r="H164" s="5"/>
      <c r="I164" s="5" t="s">
        <v>603</v>
      </c>
      <c r="J164" s="5"/>
      <c r="K164" s="5" t="s">
        <v>603</v>
      </c>
      <c r="L164" s="5"/>
      <c r="M164" s="5" t="s">
        <v>603</v>
      </c>
      <c r="N164" s="5"/>
      <c r="O164" s="5" t="s">
        <v>603</v>
      </c>
      <c r="P164" s="5"/>
      <c r="Q164" s="5" t="s">
        <v>603</v>
      </c>
      <c r="R164" s="5"/>
      <c r="S164" s="5">
        <v>50.0</v>
      </c>
      <c r="T164" s="5"/>
      <c r="U164" s="5" t="s">
        <v>603</v>
      </c>
      <c r="V164" s="5"/>
      <c r="W164" s="5" t="s">
        <v>603</v>
      </c>
      <c r="X164" s="5"/>
      <c r="Y164" s="5" t="s">
        <v>603</v>
      </c>
      <c r="Z164" s="5"/>
      <c r="AA164" s="5" t="s">
        <v>436</v>
      </c>
      <c r="AB164" s="47">
        <v>60.0</v>
      </c>
    </row>
    <row r="165" hidden="1">
      <c r="A165" s="222" t="str">
        <f t="array" ref="A165:A166">{"FormulaRow36";(INDEX(CLASSLIST,A94,1))}</f>
        <v>FormulaRow36</v>
      </c>
      <c r="B165" s="222" t="str">
        <f t="array" ref="B165:B166">{"CLASSTYPE";((INDEX(ALLCLASSDATA,MATCH("ClassType",CLASSFEATUREHEADERS,0),MATCH($A166,CLASSNAMEHEADERS,0))))}</f>
        <v>CLASSTYPE</v>
      </c>
      <c r="C165" s="222" t="str">
        <f t="array" ref="C165:C166">{"DEFENSE";"Defense"}</f>
        <v>DEFENSE</v>
      </c>
      <c r="D165" s="222" t="str">
        <f t="array" ref="D165:D166">{"LIGHT";"Light"}</f>
        <v>LIGHT</v>
      </c>
      <c r="E165" s="223" t="str">
        <f t="array" ref="E165:E166">{"LIGHTINITIAL";((IF(G166=10,"T",(IF(G166=50,"E","")))))}</f>
        <v>LIGHTINITIAL</v>
      </c>
      <c r="F165" s="223" t="str">
        <f t="array" ref="F165:F166">{"LIGHTINITIALPTS";((IF("00"=(INDEX(ALLCLASSDATA,MATCH("LightLegendary",CLASSFEATUREHEADERS,0),MATCH($A166,CLASSNAMEHEADERS,0))),(INDEX(ALLCLASSDATA,MATCH("LightLegendary",CLASSFEATUREHEADERS,0),MATCH(($A166 &amp; "Points"),CLASSNAMEHEADERS,0))),(IF("00"=(INDEX(ALLCLASSDATA,MATCH("LightMaster",CLASSFEATUREHEADERS,0),MATCH($A166,CLASSNAMEHEADERS,0))),(INDEX(ALLCLASSDATA,MATCH("LightMaster",CLASSFEATUREHEADERS,0),MATCH(($A166 &amp; "Points"),CLASSNAMEHEADERS,0))),(IF("00"=(INDEX(ALLCLASSDATA,MATCH("LightExpert",CLASSFEATUREHEADERS,0),MATCH($A166,CLASSNAMEHEADERS,0))),(INDEX(ALLCLASSDATA,MATCH("LightExpert",CLASSFEATUREHEADERS,0),MATCH(($A166 &amp; "Points"),CLASSNAMEHEADERS,0))),(IF("00"=(INDEX(ALLCLASSDATA,MATCH("LightTrained",CLASSFEATUREHEADERS,0),MATCH($A166,CLASSNAMEHEADERS,0))),(INDEX(ALLCLASSDATA,MATCH("LightTrained",CLASSFEATUREHEADERS,0),MATCH(($A166 &amp; "Points"),CLASSNAMEHEADERS,0))),"")))))))))}</f>
        <v>LIGHTINITIALPTS</v>
      </c>
      <c r="G165" s="223" t="str">
        <f t="array" ref="G165:G166">{"LIGHTL01";((IF("01"=(INDEX(ALLCLASSDATA,MATCH("LightLegendary",CLASSFEATUREHEADERS,0),MATCH($A166,CLASSNAMEHEADERS,0))),(INDEX(ALLCLASSDATA,MATCH("LightLegendary",CLASSFEATUREHEADERS,0),MATCH(($A166 &amp; "Points"),CLASSNAMEHEADERS,0))),(IF("01"=(INDEX(ALLCLASSDATA,MATCH("LightMaster",CLASSFEATUREHEADERS,0),MATCH($A166,CLASSNAMEHEADERS,0))),(INDEX(ALLCLASSDATA,MATCH("LightMaster",CLASSFEATUREHEADERS,0),MATCH(($A166 &amp; "Points"),CLASSNAMEHEADERS,0))),(IF("01"=(INDEX(ALLCLASSDATA,MATCH("LightExpert",CLASSFEATUREHEADERS,0),MATCH($A166,CLASSNAMEHEADERS,0))),(INDEX(ALLCLASSDATA,MATCH("LightExpert",CLASSFEATUREHEADERS,0),MATCH(($A166 &amp; "Points"),CLASSNAMEHEADERS,0))),(IF("01"=(INDEX(ALLCLASSDATA,MATCH("LightTrained",CLASSFEATUREHEADERS,0),MATCH($A166,CLASSNAMEHEADERS,0))),(INDEX(ALLCLASSDATA,MATCH("LightTrained",CLASSFEATUREHEADERS,0),MATCH(($A166 &amp; "Points"),CLASSNAMEHEADERS,0))),"")))))))))}</f>
        <v>LIGHTL01</v>
      </c>
      <c r="H165" s="223"/>
      <c r="I165" s="223" t="str">
        <f t="array" ref="I165:I166">{"LIGHTL03";((IF("03"=(INDEX(ALLCLASSDATA,MATCH("LightLegendary",CLASSFEATUREHEADERS,0),MATCH($A166,CLASSNAMEHEADERS,0))),(INDEX(ALLCLASSDATA,MATCH("LightLegendary",CLASSFEATUREHEADERS,0),MATCH(($A166 &amp; "Points"),CLASSNAMEHEADERS,0))),(IF("03"=(INDEX(ALLCLASSDATA,MATCH("LightMaster",CLASSFEATUREHEADERS,0),MATCH($A166,CLASSNAMEHEADERS,0))),(INDEX(ALLCLASSDATA,MATCH("LightMaster",CLASSFEATUREHEADERS,0),MATCH(($A166 &amp; "Points"),CLASSNAMEHEADERS,0))),(IF("03"=(INDEX(ALLCLASSDATA,MATCH("LightExpert",CLASSFEATUREHEADERS,0),MATCH($A166,CLASSNAMEHEADERS,0))),(INDEX(ALLCLASSDATA,MATCH("LightExpert",CLASSFEATUREHEADERS,0),MATCH(($A166 &amp; "Points"),CLASSNAMEHEADERS,0))),(IF("03"=(INDEX(ALLCLASSDATA,MATCH("LightTrained",CLASSFEATUREHEADERS,0),MATCH($A166,CLASSNAMEHEADERS,0))),(INDEX(ALLCLASSDATA,MATCH("LightTrained",CLASSFEATUREHEADERS,0),MATCH(($A166 &amp; "Points"),CLASSNAMEHEADERS,0))),"")))))))))}</f>
        <v>LIGHTL03</v>
      </c>
      <c r="J165" s="223"/>
      <c r="K165" s="223" t="str">
        <f t="array" ref="K165:K166">{"LIGHTL05";((IF("05"=(INDEX(ALLCLASSDATA,MATCH("LightLegendary",CLASSFEATUREHEADERS,0),MATCH($A166,CLASSNAMEHEADERS,0))),(INDEX(ALLCLASSDATA,MATCH("LightLegendary",CLASSFEATUREHEADERS,0),MATCH(($A166 &amp; "Points"),CLASSNAMEHEADERS,0))),(IF("05"=(INDEX(ALLCLASSDATA,MATCH("LightMaster",CLASSFEATUREHEADERS,0),MATCH($A166,CLASSNAMEHEADERS,0))),(INDEX(ALLCLASSDATA,MATCH("LightMaster",CLASSFEATUREHEADERS,0),MATCH(($A166 &amp; "Points"),CLASSNAMEHEADERS,0))),(IF("05"=(INDEX(ALLCLASSDATA,MATCH("LightExpert",CLASSFEATUREHEADERS,0),MATCH($A166,CLASSNAMEHEADERS,0))),(INDEX(ALLCLASSDATA,MATCH("LightExpert",CLASSFEATUREHEADERS,0),MATCH(($A166 &amp; "Points"),CLASSNAMEHEADERS,0))),(IF("05"=(INDEX(ALLCLASSDATA,MATCH("LightTrained",CLASSFEATUREHEADERS,0),MATCH($A166,CLASSNAMEHEADERS,0))),(INDEX(ALLCLASSDATA,MATCH("LightTrained",CLASSFEATUREHEADERS,0),MATCH(($A166 &amp; "Points"),CLASSNAMEHEADERS,0))),"")))))))))}</f>
        <v>LIGHTL05</v>
      </c>
      <c r="L165" s="223"/>
      <c r="M165" s="223" t="str">
        <f t="array" ref="M165:M166">{"LIGHTL07";((IF("07"=(INDEX(ALLCLASSDATA,MATCH("LightLegendary",CLASSFEATUREHEADERS,0),MATCH($A166,CLASSNAMEHEADERS,0))),(INDEX(ALLCLASSDATA,MATCH("LightLegendary",CLASSFEATUREHEADERS,0),MATCH(($A166 &amp; "Points"),CLASSNAMEHEADERS,0))),(IF("07"=(INDEX(ALLCLASSDATA,MATCH("LightMaster",CLASSFEATUREHEADERS,0),MATCH($A166,CLASSNAMEHEADERS,0))),(INDEX(ALLCLASSDATA,MATCH("LightMaster",CLASSFEATUREHEADERS,0),MATCH(($A166 &amp; "Points"),CLASSNAMEHEADERS,0))),(IF("07"=(INDEX(ALLCLASSDATA,MATCH("LightExpert",CLASSFEATUREHEADERS,0),MATCH($A166,CLASSNAMEHEADERS,0))),(INDEX(ALLCLASSDATA,MATCH("LightExpert",CLASSFEATUREHEADERS,0),MATCH(($A166 &amp; "Points"),CLASSNAMEHEADERS,0))),(IF("07"=(INDEX(ALLCLASSDATA,MATCH("LightTrained",CLASSFEATUREHEADERS,0),MATCH($A166,CLASSNAMEHEADERS,0))),(INDEX(ALLCLASSDATA,MATCH("LightTrained",CLASSFEATUREHEADERS,0),MATCH(($A166 &amp; "Points"),CLASSNAMEHEADERS,0))),"")))))))))}</f>
        <v>LIGHTL07</v>
      </c>
      <c r="N165" s="223"/>
      <c r="O165" s="223" t="str">
        <f t="array" ref="O165:O166">{"LIGHTL09";((IF("09"=(INDEX(ALLCLASSDATA,MATCH("LightLegendary",CLASSFEATUREHEADERS,0),MATCH($A166,CLASSNAMEHEADERS,0))),(INDEX(ALLCLASSDATA,MATCH("LightLegendary",CLASSFEATUREHEADERS,0),MATCH(($A166 &amp; "Points"),CLASSNAMEHEADERS,0))),(IF("09"=(INDEX(ALLCLASSDATA,MATCH("LightMaster",CLASSFEATUREHEADERS,0),MATCH($A166,CLASSNAMEHEADERS,0))),(INDEX(ALLCLASSDATA,MATCH("LightMaster",CLASSFEATUREHEADERS,0),MATCH(($A166 &amp; "Points"),CLASSNAMEHEADERS,0))),(IF("09"=(INDEX(ALLCLASSDATA,MATCH("LightExpert",CLASSFEATUREHEADERS,0),MATCH($A166,CLASSNAMEHEADERS,0))),(INDEX(ALLCLASSDATA,MATCH("LightExpert",CLASSFEATUREHEADERS,0),MATCH(($A166 &amp; "Points"),CLASSNAMEHEADERS,0))),(IF("09"=(INDEX(ALLCLASSDATA,MATCH("LightTrained",CLASSFEATUREHEADERS,0),MATCH($A166,CLASSNAMEHEADERS,0))),(INDEX(ALLCLASSDATA,MATCH("LightTrained",CLASSFEATUREHEADERS,0),MATCH(($A166 &amp; "Points"),CLASSNAMEHEADERS,0))),"")))))))))}</f>
        <v>LIGHTL09</v>
      </c>
      <c r="P165" s="223"/>
      <c r="Q165" s="223" t="str">
        <f t="array" ref="Q165:Q166">{"LIGHTL11";((IF("11"=(INDEX(ALLCLASSDATA,MATCH("LightLegendary",CLASSFEATUREHEADERS,0),MATCH($A166,CLASSNAMEHEADERS,0))),(INDEX(ALLCLASSDATA,MATCH("LightLegendary",CLASSFEATUREHEADERS,0),MATCH(($A166 &amp; "Points"),CLASSNAMEHEADERS,0))),(IF("11"=(INDEX(ALLCLASSDATA,MATCH("LightMaster",CLASSFEATUREHEADERS,0),MATCH($A166,CLASSNAMEHEADERS,0))),(INDEX(ALLCLASSDATA,MATCH("LightMaster",CLASSFEATUREHEADERS,0),MATCH(($A166 &amp; "Points"),CLASSNAMEHEADERS,0))),(IF("11"=(INDEX(ALLCLASSDATA,MATCH("LightExpert",CLASSFEATUREHEADERS,0),MATCH($A166,CLASSNAMEHEADERS,0))),(INDEX(ALLCLASSDATA,MATCH("LightExpert",CLASSFEATUREHEADERS,0),MATCH(($A166 &amp; "Points"),CLASSNAMEHEADERS,0))),(IF("11"=(INDEX(ALLCLASSDATA,MATCH("LightTrained",CLASSFEATUREHEADERS,0),MATCH($A166,CLASSNAMEHEADERS,0))),(INDEX(ALLCLASSDATA,MATCH("LightTrained",CLASSFEATUREHEADERS,0),MATCH(($A166 &amp; "Points"),CLASSNAMEHEADERS,0))),"")))))))))}</f>
        <v>LIGHTL11</v>
      </c>
      <c r="R165" s="223"/>
      <c r="S165" s="223" t="str">
        <f t="array" ref="S165:S166">{"LIGHTL13";((IF("13"=(INDEX(ALLCLASSDATA,MATCH("LightLegendary",CLASSFEATUREHEADERS,0),MATCH($A166,CLASSNAMEHEADERS,0))),(INDEX(ALLCLASSDATA,MATCH("LightLegendary",CLASSFEATUREHEADERS,0),MATCH(($A166 &amp; "Points"),CLASSNAMEHEADERS,0))),(IF("13"=(INDEX(ALLCLASSDATA,MATCH("LightMaster",CLASSFEATUREHEADERS,0),MATCH($A166,CLASSNAMEHEADERS,0))),(INDEX(ALLCLASSDATA,MATCH("LightMaster",CLASSFEATUREHEADERS,0),MATCH(($A166 &amp; "Points"),CLASSNAMEHEADERS,0))),(IF("13"=(INDEX(ALLCLASSDATA,MATCH("LightExpert",CLASSFEATUREHEADERS,0),MATCH($A166,CLASSNAMEHEADERS,0))),(INDEX(ALLCLASSDATA,MATCH("LightExpert",CLASSFEATUREHEADERS,0),MATCH(($A166 &amp; "Points"),CLASSNAMEHEADERS,0))),(IF("13"=(INDEX(ALLCLASSDATA,MATCH("LightTrained",CLASSFEATUREHEADERS,0),MATCH($A166,CLASSNAMEHEADERS,0))),(INDEX(ALLCLASSDATA,MATCH("LightTrained",CLASSFEATUREHEADERS,0),MATCH(($A166 &amp; "Points"),CLASSNAMEHEADERS,0))),"")))))))))}</f>
        <v>LIGHTL13</v>
      </c>
      <c r="T165" s="223"/>
      <c r="U165" s="223" t="str">
        <f t="array" ref="U165:U166">{"LIGHTL15";((IF("15"=(INDEX(ALLCLASSDATA,MATCH("LightLegendary",CLASSFEATUREHEADERS,0),MATCH($A166,CLASSNAMEHEADERS,0))),(INDEX(ALLCLASSDATA,MATCH("LightLegendary",CLASSFEATUREHEADERS,0),MATCH(($A166 &amp; "Points"),CLASSNAMEHEADERS,0))),(IF("15"=(INDEX(ALLCLASSDATA,MATCH("LightMaster",CLASSFEATUREHEADERS,0),MATCH($A166,CLASSNAMEHEADERS,0))),(INDEX(ALLCLASSDATA,MATCH("LightMaster",CLASSFEATUREHEADERS,0),MATCH(($A166 &amp; "Points"),CLASSNAMEHEADERS,0))),(IF("15"=(INDEX(ALLCLASSDATA,MATCH("LightExpert",CLASSFEATUREHEADERS,0),MATCH($A166,CLASSNAMEHEADERS,0))),(INDEX(ALLCLASSDATA,MATCH("LightExpert",CLASSFEATUREHEADERS,0),MATCH(($A166 &amp; "Points"),CLASSNAMEHEADERS,0))),(IF("15"=(INDEX(ALLCLASSDATA,MATCH("LightTrained",CLASSFEATUREHEADERS,0),MATCH($A166,CLASSNAMEHEADERS,0))),(INDEX(ALLCLASSDATA,MATCH("LightTrained",CLASSFEATUREHEADERS,0),MATCH(($A166 &amp; "Points"),CLASSNAMEHEADERS,0))),"")))))))))}</f>
        <v>LIGHTL15</v>
      </c>
      <c r="V165" s="223"/>
      <c r="W165" s="223" t="str">
        <f t="array" ref="W165:W166">{"LIGHTL17";((IF("17"=(INDEX(ALLCLASSDATA,MATCH("LightLegendary",CLASSFEATUREHEADERS,0),MATCH($A166,CLASSNAMEHEADERS,0))),(INDEX(ALLCLASSDATA,MATCH("LightLegendary",CLASSFEATUREHEADERS,0),MATCH(($A166 &amp; "Points"),CLASSNAMEHEADERS,0))),(IF("17"=(INDEX(ALLCLASSDATA,MATCH("LightMaster",CLASSFEATUREHEADERS,0),MATCH($A166,CLASSNAMEHEADERS,0))),(INDEX(ALLCLASSDATA,MATCH("LightMaster",CLASSFEATUREHEADERS,0),MATCH(($A166 &amp; "Points"),CLASSNAMEHEADERS,0))),(IF("17"=(INDEX(ALLCLASSDATA,MATCH("LightExpert",CLASSFEATUREHEADERS,0),MATCH($A166,CLASSNAMEHEADERS,0))),(INDEX(ALLCLASSDATA,MATCH("LightExpert",CLASSFEATUREHEADERS,0),MATCH(($A166 &amp; "Points"),CLASSNAMEHEADERS,0))),(IF("17"=(INDEX(ALLCLASSDATA,MATCH("LightTrained",CLASSFEATUREHEADERS,0),MATCH($A166,CLASSNAMEHEADERS,0))),(INDEX(ALLCLASSDATA,MATCH("LightTrained",CLASSFEATUREHEADERS,0),MATCH(($A166 &amp; "Points"),CLASSNAMEHEADERS,0))),"")))))))))}</f>
        <v>LIGHTL17</v>
      </c>
      <c r="X165" s="223"/>
      <c r="Y165" s="223" t="str">
        <f t="array" ref="Y165:Y166">{"LIGHTL19";((IF("19"=(INDEX(ALLCLASSDATA,MATCH("LightLegendary",CLASSFEATUREHEADERS,0),MATCH($A166,CLASSNAMEHEADERS,0))),(INDEX(ALLCLASSDATA,MATCH("LightLegendary",CLASSFEATUREHEADERS,0),MATCH(($A166 &amp; "Points"),CLASSNAMEHEADERS,0))),(IF("19"=(INDEX(ALLCLASSDATA,MATCH("LightMaster",CLASSFEATUREHEADERS,0),MATCH($A166,CLASSNAMEHEADERS,0))),(INDEX(ALLCLASSDATA,MATCH("LightMaster",CLASSFEATUREHEADERS,0),MATCH(($A166 &amp; "Points"),CLASSNAMEHEADERS,0))),(IF("19"=(INDEX(ALLCLASSDATA,MATCH("LightExpert",CLASSFEATUREHEADERS,0),MATCH($A166,CLASSNAMEHEADERS,0))),(INDEX(ALLCLASSDATA,MATCH("LightExpert",CLASSFEATUREHEADERS,0),MATCH(($A166 &amp; "Points"),CLASSNAMEHEADERS,0))),(IF("19"=(INDEX(ALLCLASSDATA,MATCH("LightTrained",CLASSFEATUREHEADERS,0),MATCH($A166,CLASSNAMEHEADERS,0))),(INDEX(ALLCLASSDATA,MATCH("LightTrained",CLASSFEATUREHEADERS,0),MATCH(($A166 &amp; "Points"),CLASSNAMEHEADERS,0))),"")))))))))}</f>
        <v>LIGHTL19</v>
      </c>
      <c r="Z165" s="223"/>
      <c r="AA165" s="76" t="str">
        <f t="array" ref="AA165:AA166">{"LIGHT TOTAL";(IF(COUNTBLANK(F166:Z166)=17,"L",(IF(COUNTBLANK(F166:Z166)=18,"M",(IF(COUNTBLANK(F166:Z166)=19,"E",(IF(COUNTBLANK(F166:Z166)=20,"T",""))))))))}</f>
        <v>LIGHT TOTAL</v>
      </c>
      <c r="AB165" s="76" t="str">
        <f t="array" ref="AB165:AB166">{"LIGHT TOTAL";(sum(F166:Z166))}</f>
        <v>LIGHT TOTAL</v>
      </c>
    </row>
    <row r="166">
      <c r="A166" s="48" t="s">
        <v>219</v>
      </c>
      <c r="B166" s="48" t="s">
        <v>418</v>
      </c>
      <c r="C166" s="48" t="s">
        <v>1900</v>
      </c>
      <c r="D166" s="48" t="s">
        <v>77</v>
      </c>
      <c r="E166" s="5" t="s">
        <v>603</v>
      </c>
      <c r="F166" s="47" t="s">
        <v>603</v>
      </c>
      <c r="G166" s="5" t="s">
        <v>603</v>
      </c>
      <c r="H166" s="5"/>
      <c r="I166" s="5" t="s">
        <v>603</v>
      </c>
      <c r="J166" s="5"/>
      <c r="K166" s="5" t="s">
        <v>603</v>
      </c>
      <c r="L166" s="5"/>
      <c r="M166" s="5" t="s">
        <v>603</v>
      </c>
      <c r="N166" s="5"/>
      <c r="O166" s="5" t="s">
        <v>603</v>
      </c>
      <c r="P166" s="5"/>
      <c r="Q166" s="5" t="s">
        <v>603</v>
      </c>
      <c r="R166" s="5"/>
      <c r="S166" s="5" t="s">
        <v>603</v>
      </c>
      <c r="T166" s="5"/>
      <c r="U166" s="5" t="s">
        <v>603</v>
      </c>
      <c r="V166" s="5"/>
      <c r="W166" s="5" t="s">
        <v>603</v>
      </c>
      <c r="X166" s="5"/>
      <c r="Y166" s="5" t="s">
        <v>603</v>
      </c>
      <c r="Z166" s="5"/>
      <c r="AA166" s="5" t="s">
        <v>603</v>
      </c>
      <c r="AB166" s="47">
        <v>0.0</v>
      </c>
    </row>
    <row r="167" hidden="1">
      <c r="A167" s="222" t="str">
        <f t="array" ref="A167:A168">{"FormulaRow37";(INDEX(CLASSLIST,A94,1))}</f>
        <v>FormulaRow37</v>
      </c>
      <c r="B167" s="222" t="str">
        <f t="array" ref="B167:B168">{"CLASSTYPE";((INDEX(ALLCLASSDATA,MATCH("ClassType",CLASSFEATUREHEADERS,0),MATCH($A168,CLASSNAMEHEADERS,0))))}</f>
        <v>CLASSTYPE</v>
      </c>
      <c r="C167" s="222" t="str">
        <f t="array" ref="C167:C168">{"DEFENSE";"Defense"}</f>
        <v>DEFENSE</v>
      </c>
      <c r="D167" s="222" t="str">
        <f t="array" ref="D167:D168">{"MEDIUM";"Medium"}</f>
        <v>MEDIUM</v>
      </c>
      <c r="E167" s="223" t="str">
        <f t="array" ref="E167:E168">{"MEDIUMINITIAL";((IF(G168=10,"T",(IF(G168=50,"E","")))))}</f>
        <v>MEDIUMINITIAL</v>
      </c>
      <c r="F167" s="223" t="str">
        <f t="array" ref="F167:F168">{"MEDIUMINITIALPTS";((IF("00"=(INDEX(ALLCLASSDATA,MATCH("MediumLegendary",CLASSFEATUREHEADERS,0),MATCH($A168,CLASSNAMEHEADERS,0))),(INDEX(ALLCLASSDATA,MATCH("MediumLegendary",CLASSFEATUREHEADERS,0),MATCH(($A168 &amp; "Points"),CLASSNAMEHEADERS,0))),(IF("00"=(INDEX(ALLCLASSDATA,MATCH("MediumMaster",CLASSFEATUREHEADERS,0),MATCH($A168,CLASSNAMEHEADERS,0))),(INDEX(ALLCLASSDATA,MATCH("MediumMaster",CLASSFEATUREHEADERS,0),MATCH(($A168 &amp; "Points"),CLASSNAMEHEADERS,0))),(IF("00"=(INDEX(ALLCLASSDATA,MATCH("MediumExpert",CLASSFEATUREHEADERS,0),MATCH($A168,CLASSNAMEHEADERS,0))),(INDEX(ALLCLASSDATA,MATCH("MediumExpert",CLASSFEATUREHEADERS,0),MATCH(($A168 &amp; "Points"),CLASSNAMEHEADERS,0))),(IF("00"=(INDEX(ALLCLASSDATA,MATCH("MediumTrained",CLASSFEATUREHEADERS,0),MATCH($A168,CLASSNAMEHEADERS,0))),(INDEX(ALLCLASSDATA,MATCH("MediumTrained",CLASSFEATUREHEADERS,0),MATCH(($A168 &amp; "Points"),CLASSNAMEHEADERS,0))),"")))))))))}</f>
        <v>MEDIUMINITIALPTS</v>
      </c>
      <c r="G167" s="223" t="str">
        <f t="array" ref="G167:G168">{"MEDIUML01";((IF("01"=(INDEX(ALLCLASSDATA,MATCH("MediumLegendary",CLASSFEATUREHEADERS,0),MATCH($A168,CLASSNAMEHEADERS,0))),(INDEX(ALLCLASSDATA,MATCH("MediumLegendary",CLASSFEATUREHEADERS,0),MATCH(($A168 &amp; "Points"),CLASSNAMEHEADERS,0))),(IF("01"=(INDEX(ALLCLASSDATA,MATCH("MediumMaster",CLASSFEATUREHEADERS,0),MATCH($A168,CLASSNAMEHEADERS,0))),(INDEX(ALLCLASSDATA,MATCH("MediumMaster",CLASSFEATUREHEADERS,0),MATCH(($A168 &amp; "Points"),CLASSNAMEHEADERS,0))),(IF("01"=(INDEX(ALLCLASSDATA,MATCH("MediumExpert",CLASSFEATUREHEADERS,0),MATCH($A168,CLASSNAMEHEADERS,0))),(INDEX(ALLCLASSDATA,MATCH("MediumExpert",CLASSFEATUREHEADERS,0),MATCH(($A168 &amp; "Points"),CLASSNAMEHEADERS,0))),(IF("01"=(INDEX(ALLCLASSDATA,MATCH("MediumTrained",CLASSFEATUREHEADERS,0),MATCH($A168,CLASSNAMEHEADERS,0))),(INDEX(ALLCLASSDATA,MATCH("MediumTrained",CLASSFEATUREHEADERS,0),MATCH(($A168 &amp; "Points"),CLASSNAMEHEADERS,0))),"")))))))))}</f>
        <v>MEDIUML01</v>
      </c>
      <c r="H167" s="223"/>
      <c r="I167" s="223" t="str">
        <f t="array" ref="I167:I168">{"MEDIUML03";((IF("03"=(INDEX(ALLCLASSDATA,MATCH("MediumLegendary",CLASSFEATUREHEADERS,0),MATCH($A168,CLASSNAMEHEADERS,0))),(INDEX(ALLCLASSDATA,MATCH("MediumLegendary",CLASSFEATUREHEADERS,0),MATCH(($A168 &amp; "Points"),CLASSNAMEHEADERS,0))),(IF("03"=(INDEX(ALLCLASSDATA,MATCH("MediumMaster",CLASSFEATUREHEADERS,0),MATCH($A168,CLASSNAMEHEADERS,0))),(INDEX(ALLCLASSDATA,MATCH("MediumMaster",CLASSFEATUREHEADERS,0),MATCH(($A168 &amp; "Points"),CLASSNAMEHEADERS,0))),(IF("03"=(INDEX(ALLCLASSDATA,MATCH("MediumExpert",CLASSFEATUREHEADERS,0),MATCH($A168,CLASSNAMEHEADERS,0))),(INDEX(ALLCLASSDATA,MATCH("MediumExpert",CLASSFEATUREHEADERS,0),MATCH(($A168 &amp; "Points"),CLASSNAMEHEADERS,0))),(IF("03"=(INDEX(ALLCLASSDATA,MATCH("MediumTrained",CLASSFEATUREHEADERS,0),MATCH($A168,CLASSNAMEHEADERS,0))),(INDEX(ALLCLASSDATA,MATCH("MediumTrained",CLASSFEATUREHEADERS,0),MATCH(($A168 &amp; "Points"),CLASSNAMEHEADERS,0))),"")))))))))}</f>
        <v>MEDIUML03</v>
      </c>
      <c r="J167" s="223"/>
      <c r="K167" s="223" t="str">
        <f t="array" ref="K167:K168">{"MEDIUML05";((IF("05"=(INDEX(ALLCLASSDATA,MATCH("MediumLegendary",CLASSFEATUREHEADERS,0),MATCH($A168,CLASSNAMEHEADERS,0))),(INDEX(ALLCLASSDATA,MATCH("MediumLegendary",CLASSFEATUREHEADERS,0),MATCH(($A168 &amp; "Points"),CLASSNAMEHEADERS,0))),(IF("05"=(INDEX(ALLCLASSDATA,MATCH("MediumMaster",CLASSFEATUREHEADERS,0),MATCH($A168,CLASSNAMEHEADERS,0))),(INDEX(ALLCLASSDATA,MATCH("MediumMaster",CLASSFEATUREHEADERS,0),MATCH(($A168 &amp; "Points"),CLASSNAMEHEADERS,0))),(IF("05"=(INDEX(ALLCLASSDATA,MATCH("MediumExpert",CLASSFEATUREHEADERS,0),MATCH($A168,CLASSNAMEHEADERS,0))),(INDEX(ALLCLASSDATA,MATCH("MediumExpert",CLASSFEATUREHEADERS,0),MATCH(($A168 &amp; "Points"),CLASSNAMEHEADERS,0))),(IF("05"=(INDEX(ALLCLASSDATA,MATCH("MediumTrained",CLASSFEATUREHEADERS,0),MATCH($A168,CLASSNAMEHEADERS,0))),(INDEX(ALLCLASSDATA,MATCH("MediumTrained",CLASSFEATUREHEADERS,0),MATCH(($A168 &amp; "Points"),CLASSNAMEHEADERS,0))),"")))))))))}</f>
        <v>MEDIUML05</v>
      </c>
      <c r="L167" s="223"/>
      <c r="M167" s="223" t="str">
        <f t="array" ref="M167:M168">{"MEDIUML07";((IF("07"=(INDEX(ALLCLASSDATA,MATCH("MediumLegendary",CLASSFEATUREHEADERS,0),MATCH($A168,CLASSNAMEHEADERS,0))),(INDEX(ALLCLASSDATA,MATCH("MediumLegendary",CLASSFEATUREHEADERS,0),MATCH(($A168 &amp; "Points"),CLASSNAMEHEADERS,0))),(IF("07"=(INDEX(ALLCLASSDATA,MATCH("MediumMaster",CLASSFEATUREHEADERS,0),MATCH($A168,CLASSNAMEHEADERS,0))),(INDEX(ALLCLASSDATA,MATCH("MediumMaster",CLASSFEATUREHEADERS,0),MATCH(($A168 &amp; "Points"),CLASSNAMEHEADERS,0))),(IF("07"=(INDEX(ALLCLASSDATA,MATCH("MediumExpert",CLASSFEATUREHEADERS,0),MATCH($A168,CLASSNAMEHEADERS,0))),(INDEX(ALLCLASSDATA,MATCH("MediumExpert",CLASSFEATUREHEADERS,0),MATCH(($A168 &amp; "Points"),CLASSNAMEHEADERS,0))),(IF("07"=(INDEX(ALLCLASSDATA,MATCH("MediumTrained",CLASSFEATUREHEADERS,0),MATCH($A168,CLASSNAMEHEADERS,0))),(INDEX(ALLCLASSDATA,MATCH("MediumTrained",CLASSFEATUREHEADERS,0),MATCH(($A168 &amp; "Points"),CLASSNAMEHEADERS,0))),"")))))))))}</f>
        <v>MEDIUML07</v>
      </c>
      <c r="N167" s="223"/>
      <c r="O167" s="223" t="str">
        <f t="array" ref="O167:O168">{"MEDIUML09";((IF("09"=(INDEX(ALLCLASSDATA,MATCH("MediumLegendary",CLASSFEATUREHEADERS,0),MATCH($A168,CLASSNAMEHEADERS,0))),(INDEX(ALLCLASSDATA,MATCH("MediumLegendary",CLASSFEATUREHEADERS,0),MATCH(($A168 &amp; "Points"),CLASSNAMEHEADERS,0))),(IF("09"=(INDEX(ALLCLASSDATA,MATCH("MediumMaster",CLASSFEATUREHEADERS,0),MATCH($A168,CLASSNAMEHEADERS,0))),(INDEX(ALLCLASSDATA,MATCH("MediumMaster",CLASSFEATUREHEADERS,0),MATCH(($A168 &amp; "Points"),CLASSNAMEHEADERS,0))),(IF("09"=(INDEX(ALLCLASSDATA,MATCH("MediumExpert",CLASSFEATUREHEADERS,0),MATCH($A168,CLASSNAMEHEADERS,0))),(INDEX(ALLCLASSDATA,MATCH("MediumExpert",CLASSFEATUREHEADERS,0),MATCH(($A168 &amp; "Points"),CLASSNAMEHEADERS,0))),(IF("09"=(INDEX(ALLCLASSDATA,MATCH("MediumTrained",CLASSFEATUREHEADERS,0),MATCH($A168,CLASSNAMEHEADERS,0))),(INDEX(ALLCLASSDATA,MATCH("MediumTrained",CLASSFEATUREHEADERS,0),MATCH(($A168 &amp; "Points"),CLASSNAMEHEADERS,0))),"")))))))))}</f>
        <v>MEDIUML09</v>
      </c>
      <c r="P167" s="223"/>
      <c r="Q167" s="223" t="str">
        <f t="array" ref="Q167:Q168">{"MEDIUML11";((IF("11"=(INDEX(ALLCLASSDATA,MATCH("MediumLegendary",CLASSFEATUREHEADERS,0),MATCH($A168,CLASSNAMEHEADERS,0))),(INDEX(ALLCLASSDATA,MATCH("MediumLegendary",CLASSFEATUREHEADERS,0),MATCH(($A168 &amp; "Points"),CLASSNAMEHEADERS,0))),(IF("11"=(INDEX(ALLCLASSDATA,MATCH("MediumMaster",CLASSFEATUREHEADERS,0),MATCH($A168,CLASSNAMEHEADERS,0))),(INDEX(ALLCLASSDATA,MATCH("MediumMaster",CLASSFEATUREHEADERS,0),MATCH(($A168 &amp; "Points"),CLASSNAMEHEADERS,0))),(IF("11"=(INDEX(ALLCLASSDATA,MATCH("MediumExpert",CLASSFEATUREHEADERS,0),MATCH($A168,CLASSNAMEHEADERS,0))),(INDEX(ALLCLASSDATA,MATCH("MediumExpert",CLASSFEATUREHEADERS,0),MATCH(($A168 &amp; "Points"),CLASSNAMEHEADERS,0))),(IF("11"=(INDEX(ALLCLASSDATA,MATCH("MediumTrained",CLASSFEATUREHEADERS,0),MATCH($A168,CLASSNAMEHEADERS,0))),(INDEX(ALLCLASSDATA,MATCH("MediumTrained",CLASSFEATUREHEADERS,0),MATCH(($A168 &amp; "Points"),CLASSNAMEHEADERS,0))),"")))))))))}</f>
        <v>MEDIUML11</v>
      </c>
      <c r="R167" s="223"/>
      <c r="S167" s="223" t="str">
        <f t="array" ref="S167:S168">{"MEDIUML13";((IF("13"=(INDEX(ALLCLASSDATA,MATCH("MediumLegendary",CLASSFEATUREHEADERS,0),MATCH($A168,CLASSNAMEHEADERS,0))),(INDEX(ALLCLASSDATA,MATCH("MediumLegendary",CLASSFEATUREHEADERS,0),MATCH(($A168 &amp; "Points"),CLASSNAMEHEADERS,0))),(IF("13"=(INDEX(ALLCLASSDATA,MATCH("MediumMaster",CLASSFEATUREHEADERS,0),MATCH($A168,CLASSNAMEHEADERS,0))),(INDEX(ALLCLASSDATA,MATCH("MediumMaster",CLASSFEATUREHEADERS,0),MATCH(($A168 &amp; "Points"),CLASSNAMEHEADERS,0))),(IF("13"=(INDEX(ALLCLASSDATA,MATCH("MediumExpert",CLASSFEATUREHEADERS,0),MATCH($A168,CLASSNAMEHEADERS,0))),(INDEX(ALLCLASSDATA,MATCH("MediumExpert",CLASSFEATUREHEADERS,0),MATCH(($A168 &amp; "Points"),CLASSNAMEHEADERS,0))),(IF("13"=(INDEX(ALLCLASSDATA,MATCH("MediumTrained",CLASSFEATUREHEADERS,0),MATCH($A168,CLASSNAMEHEADERS,0))),(INDEX(ALLCLASSDATA,MATCH("MediumTrained",CLASSFEATUREHEADERS,0),MATCH(($A168 &amp; "Points"),CLASSNAMEHEADERS,0))),"")))))))))}</f>
        <v>MEDIUML13</v>
      </c>
      <c r="T167" s="223"/>
      <c r="U167" s="223" t="str">
        <f t="array" ref="U167:U168">{"MEDIUML15";((IF("15"=(INDEX(ALLCLASSDATA,MATCH("MediumLegendary",CLASSFEATUREHEADERS,0),MATCH($A168,CLASSNAMEHEADERS,0))),(INDEX(ALLCLASSDATA,MATCH("MediumLegendary",CLASSFEATUREHEADERS,0),MATCH(($A168 &amp; "Points"),CLASSNAMEHEADERS,0))),(IF("15"=(INDEX(ALLCLASSDATA,MATCH("MediumMaster",CLASSFEATUREHEADERS,0),MATCH($A168,CLASSNAMEHEADERS,0))),(INDEX(ALLCLASSDATA,MATCH("MediumMaster",CLASSFEATUREHEADERS,0),MATCH(($A168 &amp; "Points"),CLASSNAMEHEADERS,0))),(IF("15"=(INDEX(ALLCLASSDATA,MATCH("MediumExpert",CLASSFEATUREHEADERS,0),MATCH($A168,CLASSNAMEHEADERS,0))),(INDEX(ALLCLASSDATA,MATCH("MediumExpert",CLASSFEATUREHEADERS,0),MATCH(($A168 &amp; "Points"),CLASSNAMEHEADERS,0))),(IF("15"=(INDEX(ALLCLASSDATA,MATCH("MediumTrained",CLASSFEATUREHEADERS,0),MATCH($A168,CLASSNAMEHEADERS,0))),(INDEX(ALLCLASSDATA,MATCH("MediumTrained",CLASSFEATUREHEADERS,0),MATCH(($A168 &amp; "Points"),CLASSNAMEHEADERS,0))),"")))))))))}</f>
        <v>MEDIUML15</v>
      </c>
      <c r="V167" s="223"/>
      <c r="W167" s="223" t="str">
        <f t="array" ref="W167:W168">{"MEDIUML17";((IF("17"=(INDEX(ALLCLASSDATA,MATCH("MediumLegendary",CLASSFEATUREHEADERS,0),MATCH($A168,CLASSNAMEHEADERS,0))),(INDEX(ALLCLASSDATA,MATCH("MediumLegendary",CLASSFEATUREHEADERS,0),MATCH(($A168 &amp; "Points"),CLASSNAMEHEADERS,0))),(IF("17"=(INDEX(ALLCLASSDATA,MATCH("MediumMaster",CLASSFEATUREHEADERS,0),MATCH($A168,CLASSNAMEHEADERS,0))),(INDEX(ALLCLASSDATA,MATCH("MediumMaster",CLASSFEATUREHEADERS,0),MATCH(($A168 &amp; "Points"),CLASSNAMEHEADERS,0))),(IF("17"=(INDEX(ALLCLASSDATA,MATCH("MediumExpert",CLASSFEATUREHEADERS,0),MATCH($A168,CLASSNAMEHEADERS,0))),(INDEX(ALLCLASSDATA,MATCH("MediumExpert",CLASSFEATUREHEADERS,0),MATCH(($A168 &amp; "Points"),CLASSNAMEHEADERS,0))),(IF("17"=(INDEX(ALLCLASSDATA,MATCH("MediumTrained",CLASSFEATUREHEADERS,0),MATCH($A168,CLASSNAMEHEADERS,0))),(INDEX(ALLCLASSDATA,MATCH("MediumTrained",CLASSFEATUREHEADERS,0),MATCH(($A168 &amp; "Points"),CLASSNAMEHEADERS,0))),"")))))))))}</f>
        <v>MEDIUML17</v>
      </c>
      <c r="X167" s="223"/>
      <c r="Y167" s="223" t="str">
        <f t="array" ref="Y167:Y168">{"MEDIUML19";((IF("19"=(INDEX(ALLCLASSDATA,MATCH("MediumLegendary",CLASSFEATUREHEADERS,0),MATCH($A168,CLASSNAMEHEADERS,0))),(INDEX(ALLCLASSDATA,MATCH("MediumLegendary",CLASSFEATUREHEADERS,0),MATCH(($A168 &amp; "Points"),CLASSNAMEHEADERS,0))),(IF("19"=(INDEX(ALLCLASSDATA,MATCH("MediumMaster",CLASSFEATUREHEADERS,0),MATCH($A168,CLASSNAMEHEADERS,0))),(INDEX(ALLCLASSDATA,MATCH("MediumMaster",CLASSFEATUREHEADERS,0),MATCH(($A168 &amp; "Points"),CLASSNAMEHEADERS,0))),(IF("19"=(INDEX(ALLCLASSDATA,MATCH("MediumExpert",CLASSFEATUREHEADERS,0),MATCH($A168,CLASSNAMEHEADERS,0))),(INDEX(ALLCLASSDATA,MATCH("MediumExpert",CLASSFEATUREHEADERS,0),MATCH(($A168 &amp; "Points"),CLASSNAMEHEADERS,0))),(IF("19"=(INDEX(ALLCLASSDATA,MATCH("MediumTrained",CLASSFEATUREHEADERS,0),MATCH($A168,CLASSNAMEHEADERS,0))),(INDEX(ALLCLASSDATA,MATCH("MediumTrained",CLASSFEATUREHEADERS,0),MATCH(($A168 &amp; "Points"),CLASSNAMEHEADERS,0))),"")))))))))}</f>
        <v>MEDIUML19</v>
      </c>
      <c r="Z167" s="223"/>
      <c r="AA167" s="76" t="str">
        <f t="array" ref="AA167:AA168">{"MEDIUM TOTAL";(IF(COUNTBLANK(F168:Z168)=17,"L",(IF(COUNTBLANK(F168:Z168)=18,"M",(IF(COUNTBLANK(F168:Z168)=19,"E",(IF(COUNTBLANK(F168:Z168)=20,"T",""))))))))}</f>
        <v>MEDIUM TOTAL</v>
      </c>
      <c r="AB167" s="76" t="str">
        <f t="array" ref="AB167:AB168">{"MEDIUM TOTAL";(sum(F168:Z168))}</f>
        <v>MEDIUM TOTAL</v>
      </c>
    </row>
    <row r="168">
      <c r="A168" s="48" t="s">
        <v>219</v>
      </c>
      <c r="B168" s="48" t="s">
        <v>418</v>
      </c>
      <c r="C168" s="48" t="s">
        <v>1900</v>
      </c>
      <c r="D168" s="48" t="s">
        <v>76</v>
      </c>
      <c r="E168" s="5" t="s">
        <v>603</v>
      </c>
      <c r="F168" s="47" t="s">
        <v>603</v>
      </c>
      <c r="G168" s="5" t="s">
        <v>603</v>
      </c>
      <c r="H168" s="5"/>
      <c r="I168" s="5" t="s">
        <v>603</v>
      </c>
      <c r="J168" s="5"/>
      <c r="K168" s="5" t="s">
        <v>603</v>
      </c>
      <c r="L168" s="5"/>
      <c r="M168" s="5" t="s">
        <v>603</v>
      </c>
      <c r="N168" s="5"/>
      <c r="O168" s="5" t="s">
        <v>603</v>
      </c>
      <c r="P168" s="5"/>
      <c r="Q168" s="5" t="s">
        <v>603</v>
      </c>
      <c r="R168" s="5"/>
      <c r="S168" s="5" t="s">
        <v>603</v>
      </c>
      <c r="T168" s="5"/>
      <c r="U168" s="5" t="s">
        <v>603</v>
      </c>
      <c r="V168" s="5"/>
      <c r="W168" s="5" t="s">
        <v>603</v>
      </c>
      <c r="X168" s="5"/>
      <c r="Y168" s="5" t="s">
        <v>603</v>
      </c>
      <c r="Z168" s="5"/>
      <c r="AA168" s="5" t="s">
        <v>603</v>
      </c>
      <c r="AB168" s="47">
        <v>0.0</v>
      </c>
    </row>
    <row r="169" hidden="1">
      <c r="A169" s="222" t="str">
        <f t="array" ref="A169:A170">{"FormulaRow38";(INDEX(CLASSLIST,A94,1))}</f>
        <v>FormulaRow38</v>
      </c>
      <c r="B169" s="222" t="str">
        <f t="array" ref="B169:B170">{"CLASSTYPE";((INDEX(ALLCLASSDATA,MATCH("ClassType",CLASSFEATUREHEADERS,0),MATCH($A170,CLASSNAMEHEADERS,0))))}</f>
        <v>CLASSTYPE</v>
      </c>
      <c r="C169" s="222" t="str">
        <f t="array" ref="C169:C170">{"DEFENSE";"Defense"}</f>
        <v>DEFENSE</v>
      </c>
      <c r="D169" s="222" t="str">
        <f t="array" ref="D169:D170">{"HEAVY";"Heavy"}</f>
        <v>HEAVY</v>
      </c>
      <c r="E169" s="223" t="str">
        <f t="array" ref="E169:E170">{"HEAVYINITIAL";((IF(G170=10,"T",(IF(G170=50,"E","")))))}</f>
        <v>HEAVYINITIAL</v>
      </c>
      <c r="F169" s="223" t="str">
        <f t="array" ref="F169:F170">{"HEAVYINITIALPTS";((IF("00"=(INDEX(ALLCLASSDATA,MATCH("HeavyLegendary",CLASSFEATUREHEADERS,0),MATCH($A170,CLASSNAMEHEADERS,0))),(INDEX(ALLCLASSDATA,MATCH("HeavyLegendary",CLASSFEATUREHEADERS,0),MATCH(($A170 &amp; "Points"),CLASSNAMEHEADERS,0))),(IF("00"=(INDEX(ALLCLASSDATA,MATCH("HeavyMaster",CLASSFEATUREHEADERS,0),MATCH($A170,CLASSNAMEHEADERS,0))),(INDEX(ALLCLASSDATA,MATCH("HeavyMaster",CLASSFEATUREHEADERS,0),MATCH(($A170 &amp; "Points"),CLASSNAMEHEADERS,0))),(IF("00"=(INDEX(ALLCLASSDATA,MATCH("HeavyExpert",CLASSFEATUREHEADERS,0),MATCH($A170,CLASSNAMEHEADERS,0))),(INDEX(ALLCLASSDATA,MATCH("HeavyExpert",CLASSFEATUREHEADERS,0),MATCH(($A170 &amp; "Points"),CLASSNAMEHEADERS,0))),(IF("00"=(INDEX(ALLCLASSDATA,MATCH("HeavyTrained",CLASSFEATUREHEADERS,0),MATCH($A170,CLASSNAMEHEADERS,0))),(INDEX(ALLCLASSDATA,MATCH("HeavyTrained",CLASSFEATUREHEADERS,0),MATCH(($A170 &amp; "Points"),CLASSNAMEHEADERS,0))),"")))))))))}</f>
        <v>HEAVYINITIALPTS</v>
      </c>
      <c r="G169" s="223" t="str">
        <f t="array" ref="G169:G170">{"HEAVYL01";((IF("01"=(INDEX(ALLCLASSDATA,MATCH("HeavyLegendary",CLASSFEATUREHEADERS,0),MATCH($A170,CLASSNAMEHEADERS,0))),(INDEX(ALLCLASSDATA,MATCH("HeavyLegendary",CLASSFEATUREHEADERS,0),MATCH(($A170 &amp; "Points"),CLASSNAMEHEADERS,0))),(IF("01"=(INDEX(ALLCLASSDATA,MATCH("HeavyMaster",CLASSFEATUREHEADERS,0),MATCH($A170,CLASSNAMEHEADERS,0))),(INDEX(ALLCLASSDATA,MATCH("HeavyMaster",CLASSFEATUREHEADERS,0),MATCH(($A170 &amp; "Points"),CLASSNAMEHEADERS,0))),(IF("01"=(INDEX(ALLCLASSDATA,MATCH("HeavyExpert",CLASSFEATUREHEADERS,0),MATCH($A170,CLASSNAMEHEADERS,0))),(INDEX(ALLCLASSDATA,MATCH("HeavyExpert",CLASSFEATUREHEADERS,0),MATCH(($A170 &amp; "Points"),CLASSNAMEHEADERS,0))),(IF("01"=(INDEX(ALLCLASSDATA,MATCH("HeavyTrained",CLASSFEATUREHEADERS,0),MATCH($A170,CLASSNAMEHEADERS,0))),(INDEX(ALLCLASSDATA,MATCH("HeavyTrained",CLASSFEATUREHEADERS,0),MATCH(($A170 &amp; "Points"),CLASSNAMEHEADERS,0))),"")))))))))}</f>
        <v>HEAVYL01</v>
      </c>
      <c r="H169" s="223"/>
      <c r="I169" s="223" t="str">
        <f t="array" ref="I169:I170">{"HEAVYL03";((IF("03"=(INDEX(ALLCLASSDATA,MATCH("HeavyLegendary",CLASSFEATUREHEADERS,0),MATCH($A170,CLASSNAMEHEADERS,0))),(INDEX(ALLCLASSDATA,MATCH("HeavyLegendary",CLASSFEATUREHEADERS,0),MATCH(($A170 &amp; "Points"),CLASSNAMEHEADERS,0))),(IF("03"=(INDEX(ALLCLASSDATA,MATCH("HeavyMaster",CLASSFEATUREHEADERS,0),MATCH($A170,CLASSNAMEHEADERS,0))),(INDEX(ALLCLASSDATA,MATCH("HeavyMaster",CLASSFEATUREHEADERS,0),MATCH(($A170 &amp; "Points"),CLASSNAMEHEADERS,0))),(IF("03"=(INDEX(ALLCLASSDATA,MATCH("HeavyExpert",CLASSFEATUREHEADERS,0),MATCH($A170,CLASSNAMEHEADERS,0))),(INDEX(ALLCLASSDATA,MATCH("HeavyExpert",CLASSFEATUREHEADERS,0),MATCH(($A170 &amp; "Points"),CLASSNAMEHEADERS,0))),(IF("03"=(INDEX(ALLCLASSDATA,MATCH("HeavyTrained",CLASSFEATUREHEADERS,0),MATCH($A170,CLASSNAMEHEADERS,0))),(INDEX(ALLCLASSDATA,MATCH("HeavyTrained",CLASSFEATUREHEADERS,0),MATCH(($A170 &amp; "Points"),CLASSNAMEHEADERS,0))),"")))))))))}</f>
        <v>HEAVYL03</v>
      </c>
      <c r="J169" s="223"/>
      <c r="K169" s="223" t="str">
        <f t="array" ref="K169:K170">{"HEAVYL05";((IF("05"=(INDEX(ALLCLASSDATA,MATCH("HeavyLegendary",CLASSFEATUREHEADERS,0),MATCH($A170,CLASSNAMEHEADERS,0))),(INDEX(ALLCLASSDATA,MATCH("HeavyLegendary",CLASSFEATUREHEADERS,0),MATCH(($A170 &amp; "Points"),CLASSNAMEHEADERS,0))),(IF("05"=(INDEX(ALLCLASSDATA,MATCH("HeavyMaster",CLASSFEATUREHEADERS,0),MATCH($A170,CLASSNAMEHEADERS,0))),(INDEX(ALLCLASSDATA,MATCH("HeavyMaster",CLASSFEATUREHEADERS,0),MATCH(($A170 &amp; "Points"),CLASSNAMEHEADERS,0))),(IF("05"=(INDEX(ALLCLASSDATA,MATCH("HeavyExpert",CLASSFEATUREHEADERS,0),MATCH($A170,CLASSNAMEHEADERS,0))),(INDEX(ALLCLASSDATA,MATCH("HeavyExpert",CLASSFEATUREHEADERS,0),MATCH(($A170 &amp; "Points"),CLASSNAMEHEADERS,0))),(IF("05"=(INDEX(ALLCLASSDATA,MATCH("HeavyTrained",CLASSFEATUREHEADERS,0),MATCH($A170,CLASSNAMEHEADERS,0))),(INDEX(ALLCLASSDATA,MATCH("HeavyTrained",CLASSFEATUREHEADERS,0),MATCH(($A170 &amp; "Points"),CLASSNAMEHEADERS,0))),"")))))))))}</f>
        <v>HEAVYL05</v>
      </c>
      <c r="L169" s="223"/>
      <c r="M169" s="223" t="str">
        <f t="array" ref="M169:M170">{"HEAVYL07";((IF("07"=(INDEX(ALLCLASSDATA,MATCH("HeavyLegendary",CLASSFEATUREHEADERS,0),MATCH($A170,CLASSNAMEHEADERS,0))),(INDEX(ALLCLASSDATA,MATCH("HeavyLegendary",CLASSFEATUREHEADERS,0),MATCH(($A170 &amp; "Points"),CLASSNAMEHEADERS,0))),(IF("07"=(INDEX(ALLCLASSDATA,MATCH("HeavyMaster",CLASSFEATUREHEADERS,0),MATCH($A170,CLASSNAMEHEADERS,0))),(INDEX(ALLCLASSDATA,MATCH("HeavyMaster",CLASSFEATUREHEADERS,0),MATCH(($A170 &amp; "Points"),CLASSNAMEHEADERS,0))),(IF("07"=(INDEX(ALLCLASSDATA,MATCH("HeavyExpert",CLASSFEATUREHEADERS,0),MATCH($A170,CLASSNAMEHEADERS,0))),(INDEX(ALLCLASSDATA,MATCH("HeavyExpert",CLASSFEATUREHEADERS,0),MATCH(($A170 &amp; "Points"),CLASSNAMEHEADERS,0))),(IF("07"=(INDEX(ALLCLASSDATA,MATCH("HeavyTrained",CLASSFEATUREHEADERS,0),MATCH($A170,CLASSNAMEHEADERS,0))),(INDEX(ALLCLASSDATA,MATCH("HeavyTrained",CLASSFEATUREHEADERS,0),MATCH(($A170 &amp; "Points"),CLASSNAMEHEADERS,0))),"")))))))))}</f>
        <v>HEAVYL07</v>
      </c>
      <c r="N169" s="223"/>
      <c r="O169" s="223" t="str">
        <f t="array" ref="O169:O170">{"HEAVYL09";((IF("09"=(INDEX(ALLCLASSDATA,MATCH("HeavyLegendary",CLASSFEATUREHEADERS,0),MATCH($A170,CLASSNAMEHEADERS,0))),(INDEX(ALLCLASSDATA,MATCH("HeavyLegendary",CLASSFEATUREHEADERS,0),MATCH(($A170 &amp; "Points"),CLASSNAMEHEADERS,0))),(IF("09"=(INDEX(ALLCLASSDATA,MATCH("HeavyMaster",CLASSFEATUREHEADERS,0),MATCH($A170,CLASSNAMEHEADERS,0))),(INDEX(ALLCLASSDATA,MATCH("HeavyMaster",CLASSFEATUREHEADERS,0),MATCH(($A170 &amp; "Points"),CLASSNAMEHEADERS,0))),(IF("09"=(INDEX(ALLCLASSDATA,MATCH("HeavyExpert",CLASSFEATUREHEADERS,0),MATCH($A170,CLASSNAMEHEADERS,0))),(INDEX(ALLCLASSDATA,MATCH("HeavyExpert",CLASSFEATUREHEADERS,0),MATCH(($A170 &amp; "Points"),CLASSNAMEHEADERS,0))),(IF("09"=(INDEX(ALLCLASSDATA,MATCH("HeavyTrained",CLASSFEATUREHEADERS,0),MATCH($A170,CLASSNAMEHEADERS,0))),(INDEX(ALLCLASSDATA,MATCH("HeavyTrained",CLASSFEATUREHEADERS,0),MATCH(($A170 &amp; "Points"),CLASSNAMEHEADERS,0))),"")))))))))}</f>
        <v>HEAVYL09</v>
      </c>
      <c r="P169" s="223"/>
      <c r="Q169" s="223" t="str">
        <f t="array" ref="Q169:Q170">{"HEAVYL11";((IF("11"=(INDEX(ALLCLASSDATA,MATCH("HeavyLegendary",CLASSFEATUREHEADERS,0),MATCH($A170,CLASSNAMEHEADERS,0))),(INDEX(ALLCLASSDATA,MATCH("HeavyLegendary",CLASSFEATUREHEADERS,0),MATCH(($A170 &amp; "Points"),CLASSNAMEHEADERS,0))),(IF("11"=(INDEX(ALLCLASSDATA,MATCH("HeavyMaster",CLASSFEATUREHEADERS,0),MATCH($A170,CLASSNAMEHEADERS,0))),(INDEX(ALLCLASSDATA,MATCH("HeavyMaster",CLASSFEATUREHEADERS,0),MATCH(($A170 &amp; "Points"),CLASSNAMEHEADERS,0))),(IF("11"=(INDEX(ALLCLASSDATA,MATCH("HeavyExpert",CLASSFEATUREHEADERS,0),MATCH($A170,CLASSNAMEHEADERS,0))),(INDEX(ALLCLASSDATA,MATCH("HeavyExpert",CLASSFEATUREHEADERS,0),MATCH(($A170 &amp; "Points"),CLASSNAMEHEADERS,0))),(IF("11"=(INDEX(ALLCLASSDATA,MATCH("HeavyTrained",CLASSFEATUREHEADERS,0),MATCH($A170,CLASSNAMEHEADERS,0))),(INDEX(ALLCLASSDATA,MATCH("HeavyTrained",CLASSFEATUREHEADERS,0),MATCH(($A170 &amp; "Points"),CLASSNAMEHEADERS,0))),"")))))))))}</f>
        <v>HEAVYL11</v>
      </c>
      <c r="R169" s="223"/>
      <c r="S169" s="223" t="str">
        <f t="array" ref="S169:S170">{"HEAVYL13";((IF("13"=(INDEX(ALLCLASSDATA,MATCH("HeavyLegendary",CLASSFEATUREHEADERS,0),MATCH($A170,CLASSNAMEHEADERS,0))),(INDEX(ALLCLASSDATA,MATCH("HeavyLegendary",CLASSFEATUREHEADERS,0),MATCH(($A170 &amp; "Points"),CLASSNAMEHEADERS,0))),(IF("13"=(INDEX(ALLCLASSDATA,MATCH("HeavyMaster",CLASSFEATUREHEADERS,0),MATCH($A170,CLASSNAMEHEADERS,0))),(INDEX(ALLCLASSDATA,MATCH("HeavyMaster",CLASSFEATUREHEADERS,0),MATCH(($A170 &amp; "Points"),CLASSNAMEHEADERS,0))),(IF("13"=(INDEX(ALLCLASSDATA,MATCH("HeavyExpert",CLASSFEATUREHEADERS,0),MATCH($A170,CLASSNAMEHEADERS,0))),(INDEX(ALLCLASSDATA,MATCH("HeavyExpert",CLASSFEATUREHEADERS,0),MATCH(($A170 &amp; "Points"),CLASSNAMEHEADERS,0))),(IF("13"=(INDEX(ALLCLASSDATA,MATCH("HeavyTrained",CLASSFEATUREHEADERS,0),MATCH($A170,CLASSNAMEHEADERS,0))),(INDEX(ALLCLASSDATA,MATCH("HeavyTrained",CLASSFEATUREHEADERS,0),MATCH(($A170 &amp; "Points"),CLASSNAMEHEADERS,0))),"")))))))))}</f>
        <v>HEAVYL13</v>
      </c>
      <c r="T169" s="223"/>
      <c r="U169" s="223" t="str">
        <f t="array" ref="U169:U170">{"HEAVYL15";((IF("15"=(INDEX(ALLCLASSDATA,MATCH("HeavyLegendary",CLASSFEATUREHEADERS,0),MATCH($A170,CLASSNAMEHEADERS,0))),(INDEX(ALLCLASSDATA,MATCH("HeavyLegendary",CLASSFEATUREHEADERS,0),MATCH(($A170 &amp; "Points"),CLASSNAMEHEADERS,0))),(IF("15"=(INDEX(ALLCLASSDATA,MATCH("HeavyMaster",CLASSFEATUREHEADERS,0),MATCH($A170,CLASSNAMEHEADERS,0))),(INDEX(ALLCLASSDATA,MATCH("HeavyMaster",CLASSFEATUREHEADERS,0),MATCH(($A170 &amp; "Points"),CLASSNAMEHEADERS,0))),(IF("15"=(INDEX(ALLCLASSDATA,MATCH("HeavyExpert",CLASSFEATUREHEADERS,0),MATCH($A170,CLASSNAMEHEADERS,0))),(INDEX(ALLCLASSDATA,MATCH("HeavyExpert",CLASSFEATUREHEADERS,0),MATCH(($A170 &amp; "Points"),CLASSNAMEHEADERS,0))),(IF("15"=(INDEX(ALLCLASSDATA,MATCH("HeavyTrained",CLASSFEATUREHEADERS,0),MATCH($A170,CLASSNAMEHEADERS,0))),(INDEX(ALLCLASSDATA,MATCH("HeavyTrained",CLASSFEATUREHEADERS,0),MATCH(($A170 &amp; "Points"),CLASSNAMEHEADERS,0))),"")))))))))}</f>
        <v>HEAVYL15</v>
      </c>
      <c r="V169" s="223"/>
      <c r="W169" s="223" t="str">
        <f t="array" ref="W169:W170">{"HEAVYL17";((IF("17"=(INDEX(ALLCLASSDATA,MATCH("HeavyLegendary",CLASSFEATUREHEADERS,0),MATCH($A170,CLASSNAMEHEADERS,0))),(INDEX(ALLCLASSDATA,MATCH("HeavyLegendary",CLASSFEATUREHEADERS,0),MATCH(($A170 &amp; "Points"),CLASSNAMEHEADERS,0))),(IF("17"=(INDEX(ALLCLASSDATA,MATCH("HeavyMaster",CLASSFEATUREHEADERS,0),MATCH($A170,CLASSNAMEHEADERS,0))),(INDEX(ALLCLASSDATA,MATCH("HeavyMaster",CLASSFEATUREHEADERS,0),MATCH(($A170 &amp; "Points"),CLASSNAMEHEADERS,0))),(IF("17"=(INDEX(ALLCLASSDATA,MATCH("HeavyExpert",CLASSFEATUREHEADERS,0),MATCH($A170,CLASSNAMEHEADERS,0))),(INDEX(ALLCLASSDATA,MATCH("HeavyExpert",CLASSFEATUREHEADERS,0),MATCH(($A170 &amp; "Points"),CLASSNAMEHEADERS,0))),(IF("17"=(INDEX(ALLCLASSDATA,MATCH("HeavyTrained",CLASSFEATUREHEADERS,0),MATCH($A170,CLASSNAMEHEADERS,0))),(INDEX(ALLCLASSDATA,MATCH("HeavyTrained",CLASSFEATUREHEADERS,0),MATCH(($A170 &amp; "Points"),CLASSNAMEHEADERS,0))),"")))))))))}</f>
        <v>HEAVYL17</v>
      </c>
      <c r="X169" s="223"/>
      <c r="Y169" s="223" t="str">
        <f t="array" ref="Y169:Y170">{"HEAVYL19";((IF("19"=(INDEX(ALLCLASSDATA,MATCH("HeavyLegendary",CLASSFEATUREHEADERS,0),MATCH($A170,CLASSNAMEHEADERS,0))),(INDEX(ALLCLASSDATA,MATCH("HeavyLegendary",CLASSFEATUREHEADERS,0),MATCH(($A170 &amp; "Points"),CLASSNAMEHEADERS,0))),(IF("19"=(INDEX(ALLCLASSDATA,MATCH("HeavyMaster",CLASSFEATUREHEADERS,0),MATCH($A170,CLASSNAMEHEADERS,0))),(INDEX(ALLCLASSDATA,MATCH("HeavyMaster",CLASSFEATUREHEADERS,0),MATCH(($A170 &amp; "Points"),CLASSNAMEHEADERS,0))),(IF("19"=(INDEX(ALLCLASSDATA,MATCH("HeavyExpert",CLASSFEATUREHEADERS,0),MATCH($A170,CLASSNAMEHEADERS,0))),(INDEX(ALLCLASSDATA,MATCH("HeavyExpert",CLASSFEATUREHEADERS,0),MATCH(($A170 &amp; "Points"),CLASSNAMEHEADERS,0))),(IF("19"=(INDEX(ALLCLASSDATA,MATCH("HeavyTrained",CLASSFEATUREHEADERS,0),MATCH($A170,CLASSNAMEHEADERS,0))),(INDEX(ALLCLASSDATA,MATCH("HeavyTrained",CLASSFEATUREHEADERS,0),MATCH(($A170 &amp; "Points"),CLASSNAMEHEADERS,0))),"")))))))))}</f>
        <v>HEAVYL19</v>
      </c>
      <c r="Z169" s="223"/>
      <c r="AA169" s="76" t="str">
        <f t="array" ref="AA169:AA170">{"HEAVY TOTAL";(IF(COUNTBLANK(F170:Z170)=17,"L",(IF(COUNTBLANK(F170:Z170)=18,"M",(IF(COUNTBLANK(F170:Z170)=19,"E",(IF(COUNTBLANK(F170:Z170)=20,"T",""))))))))}</f>
        <v>HEAVY TOTAL</v>
      </c>
      <c r="AB169" s="76" t="str">
        <f t="array" ref="AB169:AB170">{"HEAVY TOTAL";(sum(F170:Z170))}</f>
        <v>HEAVY TOTAL</v>
      </c>
    </row>
    <row r="170">
      <c r="A170" s="48" t="s">
        <v>219</v>
      </c>
      <c r="B170" s="48" t="s">
        <v>418</v>
      </c>
      <c r="C170" s="97" t="s">
        <v>1900</v>
      </c>
      <c r="D170" s="97" t="s">
        <v>533</v>
      </c>
      <c r="E170" s="98" t="s">
        <v>603</v>
      </c>
      <c r="F170" s="132" t="s">
        <v>603</v>
      </c>
      <c r="G170" s="98" t="s">
        <v>603</v>
      </c>
      <c r="H170" s="98"/>
      <c r="I170" s="98" t="s">
        <v>603</v>
      </c>
      <c r="J170" s="98"/>
      <c r="K170" s="98" t="s">
        <v>603</v>
      </c>
      <c r="L170" s="98"/>
      <c r="M170" s="98" t="s">
        <v>603</v>
      </c>
      <c r="N170" s="98"/>
      <c r="O170" s="98" t="s">
        <v>603</v>
      </c>
      <c r="P170" s="98"/>
      <c r="Q170" s="98" t="s">
        <v>603</v>
      </c>
      <c r="R170" s="98"/>
      <c r="S170" s="98" t="s">
        <v>603</v>
      </c>
      <c r="T170" s="98"/>
      <c r="U170" s="98" t="s">
        <v>603</v>
      </c>
      <c r="V170" s="98"/>
      <c r="W170" s="98" t="s">
        <v>603</v>
      </c>
      <c r="X170" s="98"/>
      <c r="Y170" s="98" t="s">
        <v>603</v>
      </c>
      <c r="Z170" s="98"/>
      <c r="AA170" s="5" t="s">
        <v>603</v>
      </c>
      <c r="AB170" s="47">
        <v>0.0</v>
      </c>
    </row>
    <row r="171" hidden="1">
      <c r="A171" s="222" t="str">
        <f t="array" ref="A171:A172">{"FormulaRow39";(INDEX(CLASSLIST,A94,1))}</f>
        <v>FormulaRow39</v>
      </c>
      <c r="B171" s="222" t="str">
        <f t="array" ref="B171:B172">{"CLASSTYPE";((INDEX(ALLCLASSDATA,MATCH("ClassType",CLASSFEATUREHEADERS,0),MATCH($A172,CLASSNAMEHEADERS,0))))}</f>
        <v>CLASSTYPE</v>
      </c>
      <c r="C171" s="222" t="str">
        <f t="array" ref="C171:C172">{"SPELL/ALCHEMY";((IF(INDEX(ALLCLASSDATA,MATCH("CasterType",CLASSFEATUREHEADERS,0),MATCH(($A172),CLASSNAMEHEADERS,0))="","",(IF(INDEX(ALLCLASSDATA,MATCH("CasterType",CLASSFEATUREHEADERS,0),MATCH(($A172),CLASSNAMEHEADERS,0))="Alchemy","Alchemy","Spells")))))}</f>
        <v>SPELL/ALCHEMY</v>
      </c>
      <c r="D171" s="222" t="str">
        <f t="array" ref="D171:D172">{"SPELLLIST";(IF(C172="Spells",((INDEX(ALLCLASSDATA,MATCH("CasterType",CLASSFEATUREHEADERS,0),MATCH(($A172),CLASSNAMEHEADERS,0))) &amp; ":" &amp; (INDEX(ALLCLASSDATA,MATCH("SpellList",CLASSFEATUREHEADERS,0),MATCH(($A172),CLASSNAMEHEADERS,0)))),""))}</f>
        <v>SPELLLIST</v>
      </c>
      <c r="E171" s="223" t="str">
        <f t="array" ref="E171:E172">{"SPL";(IF(C172="Spells","SPL:",""))}</f>
        <v>SPL</v>
      </c>
      <c r="F171" s="223" t="str">
        <f t="array" ref="F171:F172">{"CANTRIP/ALC";(IF(C172="Spells","C",(IF(C172="Alchemy","ALC:",""))))}</f>
        <v>CANTRIP/ALC</v>
      </c>
      <c r="G171" s="223" t="str">
        <f t="array" ref="G171:G172">{"SPELL/ALC L01";(IF(C172="Alchemy","L01",(IF(C172="Spells","S01",""))))}</f>
        <v>SPELL/ALC L01</v>
      </c>
      <c r="H171" s="223" t="str">
        <f t="array" ref="H171:H172">{"SPELL/ALC L02";(IF(C172="Alchemy","L02",(IF(C172="Spells","S01",""))))}</f>
        <v>SPELL/ALC L02</v>
      </c>
      <c r="I171" s="223" t="str">
        <f t="array" ref="I171:I172">{"SPELL/ALC L03";(IF(C172="Alchemy","L03",(IF(C172="Spells","S02",""))))}</f>
        <v>SPELL/ALC L03</v>
      </c>
      <c r="J171" s="223" t="str">
        <f t="array" ref="J171:J172">{"SPELL/ALC L04";(IF(C172="Alchemy","L04",(IF(C172="Spells","S02",""))))}</f>
        <v>SPELL/ALC L04</v>
      </c>
      <c r="K171" s="223" t="str">
        <f t="array" ref="K171:K172">{"SPELL/ALC L05";(IF(C172="Alchemy","L05",(IF(C172="Spells","S03",""))))}</f>
        <v>SPELL/ALC L05</v>
      </c>
      <c r="L171" s="223" t="str">
        <f t="array" ref="L171:L172">{"SPELL/ALC L06";(IF(C172="Alchemy","L06",(IF(C172="Spells","S03",""))))}</f>
        <v>SPELL/ALC L06</v>
      </c>
      <c r="M171" s="223" t="str">
        <f t="array" ref="M171:M172">{"SPELL/ALC L07";(IF(C172="Alchemy","L07",(IF(C172="Spells","S04",""))))}</f>
        <v>SPELL/ALC L07</v>
      </c>
      <c r="N171" s="223" t="str">
        <f t="array" ref="N171:N172">{"SPELL/ALC L08";(IF(C172="Alchemy","L08",(IF(C172="Spells","S04",""))))}</f>
        <v>SPELL/ALC L08</v>
      </c>
      <c r="O171" s="223" t="str">
        <f t="array" ref="O171:O172">{"SPELL/ALC L09";(IF(C172="Alchemy","L09",(IF(C172="Spells","S05",""))))}</f>
        <v>SPELL/ALC L09</v>
      </c>
      <c r="P171" s="223" t="str">
        <f t="array" ref="P171:P172">{"SPELL/ALC L10";(IF(C172="Alchemy","L10",(IF(C172="Spells","S05",""))))}</f>
        <v>SPELL/ALC L10</v>
      </c>
      <c r="Q171" s="223" t="str">
        <f t="array" ref="Q171:Q172">{"SPELL/ALC L11";(IF(C172="Alchemy","L11",(IF(C172="Spells","S06",""))))}</f>
        <v>SPELL/ALC L11</v>
      </c>
      <c r="R171" s="223" t="str">
        <f t="array" ref="R171:R172">{"SPELL/ALC L12";(IF(C172="Alchemy","L12",(IF(C172="Spells","S06",""))))}</f>
        <v>SPELL/ALC L12</v>
      </c>
      <c r="S171" s="223" t="str">
        <f t="array" ref="S171:S172">{"SPELL/ALC L13";(IF(C172="Alchemy","L13",(IF(C172="Spells","S07",""))))}</f>
        <v>SPELL/ALC L13</v>
      </c>
      <c r="T171" s="223" t="str">
        <f t="array" ref="T171:T172">{"SPELL/ALC L14";(IF(C172="Alchemy","L14",(IF(C172="Spells","S07",""))))}</f>
        <v>SPELL/ALC L14</v>
      </c>
      <c r="U171" s="223" t="str">
        <f t="array" ref="U171:U172">{"SPELL/ALC L15";(IF(C172="Alchemy","L15",(IF(C172="Spells","S08",""))))}</f>
        <v>SPELL/ALC L15</v>
      </c>
      <c r="V171" s="223" t="str">
        <f t="array" ref="V171:V172">{"SPELL/ALC L16";(IF(C172="Alchemy","L16",(IF(C172="Spells","S08",""))))}</f>
        <v>SPELL/ALC L16</v>
      </c>
      <c r="W171" s="223" t="str">
        <f t="array" ref="W171:W172">{"SPELL/ALC L17";(IF(C172="Alchemy","L17",(IF(C172="Spells","S09",""))))}</f>
        <v>SPELL/ALC L17</v>
      </c>
      <c r="X171" s="223" t="str">
        <f t="array" ref="X171:X172">{"SPELL/ALC L18";(IF(C172="Alchemy","L18",(IF(C172="Spells","S09",""))))}</f>
        <v>SPELL/ALC L18</v>
      </c>
      <c r="Y171" s="223" t="str">
        <f t="array" ref="Y171:Y172">{"SPELL/ALC L19";(IF(C172="Alchemy","L19",(IF(C172="Spells","S10",""))))}</f>
        <v>SPELL/ALC L19</v>
      </c>
      <c r="Z171" s="223" t="str">
        <f t="array" ref="Z171:Z172">{"SPELL/ALC L20";(IF(C172="Alchemy","L20",(IF(C172="Spells","S10",""))))}</f>
        <v>SPELL/ALC L20</v>
      </c>
      <c r="AA171" s="76"/>
      <c r="AB171" s="76"/>
    </row>
    <row r="172">
      <c r="A172" s="48" t="s">
        <v>219</v>
      </c>
      <c r="B172" s="48" t="s">
        <v>418</v>
      </c>
      <c r="C172" s="48" t="s">
        <v>1901</v>
      </c>
      <c r="D172" s="48" t="s">
        <v>1902</v>
      </c>
      <c r="E172" s="278" t="s">
        <v>1903</v>
      </c>
      <c r="F172" s="114" t="s">
        <v>653</v>
      </c>
      <c r="G172" s="279" t="s">
        <v>1536</v>
      </c>
      <c r="H172" s="28" t="s">
        <v>1536</v>
      </c>
      <c r="I172" s="28" t="s">
        <v>1542</v>
      </c>
      <c r="J172" s="28" t="s">
        <v>1542</v>
      </c>
      <c r="K172" s="28" t="s">
        <v>1545</v>
      </c>
      <c r="L172" s="28" t="s">
        <v>1545</v>
      </c>
      <c r="M172" s="28" t="s">
        <v>1548</v>
      </c>
      <c r="N172" s="28" t="s">
        <v>1548</v>
      </c>
      <c r="O172" s="28" t="s">
        <v>1553</v>
      </c>
      <c r="P172" s="28" t="s">
        <v>1553</v>
      </c>
      <c r="Q172" s="28" t="s">
        <v>1556</v>
      </c>
      <c r="R172" s="28" t="s">
        <v>1556</v>
      </c>
      <c r="S172" s="28" t="s">
        <v>1559</v>
      </c>
      <c r="T172" s="28" t="s">
        <v>1559</v>
      </c>
      <c r="U172" s="28" t="s">
        <v>1562</v>
      </c>
      <c r="V172" s="28" t="s">
        <v>1562</v>
      </c>
      <c r="W172" s="28" t="s">
        <v>1565</v>
      </c>
      <c r="X172" s="28" t="s">
        <v>1565</v>
      </c>
      <c r="Y172" s="28" t="s">
        <v>1568</v>
      </c>
      <c r="Z172" s="28" t="s">
        <v>1568</v>
      </c>
      <c r="AA172" s="5"/>
      <c r="AB172" s="47"/>
    </row>
    <row r="173" hidden="1">
      <c r="A173" s="222" t="str">
        <f t="array" ref="A173:A174">{"FormulaRow40";(INDEX(CLASSLIST,A94,1))}</f>
        <v>FormulaRow40</v>
      </c>
      <c r="B173" s="222" t="str">
        <f t="array" ref="B173:B174">{"CLASSTYPE";((INDEX(ALLCLASSDATA,MATCH("ClassType",CLASSFEATUREHEADERS,0),MATCH($A174,CLASSNAMEHEADERS,0))))}</f>
        <v>CLASSTYPE</v>
      </c>
      <c r="C173" s="222" t="str">
        <f t="array" ref="C173:C174">{"SPELL/ALCHEMY";((IF(INDEX(ALLCLASSDATA,MATCH("CasterType",CLASSFEATUREHEADERS,0),MATCH(($A174),CLASSNAMEHEADERS,0))="","",(IF(INDEX(ALLCLASSDATA,MATCH("CasterType",CLASSFEATUREHEADERS,0),MATCH(($A174),CLASSNAMEHEADERS,0))="Alchemy","","Spells")))))}</f>
        <v>SPELL/ALCHEMY</v>
      </c>
      <c r="D173" s="222" t="str">
        <f t="array" ref="D173:D174">{"SPELLLIST";(IF(C174="Spells",((INDEX(ALLCLASSDATA,MATCH("CasterType",CLASSFEATUREHEADERS,0),MATCH(($A174),CLASSNAMEHEADERS,0))) &amp; ":" &amp; (INDEX(ALLCLASSDATA,MATCH("SpellList",CLASSFEATUREHEADERS,0),MATCH(($A174),CLASSNAMEHEADERS,0)))),""))}</f>
        <v>SPELLLIST</v>
      </c>
      <c r="E173" s="222" t="str">
        <f t="array" ref="E173:E174">{"SLOTCOST";(IF(C174="Spells","SlotCost:",""))}</f>
        <v>SLOTCOST</v>
      </c>
      <c r="F173" s="222" t="str">
        <f t="array" ref="F173:F174">{"SLOTCOST CANTRIP";(INDEX(ALLCLASSDATA,MATCH("CantripSlots-L00",CLASSFEATUREHEADERS,0),MATCH(($A174 &amp; "Points"),CLASSNAMEHEADERS,0)))}</f>
        <v>SLOTCOST CANTRIP</v>
      </c>
      <c r="G173" s="222" t="str">
        <f t="array" ref="G173:G174">{"SLOTCOST L01";(INDEX(ALLCLASSDATA,MATCH("SPL01-L01",CLASSFEATUREHEADERS,0),MATCH(($A174 &amp; "Points"),CLASSNAMEHEADERS,0)))}</f>
        <v>SLOTCOST L01</v>
      </c>
      <c r="H173" s="222" t="str">
        <f t="array" ref="H173:H174">{"SLOTCOST L02";(INDEX(ALLCLASSDATA,MATCH("SPL01-L02",CLASSFEATUREHEADERS,0),MATCH(($A174 &amp; "Points"),CLASSNAMEHEADERS,0)))}</f>
        <v>#REF!</v>
      </c>
      <c r="I173" s="222" t="str">
        <f t="array" ref="I173:I174">{"SLOTCOST L03";(INDEX(ALLCLASSDATA,MATCH("SPL02-L03",CLASSFEATUREHEADERS,0),MATCH(($A174 &amp; "Points"),CLASSNAMEHEADERS,0)))}</f>
        <v>SLOTCOST L03</v>
      </c>
      <c r="J173" s="222" t="str">
        <f t="array" ref="J173:J174">{"SLOTCOST L04";(INDEX(ALLCLASSDATA,MATCH("SPL02-L04",CLASSFEATUREHEADERS,0),MATCH(($A174 &amp; "Points"),CLASSNAMEHEADERS,0)))}</f>
        <v>#REF!</v>
      </c>
      <c r="K173" s="222" t="str">
        <f t="array" ref="K173:K174">{"SLOTCOST L05";(INDEX(ALLCLASSDATA,MATCH("SPL03-L05",CLASSFEATUREHEADERS,0),MATCH(($A174 &amp; "Points"),CLASSNAMEHEADERS,0)))}</f>
        <v>SLOTCOST L05</v>
      </c>
      <c r="L173" s="222" t="str">
        <f t="array" ref="L173:L174">{"SLOTCOST L06";(INDEX(ALLCLASSDATA,MATCH("SPL03-L06",CLASSFEATUREHEADERS,0),MATCH(($A174 &amp; "Points"),CLASSNAMEHEADERS,0)))}</f>
        <v>#REF!</v>
      </c>
      <c r="M173" s="222" t="str">
        <f t="array" ref="M173:M174">{"SLOTCOST L07";(INDEX(ALLCLASSDATA,MATCH("SPL04-L07",CLASSFEATUREHEADERS,0),MATCH(($A174 &amp; "Points"),CLASSNAMEHEADERS,0)))}</f>
        <v>SLOTCOST L07</v>
      </c>
      <c r="N173" s="222" t="str">
        <f t="array" ref="N173:N174">{"SLOTCOST L08";(INDEX(ALLCLASSDATA,MATCH("SPL04-L08",CLASSFEATUREHEADERS,0),MATCH(($A174 &amp; "Points"),CLASSNAMEHEADERS,0)))}</f>
        <v>#REF!</v>
      </c>
      <c r="O173" s="222" t="str">
        <f t="array" ref="O173:O174">{"SLOTCOST L09";(INDEX(ALLCLASSDATA,MATCH("SPL05-L09",CLASSFEATUREHEADERS,0),MATCH(($A174 &amp; "Points"),CLASSNAMEHEADERS,0)))}</f>
        <v>SLOTCOST L09</v>
      </c>
      <c r="P173" s="222" t="str">
        <f t="array" ref="P173:P174">{"SLOTCOST L10";(INDEX(ALLCLASSDATA,MATCH("SPL05-L10",CLASSFEATUREHEADERS,0),MATCH(($A174 &amp; "Points"),CLASSNAMEHEADERS,0)))}</f>
        <v>#REF!</v>
      </c>
      <c r="Q173" s="222" t="str">
        <f t="array" ref="Q173:Q174">{"SLOTCOST L11";(INDEX(ALLCLASSDATA,MATCH("SPL06-L11",CLASSFEATUREHEADERS,0),MATCH(($A174 &amp; "Points"),CLASSNAMEHEADERS,0)))}</f>
        <v>SLOTCOST L11</v>
      </c>
      <c r="R173" s="222" t="str">
        <f t="array" ref="R173:R174">{"SLOTCOST L12";(INDEX(ALLCLASSDATA,MATCH("SPL06-L12",CLASSFEATUREHEADERS,0),MATCH(($A174 &amp; "Points"),CLASSNAMEHEADERS,0)))}</f>
        <v>#REF!</v>
      </c>
      <c r="S173" s="222" t="str">
        <f t="array" ref="S173:S174">{"SLOTCOST L13";(INDEX(ALLCLASSDATA,MATCH("SPL07-L13",CLASSFEATUREHEADERS,0),MATCH(($A174 &amp; "Points"),CLASSNAMEHEADERS,0)))}</f>
        <v>SLOTCOST L13</v>
      </c>
      <c r="T173" s="222" t="str">
        <f t="array" ref="T173:T174">{"SLOTCOST L14";(INDEX(ALLCLASSDATA,MATCH("SPL07-L14",CLASSFEATUREHEADERS,0),MATCH(($A174 &amp; "Points"),CLASSNAMEHEADERS,0)))}</f>
        <v>#REF!</v>
      </c>
      <c r="U173" s="222" t="str">
        <f t="array" ref="U173:U174">{"SLOTCOST L15";(INDEX(ALLCLASSDATA,MATCH("SPL08-L15",CLASSFEATUREHEADERS,0),MATCH(($A174 &amp; "Points"),CLASSNAMEHEADERS,0)))}</f>
        <v>SLOTCOST L15</v>
      </c>
      <c r="V173" s="222" t="str">
        <f t="array" ref="V173:V174">{"SLOTCOST L16";(INDEX(ALLCLASSDATA,MATCH("SPL08-L16",CLASSFEATUREHEADERS,0),MATCH(($A174 &amp; "Points"),CLASSNAMEHEADERS,0)))}</f>
        <v>#REF!</v>
      </c>
      <c r="W173" s="222" t="str">
        <f t="array" ref="W173:W174">{"SLOTCOST L17";(INDEX(ALLCLASSDATA,MATCH("SPL09-L17",CLASSFEATUREHEADERS,0),MATCH(($A174 &amp; "Points"),CLASSNAMEHEADERS,0)))}</f>
        <v>SLOTCOST L17</v>
      </c>
      <c r="X173" s="222" t="str">
        <f t="array" ref="X173:X174">{"SLOTCOST L18";(INDEX(ALLCLASSDATA,MATCH("SPL09-L18",CLASSFEATUREHEADERS,0),MATCH(($A174 &amp; "Points"),CLASSNAMEHEADERS,0)))}</f>
        <v>#REF!</v>
      </c>
      <c r="Y173" s="222" t="str">
        <f t="array" ref="Y173:Y174">{"SLOTCOST L19";(INDEX(ALLCLASSDATA,MATCH("SPL10-L19",CLASSFEATUREHEADERS,0),MATCH(($A174 &amp; "Points"),CLASSNAMEHEADERS,0)))}</f>
        <v>SLOTCOST L19</v>
      </c>
      <c r="Z173" s="222" t="str">
        <f t="array" ref="Z173:Z174">{"SLOTCOST L20";(INDEX(ALLCLASSDATA,MATCH("SPL10-L20",CLASSFEATUREHEADERS,0),MATCH(($A174 &amp; "Points"),CLASSNAMEHEADERS,0)))}</f>
        <v>SLOTCOST L20</v>
      </c>
      <c r="AA173" s="76"/>
      <c r="AB173" s="76" t="str">
        <f t="array" ref="AB173:AB174">{"SLOT TOTAL";(sum(F174:Z174))}</f>
        <v>SLOT TOTAL</v>
      </c>
    </row>
    <row r="174">
      <c r="A174" s="48" t="s">
        <v>219</v>
      </c>
      <c r="B174" s="48" t="s">
        <v>418</v>
      </c>
      <c r="C174" s="48" t="s">
        <v>1901</v>
      </c>
      <c r="D174" s="48" t="s">
        <v>1902</v>
      </c>
      <c r="E174" s="278" t="s">
        <v>1904</v>
      </c>
      <c r="F174" s="47">
        <v>0.0</v>
      </c>
      <c r="G174" s="5">
        <v>20.0</v>
      </c>
      <c r="H174" s="48" t="s">
        <v>1905</v>
      </c>
      <c r="I174" s="5">
        <v>20.0</v>
      </c>
      <c r="J174" s="48" t="s">
        <v>1905</v>
      </c>
      <c r="K174" s="5">
        <v>20.0</v>
      </c>
      <c r="L174" s="48" t="s">
        <v>1905</v>
      </c>
      <c r="M174" s="5">
        <v>20.0</v>
      </c>
      <c r="N174" s="48" t="s">
        <v>1905</v>
      </c>
      <c r="O174" s="5">
        <v>20.0</v>
      </c>
      <c r="P174" s="48" t="s">
        <v>1905</v>
      </c>
      <c r="Q174" s="5">
        <v>20.0</v>
      </c>
      <c r="R174" s="48" t="s">
        <v>1905</v>
      </c>
      <c r="S174" s="5">
        <v>20.0</v>
      </c>
      <c r="T174" s="48" t="s">
        <v>1905</v>
      </c>
      <c r="U174" s="5">
        <v>20.0</v>
      </c>
      <c r="V174" s="48" t="s">
        <v>1905</v>
      </c>
      <c r="W174" s="5">
        <v>20.0</v>
      </c>
      <c r="X174" s="48" t="s">
        <v>1905</v>
      </c>
      <c r="Y174" s="5">
        <v>190.0</v>
      </c>
      <c r="Z174" s="5" t="s">
        <v>603</v>
      </c>
      <c r="AA174" s="5"/>
      <c r="AB174" s="47">
        <v>370.0</v>
      </c>
    </row>
    <row r="175" hidden="1">
      <c r="A175" s="222" t="str">
        <f t="array" ref="A175:A176">{"FormulaRow41";(INDEX(CLASSLIST,A94,1))}</f>
        <v>FormulaRow41</v>
      </c>
      <c r="B175" s="222" t="str">
        <f t="array" ref="B175:B176">{"CLASSTYPE";((INDEX(ALLCLASSDATA,MATCH("ClassType",CLASSFEATUREHEADERS,0),MATCH($A176,CLASSNAMEHEADERS,0))))}</f>
        <v>CLASSTYPE</v>
      </c>
      <c r="C175" s="222" t="str">
        <f t="array" ref="C175:C176">{"SPELL/ALCHEMY";((IF(INDEX(ALLCLASSDATA,MATCH("CasterType",CLASSFEATUREHEADERS,0),MATCH(($A176),CLASSNAMEHEADERS,0))="","",(IF(INDEX(ALLCLASSDATA,MATCH("CasterType",CLASSFEATUREHEADERS,0),MATCH(($A176),CLASSNAMEHEADERS,0))="Alchemy","Alchemy","Spells")))))}</f>
        <v>SPELL/ALCHEMY</v>
      </c>
      <c r="D175" s="222" t="str">
        <f t="array" ref="D175:D176">{"SPELLLIST";(IF(C176="Spells",((INDEX(ALLCLASSDATA,MATCH("CasterType",CLASSFEATUREHEADERS,0),MATCH(($A176),CLASSNAMEHEADERS,0))) &amp; ":" &amp; (INDEX(ALLCLASSDATA,MATCH("SpellList",CLASSFEATUREHEADERS,0),MATCH(($A176),CLASSNAMEHEADERS,0)))),""))}</f>
        <v>SPELLLIST</v>
      </c>
      <c r="E175" s="223" t="str">
        <f t="array" ref="E175:E176">{"LEARNEDCOST";(IF(C176="","","LearnCost:"))}</f>
        <v>LEARNEDCOST</v>
      </c>
      <c r="F175" s="223" t="str">
        <f t="array" ref="F175:F176">{"LEARNED CANTRIPS";(INDEX(ALLCLASSDATA,MATCH("CantripsLearned-L00",CLASSFEATUREHEADERS,0),MATCH(($A176 &amp; "Points"),CLASSNAMEHEADERS,0)))}</f>
        <v>LEARNED CANTRIPS</v>
      </c>
      <c r="G175" s="223" t="str">
        <f t="array" ref="G175:G176">{"LEARNED L01";(INDEX(ALLCLASSDATA,MATCH("Learned-L01",CLASSFEATUREHEADERS,0),MATCH(($A176 &amp; "Points"),CLASSNAMEHEADERS,0)))}</f>
        <v>LEARNED L01</v>
      </c>
      <c r="H175" s="223" t="str">
        <f t="array" ref="H175:H176">{"LEARNED L02";(INDEX(ALLCLASSDATA,MATCH("Learned-L02",CLASSFEATUREHEADERS,0),MATCH(($A176 &amp; "Points"),CLASSNAMEHEADERS,0)))}</f>
        <v>LEARNED L02</v>
      </c>
      <c r="I175" s="223" t="str">
        <f t="array" ref="I175:I176">{"LEARNED L03";(INDEX(ALLCLASSDATA,MATCH("Learned-L03",CLASSFEATUREHEADERS,0),MATCH(($A176 &amp; "Points"),CLASSNAMEHEADERS,0)))}</f>
        <v>LEARNED L03</v>
      </c>
      <c r="J175" s="223" t="str">
        <f t="array" ref="J175:J176">{"LEARNED L04";(INDEX(ALLCLASSDATA,MATCH("Learned-L04",CLASSFEATUREHEADERS,0),MATCH(($A176 &amp; "Points"),CLASSNAMEHEADERS,0)))}</f>
        <v>LEARNED L04</v>
      </c>
      <c r="K175" s="223" t="str">
        <f t="array" ref="K175:K176">{"LEARNED L05";(INDEX(ALLCLASSDATA,MATCH("Learned-L05",CLASSFEATUREHEADERS,0),MATCH(($A176 &amp; "Points"),CLASSNAMEHEADERS,0)))}</f>
        <v>LEARNED L05</v>
      </c>
      <c r="L175" s="223" t="str">
        <f t="array" ref="L175:L176">{"LEARNED L06";(INDEX(ALLCLASSDATA,MATCH("Learned-L06",CLASSFEATUREHEADERS,0),MATCH(($A176 &amp; "Points"),CLASSNAMEHEADERS,0)))}</f>
        <v>LEARNED L06</v>
      </c>
      <c r="M175" s="223" t="str">
        <f t="array" ref="M175:M176">{"LEARNED L07";(INDEX(ALLCLASSDATA,MATCH("Learned-L07",CLASSFEATUREHEADERS,0),MATCH(($A176 &amp; "Points"),CLASSNAMEHEADERS,0)))}</f>
        <v>LEARNED L07</v>
      </c>
      <c r="N175" s="223" t="str">
        <f t="array" ref="N175:N176">{"LEARNED L08";(INDEX(ALLCLASSDATA,MATCH("Learned-L08",CLASSFEATUREHEADERS,0),MATCH(($A176 &amp; "Points"),CLASSNAMEHEADERS,0)))}</f>
        <v>LEARNED L08</v>
      </c>
      <c r="O175" s="223" t="str">
        <f t="array" ref="O175:O176">{"LEARNED L09";(INDEX(ALLCLASSDATA,MATCH("Learned-L09",CLASSFEATUREHEADERS,0),MATCH(($A176 &amp; "Points"),CLASSNAMEHEADERS,0)))}</f>
        <v>LEARNED L09</v>
      </c>
      <c r="P175" s="223" t="str">
        <f t="array" ref="P175:P176">{"LEARNED L10";(INDEX(ALLCLASSDATA,MATCH("Learned-L10",CLASSFEATUREHEADERS,0),MATCH(($A176 &amp; "Points"),CLASSNAMEHEADERS,0)))}</f>
        <v>LEARNED L10</v>
      </c>
      <c r="Q175" s="223" t="str">
        <f t="array" ref="Q175:Q176">{"LEARNED L11";(INDEX(ALLCLASSDATA,MATCH("Learned-L11",CLASSFEATUREHEADERS,0),MATCH(($A176 &amp; "Points"),CLASSNAMEHEADERS,0)))}</f>
        <v>LEARNED L11</v>
      </c>
      <c r="R175" s="223" t="str">
        <f t="array" ref="R175:R176">{"LEARNED L12";(INDEX(ALLCLASSDATA,MATCH("Learned-L12",CLASSFEATUREHEADERS,0),MATCH(($A176 &amp; "Points"),CLASSNAMEHEADERS,0)))}</f>
        <v>LEARNED L12</v>
      </c>
      <c r="S175" s="223" t="str">
        <f t="array" ref="S175:S176">{"LEARNED L13";(INDEX(ALLCLASSDATA,MATCH("Learned-L13",CLASSFEATUREHEADERS,0),MATCH(($A176 &amp; "Points"),CLASSNAMEHEADERS,0)))}</f>
        <v>LEARNED L13</v>
      </c>
      <c r="T175" s="223" t="str">
        <f t="array" ref="T175:T176">{"LEARNED L14";(INDEX(ALLCLASSDATA,MATCH("Learned-L14",CLASSFEATUREHEADERS,0),MATCH(($A176 &amp; "Points"),CLASSNAMEHEADERS,0)))}</f>
        <v>LEARNED L14</v>
      </c>
      <c r="U175" s="223" t="str">
        <f t="array" ref="U175:U176">{"LEARNED L15";(INDEX(ALLCLASSDATA,MATCH("Learned-L15",CLASSFEATUREHEADERS,0),MATCH(($A176 &amp; "Points"),CLASSNAMEHEADERS,0)))}</f>
        <v>LEARNED L15</v>
      </c>
      <c r="V175" s="223" t="str">
        <f t="array" ref="V175:V176">{"LEARNED L16";(INDEX(ALLCLASSDATA,MATCH("Learned-L16",CLASSFEATUREHEADERS,0),MATCH(($A176 &amp; "Points"),CLASSNAMEHEADERS,0)))}</f>
        <v>LEARNED L16</v>
      </c>
      <c r="W175" s="223" t="str">
        <f t="array" ref="W175:W176">{"LEARNED L17";(INDEX(ALLCLASSDATA,MATCH("Learned-L17",CLASSFEATUREHEADERS,0),MATCH(($A176 &amp; "Points"),CLASSNAMEHEADERS,0)))}</f>
        <v>LEARNED L17</v>
      </c>
      <c r="X175" s="223" t="str">
        <f t="array" ref="X175:X176">{"LEARNED L18";(INDEX(ALLCLASSDATA,MATCH("Learned-L18",CLASSFEATUREHEADERS,0),MATCH(($A176 &amp; "Points"),CLASSNAMEHEADERS,0)))}</f>
        <v>LEARNED L18</v>
      </c>
      <c r="Y175" s="223" t="str">
        <f t="array" ref="Y175:Y176">{"LEARNED L19";(INDEX(ALLCLASSDATA,MATCH("Learned-L19",CLASSFEATUREHEADERS,0),MATCH(($A176 &amp; "Points"),CLASSNAMEHEADERS,0)))}</f>
        <v>LEARNED L19</v>
      </c>
      <c r="Z175" s="223" t="str">
        <f t="array" ref="Z175:Z176">{"LEARNED L20";(INDEX(ALLCLASSDATA,MATCH("Learned-L20",CLASSFEATUREHEADERS,0),MATCH(($A176 &amp; "Points"),CLASSNAMEHEADERS,0)))}</f>
        <v>LEARNED L20</v>
      </c>
      <c r="AA175" s="76"/>
      <c r="AB175" s="76" t="str">
        <f t="array" ref="AB175:AB176">{"LEARNED TOTAL";(sum(F176:Z176))}</f>
        <v>LEARNED TOTAL</v>
      </c>
    </row>
    <row r="176">
      <c r="A176" s="48" t="s">
        <v>219</v>
      </c>
      <c r="B176" s="48" t="s">
        <v>418</v>
      </c>
      <c r="C176" s="48" t="s">
        <v>1901</v>
      </c>
      <c r="D176" s="48" t="s">
        <v>1902</v>
      </c>
      <c r="E176" s="278" t="s">
        <v>1906</v>
      </c>
      <c r="F176" s="47"/>
      <c r="G176" s="5">
        <v>40.0</v>
      </c>
      <c r="H176" s="5">
        <v>20.0</v>
      </c>
      <c r="I176" s="5">
        <v>40.0</v>
      </c>
      <c r="J176" s="5">
        <v>20.0</v>
      </c>
      <c r="K176" s="5">
        <v>40.0</v>
      </c>
      <c r="L176" s="5">
        <v>20.0</v>
      </c>
      <c r="M176" s="48">
        <v>40.0</v>
      </c>
      <c r="N176" s="5">
        <v>20.0</v>
      </c>
      <c r="O176" s="5">
        <v>40.0</v>
      </c>
      <c r="P176" s="5">
        <v>20.0</v>
      </c>
      <c r="Q176" s="5">
        <v>40.0</v>
      </c>
      <c r="R176" s="5">
        <v>20.0</v>
      </c>
      <c r="S176" s="5">
        <v>40.0</v>
      </c>
      <c r="T176" s="5">
        <v>20.0</v>
      </c>
      <c r="U176" s="5">
        <v>40.0</v>
      </c>
      <c r="V176" s="5">
        <v>20.0</v>
      </c>
      <c r="W176" s="5">
        <v>40.0</v>
      </c>
      <c r="X176" s="5">
        <v>20.0</v>
      </c>
      <c r="Y176" s="5">
        <v>0.0</v>
      </c>
      <c r="Z176" s="5" t="s">
        <v>603</v>
      </c>
      <c r="AA176" s="5"/>
      <c r="AB176" s="47">
        <v>540.0</v>
      </c>
    </row>
    <row r="177" hidden="1">
      <c r="A177" s="222" t="str">
        <f t="array" ref="A177:A178">{"FormulaRow42";(INDEX(CLASSLIST,A94,1))}</f>
        <v>FormulaRow42</v>
      </c>
      <c r="B177" s="222" t="str">
        <f t="array" ref="B177:B178">{"CLASSTYPE";((INDEX(ALLCLASSDATA,MATCH("ClassType",CLASSFEATUREHEADERS,0),MATCH($A178,CLASSNAMEHEADERS,0))))}</f>
        <v>CLASSTYPE</v>
      </c>
      <c r="C177" s="222" t="str">
        <f t="array" ref="C177:C178">{"SPELL/ALCHEMY";((IF(INDEX(ALLCLASSDATA,MATCH("CasterType",CLASSFEATUREHEADERS,0),MATCH(($A178),CLASSNAMEHEADERS,0))="","",(IF(INDEX(ALLCLASSDATA,MATCH("CasterType",CLASSFEATUREHEADERS,0),MATCH(($A178),CLASSNAMEHEADERS,0))="Alchemy","","Spells")))))}</f>
        <v>SPELL/ALCHEMY</v>
      </c>
      <c r="D177" s="222" t="str">
        <f t="array" ref="D177:D178">{"SPELLLIST";(IF(C178="Spells",((INDEX(ALLCLASSDATA,MATCH("CasterType",CLASSFEATUREHEADERS,0),MATCH(($A178),CLASSNAMEHEADERS,0))) &amp; ":" &amp; (INDEX(ALLCLASSDATA,MATCH("SpellList",CLASSFEATUREHEADERS,0),MATCH(($A178),CLASSNAMEHEADERS,0)))),""))}</f>
        <v>SPELLLIST</v>
      </c>
      <c r="E177" s="223" t="str">
        <f t="array" ref="E177:E178">{"SLOT/LVL";(IF(C172="Spells","Slot/LVL:",""))}</f>
        <v>SLOT/LVL</v>
      </c>
      <c r="F177" s="223" t="str">
        <f t="array" ref="F177:F178">{"CANTRIPSLOTS";(INDEX(ALLCLASSDATA,MATCH("CantripSlots-L00",CLASSFEATUREHEADERS,0),MATCH($A178,CLASSNAMEHEADERS,0)))}</f>
        <v>#REF!</v>
      </c>
      <c r="G177" s="223" t="str">
        <f t="array" ref="G177:G178">{"SPL01-L01";(INDEX(ALLCLASSDATA,MATCH("SPL01-L01",CLASSFEATUREHEADERS,0),MATCH($A178,CLASSNAMEHEADERS,0)))}</f>
        <v>SPL01-L01</v>
      </c>
      <c r="H177" s="223" t="str">
        <f t="array" ref="H177:H178">{"SPL01-L02";(INDEX(ALLCLASSDATA,MATCH("SPL01-L02",CLASSFEATUREHEADERS,0),MATCH($A178,CLASSNAMEHEADERS,0)))}</f>
        <v>#REF!</v>
      </c>
      <c r="I177" s="223" t="str">
        <f t="array" ref="I177:I178">{"SPL02-L03";(INDEX(ALLCLASSDATA,MATCH("SPL02-L03",CLASSFEATUREHEADERS,0),MATCH($A178,CLASSNAMEHEADERS,0)))}</f>
        <v>SPL02-L03</v>
      </c>
      <c r="J177" s="223" t="str">
        <f t="array" ref="J177:J178">{"SPL02-L04";(INDEX(ALLCLASSDATA,MATCH("SPL02-L04",CLASSFEATUREHEADERS,0),MATCH($A178,CLASSNAMEHEADERS,0)))}</f>
        <v>#REF!</v>
      </c>
      <c r="K177" s="223" t="str">
        <f t="array" ref="K177:K178">{"SPL03-L05";(INDEX(ALLCLASSDATA,MATCH("SPL03-L05",CLASSFEATUREHEADERS,0),MATCH($A178,CLASSNAMEHEADERS,0)))}</f>
        <v>SPL03-L05</v>
      </c>
      <c r="L177" s="223" t="str">
        <f t="array" ref="L177:L178">{"SPL03-L06";(INDEX(ALLCLASSDATA,MATCH("SPL03-L06",CLASSFEATUREHEADERS,0),MATCH($A178,CLASSNAMEHEADERS,0)))}</f>
        <v>#REF!</v>
      </c>
      <c r="M177" s="223" t="str">
        <f t="array" ref="M177:M178">{"SPL04-L07";(INDEX(ALLCLASSDATA,MATCH("SPL04-L07",CLASSFEATUREHEADERS,0),MATCH($A178,CLASSNAMEHEADERS,0)))}</f>
        <v>SPL04-L07</v>
      </c>
      <c r="N177" s="223" t="str">
        <f t="array" ref="N177:N178">{"SPL04-L08";(INDEX(ALLCLASSDATA,MATCH("SPL04-L08",CLASSFEATUREHEADERS,0),MATCH($A178,CLASSNAMEHEADERS,0)))}</f>
        <v>#REF!</v>
      </c>
      <c r="O177" s="223" t="str">
        <f t="array" ref="O177:O178">{"SPL05-L09";(INDEX(ALLCLASSDATA,MATCH("SPL05-L09",CLASSFEATUREHEADERS,0),MATCH($A178,CLASSNAMEHEADERS,0)))}</f>
        <v>SPL05-L09</v>
      </c>
      <c r="P177" s="223" t="str">
        <f t="array" ref="P177:P178">{"SPL05-L10";(INDEX(ALLCLASSDATA,MATCH("SPL05-L10",CLASSFEATUREHEADERS,0),MATCH($A178,CLASSNAMEHEADERS,0)))}</f>
        <v>#REF!</v>
      </c>
      <c r="Q177" s="223" t="str">
        <f t="array" ref="Q177:Q178">{"SPL06-L11";(INDEX(ALLCLASSDATA,MATCH("SPL06-L11",CLASSFEATUREHEADERS,0),MATCH($A178,CLASSNAMEHEADERS,0)))}</f>
        <v>SPL06-L11</v>
      </c>
      <c r="R177" s="223" t="str">
        <f t="array" ref="R177:R178">{"SPL06-L12";(INDEX(ALLCLASSDATA,MATCH("SPL06-L12",CLASSFEATUREHEADERS,0),MATCH($A178,CLASSNAMEHEADERS,0)))}</f>
        <v>#REF!</v>
      </c>
      <c r="S177" s="223" t="str">
        <f t="array" ref="S177:S178">{"SPL07-L13";(INDEX(ALLCLASSDATA,MATCH("SPL07-L13",CLASSFEATUREHEADERS,0),MATCH($A178,CLASSNAMEHEADERS,0)))}</f>
        <v>SPL07-L13</v>
      </c>
      <c r="T177" s="223" t="str">
        <f t="array" ref="T177:T178">{"SPL07-L14";(INDEX(ALLCLASSDATA,MATCH("SPL07-L14",CLASSFEATUREHEADERS,0),MATCH($A178,CLASSNAMEHEADERS,0)))}</f>
        <v>#REF!</v>
      </c>
      <c r="U177" s="223" t="str">
        <f t="array" ref="U177:U178">{"SPL08-L15";(INDEX(ALLCLASSDATA,MATCH("SPL08-L15",CLASSFEATUREHEADERS,0),MATCH($A178,CLASSNAMEHEADERS,0)))}</f>
        <v>SPL08-L15</v>
      </c>
      <c r="V177" s="223" t="str">
        <f t="array" ref="V177:V178">{"SPL08-L16";(INDEX(ALLCLASSDATA,MATCH("SPL08-L16",CLASSFEATUREHEADERS,0),MATCH($A178,CLASSNAMEHEADERS,0)))}</f>
        <v>#REF!</v>
      </c>
      <c r="W177" s="223" t="str">
        <f t="array" ref="W177:W178">{"SPL09-L17";(INDEX(ALLCLASSDATA,MATCH("SPL09-L17",CLASSFEATUREHEADERS,0),MATCH($A178,CLASSNAMEHEADERS,0)))}</f>
        <v>SPL09-L17</v>
      </c>
      <c r="X177" s="223" t="str">
        <f t="array" ref="X177:X178">{"SPL09-L18";(INDEX(ALLCLASSDATA,MATCH("SPL09-L18",CLASSFEATUREHEADERS,0),MATCH($A178,CLASSNAMEHEADERS,0)))}</f>
        <v>#REF!</v>
      </c>
      <c r="Y177" s="223" t="str">
        <f t="array" ref="Y177:Y178">{"SPL10-L19";(INDEX(ALLCLASSDATA,MATCH("SPL10-L19",CLASSFEATUREHEADERS,0),MATCH($A178,CLASSNAMEHEADERS,0)))}</f>
        <v>SPL10-L19</v>
      </c>
      <c r="Z177" s="223" t="str">
        <f t="array" ref="Z177:Z178">{"SPL10-L20";(INDEX(ALLCLASSDATA,MATCH("SPL10-L20",CLASSFEATUREHEADERS,0),MATCH($A178,CLASSNAMEHEADERS,0)))}</f>
        <v>SPL10-L20</v>
      </c>
      <c r="AA177" s="76"/>
      <c r="AB177" s="76"/>
    </row>
    <row r="178">
      <c r="A178" s="48" t="s">
        <v>219</v>
      </c>
      <c r="B178" s="48" t="s">
        <v>418</v>
      </c>
      <c r="C178" s="48" t="s">
        <v>1901</v>
      </c>
      <c r="D178" s="48" t="s">
        <v>1902</v>
      </c>
      <c r="E178" s="278" t="s">
        <v>1907</v>
      </c>
      <c r="F178" s="114">
        <v>3.0</v>
      </c>
      <c r="G178" s="50" t="s">
        <v>1538</v>
      </c>
      <c r="H178" s="50" t="s">
        <v>1908</v>
      </c>
      <c r="I178" s="50" t="s">
        <v>1538</v>
      </c>
      <c r="J178" s="50" t="s">
        <v>1908</v>
      </c>
      <c r="K178" s="50" t="s">
        <v>1538</v>
      </c>
      <c r="L178" s="50" t="s">
        <v>1908</v>
      </c>
      <c r="M178" s="50" t="s">
        <v>1538</v>
      </c>
      <c r="N178" s="50" t="s">
        <v>1908</v>
      </c>
      <c r="O178" s="50" t="s">
        <v>1538</v>
      </c>
      <c r="P178" s="50" t="s">
        <v>1908</v>
      </c>
      <c r="Q178" s="50" t="s">
        <v>1538</v>
      </c>
      <c r="R178" s="50" t="s">
        <v>1908</v>
      </c>
      <c r="S178" s="50" t="s">
        <v>1538</v>
      </c>
      <c r="T178" s="50" t="s">
        <v>1908</v>
      </c>
      <c r="U178" s="50" t="s">
        <v>1538</v>
      </c>
      <c r="V178" s="50" t="s">
        <v>1908</v>
      </c>
      <c r="W178" s="50" t="s">
        <v>1538</v>
      </c>
      <c r="X178" s="50" t="s">
        <v>1908</v>
      </c>
      <c r="Y178" s="50" t="s">
        <v>1537</v>
      </c>
      <c r="Z178" s="50"/>
      <c r="AA178" s="278"/>
      <c r="AB178" s="47"/>
    </row>
    <row r="179" hidden="1">
      <c r="A179" s="222" t="str">
        <f t="array" ref="A179:A180">{"FormulaRow43";(INDEX(CLASSLIST,A94,1))}</f>
        <v>FormulaRow43</v>
      </c>
      <c r="B179" s="222" t="str">
        <f t="array" ref="B179:B180">{"CLASSTYPE";((INDEX(ALLCLASSDATA,MATCH("ClassType",CLASSFEATUREHEADERS,0),MATCH($A180,CLASSNAMEHEADERS,0))))}</f>
        <v>CLASSTYPE</v>
      </c>
      <c r="C179" s="222" t="str">
        <f t="array" ref="C179:C180">{"SPELL/ALCHEMY";((IF(INDEX(ALLCLASSDATA,MATCH("CasterType",CLASSFEATUREHEADERS,0),MATCH(($A180),CLASSNAMEHEADERS,0))="","",(IF(INDEX(ALLCLASSDATA,MATCH("CasterType",CLASSFEATUREHEADERS,0),MATCH(($A180),CLASSNAMEHEADERS,0))="Alchemy","Alchemy","Spells")))))}</f>
        <v>SPELL/ALCHEMY</v>
      </c>
      <c r="D179" s="222" t="str">
        <f t="array" ref="D179:D180">{"SPELLLIST";(IF(C180="Spells",((INDEX(ALLCLASSDATA,MATCH("CasterType",CLASSFEATUREHEADERS,0),MATCH(($A180),CLASSNAMEHEADERS,0))) &amp; ":" &amp; (INDEX(ALLCLASSDATA,MATCH("SpellList",CLASSFEATUREHEADERS,0),MATCH(($A180),CLASSNAMEHEADERS,0)))),""))}</f>
        <v>SPELLLIST</v>
      </c>
      <c r="E179" s="223" t="str">
        <f t="array" ref="E179:E180">{"LEARNED/LVL";(IF(C180="","","Learn/LVL:"))}</f>
        <v>LEARNED/LVL</v>
      </c>
      <c r="F179" s="223" t="str">
        <f t="array" ref="F179:F180">{"LEARNEDCANTRIPS";(INDEX(ALLCLASSDATA,MATCH("CantripsLearned-L00",CLASSFEATUREHEADERS,0),MATCH($A180,CLASSNAMEHEADERS,0)))}</f>
        <v>LEARNEDCANTRIPS</v>
      </c>
      <c r="G179" s="223" t="str">
        <f t="array" ref="G179:G180">{"LEARNED L01";(INDEX(ALLCLASSDATA,MATCH("Learned-L01",CLASSFEATUREHEADERS,0),MATCH($A180,CLASSNAMEHEADERS,0)))}</f>
        <v>LEARNED L01</v>
      </c>
      <c r="H179" s="223" t="str">
        <f t="array" ref="H179:H180">{"LEARNED L02";(INDEX(ALLCLASSDATA,MATCH("Learned-L02",CLASSFEATUREHEADERS,0),MATCH($A180,CLASSNAMEHEADERS,0)))}</f>
        <v>LEARNED L02</v>
      </c>
      <c r="I179" s="223" t="str">
        <f t="array" ref="I179:I180">{"LEARNED L03";(INDEX(ALLCLASSDATA,MATCH("Learned-L03",CLASSFEATUREHEADERS,0),MATCH($A180,CLASSNAMEHEADERS,0)))}</f>
        <v>LEARNED L03</v>
      </c>
      <c r="J179" s="223" t="str">
        <f t="array" ref="J179:J180">{"LEARNED L04";(INDEX(ALLCLASSDATA,MATCH("Learned-L04",CLASSFEATUREHEADERS,0),MATCH($A180,CLASSNAMEHEADERS,0)))}</f>
        <v>LEARNED L04</v>
      </c>
      <c r="K179" s="223" t="str">
        <f t="array" ref="K179:K180">{"LEARNED L05";(INDEX(ALLCLASSDATA,MATCH("Learned-L05",CLASSFEATUREHEADERS,0),MATCH($A180,CLASSNAMEHEADERS,0)))}</f>
        <v>LEARNED L05</v>
      </c>
      <c r="L179" s="223" t="str">
        <f t="array" ref="L179:L180">{"LEARNED L06";(INDEX(ALLCLASSDATA,MATCH("Learned-L06",CLASSFEATUREHEADERS,0),MATCH($A180,CLASSNAMEHEADERS,0)))}</f>
        <v>LEARNED L06</v>
      </c>
      <c r="M179" s="223" t="str">
        <f t="array" ref="M179:M180">{"LEARNED L07";(INDEX(ALLCLASSDATA,MATCH("Learned-L07",CLASSFEATUREHEADERS,0),MATCH($A180,CLASSNAMEHEADERS,0)))}</f>
        <v>LEARNED L07</v>
      </c>
      <c r="N179" s="223" t="str">
        <f t="array" ref="N179:N180">{"LEARNED L08";(INDEX(ALLCLASSDATA,MATCH("Learned-L08",CLASSFEATUREHEADERS,0),MATCH($A180,CLASSNAMEHEADERS,0)))}</f>
        <v>LEARNED L08</v>
      </c>
      <c r="O179" s="223" t="str">
        <f t="array" ref="O179:O180">{"LEARNED L09";(INDEX(ALLCLASSDATA,MATCH("Learned-L09",CLASSFEATUREHEADERS,0),MATCH($A180,CLASSNAMEHEADERS,0)))}</f>
        <v>LEARNED L09</v>
      </c>
      <c r="P179" s="223" t="str">
        <f t="array" ref="P179:P180">{"LEARNED L10";(INDEX(ALLCLASSDATA,MATCH("Learned-L10",CLASSFEATUREHEADERS,0),MATCH($A180,CLASSNAMEHEADERS,0)))}</f>
        <v>LEARNED L10</v>
      </c>
      <c r="Q179" s="223" t="str">
        <f t="array" ref="Q179:Q180">{"LEARNED L11";(INDEX(ALLCLASSDATA,MATCH("Learned-L11",CLASSFEATUREHEADERS,0),MATCH($A180,CLASSNAMEHEADERS,0)))}</f>
        <v>LEARNED L11</v>
      </c>
      <c r="R179" s="223" t="str">
        <f t="array" ref="R179:R180">{"LEARNED L12";(INDEX(ALLCLASSDATA,MATCH("Learned-L12",CLASSFEATUREHEADERS,0),MATCH($A180,CLASSNAMEHEADERS,0)))}</f>
        <v>LEARNED L12</v>
      </c>
      <c r="S179" s="223" t="str">
        <f t="array" ref="S179:S180">{"LEARNED L13";(INDEX(ALLCLASSDATA,MATCH("Learned-L13",CLASSFEATUREHEADERS,0),MATCH($A180,CLASSNAMEHEADERS,0)))}</f>
        <v>LEARNED L13</v>
      </c>
      <c r="T179" s="223" t="str">
        <f t="array" ref="T179:T180">{"LEARNED L14";(INDEX(ALLCLASSDATA,MATCH("Learned-L14",CLASSFEATUREHEADERS,0),MATCH($A180,CLASSNAMEHEADERS,0)))}</f>
        <v>LEARNED L14</v>
      </c>
      <c r="U179" s="223" t="str">
        <f t="array" ref="U179:U180">{"LEARNED L15";(INDEX(ALLCLASSDATA,MATCH("Learned-L15",CLASSFEATUREHEADERS,0),MATCH($A180,CLASSNAMEHEADERS,0)))}</f>
        <v>LEARNED L15</v>
      </c>
      <c r="V179" s="223" t="str">
        <f t="array" ref="V179:V180">{"LEARNED L16";(INDEX(ALLCLASSDATA,MATCH("Learned-L16",CLASSFEATUREHEADERS,0),MATCH($A180,CLASSNAMEHEADERS,0)))}</f>
        <v>LEARNED L16</v>
      </c>
      <c r="W179" s="223" t="str">
        <f t="array" ref="W179:W180">{"LEARNED L17";(INDEX(ALLCLASSDATA,MATCH("Learned-L17",CLASSFEATUREHEADERS,0),MATCH($A180,CLASSNAMEHEADERS,0)))}</f>
        <v>LEARNED L17</v>
      </c>
      <c r="X179" s="223" t="str">
        <f t="array" ref="X179:X180">{"LEARNED L18";(INDEX(ALLCLASSDATA,MATCH("Learned-L18",CLASSFEATUREHEADERS,0),MATCH($A180,CLASSNAMEHEADERS,0)))}</f>
        <v>LEARNED L18</v>
      </c>
      <c r="Y179" s="223" t="str">
        <f t="array" ref="Y179:Y180">{"LEARNED L19";(INDEX(ALLCLASSDATA,MATCH("Learned-L19",CLASSFEATUREHEADERS,0),MATCH($A180,CLASSNAMEHEADERS,0)))}</f>
        <v>LEARNED L19</v>
      </c>
      <c r="Z179" s="223" t="str">
        <f t="array" ref="Z179:Z180">{"LEARNED L20";(INDEX(ALLCLASSDATA,MATCH("Learned-L20",CLASSFEATUREHEADERS,0),MATCH($A180,CLASSNAMEHEADERS,0)))}</f>
        <v>LEARNED L20</v>
      </c>
      <c r="AA179" s="76"/>
      <c r="AB179" s="76"/>
    </row>
    <row r="180">
      <c r="A180" s="48" t="s">
        <v>219</v>
      </c>
      <c r="B180" s="48" t="s">
        <v>418</v>
      </c>
      <c r="C180" s="48" t="s">
        <v>1901</v>
      </c>
      <c r="D180" s="48" t="s">
        <v>1902</v>
      </c>
      <c r="E180" s="278" t="s">
        <v>1909</v>
      </c>
      <c r="F180" s="280"/>
      <c r="G180" s="278" t="s">
        <v>1573</v>
      </c>
      <c r="H180" s="278" t="s">
        <v>1538</v>
      </c>
      <c r="I180" s="278" t="s">
        <v>1573</v>
      </c>
      <c r="J180" s="278" t="s">
        <v>1538</v>
      </c>
      <c r="K180" s="278" t="s">
        <v>1573</v>
      </c>
      <c r="L180" s="278" t="s">
        <v>1538</v>
      </c>
      <c r="M180" s="278" t="s">
        <v>1573</v>
      </c>
      <c r="N180" s="50" t="s">
        <v>1538</v>
      </c>
      <c r="O180" s="278" t="s">
        <v>1573</v>
      </c>
      <c r="P180" s="278" t="s">
        <v>1538</v>
      </c>
      <c r="Q180" s="278" t="s">
        <v>1573</v>
      </c>
      <c r="R180" s="278" t="s">
        <v>1538</v>
      </c>
      <c r="S180" s="278" t="s">
        <v>1573</v>
      </c>
      <c r="T180" s="278" t="s">
        <v>1538</v>
      </c>
      <c r="U180" s="278" t="s">
        <v>1573</v>
      </c>
      <c r="V180" s="278" t="s">
        <v>1538</v>
      </c>
      <c r="W180" s="278" t="s">
        <v>1573</v>
      </c>
      <c r="X180" s="278" t="s">
        <v>1538</v>
      </c>
      <c r="Y180" s="278" t="s">
        <v>1538</v>
      </c>
      <c r="Z180" s="278"/>
      <c r="AA180" s="278"/>
      <c r="AB180" s="47"/>
    </row>
    <row r="181" hidden="1">
      <c r="A181" s="222" t="str">
        <f t="array" ref="A181:A182">{"FormulaRow44";(INDEX(CLASSLIST,A94,1))}</f>
        <v>FormulaRow44</v>
      </c>
      <c r="B181" s="222" t="str">
        <f t="array" ref="B181:B182">{"CLASSTYPE";((INDEX(ALLCLASSDATA,MATCH("ClassType",CLASSFEATUREHEADERS,0),MATCH($A182,CLASSNAMEHEADERS,0))))}</f>
        <v>CLASSTYPE</v>
      </c>
      <c r="C181" s="222" t="str">
        <f t="array" ref="C181:C182">{"SPELL/ALCHEMY";((IF(INDEX(ALLCLASSDATA,MATCH("CasterType",CLASSFEATUREHEADERS,0),MATCH(($A182),CLASSNAMEHEADERS,0))="","",(IF(INDEX(ALLCLASSDATA,MATCH("CasterType",CLASSFEATUREHEADERS,0),MATCH(($A182),CLASSNAMEHEADERS,0))="Alchemy","","Spells")))))}</f>
        <v>SPELL/ALCHEMY</v>
      </c>
      <c r="D181" s="222" t="str">
        <f t="array" ref="D181:D182">{"SPELLLIST";(IF(C182="Spells",((INDEX(ALLCLASSDATA,MATCH("CasterType",CLASSFEATUREHEADERS,0),MATCH(($A182),CLASSNAMEHEADERS,0))) &amp; ":" &amp; (INDEX(ALLCLASSDATA,MATCH("SpellList",CLASSFEATUREHEADERS,0),MATCH(($A182),CLASSNAMEHEADERS,0)))),""))}</f>
        <v>SPELLLIST</v>
      </c>
      <c r="E181" s="223" t="str">
        <f t="array" ref="E181:E182">{"TOTALSLOTS";(IF(C182="","","TotalSlots:"))}</f>
        <v>TOTALSLOTS</v>
      </c>
      <c r="F181" s="223" t="str">
        <f t="array" ref="F181:F182">{"TOTALCANTRIPSLOTS";(F178)}</f>
        <v>TOTALCANTRIPSLOTS</v>
      </c>
      <c r="G181" s="223" t="str">
        <f t="array" ref="G181:G182">{"TOTALSLOTS L01";(G178)}</f>
        <v>TOTALSLOTS L01</v>
      </c>
      <c r="H181" s="223" t="str">
        <f t="array" ref="H181:H182">{"TOTALSLOTS L02";(G182+H178)}</f>
        <v>TOTALSLOTS L02</v>
      </c>
      <c r="I181" s="223" t="str">
        <f t="array" ref="I181:I182">{"TOTALSLOTS L03";(H182+I178)}</f>
        <v>TOTALSLOTS L03</v>
      </c>
      <c r="J181" s="223" t="str">
        <f t="array" ref="J181:J182">{"TOTALSLOTS L04";(I182+J178)}</f>
        <v>TOTALSLOTS L04</v>
      </c>
      <c r="K181" s="223" t="str">
        <f t="array" ref="K181:K182">{"TOTALSLOTS L05";(J182+K178)}</f>
        <v>TOTALSLOTS L05</v>
      </c>
      <c r="L181" s="223" t="str">
        <f t="array" ref="L181:L182">{"TOTALSLOTS L06";(K182+L178)}</f>
        <v>TOTALSLOTS L06</v>
      </c>
      <c r="M181" s="223" t="str">
        <f t="array" ref="M181:M182">{"TOTALSLOTS L07";(L182+M178)}</f>
        <v>TOTALSLOTS L07</v>
      </c>
      <c r="N181" s="223" t="str">
        <f t="array" ref="N181:N182">{"TOTALSLOTS L08";(M182+N178)}</f>
        <v>TOTALSLOTS L08</v>
      </c>
      <c r="O181" s="223" t="str">
        <f t="array" ref="O181:O182">{"TOTALSLOTS L09";(N182+O178)}</f>
        <v>TOTALSLOTS L09</v>
      </c>
      <c r="P181" s="223" t="str">
        <f t="array" ref="P181:P182">{"TOTALSLOTS L10";(O182+P178)}</f>
        <v>TOTALSLOTS L10</v>
      </c>
      <c r="Q181" s="223" t="str">
        <f t="array" ref="Q181:Q182">{"TOTALSLOTS L11";(P182+Q178)}</f>
        <v>TOTALSLOTS L11</v>
      </c>
      <c r="R181" s="223" t="str">
        <f t="array" ref="R181:R182">{"TOTALSLOTS L12";(Q182+R178)}</f>
        <v>TOTALSLOTS L12</v>
      </c>
      <c r="S181" s="223" t="str">
        <f t="array" ref="S181:S182">{"TOTALSLOTS L13";(R182+S178)}</f>
        <v>TOTALSLOTS L13</v>
      </c>
      <c r="T181" s="223" t="str">
        <f t="array" ref="T181:T182">{"TOTALSLOTS L14";(S182+T178)}</f>
        <v>TOTALSLOTS L14</v>
      </c>
      <c r="U181" s="223" t="str">
        <f t="array" ref="U181:U182">{"TOTALSLOTS L15";(T182+U178)}</f>
        <v>TOTALSLOTS L15</v>
      </c>
      <c r="V181" s="223" t="str">
        <f t="array" ref="V181:V182">{"TOTALSLOTS L16";(U182+V178)}</f>
        <v>TOTALSLOTS L16</v>
      </c>
      <c r="W181" s="223" t="str">
        <f t="array" ref="W181:W182">{"TOTALSLOTS L17";(V182+W178)}</f>
        <v>TOTALSLOTS L17</v>
      </c>
      <c r="X181" s="223" t="str">
        <f t="array" ref="X181:X182">{"TOTALSLOTS L18";(W182+X178)}</f>
        <v>TOTALSLOTS L18</v>
      </c>
      <c r="Y181" s="223" t="str">
        <f t="array" ref="Y181:Y182">{"TOTALSLOTS L19";(X182+Y178)}</f>
        <v>TOTALSLOTS L19</v>
      </c>
      <c r="Z181" s="223" t="str">
        <f t="array" ref="Z181:Z182">{"TOTALSLOTS L20";(Y182+Z178)}</f>
        <v>TOTALSLOTS L20</v>
      </c>
      <c r="AA181" s="76"/>
      <c r="AB181" s="76"/>
    </row>
    <row r="182">
      <c r="A182" s="48" t="s">
        <v>219</v>
      </c>
      <c r="B182" s="48" t="s">
        <v>418</v>
      </c>
      <c r="C182" s="48" t="s">
        <v>1901</v>
      </c>
      <c r="D182" s="48" t="s">
        <v>1902</v>
      </c>
      <c r="E182" s="278" t="s">
        <v>1910</v>
      </c>
      <c r="F182" s="47">
        <v>3.0</v>
      </c>
      <c r="G182" s="278" t="s">
        <v>1538</v>
      </c>
      <c r="H182" s="278">
        <v>2.0</v>
      </c>
      <c r="I182" s="278">
        <v>4.0</v>
      </c>
      <c r="J182" s="278">
        <v>4.0</v>
      </c>
      <c r="K182" s="278">
        <v>6.0</v>
      </c>
      <c r="L182" s="278">
        <v>6.0</v>
      </c>
      <c r="M182" s="278">
        <v>8.0</v>
      </c>
      <c r="N182" s="278">
        <v>8.0</v>
      </c>
      <c r="O182" s="278">
        <v>10.0</v>
      </c>
      <c r="P182" s="278">
        <v>10.0</v>
      </c>
      <c r="Q182" s="278">
        <v>12.0</v>
      </c>
      <c r="R182" s="278">
        <v>12.0</v>
      </c>
      <c r="S182" s="278">
        <v>14.0</v>
      </c>
      <c r="T182" s="278">
        <v>14.0</v>
      </c>
      <c r="U182" s="278">
        <v>16.0</v>
      </c>
      <c r="V182" s="278">
        <v>16.0</v>
      </c>
      <c r="W182" s="278">
        <v>18.0</v>
      </c>
      <c r="X182" s="278">
        <v>18.0</v>
      </c>
      <c r="Y182" s="278">
        <v>19.0</v>
      </c>
      <c r="Z182" s="278">
        <v>19.0</v>
      </c>
      <c r="AA182" s="5"/>
      <c r="AB182" s="47"/>
    </row>
    <row r="183" hidden="1">
      <c r="A183" s="222" t="str">
        <f t="array" ref="A183:A184">{"FormulaRow45";(INDEX(CLASSLIST,A94,1))}</f>
        <v>FormulaRow45</v>
      </c>
      <c r="B183" s="222" t="str">
        <f t="array" ref="B183:B184">{"CLASSTYPE";((INDEX(ALLCLASSDATA,MATCH("ClassType",CLASSFEATUREHEADERS,0),MATCH($A184,CLASSNAMEHEADERS,0))))}</f>
        <v>CLASSTYPE</v>
      </c>
      <c r="C183" s="222" t="str">
        <f t="array" ref="C183:C184">{"SPELL/ALCHEMY";((IF(INDEX(ALLCLASSDATA,MATCH("CasterType",CLASSFEATUREHEADERS,0),MATCH(($A184),CLASSNAMEHEADERS,0))="","",(IF(INDEX(ALLCLASSDATA,MATCH("CasterType",CLASSFEATUREHEADERS,0),MATCH(($A184),CLASSNAMEHEADERS,0))="Alchemy","Alchemy","Spells")))))}</f>
        <v>SPELL/ALCHEMY</v>
      </c>
      <c r="D183" s="222" t="str">
        <f t="array" ref="D183:D184">{"SPELLLIST";(IF(C184="Spells",((INDEX(ALLCLASSDATA,MATCH("CasterType",CLASSFEATUREHEADERS,0),MATCH(($A184),CLASSNAMEHEADERS,0))) &amp; ":" &amp; (INDEX(ALLCLASSDATA,MATCH("SpellList",CLASSFEATUREHEADERS,0),MATCH(($A184),CLASSNAMEHEADERS,0)))),""))}</f>
        <v>SPELLLIST</v>
      </c>
      <c r="E183" s="223" t="str">
        <f t="array" ref="E183:E184">{"TOTALLEARNED";(IF(C184="","","TotalLearned:"))}</f>
        <v>TOTALLEARNED</v>
      </c>
      <c r="F183" s="223" t="str">
        <f t="array" ref="F183:F184">{"TOTALCANTRIPSLEARNED";(F180)}</f>
        <v>TOTALCANTRIPSLEARNED</v>
      </c>
      <c r="G183" s="223" t="str">
        <f t="array" ref="G183:G184">{"TOTALLEARNED L01";(G180)}</f>
        <v>TOTALLEARNED L01</v>
      </c>
      <c r="H183" s="223" t="str">
        <f t="array" ref="H183:H184">{"TOTALLEARNED L02";(G184+H180)}</f>
        <v>TOTALLEARNED L02</v>
      </c>
      <c r="I183" s="223" t="str">
        <f t="array" ref="I183:I184">{"TOTALLEARNED L03";(H184+I180)}</f>
        <v>TOTALLEARNED L03</v>
      </c>
      <c r="J183" s="223" t="str">
        <f t="array" ref="J183:J184">{"TOTALLEARNED L04";(I184+J180)}</f>
        <v>TOTALLEARNED L04</v>
      </c>
      <c r="K183" s="223" t="str">
        <f t="array" ref="K183:K184">{"TOTALLEARNED L05";(J184+K180)}</f>
        <v>TOTALLEARNED L05</v>
      </c>
      <c r="L183" s="223" t="str">
        <f t="array" ref="L183:L184">{"TOTALLEARNED L06";(K184+L180)}</f>
        <v>TOTALLEARNED L06</v>
      </c>
      <c r="M183" s="223" t="str">
        <f t="array" ref="M183:M184">{"TOTALLEARNED L07";(L184+M180)}</f>
        <v>TOTALLEARNED L07</v>
      </c>
      <c r="N183" s="223" t="str">
        <f t="array" ref="N183:N184">{"TOTALLEARNED L08";(M184+N180)}</f>
        <v>TOTALLEARNED L08</v>
      </c>
      <c r="O183" s="223" t="str">
        <f t="array" ref="O183:O184">{"TOTALLEARNED L09";(N184+O180)}</f>
        <v>TOTALLEARNED L09</v>
      </c>
      <c r="P183" s="223" t="str">
        <f t="array" ref="P183:P184">{"TOTALLEARNED L10";(O184+P180)}</f>
        <v>TOTALLEARNED L10</v>
      </c>
      <c r="Q183" s="223" t="str">
        <f t="array" ref="Q183:Q184">{"TOTALLEARNED L11";(P184+Q180)}</f>
        <v>TOTALLEARNED L11</v>
      </c>
      <c r="R183" s="223" t="str">
        <f t="array" ref="R183:R184">{"TOTALLEARNED L12";(Q184+R180)}</f>
        <v>TOTALLEARNED L12</v>
      </c>
      <c r="S183" s="223" t="str">
        <f t="array" ref="S183:S184">{"TOTALLEARNED L13";(R184+S180)}</f>
        <v>TOTALLEARNED L13</v>
      </c>
      <c r="T183" s="223" t="str">
        <f t="array" ref="T183:T184">{"TOTALLEARNED L14";(S184+T180)}</f>
        <v>TOTALLEARNED L14</v>
      </c>
      <c r="U183" s="223" t="str">
        <f t="array" ref="U183:U184">{"TOTALLEARNED L15";(T184+U180)}</f>
        <v>TOTALLEARNED L15</v>
      </c>
      <c r="V183" s="223" t="str">
        <f t="array" ref="V183:V184">{"TOTALLEARNED L16";(U184+V180)}</f>
        <v>TOTALLEARNED L16</v>
      </c>
      <c r="W183" s="223" t="str">
        <f t="array" ref="W183:W184">{"TOTALLEARNED L17";(V184+W180)}</f>
        <v>TOTALLEARNED L17</v>
      </c>
      <c r="X183" s="223" t="str">
        <f t="array" ref="X183:X184">{"TOTALLEARNED L18";(W184+X180)}</f>
        <v>TOTALLEARNED L18</v>
      </c>
      <c r="Y183" s="223" t="str">
        <f t="array" ref="Y183:Y184">{"TOTALLEARNED L19";(X184+Y180)}</f>
        <v>TOTALLEARNED L19</v>
      </c>
      <c r="Z183" s="223" t="str">
        <f t="array" ref="Z183:Z184">{"TOTALLEARNED L20";(Y184+Z180)}</f>
        <v>TOTALLEARNED L20</v>
      </c>
      <c r="AA183" s="76"/>
      <c r="AB183" s="76"/>
    </row>
    <row r="184">
      <c r="A184" s="97" t="s">
        <v>219</v>
      </c>
      <c r="B184" s="97" t="s">
        <v>418</v>
      </c>
      <c r="C184" s="97" t="s">
        <v>1901</v>
      </c>
      <c r="D184" s="97" t="s">
        <v>1902</v>
      </c>
      <c r="E184" s="281" t="s">
        <v>1911</v>
      </c>
      <c r="F184" s="282"/>
      <c r="G184" s="278" t="s">
        <v>1573</v>
      </c>
      <c r="H184" s="278">
        <v>6.0</v>
      </c>
      <c r="I184" s="278">
        <v>10.0</v>
      </c>
      <c r="J184" s="278">
        <v>12.0</v>
      </c>
      <c r="K184" s="278">
        <v>16.0</v>
      </c>
      <c r="L184" s="278">
        <v>18.0</v>
      </c>
      <c r="M184" s="278">
        <v>22.0</v>
      </c>
      <c r="N184" s="278">
        <v>24.0</v>
      </c>
      <c r="O184" s="278">
        <v>28.0</v>
      </c>
      <c r="P184" s="278">
        <v>30.0</v>
      </c>
      <c r="Q184" s="278">
        <v>34.0</v>
      </c>
      <c r="R184" s="278">
        <v>36.0</v>
      </c>
      <c r="S184" s="278">
        <v>40.0</v>
      </c>
      <c r="T184" s="278">
        <v>42.0</v>
      </c>
      <c r="U184" s="278">
        <v>46.0</v>
      </c>
      <c r="V184" s="278">
        <v>48.0</v>
      </c>
      <c r="W184" s="278">
        <v>52.0</v>
      </c>
      <c r="X184" s="278">
        <v>54.0</v>
      </c>
      <c r="Y184" s="278">
        <v>56.0</v>
      </c>
      <c r="Z184" s="278">
        <v>56.0</v>
      </c>
      <c r="AA184" s="5"/>
      <c r="AB184" s="47"/>
    </row>
    <row r="185">
      <c r="A185" s="55">
        <v>19.0</v>
      </c>
      <c r="B185" s="79" t="s">
        <v>1915</v>
      </c>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c r="AA185" s="71"/>
      <c r="AB185" s="73"/>
    </row>
    <row r="186" hidden="1">
      <c r="A186" s="76" t="str">
        <f t="array" ref="A186:A187">{"FormulaRow01";(INDEX(CLASSLIST,A185,1))}</f>
        <v>FormulaRow01</v>
      </c>
      <c r="B186" s="76" t="str">
        <f t="array" ref="B186:B187">{"CLASSTYPE";(INDEX(ALLCLASSDATA,MATCH("ClassType",CLASSFEATUREHEADERS,0),MATCH($A187,CLASSNAMEHEADERS,0)))}</f>
        <v>CLASSTYPE</v>
      </c>
      <c r="C186" s="81" t="str">
        <f t="array" ref="C186:C187">{"TOTAL";("Total: " &amp; G187+I187+K187+M187+O187+Q187+S187+U187+W187+Y187)}</f>
        <v>TOTAL</v>
      </c>
      <c r="D186" s="81" t="str">
        <f t="array" ref="D186:D187">{"BALANCE";(IF((G187+I187+K187+M187+O187+Q187+S187+U187+W187+Y187)=2100,"(balanced)",(IF((G187+I187+K187+M187+O187+Q187+S187+U187+W187+Y187)&gt;2100,"OVERBUDGET: ","UNDERBUDGET: ")) &amp; (G187+I187+K187+M187+O187+Q187+S187+U187+W187+Y187-2100)))}</f>
        <v>BALANCE</v>
      </c>
      <c r="E186" s="81"/>
      <c r="F186" s="81"/>
      <c r="G186" s="81" t="str">
        <f t="array" ref="G186:G187">{"SUM LVL0/1/2";((SUMIF(E188:H267,"&lt;&gt;#REF!")+(SUMIF(I188:Z195,"&lt;&gt;#REF!"))))}</f>
        <v>SUM LVL0/1/2</v>
      </c>
      <c r="H186" s="81"/>
      <c r="I186" s="81" t="str">
        <f t="array" ref="I186:I187">{"SUM LVL3/4";(SUMIF(I196:J267,"&lt;&gt;#REF!"))}</f>
        <v>SUM LVL3/4</v>
      </c>
      <c r="J186" s="81"/>
      <c r="K186" s="81" t="str">
        <f t="array" ref="K186:K187">{"SUM LVL5/6";(SUMIF(K196:L267,"&lt;&gt;#REF!"))}</f>
        <v>SUM LVL5/6</v>
      </c>
      <c r="L186" s="81"/>
      <c r="M186" s="81" t="str">
        <f t="array" ref="M186:M187">{"SUM LVL7/8";(SUMIF(M196:N267,"&lt;&gt;#REF!"))}</f>
        <v>SUM LVL7/8</v>
      </c>
      <c r="N186" s="81"/>
      <c r="O186" s="81" t="str">
        <f t="array" ref="O186:O187">{"SUM LVL9/10";(SUMIF(O196:P267,"&lt;&gt;#REF!"))}</f>
        <v>SUM LVL9/10</v>
      </c>
      <c r="P186" s="81"/>
      <c r="Q186" s="81" t="str">
        <f t="array" ref="Q186:Q187">{"SUM LVL11/12";(SUMIF(Q196:R267,"&lt;&gt;#REF!"))}</f>
        <v>SUM LVL11/12</v>
      </c>
      <c r="R186" s="81"/>
      <c r="S186" s="81" t="str">
        <f t="array" ref="S186:S187">{"SUM LVL13/14";(SUMIF(S196:T267,"&lt;&gt;#REF!"))}</f>
        <v>SUM LVL13/14</v>
      </c>
      <c r="T186" s="81"/>
      <c r="U186" s="81" t="str">
        <f t="array" ref="U186:U187">{"SUM LVL15/16";(SUMIF(U196:V267,"&lt;&gt;#REF!"))}</f>
        <v>SUM LVL15/16</v>
      </c>
      <c r="V186" s="81"/>
      <c r="W186" s="81" t="str">
        <f t="array" ref="W186:W187">{"SUM LVL17/18";(SUMIF(W196:X267,"&lt;&gt;#REF!"))}</f>
        <v>SUM LVL17/18</v>
      </c>
      <c r="X186" s="81"/>
      <c r="Y186" s="81" t="str">
        <f t="array" ref="Y186:Y187">{"SUM LVL19/20";(SUMIF(Y196:Z267,"&lt;&gt;#REF!"))}</f>
        <v>SUM LVL19/20</v>
      </c>
      <c r="Z186" s="81"/>
      <c r="AA186" s="76"/>
      <c r="AB186" s="76" t="str">
        <f t="array" ref="AB186:AB187">{"SUM ROWTOTALS";(SUMIF(AB189:AB275,"&lt;&gt;#REF!"))}</f>
        <v>SUM ROWTOTALS</v>
      </c>
    </row>
    <row r="187">
      <c r="A187" s="48" t="s">
        <v>225</v>
      </c>
      <c r="B187" s="48" t="s">
        <v>418</v>
      </c>
      <c r="C187" s="97" t="s">
        <v>1916</v>
      </c>
      <c r="D187" s="98" t="s">
        <v>1917</v>
      </c>
      <c r="E187" s="97"/>
      <c r="F187" s="99"/>
      <c r="G187" s="98">
        <v>380.0</v>
      </c>
      <c r="H187" s="98"/>
      <c r="I187" s="98">
        <v>180.0</v>
      </c>
      <c r="J187" s="98"/>
      <c r="K187" s="98">
        <v>130.0</v>
      </c>
      <c r="L187" s="98"/>
      <c r="M187" s="98">
        <v>130.0</v>
      </c>
      <c r="N187" s="98"/>
      <c r="O187" s="98">
        <v>80.0</v>
      </c>
      <c r="P187" s="98"/>
      <c r="Q187" s="98">
        <v>290.0</v>
      </c>
      <c r="R187" s="98"/>
      <c r="S187" s="98">
        <v>150.0</v>
      </c>
      <c r="T187" s="98"/>
      <c r="U187" s="98">
        <v>190.0</v>
      </c>
      <c r="V187" s="98"/>
      <c r="W187" s="98">
        <v>80.0</v>
      </c>
      <c r="X187" s="98"/>
      <c r="Y187" s="98">
        <v>380.0</v>
      </c>
      <c r="Z187" s="98"/>
      <c r="AA187" s="5"/>
      <c r="AB187" s="47">
        <v>1990.0</v>
      </c>
    </row>
    <row r="188" hidden="1">
      <c r="A188" s="76" t="str">
        <f t="array" ref="A188:A189">{"FormulaRow02";(INDEX(CLASSLIST,A185,1))}</f>
        <v>FormulaRow02</v>
      </c>
      <c r="B188" s="76" t="str">
        <f t="array" ref="B188:B189">{"CLASSTYPE";((INDEX(ALLCLASSDATA,MATCH("ClassType",CLASSFEATUREHEADERS,0),MATCH($A189,CLASSNAMEHEADERS,0))))}</f>
        <v>CLASSTYPE</v>
      </c>
      <c r="C188" s="81" t="str">
        <f t="array" ref="C188:C189">{"FEATURES";"Features"}</f>
        <v>FEATURES</v>
      </c>
      <c r="D188" s="81" t="str">
        <f t="array" ref="D188:D189">{"INITIALFEATURES";"Initial Features"}</f>
        <v>INITIALFEATURES</v>
      </c>
      <c r="E188" s="81" t="str">
        <f t="array" ref="E188:E189">{"KEY";"Key"}</f>
        <v>KEY</v>
      </c>
      <c r="F188" s="81" t="str">
        <f t="array" ref="F188:F189">{"HP";"HP"}</f>
        <v>HP</v>
      </c>
      <c r="G188" s="81" t="str">
        <f t="array" ref="G188:G189">{"CLASSFEATL01";"ClassFeatL01"}</f>
        <v>CLASSFEATL01</v>
      </c>
      <c r="H188" s="81" t="str">
        <f t="array" ref="H188:H189">{"SHIELDBLOCKL01";"ShieldBlockL01"}</f>
        <v>SHIELDBLOCKL01</v>
      </c>
      <c r="I188" s="81" t="str">
        <f t="array" ref="I188:I189">{"INITIALSKILLS";"InitialSkills"}</f>
        <v>INITIALSKILLS</v>
      </c>
      <c r="J188" s="81" t="str">
        <f t="array" ref="J188:J189">{"SUBCLASSSKILLS";"SubclassSkills"}</f>
        <v>SUBCLASSSKILLS</v>
      </c>
      <c r="K188" s="81" t="str">
        <f t="array" ref="K188:K189">{"GRANTEDSKILLS";"GrantedSkills"}</f>
        <v>GRANTEDSKILLS</v>
      </c>
      <c r="L188" s="81"/>
      <c r="M188" s="81"/>
      <c r="N188" s="81"/>
      <c r="O188" s="81" t="str">
        <f t="array" ref="O188:O189">{"FOCUSSPELLS";"FocusSpells:"}</f>
        <v>FOCUSSPELLS</v>
      </c>
      <c r="P188" s="81" t="str">
        <f t="array" ref="P188:P189">{"FOCUSSPELL1-L00";((INDEX(ALLCLASSDATA,MATCH("FocusSpell1-L00",CLASSFEATUREHEADERS,0),MATCH(($A189),CLASSNAMEHEADERS,0))))}</f>
        <v>FOCUSSPELL1-L00</v>
      </c>
      <c r="Q188" s="81" t="str">
        <f t="array" ref="Q188:Q189">{"FOCUSSPELL2-L00";((INDEX(ALLCLASSDATA,MATCH("FocusSpell2-L00",CLASSFEATUREHEADERS,0),MATCH(($A189),CLASSNAMEHEADERS,0))))}</f>
        <v>FOCUSSPELL2-L00</v>
      </c>
      <c r="R188" s="81" t="str">
        <f t="array" ref="R188:R189">{"FOCUSSPELL3-L00";((INDEX(ALLCLASSDATA,MATCH("FocusSpell3-L00",CLASSFEATUREHEADERS,0),MATCH(($A189),CLASSNAMEHEADERS,0))))}</f>
        <v>FOCUSSPELL3-L00</v>
      </c>
      <c r="S188" s="81" t="str">
        <f t="array" ref="S188:S189">{"FOCUSSPELL4-L00";((INDEX(ALLCLASSDATA,MATCH("FocusSpell4-L00",CLASSFEATUREHEADERS,0),MATCH(($A189),CLASSNAMEHEADERS,0))))}</f>
        <v>FOCUSSPELL4-L00</v>
      </c>
      <c r="T188" s="81" t="str">
        <f t="array" ref="T188:T189">{"FOCUSSPELL5-L00";((INDEX(ALLCLASSDATA,MATCH("FocusSpell5-L00",CLASSFEATUREHEADERS,0),MATCH(($A189),CLASSNAMEHEADERS,0))))}</f>
        <v>FOCUSSPELL5-L00</v>
      </c>
      <c r="U188" s="81"/>
      <c r="V188" s="81"/>
      <c r="W188" s="81"/>
      <c r="X188" s="81"/>
      <c r="Y188" s="81"/>
      <c r="Z188" s="81"/>
      <c r="AA188" s="76"/>
      <c r="AB188" s="76"/>
    </row>
    <row r="189">
      <c r="A189" s="48" t="s">
        <v>225</v>
      </c>
      <c r="B189" s="48" t="s">
        <v>418</v>
      </c>
      <c r="C189" s="48" t="s">
        <v>467</v>
      </c>
      <c r="D189" s="48" t="s">
        <v>468</v>
      </c>
      <c r="E189" s="48" t="s">
        <v>469</v>
      </c>
      <c r="F189" s="114" t="s">
        <v>15</v>
      </c>
      <c r="G189" s="8" t="s">
        <v>451</v>
      </c>
      <c r="H189" s="8" t="s">
        <v>463</v>
      </c>
      <c r="I189" s="8" t="s">
        <v>473</v>
      </c>
      <c r="J189" s="8" t="s">
        <v>474</v>
      </c>
      <c r="K189" s="8" t="s">
        <v>475</v>
      </c>
      <c r="L189" s="8"/>
      <c r="M189" s="8"/>
      <c r="N189" s="8"/>
      <c r="O189" s="8" t="s">
        <v>476</v>
      </c>
      <c r="P189" s="116" t="s">
        <v>1600</v>
      </c>
      <c r="Q189" s="116"/>
      <c r="R189" s="116"/>
      <c r="S189" s="116"/>
      <c r="T189" s="116"/>
      <c r="U189" s="8"/>
      <c r="V189" s="8"/>
      <c r="W189" s="8"/>
      <c r="X189" s="8"/>
      <c r="Y189" s="5"/>
      <c r="Z189" s="5"/>
      <c r="AA189" s="5"/>
      <c r="AB189" s="47"/>
    </row>
    <row r="190" hidden="1">
      <c r="A190" s="76" t="str">
        <f t="array" ref="A190:A191">{"FormulaRow03";(INDEX(CLASSLIST,A185,1))}</f>
        <v>FormulaRow03</v>
      </c>
      <c r="B190" s="76" t="str">
        <f t="array" ref="B190:B191">{"CLASSTYPE";((INDEX(ALLCLASSDATA,MATCH("ClassType",CLASSFEATUREHEADERS,0),MATCH($A191,CLASSNAMEHEADERS,0))))}</f>
        <v>CLASSTYPE</v>
      </c>
      <c r="C190" s="76" t="str">
        <f t="array" ref="C190:C191">{"FEATUREPTS";"FeaturesPts"}</f>
        <v>FEATUREPTS</v>
      </c>
      <c r="D190" s="76" t="str">
        <f t="array" ref="D190:D191">{"INITIALFEATURES";"Initial Features"}</f>
        <v>INITIALFEATURES</v>
      </c>
      <c r="E190" s="76" t="str">
        <f t="array" ref="E190:E191">{"KEYABILITY";((INDEX(ALLCLASSDATA,MATCH("KEYABILITY",CLASSFEATUREHEADERS,0),MATCH($A191,CLASSNAMEHEADERS,0))))}</f>
        <v>KEYABILITY</v>
      </c>
      <c r="F190" s="76" t="str">
        <f t="array" ref="F190:F191">{"HP";((INDEX(ALLCLASSDATA,MATCH("HP",CLASSFEATUREHEADERS,0),MATCH(($A191 &amp; "Points"),CLASSNAMEHEADERS,0))))}</f>
        <v>HP</v>
      </c>
      <c r="G190" s="76" t="str">
        <f t="array" ref="G190:G191">{"CLASSFEATL01";((INDEX(ALLCLASSDATA,MATCH("ClassFeatL01",CLASSFEATUREHEADERS,0),MATCH(($A191 &amp; "Points"),CLASSNAMEHEADERS,0))))}</f>
        <v>CLASSFEATL01</v>
      </c>
      <c r="H190" s="76" t="str">
        <f t="array" ref="H190:H191">{"SHIELDBLOCKL01";((INDEX(ALLCLASSDATA,MATCH("ShieldBlockL01",CLASSFEATUREHEADERS,0),MATCH(($A191 &amp; "Points"),CLASSNAMEHEADERS,0))))}</f>
        <v>SHIELDBLOCKL01</v>
      </c>
      <c r="I190" s="76" t="str">
        <f t="array" ref="I190:I191">{"INITIALSKILLINCREASES";((INDEX(ALLCLASSDATA,MATCH("InitialSkillIncreases",CLASSFEATUREHEADERS,0),MATCH(($A191 &amp; "Points"),CLASSNAMEHEADERS,0))))}</f>
        <v>INITIALSKILLINCREASES</v>
      </c>
      <c r="J190" s="76" t="str">
        <f t="array" ref="J190:J191">{"SUBCLASSSKILLINCREASES";((INDEX(ALLCLASSDATA,MATCH("SubclassSkillIncreases",CLASSFEATUREHEADERS,0),MATCH(($A191 &amp; "Points"),CLASSNAMEHEADERS,0))))}</f>
        <v>SUBCLASSSKILLINCREASES</v>
      </c>
      <c r="K190" s="76" t="str">
        <f t="array" ref="K190:K191">{"GRANTEDSKILLS";(((INDEX(ALLCLASSDATA,MATCH("SkillsGrantedTotal",CLASSFEATUREHEADERS,0),MATCH(($A191 &amp; "Points"),CLASSNAMEHEADERS,0)))-(INDEX(ALLCLASSDATA,MATCH("InitialSkillIncreases",CLASSFEATUREHEADERS,0),MATCH(($A191 &amp; "Points"),CLASSNAMEHEADERS,0)))-(INDEX(ALLCLASSDATA,MATCH("SubclassSkillIncreases",CLASSFEATUREHEADERS,0),MATCH(($A191 &amp; "Points"),CLASSNAMEHEADERS,0)))))}</f>
        <v>GRANTEDSKILLS</v>
      </c>
      <c r="L190" s="76"/>
      <c r="M190" s="76"/>
      <c r="N190" s="76"/>
      <c r="O190" s="76"/>
      <c r="P190" s="76" t="str">
        <f t="array" ref="P190:P191">{"FOCUSSPELL1-L00";((INDEX(ALLCLASSDATA,MATCH("FocusSpell1-L00",CLASSFEATUREHEADERS,0),MATCH(($A191 &amp; "Points"),CLASSNAMEHEADERS,0))))}</f>
        <v>FOCUSSPELL1-L00</v>
      </c>
      <c r="Q190" s="76" t="str">
        <f t="array" ref="Q190:Q191">{"FOCUSSPELL2-L00";((INDEX(ALLCLASSDATA,MATCH("FocusSpell2-L00",CLASSFEATUREHEADERS,0),MATCH(($A191 &amp; "Points"),CLASSNAMEHEADERS,0))))}</f>
        <v>FOCUSSPELL2-L00</v>
      </c>
      <c r="R190" s="76" t="str">
        <f t="array" ref="R190:R191">{"FOCUSSPELL3-L00";((INDEX(ALLCLASSDATA,MATCH("FocusSpell3-L00",CLASSFEATUREHEADERS,0),MATCH(($A191 &amp; "Points"),CLASSNAMEHEADERS,0))))}</f>
        <v>FOCUSSPELL3-L00</v>
      </c>
      <c r="S190" s="76" t="str">
        <f t="array" ref="S190:S191">{"FOCUSSPELL4-L00";((INDEX(ALLCLASSDATA,MATCH("FocusSpell4-L00",CLASSFEATUREHEADERS,0),MATCH(($A191 &amp; "Points"),CLASSNAMEHEADERS,0))))}</f>
        <v>FOCUSSPELL4-L00</v>
      </c>
      <c r="T190" s="76" t="str">
        <f t="array" ref="T190:T191">{"FOCUSSPELL5-L00";((INDEX(ALLCLASSDATA,MATCH("FocusSpell5-L00",CLASSFEATUREHEADERS,0),MATCH(($A191 &amp; "Points"),CLASSNAMEHEADERS,0))))}</f>
        <v>FOCUSSPELL5-L00</v>
      </c>
      <c r="U190" s="76"/>
      <c r="V190" s="76"/>
      <c r="W190" s="76"/>
      <c r="X190" s="76"/>
      <c r="Y190" s="76"/>
      <c r="Z190" s="76"/>
      <c r="AA190" s="76"/>
      <c r="AB190" s="76" t="str">
        <f t="array" ref="AB190:AB191">{"FEATUREPTS TOTAL";(sum(F191:Z191))}</f>
        <v>FEATUREPTS TOTAL</v>
      </c>
    </row>
    <row r="191">
      <c r="A191" s="48" t="s">
        <v>225</v>
      </c>
      <c r="B191" s="48" t="s">
        <v>418</v>
      </c>
      <c r="C191" s="97" t="s">
        <v>559</v>
      </c>
      <c r="D191" s="97" t="s">
        <v>468</v>
      </c>
      <c r="E191" s="97" t="s">
        <v>263</v>
      </c>
      <c r="F191" s="132">
        <v>80.0</v>
      </c>
      <c r="G191" s="98">
        <v>10.0</v>
      </c>
      <c r="H191" s="98">
        <v>10.0</v>
      </c>
      <c r="I191" s="98">
        <v>10.0</v>
      </c>
      <c r="J191" s="98">
        <v>5.0</v>
      </c>
      <c r="K191" s="98">
        <v>5.0</v>
      </c>
      <c r="L191" s="98"/>
      <c r="M191" s="98"/>
      <c r="N191" s="98"/>
      <c r="O191" s="98"/>
      <c r="P191" s="98">
        <v>10.0</v>
      </c>
      <c r="Q191" s="98"/>
      <c r="R191" s="98"/>
      <c r="S191" s="98"/>
      <c r="T191" s="98"/>
      <c r="U191" s="98"/>
      <c r="V191" s="98"/>
      <c r="W191" s="98"/>
      <c r="X191" s="98"/>
      <c r="Y191" s="98"/>
      <c r="Z191" s="98"/>
      <c r="AA191" s="5"/>
      <c r="AB191" s="47">
        <v>130.0</v>
      </c>
    </row>
    <row r="192" hidden="1">
      <c r="A192" s="76" t="str">
        <f t="array" ref="A192:A193">{"FormulaRow04";(INDEX(CLASSLIST,A185,1))}</f>
        <v>FormulaRow04</v>
      </c>
      <c r="B192" s="76" t="str">
        <f t="array" ref="B192:B193">{"CLASSTYPE";((INDEX(ALLCLASSDATA,MATCH("ClassType",CLASSFEATUREHEADERS,0),MATCH($A193,CLASSNAMEHEADERS,0))))}</f>
        <v>CLASSTYPE</v>
      </c>
      <c r="C192" s="81" t="str">
        <f t="array" ref="C192:C193">{"INITIALFEATURES";"InitialFeatures"}</f>
        <v>INITIALFEATURES</v>
      </c>
      <c r="D192" s="81" t="str">
        <f t="array" ref="D192:D193">{"CLASS/SUBCLASSFEATURES";"Class/Subclass Features"}</f>
        <v>CLASS/SUBCLASSFEATURES</v>
      </c>
      <c r="E192" s="81"/>
      <c r="F192" s="136"/>
      <c r="G192" s="81" t="str">
        <f t="array" ref="G192:G193">{"CLASSINITIALABILITY1-L00";((INDEX(ALLCLASSDATA,MATCH("ClassInitialAbility1-L00",CLASSFEATUREHEADERS,0),MATCH(($A193),CLASSNAMEHEADERS,0))))}</f>
        <v>CLASSINITIALABILITY1-L00</v>
      </c>
      <c r="H192" s="81" t="str">
        <f t="array" ref="H192:H193">{"CLASSINITIALABILITY2-L00";((INDEX(ALLCLASSDATA,MATCH("ClassInitialAbility2-L00",CLASSFEATUREHEADERS,0),MATCH(($A193),CLASSNAMEHEADERS,0))))}</f>
        <v>CLASSINITIALABILITY2-L00</v>
      </c>
      <c r="I192" s="81" t="str">
        <f t="array" ref="I192:I193">{"CLASSINITIALABILITY3-L00";((INDEX(ALLCLASSDATA,MATCH("ClassInitialAbility3-L00",CLASSFEATUREHEADERS,0),MATCH(($A193),CLASSNAMEHEADERS,0))))}</f>
        <v>CLASSINITIALABILITY3-L00</v>
      </c>
      <c r="J192" s="81" t="str">
        <f t="array" ref="J192:J193">{"CLASSINITIALABILITY4-L00";((INDEX(ALLCLASSDATA,MATCH("ClassInitialAbility4-L00",CLASSFEATUREHEADERS,0),MATCH(($A193),CLASSNAMEHEADERS,0))))}</f>
        <v>CLASSINITIALABILITY4-L00</v>
      </c>
      <c r="K192" s="81" t="str">
        <f t="array" ref="K192:K193">{"CLASSINITIALABILITY5-L00";((INDEX(ALLCLASSDATA,MATCH("ClassInitialAbility5-L00",CLASSFEATUREHEADERS,0),MATCH(($A193),CLASSNAMEHEADERS,0))))}</f>
        <v>CLASSINITIALABILITY5-L00</v>
      </c>
      <c r="L192" s="81" t="str">
        <f t="array" ref="L192:L193">{"CLASSINITIALABILITY6-L00";((INDEX(ALLCLASSDATA,MATCH("ClassInitialAbility6-L00",CLASSFEATUREHEADERS,0),MATCH(($A193),CLASSNAMEHEADERS,0))))}</f>
        <v>CLASSINITIALABILITY6-L00</v>
      </c>
      <c r="M192" s="81" t="str">
        <f t="array" ref="M192:M193">{"CLASSINITIALABILITY7-L00";((INDEX(ALLCLASSDATA,MATCH("ClassInitialAbility7-L00",CLASSFEATUREHEADERS,0),MATCH(($A193),CLASSNAMEHEADERS,0))))}</f>
        <v>CLASSINITIALABILITY7-L00</v>
      </c>
      <c r="N192" s="81" t="str">
        <f t="array" ref="N192:N193">{"CLASSINITIALABILITY8-L00";((INDEX(ALLCLASSDATA,MATCH("ClassInitialAbility8-L00",CLASSFEATUREHEADERS,0),MATCH(($A193),CLASSNAMEHEADERS,0))))}</f>
        <v>#REF!</v>
      </c>
      <c r="O192" s="81" t="str">
        <f t="array" ref="O192:O193">{"CLASSINITIALABILITY9-L00";((INDEX(ALLCLASSDATA,MATCH("ClassInitialAbility9-L00",CLASSFEATUREHEADERS,0),MATCH(($A193),CLASSNAMEHEADERS,0))))}</f>
        <v>CLASSINITIALABILITY9-L00</v>
      </c>
      <c r="P192" s="81" t="str">
        <f t="array" ref="P192:P193">{"CLASSINITIALABILITY10-L00";((INDEX(ALLCLASSDATA,MATCH("ClassInitialAbility10-L00",CLASSFEATUREHEADERS,0),MATCH(($A193),CLASSNAMEHEADERS,0))))}</f>
        <v>CLASSINITIALABILITY10-L00</v>
      </c>
      <c r="Q192" s="81" t="str">
        <f t="array" ref="Q192:Q193">{"SUBCLASSINITIAL1-L00";((INDEX(ALLCLASSDATA,MATCH("SubclassInitial1-L00",CLASSFEATUREHEADERS,0),MATCH(($A193),CLASSNAMEHEADERS,0))))}</f>
        <v>SUBCLASSINITIAL1-L00</v>
      </c>
      <c r="R192" s="81" t="str">
        <f t="array" ref="R192:R193">{"SUBCLASSINITIAL2-L00";((INDEX(ALLCLASSDATA,MATCH("SubclassInitial2-L00",CLASSFEATUREHEADERS,0),MATCH(($A193),CLASSNAMEHEADERS,0))))}</f>
        <v>SUBCLASSINITIAL2-L00</v>
      </c>
      <c r="S192" s="81" t="str">
        <f t="array" ref="S192:S193">{"SUBCLASSINITIAL3-L00";((INDEX(ALLCLASSDATA,MATCH("SubclassInitial3-L00",CLASSFEATUREHEADERS,0),MATCH(($A193),CLASSNAMEHEADERS,0))))}</f>
        <v>SUBCLASSINITIAL3-L00</v>
      </c>
      <c r="T192" s="81" t="str">
        <f t="array" ref="T192:T193">{"SUBCLASSINITIAL4-L00";((INDEX(ALLCLASSDATA,MATCH("SubclassInitial4-L00",CLASSFEATUREHEADERS,0),MATCH(($A193),CLASSNAMEHEADERS,0))))}</f>
        <v>SUBCLASSINITIAL4-L00</v>
      </c>
      <c r="U192" s="81" t="str">
        <f t="array" ref="U192:U193">{"SUBCLASSINITIAL5-L00";((INDEX(ALLCLASSDATA,MATCH("SubclassInitial5-L00",CLASSFEATUREHEADERS,0),MATCH(($A193),CLASSNAMEHEADERS,0))))}</f>
        <v>SUBCLASSINITIAL5-L00</v>
      </c>
      <c r="V192" s="81" t="str">
        <f t="array" ref="V192:V193">{"SUBCLASSINITIAL6-L00";((INDEX(ALLCLASSDATA,MATCH("SubclassInitial6-L00",CLASSFEATUREHEADERS,0),MATCH(($A193),CLASSNAMEHEADERS,0))))}</f>
        <v>SUBCLASSINITIAL6-L00</v>
      </c>
      <c r="W192" s="81" t="str">
        <f t="array" ref="W192:W193">{"SUBCLASSINITIAL7-L00";((INDEX(ALLCLASSDATA,MATCH("SubclassInitial7-L00",CLASSFEATUREHEADERS,0),MATCH(($A193),CLASSNAMEHEADERS,0))))}</f>
        <v>SUBCLASSINITIAL7-L00</v>
      </c>
      <c r="X192" s="81" t="str">
        <f t="array" ref="X192:X193">{"SUBCLASSINITIAL8-L00";((INDEX(ALLCLASSDATA,MATCH("SubclassInitial8-L00",CLASSFEATUREHEADERS,0),MATCH(($A193),CLASSNAMEHEADERS,0))))}</f>
        <v>SUBCLASSINITIAL8-L00</v>
      </c>
      <c r="Y192" s="81" t="str">
        <f t="array" ref="Y192:Y193">{"SUBCLASSINITIAL9-L00";((INDEX(ALLCLASSDATA,MATCH("SubclassInitial9-L00",CLASSFEATUREHEADERS,0),MATCH(($A193),CLASSNAMEHEADERS,0))))}</f>
        <v>SUBCLASSINITIAL9-L00</v>
      </c>
      <c r="Z192" s="81" t="str">
        <f t="array" ref="Z192:Z193">{"SUBCLASSINITIAL10-L00";((INDEX(ALLCLASSDATA,MATCH("SubclassInitial10-L00",CLASSFEATUREHEADERS,0),MATCH(($A193),CLASSNAMEHEADERS,0))))}</f>
        <v>SUBCLASSINITIAL10-L00</v>
      </c>
      <c r="AA192" s="76"/>
      <c r="AB192" s="76"/>
    </row>
    <row r="193">
      <c r="A193" s="48" t="s">
        <v>225</v>
      </c>
      <c r="B193" s="48" t="s">
        <v>418</v>
      </c>
      <c r="C193" s="48" t="s">
        <v>614</v>
      </c>
      <c r="D193" s="48" t="s">
        <v>616</v>
      </c>
      <c r="E193" s="48"/>
      <c r="F193" s="47"/>
      <c r="G193" s="5" t="s">
        <v>1625</v>
      </c>
      <c r="H193" s="5" t="s">
        <v>387</v>
      </c>
      <c r="I193" s="5" t="s">
        <v>1651</v>
      </c>
      <c r="J193" s="5" t="s">
        <v>644</v>
      </c>
      <c r="K193" s="5" t="s">
        <v>1663</v>
      </c>
      <c r="L193" s="5" t="s">
        <v>1668</v>
      </c>
      <c r="M193" s="5" t="s">
        <v>1671</v>
      </c>
      <c r="N193" s="48" t="s">
        <v>647</v>
      </c>
      <c r="O193" s="5"/>
      <c r="P193" s="5"/>
      <c r="Q193" s="5" t="s">
        <v>1823</v>
      </c>
      <c r="R193" s="5"/>
      <c r="S193" s="5"/>
      <c r="T193" s="5"/>
      <c r="U193" s="5"/>
      <c r="V193" s="5"/>
      <c r="W193" s="5"/>
      <c r="X193" s="5"/>
      <c r="Y193" s="5"/>
      <c r="Z193" s="5"/>
      <c r="AA193" s="5"/>
      <c r="AB193" s="47"/>
    </row>
    <row r="194" hidden="1">
      <c r="A194" s="76" t="str">
        <f t="array" ref="A194:A195">{"FormulaRow05";(INDEX(CLASSLIST,A185,1))}</f>
        <v>FormulaRow05</v>
      </c>
      <c r="B194" s="76" t="str">
        <f t="array" ref="B194:B195">{"CLASSTYPE";((INDEX(ALLCLASSDATA,MATCH("ClassType",CLASSFEATUREHEADERS,0),MATCH($A195,CLASSNAMEHEADERS,0))))}</f>
        <v>CLASSTYPE</v>
      </c>
      <c r="C194" s="76" t="str">
        <f t="array" ref="C194:C195">{"INITIALFEATURESPTS";"InitialFeaturesPts"}</f>
        <v>INITIALFEATURESPTS</v>
      </c>
      <c r="D194" s="76" t="str">
        <f t="array" ref="D194:D195">{"CLASS/SUBCLASSFEATURES";"Class/Subclass Features"}</f>
        <v>CLASS/SUBCLASSFEATURES</v>
      </c>
      <c r="E194" s="76"/>
      <c r="F194" s="76"/>
      <c r="G194" s="76" t="str">
        <f t="array" ref="G194:G195">{"CLASSINITIALABILITY1-L00PTS";((INDEX(ALLCLASSDATA,MATCH("ClassInitialAbility1-L00",CLASSFEATUREHEADERS,0),MATCH(($A195 &amp; "Points"),CLASSNAMEHEADERS,0))))}</f>
        <v>CLASSINITIALABILITY1-L00PTS</v>
      </c>
      <c r="H194" s="76" t="str">
        <f t="array" ref="H194:H195">{"CLASSINITIALABILITY2-L00PTS";((INDEX(ALLCLASSDATA,MATCH("ClassInitialAbility2-L00",CLASSFEATUREHEADERS,0),MATCH(($A195 &amp; "Points"),CLASSNAMEHEADERS,0))))}</f>
        <v>CLASSINITIALABILITY2-L00PTS</v>
      </c>
      <c r="I194" s="76" t="str">
        <f t="array" ref="I194:I195">{"CLASSINITIALABILITY3-L00PTS";((INDEX(ALLCLASSDATA,MATCH("ClassInitialAbility3-L00",CLASSFEATUREHEADERS,0),MATCH(($A195 &amp; "Points"),CLASSNAMEHEADERS,0))))}</f>
        <v>CLASSINITIALABILITY3-L00PTS</v>
      </c>
      <c r="J194" s="76" t="str">
        <f t="array" ref="J194:J195">{"CLASSINITIALABILITY4-L00PTS";((INDEX(ALLCLASSDATA,MATCH("ClassInitialAbility4-L00",CLASSFEATUREHEADERS,0),MATCH(($A195 &amp; "Points"),CLASSNAMEHEADERS,0))))}</f>
        <v>CLASSINITIALABILITY4-L00PTS</v>
      </c>
      <c r="K194" s="76" t="str">
        <f t="array" ref="K194:K195">{"CLASSINITIALABILITY5-L00PTS";((INDEX(ALLCLASSDATA,MATCH("ClassInitialAbility5-L00",CLASSFEATUREHEADERS,0),MATCH(($A195 &amp; "Points"),CLASSNAMEHEADERS,0))))}</f>
        <v>CLASSINITIALABILITY5-L00PTS</v>
      </c>
      <c r="L194" s="76" t="str">
        <f t="array" ref="L194:L195">{"CLASSINITIALABILITY6-L00PTS";((INDEX(ALLCLASSDATA,MATCH("ClassInitialAbility6-L00",CLASSFEATUREHEADERS,0),MATCH(($A195 &amp; "Points"),CLASSNAMEHEADERS,0))))}</f>
        <v>CLASSINITIALABILITY6-L00PTS</v>
      </c>
      <c r="M194" s="76" t="str">
        <f t="array" ref="M194:M195">{"CLASSINITIALABILITY7-L00PTS";((INDEX(ALLCLASSDATA,MATCH("ClassInitialAbility7-L00",CLASSFEATUREHEADERS,0),MATCH(($A195 &amp; "Points"),CLASSNAMEHEADERS,0))))}</f>
        <v>CLASSINITIALABILITY7-L00PTS</v>
      </c>
      <c r="N194" s="76" t="str">
        <f t="array" ref="N194:N195">{"CLASSINITIALABILITY8-L00PTS";((INDEX(ALLCLASSDATA,MATCH("ClassInitialAbility8-L00",CLASSFEATUREHEADERS,0),MATCH(($A195 &amp; "Points"),CLASSNAMEHEADERS,0))))}</f>
        <v>CLASSINITIALABILITY8-L00PTS</v>
      </c>
      <c r="O194" s="76" t="str">
        <f t="array" ref="O194:O195">{"CLASSINITIALABILITY9-L00PTS";((INDEX(ALLCLASSDATA,MATCH("ClassInitialAbility9-L00",CLASSFEATUREHEADERS,0),MATCH(($A195 &amp; "Points"),CLASSNAMEHEADERS,0))))}</f>
        <v>CLASSINITIALABILITY9-L00PTS</v>
      </c>
      <c r="P194" s="76" t="str">
        <f t="array" ref="P194:P195">{"CLASSINITIALABILITY10-L00PTS";((INDEX(ALLCLASSDATA,MATCH("ClassInitialAbility10-L00",CLASSFEATUREHEADERS,0),MATCH(($A195 &amp; "Points"),CLASSNAMEHEADERS,0))))}</f>
        <v>CLASSINITIALABILITY10-L00PTS</v>
      </c>
      <c r="Q194" s="76" t="str">
        <f t="array" ref="Q194:Q195">{"SUBCLASSINITIAL1-L00PTS";((INDEX(ALLCLASSDATA,MATCH("SubclassInitial1-L00",CLASSFEATUREHEADERS,0),MATCH(($A195 &amp; "Points"),CLASSNAMEHEADERS,0))))}</f>
        <v>SUBCLASSINITIAL1-L00PTS</v>
      </c>
      <c r="R194" s="76" t="str">
        <f t="array" ref="R194:R195">{"SUBCLASSINITIAL2-L00PTS";((INDEX(ALLCLASSDATA,MATCH("SubclassInitial2-L00",CLASSFEATUREHEADERS,0),MATCH(($A195 &amp; "Points"),CLASSNAMEHEADERS,0))))}</f>
        <v>SUBCLASSINITIAL2-L00PTS</v>
      </c>
      <c r="S194" s="76" t="str">
        <f t="array" ref="S194:S195">{"SUBCLASSINITIAL3-L00PTS";((INDEX(ALLCLASSDATA,MATCH("SubclassInitial3-L00",CLASSFEATUREHEADERS,0),MATCH(($A195 &amp; "Points"),CLASSNAMEHEADERS,0))))}</f>
        <v>SUBCLASSINITIAL3-L00PTS</v>
      </c>
      <c r="T194" s="76" t="str">
        <f t="array" ref="T194:T195">{"SUBCLASSINITIAL4-L00PTS";((INDEX(ALLCLASSDATA,MATCH("SubclassInitial4-L00",CLASSFEATUREHEADERS,0),MATCH(($A195 &amp; "Points"),CLASSNAMEHEADERS,0))))}</f>
        <v>SUBCLASSINITIAL4-L00PTS</v>
      </c>
      <c r="U194" s="76" t="str">
        <f t="array" ref="U194:U195">{"SUBCLASSINITIAL5-L00PTS";((INDEX(ALLCLASSDATA,MATCH("SubclassInitial5-L00",CLASSFEATUREHEADERS,0),MATCH(($A195 &amp; "Points"),CLASSNAMEHEADERS,0))))}</f>
        <v>SUBCLASSINITIAL5-L00PTS</v>
      </c>
      <c r="V194" s="76" t="str">
        <f t="array" ref="V194:V195">{"SUBCLASSINITIAL6-L00PTS";((INDEX(ALLCLASSDATA,MATCH("SubclassInitial6-L00",CLASSFEATUREHEADERS,0),MATCH(($A195 &amp; "Points"),CLASSNAMEHEADERS,0))))}</f>
        <v>SUBCLASSINITIAL6-L00PTS</v>
      </c>
      <c r="W194" s="76" t="str">
        <f t="array" ref="W194:W195">{"SUBCLASSINITIAL7-L00PTS";((INDEX(ALLCLASSDATA,MATCH("SubclassInitial7-L00",CLASSFEATUREHEADERS,0),MATCH(($A195 &amp; "Points"),CLASSNAMEHEADERS,0))))}</f>
        <v>SUBCLASSINITIAL7-L00PTS</v>
      </c>
      <c r="X194" s="76" t="str">
        <f t="array" ref="X194:X195">{"SUBCLASSINITIAL8-L00PTS";((INDEX(ALLCLASSDATA,MATCH("SubclassInitial8-L00",CLASSFEATUREHEADERS,0),MATCH(($A195 &amp; "Points"),CLASSNAMEHEADERS,0))))}</f>
        <v>SUBCLASSINITIAL8-L00PTS</v>
      </c>
      <c r="Y194" s="76" t="str">
        <f t="array" ref="Y194:Y195">{"SUBCLASSINITIAL9-L00PTS";((INDEX(ALLCLASSDATA,MATCH("SubclassInitial9-L00",CLASSFEATUREHEADERS,0),MATCH(($A195 &amp; "Points"),CLASSNAMEHEADERS,0))))}</f>
        <v>SUBCLASSINITIAL9-L00PTS</v>
      </c>
      <c r="Z194" s="76" t="str">
        <f t="array" ref="Z194:Z195">{"SUBCLASSINITIAL10-L00PTS";((INDEX(ALLCLASSDATA,MATCH("SubclassInitial10-L00",CLASSFEATUREHEADERS,0),MATCH(($A195 &amp; "Points"),CLASSNAMEHEADERS,0))))}</f>
        <v>SUBCLASSINITIAL10-L00PTS</v>
      </c>
      <c r="AA194" s="76"/>
      <c r="AB194" s="76" t="str">
        <f t="array" ref="AB194:AB195">{"INITIALFEATUREPTS TOTAL";(sum(F195:Z195))}</f>
        <v>INITIALFEATUREPTS TOTAL</v>
      </c>
    </row>
    <row r="195">
      <c r="A195" s="48" t="s">
        <v>225</v>
      </c>
      <c r="B195" s="48" t="s">
        <v>418</v>
      </c>
      <c r="C195" s="97" t="s">
        <v>651</v>
      </c>
      <c r="D195" s="97" t="s">
        <v>616</v>
      </c>
      <c r="E195" s="97"/>
      <c r="F195" s="132"/>
      <c r="G195" s="98"/>
      <c r="H195" s="98"/>
      <c r="I195" s="97">
        <v>10.0</v>
      </c>
      <c r="J195" s="98"/>
      <c r="K195" s="97">
        <v>10.0</v>
      </c>
      <c r="L195" s="98"/>
      <c r="M195" s="98"/>
      <c r="N195" s="98"/>
      <c r="O195" s="98"/>
      <c r="P195" s="98"/>
      <c r="Q195" s="98"/>
      <c r="R195" s="98"/>
      <c r="S195" s="98"/>
      <c r="T195" s="98"/>
      <c r="U195" s="98"/>
      <c r="V195" s="98"/>
      <c r="W195" s="98"/>
      <c r="X195" s="98"/>
      <c r="Y195" s="98"/>
      <c r="Z195" s="98"/>
      <c r="AA195" s="5"/>
      <c r="AB195" s="47">
        <v>20.0</v>
      </c>
    </row>
    <row r="196" hidden="1">
      <c r="A196" s="76" t="str">
        <f t="array" ref="A196:A197">{"FormulaRow06";(INDEX(CLASSLIST,A185,1))}</f>
        <v>FormulaRow06</v>
      </c>
      <c r="B196" s="76" t="str">
        <f t="array" ref="B196:B197">{"CLASSTYPE";((INDEX(ALLCLASSDATA,MATCH("ClassType",CLASSFEATUREHEADERS,0),MATCH($A197,CLASSNAMEHEADERS,0))))}</f>
        <v>CLASSTYPE</v>
      </c>
      <c r="C196" s="81" t="str">
        <f t="array" ref="C196:C197">{"SKILLS";"Skills"}</f>
        <v>SKILLS</v>
      </c>
      <c r="D196" s="81" t="str">
        <f t="array" ref="D196:D197">{"EXTRASKILLINCREASES";"Extra Skill Increases"}</f>
        <v>EXTRASKILLINCREASES</v>
      </c>
      <c r="E196" s="81"/>
      <c r="F196" s="81"/>
      <c r="G196" s="81"/>
      <c r="H196" s="81" t="str">
        <f t="array" ref="H196:H197">{"SKILLINCREASEEXTRA-L02";((INDEX(ALLCLASSDATA,MATCH("SkillIncreaseExtra-L02",CLASSFEATUREHEADERS,0),MATCH(($A197 &amp; "Points"),CLASSNAMEHEADERS,0))))}</f>
        <v>SKILLINCREASEEXTRA-L02</v>
      </c>
      <c r="I196" s="81" t="str">
        <f t="array" ref="I196:I197">{"SKILLINCREASEEXTRA-L03";((INDEX(ALLCLASSDATA,MATCH("SkillIncreaseExtra-L03",CLASSFEATUREHEADERS,0),MATCH(($A197 &amp; "Points"),CLASSNAMEHEADERS,0))))}</f>
        <v>SKILLINCREASEEXTRA-L03</v>
      </c>
      <c r="J196" s="81" t="str">
        <f t="array" ref="J196:J197">{"SKILLINCREASEEXTRA-L04";((INDEX(ALLCLASSDATA,MATCH("SkillIncreaseExtra-L04",CLASSFEATUREHEADERS,0),MATCH(($A197 &amp; "Points"),CLASSNAMEHEADERS,0))))}</f>
        <v>SKILLINCREASEEXTRA-L04</v>
      </c>
      <c r="K196" s="81" t="str">
        <f t="array" ref="K196:K197">{"SKILLINCREASEEXTRA-L05";((INDEX(ALLCLASSDATA,MATCH("SkillIncreaseExtra-L05",CLASSFEATUREHEADERS,0),MATCH(($A197 &amp; "Points"),CLASSNAMEHEADERS,0))))}</f>
        <v>SKILLINCREASEEXTRA-L05</v>
      </c>
      <c r="L196" s="81" t="str">
        <f t="array" ref="L196:L197">{"SKILLINCREASEEXTRA-L06";((INDEX(ALLCLASSDATA,MATCH("SkillIncreaseExtra-L06",CLASSFEATUREHEADERS,0),MATCH(($A197 &amp; "Points"),CLASSNAMEHEADERS,0))))}</f>
        <v>SKILLINCREASEEXTRA-L06</v>
      </c>
      <c r="M196" s="81" t="str">
        <f t="array" ref="M196:M197">{"SKILLINCREASEEXTRA-L07";((INDEX(ALLCLASSDATA,MATCH("SkillIncreaseExtra-L07",CLASSFEATUREHEADERS,0),MATCH(($A197 &amp; "Points"),CLASSNAMEHEADERS,0))))}</f>
        <v>SKILLINCREASEEXTRA-L07</v>
      </c>
      <c r="N196" s="81" t="str">
        <f t="array" ref="N196:N197">{"SKILLINCREASEEXTRA-L08";((INDEX(ALLCLASSDATA,MATCH("SkillIncreaseExtra-L08",CLASSFEATUREHEADERS,0),MATCH(($A197 &amp; "Points"),CLASSNAMEHEADERS,0))))}</f>
        <v>SKILLINCREASEEXTRA-L08</v>
      </c>
      <c r="O196" s="81" t="str">
        <f t="array" ref="O196:O197">{"SKILLINCREASEEXTRA-L09";((INDEX(ALLCLASSDATA,MATCH("SkillIncreaseExtra-L09",CLASSFEATUREHEADERS,0),MATCH(($A197 &amp; "Points"),CLASSNAMEHEADERS,0))))}</f>
        <v>SKILLINCREASEEXTRA-L09</v>
      </c>
      <c r="P196" s="81" t="str">
        <f t="array" ref="P196:P197">{"SKILLINCREASEEXTRA-L10";((INDEX(ALLCLASSDATA,MATCH("SkillIncreaseExtra-L10",CLASSFEATUREHEADERS,0),MATCH(($A197 &amp; "Points"),CLASSNAMEHEADERS,0))))}</f>
        <v>SKILLINCREASEEXTRA-L10</v>
      </c>
      <c r="Q196" s="81" t="str">
        <f t="array" ref="Q196:Q197">{"SKILLINCREASEEXTRA-L11";((INDEX(ALLCLASSDATA,MATCH("SkillIncreaseExtra-L11",CLASSFEATUREHEADERS,0),MATCH(($A197 &amp; "Points"),CLASSNAMEHEADERS,0))))}</f>
        <v>SKILLINCREASEEXTRA-L11</v>
      </c>
      <c r="R196" s="81" t="str">
        <f t="array" ref="R196:R197">{"SKILLINCREASEEXTRA-L12";((INDEX(ALLCLASSDATA,MATCH("SkillIncreaseExtra-L12",CLASSFEATUREHEADERS,0),MATCH(($A197 &amp; "Points"),CLASSNAMEHEADERS,0))))}</f>
        <v>SKILLINCREASEEXTRA-L12</v>
      </c>
      <c r="S196" s="81" t="str">
        <f t="array" ref="S196:S197">{"SKILLINCREASEEXTRA-L13";((INDEX(ALLCLASSDATA,MATCH("SkillIncreaseExtra-L13",CLASSFEATUREHEADERS,0),MATCH(($A197 &amp; "Points"),CLASSNAMEHEADERS,0))))}</f>
        <v>SKILLINCREASEEXTRA-L13</v>
      </c>
      <c r="T196" s="81" t="str">
        <f t="array" ref="T196:T197">{"SKILLINCREASEEXTRA-L14";((INDEX(ALLCLASSDATA,MATCH("SkillIncreaseExtra-L14",CLASSFEATUREHEADERS,0),MATCH(($A197 &amp; "Points"),CLASSNAMEHEADERS,0))))}</f>
        <v>SKILLINCREASEEXTRA-L14</v>
      </c>
      <c r="U196" s="81" t="str">
        <f t="array" ref="U196:U197">{"SKILLINCREASEEXTRA-L15";((INDEX(ALLCLASSDATA,MATCH("SkillIncreaseExtra-L15",CLASSFEATUREHEADERS,0),MATCH(($A197 &amp; "Points"),CLASSNAMEHEADERS,0))))}</f>
        <v>SKILLINCREASEEXTRA-L15</v>
      </c>
      <c r="V196" s="81" t="str">
        <f t="array" ref="V196:V197">{"SKILLINCREASEEXTRA-L16";((INDEX(ALLCLASSDATA,MATCH("SkillIncreaseExtra-L16",CLASSFEATUREHEADERS,0),MATCH(($A197 &amp; "Points"),CLASSNAMEHEADERS,0))))}</f>
        <v>SKILLINCREASEEXTRA-L16</v>
      </c>
      <c r="W196" s="81" t="str">
        <f t="array" ref="W196:W197">{"SKILLINCREASEEXTRA-L17";((INDEX(ALLCLASSDATA,MATCH("SkillIncreaseExtra-L17",CLASSFEATUREHEADERS,0),MATCH(($A197 &amp; "Points"),CLASSNAMEHEADERS,0))))}</f>
        <v>SKILLINCREASEEXTRA-L17</v>
      </c>
      <c r="X196" s="81" t="str">
        <f t="array" ref="X196:X197">{"SKILLINCREASEEXTRA-L18";((INDEX(ALLCLASSDATA,MATCH("SkillIncreaseExtra-L18",CLASSFEATUREHEADERS,0),MATCH(($A197 &amp; "Points"),CLASSNAMEHEADERS,0))))}</f>
        <v>SKILLINCREASEEXTRA-L18</v>
      </c>
      <c r="Y196" s="81" t="str">
        <f t="array" ref="Y196:Y197">{"SKILLINCREASEEXTRA-L19";((INDEX(ALLCLASSDATA,MATCH("SkillIncreaseExtra-L19",CLASSFEATUREHEADERS,0),MATCH(($A197 &amp; "Points"),CLASSNAMEHEADERS,0))))}</f>
        <v>SKILLINCREASEEXTRA-L19</v>
      </c>
      <c r="Z196" s="81" t="str">
        <f t="array" ref="Z196:Z197">{"SKILLINCREASEEXTRA-L20";((INDEX(ALLCLASSDATA,MATCH("SkillIncreaseExtra-L20",CLASSFEATUREHEADERS,0),MATCH(($A197 &amp; "Points"),CLASSNAMEHEADERS,0))))}</f>
        <v>SKILLINCREASEEXTRA-L20</v>
      </c>
      <c r="AA196" s="76"/>
      <c r="AB196" s="76" t="str">
        <f t="array" ref="AB196:AB197">{"SKILLINCREASE TOTAL";(sum(F197:Z197))}</f>
        <v>SKILLINCREASE TOTAL</v>
      </c>
    </row>
    <row r="197">
      <c r="A197" s="48" t="s">
        <v>225</v>
      </c>
      <c r="B197" s="48" t="s">
        <v>418</v>
      </c>
      <c r="C197" s="48" t="s">
        <v>659</v>
      </c>
      <c r="D197" s="48" t="s">
        <v>661</v>
      </c>
      <c r="E197" s="48"/>
      <c r="F197" s="47"/>
      <c r="G197" s="5"/>
      <c r="H197" s="5" t="s">
        <v>603</v>
      </c>
      <c r="I197" s="5" t="s">
        <v>603</v>
      </c>
      <c r="J197" s="5" t="s">
        <v>603</v>
      </c>
      <c r="K197" s="48" t="s">
        <v>603</v>
      </c>
      <c r="L197" s="5" t="s">
        <v>603</v>
      </c>
      <c r="M197" s="5" t="s">
        <v>603</v>
      </c>
      <c r="N197" s="5" t="s">
        <v>603</v>
      </c>
      <c r="O197" s="5" t="s">
        <v>603</v>
      </c>
      <c r="P197" s="5" t="s">
        <v>603</v>
      </c>
      <c r="Q197" s="5" t="s">
        <v>603</v>
      </c>
      <c r="R197" s="5" t="s">
        <v>603</v>
      </c>
      <c r="S197" s="5" t="s">
        <v>603</v>
      </c>
      <c r="T197" s="5" t="s">
        <v>603</v>
      </c>
      <c r="U197" s="5" t="s">
        <v>603</v>
      </c>
      <c r="V197" s="5" t="s">
        <v>603</v>
      </c>
      <c r="W197" s="5" t="s">
        <v>603</v>
      </c>
      <c r="X197" s="5" t="s">
        <v>603</v>
      </c>
      <c r="Y197" s="5" t="s">
        <v>603</v>
      </c>
      <c r="Z197" s="5" t="s">
        <v>603</v>
      </c>
      <c r="AA197" s="5"/>
      <c r="AB197" s="47">
        <v>0.0</v>
      </c>
    </row>
    <row r="198" hidden="1">
      <c r="A198" s="76" t="str">
        <f t="array" ref="A198:A199">{"FormulaRow07";(INDEX(CLASSLIST,A185,1))}</f>
        <v>FormulaRow07</v>
      </c>
      <c r="B198" s="76" t="str">
        <f t="array" ref="B198:B199">{"CLASSTYPE";((INDEX(ALLCLASSDATA,MATCH("ClassType",CLASSFEATUREHEADERS,0),MATCH($A199,CLASSNAMEHEADERS,0))))}</f>
        <v>CLASSTYPE</v>
      </c>
      <c r="C198" s="76" t="str">
        <f t="array" ref="C198:C199">{"SKILLS";"Skills"}</f>
        <v>SKILLS</v>
      </c>
      <c r="D198" s="76" t="str">
        <f t="array" ref="D198:D199">{"EXTRASKILLFEATS";"Extra Skill Feats"}</f>
        <v>EXTRASKILLFEATS</v>
      </c>
      <c r="E198" s="76"/>
      <c r="F198" s="76"/>
      <c r="G198" s="76" t="str">
        <f t="array" ref="G198:G199">{"SKILLFEATEXTRA-L01";((INDEX(ALLCLASSDATA,MATCH("SkillFeatExtra-L01",CLASSFEATUREHEADERS,0),MATCH(($A199 &amp; "Points"),CLASSNAMEHEADERS,0))))}</f>
        <v>SKILLFEATEXTRA-L01</v>
      </c>
      <c r="H198" s="76" t="str">
        <f t="array" ref="H198:H199">{"SKILLFEATEXTRA-L02";((INDEX(ALLCLASSDATA,MATCH("SkillFeatExtra-L02",CLASSFEATUREHEADERS,0),MATCH(($A199 &amp; "Points"),CLASSNAMEHEADERS,0))))}</f>
        <v>SKILLFEATEXTRA-L02</v>
      </c>
      <c r="I198" s="76" t="str">
        <f t="array" ref="I198:I199">{"SKILLFEATEXTRA-L03";((INDEX(ALLCLASSDATA,MATCH("SkillFeatExtra-L03",CLASSFEATUREHEADERS,0),MATCH(($A199 &amp; "Points"),CLASSNAMEHEADERS,0))))}</f>
        <v>SKILLFEATEXTRA-L03</v>
      </c>
      <c r="J198" s="76" t="str">
        <f t="array" ref="J198:J199">{"SKILLFEATEXTRA-L04";((INDEX(ALLCLASSDATA,MATCH("SkillFeatExtra-L04",CLASSFEATUREHEADERS,0),MATCH(($A199 &amp; "Points"),CLASSNAMEHEADERS,0))))}</f>
        <v>SKILLFEATEXTRA-L04</v>
      </c>
      <c r="K198" s="76" t="str">
        <f t="array" ref="K198:K199">{"SKILLFEATEXTRA-L05";((INDEX(ALLCLASSDATA,MATCH("SkillFeatExtra-L05",CLASSFEATUREHEADERS,0),MATCH(($A199 &amp; "Points"),CLASSNAMEHEADERS,0))))}</f>
        <v>SKILLFEATEXTRA-L05</v>
      </c>
      <c r="L198" s="76" t="str">
        <f t="array" ref="L198:L199">{"SKILLFEATEXTRA-L06";((INDEX(ALLCLASSDATA,MATCH("SkillFeatExtra-L06",CLASSFEATUREHEADERS,0),MATCH(($A199 &amp; "Points"),CLASSNAMEHEADERS,0))))}</f>
        <v>SKILLFEATEXTRA-L06</v>
      </c>
      <c r="M198" s="76" t="str">
        <f t="array" ref="M198:M199">{"SKILLFEATEXTRA-L07";((INDEX(ALLCLASSDATA,MATCH("SkillFeatExtra-L07",CLASSFEATUREHEADERS,0),MATCH(($A199 &amp; "Points"),CLASSNAMEHEADERS,0))))}</f>
        <v>SKILLFEATEXTRA-L07</v>
      </c>
      <c r="N198" s="76" t="str">
        <f t="array" ref="N198:N199">{"SKILLFEATEXTRA-L08";((INDEX(ALLCLASSDATA,MATCH("SkillFeatExtra-L08",CLASSFEATUREHEADERS,0),MATCH(($A199 &amp; "Points"),CLASSNAMEHEADERS,0))))}</f>
        <v>SKILLFEATEXTRA-L08</v>
      </c>
      <c r="O198" s="76" t="str">
        <f t="array" ref="O198:O199">{"SKILLFEATEXTRA-L09";((INDEX(ALLCLASSDATA,MATCH("SkillFeatExtra-L09",CLASSFEATUREHEADERS,0),MATCH(($A199 &amp; "Points"),CLASSNAMEHEADERS,0))))}</f>
        <v>SKILLFEATEXTRA-L09</v>
      </c>
      <c r="P198" s="76" t="str">
        <f t="array" ref="P198:P199">{"SKILLFEATEXTRA-L10";((INDEX(ALLCLASSDATA,MATCH("SkillFeatExtra-L10",CLASSFEATUREHEADERS,0),MATCH(($A199 &amp; "Points"),CLASSNAMEHEADERS,0))))}</f>
        <v>SKILLFEATEXTRA-L10</v>
      </c>
      <c r="Q198" s="76" t="str">
        <f t="array" ref="Q198:Q199">{"SKILLFEATEXTRA-L11";((INDEX(ALLCLASSDATA,MATCH("SkillFeatExtra-L11",CLASSFEATUREHEADERS,0),MATCH(($A199 &amp; "Points"),CLASSNAMEHEADERS,0))))}</f>
        <v>SKILLFEATEXTRA-L11</v>
      </c>
      <c r="R198" s="76" t="str">
        <f t="array" ref="R198:R199">{"SKILLFEATEXTRA-L12";((INDEX(ALLCLASSDATA,MATCH("SkillFeatExtra-L12",CLASSFEATUREHEADERS,0),MATCH(($A199 &amp; "Points"),CLASSNAMEHEADERS,0))))}</f>
        <v>SKILLFEATEXTRA-L12</v>
      </c>
      <c r="S198" s="76" t="str">
        <f t="array" ref="S198:S199">{"SKILLFEATEXTRA-L13";((INDEX(ALLCLASSDATA,MATCH("SkillFeatExtra-L13",CLASSFEATUREHEADERS,0),MATCH(($A199 &amp; "Points"),CLASSNAMEHEADERS,0))))}</f>
        <v>SKILLFEATEXTRA-L13</v>
      </c>
      <c r="T198" s="76" t="str">
        <f t="array" ref="T198:T199">{"SKILLFEATEXTRA-L14";((INDEX(ALLCLASSDATA,MATCH("SkillFeatExtra-L14",CLASSFEATUREHEADERS,0),MATCH(($A199 &amp; "Points"),CLASSNAMEHEADERS,0))))}</f>
        <v>SKILLFEATEXTRA-L14</v>
      </c>
      <c r="U198" s="76" t="str">
        <f t="array" ref="U198:U199">{"SKILLFEATEXTRA-L15";((INDEX(ALLCLASSDATA,MATCH("SkillFeatExtra-L15",CLASSFEATUREHEADERS,0),MATCH(($A199 &amp; "Points"),CLASSNAMEHEADERS,0))))}</f>
        <v>SKILLFEATEXTRA-L15</v>
      </c>
      <c r="V198" s="76" t="str">
        <f t="array" ref="V198:V199">{"SKILLFEATEXTRA-L16";((INDEX(ALLCLASSDATA,MATCH("SkillFeatExtra-L16",CLASSFEATUREHEADERS,0),MATCH(($A199 &amp; "Points"),CLASSNAMEHEADERS,0))))}</f>
        <v>SKILLFEATEXTRA-L16</v>
      </c>
      <c r="W198" s="76" t="str">
        <f t="array" ref="W198:W199">{"SKILLFEATEXTRA-L17";((INDEX(ALLCLASSDATA,MATCH("SkillFeatExtra-L17",CLASSFEATUREHEADERS,0),MATCH(($A199 &amp; "Points"),CLASSNAMEHEADERS,0))))}</f>
        <v>SKILLFEATEXTRA-L17</v>
      </c>
      <c r="X198" s="76" t="str">
        <f t="array" ref="X198:X199">{"SKILLFEATEXTRA-L18";((INDEX(ALLCLASSDATA,MATCH("SkillFeatExtra-L18",CLASSFEATUREHEADERS,0),MATCH(($A199 &amp; "Points"),CLASSNAMEHEADERS,0))))}</f>
        <v>SKILLFEATEXTRA-L18</v>
      </c>
      <c r="Y198" s="76" t="str">
        <f t="array" ref="Y198:Y199">{"SKILLFEATEXTRA-L19";((INDEX(ALLCLASSDATA,MATCH("SkillFeatExtra-L19",CLASSFEATUREHEADERS,0),MATCH(($A199 &amp; "Points"),CLASSNAMEHEADERS,0))))}</f>
        <v>SKILLFEATEXTRA-L19</v>
      </c>
      <c r="Z198" s="76" t="str">
        <f t="array" ref="Z198:Z199">{"SKILLFEATEXTRA-L20";((INDEX(ALLCLASSDATA,MATCH("SkillFeatExtra-L20",CLASSFEATUREHEADERS,0),MATCH(($A199 &amp; "Points"),CLASSNAMEHEADERS,0))))}</f>
        <v>SKILLFEATEXTRA-L20</v>
      </c>
      <c r="AA198" s="76"/>
      <c r="AB198" s="76" t="str">
        <f t="array" ref="AB198:AB199">{"SKILLFEAT TOTAL";(sum(F199:Z199))}</f>
        <v>SKILLFEAT TOTAL</v>
      </c>
    </row>
    <row r="199">
      <c r="A199" s="48" t="s">
        <v>225</v>
      </c>
      <c r="B199" s="48" t="s">
        <v>418</v>
      </c>
      <c r="C199" s="97" t="s">
        <v>659</v>
      </c>
      <c r="D199" s="97" t="s">
        <v>722</v>
      </c>
      <c r="E199" s="97"/>
      <c r="F199" s="132"/>
      <c r="G199" s="98" t="s">
        <v>603</v>
      </c>
      <c r="H199" s="98" t="s">
        <v>603</v>
      </c>
      <c r="I199" s="97" t="s">
        <v>603</v>
      </c>
      <c r="J199" s="98" t="s">
        <v>603</v>
      </c>
      <c r="K199" s="97" t="s">
        <v>603</v>
      </c>
      <c r="L199" s="98" t="s">
        <v>603</v>
      </c>
      <c r="M199" s="98" t="s">
        <v>603</v>
      </c>
      <c r="N199" s="98" t="s">
        <v>603</v>
      </c>
      <c r="O199" s="98" t="s">
        <v>603</v>
      </c>
      <c r="P199" s="98" t="s">
        <v>603</v>
      </c>
      <c r="Q199" s="98" t="s">
        <v>603</v>
      </c>
      <c r="R199" s="98" t="s">
        <v>603</v>
      </c>
      <c r="S199" s="98" t="s">
        <v>603</v>
      </c>
      <c r="T199" s="98" t="s">
        <v>603</v>
      </c>
      <c r="U199" s="98" t="s">
        <v>603</v>
      </c>
      <c r="V199" s="98" t="s">
        <v>603</v>
      </c>
      <c r="W199" s="98" t="s">
        <v>603</v>
      </c>
      <c r="X199" s="98" t="s">
        <v>603</v>
      </c>
      <c r="Y199" s="98" t="s">
        <v>603</v>
      </c>
      <c r="Z199" s="98" t="s">
        <v>603</v>
      </c>
      <c r="AA199" s="5"/>
      <c r="AB199" s="47">
        <v>0.0</v>
      </c>
    </row>
    <row r="200" hidden="1">
      <c r="A200" s="76" t="str">
        <f t="array" ref="A200:A201">{"FormulaRow08";(INDEX(CLASSLIST,A185,1))}</f>
        <v>FormulaRow08</v>
      </c>
      <c r="B200" s="76" t="str">
        <f t="array" ref="B200:B201">{"CLASSTYPE";((INDEX(ALLCLASSDATA,MATCH("ClassType",CLASSFEATUREHEADERS,0),MATCH($A201,CLASSNAMEHEADERS,0))))}</f>
        <v>CLASSTYPE</v>
      </c>
      <c r="C200" s="81" t="str">
        <f t="array" ref="C200:C201">{"CLASSABILITY";"ClassAbility"}</f>
        <v>CLASSABILITY</v>
      </c>
      <c r="D200" s="81" t="str">
        <f t="array" ref="D200:D201">{"CLASSABILITY1";"ClassAbility1"}</f>
        <v>CLASSABILITY1</v>
      </c>
      <c r="E200" s="81"/>
      <c r="F200" s="81"/>
      <c r="G200" s="81"/>
      <c r="H200" s="81"/>
      <c r="I200" s="81" t="str">
        <f t="array" ref="I200:I201">{"CLASSABILITY1-L03";((INDEX(ALLCLASSDATA,MATCH("ClassAbility1-L03",CLASSFEATUREHEADERS,0),MATCH(($A201),CLASSNAMEHEADERS,0))))}</f>
        <v>CLASSABILITY1-L03</v>
      </c>
      <c r="J200" s="81"/>
      <c r="K200" s="81" t="str">
        <f t="array" ref="K200:K201">{"CLASSABILITY1-L05";((INDEX(ALLCLASSDATA,MATCH("ClassAbility1-L05",CLASSFEATUREHEADERS,0),MATCH(($A201),CLASSNAMEHEADERS,0))))}</f>
        <v>CLASSABILITY1-L05</v>
      </c>
      <c r="L200" s="81"/>
      <c r="M200" s="81" t="str">
        <f t="array" ref="M200:M201">{"CLASSABILITY1-L07";((INDEX(ALLCLASSDATA,MATCH("ClassAbility1-L07",CLASSFEATUREHEADERS,0),MATCH(($A201),CLASSNAMEHEADERS,0))))}</f>
        <v>CLASSABILITY1-L07</v>
      </c>
      <c r="N200" s="81"/>
      <c r="O200" s="81" t="str">
        <f t="array" ref="O200:O201">{"CLASSABILITY1-L09";((INDEX(ALLCLASSDATA,MATCH("ClassAbility1-L09",CLASSFEATUREHEADERS,0),MATCH(($A201),CLASSNAMEHEADERS,0))))}</f>
        <v>CLASSABILITY1-L09</v>
      </c>
      <c r="P200" s="81"/>
      <c r="Q200" s="81" t="str">
        <f t="array" ref="Q200:Q201">{"CLASSABILITY1-L11";((INDEX(ALLCLASSDATA,MATCH("ClassAbility1-L11",CLASSFEATUREHEADERS,0),MATCH(($A201),CLASSNAMEHEADERS,0))))}</f>
        <v>CLASSABILITY1-L11</v>
      </c>
      <c r="R200" s="81"/>
      <c r="S200" s="81" t="str">
        <f t="array" ref="S200:S201">{"CLASSABILITY1-L13";((INDEX(ALLCLASSDATA,MATCH("ClassAbility1-L13",CLASSFEATUREHEADERS,0),MATCH(($A201),CLASSNAMEHEADERS,0))))}</f>
        <v>CLASSABILITY1-L13</v>
      </c>
      <c r="T200" s="81"/>
      <c r="U200" s="81" t="str">
        <f t="array" ref="U200:U201">{"CLASSABILITY1-L15";((INDEX(ALLCLASSDATA,MATCH("ClassAbility1-L15",CLASSFEATUREHEADERS,0),MATCH(($A201),CLASSNAMEHEADERS,0))))}</f>
        <v>CLASSABILITY1-L15</v>
      </c>
      <c r="V200" s="81"/>
      <c r="W200" s="81" t="str">
        <f t="array" ref="W200:W201">{"CLASSABILITY1-L17";((INDEX(ALLCLASSDATA,MATCH("ClassAbility1-L17",CLASSFEATUREHEADERS,0),MATCH(($A201),CLASSNAMEHEADERS,0))))}</f>
        <v>CLASSABILITY1-L17</v>
      </c>
      <c r="X200" s="81"/>
      <c r="Y200" s="81" t="str">
        <f t="array" ref="Y200:Y201">{"CLASSABILITY1-L19";((INDEX(ALLCLASSDATA,MATCH("ClassAbility1-L19",CLASSFEATUREHEADERS,0),MATCH(($A201),CLASSNAMEHEADERS,0))))}</f>
        <v>CLASSABILITY1-L19</v>
      </c>
      <c r="Z200" s="81"/>
      <c r="AA200" s="76"/>
      <c r="AB200" s="76"/>
    </row>
    <row r="201">
      <c r="A201" s="48" t="s">
        <v>225</v>
      </c>
      <c r="B201" s="48" t="s">
        <v>418</v>
      </c>
      <c r="C201" s="48" t="s">
        <v>825</v>
      </c>
      <c r="D201" s="48" t="s">
        <v>826</v>
      </c>
      <c r="E201" s="5"/>
      <c r="F201" s="47"/>
      <c r="G201" s="5"/>
      <c r="H201" s="5"/>
      <c r="I201" s="5" t="s">
        <v>305</v>
      </c>
      <c r="J201" s="5"/>
      <c r="K201" s="5" t="s">
        <v>323</v>
      </c>
      <c r="L201" s="5"/>
      <c r="M201" s="5" t="s">
        <v>350</v>
      </c>
      <c r="N201" s="5"/>
      <c r="O201" s="5"/>
      <c r="P201" s="5"/>
      <c r="Q201" s="5" t="s">
        <v>1736</v>
      </c>
      <c r="R201" s="5"/>
      <c r="S201" s="5" t="s">
        <v>369</v>
      </c>
      <c r="T201" s="5"/>
      <c r="U201" s="5" t="s">
        <v>353</v>
      </c>
      <c r="V201" s="5"/>
      <c r="W201" s="5"/>
      <c r="X201" s="5"/>
      <c r="Y201" s="5" t="s">
        <v>1237</v>
      </c>
      <c r="Z201" s="5"/>
      <c r="AA201" s="5"/>
      <c r="AB201" s="47"/>
    </row>
    <row r="202" hidden="1">
      <c r="A202" s="76" t="str">
        <f t="array" ref="A202:A203">{"FormulaRow09";(INDEX(CLASSLIST,A185,1))}</f>
        <v>FormulaRow09</v>
      </c>
      <c r="B202" s="76" t="str">
        <f t="array" ref="B202:B203">{"CLASSTYPE";((INDEX(ALLCLASSDATA,MATCH("ClassType",CLASSFEATUREHEADERS,0),MATCH($A203,CLASSNAMEHEADERS,0))))}</f>
        <v>CLASSTYPE</v>
      </c>
      <c r="C202" s="76" t="str">
        <f t="array" ref="C202:C203">{"CLASSABILITYPTS";"ClassAbilityPts"}</f>
        <v>CLASSABILITYPTS</v>
      </c>
      <c r="D202" s="76" t="str">
        <f t="array" ref="D202:D203">{"CLASSABILITY1";"ClassAbility1"}</f>
        <v>CLASSABILITY1</v>
      </c>
      <c r="E202" s="76"/>
      <c r="F202" s="76"/>
      <c r="G202" s="76"/>
      <c r="H202" s="76"/>
      <c r="I202" s="76" t="str">
        <f t="array" ref="I202:I203">{"CLASSABILITY1-L03PTS";((INDEX(ALLCLASSDATA,MATCH("ClassAbility1-L03",CLASSFEATUREHEADERS,0),MATCH(($A203 &amp; "Points"),CLASSNAMEHEADERS,0))))}</f>
        <v>CLASSABILITY1-L03PTS</v>
      </c>
      <c r="J202" s="76"/>
      <c r="K202" s="76" t="str">
        <f t="array" ref="K202:K203">{"CLASSABILITY1-L05PTS";((INDEX(ALLCLASSDATA,MATCH("ClassAbility1-L05",CLASSFEATUREHEADERS,0),MATCH(($A203 &amp; "Points"),CLASSNAMEHEADERS,0))))}</f>
        <v>CLASSABILITY1-L05PTS</v>
      </c>
      <c r="L202" s="76"/>
      <c r="M202" s="76" t="str">
        <f t="array" ref="M202:M203">{"CLASSABILITY1-L07PTS";((INDEX(ALLCLASSDATA,MATCH("ClassAbility1-L07",CLASSFEATUREHEADERS,0),MATCH(($A203 &amp; "Points"),CLASSNAMEHEADERS,0))))}</f>
        <v>CLASSABILITY1-L07PTS</v>
      </c>
      <c r="N202" s="76"/>
      <c r="O202" s="76" t="str">
        <f t="array" ref="O202:O203">{"CLASSABILITY1-L09PTS";((INDEX(ALLCLASSDATA,MATCH("ClassAbility1-L09",CLASSFEATUREHEADERS,0),MATCH(($A203 &amp; "Points"),CLASSNAMEHEADERS,0))))}</f>
        <v>CLASSABILITY1-L09PTS</v>
      </c>
      <c r="P202" s="76"/>
      <c r="Q202" s="76" t="str">
        <f t="array" ref="Q202:Q203">{"CLASSABILITY1-L11PTS";((INDEX(ALLCLASSDATA,MATCH("ClassAbility1-L11",CLASSFEATUREHEADERS,0),MATCH(($A203 &amp; "Points"),CLASSNAMEHEADERS,0))))}</f>
        <v>CLASSABILITY1-L11PTS</v>
      </c>
      <c r="R202" s="76"/>
      <c r="S202" s="76" t="str">
        <f t="array" ref="S202:S203">{"CLASSABILITY1-L13PTS";((INDEX(ALLCLASSDATA,MATCH("ClassAbility1-L13",CLASSFEATUREHEADERS,0),MATCH(($A203 &amp; "Points"),CLASSNAMEHEADERS,0))))}</f>
        <v>CLASSABILITY1-L13PTS</v>
      </c>
      <c r="T202" s="76"/>
      <c r="U202" s="76" t="str">
        <f t="array" ref="U202:U203">{"CLASSABILITY1-L15PTS";((INDEX(ALLCLASSDATA,MATCH("ClassAbility1-L15",CLASSFEATUREHEADERS,0),MATCH(($A203 &amp; "Points"),CLASSNAMEHEADERS,0))))}</f>
        <v>CLASSABILITY1-L15PTS</v>
      </c>
      <c r="V202" s="76"/>
      <c r="W202" s="76" t="str">
        <f t="array" ref="W202:W203">{"CLASSABILITY1-L17PTS";((INDEX(ALLCLASSDATA,MATCH("ClassAbility1-L17",CLASSFEATUREHEADERS,0),MATCH(($A203 &amp; "Points"),CLASSNAMEHEADERS,0))))}</f>
        <v>CLASSABILITY1-L17PTS</v>
      </c>
      <c r="X202" s="76"/>
      <c r="Y202" s="76" t="str">
        <f t="array" ref="Y202:Y203">{"CLASSABILITY1-L19PTS";((INDEX(ALLCLASSDATA,MATCH("ClassAbility1-L19",CLASSFEATUREHEADERS,0),MATCH(($A203 &amp; "Points"),CLASSNAMEHEADERS,0))))}</f>
        <v>CLASSABILITY1-L19PTS</v>
      </c>
      <c r="Z202" s="76"/>
      <c r="AA202" s="76"/>
      <c r="AB202" s="76" t="str">
        <f t="array" ref="AB202:AB203">{"CLASSABILITY1 TOTAL";(sum(F203:Z203))}</f>
        <v>CLASSABILITY1 TOTAL</v>
      </c>
    </row>
    <row r="203">
      <c r="A203" s="48" t="s">
        <v>225</v>
      </c>
      <c r="B203" s="48" t="s">
        <v>418</v>
      </c>
      <c r="C203" s="48" t="s">
        <v>930</v>
      </c>
      <c r="D203" s="48" t="s">
        <v>826</v>
      </c>
      <c r="E203" s="5"/>
      <c r="F203" s="5"/>
      <c r="G203" s="5"/>
      <c r="H203" s="5"/>
      <c r="I203" s="48"/>
      <c r="J203" s="5"/>
      <c r="K203" s="5"/>
      <c r="L203" s="5"/>
      <c r="M203" s="5"/>
      <c r="N203" s="5"/>
      <c r="O203" s="5"/>
      <c r="P203" s="5"/>
      <c r="Q203" s="5"/>
      <c r="R203" s="5"/>
      <c r="S203" s="5"/>
      <c r="T203" s="5"/>
      <c r="U203" s="5"/>
      <c r="V203" s="5"/>
      <c r="W203" s="5"/>
      <c r="X203" s="5"/>
      <c r="Y203" s="5"/>
      <c r="Z203" s="5"/>
      <c r="AA203" s="5"/>
      <c r="AB203" s="47">
        <v>0.0</v>
      </c>
    </row>
    <row r="204" hidden="1">
      <c r="A204" s="76" t="str">
        <f t="array" ref="A204:A205">{"FormulaRow10";(INDEX(CLASSLIST,A185,1))}</f>
        <v>FormulaRow10</v>
      </c>
      <c r="B204" s="76" t="str">
        <f t="array" ref="B204:B205">{"CLASSTYPE";((INDEX(ALLCLASSDATA,MATCH("ClassType",CLASSFEATUREHEADERS,0),MATCH($A205,CLASSNAMEHEADERS,0))))}</f>
        <v>CLASSTYPE</v>
      </c>
      <c r="C204" s="76" t="str">
        <f t="array" ref="C204:C205">{"CLASSABILITY";"ClassAbility"}</f>
        <v>CLASSABILITY</v>
      </c>
      <c r="D204" s="76" t="str">
        <f t="array" ref="D204:D205">{"CLASSABILITY2";"ClassAbility2"}</f>
        <v>CLASSABILITY2</v>
      </c>
      <c r="E204" s="76"/>
      <c r="F204" s="76"/>
      <c r="G204" s="76"/>
      <c r="H204" s="76"/>
      <c r="I204" s="76" t="str">
        <f t="array" ref="I204:I205">{"CLASSABILITY2-L03";((INDEX(ALLCLASSDATA,MATCH("ClassAbility2-L03",CLASSFEATUREHEADERS,0),MATCH(($A205),CLASSNAMEHEADERS,0))))}</f>
        <v>CLASSABILITY2-L03</v>
      </c>
      <c r="J204" s="76"/>
      <c r="K204" s="76" t="str">
        <f t="array" ref="K204:K205">{"CLASSABILITY2-L05";((INDEX(ALLCLASSDATA,MATCH("ClassAbility2-L05",CLASSFEATUREHEADERS,0),MATCH(($A205),CLASSNAMEHEADERS,0))))}</f>
        <v>CLASSABILITY2-L05</v>
      </c>
      <c r="L204" s="76"/>
      <c r="M204" s="76" t="str">
        <f t="array" ref="M204:M205">{"CLASSABILITY2-L07";((INDEX(ALLCLASSDATA,MATCH("ClassAbility2-L07",CLASSFEATUREHEADERS,0),MATCH(($A205),CLASSNAMEHEADERS,0))))}</f>
        <v>CLASSABILITY2-L07</v>
      </c>
      <c r="N204" s="76"/>
      <c r="O204" s="76" t="str">
        <f t="array" ref="O204:O205">{"CLASSABILITY2-L09";((INDEX(ALLCLASSDATA,MATCH("ClassAbility2-L09",CLASSFEATUREHEADERS,0),MATCH(($A205),CLASSNAMEHEADERS,0))))}</f>
        <v>CLASSABILITY2-L09</v>
      </c>
      <c r="P204" s="76"/>
      <c r="Q204" s="76" t="str">
        <f t="array" ref="Q204:Q205">{"CLASSABILITY2-L11";((INDEX(ALLCLASSDATA,MATCH("ClassAbility2-L11",CLASSFEATUREHEADERS,0),MATCH(($A205),CLASSNAMEHEADERS,0))))}</f>
        <v>CLASSABILITY2-L11</v>
      </c>
      <c r="R204" s="76"/>
      <c r="S204" s="76" t="str">
        <f t="array" ref="S204:S205">{"CLASSABILITY2-L13";((INDEX(ALLCLASSDATA,MATCH("ClassAbility2-L13",CLASSFEATUREHEADERS,0),MATCH(($A205),CLASSNAMEHEADERS,0))))}</f>
        <v>CLASSABILITY2-L13</v>
      </c>
      <c r="T204" s="76"/>
      <c r="U204" s="76" t="str">
        <f t="array" ref="U204:U205">{"CLASSABILITY2-L15";((INDEX(ALLCLASSDATA,MATCH("ClassAbility2-L15",CLASSFEATUREHEADERS,0),MATCH(($A205),CLASSNAMEHEADERS,0))))}</f>
        <v>CLASSABILITY2-L15</v>
      </c>
      <c r="V204" s="76"/>
      <c r="W204" s="76" t="str">
        <f t="array" ref="W204:W205">{"CLASSABILITY2-L17";((INDEX(ALLCLASSDATA,MATCH("ClassAbility2-L17",CLASSFEATUREHEADERS,0),MATCH(($A205),CLASSNAMEHEADERS,0))))}</f>
        <v>CLASSABILITY2-L17</v>
      </c>
      <c r="X204" s="76"/>
      <c r="Y204" s="76" t="str">
        <f t="array" ref="Y204:Y205">{"CLASSABILITY2-L19";((INDEX(ALLCLASSDATA,MATCH("ClassAbility2-L19",CLASSFEATUREHEADERS,0),MATCH(($A205),CLASSNAMEHEADERS,0))))}</f>
        <v>CLASSABILITY2-L19</v>
      </c>
      <c r="Z204" s="76"/>
      <c r="AA204" s="76"/>
      <c r="AB204" s="76"/>
    </row>
    <row r="205">
      <c r="A205" s="48" t="s">
        <v>225</v>
      </c>
      <c r="B205" s="48" t="s">
        <v>418</v>
      </c>
      <c r="C205" s="48" t="s">
        <v>825</v>
      </c>
      <c r="D205" s="48" t="s">
        <v>1007</v>
      </c>
      <c r="E205" s="48"/>
      <c r="F205" s="47"/>
      <c r="G205" s="5"/>
      <c r="H205" s="5"/>
      <c r="I205" s="5" t="s">
        <v>314</v>
      </c>
      <c r="J205" s="5"/>
      <c r="K205" s="5"/>
      <c r="L205" s="5"/>
      <c r="M205" s="5"/>
      <c r="N205" s="5"/>
      <c r="O205" s="5"/>
      <c r="P205" s="5"/>
      <c r="Q205" s="5" t="s">
        <v>335</v>
      </c>
      <c r="R205" s="5"/>
      <c r="S205" s="5" t="s">
        <v>1731</v>
      </c>
      <c r="T205" s="5"/>
      <c r="U205" s="5"/>
      <c r="V205" s="5"/>
      <c r="W205" s="5"/>
      <c r="X205" s="5"/>
      <c r="Y205" s="5" t="s">
        <v>356</v>
      </c>
      <c r="Z205" s="5"/>
      <c r="AA205" s="5"/>
      <c r="AB205" s="47"/>
    </row>
    <row r="206" hidden="1">
      <c r="A206" s="76" t="str">
        <f t="array" ref="A206:A207">{"FormulaRow11";(INDEX(CLASSLIST,A185,1))}</f>
        <v>FormulaRow11</v>
      </c>
      <c r="B206" s="76" t="str">
        <f t="array" ref="B206:B207">{"CLASSTYPE";((INDEX(ALLCLASSDATA,MATCH("ClassType",CLASSFEATUREHEADERS,0),MATCH($A207,CLASSNAMEHEADERS,0))))}</f>
        <v>CLASSTYPE</v>
      </c>
      <c r="C206" s="76" t="str">
        <f t="array" ref="C206:C207">{"CLASSABILITYPTS";"ClassAbilityPts"}</f>
        <v>CLASSABILITYPTS</v>
      </c>
      <c r="D206" s="76" t="str">
        <f t="array" ref="D206:D207">{"CLASSABILITY2";"ClassAbility2"}</f>
        <v>CLASSABILITY2</v>
      </c>
      <c r="E206" s="76"/>
      <c r="F206" s="76"/>
      <c r="G206" s="76"/>
      <c r="H206" s="76"/>
      <c r="I206" s="76" t="str">
        <f t="array" ref="I206:I207">{"CLASSABILITY2-L03PTS";((INDEX(ALLCLASSDATA,MATCH("ClassAbility2-L03",CLASSFEATUREHEADERS,0),MATCH(($A207 &amp; "Points"),CLASSNAMEHEADERS,0))))}</f>
        <v>CLASSABILITY2-L03PTS</v>
      </c>
      <c r="J206" s="76"/>
      <c r="K206" s="76" t="str">
        <f t="array" ref="K206:K207">{"CLASSABILITY2-L05PTS";((INDEX(ALLCLASSDATA,MATCH("ClassAbility2-L05",CLASSFEATUREHEADERS,0),MATCH(($A207 &amp; "Points"),CLASSNAMEHEADERS,0))))}</f>
        <v>CLASSABILITY2-L05PTS</v>
      </c>
      <c r="L206" s="76"/>
      <c r="M206" s="76" t="str">
        <f t="array" ref="M206:M207">{"CLASSABILITY2-L07PTS";((INDEX(ALLCLASSDATA,MATCH("ClassAbility2-L07",CLASSFEATUREHEADERS,0),MATCH(($A207 &amp; "Points"),CLASSNAMEHEADERS,0))))}</f>
        <v>CLASSABILITY2-L07PTS</v>
      </c>
      <c r="N206" s="76"/>
      <c r="O206" s="76" t="str">
        <f t="array" ref="O206:O207">{"CLASSABILITY2-L09PTS";((INDEX(ALLCLASSDATA,MATCH("ClassAbility2-L09",CLASSFEATUREHEADERS,0),MATCH(($A207 &amp; "Points"),CLASSNAMEHEADERS,0))))}</f>
        <v>CLASSABILITY2-L09PTS</v>
      </c>
      <c r="P206" s="76"/>
      <c r="Q206" s="76" t="str">
        <f t="array" ref="Q206:Q207">{"CLASSABILITY2-L11PTS";((INDEX(ALLCLASSDATA,MATCH("ClassAbility2-L11",CLASSFEATUREHEADERS,0),MATCH(($A207 &amp; "Points"),CLASSNAMEHEADERS,0))))}</f>
        <v>CLASSABILITY2-L11PTS</v>
      </c>
      <c r="R206" s="76"/>
      <c r="S206" s="76" t="str">
        <f t="array" ref="S206:S207">{"CLASSABILITY2-L13PTS";((INDEX(ALLCLASSDATA,MATCH("ClassAbility2-L13",CLASSFEATUREHEADERS,0),MATCH(($A207 &amp; "Points"),CLASSNAMEHEADERS,0))))}</f>
        <v>CLASSABILITY2-L13PTS</v>
      </c>
      <c r="T206" s="76"/>
      <c r="U206" s="76" t="str">
        <f t="array" ref="U206:U207">{"CLASSABILITY2-L15PTS";((INDEX(ALLCLASSDATA,MATCH("ClassAbility2-L15",CLASSFEATUREHEADERS,0),MATCH(($A207 &amp; "Points"),CLASSNAMEHEADERS,0))))}</f>
        <v>CLASSABILITY2-L15PTS</v>
      </c>
      <c r="V206" s="76"/>
      <c r="W206" s="76" t="str">
        <f t="array" ref="W206:W207">{"CLASSABILITY2-L17PTS";((INDEX(ALLCLASSDATA,MATCH("ClassAbility2-L17",CLASSFEATUREHEADERS,0),MATCH(($A207 &amp; "Points"),CLASSNAMEHEADERS,0))))}</f>
        <v>CLASSABILITY2-L17PTS</v>
      </c>
      <c r="X206" s="76"/>
      <c r="Y206" s="76" t="str">
        <f t="array" ref="Y206:Y207">{"CLASSABILITY2-L19PTS";((INDEX(ALLCLASSDATA,MATCH("ClassAbility2-L19",CLASSFEATUREHEADERS,0),MATCH(($A207 &amp; "Points"),CLASSNAMEHEADERS,0))))}</f>
        <v>CLASSABILITY2-L19PTS</v>
      </c>
      <c r="Z206" s="76"/>
      <c r="AA206" s="76"/>
      <c r="AB206" s="76" t="str">
        <f t="array" ref="AB206:AB207">{"CLASSABILITY2 TOTAL";(sum(F207:Z207))}</f>
        <v>CLASSABILITY2 TOTAL</v>
      </c>
    </row>
    <row r="207">
      <c r="A207" s="48" t="s">
        <v>225</v>
      </c>
      <c r="B207" s="48" t="s">
        <v>418</v>
      </c>
      <c r="C207" s="48" t="s">
        <v>930</v>
      </c>
      <c r="D207" s="48" t="s">
        <v>1007</v>
      </c>
      <c r="E207" s="48"/>
      <c r="F207" s="47"/>
      <c r="G207" s="5"/>
      <c r="H207" s="5"/>
      <c r="I207" s="5"/>
      <c r="J207" s="5"/>
      <c r="K207" s="5"/>
      <c r="L207" s="5"/>
      <c r="M207" s="5"/>
      <c r="N207" s="5"/>
      <c r="O207" s="5"/>
      <c r="P207" s="5"/>
      <c r="Q207" s="5"/>
      <c r="R207" s="5"/>
      <c r="S207" s="5"/>
      <c r="T207" s="5"/>
      <c r="U207" s="5"/>
      <c r="V207" s="5"/>
      <c r="W207" s="5"/>
      <c r="X207" s="5"/>
      <c r="Y207" s="5"/>
      <c r="Z207" s="5"/>
      <c r="AA207" s="5"/>
      <c r="AB207" s="47">
        <v>0.0</v>
      </c>
    </row>
    <row r="208" hidden="1">
      <c r="A208" s="76" t="str">
        <f t="array" ref="A208:A209">{"FormulaRow12";(INDEX(CLASSLIST,A185,1))}</f>
        <v>FormulaRow12</v>
      </c>
      <c r="B208" s="76" t="str">
        <f t="array" ref="B208:B209">{"CLASSTYPE";((INDEX(ALLCLASSDATA,MATCH("ClassType",CLASSFEATUREHEADERS,0),MATCH($A209,CLASSNAMEHEADERS,0))))}</f>
        <v>CLASSTYPE</v>
      </c>
      <c r="C208" s="76" t="str">
        <f t="array" ref="C208:C209">{"CLASSABILITY";"ClassAbility"}</f>
        <v>CLASSABILITY</v>
      </c>
      <c r="D208" s="76" t="str">
        <f t="array" ref="D208:D209">{"CLASSABILITY3";"ClassAbility3"}</f>
        <v>CLASSABILITY3</v>
      </c>
      <c r="E208" s="76"/>
      <c r="F208" s="76"/>
      <c r="G208" s="76"/>
      <c r="H208" s="76"/>
      <c r="I208" s="76" t="str">
        <f t="array" ref="I208:I209">{"CLASSABILITY3-L03";((INDEX(ALLCLASSDATA,MATCH("ClassAbility3-L03",CLASSFEATUREHEADERS,0),MATCH(($A209),CLASSNAMEHEADERS,0))))}</f>
        <v>CLASSABILITY3-L03</v>
      </c>
      <c r="J208" s="76"/>
      <c r="K208" s="76" t="str">
        <f t="array" ref="K208:K209">{"CLASSABILITY3-L05";((INDEX(ALLCLASSDATA,MATCH("ClassAbility3-L05",CLASSFEATUREHEADERS,0),MATCH(($A209),CLASSNAMEHEADERS,0))))}</f>
        <v>CLASSABILITY3-L05</v>
      </c>
      <c r="L208" s="76"/>
      <c r="M208" s="76" t="str">
        <f t="array" ref="M208:M209">{"CLASSABILITY3-L07";((INDEX(ALLCLASSDATA,MATCH("ClassAbility3-L07",CLASSFEATUREHEADERS,0),MATCH(($A209),CLASSNAMEHEADERS,0))))}</f>
        <v>CLASSABILITY3-L07</v>
      </c>
      <c r="N208" s="76"/>
      <c r="O208" s="76" t="str">
        <f t="array" ref="O208:O209">{"CLASSABILITY3-L09";((INDEX(ALLCLASSDATA,MATCH("ClassAbility3-L09",CLASSFEATUREHEADERS,0),MATCH(($A209),CLASSNAMEHEADERS,0))))}</f>
        <v>CLASSABILITY3-L09</v>
      </c>
      <c r="P208" s="76"/>
      <c r="Q208" s="76" t="str">
        <f t="array" ref="Q208:Q209">{"CLASSABILITY3-L11";((INDEX(ALLCLASSDATA,MATCH("ClassAbility3-L11",CLASSFEATUREHEADERS,0),MATCH(($A209),CLASSNAMEHEADERS,0))))}</f>
        <v>CLASSABILITY3-L11</v>
      </c>
      <c r="R208" s="76"/>
      <c r="S208" s="76" t="str">
        <f t="array" ref="S208:S209">{"CLASSABILITY3-L13";((INDEX(ALLCLASSDATA,MATCH("ClassAbility3-L13",CLASSFEATUREHEADERS,0),MATCH(($A209),CLASSNAMEHEADERS,0))))}</f>
        <v>CLASSABILITY3-L13</v>
      </c>
      <c r="T208" s="76"/>
      <c r="U208" s="76" t="str">
        <f t="array" ref="U208:U209">{"CLASSABILITY3-L15";((INDEX(ALLCLASSDATA,MATCH("ClassAbility3-L15",CLASSFEATUREHEADERS,0),MATCH(($A209),CLASSNAMEHEADERS,0))))}</f>
        <v>CLASSABILITY3-L15</v>
      </c>
      <c r="V208" s="76"/>
      <c r="W208" s="76" t="str">
        <f t="array" ref="W208:W209">{"CLASSABILITY3-L17";((INDEX(ALLCLASSDATA,MATCH("ClassAbility3-L17",CLASSFEATUREHEADERS,0),MATCH(($A209),CLASSNAMEHEADERS,0))))}</f>
        <v>CLASSABILITY3-L17</v>
      </c>
      <c r="X208" s="76"/>
      <c r="Y208" s="76" t="str">
        <f t="array" ref="Y208:Y209">{"CLASSABILITY3-L19";((INDEX(ALLCLASSDATA,MATCH("ClassAbility3-L19",CLASSFEATUREHEADERS,0),MATCH(($A209),CLASSNAMEHEADERS,0))))}</f>
        <v>CLASSABILITY3-L19</v>
      </c>
      <c r="Z208" s="76"/>
      <c r="AA208" s="76"/>
      <c r="AB208" s="76"/>
    </row>
    <row r="209">
      <c r="A209" s="48" t="s">
        <v>225</v>
      </c>
      <c r="B209" s="48" t="s">
        <v>418</v>
      </c>
      <c r="C209" s="48" t="s">
        <v>825</v>
      </c>
      <c r="D209" s="48" t="s">
        <v>1144</v>
      </c>
      <c r="E209" s="48"/>
      <c r="F209" s="47"/>
      <c r="G209" s="5"/>
      <c r="H209" s="5"/>
      <c r="I209" s="5"/>
      <c r="J209" s="5"/>
      <c r="K209" s="5"/>
      <c r="L209" s="5"/>
      <c r="M209" s="5"/>
      <c r="N209" s="5"/>
      <c r="O209" s="5"/>
      <c r="P209" s="5"/>
      <c r="Q209" s="5"/>
      <c r="R209" s="5"/>
      <c r="S209" s="5"/>
      <c r="T209" s="5"/>
      <c r="U209" s="5"/>
      <c r="V209" s="5"/>
      <c r="W209" s="5"/>
      <c r="X209" s="5"/>
      <c r="Y209" s="5"/>
      <c r="Z209" s="5"/>
      <c r="AA209" s="5"/>
      <c r="AB209" s="47"/>
    </row>
    <row r="210" hidden="1">
      <c r="A210" s="76" t="str">
        <f t="array" ref="A210:A211">{"FormulaRow13";(INDEX(CLASSLIST,A185,1))}</f>
        <v>FormulaRow13</v>
      </c>
      <c r="B210" s="76" t="str">
        <f t="array" ref="B210:B211">{"CLASSTYPE";((INDEX(ALLCLASSDATA,MATCH("ClassType",CLASSFEATUREHEADERS,0),MATCH($A211,CLASSNAMEHEADERS,0))))}</f>
        <v>CLASSTYPE</v>
      </c>
      <c r="C210" s="76" t="str">
        <f t="array" ref="C210:C211">{"CLASSABILITYPTS";"ClassAbilityPts"}</f>
        <v>CLASSABILITYPTS</v>
      </c>
      <c r="D210" s="76" t="str">
        <f t="array" ref="D210:D211">{"CLASSABILITY3";"ClassAbility3"}</f>
        <v>CLASSABILITY3</v>
      </c>
      <c r="E210" s="76"/>
      <c r="F210" s="76"/>
      <c r="G210" s="76"/>
      <c r="H210" s="76"/>
      <c r="I210" s="76" t="str">
        <f t="array" ref="I210:I211">{"CLASSABILITY3-L03PTS";((INDEX(ALLCLASSDATA,MATCH("ClassAbility3-L03",CLASSFEATUREHEADERS,0),MATCH(($A211 &amp; "Points"),CLASSNAMEHEADERS,0))))}</f>
        <v>CLASSABILITY3-L03PTS</v>
      </c>
      <c r="J210" s="76"/>
      <c r="K210" s="76" t="str">
        <f t="array" ref="K210:K211">{"CLASSABILITY3-L05PTS";((INDEX(ALLCLASSDATA,MATCH("ClassAbility3-L05",CLASSFEATUREHEADERS,0),MATCH(($A211 &amp; "Points"),CLASSNAMEHEADERS,0))))}</f>
        <v>CLASSABILITY3-L05PTS</v>
      </c>
      <c r="L210" s="76"/>
      <c r="M210" s="76" t="str">
        <f t="array" ref="M210:M211">{"CLASSABILITY3-L07PTS";((INDEX(ALLCLASSDATA,MATCH("ClassAbility3-L07",CLASSFEATUREHEADERS,0),MATCH(($A211 &amp; "Points"),CLASSNAMEHEADERS,0))))}</f>
        <v>CLASSABILITY3-L07PTS</v>
      </c>
      <c r="N210" s="76"/>
      <c r="O210" s="76" t="str">
        <f t="array" ref="O210:O211">{"CLASSABILITY3-L09PTS";((INDEX(ALLCLASSDATA,MATCH("ClassAbility3-L09",CLASSFEATUREHEADERS,0),MATCH(($A211 &amp; "Points"),CLASSNAMEHEADERS,0))))}</f>
        <v>CLASSABILITY3-L09PTS</v>
      </c>
      <c r="P210" s="76"/>
      <c r="Q210" s="76" t="str">
        <f t="array" ref="Q210:Q211">{"CLASSABILITY3-L11PTS";((INDEX(ALLCLASSDATA,MATCH("ClassAbility3-L11",CLASSFEATUREHEADERS,0),MATCH(($A211 &amp; "Points"),CLASSNAMEHEADERS,0))))}</f>
        <v>CLASSABILITY3-L11PTS</v>
      </c>
      <c r="R210" s="76"/>
      <c r="S210" s="76" t="str">
        <f t="array" ref="S210:S211">{"CLASSABILITY3-L13PTS";((INDEX(ALLCLASSDATA,MATCH("ClassAbility3-L13",CLASSFEATUREHEADERS,0),MATCH(($A211 &amp; "Points"),CLASSNAMEHEADERS,0))))}</f>
        <v>CLASSABILITY3-L13PTS</v>
      </c>
      <c r="T210" s="76"/>
      <c r="U210" s="76" t="str">
        <f t="array" ref="U210:U211">{"CLASSABILITY3-L15PTS";((INDEX(ALLCLASSDATA,MATCH("ClassAbility3-L15",CLASSFEATUREHEADERS,0),MATCH(($A211 &amp; "Points"),CLASSNAMEHEADERS,0))))}</f>
        <v>CLASSABILITY3-L15PTS</v>
      </c>
      <c r="V210" s="76"/>
      <c r="W210" s="76" t="str">
        <f t="array" ref="W210:W211">{"CLASSABILITY3-L17PTS";((INDEX(ALLCLASSDATA,MATCH("ClassAbility3-L17",CLASSFEATUREHEADERS,0),MATCH(($A211 &amp; "Points"),CLASSNAMEHEADERS,0))))}</f>
        <v>CLASSABILITY3-L17PTS</v>
      </c>
      <c r="X210" s="76"/>
      <c r="Y210" s="76" t="str">
        <f t="array" ref="Y210:Y211">{"CLASSABILITY3-L19PTS";((INDEX(ALLCLASSDATA,MATCH("ClassAbility3-L19",CLASSFEATUREHEADERS,0),MATCH(($A211 &amp; "Points"),CLASSNAMEHEADERS,0))))}</f>
        <v>CLASSABILITY3-L19PTS</v>
      </c>
      <c r="Z210" s="76"/>
      <c r="AA210" s="76"/>
      <c r="AB210" s="76" t="str">
        <f t="array" ref="AB210:AB211">{"CLASSABILITY3 TOTAL";(sum(F211:Z211))}</f>
        <v>CLASSABILITY3 TOTAL</v>
      </c>
    </row>
    <row r="211">
      <c r="A211" s="48" t="s">
        <v>225</v>
      </c>
      <c r="B211" s="48" t="s">
        <v>418</v>
      </c>
      <c r="C211" s="48" t="s">
        <v>930</v>
      </c>
      <c r="D211" s="48" t="s">
        <v>1144</v>
      </c>
      <c r="E211" s="48"/>
      <c r="F211" s="47"/>
      <c r="G211" s="5"/>
      <c r="H211" s="5"/>
      <c r="I211" s="5"/>
      <c r="J211" s="5"/>
      <c r="K211" s="5"/>
      <c r="L211" s="5"/>
      <c r="M211" s="5"/>
      <c r="N211" s="5"/>
      <c r="O211" s="5"/>
      <c r="P211" s="5"/>
      <c r="Q211" s="5"/>
      <c r="R211" s="5"/>
      <c r="S211" s="5"/>
      <c r="T211" s="5"/>
      <c r="U211" s="5"/>
      <c r="V211" s="5"/>
      <c r="W211" s="5"/>
      <c r="X211" s="5"/>
      <c r="Y211" s="5"/>
      <c r="Z211" s="5"/>
      <c r="AA211" s="5"/>
      <c r="AB211" s="47">
        <v>0.0</v>
      </c>
    </row>
    <row r="212" hidden="1">
      <c r="A212" s="76" t="str">
        <f t="array" ref="A212:A213">{"FormulaRow14";(INDEX(CLASSLIST,A185,1))}</f>
        <v>FormulaRow14</v>
      </c>
      <c r="B212" s="76" t="str">
        <f t="array" ref="B212:B213">{"CLASSTYPE";((INDEX(ALLCLASSDATA,MATCH("ClassType",CLASSFEATUREHEADERS,0),MATCH($A213,CLASSNAMEHEADERS,0))))}</f>
        <v>CLASSTYPE</v>
      </c>
      <c r="C212" s="76" t="str">
        <f t="array" ref="C212:C213">{"CLASSABILITY";"ClassAbility"}</f>
        <v>CLASSABILITY</v>
      </c>
      <c r="D212" s="76" t="str">
        <f t="array" ref="D212:D213">{"CLASSABILITY4";"ClassAbility4"}</f>
        <v>CLASSABILITY4</v>
      </c>
      <c r="E212" s="76"/>
      <c r="F212" s="76"/>
      <c r="G212" s="76"/>
      <c r="H212" s="76"/>
      <c r="I212" s="76" t="str">
        <f t="array" ref="I212:I213">{"CLASSABILITY4-L03";((INDEX(ALLCLASSDATA,MATCH("ClassAbility4-L03",CLASSFEATUREHEADERS,0),MATCH(($A213),CLASSNAMEHEADERS,0))))}</f>
        <v>CLASSABILITY4-L03</v>
      </c>
      <c r="J212" s="76"/>
      <c r="K212" s="76" t="str">
        <f t="array" ref="K212:K213">{"CLASSABILITY4-L05";((INDEX(ALLCLASSDATA,MATCH("ClassAbility4-L05",CLASSFEATUREHEADERS,0),MATCH(($A213),CLASSNAMEHEADERS,0))))}</f>
        <v>CLASSABILITY4-L05</v>
      </c>
      <c r="L212" s="76"/>
      <c r="M212" s="76" t="str">
        <f t="array" ref="M212:M213">{"CLASSABILITY4-L07";((INDEX(ALLCLASSDATA,MATCH("ClassAbility4-L07",CLASSFEATUREHEADERS,0),MATCH(($A213),CLASSNAMEHEADERS,0))))}</f>
        <v>CLASSABILITY4-L07</v>
      </c>
      <c r="N212" s="76"/>
      <c r="O212" s="76" t="str">
        <f t="array" ref="O212:O213">{"CLASSABILITY4-L09";((INDEX(ALLCLASSDATA,MATCH("ClassAbility4-L09",CLASSFEATUREHEADERS,0),MATCH(($A213),CLASSNAMEHEADERS,0))))}</f>
        <v>CLASSABILITY4-L09</v>
      </c>
      <c r="P212" s="76"/>
      <c r="Q212" s="76" t="str">
        <f t="array" ref="Q212:Q213">{"CLASSABILITY4-L11";((INDEX(ALLCLASSDATA,MATCH("ClassAbility4-L11",CLASSFEATUREHEADERS,0),MATCH(($A213),CLASSNAMEHEADERS,0))))}</f>
        <v>CLASSABILITY4-L11</v>
      </c>
      <c r="R212" s="76"/>
      <c r="S212" s="76" t="str">
        <f t="array" ref="S212:S213">{"CLASSABILITY4-L13";((INDEX(ALLCLASSDATA,MATCH("ClassAbility4-L13",CLASSFEATUREHEADERS,0),MATCH(($A213),CLASSNAMEHEADERS,0))))}</f>
        <v>CLASSABILITY4-L13</v>
      </c>
      <c r="T212" s="76"/>
      <c r="U212" s="76" t="str">
        <f t="array" ref="U212:U213">{"CLASSABILITY4-L15";((INDEX(ALLCLASSDATA,MATCH("ClassAbility4-L15",CLASSFEATUREHEADERS,0),MATCH(($A213),CLASSNAMEHEADERS,0))))}</f>
        <v>CLASSABILITY4-L15</v>
      </c>
      <c r="V212" s="76"/>
      <c r="W212" s="76" t="str">
        <f t="array" ref="W212:W213">{"CLASSABILITY4-L17";((INDEX(ALLCLASSDATA,MATCH("ClassAbility4-L17",CLASSFEATUREHEADERS,0),MATCH(($A213),CLASSNAMEHEADERS,0))))}</f>
        <v>CLASSABILITY4-L17</v>
      </c>
      <c r="X212" s="76"/>
      <c r="Y212" s="76" t="str">
        <f t="array" ref="Y212:Y213">{"CLASSABILITY4-L19";((INDEX(ALLCLASSDATA,MATCH("ClassAbility4-L19",CLASSFEATUREHEADERS,0),MATCH(($A213),CLASSNAMEHEADERS,0))))}</f>
        <v>CLASSABILITY4-L19</v>
      </c>
      <c r="Z212" s="76"/>
      <c r="AA212" s="76"/>
      <c r="AB212" s="76"/>
    </row>
    <row r="213">
      <c r="A213" s="48" t="s">
        <v>225</v>
      </c>
      <c r="B213" s="48" t="s">
        <v>418</v>
      </c>
      <c r="C213" s="48" t="s">
        <v>825</v>
      </c>
      <c r="D213" s="48" t="s">
        <v>1273</v>
      </c>
      <c r="E213" s="48"/>
      <c r="F213" s="47"/>
      <c r="G213" s="5"/>
      <c r="H213" s="5"/>
      <c r="I213" s="5"/>
      <c r="J213" s="5"/>
      <c r="K213" s="5"/>
      <c r="L213" s="5"/>
      <c r="M213" s="5"/>
      <c r="N213" s="5"/>
      <c r="O213" s="5"/>
      <c r="P213" s="5"/>
      <c r="Q213" s="5"/>
      <c r="R213" s="5"/>
      <c r="S213" s="5"/>
      <c r="T213" s="5"/>
      <c r="U213" s="5"/>
      <c r="V213" s="5"/>
      <c r="W213" s="5"/>
      <c r="X213" s="5"/>
      <c r="Y213" s="5"/>
      <c r="Z213" s="5"/>
      <c r="AA213" s="5"/>
      <c r="AB213" s="47"/>
    </row>
    <row r="214" hidden="1">
      <c r="A214" s="76" t="str">
        <f t="array" ref="A214:A215">{"FormulaRow15";(INDEX(CLASSLIST,A185,1))}</f>
        <v>FormulaRow15</v>
      </c>
      <c r="B214" s="76" t="str">
        <f t="array" ref="B214:B215">{"CLASSTYPE";((INDEX(ALLCLASSDATA,MATCH("ClassType",CLASSFEATUREHEADERS,0),MATCH($A215,CLASSNAMEHEADERS,0))))}</f>
        <v>CLASSTYPE</v>
      </c>
      <c r="C214" s="76" t="str">
        <f t="array" ref="C214:C215">{"CLASSABILITYPTS";"ClassAbilityPts"}</f>
        <v>CLASSABILITYPTS</v>
      </c>
      <c r="D214" s="76" t="str">
        <f t="array" ref="D214:D215">{"CLASSABILITY4";"ClassAbility4"}</f>
        <v>CLASSABILITY4</v>
      </c>
      <c r="E214" s="76"/>
      <c r="F214" s="76"/>
      <c r="G214" s="76"/>
      <c r="H214" s="76"/>
      <c r="I214" s="76" t="str">
        <f t="array" ref="I214:I215">{"CLASSABILITY4-L03PTS";((INDEX(ALLCLASSDATA,MATCH("ClassAbility4-L03",CLASSFEATUREHEADERS,0),MATCH(($A215 &amp; "Points"),CLASSNAMEHEADERS,0))))}</f>
        <v>CLASSABILITY4-L03PTS</v>
      </c>
      <c r="J214" s="76"/>
      <c r="K214" s="76" t="str">
        <f t="array" ref="K214:K215">{"CLASSABILITY4-L05PTS";((INDEX(ALLCLASSDATA,MATCH("ClassAbility4-L05",CLASSFEATUREHEADERS,0),MATCH(($A215 &amp; "Points"),CLASSNAMEHEADERS,0))))}</f>
        <v>CLASSABILITY4-L05PTS</v>
      </c>
      <c r="L214" s="76"/>
      <c r="M214" s="76" t="str">
        <f t="array" ref="M214:M215">{"CLASSABILITY4-L07PTS";((INDEX(ALLCLASSDATA,MATCH("ClassAbility4-L07",CLASSFEATUREHEADERS,0),MATCH(($A215 &amp; "Points"),CLASSNAMEHEADERS,0))))}</f>
        <v>CLASSABILITY4-L07PTS</v>
      </c>
      <c r="N214" s="76"/>
      <c r="O214" s="76" t="str">
        <f t="array" ref="O214:O215">{"CLASSABILITY4-L09PTS";((INDEX(ALLCLASSDATA,MATCH("ClassAbility4-L09",CLASSFEATUREHEADERS,0),MATCH(($A215 &amp; "Points"),CLASSNAMEHEADERS,0))))}</f>
        <v>CLASSABILITY4-L09PTS</v>
      </c>
      <c r="P214" s="76"/>
      <c r="Q214" s="76" t="str">
        <f t="array" ref="Q214:Q215">{"CLASSABILITY4-L11PTS";((INDEX(ALLCLASSDATA,MATCH("ClassAbility4-L11",CLASSFEATUREHEADERS,0),MATCH(($A215 &amp; "Points"),CLASSNAMEHEADERS,0))))}</f>
        <v>CLASSABILITY4-L11PTS</v>
      </c>
      <c r="R214" s="76"/>
      <c r="S214" s="76" t="str">
        <f t="array" ref="S214:S215">{"CLASSABILITY4-L13PTS";((INDEX(ALLCLASSDATA,MATCH("ClassAbility4-L13",CLASSFEATUREHEADERS,0),MATCH(($A215 &amp; "Points"),CLASSNAMEHEADERS,0))))}</f>
        <v>CLASSABILITY4-L13PTS</v>
      </c>
      <c r="T214" s="76"/>
      <c r="U214" s="76" t="str">
        <f t="array" ref="U214:U215">{"CLASSABILITY4-L15PTS";((INDEX(ALLCLASSDATA,MATCH("ClassAbility4-L15",CLASSFEATUREHEADERS,0),MATCH(($A215 &amp; "Points"),CLASSNAMEHEADERS,0))))}</f>
        <v>CLASSABILITY4-L15PTS</v>
      </c>
      <c r="V214" s="76"/>
      <c r="W214" s="76" t="str">
        <f t="array" ref="W214:W215">{"CLASSABILITY4-L17PTS";((INDEX(ALLCLASSDATA,MATCH("ClassAbility4-L17",CLASSFEATUREHEADERS,0),MATCH(($A215 &amp; "Points"),CLASSNAMEHEADERS,0))))}</f>
        <v>CLASSABILITY4-L17PTS</v>
      </c>
      <c r="X214" s="76"/>
      <c r="Y214" s="76" t="str">
        <f t="array" ref="Y214:Y215">{"CLASSABILITY4-L19PTS";((INDEX(ALLCLASSDATA,MATCH("ClassAbility4-L19",CLASSFEATUREHEADERS,0),MATCH(($A215 &amp; "Points"),CLASSNAMEHEADERS,0))))}</f>
        <v>CLASSABILITY4-L19PTS</v>
      </c>
      <c r="Z214" s="76"/>
      <c r="AA214" s="76"/>
      <c r="AB214" s="76" t="str">
        <f t="array" ref="AB214:AB215">{"CLASSABILITY4 TOTAL";(sum(F215:Z215))}</f>
        <v>CLASSABILITY4 TOTAL</v>
      </c>
    </row>
    <row r="215">
      <c r="A215" s="48" t="s">
        <v>225</v>
      </c>
      <c r="B215" s="48" t="s">
        <v>418</v>
      </c>
      <c r="C215" s="48" t="s">
        <v>930</v>
      </c>
      <c r="D215" s="48" t="s">
        <v>1273</v>
      </c>
      <c r="E215" s="48"/>
      <c r="F215" s="47"/>
      <c r="G215" s="5"/>
      <c r="H215" s="5"/>
      <c r="I215" s="5"/>
      <c r="J215" s="5"/>
      <c r="K215" s="5"/>
      <c r="L215" s="5"/>
      <c r="M215" s="5"/>
      <c r="N215" s="5"/>
      <c r="O215" s="5"/>
      <c r="P215" s="5"/>
      <c r="Q215" s="5"/>
      <c r="R215" s="5"/>
      <c r="S215" s="5"/>
      <c r="T215" s="5"/>
      <c r="U215" s="5"/>
      <c r="V215" s="5"/>
      <c r="W215" s="5"/>
      <c r="X215" s="5"/>
      <c r="Y215" s="5"/>
      <c r="Z215" s="5"/>
      <c r="AA215" s="5"/>
      <c r="AB215" s="47">
        <v>0.0</v>
      </c>
    </row>
    <row r="216" hidden="1">
      <c r="A216" s="76" t="str">
        <f t="array" ref="A216:A217">{"FormulaRow16";(INDEX(CLASSLIST,A185,1))}</f>
        <v>FormulaRow16</v>
      </c>
      <c r="B216" s="76" t="str">
        <f t="array" ref="B216:B217">{"CLASSTYPE";((INDEX(ALLCLASSDATA,MATCH("ClassType",CLASSFEATUREHEADERS,0),MATCH($A217,CLASSNAMEHEADERS,0))))}</f>
        <v>CLASSTYPE</v>
      </c>
      <c r="C216" s="76" t="str">
        <f t="array" ref="C216:C217">{"CLASSABILITY";"ClassAbility"}</f>
        <v>CLASSABILITY</v>
      </c>
      <c r="D216" s="76" t="str">
        <f t="array" ref="D216:D217">{"SUBCLASSABILITY1";"SubclassAbility1"}</f>
        <v>SUBCLASSABILITY1</v>
      </c>
      <c r="E216" s="76"/>
      <c r="F216" s="76"/>
      <c r="G216" s="76"/>
      <c r="H216" s="76"/>
      <c r="I216" s="76" t="str">
        <f t="array" ref="I216:I217">{"SUBCLASSABILITY1-L03";((INDEX(ALLCLASSDATA,MATCH("SubclassAbility1-L03",CLASSFEATUREHEADERS,0),MATCH(($A217),CLASSNAMEHEADERS,0))))}</f>
        <v>SUBCLASSABILITY1-L03</v>
      </c>
      <c r="J216" s="76"/>
      <c r="K216" s="76" t="str">
        <f t="array" ref="K216:K217">{"SUBCLASSABILITY1-L05";((INDEX(ALLCLASSDATA,MATCH("SubclassAbility1-L05",CLASSFEATUREHEADERS,0),MATCH(($A217),CLASSNAMEHEADERS,0))))}</f>
        <v>SUBCLASSABILITY1-L05</v>
      </c>
      <c r="L216" s="76"/>
      <c r="M216" s="76" t="str">
        <f t="array" ref="M216:M217">{"SUBCLASSABILITY1-L07";((INDEX(ALLCLASSDATA,MATCH("SubclassAbility1-L07",CLASSFEATUREHEADERS,0),MATCH(($A217),CLASSNAMEHEADERS,0))))}</f>
        <v>SUBCLASSABILITY1-L07</v>
      </c>
      <c r="N216" s="76"/>
      <c r="O216" s="76" t="str">
        <f t="array" ref="O216:O217">{"SUBCLASSABILITY1-L09";((INDEX(ALLCLASSDATA,MATCH("SubclassAbility1-L09",CLASSFEATUREHEADERS,0),MATCH(($A217),CLASSNAMEHEADERS,0))))}</f>
        <v>SUBCLASSABILITY1-L09</v>
      </c>
      <c r="P216" s="76"/>
      <c r="Q216" s="76" t="str">
        <f t="array" ref="Q216:Q217">{"SUBCLASSABILITY1-L11";((INDEX(ALLCLASSDATA,MATCH("SubclassAbility1-L11",CLASSFEATUREHEADERS,0),MATCH(($A217),CLASSNAMEHEADERS,0))))}</f>
        <v>SUBCLASSABILITY1-L11</v>
      </c>
      <c r="R216" s="76"/>
      <c r="S216" s="76" t="str">
        <f t="array" ref="S216:S217">{"SUBCLASSABILITY1-L13";((INDEX(ALLCLASSDATA,MATCH("SubclassAbility1-L13",CLASSFEATUREHEADERS,0),MATCH(($A217),CLASSNAMEHEADERS,0))))}</f>
        <v>SUBCLASSABILITY1-L13</v>
      </c>
      <c r="T216" s="76"/>
      <c r="U216" s="76" t="str">
        <f t="array" ref="U216:U217">{"SUBCLASSABILITY1-L15";((INDEX(ALLCLASSDATA,MATCH("SubclassAbility1-L15",CLASSFEATUREHEADERS,0),MATCH(($A217),CLASSNAMEHEADERS,0))))}</f>
        <v>SUBCLASSABILITY1-L15</v>
      </c>
      <c r="V216" s="76"/>
      <c r="W216" s="76" t="str">
        <f t="array" ref="W216:W217">{"SUBCLASSABILITY1-L17";((INDEX(ALLCLASSDATA,MATCH("SubclassAbility1-L17",CLASSFEATUREHEADERS,0),MATCH(($A217),CLASSNAMEHEADERS,0))))}</f>
        <v>SUBCLASSABILITY1-L17</v>
      </c>
      <c r="X216" s="76"/>
      <c r="Y216" s="76" t="str">
        <f t="array" ref="Y216:Y217">{"SUBCLASSABILITY1-L19";((INDEX(ALLCLASSDATA,MATCH("SubclassAbility1-L19",CLASSFEATUREHEADERS,0),MATCH(($A217),CLASSNAMEHEADERS,0))))}</f>
        <v>SUBCLASSABILITY1-L19</v>
      </c>
      <c r="Z216" s="76"/>
      <c r="AA216" s="76"/>
      <c r="AB216" s="76"/>
    </row>
    <row r="217">
      <c r="A217" s="48" t="s">
        <v>225</v>
      </c>
      <c r="B217" s="48" t="s">
        <v>418</v>
      </c>
      <c r="C217" s="48" t="s">
        <v>825</v>
      </c>
      <c r="D217" s="28" t="s">
        <v>1355</v>
      </c>
      <c r="E217" s="5"/>
      <c r="F217" s="47"/>
      <c r="G217" s="5"/>
      <c r="H217" s="5"/>
      <c r="I217" s="5"/>
      <c r="J217" s="5"/>
      <c r="K217" s="5"/>
      <c r="L217" s="5"/>
      <c r="M217" s="5"/>
      <c r="N217" s="5"/>
      <c r="O217" s="5"/>
      <c r="P217" s="5"/>
      <c r="Q217" s="5"/>
      <c r="R217" s="5"/>
      <c r="S217" s="5"/>
      <c r="T217" s="5"/>
      <c r="U217" s="5"/>
      <c r="V217" s="5"/>
      <c r="W217" s="5"/>
      <c r="X217" s="5"/>
      <c r="Y217" s="5"/>
      <c r="Z217" s="5"/>
      <c r="AA217" s="5"/>
      <c r="AB217" s="47"/>
    </row>
    <row r="218" hidden="1">
      <c r="A218" s="76" t="str">
        <f t="array" ref="A218:A219">{"FormulaRow17";(INDEX(CLASSLIST,A185,1))}</f>
        <v>FormulaRow17</v>
      </c>
      <c r="B218" s="76" t="str">
        <f t="array" ref="B218:B219">{"CLASSTYPE";((INDEX(ALLCLASSDATA,MATCH("ClassType",CLASSFEATUREHEADERS,0),MATCH($A219,CLASSNAMEHEADERS,0))))}</f>
        <v>CLASSTYPE</v>
      </c>
      <c r="C218" s="76" t="str">
        <f t="array" ref="C218:C219">{"CLASSABILITYPTS";"ClassAbilityPts"}</f>
        <v>CLASSABILITYPTS</v>
      </c>
      <c r="D218" s="76" t="str">
        <f t="array" ref="D218:D219">{"SUBCLASSABILITY1";"SubclassAbility1"}</f>
        <v>SUBCLASSABILITY1</v>
      </c>
      <c r="E218" s="76"/>
      <c r="F218" s="76"/>
      <c r="G218" s="76"/>
      <c r="H218" s="76"/>
      <c r="I218" s="76" t="str">
        <f t="array" ref="I218:I219">{"SUBCLASSABILITY1-L03PTS";((INDEX(ALLCLASSDATA,MATCH("SubclassAbility1-L03",CLASSFEATUREHEADERS,0),MATCH(($A219 &amp; "Points"),CLASSNAMEHEADERS,0))))}</f>
        <v>SUBCLASSABILITY1-L03PTS</v>
      </c>
      <c r="J218" s="76"/>
      <c r="K218" s="76" t="str">
        <f t="array" ref="K218:K219">{"SUBCLASSABILITY1-L05PTS";((INDEX(ALLCLASSDATA,MATCH("SubclassAbility1-L05",CLASSFEATUREHEADERS,0),MATCH(($A219 &amp; "Points"),CLASSNAMEHEADERS,0))))}</f>
        <v>SUBCLASSABILITY1-L05PTS</v>
      </c>
      <c r="L218" s="76"/>
      <c r="M218" s="76" t="str">
        <f t="array" ref="M218:M219">{"SUBCLASSABILITY1-L07PTS";((INDEX(ALLCLASSDATA,MATCH("SubclassAbility1-L07",CLASSFEATUREHEADERS,0),MATCH(($A219 &amp; "Points"),CLASSNAMEHEADERS,0))))}</f>
        <v>SUBCLASSABILITY1-L07PTS</v>
      </c>
      <c r="N218" s="76"/>
      <c r="O218" s="76" t="str">
        <f t="array" ref="O218:O219">{"SUBCLASSABILITY1-L09PTS";((INDEX(ALLCLASSDATA,MATCH("SubclassAbility1-L09",CLASSFEATUREHEADERS,0),MATCH(($A219 &amp; "Points"),CLASSNAMEHEADERS,0))))}</f>
        <v>SUBCLASSABILITY1-L09PTS</v>
      </c>
      <c r="P218" s="76"/>
      <c r="Q218" s="76" t="str">
        <f t="array" ref="Q218:Q219">{"SUBCLASSABILITY1-L11PTS";((INDEX(ALLCLASSDATA,MATCH("SubclassAbility1-L11",CLASSFEATUREHEADERS,0),MATCH(($A219 &amp; "Points"),CLASSNAMEHEADERS,0))))}</f>
        <v>SUBCLASSABILITY1-L11PTS</v>
      </c>
      <c r="R218" s="76"/>
      <c r="S218" s="76" t="str">
        <f t="array" ref="S218:S219">{"SUBCLASSABILITY1-L13PTS";((INDEX(ALLCLASSDATA,MATCH("SubclassAbility1-L13",CLASSFEATUREHEADERS,0),MATCH(($A219 &amp; "Points"),CLASSNAMEHEADERS,0))))}</f>
        <v>SUBCLASSABILITY1-L13PTS</v>
      </c>
      <c r="T218" s="76"/>
      <c r="U218" s="76" t="str">
        <f t="array" ref="U218:U219">{"SUBCLASSABILITY1-L15PTS";((INDEX(ALLCLASSDATA,MATCH("SubclassAbility1-L15",CLASSFEATUREHEADERS,0),MATCH(($A219 &amp; "Points"),CLASSNAMEHEADERS,0))))}</f>
        <v>SUBCLASSABILITY1-L15PTS</v>
      </c>
      <c r="V218" s="76"/>
      <c r="W218" s="76" t="str">
        <f t="array" ref="W218:W219">{"SUBCLASSABILITY1-L17PTS";((INDEX(ALLCLASSDATA,MATCH("SubclassAbility1-L17",CLASSFEATUREHEADERS,0),MATCH(($A219 &amp; "Points"),CLASSNAMEHEADERS,0))))}</f>
        <v>SUBCLASSABILITY1-L17PTS</v>
      </c>
      <c r="X218" s="76"/>
      <c r="Y218" s="76" t="str">
        <f t="array" ref="Y218:Y219">{"SUBCLASSABILITY1-L19PTS";((INDEX(ALLCLASSDATA,MATCH("SubclassAbility1-L19",CLASSFEATUREHEADERS,0),MATCH(($A219 &amp; "Points"),CLASSNAMEHEADERS,0))))}</f>
        <v>SUBCLASSABILITY1-L19PTS</v>
      </c>
      <c r="Z218" s="76"/>
      <c r="AA218" s="76"/>
      <c r="AB218" s="76" t="str">
        <f t="array" ref="AB218:AB219">{"SUBCLASSABILITY1 TOTAL";(sum(F219:Z219))}</f>
        <v>SUBCLASSABILITY1 TOTAL</v>
      </c>
    </row>
    <row r="219">
      <c r="A219" s="48" t="s">
        <v>225</v>
      </c>
      <c r="B219" s="48" t="s">
        <v>418</v>
      </c>
      <c r="C219" s="48" t="s">
        <v>930</v>
      </c>
      <c r="D219" s="28" t="s">
        <v>1355</v>
      </c>
      <c r="E219" s="5"/>
      <c r="F219" s="47"/>
      <c r="G219" s="5"/>
      <c r="H219" s="5"/>
      <c r="I219" s="5"/>
      <c r="J219" s="5"/>
      <c r="K219" s="5"/>
      <c r="L219" s="5"/>
      <c r="M219" s="5"/>
      <c r="N219" s="5"/>
      <c r="O219" s="5"/>
      <c r="P219" s="5"/>
      <c r="Q219" s="5"/>
      <c r="R219" s="5"/>
      <c r="S219" s="5"/>
      <c r="T219" s="5"/>
      <c r="U219" s="5"/>
      <c r="V219" s="5"/>
      <c r="W219" s="5"/>
      <c r="X219" s="5"/>
      <c r="Y219" s="5"/>
      <c r="Z219" s="5"/>
      <c r="AA219" s="5"/>
      <c r="AB219" s="47">
        <v>0.0</v>
      </c>
    </row>
    <row r="220" hidden="1">
      <c r="A220" s="76" t="str">
        <f t="array" ref="A220:A221">{"FormulaRow18";(INDEX(CLASSLIST,A185,1))}</f>
        <v>FormulaRow18</v>
      </c>
      <c r="B220" s="76" t="str">
        <f t="array" ref="B220:B221">{"CLASSTYPE";((INDEX(ALLCLASSDATA,MATCH("ClassType",CLASSFEATUREHEADERS,0),MATCH($A221,CLASSNAMEHEADERS,0))))}</f>
        <v>CLASSTYPE</v>
      </c>
      <c r="C220" s="76" t="str">
        <f t="array" ref="C220:C221">{"CLASSABILITY";"ClassAbility"}</f>
        <v>CLASSABILITY</v>
      </c>
      <c r="D220" s="76" t="str">
        <f t="array" ref="D220:D221">{"SUBCLASSABILITY2";"SubclassAbility2"}</f>
        <v>SUBCLASSABILITY2</v>
      </c>
      <c r="E220" s="76"/>
      <c r="F220" s="76"/>
      <c r="G220" s="76"/>
      <c r="H220" s="76"/>
      <c r="I220" s="76" t="str">
        <f t="array" ref="I220:I221">{"SUBCLASSABILITY2-L03";((INDEX(ALLCLASSDATA,MATCH("SubclassAbility2-L03",CLASSFEATUREHEADERS,0),MATCH(($A221),CLASSNAMEHEADERS,0))))}</f>
        <v>SUBCLASSABILITY2-L03</v>
      </c>
      <c r="J220" s="76"/>
      <c r="K220" s="76" t="str">
        <f t="array" ref="K220:K221">{"SUBCLASSABILITY2-L05";((INDEX(ALLCLASSDATA,MATCH("SubclassAbility2-L05",CLASSFEATUREHEADERS,0),MATCH(($A221),CLASSNAMEHEADERS,0))))}</f>
        <v>SUBCLASSABILITY2-L05</v>
      </c>
      <c r="L220" s="76"/>
      <c r="M220" s="76" t="str">
        <f t="array" ref="M220:M221">{"SUBCLASSABILITY2-L07";((INDEX(ALLCLASSDATA,MATCH("SubclassAbility2-L07",CLASSFEATUREHEADERS,0),MATCH(($A221),CLASSNAMEHEADERS,0))))}</f>
        <v>SUBCLASSABILITY2-L07</v>
      </c>
      <c r="N220" s="76"/>
      <c r="O220" s="76" t="str">
        <f t="array" ref="O220:O221">{"SUBCLASSABILITY2-L09";((INDEX(ALLCLASSDATA,MATCH("SubclassAbility2-L09",CLASSFEATUREHEADERS,0),MATCH(($A221),CLASSNAMEHEADERS,0))))}</f>
        <v>SUBCLASSABILITY2-L09</v>
      </c>
      <c r="P220" s="76"/>
      <c r="Q220" s="76" t="str">
        <f t="array" ref="Q220:Q221">{"SUBCLASSABILITY2-L11";((INDEX(ALLCLASSDATA,MATCH("SubclassAbility2-L11",CLASSFEATUREHEADERS,0),MATCH(($A221),CLASSNAMEHEADERS,0))))}</f>
        <v>SUBCLASSABILITY2-L11</v>
      </c>
      <c r="R220" s="76"/>
      <c r="S220" s="76" t="str">
        <f t="array" ref="S220:S221">{"SUBCLASSABILITY2-L13";((INDEX(ALLCLASSDATA,MATCH("SubclassAbility2-L13",CLASSFEATUREHEADERS,0),MATCH(($A221),CLASSNAMEHEADERS,0))))}</f>
        <v>SUBCLASSABILITY2-L13</v>
      </c>
      <c r="T220" s="76"/>
      <c r="U220" s="76" t="str">
        <f t="array" ref="U220:U221">{"SUBCLASSABILITY2-L15";((INDEX(ALLCLASSDATA,MATCH("SubclassAbility2-L15",CLASSFEATUREHEADERS,0),MATCH(($A221),CLASSNAMEHEADERS,0))))}</f>
        <v>SUBCLASSABILITY2-L15</v>
      </c>
      <c r="V220" s="76"/>
      <c r="W220" s="76" t="str">
        <f t="array" ref="W220:W221">{"SUBCLASSABILITY2-L17";((INDEX(ALLCLASSDATA,MATCH("SubclassAbility2-L17",CLASSFEATUREHEADERS,0),MATCH(($A221),CLASSNAMEHEADERS,0))))}</f>
        <v>SUBCLASSABILITY2-L17</v>
      </c>
      <c r="X220" s="76"/>
      <c r="Y220" s="76" t="str">
        <f t="array" ref="Y220:Y221">{"SUBCLASSABILITY2-L19";((INDEX(ALLCLASSDATA,MATCH("SubclassAbility2-L19",CLASSFEATUREHEADERS,0),MATCH(($A221),CLASSNAMEHEADERS,0))))}</f>
        <v>SUBCLASSABILITY2-L19</v>
      </c>
      <c r="Z220" s="76"/>
      <c r="AA220" s="76"/>
      <c r="AB220" s="76"/>
    </row>
    <row r="221">
      <c r="A221" s="48" t="s">
        <v>225</v>
      </c>
      <c r="B221" s="48" t="s">
        <v>418</v>
      </c>
      <c r="C221" s="48" t="s">
        <v>825</v>
      </c>
      <c r="D221" s="28" t="s">
        <v>1370</v>
      </c>
      <c r="E221" s="5"/>
      <c r="F221" s="47"/>
      <c r="G221" s="5"/>
      <c r="H221" s="5"/>
      <c r="I221" s="5"/>
      <c r="J221" s="5"/>
      <c r="K221" s="5"/>
      <c r="L221" s="5"/>
      <c r="M221" s="5"/>
      <c r="N221" s="5"/>
      <c r="O221" s="5"/>
      <c r="P221" s="5"/>
      <c r="Q221" s="5"/>
      <c r="R221" s="5"/>
      <c r="S221" s="5"/>
      <c r="T221" s="5"/>
      <c r="U221" s="5"/>
      <c r="V221" s="5"/>
      <c r="W221" s="5"/>
      <c r="X221" s="5"/>
      <c r="Y221" s="5"/>
      <c r="Z221" s="5"/>
      <c r="AA221" s="5"/>
      <c r="AB221" s="47"/>
    </row>
    <row r="222" hidden="1">
      <c r="A222" s="76" t="str">
        <f t="array" ref="A222:A223">{"FormulaRow19";(INDEX(CLASSLIST,A185,1))}</f>
        <v>FormulaRow19</v>
      </c>
      <c r="B222" s="76" t="str">
        <f t="array" ref="B222:B223">{"CLASSTYPE";((INDEX(ALLCLASSDATA,MATCH("ClassType",CLASSFEATUREHEADERS,0),MATCH($A223,CLASSNAMEHEADERS,0))))}</f>
        <v>CLASSTYPE</v>
      </c>
      <c r="C222" s="76" t="str">
        <f t="array" ref="C222:C223">{"CLASSABILITYPTS";"ClassAbilityPts"}</f>
        <v>CLASSABILITYPTS</v>
      </c>
      <c r="D222" s="76" t="str">
        <f t="array" ref="D222:D223">{"SUBCLASSABILITY2";"SubclassAbility2"}</f>
        <v>SUBCLASSABILITY2</v>
      </c>
      <c r="E222" s="76"/>
      <c r="F222" s="76"/>
      <c r="G222" s="76"/>
      <c r="H222" s="76"/>
      <c r="I222" s="76" t="str">
        <f t="array" ref="I222:I223">{"SUBCLASSABILITY2-L03PTS";((INDEX(ALLCLASSDATA,MATCH("SubclassAbility2-L03",CLASSFEATUREHEADERS,0),MATCH(($A223 &amp; "Points"),CLASSNAMEHEADERS,0))))}</f>
        <v>SUBCLASSABILITY2-L03PTS</v>
      </c>
      <c r="J222" s="76"/>
      <c r="K222" s="76" t="str">
        <f t="array" ref="K222:K223">{"SUBCLASSABILITY2-L05PTS";((INDEX(ALLCLASSDATA,MATCH("SubclassAbility2-L05",CLASSFEATUREHEADERS,0),MATCH(($A223 &amp; "Points"),CLASSNAMEHEADERS,0))))}</f>
        <v>SUBCLASSABILITY2-L05PTS</v>
      </c>
      <c r="L222" s="76"/>
      <c r="M222" s="76" t="str">
        <f t="array" ref="M222:M223">{"SUBCLASSABILITY2-L07PTS";((INDEX(ALLCLASSDATA,MATCH("SubclassAbility2-L07",CLASSFEATUREHEADERS,0),MATCH(($A223 &amp; "Points"),CLASSNAMEHEADERS,0))))}</f>
        <v>SUBCLASSABILITY2-L07PTS</v>
      </c>
      <c r="N222" s="76"/>
      <c r="O222" s="76" t="str">
        <f t="array" ref="O222:O223">{"SUBCLASSABILITY2-L09PTS";((INDEX(ALLCLASSDATA,MATCH("SubclassAbility2-L09",CLASSFEATUREHEADERS,0),MATCH(($A223 &amp; "Points"),CLASSNAMEHEADERS,0))))}</f>
        <v>SUBCLASSABILITY2-L09PTS</v>
      </c>
      <c r="P222" s="76"/>
      <c r="Q222" s="76" t="str">
        <f t="array" ref="Q222:Q223">{"SUBCLASSABILITY2-L11PTS";((INDEX(ALLCLASSDATA,MATCH("SubclassAbility2-L11",CLASSFEATUREHEADERS,0),MATCH(($A223 &amp; "Points"),CLASSNAMEHEADERS,0))))}</f>
        <v>SUBCLASSABILITY2-L11PTS</v>
      </c>
      <c r="R222" s="76"/>
      <c r="S222" s="76" t="str">
        <f t="array" ref="S222:S223">{"SUBCLASSABILITY2-L13PTS";((INDEX(ALLCLASSDATA,MATCH("SubclassAbility2-L13",CLASSFEATUREHEADERS,0),MATCH(($A223 &amp; "Points"),CLASSNAMEHEADERS,0))))}</f>
        <v>SUBCLASSABILITY2-L13PTS</v>
      </c>
      <c r="T222" s="76"/>
      <c r="U222" s="76" t="str">
        <f t="array" ref="U222:U223">{"SUBCLASSABILITY2-L15PTS";((INDEX(ALLCLASSDATA,MATCH("SubclassAbility2-L15",CLASSFEATUREHEADERS,0),MATCH(($A223 &amp; "Points"),CLASSNAMEHEADERS,0))))}</f>
        <v>SUBCLASSABILITY2-L15PTS</v>
      </c>
      <c r="V222" s="76"/>
      <c r="W222" s="76" t="str">
        <f t="array" ref="W222:W223">{"SUBCLASSABILITY2-L17PTS";((INDEX(ALLCLASSDATA,MATCH("SubclassAbility2-L17",CLASSFEATUREHEADERS,0),MATCH(($A223 &amp; "Points"),CLASSNAMEHEADERS,0))))}</f>
        <v>SUBCLASSABILITY2-L17PTS</v>
      </c>
      <c r="X222" s="76"/>
      <c r="Y222" s="76" t="str">
        <f t="array" ref="Y222:Y223">{"SUBCLASSABILITY2-L19PTS";((INDEX(ALLCLASSDATA,MATCH("SubclassAbility2-L19",CLASSFEATUREHEADERS,0),MATCH(($A223 &amp; "Points"),CLASSNAMEHEADERS,0))))}</f>
        <v>SUBCLASSABILITY2-L19PTS</v>
      </c>
      <c r="Z222" s="76"/>
      <c r="AA222" s="76"/>
      <c r="AB222" s="76" t="str">
        <f t="array" ref="AB222:AB223">{"SUBCLASSABILITY2 TOTAL";(sum(F223:Z223))}</f>
        <v>SUBCLASSABILITY2 TOTAL</v>
      </c>
    </row>
    <row r="223">
      <c r="A223" s="48" t="s">
        <v>225</v>
      </c>
      <c r="B223" s="48" t="s">
        <v>418</v>
      </c>
      <c r="C223" s="97" t="s">
        <v>930</v>
      </c>
      <c r="D223" s="215" t="s">
        <v>1370</v>
      </c>
      <c r="E223" s="98"/>
      <c r="F223" s="132"/>
      <c r="G223" s="98"/>
      <c r="H223" s="98"/>
      <c r="I223" s="98"/>
      <c r="J223" s="98"/>
      <c r="K223" s="98"/>
      <c r="L223" s="98"/>
      <c r="M223" s="98"/>
      <c r="N223" s="98"/>
      <c r="O223" s="98"/>
      <c r="P223" s="98"/>
      <c r="Q223" s="98"/>
      <c r="R223" s="98"/>
      <c r="S223" s="98"/>
      <c r="T223" s="98"/>
      <c r="U223" s="98"/>
      <c r="V223" s="98"/>
      <c r="W223" s="98"/>
      <c r="X223" s="98"/>
      <c r="Y223" s="98"/>
      <c r="Z223" s="98"/>
      <c r="AA223" s="5"/>
      <c r="AB223" s="47">
        <v>0.0</v>
      </c>
    </row>
    <row r="224" hidden="1">
      <c r="A224" s="76" t="str">
        <f t="array" ref="A224:A225">{"FormulaRow20";(INDEX(CLASSLIST,A185,1))}</f>
        <v>FormulaRow20</v>
      </c>
      <c r="B224" s="76" t="str">
        <f t="array" ref="B224:B225">{"CLASSTYPE";((INDEX(ALLCLASSDATA,MATCH("ClassType",CLASSFEATUREHEADERS,0),MATCH($A225,CLASSNAMEHEADERS,0))))}</f>
        <v>CLASSTYPE</v>
      </c>
      <c r="C224" s="81" t="str">
        <f t="array" ref="C224:C225">{"DC";"DC"}</f>
        <v>DC</v>
      </c>
      <c r="D224" s="81" t="str">
        <f t="array" ref="D224:D225">{"CLASSDC";"ClassDC"}</f>
        <v>CLASSDC</v>
      </c>
      <c r="E224" s="81" t="str">
        <f t="array" ref="E224:E225">{"CLASSDCINITIAL";((IF(G225=10,"T",(IF(G225=50,"E","")))))}</f>
        <v>CLASSDCINITIAL</v>
      </c>
      <c r="F224" s="81" t="str">
        <f t="array" ref="F224:F225">{"CLASSDCINITIALPTS";((IF("00"=(INDEX(ALLCLASSDATA,MATCH("ClassDCLegendary",CLASSFEATUREHEADERS,0),MATCH($A225,CLASSNAMEHEADERS,0))),(INDEX(ALLCLASSDATA,MATCH("ClassDCLegendary",CLASSFEATUREHEADERS,0),MATCH(($A225 &amp; "Points"),CLASSNAMEHEADERS,0))),(IF("00"=(INDEX(ALLCLASSDATA,MATCH("ClassDCMaster",CLASSFEATUREHEADERS,0),MATCH($A225,CLASSNAMEHEADERS,0))),(INDEX(ALLCLASSDATA,MATCH("ClassDCMaster",CLASSFEATUREHEADERS,0),MATCH(($A225 &amp; "Points"),CLASSNAMEHEADERS,0))),(IF("00"=(INDEX(ALLCLASSDATA,MATCH("ClassDCExpert",CLASSFEATUREHEADERS,0),MATCH($A225,CLASSNAMEHEADERS,0))),(INDEX(ALLCLASSDATA,MATCH("ClassDCExpert",CLASSFEATUREHEADERS,0),MATCH(($A225 &amp; "Points"),CLASSNAMEHEADERS,0))),(IF("00"=(INDEX(ALLCLASSDATA,MATCH("ClassDCTrained",CLASSFEATUREHEADERS,0),MATCH($A225,CLASSNAMEHEADERS,0))),(INDEX(ALLCLASSDATA,MATCH("ClassDCTrained",CLASSFEATUREHEADERS,0),MATCH(($A225 &amp; "Points"),CLASSNAMEHEADERS,0))),"")))))))))}</f>
        <v>CLASSDCINITIALPTS</v>
      </c>
      <c r="G224" s="81" t="str">
        <f t="array" ref="G224:G225">{"CLASSDCL01";((IF("01"=(INDEX(ALLCLASSDATA,MATCH("ClassDCLegendary",CLASSFEATUREHEADERS,0),MATCH($A225,CLASSNAMEHEADERS,0))),(INDEX(ALLCLASSDATA,MATCH("ClassDCLegendary",CLASSFEATUREHEADERS,0),MATCH(($A225 &amp; "Points"),CLASSNAMEHEADERS,0))),(IF("01"=(INDEX(ALLCLASSDATA,MATCH("ClassDCMaster",CLASSFEATUREHEADERS,0),MATCH($A225,CLASSNAMEHEADERS,0))),(INDEX(ALLCLASSDATA,MATCH("ClassDCMaster",CLASSFEATUREHEADERS,0),MATCH(($A225 &amp; "Points"),CLASSNAMEHEADERS,0))),(IF("01"=(INDEX(ALLCLASSDATA,MATCH("ClassDCExpert",CLASSFEATUREHEADERS,0),MATCH($A225,CLASSNAMEHEADERS,0))),(INDEX(ALLCLASSDATA,MATCH("ClassDCExpert",CLASSFEATUREHEADERS,0),MATCH(($A225 &amp; "Points"),CLASSNAMEHEADERS,0))),(IF("01"=(INDEX(ALLCLASSDATA,MATCH("ClassDCTrained",CLASSFEATUREHEADERS,0),MATCH($A225,CLASSNAMEHEADERS,0))),(INDEX(ALLCLASSDATA,MATCH("ClassDCTrained",CLASSFEATUREHEADERS,0),MATCH(($A225 &amp; "Points"),CLASSNAMEHEADERS,0))),"")))))))))}</f>
        <v>CLASSDCL01</v>
      </c>
      <c r="H224" s="81"/>
      <c r="I224" s="81" t="str">
        <f t="array" ref="I224:I225">{"CLASSDCL03";((IF("03"=(INDEX(ALLCLASSDATA,MATCH("ClassDCLegendary",CLASSFEATUREHEADERS,0),MATCH($A225,CLASSNAMEHEADERS,0))),(INDEX(ALLCLASSDATA,MATCH("ClassDCLegendary",CLASSFEATUREHEADERS,0),MATCH(($A225 &amp; "Points"),CLASSNAMEHEADERS,0))),(IF("03"=(INDEX(ALLCLASSDATA,MATCH("ClassDCMaster",CLASSFEATUREHEADERS,0),MATCH($A225,CLASSNAMEHEADERS,0))),(INDEX(ALLCLASSDATA,MATCH("ClassDCMaster",CLASSFEATUREHEADERS,0),MATCH(($A225 &amp; "Points"),CLASSNAMEHEADERS,0))),(IF("03"=(INDEX(ALLCLASSDATA,MATCH("ClassDCExpert",CLASSFEATUREHEADERS,0),MATCH($A225,CLASSNAMEHEADERS,0))),(INDEX(ALLCLASSDATA,MATCH("ClassDCExpert",CLASSFEATUREHEADERS,0),MATCH(($A225 &amp; "Points"),CLASSNAMEHEADERS,0))),(IF("03"=(INDEX(ALLCLASSDATA,MATCH("ClassDCTrained",CLASSFEATUREHEADERS,0),MATCH($A225,CLASSNAMEHEADERS,0))),(INDEX(ALLCLASSDATA,MATCH("ClassDCTrained",CLASSFEATUREHEADERS,0),MATCH(($A225 &amp; "Points"),CLASSNAMEHEADERS,0))),"")))))))))}</f>
        <v>CLASSDCL03</v>
      </c>
      <c r="J224" s="81"/>
      <c r="K224" s="81" t="str">
        <f t="array" ref="K224:K225">{"CLASSDCL05";((IF("05"=(INDEX(ALLCLASSDATA,MATCH("ClassDCLegendary",CLASSFEATUREHEADERS,0),MATCH($A225,CLASSNAMEHEADERS,0))),(INDEX(ALLCLASSDATA,MATCH("ClassDCLegendary",CLASSFEATUREHEADERS,0),MATCH(($A225 &amp; "Points"),CLASSNAMEHEADERS,0))),(IF("05"=(INDEX(ALLCLASSDATA,MATCH("ClassDCMaster",CLASSFEATUREHEADERS,0),MATCH($A225,CLASSNAMEHEADERS,0))),(INDEX(ALLCLASSDATA,MATCH("ClassDCMaster",CLASSFEATUREHEADERS,0),MATCH(($A225 &amp; "Points"),CLASSNAMEHEADERS,0))),(IF("05"=(INDEX(ALLCLASSDATA,MATCH("ClassDCExpert",CLASSFEATUREHEADERS,0),MATCH($A225,CLASSNAMEHEADERS,0))),(INDEX(ALLCLASSDATA,MATCH("ClassDCExpert",CLASSFEATUREHEADERS,0),MATCH(($A225 &amp; "Points"),CLASSNAMEHEADERS,0))),(IF("05"=(INDEX(ALLCLASSDATA,MATCH("ClassDCTrained",CLASSFEATUREHEADERS,0),MATCH($A225,CLASSNAMEHEADERS,0))),(INDEX(ALLCLASSDATA,MATCH("ClassDCTrained",CLASSFEATUREHEADERS,0),MATCH(($A225 &amp; "Points"),CLASSNAMEHEADERS,0))),"")))))))))}</f>
        <v>CLASSDCL05</v>
      </c>
      <c r="L224" s="81"/>
      <c r="M224" s="81" t="str">
        <f t="array" ref="M224:M225">{"CLASSDCL07";((IF("07"=(INDEX(ALLCLASSDATA,MATCH("ClassDCLegendary",CLASSFEATUREHEADERS,0),MATCH($A225,CLASSNAMEHEADERS,0))),(INDEX(ALLCLASSDATA,MATCH("ClassDCLegendary",CLASSFEATUREHEADERS,0),MATCH(($A225 &amp; "Points"),CLASSNAMEHEADERS,0))),(IF("07"=(INDEX(ALLCLASSDATA,MATCH("ClassDCMaster",CLASSFEATUREHEADERS,0),MATCH($A225,CLASSNAMEHEADERS,0))),(INDEX(ALLCLASSDATA,MATCH("ClassDCMaster",CLASSFEATUREHEADERS,0),MATCH(($A225 &amp; "Points"),CLASSNAMEHEADERS,0))),(IF("07"=(INDEX(ALLCLASSDATA,MATCH("ClassDCExpert",CLASSFEATUREHEADERS,0),MATCH($A225,CLASSNAMEHEADERS,0))),(INDEX(ALLCLASSDATA,MATCH("ClassDCExpert",CLASSFEATUREHEADERS,0),MATCH(($A225 &amp; "Points"),CLASSNAMEHEADERS,0))),(IF("07"=(INDEX(ALLCLASSDATA,MATCH("ClassDCTrained",CLASSFEATUREHEADERS,0),MATCH($A225,CLASSNAMEHEADERS,0))),(INDEX(ALLCLASSDATA,MATCH("ClassDCTrained",CLASSFEATUREHEADERS,0),MATCH(($A225 &amp; "Points"),CLASSNAMEHEADERS,0))),"")))))))))}</f>
        <v>CLASSDCL07</v>
      </c>
      <c r="N224" s="81"/>
      <c r="O224" s="81" t="str">
        <f t="array" ref="O224:O225">{"CLASSDCL09";((IF("09"=(INDEX(ALLCLASSDATA,MATCH("ClassDCLegendary",CLASSFEATUREHEADERS,0),MATCH($A225,CLASSNAMEHEADERS,0))),(INDEX(ALLCLASSDATA,MATCH("ClassDCLegendary",CLASSFEATUREHEADERS,0),MATCH(($A225 &amp; "Points"),CLASSNAMEHEADERS,0))),(IF("09"=(INDEX(ALLCLASSDATA,MATCH("ClassDCMaster",CLASSFEATUREHEADERS,0),MATCH($A225,CLASSNAMEHEADERS,0))),(INDEX(ALLCLASSDATA,MATCH("ClassDCMaster",CLASSFEATUREHEADERS,0),MATCH(($A225 &amp; "Points"),CLASSNAMEHEADERS,0))),(IF("09"=(INDEX(ALLCLASSDATA,MATCH("ClassDCExpert",CLASSFEATUREHEADERS,0),MATCH($A225,CLASSNAMEHEADERS,0))),(INDEX(ALLCLASSDATA,MATCH("ClassDCExpert",CLASSFEATUREHEADERS,0),MATCH(($A225 &amp; "Points"),CLASSNAMEHEADERS,0))),(IF("09"=(INDEX(ALLCLASSDATA,MATCH("ClassDCTrained",CLASSFEATUREHEADERS,0),MATCH($A225,CLASSNAMEHEADERS,0))),(INDEX(ALLCLASSDATA,MATCH("ClassDCTrained",CLASSFEATUREHEADERS,0),MATCH(($A225 &amp; "Points"),CLASSNAMEHEADERS,0))),"")))))))))}</f>
        <v>CLASSDCL09</v>
      </c>
      <c r="P224" s="81"/>
      <c r="Q224" s="81" t="str">
        <f t="array" ref="Q224:Q225">{"CLASSDCL11";((IF("11"=(INDEX(ALLCLASSDATA,MATCH("ClassDCLegendary",CLASSFEATUREHEADERS,0),MATCH($A225,CLASSNAMEHEADERS,0))),(INDEX(ALLCLASSDATA,MATCH("ClassDCLegendary",CLASSFEATUREHEADERS,0),MATCH(($A225 &amp; "Points"),CLASSNAMEHEADERS,0))),(IF("11"=(INDEX(ALLCLASSDATA,MATCH("ClassDCMaster",CLASSFEATUREHEADERS,0),MATCH($A225,CLASSNAMEHEADERS,0))),(INDEX(ALLCLASSDATA,MATCH("ClassDCMaster",CLASSFEATUREHEADERS,0),MATCH(($A225 &amp; "Points"),CLASSNAMEHEADERS,0))),(IF("11"=(INDEX(ALLCLASSDATA,MATCH("ClassDCExpert",CLASSFEATUREHEADERS,0),MATCH($A225,CLASSNAMEHEADERS,0))),(INDEX(ALLCLASSDATA,MATCH("ClassDCExpert",CLASSFEATUREHEADERS,0),MATCH(($A225 &amp; "Points"),CLASSNAMEHEADERS,0))),(IF("11"=(INDEX(ALLCLASSDATA,MATCH("ClassDCTrained",CLASSFEATUREHEADERS,0),MATCH($A225,CLASSNAMEHEADERS,0))),(INDEX(ALLCLASSDATA,MATCH("ClassDCTrained",CLASSFEATUREHEADERS,0),MATCH(($A225 &amp; "Points"),CLASSNAMEHEADERS,0))),"")))))))))}</f>
        <v>CLASSDCL11</v>
      </c>
      <c r="R224" s="81"/>
      <c r="S224" s="81" t="str">
        <f t="array" ref="S224:S225">{"CLASSDCL13";((IF("13"=(INDEX(ALLCLASSDATA,MATCH("ClassDCLegendary",CLASSFEATUREHEADERS,0),MATCH($A225,CLASSNAMEHEADERS,0))),(INDEX(ALLCLASSDATA,MATCH("ClassDCLegendary",CLASSFEATUREHEADERS,0),MATCH(($A225 &amp; "Points"),CLASSNAMEHEADERS,0))),(IF("13"=(INDEX(ALLCLASSDATA,MATCH("ClassDCMaster",CLASSFEATUREHEADERS,0),MATCH($A225,CLASSNAMEHEADERS,0))),(INDEX(ALLCLASSDATA,MATCH("ClassDCMaster",CLASSFEATUREHEADERS,0),MATCH(($A225 &amp; "Points"),CLASSNAMEHEADERS,0))),(IF("13"=(INDEX(ALLCLASSDATA,MATCH("ClassDCExpert",CLASSFEATUREHEADERS,0),MATCH($A225,CLASSNAMEHEADERS,0))),(INDEX(ALLCLASSDATA,MATCH("ClassDCExpert",CLASSFEATUREHEADERS,0),MATCH(($A225 &amp; "Points"),CLASSNAMEHEADERS,0))),(IF("13"=(INDEX(ALLCLASSDATA,MATCH("ClassDCTrained",CLASSFEATUREHEADERS,0),MATCH($A225,CLASSNAMEHEADERS,0))),(INDEX(ALLCLASSDATA,MATCH("ClassDCTrained",CLASSFEATUREHEADERS,0),MATCH(($A225 &amp; "Points"),CLASSNAMEHEADERS,0))),"")))))))))}</f>
        <v>CLASSDCL13</v>
      </c>
      <c r="T224" s="81"/>
      <c r="U224" s="81" t="str">
        <f t="array" ref="U224:U225">{"CLASSDCL15";((IF("15"=(INDEX(ALLCLASSDATA,MATCH("ClassDCLegendary",CLASSFEATUREHEADERS,0),MATCH($A225,CLASSNAMEHEADERS,0))),(INDEX(ALLCLASSDATA,MATCH("ClassDCLegendary",CLASSFEATUREHEADERS,0),MATCH(($A225 &amp; "Points"),CLASSNAMEHEADERS,0))),(IF("15"=(INDEX(ALLCLASSDATA,MATCH("ClassDCMaster",CLASSFEATUREHEADERS,0),MATCH($A225,CLASSNAMEHEADERS,0))),(INDEX(ALLCLASSDATA,MATCH("ClassDCMaster",CLASSFEATUREHEADERS,0),MATCH(($A225 &amp; "Points"),CLASSNAMEHEADERS,0))),(IF("15"=(INDEX(ALLCLASSDATA,MATCH("ClassDCExpert",CLASSFEATUREHEADERS,0),MATCH($A225,CLASSNAMEHEADERS,0))),(INDEX(ALLCLASSDATA,MATCH("ClassDCExpert",CLASSFEATUREHEADERS,0),MATCH(($A225 &amp; "Points"),CLASSNAMEHEADERS,0))),(IF("15"=(INDEX(ALLCLASSDATA,MATCH("ClassDCTrained",CLASSFEATUREHEADERS,0),MATCH($A225,CLASSNAMEHEADERS,0))),(INDEX(ALLCLASSDATA,MATCH("ClassDCTrained",CLASSFEATUREHEADERS,0),MATCH(($A225 &amp; "Points"),CLASSNAMEHEADERS,0))),"")))))))))}</f>
        <v>CLASSDCL15</v>
      </c>
      <c r="V224" s="81"/>
      <c r="W224" s="81" t="str">
        <f t="array" ref="W224:W225">{"CLASSDCL17";((IF("17"=(INDEX(ALLCLASSDATA,MATCH("ClassDCLegendary",CLASSFEATUREHEADERS,0),MATCH($A225,CLASSNAMEHEADERS,0))),(INDEX(ALLCLASSDATA,MATCH("ClassDCLegendary",CLASSFEATUREHEADERS,0),MATCH(($A225 &amp; "Points"),CLASSNAMEHEADERS,0))),(IF("17"=(INDEX(ALLCLASSDATA,MATCH("ClassDCMaster",CLASSFEATUREHEADERS,0),MATCH($A225,CLASSNAMEHEADERS,0))),(INDEX(ALLCLASSDATA,MATCH("ClassDCMaster",CLASSFEATUREHEADERS,0),MATCH(($A225 &amp; "Points"),CLASSNAMEHEADERS,0))),(IF("17"=(INDEX(ALLCLASSDATA,MATCH("ClassDCExpert",CLASSFEATUREHEADERS,0),MATCH($A225,CLASSNAMEHEADERS,0))),(INDEX(ALLCLASSDATA,MATCH("ClassDCExpert",CLASSFEATUREHEADERS,0),MATCH(($A225 &amp; "Points"),CLASSNAMEHEADERS,0))),(IF("17"=(INDEX(ALLCLASSDATA,MATCH("ClassDCTrained",CLASSFEATUREHEADERS,0),MATCH($A225,CLASSNAMEHEADERS,0))),(INDEX(ALLCLASSDATA,MATCH("ClassDCTrained",CLASSFEATUREHEADERS,0),MATCH(($A225 &amp; "Points"),CLASSNAMEHEADERS,0))),"")))))))))}</f>
        <v>CLASSDCL17</v>
      </c>
      <c r="X224" s="81"/>
      <c r="Y224" s="81" t="str">
        <f t="array" ref="Y224:Y225">{"CLASSDCL19";((IF("19"=(INDEX(ALLCLASSDATA,MATCH("ClassDCLegendary",CLASSFEATUREHEADERS,0),MATCH($A225,CLASSNAMEHEADERS,0))),(INDEX(ALLCLASSDATA,MATCH("ClassDCLegendary",CLASSFEATUREHEADERS,0),MATCH(($A225 &amp; "Points"),CLASSNAMEHEADERS,0))),(IF("19"=(INDEX(ALLCLASSDATA,MATCH("ClassDCMaster",CLASSFEATUREHEADERS,0),MATCH($A225,CLASSNAMEHEADERS,0))),(INDEX(ALLCLASSDATA,MATCH("ClassDCMaster",CLASSFEATUREHEADERS,0),MATCH(($A225 &amp; "Points"),CLASSNAMEHEADERS,0))),(IF("19"=(INDEX(ALLCLASSDATA,MATCH("ClassDCExpert",CLASSFEATUREHEADERS,0),MATCH($A225,CLASSNAMEHEADERS,0))),(INDEX(ALLCLASSDATA,MATCH("ClassDCExpert",CLASSFEATUREHEADERS,0),MATCH(($A225 &amp; "Points"),CLASSNAMEHEADERS,0))),(IF("19"=(INDEX(ALLCLASSDATA,MATCH("ClassDCTrained",CLASSFEATUREHEADERS,0),MATCH($A225,CLASSNAMEHEADERS,0))),(INDEX(ALLCLASSDATA,MATCH("ClassDCTrained",CLASSFEATUREHEADERS,0),MATCH(($A225 &amp; "Points"),CLASSNAMEHEADERS,0))),"")))))))))}</f>
        <v>CLASSDCL19</v>
      </c>
      <c r="Z224" s="81"/>
      <c r="AA224" s="76" t="str">
        <f t="array" ref="AA224:AA225">{"CLASSDC TOTAL";(IF(COUNTBLANK(F225:Z225)=17,"L",(IF(COUNTBLANK(F225:Z225)=18,"M",(IF(COUNTBLANK(F225:Z225)=19,"E",(IF(COUNTBLANK(F225:Z225)=20,"T",""))))))))}</f>
        <v>CLASSDC TOTAL</v>
      </c>
      <c r="AB224" s="76" t="str">
        <f t="array" ref="AB224:AB225">{"CLASSDC TOTAL";(sum(F225:Z225))}</f>
        <v>CLASSDC TOTAL</v>
      </c>
    </row>
    <row r="225">
      <c r="A225" s="48" t="s">
        <v>225</v>
      </c>
      <c r="B225" s="48" t="s">
        <v>418</v>
      </c>
      <c r="C225" s="48" t="s">
        <v>1465</v>
      </c>
      <c r="D225" s="48" t="s">
        <v>1466</v>
      </c>
      <c r="E225" s="5" t="s">
        <v>603</v>
      </c>
      <c r="F225" s="47" t="s">
        <v>603</v>
      </c>
      <c r="G225" s="5" t="s">
        <v>603</v>
      </c>
      <c r="H225" s="5"/>
      <c r="I225" s="5" t="s">
        <v>603</v>
      </c>
      <c r="J225" s="5"/>
      <c r="K225" s="5" t="s">
        <v>603</v>
      </c>
      <c r="L225" s="5"/>
      <c r="M225" s="5" t="s">
        <v>603</v>
      </c>
      <c r="N225" s="5"/>
      <c r="O225" s="5" t="s">
        <v>603</v>
      </c>
      <c r="P225" s="5"/>
      <c r="Q225" s="5" t="s">
        <v>603</v>
      </c>
      <c r="R225" s="5"/>
      <c r="S225" s="5" t="s">
        <v>603</v>
      </c>
      <c r="T225" s="5"/>
      <c r="U225" s="5" t="s">
        <v>603</v>
      </c>
      <c r="V225" s="5"/>
      <c r="W225" s="5" t="s">
        <v>603</v>
      </c>
      <c r="X225" s="5"/>
      <c r="Y225" s="5" t="s">
        <v>603</v>
      </c>
      <c r="Z225" s="5"/>
      <c r="AA225" s="5" t="s">
        <v>603</v>
      </c>
      <c r="AB225" s="47">
        <v>0.0</v>
      </c>
    </row>
    <row r="226" hidden="1">
      <c r="A226" s="222" t="str">
        <f t="array" ref="A226:A227">{"FormulaRow21";(INDEX(CLASSLIST,A185,1))}</f>
        <v>FormulaRow21</v>
      </c>
      <c r="B226" s="222" t="str">
        <f t="array" ref="B226:B227">{"CLASSTYPE";((INDEX(ALLCLASSDATA,MATCH("ClassType",CLASSFEATUREHEADERS,0),MATCH($A227,CLASSNAMEHEADERS,0))))}</f>
        <v>CLASSTYPE</v>
      </c>
      <c r="C226" s="222" t="str">
        <f t="array" ref="C226:C227">{"DC";"DC"}</f>
        <v>DC</v>
      </c>
      <c r="D226" s="222" t="str">
        <f t="array" ref="D226:D227">{"SPELLDC";"SpellDC"}</f>
        <v>SPELLDC</v>
      </c>
      <c r="E226" s="223" t="str">
        <f t="array" ref="E226:E227">{"SPELLDCINITIAL";((IF(G227=10,"T",(IF(G227=50,"E","")))))}</f>
        <v>SPELLDCINITIAL</v>
      </c>
      <c r="F226" s="223" t="str">
        <f t="array" ref="F226:F227">{"SPELLDCINITIALPTS";((IF("00"=(INDEX(ALLCLASSDATA,MATCH("SpellDCLegendary",CLASSFEATUREHEADERS,0),MATCH($A227,CLASSNAMEHEADERS,0))),(INDEX(ALLCLASSDATA,MATCH("SpellDCLegendary",CLASSFEATUREHEADERS,0),MATCH(($A227 &amp; "Points"),CLASSNAMEHEADERS,0))),(IF("00"=(INDEX(ALLCLASSDATA,MATCH("SpellDCMaster",CLASSFEATUREHEADERS,0),MATCH($A227,CLASSNAMEHEADERS,0))),(INDEX(ALLCLASSDATA,MATCH("SpellDCMaster",CLASSFEATUREHEADERS,0),MATCH(($A227 &amp; "Points"),CLASSNAMEHEADERS,0))),(IF("00"=(INDEX(ALLCLASSDATA,MATCH("SpellDCExpert",CLASSFEATUREHEADERS,0),MATCH($A227,CLASSNAMEHEADERS,0))),(INDEX(ALLCLASSDATA,MATCH("SpellDCExpert",CLASSFEATUREHEADERS,0),MATCH(($A227 &amp; "Points"),CLASSNAMEHEADERS,0))),(IF("00"=(INDEX(ALLCLASSDATA,MATCH("SpellDCTrained",CLASSFEATUREHEADERS,0),MATCH($A227,CLASSNAMEHEADERS,0))),(INDEX(ALLCLASSDATA,MATCH("SpellDCTrained",CLASSFEATUREHEADERS,0),MATCH(($A227 &amp; "Points"),CLASSNAMEHEADERS,0))),"")))))))))}</f>
        <v>SPELLDCINITIALPTS</v>
      </c>
      <c r="G226" s="223" t="str">
        <f t="array" ref="G226:G227">{"SPELLDCL01";((IF("01"=(INDEX(ALLCLASSDATA,MATCH("SpellDCLegendary",CLASSFEATUREHEADERS,0),MATCH($A227,CLASSNAMEHEADERS,0))),(INDEX(ALLCLASSDATA,MATCH("SpellDCLegendary",CLASSFEATUREHEADERS,0),MATCH(($A227 &amp; "Points"),CLASSNAMEHEADERS,0))),(IF("01"=(INDEX(ALLCLASSDATA,MATCH("SpellDCMaster",CLASSFEATUREHEADERS,0),MATCH($A227,CLASSNAMEHEADERS,0))),(INDEX(ALLCLASSDATA,MATCH("SpellDCMaster",CLASSFEATUREHEADERS,0),MATCH(($A227 &amp; "Points"),CLASSNAMEHEADERS,0))),(IF("01"=(INDEX(ALLCLASSDATA,MATCH("SpellDCExpert",CLASSFEATUREHEADERS,0),MATCH($A227,CLASSNAMEHEADERS,0))),(INDEX(ALLCLASSDATA,MATCH("SpellDCExpert",CLASSFEATUREHEADERS,0),MATCH(($A227 &amp; "Points"),CLASSNAMEHEADERS,0))),(IF("01"=(INDEX(ALLCLASSDATA,MATCH("SpellDCTrained",CLASSFEATUREHEADERS,0),MATCH($A227,CLASSNAMEHEADERS,0))),(INDEX(ALLCLASSDATA,MATCH("SpellDCTrained",CLASSFEATUREHEADERS,0),MATCH(($A227 &amp; "Points"),CLASSNAMEHEADERS,0))),"")))))))))}</f>
        <v>SPELLDCL01</v>
      </c>
      <c r="H226" s="223"/>
      <c r="I226" s="223" t="str">
        <f t="array" ref="I226:I227">{"SPELLDCL03";((IF("03"=(INDEX(ALLCLASSDATA,MATCH("SpellDCLegendary",CLASSFEATUREHEADERS,0),MATCH($A227,CLASSNAMEHEADERS,0))),(INDEX(ALLCLASSDATA,MATCH("SpellDCLegendary",CLASSFEATUREHEADERS,0),MATCH(($A227 &amp; "Points"),CLASSNAMEHEADERS,0))),(IF("03"=(INDEX(ALLCLASSDATA,MATCH("SpellDCMaster",CLASSFEATUREHEADERS,0),MATCH($A227,CLASSNAMEHEADERS,0))),(INDEX(ALLCLASSDATA,MATCH("SpellDCMaster",CLASSFEATUREHEADERS,0),MATCH(($A227 &amp; "Points"),CLASSNAMEHEADERS,0))),(IF("03"=(INDEX(ALLCLASSDATA,MATCH("SpellDCExpert",CLASSFEATUREHEADERS,0),MATCH($A227,CLASSNAMEHEADERS,0))),(INDEX(ALLCLASSDATA,MATCH("SpellDCExpert",CLASSFEATUREHEADERS,0),MATCH(($A227 &amp; "Points"),CLASSNAMEHEADERS,0))),(IF("03"=(INDEX(ALLCLASSDATA,MATCH("SpellDCTrained",CLASSFEATUREHEADERS,0),MATCH($A227,CLASSNAMEHEADERS,0))),(INDEX(ALLCLASSDATA,MATCH("SpellDCTrained",CLASSFEATUREHEADERS,0),MATCH(($A227 &amp; "Points"),CLASSNAMEHEADERS,0))),"")))))))))}</f>
        <v>SPELLDCL03</v>
      </c>
      <c r="J226" s="223"/>
      <c r="K226" s="223" t="str">
        <f t="array" ref="K226:K227">{"SPELLDCL05";((IF("05"=(INDEX(ALLCLASSDATA,MATCH("SpellDCLegendary",CLASSFEATUREHEADERS,0),MATCH($A227,CLASSNAMEHEADERS,0))),(INDEX(ALLCLASSDATA,MATCH("SpellDCLegendary",CLASSFEATUREHEADERS,0),MATCH(($A227 &amp; "Points"),CLASSNAMEHEADERS,0))),(IF("05"=(INDEX(ALLCLASSDATA,MATCH("SpellDCMaster",CLASSFEATUREHEADERS,0),MATCH($A227,CLASSNAMEHEADERS,0))),(INDEX(ALLCLASSDATA,MATCH("SpellDCMaster",CLASSFEATUREHEADERS,0),MATCH(($A227 &amp; "Points"),CLASSNAMEHEADERS,0))),(IF("05"=(INDEX(ALLCLASSDATA,MATCH("SpellDCExpert",CLASSFEATUREHEADERS,0),MATCH($A227,CLASSNAMEHEADERS,0))),(INDEX(ALLCLASSDATA,MATCH("SpellDCExpert",CLASSFEATUREHEADERS,0),MATCH(($A227 &amp; "Points"),CLASSNAMEHEADERS,0))),(IF("05"=(INDEX(ALLCLASSDATA,MATCH("SpellDCTrained",CLASSFEATUREHEADERS,0),MATCH($A227,CLASSNAMEHEADERS,0))),(INDEX(ALLCLASSDATA,MATCH("SpellDCTrained",CLASSFEATUREHEADERS,0),MATCH(($A227 &amp; "Points"),CLASSNAMEHEADERS,0))),"")))))))))}</f>
        <v>SPELLDCL05</v>
      </c>
      <c r="L226" s="223"/>
      <c r="M226" s="223" t="str">
        <f t="array" ref="M226:M227">{"SPELLDCL07";((IF("07"=(INDEX(ALLCLASSDATA,MATCH("SpellDCLegendary",CLASSFEATUREHEADERS,0),MATCH($A227,CLASSNAMEHEADERS,0))),(INDEX(ALLCLASSDATA,MATCH("SpellDCLegendary",CLASSFEATUREHEADERS,0),MATCH(($A227 &amp; "Points"),CLASSNAMEHEADERS,0))),(IF("07"=(INDEX(ALLCLASSDATA,MATCH("SpellDCMaster",CLASSFEATUREHEADERS,0),MATCH($A227,CLASSNAMEHEADERS,0))),(INDEX(ALLCLASSDATA,MATCH("SpellDCMaster",CLASSFEATUREHEADERS,0),MATCH(($A227 &amp; "Points"),CLASSNAMEHEADERS,0))),(IF("07"=(INDEX(ALLCLASSDATA,MATCH("SpellDCExpert",CLASSFEATUREHEADERS,0),MATCH($A227,CLASSNAMEHEADERS,0))),(INDEX(ALLCLASSDATA,MATCH("SpellDCExpert",CLASSFEATUREHEADERS,0),MATCH(($A227 &amp; "Points"),CLASSNAMEHEADERS,0))),(IF("07"=(INDEX(ALLCLASSDATA,MATCH("SpellDCTrained",CLASSFEATUREHEADERS,0),MATCH($A227,CLASSNAMEHEADERS,0))),(INDEX(ALLCLASSDATA,MATCH("SpellDCTrained",CLASSFEATUREHEADERS,0),MATCH(($A227 &amp; "Points"),CLASSNAMEHEADERS,0))),"")))))))))}</f>
        <v>SPELLDCL07</v>
      </c>
      <c r="N226" s="223"/>
      <c r="O226" s="223" t="str">
        <f t="array" ref="O226:O227">{"SPELLDCL09";((IF("09"=(INDEX(ALLCLASSDATA,MATCH("SpellDCLegendary",CLASSFEATUREHEADERS,0),MATCH($A227,CLASSNAMEHEADERS,0))),(INDEX(ALLCLASSDATA,MATCH("SpellDCLegendary",CLASSFEATUREHEADERS,0),MATCH(($A227 &amp; "Points"),CLASSNAMEHEADERS,0))),(IF("09"=(INDEX(ALLCLASSDATA,MATCH("SpellDCMaster",CLASSFEATUREHEADERS,0),MATCH($A227,CLASSNAMEHEADERS,0))),(INDEX(ALLCLASSDATA,MATCH("SpellDCMaster",CLASSFEATUREHEADERS,0),MATCH(($A227 &amp; "Points"),CLASSNAMEHEADERS,0))),(IF("09"=(INDEX(ALLCLASSDATA,MATCH("SpellDCExpert",CLASSFEATUREHEADERS,0),MATCH($A227,CLASSNAMEHEADERS,0))),(INDEX(ALLCLASSDATA,MATCH("SpellDCExpert",CLASSFEATUREHEADERS,0),MATCH(($A227 &amp; "Points"),CLASSNAMEHEADERS,0))),(IF("09"=(INDEX(ALLCLASSDATA,MATCH("SpellDCTrained",CLASSFEATUREHEADERS,0),MATCH($A227,CLASSNAMEHEADERS,0))),(INDEX(ALLCLASSDATA,MATCH("SpellDCTrained",CLASSFEATUREHEADERS,0),MATCH(($A227 &amp; "Points"),CLASSNAMEHEADERS,0))),"")))))))))}</f>
        <v>SPELLDCL09</v>
      </c>
      <c r="P226" s="223"/>
      <c r="Q226" s="223" t="str">
        <f t="array" ref="Q226:Q227">{"SPELLDCL11";((IF("11"=(INDEX(ALLCLASSDATA,MATCH("SpellDCLegendary",CLASSFEATUREHEADERS,0),MATCH($A227,CLASSNAMEHEADERS,0))),(INDEX(ALLCLASSDATA,MATCH("SpellDCLegendary",CLASSFEATUREHEADERS,0),MATCH(($A227 &amp; "Points"),CLASSNAMEHEADERS,0))),(IF("11"=(INDEX(ALLCLASSDATA,MATCH("SpellDCMaster",CLASSFEATUREHEADERS,0),MATCH($A227,CLASSNAMEHEADERS,0))),(INDEX(ALLCLASSDATA,MATCH("SpellDCMaster",CLASSFEATUREHEADERS,0),MATCH(($A227 &amp; "Points"),CLASSNAMEHEADERS,0))),(IF("11"=(INDEX(ALLCLASSDATA,MATCH("SpellDCExpert",CLASSFEATUREHEADERS,0),MATCH($A227,CLASSNAMEHEADERS,0))),(INDEX(ALLCLASSDATA,MATCH("SpellDCExpert",CLASSFEATUREHEADERS,0),MATCH(($A227 &amp; "Points"),CLASSNAMEHEADERS,0))),(IF("11"=(INDEX(ALLCLASSDATA,MATCH("SpellDCTrained",CLASSFEATUREHEADERS,0),MATCH($A227,CLASSNAMEHEADERS,0))),(INDEX(ALLCLASSDATA,MATCH("SpellDCTrained",CLASSFEATUREHEADERS,0),MATCH(($A227 &amp; "Points"),CLASSNAMEHEADERS,0))),"")))))))))}</f>
        <v>SPELLDCL11</v>
      </c>
      <c r="R226" s="223"/>
      <c r="S226" s="223" t="str">
        <f t="array" ref="S226:S227">{"SPELLDCL13";((IF("13"=(INDEX(ALLCLASSDATA,MATCH("SpellDCLegendary",CLASSFEATUREHEADERS,0),MATCH($A227,CLASSNAMEHEADERS,0))),(INDEX(ALLCLASSDATA,MATCH("SpellDCLegendary",CLASSFEATUREHEADERS,0),MATCH(($A227 &amp; "Points"),CLASSNAMEHEADERS,0))),(IF("13"=(INDEX(ALLCLASSDATA,MATCH("SpellDCMaster",CLASSFEATUREHEADERS,0),MATCH($A227,CLASSNAMEHEADERS,0))),(INDEX(ALLCLASSDATA,MATCH("SpellDCMaster",CLASSFEATUREHEADERS,0),MATCH(($A227 &amp; "Points"),CLASSNAMEHEADERS,0))),(IF("13"=(INDEX(ALLCLASSDATA,MATCH("SpellDCExpert",CLASSFEATUREHEADERS,0),MATCH($A227,CLASSNAMEHEADERS,0))),(INDEX(ALLCLASSDATA,MATCH("SpellDCExpert",CLASSFEATUREHEADERS,0),MATCH(($A227 &amp; "Points"),CLASSNAMEHEADERS,0))),(IF("13"=(INDEX(ALLCLASSDATA,MATCH("SpellDCTrained",CLASSFEATUREHEADERS,0),MATCH($A227,CLASSNAMEHEADERS,0))),(INDEX(ALLCLASSDATA,MATCH("SpellDCTrained",CLASSFEATUREHEADERS,0),MATCH(($A227 &amp; "Points"),CLASSNAMEHEADERS,0))),"")))))))))}</f>
        <v>SPELLDCL13</v>
      </c>
      <c r="T226" s="223"/>
      <c r="U226" s="223" t="str">
        <f t="array" ref="U226:U227">{"SPELLDCL15";((IF("15"=(INDEX(ALLCLASSDATA,MATCH("SpellDCLegendary",CLASSFEATUREHEADERS,0),MATCH($A227,CLASSNAMEHEADERS,0))),(INDEX(ALLCLASSDATA,MATCH("SpellDCLegendary",CLASSFEATUREHEADERS,0),MATCH(($A227 &amp; "Points"),CLASSNAMEHEADERS,0))),(IF("15"=(INDEX(ALLCLASSDATA,MATCH("SpellDCMaster",CLASSFEATUREHEADERS,0),MATCH($A227,CLASSNAMEHEADERS,0))),(INDEX(ALLCLASSDATA,MATCH("SpellDCMaster",CLASSFEATUREHEADERS,0),MATCH(($A227 &amp; "Points"),CLASSNAMEHEADERS,0))),(IF("15"=(INDEX(ALLCLASSDATA,MATCH("SpellDCExpert",CLASSFEATUREHEADERS,0),MATCH($A227,CLASSNAMEHEADERS,0))),(INDEX(ALLCLASSDATA,MATCH("SpellDCExpert",CLASSFEATUREHEADERS,0),MATCH(($A227 &amp; "Points"),CLASSNAMEHEADERS,0))),(IF("15"=(INDEX(ALLCLASSDATA,MATCH("SpellDCTrained",CLASSFEATUREHEADERS,0),MATCH($A227,CLASSNAMEHEADERS,0))),(INDEX(ALLCLASSDATA,MATCH("SpellDCTrained",CLASSFEATUREHEADERS,0),MATCH(($A227 &amp; "Points"),CLASSNAMEHEADERS,0))),"")))))))))}</f>
        <v>SPELLDCL15</v>
      </c>
      <c r="V226" s="223"/>
      <c r="W226" s="223" t="str">
        <f t="array" ref="W226:W227">{"SPELLDCL17";((IF("17"=(INDEX(ALLCLASSDATA,MATCH("SpellDCLegendary",CLASSFEATUREHEADERS,0),MATCH($A227,CLASSNAMEHEADERS,0))),(INDEX(ALLCLASSDATA,MATCH("SpellDCLegendary",CLASSFEATUREHEADERS,0),MATCH(($A227 &amp; "Points"),CLASSNAMEHEADERS,0))),(IF("17"=(INDEX(ALLCLASSDATA,MATCH("SpellDCMaster",CLASSFEATUREHEADERS,0),MATCH($A227,CLASSNAMEHEADERS,0))),(INDEX(ALLCLASSDATA,MATCH("SpellDCMaster",CLASSFEATUREHEADERS,0),MATCH(($A227 &amp; "Points"),CLASSNAMEHEADERS,0))),(IF("17"=(INDEX(ALLCLASSDATA,MATCH("SpellDCExpert",CLASSFEATUREHEADERS,0),MATCH($A227,CLASSNAMEHEADERS,0))),(INDEX(ALLCLASSDATA,MATCH("SpellDCExpert",CLASSFEATUREHEADERS,0),MATCH(($A227 &amp; "Points"),CLASSNAMEHEADERS,0))),(IF("17"=(INDEX(ALLCLASSDATA,MATCH("SpellDCTrained",CLASSFEATUREHEADERS,0),MATCH($A227,CLASSNAMEHEADERS,0))),(INDEX(ALLCLASSDATA,MATCH("SpellDCTrained",CLASSFEATUREHEADERS,0),MATCH(($A227 &amp; "Points"),CLASSNAMEHEADERS,0))),"")))))))))}</f>
        <v>SPELLDCL17</v>
      </c>
      <c r="X226" s="223"/>
      <c r="Y226" s="223" t="str">
        <f t="array" ref="Y226:Y227">{"SPELLDCL19";((IF("19"=(INDEX(ALLCLASSDATA,MATCH("SpellDCLegendary",CLASSFEATUREHEADERS,0),MATCH($A227,CLASSNAMEHEADERS,0))),(INDEX(ALLCLASSDATA,MATCH("SpellDCLegendary",CLASSFEATUREHEADERS,0),MATCH(($A227 &amp; "Points"),CLASSNAMEHEADERS,0))),(IF("19"=(INDEX(ALLCLASSDATA,MATCH("SpellDCMaster",CLASSFEATUREHEADERS,0),MATCH($A227,CLASSNAMEHEADERS,0))),(INDEX(ALLCLASSDATA,MATCH("SpellDCMaster",CLASSFEATUREHEADERS,0),MATCH(($A227 &amp; "Points"),CLASSNAMEHEADERS,0))),(IF("19"=(INDEX(ALLCLASSDATA,MATCH("SpellDCExpert",CLASSFEATUREHEADERS,0),MATCH($A227,CLASSNAMEHEADERS,0))),(INDEX(ALLCLASSDATA,MATCH("SpellDCExpert",CLASSFEATUREHEADERS,0),MATCH(($A227 &amp; "Points"),CLASSNAMEHEADERS,0))),(IF("19"=(INDEX(ALLCLASSDATA,MATCH("SpellDCTrained",CLASSFEATUREHEADERS,0),MATCH($A227,CLASSNAMEHEADERS,0))),(INDEX(ALLCLASSDATA,MATCH("SpellDCTrained",CLASSFEATUREHEADERS,0),MATCH(($A227 &amp; "Points"),CLASSNAMEHEADERS,0))),"")))))))))}</f>
        <v>SPELLDCL19</v>
      </c>
      <c r="Z226" s="223"/>
      <c r="AA226" s="76" t="str">
        <f t="array" ref="AA226:AA227">{"SPELLDC TOTAL";(IF(COUNTBLANK(F227:Z227)=17,"L",(IF(COUNTBLANK(F227:Z227)=18,"M",(IF(COUNTBLANK(F227:Z227)=19,"E",(IF(COUNTBLANK(F227:Z227)=20,"T",""))))))))}</f>
        <v>SPELLDC TOTAL</v>
      </c>
      <c r="AB226" s="76" t="str">
        <f t="array" ref="AB226:AB227">{"SPELLDC TOTAL";(sum(F227:Z227))}</f>
        <v>SPELLDC TOTAL</v>
      </c>
    </row>
    <row r="227">
      <c r="A227" s="48" t="s">
        <v>225</v>
      </c>
      <c r="B227" s="48" t="s">
        <v>418</v>
      </c>
      <c r="C227" s="97" t="s">
        <v>1465</v>
      </c>
      <c r="D227" s="97" t="s">
        <v>1485</v>
      </c>
      <c r="E227" s="98" t="s">
        <v>435</v>
      </c>
      <c r="F227" s="132" t="s">
        <v>603</v>
      </c>
      <c r="G227" s="98">
        <v>10.0</v>
      </c>
      <c r="H227" s="98"/>
      <c r="I227" s="98" t="s">
        <v>603</v>
      </c>
      <c r="J227" s="98"/>
      <c r="K227" s="98" t="s">
        <v>603</v>
      </c>
      <c r="L227" s="98"/>
      <c r="M227" s="98">
        <v>50.0</v>
      </c>
      <c r="N227" s="98"/>
      <c r="O227" s="98" t="s">
        <v>603</v>
      </c>
      <c r="P227" s="98"/>
      <c r="Q227" s="98" t="s">
        <v>603</v>
      </c>
      <c r="R227" s="98"/>
      <c r="S227" s="98" t="s">
        <v>603</v>
      </c>
      <c r="T227" s="98"/>
      <c r="U227" s="98">
        <v>110.0</v>
      </c>
      <c r="V227" s="98"/>
      <c r="W227" s="98" t="s">
        <v>603</v>
      </c>
      <c r="X227" s="98"/>
      <c r="Y227" s="98">
        <v>190.0</v>
      </c>
      <c r="Z227" s="98"/>
      <c r="AA227" s="5" t="s">
        <v>466</v>
      </c>
      <c r="AB227" s="47">
        <v>360.0</v>
      </c>
    </row>
    <row r="228" hidden="1">
      <c r="A228" s="222" t="str">
        <f t="array" ref="A228:A229">{"FormulaRow22";(INDEX(CLASSLIST,A185,1))}</f>
        <v>FormulaRow22</v>
      </c>
      <c r="B228" s="222" t="str">
        <f t="array" ref="B228:B229">{"CLASSTYPE";((INDEX(ALLCLASSDATA,MATCH("ClassType",CLASSFEATUREHEADERS,0),MATCH($A229,CLASSNAMEHEADERS,0))))}</f>
        <v>CLASSTYPE</v>
      </c>
      <c r="C228" s="228" t="str">
        <f t="shared" ref="C228:D228" si="3">{"PERCEPTION";"Perception"}</f>
        <v>PERCEPTION</v>
      </c>
      <c r="D228" s="228" t="str">
        <f t="shared" si="3"/>
        <v>PERCEPTION</v>
      </c>
      <c r="E228" s="230" t="str">
        <f t="array" ref="E228:E229">{"PERCEPTIONINITIAL";((IF(G229=10,"T",(IF(G229=50,"E","")))))}</f>
        <v>PERCEPTIONINITIAL</v>
      </c>
      <c r="F228" s="230" t="str">
        <f t="array" ref="F228:F229">{"PERCEPTIONINITIALPTS";((IF("00"=(INDEX(ALLCLASSDATA,MATCH("PerceptionLegendary",CLASSFEATUREHEADERS,0),MATCH($A229,CLASSNAMEHEADERS,0))),(INDEX(ALLCLASSDATA,MATCH("PerceptionLegendary",CLASSFEATUREHEADERS,0),MATCH(($A229 &amp; "Points"),CLASSNAMEHEADERS,0))),(IF("00"=(INDEX(ALLCLASSDATA,MATCH("PerceptionMaster",CLASSFEATUREHEADERS,0),MATCH($A229,CLASSNAMEHEADERS,0))),(INDEX(ALLCLASSDATA,MATCH("PerceptionMaster",CLASSFEATUREHEADERS,0),MATCH(($A229 &amp; "Points"),CLASSNAMEHEADERS,0))),(IF("00"=(INDEX(ALLCLASSDATA,MATCH("PerceptionExpert",CLASSFEATUREHEADERS,0),MATCH($A229,CLASSNAMEHEADERS,0))),(INDEX(ALLCLASSDATA,MATCH("PerceptionExpert",CLASSFEATUREHEADERS,0),MATCH(($A229 &amp; "Points"),CLASSNAMEHEADERS,0))),(IF("00"=(INDEX(ALLCLASSDATA,MATCH("PerceptionTrained",CLASSFEATUREHEADERS,0),MATCH($A229,CLASSNAMEHEADERS,0))),(INDEX(ALLCLASSDATA,MATCH("PerceptionTrained",CLASSFEATUREHEADERS,0),MATCH(($A229 &amp; "Points"),CLASSNAMEHEADERS,0))),"")))))))))}</f>
        <v>PERCEPTIONINITIALPTS</v>
      </c>
      <c r="G228" s="230" t="str">
        <f t="array" ref="G228:G229">{"PERCEPTIONL01";((IF("01"=(INDEX(ALLCLASSDATA,MATCH("PerceptionLegendary",CLASSFEATUREHEADERS,0),MATCH($A229,CLASSNAMEHEADERS,0))),(INDEX(ALLCLASSDATA,MATCH("PerceptionLegendary",CLASSFEATUREHEADERS,0),MATCH(($A229 &amp; "Points"),CLASSNAMEHEADERS,0))),(IF("01"=(INDEX(ALLCLASSDATA,MATCH("PerceptionMaster",CLASSFEATUREHEADERS,0),MATCH($A229,CLASSNAMEHEADERS,0))),(INDEX(ALLCLASSDATA,MATCH("PerceptionMaster",CLASSFEATUREHEADERS,0),MATCH(($A229 &amp; "Points"),CLASSNAMEHEADERS,0))),(IF("01"=(INDEX(ALLCLASSDATA,MATCH("PerceptionExpert",CLASSFEATUREHEADERS,0),MATCH($A229,CLASSNAMEHEADERS,0))),(INDEX(ALLCLASSDATA,MATCH("PerceptionExpert",CLASSFEATUREHEADERS,0),MATCH(($A229 &amp; "Points"),CLASSNAMEHEADERS,0))),(IF("01"=(INDEX(ALLCLASSDATA,MATCH("PerceptionTrained",CLASSFEATUREHEADERS,0),MATCH($A229,CLASSNAMEHEADERS,0))),(INDEX(ALLCLASSDATA,MATCH("PerceptionTrained",CLASSFEATUREHEADERS,0),MATCH(($A229 &amp; "Points"),CLASSNAMEHEADERS,0))),"")))))))))}</f>
        <v>PERCEPTIONL01</v>
      </c>
      <c r="H228" s="230"/>
      <c r="I228" s="230" t="str">
        <f t="array" ref="I228:I229">{"PERCEPTIONL03";((IF("03"=(INDEX(ALLCLASSDATA,MATCH("PerceptionLegendary",CLASSFEATUREHEADERS,0),MATCH($A229,CLASSNAMEHEADERS,0))),(INDEX(ALLCLASSDATA,MATCH("PerceptionLegendary",CLASSFEATUREHEADERS,0),MATCH(($A229 &amp; "Points"),CLASSNAMEHEADERS,0))),(IF("03"=(INDEX(ALLCLASSDATA,MATCH("PerceptionMaster",CLASSFEATUREHEADERS,0),MATCH($A229,CLASSNAMEHEADERS,0))),(INDEX(ALLCLASSDATA,MATCH("PerceptionMaster",CLASSFEATUREHEADERS,0),MATCH(($A229 &amp; "Points"),CLASSNAMEHEADERS,0))),(IF("03"=(INDEX(ALLCLASSDATA,MATCH("PerceptionExpert",CLASSFEATUREHEADERS,0),MATCH($A229,CLASSNAMEHEADERS,0))),(INDEX(ALLCLASSDATA,MATCH("PerceptionExpert",CLASSFEATUREHEADERS,0),MATCH(($A229 &amp; "Points"),CLASSNAMEHEADERS,0))),(IF("03"=(INDEX(ALLCLASSDATA,MATCH("PerceptionTrained",CLASSFEATUREHEADERS,0),MATCH($A229,CLASSNAMEHEADERS,0))),(INDEX(ALLCLASSDATA,MATCH("PerceptionTrained",CLASSFEATUREHEADERS,0),MATCH(($A229 &amp; "Points"),CLASSNAMEHEADERS,0))),"")))))))))}</f>
        <v>PERCEPTIONL03</v>
      </c>
      <c r="J228" s="230"/>
      <c r="K228" s="230" t="str">
        <f t="array" ref="K228:K229">{"PERCEPTIONL05";((IF("05"=(INDEX(ALLCLASSDATA,MATCH("PerceptionLegendary",CLASSFEATUREHEADERS,0),MATCH($A229,CLASSNAMEHEADERS,0))),(INDEX(ALLCLASSDATA,MATCH("PerceptionLegendary",CLASSFEATUREHEADERS,0),MATCH(($A229 &amp; "Points"),CLASSNAMEHEADERS,0))),(IF("05"=(INDEX(ALLCLASSDATA,MATCH("PerceptionMaster",CLASSFEATUREHEADERS,0),MATCH($A229,CLASSNAMEHEADERS,0))),(INDEX(ALLCLASSDATA,MATCH("PerceptionMaster",CLASSFEATUREHEADERS,0),MATCH(($A229 &amp; "Points"),CLASSNAMEHEADERS,0))),(IF("05"=(INDEX(ALLCLASSDATA,MATCH("PerceptionExpert",CLASSFEATUREHEADERS,0),MATCH($A229,CLASSNAMEHEADERS,0))),(INDEX(ALLCLASSDATA,MATCH("PerceptionExpert",CLASSFEATUREHEADERS,0),MATCH(($A229 &amp; "Points"),CLASSNAMEHEADERS,0))),(IF("05"=(INDEX(ALLCLASSDATA,MATCH("PerceptionTrained",CLASSFEATUREHEADERS,0),MATCH($A229,CLASSNAMEHEADERS,0))),(INDEX(ALLCLASSDATA,MATCH("PerceptionTrained",CLASSFEATUREHEADERS,0),MATCH(($A229 &amp; "Points"),CLASSNAMEHEADERS,0))),"")))))))))}</f>
        <v>PERCEPTIONL05</v>
      </c>
      <c r="L228" s="230"/>
      <c r="M228" s="230" t="str">
        <f t="array" ref="M228:M229">{"PERCEPTIONL07";((IF("07"=(INDEX(ALLCLASSDATA,MATCH("PerceptionLegendary",CLASSFEATUREHEADERS,0),MATCH($A229,CLASSNAMEHEADERS,0))),(INDEX(ALLCLASSDATA,MATCH("PerceptionLegendary",CLASSFEATUREHEADERS,0),MATCH(($A229 &amp; "Points"),CLASSNAMEHEADERS,0))),(IF("07"=(INDEX(ALLCLASSDATA,MATCH("PerceptionMaster",CLASSFEATUREHEADERS,0),MATCH($A229,CLASSNAMEHEADERS,0))),(INDEX(ALLCLASSDATA,MATCH("PerceptionMaster",CLASSFEATUREHEADERS,0),MATCH(($A229 &amp; "Points"),CLASSNAMEHEADERS,0))),(IF("07"=(INDEX(ALLCLASSDATA,MATCH("PerceptionExpert",CLASSFEATUREHEADERS,0),MATCH($A229,CLASSNAMEHEADERS,0))),(INDEX(ALLCLASSDATA,MATCH("PerceptionExpert",CLASSFEATUREHEADERS,0),MATCH(($A229 &amp; "Points"),CLASSNAMEHEADERS,0))),(IF("07"=(INDEX(ALLCLASSDATA,MATCH("PerceptionTrained",CLASSFEATUREHEADERS,0),MATCH($A229,CLASSNAMEHEADERS,0))),(INDEX(ALLCLASSDATA,MATCH("PerceptionTrained",CLASSFEATUREHEADERS,0),MATCH(($A229 &amp; "Points"),CLASSNAMEHEADERS,0))),"")))))))))}</f>
        <v>PERCEPTIONL07</v>
      </c>
      <c r="N228" s="230"/>
      <c r="O228" s="230" t="str">
        <f t="array" ref="O228:O229">{"PERCEPTIONL09";((IF("09"=(INDEX(ALLCLASSDATA,MATCH("PerceptionLegendary",CLASSFEATUREHEADERS,0),MATCH($A229,CLASSNAMEHEADERS,0))),(INDEX(ALLCLASSDATA,MATCH("PerceptionLegendary",CLASSFEATUREHEADERS,0),MATCH(($A229 &amp; "Points"),CLASSNAMEHEADERS,0))),(IF("09"=(INDEX(ALLCLASSDATA,MATCH("PerceptionMaster",CLASSFEATUREHEADERS,0),MATCH($A229,CLASSNAMEHEADERS,0))),(INDEX(ALLCLASSDATA,MATCH("PerceptionMaster",CLASSFEATUREHEADERS,0),MATCH(($A229 &amp; "Points"),CLASSNAMEHEADERS,0))),(IF("09"=(INDEX(ALLCLASSDATA,MATCH("PerceptionExpert",CLASSFEATUREHEADERS,0),MATCH($A229,CLASSNAMEHEADERS,0))),(INDEX(ALLCLASSDATA,MATCH("PerceptionExpert",CLASSFEATUREHEADERS,0),MATCH(($A229 &amp; "Points"),CLASSNAMEHEADERS,0))),(IF("09"=(INDEX(ALLCLASSDATA,MATCH("PerceptionTrained",CLASSFEATUREHEADERS,0),MATCH($A229,CLASSNAMEHEADERS,0))),(INDEX(ALLCLASSDATA,MATCH("PerceptionTrained",CLASSFEATUREHEADERS,0),MATCH(($A229 &amp; "Points"),CLASSNAMEHEADERS,0))),"")))))))))}</f>
        <v>PERCEPTIONL09</v>
      </c>
      <c r="P228" s="230"/>
      <c r="Q228" s="230" t="str">
        <f t="array" ref="Q228:Q229">{"PERCEPTIONL11";((IF("11"=(INDEX(ALLCLASSDATA,MATCH("PerceptionLegendary",CLASSFEATUREHEADERS,0),MATCH($A229,CLASSNAMEHEADERS,0))),(INDEX(ALLCLASSDATA,MATCH("PerceptionLegendary",CLASSFEATUREHEADERS,0),MATCH(($A229 &amp; "Points"),CLASSNAMEHEADERS,0))),(IF("11"=(INDEX(ALLCLASSDATA,MATCH("PerceptionMaster",CLASSFEATUREHEADERS,0),MATCH($A229,CLASSNAMEHEADERS,0))),(INDEX(ALLCLASSDATA,MATCH("PerceptionMaster",CLASSFEATUREHEADERS,0),MATCH(($A229 &amp; "Points"),CLASSNAMEHEADERS,0))),(IF("11"=(INDEX(ALLCLASSDATA,MATCH("PerceptionExpert",CLASSFEATUREHEADERS,0),MATCH($A229,CLASSNAMEHEADERS,0))),(INDEX(ALLCLASSDATA,MATCH("PerceptionExpert",CLASSFEATUREHEADERS,0),MATCH(($A229 &amp; "Points"),CLASSNAMEHEADERS,0))),(IF("11"=(INDEX(ALLCLASSDATA,MATCH("PerceptionTrained",CLASSFEATUREHEADERS,0),MATCH($A229,CLASSNAMEHEADERS,0))),(INDEX(ALLCLASSDATA,MATCH("PerceptionTrained",CLASSFEATUREHEADERS,0),MATCH(($A229 &amp; "Points"),CLASSNAMEHEADERS,0))),"")))))))))}</f>
        <v>PERCEPTIONL11</v>
      </c>
      <c r="R228" s="230"/>
      <c r="S228" s="230" t="str">
        <f t="array" ref="S228:S229">{"PERCEPTIONL13";((IF("13"=(INDEX(ALLCLASSDATA,MATCH("PerceptionLegendary",CLASSFEATUREHEADERS,0),MATCH($A229,CLASSNAMEHEADERS,0))),(INDEX(ALLCLASSDATA,MATCH("PerceptionLegendary",CLASSFEATUREHEADERS,0),MATCH(($A229 &amp; "Points"),CLASSNAMEHEADERS,0))),(IF("13"=(INDEX(ALLCLASSDATA,MATCH("PerceptionMaster",CLASSFEATUREHEADERS,0),MATCH($A229,CLASSNAMEHEADERS,0))),(INDEX(ALLCLASSDATA,MATCH("PerceptionMaster",CLASSFEATUREHEADERS,0),MATCH(($A229 &amp; "Points"),CLASSNAMEHEADERS,0))),(IF("13"=(INDEX(ALLCLASSDATA,MATCH("PerceptionExpert",CLASSFEATUREHEADERS,0),MATCH($A229,CLASSNAMEHEADERS,0))),(INDEX(ALLCLASSDATA,MATCH("PerceptionExpert",CLASSFEATUREHEADERS,0),MATCH(($A229 &amp; "Points"),CLASSNAMEHEADERS,0))),(IF("13"=(INDEX(ALLCLASSDATA,MATCH("PerceptionTrained",CLASSFEATUREHEADERS,0),MATCH($A229,CLASSNAMEHEADERS,0))),(INDEX(ALLCLASSDATA,MATCH("PerceptionTrained",CLASSFEATUREHEADERS,0),MATCH(($A229 &amp; "Points"),CLASSNAMEHEADERS,0))),"")))))))))}</f>
        <v>PERCEPTIONL13</v>
      </c>
      <c r="T228" s="230"/>
      <c r="U228" s="230" t="str">
        <f t="array" ref="U228:U229">{"PERCEPTIONL15";((IF("15"=(INDEX(ALLCLASSDATA,MATCH("PerceptionLegendary",CLASSFEATUREHEADERS,0),MATCH($A229,CLASSNAMEHEADERS,0))),(INDEX(ALLCLASSDATA,MATCH("PerceptionLegendary",CLASSFEATUREHEADERS,0),MATCH(($A229 &amp; "Points"),CLASSNAMEHEADERS,0))),(IF("15"=(INDEX(ALLCLASSDATA,MATCH("PerceptionMaster",CLASSFEATUREHEADERS,0),MATCH($A229,CLASSNAMEHEADERS,0))),(INDEX(ALLCLASSDATA,MATCH("PerceptionMaster",CLASSFEATUREHEADERS,0),MATCH(($A229 &amp; "Points"),CLASSNAMEHEADERS,0))),(IF("15"=(INDEX(ALLCLASSDATA,MATCH("PerceptionExpert",CLASSFEATUREHEADERS,0),MATCH($A229,CLASSNAMEHEADERS,0))),(INDEX(ALLCLASSDATA,MATCH("PerceptionExpert",CLASSFEATUREHEADERS,0),MATCH(($A229 &amp; "Points"),CLASSNAMEHEADERS,0))),(IF("15"=(INDEX(ALLCLASSDATA,MATCH("PerceptionTrained",CLASSFEATUREHEADERS,0),MATCH($A229,CLASSNAMEHEADERS,0))),(INDEX(ALLCLASSDATA,MATCH("PerceptionTrained",CLASSFEATUREHEADERS,0),MATCH(($A229 &amp; "Points"),CLASSNAMEHEADERS,0))),"")))))))))}</f>
        <v>PERCEPTIONL15</v>
      </c>
      <c r="V228" s="230"/>
      <c r="W228" s="230" t="str">
        <f t="array" ref="W228:W229">{"PERCEPTIONL17";((IF("17"=(INDEX(ALLCLASSDATA,MATCH("PerceptionLegendary",CLASSFEATUREHEADERS,0),MATCH($A229,CLASSNAMEHEADERS,0))),(INDEX(ALLCLASSDATA,MATCH("PerceptionLegendary",CLASSFEATUREHEADERS,0),MATCH(($A229 &amp; "Points"),CLASSNAMEHEADERS,0))),(IF("17"=(INDEX(ALLCLASSDATA,MATCH("PerceptionMaster",CLASSFEATUREHEADERS,0),MATCH($A229,CLASSNAMEHEADERS,0))),(INDEX(ALLCLASSDATA,MATCH("PerceptionMaster",CLASSFEATUREHEADERS,0),MATCH(($A229 &amp; "Points"),CLASSNAMEHEADERS,0))),(IF("17"=(INDEX(ALLCLASSDATA,MATCH("PerceptionExpert",CLASSFEATUREHEADERS,0),MATCH($A229,CLASSNAMEHEADERS,0))),(INDEX(ALLCLASSDATA,MATCH("PerceptionExpert",CLASSFEATUREHEADERS,0),MATCH(($A229 &amp; "Points"),CLASSNAMEHEADERS,0))),(IF("17"=(INDEX(ALLCLASSDATA,MATCH("PerceptionTrained",CLASSFEATUREHEADERS,0),MATCH($A229,CLASSNAMEHEADERS,0))),(INDEX(ALLCLASSDATA,MATCH("PerceptionTrained",CLASSFEATUREHEADERS,0),MATCH(($A229 &amp; "Points"),CLASSNAMEHEADERS,0))),"")))))))))}</f>
        <v>PERCEPTIONL17</v>
      </c>
      <c r="X228" s="230"/>
      <c r="Y228" s="230" t="str">
        <f t="array" ref="Y228:Y229">{"PERCEPTIONL19";((IF("19"=(INDEX(ALLCLASSDATA,MATCH("PerceptionLegendary",CLASSFEATUREHEADERS,0),MATCH($A229,CLASSNAMEHEADERS,0))),(INDEX(ALLCLASSDATA,MATCH("PerceptionLegendary",CLASSFEATUREHEADERS,0),MATCH(($A229 &amp; "Points"),CLASSNAMEHEADERS,0))),(IF("19"=(INDEX(ALLCLASSDATA,MATCH("PerceptionMaster",CLASSFEATUREHEADERS,0),MATCH($A229,CLASSNAMEHEADERS,0))),(INDEX(ALLCLASSDATA,MATCH("PerceptionMaster",CLASSFEATUREHEADERS,0),MATCH(($A229 &amp; "Points"),CLASSNAMEHEADERS,0))),(IF("19"=(INDEX(ALLCLASSDATA,MATCH("PerceptionExpert",CLASSFEATUREHEADERS,0),MATCH($A229,CLASSNAMEHEADERS,0))),(INDEX(ALLCLASSDATA,MATCH("PerceptionExpert",CLASSFEATUREHEADERS,0),MATCH(($A229 &amp; "Points"),CLASSNAMEHEADERS,0))),(IF("19"=(INDEX(ALLCLASSDATA,MATCH("PerceptionTrained",CLASSFEATUREHEADERS,0),MATCH($A229,CLASSNAMEHEADERS,0))),(INDEX(ALLCLASSDATA,MATCH("PerceptionTrained",CLASSFEATUREHEADERS,0),MATCH(($A229 &amp; "Points"),CLASSNAMEHEADERS,0))),"")))))))))}</f>
        <v>PERCEPTIONL19</v>
      </c>
      <c r="Z228" s="230"/>
      <c r="AA228" s="76" t="str">
        <f t="array" ref="AA228:AA229">{"PERCEPTION TOTAL";(IF(COUNTBLANK(F229:Z229)=17,"L",(IF(COUNTBLANK(F229:Z229)=18,"M",(IF(COUNTBLANK(F229:Z229)=19,"E",(IF(COUNTBLANK(F229:Z229)=20,"T",""))))))))}</f>
        <v>PERCEPTION TOTAL</v>
      </c>
      <c r="AB228" s="76" t="str">
        <f t="array" ref="AB228:AB229">{"PERCEPTION TOTAL";(sum(F229:Z229))}</f>
        <v>PERCEPTION TOTAL</v>
      </c>
    </row>
    <row r="229">
      <c r="A229" s="48" t="s">
        <v>225</v>
      </c>
      <c r="B229" s="48" t="s">
        <v>418</v>
      </c>
      <c r="C229" s="97" t="s">
        <v>637</v>
      </c>
      <c r="D229" s="97" t="s">
        <v>637</v>
      </c>
      <c r="E229" s="98" t="s">
        <v>435</v>
      </c>
      <c r="F229" s="132" t="s">
        <v>603</v>
      </c>
      <c r="G229" s="98">
        <v>10.0</v>
      </c>
      <c r="H229" s="98"/>
      <c r="I229" s="98">
        <v>50.0</v>
      </c>
      <c r="J229" s="98"/>
      <c r="K229" s="98" t="s">
        <v>603</v>
      </c>
      <c r="L229" s="98"/>
      <c r="M229" s="98" t="s">
        <v>603</v>
      </c>
      <c r="N229" s="98"/>
      <c r="O229" s="98" t="s">
        <v>603</v>
      </c>
      <c r="P229" s="98"/>
      <c r="Q229" s="98" t="s">
        <v>603</v>
      </c>
      <c r="R229" s="98"/>
      <c r="S229" s="98" t="s">
        <v>603</v>
      </c>
      <c r="T229" s="98"/>
      <c r="U229" s="98" t="s">
        <v>603</v>
      </c>
      <c r="V229" s="98"/>
      <c r="W229" s="98" t="s">
        <v>603</v>
      </c>
      <c r="X229" s="98"/>
      <c r="Y229" s="98" t="s">
        <v>603</v>
      </c>
      <c r="Z229" s="98"/>
      <c r="AA229" s="5" t="s">
        <v>436</v>
      </c>
      <c r="AB229" s="47">
        <v>60.0</v>
      </c>
    </row>
    <row r="230" hidden="1">
      <c r="A230" s="222" t="str">
        <f t="array" ref="A230:A231">{"FormulaRow23";(INDEX(CLASSLIST,A185,1))}</f>
        <v>FormulaRow23</v>
      </c>
      <c r="B230" s="222" t="str">
        <f t="array" ref="B230:B231">{"CLASSTYPE";((INDEX(ALLCLASSDATA,MATCH("ClassType",CLASSFEATUREHEADERS,0),MATCH($A231,CLASSNAMEHEADERS,0))))}</f>
        <v>CLASSTYPE</v>
      </c>
      <c r="C230" s="228" t="str">
        <f t="array" ref="C230:C231">{"SAVES";"Saves"}</f>
        <v>SAVES</v>
      </c>
      <c r="D230" s="228" t="str">
        <f t="array" ref="D230:D231">{"FORTITUDESAVE";"FortitudeSave"}</f>
        <v>FORTITUDESAVE</v>
      </c>
      <c r="E230" s="230" t="str">
        <f t="array" ref="E230:E231">{"FORTITUDEINITIAL";((IF(G231=10,"T",(IF(G231=50,"E","")))))}</f>
        <v>FORTITUDEINITIAL</v>
      </c>
      <c r="F230" s="230" t="str">
        <f t="array" ref="F230:F231">{"FORTITUDEINITIALPTS";((IF("00"=(INDEX(ALLCLASSDATA,MATCH("FortitudeSaveLegendary",CLASSFEATUREHEADERS,0),MATCH($A231,CLASSNAMEHEADERS,0))),(INDEX(ALLCLASSDATA,MATCH("FortitudeSaveLegendary",CLASSFEATUREHEADERS,0),MATCH(($A231 &amp; "Points"),CLASSNAMEHEADERS,0))),(IF("00"=(INDEX(ALLCLASSDATA,MATCH("FortitudeSaveMaster",CLASSFEATUREHEADERS,0),MATCH($A231,CLASSNAMEHEADERS,0))),(INDEX(ALLCLASSDATA,MATCH("FortitudeSaveMaster",CLASSFEATUREHEADERS,0),MATCH(($A231 &amp; "Points"),CLASSNAMEHEADERS,0))),(IF("00"=(INDEX(ALLCLASSDATA,MATCH("FortitudeSaveExpert",CLASSFEATUREHEADERS,0),MATCH($A231,CLASSNAMEHEADERS,0))),(INDEX(ALLCLASSDATA,MATCH("FortitudeSaveExpert",CLASSFEATUREHEADERS,0),MATCH(($A231 &amp; "Points"),CLASSNAMEHEADERS,0))),(IF("00"=(INDEX(ALLCLASSDATA,MATCH("FortitudeSaveTrained",CLASSFEATUREHEADERS,0),MATCH($A231,CLASSNAMEHEADERS,0))),(INDEX(ALLCLASSDATA,MATCH("FortitudeSaveTrained",CLASSFEATUREHEADERS,0),MATCH(($A231 &amp; "Points"),CLASSNAMEHEADERS,0))),"")))))))))}</f>
        <v>FORTITUDEINITIALPTS</v>
      </c>
      <c r="G230" s="230" t="str">
        <f t="array" ref="G230:G231">{"FORTITUDEL01";((IF("01"=(INDEX(ALLCLASSDATA,MATCH("FortitudeSaveLegendary",CLASSFEATUREHEADERS,0),MATCH($A231,CLASSNAMEHEADERS,0))),(INDEX(ALLCLASSDATA,MATCH("FortitudeSaveLegendary",CLASSFEATUREHEADERS,0),MATCH(($A231 &amp; "Points"),CLASSNAMEHEADERS,0))),(IF("01"=(INDEX(ALLCLASSDATA,MATCH("FortitudeSaveMaster",CLASSFEATUREHEADERS,0),MATCH($A231,CLASSNAMEHEADERS,0))),(INDEX(ALLCLASSDATA,MATCH("FortitudeSaveMaster",CLASSFEATUREHEADERS,0),MATCH(($A231 &amp; "Points"),CLASSNAMEHEADERS,0))),(IF("01"=(INDEX(ALLCLASSDATA,MATCH("FortitudeSaveExpert",CLASSFEATUREHEADERS,0),MATCH($A231,CLASSNAMEHEADERS,0))),(INDEX(ALLCLASSDATA,MATCH("FortitudeSaveExpert",CLASSFEATUREHEADERS,0),MATCH(($A231 &amp; "Points"),CLASSNAMEHEADERS,0))),(IF("01"=(INDEX(ALLCLASSDATA,MATCH("FortitudeSaveTrained",CLASSFEATUREHEADERS,0),MATCH($A231,CLASSNAMEHEADERS,0))),(INDEX(ALLCLASSDATA,MATCH("FortitudeSaveTrained",CLASSFEATUREHEADERS,0),MATCH(($A231 &amp; "Points"),CLASSNAMEHEADERS,0))),"")))))))))}</f>
        <v>FORTITUDEL01</v>
      </c>
      <c r="H230" s="230"/>
      <c r="I230" s="230" t="str">
        <f t="array" ref="I230:I231">{"FORTITUDEL03";((IF("03"=(INDEX(ALLCLASSDATA,MATCH("FortitudeSaveLegendary",CLASSFEATUREHEADERS,0),MATCH($A231,CLASSNAMEHEADERS,0))),(INDEX(ALLCLASSDATA,MATCH("FortitudeSaveLegendary",CLASSFEATUREHEADERS,0),MATCH(($A231 &amp; "Points"),CLASSNAMEHEADERS,0))),(IF("03"=(INDEX(ALLCLASSDATA,MATCH("FortitudeSaveMaster",CLASSFEATUREHEADERS,0),MATCH($A231,CLASSNAMEHEADERS,0))),(INDEX(ALLCLASSDATA,MATCH("FortitudeSaveMaster",CLASSFEATUREHEADERS,0),MATCH(($A231 &amp; "Points"),CLASSNAMEHEADERS,0))),(IF("03"=(INDEX(ALLCLASSDATA,MATCH("FortitudeSaveExpert",CLASSFEATUREHEADERS,0),MATCH($A231,CLASSNAMEHEADERS,0))),(INDEX(ALLCLASSDATA,MATCH("FortitudeSaveExpert",CLASSFEATUREHEADERS,0),MATCH(($A231 &amp; "Points"),CLASSNAMEHEADERS,0))),(IF("03"=(INDEX(ALLCLASSDATA,MATCH("FortitudeSaveTrained",CLASSFEATUREHEADERS,0),MATCH($A231,CLASSNAMEHEADERS,0))),(INDEX(ALLCLASSDATA,MATCH("FortitudeSaveTrained",CLASSFEATUREHEADERS,0),MATCH(($A231 &amp; "Points"),CLASSNAMEHEADERS,0))),"")))))))))}</f>
        <v>FORTITUDEL03</v>
      </c>
      <c r="J230" s="230"/>
      <c r="K230" s="230" t="str">
        <f t="array" ref="K230:K231">{"FORTITUDEL05";((IF("05"=(INDEX(ALLCLASSDATA,MATCH("FortitudeSaveLegendary",CLASSFEATUREHEADERS,0),MATCH($A231,CLASSNAMEHEADERS,0))),(INDEX(ALLCLASSDATA,MATCH("FortitudeSaveLegendary",CLASSFEATUREHEADERS,0),MATCH(($A231 &amp; "Points"),CLASSNAMEHEADERS,0))),(IF("05"=(INDEX(ALLCLASSDATA,MATCH("FortitudeSaveMaster",CLASSFEATUREHEADERS,0),MATCH($A231,CLASSNAMEHEADERS,0))),(INDEX(ALLCLASSDATA,MATCH("FortitudeSaveMaster",CLASSFEATUREHEADERS,0),MATCH(($A231 &amp; "Points"),CLASSNAMEHEADERS,0))),(IF("05"=(INDEX(ALLCLASSDATA,MATCH("FortitudeSaveExpert",CLASSFEATUREHEADERS,0),MATCH($A231,CLASSNAMEHEADERS,0))),(INDEX(ALLCLASSDATA,MATCH("FortitudeSaveExpert",CLASSFEATUREHEADERS,0),MATCH(($A231 &amp; "Points"),CLASSNAMEHEADERS,0))),(IF("05"=(INDEX(ALLCLASSDATA,MATCH("FortitudeSaveTrained",CLASSFEATUREHEADERS,0),MATCH($A231,CLASSNAMEHEADERS,0))),(INDEX(ALLCLASSDATA,MATCH("FortitudeSaveTrained",CLASSFEATUREHEADERS,0),MATCH(($A231 &amp; "Points"),CLASSNAMEHEADERS,0))),"")))))))))}</f>
        <v>FORTITUDEL05</v>
      </c>
      <c r="L230" s="230"/>
      <c r="M230" s="230" t="str">
        <f t="array" ref="M230:M231">{"FORTITUDEL07";((IF("07"=(INDEX(ALLCLASSDATA,MATCH("FortitudeSaveLegendary",CLASSFEATUREHEADERS,0),MATCH($A231,CLASSNAMEHEADERS,0))),(INDEX(ALLCLASSDATA,MATCH("FortitudeSaveLegendary",CLASSFEATUREHEADERS,0),MATCH(($A231 &amp; "Points"),CLASSNAMEHEADERS,0))),(IF("07"=(INDEX(ALLCLASSDATA,MATCH("FortitudeSaveMaster",CLASSFEATUREHEADERS,0),MATCH($A231,CLASSNAMEHEADERS,0))),(INDEX(ALLCLASSDATA,MATCH("FortitudeSaveMaster",CLASSFEATUREHEADERS,0),MATCH(($A231 &amp; "Points"),CLASSNAMEHEADERS,0))),(IF("07"=(INDEX(ALLCLASSDATA,MATCH("FortitudeSaveExpert",CLASSFEATUREHEADERS,0),MATCH($A231,CLASSNAMEHEADERS,0))),(INDEX(ALLCLASSDATA,MATCH("FortitudeSaveExpert",CLASSFEATUREHEADERS,0),MATCH(($A231 &amp; "Points"),CLASSNAMEHEADERS,0))),(IF("07"=(INDEX(ALLCLASSDATA,MATCH("FortitudeSaveTrained",CLASSFEATUREHEADERS,0),MATCH($A231,CLASSNAMEHEADERS,0))),(INDEX(ALLCLASSDATA,MATCH("FortitudeSaveTrained",CLASSFEATUREHEADERS,0),MATCH(($A231 &amp; "Points"),CLASSNAMEHEADERS,0))),"")))))))))}</f>
        <v>FORTITUDEL07</v>
      </c>
      <c r="N230" s="230"/>
      <c r="O230" s="230" t="str">
        <f t="array" ref="O230:O231">{"FORTITUDEL09";((IF("09"=(INDEX(ALLCLASSDATA,MATCH("FortitudeSaveLegendary",CLASSFEATUREHEADERS,0),MATCH($A231,CLASSNAMEHEADERS,0))),(INDEX(ALLCLASSDATA,MATCH("FortitudeSaveLegendary",CLASSFEATUREHEADERS,0),MATCH(($A231 &amp; "Points"),CLASSNAMEHEADERS,0))),(IF("09"=(INDEX(ALLCLASSDATA,MATCH("FortitudeSaveMaster",CLASSFEATUREHEADERS,0),MATCH($A231,CLASSNAMEHEADERS,0))),(INDEX(ALLCLASSDATA,MATCH("FortitudeSaveMaster",CLASSFEATUREHEADERS,0),MATCH(($A231 &amp; "Points"),CLASSNAMEHEADERS,0))),(IF("09"=(INDEX(ALLCLASSDATA,MATCH("FortitudeSaveExpert",CLASSFEATUREHEADERS,0),MATCH($A231,CLASSNAMEHEADERS,0))),(INDEX(ALLCLASSDATA,MATCH("FortitudeSaveExpert",CLASSFEATUREHEADERS,0),MATCH(($A231 &amp; "Points"),CLASSNAMEHEADERS,0))),(IF("09"=(INDEX(ALLCLASSDATA,MATCH("FortitudeSaveTrained",CLASSFEATUREHEADERS,0),MATCH($A231,CLASSNAMEHEADERS,0))),(INDEX(ALLCLASSDATA,MATCH("FortitudeSaveTrained",CLASSFEATUREHEADERS,0),MATCH(($A231 &amp; "Points"),CLASSNAMEHEADERS,0))),"")))))))))}</f>
        <v>FORTITUDEL09</v>
      </c>
      <c r="P230" s="230"/>
      <c r="Q230" s="230" t="str">
        <f t="array" ref="Q230:Q231">{"FORTITUDEL11";((IF("11"=(INDEX(ALLCLASSDATA,MATCH("FortitudeSaveLegendary",CLASSFEATUREHEADERS,0),MATCH($A231,CLASSNAMEHEADERS,0))),(INDEX(ALLCLASSDATA,MATCH("FortitudeSaveLegendary",CLASSFEATUREHEADERS,0),MATCH(($A231 &amp; "Points"),CLASSNAMEHEADERS,0))),(IF("11"=(INDEX(ALLCLASSDATA,MATCH("FortitudeSaveMaster",CLASSFEATUREHEADERS,0),MATCH($A231,CLASSNAMEHEADERS,0))),(INDEX(ALLCLASSDATA,MATCH("FortitudeSaveMaster",CLASSFEATUREHEADERS,0),MATCH(($A231 &amp; "Points"),CLASSNAMEHEADERS,0))),(IF("11"=(INDEX(ALLCLASSDATA,MATCH("FortitudeSaveExpert",CLASSFEATUREHEADERS,0),MATCH($A231,CLASSNAMEHEADERS,0))),(INDEX(ALLCLASSDATA,MATCH("FortitudeSaveExpert",CLASSFEATUREHEADERS,0),MATCH(($A231 &amp; "Points"),CLASSNAMEHEADERS,0))),(IF("11"=(INDEX(ALLCLASSDATA,MATCH("FortitudeSaveTrained",CLASSFEATUREHEADERS,0),MATCH($A231,CLASSNAMEHEADERS,0))),(INDEX(ALLCLASSDATA,MATCH("FortitudeSaveTrained",CLASSFEATUREHEADERS,0),MATCH(($A231 &amp; "Points"),CLASSNAMEHEADERS,0))),"")))))))))}</f>
        <v>FORTITUDEL11</v>
      </c>
      <c r="R230" s="230"/>
      <c r="S230" s="230" t="str">
        <f t="array" ref="S230:S231">{"FORTITUDEL13";((IF("13"=(INDEX(ALLCLASSDATA,MATCH("FortitudeSaveLegendary",CLASSFEATUREHEADERS,0),MATCH($A231,CLASSNAMEHEADERS,0))),(INDEX(ALLCLASSDATA,MATCH("FortitudeSaveLegendary",CLASSFEATUREHEADERS,0),MATCH(($A231 &amp; "Points"),CLASSNAMEHEADERS,0))),(IF("13"=(INDEX(ALLCLASSDATA,MATCH("FortitudeSaveMaster",CLASSFEATUREHEADERS,0),MATCH($A231,CLASSNAMEHEADERS,0))),(INDEX(ALLCLASSDATA,MATCH("FortitudeSaveMaster",CLASSFEATUREHEADERS,0),MATCH(($A231 &amp; "Points"),CLASSNAMEHEADERS,0))),(IF("13"=(INDEX(ALLCLASSDATA,MATCH("FortitudeSaveExpert",CLASSFEATUREHEADERS,0),MATCH($A231,CLASSNAMEHEADERS,0))),(INDEX(ALLCLASSDATA,MATCH("FortitudeSaveExpert",CLASSFEATUREHEADERS,0),MATCH(($A231 &amp; "Points"),CLASSNAMEHEADERS,0))),(IF("13"=(INDEX(ALLCLASSDATA,MATCH("FortitudeSaveTrained",CLASSFEATUREHEADERS,0),MATCH($A231,CLASSNAMEHEADERS,0))),(INDEX(ALLCLASSDATA,MATCH("FortitudeSaveTrained",CLASSFEATUREHEADERS,0),MATCH(($A231 &amp; "Points"),CLASSNAMEHEADERS,0))),"")))))))))}</f>
        <v>FORTITUDEL13</v>
      </c>
      <c r="T230" s="230"/>
      <c r="U230" s="230" t="str">
        <f t="array" ref="U230:U231">{"FORTITUDEL15";((IF("15"=(INDEX(ALLCLASSDATA,MATCH("FortitudeSaveLegendary",CLASSFEATUREHEADERS,0),MATCH($A231,CLASSNAMEHEADERS,0))),(INDEX(ALLCLASSDATA,MATCH("FortitudeSaveLegendary",CLASSFEATUREHEADERS,0),MATCH(($A231 &amp; "Points"),CLASSNAMEHEADERS,0))),(IF("15"=(INDEX(ALLCLASSDATA,MATCH("FortitudeSaveMaster",CLASSFEATUREHEADERS,0),MATCH($A231,CLASSNAMEHEADERS,0))),(INDEX(ALLCLASSDATA,MATCH("FortitudeSaveMaster",CLASSFEATUREHEADERS,0),MATCH(($A231 &amp; "Points"),CLASSNAMEHEADERS,0))),(IF("15"=(INDEX(ALLCLASSDATA,MATCH("FortitudeSaveExpert",CLASSFEATUREHEADERS,0),MATCH($A231,CLASSNAMEHEADERS,0))),(INDEX(ALLCLASSDATA,MATCH("FortitudeSaveExpert",CLASSFEATUREHEADERS,0),MATCH(($A231 &amp; "Points"),CLASSNAMEHEADERS,0))),(IF("15"=(INDEX(ALLCLASSDATA,MATCH("FortitudeSaveTrained",CLASSFEATUREHEADERS,0),MATCH($A231,CLASSNAMEHEADERS,0))),(INDEX(ALLCLASSDATA,MATCH("FortitudeSaveTrained",CLASSFEATUREHEADERS,0),MATCH(($A231 &amp; "Points"),CLASSNAMEHEADERS,0))),"")))))))))}</f>
        <v>FORTITUDEL15</v>
      </c>
      <c r="V230" s="230"/>
      <c r="W230" s="230" t="str">
        <f t="array" ref="W230:W231">{"FORTITUDEL17";((IF("17"=(INDEX(ALLCLASSDATA,MATCH("FortitudeSaveLegendary",CLASSFEATUREHEADERS,0),MATCH($A231,CLASSNAMEHEADERS,0))),(INDEX(ALLCLASSDATA,MATCH("FortitudeSaveLegendary",CLASSFEATUREHEADERS,0),MATCH(($A231 &amp; "Points"),CLASSNAMEHEADERS,0))),(IF("17"=(INDEX(ALLCLASSDATA,MATCH("FortitudeSaveMaster",CLASSFEATUREHEADERS,0),MATCH($A231,CLASSNAMEHEADERS,0))),(INDEX(ALLCLASSDATA,MATCH("FortitudeSaveMaster",CLASSFEATUREHEADERS,0),MATCH(($A231 &amp; "Points"),CLASSNAMEHEADERS,0))),(IF("17"=(INDEX(ALLCLASSDATA,MATCH("FortitudeSaveExpert",CLASSFEATUREHEADERS,0),MATCH($A231,CLASSNAMEHEADERS,0))),(INDEX(ALLCLASSDATA,MATCH("FortitudeSaveExpert",CLASSFEATUREHEADERS,0),MATCH(($A231 &amp; "Points"),CLASSNAMEHEADERS,0))),(IF("17"=(INDEX(ALLCLASSDATA,MATCH("FortitudeSaveTrained",CLASSFEATUREHEADERS,0),MATCH($A231,CLASSNAMEHEADERS,0))),(INDEX(ALLCLASSDATA,MATCH("FortitudeSaveTrained",CLASSFEATUREHEADERS,0),MATCH(($A231 &amp; "Points"),CLASSNAMEHEADERS,0))),"")))))))))}</f>
        <v>FORTITUDEL17</v>
      </c>
      <c r="X230" s="230"/>
      <c r="Y230" s="230" t="str">
        <f t="array" ref="Y230:Y231">{"FORTITUDEL19";((IF("19"=(INDEX(ALLCLASSDATA,MATCH("FortitudeSaveLegendary",CLASSFEATUREHEADERS,0),MATCH($A231,CLASSNAMEHEADERS,0))),(INDEX(ALLCLASSDATA,MATCH("FortitudeSaveLegendary",CLASSFEATUREHEADERS,0),MATCH(($A231 &amp; "Points"),CLASSNAMEHEADERS,0))),(IF("19"=(INDEX(ALLCLASSDATA,MATCH("FortitudeSaveMaster",CLASSFEATUREHEADERS,0),MATCH($A231,CLASSNAMEHEADERS,0))),(INDEX(ALLCLASSDATA,MATCH("FortitudeSaveMaster",CLASSFEATUREHEADERS,0),MATCH(($A231 &amp; "Points"),CLASSNAMEHEADERS,0))),(IF("19"=(INDEX(ALLCLASSDATA,MATCH("FortitudeSaveExpert",CLASSFEATUREHEADERS,0),MATCH($A231,CLASSNAMEHEADERS,0))),(INDEX(ALLCLASSDATA,MATCH("FortitudeSaveExpert",CLASSFEATUREHEADERS,0),MATCH(($A231 &amp; "Points"),CLASSNAMEHEADERS,0))),(IF("19"=(INDEX(ALLCLASSDATA,MATCH("FortitudeSaveTrained",CLASSFEATUREHEADERS,0),MATCH($A231,CLASSNAMEHEADERS,0))),(INDEX(ALLCLASSDATA,MATCH("FortitudeSaveTrained",CLASSFEATUREHEADERS,0),MATCH(($A231 &amp; "Points"),CLASSNAMEHEADERS,0))),"")))))))))}</f>
        <v>FORTITUDEL19</v>
      </c>
      <c r="Z230" s="230"/>
      <c r="AA230" s="76" t="str">
        <f t="array" ref="AA230:AA231">{"FORTITUDE TOTAL";(IF(COUNTBLANK(F231:Z231)=17,"L",(IF(COUNTBLANK(F231:Z231)=18,"M",(IF(COUNTBLANK(F231:Z231)=19,"E",(IF(COUNTBLANK(F231:Z231)=20,"T",""))))))))}</f>
        <v>FORTITUDE TOTAL</v>
      </c>
      <c r="AB230" s="76" t="str">
        <f t="array" ref="AB230:AB231">{"FORTITUDE TOTAL";(sum(F231:Z231))}</f>
        <v>FORTITUDE TOTAL</v>
      </c>
    </row>
    <row r="231">
      <c r="A231" s="48" t="s">
        <v>225</v>
      </c>
      <c r="B231" s="48" t="s">
        <v>418</v>
      </c>
      <c r="C231" s="48" t="s">
        <v>1549</v>
      </c>
      <c r="D231" s="48" t="s">
        <v>1550</v>
      </c>
      <c r="E231" s="5" t="s">
        <v>435</v>
      </c>
      <c r="F231" s="47" t="s">
        <v>603</v>
      </c>
      <c r="G231" s="5">
        <v>10.0</v>
      </c>
      <c r="H231" s="5"/>
      <c r="I231" s="5">
        <v>50.0</v>
      </c>
      <c r="J231" s="5"/>
      <c r="K231" s="5" t="s">
        <v>603</v>
      </c>
      <c r="L231" s="5"/>
      <c r="M231" s="5" t="s">
        <v>603</v>
      </c>
      <c r="N231" s="5"/>
      <c r="O231" s="5" t="s">
        <v>603</v>
      </c>
      <c r="P231" s="5"/>
      <c r="Q231" s="5" t="s">
        <v>603</v>
      </c>
      <c r="R231" s="5"/>
      <c r="S231" s="5" t="s">
        <v>603</v>
      </c>
      <c r="T231" s="5"/>
      <c r="U231" s="5" t="s">
        <v>603</v>
      </c>
      <c r="V231" s="5"/>
      <c r="W231" s="5" t="s">
        <v>603</v>
      </c>
      <c r="X231" s="5"/>
      <c r="Y231" s="5" t="s">
        <v>603</v>
      </c>
      <c r="Z231" s="5"/>
      <c r="AA231" s="5" t="s">
        <v>436</v>
      </c>
      <c r="AB231" s="47">
        <v>60.0</v>
      </c>
    </row>
    <row r="232" hidden="1">
      <c r="A232" s="222" t="str">
        <f t="array" ref="A232:A233">{"FormulaRow24";(INDEX(CLASSLIST,A185,1))}</f>
        <v>FormulaRow24</v>
      </c>
      <c r="B232" s="222" t="str">
        <f t="array" ref="B232:B233">{"CLASSTYPE";((INDEX(ALLCLASSDATA,MATCH("ClassType",CLASSFEATUREHEADERS,0),MATCH($A233,CLASSNAMEHEADERS,0))))}</f>
        <v>CLASSTYPE</v>
      </c>
      <c r="C232" s="222" t="str">
        <f t="array" ref="C232:C233">{"SAVES";"Saves"}</f>
        <v>SAVES</v>
      </c>
      <c r="D232" s="222" t="str">
        <f t="array" ref="D232:D233">{"REFLEXSAVE";"ReflexSave"}</f>
        <v>REFLEXSAVE</v>
      </c>
      <c r="E232" s="223" t="str">
        <f t="array" ref="E232:E233">{"REFLEXINITIAL";((IF(G233=10,"T",(IF(G233=50,"E","")))))}</f>
        <v>REFLEXINITIAL</v>
      </c>
      <c r="F232" s="223" t="str">
        <f t="array" ref="F232:F233">{"REFLEXINITIALPTS";((IF("00"=(INDEX(ALLCLASSDATA,MATCH("ReflexSaveLegendary",CLASSFEATUREHEADERS,0),MATCH($A233,CLASSNAMEHEADERS,0))),(INDEX(ALLCLASSDATA,MATCH("ReflexSaveLegendary",CLASSFEATUREHEADERS,0),MATCH(($A233 &amp; "Points"),CLASSNAMEHEADERS,0))),(IF("00"=(INDEX(ALLCLASSDATA,MATCH("ReflexSaveMaster",CLASSFEATUREHEADERS,0),MATCH($A233,CLASSNAMEHEADERS,0))),(INDEX(ALLCLASSDATA,MATCH("ReflexSaveMaster",CLASSFEATUREHEADERS,0),MATCH(($A233 &amp; "Points"),CLASSNAMEHEADERS,0))),(IF("00"=(INDEX(ALLCLASSDATA,MATCH("ReflexSaveExpert",CLASSFEATUREHEADERS,0),MATCH($A233,CLASSNAMEHEADERS,0))),(INDEX(ALLCLASSDATA,MATCH("ReflexSaveExpert",CLASSFEATUREHEADERS,0),MATCH(($A233 &amp; "Points"),CLASSNAMEHEADERS,0))),(IF("00"=(INDEX(ALLCLASSDATA,MATCH("ReflexSaveTrained",CLASSFEATUREHEADERS,0),MATCH($A233,CLASSNAMEHEADERS,0))),(INDEX(ALLCLASSDATA,MATCH("ReflexSaveTrained",CLASSFEATUREHEADERS,0),MATCH(($A233 &amp; "Points"),CLASSNAMEHEADERS,0))),"")))))))))}</f>
        <v>REFLEXINITIALPTS</v>
      </c>
      <c r="G232" s="223" t="str">
        <f t="array" ref="G232:G233">{"REFLEXL01";((IF("01"=(INDEX(ALLCLASSDATA,MATCH("ReflexSaveLegendary",CLASSFEATUREHEADERS,0),MATCH($A233,CLASSNAMEHEADERS,0))),(INDEX(ALLCLASSDATA,MATCH("ReflexSaveLegendary",CLASSFEATUREHEADERS,0),MATCH(($A233 &amp; "Points"),CLASSNAMEHEADERS,0))),(IF("01"=(INDEX(ALLCLASSDATA,MATCH("ReflexSaveMaster",CLASSFEATUREHEADERS,0),MATCH($A233,CLASSNAMEHEADERS,0))),(INDEX(ALLCLASSDATA,MATCH("ReflexSaveMaster",CLASSFEATUREHEADERS,0),MATCH(($A233 &amp; "Points"),CLASSNAMEHEADERS,0))),(IF("01"=(INDEX(ALLCLASSDATA,MATCH("ReflexSaveExpert",CLASSFEATUREHEADERS,0),MATCH($A233,CLASSNAMEHEADERS,0))),(INDEX(ALLCLASSDATA,MATCH("ReflexSaveExpert",CLASSFEATUREHEADERS,0),MATCH(($A233 &amp; "Points"),CLASSNAMEHEADERS,0))),(IF("01"=(INDEX(ALLCLASSDATA,MATCH("ReflexSaveTrained",CLASSFEATUREHEADERS,0),MATCH($A233,CLASSNAMEHEADERS,0))),(INDEX(ALLCLASSDATA,MATCH("ReflexSaveTrained",CLASSFEATUREHEADERS,0),MATCH(($A233 &amp; "Points"),CLASSNAMEHEADERS,0))),"")))))))))}</f>
        <v>REFLEXL01</v>
      </c>
      <c r="H232" s="223"/>
      <c r="I232" s="223" t="str">
        <f t="array" ref="I232:I233">{"REFLEXL03";((IF("03"=(INDEX(ALLCLASSDATA,MATCH("ReflexSaveLegendary",CLASSFEATUREHEADERS,0),MATCH($A233,CLASSNAMEHEADERS,0))),(INDEX(ALLCLASSDATA,MATCH("ReflexSaveLegendary",CLASSFEATUREHEADERS,0),MATCH(($A233 &amp; "Points"),CLASSNAMEHEADERS,0))),(IF("03"=(INDEX(ALLCLASSDATA,MATCH("ReflexSaveMaster",CLASSFEATUREHEADERS,0),MATCH($A233,CLASSNAMEHEADERS,0))),(INDEX(ALLCLASSDATA,MATCH("ReflexSaveMaster",CLASSFEATUREHEADERS,0),MATCH(($A233 &amp; "Points"),CLASSNAMEHEADERS,0))),(IF("03"=(INDEX(ALLCLASSDATA,MATCH("ReflexSaveExpert",CLASSFEATUREHEADERS,0),MATCH($A233,CLASSNAMEHEADERS,0))),(INDEX(ALLCLASSDATA,MATCH("ReflexSaveExpert",CLASSFEATUREHEADERS,0),MATCH(($A233 &amp; "Points"),CLASSNAMEHEADERS,0))),(IF("03"=(INDEX(ALLCLASSDATA,MATCH("ReflexSaveTrained",CLASSFEATUREHEADERS,0),MATCH($A233,CLASSNAMEHEADERS,0))),(INDEX(ALLCLASSDATA,MATCH("ReflexSaveTrained",CLASSFEATUREHEADERS,0),MATCH(($A233 &amp; "Points"),CLASSNAMEHEADERS,0))),"")))))))))}</f>
        <v>REFLEXL03</v>
      </c>
      <c r="J232" s="223"/>
      <c r="K232" s="223" t="str">
        <f t="array" ref="K232:K233">{"REFLEXL05";((IF("05"=(INDEX(ALLCLASSDATA,MATCH("ReflexSaveLegendary",CLASSFEATUREHEADERS,0),MATCH($A233,CLASSNAMEHEADERS,0))),(INDEX(ALLCLASSDATA,MATCH("ReflexSaveLegendary",CLASSFEATUREHEADERS,0),MATCH(($A233 &amp; "Points"),CLASSNAMEHEADERS,0))),(IF("05"=(INDEX(ALLCLASSDATA,MATCH("ReflexSaveMaster",CLASSFEATUREHEADERS,0),MATCH($A233,CLASSNAMEHEADERS,0))),(INDEX(ALLCLASSDATA,MATCH("ReflexSaveMaster",CLASSFEATUREHEADERS,0),MATCH(($A233 &amp; "Points"),CLASSNAMEHEADERS,0))),(IF("05"=(INDEX(ALLCLASSDATA,MATCH("ReflexSaveExpert",CLASSFEATUREHEADERS,0),MATCH($A233,CLASSNAMEHEADERS,0))),(INDEX(ALLCLASSDATA,MATCH("ReflexSaveExpert",CLASSFEATUREHEADERS,0),MATCH(($A233 &amp; "Points"),CLASSNAMEHEADERS,0))),(IF("05"=(INDEX(ALLCLASSDATA,MATCH("ReflexSaveTrained",CLASSFEATUREHEADERS,0),MATCH($A233,CLASSNAMEHEADERS,0))),(INDEX(ALLCLASSDATA,MATCH("ReflexSaveTrained",CLASSFEATUREHEADERS,0),MATCH(($A233 &amp; "Points"),CLASSNAMEHEADERS,0))),"")))))))))}</f>
        <v>REFLEXL05</v>
      </c>
      <c r="L232" s="223"/>
      <c r="M232" s="223" t="str">
        <f t="array" ref="M232:M233">{"REFLEXL07";((IF("07"=(INDEX(ALLCLASSDATA,MATCH("ReflexSaveLegendary",CLASSFEATUREHEADERS,0),MATCH($A233,CLASSNAMEHEADERS,0))),(INDEX(ALLCLASSDATA,MATCH("ReflexSaveLegendary",CLASSFEATUREHEADERS,0),MATCH(($A233 &amp; "Points"),CLASSNAMEHEADERS,0))),(IF("07"=(INDEX(ALLCLASSDATA,MATCH("ReflexSaveMaster",CLASSFEATUREHEADERS,0),MATCH($A233,CLASSNAMEHEADERS,0))),(INDEX(ALLCLASSDATA,MATCH("ReflexSaveMaster",CLASSFEATUREHEADERS,0),MATCH(($A233 &amp; "Points"),CLASSNAMEHEADERS,0))),(IF("07"=(INDEX(ALLCLASSDATA,MATCH("ReflexSaveExpert",CLASSFEATUREHEADERS,0),MATCH($A233,CLASSNAMEHEADERS,0))),(INDEX(ALLCLASSDATA,MATCH("ReflexSaveExpert",CLASSFEATUREHEADERS,0),MATCH(($A233 &amp; "Points"),CLASSNAMEHEADERS,0))),(IF("07"=(INDEX(ALLCLASSDATA,MATCH("ReflexSaveTrained",CLASSFEATUREHEADERS,0),MATCH($A233,CLASSNAMEHEADERS,0))),(INDEX(ALLCLASSDATA,MATCH("ReflexSaveTrained",CLASSFEATUREHEADERS,0),MATCH(($A233 &amp; "Points"),CLASSNAMEHEADERS,0))),"")))))))))}</f>
        <v>REFLEXL07</v>
      </c>
      <c r="N232" s="223"/>
      <c r="O232" s="223" t="str">
        <f t="array" ref="O232:O233">{"REFLEXL09";((IF("09"=(INDEX(ALLCLASSDATA,MATCH("ReflexSaveLegendary",CLASSFEATUREHEADERS,0),MATCH($A233,CLASSNAMEHEADERS,0))),(INDEX(ALLCLASSDATA,MATCH("ReflexSaveLegendary",CLASSFEATUREHEADERS,0),MATCH(($A233 &amp; "Points"),CLASSNAMEHEADERS,0))),(IF("09"=(INDEX(ALLCLASSDATA,MATCH("ReflexSaveMaster",CLASSFEATUREHEADERS,0),MATCH($A233,CLASSNAMEHEADERS,0))),(INDEX(ALLCLASSDATA,MATCH("ReflexSaveMaster",CLASSFEATUREHEADERS,0),MATCH(($A233 &amp; "Points"),CLASSNAMEHEADERS,0))),(IF("09"=(INDEX(ALLCLASSDATA,MATCH("ReflexSaveExpert",CLASSFEATUREHEADERS,0),MATCH($A233,CLASSNAMEHEADERS,0))),(INDEX(ALLCLASSDATA,MATCH("ReflexSaveExpert",CLASSFEATUREHEADERS,0),MATCH(($A233 &amp; "Points"),CLASSNAMEHEADERS,0))),(IF("09"=(INDEX(ALLCLASSDATA,MATCH("ReflexSaveTrained",CLASSFEATUREHEADERS,0),MATCH($A233,CLASSNAMEHEADERS,0))),(INDEX(ALLCLASSDATA,MATCH("ReflexSaveTrained",CLASSFEATUREHEADERS,0),MATCH(($A233 &amp; "Points"),CLASSNAMEHEADERS,0))),"")))))))))}</f>
        <v>REFLEXL09</v>
      </c>
      <c r="P232" s="223"/>
      <c r="Q232" s="223" t="str">
        <f t="array" ref="Q232:Q233">{"REFLEXL11";((IF("11"=(INDEX(ALLCLASSDATA,MATCH("ReflexSaveLegendary",CLASSFEATUREHEADERS,0),MATCH($A233,CLASSNAMEHEADERS,0))),(INDEX(ALLCLASSDATA,MATCH("ReflexSaveLegendary",CLASSFEATUREHEADERS,0),MATCH(($A233 &amp; "Points"),CLASSNAMEHEADERS,0))),(IF("11"=(INDEX(ALLCLASSDATA,MATCH("ReflexSaveMaster",CLASSFEATUREHEADERS,0),MATCH($A233,CLASSNAMEHEADERS,0))),(INDEX(ALLCLASSDATA,MATCH("ReflexSaveMaster",CLASSFEATUREHEADERS,0),MATCH(($A233 &amp; "Points"),CLASSNAMEHEADERS,0))),(IF("11"=(INDEX(ALLCLASSDATA,MATCH("ReflexSaveExpert",CLASSFEATUREHEADERS,0),MATCH($A233,CLASSNAMEHEADERS,0))),(INDEX(ALLCLASSDATA,MATCH("ReflexSaveExpert",CLASSFEATUREHEADERS,0),MATCH(($A233 &amp; "Points"),CLASSNAMEHEADERS,0))),(IF("11"=(INDEX(ALLCLASSDATA,MATCH("ReflexSaveTrained",CLASSFEATUREHEADERS,0),MATCH($A233,CLASSNAMEHEADERS,0))),(INDEX(ALLCLASSDATA,MATCH("ReflexSaveTrained",CLASSFEATUREHEADERS,0),MATCH(($A233 &amp; "Points"),CLASSNAMEHEADERS,0))),"")))))))))}</f>
        <v>REFLEXL11</v>
      </c>
      <c r="R232" s="223"/>
      <c r="S232" s="223" t="str">
        <f t="array" ref="S232:S233">{"REFLEXL13";((IF("13"=(INDEX(ALLCLASSDATA,MATCH("ReflexSaveLegendary",CLASSFEATUREHEADERS,0),MATCH($A233,CLASSNAMEHEADERS,0))),(INDEX(ALLCLASSDATA,MATCH("ReflexSaveLegendary",CLASSFEATUREHEADERS,0),MATCH(($A233 &amp; "Points"),CLASSNAMEHEADERS,0))),(IF("13"=(INDEX(ALLCLASSDATA,MATCH("ReflexSaveMaster",CLASSFEATUREHEADERS,0),MATCH($A233,CLASSNAMEHEADERS,0))),(INDEX(ALLCLASSDATA,MATCH("ReflexSaveMaster",CLASSFEATUREHEADERS,0),MATCH(($A233 &amp; "Points"),CLASSNAMEHEADERS,0))),(IF("13"=(INDEX(ALLCLASSDATA,MATCH("ReflexSaveExpert",CLASSFEATUREHEADERS,0),MATCH($A233,CLASSNAMEHEADERS,0))),(INDEX(ALLCLASSDATA,MATCH("ReflexSaveExpert",CLASSFEATUREHEADERS,0),MATCH(($A233 &amp; "Points"),CLASSNAMEHEADERS,0))),(IF("13"=(INDEX(ALLCLASSDATA,MATCH("ReflexSaveTrained",CLASSFEATUREHEADERS,0),MATCH($A233,CLASSNAMEHEADERS,0))),(INDEX(ALLCLASSDATA,MATCH("ReflexSaveTrained",CLASSFEATUREHEADERS,0),MATCH(($A233 &amp; "Points"),CLASSNAMEHEADERS,0))),"")))))))))}</f>
        <v>REFLEXL13</v>
      </c>
      <c r="T232" s="223"/>
      <c r="U232" s="223" t="str">
        <f t="array" ref="U232:U233">{"REFLEXL15";((IF("15"=(INDEX(ALLCLASSDATA,MATCH("ReflexSaveLegendary",CLASSFEATUREHEADERS,0),MATCH($A233,CLASSNAMEHEADERS,0))),(INDEX(ALLCLASSDATA,MATCH("ReflexSaveLegendary",CLASSFEATUREHEADERS,0),MATCH(($A233 &amp; "Points"),CLASSNAMEHEADERS,0))),(IF("15"=(INDEX(ALLCLASSDATA,MATCH("ReflexSaveMaster",CLASSFEATUREHEADERS,0),MATCH($A233,CLASSNAMEHEADERS,0))),(INDEX(ALLCLASSDATA,MATCH("ReflexSaveMaster",CLASSFEATUREHEADERS,0),MATCH(($A233 &amp; "Points"),CLASSNAMEHEADERS,0))),(IF("15"=(INDEX(ALLCLASSDATA,MATCH("ReflexSaveExpert",CLASSFEATUREHEADERS,0),MATCH($A233,CLASSNAMEHEADERS,0))),(INDEX(ALLCLASSDATA,MATCH("ReflexSaveExpert",CLASSFEATUREHEADERS,0),MATCH(($A233 &amp; "Points"),CLASSNAMEHEADERS,0))),(IF("15"=(INDEX(ALLCLASSDATA,MATCH("ReflexSaveTrained",CLASSFEATUREHEADERS,0),MATCH($A233,CLASSNAMEHEADERS,0))),(INDEX(ALLCLASSDATA,MATCH("ReflexSaveTrained",CLASSFEATUREHEADERS,0),MATCH(($A233 &amp; "Points"),CLASSNAMEHEADERS,0))),"")))))))))}</f>
        <v>REFLEXL15</v>
      </c>
      <c r="V232" s="223"/>
      <c r="W232" s="223" t="str">
        <f t="array" ref="W232:W233">{"REFLEXL17";((IF("17"=(INDEX(ALLCLASSDATA,MATCH("ReflexSaveLegendary",CLASSFEATUREHEADERS,0),MATCH($A233,CLASSNAMEHEADERS,0))),(INDEX(ALLCLASSDATA,MATCH("ReflexSaveLegendary",CLASSFEATUREHEADERS,0),MATCH(($A233 &amp; "Points"),CLASSNAMEHEADERS,0))),(IF("17"=(INDEX(ALLCLASSDATA,MATCH("ReflexSaveMaster",CLASSFEATUREHEADERS,0),MATCH($A233,CLASSNAMEHEADERS,0))),(INDEX(ALLCLASSDATA,MATCH("ReflexSaveMaster",CLASSFEATUREHEADERS,0),MATCH(($A233 &amp; "Points"),CLASSNAMEHEADERS,0))),(IF("17"=(INDEX(ALLCLASSDATA,MATCH("ReflexSaveExpert",CLASSFEATUREHEADERS,0),MATCH($A233,CLASSNAMEHEADERS,0))),(INDEX(ALLCLASSDATA,MATCH("ReflexSaveExpert",CLASSFEATUREHEADERS,0),MATCH(($A233 &amp; "Points"),CLASSNAMEHEADERS,0))),(IF("17"=(INDEX(ALLCLASSDATA,MATCH("ReflexSaveTrained",CLASSFEATUREHEADERS,0),MATCH($A233,CLASSNAMEHEADERS,0))),(INDEX(ALLCLASSDATA,MATCH("ReflexSaveTrained",CLASSFEATUREHEADERS,0),MATCH(($A233 &amp; "Points"),CLASSNAMEHEADERS,0))),"")))))))))}</f>
        <v>REFLEXL17</v>
      </c>
      <c r="X232" s="223"/>
      <c r="Y232" s="223" t="str">
        <f t="array" ref="Y232:Y233">{"REFLEXL19";((IF("19"=(INDEX(ALLCLASSDATA,MATCH("ReflexSaveLegendary",CLASSFEATUREHEADERS,0),MATCH($A233,CLASSNAMEHEADERS,0))),(INDEX(ALLCLASSDATA,MATCH("ReflexSaveLegendary",CLASSFEATUREHEADERS,0),MATCH(($A233 &amp; "Points"),CLASSNAMEHEADERS,0))),(IF("19"=(INDEX(ALLCLASSDATA,MATCH("ReflexSaveMaster",CLASSFEATUREHEADERS,0),MATCH($A233,CLASSNAMEHEADERS,0))),(INDEX(ALLCLASSDATA,MATCH("ReflexSaveMaster",CLASSFEATUREHEADERS,0),MATCH(($A233 &amp; "Points"),CLASSNAMEHEADERS,0))),(IF("19"=(INDEX(ALLCLASSDATA,MATCH("ReflexSaveExpert",CLASSFEATUREHEADERS,0),MATCH($A233,CLASSNAMEHEADERS,0))),(INDEX(ALLCLASSDATA,MATCH("ReflexSaveExpert",CLASSFEATUREHEADERS,0),MATCH(($A233 &amp; "Points"),CLASSNAMEHEADERS,0))),(IF("19"=(INDEX(ALLCLASSDATA,MATCH("ReflexSaveTrained",CLASSFEATUREHEADERS,0),MATCH($A233,CLASSNAMEHEADERS,0))),(INDEX(ALLCLASSDATA,MATCH("ReflexSaveTrained",CLASSFEATUREHEADERS,0),MATCH(($A233 &amp; "Points"),CLASSNAMEHEADERS,0))),"")))))))))}</f>
        <v>REFLEXL19</v>
      </c>
      <c r="Z232" s="223"/>
      <c r="AA232" s="76" t="str">
        <f t="array" ref="AA232:AA233">{"REFLEX TOTAL";(IF(COUNTBLANK(F233:Z233)=17,"L",(IF(COUNTBLANK(F233:Z233)=18,"M",(IF(COUNTBLANK(F233:Z233)=19,"E",(IF(COUNTBLANK(F233:Z233)=20,"T",""))))))))}</f>
        <v>REFLEX TOTAL</v>
      </c>
      <c r="AB232" s="76" t="str">
        <f t="array" ref="AB232:AB233">{"REFLEX TOTAL";(sum(F233:Z233))}</f>
        <v>REFLEX TOTAL</v>
      </c>
    </row>
    <row r="233">
      <c r="A233" s="48" t="s">
        <v>225</v>
      </c>
      <c r="B233" s="48" t="s">
        <v>418</v>
      </c>
      <c r="C233" s="48" t="s">
        <v>1549</v>
      </c>
      <c r="D233" s="48" t="s">
        <v>1572</v>
      </c>
      <c r="E233" s="5" t="s">
        <v>435</v>
      </c>
      <c r="F233" s="47" t="s">
        <v>603</v>
      </c>
      <c r="G233" s="5">
        <v>10.0</v>
      </c>
      <c r="H233" s="5"/>
      <c r="I233" s="5" t="s">
        <v>603</v>
      </c>
      <c r="J233" s="5"/>
      <c r="K233" s="5">
        <v>50.0</v>
      </c>
      <c r="L233" s="5"/>
      <c r="M233" s="5" t="s">
        <v>603</v>
      </c>
      <c r="N233" s="5"/>
      <c r="O233" s="5" t="s">
        <v>603</v>
      </c>
      <c r="P233" s="5"/>
      <c r="Q233" s="5" t="s">
        <v>603</v>
      </c>
      <c r="R233" s="5"/>
      <c r="S233" s="5" t="s">
        <v>603</v>
      </c>
      <c r="T233" s="5"/>
      <c r="U233" s="5" t="s">
        <v>603</v>
      </c>
      <c r="V233" s="5"/>
      <c r="W233" s="5" t="s">
        <v>603</v>
      </c>
      <c r="X233" s="5"/>
      <c r="Y233" s="5" t="s">
        <v>603</v>
      </c>
      <c r="Z233" s="5"/>
      <c r="AA233" s="5" t="s">
        <v>436</v>
      </c>
      <c r="AB233" s="47">
        <v>60.0</v>
      </c>
    </row>
    <row r="234" hidden="1">
      <c r="A234" s="222" t="str">
        <f t="array" ref="A234:A235">{"FormulaRow25";(INDEX(CLASSLIST,A185,1))}</f>
        <v>FormulaRow25</v>
      </c>
      <c r="B234" s="222" t="str">
        <f t="array" ref="B234:B235">{"CLASSTYPE";((INDEX(ALLCLASSDATA,MATCH("ClassType",CLASSFEATUREHEADERS,0),MATCH($A235,CLASSNAMEHEADERS,0))))}</f>
        <v>CLASSTYPE</v>
      </c>
      <c r="C234" s="222" t="str">
        <f t="array" ref="C234:C235">{"SAVES";"Saves"}</f>
        <v>SAVES</v>
      </c>
      <c r="D234" s="222" t="str">
        <f t="array" ref="D234:D235">{"WILLSAVE";"WillSave"}</f>
        <v>WILLSAVE</v>
      </c>
      <c r="E234" s="223" t="str">
        <f t="array" ref="E234:E235">{"WILLINITIAL";((IF(G235=10,"T",(IF(G235=50,"E","")))))}</f>
        <v>WILLINITIAL</v>
      </c>
      <c r="F234" s="223" t="str">
        <f t="array" ref="F234:F235">{"WILLINITIALPTS";((IF("00"=(INDEX(ALLCLASSDATA,MATCH("WillSaveLegendary",CLASSFEATUREHEADERS,0),MATCH($A235,CLASSNAMEHEADERS,0))),(INDEX(ALLCLASSDATA,MATCH("WillSaveLegendary",CLASSFEATUREHEADERS,0),MATCH(($A235 &amp; "Points"),CLASSNAMEHEADERS,0))),(IF("00"=(INDEX(ALLCLASSDATA,MATCH("WillSaveMaster",CLASSFEATUREHEADERS,0),MATCH($A235,CLASSNAMEHEADERS,0))),(INDEX(ALLCLASSDATA,MATCH("WillSaveMaster",CLASSFEATUREHEADERS,0),MATCH(($A235 &amp; "Points"),CLASSNAMEHEADERS,0))),(IF("00"=(INDEX(ALLCLASSDATA,MATCH("WillSaveExpert",CLASSFEATUREHEADERS,0),MATCH($A235,CLASSNAMEHEADERS,0))),(INDEX(ALLCLASSDATA,MATCH("WillSaveExpert",CLASSFEATUREHEADERS,0),MATCH(($A235 &amp; "Points"),CLASSNAMEHEADERS,0))),(IF("00"=(INDEX(ALLCLASSDATA,MATCH("WillSaveTrained",CLASSFEATUREHEADERS,0),MATCH($A235,CLASSNAMEHEADERS,0))),(INDEX(ALLCLASSDATA,MATCH("WillSaveTrained",CLASSFEATUREHEADERS,0),MATCH(($A235 &amp; "Points"),CLASSNAMEHEADERS,0))),"")))))))))}</f>
        <v>WILLINITIALPTS</v>
      </c>
      <c r="G234" s="223" t="str">
        <f t="array" ref="G234:G235">{"WILLL01";((IF("01"=(INDEX(ALLCLASSDATA,MATCH("WillSaveLegendary",CLASSFEATUREHEADERS,0),MATCH($A235,CLASSNAMEHEADERS,0))),(INDEX(ALLCLASSDATA,MATCH("WillSaveLegendary",CLASSFEATUREHEADERS,0),MATCH(($A235 &amp; "Points"),CLASSNAMEHEADERS,0))),(IF("01"=(INDEX(ALLCLASSDATA,MATCH("WillSaveMaster",CLASSFEATUREHEADERS,0),MATCH($A235,CLASSNAMEHEADERS,0))),(INDEX(ALLCLASSDATA,MATCH("WillSaveMaster",CLASSFEATUREHEADERS,0),MATCH(($A235 &amp; "Points"),CLASSNAMEHEADERS,0))),(IF("01"=(INDEX(ALLCLASSDATA,MATCH("WillSaveExpert",CLASSFEATUREHEADERS,0),MATCH($A235,CLASSNAMEHEADERS,0))),(INDEX(ALLCLASSDATA,MATCH("WillSaveExpert",CLASSFEATUREHEADERS,0),MATCH(($A235 &amp; "Points"),CLASSNAMEHEADERS,0))),(IF("01"=(INDEX(ALLCLASSDATA,MATCH("WillSaveTrained",CLASSFEATUREHEADERS,0),MATCH($A235,CLASSNAMEHEADERS,0))),(INDEX(ALLCLASSDATA,MATCH("WillSaveTrained",CLASSFEATUREHEADERS,0),MATCH(($A235 &amp; "Points"),CLASSNAMEHEADERS,0))),"")))))))))}</f>
        <v>WILLL01</v>
      </c>
      <c r="H234" s="223"/>
      <c r="I234" s="223" t="str">
        <f t="array" ref="I234:I235">{"WILLL03";((IF("03"=(INDEX(ALLCLASSDATA,MATCH("WillSaveLegendary",CLASSFEATUREHEADERS,0),MATCH($A235,CLASSNAMEHEADERS,0))),(INDEX(ALLCLASSDATA,MATCH("WillSaveLegendary",CLASSFEATUREHEADERS,0),MATCH(($A235 &amp; "Points"),CLASSNAMEHEADERS,0))),(IF("03"=(INDEX(ALLCLASSDATA,MATCH("WillSaveMaster",CLASSFEATUREHEADERS,0),MATCH($A235,CLASSNAMEHEADERS,0))),(INDEX(ALLCLASSDATA,MATCH("WillSaveMaster",CLASSFEATUREHEADERS,0),MATCH(($A235 &amp; "Points"),CLASSNAMEHEADERS,0))),(IF("03"=(INDEX(ALLCLASSDATA,MATCH("WillSaveExpert",CLASSFEATUREHEADERS,0),MATCH($A235,CLASSNAMEHEADERS,0))),(INDEX(ALLCLASSDATA,MATCH("WillSaveExpert",CLASSFEATUREHEADERS,0),MATCH(($A235 &amp; "Points"),CLASSNAMEHEADERS,0))),(IF("03"=(INDEX(ALLCLASSDATA,MATCH("WillSaveTrained",CLASSFEATUREHEADERS,0),MATCH($A235,CLASSNAMEHEADERS,0))),(INDEX(ALLCLASSDATA,MATCH("WillSaveTrained",CLASSFEATUREHEADERS,0),MATCH(($A235 &amp; "Points"),CLASSNAMEHEADERS,0))),"")))))))))}</f>
        <v>WILLL03</v>
      </c>
      <c r="J234" s="223"/>
      <c r="K234" s="223" t="str">
        <f t="array" ref="K234:K235">{"WILLL05";((IF("05"=(INDEX(ALLCLASSDATA,MATCH("WillSaveLegendary",CLASSFEATUREHEADERS,0),MATCH($A235,CLASSNAMEHEADERS,0))),(INDEX(ALLCLASSDATA,MATCH("WillSaveLegendary",CLASSFEATUREHEADERS,0),MATCH(($A235 &amp; "Points"),CLASSNAMEHEADERS,0))),(IF("05"=(INDEX(ALLCLASSDATA,MATCH("WillSaveMaster",CLASSFEATUREHEADERS,0),MATCH($A235,CLASSNAMEHEADERS,0))),(INDEX(ALLCLASSDATA,MATCH("WillSaveMaster",CLASSFEATUREHEADERS,0),MATCH(($A235 &amp; "Points"),CLASSNAMEHEADERS,0))),(IF("05"=(INDEX(ALLCLASSDATA,MATCH("WillSaveExpert",CLASSFEATUREHEADERS,0),MATCH($A235,CLASSNAMEHEADERS,0))),(INDEX(ALLCLASSDATA,MATCH("WillSaveExpert",CLASSFEATUREHEADERS,0),MATCH(($A235 &amp; "Points"),CLASSNAMEHEADERS,0))),(IF("05"=(INDEX(ALLCLASSDATA,MATCH("WillSaveTrained",CLASSFEATUREHEADERS,0),MATCH($A235,CLASSNAMEHEADERS,0))),(INDEX(ALLCLASSDATA,MATCH("WillSaveTrained",CLASSFEATUREHEADERS,0),MATCH(($A235 &amp; "Points"),CLASSNAMEHEADERS,0))),"")))))))))}</f>
        <v>WILLL05</v>
      </c>
      <c r="L234" s="223"/>
      <c r="M234" s="223" t="str">
        <f t="array" ref="M234:M235">{"WILLL07";((IF("07"=(INDEX(ALLCLASSDATA,MATCH("WillSaveLegendary",CLASSFEATUREHEADERS,0),MATCH($A235,CLASSNAMEHEADERS,0))),(INDEX(ALLCLASSDATA,MATCH("WillSaveLegendary",CLASSFEATUREHEADERS,0),MATCH(($A235 &amp; "Points"),CLASSNAMEHEADERS,0))),(IF("07"=(INDEX(ALLCLASSDATA,MATCH("WillSaveMaster",CLASSFEATUREHEADERS,0),MATCH($A235,CLASSNAMEHEADERS,0))),(INDEX(ALLCLASSDATA,MATCH("WillSaveMaster",CLASSFEATUREHEADERS,0),MATCH(($A235 &amp; "Points"),CLASSNAMEHEADERS,0))),(IF("07"=(INDEX(ALLCLASSDATA,MATCH("WillSaveExpert",CLASSFEATUREHEADERS,0),MATCH($A235,CLASSNAMEHEADERS,0))),(INDEX(ALLCLASSDATA,MATCH("WillSaveExpert",CLASSFEATUREHEADERS,0),MATCH(($A235 &amp; "Points"),CLASSNAMEHEADERS,0))),(IF("07"=(INDEX(ALLCLASSDATA,MATCH("WillSaveTrained",CLASSFEATUREHEADERS,0),MATCH($A235,CLASSNAMEHEADERS,0))),(INDEX(ALLCLASSDATA,MATCH("WillSaveTrained",CLASSFEATUREHEADERS,0),MATCH(($A235 &amp; "Points"),CLASSNAMEHEADERS,0))),"")))))))))}</f>
        <v>WILLL07</v>
      </c>
      <c r="N234" s="223"/>
      <c r="O234" s="223" t="str">
        <f t="array" ref="O234:O235">{"WILLL09";((IF("09"=(INDEX(ALLCLASSDATA,MATCH("WillSaveLegendary",CLASSFEATUREHEADERS,0),MATCH($A235,CLASSNAMEHEADERS,0))),(INDEX(ALLCLASSDATA,MATCH("WillSaveLegendary",CLASSFEATUREHEADERS,0),MATCH(($A235 &amp; "Points"),CLASSNAMEHEADERS,0))),(IF("09"=(INDEX(ALLCLASSDATA,MATCH("WillSaveMaster",CLASSFEATUREHEADERS,0),MATCH($A235,CLASSNAMEHEADERS,0))),(INDEX(ALLCLASSDATA,MATCH("WillSaveMaster",CLASSFEATUREHEADERS,0),MATCH(($A235 &amp; "Points"),CLASSNAMEHEADERS,0))),(IF("09"=(INDEX(ALLCLASSDATA,MATCH("WillSaveExpert",CLASSFEATUREHEADERS,0),MATCH($A235,CLASSNAMEHEADERS,0))),(INDEX(ALLCLASSDATA,MATCH("WillSaveExpert",CLASSFEATUREHEADERS,0),MATCH(($A235 &amp; "Points"),CLASSNAMEHEADERS,0))),(IF("09"=(INDEX(ALLCLASSDATA,MATCH("WillSaveTrained",CLASSFEATUREHEADERS,0),MATCH($A235,CLASSNAMEHEADERS,0))),(INDEX(ALLCLASSDATA,MATCH("WillSaveTrained",CLASSFEATUREHEADERS,0),MATCH(($A235 &amp; "Points"),CLASSNAMEHEADERS,0))),"")))))))))}</f>
        <v>WILLL09</v>
      </c>
      <c r="P234" s="223"/>
      <c r="Q234" s="223" t="str">
        <f t="array" ref="Q234:Q235">{"WILLL11";((IF("11"=(INDEX(ALLCLASSDATA,MATCH("WillSaveLegendary",CLASSFEATUREHEADERS,0),MATCH($A235,CLASSNAMEHEADERS,0))),(INDEX(ALLCLASSDATA,MATCH("WillSaveLegendary",CLASSFEATUREHEADERS,0),MATCH(($A235 &amp; "Points"),CLASSNAMEHEADERS,0))),(IF("11"=(INDEX(ALLCLASSDATA,MATCH("WillSaveMaster",CLASSFEATUREHEADERS,0),MATCH($A235,CLASSNAMEHEADERS,0))),(INDEX(ALLCLASSDATA,MATCH("WillSaveMaster",CLASSFEATUREHEADERS,0),MATCH(($A235 &amp; "Points"),CLASSNAMEHEADERS,0))),(IF("11"=(INDEX(ALLCLASSDATA,MATCH("WillSaveExpert",CLASSFEATUREHEADERS,0),MATCH($A235,CLASSNAMEHEADERS,0))),(INDEX(ALLCLASSDATA,MATCH("WillSaveExpert",CLASSFEATUREHEADERS,0),MATCH(($A235 &amp; "Points"),CLASSNAMEHEADERS,0))),(IF("11"=(INDEX(ALLCLASSDATA,MATCH("WillSaveTrained",CLASSFEATUREHEADERS,0),MATCH($A235,CLASSNAMEHEADERS,0))),(INDEX(ALLCLASSDATA,MATCH("WillSaveTrained",CLASSFEATUREHEADERS,0),MATCH(($A235 &amp; "Points"),CLASSNAMEHEADERS,0))),"")))))))))}</f>
        <v>WILLL11</v>
      </c>
      <c r="R234" s="223"/>
      <c r="S234" s="223" t="str">
        <f t="array" ref="S234:S235">{"WILLL13";((IF("13"=(INDEX(ALLCLASSDATA,MATCH("WillSaveLegendary",CLASSFEATUREHEADERS,0),MATCH($A235,CLASSNAMEHEADERS,0))),(INDEX(ALLCLASSDATA,MATCH("WillSaveLegendary",CLASSFEATUREHEADERS,0),MATCH(($A235 &amp; "Points"),CLASSNAMEHEADERS,0))),(IF("13"=(INDEX(ALLCLASSDATA,MATCH("WillSaveMaster",CLASSFEATUREHEADERS,0),MATCH($A235,CLASSNAMEHEADERS,0))),(INDEX(ALLCLASSDATA,MATCH("WillSaveMaster",CLASSFEATUREHEADERS,0),MATCH(($A235 &amp; "Points"),CLASSNAMEHEADERS,0))),(IF("13"=(INDEX(ALLCLASSDATA,MATCH("WillSaveExpert",CLASSFEATUREHEADERS,0),MATCH($A235,CLASSNAMEHEADERS,0))),(INDEX(ALLCLASSDATA,MATCH("WillSaveExpert",CLASSFEATUREHEADERS,0),MATCH(($A235 &amp; "Points"),CLASSNAMEHEADERS,0))),(IF("13"=(INDEX(ALLCLASSDATA,MATCH("WillSaveTrained",CLASSFEATUREHEADERS,0),MATCH($A235,CLASSNAMEHEADERS,0))),(INDEX(ALLCLASSDATA,MATCH("WillSaveTrained",CLASSFEATUREHEADERS,0),MATCH(($A235 &amp; "Points"),CLASSNAMEHEADERS,0))),"")))))))))}</f>
        <v>WILLL13</v>
      </c>
      <c r="T234" s="223"/>
      <c r="U234" s="223" t="str">
        <f t="array" ref="U234:U235">{"WILLL15";((IF("15"=(INDEX(ALLCLASSDATA,MATCH("WillSaveLegendary",CLASSFEATUREHEADERS,0),MATCH($A235,CLASSNAMEHEADERS,0))),(INDEX(ALLCLASSDATA,MATCH("WillSaveLegendary",CLASSFEATUREHEADERS,0),MATCH(($A235 &amp; "Points"),CLASSNAMEHEADERS,0))),(IF("15"=(INDEX(ALLCLASSDATA,MATCH("WillSaveMaster",CLASSFEATUREHEADERS,0),MATCH($A235,CLASSNAMEHEADERS,0))),(INDEX(ALLCLASSDATA,MATCH("WillSaveMaster",CLASSFEATUREHEADERS,0),MATCH(($A235 &amp; "Points"),CLASSNAMEHEADERS,0))),(IF("15"=(INDEX(ALLCLASSDATA,MATCH("WillSaveExpert",CLASSFEATUREHEADERS,0),MATCH($A235,CLASSNAMEHEADERS,0))),(INDEX(ALLCLASSDATA,MATCH("WillSaveExpert",CLASSFEATUREHEADERS,0),MATCH(($A235 &amp; "Points"),CLASSNAMEHEADERS,0))),(IF("15"=(INDEX(ALLCLASSDATA,MATCH("WillSaveTrained",CLASSFEATUREHEADERS,0),MATCH($A235,CLASSNAMEHEADERS,0))),(INDEX(ALLCLASSDATA,MATCH("WillSaveTrained",CLASSFEATUREHEADERS,0),MATCH(($A235 &amp; "Points"),CLASSNAMEHEADERS,0))),"")))))))))}</f>
        <v>WILLL15</v>
      </c>
      <c r="V234" s="223"/>
      <c r="W234" s="223" t="str">
        <f t="array" ref="W234:W235">{"WILLL17";((IF("17"=(INDEX(ALLCLASSDATA,MATCH("WillSaveLegendary",CLASSFEATUREHEADERS,0),MATCH($A235,CLASSNAMEHEADERS,0))),(INDEX(ALLCLASSDATA,MATCH("WillSaveLegendary",CLASSFEATUREHEADERS,0),MATCH(($A235 &amp; "Points"),CLASSNAMEHEADERS,0))),(IF("17"=(INDEX(ALLCLASSDATA,MATCH("WillSaveMaster",CLASSFEATUREHEADERS,0),MATCH($A235,CLASSNAMEHEADERS,0))),(INDEX(ALLCLASSDATA,MATCH("WillSaveMaster",CLASSFEATUREHEADERS,0),MATCH(($A235 &amp; "Points"),CLASSNAMEHEADERS,0))),(IF("17"=(INDEX(ALLCLASSDATA,MATCH("WillSaveExpert",CLASSFEATUREHEADERS,0),MATCH($A235,CLASSNAMEHEADERS,0))),(INDEX(ALLCLASSDATA,MATCH("WillSaveExpert",CLASSFEATUREHEADERS,0),MATCH(($A235 &amp; "Points"),CLASSNAMEHEADERS,0))),(IF("17"=(INDEX(ALLCLASSDATA,MATCH("WillSaveTrained",CLASSFEATUREHEADERS,0),MATCH($A235,CLASSNAMEHEADERS,0))),(INDEX(ALLCLASSDATA,MATCH("WillSaveTrained",CLASSFEATUREHEADERS,0),MATCH(($A235 &amp; "Points"),CLASSNAMEHEADERS,0))),"")))))))))}</f>
        <v>WILLL17</v>
      </c>
      <c r="X234" s="223"/>
      <c r="Y234" s="223" t="str">
        <f t="array" ref="Y234:Y235">{"WILLL19";((IF("19"=(INDEX(ALLCLASSDATA,MATCH("WillSaveLegendary",CLASSFEATUREHEADERS,0),MATCH($A235,CLASSNAMEHEADERS,0))),(INDEX(ALLCLASSDATA,MATCH("WillSaveLegendary",CLASSFEATUREHEADERS,0),MATCH(($A235 &amp; "Points"),CLASSNAMEHEADERS,0))),(IF("19"=(INDEX(ALLCLASSDATA,MATCH("WillSaveMaster",CLASSFEATUREHEADERS,0),MATCH($A235,CLASSNAMEHEADERS,0))),(INDEX(ALLCLASSDATA,MATCH("WillSaveMaster",CLASSFEATUREHEADERS,0),MATCH(($A235 &amp; "Points"),CLASSNAMEHEADERS,0))),(IF("19"=(INDEX(ALLCLASSDATA,MATCH("WillSaveExpert",CLASSFEATUREHEADERS,0),MATCH($A235,CLASSNAMEHEADERS,0))),(INDEX(ALLCLASSDATA,MATCH("WillSaveExpert",CLASSFEATUREHEADERS,0),MATCH(($A235 &amp; "Points"),CLASSNAMEHEADERS,0))),(IF("19"=(INDEX(ALLCLASSDATA,MATCH("WillSaveTrained",CLASSFEATUREHEADERS,0),MATCH($A235,CLASSNAMEHEADERS,0))),(INDEX(ALLCLASSDATA,MATCH("WillSaveTrained",CLASSFEATUREHEADERS,0),MATCH(($A235 &amp; "Points"),CLASSNAMEHEADERS,0))),"")))))))))}</f>
        <v>WILLL19</v>
      </c>
      <c r="Z234" s="223"/>
      <c r="AA234" s="76" t="str">
        <f t="array" ref="AA234:AA235">{"WILL TOTAL";(IF(COUNTBLANK(F235:Z235)=17,"L",(IF(COUNTBLANK(F235:Z235)=18,"M",(IF(COUNTBLANK(F235:Z235)=19,"E",(IF(COUNTBLANK(F235:Z235)=20,"T",""))))))))}</f>
        <v>WILL TOTAL</v>
      </c>
      <c r="AB234" s="76" t="str">
        <f t="array" ref="AB234:AB235">{"WILL TOTAL";(sum(F235:Z235))}</f>
        <v>WILL TOTAL</v>
      </c>
    </row>
    <row r="235">
      <c r="A235" s="48" t="s">
        <v>225</v>
      </c>
      <c r="B235" s="48" t="s">
        <v>418</v>
      </c>
      <c r="C235" s="97" t="s">
        <v>1549</v>
      </c>
      <c r="D235" s="97" t="s">
        <v>1591</v>
      </c>
      <c r="E235" s="98" t="s">
        <v>436</v>
      </c>
      <c r="F235" s="132">
        <v>10.0</v>
      </c>
      <c r="G235" s="98">
        <v>50.0</v>
      </c>
      <c r="H235" s="98"/>
      <c r="I235" s="98" t="s">
        <v>603</v>
      </c>
      <c r="J235" s="98"/>
      <c r="K235" s="98" t="s">
        <v>603</v>
      </c>
      <c r="L235" s="97"/>
      <c r="M235" s="98" t="s">
        <v>603</v>
      </c>
      <c r="N235" s="98"/>
      <c r="O235" s="98" t="s">
        <v>603</v>
      </c>
      <c r="P235" s="97"/>
      <c r="Q235" s="98">
        <v>110.0</v>
      </c>
      <c r="R235" s="98"/>
      <c r="S235" s="98" t="s">
        <v>603</v>
      </c>
      <c r="T235" s="98"/>
      <c r="U235" s="98" t="s">
        <v>603</v>
      </c>
      <c r="V235" s="98"/>
      <c r="W235" s="98" t="s">
        <v>603</v>
      </c>
      <c r="X235" s="98"/>
      <c r="Y235" s="98" t="s">
        <v>603</v>
      </c>
      <c r="Z235" s="98"/>
      <c r="AA235" s="5" t="s">
        <v>437</v>
      </c>
      <c r="AB235" s="47">
        <v>170.0</v>
      </c>
    </row>
    <row r="236" hidden="1">
      <c r="A236" s="222" t="str">
        <f t="array" ref="A236:A237">{"FormulaRow26";(INDEX(CLASSLIST,A185,1))}</f>
        <v>FormulaRow26</v>
      </c>
      <c r="B236" s="222" t="str">
        <f t="array" ref="B236:B237">{"CLASSTYPE";((INDEX(ALLCLASSDATA,MATCH("ClassType",CLASSFEATUREHEADERS,0),MATCH($A237,CLASSNAMEHEADERS,0))))}</f>
        <v>CLASSTYPE</v>
      </c>
      <c r="C236" s="228" t="str">
        <f t="array" ref="C236:C237">{"ATTACK";"Attack"}</f>
        <v>ATTACK</v>
      </c>
      <c r="D236" s="228" t="str">
        <f t="array" ref="D236:D237">{"WEAPONSPECIAL";"WeaponCS/WS/GWS"}</f>
        <v>WEAPONSPECIAL</v>
      </c>
      <c r="E236" s="230"/>
      <c r="F236" s="230"/>
      <c r="G236" s="230" t="str">
        <f t="array" ref="G236:G237">{"WEAPONSPECIALL01";((IF("01"=INDEX(ALLCLASSDATA,MATCH("WeaponGreaterSpecialization",CLASSFEATUREHEADERS,0),MATCH($A237,CLASSNAMEHEADERS,0)),WeaponGWS,(IF("01"=INDEX(ALLCLASSDATA,MATCH("WeaponSpecialization",CLASSFEATUREHEADERS,0),MATCH($A237,CLASSNAMEHEADERS,0)),WeaponWS,(IF("01"=INDEX(ALLCLASSDATA,MATCH("WeaponCriticalSpecialization",CLASSFEATUREHEADERS,0),MATCH($A237,CLASSNAMEHEADERS,0)),WeaponCS,"")))))))}</f>
        <v>WEAPONSPECIALL01</v>
      </c>
      <c r="H236" s="230"/>
      <c r="I236" s="230" t="str">
        <f t="array" ref="I236:I237">{"WEAPONSPECIALL03";((IF("03"=INDEX(ALLCLASSDATA,MATCH("WeaponGreaterSpecialization",CLASSFEATUREHEADERS,0),MATCH($A237,CLASSNAMEHEADERS,0)),WeaponGWS,(IF("03"=INDEX(ALLCLASSDATA,MATCH("WeaponSpecialization",CLASSFEATUREHEADERS,0),MATCH($A237,CLASSNAMEHEADERS,0)),WeaponWS,(IF("03"=INDEX(ALLCLASSDATA,MATCH("WeaponCriticalSpecialization",CLASSFEATUREHEADERS,0),MATCH($A237,CLASSNAMEHEADERS,0)),WeaponCS,"")))))))}</f>
        <v>WEAPONSPECIALL03</v>
      </c>
      <c r="J236" s="230"/>
      <c r="K236" s="230" t="str">
        <f t="array" ref="K236:K237">{"WEAPONSPECIALL05";((IF("05"=INDEX(ALLCLASSDATA,MATCH("WeaponGreaterSpecialization",CLASSFEATUREHEADERS,0),MATCH($A237,CLASSNAMEHEADERS,0)),WeaponGWS,(IF("05"=INDEX(ALLCLASSDATA,MATCH("WeaponSpecialization",CLASSFEATUREHEADERS,0),MATCH($A237,CLASSNAMEHEADERS,0)),WeaponWS,(IF("05"=INDEX(ALLCLASSDATA,MATCH("WeaponCriticalSpecialization",CLASSFEATUREHEADERS,0),MATCH($A237,CLASSNAMEHEADERS,0)),WeaponCS,"")))))))}</f>
        <v>WEAPONSPECIALL05</v>
      </c>
      <c r="L236" s="230"/>
      <c r="M236" s="230" t="str">
        <f t="array" ref="M236:M237">{"WEAPONSPECIALL07";((IF("07"=INDEX(ALLCLASSDATA,MATCH("WeaponGreaterSpecialization",CLASSFEATUREHEADERS,0),MATCH($A237,CLASSNAMEHEADERS,0)),WeaponGWS,(IF("07"=INDEX(ALLCLASSDATA,MATCH("WeaponSpecialization",CLASSFEATUREHEADERS,0),MATCH($A237,CLASSNAMEHEADERS,0)),WeaponWS,(IF("07"=INDEX(ALLCLASSDATA,MATCH("WeaponCriticalSpecialization",CLASSFEATUREHEADERS,0),MATCH($A237,CLASSNAMEHEADERS,0)),WeaponCS,"")))))))}</f>
        <v>WEAPONSPECIALL07</v>
      </c>
      <c r="N236" s="230"/>
      <c r="O236" s="230" t="str">
        <f t="array" ref="O236:O237">{"WEAPONSPECIALL09";((IF("09"=INDEX(ALLCLASSDATA,MATCH("WeaponGreaterSpecialization",CLASSFEATUREHEADERS,0),MATCH($A237,CLASSNAMEHEADERS,0)),WeaponGWS,(IF("09"=INDEX(ALLCLASSDATA,MATCH("WeaponSpecialization",CLASSFEATUREHEADERS,0),MATCH($A237,CLASSNAMEHEADERS,0)),WeaponWS,(IF("09"=INDEX(ALLCLASSDATA,MATCH("WeaponCriticalSpecialization",CLASSFEATUREHEADERS,0),MATCH($A237,CLASSNAMEHEADERS,0)),WeaponCS,"")))))))}</f>
        <v>WEAPONSPECIALL09</v>
      </c>
      <c r="P236" s="230"/>
      <c r="Q236" s="230" t="str">
        <f t="array" ref="Q236:Q237">{"WEAPONSPECIALL11";((IF("11"=INDEX(ALLCLASSDATA,MATCH("WeaponGreaterSpecialization",CLASSFEATUREHEADERS,0),MATCH($A237,CLASSNAMEHEADERS,0)),WeaponGWS,(IF("11"=INDEX(ALLCLASSDATA,MATCH("WeaponSpecialization",CLASSFEATUREHEADERS,0),MATCH($A237,CLASSNAMEHEADERS,0)),WeaponWS,(IF("11"=INDEX(ALLCLASSDATA,MATCH("WeaponCriticalSpecialization",CLASSFEATUREHEADERS,0),MATCH($A237,CLASSNAMEHEADERS,0)),WeaponCS,"")))))))}</f>
        <v>WEAPONSPECIALL11</v>
      </c>
      <c r="R236" s="230"/>
      <c r="S236" s="230" t="str">
        <f t="array" ref="S236:S237">{"WEAPONSPECIALL13";((IF("13"=INDEX(ALLCLASSDATA,MATCH("WeaponGreaterSpecialization",CLASSFEATUREHEADERS,0),MATCH($A237,CLASSNAMEHEADERS,0)),WeaponGWS,(IF("13"=INDEX(ALLCLASSDATA,MATCH("WeaponSpecialization",CLASSFEATUREHEADERS,0),MATCH($A237,CLASSNAMEHEADERS,0)),WeaponWS,(IF("13"=INDEX(ALLCLASSDATA,MATCH("WeaponCriticalSpecialization",CLASSFEATUREHEADERS,0),MATCH($A237,CLASSNAMEHEADERS,0)),WeaponCS,"")))))))}</f>
        <v>WEAPONSPECIALL13</v>
      </c>
      <c r="T236" s="230"/>
      <c r="U236" s="230" t="str">
        <f t="array" ref="U236:U237">{"WEAPONSPECIALL15";((IF("15"=INDEX(ALLCLASSDATA,MATCH("WeaponGreaterSpecialization",CLASSFEATUREHEADERS,0),MATCH($A237,CLASSNAMEHEADERS,0)),WeaponGWS,(IF("15"=INDEX(ALLCLASSDATA,MATCH("WeaponSpecialization",CLASSFEATUREHEADERS,0),MATCH($A237,CLASSNAMEHEADERS,0)),WeaponWS,(IF("15"=INDEX(ALLCLASSDATA,MATCH("WeaponCriticalSpecialization",CLASSFEATUREHEADERS,0),MATCH($A237,CLASSNAMEHEADERS,0)),WeaponCS,"")))))))}</f>
        <v>WEAPONSPECIALL15</v>
      </c>
      <c r="V236" s="230"/>
      <c r="W236" s="230" t="str">
        <f t="array" ref="W236:W237">{"WEAPONSPECIALL17";((IF("17"=INDEX(ALLCLASSDATA,MATCH("WeaponGreaterSpecialization",CLASSFEATUREHEADERS,0),MATCH($A237,CLASSNAMEHEADERS,0)),WeaponGWS,(IF("17"=INDEX(ALLCLASSDATA,MATCH("WeaponSpecialization",CLASSFEATUREHEADERS,0),MATCH($A237,CLASSNAMEHEADERS,0)),WeaponWS,(IF("17"=INDEX(ALLCLASSDATA,MATCH("WeaponCriticalSpecialization",CLASSFEATUREHEADERS,0),MATCH($A237,CLASSNAMEHEADERS,0)),WeaponCS,"")))))))}</f>
        <v>WEAPONSPECIALL17</v>
      </c>
      <c r="X236" s="230"/>
      <c r="Y236" s="230" t="str">
        <f t="array" ref="Y236:Y237">{"WEAPONSPECIALL19";((IF("19"=INDEX(ALLCLASSDATA,MATCH("WeaponGreaterSpecialization",CLASSFEATUREHEADERS,0),MATCH($A237,CLASSNAMEHEADERS,0)),WeaponGWS,(IF("19"=INDEX(ALLCLASSDATA,MATCH("WeaponSpecialization",CLASSFEATUREHEADERS,0),MATCH($A237,CLASSNAMEHEADERS,0)),WeaponWS,(IF("19"=INDEX(ALLCLASSDATA,MATCH("WeaponCriticalSpecialization",CLASSFEATUREHEADERS,0),MATCH($A237,CLASSNAMEHEADERS,0)),WeaponCS,"")))))))}</f>
        <v>WEAPONSPECIALL19</v>
      </c>
      <c r="Z236" s="230"/>
      <c r="AA236" s="76"/>
      <c r="AB236" s="76" t="str">
        <f t="array" ref="AB236:AB237">{"WEAPONSPECIAL TOTAL";(sum(F237:Z237))}</f>
        <v>WEAPONSPECIAL TOTAL</v>
      </c>
    </row>
    <row r="237">
      <c r="A237" s="48" t="s">
        <v>225</v>
      </c>
      <c r="B237" s="48" t="s">
        <v>418</v>
      </c>
      <c r="C237" s="48" t="s">
        <v>1634</v>
      </c>
      <c r="D237" s="48" t="s">
        <v>1635</v>
      </c>
      <c r="E237" s="5"/>
      <c r="F237" s="47"/>
      <c r="G237" s="5" t="s">
        <v>603</v>
      </c>
      <c r="H237" s="5"/>
      <c r="I237" s="5" t="s">
        <v>603</v>
      </c>
      <c r="J237" s="5"/>
      <c r="K237" s="5" t="s">
        <v>603</v>
      </c>
      <c r="L237" s="5"/>
      <c r="M237" s="5" t="s">
        <v>603</v>
      </c>
      <c r="N237" s="5"/>
      <c r="O237" s="5" t="s">
        <v>603</v>
      </c>
      <c r="P237" s="5"/>
      <c r="Q237" s="5" t="s">
        <v>603</v>
      </c>
      <c r="R237" s="5"/>
      <c r="S237" s="5">
        <v>70.0</v>
      </c>
      <c r="T237" s="5"/>
      <c r="U237" s="5" t="s">
        <v>603</v>
      </c>
      <c r="V237" s="5"/>
      <c r="W237" s="5" t="s">
        <v>603</v>
      </c>
      <c r="X237" s="5"/>
      <c r="Y237" s="5" t="s">
        <v>603</v>
      </c>
      <c r="Z237" s="5"/>
      <c r="AA237" s="5"/>
      <c r="AB237" s="47">
        <v>70.0</v>
      </c>
    </row>
    <row r="238" hidden="1">
      <c r="A238" s="222" t="str">
        <f t="array" ref="A238:A239">{"FormulaRow27";(INDEX(CLASSLIST,A185,1))}</f>
        <v>FormulaRow27</v>
      </c>
      <c r="B238" s="222" t="str">
        <f t="array" ref="B238:B239">{"CLASSTYPE";((INDEX(ALLCLASSDATA,MATCH("ClassType",CLASSFEATUREHEADERS,0),MATCH($A239,CLASSNAMEHEADERS,0))))}</f>
        <v>CLASSTYPE</v>
      </c>
      <c r="C238" s="222" t="str">
        <f t="array" ref="C238:C239">{"ATTACK";"Attack"}</f>
        <v>ATTACK</v>
      </c>
      <c r="D238" s="222" t="str">
        <f t="array" ref="D238:D239">{"UNARMED";"Unarmed"}</f>
        <v>UNARMED</v>
      </c>
      <c r="E238" s="223" t="str">
        <f t="array" ref="E238:E239">{"UNARMEDINITIAL";((IF(G239=10,"T",(IF(G239=50,"E","")))))}</f>
        <v>UNARMEDINITIAL</v>
      </c>
      <c r="F238" s="223" t="str">
        <f t="array" ref="F238:F239">{"UNARMEDINITIALPTS";((IF("00"=(INDEX(ALLCLASSDATA,MATCH("UnarmedLegendary",CLASSFEATUREHEADERS,0),MATCH($A239,CLASSNAMEHEADERS,0))),(INDEX(ALLCLASSDATA,MATCH("UnarmedLegendary",CLASSFEATUREHEADERS,0),MATCH(($A239 &amp; "Points"),CLASSNAMEHEADERS,0))),(IF("00"=(INDEX(ALLCLASSDATA,MATCH("UnarmedMaster",CLASSFEATUREHEADERS,0),MATCH($A239,CLASSNAMEHEADERS,0))),(INDEX(ALLCLASSDATA,MATCH("UnarmedMaster",CLASSFEATUREHEADERS,0),MATCH(($A239 &amp; "Points"),CLASSNAMEHEADERS,0))),(IF("00"=(INDEX(ALLCLASSDATA,MATCH("UnarmedExpert",CLASSFEATUREHEADERS,0),MATCH($A239,CLASSNAMEHEADERS,0))),(INDEX(ALLCLASSDATA,MATCH("UnarmedExpert",CLASSFEATUREHEADERS,0),MATCH(($A239 &amp; "Points"),CLASSNAMEHEADERS,0))),(IF("00"=(INDEX(ALLCLASSDATA,MATCH("UnarmedTrained",CLASSFEATUREHEADERS,0),MATCH($A239,CLASSNAMEHEADERS,0))),(INDEX(ALLCLASSDATA,MATCH("UnarmedTrained",CLASSFEATUREHEADERS,0),MATCH(($A239 &amp; "Points"),CLASSNAMEHEADERS,0))),"")))))))))}</f>
        <v>UNARMEDINITIALPTS</v>
      </c>
      <c r="G238" s="223" t="str">
        <f t="array" ref="G238:G239">{"UNARMEDL01";((IF("01"=(INDEX(ALLCLASSDATA,MATCH("UnarmedLegendary",CLASSFEATUREHEADERS,0),MATCH($A239,CLASSNAMEHEADERS,0))),(INDEX(ALLCLASSDATA,MATCH("UnarmedLegendary",CLASSFEATUREHEADERS,0),MATCH(($A239 &amp; "Points"),CLASSNAMEHEADERS,0))),(IF("01"=(INDEX(ALLCLASSDATA,MATCH("UnarmedMaster",CLASSFEATUREHEADERS,0),MATCH($A239,CLASSNAMEHEADERS,0))),(INDEX(ALLCLASSDATA,MATCH("UnarmedMaster",CLASSFEATUREHEADERS,0),MATCH(($A239 &amp; "Points"),CLASSNAMEHEADERS,0))),(IF("01"=(INDEX(ALLCLASSDATA,MATCH("UnarmedExpert",CLASSFEATUREHEADERS,0),MATCH($A239,CLASSNAMEHEADERS,0))),(INDEX(ALLCLASSDATA,MATCH("UnarmedExpert",CLASSFEATUREHEADERS,0),MATCH(($A239 &amp; "Points"),CLASSNAMEHEADERS,0))),(IF("01"=(INDEX(ALLCLASSDATA,MATCH("UnarmedTrained",CLASSFEATUREHEADERS,0),MATCH($A239,CLASSNAMEHEADERS,0))),(INDEX(ALLCLASSDATA,MATCH("UnarmedTrained",CLASSFEATUREHEADERS,0),MATCH(($A239 &amp; "Points"),CLASSNAMEHEADERS,0))),"")))))))))}</f>
        <v>UNARMEDL01</v>
      </c>
      <c r="H238" s="223"/>
      <c r="I238" s="223" t="str">
        <f t="array" ref="I238:I239">{"UNARMEDL03";((IF("03"=(INDEX(ALLCLASSDATA,MATCH("UnarmedLegendary",CLASSFEATUREHEADERS,0),MATCH($A239,CLASSNAMEHEADERS,0))),(INDEX(ALLCLASSDATA,MATCH("UnarmedLegendary",CLASSFEATUREHEADERS,0),MATCH(($A239 &amp; "Points"),CLASSNAMEHEADERS,0))),(IF("03"=(INDEX(ALLCLASSDATA,MATCH("UnarmedMaster",CLASSFEATUREHEADERS,0),MATCH($A239,CLASSNAMEHEADERS,0))),(INDEX(ALLCLASSDATA,MATCH("UnarmedMaster",CLASSFEATUREHEADERS,0),MATCH(($A239 &amp; "Points"),CLASSNAMEHEADERS,0))),(IF("03"=(INDEX(ALLCLASSDATA,MATCH("UnarmedExpert",CLASSFEATUREHEADERS,0),MATCH($A239,CLASSNAMEHEADERS,0))),(INDEX(ALLCLASSDATA,MATCH("UnarmedExpert",CLASSFEATUREHEADERS,0),MATCH(($A239 &amp; "Points"),CLASSNAMEHEADERS,0))),(IF("03"=(INDEX(ALLCLASSDATA,MATCH("UnarmedTrained",CLASSFEATUREHEADERS,0),MATCH($A239,CLASSNAMEHEADERS,0))),(INDEX(ALLCLASSDATA,MATCH("UnarmedTrained",CLASSFEATUREHEADERS,0),MATCH(($A239 &amp; "Points"),CLASSNAMEHEADERS,0))),"")))))))))}</f>
        <v>UNARMEDL03</v>
      </c>
      <c r="J238" s="223"/>
      <c r="K238" s="223" t="str">
        <f t="array" ref="K238:K239">{"UNARMEDL05";((IF("05"=(INDEX(ALLCLASSDATA,MATCH("UnarmedLegendary",CLASSFEATUREHEADERS,0),MATCH($A239,CLASSNAMEHEADERS,0))),(INDEX(ALLCLASSDATA,MATCH("UnarmedLegendary",CLASSFEATUREHEADERS,0),MATCH(($A239 &amp; "Points"),CLASSNAMEHEADERS,0))),(IF("05"=(INDEX(ALLCLASSDATA,MATCH("UnarmedMaster",CLASSFEATUREHEADERS,0),MATCH($A239,CLASSNAMEHEADERS,0))),(INDEX(ALLCLASSDATA,MATCH("UnarmedMaster",CLASSFEATUREHEADERS,0),MATCH(($A239 &amp; "Points"),CLASSNAMEHEADERS,0))),(IF("05"=(INDEX(ALLCLASSDATA,MATCH("UnarmedExpert",CLASSFEATUREHEADERS,0),MATCH($A239,CLASSNAMEHEADERS,0))),(INDEX(ALLCLASSDATA,MATCH("UnarmedExpert",CLASSFEATUREHEADERS,0),MATCH(($A239 &amp; "Points"),CLASSNAMEHEADERS,0))),(IF("05"=(INDEX(ALLCLASSDATA,MATCH("UnarmedTrained",CLASSFEATUREHEADERS,0),MATCH($A239,CLASSNAMEHEADERS,0))),(INDEX(ALLCLASSDATA,MATCH("UnarmedTrained",CLASSFEATUREHEADERS,0),MATCH(($A239 &amp; "Points"),CLASSNAMEHEADERS,0))),"")))))))))}</f>
        <v>UNARMEDL05</v>
      </c>
      <c r="L238" s="223"/>
      <c r="M238" s="223" t="str">
        <f t="array" ref="M238:M239">{"UNARMEDL07";((IF("07"=(INDEX(ALLCLASSDATA,MATCH("UnarmedLegendary",CLASSFEATUREHEADERS,0),MATCH($A239,CLASSNAMEHEADERS,0))),(INDEX(ALLCLASSDATA,MATCH("UnarmedLegendary",CLASSFEATUREHEADERS,0),MATCH(($A239 &amp; "Points"),CLASSNAMEHEADERS,0))),(IF("07"=(INDEX(ALLCLASSDATA,MATCH("UnarmedMaster",CLASSFEATUREHEADERS,0),MATCH($A239,CLASSNAMEHEADERS,0))),(INDEX(ALLCLASSDATA,MATCH("UnarmedMaster",CLASSFEATUREHEADERS,0),MATCH(($A239 &amp; "Points"),CLASSNAMEHEADERS,0))),(IF("07"=(INDEX(ALLCLASSDATA,MATCH("UnarmedExpert",CLASSFEATUREHEADERS,0),MATCH($A239,CLASSNAMEHEADERS,0))),(INDEX(ALLCLASSDATA,MATCH("UnarmedExpert",CLASSFEATUREHEADERS,0),MATCH(($A239 &amp; "Points"),CLASSNAMEHEADERS,0))),(IF("07"=(INDEX(ALLCLASSDATA,MATCH("UnarmedTrained",CLASSFEATUREHEADERS,0),MATCH($A239,CLASSNAMEHEADERS,0))),(INDEX(ALLCLASSDATA,MATCH("UnarmedTrained",CLASSFEATUREHEADERS,0),MATCH(($A239 &amp; "Points"),CLASSNAMEHEADERS,0))),"")))))))))}</f>
        <v>UNARMEDL07</v>
      </c>
      <c r="N238" s="223"/>
      <c r="O238" s="223" t="str">
        <f t="array" ref="O238:O239">{"UNARMEDL09";((IF("09"=(INDEX(ALLCLASSDATA,MATCH("UnarmedLegendary",CLASSFEATUREHEADERS,0),MATCH($A239,CLASSNAMEHEADERS,0))),(INDEX(ALLCLASSDATA,MATCH("UnarmedLegendary",CLASSFEATUREHEADERS,0),MATCH(($A239 &amp; "Points"),CLASSNAMEHEADERS,0))),(IF("09"=(INDEX(ALLCLASSDATA,MATCH("UnarmedMaster",CLASSFEATUREHEADERS,0),MATCH($A239,CLASSNAMEHEADERS,0))),(INDEX(ALLCLASSDATA,MATCH("UnarmedMaster",CLASSFEATUREHEADERS,0),MATCH(($A239 &amp; "Points"),CLASSNAMEHEADERS,0))),(IF("09"=(INDEX(ALLCLASSDATA,MATCH("UnarmedExpert",CLASSFEATUREHEADERS,0),MATCH($A239,CLASSNAMEHEADERS,0))),(INDEX(ALLCLASSDATA,MATCH("UnarmedExpert",CLASSFEATUREHEADERS,0),MATCH(($A239 &amp; "Points"),CLASSNAMEHEADERS,0))),(IF("09"=(INDEX(ALLCLASSDATA,MATCH("UnarmedTrained",CLASSFEATUREHEADERS,0),MATCH($A239,CLASSNAMEHEADERS,0))),(INDEX(ALLCLASSDATA,MATCH("UnarmedTrained",CLASSFEATUREHEADERS,0),MATCH(($A239 &amp; "Points"),CLASSNAMEHEADERS,0))),"")))))))))}</f>
        <v>UNARMEDL09</v>
      </c>
      <c r="P238" s="223"/>
      <c r="Q238" s="223" t="str">
        <f t="array" ref="Q238:Q239">{"UNARMEDL11";((IF("11"=(INDEX(ALLCLASSDATA,MATCH("UnarmedLegendary",CLASSFEATUREHEADERS,0),MATCH($A239,CLASSNAMEHEADERS,0))),(INDEX(ALLCLASSDATA,MATCH("UnarmedLegendary",CLASSFEATUREHEADERS,0),MATCH(($A239 &amp; "Points"),CLASSNAMEHEADERS,0))),(IF("11"=(INDEX(ALLCLASSDATA,MATCH("UnarmedMaster",CLASSFEATUREHEADERS,0),MATCH($A239,CLASSNAMEHEADERS,0))),(INDEX(ALLCLASSDATA,MATCH("UnarmedMaster",CLASSFEATUREHEADERS,0),MATCH(($A239 &amp; "Points"),CLASSNAMEHEADERS,0))),(IF("11"=(INDEX(ALLCLASSDATA,MATCH("UnarmedExpert",CLASSFEATUREHEADERS,0),MATCH($A239,CLASSNAMEHEADERS,0))),(INDEX(ALLCLASSDATA,MATCH("UnarmedExpert",CLASSFEATUREHEADERS,0),MATCH(($A239 &amp; "Points"),CLASSNAMEHEADERS,0))),(IF("11"=(INDEX(ALLCLASSDATA,MATCH("UnarmedTrained",CLASSFEATUREHEADERS,0),MATCH($A239,CLASSNAMEHEADERS,0))),(INDEX(ALLCLASSDATA,MATCH("UnarmedTrained",CLASSFEATUREHEADERS,0),MATCH(($A239 &amp; "Points"),CLASSNAMEHEADERS,0))),"")))))))))}</f>
        <v>UNARMEDL11</v>
      </c>
      <c r="R238" s="223"/>
      <c r="S238" s="223" t="str">
        <f t="array" ref="S238:S239">{"UNARMEDL13";((IF("13"=(INDEX(ALLCLASSDATA,MATCH("UnarmedLegendary",CLASSFEATUREHEADERS,0),MATCH($A239,CLASSNAMEHEADERS,0))),(INDEX(ALLCLASSDATA,MATCH("UnarmedLegendary",CLASSFEATUREHEADERS,0),MATCH(($A239 &amp; "Points"),CLASSNAMEHEADERS,0))),(IF("13"=(INDEX(ALLCLASSDATA,MATCH("UnarmedMaster",CLASSFEATUREHEADERS,0),MATCH($A239,CLASSNAMEHEADERS,0))),(INDEX(ALLCLASSDATA,MATCH("UnarmedMaster",CLASSFEATUREHEADERS,0),MATCH(($A239 &amp; "Points"),CLASSNAMEHEADERS,0))),(IF("13"=(INDEX(ALLCLASSDATA,MATCH("UnarmedExpert",CLASSFEATUREHEADERS,0),MATCH($A239,CLASSNAMEHEADERS,0))),(INDEX(ALLCLASSDATA,MATCH("UnarmedExpert",CLASSFEATUREHEADERS,0),MATCH(($A239 &amp; "Points"),CLASSNAMEHEADERS,0))),(IF("13"=(INDEX(ALLCLASSDATA,MATCH("UnarmedTrained",CLASSFEATUREHEADERS,0),MATCH($A239,CLASSNAMEHEADERS,0))),(INDEX(ALLCLASSDATA,MATCH("UnarmedTrained",CLASSFEATUREHEADERS,0),MATCH(($A239 &amp; "Points"),CLASSNAMEHEADERS,0))),"")))))))))}</f>
        <v>UNARMEDL13</v>
      </c>
      <c r="T238" s="223"/>
      <c r="U238" s="223" t="str">
        <f t="array" ref="U238:U239">{"UNARMEDL15";((IF("15"=(INDEX(ALLCLASSDATA,MATCH("UnarmedLegendary",CLASSFEATUREHEADERS,0),MATCH($A239,CLASSNAMEHEADERS,0))),(INDEX(ALLCLASSDATA,MATCH("UnarmedLegendary",CLASSFEATUREHEADERS,0),MATCH(($A239 &amp; "Points"),CLASSNAMEHEADERS,0))),(IF("15"=(INDEX(ALLCLASSDATA,MATCH("UnarmedMaster",CLASSFEATUREHEADERS,0),MATCH($A239,CLASSNAMEHEADERS,0))),(INDEX(ALLCLASSDATA,MATCH("UnarmedMaster",CLASSFEATUREHEADERS,0),MATCH(($A239 &amp; "Points"),CLASSNAMEHEADERS,0))),(IF("15"=(INDEX(ALLCLASSDATA,MATCH("UnarmedExpert",CLASSFEATUREHEADERS,0),MATCH($A239,CLASSNAMEHEADERS,0))),(INDEX(ALLCLASSDATA,MATCH("UnarmedExpert",CLASSFEATUREHEADERS,0),MATCH(($A239 &amp; "Points"),CLASSNAMEHEADERS,0))),(IF("15"=(INDEX(ALLCLASSDATA,MATCH("UnarmedTrained",CLASSFEATUREHEADERS,0),MATCH($A239,CLASSNAMEHEADERS,0))),(INDEX(ALLCLASSDATA,MATCH("UnarmedTrained",CLASSFEATUREHEADERS,0),MATCH(($A239 &amp; "Points"),CLASSNAMEHEADERS,0))),"")))))))))}</f>
        <v>UNARMEDL15</v>
      </c>
      <c r="V238" s="223"/>
      <c r="W238" s="223" t="str">
        <f t="array" ref="W238:W239">{"UNARMEDL17";((IF("17"=(INDEX(ALLCLASSDATA,MATCH("UnarmedLegendary",CLASSFEATUREHEADERS,0),MATCH($A239,CLASSNAMEHEADERS,0))),(INDEX(ALLCLASSDATA,MATCH("UnarmedLegendary",CLASSFEATUREHEADERS,0),MATCH(($A239 &amp; "Points"),CLASSNAMEHEADERS,0))),(IF("17"=(INDEX(ALLCLASSDATA,MATCH("UnarmedMaster",CLASSFEATUREHEADERS,0),MATCH($A239,CLASSNAMEHEADERS,0))),(INDEX(ALLCLASSDATA,MATCH("UnarmedMaster",CLASSFEATUREHEADERS,0),MATCH(($A239 &amp; "Points"),CLASSNAMEHEADERS,0))),(IF("17"=(INDEX(ALLCLASSDATA,MATCH("UnarmedExpert",CLASSFEATUREHEADERS,0),MATCH($A239,CLASSNAMEHEADERS,0))),(INDEX(ALLCLASSDATA,MATCH("UnarmedExpert",CLASSFEATUREHEADERS,0),MATCH(($A239 &amp; "Points"),CLASSNAMEHEADERS,0))),(IF("17"=(INDEX(ALLCLASSDATA,MATCH("UnarmedTrained",CLASSFEATUREHEADERS,0),MATCH($A239,CLASSNAMEHEADERS,0))),(INDEX(ALLCLASSDATA,MATCH("UnarmedTrained",CLASSFEATUREHEADERS,0),MATCH(($A239 &amp; "Points"),CLASSNAMEHEADERS,0))),"")))))))))}</f>
        <v>UNARMEDL17</v>
      </c>
      <c r="X238" s="223"/>
      <c r="Y238" s="223" t="str">
        <f t="array" ref="Y238:Y239">{"UNARMEDL19";((IF("19"=(INDEX(ALLCLASSDATA,MATCH("UnarmedLegendary",CLASSFEATUREHEADERS,0),MATCH($A239,CLASSNAMEHEADERS,0))),(INDEX(ALLCLASSDATA,MATCH("UnarmedLegendary",CLASSFEATUREHEADERS,0),MATCH(($A239 &amp; "Points"),CLASSNAMEHEADERS,0))),(IF("19"=(INDEX(ALLCLASSDATA,MATCH("UnarmedMaster",CLASSFEATUREHEADERS,0),MATCH($A239,CLASSNAMEHEADERS,0))),(INDEX(ALLCLASSDATA,MATCH("UnarmedMaster",CLASSFEATUREHEADERS,0),MATCH(($A239 &amp; "Points"),CLASSNAMEHEADERS,0))),(IF("19"=(INDEX(ALLCLASSDATA,MATCH("UnarmedExpert",CLASSFEATUREHEADERS,0),MATCH($A239,CLASSNAMEHEADERS,0))),(INDEX(ALLCLASSDATA,MATCH("UnarmedExpert",CLASSFEATUREHEADERS,0),MATCH(($A239 &amp; "Points"),CLASSNAMEHEADERS,0))),(IF("19"=(INDEX(ALLCLASSDATA,MATCH("UnarmedTrained",CLASSFEATUREHEADERS,0),MATCH($A239,CLASSNAMEHEADERS,0))),(INDEX(ALLCLASSDATA,MATCH("UnarmedTrained",CLASSFEATUREHEADERS,0),MATCH(($A239 &amp; "Points"),CLASSNAMEHEADERS,0))),"")))))))))}</f>
        <v>UNARMEDL19</v>
      </c>
      <c r="Z238" s="223"/>
      <c r="AA238" s="76" t="str">
        <f t="array" ref="AA238:AA239">{"UNARMED TOTAL";(IF(COUNTBLANK(F239:Z239)=17,"L",(IF(COUNTBLANK(F239:Z239)=18,"M",(IF(COUNTBLANK(F239:Z239)=19,"E",(IF(COUNTBLANK(F239:Z239)=20,"T",""))))))))}</f>
        <v>UNARMED TOTAL</v>
      </c>
      <c r="AB238" s="76" t="str">
        <f t="array" ref="AB238:AB239">{"UNARMED TOTAL";(sum(F239:Z239))}</f>
        <v>UNARMED TOTAL</v>
      </c>
    </row>
    <row r="239">
      <c r="A239" s="48" t="s">
        <v>225</v>
      </c>
      <c r="B239" s="48" t="s">
        <v>418</v>
      </c>
      <c r="C239" s="48" t="s">
        <v>1634</v>
      </c>
      <c r="D239" s="48" t="s">
        <v>257</v>
      </c>
      <c r="E239" s="5" t="s">
        <v>435</v>
      </c>
      <c r="F239" s="47" t="s">
        <v>603</v>
      </c>
      <c r="G239" s="5">
        <v>10.0</v>
      </c>
      <c r="H239" s="5"/>
      <c r="I239" s="5" t="s">
        <v>603</v>
      </c>
      <c r="J239" s="5"/>
      <c r="K239" s="5" t="s">
        <v>603</v>
      </c>
      <c r="L239" s="5"/>
      <c r="M239" s="5" t="s">
        <v>603</v>
      </c>
      <c r="N239" s="5"/>
      <c r="O239" s="5" t="s">
        <v>603</v>
      </c>
      <c r="P239" s="5"/>
      <c r="Q239" s="5" t="s">
        <v>436</v>
      </c>
      <c r="R239" s="5"/>
      <c r="S239" s="5" t="s">
        <v>603</v>
      </c>
      <c r="T239" s="5"/>
      <c r="U239" s="5" t="s">
        <v>603</v>
      </c>
      <c r="V239" s="5"/>
      <c r="W239" s="5" t="s">
        <v>603</v>
      </c>
      <c r="X239" s="5"/>
      <c r="Y239" s="5" t="s">
        <v>603</v>
      </c>
      <c r="Z239" s="5"/>
      <c r="AA239" s="5" t="s">
        <v>436</v>
      </c>
      <c r="AB239" s="47">
        <v>10.0</v>
      </c>
    </row>
    <row r="240" hidden="1">
      <c r="A240" s="222" t="str">
        <f t="array" ref="A240:A241">{"FormulaRow28";(INDEX(CLASSLIST,A185,1))}</f>
        <v>FormulaRow28</v>
      </c>
      <c r="B240" s="222" t="str">
        <f t="array" ref="B240:B241">{"CLASSTYPE";((INDEX(ALLCLASSDATA,MATCH("ClassType",CLASSFEATUREHEADERS,0),MATCH($A241,CLASSNAMEHEADERS,0))))}</f>
        <v>CLASSTYPE</v>
      </c>
      <c r="C240" s="222" t="str">
        <f t="array" ref="C240:C241">{"ATTACK";"Attack"}</f>
        <v>ATTACK</v>
      </c>
      <c r="D240" s="222" t="str">
        <f t="array" ref="D240:D241">{"SIMPLELIMITED";"SimpleLimited"}</f>
        <v>SIMPLELIMITED</v>
      </c>
      <c r="E240" s="223" t="str">
        <f t="array" ref="E240:E241">{"SIMPLELIMITEDINITIAL";((IF(G241=10,"T",(IF(G241=50,"E","")))))}</f>
        <v>SIMPLELIMITEDINITIAL</v>
      </c>
      <c r="F240" s="223" t="str">
        <f t="array" ref="F240:F241">{"SIMPLELIMITEDINITIALPTS";((IF("00"=(INDEX(ALLCLASSDATA,MATCH("SimpleLimitedLegendary",CLASSFEATUREHEADERS,0),MATCH($A241,CLASSNAMEHEADERS,0))),(INDEX(ALLCLASSDATA,MATCH("SimpleLimitedLegendary",CLASSFEATUREHEADERS,0),MATCH(($A241 &amp; "Points"),CLASSNAMEHEADERS,0))),(IF("00"=(INDEX(ALLCLASSDATA,MATCH("SimpleLimitedMaster",CLASSFEATUREHEADERS,0),MATCH($A241,CLASSNAMEHEADERS,0))),(INDEX(ALLCLASSDATA,MATCH("SimpleLimitedMaster",CLASSFEATUREHEADERS,0),MATCH(($A241 &amp; "Points"),CLASSNAMEHEADERS,0))),(IF("00"=(INDEX(ALLCLASSDATA,MATCH("SimpleLimitedExpert",CLASSFEATUREHEADERS,0),MATCH($A241,CLASSNAMEHEADERS,0))),(INDEX(ALLCLASSDATA,MATCH("SimpleLimitedExpert",CLASSFEATUREHEADERS,0),MATCH(($A241 &amp; "Points"),CLASSNAMEHEADERS,0))),(IF("00"=(INDEX(ALLCLASSDATA,MATCH("SimpleLimitedTrained",CLASSFEATUREHEADERS,0),MATCH($A241,CLASSNAMEHEADERS,0))),(INDEX(ALLCLASSDATA,MATCH("SimpleLimitedTrained",CLASSFEATUREHEADERS,0),MATCH(($A241 &amp; "Points"),CLASSNAMEHEADERS,0))),"")))))))))}</f>
        <v>SIMPLELIMITEDINITIALPTS</v>
      </c>
      <c r="G240" s="223" t="str">
        <f t="array" ref="G240:G241">{"SIMPLELIMITEDL01";((IF("01"=(INDEX(ALLCLASSDATA,MATCH("SimpleLimitedLegendary",CLASSFEATUREHEADERS,0),MATCH($A241,CLASSNAMEHEADERS,0))),(INDEX(ALLCLASSDATA,MATCH("SimpleLimitedLegendary",CLASSFEATUREHEADERS,0),MATCH(($A241 &amp; "Points"),CLASSNAMEHEADERS,0))),(IF("01"=(INDEX(ALLCLASSDATA,MATCH("SimpleLimitedMaster",CLASSFEATUREHEADERS,0),MATCH($A241,CLASSNAMEHEADERS,0))),(INDEX(ALLCLASSDATA,MATCH("SimpleLimitedMaster",CLASSFEATUREHEADERS,0),MATCH(($A241 &amp; "Points"),CLASSNAMEHEADERS,0))),(IF("01"=(INDEX(ALLCLASSDATA,MATCH("SimpleLimitedExpert",CLASSFEATUREHEADERS,0),MATCH($A241,CLASSNAMEHEADERS,0))),(INDEX(ALLCLASSDATA,MATCH("SimpleLimitedExpert",CLASSFEATUREHEADERS,0),MATCH(($A241 &amp; "Points"),CLASSNAMEHEADERS,0))),(IF("01"=(INDEX(ALLCLASSDATA,MATCH("SimpleLimitedTrained",CLASSFEATUREHEADERS,0),MATCH($A241,CLASSNAMEHEADERS,0))),(INDEX(ALLCLASSDATA,MATCH("SimpleLimitedTrained",CLASSFEATUREHEADERS,0),MATCH(($A241 &amp; "Points"),CLASSNAMEHEADERS,0))),"")))))))))}</f>
        <v>SIMPLELIMITEDL01</v>
      </c>
      <c r="H240" s="223"/>
      <c r="I240" s="223" t="str">
        <f t="array" ref="I240:I241">{"SIMPLELIMITEDL03";((IF("03"=(INDEX(ALLCLASSDATA,MATCH("SimpleLimitedLegendary",CLASSFEATUREHEADERS,0),MATCH($A241,CLASSNAMEHEADERS,0))),(INDEX(ALLCLASSDATA,MATCH("SimpleLimitedLegendary",CLASSFEATUREHEADERS,0),MATCH(($A241 &amp; "Points"),CLASSNAMEHEADERS,0))),(IF("03"=(INDEX(ALLCLASSDATA,MATCH("SimpleLimitedMaster",CLASSFEATUREHEADERS,0),MATCH($A241,CLASSNAMEHEADERS,0))),(INDEX(ALLCLASSDATA,MATCH("SimpleLimitedMaster",CLASSFEATUREHEADERS,0),MATCH(($A241 &amp; "Points"),CLASSNAMEHEADERS,0))),(IF("03"=(INDEX(ALLCLASSDATA,MATCH("SimpleLimitedExpert",CLASSFEATUREHEADERS,0),MATCH($A241,CLASSNAMEHEADERS,0))),(INDEX(ALLCLASSDATA,MATCH("SimpleLimitedExpert",CLASSFEATUREHEADERS,0),MATCH(($A241 &amp; "Points"),CLASSNAMEHEADERS,0))),(IF("03"=(INDEX(ALLCLASSDATA,MATCH("SimpleLimitedTrained",CLASSFEATUREHEADERS,0),MATCH($A241,CLASSNAMEHEADERS,0))),(INDEX(ALLCLASSDATA,MATCH("SimpleLimitedTrained",CLASSFEATUREHEADERS,0),MATCH(($A241 &amp; "Points"),CLASSNAMEHEADERS,0))),"")))))))))}</f>
        <v>SIMPLELIMITEDL03</v>
      </c>
      <c r="J240" s="223"/>
      <c r="K240" s="223" t="str">
        <f t="array" ref="K240:K241">{"SIMPLELIMITEDL05";((IF("05"=(INDEX(ALLCLASSDATA,MATCH("SimpleLimitedLegendary",CLASSFEATUREHEADERS,0),MATCH($A241,CLASSNAMEHEADERS,0))),(INDEX(ALLCLASSDATA,MATCH("SimpleLimitedLegendary",CLASSFEATUREHEADERS,0),MATCH(($A241 &amp; "Points"),CLASSNAMEHEADERS,0))),(IF("05"=(INDEX(ALLCLASSDATA,MATCH("SimpleLimitedMaster",CLASSFEATUREHEADERS,0),MATCH($A241,CLASSNAMEHEADERS,0))),(INDEX(ALLCLASSDATA,MATCH("SimpleLimitedMaster",CLASSFEATUREHEADERS,0),MATCH(($A241 &amp; "Points"),CLASSNAMEHEADERS,0))),(IF("05"=(INDEX(ALLCLASSDATA,MATCH("SimpleLimitedExpert",CLASSFEATUREHEADERS,0),MATCH($A241,CLASSNAMEHEADERS,0))),(INDEX(ALLCLASSDATA,MATCH("SimpleLimitedExpert",CLASSFEATUREHEADERS,0),MATCH(($A241 &amp; "Points"),CLASSNAMEHEADERS,0))),(IF("05"=(INDEX(ALLCLASSDATA,MATCH("SimpleLimitedTrained",CLASSFEATUREHEADERS,0),MATCH($A241,CLASSNAMEHEADERS,0))),(INDEX(ALLCLASSDATA,MATCH("SimpleLimitedTrained",CLASSFEATUREHEADERS,0),MATCH(($A241 &amp; "Points"),CLASSNAMEHEADERS,0))),"")))))))))}</f>
        <v>SIMPLELIMITEDL05</v>
      </c>
      <c r="L240" s="223"/>
      <c r="M240" s="223" t="str">
        <f t="array" ref="M240:M241">{"SIMPLELIMITEDL07";((IF("07"=(INDEX(ALLCLASSDATA,MATCH("SimpleLimitedLegendary",CLASSFEATUREHEADERS,0),MATCH($A241,CLASSNAMEHEADERS,0))),(INDEX(ALLCLASSDATA,MATCH("SimpleLimitedLegendary",CLASSFEATUREHEADERS,0),MATCH(($A241 &amp; "Points"),CLASSNAMEHEADERS,0))),(IF("07"=(INDEX(ALLCLASSDATA,MATCH("SimpleLimitedMaster",CLASSFEATUREHEADERS,0),MATCH($A241,CLASSNAMEHEADERS,0))),(INDEX(ALLCLASSDATA,MATCH("SimpleLimitedMaster",CLASSFEATUREHEADERS,0),MATCH(($A241 &amp; "Points"),CLASSNAMEHEADERS,0))),(IF("07"=(INDEX(ALLCLASSDATA,MATCH("SimpleLimitedExpert",CLASSFEATUREHEADERS,0),MATCH($A241,CLASSNAMEHEADERS,0))),(INDEX(ALLCLASSDATA,MATCH("SimpleLimitedExpert",CLASSFEATUREHEADERS,0),MATCH(($A241 &amp; "Points"),CLASSNAMEHEADERS,0))),(IF("07"=(INDEX(ALLCLASSDATA,MATCH("SimpleLimitedTrained",CLASSFEATUREHEADERS,0),MATCH($A241,CLASSNAMEHEADERS,0))),(INDEX(ALLCLASSDATA,MATCH("SimpleLimitedTrained",CLASSFEATUREHEADERS,0),MATCH(($A241 &amp; "Points"),CLASSNAMEHEADERS,0))),"")))))))))}</f>
        <v>SIMPLELIMITEDL07</v>
      </c>
      <c r="N240" s="223"/>
      <c r="O240" s="223" t="str">
        <f t="array" ref="O240:O241">{"SIMPLELIMITEDL09";((IF("09"=(INDEX(ALLCLASSDATA,MATCH("SimpleLimitedLegendary",CLASSFEATUREHEADERS,0),MATCH($A241,CLASSNAMEHEADERS,0))),(INDEX(ALLCLASSDATA,MATCH("SimpleLimitedLegendary",CLASSFEATUREHEADERS,0),MATCH(($A241 &amp; "Points"),CLASSNAMEHEADERS,0))),(IF("09"=(INDEX(ALLCLASSDATA,MATCH("SimpleLimitedMaster",CLASSFEATUREHEADERS,0),MATCH($A241,CLASSNAMEHEADERS,0))),(INDEX(ALLCLASSDATA,MATCH("SimpleLimitedMaster",CLASSFEATUREHEADERS,0),MATCH(($A241 &amp; "Points"),CLASSNAMEHEADERS,0))),(IF("09"=(INDEX(ALLCLASSDATA,MATCH("SimpleLimitedExpert",CLASSFEATUREHEADERS,0),MATCH($A241,CLASSNAMEHEADERS,0))),(INDEX(ALLCLASSDATA,MATCH("SimpleLimitedExpert",CLASSFEATUREHEADERS,0),MATCH(($A241 &amp; "Points"),CLASSNAMEHEADERS,0))),(IF("09"=(INDEX(ALLCLASSDATA,MATCH("SimpleLimitedTrained",CLASSFEATUREHEADERS,0),MATCH($A241,CLASSNAMEHEADERS,0))),(INDEX(ALLCLASSDATA,MATCH("SimpleLimitedTrained",CLASSFEATUREHEADERS,0),MATCH(($A241 &amp; "Points"),CLASSNAMEHEADERS,0))),"")))))))))}</f>
        <v>SIMPLELIMITEDL09</v>
      </c>
      <c r="P240" s="223"/>
      <c r="Q240" s="223" t="str">
        <f t="array" ref="Q240:Q241">{"SIMPLELIMITEDL11";((IF("11"=(INDEX(ALLCLASSDATA,MATCH("SimpleLimitedLegendary",CLASSFEATUREHEADERS,0),MATCH($A241,CLASSNAMEHEADERS,0))),(INDEX(ALLCLASSDATA,MATCH("SimpleLimitedLegendary",CLASSFEATUREHEADERS,0),MATCH(($A241 &amp; "Points"),CLASSNAMEHEADERS,0))),(IF("11"=(INDEX(ALLCLASSDATA,MATCH("SimpleLimitedMaster",CLASSFEATUREHEADERS,0),MATCH($A241,CLASSNAMEHEADERS,0))),(INDEX(ALLCLASSDATA,MATCH("SimpleLimitedMaster",CLASSFEATUREHEADERS,0),MATCH(($A241 &amp; "Points"),CLASSNAMEHEADERS,0))),(IF("11"=(INDEX(ALLCLASSDATA,MATCH("SimpleLimitedExpert",CLASSFEATUREHEADERS,0),MATCH($A241,CLASSNAMEHEADERS,0))),(INDEX(ALLCLASSDATA,MATCH("SimpleLimitedExpert",CLASSFEATUREHEADERS,0),MATCH(($A241 &amp; "Points"),CLASSNAMEHEADERS,0))),(IF("11"=(INDEX(ALLCLASSDATA,MATCH("SimpleLimitedTrained",CLASSFEATUREHEADERS,0),MATCH($A241,CLASSNAMEHEADERS,0))),(INDEX(ALLCLASSDATA,MATCH("SimpleLimitedTrained",CLASSFEATUREHEADERS,0),MATCH(($A241 &amp; "Points"),CLASSNAMEHEADERS,0))),"")))))))))}</f>
        <v>SIMPLELIMITEDL11</v>
      </c>
      <c r="R240" s="223"/>
      <c r="S240" s="223" t="str">
        <f t="array" ref="S240:S241">{"SIMPLELIMITEDL13";((IF("13"=(INDEX(ALLCLASSDATA,MATCH("SimpleLimitedLegendary",CLASSFEATUREHEADERS,0),MATCH($A241,CLASSNAMEHEADERS,0))),(INDEX(ALLCLASSDATA,MATCH("SimpleLimitedLegendary",CLASSFEATUREHEADERS,0),MATCH(($A241 &amp; "Points"),CLASSNAMEHEADERS,0))),(IF("13"=(INDEX(ALLCLASSDATA,MATCH("SimpleLimitedMaster",CLASSFEATUREHEADERS,0),MATCH($A241,CLASSNAMEHEADERS,0))),(INDEX(ALLCLASSDATA,MATCH("SimpleLimitedMaster",CLASSFEATUREHEADERS,0),MATCH(($A241 &amp; "Points"),CLASSNAMEHEADERS,0))),(IF("13"=(INDEX(ALLCLASSDATA,MATCH("SimpleLimitedExpert",CLASSFEATUREHEADERS,0),MATCH($A241,CLASSNAMEHEADERS,0))),(INDEX(ALLCLASSDATA,MATCH("SimpleLimitedExpert",CLASSFEATUREHEADERS,0),MATCH(($A241 &amp; "Points"),CLASSNAMEHEADERS,0))),(IF("13"=(INDEX(ALLCLASSDATA,MATCH("SimpleLimitedTrained",CLASSFEATUREHEADERS,0),MATCH($A241,CLASSNAMEHEADERS,0))),(INDEX(ALLCLASSDATA,MATCH("SimpleLimitedTrained",CLASSFEATUREHEADERS,0),MATCH(($A241 &amp; "Points"),CLASSNAMEHEADERS,0))),"")))))))))}</f>
        <v>SIMPLELIMITEDL13</v>
      </c>
      <c r="T240" s="223"/>
      <c r="U240" s="223" t="str">
        <f t="array" ref="U240:U241">{"SIMPLELIMITEDL15";((IF("15"=(INDEX(ALLCLASSDATA,MATCH("SimpleLimitedLegendary",CLASSFEATUREHEADERS,0),MATCH($A241,CLASSNAMEHEADERS,0))),(INDEX(ALLCLASSDATA,MATCH("SimpleLimitedLegendary",CLASSFEATUREHEADERS,0),MATCH(($A241 &amp; "Points"),CLASSNAMEHEADERS,0))),(IF("15"=(INDEX(ALLCLASSDATA,MATCH("SimpleLimitedMaster",CLASSFEATUREHEADERS,0),MATCH($A241,CLASSNAMEHEADERS,0))),(INDEX(ALLCLASSDATA,MATCH("SimpleLimitedMaster",CLASSFEATUREHEADERS,0),MATCH(($A241 &amp; "Points"),CLASSNAMEHEADERS,0))),(IF("15"=(INDEX(ALLCLASSDATA,MATCH("SimpleLimitedExpert",CLASSFEATUREHEADERS,0),MATCH($A241,CLASSNAMEHEADERS,0))),(INDEX(ALLCLASSDATA,MATCH("SimpleLimitedExpert",CLASSFEATUREHEADERS,0),MATCH(($A241 &amp; "Points"),CLASSNAMEHEADERS,0))),(IF("15"=(INDEX(ALLCLASSDATA,MATCH("SimpleLimitedTrained",CLASSFEATUREHEADERS,0),MATCH($A241,CLASSNAMEHEADERS,0))),(INDEX(ALLCLASSDATA,MATCH("SimpleLimitedTrained",CLASSFEATUREHEADERS,0),MATCH(($A241 &amp; "Points"),CLASSNAMEHEADERS,0))),"")))))))))}</f>
        <v>SIMPLELIMITEDL15</v>
      </c>
      <c r="V240" s="223"/>
      <c r="W240" s="223" t="str">
        <f t="array" ref="W240:W241">{"SIMPLELIMITEDL17";((IF("17"=(INDEX(ALLCLASSDATA,MATCH("SimpleLimitedLegendary",CLASSFEATUREHEADERS,0),MATCH($A241,CLASSNAMEHEADERS,0))),(INDEX(ALLCLASSDATA,MATCH("SimpleLimitedLegendary",CLASSFEATUREHEADERS,0),MATCH(($A241 &amp; "Points"),CLASSNAMEHEADERS,0))),(IF("17"=(INDEX(ALLCLASSDATA,MATCH("SimpleLimitedMaster",CLASSFEATUREHEADERS,0),MATCH($A241,CLASSNAMEHEADERS,0))),(INDEX(ALLCLASSDATA,MATCH("SimpleLimitedMaster",CLASSFEATUREHEADERS,0),MATCH(($A241 &amp; "Points"),CLASSNAMEHEADERS,0))),(IF("17"=(INDEX(ALLCLASSDATA,MATCH("SimpleLimitedExpert",CLASSFEATUREHEADERS,0),MATCH($A241,CLASSNAMEHEADERS,0))),(INDEX(ALLCLASSDATA,MATCH("SimpleLimitedExpert",CLASSFEATUREHEADERS,0),MATCH(($A241 &amp; "Points"),CLASSNAMEHEADERS,0))),(IF("17"=(INDEX(ALLCLASSDATA,MATCH("SimpleLimitedTrained",CLASSFEATUREHEADERS,0),MATCH($A241,CLASSNAMEHEADERS,0))),(INDEX(ALLCLASSDATA,MATCH("SimpleLimitedTrained",CLASSFEATUREHEADERS,0),MATCH(($A241 &amp; "Points"),CLASSNAMEHEADERS,0))),"")))))))))}</f>
        <v>SIMPLELIMITEDL17</v>
      </c>
      <c r="X240" s="223"/>
      <c r="Y240" s="223" t="str">
        <f t="array" ref="Y240:Y241">{"SIMPLELIMITEDL19";((IF("19"=(INDEX(ALLCLASSDATA,MATCH("SimpleLimitedLegendary",CLASSFEATUREHEADERS,0),MATCH($A241,CLASSNAMEHEADERS,0))),(INDEX(ALLCLASSDATA,MATCH("SimpleLimitedLegendary",CLASSFEATUREHEADERS,0),MATCH(($A241 &amp; "Points"),CLASSNAMEHEADERS,0))),(IF("19"=(INDEX(ALLCLASSDATA,MATCH("SimpleLimitedMaster",CLASSFEATUREHEADERS,0),MATCH($A241,CLASSNAMEHEADERS,0))),(INDEX(ALLCLASSDATA,MATCH("SimpleLimitedMaster",CLASSFEATUREHEADERS,0),MATCH(($A241 &amp; "Points"),CLASSNAMEHEADERS,0))),(IF("19"=(INDEX(ALLCLASSDATA,MATCH("SimpleLimitedExpert",CLASSFEATUREHEADERS,0),MATCH($A241,CLASSNAMEHEADERS,0))),(INDEX(ALLCLASSDATA,MATCH("SimpleLimitedExpert",CLASSFEATUREHEADERS,0),MATCH(($A241 &amp; "Points"),CLASSNAMEHEADERS,0))),(IF("19"=(INDEX(ALLCLASSDATA,MATCH("SimpleLimitedTrained",CLASSFEATUREHEADERS,0),MATCH($A241,CLASSNAMEHEADERS,0))),(INDEX(ALLCLASSDATA,MATCH("SimpleLimitedTrained",CLASSFEATUREHEADERS,0),MATCH(($A241 &amp; "Points"),CLASSNAMEHEADERS,0))),"")))))))))}</f>
        <v>SIMPLELIMITEDL19</v>
      </c>
      <c r="Z240" s="223"/>
      <c r="AA240" s="76" t="str">
        <f t="array" ref="AA240:AA241">{"SIMPLELIMITED TOTAL";(IF(COUNTBLANK(F241:Z241)=17,"L",(IF(COUNTBLANK(F241:Z241)=18,"M",(IF(COUNTBLANK(F241:Z241)=19,"E",(IF(COUNTBLANK(F241:Z241)=20,"T",""))))))))}</f>
        <v>SIMPLELIMITED TOTAL</v>
      </c>
      <c r="AB240" s="76" t="str">
        <f t="array" ref="AB240:AB241">{"SIMPLELIMITED TOTAL";(sum(F241:Z241))}</f>
        <v>SIMPLELIMITED TOTAL</v>
      </c>
    </row>
    <row r="241">
      <c r="A241" s="48" t="s">
        <v>225</v>
      </c>
      <c r="B241" s="48" t="s">
        <v>418</v>
      </c>
      <c r="C241" s="48" t="s">
        <v>1634</v>
      </c>
      <c r="D241" s="48" t="s">
        <v>599</v>
      </c>
      <c r="E241" s="5" t="s">
        <v>603</v>
      </c>
      <c r="F241" s="47" t="s">
        <v>603</v>
      </c>
      <c r="G241" s="5" t="s">
        <v>603</v>
      </c>
      <c r="H241" s="5"/>
      <c r="I241" s="5" t="s">
        <v>603</v>
      </c>
      <c r="J241" s="5"/>
      <c r="K241" s="5" t="s">
        <v>603</v>
      </c>
      <c r="L241" s="5"/>
      <c r="M241" s="5" t="s">
        <v>603</v>
      </c>
      <c r="N241" s="5"/>
      <c r="O241" s="5" t="s">
        <v>603</v>
      </c>
      <c r="P241" s="5"/>
      <c r="Q241" s="5" t="s">
        <v>603</v>
      </c>
      <c r="R241" s="5"/>
      <c r="S241" s="5" t="s">
        <v>603</v>
      </c>
      <c r="T241" s="5"/>
      <c r="U241" s="5" t="s">
        <v>603</v>
      </c>
      <c r="V241" s="5"/>
      <c r="W241" s="5" t="s">
        <v>603</v>
      </c>
      <c r="X241" s="5"/>
      <c r="Y241" s="5" t="s">
        <v>603</v>
      </c>
      <c r="Z241" s="5"/>
      <c r="AA241" s="5" t="s">
        <v>603</v>
      </c>
      <c r="AB241" s="47">
        <v>0.0</v>
      </c>
    </row>
    <row r="242" hidden="1">
      <c r="A242" s="222" t="str">
        <f t="array" ref="A242:A243">{"FormulaRow29";(INDEX(CLASSLIST,A185,1))}</f>
        <v>FormulaRow29</v>
      </c>
      <c r="B242" s="222" t="str">
        <f t="array" ref="B242:B243">{"CLASSTYPE";((INDEX(ALLCLASSDATA,MATCH("ClassType",CLASSFEATUREHEADERS,0),MATCH($A243,CLASSNAMEHEADERS,0))))}</f>
        <v>CLASSTYPE</v>
      </c>
      <c r="C242" s="222" t="str">
        <f t="array" ref="C242:C243">{"ATTACK";"Attack"}</f>
        <v>ATTACK</v>
      </c>
      <c r="D242" s="222" t="str">
        <f t="array" ref="D242:D243">{"SIMPLE";"Simple"}</f>
        <v>SIMPLE</v>
      </c>
      <c r="E242" s="223" t="str">
        <f t="array" ref="E242:E243">{"SIMPLEINITIAL";((IF(G243=10,"T",(IF(G243=50,"E","")))))}</f>
        <v>SIMPLEINITIAL</v>
      </c>
      <c r="F242" s="223" t="str">
        <f t="array" ref="F242:F243">{"SIMPLEINITIALPTS";((IF("00"=(INDEX(ALLCLASSDATA,MATCH("SimpleLegendary",CLASSFEATUREHEADERS,0),MATCH($A243,CLASSNAMEHEADERS,0))),(INDEX(ALLCLASSDATA,MATCH("SimpleLegendary",CLASSFEATUREHEADERS,0),MATCH(($A243 &amp; "Points"),CLASSNAMEHEADERS,0))),(IF("00"=(INDEX(ALLCLASSDATA,MATCH("SimpleMaster",CLASSFEATUREHEADERS,0),MATCH($A243,CLASSNAMEHEADERS,0))),(INDEX(ALLCLASSDATA,MATCH("SimpleMaster",CLASSFEATUREHEADERS,0),MATCH(($A243 &amp; "Points"),CLASSNAMEHEADERS,0))),(IF("00"=(INDEX(ALLCLASSDATA,MATCH("SimpleExpert",CLASSFEATUREHEADERS,0),MATCH($A243,CLASSNAMEHEADERS,0))),(INDEX(ALLCLASSDATA,MATCH("SimpleExpert",CLASSFEATUREHEADERS,0),MATCH(($A243 &amp; "Points"),CLASSNAMEHEADERS,0))),(IF("00"=(INDEX(ALLCLASSDATA,MATCH("SimpleTrained",CLASSFEATUREHEADERS,0),MATCH($A243,CLASSNAMEHEADERS,0))),(INDEX(ALLCLASSDATA,MATCH("SimpleTrained",CLASSFEATUREHEADERS,0),MATCH(($A243 &amp; "Points"),CLASSNAMEHEADERS,0))),"")))))))))}</f>
        <v>SIMPLEINITIALPTS</v>
      </c>
      <c r="G242" s="223" t="str">
        <f t="array" ref="G242:G243">{"SIMPLEL01";((IF("01"=(INDEX(ALLCLASSDATA,MATCH("SimpleLegendary",CLASSFEATUREHEADERS,0),MATCH($A243,CLASSNAMEHEADERS,0))),(INDEX(ALLCLASSDATA,MATCH("SimpleLegendary",CLASSFEATUREHEADERS,0),MATCH(($A243 &amp; "Points"),CLASSNAMEHEADERS,0))),(IF("01"=(INDEX(ALLCLASSDATA,MATCH("SimpleMaster",CLASSFEATUREHEADERS,0),MATCH($A243,CLASSNAMEHEADERS,0))),(INDEX(ALLCLASSDATA,MATCH("SimpleMaster",CLASSFEATUREHEADERS,0),MATCH(($A243 &amp; "Points"),CLASSNAMEHEADERS,0))),(IF("01"=(INDEX(ALLCLASSDATA,MATCH("SimpleExpert",CLASSFEATUREHEADERS,0),MATCH($A243,CLASSNAMEHEADERS,0))),(INDEX(ALLCLASSDATA,MATCH("SimpleExpert",CLASSFEATUREHEADERS,0),MATCH(($A243 &amp; "Points"),CLASSNAMEHEADERS,0))),(IF("01"=(INDEX(ALLCLASSDATA,MATCH("SimpleTrained",CLASSFEATUREHEADERS,0),MATCH($A243,CLASSNAMEHEADERS,0))),(INDEX(ALLCLASSDATA,MATCH("SimpleTrained",CLASSFEATUREHEADERS,0),MATCH(($A243 &amp; "Points"),CLASSNAMEHEADERS,0))),"")))))))))}</f>
        <v>SIMPLEL01</v>
      </c>
      <c r="H242" s="223"/>
      <c r="I242" s="223" t="str">
        <f t="array" ref="I242:I243">{"SIMPLEL03";((IF("03"=(INDEX(ALLCLASSDATA,MATCH("SimpleLegendary",CLASSFEATUREHEADERS,0),MATCH($A243,CLASSNAMEHEADERS,0))),(INDEX(ALLCLASSDATA,MATCH("SimpleLegendary",CLASSFEATUREHEADERS,0),MATCH(($A243 &amp; "Points"),CLASSNAMEHEADERS,0))),(IF("03"=(INDEX(ALLCLASSDATA,MATCH("SimpleMaster",CLASSFEATUREHEADERS,0),MATCH($A243,CLASSNAMEHEADERS,0))),(INDEX(ALLCLASSDATA,MATCH("SimpleMaster",CLASSFEATUREHEADERS,0),MATCH(($A243 &amp; "Points"),CLASSNAMEHEADERS,0))),(IF("03"=(INDEX(ALLCLASSDATA,MATCH("SimpleExpert",CLASSFEATUREHEADERS,0),MATCH($A243,CLASSNAMEHEADERS,0))),(INDEX(ALLCLASSDATA,MATCH("SimpleExpert",CLASSFEATUREHEADERS,0),MATCH(($A243 &amp; "Points"),CLASSNAMEHEADERS,0))),(IF("03"=(INDEX(ALLCLASSDATA,MATCH("SimpleTrained",CLASSFEATUREHEADERS,0),MATCH($A243,CLASSNAMEHEADERS,0))),(INDEX(ALLCLASSDATA,MATCH("SimpleTrained",CLASSFEATUREHEADERS,0),MATCH(($A243 &amp; "Points"),CLASSNAMEHEADERS,0))),"")))))))))}</f>
        <v>SIMPLEL03</v>
      </c>
      <c r="J242" s="223"/>
      <c r="K242" s="223" t="str">
        <f t="array" ref="K242:K243">{"SIMPLEL05";((IF("05"=(INDEX(ALLCLASSDATA,MATCH("SimpleLegendary",CLASSFEATUREHEADERS,0),MATCH($A243,CLASSNAMEHEADERS,0))),(INDEX(ALLCLASSDATA,MATCH("SimpleLegendary",CLASSFEATUREHEADERS,0),MATCH(($A243 &amp; "Points"),CLASSNAMEHEADERS,0))),(IF("05"=(INDEX(ALLCLASSDATA,MATCH("SimpleMaster",CLASSFEATUREHEADERS,0),MATCH($A243,CLASSNAMEHEADERS,0))),(INDEX(ALLCLASSDATA,MATCH("SimpleMaster",CLASSFEATUREHEADERS,0),MATCH(($A243 &amp; "Points"),CLASSNAMEHEADERS,0))),(IF("05"=(INDEX(ALLCLASSDATA,MATCH("SimpleExpert",CLASSFEATUREHEADERS,0),MATCH($A243,CLASSNAMEHEADERS,0))),(INDEX(ALLCLASSDATA,MATCH("SimpleExpert",CLASSFEATUREHEADERS,0),MATCH(($A243 &amp; "Points"),CLASSNAMEHEADERS,0))),(IF("05"=(INDEX(ALLCLASSDATA,MATCH("SimpleTrained",CLASSFEATUREHEADERS,0),MATCH($A243,CLASSNAMEHEADERS,0))),(INDEX(ALLCLASSDATA,MATCH("SimpleTrained",CLASSFEATUREHEADERS,0),MATCH(($A243 &amp; "Points"),CLASSNAMEHEADERS,0))),"")))))))))}</f>
        <v>SIMPLEL05</v>
      </c>
      <c r="L242" s="223"/>
      <c r="M242" s="223" t="str">
        <f t="array" ref="M242:M243">{"SIMPLEL07";((IF("07"=(INDEX(ALLCLASSDATA,MATCH("SimpleLegendary",CLASSFEATUREHEADERS,0),MATCH($A243,CLASSNAMEHEADERS,0))),(INDEX(ALLCLASSDATA,MATCH("SimpleLegendary",CLASSFEATUREHEADERS,0),MATCH(($A243 &amp; "Points"),CLASSNAMEHEADERS,0))),(IF("07"=(INDEX(ALLCLASSDATA,MATCH("SimpleMaster",CLASSFEATUREHEADERS,0),MATCH($A243,CLASSNAMEHEADERS,0))),(INDEX(ALLCLASSDATA,MATCH("SimpleMaster",CLASSFEATUREHEADERS,0),MATCH(($A243 &amp; "Points"),CLASSNAMEHEADERS,0))),(IF("07"=(INDEX(ALLCLASSDATA,MATCH("SimpleExpert",CLASSFEATUREHEADERS,0),MATCH($A243,CLASSNAMEHEADERS,0))),(INDEX(ALLCLASSDATA,MATCH("SimpleExpert",CLASSFEATUREHEADERS,0),MATCH(($A243 &amp; "Points"),CLASSNAMEHEADERS,0))),(IF("07"=(INDEX(ALLCLASSDATA,MATCH("SimpleTrained",CLASSFEATUREHEADERS,0),MATCH($A243,CLASSNAMEHEADERS,0))),(INDEX(ALLCLASSDATA,MATCH("SimpleTrained",CLASSFEATUREHEADERS,0),MATCH(($A243 &amp; "Points"),CLASSNAMEHEADERS,0))),"")))))))))}</f>
        <v>SIMPLEL07</v>
      </c>
      <c r="N242" s="223"/>
      <c r="O242" s="223" t="str">
        <f t="array" ref="O242:O243">{"SIMPLEL09";((IF("09"=(INDEX(ALLCLASSDATA,MATCH("SimpleLegendary",CLASSFEATUREHEADERS,0),MATCH($A243,CLASSNAMEHEADERS,0))),(INDEX(ALLCLASSDATA,MATCH("SimpleLegendary",CLASSFEATUREHEADERS,0),MATCH(($A243 &amp; "Points"),CLASSNAMEHEADERS,0))),(IF("09"=(INDEX(ALLCLASSDATA,MATCH("SimpleMaster",CLASSFEATUREHEADERS,0),MATCH($A243,CLASSNAMEHEADERS,0))),(INDEX(ALLCLASSDATA,MATCH("SimpleMaster",CLASSFEATUREHEADERS,0),MATCH(($A243 &amp; "Points"),CLASSNAMEHEADERS,0))),(IF("09"=(INDEX(ALLCLASSDATA,MATCH("SimpleExpert",CLASSFEATUREHEADERS,0),MATCH($A243,CLASSNAMEHEADERS,0))),(INDEX(ALLCLASSDATA,MATCH("SimpleExpert",CLASSFEATUREHEADERS,0),MATCH(($A243 &amp; "Points"),CLASSNAMEHEADERS,0))),(IF("09"=(INDEX(ALLCLASSDATA,MATCH("SimpleTrained",CLASSFEATUREHEADERS,0),MATCH($A243,CLASSNAMEHEADERS,0))),(INDEX(ALLCLASSDATA,MATCH("SimpleTrained",CLASSFEATUREHEADERS,0),MATCH(($A243 &amp; "Points"),CLASSNAMEHEADERS,0))),"")))))))))}</f>
        <v>SIMPLEL09</v>
      </c>
      <c r="P242" s="223"/>
      <c r="Q242" s="223" t="str">
        <f t="array" ref="Q242:Q243">{"SIMPLEL11";((IF("11"=(INDEX(ALLCLASSDATA,MATCH("SimpleLegendary",CLASSFEATUREHEADERS,0),MATCH($A243,CLASSNAMEHEADERS,0))),(INDEX(ALLCLASSDATA,MATCH("SimpleLegendary",CLASSFEATUREHEADERS,0),MATCH(($A243 &amp; "Points"),CLASSNAMEHEADERS,0))),(IF("11"=(INDEX(ALLCLASSDATA,MATCH("SimpleMaster",CLASSFEATUREHEADERS,0),MATCH($A243,CLASSNAMEHEADERS,0))),(INDEX(ALLCLASSDATA,MATCH("SimpleMaster",CLASSFEATUREHEADERS,0),MATCH(($A243 &amp; "Points"),CLASSNAMEHEADERS,0))),(IF("11"=(INDEX(ALLCLASSDATA,MATCH("SimpleExpert",CLASSFEATUREHEADERS,0),MATCH($A243,CLASSNAMEHEADERS,0))),(INDEX(ALLCLASSDATA,MATCH("SimpleExpert",CLASSFEATUREHEADERS,0),MATCH(($A243 &amp; "Points"),CLASSNAMEHEADERS,0))),(IF("11"=(INDEX(ALLCLASSDATA,MATCH("SimpleTrained",CLASSFEATUREHEADERS,0),MATCH($A243,CLASSNAMEHEADERS,0))),(INDEX(ALLCLASSDATA,MATCH("SimpleTrained",CLASSFEATUREHEADERS,0),MATCH(($A243 &amp; "Points"),CLASSNAMEHEADERS,0))),"")))))))))}</f>
        <v>SIMPLEL11</v>
      </c>
      <c r="R242" s="223"/>
      <c r="S242" s="223" t="str">
        <f t="array" ref="S242:S243">{"SIMPLEL13";((IF("13"=(INDEX(ALLCLASSDATA,MATCH("SimpleLegendary",CLASSFEATUREHEADERS,0),MATCH($A243,CLASSNAMEHEADERS,0))),(INDEX(ALLCLASSDATA,MATCH("SimpleLegendary",CLASSFEATUREHEADERS,0),MATCH(($A243 &amp; "Points"),CLASSNAMEHEADERS,0))),(IF("13"=(INDEX(ALLCLASSDATA,MATCH("SimpleMaster",CLASSFEATUREHEADERS,0),MATCH($A243,CLASSNAMEHEADERS,0))),(INDEX(ALLCLASSDATA,MATCH("SimpleMaster",CLASSFEATUREHEADERS,0),MATCH(($A243 &amp; "Points"),CLASSNAMEHEADERS,0))),(IF("13"=(INDEX(ALLCLASSDATA,MATCH("SimpleExpert",CLASSFEATUREHEADERS,0),MATCH($A243,CLASSNAMEHEADERS,0))),(INDEX(ALLCLASSDATA,MATCH("SimpleExpert",CLASSFEATUREHEADERS,0),MATCH(($A243 &amp; "Points"),CLASSNAMEHEADERS,0))),(IF("13"=(INDEX(ALLCLASSDATA,MATCH("SimpleTrained",CLASSFEATUREHEADERS,0),MATCH($A243,CLASSNAMEHEADERS,0))),(INDEX(ALLCLASSDATA,MATCH("SimpleTrained",CLASSFEATUREHEADERS,0),MATCH(($A243 &amp; "Points"),CLASSNAMEHEADERS,0))),"")))))))))}</f>
        <v>SIMPLEL13</v>
      </c>
      <c r="T242" s="223"/>
      <c r="U242" s="223" t="str">
        <f t="array" ref="U242:U243">{"SIMPLEL15";((IF("15"=(INDEX(ALLCLASSDATA,MATCH("SimpleLegendary",CLASSFEATUREHEADERS,0),MATCH($A243,CLASSNAMEHEADERS,0))),(INDEX(ALLCLASSDATA,MATCH("SimpleLegendary",CLASSFEATUREHEADERS,0),MATCH(($A243 &amp; "Points"),CLASSNAMEHEADERS,0))),(IF("15"=(INDEX(ALLCLASSDATA,MATCH("SimpleMaster",CLASSFEATUREHEADERS,0),MATCH($A243,CLASSNAMEHEADERS,0))),(INDEX(ALLCLASSDATA,MATCH("SimpleMaster",CLASSFEATUREHEADERS,0),MATCH(($A243 &amp; "Points"),CLASSNAMEHEADERS,0))),(IF("15"=(INDEX(ALLCLASSDATA,MATCH("SimpleExpert",CLASSFEATUREHEADERS,0),MATCH($A243,CLASSNAMEHEADERS,0))),(INDEX(ALLCLASSDATA,MATCH("SimpleExpert",CLASSFEATUREHEADERS,0),MATCH(($A243 &amp; "Points"),CLASSNAMEHEADERS,0))),(IF("15"=(INDEX(ALLCLASSDATA,MATCH("SimpleTrained",CLASSFEATUREHEADERS,0),MATCH($A243,CLASSNAMEHEADERS,0))),(INDEX(ALLCLASSDATA,MATCH("SimpleTrained",CLASSFEATUREHEADERS,0),MATCH(($A243 &amp; "Points"),CLASSNAMEHEADERS,0))),"")))))))))}</f>
        <v>SIMPLEL15</v>
      </c>
      <c r="V242" s="223"/>
      <c r="W242" s="223" t="str">
        <f t="array" ref="W242:W243">{"SIMPLEL17";((IF("17"=(INDEX(ALLCLASSDATA,MATCH("SimpleLegendary",CLASSFEATUREHEADERS,0),MATCH($A243,CLASSNAMEHEADERS,0))),(INDEX(ALLCLASSDATA,MATCH("SimpleLegendary",CLASSFEATUREHEADERS,0),MATCH(($A243 &amp; "Points"),CLASSNAMEHEADERS,0))),(IF("17"=(INDEX(ALLCLASSDATA,MATCH("SimpleMaster",CLASSFEATUREHEADERS,0),MATCH($A243,CLASSNAMEHEADERS,0))),(INDEX(ALLCLASSDATA,MATCH("SimpleMaster",CLASSFEATUREHEADERS,0),MATCH(($A243 &amp; "Points"),CLASSNAMEHEADERS,0))),(IF("17"=(INDEX(ALLCLASSDATA,MATCH("SimpleExpert",CLASSFEATUREHEADERS,0),MATCH($A243,CLASSNAMEHEADERS,0))),(INDEX(ALLCLASSDATA,MATCH("SimpleExpert",CLASSFEATUREHEADERS,0),MATCH(($A243 &amp; "Points"),CLASSNAMEHEADERS,0))),(IF("17"=(INDEX(ALLCLASSDATA,MATCH("SimpleTrained",CLASSFEATUREHEADERS,0),MATCH($A243,CLASSNAMEHEADERS,0))),(INDEX(ALLCLASSDATA,MATCH("SimpleTrained",CLASSFEATUREHEADERS,0),MATCH(($A243 &amp; "Points"),CLASSNAMEHEADERS,0))),"")))))))))}</f>
        <v>SIMPLEL17</v>
      </c>
      <c r="X242" s="223"/>
      <c r="Y242" s="223" t="str">
        <f t="array" ref="Y242:Y243">{"SIMPLEL19";((IF("19"=(INDEX(ALLCLASSDATA,MATCH("SimpleLegendary",CLASSFEATUREHEADERS,0),MATCH($A243,CLASSNAMEHEADERS,0))),(INDEX(ALLCLASSDATA,MATCH("SimpleLegendary",CLASSFEATUREHEADERS,0),MATCH(($A243 &amp; "Points"),CLASSNAMEHEADERS,0))),(IF("19"=(INDEX(ALLCLASSDATA,MATCH("SimpleMaster",CLASSFEATUREHEADERS,0),MATCH($A243,CLASSNAMEHEADERS,0))),(INDEX(ALLCLASSDATA,MATCH("SimpleMaster",CLASSFEATUREHEADERS,0),MATCH(($A243 &amp; "Points"),CLASSNAMEHEADERS,0))),(IF("19"=(INDEX(ALLCLASSDATA,MATCH("SimpleExpert",CLASSFEATUREHEADERS,0),MATCH($A243,CLASSNAMEHEADERS,0))),(INDEX(ALLCLASSDATA,MATCH("SimpleExpert",CLASSFEATUREHEADERS,0),MATCH(($A243 &amp; "Points"),CLASSNAMEHEADERS,0))),(IF("19"=(INDEX(ALLCLASSDATA,MATCH("SimpleTrained",CLASSFEATUREHEADERS,0),MATCH($A243,CLASSNAMEHEADERS,0))),(INDEX(ALLCLASSDATA,MATCH("SimpleTrained",CLASSFEATUREHEADERS,0),MATCH(($A243 &amp; "Points"),CLASSNAMEHEADERS,0))),"")))))))))}</f>
        <v>SIMPLEL19</v>
      </c>
      <c r="Z242" s="223"/>
      <c r="AA242" s="76" t="str">
        <f t="array" ref="AA242:AA243">{"SIMPLE TOTAL";(IF(COUNTBLANK(F243:Z243)=17,"L",(IF(COUNTBLANK(F243:Z243)=18,"M",(IF(COUNTBLANK(F243:Z243)=19,"E",(IF(COUNTBLANK(F243:Z243)=20,"T",""))))))))}</f>
        <v>SIMPLE TOTAL</v>
      </c>
      <c r="AB242" s="76" t="str">
        <f t="array" ref="AB242:AB243">{"SIMPLE TOTAL";(sum(F243:Z243))}</f>
        <v>SIMPLE TOTAL</v>
      </c>
    </row>
    <row r="243">
      <c r="A243" s="48" t="s">
        <v>225</v>
      </c>
      <c r="B243" s="48" t="s">
        <v>418</v>
      </c>
      <c r="C243" s="48" t="s">
        <v>1634</v>
      </c>
      <c r="D243" s="48" t="s">
        <v>68</v>
      </c>
      <c r="E243" s="5" t="s">
        <v>435</v>
      </c>
      <c r="F243" s="47" t="s">
        <v>603</v>
      </c>
      <c r="G243" s="5">
        <v>10.0</v>
      </c>
      <c r="H243" s="5"/>
      <c r="I243" s="5" t="s">
        <v>603</v>
      </c>
      <c r="J243" s="5"/>
      <c r="K243" s="5" t="s">
        <v>603</v>
      </c>
      <c r="L243" s="5"/>
      <c r="M243" s="5" t="s">
        <v>603</v>
      </c>
      <c r="N243" s="5"/>
      <c r="O243" s="5" t="s">
        <v>603</v>
      </c>
      <c r="P243" s="5"/>
      <c r="Q243" s="5">
        <v>50.0</v>
      </c>
      <c r="R243" s="5"/>
      <c r="S243" s="5" t="s">
        <v>603</v>
      </c>
      <c r="T243" s="5"/>
      <c r="U243" s="5" t="s">
        <v>603</v>
      </c>
      <c r="V243" s="5"/>
      <c r="W243" s="5" t="s">
        <v>603</v>
      </c>
      <c r="X243" s="5"/>
      <c r="Y243" s="5" t="s">
        <v>603</v>
      </c>
      <c r="Z243" s="5"/>
      <c r="AA243" s="5" t="s">
        <v>436</v>
      </c>
      <c r="AB243" s="47">
        <v>60.0</v>
      </c>
    </row>
    <row r="244" hidden="1">
      <c r="A244" s="222" t="str">
        <f t="array" ref="A244:A245">{"FormulaRow30";(INDEX(CLASSLIST,A185,1))}</f>
        <v>FormulaRow30</v>
      </c>
      <c r="B244" s="222" t="str">
        <f t="array" ref="B244:B245">{"CLASSTYPE";((INDEX(ALLCLASSDATA,MATCH("ClassType",CLASSFEATUREHEADERS,0),MATCH($A245,CLASSNAMEHEADERS,0))))}</f>
        <v>CLASSTYPE</v>
      </c>
      <c r="C244" s="222" t="str">
        <f t="array" ref="C244:C245">{"ATTACK";"Attack"}</f>
        <v>ATTACK</v>
      </c>
      <c r="D244" s="222" t="str">
        <f t="array" ref="D244:D245">{"MARTIALLIMITED";"MartialLimited"}</f>
        <v>MARTIALLIMITED</v>
      </c>
      <c r="E244" s="223" t="str">
        <f t="array" ref="E244:E245">{"MARTIALLIMITEDINITIAL";((IF(G245=10,"T",(IF(G245=50,"E","")))))}</f>
        <v>MARTIALLIMITEDINITIAL</v>
      </c>
      <c r="F244" s="223" t="str">
        <f t="array" ref="F244:F245">{"MARTIALLIMITEDINITIALPTS";((IF("00"=(INDEX(ALLCLASSDATA,MATCH("MartialLimitedLegendary",CLASSFEATUREHEADERS,0),MATCH($A245,CLASSNAMEHEADERS,0))),(INDEX(ALLCLASSDATA,MATCH("MartialLimitedLegendary",CLASSFEATUREHEADERS,0),MATCH(($A245 &amp; "Points"),CLASSNAMEHEADERS,0))),(IF("00"=(INDEX(ALLCLASSDATA,MATCH("MartialLimitedMaster",CLASSFEATUREHEADERS,0),MATCH($A245,CLASSNAMEHEADERS,0))),(INDEX(ALLCLASSDATA,MATCH("MartialLimitedMaster",CLASSFEATUREHEADERS,0),MATCH(($A245 &amp; "Points"),CLASSNAMEHEADERS,0))),(IF("00"=(INDEX(ALLCLASSDATA,MATCH("MartialLimitedExpert",CLASSFEATUREHEADERS,0),MATCH($A245,CLASSNAMEHEADERS,0))),(INDEX(ALLCLASSDATA,MATCH("MartialLimitedExpert",CLASSFEATUREHEADERS,0),MATCH(($A245 &amp; "Points"),CLASSNAMEHEADERS,0))),(IF("00"=(INDEX(ALLCLASSDATA,MATCH("MartialLimitedTrained",CLASSFEATUREHEADERS,0),MATCH($A245,CLASSNAMEHEADERS,0))),(INDEX(ALLCLASSDATA,MATCH("MartialLimitedTrained",CLASSFEATUREHEADERS,0),MATCH(($A245 &amp; "Points"),CLASSNAMEHEADERS,0))),"")))))))))}</f>
        <v>MARTIALLIMITEDINITIALPTS</v>
      </c>
      <c r="G244" s="223" t="str">
        <f t="array" ref="G244:G245">{"MARTIALLIMITEDL01";((IF("01"=(INDEX(ALLCLASSDATA,MATCH("MartialLimitedLegendary",CLASSFEATUREHEADERS,0),MATCH($A245,CLASSNAMEHEADERS,0))),(INDEX(ALLCLASSDATA,MATCH("MartialLimitedLegendary",CLASSFEATUREHEADERS,0),MATCH(($A245 &amp; "Points"),CLASSNAMEHEADERS,0))),(IF("01"=(INDEX(ALLCLASSDATA,MATCH("MartialLimitedMaster",CLASSFEATUREHEADERS,0),MATCH($A245,CLASSNAMEHEADERS,0))),(INDEX(ALLCLASSDATA,MATCH("MartialLimitedMaster",CLASSFEATUREHEADERS,0),MATCH(($A245 &amp; "Points"),CLASSNAMEHEADERS,0))),(IF("01"=(INDEX(ALLCLASSDATA,MATCH("MartialLimitedExpert",CLASSFEATUREHEADERS,0),MATCH($A245,CLASSNAMEHEADERS,0))),(INDEX(ALLCLASSDATA,MATCH("MartialLimitedExpert",CLASSFEATUREHEADERS,0),MATCH(($A245 &amp; "Points"),CLASSNAMEHEADERS,0))),(IF("01"=(INDEX(ALLCLASSDATA,MATCH("MartialLimitedTrained",CLASSFEATUREHEADERS,0),MATCH($A245,CLASSNAMEHEADERS,0))),(INDEX(ALLCLASSDATA,MATCH("MartialLimitedTrained",CLASSFEATUREHEADERS,0),MATCH(($A245 &amp; "Points"),CLASSNAMEHEADERS,0))),"")))))))))}</f>
        <v>MARTIALLIMITEDL01</v>
      </c>
      <c r="H244" s="223"/>
      <c r="I244" s="223" t="str">
        <f t="array" ref="I244:I245">{"MARTIALLIMITEDL03";((IF("03"=(INDEX(ALLCLASSDATA,MATCH("MartialLimitedLegendary",CLASSFEATUREHEADERS,0),MATCH($A245,CLASSNAMEHEADERS,0))),(INDEX(ALLCLASSDATA,MATCH("MartialLimitedLegendary",CLASSFEATUREHEADERS,0),MATCH(($A245 &amp; "Points"),CLASSNAMEHEADERS,0))),(IF("03"=(INDEX(ALLCLASSDATA,MATCH("MartialLimitedMaster",CLASSFEATUREHEADERS,0),MATCH($A245,CLASSNAMEHEADERS,0))),(INDEX(ALLCLASSDATA,MATCH("MartialLimitedMaster",CLASSFEATUREHEADERS,0),MATCH(($A245 &amp; "Points"),CLASSNAMEHEADERS,0))),(IF("03"=(INDEX(ALLCLASSDATA,MATCH("MartialLimitedExpert",CLASSFEATUREHEADERS,0),MATCH($A245,CLASSNAMEHEADERS,0))),(INDEX(ALLCLASSDATA,MATCH("MartialLimitedExpert",CLASSFEATUREHEADERS,0),MATCH(($A245 &amp; "Points"),CLASSNAMEHEADERS,0))),(IF("03"=(INDEX(ALLCLASSDATA,MATCH("MartialLimitedTrained",CLASSFEATUREHEADERS,0),MATCH($A245,CLASSNAMEHEADERS,0))),(INDEX(ALLCLASSDATA,MATCH("MartialLimitedTrained",CLASSFEATUREHEADERS,0),MATCH(($A245 &amp; "Points"),CLASSNAMEHEADERS,0))),"")))))))))}</f>
        <v>MARTIALLIMITEDL03</v>
      </c>
      <c r="J244" s="223"/>
      <c r="K244" s="223" t="str">
        <f t="array" ref="K244:K245">{"MARTIALLIMITEDL05";((IF("05"=(INDEX(ALLCLASSDATA,MATCH("MartialLimitedLegendary",CLASSFEATUREHEADERS,0),MATCH($A245,CLASSNAMEHEADERS,0))),(INDEX(ALLCLASSDATA,MATCH("MartialLimitedLegendary",CLASSFEATUREHEADERS,0),MATCH(($A245 &amp; "Points"),CLASSNAMEHEADERS,0))),(IF("05"=(INDEX(ALLCLASSDATA,MATCH("MartialLimitedMaster",CLASSFEATUREHEADERS,0),MATCH($A245,CLASSNAMEHEADERS,0))),(INDEX(ALLCLASSDATA,MATCH("MartialLimitedMaster",CLASSFEATUREHEADERS,0),MATCH(($A245 &amp; "Points"),CLASSNAMEHEADERS,0))),(IF("05"=(INDEX(ALLCLASSDATA,MATCH("MartialLimitedExpert",CLASSFEATUREHEADERS,0),MATCH($A245,CLASSNAMEHEADERS,0))),(INDEX(ALLCLASSDATA,MATCH("MartialLimitedExpert",CLASSFEATUREHEADERS,0),MATCH(($A245 &amp; "Points"),CLASSNAMEHEADERS,0))),(IF("05"=(INDEX(ALLCLASSDATA,MATCH("MartialLimitedTrained",CLASSFEATUREHEADERS,0),MATCH($A245,CLASSNAMEHEADERS,0))),(INDEX(ALLCLASSDATA,MATCH("MartialLimitedTrained",CLASSFEATUREHEADERS,0),MATCH(($A245 &amp; "Points"),CLASSNAMEHEADERS,0))),"")))))))))}</f>
        <v>MARTIALLIMITEDL05</v>
      </c>
      <c r="L244" s="223"/>
      <c r="M244" s="223" t="str">
        <f t="array" ref="M244:M245">{"MARTIALLIMITEDL07";((IF("07"=(INDEX(ALLCLASSDATA,MATCH("MartialLimitedLegendary",CLASSFEATUREHEADERS,0),MATCH($A245,CLASSNAMEHEADERS,0))),(INDEX(ALLCLASSDATA,MATCH("MartialLimitedLegendary",CLASSFEATUREHEADERS,0),MATCH(($A245 &amp; "Points"),CLASSNAMEHEADERS,0))),(IF("07"=(INDEX(ALLCLASSDATA,MATCH("MartialLimitedMaster",CLASSFEATUREHEADERS,0),MATCH($A245,CLASSNAMEHEADERS,0))),(INDEX(ALLCLASSDATA,MATCH("MartialLimitedMaster",CLASSFEATUREHEADERS,0),MATCH(($A245 &amp; "Points"),CLASSNAMEHEADERS,0))),(IF("07"=(INDEX(ALLCLASSDATA,MATCH("MartialLimitedExpert",CLASSFEATUREHEADERS,0),MATCH($A245,CLASSNAMEHEADERS,0))),(INDEX(ALLCLASSDATA,MATCH("MartialLimitedExpert",CLASSFEATUREHEADERS,0),MATCH(($A245 &amp; "Points"),CLASSNAMEHEADERS,0))),(IF("07"=(INDEX(ALLCLASSDATA,MATCH("MartialLimitedTrained",CLASSFEATUREHEADERS,0),MATCH($A245,CLASSNAMEHEADERS,0))),(INDEX(ALLCLASSDATA,MATCH("MartialLimitedTrained",CLASSFEATUREHEADERS,0),MATCH(($A245 &amp; "Points"),CLASSNAMEHEADERS,0))),"")))))))))}</f>
        <v>MARTIALLIMITEDL07</v>
      </c>
      <c r="N244" s="223"/>
      <c r="O244" s="223" t="str">
        <f t="array" ref="O244:O245">{"MARTIALLIMITEDL09";((IF("09"=(INDEX(ALLCLASSDATA,MATCH("MartialLimitedLegendary",CLASSFEATUREHEADERS,0),MATCH($A245,CLASSNAMEHEADERS,0))),(INDEX(ALLCLASSDATA,MATCH("MartialLimitedLegendary",CLASSFEATUREHEADERS,0),MATCH(($A245 &amp; "Points"),CLASSNAMEHEADERS,0))),(IF("09"=(INDEX(ALLCLASSDATA,MATCH("MartialLimitedMaster",CLASSFEATUREHEADERS,0),MATCH($A245,CLASSNAMEHEADERS,0))),(INDEX(ALLCLASSDATA,MATCH("MartialLimitedMaster",CLASSFEATUREHEADERS,0),MATCH(($A245 &amp; "Points"),CLASSNAMEHEADERS,0))),(IF("09"=(INDEX(ALLCLASSDATA,MATCH("MartialLimitedExpert",CLASSFEATUREHEADERS,0),MATCH($A245,CLASSNAMEHEADERS,0))),(INDEX(ALLCLASSDATA,MATCH("MartialLimitedExpert",CLASSFEATUREHEADERS,0),MATCH(($A245 &amp; "Points"),CLASSNAMEHEADERS,0))),(IF("09"=(INDEX(ALLCLASSDATA,MATCH("MartialLimitedTrained",CLASSFEATUREHEADERS,0),MATCH($A245,CLASSNAMEHEADERS,0))),(INDEX(ALLCLASSDATA,MATCH("MartialLimitedTrained",CLASSFEATUREHEADERS,0),MATCH(($A245 &amp; "Points"),CLASSNAMEHEADERS,0))),"")))))))))}</f>
        <v>MARTIALLIMITEDL09</v>
      </c>
      <c r="P244" s="223"/>
      <c r="Q244" s="223" t="str">
        <f t="array" ref="Q244:Q245">{"MARTIALLIMITEDL11";((IF("11"=(INDEX(ALLCLASSDATA,MATCH("MartialLimitedLegendary",CLASSFEATUREHEADERS,0),MATCH($A245,CLASSNAMEHEADERS,0))),(INDEX(ALLCLASSDATA,MATCH("MartialLimitedLegendary",CLASSFEATUREHEADERS,0),MATCH(($A245 &amp; "Points"),CLASSNAMEHEADERS,0))),(IF("11"=(INDEX(ALLCLASSDATA,MATCH("MartialLimitedMaster",CLASSFEATUREHEADERS,0),MATCH($A245,CLASSNAMEHEADERS,0))),(INDEX(ALLCLASSDATA,MATCH("MartialLimitedMaster",CLASSFEATUREHEADERS,0),MATCH(($A245 &amp; "Points"),CLASSNAMEHEADERS,0))),(IF("11"=(INDEX(ALLCLASSDATA,MATCH("MartialLimitedExpert",CLASSFEATUREHEADERS,0),MATCH($A245,CLASSNAMEHEADERS,0))),(INDEX(ALLCLASSDATA,MATCH("MartialLimitedExpert",CLASSFEATUREHEADERS,0),MATCH(($A245 &amp; "Points"),CLASSNAMEHEADERS,0))),(IF("11"=(INDEX(ALLCLASSDATA,MATCH("MartialLimitedTrained",CLASSFEATUREHEADERS,0),MATCH($A245,CLASSNAMEHEADERS,0))),(INDEX(ALLCLASSDATA,MATCH("MartialLimitedTrained",CLASSFEATUREHEADERS,0),MATCH(($A245 &amp; "Points"),CLASSNAMEHEADERS,0))),"")))))))))}</f>
        <v>MARTIALLIMITEDL11</v>
      </c>
      <c r="R244" s="223"/>
      <c r="S244" s="223" t="str">
        <f t="array" ref="S244:S245">{"MARTIALLIMITEDL13";((IF("13"=(INDEX(ALLCLASSDATA,MATCH("MartialLimitedLegendary",CLASSFEATUREHEADERS,0),MATCH($A245,CLASSNAMEHEADERS,0))),(INDEX(ALLCLASSDATA,MATCH("MartialLimitedLegendary",CLASSFEATUREHEADERS,0),MATCH(($A245 &amp; "Points"),CLASSNAMEHEADERS,0))),(IF("13"=(INDEX(ALLCLASSDATA,MATCH("MartialLimitedMaster",CLASSFEATUREHEADERS,0),MATCH($A245,CLASSNAMEHEADERS,0))),(INDEX(ALLCLASSDATA,MATCH("MartialLimitedMaster",CLASSFEATUREHEADERS,0),MATCH(($A245 &amp; "Points"),CLASSNAMEHEADERS,0))),(IF("13"=(INDEX(ALLCLASSDATA,MATCH("MartialLimitedExpert",CLASSFEATUREHEADERS,0),MATCH($A245,CLASSNAMEHEADERS,0))),(INDEX(ALLCLASSDATA,MATCH("MartialLimitedExpert",CLASSFEATUREHEADERS,0),MATCH(($A245 &amp; "Points"),CLASSNAMEHEADERS,0))),(IF("13"=(INDEX(ALLCLASSDATA,MATCH("MartialLimitedTrained",CLASSFEATUREHEADERS,0),MATCH($A245,CLASSNAMEHEADERS,0))),(INDEX(ALLCLASSDATA,MATCH("MartialLimitedTrained",CLASSFEATUREHEADERS,0),MATCH(($A245 &amp; "Points"),CLASSNAMEHEADERS,0))),"")))))))))}</f>
        <v>MARTIALLIMITEDL13</v>
      </c>
      <c r="T244" s="223"/>
      <c r="U244" s="223" t="str">
        <f t="array" ref="U244:U245">{"MARTIALLIMITEDL15";((IF("15"=(INDEX(ALLCLASSDATA,MATCH("MartialLimitedLegendary",CLASSFEATUREHEADERS,0),MATCH($A245,CLASSNAMEHEADERS,0))),(INDEX(ALLCLASSDATA,MATCH("MartialLimitedLegendary",CLASSFEATUREHEADERS,0),MATCH(($A245 &amp; "Points"),CLASSNAMEHEADERS,0))),(IF("15"=(INDEX(ALLCLASSDATA,MATCH("MartialLimitedMaster",CLASSFEATUREHEADERS,0),MATCH($A245,CLASSNAMEHEADERS,0))),(INDEX(ALLCLASSDATA,MATCH("MartialLimitedMaster",CLASSFEATUREHEADERS,0),MATCH(($A245 &amp; "Points"),CLASSNAMEHEADERS,0))),(IF("15"=(INDEX(ALLCLASSDATA,MATCH("MartialLimitedExpert",CLASSFEATUREHEADERS,0),MATCH($A245,CLASSNAMEHEADERS,0))),(INDEX(ALLCLASSDATA,MATCH("MartialLimitedExpert",CLASSFEATUREHEADERS,0),MATCH(($A245 &amp; "Points"),CLASSNAMEHEADERS,0))),(IF("15"=(INDEX(ALLCLASSDATA,MATCH("MartialLimitedTrained",CLASSFEATUREHEADERS,0),MATCH($A245,CLASSNAMEHEADERS,0))),(INDEX(ALLCLASSDATA,MATCH("MartialLimitedTrained",CLASSFEATUREHEADERS,0),MATCH(($A245 &amp; "Points"),CLASSNAMEHEADERS,0))),"")))))))))}</f>
        <v>MARTIALLIMITEDL15</v>
      </c>
      <c r="V244" s="223"/>
      <c r="W244" s="223" t="str">
        <f t="array" ref="W244:W245">{"MARTIALLIMITEDL17";((IF("17"=(INDEX(ALLCLASSDATA,MATCH("MartialLimitedLegendary",CLASSFEATUREHEADERS,0),MATCH($A245,CLASSNAMEHEADERS,0))),(INDEX(ALLCLASSDATA,MATCH("MartialLimitedLegendary",CLASSFEATUREHEADERS,0),MATCH(($A245 &amp; "Points"),CLASSNAMEHEADERS,0))),(IF("17"=(INDEX(ALLCLASSDATA,MATCH("MartialLimitedMaster",CLASSFEATUREHEADERS,0),MATCH($A245,CLASSNAMEHEADERS,0))),(INDEX(ALLCLASSDATA,MATCH("MartialLimitedMaster",CLASSFEATUREHEADERS,0),MATCH(($A245 &amp; "Points"),CLASSNAMEHEADERS,0))),(IF("17"=(INDEX(ALLCLASSDATA,MATCH("MartialLimitedExpert",CLASSFEATUREHEADERS,0),MATCH($A245,CLASSNAMEHEADERS,0))),(INDEX(ALLCLASSDATA,MATCH("MartialLimitedExpert",CLASSFEATUREHEADERS,0),MATCH(($A245 &amp; "Points"),CLASSNAMEHEADERS,0))),(IF("17"=(INDEX(ALLCLASSDATA,MATCH("MartialLimitedTrained",CLASSFEATUREHEADERS,0),MATCH($A245,CLASSNAMEHEADERS,0))),(INDEX(ALLCLASSDATA,MATCH("MartialLimitedTrained",CLASSFEATUREHEADERS,0),MATCH(($A245 &amp; "Points"),CLASSNAMEHEADERS,0))),"")))))))))}</f>
        <v>MARTIALLIMITEDL17</v>
      </c>
      <c r="X244" s="223"/>
      <c r="Y244" s="223" t="str">
        <f t="array" ref="Y244:Y245">{"MARTIALLIMITEDL19";((IF("19"=(INDEX(ALLCLASSDATA,MATCH("MartialLimitedLegendary",CLASSFEATUREHEADERS,0),MATCH($A245,CLASSNAMEHEADERS,0))),(INDEX(ALLCLASSDATA,MATCH("MartialLimitedLegendary",CLASSFEATUREHEADERS,0),MATCH(($A245 &amp; "Points"),CLASSNAMEHEADERS,0))),(IF("19"=(INDEX(ALLCLASSDATA,MATCH("MartialLimitedMaster",CLASSFEATUREHEADERS,0),MATCH($A245,CLASSNAMEHEADERS,0))),(INDEX(ALLCLASSDATA,MATCH("MartialLimitedMaster",CLASSFEATUREHEADERS,0),MATCH(($A245 &amp; "Points"),CLASSNAMEHEADERS,0))),(IF("19"=(INDEX(ALLCLASSDATA,MATCH("MartialLimitedExpert",CLASSFEATUREHEADERS,0),MATCH($A245,CLASSNAMEHEADERS,0))),(INDEX(ALLCLASSDATA,MATCH("MartialLimitedExpert",CLASSFEATUREHEADERS,0),MATCH(($A245 &amp; "Points"),CLASSNAMEHEADERS,0))),(IF("19"=(INDEX(ALLCLASSDATA,MATCH("MartialLimitedTrained",CLASSFEATUREHEADERS,0),MATCH($A245,CLASSNAMEHEADERS,0))),(INDEX(ALLCLASSDATA,MATCH("MartialLimitedTrained",CLASSFEATUREHEADERS,0),MATCH(($A245 &amp; "Points"),CLASSNAMEHEADERS,0))),"")))))))))}</f>
        <v>MARTIALLIMITEDL19</v>
      </c>
      <c r="Z244" s="223"/>
      <c r="AA244" s="76" t="str">
        <f t="array" ref="AA244:AA245">{"MARTIALLIMITED TOTAL";(IF(COUNTBLANK(F245:Z245)=17,"L",(IF(COUNTBLANK(F245:Z245)=18,"M",(IF(COUNTBLANK(F245:Z245)=19,"E",(IF(COUNTBLANK(F245:Z245)=20,"T",""))))))))}</f>
        <v>MARTIALLIMITED TOTAL</v>
      </c>
      <c r="AB244" s="76" t="str">
        <f t="array" ref="AB244:AB245">{"MARTIALLIMITED TOTAL";(sum(F245:Z245))}</f>
        <v>MARTIALLIMITED TOTAL</v>
      </c>
    </row>
    <row r="245">
      <c r="A245" s="48" t="s">
        <v>225</v>
      </c>
      <c r="B245" s="48" t="s">
        <v>418</v>
      </c>
      <c r="C245" s="48" t="s">
        <v>1634</v>
      </c>
      <c r="D245" s="48" t="s">
        <v>600</v>
      </c>
      <c r="E245" s="5" t="s">
        <v>603</v>
      </c>
      <c r="F245" s="47" t="s">
        <v>603</v>
      </c>
      <c r="G245" s="5" t="s">
        <v>603</v>
      </c>
      <c r="H245" s="5"/>
      <c r="I245" s="5" t="s">
        <v>603</v>
      </c>
      <c r="J245" s="5"/>
      <c r="K245" s="5" t="s">
        <v>603</v>
      </c>
      <c r="L245" s="5"/>
      <c r="M245" s="5" t="s">
        <v>603</v>
      </c>
      <c r="N245" s="5"/>
      <c r="O245" s="5" t="s">
        <v>603</v>
      </c>
      <c r="P245" s="5"/>
      <c r="Q245" s="5" t="s">
        <v>603</v>
      </c>
      <c r="R245" s="5"/>
      <c r="S245" s="5" t="s">
        <v>603</v>
      </c>
      <c r="T245" s="5"/>
      <c r="U245" s="5" t="s">
        <v>603</v>
      </c>
      <c r="V245" s="5"/>
      <c r="W245" s="5" t="s">
        <v>603</v>
      </c>
      <c r="X245" s="5"/>
      <c r="Y245" s="5" t="s">
        <v>603</v>
      </c>
      <c r="Z245" s="5"/>
      <c r="AA245" s="5" t="s">
        <v>603</v>
      </c>
      <c r="AB245" s="47">
        <v>0.0</v>
      </c>
    </row>
    <row r="246" hidden="1">
      <c r="A246" s="222" t="str">
        <f t="array" ref="A246:A247">{"FormulaRow31";(INDEX(CLASSLIST,A185,1))}</f>
        <v>FormulaRow31</v>
      </c>
      <c r="B246" s="222" t="str">
        <f t="array" ref="B246:B247">{"CLASSTYPE";((INDEX(ALLCLASSDATA,MATCH("ClassType",CLASSFEATUREHEADERS,0),MATCH($A247,CLASSNAMEHEADERS,0))))}</f>
        <v>CLASSTYPE</v>
      </c>
      <c r="C246" s="222" t="str">
        <f t="array" ref="C246:C247">{"ATTACK";"Attack"}</f>
        <v>ATTACK</v>
      </c>
      <c r="D246" s="222" t="str">
        <f t="array" ref="D246:D247">{"MARTIAL";"Martial"}</f>
        <v>MARTIAL</v>
      </c>
      <c r="E246" s="223" t="str">
        <f t="array" ref="E246:E247">{"MARTIALINITIAL";((IF(G247=10,"T",(IF(G247=50,"E","")))))}</f>
        <v>MARTIALINITIAL</v>
      </c>
      <c r="F246" s="223" t="str">
        <f t="array" ref="F246:F247">{"MARTIALINITIALPTS";((IF("00"=(INDEX(ALLCLASSDATA,MATCH("MartialLegendary",CLASSFEATUREHEADERS,0),MATCH($A247,CLASSNAMEHEADERS,0))),(INDEX(ALLCLASSDATA,MATCH("MartialLegendary",CLASSFEATUREHEADERS,0),MATCH(($A247 &amp; "Points"),CLASSNAMEHEADERS,0))),(IF("00"=(INDEX(ALLCLASSDATA,MATCH("MartialMaster",CLASSFEATUREHEADERS,0),MATCH($A247,CLASSNAMEHEADERS,0))),(INDEX(ALLCLASSDATA,MATCH("MartialMaster",CLASSFEATUREHEADERS,0),MATCH(($A247 &amp; "Points"),CLASSNAMEHEADERS,0))),(IF("00"=(INDEX(ALLCLASSDATA,MATCH("MartialExpert",CLASSFEATUREHEADERS,0),MATCH($A247,CLASSNAMEHEADERS,0))),(INDEX(ALLCLASSDATA,MATCH("MartialExpert",CLASSFEATUREHEADERS,0),MATCH(($A247 &amp; "Points"),CLASSNAMEHEADERS,0))),(IF("00"=(INDEX(ALLCLASSDATA,MATCH("MartialTrained",CLASSFEATUREHEADERS,0),MATCH($A247,CLASSNAMEHEADERS,0))),(INDEX(ALLCLASSDATA,MATCH("MartialTrained",CLASSFEATUREHEADERS,0),MATCH(($A247 &amp; "Points"),CLASSNAMEHEADERS,0))),"")))))))))}</f>
        <v>MARTIALINITIALPTS</v>
      </c>
      <c r="G246" s="223" t="str">
        <f t="array" ref="G246:G247">{"MARTIALL01";((IF("01"=(INDEX(ALLCLASSDATA,MATCH("MartialLegendary",CLASSFEATUREHEADERS,0),MATCH($A247,CLASSNAMEHEADERS,0))),(INDEX(ALLCLASSDATA,MATCH("MartialLegendary",CLASSFEATUREHEADERS,0),MATCH(($A247 &amp; "Points"),CLASSNAMEHEADERS,0))),(IF("01"=(INDEX(ALLCLASSDATA,MATCH("MartialMaster",CLASSFEATUREHEADERS,0),MATCH($A247,CLASSNAMEHEADERS,0))),(INDEX(ALLCLASSDATA,MATCH("MartialMaster",CLASSFEATUREHEADERS,0),MATCH(($A247 &amp; "Points"),CLASSNAMEHEADERS,0))),(IF("01"=(INDEX(ALLCLASSDATA,MATCH("MartialExpert",CLASSFEATUREHEADERS,0),MATCH($A247,CLASSNAMEHEADERS,0))),(INDEX(ALLCLASSDATA,MATCH("MartialExpert",CLASSFEATUREHEADERS,0),MATCH(($A247 &amp; "Points"),CLASSNAMEHEADERS,0))),(IF("01"=(INDEX(ALLCLASSDATA,MATCH("MartialTrained",CLASSFEATUREHEADERS,0),MATCH($A247,CLASSNAMEHEADERS,0))),(INDEX(ALLCLASSDATA,MATCH("MartialTrained",CLASSFEATUREHEADERS,0),MATCH(($A247 &amp; "Points"),CLASSNAMEHEADERS,0))),"")))))))))}</f>
        <v>MARTIALL01</v>
      </c>
      <c r="H246" s="223"/>
      <c r="I246" s="223" t="str">
        <f t="array" ref="I246:I247">{"MARTIALL03";((IF("03"=(INDEX(ALLCLASSDATA,MATCH("MartialLegendary",CLASSFEATUREHEADERS,0),MATCH($A247,CLASSNAMEHEADERS,0))),(INDEX(ALLCLASSDATA,MATCH("MartialLegendary",CLASSFEATUREHEADERS,0),MATCH(($A247 &amp; "Points"),CLASSNAMEHEADERS,0))),(IF("03"=(INDEX(ALLCLASSDATA,MATCH("MartialMaster",CLASSFEATUREHEADERS,0),MATCH($A247,CLASSNAMEHEADERS,0))),(INDEX(ALLCLASSDATA,MATCH("MartialMaster",CLASSFEATUREHEADERS,0),MATCH(($A247 &amp; "Points"),CLASSNAMEHEADERS,0))),(IF("03"=(INDEX(ALLCLASSDATA,MATCH("MartialExpert",CLASSFEATUREHEADERS,0),MATCH($A247,CLASSNAMEHEADERS,0))),(INDEX(ALLCLASSDATA,MATCH("MartialExpert",CLASSFEATUREHEADERS,0),MATCH(($A247 &amp; "Points"),CLASSNAMEHEADERS,0))),(IF("03"=(INDEX(ALLCLASSDATA,MATCH("MartialTrained",CLASSFEATUREHEADERS,0),MATCH($A247,CLASSNAMEHEADERS,0))),(INDEX(ALLCLASSDATA,MATCH("MartialTrained",CLASSFEATUREHEADERS,0),MATCH(($A247 &amp; "Points"),CLASSNAMEHEADERS,0))),"")))))))))}</f>
        <v>MARTIALL03</v>
      </c>
      <c r="J246" s="223"/>
      <c r="K246" s="223" t="str">
        <f t="array" ref="K246:K247">{"MARTIALL05";((IF("05"=(INDEX(ALLCLASSDATA,MATCH("MartialLegendary",CLASSFEATUREHEADERS,0),MATCH($A247,CLASSNAMEHEADERS,0))),(INDEX(ALLCLASSDATA,MATCH("MartialLegendary",CLASSFEATUREHEADERS,0),MATCH(($A247 &amp; "Points"),CLASSNAMEHEADERS,0))),(IF("05"=(INDEX(ALLCLASSDATA,MATCH("MartialMaster",CLASSFEATUREHEADERS,0),MATCH($A247,CLASSNAMEHEADERS,0))),(INDEX(ALLCLASSDATA,MATCH("MartialMaster",CLASSFEATUREHEADERS,0),MATCH(($A247 &amp; "Points"),CLASSNAMEHEADERS,0))),(IF("05"=(INDEX(ALLCLASSDATA,MATCH("MartialExpert",CLASSFEATUREHEADERS,0),MATCH($A247,CLASSNAMEHEADERS,0))),(INDEX(ALLCLASSDATA,MATCH("MartialExpert",CLASSFEATUREHEADERS,0),MATCH(($A247 &amp; "Points"),CLASSNAMEHEADERS,0))),(IF("05"=(INDEX(ALLCLASSDATA,MATCH("MartialTrained",CLASSFEATUREHEADERS,0),MATCH($A247,CLASSNAMEHEADERS,0))),(INDEX(ALLCLASSDATA,MATCH("MartialTrained",CLASSFEATUREHEADERS,0),MATCH(($A247 &amp; "Points"),CLASSNAMEHEADERS,0))),"")))))))))}</f>
        <v>MARTIALL05</v>
      </c>
      <c r="L246" s="223"/>
      <c r="M246" s="223" t="str">
        <f t="array" ref="M246:M247">{"MARTIALL07";((IF("07"=(INDEX(ALLCLASSDATA,MATCH("MartialLegendary",CLASSFEATUREHEADERS,0),MATCH($A247,CLASSNAMEHEADERS,0))),(INDEX(ALLCLASSDATA,MATCH("MartialLegendary",CLASSFEATUREHEADERS,0),MATCH(($A247 &amp; "Points"),CLASSNAMEHEADERS,0))),(IF("07"=(INDEX(ALLCLASSDATA,MATCH("MartialMaster",CLASSFEATUREHEADERS,0),MATCH($A247,CLASSNAMEHEADERS,0))),(INDEX(ALLCLASSDATA,MATCH("MartialMaster",CLASSFEATUREHEADERS,0),MATCH(($A247 &amp; "Points"),CLASSNAMEHEADERS,0))),(IF("07"=(INDEX(ALLCLASSDATA,MATCH("MartialExpert",CLASSFEATUREHEADERS,0),MATCH($A247,CLASSNAMEHEADERS,0))),(INDEX(ALLCLASSDATA,MATCH("MartialExpert",CLASSFEATUREHEADERS,0),MATCH(($A247 &amp; "Points"),CLASSNAMEHEADERS,0))),(IF("07"=(INDEX(ALLCLASSDATA,MATCH("MartialTrained",CLASSFEATUREHEADERS,0),MATCH($A247,CLASSNAMEHEADERS,0))),(INDEX(ALLCLASSDATA,MATCH("MartialTrained",CLASSFEATUREHEADERS,0),MATCH(($A247 &amp; "Points"),CLASSNAMEHEADERS,0))),"")))))))))}</f>
        <v>MARTIALL07</v>
      </c>
      <c r="N246" s="223"/>
      <c r="O246" s="223" t="str">
        <f t="array" ref="O246:O247">{"MARTIALL09";((IF("09"=(INDEX(ALLCLASSDATA,MATCH("MartialLegendary",CLASSFEATUREHEADERS,0),MATCH($A247,CLASSNAMEHEADERS,0))),(INDEX(ALLCLASSDATA,MATCH("MartialLegendary",CLASSFEATUREHEADERS,0),MATCH(($A247 &amp; "Points"),CLASSNAMEHEADERS,0))),(IF("09"=(INDEX(ALLCLASSDATA,MATCH("MartialMaster",CLASSFEATUREHEADERS,0),MATCH($A247,CLASSNAMEHEADERS,0))),(INDEX(ALLCLASSDATA,MATCH("MartialMaster",CLASSFEATUREHEADERS,0),MATCH(($A247 &amp; "Points"),CLASSNAMEHEADERS,0))),(IF("09"=(INDEX(ALLCLASSDATA,MATCH("MartialExpert",CLASSFEATUREHEADERS,0),MATCH($A247,CLASSNAMEHEADERS,0))),(INDEX(ALLCLASSDATA,MATCH("MartialExpert",CLASSFEATUREHEADERS,0),MATCH(($A247 &amp; "Points"),CLASSNAMEHEADERS,0))),(IF("09"=(INDEX(ALLCLASSDATA,MATCH("MartialTrained",CLASSFEATUREHEADERS,0),MATCH($A247,CLASSNAMEHEADERS,0))),(INDEX(ALLCLASSDATA,MATCH("MartialTrained",CLASSFEATUREHEADERS,0),MATCH(($A247 &amp; "Points"),CLASSNAMEHEADERS,0))),"")))))))))}</f>
        <v>MARTIALL09</v>
      </c>
      <c r="P246" s="223"/>
      <c r="Q246" s="223" t="str">
        <f t="array" ref="Q246:Q247">{"MARTIALL11";((IF("11"=(INDEX(ALLCLASSDATA,MATCH("MartialLegendary",CLASSFEATUREHEADERS,0),MATCH($A247,CLASSNAMEHEADERS,0))),(INDEX(ALLCLASSDATA,MATCH("MartialLegendary",CLASSFEATUREHEADERS,0),MATCH(($A247 &amp; "Points"),CLASSNAMEHEADERS,0))),(IF("11"=(INDEX(ALLCLASSDATA,MATCH("MartialMaster",CLASSFEATUREHEADERS,0),MATCH($A247,CLASSNAMEHEADERS,0))),(INDEX(ALLCLASSDATA,MATCH("MartialMaster",CLASSFEATUREHEADERS,0),MATCH(($A247 &amp; "Points"),CLASSNAMEHEADERS,0))),(IF("11"=(INDEX(ALLCLASSDATA,MATCH("MartialExpert",CLASSFEATUREHEADERS,0),MATCH($A247,CLASSNAMEHEADERS,0))),(INDEX(ALLCLASSDATA,MATCH("MartialExpert",CLASSFEATUREHEADERS,0),MATCH(($A247 &amp; "Points"),CLASSNAMEHEADERS,0))),(IF("11"=(INDEX(ALLCLASSDATA,MATCH("MartialTrained",CLASSFEATUREHEADERS,0),MATCH($A247,CLASSNAMEHEADERS,0))),(INDEX(ALLCLASSDATA,MATCH("MartialTrained",CLASSFEATUREHEADERS,0),MATCH(($A247 &amp; "Points"),CLASSNAMEHEADERS,0))),"")))))))))}</f>
        <v>MARTIALL11</v>
      </c>
      <c r="R246" s="223"/>
      <c r="S246" s="223" t="str">
        <f t="array" ref="S246:S247">{"MARTIALL13";((IF("13"=(INDEX(ALLCLASSDATA,MATCH("MartialLegendary",CLASSFEATUREHEADERS,0),MATCH($A247,CLASSNAMEHEADERS,0))),(INDEX(ALLCLASSDATA,MATCH("MartialLegendary",CLASSFEATUREHEADERS,0),MATCH(($A247 &amp; "Points"),CLASSNAMEHEADERS,0))),(IF("13"=(INDEX(ALLCLASSDATA,MATCH("MartialMaster",CLASSFEATUREHEADERS,0),MATCH($A247,CLASSNAMEHEADERS,0))),(INDEX(ALLCLASSDATA,MATCH("MartialMaster",CLASSFEATUREHEADERS,0),MATCH(($A247 &amp; "Points"),CLASSNAMEHEADERS,0))),(IF("13"=(INDEX(ALLCLASSDATA,MATCH("MartialExpert",CLASSFEATUREHEADERS,0),MATCH($A247,CLASSNAMEHEADERS,0))),(INDEX(ALLCLASSDATA,MATCH("MartialExpert",CLASSFEATUREHEADERS,0),MATCH(($A247 &amp; "Points"),CLASSNAMEHEADERS,0))),(IF("13"=(INDEX(ALLCLASSDATA,MATCH("MartialTrained",CLASSFEATUREHEADERS,0),MATCH($A247,CLASSNAMEHEADERS,0))),(INDEX(ALLCLASSDATA,MATCH("MartialTrained",CLASSFEATUREHEADERS,0),MATCH(($A247 &amp; "Points"),CLASSNAMEHEADERS,0))),"")))))))))}</f>
        <v>MARTIALL13</v>
      </c>
      <c r="T246" s="223"/>
      <c r="U246" s="223" t="str">
        <f t="array" ref="U246:U247">{"MARTIALL15";((IF("15"=(INDEX(ALLCLASSDATA,MATCH("MartialLegendary",CLASSFEATUREHEADERS,0),MATCH($A247,CLASSNAMEHEADERS,0))),(INDEX(ALLCLASSDATA,MATCH("MartialLegendary",CLASSFEATUREHEADERS,0),MATCH(($A247 &amp; "Points"),CLASSNAMEHEADERS,0))),(IF("15"=(INDEX(ALLCLASSDATA,MATCH("MartialMaster",CLASSFEATUREHEADERS,0),MATCH($A247,CLASSNAMEHEADERS,0))),(INDEX(ALLCLASSDATA,MATCH("MartialMaster",CLASSFEATUREHEADERS,0),MATCH(($A247 &amp; "Points"),CLASSNAMEHEADERS,0))),(IF("15"=(INDEX(ALLCLASSDATA,MATCH("MartialExpert",CLASSFEATUREHEADERS,0),MATCH($A247,CLASSNAMEHEADERS,0))),(INDEX(ALLCLASSDATA,MATCH("MartialExpert",CLASSFEATUREHEADERS,0),MATCH(($A247 &amp; "Points"),CLASSNAMEHEADERS,0))),(IF("15"=(INDEX(ALLCLASSDATA,MATCH("MartialTrained",CLASSFEATUREHEADERS,0),MATCH($A247,CLASSNAMEHEADERS,0))),(INDEX(ALLCLASSDATA,MATCH("MartialTrained",CLASSFEATUREHEADERS,0),MATCH(($A247 &amp; "Points"),CLASSNAMEHEADERS,0))),"")))))))))}</f>
        <v>MARTIALL15</v>
      </c>
      <c r="V246" s="223"/>
      <c r="W246" s="223" t="str">
        <f t="array" ref="W246:W247">{"MARTIALL17";((IF("17"=(INDEX(ALLCLASSDATA,MATCH("MartialLegendary",CLASSFEATUREHEADERS,0),MATCH($A247,CLASSNAMEHEADERS,0))),(INDEX(ALLCLASSDATA,MATCH("MartialLegendary",CLASSFEATUREHEADERS,0),MATCH(($A247 &amp; "Points"),CLASSNAMEHEADERS,0))),(IF("17"=(INDEX(ALLCLASSDATA,MATCH("MartialMaster",CLASSFEATUREHEADERS,0),MATCH($A247,CLASSNAMEHEADERS,0))),(INDEX(ALLCLASSDATA,MATCH("MartialMaster",CLASSFEATUREHEADERS,0),MATCH(($A247 &amp; "Points"),CLASSNAMEHEADERS,0))),(IF("17"=(INDEX(ALLCLASSDATA,MATCH("MartialExpert",CLASSFEATUREHEADERS,0),MATCH($A247,CLASSNAMEHEADERS,0))),(INDEX(ALLCLASSDATA,MATCH("MartialExpert",CLASSFEATUREHEADERS,0),MATCH(($A247 &amp; "Points"),CLASSNAMEHEADERS,0))),(IF("17"=(INDEX(ALLCLASSDATA,MATCH("MartialTrained",CLASSFEATUREHEADERS,0),MATCH($A247,CLASSNAMEHEADERS,0))),(INDEX(ALLCLASSDATA,MATCH("MartialTrained",CLASSFEATUREHEADERS,0),MATCH(($A247 &amp; "Points"),CLASSNAMEHEADERS,0))),"")))))))))}</f>
        <v>MARTIALL17</v>
      </c>
      <c r="X246" s="223"/>
      <c r="Y246" s="223" t="str">
        <f t="array" ref="Y246:Y247">{"MARTIALL19";((IF("19"=(INDEX(ALLCLASSDATA,MATCH("MartialLegendary",CLASSFEATUREHEADERS,0),MATCH($A247,CLASSNAMEHEADERS,0))),(INDEX(ALLCLASSDATA,MATCH("MartialLegendary",CLASSFEATUREHEADERS,0),MATCH(($A247 &amp; "Points"),CLASSNAMEHEADERS,0))),(IF("19"=(INDEX(ALLCLASSDATA,MATCH("MartialMaster",CLASSFEATUREHEADERS,0),MATCH($A247,CLASSNAMEHEADERS,0))),(INDEX(ALLCLASSDATA,MATCH("MartialMaster",CLASSFEATUREHEADERS,0),MATCH(($A247 &amp; "Points"),CLASSNAMEHEADERS,0))),(IF("19"=(INDEX(ALLCLASSDATA,MATCH("MartialExpert",CLASSFEATUREHEADERS,0),MATCH($A247,CLASSNAMEHEADERS,0))),(INDEX(ALLCLASSDATA,MATCH("MartialExpert",CLASSFEATUREHEADERS,0),MATCH(($A247 &amp; "Points"),CLASSNAMEHEADERS,0))),(IF("19"=(INDEX(ALLCLASSDATA,MATCH("MartialTrained",CLASSFEATUREHEADERS,0),MATCH($A247,CLASSNAMEHEADERS,0))),(INDEX(ALLCLASSDATA,MATCH("MartialTrained",CLASSFEATUREHEADERS,0),MATCH(($A247 &amp; "Points"),CLASSNAMEHEADERS,0))),"")))))))))}</f>
        <v>MARTIALL19</v>
      </c>
      <c r="Z246" s="223"/>
      <c r="AA246" s="76" t="str">
        <f t="array" ref="AA246:AA247">{"MARTIAL TOTAL";(IF(COUNTBLANK(F247:Z247)=17,"L",(IF(COUNTBLANK(F247:Z247)=18,"M",(IF(COUNTBLANK(F247:Z247)=19,"E",(IF(COUNTBLANK(F247:Z247)=20,"T",""))))))))}</f>
        <v>MARTIAL TOTAL</v>
      </c>
      <c r="AB246" s="76" t="str">
        <f t="array" ref="AB246:AB247">{"MARTIAL TOTAL";(sum(F247:Z247))}</f>
        <v>MARTIAL TOTAL</v>
      </c>
    </row>
    <row r="247">
      <c r="A247" s="48" t="s">
        <v>225</v>
      </c>
      <c r="B247" s="48" t="s">
        <v>418</v>
      </c>
      <c r="C247" s="48" t="s">
        <v>1634</v>
      </c>
      <c r="D247" s="48" t="s">
        <v>6</v>
      </c>
      <c r="E247" s="5" t="s">
        <v>603</v>
      </c>
      <c r="F247" s="47" t="s">
        <v>603</v>
      </c>
      <c r="G247" s="5" t="s">
        <v>603</v>
      </c>
      <c r="H247" s="5"/>
      <c r="I247" s="5" t="s">
        <v>603</v>
      </c>
      <c r="J247" s="5"/>
      <c r="K247" s="5" t="s">
        <v>603</v>
      </c>
      <c r="L247" s="5"/>
      <c r="M247" s="5" t="s">
        <v>603</v>
      </c>
      <c r="N247" s="5"/>
      <c r="O247" s="5" t="s">
        <v>603</v>
      </c>
      <c r="P247" s="48"/>
      <c r="Q247" s="5" t="s">
        <v>603</v>
      </c>
      <c r="R247" s="5"/>
      <c r="S247" s="5" t="s">
        <v>603</v>
      </c>
      <c r="T247" s="5"/>
      <c r="U247" s="5" t="s">
        <v>603</v>
      </c>
      <c r="V247" s="5"/>
      <c r="W247" s="5" t="s">
        <v>603</v>
      </c>
      <c r="X247" s="5"/>
      <c r="Y247" s="5" t="s">
        <v>603</v>
      </c>
      <c r="Z247" s="5"/>
      <c r="AA247" s="5" t="s">
        <v>603</v>
      </c>
      <c r="AB247" s="47">
        <v>0.0</v>
      </c>
    </row>
    <row r="248" hidden="1">
      <c r="A248" s="222" t="str">
        <f t="array" ref="A248:A249">{"FormulaRow32";(INDEX(CLASSLIST,A185,1))}</f>
        <v>FormulaRow32</v>
      </c>
      <c r="B248" s="222" t="str">
        <f t="array" ref="B248:B249">{"CLASSTYPE";((INDEX(ALLCLASSDATA,MATCH("ClassType",CLASSFEATUREHEADERS,0),MATCH($A249,CLASSNAMEHEADERS,0))))}</f>
        <v>CLASSTYPE</v>
      </c>
      <c r="C248" s="222" t="str">
        <f t="array" ref="C248:C249">{"ATTACK";"Attack"}</f>
        <v>ATTACK</v>
      </c>
      <c r="D248" s="222" t="str">
        <f t="array" ref="D248:D249">{"ADVANCEDGROUP";"AdvancedGroup"}</f>
        <v>ADVANCEDGROUP</v>
      </c>
      <c r="E248" s="223" t="str">
        <f t="array" ref="E248:E249">{"ADVANCEDGROUPINITIAL";((IF(G249=10,"T",(IF(G249=50,"E","")))))}</f>
        <v>ADVANCEDGROUPINITIAL</v>
      </c>
      <c r="F248" s="223" t="str">
        <f t="array" ref="F248:F249">{"ADVANCEDGROUPINITIALPTS";((IF("00"=(INDEX(ALLCLASSDATA,MATCH("AdvancedGroupLegendary",CLASSFEATUREHEADERS,0),MATCH($A249,CLASSNAMEHEADERS,0))),(INDEX(ALLCLASSDATA,MATCH("AdvancedGroupLegendary",CLASSFEATUREHEADERS,0),MATCH(($A249 &amp; "Points"),CLASSNAMEHEADERS,0))),(IF("00"=(INDEX(ALLCLASSDATA,MATCH("AdvancedGroupMaster",CLASSFEATUREHEADERS,0),MATCH($A249,CLASSNAMEHEADERS,0))),(INDEX(ALLCLASSDATA,MATCH("AdvancedGroupMaster",CLASSFEATUREHEADERS,0),MATCH(($A249 &amp; "Points"),CLASSNAMEHEADERS,0))),(IF("00"=(INDEX(ALLCLASSDATA,MATCH("AdvancedGroupExpert",CLASSFEATUREHEADERS,0),MATCH($A249,CLASSNAMEHEADERS,0))),(INDEX(ALLCLASSDATA,MATCH("AdvancedGroupExpert",CLASSFEATUREHEADERS,0),MATCH(($A249 &amp; "Points"),CLASSNAMEHEADERS,0))),(IF("00"=(INDEX(ALLCLASSDATA,MATCH("AdvancedGroupTrained",CLASSFEATUREHEADERS,0),MATCH($A249,CLASSNAMEHEADERS,0))),(INDEX(ALLCLASSDATA,MATCH("AdvancedGroupTrained",CLASSFEATUREHEADERS,0),MATCH(($A249 &amp; "Points"),CLASSNAMEHEADERS,0))),"")))))))))}</f>
        <v>ADVANCEDGROUPINITIALPTS</v>
      </c>
      <c r="G248" s="223" t="str">
        <f t="array" ref="G248:G249">{"ADVANCEDGROUPL01";((IF("01"=(INDEX(ALLCLASSDATA,MATCH("AdvancedGroupLegendary",CLASSFEATUREHEADERS,0),MATCH($A249,CLASSNAMEHEADERS,0))),(INDEX(ALLCLASSDATA,MATCH("AdvancedGroupLegendary",CLASSFEATUREHEADERS,0),MATCH(($A249 &amp; "Points"),CLASSNAMEHEADERS,0))),(IF("01"=(INDEX(ALLCLASSDATA,MATCH("AdvancedGroupMaster",CLASSFEATUREHEADERS,0),MATCH($A249,CLASSNAMEHEADERS,0))),(INDEX(ALLCLASSDATA,MATCH("AdvancedGroupMaster",CLASSFEATUREHEADERS,0),MATCH(($A249 &amp; "Points"),CLASSNAMEHEADERS,0))),(IF("01"=(INDEX(ALLCLASSDATA,MATCH("AdvancedGroupExpert",CLASSFEATUREHEADERS,0),MATCH($A249,CLASSNAMEHEADERS,0))),(INDEX(ALLCLASSDATA,MATCH("AdvancedGroupExpert",CLASSFEATUREHEADERS,0),MATCH(($A249 &amp; "Points"),CLASSNAMEHEADERS,0))),(IF("01"=(INDEX(ALLCLASSDATA,MATCH("AdvancedGroupTrained",CLASSFEATUREHEADERS,0),MATCH($A249,CLASSNAMEHEADERS,0))),(INDEX(ALLCLASSDATA,MATCH("AdvancedGroupTrained",CLASSFEATUREHEADERS,0),MATCH(($A249 &amp; "Points"),CLASSNAMEHEADERS,0))),"")))))))))}</f>
        <v>ADVANCEDGROUPL01</v>
      </c>
      <c r="H248" s="223"/>
      <c r="I248" s="223" t="str">
        <f t="array" ref="I248:I249">{"ADVANCEDGROUPL03";((IF("03"=(INDEX(ALLCLASSDATA,MATCH("AdvancedGroupLegendary",CLASSFEATUREHEADERS,0),MATCH($A249,CLASSNAMEHEADERS,0))),(INDEX(ALLCLASSDATA,MATCH("AdvancedGroupLegendary",CLASSFEATUREHEADERS,0),MATCH(($A249 &amp; "Points"),CLASSNAMEHEADERS,0))),(IF("03"=(INDEX(ALLCLASSDATA,MATCH("AdvancedGroupMaster",CLASSFEATUREHEADERS,0),MATCH($A249,CLASSNAMEHEADERS,0))),(INDEX(ALLCLASSDATA,MATCH("AdvancedGroupMaster",CLASSFEATUREHEADERS,0),MATCH(($A249 &amp; "Points"),CLASSNAMEHEADERS,0))),(IF("03"=(INDEX(ALLCLASSDATA,MATCH("AdvancedGroupExpert",CLASSFEATUREHEADERS,0),MATCH($A249,CLASSNAMEHEADERS,0))),(INDEX(ALLCLASSDATA,MATCH("AdvancedGroupExpert",CLASSFEATUREHEADERS,0),MATCH(($A249 &amp; "Points"),CLASSNAMEHEADERS,0))),(IF("03"=(INDEX(ALLCLASSDATA,MATCH("AdvancedGroupTrained",CLASSFEATUREHEADERS,0),MATCH($A249,CLASSNAMEHEADERS,0))),(INDEX(ALLCLASSDATA,MATCH("AdvancedGroupTrained",CLASSFEATUREHEADERS,0),MATCH(($A249 &amp; "Points"),CLASSNAMEHEADERS,0))),"")))))))))}</f>
        <v>ADVANCEDGROUPL03</v>
      </c>
      <c r="J248" s="223"/>
      <c r="K248" s="223" t="str">
        <f t="array" ref="K248:K249">{"ADVANCEDGROUPL05";((IF("05"=(INDEX(ALLCLASSDATA,MATCH("AdvancedGroupLegendary",CLASSFEATUREHEADERS,0),MATCH($A249,CLASSNAMEHEADERS,0))),(INDEX(ALLCLASSDATA,MATCH("AdvancedGroupLegendary",CLASSFEATUREHEADERS,0),MATCH(($A249 &amp; "Points"),CLASSNAMEHEADERS,0))),(IF("05"=(INDEX(ALLCLASSDATA,MATCH("AdvancedGroupMaster",CLASSFEATUREHEADERS,0),MATCH($A249,CLASSNAMEHEADERS,0))),(INDEX(ALLCLASSDATA,MATCH("AdvancedGroupMaster",CLASSFEATUREHEADERS,0),MATCH(($A249 &amp; "Points"),CLASSNAMEHEADERS,0))),(IF("05"=(INDEX(ALLCLASSDATA,MATCH("AdvancedGroupExpert",CLASSFEATUREHEADERS,0),MATCH($A249,CLASSNAMEHEADERS,0))),(INDEX(ALLCLASSDATA,MATCH("AdvancedGroupExpert",CLASSFEATUREHEADERS,0),MATCH(($A249 &amp; "Points"),CLASSNAMEHEADERS,0))),(IF("05"=(INDEX(ALLCLASSDATA,MATCH("AdvancedGroupTrained",CLASSFEATUREHEADERS,0),MATCH($A249,CLASSNAMEHEADERS,0))),(INDEX(ALLCLASSDATA,MATCH("AdvancedGroupTrained",CLASSFEATUREHEADERS,0),MATCH(($A249 &amp; "Points"),CLASSNAMEHEADERS,0))),"")))))))))}</f>
        <v>ADVANCEDGROUPL05</v>
      </c>
      <c r="L248" s="223"/>
      <c r="M248" s="223" t="str">
        <f t="array" ref="M248:M249">{"ADVANCEDGROUPL07";((IF("07"=(INDEX(ALLCLASSDATA,MATCH("AdvancedGroupLegendary",CLASSFEATUREHEADERS,0),MATCH($A249,CLASSNAMEHEADERS,0))),(INDEX(ALLCLASSDATA,MATCH("AdvancedGroupLegendary",CLASSFEATUREHEADERS,0),MATCH(($A249 &amp; "Points"),CLASSNAMEHEADERS,0))),(IF("07"=(INDEX(ALLCLASSDATA,MATCH("AdvancedGroupMaster",CLASSFEATUREHEADERS,0),MATCH($A249,CLASSNAMEHEADERS,0))),(INDEX(ALLCLASSDATA,MATCH("AdvancedGroupMaster",CLASSFEATUREHEADERS,0),MATCH(($A249 &amp; "Points"),CLASSNAMEHEADERS,0))),(IF("07"=(INDEX(ALLCLASSDATA,MATCH("AdvancedGroupExpert",CLASSFEATUREHEADERS,0),MATCH($A249,CLASSNAMEHEADERS,0))),(INDEX(ALLCLASSDATA,MATCH("AdvancedGroupExpert",CLASSFEATUREHEADERS,0),MATCH(($A249 &amp; "Points"),CLASSNAMEHEADERS,0))),(IF("07"=(INDEX(ALLCLASSDATA,MATCH("AdvancedGroupTrained",CLASSFEATUREHEADERS,0),MATCH($A249,CLASSNAMEHEADERS,0))),(INDEX(ALLCLASSDATA,MATCH("AdvancedGroupTrained",CLASSFEATUREHEADERS,0),MATCH(($A249 &amp; "Points"),CLASSNAMEHEADERS,0))),"")))))))))}</f>
        <v>ADVANCEDGROUPL07</v>
      </c>
      <c r="N248" s="223"/>
      <c r="O248" s="223" t="str">
        <f t="array" ref="O248:O249">{"ADVANCEDGROUPL09";((IF("09"=(INDEX(ALLCLASSDATA,MATCH("AdvancedGroupLegendary",CLASSFEATUREHEADERS,0),MATCH($A249,CLASSNAMEHEADERS,0))),(INDEX(ALLCLASSDATA,MATCH("AdvancedGroupLegendary",CLASSFEATUREHEADERS,0),MATCH(($A249 &amp; "Points"),CLASSNAMEHEADERS,0))),(IF("09"=(INDEX(ALLCLASSDATA,MATCH("AdvancedGroupMaster",CLASSFEATUREHEADERS,0),MATCH($A249,CLASSNAMEHEADERS,0))),(INDEX(ALLCLASSDATA,MATCH("AdvancedGroupMaster",CLASSFEATUREHEADERS,0),MATCH(($A249 &amp; "Points"),CLASSNAMEHEADERS,0))),(IF("09"=(INDEX(ALLCLASSDATA,MATCH("AdvancedGroupExpert",CLASSFEATUREHEADERS,0),MATCH($A249,CLASSNAMEHEADERS,0))),(INDEX(ALLCLASSDATA,MATCH("AdvancedGroupExpert",CLASSFEATUREHEADERS,0),MATCH(($A249 &amp; "Points"),CLASSNAMEHEADERS,0))),(IF("09"=(INDEX(ALLCLASSDATA,MATCH("AdvancedGroupTrained",CLASSFEATUREHEADERS,0),MATCH($A249,CLASSNAMEHEADERS,0))),(INDEX(ALLCLASSDATA,MATCH("AdvancedGroupTrained",CLASSFEATUREHEADERS,0),MATCH(($A249 &amp; "Points"),CLASSNAMEHEADERS,0))),"")))))))))}</f>
        <v>ADVANCEDGROUPL09</v>
      </c>
      <c r="P248" s="223"/>
      <c r="Q248" s="223" t="str">
        <f t="array" ref="Q248:Q249">{"ADVANCEDGROUPL11";((IF("11"=(INDEX(ALLCLASSDATA,MATCH("AdvancedGroupLegendary",CLASSFEATUREHEADERS,0),MATCH($A249,CLASSNAMEHEADERS,0))),(INDEX(ALLCLASSDATA,MATCH("AdvancedGroupLegendary",CLASSFEATUREHEADERS,0),MATCH(($A249 &amp; "Points"),CLASSNAMEHEADERS,0))),(IF("11"=(INDEX(ALLCLASSDATA,MATCH("AdvancedGroupMaster",CLASSFEATUREHEADERS,0),MATCH($A249,CLASSNAMEHEADERS,0))),(INDEX(ALLCLASSDATA,MATCH("AdvancedGroupMaster",CLASSFEATUREHEADERS,0),MATCH(($A249 &amp; "Points"),CLASSNAMEHEADERS,0))),(IF("11"=(INDEX(ALLCLASSDATA,MATCH("AdvancedGroupExpert",CLASSFEATUREHEADERS,0),MATCH($A249,CLASSNAMEHEADERS,0))),(INDEX(ALLCLASSDATA,MATCH("AdvancedGroupExpert",CLASSFEATUREHEADERS,0),MATCH(($A249 &amp; "Points"),CLASSNAMEHEADERS,0))),(IF("11"=(INDEX(ALLCLASSDATA,MATCH("AdvancedGroupTrained",CLASSFEATUREHEADERS,0),MATCH($A249,CLASSNAMEHEADERS,0))),(INDEX(ALLCLASSDATA,MATCH("AdvancedGroupTrained",CLASSFEATUREHEADERS,0),MATCH(($A249 &amp; "Points"),CLASSNAMEHEADERS,0))),"")))))))))}</f>
        <v>ADVANCEDGROUPL11</v>
      </c>
      <c r="R248" s="223"/>
      <c r="S248" s="223" t="str">
        <f t="array" ref="S248:S249">{"ADVANCEDGROUPL13";((IF("13"=(INDEX(ALLCLASSDATA,MATCH("AdvancedGroupLegendary",CLASSFEATUREHEADERS,0),MATCH($A249,CLASSNAMEHEADERS,0))),(INDEX(ALLCLASSDATA,MATCH("AdvancedGroupLegendary",CLASSFEATUREHEADERS,0),MATCH(($A249 &amp; "Points"),CLASSNAMEHEADERS,0))),(IF("13"=(INDEX(ALLCLASSDATA,MATCH("AdvancedGroupMaster",CLASSFEATUREHEADERS,0),MATCH($A249,CLASSNAMEHEADERS,0))),(INDEX(ALLCLASSDATA,MATCH("AdvancedGroupMaster",CLASSFEATUREHEADERS,0),MATCH(($A249 &amp; "Points"),CLASSNAMEHEADERS,0))),(IF("13"=(INDEX(ALLCLASSDATA,MATCH("AdvancedGroupExpert",CLASSFEATUREHEADERS,0),MATCH($A249,CLASSNAMEHEADERS,0))),(INDEX(ALLCLASSDATA,MATCH("AdvancedGroupExpert",CLASSFEATUREHEADERS,0),MATCH(($A249 &amp; "Points"),CLASSNAMEHEADERS,0))),(IF("13"=(INDEX(ALLCLASSDATA,MATCH("AdvancedGroupTrained",CLASSFEATUREHEADERS,0),MATCH($A249,CLASSNAMEHEADERS,0))),(INDEX(ALLCLASSDATA,MATCH("AdvancedGroupTrained",CLASSFEATUREHEADERS,0),MATCH(($A249 &amp; "Points"),CLASSNAMEHEADERS,0))),"")))))))))}</f>
        <v>ADVANCEDGROUPL13</v>
      </c>
      <c r="T248" s="223"/>
      <c r="U248" s="223" t="str">
        <f t="array" ref="U248:U249">{"ADVANCEDGROUPL15";((IF("15"=(INDEX(ALLCLASSDATA,MATCH("AdvancedGroupLegendary",CLASSFEATUREHEADERS,0),MATCH($A249,CLASSNAMEHEADERS,0))),(INDEX(ALLCLASSDATA,MATCH("AdvancedGroupLegendary",CLASSFEATUREHEADERS,0),MATCH(($A249 &amp; "Points"),CLASSNAMEHEADERS,0))),(IF("15"=(INDEX(ALLCLASSDATA,MATCH("AdvancedGroupMaster",CLASSFEATUREHEADERS,0),MATCH($A249,CLASSNAMEHEADERS,0))),(INDEX(ALLCLASSDATA,MATCH("AdvancedGroupMaster",CLASSFEATUREHEADERS,0),MATCH(($A249 &amp; "Points"),CLASSNAMEHEADERS,0))),(IF("15"=(INDEX(ALLCLASSDATA,MATCH("AdvancedGroupExpert",CLASSFEATUREHEADERS,0),MATCH($A249,CLASSNAMEHEADERS,0))),(INDEX(ALLCLASSDATA,MATCH("AdvancedGroupExpert",CLASSFEATUREHEADERS,0),MATCH(($A249 &amp; "Points"),CLASSNAMEHEADERS,0))),(IF("15"=(INDEX(ALLCLASSDATA,MATCH("AdvancedGroupTrained",CLASSFEATUREHEADERS,0),MATCH($A249,CLASSNAMEHEADERS,0))),(INDEX(ALLCLASSDATA,MATCH("AdvancedGroupTrained",CLASSFEATUREHEADERS,0),MATCH(($A249 &amp; "Points"),CLASSNAMEHEADERS,0))),"")))))))))}</f>
        <v>ADVANCEDGROUPL15</v>
      </c>
      <c r="V248" s="223"/>
      <c r="W248" s="223" t="str">
        <f t="array" ref="W248:W249">{"ADVANCEDGROUPL17";((IF("17"=(INDEX(ALLCLASSDATA,MATCH("AdvancedGroupLegendary",CLASSFEATUREHEADERS,0),MATCH($A249,CLASSNAMEHEADERS,0))),(INDEX(ALLCLASSDATA,MATCH("AdvancedGroupLegendary",CLASSFEATUREHEADERS,0),MATCH(($A249 &amp; "Points"),CLASSNAMEHEADERS,0))),(IF("17"=(INDEX(ALLCLASSDATA,MATCH("AdvancedGroupMaster",CLASSFEATUREHEADERS,0),MATCH($A249,CLASSNAMEHEADERS,0))),(INDEX(ALLCLASSDATA,MATCH("AdvancedGroupMaster",CLASSFEATUREHEADERS,0),MATCH(($A249 &amp; "Points"),CLASSNAMEHEADERS,0))),(IF("17"=(INDEX(ALLCLASSDATA,MATCH("AdvancedGroupExpert",CLASSFEATUREHEADERS,0),MATCH($A249,CLASSNAMEHEADERS,0))),(INDEX(ALLCLASSDATA,MATCH("AdvancedGroupExpert",CLASSFEATUREHEADERS,0),MATCH(($A249 &amp; "Points"),CLASSNAMEHEADERS,0))),(IF("17"=(INDEX(ALLCLASSDATA,MATCH("AdvancedGroupTrained",CLASSFEATUREHEADERS,0),MATCH($A249,CLASSNAMEHEADERS,0))),(INDEX(ALLCLASSDATA,MATCH("AdvancedGroupTrained",CLASSFEATUREHEADERS,0),MATCH(($A249 &amp; "Points"),CLASSNAMEHEADERS,0))),"")))))))))}</f>
        <v>ADVANCEDGROUPL17</v>
      </c>
      <c r="X248" s="223"/>
      <c r="Y248" s="223" t="str">
        <f t="array" ref="Y248:Y249">{"ADVANCEDGROUPL19";((IF("19"=(INDEX(ALLCLASSDATA,MATCH("AdvancedGroupLegendary",CLASSFEATUREHEADERS,0),MATCH($A249,CLASSNAMEHEADERS,0))),(INDEX(ALLCLASSDATA,MATCH("AdvancedGroupLegendary",CLASSFEATUREHEADERS,0),MATCH(($A249 &amp; "Points"),CLASSNAMEHEADERS,0))),(IF("19"=(INDEX(ALLCLASSDATA,MATCH("AdvancedGroupMaster",CLASSFEATUREHEADERS,0),MATCH($A249,CLASSNAMEHEADERS,0))),(INDEX(ALLCLASSDATA,MATCH("AdvancedGroupMaster",CLASSFEATUREHEADERS,0),MATCH(($A249 &amp; "Points"),CLASSNAMEHEADERS,0))),(IF("19"=(INDEX(ALLCLASSDATA,MATCH("AdvancedGroupExpert",CLASSFEATUREHEADERS,0),MATCH($A249,CLASSNAMEHEADERS,0))),(INDEX(ALLCLASSDATA,MATCH("AdvancedGroupExpert",CLASSFEATUREHEADERS,0),MATCH(($A249 &amp; "Points"),CLASSNAMEHEADERS,0))),(IF("19"=(INDEX(ALLCLASSDATA,MATCH("AdvancedGroupTrained",CLASSFEATUREHEADERS,0),MATCH($A249,CLASSNAMEHEADERS,0))),(INDEX(ALLCLASSDATA,MATCH("AdvancedGroupTrained",CLASSFEATUREHEADERS,0),MATCH(($A249 &amp; "Points"),CLASSNAMEHEADERS,0))),"")))))))))}</f>
        <v>ADVANCEDGROUPL19</v>
      </c>
      <c r="Z248" s="223"/>
      <c r="AA248" s="76" t="str">
        <f t="array" ref="AA248:AA249">{"ADVANCEDGROUP TOTAL";(IF(COUNTBLANK(F249:Z249)=17,"L",(IF(COUNTBLANK(F249:Z249)=18,"M",(IF(COUNTBLANK(F249:Z249)=19,"E",(IF(COUNTBLANK(F249:Z249)=20,"T",""))))))))}</f>
        <v>ADVANCEDGROUP TOTAL</v>
      </c>
      <c r="AB248" s="76" t="str">
        <f t="array" ref="AB248:AB249">{"ADVANCEDGROUP TOTAL";(sum(F249:Z249))}</f>
        <v>ADVANCEDGROUP TOTAL</v>
      </c>
    </row>
    <row r="249">
      <c r="A249" s="48" t="s">
        <v>225</v>
      </c>
      <c r="B249" s="48" t="s">
        <v>418</v>
      </c>
      <c r="C249" s="48" t="s">
        <v>1634</v>
      </c>
      <c r="D249" s="48" t="s">
        <v>601</v>
      </c>
      <c r="E249" s="5" t="s">
        <v>603</v>
      </c>
      <c r="F249" s="47" t="s">
        <v>603</v>
      </c>
      <c r="G249" s="5" t="s">
        <v>603</v>
      </c>
      <c r="H249" s="5"/>
      <c r="I249" s="5" t="s">
        <v>603</v>
      </c>
      <c r="J249" s="5"/>
      <c r="K249" s="5" t="s">
        <v>603</v>
      </c>
      <c r="L249" s="5"/>
      <c r="M249" s="5" t="s">
        <v>603</v>
      </c>
      <c r="N249" s="5"/>
      <c r="O249" s="5" t="s">
        <v>603</v>
      </c>
      <c r="P249" s="5"/>
      <c r="Q249" s="5" t="s">
        <v>603</v>
      </c>
      <c r="R249" s="5"/>
      <c r="S249" s="5" t="s">
        <v>603</v>
      </c>
      <c r="T249" s="5"/>
      <c r="U249" s="5" t="s">
        <v>603</v>
      </c>
      <c r="V249" s="5"/>
      <c r="W249" s="5" t="s">
        <v>603</v>
      </c>
      <c r="X249" s="5"/>
      <c r="Y249" s="5" t="s">
        <v>603</v>
      </c>
      <c r="Z249" s="5"/>
      <c r="AA249" s="5" t="s">
        <v>603</v>
      </c>
      <c r="AB249" s="47">
        <v>0.0</v>
      </c>
    </row>
    <row r="250" hidden="1">
      <c r="A250" s="222" t="str">
        <f t="array" ref="A250:A251">{"FormulaRow33";(INDEX(CLASSLIST,A185,1))}</f>
        <v>FormulaRow33</v>
      </c>
      <c r="B250" s="222" t="str">
        <f t="array" ref="B250:B251">{"CLASSTYPE";((INDEX(ALLCLASSDATA,MATCH("ClassType",CLASSFEATUREHEADERS,0),MATCH($A251,CLASSNAMEHEADERS,0))))}</f>
        <v>CLASSTYPE</v>
      </c>
      <c r="C250" s="222" t="str">
        <f t="array" ref="C250:C251">{"ATTACK";"Attack"}</f>
        <v>ATTACK</v>
      </c>
      <c r="D250" s="222" t="str">
        <f t="array" ref="D250:D251">{"ADVANCED";"Advanced"}</f>
        <v>ADVANCED</v>
      </c>
      <c r="E250" s="223" t="str">
        <f t="array" ref="E250:E251">{"ADVANCEDINITIAL";((IF(G251=10,"T",(IF(G251=50,"E","")))))}</f>
        <v>ADVANCEDINITIAL</v>
      </c>
      <c r="F250" s="223" t="str">
        <f t="array" ref="F250:F251">{"ADVANCEDINITIALPTS";((IF("00"=(INDEX(ALLCLASSDATA,MATCH("AdvancedLegendary",CLASSFEATUREHEADERS,0),MATCH($A251,CLASSNAMEHEADERS,0))),(INDEX(ALLCLASSDATA,MATCH("AdvancedLegendary",CLASSFEATUREHEADERS,0),MATCH(($A251 &amp; "Points"),CLASSNAMEHEADERS,0))),(IF("00"=(INDEX(ALLCLASSDATA,MATCH("AdvancedMaster",CLASSFEATUREHEADERS,0),MATCH($A251,CLASSNAMEHEADERS,0))),(INDEX(ALLCLASSDATA,MATCH("AdvancedMaster",CLASSFEATUREHEADERS,0),MATCH(($A251 &amp; "Points"),CLASSNAMEHEADERS,0))),(IF("00"=(INDEX(ALLCLASSDATA,MATCH("AdvancedExpert",CLASSFEATUREHEADERS,0),MATCH($A251,CLASSNAMEHEADERS,0))),(INDEX(ALLCLASSDATA,MATCH("AdvancedExpert",CLASSFEATUREHEADERS,0),MATCH(($A251 &amp; "Points"),CLASSNAMEHEADERS,0))),(IF("00"=(INDEX(ALLCLASSDATA,MATCH("AdvancedTrained",CLASSFEATUREHEADERS,0),MATCH($A251,CLASSNAMEHEADERS,0))),(INDEX(ALLCLASSDATA,MATCH("AdvancedTrained",CLASSFEATUREHEADERS,0),MATCH(($A251 &amp; "Points"),CLASSNAMEHEADERS,0))),"")))))))))}</f>
        <v>ADVANCEDINITIALPTS</v>
      </c>
      <c r="G250" s="223" t="str">
        <f t="array" ref="G250:G251">{"ADVANCEDL01";((IF("01"=(INDEX(ALLCLASSDATA,MATCH("AdvancedLegendary",CLASSFEATUREHEADERS,0),MATCH($A251,CLASSNAMEHEADERS,0))),(INDEX(ALLCLASSDATA,MATCH("AdvancedLegendary",CLASSFEATUREHEADERS,0),MATCH(($A251 &amp; "Points"),CLASSNAMEHEADERS,0))),(IF("01"=(INDEX(ALLCLASSDATA,MATCH("AdvancedMaster",CLASSFEATUREHEADERS,0),MATCH($A251,CLASSNAMEHEADERS,0))),(INDEX(ALLCLASSDATA,MATCH("AdvancedMaster",CLASSFEATUREHEADERS,0),MATCH(($A251 &amp; "Points"),CLASSNAMEHEADERS,0))),(IF("01"=(INDEX(ALLCLASSDATA,MATCH("AdvancedExpert",CLASSFEATUREHEADERS,0),MATCH($A251,CLASSNAMEHEADERS,0))),(INDEX(ALLCLASSDATA,MATCH("AdvancedExpert",CLASSFEATUREHEADERS,0),MATCH(($A251 &amp; "Points"),CLASSNAMEHEADERS,0))),(IF("01"=(INDEX(ALLCLASSDATA,MATCH("AdvancedTrained",CLASSFEATUREHEADERS,0),MATCH($A251,CLASSNAMEHEADERS,0))),(INDEX(ALLCLASSDATA,MATCH("AdvancedTrained",CLASSFEATUREHEADERS,0),MATCH(($A251 &amp; "Points"),CLASSNAMEHEADERS,0))),"")))))))))}</f>
        <v>ADVANCEDL01</v>
      </c>
      <c r="H250" s="223"/>
      <c r="I250" s="223" t="str">
        <f t="array" ref="I250:I251">{"ADVANCEDL03";((IF("03"=(INDEX(ALLCLASSDATA,MATCH("AdvancedLegendary",CLASSFEATUREHEADERS,0),MATCH($A251,CLASSNAMEHEADERS,0))),(INDEX(ALLCLASSDATA,MATCH("AdvancedLegendary",CLASSFEATUREHEADERS,0),MATCH(($A251 &amp; "Points"),CLASSNAMEHEADERS,0))),(IF("03"=(INDEX(ALLCLASSDATA,MATCH("AdvancedMaster",CLASSFEATUREHEADERS,0),MATCH($A251,CLASSNAMEHEADERS,0))),(INDEX(ALLCLASSDATA,MATCH("AdvancedMaster",CLASSFEATUREHEADERS,0),MATCH(($A251 &amp; "Points"),CLASSNAMEHEADERS,0))),(IF("03"=(INDEX(ALLCLASSDATA,MATCH("AdvancedExpert",CLASSFEATUREHEADERS,0),MATCH($A251,CLASSNAMEHEADERS,0))),(INDEX(ALLCLASSDATA,MATCH("AdvancedExpert",CLASSFEATUREHEADERS,0),MATCH(($A251 &amp; "Points"),CLASSNAMEHEADERS,0))),(IF("03"=(INDEX(ALLCLASSDATA,MATCH("AdvancedTrained",CLASSFEATUREHEADERS,0),MATCH($A251,CLASSNAMEHEADERS,0))),(INDEX(ALLCLASSDATA,MATCH("AdvancedTrained",CLASSFEATUREHEADERS,0),MATCH(($A251 &amp; "Points"),CLASSNAMEHEADERS,0))),"")))))))))}</f>
        <v>ADVANCEDL03</v>
      </c>
      <c r="J250" s="223"/>
      <c r="K250" s="223" t="str">
        <f t="array" ref="K250:K251">{"ADVANCEDL05";((IF("05"=(INDEX(ALLCLASSDATA,MATCH("AdvancedLegendary",CLASSFEATUREHEADERS,0),MATCH($A251,CLASSNAMEHEADERS,0))),(INDEX(ALLCLASSDATA,MATCH("AdvancedLegendary",CLASSFEATUREHEADERS,0),MATCH(($A251 &amp; "Points"),CLASSNAMEHEADERS,0))),(IF("05"=(INDEX(ALLCLASSDATA,MATCH("AdvancedMaster",CLASSFEATUREHEADERS,0),MATCH($A251,CLASSNAMEHEADERS,0))),(INDEX(ALLCLASSDATA,MATCH("AdvancedMaster",CLASSFEATUREHEADERS,0),MATCH(($A251 &amp; "Points"),CLASSNAMEHEADERS,0))),(IF("05"=(INDEX(ALLCLASSDATA,MATCH("AdvancedExpert",CLASSFEATUREHEADERS,0),MATCH($A251,CLASSNAMEHEADERS,0))),(INDEX(ALLCLASSDATA,MATCH("AdvancedExpert",CLASSFEATUREHEADERS,0),MATCH(($A251 &amp; "Points"),CLASSNAMEHEADERS,0))),(IF("05"=(INDEX(ALLCLASSDATA,MATCH("AdvancedTrained",CLASSFEATUREHEADERS,0),MATCH($A251,CLASSNAMEHEADERS,0))),(INDEX(ALLCLASSDATA,MATCH("AdvancedTrained",CLASSFEATUREHEADERS,0),MATCH(($A251 &amp; "Points"),CLASSNAMEHEADERS,0))),"")))))))))}</f>
        <v>ADVANCEDL05</v>
      </c>
      <c r="L250" s="223"/>
      <c r="M250" s="223" t="str">
        <f t="array" ref="M250:M251">{"ADVANCEDL07";((IF("07"=(INDEX(ALLCLASSDATA,MATCH("AdvancedLegendary",CLASSFEATUREHEADERS,0),MATCH($A251,CLASSNAMEHEADERS,0))),(INDEX(ALLCLASSDATA,MATCH("AdvancedLegendary",CLASSFEATUREHEADERS,0),MATCH(($A251 &amp; "Points"),CLASSNAMEHEADERS,0))),(IF("07"=(INDEX(ALLCLASSDATA,MATCH("AdvancedMaster",CLASSFEATUREHEADERS,0),MATCH($A251,CLASSNAMEHEADERS,0))),(INDEX(ALLCLASSDATA,MATCH("AdvancedMaster",CLASSFEATUREHEADERS,0),MATCH(($A251 &amp; "Points"),CLASSNAMEHEADERS,0))),(IF("07"=(INDEX(ALLCLASSDATA,MATCH("AdvancedExpert",CLASSFEATUREHEADERS,0),MATCH($A251,CLASSNAMEHEADERS,0))),(INDEX(ALLCLASSDATA,MATCH("AdvancedExpert",CLASSFEATUREHEADERS,0),MATCH(($A251 &amp; "Points"),CLASSNAMEHEADERS,0))),(IF("07"=(INDEX(ALLCLASSDATA,MATCH("AdvancedTrained",CLASSFEATUREHEADERS,0),MATCH($A251,CLASSNAMEHEADERS,0))),(INDEX(ALLCLASSDATA,MATCH("AdvancedTrained",CLASSFEATUREHEADERS,0),MATCH(($A251 &amp; "Points"),CLASSNAMEHEADERS,0))),"")))))))))}</f>
        <v>ADVANCEDL07</v>
      </c>
      <c r="N250" s="223"/>
      <c r="O250" s="223" t="str">
        <f t="array" ref="O250:O251">{"ADVANCEDL09";((IF("09"=(INDEX(ALLCLASSDATA,MATCH("AdvancedLegendary",CLASSFEATUREHEADERS,0),MATCH($A251,CLASSNAMEHEADERS,0))),(INDEX(ALLCLASSDATA,MATCH("AdvancedLegendary",CLASSFEATUREHEADERS,0),MATCH(($A251 &amp; "Points"),CLASSNAMEHEADERS,0))),(IF("09"=(INDEX(ALLCLASSDATA,MATCH("AdvancedMaster",CLASSFEATUREHEADERS,0),MATCH($A251,CLASSNAMEHEADERS,0))),(INDEX(ALLCLASSDATA,MATCH("AdvancedMaster",CLASSFEATUREHEADERS,0),MATCH(($A251 &amp; "Points"),CLASSNAMEHEADERS,0))),(IF("09"=(INDEX(ALLCLASSDATA,MATCH("AdvancedExpert",CLASSFEATUREHEADERS,0),MATCH($A251,CLASSNAMEHEADERS,0))),(INDEX(ALLCLASSDATA,MATCH("AdvancedExpert",CLASSFEATUREHEADERS,0),MATCH(($A251 &amp; "Points"),CLASSNAMEHEADERS,0))),(IF("09"=(INDEX(ALLCLASSDATA,MATCH("AdvancedTrained",CLASSFEATUREHEADERS,0),MATCH($A251,CLASSNAMEHEADERS,0))),(INDEX(ALLCLASSDATA,MATCH("AdvancedTrained",CLASSFEATUREHEADERS,0),MATCH(($A251 &amp; "Points"),CLASSNAMEHEADERS,0))),"")))))))))}</f>
        <v>ADVANCEDL09</v>
      </c>
      <c r="P250" s="223"/>
      <c r="Q250" s="223" t="str">
        <f t="array" ref="Q250:Q251">{"ADVANCEDL11";((IF("11"=(INDEX(ALLCLASSDATA,MATCH("AdvancedLegendary",CLASSFEATUREHEADERS,0),MATCH($A251,CLASSNAMEHEADERS,0))),(INDEX(ALLCLASSDATA,MATCH("AdvancedLegendary",CLASSFEATUREHEADERS,0),MATCH(($A251 &amp; "Points"),CLASSNAMEHEADERS,0))),(IF("11"=(INDEX(ALLCLASSDATA,MATCH("AdvancedMaster",CLASSFEATUREHEADERS,0),MATCH($A251,CLASSNAMEHEADERS,0))),(INDEX(ALLCLASSDATA,MATCH("AdvancedMaster",CLASSFEATUREHEADERS,0),MATCH(($A251 &amp; "Points"),CLASSNAMEHEADERS,0))),(IF("11"=(INDEX(ALLCLASSDATA,MATCH("AdvancedExpert",CLASSFEATUREHEADERS,0),MATCH($A251,CLASSNAMEHEADERS,0))),(INDEX(ALLCLASSDATA,MATCH("AdvancedExpert",CLASSFEATUREHEADERS,0),MATCH(($A251 &amp; "Points"),CLASSNAMEHEADERS,0))),(IF("11"=(INDEX(ALLCLASSDATA,MATCH("AdvancedTrained",CLASSFEATUREHEADERS,0),MATCH($A251,CLASSNAMEHEADERS,0))),(INDEX(ALLCLASSDATA,MATCH("AdvancedTrained",CLASSFEATUREHEADERS,0),MATCH(($A251 &amp; "Points"),CLASSNAMEHEADERS,0))),"")))))))))}</f>
        <v>ADVANCEDL11</v>
      </c>
      <c r="R250" s="223"/>
      <c r="S250" s="223" t="str">
        <f t="array" ref="S250:S251">{"ADVANCEDL13";((IF("13"=(INDEX(ALLCLASSDATA,MATCH("AdvancedLegendary",CLASSFEATUREHEADERS,0),MATCH($A251,CLASSNAMEHEADERS,0))),(INDEX(ALLCLASSDATA,MATCH("AdvancedLegendary",CLASSFEATUREHEADERS,0),MATCH(($A251 &amp; "Points"),CLASSNAMEHEADERS,0))),(IF("13"=(INDEX(ALLCLASSDATA,MATCH("AdvancedMaster",CLASSFEATUREHEADERS,0),MATCH($A251,CLASSNAMEHEADERS,0))),(INDEX(ALLCLASSDATA,MATCH("AdvancedMaster",CLASSFEATUREHEADERS,0),MATCH(($A251 &amp; "Points"),CLASSNAMEHEADERS,0))),(IF("13"=(INDEX(ALLCLASSDATA,MATCH("AdvancedExpert",CLASSFEATUREHEADERS,0),MATCH($A251,CLASSNAMEHEADERS,0))),(INDEX(ALLCLASSDATA,MATCH("AdvancedExpert",CLASSFEATUREHEADERS,0),MATCH(($A251 &amp; "Points"),CLASSNAMEHEADERS,0))),(IF("13"=(INDEX(ALLCLASSDATA,MATCH("AdvancedTrained",CLASSFEATUREHEADERS,0),MATCH($A251,CLASSNAMEHEADERS,0))),(INDEX(ALLCLASSDATA,MATCH("AdvancedTrained",CLASSFEATUREHEADERS,0),MATCH(($A251 &amp; "Points"),CLASSNAMEHEADERS,0))),"")))))))))}</f>
        <v>ADVANCEDL13</v>
      </c>
      <c r="T250" s="223"/>
      <c r="U250" s="223" t="str">
        <f t="array" ref="U250:U251">{"ADVANCEDL15";((IF("15"=(INDEX(ALLCLASSDATA,MATCH("AdvancedLegendary",CLASSFEATUREHEADERS,0),MATCH($A251,CLASSNAMEHEADERS,0))),(INDEX(ALLCLASSDATA,MATCH("AdvancedLegendary",CLASSFEATUREHEADERS,0),MATCH(($A251 &amp; "Points"),CLASSNAMEHEADERS,0))),(IF("15"=(INDEX(ALLCLASSDATA,MATCH("AdvancedMaster",CLASSFEATUREHEADERS,0),MATCH($A251,CLASSNAMEHEADERS,0))),(INDEX(ALLCLASSDATA,MATCH("AdvancedMaster",CLASSFEATUREHEADERS,0),MATCH(($A251 &amp; "Points"),CLASSNAMEHEADERS,0))),(IF("15"=(INDEX(ALLCLASSDATA,MATCH("AdvancedExpert",CLASSFEATUREHEADERS,0),MATCH($A251,CLASSNAMEHEADERS,0))),(INDEX(ALLCLASSDATA,MATCH("AdvancedExpert",CLASSFEATUREHEADERS,0),MATCH(($A251 &amp; "Points"),CLASSNAMEHEADERS,0))),(IF("15"=(INDEX(ALLCLASSDATA,MATCH("AdvancedTrained",CLASSFEATUREHEADERS,0),MATCH($A251,CLASSNAMEHEADERS,0))),(INDEX(ALLCLASSDATA,MATCH("AdvancedTrained",CLASSFEATUREHEADERS,0),MATCH(($A251 &amp; "Points"),CLASSNAMEHEADERS,0))),"")))))))))}</f>
        <v>ADVANCEDL15</v>
      </c>
      <c r="V250" s="223"/>
      <c r="W250" s="223" t="str">
        <f t="array" ref="W250:W251">{"ADVANCEDL17";((IF("17"=(INDEX(ALLCLASSDATA,MATCH("AdvancedLegendary",CLASSFEATUREHEADERS,0),MATCH($A251,CLASSNAMEHEADERS,0))),(INDEX(ALLCLASSDATA,MATCH("AdvancedLegendary",CLASSFEATUREHEADERS,0),MATCH(($A251 &amp; "Points"),CLASSNAMEHEADERS,0))),(IF("17"=(INDEX(ALLCLASSDATA,MATCH("AdvancedMaster",CLASSFEATUREHEADERS,0),MATCH($A251,CLASSNAMEHEADERS,0))),(INDEX(ALLCLASSDATA,MATCH("AdvancedMaster",CLASSFEATUREHEADERS,0),MATCH(($A251 &amp; "Points"),CLASSNAMEHEADERS,0))),(IF("17"=(INDEX(ALLCLASSDATA,MATCH("AdvancedExpert",CLASSFEATUREHEADERS,0),MATCH($A251,CLASSNAMEHEADERS,0))),(INDEX(ALLCLASSDATA,MATCH("AdvancedExpert",CLASSFEATUREHEADERS,0),MATCH(($A251 &amp; "Points"),CLASSNAMEHEADERS,0))),(IF("17"=(INDEX(ALLCLASSDATA,MATCH("AdvancedTrained",CLASSFEATUREHEADERS,0),MATCH($A251,CLASSNAMEHEADERS,0))),(INDEX(ALLCLASSDATA,MATCH("AdvancedTrained",CLASSFEATUREHEADERS,0),MATCH(($A251 &amp; "Points"),CLASSNAMEHEADERS,0))),"")))))))))}</f>
        <v>ADVANCEDL17</v>
      </c>
      <c r="X250" s="223"/>
      <c r="Y250" s="223" t="str">
        <f t="array" ref="Y250:Y251">{"ADVANCEDL19";((IF("19"=(INDEX(ALLCLASSDATA,MATCH("AdvancedLegendary",CLASSFEATUREHEADERS,0),MATCH($A251,CLASSNAMEHEADERS,0))),(INDEX(ALLCLASSDATA,MATCH("AdvancedLegendary",CLASSFEATUREHEADERS,0),MATCH(($A251 &amp; "Points"),CLASSNAMEHEADERS,0))),(IF("19"=(INDEX(ALLCLASSDATA,MATCH("AdvancedMaster",CLASSFEATUREHEADERS,0),MATCH($A251,CLASSNAMEHEADERS,0))),(INDEX(ALLCLASSDATA,MATCH("AdvancedMaster",CLASSFEATUREHEADERS,0),MATCH(($A251 &amp; "Points"),CLASSNAMEHEADERS,0))),(IF("19"=(INDEX(ALLCLASSDATA,MATCH("AdvancedExpert",CLASSFEATUREHEADERS,0),MATCH($A251,CLASSNAMEHEADERS,0))),(INDEX(ALLCLASSDATA,MATCH("AdvancedExpert",CLASSFEATUREHEADERS,0),MATCH(($A251 &amp; "Points"),CLASSNAMEHEADERS,0))),(IF("19"=(INDEX(ALLCLASSDATA,MATCH("AdvancedTrained",CLASSFEATUREHEADERS,0),MATCH($A251,CLASSNAMEHEADERS,0))),(INDEX(ALLCLASSDATA,MATCH("AdvancedTrained",CLASSFEATUREHEADERS,0),MATCH(($A251 &amp; "Points"),CLASSNAMEHEADERS,0))),"")))))))))}</f>
        <v>ADVANCEDL19</v>
      </c>
      <c r="Z250" s="223"/>
      <c r="AA250" s="76" t="str">
        <f t="array" ref="AA250:AA251">{"ADVANCED TOTAL";(IF(COUNTBLANK(F251:Z251)=17,"L",(IF(COUNTBLANK(F251:Z251)=18,"M",(IF(COUNTBLANK(F251:Z251)=19,"E",(IF(COUNTBLANK(F251:Z251)=20,"T",""))))))))}</f>
        <v>ADVANCED TOTAL</v>
      </c>
      <c r="AB250" s="76" t="str">
        <f t="array" ref="AB250:AB251">{"ADVANCED TOTAL";(sum(F251:Z251))}</f>
        <v>ADVANCED TOTAL</v>
      </c>
    </row>
    <row r="251">
      <c r="A251" s="48" t="s">
        <v>225</v>
      </c>
      <c r="B251" s="48" t="s">
        <v>418</v>
      </c>
      <c r="C251" s="97" t="s">
        <v>1634</v>
      </c>
      <c r="D251" s="97" t="s">
        <v>602</v>
      </c>
      <c r="E251" s="98" t="s">
        <v>603</v>
      </c>
      <c r="F251" s="132" t="s">
        <v>603</v>
      </c>
      <c r="G251" s="98" t="s">
        <v>603</v>
      </c>
      <c r="H251" s="98"/>
      <c r="I251" s="98" t="s">
        <v>603</v>
      </c>
      <c r="J251" s="98"/>
      <c r="K251" s="98" t="s">
        <v>603</v>
      </c>
      <c r="L251" s="98"/>
      <c r="M251" s="98" t="s">
        <v>603</v>
      </c>
      <c r="N251" s="98"/>
      <c r="O251" s="98" t="s">
        <v>603</v>
      </c>
      <c r="P251" s="98"/>
      <c r="Q251" s="98" t="s">
        <v>603</v>
      </c>
      <c r="R251" s="98"/>
      <c r="S251" s="98" t="s">
        <v>603</v>
      </c>
      <c r="T251" s="98"/>
      <c r="U251" s="98" t="s">
        <v>603</v>
      </c>
      <c r="V251" s="98"/>
      <c r="W251" s="98" t="s">
        <v>603</v>
      </c>
      <c r="X251" s="98"/>
      <c r="Y251" s="98" t="s">
        <v>603</v>
      </c>
      <c r="Z251" s="98"/>
      <c r="AA251" s="5" t="s">
        <v>603</v>
      </c>
      <c r="AB251" s="47">
        <v>0.0</v>
      </c>
    </row>
    <row r="252" hidden="1">
      <c r="A252" s="222" t="str">
        <f t="array" ref="A252:A253">{"FormulaRow34";(INDEX(CLASSLIST,A185,1))}</f>
        <v>FormulaRow34</v>
      </c>
      <c r="B252" s="222" t="str">
        <f t="array" ref="B252:B253">{"CLASSTYPE";((INDEX(ALLCLASSDATA,MATCH("ClassType",CLASSFEATUREHEADERS,0),MATCH($A253,CLASSNAMEHEADERS,0))))}</f>
        <v>CLASSTYPE</v>
      </c>
      <c r="C252" s="222" t="str">
        <f t="array" ref="C252:C253">{"DEFENSE";"Defense"}</f>
        <v>DEFENSE</v>
      </c>
      <c r="D252" s="222" t="str">
        <f t="array" ref="D252:D253">{"ARMORSPECIAL";"ArmorAS"}</f>
        <v>ARMORSPECIAL</v>
      </c>
      <c r="E252" s="223"/>
      <c r="F252" s="223"/>
      <c r="G252" s="223" t="str">
        <f t="array" ref="G252:G253">{"ARMORSPECIALL01";((IF("01"=INDEX(ALLCLASSDATA,MATCH("ArmorSpecialization",CLASSFEATUREHEADERS,0),MATCH($A253,CLASSNAMEHEADERS,0)),ArmorAS,"")))}</f>
        <v>ARMORSPECIALL01</v>
      </c>
      <c r="H252" s="223"/>
      <c r="I252" s="223" t="str">
        <f t="array" ref="I252:I253">{"ARMORSPECIALL03";((IF("03"=INDEX(ALLCLASSDATA,MATCH("ArmorSpecialization",CLASSFEATUREHEADERS,0),MATCH($A253,CLASSNAMEHEADERS,0)),ArmorAS,"")))}</f>
        <v>ARMORSPECIALL03</v>
      </c>
      <c r="J252" s="223"/>
      <c r="K252" s="223" t="str">
        <f t="array" ref="K252:K253">{"ARMORSPECIALL05";((IF("05"=INDEX(ALLCLASSDATA,MATCH("ArmorSpecialization",CLASSFEATUREHEADERS,0),MATCH($A253,CLASSNAMEHEADERS,0)),ArmorAS,"")))}</f>
        <v>ARMORSPECIALL05</v>
      </c>
      <c r="L252" s="223"/>
      <c r="M252" s="223" t="str">
        <f t="array" ref="M252:M253">{"ARMORSPECIALL07";((IF("07"=INDEX(ALLCLASSDATA,MATCH("ArmorSpecialization",CLASSFEATUREHEADERS,0),MATCH($A253,CLASSNAMEHEADERS,0)),ArmorAS,"")))}</f>
        <v>ARMORSPECIALL07</v>
      </c>
      <c r="N252" s="223"/>
      <c r="O252" s="223" t="str">
        <f t="array" ref="O252:O253">{"ARMORSPECIALL09";((IF("09"=INDEX(ALLCLASSDATA,MATCH("ArmorSpecialization",CLASSFEATUREHEADERS,0),MATCH($A253,CLASSNAMEHEADERS,0)),ArmorAS,"")))}</f>
        <v>ARMORSPECIALL09</v>
      </c>
      <c r="P252" s="223"/>
      <c r="Q252" s="223" t="str">
        <f t="array" ref="Q252:Q253">{"ARMORSPECIALL11";((IF("11"=INDEX(ALLCLASSDATA,MATCH("ArmorSpecialization",CLASSFEATUREHEADERS,0),MATCH($A253,CLASSNAMEHEADERS,0)),ArmorAS,"")))}</f>
        <v>ARMORSPECIALL11</v>
      </c>
      <c r="R252" s="223"/>
      <c r="S252" s="223" t="str">
        <f t="array" ref="S252:S253">{"ARMORSPECIALL13";((IF("13"=INDEX(ALLCLASSDATA,MATCH("ArmorSpecialization",CLASSFEATUREHEADERS,0),MATCH($A253,CLASSNAMEHEADERS,0)),ArmorAS,"")))}</f>
        <v>ARMORSPECIALL13</v>
      </c>
      <c r="T252" s="223"/>
      <c r="U252" s="223" t="str">
        <f t="array" ref="U252:U253">{"ARMORSPECIALL15";((IF("15"=INDEX(ALLCLASSDATA,MATCH("ArmorSpecialization",CLASSFEATUREHEADERS,0),MATCH($A253,CLASSNAMEHEADERS,0)),ArmorAS,"")))}</f>
        <v>ARMORSPECIALL15</v>
      </c>
      <c r="V252" s="223"/>
      <c r="W252" s="223" t="str">
        <f t="array" ref="W252:W253">{"ARMORSPECIALL17";((IF("17"=INDEX(ALLCLASSDATA,MATCH("ArmorSpecialization",CLASSFEATUREHEADERS,0),MATCH($A253,CLASSNAMEHEADERS,0)),ArmorAS,"")))}</f>
        <v>ARMORSPECIALL17</v>
      </c>
      <c r="X252" s="223"/>
      <c r="Y252" s="223" t="str">
        <f t="array" ref="Y252:Y253">{"ARMORSPECIALL19";((IF("19"=INDEX(ALLCLASSDATA,MATCH("ArmorSpecialization",CLASSFEATUREHEADERS,0),MATCH($A253,CLASSNAMEHEADERS,0)),ArmorAS,"")))}</f>
        <v>ARMORSPECIALL19</v>
      </c>
      <c r="Z252" s="223"/>
      <c r="AA252" s="76"/>
      <c r="AB252" s="76" t="str">
        <f t="array" ref="AB252:AB253">{"ARMORSPECIAL TOTAL";(sum(F253:Z253))}</f>
        <v>ARMORSPECIAL TOTAL</v>
      </c>
    </row>
    <row r="253">
      <c r="A253" s="48" t="s">
        <v>225</v>
      </c>
      <c r="B253" s="48" t="s">
        <v>418</v>
      </c>
      <c r="C253" s="48" t="s">
        <v>1900</v>
      </c>
      <c r="D253" s="48" t="s">
        <v>51</v>
      </c>
      <c r="E253" s="5"/>
      <c r="F253" s="47"/>
      <c r="G253" s="5" t="s">
        <v>603</v>
      </c>
      <c r="H253" s="5"/>
      <c r="I253" s="5" t="s">
        <v>603</v>
      </c>
      <c r="J253" s="5"/>
      <c r="K253" s="5" t="s">
        <v>603</v>
      </c>
      <c r="L253" s="5"/>
      <c r="M253" s="5" t="s">
        <v>603</v>
      </c>
      <c r="N253" s="5"/>
      <c r="O253" s="5" t="s">
        <v>603</v>
      </c>
      <c r="P253" s="5"/>
      <c r="Q253" s="5" t="s">
        <v>603</v>
      </c>
      <c r="R253" s="5"/>
      <c r="S253" s="5" t="s">
        <v>603</v>
      </c>
      <c r="T253" s="5"/>
      <c r="U253" s="5" t="s">
        <v>603</v>
      </c>
      <c r="V253" s="5"/>
      <c r="W253" s="5" t="s">
        <v>603</v>
      </c>
      <c r="X253" s="5"/>
      <c r="Y253" s="5" t="s">
        <v>603</v>
      </c>
      <c r="Z253" s="5"/>
      <c r="AA253" s="5"/>
      <c r="AB253" s="47">
        <v>0.0</v>
      </c>
    </row>
    <row r="254" hidden="1">
      <c r="A254" s="222" t="str">
        <f t="array" ref="A254:A255">{"FormulaRow35";(INDEX(CLASSLIST,A185,1))}</f>
        <v>FormulaRow35</v>
      </c>
      <c r="B254" s="222" t="str">
        <f t="array" ref="B254:B255">{"CLASSTYPE";((INDEX(ALLCLASSDATA,MATCH("ClassType",CLASSFEATUREHEADERS,0),MATCH($A255,CLASSNAMEHEADERS,0))))}</f>
        <v>CLASSTYPE</v>
      </c>
      <c r="C254" s="222" t="str">
        <f t="array" ref="C254:C255">{"DEFENSE";"Defense"}</f>
        <v>DEFENSE</v>
      </c>
      <c r="D254" s="222" t="str">
        <f t="array" ref="D254:D255">{"UNARMORED";"Unarmored"}</f>
        <v>UNARMORED</v>
      </c>
      <c r="E254" s="223" t="str">
        <f t="array" ref="E254:E255">{"UNARMOREDINITIAL";((IF(G255=10,"T",(IF(G255=50,"E","")))))}</f>
        <v>UNARMOREDINITIAL</v>
      </c>
      <c r="F254" s="223" t="str">
        <f t="array" ref="F254:F255">{"UNARMOREDINITIALPTS";((IF("00"=(INDEX(ALLCLASSDATA,MATCH("UnarmoredLegendary",CLASSFEATUREHEADERS,0),MATCH($A255,CLASSNAMEHEADERS,0))),(INDEX(ALLCLASSDATA,MATCH("UnarmoredLegendary",CLASSFEATUREHEADERS,0),MATCH(($A255 &amp; "Points"),CLASSNAMEHEADERS,0))),(IF("00"=(INDEX(ALLCLASSDATA,MATCH("UnarmoredMaster",CLASSFEATUREHEADERS,0),MATCH($A255,CLASSNAMEHEADERS,0))),(INDEX(ALLCLASSDATA,MATCH("UnarmoredMaster",CLASSFEATUREHEADERS,0),MATCH(($A255 &amp; "Points"),CLASSNAMEHEADERS,0))),(IF("00"=(INDEX(ALLCLASSDATA,MATCH("UnarmoredExpert",CLASSFEATUREHEADERS,0),MATCH($A255,CLASSNAMEHEADERS,0))),(INDEX(ALLCLASSDATA,MATCH("UnarmoredExpert",CLASSFEATUREHEADERS,0),MATCH(($A255 &amp; "Points"),CLASSNAMEHEADERS,0))),(IF("00"=(INDEX(ALLCLASSDATA,MATCH("UnarmoredTrained",CLASSFEATUREHEADERS,0),MATCH($A255,CLASSNAMEHEADERS,0))),(INDEX(ALLCLASSDATA,MATCH("UnarmoredTrained",CLASSFEATUREHEADERS,0),MATCH(($A255 &amp; "Points"),CLASSNAMEHEADERS,0))),"")))))))))}</f>
        <v>UNARMOREDINITIALPTS</v>
      </c>
      <c r="G254" s="223" t="str">
        <f t="array" ref="G254:G255">{"UNARMOREDL01";((IF("01"=(INDEX(ALLCLASSDATA,MATCH("UnarmoredLegendary",CLASSFEATUREHEADERS,0),MATCH($A255,CLASSNAMEHEADERS,0))),(INDEX(ALLCLASSDATA,MATCH("UnarmoredLegendary",CLASSFEATUREHEADERS,0),MATCH(($A255 &amp; "Points"),CLASSNAMEHEADERS,0))),(IF("01"=(INDEX(ALLCLASSDATA,MATCH("UnarmoredMaster",CLASSFEATUREHEADERS,0),MATCH($A255,CLASSNAMEHEADERS,0))),(INDEX(ALLCLASSDATA,MATCH("UnarmoredMaster",CLASSFEATUREHEADERS,0),MATCH(($A255 &amp; "Points"),CLASSNAMEHEADERS,0))),(IF("01"=(INDEX(ALLCLASSDATA,MATCH("UnarmoredExpert",CLASSFEATUREHEADERS,0),MATCH($A255,CLASSNAMEHEADERS,0))),(INDEX(ALLCLASSDATA,MATCH("UnarmoredExpert",CLASSFEATUREHEADERS,0),MATCH(($A255 &amp; "Points"),CLASSNAMEHEADERS,0))),(IF("01"=(INDEX(ALLCLASSDATA,MATCH("UnarmoredTrained",CLASSFEATUREHEADERS,0),MATCH($A255,CLASSNAMEHEADERS,0))),(INDEX(ALLCLASSDATA,MATCH("UnarmoredTrained",CLASSFEATUREHEADERS,0),MATCH(($A255 &amp; "Points"),CLASSNAMEHEADERS,0))),"")))))))))}</f>
        <v>UNARMOREDL01</v>
      </c>
      <c r="H254" s="223"/>
      <c r="I254" s="223" t="str">
        <f t="array" ref="I254:I255">{"UNARMOREDL03";((IF("03"=(INDEX(ALLCLASSDATA,MATCH("UnarmoredLegendary",CLASSFEATUREHEADERS,0),MATCH($A255,CLASSNAMEHEADERS,0))),(INDEX(ALLCLASSDATA,MATCH("UnarmoredLegendary",CLASSFEATUREHEADERS,0),MATCH(($A255 &amp; "Points"),CLASSNAMEHEADERS,0))),(IF("03"=(INDEX(ALLCLASSDATA,MATCH("UnarmoredMaster",CLASSFEATUREHEADERS,0),MATCH($A255,CLASSNAMEHEADERS,0))),(INDEX(ALLCLASSDATA,MATCH("UnarmoredMaster",CLASSFEATUREHEADERS,0),MATCH(($A255 &amp; "Points"),CLASSNAMEHEADERS,0))),(IF("03"=(INDEX(ALLCLASSDATA,MATCH("UnarmoredExpert",CLASSFEATUREHEADERS,0),MATCH($A255,CLASSNAMEHEADERS,0))),(INDEX(ALLCLASSDATA,MATCH("UnarmoredExpert",CLASSFEATUREHEADERS,0),MATCH(($A255 &amp; "Points"),CLASSNAMEHEADERS,0))),(IF("03"=(INDEX(ALLCLASSDATA,MATCH("UnarmoredTrained",CLASSFEATUREHEADERS,0),MATCH($A255,CLASSNAMEHEADERS,0))),(INDEX(ALLCLASSDATA,MATCH("UnarmoredTrained",CLASSFEATUREHEADERS,0),MATCH(($A255 &amp; "Points"),CLASSNAMEHEADERS,0))),"")))))))))}</f>
        <v>UNARMOREDL03</v>
      </c>
      <c r="J254" s="223"/>
      <c r="K254" s="223" t="str">
        <f t="array" ref="K254:K255">{"UNARMOREDL05";((IF("05"=(INDEX(ALLCLASSDATA,MATCH("UnarmoredLegendary",CLASSFEATUREHEADERS,0),MATCH($A255,CLASSNAMEHEADERS,0))),(INDEX(ALLCLASSDATA,MATCH("UnarmoredLegendary",CLASSFEATUREHEADERS,0),MATCH(($A255 &amp; "Points"),CLASSNAMEHEADERS,0))),(IF("05"=(INDEX(ALLCLASSDATA,MATCH("UnarmoredMaster",CLASSFEATUREHEADERS,0),MATCH($A255,CLASSNAMEHEADERS,0))),(INDEX(ALLCLASSDATA,MATCH("UnarmoredMaster",CLASSFEATUREHEADERS,0),MATCH(($A255 &amp; "Points"),CLASSNAMEHEADERS,0))),(IF("05"=(INDEX(ALLCLASSDATA,MATCH("UnarmoredExpert",CLASSFEATUREHEADERS,0),MATCH($A255,CLASSNAMEHEADERS,0))),(INDEX(ALLCLASSDATA,MATCH("UnarmoredExpert",CLASSFEATUREHEADERS,0),MATCH(($A255 &amp; "Points"),CLASSNAMEHEADERS,0))),(IF("05"=(INDEX(ALLCLASSDATA,MATCH("UnarmoredTrained",CLASSFEATUREHEADERS,0),MATCH($A255,CLASSNAMEHEADERS,0))),(INDEX(ALLCLASSDATA,MATCH("UnarmoredTrained",CLASSFEATUREHEADERS,0),MATCH(($A255 &amp; "Points"),CLASSNAMEHEADERS,0))),"")))))))))}</f>
        <v>UNARMOREDL05</v>
      </c>
      <c r="L254" s="223"/>
      <c r="M254" s="223" t="str">
        <f t="array" ref="M254:M255">{"UNARMOREDL07";((IF("07"=(INDEX(ALLCLASSDATA,MATCH("UnarmoredLegendary",CLASSFEATUREHEADERS,0),MATCH($A255,CLASSNAMEHEADERS,0))),(INDEX(ALLCLASSDATA,MATCH("UnarmoredLegendary",CLASSFEATUREHEADERS,0),MATCH(($A255 &amp; "Points"),CLASSNAMEHEADERS,0))),(IF("07"=(INDEX(ALLCLASSDATA,MATCH("UnarmoredMaster",CLASSFEATUREHEADERS,0),MATCH($A255,CLASSNAMEHEADERS,0))),(INDEX(ALLCLASSDATA,MATCH("UnarmoredMaster",CLASSFEATUREHEADERS,0),MATCH(($A255 &amp; "Points"),CLASSNAMEHEADERS,0))),(IF("07"=(INDEX(ALLCLASSDATA,MATCH("UnarmoredExpert",CLASSFEATUREHEADERS,0),MATCH($A255,CLASSNAMEHEADERS,0))),(INDEX(ALLCLASSDATA,MATCH("UnarmoredExpert",CLASSFEATUREHEADERS,0),MATCH(($A255 &amp; "Points"),CLASSNAMEHEADERS,0))),(IF("07"=(INDEX(ALLCLASSDATA,MATCH("UnarmoredTrained",CLASSFEATUREHEADERS,0),MATCH($A255,CLASSNAMEHEADERS,0))),(INDEX(ALLCLASSDATA,MATCH("UnarmoredTrained",CLASSFEATUREHEADERS,0),MATCH(($A255 &amp; "Points"),CLASSNAMEHEADERS,0))),"")))))))))}</f>
        <v>UNARMOREDL07</v>
      </c>
      <c r="N254" s="223"/>
      <c r="O254" s="223" t="str">
        <f t="array" ref="O254:O255">{"UNARMOREDL09";((IF("09"=(INDEX(ALLCLASSDATA,MATCH("UnarmoredLegendary",CLASSFEATUREHEADERS,0),MATCH($A255,CLASSNAMEHEADERS,0))),(INDEX(ALLCLASSDATA,MATCH("UnarmoredLegendary",CLASSFEATUREHEADERS,0),MATCH(($A255 &amp; "Points"),CLASSNAMEHEADERS,0))),(IF("09"=(INDEX(ALLCLASSDATA,MATCH("UnarmoredMaster",CLASSFEATUREHEADERS,0),MATCH($A255,CLASSNAMEHEADERS,0))),(INDEX(ALLCLASSDATA,MATCH("UnarmoredMaster",CLASSFEATUREHEADERS,0),MATCH(($A255 &amp; "Points"),CLASSNAMEHEADERS,0))),(IF("09"=(INDEX(ALLCLASSDATA,MATCH("UnarmoredExpert",CLASSFEATUREHEADERS,0),MATCH($A255,CLASSNAMEHEADERS,0))),(INDEX(ALLCLASSDATA,MATCH("UnarmoredExpert",CLASSFEATUREHEADERS,0),MATCH(($A255 &amp; "Points"),CLASSNAMEHEADERS,0))),(IF("09"=(INDEX(ALLCLASSDATA,MATCH("UnarmoredTrained",CLASSFEATUREHEADERS,0),MATCH($A255,CLASSNAMEHEADERS,0))),(INDEX(ALLCLASSDATA,MATCH("UnarmoredTrained",CLASSFEATUREHEADERS,0),MATCH(($A255 &amp; "Points"),CLASSNAMEHEADERS,0))),"")))))))))}</f>
        <v>UNARMOREDL09</v>
      </c>
      <c r="P254" s="223"/>
      <c r="Q254" s="223" t="str">
        <f t="array" ref="Q254:Q255">{"UNARMOREDL11";((IF("11"=(INDEX(ALLCLASSDATA,MATCH("UnarmoredLegendary",CLASSFEATUREHEADERS,0),MATCH($A255,CLASSNAMEHEADERS,0))),(INDEX(ALLCLASSDATA,MATCH("UnarmoredLegendary",CLASSFEATUREHEADERS,0),MATCH(($A255 &amp; "Points"),CLASSNAMEHEADERS,0))),(IF("11"=(INDEX(ALLCLASSDATA,MATCH("UnarmoredMaster",CLASSFEATUREHEADERS,0),MATCH($A255,CLASSNAMEHEADERS,0))),(INDEX(ALLCLASSDATA,MATCH("UnarmoredMaster",CLASSFEATUREHEADERS,0),MATCH(($A255 &amp; "Points"),CLASSNAMEHEADERS,0))),(IF("11"=(INDEX(ALLCLASSDATA,MATCH("UnarmoredExpert",CLASSFEATUREHEADERS,0),MATCH($A255,CLASSNAMEHEADERS,0))),(INDEX(ALLCLASSDATA,MATCH("UnarmoredExpert",CLASSFEATUREHEADERS,0),MATCH(($A255 &amp; "Points"),CLASSNAMEHEADERS,0))),(IF("11"=(INDEX(ALLCLASSDATA,MATCH("UnarmoredTrained",CLASSFEATUREHEADERS,0),MATCH($A255,CLASSNAMEHEADERS,0))),(INDEX(ALLCLASSDATA,MATCH("UnarmoredTrained",CLASSFEATUREHEADERS,0),MATCH(($A255 &amp; "Points"),CLASSNAMEHEADERS,0))),"")))))))))}</f>
        <v>UNARMOREDL11</v>
      </c>
      <c r="R254" s="223"/>
      <c r="S254" s="223" t="str">
        <f t="array" ref="S254:S255">{"UNARMOREDL13";((IF("13"=(INDEX(ALLCLASSDATA,MATCH("UnarmoredLegendary",CLASSFEATUREHEADERS,0),MATCH($A255,CLASSNAMEHEADERS,0))),(INDEX(ALLCLASSDATA,MATCH("UnarmoredLegendary",CLASSFEATUREHEADERS,0),MATCH(($A255 &amp; "Points"),CLASSNAMEHEADERS,0))),(IF("13"=(INDEX(ALLCLASSDATA,MATCH("UnarmoredMaster",CLASSFEATUREHEADERS,0),MATCH($A255,CLASSNAMEHEADERS,0))),(INDEX(ALLCLASSDATA,MATCH("UnarmoredMaster",CLASSFEATUREHEADERS,0),MATCH(($A255 &amp; "Points"),CLASSNAMEHEADERS,0))),(IF("13"=(INDEX(ALLCLASSDATA,MATCH("UnarmoredExpert",CLASSFEATUREHEADERS,0),MATCH($A255,CLASSNAMEHEADERS,0))),(INDEX(ALLCLASSDATA,MATCH("UnarmoredExpert",CLASSFEATUREHEADERS,0),MATCH(($A255 &amp; "Points"),CLASSNAMEHEADERS,0))),(IF("13"=(INDEX(ALLCLASSDATA,MATCH("UnarmoredTrained",CLASSFEATUREHEADERS,0),MATCH($A255,CLASSNAMEHEADERS,0))),(INDEX(ALLCLASSDATA,MATCH("UnarmoredTrained",CLASSFEATUREHEADERS,0),MATCH(($A255 &amp; "Points"),CLASSNAMEHEADERS,0))),"")))))))))}</f>
        <v>UNARMOREDL13</v>
      </c>
      <c r="T254" s="223"/>
      <c r="U254" s="223" t="str">
        <f t="array" ref="U254:U255">{"UNARMOREDL15";((IF("15"=(INDEX(ALLCLASSDATA,MATCH("UnarmoredLegendary",CLASSFEATUREHEADERS,0),MATCH($A255,CLASSNAMEHEADERS,0))),(INDEX(ALLCLASSDATA,MATCH("UnarmoredLegendary",CLASSFEATUREHEADERS,0),MATCH(($A255 &amp; "Points"),CLASSNAMEHEADERS,0))),(IF("15"=(INDEX(ALLCLASSDATA,MATCH("UnarmoredMaster",CLASSFEATUREHEADERS,0),MATCH($A255,CLASSNAMEHEADERS,0))),(INDEX(ALLCLASSDATA,MATCH("UnarmoredMaster",CLASSFEATUREHEADERS,0),MATCH(($A255 &amp; "Points"),CLASSNAMEHEADERS,0))),(IF("15"=(INDEX(ALLCLASSDATA,MATCH("UnarmoredExpert",CLASSFEATUREHEADERS,0),MATCH($A255,CLASSNAMEHEADERS,0))),(INDEX(ALLCLASSDATA,MATCH("UnarmoredExpert",CLASSFEATUREHEADERS,0),MATCH(($A255 &amp; "Points"),CLASSNAMEHEADERS,0))),(IF("15"=(INDEX(ALLCLASSDATA,MATCH("UnarmoredTrained",CLASSFEATUREHEADERS,0),MATCH($A255,CLASSNAMEHEADERS,0))),(INDEX(ALLCLASSDATA,MATCH("UnarmoredTrained",CLASSFEATUREHEADERS,0),MATCH(($A255 &amp; "Points"),CLASSNAMEHEADERS,0))),"")))))))))}</f>
        <v>UNARMOREDL15</v>
      </c>
      <c r="V254" s="223"/>
      <c r="W254" s="223" t="str">
        <f t="array" ref="W254:W255">{"UNARMOREDL17";((IF("17"=(INDEX(ALLCLASSDATA,MATCH("UnarmoredLegendary",CLASSFEATUREHEADERS,0),MATCH($A255,CLASSNAMEHEADERS,0))),(INDEX(ALLCLASSDATA,MATCH("UnarmoredLegendary",CLASSFEATUREHEADERS,0),MATCH(($A255 &amp; "Points"),CLASSNAMEHEADERS,0))),(IF("17"=(INDEX(ALLCLASSDATA,MATCH("UnarmoredMaster",CLASSFEATUREHEADERS,0),MATCH($A255,CLASSNAMEHEADERS,0))),(INDEX(ALLCLASSDATA,MATCH("UnarmoredMaster",CLASSFEATUREHEADERS,0),MATCH(($A255 &amp; "Points"),CLASSNAMEHEADERS,0))),(IF("17"=(INDEX(ALLCLASSDATA,MATCH("UnarmoredExpert",CLASSFEATUREHEADERS,0),MATCH($A255,CLASSNAMEHEADERS,0))),(INDEX(ALLCLASSDATA,MATCH("UnarmoredExpert",CLASSFEATUREHEADERS,0),MATCH(($A255 &amp; "Points"),CLASSNAMEHEADERS,0))),(IF("17"=(INDEX(ALLCLASSDATA,MATCH("UnarmoredTrained",CLASSFEATUREHEADERS,0),MATCH($A255,CLASSNAMEHEADERS,0))),(INDEX(ALLCLASSDATA,MATCH("UnarmoredTrained",CLASSFEATUREHEADERS,0),MATCH(($A255 &amp; "Points"),CLASSNAMEHEADERS,0))),"")))))))))}</f>
        <v>UNARMOREDL17</v>
      </c>
      <c r="X254" s="223"/>
      <c r="Y254" s="223" t="str">
        <f t="array" ref="Y254:Y255">{"UNARMOREDL19";((IF("19"=(INDEX(ALLCLASSDATA,MATCH("UnarmoredLegendary",CLASSFEATUREHEADERS,0),MATCH($A255,CLASSNAMEHEADERS,0))),(INDEX(ALLCLASSDATA,MATCH("UnarmoredLegendary",CLASSFEATUREHEADERS,0),MATCH(($A255 &amp; "Points"),CLASSNAMEHEADERS,0))),(IF("19"=(INDEX(ALLCLASSDATA,MATCH("UnarmoredMaster",CLASSFEATUREHEADERS,0),MATCH($A255,CLASSNAMEHEADERS,0))),(INDEX(ALLCLASSDATA,MATCH("UnarmoredMaster",CLASSFEATUREHEADERS,0),MATCH(($A255 &amp; "Points"),CLASSNAMEHEADERS,0))),(IF("19"=(INDEX(ALLCLASSDATA,MATCH("UnarmoredExpert",CLASSFEATUREHEADERS,0),MATCH($A255,CLASSNAMEHEADERS,0))),(INDEX(ALLCLASSDATA,MATCH("UnarmoredExpert",CLASSFEATUREHEADERS,0),MATCH(($A255 &amp; "Points"),CLASSNAMEHEADERS,0))),(IF("19"=(INDEX(ALLCLASSDATA,MATCH("UnarmoredTrained",CLASSFEATUREHEADERS,0),MATCH($A255,CLASSNAMEHEADERS,0))),(INDEX(ALLCLASSDATA,MATCH("UnarmoredTrained",CLASSFEATUREHEADERS,0),MATCH(($A255 &amp; "Points"),CLASSNAMEHEADERS,0))),"")))))))))}</f>
        <v>UNARMOREDL19</v>
      </c>
      <c r="Z254" s="223"/>
      <c r="AA254" s="76" t="str">
        <f t="array" ref="AA254:AA255">{"UNARMORED TOTAL";(IF(COUNTBLANK(F255:Z255)=17,"L",(IF(COUNTBLANK(F255:Z255)=18,"M",(IF(COUNTBLANK(F255:Z255)=19,"E",(IF(COUNTBLANK(F255:Z255)=20,"T",""))))))))}</f>
        <v>UNARMORED TOTAL</v>
      </c>
      <c r="AB254" s="76" t="str">
        <f t="array" ref="AB254:AB255">{"UNARMORED TOTAL";(sum(F255:Z255))}</f>
        <v>UNARMORED TOTAL</v>
      </c>
    </row>
    <row r="255">
      <c r="A255" s="48" t="s">
        <v>225</v>
      </c>
      <c r="B255" s="48" t="s">
        <v>418</v>
      </c>
      <c r="C255" s="48" t="s">
        <v>1900</v>
      </c>
      <c r="D255" s="48" t="s">
        <v>78</v>
      </c>
      <c r="E255" s="5" t="s">
        <v>435</v>
      </c>
      <c r="F255" s="47" t="s">
        <v>603</v>
      </c>
      <c r="G255" s="5">
        <v>10.0</v>
      </c>
      <c r="H255" s="5"/>
      <c r="I255" s="5" t="s">
        <v>603</v>
      </c>
      <c r="J255" s="5"/>
      <c r="K255" s="5" t="s">
        <v>603</v>
      </c>
      <c r="L255" s="5"/>
      <c r="M255" s="5" t="s">
        <v>603</v>
      </c>
      <c r="N255" s="5"/>
      <c r="O255" s="5" t="s">
        <v>603</v>
      </c>
      <c r="P255" s="5"/>
      <c r="Q255" s="5" t="s">
        <v>436</v>
      </c>
      <c r="R255" s="5"/>
      <c r="S255" s="5" t="s">
        <v>603</v>
      </c>
      <c r="T255" s="5"/>
      <c r="U255" s="5" t="s">
        <v>603</v>
      </c>
      <c r="V255" s="5"/>
      <c r="W255" s="5" t="s">
        <v>603</v>
      </c>
      <c r="X255" s="5"/>
      <c r="Y255" s="5" t="s">
        <v>603</v>
      </c>
      <c r="Z255" s="5"/>
      <c r="AA255" s="5" t="s">
        <v>436</v>
      </c>
      <c r="AB255" s="47">
        <v>10.0</v>
      </c>
    </row>
    <row r="256" hidden="1">
      <c r="A256" s="222" t="str">
        <f t="array" ref="A256:A257">{"FormulaRow36";(INDEX(CLASSLIST,A185,1))}</f>
        <v>FormulaRow36</v>
      </c>
      <c r="B256" s="222" t="str">
        <f t="array" ref="B256:B257">{"CLASSTYPE";((INDEX(ALLCLASSDATA,MATCH("ClassType",CLASSFEATUREHEADERS,0),MATCH($A257,CLASSNAMEHEADERS,0))))}</f>
        <v>CLASSTYPE</v>
      </c>
      <c r="C256" s="222" t="str">
        <f t="array" ref="C256:C257">{"DEFENSE";"Defense"}</f>
        <v>DEFENSE</v>
      </c>
      <c r="D256" s="222" t="str">
        <f t="array" ref="D256:D257">{"LIGHT";"Light"}</f>
        <v>LIGHT</v>
      </c>
      <c r="E256" s="223" t="str">
        <f t="array" ref="E256:E257">{"LIGHTINITIAL";((IF(G257=10,"T",(IF(G257=50,"E","")))))}</f>
        <v>LIGHTINITIAL</v>
      </c>
      <c r="F256" s="223" t="str">
        <f t="array" ref="F256:F257">{"LIGHTINITIALPTS";((IF("00"=(INDEX(ALLCLASSDATA,MATCH("LightLegendary",CLASSFEATUREHEADERS,0),MATCH($A257,CLASSNAMEHEADERS,0))),(INDEX(ALLCLASSDATA,MATCH("LightLegendary",CLASSFEATUREHEADERS,0),MATCH(($A257 &amp; "Points"),CLASSNAMEHEADERS,0))),(IF("00"=(INDEX(ALLCLASSDATA,MATCH("LightMaster",CLASSFEATUREHEADERS,0),MATCH($A257,CLASSNAMEHEADERS,0))),(INDEX(ALLCLASSDATA,MATCH("LightMaster",CLASSFEATUREHEADERS,0),MATCH(($A257 &amp; "Points"),CLASSNAMEHEADERS,0))),(IF("00"=(INDEX(ALLCLASSDATA,MATCH("LightExpert",CLASSFEATUREHEADERS,0),MATCH($A257,CLASSNAMEHEADERS,0))),(INDEX(ALLCLASSDATA,MATCH("LightExpert",CLASSFEATUREHEADERS,0),MATCH(($A257 &amp; "Points"),CLASSNAMEHEADERS,0))),(IF("00"=(INDEX(ALLCLASSDATA,MATCH("LightTrained",CLASSFEATUREHEADERS,0),MATCH($A257,CLASSNAMEHEADERS,0))),(INDEX(ALLCLASSDATA,MATCH("LightTrained",CLASSFEATUREHEADERS,0),MATCH(($A257 &amp; "Points"),CLASSNAMEHEADERS,0))),"")))))))))}</f>
        <v>LIGHTINITIALPTS</v>
      </c>
      <c r="G256" s="223" t="str">
        <f t="array" ref="G256:G257">{"LIGHTL01";((IF("01"=(INDEX(ALLCLASSDATA,MATCH("LightLegendary",CLASSFEATUREHEADERS,0),MATCH($A257,CLASSNAMEHEADERS,0))),(INDEX(ALLCLASSDATA,MATCH("LightLegendary",CLASSFEATUREHEADERS,0),MATCH(($A257 &amp; "Points"),CLASSNAMEHEADERS,0))),(IF("01"=(INDEX(ALLCLASSDATA,MATCH("LightMaster",CLASSFEATUREHEADERS,0),MATCH($A257,CLASSNAMEHEADERS,0))),(INDEX(ALLCLASSDATA,MATCH("LightMaster",CLASSFEATUREHEADERS,0),MATCH(($A257 &amp; "Points"),CLASSNAMEHEADERS,0))),(IF("01"=(INDEX(ALLCLASSDATA,MATCH("LightExpert",CLASSFEATUREHEADERS,0),MATCH($A257,CLASSNAMEHEADERS,0))),(INDEX(ALLCLASSDATA,MATCH("LightExpert",CLASSFEATUREHEADERS,0),MATCH(($A257 &amp; "Points"),CLASSNAMEHEADERS,0))),(IF("01"=(INDEX(ALLCLASSDATA,MATCH("LightTrained",CLASSFEATUREHEADERS,0),MATCH($A257,CLASSNAMEHEADERS,0))),(INDEX(ALLCLASSDATA,MATCH("LightTrained",CLASSFEATUREHEADERS,0),MATCH(($A257 &amp; "Points"),CLASSNAMEHEADERS,0))),"")))))))))}</f>
        <v>LIGHTL01</v>
      </c>
      <c r="H256" s="223"/>
      <c r="I256" s="223" t="str">
        <f t="array" ref="I256:I257">{"LIGHTL03";((IF("03"=(INDEX(ALLCLASSDATA,MATCH("LightLegendary",CLASSFEATUREHEADERS,0),MATCH($A257,CLASSNAMEHEADERS,0))),(INDEX(ALLCLASSDATA,MATCH("LightLegendary",CLASSFEATUREHEADERS,0),MATCH(($A257 &amp; "Points"),CLASSNAMEHEADERS,0))),(IF("03"=(INDEX(ALLCLASSDATA,MATCH("LightMaster",CLASSFEATUREHEADERS,0),MATCH($A257,CLASSNAMEHEADERS,0))),(INDEX(ALLCLASSDATA,MATCH("LightMaster",CLASSFEATUREHEADERS,0),MATCH(($A257 &amp; "Points"),CLASSNAMEHEADERS,0))),(IF("03"=(INDEX(ALLCLASSDATA,MATCH("LightExpert",CLASSFEATUREHEADERS,0),MATCH($A257,CLASSNAMEHEADERS,0))),(INDEX(ALLCLASSDATA,MATCH("LightExpert",CLASSFEATUREHEADERS,0),MATCH(($A257 &amp; "Points"),CLASSNAMEHEADERS,0))),(IF("03"=(INDEX(ALLCLASSDATA,MATCH("LightTrained",CLASSFEATUREHEADERS,0),MATCH($A257,CLASSNAMEHEADERS,0))),(INDEX(ALLCLASSDATA,MATCH("LightTrained",CLASSFEATUREHEADERS,0),MATCH(($A257 &amp; "Points"),CLASSNAMEHEADERS,0))),"")))))))))}</f>
        <v>LIGHTL03</v>
      </c>
      <c r="J256" s="223"/>
      <c r="K256" s="223" t="str">
        <f t="array" ref="K256:K257">{"LIGHTL05";((IF("05"=(INDEX(ALLCLASSDATA,MATCH("LightLegendary",CLASSFEATUREHEADERS,0),MATCH($A257,CLASSNAMEHEADERS,0))),(INDEX(ALLCLASSDATA,MATCH("LightLegendary",CLASSFEATUREHEADERS,0),MATCH(($A257 &amp; "Points"),CLASSNAMEHEADERS,0))),(IF("05"=(INDEX(ALLCLASSDATA,MATCH("LightMaster",CLASSFEATUREHEADERS,0),MATCH($A257,CLASSNAMEHEADERS,0))),(INDEX(ALLCLASSDATA,MATCH("LightMaster",CLASSFEATUREHEADERS,0),MATCH(($A257 &amp; "Points"),CLASSNAMEHEADERS,0))),(IF("05"=(INDEX(ALLCLASSDATA,MATCH("LightExpert",CLASSFEATUREHEADERS,0),MATCH($A257,CLASSNAMEHEADERS,0))),(INDEX(ALLCLASSDATA,MATCH("LightExpert",CLASSFEATUREHEADERS,0),MATCH(($A257 &amp; "Points"),CLASSNAMEHEADERS,0))),(IF("05"=(INDEX(ALLCLASSDATA,MATCH("LightTrained",CLASSFEATUREHEADERS,0),MATCH($A257,CLASSNAMEHEADERS,0))),(INDEX(ALLCLASSDATA,MATCH("LightTrained",CLASSFEATUREHEADERS,0),MATCH(($A257 &amp; "Points"),CLASSNAMEHEADERS,0))),"")))))))))}</f>
        <v>LIGHTL05</v>
      </c>
      <c r="L256" s="223"/>
      <c r="M256" s="223" t="str">
        <f t="array" ref="M256:M257">{"LIGHTL07";((IF("07"=(INDEX(ALLCLASSDATA,MATCH("LightLegendary",CLASSFEATUREHEADERS,0),MATCH($A257,CLASSNAMEHEADERS,0))),(INDEX(ALLCLASSDATA,MATCH("LightLegendary",CLASSFEATUREHEADERS,0),MATCH(($A257 &amp; "Points"),CLASSNAMEHEADERS,0))),(IF("07"=(INDEX(ALLCLASSDATA,MATCH("LightMaster",CLASSFEATUREHEADERS,0),MATCH($A257,CLASSNAMEHEADERS,0))),(INDEX(ALLCLASSDATA,MATCH("LightMaster",CLASSFEATUREHEADERS,0),MATCH(($A257 &amp; "Points"),CLASSNAMEHEADERS,0))),(IF("07"=(INDEX(ALLCLASSDATA,MATCH("LightExpert",CLASSFEATUREHEADERS,0),MATCH($A257,CLASSNAMEHEADERS,0))),(INDEX(ALLCLASSDATA,MATCH("LightExpert",CLASSFEATUREHEADERS,0),MATCH(($A257 &amp; "Points"),CLASSNAMEHEADERS,0))),(IF("07"=(INDEX(ALLCLASSDATA,MATCH("LightTrained",CLASSFEATUREHEADERS,0),MATCH($A257,CLASSNAMEHEADERS,0))),(INDEX(ALLCLASSDATA,MATCH("LightTrained",CLASSFEATUREHEADERS,0),MATCH(($A257 &amp; "Points"),CLASSNAMEHEADERS,0))),"")))))))))}</f>
        <v>LIGHTL07</v>
      </c>
      <c r="N256" s="223"/>
      <c r="O256" s="223" t="str">
        <f t="array" ref="O256:O257">{"LIGHTL09";((IF("09"=(INDEX(ALLCLASSDATA,MATCH("LightLegendary",CLASSFEATUREHEADERS,0),MATCH($A257,CLASSNAMEHEADERS,0))),(INDEX(ALLCLASSDATA,MATCH("LightLegendary",CLASSFEATUREHEADERS,0),MATCH(($A257 &amp; "Points"),CLASSNAMEHEADERS,0))),(IF("09"=(INDEX(ALLCLASSDATA,MATCH("LightMaster",CLASSFEATUREHEADERS,0),MATCH($A257,CLASSNAMEHEADERS,0))),(INDEX(ALLCLASSDATA,MATCH("LightMaster",CLASSFEATUREHEADERS,0),MATCH(($A257 &amp; "Points"),CLASSNAMEHEADERS,0))),(IF("09"=(INDEX(ALLCLASSDATA,MATCH("LightExpert",CLASSFEATUREHEADERS,0),MATCH($A257,CLASSNAMEHEADERS,0))),(INDEX(ALLCLASSDATA,MATCH("LightExpert",CLASSFEATUREHEADERS,0),MATCH(($A257 &amp; "Points"),CLASSNAMEHEADERS,0))),(IF("09"=(INDEX(ALLCLASSDATA,MATCH("LightTrained",CLASSFEATUREHEADERS,0),MATCH($A257,CLASSNAMEHEADERS,0))),(INDEX(ALLCLASSDATA,MATCH("LightTrained",CLASSFEATUREHEADERS,0),MATCH(($A257 &amp; "Points"),CLASSNAMEHEADERS,0))),"")))))))))}</f>
        <v>LIGHTL09</v>
      </c>
      <c r="P256" s="223"/>
      <c r="Q256" s="223" t="str">
        <f t="array" ref="Q256:Q257">{"LIGHTL11";((IF("11"=(INDEX(ALLCLASSDATA,MATCH("LightLegendary",CLASSFEATUREHEADERS,0),MATCH($A257,CLASSNAMEHEADERS,0))),(INDEX(ALLCLASSDATA,MATCH("LightLegendary",CLASSFEATUREHEADERS,0),MATCH(($A257 &amp; "Points"),CLASSNAMEHEADERS,0))),(IF("11"=(INDEX(ALLCLASSDATA,MATCH("LightMaster",CLASSFEATUREHEADERS,0),MATCH($A257,CLASSNAMEHEADERS,0))),(INDEX(ALLCLASSDATA,MATCH("LightMaster",CLASSFEATUREHEADERS,0),MATCH(($A257 &amp; "Points"),CLASSNAMEHEADERS,0))),(IF("11"=(INDEX(ALLCLASSDATA,MATCH("LightExpert",CLASSFEATUREHEADERS,0),MATCH($A257,CLASSNAMEHEADERS,0))),(INDEX(ALLCLASSDATA,MATCH("LightExpert",CLASSFEATUREHEADERS,0),MATCH(($A257 &amp; "Points"),CLASSNAMEHEADERS,0))),(IF("11"=(INDEX(ALLCLASSDATA,MATCH("LightTrained",CLASSFEATUREHEADERS,0),MATCH($A257,CLASSNAMEHEADERS,0))),(INDEX(ALLCLASSDATA,MATCH("LightTrained",CLASSFEATUREHEADERS,0),MATCH(($A257 &amp; "Points"),CLASSNAMEHEADERS,0))),"")))))))))}</f>
        <v>LIGHTL11</v>
      </c>
      <c r="R256" s="223"/>
      <c r="S256" s="223" t="str">
        <f t="array" ref="S256:S257">{"LIGHTL13";((IF("13"=(INDEX(ALLCLASSDATA,MATCH("LightLegendary",CLASSFEATUREHEADERS,0),MATCH($A257,CLASSNAMEHEADERS,0))),(INDEX(ALLCLASSDATA,MATCH("LightLegendary",CLASSFEATUREHEADERS,0),MATCH(($A257 &amp; "Points"),CLASSNAMEHEADERS,0))),(IF("13"=(INDEX(ALLCLASSDATA,MATCH("LightMaster",CLASSFEATUREHEADERS,0),MATCH($A257,CLASSNAMEHEADERS,0))),(INDEX(ALLCLASSDATA,MATCH("LightMaster",CLASSFEATUREHEADERS,0),MATCH(($A257 &amp; "Points"),CLASSNAMEHEADERS,0))),(IF("13"=(INDEX(ALLCLASSDATA,MATCH("LightExpert",CLASSFEATUREHEADERS,0),MATCH($A257,CLASSNAMEHEADERS,0))),(INDEX(ALLCLASSDATA,MATCH("LightExpert",CLASSFEATUREHEADERS,0),MATCH(($A257 &amp; "Points"),CLASSNAMEHEADERS,0))),(IF("13"=(INDEX(ALLCLASSDATA,MATCH("LightTrained",CLASSFEATUREHEADERS,0),MATCH($A257,CLASSNAMEHEADERS,0))),(INDEX(ALLCLASSDATA,MATCH("LightTrained",CLASSFEATUREHEADERS,0),MATCH(($A257 &amp; "Points"),CLASSNAMEHEADERS,0))),"")))))))))}</f>
        <v>LIGHTL13</v>
      </c>
      <c r="T256" s="223"/>
      <c r="U256" s="223" t="str">
        <f t="array" ref="U256:U257">{"LIGHTL15";((IF("15"=(INDEX(ALLCLASSDATA,MATCH("LightLegendary",CLASSFEATUREHEADERS,0),MATCH($A257,CLASSNAMEHEADERS,0))),(INDEX(ALLCLASSDATA,MATCH("LightLegendary",CLASSFEATUREHEADERS,0),MATCH(($A257 &amp; "Points"),CLASSNAMEHEADERS,0))),(IF("15"=(INDEX(ALLCLASSDATA,MATCH("LightMaster",CLASSFEATUREHEADERS,0),MATCH($A257,CLASSNAMEHEADERS,0))),(INDEX(ALLCLASSDATA,MATCH("LightMaster",CLASSFEATUREHEADERS,0),MATCH(($A257 &amp; "Points"),CLASSNAMEHEADERS,0))),(IF("15"=(INDEX(ALLCLASSDATA,MATCH("LightExpert",CLASSFEATUREHEADERS,0),MATCH($A257,CLASSNAMEHEADERS,0))),(INDEX(ALLCLASSDATA,MATCH("LightExpert",CLASSFEATUREHEADERS,0),MATCH(($A257 &amp; "Points"),CLASSNAMEHEADERS,0))),(IF("15"=(INDEX(ALLCLASSDATA,MATCH("LightTrained",CLASSFEATUREHEADERS,0),MATCH($A257,CLASSNAMEHEADERS,0))),(INDEX(ALLCLASSDATA,MATCH("LightTrained",CLASSFEATUREHEADERS,0),MATCH(($A257 &amp; "Points"),CLASSNAMEHEADERS,0))),"")))))))))}</f>
        <v>LIGHTL15</v>
      </c>
      <c r="V256" s="223"/>
      <c r="W256" s="223" t="str">
        <f t="array" ref="W256:W257">{"LIGHTL17";((IF("17"=(INDEX(ALLCLASSDATA,MATCH("LightLegendary",CLASSFEATUREHEADERS,0),MATCH($A257,CLASSNAMEHEADERS,0))),(INDEX(ALLCLASSDATA,MATCH("LightLegendary",CLASSFEATUREHEADERS,0),MATCH(($A257 &amp; "Points"),CLASSNAMEHEADERS,0))),(IF("17"=(INDEX(ALLCLASSDATA,MATCH("LightMaster",CLASSFEATUREHEADERS,0),MATCH($A257,CLASSNAMEHEADERS,0))),(INDEX(ALLCLASSDATA,MATCH("LightMaster",CLASSFEATUREHEADERS,0),MATCH(($A257 &amp; "Points"),CLASSNAMEHEADERS,0))),(IF("17"=(INDEX(ALLCLASSDATA,MATCH("LightExpert",CLASSFEATUREHEADERS,0),MATCH($A257,CLASSNAMEHEADERS,0))),(INDEX(ALLCLASSDATA,MATCH("LightExpert",CLASSFEATUREHEADERS,0),MATCH(($A257 &amp; "Points"),CLASSNAMEHEADERS,0))),(IF("17"=(INDEX(ALLCLASSDATA,MATCH("LightTrained",CLASSFEATUREHEADERS,0),MATCH($A257,CLASSNAMEHEADERS,0))),(INDEX(ALLCLASSDATA,MATCH("LightTrained",CLASSFEATUREHEADERS,0),MATCH(($A257 &amp; "Points"),CLASSNAMEHEADERS,0))),"")))))))))}</f>
        <v>LIGHTL17</v>
      </c>
      <c r="X256" s="223"/>
      <c r="Y256" s="223" t="str">
        <f t="array" ref="Y256:Y257">{"LIGHTL19";((IF("19"=(INDEX(ALLCLASSDATA,MATCH("LightLegendary",CLASSFEATUREHEADERS,0),MATCH($A257,CLASSNAMEHEADERS,0))),(INDEX(ALLCLASSDATA,MATCH("LightLegendary",CLASSFEATUREHEADERS,0),MATCH(($A257 &amp; "Points"),CLASSNAMEHEADERS,0))),(IF("19"=(INDEX(ALLCLASSDATA,MATCH("LightMaster",CLASSFEATUREHEADERS,0),MATCH($A257,CLASSNAMEHEADERS,0))),(INDEX(ALLCLASSDATA,MATCH("LightMaster",CLASSFEATUREHEADERS,0),MATCH(($A257 &amp; "Points"),CLASSNAMEHEADERS,0))),(IF("19"=(INDEX(ALLCLASSDATA,MATCH("LightExpert",CLASSFEATUREHEADERS,0),MATCH($A257,CLASSNAMEHEADERS,0))),(INDEX(ALLCLASSDATA,MATCH("LightExpert",CLASSFEATUREHEADERS,0),MATCH(($A257 &amp; "Points"),CLASSNAMEHEADERS,0))),(IF("19"=(INDEX(ALLCLASSDATA,MATCH("LightTrained",CLASSFEATUREHEADERS,0),MATCH($A257,CLASSNAMEHEADERS,0))),(INDEX(ALLCLASSDATA,MATCH("LightTrained",CLASSFEATUREHEADERS,0),MATCH(($A257 &amp; "Points"),CLASSNAMEHEADERS,0))),"")))))))))}</f>
        <v>LIGHTL19</v>
      </c>
      <c r="Z256" s="223"/>
      <c r="AA256" s="76" t="str">
        <f t="array" ref="AA256:AA257">{"LIGHT TOTAL";(IF(COUNTBLANK(F257:Z257)=17,"L",(IF(COUNTBLANK(F257:Z257)=18,"M",(IF(COUNTBLANK(F257:Z257)=19,"E",(IF(COUNTBLANK(F257:Z257)=20,"T",""))))))))}</f>
        <v>LIGHT TOTAL</v>
      </c>
      <c r="AB256" s="76" t="str">
        <f t="array" ref="AB256:AB257">{"LIGHT TOTAL";(sum(F257:Z257))}</f>
        <v>LIGHT TOTAL</v>
      </c>
    </row>
    <row r="257">
      <c r="A257" s="48" t="s">
        <v>225</v>
      </c>
      <c r="B257" s="48" t="s">
        <v>418</v>
      </c>
      <c r="C257" s="48" t="s">
        <v>1900</v>
      </c>
      <c r="D257" s="48" t="s">
        <v>77</v>
      </c>
      <c r="E257" s="5" t="s">
        <v>435</v>
      </c>
      <c r="F257" s="47" t="s">
        <v>603</v>
      </c>
      <c r="G257" s="5">
        <v>10.0</v>
      </c>
      <c r="H257" s="5"/>
      <c r="I257" s="5" t="s">
        <v>603</v>
      </c>
      <c r="J257" s="5"/>
      <c r="K257" s="5" t="s">
        <v>603</v>
      </c>
      <c r="L257" s="5"/>
      <c r="M257" s="5" t="s">
        <v>603</v>
      </c>
      <c r="N257" s="5"/>
      <c r="O257" s="5" t="s">
        <v>603</v>
      </c>
      <c r="P257" s="5"/>
      <c r="Q257" s="5" t="s">
        <v>436</v>
      </c>
      <c r="R257" s="5"/>
      <c r="S257" s="5" t="s">
        <v>603</v>
      </c>
      <c r="T257" s="5"/>
      <c r="U257" s="5" t="s">
        <v>603</v>
      </c>
      <c r="V257" s="5"/>
      <c r="W257" s="5" t="s">
        <v>603</v>
      </c>
      <c r="X257" s="5"/>
      <c r="Y257" s="5" t="s">
        <v>603</v>
      </c>
      <c r="Z257" s="5"/>
      <c r="AA257" s="5" t="s">
        <v>436</v>
      </c>
      <c r="AB257" s="47">
        <v>10.0</v>
      </c>
    </row>
    <row r="258" hidden="1">
      <c r="A258" s="222" t="str">
        <f t="array" ref="A258:A259">{"FormulaRow37";(INDEX(CLASSLIST,A185,1))}</f>
        <v>FormulaRow37</v>
      </c>
      <c r="B258" s="222" t="str">
        <f t="array" ref="B258:B259">{"CLASSTYPE";((INDEX(ALLCLASSDATA,MATCH("ClassType",CLASSFEATUREHEADERS,0),MATCH($A259,CLASSNAMEHEADERS,0))))}</f>
        <v>CLASSTYPE</v>
      </c>
      <c r="C258" s="222" t="str">
        <f t="array" ref="C258:C259">{"DEFENSE";"Defense"}</f>
        <v>DEFENSE</v>
      </c>
      <c r="D258" s="222" t="str">
        <f t="array" ref="D258:D259">{"MEDIUM";"Medium"}</f>
        <v>MEDIUM</v>
      </c>
      <c r="E258" s="223" t="str">
        <f t="array" ref="E258:E259">{"MEDIUMINITIAL";((IF(G259=10,"T",(IF(G259=50,"E","")))))}</f>
        <v>MEDIUMINITIAL</v>
      </c>
      <c r="F258" s="223" t="str">
        <f t="array" ref="F258:F259">{"MEDIUMINITIALPTS";((IF("00"=(INDEX(ALLCLASSDATA,MATCH("MediumLegendary",CLASSFEATUREHEADERS,0),MATCH($A259,CLASSNAMEHEADERS,0))),(INDEX(ALLCLASSDATA,MATCH("MediumLegendary",CLASSFEATUREHEADERS,0),MATCH(($A259 &amp; "Points"),CLASSNAMEHEADERS,0))),(IF("00"=(INDEX(ALLCLASSDATA,MATCH("MediumMaster",CLASSFEATUREHEADERS,0),MATCH($A259,CLASSNAMEHEADERS,0))),(INDEX(ALLCLASSDATA,MATCH("MediumMaster",CLASSFEATUREHEADERS,0),MATCH(($A259 &amp; "Points"),CLASSNAMEHEADERS,0))),(IF("00"=(INDEX(ALLCLASSDATA,MATCH("MediumExpert",CLASSFEATUREHEADERS,0),MATCH($A259,CLASSNAMEHEADERS,0))),(INDEX(ALLCLASSDATA,MATCH("MediumExpert",CLASSFEATUREHEADERS,0),MATCH(($A259 &amp; "Points"),CLASSNAMEHEADERS,0))),(IF("00"=(INDEX(ALLCLASSDATA,MATCH("MediumTrained",CLASSFEATUREHEADERS,0),MATCH($A259,CLASSNAMEHEADERS,0))),(INDEX(ALLCLASSDATA,MATCH("MediumTrained",CLASSFEATUREHEADERS,0),MATCH(($A259 &amp; "Points"),CLASSNAMEHEADERS,0))),"")))))))))}</f>
        <v>MEDIUMINITIALPTS</v>
      </c>
      <c r="G258" s="223" t="str">
        <f t="array" ref="G258:G259">{"MEDIUML01";((IF("01"=(INDEX(ALLCLASSDATA,MATCH("MediumLegendary",CLASSFEATUREHEADERS,0),MATCH($A259,CLASSNAMEHEADERS,0))),(INDEX(ALLCLASSDATA,MATCH("MediumLegendary",CLASSFEATUREHEADERS,0),MATCH(($A259 &amp; "Points"),CLASSNAMEHEADERS,0))),(IF("01"=(INDEX(ALLCLASSDATA,MATCH("MediumMaster",CLASSFEATUREHEADERS,0),MATCH($A259,CLASSNAMEHEADERS,0))),(INDEX(ALLCLASSDATA,MATCH("MediumMaster",CLASSFEATUREHEADERS,0),MATCH(($A259 &amp; "Points"),CLASSNAMEHEADERS,0))),(IF("01"=(INDEX(ALLCLASSDATA,MATCH("MediumExpert",CLASSFEATUREHEADERS,0),MATCH($A259,CLASSNAMEHEADERS,0))),(INDEX(ALLCLASSDATA,MATCH("MediumExpert",CLASSFEATUREHEADERS,0),MATCH(($A259 &amp; "Points"),CLASSNAMEHEADERS,0))),(IF("01"=(INDEX(ALLCLASSDATA,MATCH("MediumTrained",CLASSFEATUREHEADERS,0),MATCH($A259,CLASSNAMEHEADERS,0))),(INDEX(ALLCLASSDATA,MATCH("MediumTrained",CLASSFEATUREHEADERS,0),MATCH(($A259 &amp; "Points"),CLASSNAMEHEADERS,0))),"")))))))))}</f>
        <v>MEDIUML01</v>
      </c>
      <c r="H258" s="223"/>
      <c r="I258" s="223" t="str">
        <f t="array" ref="I258:I259">{"MEDIUML03";((IF("03"=(INDEX(ALLCLASSDATA,MATCH("MediumLegendary",CLASSFEATUREHEADERS,0),MATCH($A259,CLASSNAMEHEADERS,0))),(INDEX(ALLCLASSDATA,MATCH("MediumLegendary",CLASSFEATUREHEADERS,0),MATCH(($A259 &amp; "Points"),CLASSNAMEHEADERS,0))),(IF("03"=(INDEX(ALLCLASSDATA,MATCH("MediumMaster",CLASSFEATUREHEADERS,0),MATCH($A259,CLASSNAMEHEADERS,0))),(INDEX(ALLCLASSDATA,MATCH("MediumMaster",CLASSFEATUREHEADERS,0),MATCH(($A259 &amp; "Points"),CLASSNAMEHEADERS,0))),(IF("03"=(INDEX(ALLCLASSDATA,MATCH("MediumExpert",CLASSFEATUREHEADERS,0),MATCH($A259,CLASSNAMEHEADERS,0))),(INDEX(ALLCLASSDATA,MATCH("MediumExpert",CLASSFEATUREHEADERS,0),MATCH(($A259 &amp; "Points"),CLASSNAMEHEADERS,0))),(IF("03"=(INDEX(ALLCLASSDATA,MATCH("MediumTrained",CLASSFEATUREHEADERS,0),MATCH($A259,CLASSNAMEHEADERS,0))),(INDEX(ALLCLASSDATA,MATCH("MediumTrained",CLASSFEATUREHEADERS,0),MATCH(($A259 &amp; "Points"),CLASSNAMEHEADERS,0))),"")))))))))}</f>
        <v>MEDIUML03</v>
      </c>
      <c r="J258" s="223"/>
      <c r="K258" s="223" t="str">
        <f t="array" ref="K258:K259">{"MEDIUML05";((IF("05"=(INDEX(ALLCLASSDATA,MATCH("MediumLegendary",CLASSFEATUREHEADERS,0),MATCH($A259,CLASSNAMEHEADERS,0))),(INDEX(ALLCLASSDATA,MATCH("MediumLegendary",CLASSFEATUREHEADERS,0),MATCH(($A259 &amp; "Points"),CLASSNAMEHEADERS,0))),(IF("05"=(INDEX(ALLCLASSDATA,MATCH("MediumMaster",CLASSFEATUREHEADERS,0),MATCH($A259,CLASSNAMEHEADERS,0))),(INDEX(ALLCLASSDATA,MATCH("MediumMaster",CLASSFEATUREHEADERS,0),MATCH(($A259 &amp; "Points"),CLASSNAMEHEADERS,0))),(IF("05"=(INDEX(ALLCLASSDATA,MATCH("MediumExpert",CLASSFEATUREHEADERS,0),MATCH($A259,CLASSNAMEHEADERS,0))),(INDEX(ALLCLASSDATA,MATCH("MediumExpert",CLASSFEATUREHEADERS,0),MATCH(($A259 &amp; "Points"),CLASSNAMEHEADERS,0))),(IF("05"=(INDEX(ALLCLASSDATA,MATCH("MediumTrained",CLASSFEATUREHEADERS,0),MATCH($A259,CLASSNAMEHEADERS,0))),(INDEX(ALLCLASSDATA,MATCH("MediumTrained",CLASSFEATUREHEADERS,0),MATCH(($A259 &amp; "Points"),CLASSNAMEHEADERS,0))),"")))))))))}</f>
        <v>MEDIUML05</v>
      </c>
      <c r="L258" s="223"/>
      <c r="M258" s="223" t="str">
        <f t="array" ref="M258:M259">{"MEDIUML07";((IF("07"=(INDEX(ALLCLASSDATA,MATCH("MediumLegendary",CLASSFEATUREHEADERS,0),MATCH($A259,CLASSNAMEHEADERS,0))),(INDEX(ALLCLASSDATA,MATCH("MediumLegendary",CLASSFEATUREHEADERS,0),MATCH(($A259 &amp; "Points"),CLASSNAMEHEADERS,0))),(IF("07"=(INDEX(ALLCLASSDATA,MATCH("MediumMaster",CLASSFEATUREHEADERS,0),MATCH($A259,CLASSNAMEHEADERS,0))),(INDEX(ALLCLASSDATA,MATCH("MediumMaster",CLASSFEATUREHEADERS,0),MATCH(($A259 &amp; "Points"),CLASSNAMEHEADERS,0))),(IF("07"=(INDEX(ALLCLASSDATA,MATCH("MediumExpert",CLASSFEATUREHEADERS,0),MATCH($A259,CLASSNAMEHEADERS,0))),(INDEX(ALLCLASSDATA,MATCH("MediumExpert",CLASSFEATUREHEADERS,0),MATCH(($A259 &amp; "Points"),CLASSNAMEHEADERS,0))),(IF("07"=(INDEX(ALLCLASSDATA,MATCH("MediumTrained",CLASSFEATUREHEADERS,0),MATCH($A259,CLASSNAMEHEADERS,0))),(INDEX(ALLCLASSDATA,MATCH("MediumTrained",CLASSFEATUREHEADERS,0),MATCH(($A259 &amp; "Points"),CLASSNAMEHEADERS,0))),"")))))))))}</f>
        <v>MEDIUML07</v>
      </c>
      <c r="N258" s="223"/>
      <c r="O258" s="223" t="str">
        <f t="array" ref="O258:O259">{"MEDIUML09";((IF("09"=(INDEX(ALLCLASSDATA,MATCH("MediumLegendary",CLASSFEATUREHEADERS,0),MATCH($A259,CLASSNAMEHEADERS,0))),(INDEX(ALLCLASSDATA,MATCH("MediumLegendary",CLASSFEATUREHEADERS,0),MATCH(($A259 &amp; "Points"),CLASSNAMEHEADERS,0))),(IF("09"=(INDEX(ALLCLASSDATA,MATCH("MediumMaster",CLASSFEATUREHEADERS,0),MATCH($A259,CLASSNAMEHEADERS,0))),(INDEX(ALLCLASSDATA,MATCH("MediumMaster",CLASSFEATUREHEADERS,0),MATCH(($A259 &amp; "Points"),CLASSNAMEHEADERS,0))),(IF("09"=(INDEX(ALLCLASSDATA,MATCH("MediumExpert",CLASSFEATUREHEADERS,0),MATCH($A259,CLASSNAMEHEADERS,0))),(INDEX(ALLCLASSDATA,MATCH("MediumExpert",CLASSFEATUREHEADERS,0),MATCH(($A259 &amp; "Points"),CLASSNAMEHEADERS,0))),(IF("09"=(INDEX(ALLCLASSDATA,MATCH("MediumTrained",CLASSFEATUREHEADERS,0),MATCH($A259,CLASSNAMEHEADERS,0))),(INDEX(ALLCLASSDATA,MATCH("MediumTrained",CLASSFEATUREHEADERS,0),MATCH(($A259 &amp; "Points"),CLASSNAMEHEADERS,0))),"")))))))))}</f>
        <v>MEDIUML09</v>
      </c>
      <c r="P258" s="223"/>
      <c r="Q258" s="223" t="str">
        <f t="array" ref="Q258:Q259">{"MEDIUML11";((IF("11"=(INDEX(ALLCLASSDATA,MATCH("MediumLegendary",CLASSFEATUREHEADERS,0),MATCH($A259,CLASSNAMEHEADERS,0))),(INDEX(ALLCLASSDATA,MATCH("MediumLegendary",CLASSFEATUREHEADERS,0),MATCH(($A259 &amp; "Points"),CLASSNAMEHEADERS,0))),(IF("11"=(INDEX(ALLCLASSDATA,MATCH("MediumMaster",CLASSFEATUREHEADERS,0),MATCH($A259,CLASSNAMEHEADERS,0))),(INDEX(ALLCLASSDATA,MATCH("MediumMaster",CLASSFEATUREHEADERS,0),MATCH(($A259 &amp; "Points"),CLASSNAMEHEADERS,0))),(IF("11"=(INDEX(ALLCLASSDATA,MATCH("MediumExpert",CLASSFEATUREHEADERS,0),MATCH($A259,CLASSNAMEHEADERS,0))),(INDEX(ALLCLASSDATA,MATCH("MediumExpert",CLASSFEATUREHEADERS,0),MATCH(($A259 &amp; "Points"),CLASSNAMEHEADERS,0))),(IF("11"=(INDEX(ALLCLASSDATA,MATCH("MediumTrained",CLASSFEATUREHEADERS,0),MATCH($A259,CLASSNAMEHEADERS,0))),(INDEX(ALLCLASSDATA,MATCH("MediumTrained",CLASSFEATUREHEADERS,0),MATCH(($A259 &amp; "Points"),CLASSNAMEHEADERS,0))),"")))))))))}</f>
        <v>MEDIUML11</v>
      </c>
      <c r="R258" s="223"/>
      <c r="S258" s="223" t="str">
        <f t="array" ref="S258:S259">{"MEDIUML13";((IF("13"=(INDEX(ALLCLASSDATA,MATCH("MediumLegendary",CLASSFEATUREHEADERS,0),MATCH($A259,CLASSNAMEHEADERS,0))),(INDEX(ALLCLASSDATA,MATCH("MediumLegendary",CLASSFEATUREHEADERS,0),MATCH(($A259 &amp; "Points"),CLASSNAMEHEADERS,0))),(IF("13"=(INDEX(ALLCLASSDATA,MATCH("MediumMaster",CLASSFEATUREHEADERS,0),MATCH($A259,CLASSNAMEHEADERS,0))),(INDEX(ALLCLASSDATA,MATCH("MediumMaster",CLASSFEATUREHEADERS,0),MATCH(($A259 &amp; "Points"),CLASSNAMEHEADERS,0))),(IF("13"=(INDEX(ALLCLASSDATA,MATCH("MediumExpert",CLASSFEATUREHEADERS,0),MATCH($A259,CLASSNAMEHEADERS,0))),(INDEX(ALLCLASSDATA,MATCH("MediumExpert",CLASSFEATUREHEADERS,0),MATCH(($A259 &amp; "Points"),CLASSNAMEHEADERS,0))),(IF("13"=(INDEX(ALLCLASSDATA,MATCH("MediumTrained",CLASSFEATUREHEADERS,0),MATCH($A259,CLASSNAMEHEADERS,0))),(INDEX(ALLCLASSDATA,MATCH("MediumTrained",CLASSFEATUREHEADERS,0),MATCH(($A259 &amp; "Points"),CLASSNAMEHEADERS,0))),"")))))))))}</f>
        <v>MEDIUML13</v>
      </c>
      <c r="T258" s="223"/>
      <c r="U258" s="223" t="str">
        <f t="array" ref="U258:U259">{"MEDIUML15";((IF("15"=(INDEX(ALLCLASSDATA,MATCH("MediumLegendary",CLASSFEATUREHEADERS,0),MATCH($A259,CLASSNAMEHEADERS,0))),(INDEX(ALLCLASSDATA,MATCH("MediumLegendary",CLASSFEATUREHEADERS,0),MATCH(($A259 &amp; "Points"),CLASSNAMEHEADERS,0))),(IF("15"=(INDEX(ALLCLASSDATA,MATCH("MediumMaster",CLASSFEATUREHEADERS,0),MATCH($A259,CLASSNAMEHEADERS,0))),(INDEX(ALLCLASSDATA,MATCH("MediumMaster",CLASSFEATUREHEADERS,0),MATCH(($A259 &amp; "Points"),CLASSNAMEHEADERS,0))),(IF("15"=(INDEX(ALLCLASSDATA,MATCH("MediumExpert",CLASSFEATUREHEADERS,0),MATCH($A259,CLASSNAMEHEADERS,0))),(INDEX(ALLCLASSDATA,MATCH("MediumExpert",CLASSFEATUREHEADERS,0),MATCH(($A259 &amp; "Points"),CLASSNAMEHEADERS,0))),(IF("15"=(INDEX(ALLCLASSDATA,MATCH("MediumTrained",CLASSFEATUREHEADERS,0),MATCH($A259,CLASSNAMEHEADERS,0))),(INDEX(ALLCLASSDATA,MATCH("MediumTrained",CLASSFEATUREHEADERS,0),MATCH(($A259 &amp; "Points"),CLASSNAMEHEADERS,0))),"")))))))))}</f>
        <v>MEDIUML15</v>
      </c>
      <c r="V258" s="223"/>
      <c r="W258" s="223" t="str">
        <f t="array" ref="W258:W259">{"MEDIUML17";((IF("17"=(INDEX(ALLCLASSDATA,MATCH("MediumLegendary",CLASSFEATUREHEADERS,0),MATCH($A259,CLASSNAMEHEADERS,0))),(INDEX(ALLCLASSDATA,MATCH("MediumLegendary",CLASSFEATUREHEADERS,0),MATCH(($A259 &amp; "Points"),CLASSNAMEHEADERS,0))),(IF("17"=(INDEX(ALLCLASSDATA,MATCH("MediumMaster",CLASSFEATUREHEADERS,0),MATCH($A259,CLASSNAMEHEADERS,0))),(INDEX(ALLCLASSDATA,MATCH("MediumMaster",CLASSFEATUREHEADERS,0),MATCH(($A259 &amp; "Points"),CLASSNAMEHEADERS,0))),(IF("17"=(INDEX(ALLCLASSDATA,MATCH("MediumExpert",CLASSFEATUREHEADERS,0),MATCH($A259,CLASSNAMEHEADERS,0))),(INDEX(ALLCLASSDATA,MATCH("MediumExpert",CLASSFEATUREHEADERS,0),MATCH(($A259 &amp; "Points"),CLASSNAMEHEADERS,0))),(IF("17"=(INDEX(ALLCLASSDATA,MATCH("MediumTrained",CLASSFEATUREHEADERS,0),MATCH($A259,CLASSNAMEHEADERS,0))),(INDEX(ALLCLASSDATA,MATCH("MediumTrained",CLASSFEATUREHEADERS,0),MATCH(($A259 &amp; "Points"),CLASSNAMEHEADERS,0))),"")))))))))}</f>
        <v>MEDIUML17</v>
      </c>
      <c r="X258" s="223"/>
      <c r="Y258" s="223" t="str">
        <f t="array" ref="Y258:Y259">{"MEDIUML19";((IF("19"=(INDEX(ALLCLASSDATA,MATCH("MediumLegendary",CLASSFEATUREHEADERS,0),MATCH($A259,CLASSNAMEHEADERS,0))),(INDEX(ALLCLASSDATA,MATCH("MediumLegendary",CLASSFEATUREHEADERS,0),MATCH(($A259 &amp; "Points"),CLASSNAMEHEADERS,0))),(IF("19"=(INDEX(ALLCLASSDATA,MATCH("MediumMaster",CLASSFEATUREHEADERS,0),MATCH($A259,CLASSNAMEHEADERS,0))),(INDEX(ALLCLASSDATA,MATCH("MediumMaster",CLASSFEATUREHEADERS,0),MATCH(($A259 &amp; "Points"),CLASSNAMEHEADERS,0))),(IF("19"=(INDEX(ALLCLASSDATA,MATCH("MediumExpert",CLASSFEATUREHEADERS,0),MATCH($A259,CLASSNAMEHEADERS,0))),(INDEX(ALLCLASSDATA,MATCH("MediumExpert",CLASSFEATUREHEADERS,0),MATCH(($A259 &amp; "Points"),CLASSNAMEHEADERS,0))),(IF("19"=(INDEX(ALLCLASSDATA,MATCH("MediumTrained",CLASSFEATUREHEADERS,0),MATCH($A259,CLASSNAMEHEADERS,0))),(INDEX(ALLCLASSDATA,MATCH("MediumTrained",CLASSFEATUREHEADERS,0),MATCH(($A259 &amp; "Points"),CLASSNAMEHEADERS,0))),"")))))))))}</f>
        <v>MEDIUML19</v>
      </c>
      <c r="Z258" s="223"/>
      <c r="AA258" s="76" t="str">
        <f t="array" ref="AA258:AA259">{"MEDIUM TOTAL";(IF(COUNTBLANK(F259:Z259)=17,"L",(IF(COUNTBLANK(F259:Z259)=18,"M",(IF(COUNTBLANK(F259:Z259)=19,"E",(IF(COUNTBLANK(F259:Z259)=20,"T",""))))))))}</f>
        <v>MEDIUM TOTAL</v>
      </c>
      <c r="AB258" s="76" t="str">
        <f t="array" ref="AB258:AB259">{"MEDIUM TOTAL";(sum(F259:Z259))}</f>
        <v>MEDIUM TOTAL</v>
      </c>
    </row>
    <row r="259">
      <c r="A259" s="48" t="s">
        <v>225</v>
      </c>
      <c r="B259" s="48" t="s">
        <v>418</v>
      </c>
      <c r="C259" s="48" t="s">
        <v>1900</v>
      </c>
      <c r="D259" s="48" t="s">
        <v>76</v>
      </c>
      <c r="E259" s="5" t="s">
        <v>435</v>
      </c>
      <c r="F259" s="47" t="s">
        <v>603</v>
      </c>
      <c r="G259" s="5">
        <v>10.0</v>
      </c>
      <c r="H259" s="5"/>
      <c r="I259" s="5" t="s">
        <v>603</v>
      </c>
      <c r="J259" s="5"/>
      <c r="K259" s="5" t="s">
        <v>603</v>
      </c>
      <c r="L259" s="5"/>
      <c r="M259" s="5" t="s">
        <v>603</v>
      </c>
      <c r="N259" s="5"/>
      <c r="O259" s="5" t="s">
        <v>603</v>
      </c>
      <c r="P259" s="5"/>
      <c r="Q259" s="5">
        <v>50.0</v>
      </c>
      <c r="R259" s="5"/>
      <c r="S259" s="5" t="s">
        <v>603</v>
      </c>
      <c r="T259" s="5"/>
      <c r="U259" s="5" t="s">
        <v>603</v>
      </c>
      <c r="V259" s="5"/>
      <c r="W259" s="5" t="s">
        <v>603</v>
      </c>
      <c r="X259" s="5"/>
      <c r="Y259" s="5" t="s">
        <v>603</v>
      </c>
      <c r="Z259" s="5"/>
      <c r="AA259" s="5" t="s">
        <v>436</v>
      </c>
      <c r="AB259" s="47">
        <v>60.0</v>
      </c>
    </row>
    <row r="260" hidden="1">
      <c r="A260" s="222" t="str">
        <f t="array" ref="A260:A261">{"FormulaRow38";(INDEX(CLASSLIST,A185,1))}</f>
        <v>FormulaRow38</v>
      </c>
      <c r="B260" s="222" t="str">
        <f t="array" ref="B260:B261">{"CLASSTYPE";((INDEX(ALLCLASSDATA,MATCH("ClassType",CLASSFEATUREHEADERS,0),MATCH($A261,CLASSNAMEHEADERS,0))))}</f>
        <v>CLASSTYPE</v>
      </c>
      <c r="C260" s="222" t="str">
        <f t="array" ref="C260:C261">{"DEFENSE";"Defense"}</f>
        <v>DEFENSE</v>
      </c>
      <c r="D260" s="222" t="str">
        <f t="array" ref="D260:D261">{"HEAVY";"Heavy"}</f>
        <v>HEAVY</v>
      </c>
      <c r="E260" s="223" t="str">
        <f t="array" ref="E260:E261">{"HEAVYINITIAL";((IF(G261=10,"T",(IF(G261=50,"E","")))))}</f>
        <v>HEAVYINITIAL</v>
      </c>
      <c r="F260" s="223" t="str">
        <f t="array" ref="F260:F261">{"HEAVYINITIALPTS";((IF("00"=(INDEX(ALLCLASSDATA,MATCH("HeavyLegendary",CLASSFEATUREHEADERS,0),MATCH($A261,CLASSNAMEHEADERS,0))),(INDEX(ALLCLASSDATA,MATCH("HeavyLegendary",CLASSFEATUREHEADERS,0),MATCH(($A261 &amp; "Points"),CLASSNAMEHEADERS,0))),(IF("00"=(INDEX(ALLCLASSDATA,MATCH("HeavyMaster",CLASSFEATUREHEADERS,0),MATCH($A261,CLASSNAMEHEADERS,0))),(INDEX(ALLCLASSDATA,MATCH("HeavyMaster",CLASSFEATUREHEADERS,0),MATCH(($A261 &amp; "Points"),CLASSNAMEHEADERS,0))),(IF("00"=(INDEX(ALLCLASSDATA,MATCH("HeavyExpert",CLASSFEATUREHEADERS,0),MATCH($A261,CLASSNAMEHEADERS,0))),(INDEX(ALLCLASSDATA,MATCH("HeavyExpert",CLASSFEATUREHEADERS,0),MATCH(($A261 &amp; "Points"),CLASSNAMEHEADERS,0))),(IF("00"=(INDEX(ALLCLASSDATA,MATCH("HeavyTrained",CLASSFEATUREHEADERS,0),MATCH($A261,CLASSNAMEHEADERS,0))),(INDEX(ALLCLASSDATA,MATCH("HeavyTrained",CLASSFEATUREHEADERS,0),MATCH(($A261 &amp; "Points"),CLASSNAMEHEADERS,0))),"")))))))))}</f>
        <v>HEAVYINITIALPTS</v>
      </c>
      <c r="G260" s="223" t="str">
        <f t="array" ref="G260:G261">{"HEAVYL01";((IF("01"=(INDEX(ALLCLASSDATA,MATCH("HeavyLegendary",CLASSFEATUREHEADERS,0),MATCH($A261,CLASSNAMEHEADERS,0))),(INDEX(ALLCLASSDATA,MATCH("HeavyLegendary",CLASSFEATUREHEADERS,0),MATCH(($A261 &amp; "Points"),CLASSNAMEHEADERS,0))),(IF("01"=(INDEX(ALLCLASSDATA,MATCH("HeavyMaster",CLASSFEATUREHEADERS,0),MATCH($A261,CLASSNAMEHEADERS,0))),(INDEX(ALLCLASSDATA,MATCH("HeavyMaster",CLASSFEATUREHEADERS,0),MATCH(($A261 &amp; "Points"),CLASSNAMEHEADERS,0))),(IF("01"=(INDEX(ALLCLASSDATA,MATCH("HeavyExpert",CLASSFEATUREHEADERS,0),MATCH($A261,CLASSNAMEHEADERS,0))),(INDEX(ALLCLASSDATA,MATCH("HeavyExpert",CLASSFEATUREHEADERS,0),MATCH(($A261 &amp; "Points"),CLASSNAMEHEADERS,0))),(IF("01"=(INDEX(ALLCLASSDATA,MATCH("HeavyTrained",CLASSFEATUREHEADERS,0),MATCH($A261,CLASSNAMEHEADERS,0))),(INDEX(ALLCLASSDATA,MATCH("HeavyTrained",CLASSFEATUREHEADERS,0),MATCH(($A261 &amp; "Points"),CLASSNAMEHEADERS,0))),"")))))))))}</f>
        <v>HEAVYL01</v>
      </c>
      <c r="H260" s="223"/>
      <c r="I260" s="223" t="str">
        <f t="array" ref="I260:I261">{"HEAVYL03";((IF("03"=(INDEX(ALLCLASSDATA,MATCH("HeavyLegendary",CLASSFEATUREHEADERS,0),MATCH($A261,CLASSNAMEHEADERS,0))),(INDEX(ALLCLASSDATA,MATCH("HeavyLegendary",CLASSFEATUREHEADERS,0),MATCH(($A261 &amp; "Points"),CLASSNAMEHEADERS,0))),(IF("03"=(INDEX(ALLCLASSDATA,MATCH("HeavyMaster",CLASSFEATUREHEADERS,0),MATCH($A261,CLASSNAMEHEADERS,0))),(INDEX(ALLCLASSDATA,MATCH("HeavyMaster",CLASSFEATUREHEADERS,0),MATCH(($A261 &amp; "Points"),CLASSNAMEHEADERS,0))),(IF("03"=(INDEX(ALLCLASSDATA,MATCH("HeavyExpert",CLASSFEATUREHEADERS,0),MATCH($A261,CLASSNAMEHEADERS,0))),(INDEX(ALLCLASSDATA,MATCH("HeavyExpert",CLASSFEATUREHEADERS,0),MATCH(($A261 &amp; "Points"),CLASSNAMEHEADERS,0))),(IF("03"=(INDEX(ALLCLASSDATA,MATCH("HeavyTrained",CLASSFEATUREHEADERS,0),MATCH($A261,CLASSNAMEHEADERS,0))),(INDEX(ALLCLASSDATA,MATCH("HeavyTrained",CLASSFEATUREHEADERS,0),MATCH(($A261 &amp; "Points"),CLASSNAMEHEADERS,0))),"")))))))))}</f>
        <v>HEAVYL03</v>
      </c>
      <c r="J260" s="223"/>
      <c r="K260" s="223" t="str">
        <f t="array" ref="K260:K261">{"HEAVYL05";((IF("05"=(INDEX(ALLCLASSDATA,MATCH("HeavyLegendary",CLASSFEATUREHEADERS,0),MATCH($A261,CLASSNAMEHEADERS,0))),(INDEX(ALLCLASSDATA,MATCH("HeavyLegendary",CLASSFEATUREHEADERS,0),MATCH(($A261 &amp; "Points"),CLASSNAMEHEADERS,0))),(IF("05"=(INDEX(ALLCLASSDATA,MATCH("HeavyMaster",CLASSFEATUREHEADERS,0),MATCH($A261,CLASSNAMEHEADERS,0))),(INDEX(ALLCLASSDATA,MATCH("HeavyMaster",CLASSFEATUREHEADERS,0),MATCH(($A261 &amp; "Points"),CLASSNAMEHEADERS,0))),(IF("05"=(INDEX(ALLCLASSDATA,MATCH("HeavyExpert",CLASSFEATUREHEADERS,0),MATCH($A261,CLASSNAMEHEADERS,0))),(INDEX(ALLCLASSDATA,MATCH("HeavyExpert",CLASSFEATUREHEADERS,0),MATCH(($A261 &amp; "Points"),CLASSNAMEHEADERS,0))),(IF("05"=(INDEX(ALLCLASSDATA,MATCH("HeavyTrained",CLASSFEATUREHEADERS,0),MATCH($A261,CLASSNAMEHEADERS,0))),(INDEX(ALLCLASSDATA,MATCH("HeavyTrained",CLASSFEATUREHEADERS,0),MATCH(($A261 &amp; "Points"),CLASSNAMEHEADERS,0))),"")))))))))}</f>
        <v>HEAVYL05</v>
      </c>
      <c r="L260" s="223"/>
      <c r="M260" s="223" t="str">
        <f t="array" ref="M260:M261">{"HEAVYL07";((IF("07"=(INDEX(ALLCLASSDATA,MATCH("HeavyLegendary",CLASSFEATUREHEADERS,0),MATCH($A261,CLASSNAMEHEADERS,0))),(INDEX(ALLCLASSDATA,MATCH("HeavyLegendary",CLASSFEATUREHEADERS,0),MATCH(($A261 &amp; "Points"),CLASSNAMEHEADERS,0))),(IF("07"=(INDEX(ALLCLASSDATA,MATCH("HeavyMaster",CLASSFEATUREHEADERS,0),MATCH($A261,CLASSNAMEHEADERS,0))),(INDEX(ALLCLASSDATA,MATCH("HeavyMaster",CLASSFEATUREHEADERS,0),MATCH(($A261 &amp; "Points"),CLASSNAMEHEADERS,0))),(IF("07"=(INDEX(ALLCLASSDATA,MATCH("HeavyExpert",CLASSFEATUREHEADERS,0),MATCH($A261,CLASSNAMEHEADERS,0))),(INDEX(ALLCLASSDATA,MATCH("HeavyExpert",CLASSFEATUREHEADERS,0),MATCH(($A261 &amp; "Points"),CLASSNAMEHEADERS,0))),(IF("07"=(INDEX(ALLCLASSDATA,MATCH("HeavyTrained",CLASSFEATUREHEADERS,0),MATCH($A261,CLASSNAMEHEADERS,0))),(INDEX(ALLCLASSDATA,MATCH("HeavyTrained",CLASSFEATUREHEADERS,0),MATCH(($A261 &amp; "Points"),CLASSNAMEHEADERS,0))),"")))))))))}</f>
        <v>HEAVYL07</v>
      </c>
      <c r="N260" s="223"/>
      <c r="O260" s="223" t="str">
        <f t="array" ref="O260:O261">{"HEAVYL09";((IF("09"=(INDEX(ALLCLASSDATA,MATCH("HeavyLegendary",CLASSFEATUREHEADERS,0),MATCH($A261,CLASSNAMEHEADERS,0))),(INDEX(ALLCLASSDATA,MATCH("HeavyLegendary",CLASSFEATUREHEADERS,0),MATCH(($A261 &amp; "Points"),CLASSNAMEHEADERS,0))),(IF("09"=(INDEX(ALLCLASSDATA,MATCH("HeavyMaster",CLASSFEATUREHEADERS,0),MATCH($A261,CLASSNAMEHEADERS,0))),(INDEX(ALLCLASSDATA,MATCH("HeavyMaster",CLASSFEATUREHEADERS,0),MATCH(($A261 &amp; "Points"),CLASSNAMEHEADERS,0))),(IF("09"=(INDEX(ALLCLASSDATA,MATCH("HeavyExpert",CLASSFEATUREHEADERS,0),MATCH($A261,CLASSNAMEHEADERS,0))),(INDEX(ALLCLASSDATA,MATCH("HeavyExpert",CLASSFEATUREHEADERS,0),MATCH(($A261 &amp; "Points"),CLASSNAMEHEADERS,0))),(IF("09"=(INDEX(ALLCLASSDATA,MATCH("HeavyTrained",CLASSFEATUREHEADERS,0),MATCH($A261,CLASSNAMEHEADERS,0))),(INDEX(ALLCLASSDATA,MATCH("HeavyTrained",CLASSFEATUREHEADERS,0),MATCH(($A261 &amp; "Points"),CLASSNAMEHEADERS,0))),"")))))))))}</f>
        <v>HEAVYL09</v>
      </c>
      <c r="P260" s="223"/>
      <c r="Q260" s="223" t="str">
        <f t="array" ref="Q260:Q261">{"HEAVYL11";((IF("11"=(INDEX(ALLCLASSDATA,MATCH("HeavyLegendary",CLASSFEATUREHEADERS,0),MATCH($A261,CLASSNAMEHEADERS,0))),(INDEX(ALLCLASSDATA,MATCH("HeavyLegendary",CLASSFEATUREHEADERS,0),MATCH(($A261 &amp; "Points"),CLASSNAMEHEADERS,0))),(IF("11"=(INDEX(ALLCLASSDATA,MATCH("HeavyMaster",CLASSFEATUREHEADERS,0),MATCH($A261,CLASSNAMEHEADERS,0))),(INDEX(ALLCLASSDATA,MATCH("HeavyMaster",CLASSFEATUREHEADERS,0),MATCH(($A261 &amp; "Points"),CLASSNAMEHEADERS,0))),(IF("11"=(INDEX(ALLCLASSDATA,MATCH("HeavyExpert",CLASSFEATUREHEADERS,0),MATCH($A261,CLASSNAMEHEADERS,0))),(INDEX(ALLCLASSDATA,MATCH("HeavyExpert",CLASSFEATUREHEADERS,0),MATCH(($A261 &amp; "Points"),CLASSNAMEHEADERS,0))),(IF("11"=(INDEX(ALLCLASSDATA,MATCH("HeavyTrained",CLASSFEATUREHEADERS,0),MATCH($A261,CLASSNAMEHEADERS,0))),(INDEX(ALLCLASSDATA,MATCH("HeavyTrained",CLASSFEATUREHEADERS,0),MATCH(($A261 &amp; "Points"),CLASSNAMEHEADERS,0))),"")))))))))}</f>
        <v>HEAVYL11</v>
      </c>
      <c r="R260" s="223"/>
      <c r="S260" s="223" t="str">
        <f t="array" ref="S260:S261">{"HEAVYL13";((IF("13"=(INDEX(ALLCLASSDATA,MATCH("HeavyLegendary",CLASSFEATUREHEADERS,0),MATCH($A261,CLASSNAMEHEADERS,0))),(INDEX(ALLCLASSDATA,MATCH("HeavyLegendary",CLASSFEATUREHEADERS,0),MATCH(($A261 &amp; "Points"),CLASSNAMEHEADERS,0))),(IF("13"=(INDEX(ALLCLASSDATA,MATCH("HeavyMaster",CLASSFEATUREHEADERS,0),MATCH($A261,CLASSNAMEHEADERS,0))),(INDEX(ALLCLASSDATA,MATCH("HeavyMaster",CLASSFEATUREHEADERS,0),MATCH(($A261 &amp; "Points"),CLASSNAMEHEADERS,0))),(IF("13"=(INDEX(ALLCLASSDATA,MATCH("HeavyExpert",CLASSFEATUREHEADERS,0),MATCH($A261,CLASSNAMEHEADERS,0))),(INDEX(ALLCLASSDATA,MATCH("HeavyExpert",CLASSFEATUREHEADERS,0),MATCH(($A261 &amp; "Points"),CLASSNAMEHEADERS,0))),(IF("13"=(INDEX(ALLCLASSDATA,MATCH("HeavyTrained",CLASSFEATUREHEADERS,0),MATCH($A261,CLASSNAMEHEADERS,0))),(INDEX(ALLCLASSDATA,MATCH("HeavyTrained",CLASSFEATUREHEADERS,0),MATCH(($A261 &amp; "Points"),CLASSNAMEHEADERS,0))),"")))))))))}</f>
        <v>HEAVYL13</v>
      </c>
      <c r="T260" s="223"/>
      <c r="U260" s="223" t="str">
        <f t="array" ref="U260:U261">{"HEAVYL15";((IF("15"=(INDEX(ALLCLASSDATA,MATCH("HeavyLegendary",CLASSFEATUREHEADERS,0),MATCH($A261,CLASSNAMEHEADERS,0))),(INDEX(ALLCLASSDATA,MATCH("HeavyLegendary",CLASSFEATUREHEADERS,0),MATCH(($A261 &amp; "Points"),CLASSNAMEHEADERS,0))),(IF("15"=(INDEX(ALLCLASSDATA,MATCH("HeavyMaster",CLASSFEATUREHEADERS,0),MATCH($A261,CLASSNAMEHEADERS,0))),(INDEX(ALLCLASSDATA,MATCH("HeavyMaster",CLASSFEATUREHEADERS,0),MATCH(($A261 &amp; "Points"),CLASSNAMEHEADERS,0))),(IF("15"=(INDEX(ALLCLASSDATA,MATCH("HeavyExpert",CLASSFEATUREHEADERS,0),MATCH($A261,CLASSNAMEHEADERS,0))),(INDEX(ALLCLASSDATA,MATCH("HeavyExpert",CLASSFEATUREHEADERS,0),MATCH(($A261 &amp; "Points"),CLASSNAMEHEADERS,0))),(IF("15"=(INDEX(ALLCLASSDATA,MATCH("HeavyTrained",CLASSFEATUREHEADERS,0),MATCH($A261,CLASSNAMEHEADERS,0))),(INDEX(ALLCLASSDATA,MATCH("HeavyTrained",CLASSFEATUREHEADERS,0),MATCH(($A261 &amp; "Points"),CLASSNAMEHEADERS,0))),"")))))))))}</f>
        <v>HEAVYL15</v>
      </c>
      <c r="V260" s="223"/>
      <c r="W260" s="223" t="str">
        <f t="array" ref="W260:W261">{"HEAVYL17";((IF("17"=(INDEX(ALLCLASSDATA,MATCH("HeavyLegendary",CLASSFEATUREHEADERS,0),MATCH($A261,CLASSNAMEHEADERS,0))),(INDEX(ALLCLASSDATA,MATCH("HeavyLegendary",CLASSFEATUREHEADERS,0),MATCH(($A261 &amp; "Points"),CLASSNAMEHEADERS,0))),(IF("17"=(INDEX(ALLCLASSDATA,MATCH("HeavyMaster",CLASSFEATUREHEADERS,0),MATCH($A261,CLASSNAMEHEADERS,0))),(INDEX(ALLCLASSDATA,MATCH("HeavyMaster",CLASSFEATUREHEADERS,0),MATCH(($A261 &amp; "Points"),CLASSNAMEHEADERS,0))),(IF("17"=(INDEX(ALLCLASSDATA,MATCH("HeavyExpert",CLASSFEATUREHEADERS,0),MATCH($A261,CLASSNAMEHEADERS,0))),(INDEX(ALLCLASSDATA,MATCH("HeavyExpert",CLASSFEATUREHEADERS,0),MATCH(($A261 &amp; "Points"),CLASSNAMEHEADERS,0))),(IF("17"=(INDEX(ALLCLASSDATA,MATCH("HeavyTrained",CLASSFEATUREHEADERS,0),MATCH($A261,CLASSNAMEHEADERS,0))),(INDEX(ALLCLASSDATA,MATCH("HeavyTrained",CLASSFEATUREHEADERS,0),MATCH(($A261 &amp; "Points"),CLASSNAMEHEADERS,0))),"")))))))))}</f>
        <v>HEAVYL17</v>
      </c>
      <c r="X260" s="223"/>
      <c r="Y260" s="223" t="str">
        <f t="array" ref="Y260:Y261">{"HEAVYL19";((IF("19"=(INDEX(ALLCLASSDATA,MATCH("HeavyLegendary",CLASSFEATUREHEADERS,0),MATCH($A261,CLASSNAMEHEADERS,0))),(INDEX(ALLCLASSDATA,MATCH("HeavyLegendary",CLASSFEATUREHEADERS,0),MATCH(($A261 &amp; "Points"),CLASSNAMEHEADERS,0))),(IF("19"=(INDEX(ALLCLASSDATA,MATCH("HeavyMaster",CLASSFEATUREHEADERS,0),MATCH($A261,CLASSNAMEHEADERS,0))),(INDEX(ALLCLASSDATA,MATCH("HeavyMaster",CLASSFEATUREHEADERS,0),MATCH(($A261 &amp; "Points"),CLASSNAMEHEADERS,0))),(IF("19"=(INDEX(ALLCLASSDATA,MATCH("HeavyExpert",CLASSFEATUREHEADERS,0),MATCH($A261,CLASSNAMEHEADERS,0))),(INDEX(ALLCLASSDATA,MATCH("HeavyExpert",CLASSFEATUREHEADERS,0),MATCH(($A261 &amp; "Points"),CLASSNAMEHEADERS,0))),(IF("19"=(INDEX(ALLCLASSDATA,MATCH("HeavyTrained",CLASSFEATUREHEADERS,0),MATCH($A261,CLASSNAMEHEADERS,0))),(INDEX(ALLCLASSDATA,MATCH("HeavyTrained",CLASSFEATUREHEADERS,0),MATCH(($A261 &amp; "Points"),CLASSNAMEHEADERS,0))),"")))))))))}</f>
        <v>HEAVYL19</v>
      </c>
      <c r="Z260" s="223"/>
      <c r="AA260" s="76" t="str">
        <f t="array" ref="AA260:AA261">{"HEAVY TOTAL";(IF(COUNTBLANK(F261:Z261)=17,"L",(IF(COUNTBLANK(F261:Z261)=18,"M",(IF(COUNTBLANK(F261:Z261)=19,"E",(IF(COUNTBLANK(F261:Z261)=20,"T",""))))))))}</f>
        <v>HEAVY TOTAL</v>
      </c>
      <c r="AB260" s="76" t="str">
        <f t="array" ref="AB260:AB261">{"HEAVY TOTAL";(sum(F261:Z261))}</f>
        <v>HEAVY TOTAL</v>
      </c>
    </row>
    <row r="261">
      <c r="A261" s="48" t="s">
        <v>225</v>
      </c>
      <c r="B261" s="48" t="s">
        <v>418</v>
      </c>
      <c r="C261" s="97" t="s">
        <v>1900</v>
      </c>
      <c r="D261" s="97" t="s">
        <v>533</v>
      </c>
      <c r="E261" s="98" t="s">
        <v>603</v>
      </c>
      <c r="F261" s="132" t="s">
        <v>603</v>
      </c>
      <c r="G261" s="98" t="s">
        <v>603</v>
      </c>
      <c r="H261" s="98"/>
      <c r="I261" s="98" t="s">
        <v>603</v>
      </c>
      <c r="J261" s="98"/>
      <c r="K261" s="98" t="s">
        <v>603</v>
      </c>
      <c r="L261" s="98"/>
      <c r="M261" s="98" t="s">
        <v>603</v>
      </c>
      <c r="N261" s="98"/>
      <c r="O261" s="98" t="s">
        <v>603</v>
      </c>
      <c r="P261" s="98"/>
      <c r="Q261" s="98" t="s">
        <v>603</v>
      </c>
      <c r="R261" s="98"/>
      <c r="S261" s="98" t="s">
        <v>603</v>
      </c>
      <c r="T261" s="98"/>
      <c r="U261" s="98" t="s">
        <v>603</v>
      </c>
      <c r="V261" s="98"/>
      <c r="W261" s="98" t="s">
        <v>603</v>
      </c>
      <c r="X261" s="98"/>
      <c r="Y261" s="98" t="s">
        <v>603</v>
      </c>
      <c r="Z261" s="98"/>
      <c r="AA261" s="5" t="s">
        <v>603</v>
      </c>
      <c r="AB261" s="47">
        <v>0.0</v>
      </c>
    </row>
    <row r="262" hidden="1">
      <c r="A262" s="222" t="str">
        <f t="array" ref="A262:A263">{"FormulaRow39";(INDEX(CLASSLIST,A185,1))}</f>
        <v>FormulaRow39</v>
      </c>
      <c r="B262" s="222" t="str">
        <f t="array" ref="B262:B263">{"CLASSTYPE";((INDEX(ALLCLASSDATA,MATCH("ClassType",CLASSFEATUREHEADERS,0),MATCH($A263,CLASSNAMEHEADERS,0))))}</f>
        <v>CLASSTYPE</v>
      </c>
      <c r="C262" s="222" t="str">
        <f t="array" ref="C262:C263">{"SPELL/ALCHEMY";((IF(INDEX(ALLCLASSDATA,MATCH("CasterType",CLASSFEATUREHEADERS,0),MATCH(($A263),CLASSNAMEHEADERS,0))="","",(IF(INDEX(ALLCLASSDATA,MATCH("CasterType",CLASSFEATUREHEADERS,0),MATCH(($A263),CLASSNAMEHEADERS,0))="Alchemy","Alchemy","Spells")))))}</f>
        <v>SPELL/ALCHEMY</v>
      </c>
      <c r="D262" s="222" t="str">
        <f t="array" ref="D262:D263">{"SPELLLIST";(IF(C263="Spells",((INDEX(ALLCLASSDATA,MATCH("CasterType",CLASSFEATUREHEADERS,0),MATCH(($A263),CLASSNAMEHEADERS,0))) &amp; ":" &amp; (INDEX(ALLCLASSDATA,MATCH("SpellList",CLASSFEATUREHEADERS,0),MATCH(($A263),CLASSNAMEHEADERS,0)))),""))}</f>
        <v>SPELLLIST</v>
      </c>
      <c r="E262" s="223" t="str">
        <f t="array" ref="E262:E263">{"SPL";(IF(C263="Spells","SPL:",""))}</f>
        <v>SPL</v>
      </c>
      <c r="F262" s="223" t="str">
        <f t="array" ref="F262:F263">{"CANTRIP/ALC";(IF(C263="Spells","C",(IF(C263="Alchemy","ALC:",""))))}</f>
        <v>CANTRIP/ALC</v>
      </c>
      <c r="G262" s="223" t="str">
        <f t="array" ref="G262:G263">{"SPELL/ALC L01";(IF(C263="Alchemy","L01",(IF(C263="Spells","S01",""))))}</f>
        <v>SPELL/ALC L01</v>
      </c>
      <c r="H262" s="223" t="str">
        <f t="array" ref="H262:H263">{"SPELL/ALC L02";(IF(C263="Alchemy","L02",(IF(C263="Spells","S01",""))))}</f>
        <v>SPELL/ALC L02</v>
      </c>
      <c r="I262" s="223" t="str">
        <f t="array" ref="I262:I263">{"SPELL/ALC L03";(IF(C263="Alchemy","L03",(IF(C263="Spells","S02",""))))}</f>
        <v>SPELL/ALC L03</v>
      </c>
      <c r="J262" s="223" t="str">
        <f t="array" ref="J262:J263">{"SPELL/ALC L04";(IF(C263="Alchemy","L04",(IF(C263="Spells","S02",""))))}</f>
        <v>SPELL/ALC L04</v>
      </c>
      <c r="K262" s="223" t="str">
        <f t="array" ref="K262:K263">{"SPELL/ALC L05";(IF(C263="Alchemy","L05",(IF(C263="Spells","S03",""))))}</f>
        <v>SPELL/ALC L05</v>
      </c>
      <c r="L262" s="223" t="str">
        <f t="array" ref="L262:L263">{"SPELL/ALC L06";(IF(C263="Alchemy","L06",(IF(C263="Spells","S03",""))))}</f>
        <v>SPELL/ALC L06</v>
      </c>
      <c r="M262" s="223" t="str">
        <f t="array" ref="M262:M263">{"SPELL/ALC L07";(IF(C263="Alchemy","L07",(IF(C263="Spells","S04",""))))}</f>
        <v>SPELL/ALC L07</v>
      </c>
      <c r="N262" s="223" t="str">
        <f t="array" ref="N262:N263">{"SPELL/ALC L08";(IF(C263="Alchemy","L08",(IF(C263="Spells","S04",""))))}</f>
        <v>SPELL/ALC L08</v>
      </c>
      <c r="O262" s="223" t="str">
        <f t="array" ref="O262:O263">{"SPELL/ALC L09";(IF(C263="Alchemy","L09",(IF(C263="Spells","S05",""))))}</f>
        <v>SPELL/ALC L09</v>
      </c>
      <c r="P262" s="223" t="str">
        <f t="array" ref="P262:P263">{"SPELL/ALC L10";(IF(C263="Alchemy","L10",(IF(C263="Spells","S05",""))))}</f>
        <v>SPELL/ALC L10</v>
      </c>
      <c r="Q262" s="223" t="str">
        <f t="array" ref="Q262:Q263">{"SPELL/ALC L11";(IF(C263="Alchemy","L11",(IF(C263="Spells","S06",""))))}</f>
        <v>SPELL/ALC L11</v>
      </c>
      <c r="R262" s="223" t="str">
        <f t="array" ref="R262:R263">{"SPELL/ALC L12";(IF(C263="Alchemy","L12",(IF(C263="Spells","S06",""))))}</f>
        <v>SPELL/ALC L12</v>
      </c>
      <c r="S262" s="223" t="str">
        <f t="array" ref="S262:S263">{"SPELL/ALC L13";(IF(C263="Alchemy","L13",(IF(C263="Spells","S07",""))))}</f>
        <v>SPELL/ALC L13</v>
      </c>
      <c r="T262" s="223" t="str">
        <f t="array" ref="T262:T263">{"SPELL/ALC L14";(IF(C263="Alchemy","L14",(IF(C263="Spells","S07",""))))}</f>
        <v>SPELL/ALC L14</v>
      </c>
      <c r="U262" s="223" t="str">
        <f t="array" ref="U262:U263">{"SPELL/ALC L15";(IF(C263="Alchemy","L15",(IF(C263="Spells","S08",""))))}</f>
        <v>SPELL/ALC L15</v>
      </c>
      <c r="V262" s="223" t="str">
        <f t="array" ref="V262:V263">{"SPELL/ALC L16";(IF(C263="Alchemy","L16",(IF(C263="Spells","S08",""))))}</f>
        <v>SPELL/ALC L16</v>
      </c>
      <c r="W262" s="223" t="str">
        <f t="array" ref="W262:W263">{"SPELL/ALC L17";(IF(C263="Alchemy","L17",(IF(C263="Spells","S09",""))))}</f>
        <v>SPELL/ALC L17</v>
      </c>
      <c r="X262" s="223" t="str">
        <f t="array" ref="X262:X263">{"SPELL/ALC L18";(IF(C263="Alchemy","L18",(IF(C263="Spells","S09",""))))}</f>
        <v>SPELL/ALC L18</v>
      </c>
      <c r="Y262" s="223" t="str">
        <f t="array" ref="Y262:Y263">{"SPELL/ALC L19";(IF(C263="Alchemy","L19",(IF(C263="Spells","S10",""))))}</f>
        <v>SPELL/ALC L19</v>
      </c>
      <c r="Z262" s="223" t="str">
        <f t="array" ref="Z262:Z263">{"SPELL/ALC L20";(IF(C263="Alchemy","L20",(IF(C263="Spells","S10",""))))}</f>
        <v>SPELL/ALC L20</v>
      </c>
      <c r="AA262" s="76"/>
      <c r="AB262" s="76"/>
    </row>
    <row r="263">
      <c r="A263" s="48" t="s">
        <v>225</v>
      </c>
      <c r="B263" s="48" t="s">
        <v>418</v>
      </c>
      <c r="C263" s="48" t="s">
        <v>1901</v>
      </c>
      <c r="D263" s="48" t="s">
        <v>1918</v>
      </c>
      <c r="E263" s="278" t="s">
        <v>1903</v>
      </c>
      <c r="F263" s="114" t="s">
        <v>653</v>
      </c>
      <c r="G263" s="279" t="s">
        <v>1536</v>
      </c>
      <c r="H263" s="28" t="s">
        <v>1536</v>
      </c>
      <c r="I263" s="28" t="s">
        <v>1542</v>
      </c>
      <c r="J263" s="28" t="s">
        <v>1542</v>
      </c>
      <c r="K263" s="28" t="s">
        <v>1545</v>
      </c>
      <c r="L263" s="28" t="s">
        <v>1545</v>
      </c>
      <c r="M263" s="28" t="s">
        <v>1548</v>
      </c>
      <c r="N263" s="28" t="s">
        <v>1548</v>
      </c>
      <c r="O263" s="28" t="s">
        <v>1553</v>
      </c>
      <c r="P263" s="28" t="s">
        <v>1553</v>
      </c>
      <c r="Q263" s="28" t="s">
        <v>1556</v>
      </c>
      <c r="R263" s="28" t="s">
        <v>1556</v>
      </c>
      <c r="S263" s="28" t="s">
        <v>1559</v>
      </c>
      <c r="T263" s="28" t="s">
        <v>1559</v>
      </c>
      <c r="U263" s="28" t="s">
        <v>1562</v>
      </c>
      <c r="V263" s="28" t="s">
        <v>1562</v>
      </c>
      <c r="W263" s="28" t="s">
        <v>1565</v>
      </c>
      <c r="X263" s="28" t="s">
        <v>1565</v>
      </c>
      <c r="Y263" s="28" t="s">
        <v>1568</v>
      </c>
      <c r="Z263" s="28" t="s">
        <v>1568</v>
      </c>
      <c r="AA263" s="5"/>
      <c r="AB263" s="47"/>
    </row>
    <row r="264" hidden="1">
      <c r="A264" s="222" t="str">
        <f t="array" ref="A264:A265">{"FormulaRow40";(INDEX(CLASSLIST,A185,1))}</f>
        <v>FormulaRow40</v>
      </c>
      <c r="B264" s="222" t="str">
        <f t="array" ref="B264:B265">{"CLASSTYPE";((INDEX(ALLCLASSDATA,MATCH("ClassType",CLASSFEATUREHEADERS,0),MATCH($A265,CLASSNAMEHEADERS,0))))}</f>
        <v>CLASSTYPE</v>
      </c>
      <c r="C264" s="222" t="str">
        <f t="array" ref="C264:C265">{"SPELL/ALCHEMY";((IF(INDEX(ALLCLASSDATA,MATCH("CasterType",CLASSFEATUREHEADERS,0),MATCH(($A265),CLASSNAMEHEADERS,0))="","",(IF(INDEX(ALLCLASSDATA,MATCH("CasterType",CLASSFEATUREHEADERS,0),MATCH(($A265),CLASSNAMEHEADERS,0))="Alchemy","","Spells")))))}</f>
        <v>SPELL/ALCHEMY</v>
      </c>
      <c r="D264" s="222" t="str">
        <f t="array" ref="D264:D265">{"SPELLLIST";(IF(C265="Spells",((INDEX(ALLCLASSDATA,MATCH("CasterType",CLASSFEATUREHEADERS,0),MATCH(($A265),CLASSNAMEHEADERS,0))) &amp; ":" &amp; (INDEX(ALLCLASSDATA,MATCH("SpellList",CLASSFEATUREHEADERS,0),MATCH(($A265),CLASSNAMEHEADERS,0)))),""))}</f>
        <v>SPELLLIST</v>
      </c>
      <c r="E264" s="222" t="str">
        <f t="array" ref="E264:E265">{"SLOTCOST";(IF(C265="Spells","SlotCost:",""))}</f>
        <v>SLOTCOST</v>
      </c>
      <c r="F264" s="222" t="str">
        <f t="array" ref="F264:F265">{"SLOTCOST CANTRIP";(INDEX(ALLCLASSDATA,MATCH("CantripSlots-L00",CLASSFEATUREHEADERS,0),MATCH(($A265 &amp; "Points"),CLASSNAMEHEADERS,0)))}</f>
        <v>SLOTCOST CANTRIP</v>
      </c>
      <c r="G264" s="222" t="str">
        <f t="array" ref="G264:G265">{"SLOTCOST L01";(INDEX(ALLCLASSDATA,MATCH("SPL01-L01",CLASSFEATUREHEADERS,0),MATCH(($A265 &amp; "Points"),CLASSNAMEHEADERS,0)))}</f>
        <v>SLOTCOST L01</v>
      </c>
      <c r="H264" s="222" t="str">
        <f t="array" ref="H264:H265">{"SLOTCOST L02";(INDEX(ALLCLASSDATA,MATCH("SPL01-L02",CLASSFEATUREHEADERS,0),MATCH(($A265 &amp; "Points"),CLASSNAMEHEADERS,0)))}</f>
        <v>#REF!</v>
      </c>
      <c r="I264" s="222" t="str">
        <f t="array" ref="I264:I265">{"SLOTCOST L03";(INDEX(ALLCLASSDATA,MATCH("SPL02-L03",CLASSFEATUREHEADERS,0),MATCH(($A265 &amp; "Points"),CLASSNAMEHEADERS,0)))}</f>
        <v>SLOTCOST L03</v>
      </c>
      <c r="J264" s="222" t="str">
        <f t="array" ref="J264:J265">{"SLOTCOST L04";(INDEX(ALLCLASSDATA,MATCH("SPL02-L04",CLASSFEATUREHEADERS,0),MATCH(($A265 &amp; "Points"),CLASSNAMEHEADERS,0)))}</f>
        <v>#REF!</v>
      </c>
      <c r="K264" s="222" t="str">
        <f t="array" ref="K264:K265">{"SLOTCOST L05";(INDEX(ALLCLASSDATA,MATCH("SPL03-L05",CLASSFEATUREHEADERS,0),MATCH(($A265 &amp; "Points"),CLASSNAMEHEADERS,0)))}</f>
        <v>SLOTCOST L05</v>
      </c>
      <c r="L264" s="222" t="str">
        <f t="array" ref="L264:L265">{"SLOTCOST L06";(INDEX(ALLCLASSDATA,MATCH("SPL03-L06",CLASSFEATUREHEADERS,0),MATCH(($A265 &amp; "Points"),CLASSNAMEHEADERS,0)))}</f>
        <v>#REF!</v>
      </c>
      <c r="M264" s="222" t="str">
        <f t="array" ref="M264:M265">{"SLOTCOST L07";(INDEX(ALLCLASSDATA,MATCH("SPL04-L07",CLASSFEATUREHEADERS,0),MATCH(($A265 &amp; "Points"),CLASSNAMEHEADERS,0)))}</f>
        <v>SLOTCOST L07</v>
      </c>
      <c r="N264" s="222" t="str">
        <f t="array" ref="N264:N265">{"SLOTCOST L08";(INDEX(ALLCLASSDATA,MATCH("SPL04-L08",CLASSFEATUREHEADERS,0),MATCH(($A265 &amp; "Points"),CLASSNAMEHEADERS,0)))}</f>
        <v>#REF!</v>
      </c>
      <c r="O264" s="222" t="str">
        <f t="array" ref="O264:O265">{"SLOTCOST L09";(INDEX(ALLCLASSDATA,MATCH("SPL05-L09",CLASSFEATUREHEADERS,0),MATCH(($A265 &amp; "Points"),CLASSNAMEHEADERS,0)))}</f>
        <v>SLOTCOST L09</v>
      </c>
      <c r="P264" s="222" t="str">
        <f t="array" ref="P264:P265">{"SLOTCOST L10";(INDEX(ALLCLASSDATA,MATCH("SPL05-L10",CLASSFEATUREHEADERS,0),MATCH(($A265 &amp; "Points"),CLASSNAMEHEADERS,0)))}</f>
        <v>#REF!</v>
      </c>
      <c r="Q264" s="222" t="str">
        <f t="array" ref="Q264:Q265">{"SLOTCOST L11";(INDEX(ALLCLASSDATA,MATCH("SPL06-L11",CLASSFEATUREHEADERS,0),MATCH(($A265 &amp; "Points"),CLASSNAMEHEADERS,0)))}</f>
        <v>SLOTCOST L11</v>
      </c>
      <c r="R264" s="222" t="str">
        <f t="array" ref="R264:R265">{"SLOTCOST L12";(INDEX(ALLCLASSDATA,MATCH("SPL06-L12",CLASSFEATUREHEADERS,0),MATCH(($A265 &amp; "Points"),CLASSNAMEHEADERS,0)))}</f>
        <v>#REF!</v>
      </c>
      <c r="S264" s="222" t="str">
        <f t="array" ref="S264:S265">{"SLOTCOST L13";(INDEX(ALLCLASSDATA,MATCH("SPL07-L13",CLASSFEATUREHEADERS,0),MATCH(($A265 &amp; "Points"),CLASSNAMEHEADERS,0)))}</f>
        <v>SLOTCOST L13</v>
      </c>
      <c r="T264" s="222" t="str">
        <f t="array" ref="T264:T265">{"SLOTCOST L14";(INDEX(ALLCLASSDATA,MATCH("SPL07-L14",CLASSFEATUREHEADERS,0),MATCH(($A265 &amp; "Points"),CLASSNAMEHEADERS,0)))}</f>
        <v>#REF!</v>
      </c>
      <c r="U264" s="222" t="str">
        <f t="array" ref="U264:U265">{"SLOTCOST L15";(INDEX(ALLCLASSDATA,MATCH("SPL08-L15",CLASSFEATUREHEADERS,0),MATCH(($A265 &amp; "Points"),CLASSNAMEHEADERS,0)))}</f>
        <v>SLOTCOST L15</v>
      </c>
      <c r="V264" s="222" t="str">
        <f t="array" ref="V264:V265">{"SLOTCOST L16";(INDEX(ALLCLASSDATA,MATCH("SPL08-L16",CLASSFEATUREHEADERS,0),MATCH(($A265 &amp; "Points"),CLASSNAMEHEADERS,0)))}</f>
        <v>#REF!</v>
      </c>
      <c r="W264" s="222" t="str">
        <f t="array" ref="W264:W265">{"SLOTCOST L17";(INDEX(ALLCLASSDATA,MATCH("SPL09-L17",CLASSFEATUREHEADERS,0),MATCH(($A265 &amp; "Points"),CLASSNAMEHEADERS,0)))}</f>
        <v>SLOTCOST L17</v>
      </c>
      <c r="X264" s="222" t="str">
        <f t="array" ref="X264:X265">{"SLOTCOST L18";(INDEX(ALLCLASSDATA,MATCH("SPL09-L18",CLASSFEATUREHEADERS,0),MATCH(($A265 &amp; "Points"),CLASSNAMEHEADERS,0)))}</f>
        <v>#REF!</v>
      </c>
      <c r="Y264" s="222" t="str">
        <f t="array" ref="Y264:Y265">{"SLOTCOST L19";(INDEX(ALLCLASSDATA,MATCH("SPL10-L19",CLASSFEATUREHEADERS,0),MATCH(($A265 &amp; "Points"),CLASSNAMEHEADERS,0)))}</f>
        <v>SLOTCOST L19</v>
      </c>
      <c r="Z264" s="222" t="str">
        <f t="array" ref="Z264:Z265">{"SLOTCOST L20";(INDEX(ALLCLASSDATA,MATCH("SPL10-L20",CLASSFEATUREHEADERS,0),MATCH(($A265 &amp; "Points"),CLASSNAMEHEADERS,0)))}</f>
        <v>SLOTCOST L20</v>
      </c>
      <c r="AA264" s="76"/>
      <c r="AB264" s="76" t="str">
        <f t="array" ref="AB264:AB265">{"SLOT TOTAL";(sum(F265:Z265))}</f>
        <v>SLOT TOTAL</v>
      </c>
    </row>
    <row r="265">
      <c r="A265" s="48" t="s">
        <v>225</v>
      </c>
      <c r="B265" s="48" t="s">
        <v>418</v>
      </c>
      <c r="C265" s="48" t="s">
        <v>1901</v>
      </c>
      <c r="D265" s="48" t="s">
        <v>1918</v>
      </c>
      <c r="E265" s="278" t="s">
        <v>1904</v>
      </c>
      <c r="F265" s="47">
        <v>0.0</v>
      </c>
      <c r="G265" s="5">
        <v>20.0</v>
      </c>
      <c r="H265" s="48" t="s">
        <v>1905</v>
      </c>
      <c r="I265" s="5">
        <v>20.0</v>
      </c>
      <c r="J265" s="48" t="s">
        <v>1905</v>
      </c>
      <c r="K265" s="5">
        <v>20.0</v>
      </c>
      <c r="L265" s="48" t="s">
        <v>1905</v>
      </c>
      <c r="M265" s="5">
        <v>20.0</v>
      </c>
      <c r="N265" s="48" t="s">
        <v>1905</v>
      </c>
      <c r="O265" s="5">
        <v>20.0</v>
      </c>
      <c r="P265" s="48" t="s">
        <v>1905</v>
      </c>
      <c r="Q265" s="5">
        <v>20.0</v>
      </c>
      <c r="R265" s="48" t="s">
        <v>1905</v>
      </c>
      <c r="S265" s="5">
        <v>20.0</v>
      </c>
      <c r="T265" s="48" t="s">
        <v>1905</v>
      </c>
      <c r="U265" s="5">
        <v>20.0</v>
      </c>
      <c r="V265" s="48" t="s">
        <v>1905</v>
      </c>
      <c r="W265" s="5">
        <v>20.0</v>
      </c>
      <c r="X265" s="48" t="s">
        <v>1905</v>
      </c>
      <c r="Y265" s="5">
        <v>190.0</v>
      </c>
      <c r="Z265" s="5" t="s">
        <v>603</v>
      </c>
      <c r="AA265" s="5"/>
      <c r="AB265" s="47">
        <v>370.0</v>
      </c>
    </row>
    <row r="266" hidden="1">
      <c r="A266" s="222" t="str">
        <f t="array" ref="A266:A267">{"FormulaRow41";(INDEX(CLASSLIST,A185,1))}</f>
        <v>FormulaRow41</v>
      </c>
      <c r="B266" s="222" t="str">
        <f t="array" ref="B266:B267">{"CLASSTYPE";((INDEX(ALLCLASSDATA,MATCH("ClassType",CLASSFEATUREHEADERS,0),MATCH($A267,CLASSNAMEHEADERS,0))))}</f>
        <v>CLASSTYPE</v>
      </c>
      <c r="C266" s="222" t="str">
        <f t="array" ref="C266:C267">{"SPELL/ALCHEMY";((IF(INDEX(ALLCLASSDATA,MATCH("CasterType",CLASSFEATUREHEADERS,0),MATCH(($A267),CLASSNAMEHEADERS,0))="","",(IF(INDEX(ALLCLASSDATA,MATCH("CasterType",CLASSFEATUREHEADERS,0),MATCH(($A267),CLASSNAMEHEADERS,0))="Alchemy","Alchemy","Spells")))))}</f>
        <v>SPELL/ALCHEMY</v>
      </c>
      <c r="D266" s="222" t="str">
        <f t="array" ref="D266:D267">{"SPELLLIST";(IF(C267="Spells",((INDEX(ALLCLASSDATA,MATCH("CasterType",CLASSFEATUREHEADERS,0),MATCH(($A267),CLASSNAMEHEADERS,0))) &amp; ":" &amp; (INDEX(ALLCLASSDATA,MATCH("SpellList",CLASSFEATUREHEADERS,0),MATCH(($A267),CLASSNAMEHEADERS,0)))),""))}</f>
        <v>SPELLLIST</v>
      </c>
      <c r="E266" s="223" t="str">
        <f t="array" ref="E266:E267">{"LEARNEDCOST";(IF(C267="","","LearnCost:"))}</f>
        <v>LEARNEDCOST</v>
      </c>
      <c r="F266" s="223" t="str">
        <f t="array" ref="F266:F267">{"LEARNED CANTRIPS";(INDEX(ALLCLASSDATA,MATCH("CantripsLearned-L00",CLASSFEATUREHEADERS,0),MATCH(($A267 &amp; "Points"),CLASSNAMEHEADERS,0)))}</f>
        <v>LEARNED CANTRIPS</v>
      </c>
      <c r="G266" s="223" t="str">
        <f t="array" ref="G266:G267">{"LEARNED L01";(INDEX(ALLCLASSDATA,MATCH("Learned-L01",CLASSFEATUREHEADERS,0),MATCH(($A267 &amp; "Points"),CLASSNAMEHEADERS,0)))}</f>
        <v>LEARNED L01</v>
      </c>
      <c r="H266" s="223" t="str">
        <f t="array" ref="H266:H267">{"LEARNED L02";(INDEX(ALLCLASSDATA,MATCH("Learned-L02",CLASSFEATUREHEADERS,0),MATCH(($A267 &amp; "Points"),CLASSNAMEHEADERS,0)))}</f>
        <v>LEARNED L02</v>
      </c>
      <c r="I266" s="223" t="str">
        <f t="array" ref="I266:I267">{"LEARNED L03";(INDEX(ALLCLASSDATA,MATCH("Learned-L03",CLASSFEATUREHEADERS,0),MATCH(($A267 &amp; "Points"),CLASSNAMEHEADERS,0)))}</f>
        <v>LEARNED L03</v>
      </c>
      <c r="J266" s="223" t="str">
        <f t="array" ref="J266:J267">{"LEARNED L04";(INDEX(ALLCLASSDATA,MATCH("Learned-L04",CLASSFEATUREHEADERS,0),MATCH(($A267 &amp; "Points"),CLASSNAMEHEADERS,0)))}</f>
        <v>LEARNED L04</v>
      </c>
      <c r="K266" s="223" t="str">
        <f t="array" ref="K266:K267">{"LEARNED L05";(INDEX(ALLCLASSDATA,MATCH("Learned-L05",CLASSFEATUREHEADERS,0),MATCH(($A267 &amp; "Points"),CLASSNAMEHEADERS,0)))}</f>
        <v>LEARNED L05</v>
      </c>
      <c r="L266" s="223" t="str">
        <f t="array" ref="L266:L267">{"LEARNED L06";(INDEX(ALLCLASSDATA,MATCH("Learned-L06",CLASSFEATUREHEADERS,0),MATCH(($A267 &amp; "Points"),CLASSNAMEHEADERS,0)))}</f>
        <v>LEARNED L06</v>
      </c>
      <c r="M266" s="223" t="str">
        <f t="array" ref="M266:M267">{"LEARNED L07";(INDEX(ALLCLASSDATA,MATCH("Learned-L07",CLASSFEATUREHEADERS,0),MATCH(($A267 &amp; "Points"),CLASSNAMEHEADERS,0)))}</f>
        <v>LEARNED L07</v>
      </c>
      <c r="N266" s="223" t="str">
        <f t="array" ref="N266:N267">{"LEARNED L08";(INDEX(ALLCLASSDATA,MATCH("Learned-L08",CLASSFEATUREHEADERS,0),MATCH(($A267 &amp; "Points"),CLASSNAMEHEADERS,0)))}</f>
        <v>LEARNED L08</v>
      </c>
      <c r="O266" s="223" t="str">
        <f t="array" ref="O266:O267">{"LEARNED L09";(INDEX(ALLCLASSDATA,MATCH("Learned-L09",CLASSFEATUREHEADERS,0),MATCH(($A267 &amp; "Points"),CLASSNAMEHEADERS,0)))}</f>
        <v>LEARNED L09</v>
      </c>
      <c r="P266" s="223" t="str">
        <f t="array" ref="P266:P267">{"LEARNED L10";(INDEX(ALLCLASSDATA,MATCH("Learned-L10",CLASSFEATUREHEADERS,0),MATCH(($A267 &amp; "Points"),CLASSNAMEHEADERS,0)))}</f>
        <v>LEARNED L10</v>
      </c>
      <c r="Q266" s="223" t="str">
        <f t="array" ref="Q266:Q267">{"LEARNED L11";(INDEX(ALLCLASSDATA,MATCH("Learned-L11",CLASSFEATUREHEADERS,0),MATCH(($A267 &amp; "Points"),CLASSNAMEHEADERS,0)))}</f>
        <v>LEARNED L11</v>
      </c>
      <c r="R266" s="223" t="str">
        <f t="array" ref="R266:R267">{"LEARNED L12";(INDEX(ALLCLASSDATA,MATCH("Learned-L12",CLASSFEATUREHEADERS,0),MATCH(($A267 &amp; "Points"),CLASSNAMEHEADERS,0)))}</f>
        <v>LEARNED L12</v>
      </c>
      <c r="S266" s="223" t="str">
        <f t="array" ref="S266:S267">{"LEARNED L13";(INDEX(ALLCLASSDATA,MATCH("Learned-L13",CLASSFEATUREHEADERS,0),MATCH(($A267 &amp; "Points"),CLASSNAMEHEADERS,0)))}</f>
        <v>LEARNED L13</v>
      </c>
      <c r="T266" s="223" t="str">
        <f t="array" ref="T266:T267">{"LEARNED L14";(INDEX(ALLCLASSDATA,MATCH("Learned-L14",CLASSFEATUREHEADERS,0),MATCH(($A267 &amp; "Points"),CLASSNAMEHEADERS,0)))}</f>
        <v>LEARNED L14</v>
      </c>
      <c r="U266" s="223" t="str">
        <f t="array" ref="U266:U267">{"LEARNED L15";(INDEX(ALLCLASSDATA,MATCH("Learned-L15",CLASSFEATUREHEADERS,0),MATCH(($A267 &amp; "Points"),CLASSNAMEHEADERS,0)))}</f>
        <v>LEARNED L15</v>
      </c>
      <c r="V266" s="223" t="str">
        <f t="array" ref="V266:V267">{"LEARNED L16";(INDEX(ALLCLASSDATA,MATCH("Learned-L16",CLASSFEATUREHEADERS,0),MATCH(($A267 &amp; "Points"),CLASSNAMEHEADERS,0)))}</f>
        <v>LEARNED L16</v>
      </c>
      <c r="W266" s="223" t="str">
        <f t="array" ref="W266:W267">{"LEARNED L17";(INDEX(ALLCLASSDATA,MATCH("Learned-L17",CLASSFEATUREHEADERS,0),MATCH(($A267 &amp; "Points"),CLASSNAMEHEADERS,0)))}</f>
        <v>LEARNED L17</v>
      </c>
      <c r="X266" s="223" t="str">
        <f t="array" ref="X266:X267">{"LEARNED L18";(INDEX(ALLCLASSDATA,MATCH("Learned-L18",CLASSFEATUREHEADERS,0),MATCH(($A267 &amp; "Points"),CLASSNAMEHEADERS,0)))}</f>
        <v>LEARNED L18</v>
      </c>
      <c r="Y266" s="223" t="str">
        <f t="array" ref="Y266:Y267">{"LEARNED L19";(INDEX(ALLCLASSDATA,MATCH("Learned-L19",CLASSFEATUREHEADERS,0),MATCH(($A267 &amp; "Points"),CLASSNAMEHEADERS,0)))}</f>
        <v>LEARNED L19</v>
      </c>
      <c r="Z266" s="223" t="str">
        <f t="array" ref="Z266:Z267">{"LEARNED L20";(INDEX(ALLCLASSDATA,MATCH("Learned-L20",CLASSFEATUREHEADERS,0),MATCH(($A267 &amp; "Points"),CLASSNAMEHEADERS,0)))}</f>
        <v>LEARNED L20</v>
      </c>
      <c r="AA266" s="76"/>
      <c r="AB266" s="76" t="str">
        <f t="array" ref="AB266:AB267">{"LEARNED TOTAL";(sum(F267:Z267))}</f>
        <v>LEARNED TOTAL</v>
      </c>
    </row>
    <row r="267">
      <c r="A267" s="48" t="s">
        <v>225</v>
      </c>
      <c r="B267" s="48" t="s">
        <v>418</v>
      </c>
      <c r="C267" s="48" t="s">
        <v>1901</v>
      </c>
      <c r="D267" s="48" t="s">
        <v>1918</v>
      </c>
      <c r="E267" s="278" t="s">
        <v>1906</v>
      </c>
      <c r="F267" s="47"/>
      <c r="G267" s="5">
        <v>40.0</v>
      </c>
      <c r="H267" s="5">
        <v>20.0</v>
      </c>
      <c r="I267" s="5">
        <v>40.0</v>
      </c>
      <c r="J267" s="5">
        <v>20.0</v>
      </c>
      <c r="K267" s="5">
        <v>40.0</v>
      </c>
      <c r="L267" s="5">
        <v>20.0</v>
      </c>
      <c r="M267" s="48">
        <v>40.0</v>
      </c>
      <c r="N267" s="5">
        <v>20.0</v>
      </c>
      <c r="O267" s="5">
        <v>40.0</v>
      </c>
      <c r="P267" s="5">
        <v>20.0</v>
      </c>
      <c r="Q267" s="5">
        <v>40.0</v>
      </c>
      <c r="R267" s="5">
        <v>20.0</v>
      </c>
      <c r="S267" s="5">
        <v>40.0</v>
      </c>
      <c r="T267" s="5">
        <v>20.0</v>
      </c>
      <c r="U267" s="5">
        <v>40.0</v>
      </c>
      <c r="V267" s="5">
        <v>20.0</v>
      </c>
      <c r="W267" s="5">
        <v>40.0</v>
      </c>
      <c r="X267" s="5">
        <v>20.0</v>
      </c>
      <c r="Y267" s="5">
        <v>0.0</v>
      </c>
      <c r="Z267" s="5" t="s">
        <v>603</v>
      </c>
      <c r="AA267" s="5"/>
      <c r="AB267" s="47">
        <v>540.0</v>
      </c>
    </row>
    <row r="268" hidden="1">
      <c r="A268" s="222" t="str">
        <f t="array" ref="A268:A269">{"FormulaRow42";(INDEX(CLASSLIST,A185,1))}</f>
        <v>FormulaRow42</v>
      </c>
      <c r="B268" s="222" t="str">
        <f t="array" ref="B268:B269">{"CLASSTYPE";((INDEX(ALLCLASSDATA,MATCH("ClassType",CLASSFEATUREHEADERS,0),MATCH($A269,CLASSNAMEHEADERS,0))))}</f>
        <v>CLASSTYPE</v>
      </c>
      <c r="C268" s="222" t="str">
        <f t="array" ref="C268:C269">{"SPELL/ALCHEMY";((IF(INDEX(ALLCLASSDATA,MATCH("CasterType",CLASSFEATUREHEADERS,0),MATCH(($A269),CLASSNAMEHEADERS,0))="","",(IF(INDEX(ALLCLASSDATA,MATCH("CasterType",CLASSFEATUREHEADERS,0),MATCH(($A269),CLASSNAMEHEADERS,0))="Alchemy","","Spells")))))}</f>
        <v>SPELL/ALCHEMY</v>
      </c>
      <c r="D268" s="222" t="str">
        <f t="array" ref="D268:D269">{"SPELLLIST";(IF(C269="Spells",((INDEX(ALLCLASSDATA,MATCH("CasterType",CLASSFEATUREHEADERS,0),MATCH(($A269),CLASSNAMEHEADERS,0))) &amp; ":" &amp; (INDEX(ALLCLASSDATA,MATCH("SpellList",CLASSFEATUREHEADERS,0),MATCH(($A269),CLASSNAMEHEADERS,0)))),""))}</f>
        <v>SPELLLIST</v>
      </c>
      <c r="E268" s="223" t="str">
        <f t="array" ref="E268:E269">{"SLOT/LVL";(IF(C263="Spells","Slot/LVL:",""))}</f>
        <v>SLOT/LVL</v>
      </c>
      <c r="F268" s="223" t="str">
        <f t="array" ref="F268:F269">{"CANTRIPSLOTS";(INDEX(ALLCLASSDATA,MATCH("CantripSlots-L00",CLASSFEATUREHEADERS,0),MATCH($A269,CLASSNAMEHEADERS,0)))}</f>
        <v>#REF!</v>
      </c>
      <c r="G268" s="223" t="str">
        <f t="array" ref="G268:G269">{"SPL01-L01";(INDEX(ALLCLASSDATA,MATCH("SPL01-L01",CLASSFEATUREHEADERS,0),MATCH($A269,CLASSNAMEHEADERS,0)))}</f>
        <v>SPL01-L01</v>
      </c>
      <c r="H268" s="223" t="str">
        <f t="array" ref="H268:H269">{"SPL01-L02";(INDEX(ALLCLASSDATA,MATCH("SPL01-L02",CLASSFEATUREHEADERS,0),MATCH($A269,CLASSNAMEHEADERS,0)))}</f>
        <v>#REF!</v>
      </c>
      <c r="I268" s="223" t="str">
        <f t="array" ref="I268:I269">{"SPL02-L03";(INDEX(ALLCLASSDATA,MATCH("SPL02-L03",CLASSFEATUREHEADERS,0),MATCH($A269,CLASSNAMEHEADERS,0)))}</f>
        <v>SPL02-L03</v>
      </c>
      <c r="J268" s="223" t="str">
        <f t="array" ref="J268:J269">{"SPL02-L04";(INDEX(ALLCLASSDATA,MATCH("SPL02-L04",CLASSFEATUREHEADERS,0),MATCH($A269,CLASSNAMEHEADERS,0)))}</f>
        <v>#REF!</v>
      </c>
      <c r="K268" s="223" t="str">
        <f t="array" ref="K268:K269">{"SPL03-L05";(INDEX(ALLCLASSDATA,MATCH("SPL03-L05",CLASSFEATUREHEADERS,0),MATCH($A269,CLASSNAMEHEADERS,0)))}</f>
        <v>SPL03-L05</v>
      </c>
      <c r="L268" s="223" t="str">
        <f t="array" ref="L268:L269">{"SPL03-L06";(INDEX(ALLCLASSDATA,MATCH("SPL03-L06",CLASSFEATUREHEADERS,0),MATCH($A269,CLASSNAMEHEADERS,0)))}</f>
        <v>#REF!</v>
      </c>
      <c r="M268" s="223" t="str">
        <f t="array" ref="M268:M269">{"SPL04-L07";(INDEX(ALLCLASSDATA,MATCH("SPL04-L07",CLASSFEATUREHEADERS,0),MATCH($A269,CLASSNAMEHEADERS,0)))}</f>
        <v>SPL04-L07</v>
      </c>
      <c r="N268" s="223" t="str">
        <f t="array" ref="N268:N269">{"SPL04-L08";(INDEX(ALLCLASSDATA,MATCH("SPL04-L08",CLASSFEATUREHEADERS,0),MATCH($A269,CLASSNAMEHEADERS,0)))}</f>
        <v>#REF!</v>
      </c>
      <c r="O268" s="223" t="str">
        <f t="array" ref="O268:O269">{"SPL05-L09";(INDEX(ALLCLASSDATA,MATCH("SPL05-L09",CLASSFEATUREHEADERS,0),MATCH($A269,CLASSNAMEHEADERS,0)))}</f>
        <v>SPL05-L09</v>
      </c>
      <c r="P268" s="223" t="str">
        <f t="array" ref="P268:P269">{"SPL05-L10";(INDEX(ALLCLASSDATA,MATCH("SPL05-L10",CLASSFEATUREHEADERS,0),MATCH($A269,CLASSNAMEHEADERS,0)))}</f>
        <v>#REF!</v>
      </c>
      <c r="Q268" s="223" t="str">
        <f t="array" ref="Q268:Q269">{"SPL06-L11";(INDEX(ALLCLASSDATA,MATCH("SPL06-L11",CLASSFEATUREHEADERS,0),MATCH($A269,CLASSNAMEHEADERS,0)))}</f>
        <v>SPL06-L11</v>
      </c>
      <c r="R268" s="223" t="str">
        <f t="array" ref="R268:R269">{"SPL06-L12";(INDEX(ALLCLASSDATA,MATCH("SPL06-L12",CLASSFEATUREHEADERS,0),MATCH($A269,CLASSNAMEHEADERS,0)))}</f>
        <v>#REF!</v>
      </c>
      <c r="S268" s="223" t="str">
        <f t="array" ref="S268:S269">{"SPL07-L13";(INDEX(ALLCLASSDATA,MATCH("SPL07-L13",CLASSFEATUREHEADERS,0),MATCH($A269,CLASSNAMEHEADERS,0)))}</f>
        <v>SPL07-L13</v>
      </c>
      <c r="T268" s="223" t="str">
        <f t="array" ref="T268:T269">{"SPL07-L14";(INDEX(ALLCLASSDATA,MATCH("SPL07-L14",CLASSFEATUREHEADERS,0),MATCH($A269,CLASSNAMEHEADERS,0)))}</f>
        <v>#REF!</v>
      </c>
      <c r="U268" s="223" t="str">
        <f t="array" ref="U268:U269">{"SPL08-L15";(INDEX(ALLCLASSDATA,MATCH("SPL08-L15",CLASSFEATUREHEADERS,0),MATCH($A269,CLASSNAMEHEADERS,0)))}</f>
        <v>SPL08-L15</v>
      </c>
      <c r="V268" s="223" t="str">
        <f t="array" ref="V268:V269">{"SPL08-L16";(INDEX(ALLCLASSDATA,MATCH("SPL08-L16",CLASSFEATUREHEADERS,0),MATCH($A269,CLASSNAMEHEADERS,0)))}</f>
        <v>#REF!</v>
      </c>
      <c r="W268" s="223" t="str">
        <f t="array" ref="W268:W269">{"SPL09-L17";(INDEX(ALLCLASSDATA,MATCH("SPL09-L17",CLASSFEATUREHEADERS,0),MATCH($A269,CLASSNAMEHEADERS,0)))}</f>
        <v>SPL09-L17</v>
      </c>
      <c r="X268" s="223" t="str">
        <f t="array" ref="X268:X269">{"SPL09-L18";(INDEX(ALLCLASSDATA,MATCH("SPL09-L18",CLASSFEATUREHEADERS,0),MATCH($A269,CLASSNAMEHEADERS,0)))}</f>
        <v>#REF!</v>
      </c>
      <c r="Y268" s="223" t="str">
        <f t="array" ref="Y268:Y269">{"SPL10-L19";(INDEX(ALLCLASSDATA,MATCH("SPL10-L19",CLASSFEATUREHEADERS,0),MATCH($A269,CLASSNAMEHEADERS,0)))}</f>
        <v>SPL10-L19</v>
      </c>
      <c r="Z268" s="223" t="str">
        <f t="array" ref="Z268:Z269">{"SPL10-L20";(INDEX(ALLCLASSDATA,MATCH("SPL10-L20",CLASSFEATUREHEADERS,0),MATCH($A269,CLASSNAMEHEADERS,0)))}</f>
        <v>SPL10-L20</v>
      </c>
      <c r="AA268" s="76"/>
      <c r="AB268" s="76"/>
    </row>
    <row r="269">
      <c r="A269" s="48" t="s">
        <v>225</v>
      </c>
      <c r="B269" s="48" t="s">
        <v>418</v>
      </c>
      <c r="C269" s="48" t="s">
        <v>1901</v>
      </c>
      <c r="D269" s="48" t="s">
        <v>1918</v>
      </c>
      <c r="E269" s="278" t="s">
        <v>1907</v>
      </c>
      <c r="F269" s="114">
        <v>3.0</v>
      </c>
      <c r="G269" s="50" t="s">
        <v>1538</v>
      </c>
      <c r="H269" s="50" t="s">
        <v>1908</v>
      </c>
      <c r="I269" s="50" t="s">
        <v>1538</v>
      </c>
      <c r="J269" s="50" t="s">
        <v>1908</v>
      </c>
      <c r="K269" s="50" t="s">
        <v>1538</v>
      </c>
      <c r="L269" s="50" t="s">
        <v>1908</v>
      </c>
      <c r="M269" s="50" t="s">
        <v>1538</v>
      </c>
      <c r="N269" s="50" t="s">
        <v>1908</v>
      </c>
      <c r="O269" s="50" t="s">
        <v>1538</v>
      </c>
      <c r="P269" s="50" t="s">
        <v>1908</v>
      </c>
      <c r="Q269" s="50" t="s">
        <v>1538</v>
      </c>
      <c r="R269" s="50" t="s">
        <v>1908</v>
      </c>
      <c r="S269" s="50" t="s">
        <v>1538</v>
      </c>
      <c r="T269" s="50" t="s">
        <v>1908</v>
      </c>
      <c r="U269" s="50" t="s">
        <v>1538</v>
      </c>
      <c r="V269" s="50" t="s">
        <v>1908</v>
      </c>
      <c r="W269" s="50" t="s">
        <v>1538</v>
      </c>
      <c r="X269" s="50" t="s">
        <v>1908</v>
      </c>
      <c r="Y269" s="50" t="s">
        <v>1537</v>
      </c>
      <c r="Z269" s="50"/>
      <c r="AA269" s="278"/>
      <c r="AB269" s="47"/>
    </row>
    <row r="270" hidden="1">
      <c r="A270" s="222" t="str">
        <f t="array" ref="A270:A271">{"FormulaRow43";(INDEX(CLASSLIST,A185,1))}</f>
        <v>FormulaRow43</v>
      </c>
      <c r="B270" s="222" t="str">
        <f t="array" ref="B270:B271">{"CLASSTYPE";((INDEX(ALLCLASSDATA,MATCH("ClassType",CLASSFEATUREHEADERS,0),MATCH($A271,CLASSNAMEHEADERS,0))))}</f>
        <v>CLASSTYPE</v>
      </c>
      <c r="C270" s="222" t="str">
        <f t="array" ref="C270:C271">{"SPELL/ALCHEMY";((IF(INDEX(ALLCLASSDATA,MATCH("CasterType",CLASSFEATUREHEADERS,0),MATCH(($A271),CLASSNAMEHEADERS,0))="","",(IF(INDEX(ALLCLASSDATA,MATCH("CasterType",CLASSFEATUREHEADERS,0),MATCH(($A271),CLASSNAMEHEADERS,0))="Alchemy","Alchemy","Spells")))))}</f>
        <v>SPELL/ALCHEMY</v>
      </c>
      <c r="D270" s="222" t="str">
        <f t="array" ref="D270:D271">{"SPELLLIST";(IF(C271="Spells",((INDEX(ALLCLASSDATA,MATCH("CasterType",CLASSFEATUREHEADERS,0),MATCH(($A271),CLASSNAMEHEADERS,0))) &amp; ":" &amp; (INDEX(ALLCLASSDATA,MATCH("SpellList",CLASSFEATUREHEADERS,0),MATCH(($A271),CLASSNAMEHEADERS,0)))),""))}</f>
        <v>SPELLLIST</v>
      </c>
      <c r="E270" s="223" t="str">
        <f t="array" ref="E270:E271">{"LEARNED/LVL";(IF(C271="","","Learn/LVL:"))}</f>
        <v>LEARNED/LVL</v>
      </c>
      <c r="F270" s="223" t="str">
        <f t="array" ref="F270:F271">{"LEARNEDCANTRIPS";(INDEX(ALLCLASSDATA,MATCH("CantripsLearned-L00",CLASSFEATUREHEADERS,0),MATCH($A271,CLASSNAMEHEADERS,0)))}</f>
        <v>LEARNEDCANTRIPS</v>
      </c>
      <c r="G270" s="223" t="str">
        <f t="array" ref="G270:G271">{"LEARNED L01";(INDEX(ALLCLASSDATA,MATCH("Learned-L01",CLASSFEATUREHEADERS,0),MATCH($A271,CLASSNAMEHEADERS,0)))}</f>
        <v>LEARNED L01</v>
      </c>
      <c r="H270" s="223" t="str">
        <f t="array" ref="H270:H271">{"LEARNED L02";(INDEX(ALLCLASSDATA,MATCH("Learned-L02",CLASSFEATUREHEADERS,0),MATCH($A271,CLASSNAMEHEADERS,0)))}</f>
        <v>LEARNED L02</v>
      </c>
      <c r="I270" s="223" t="str">
        <f t="array" ref="I270:I271">{"LEARNED L03";(INDEX(ALLCLASSDATA,MATCH("Learned-L03",CLASSFEATUREHEADERS,0),MATCH($A271,CLASSNAMEHEADERS,0)))}</f>
        <v>LEARNED L03</v>
      </c>
      <c r="J270" s="223" t="str">
        <f t="array" ref="J270:J271">{"LEARNED L04";(INDEX(ALLCLASSDATA,MATCH("Learned-L04",CLASSFEATUREHEADERS,0),MATCH($A271,CLASSNAMEHEADERS,0)))}</f>
        <v>LEARNED L04</v>
      </c>
      <c r="K270" s="223" t="str">
        <f t="array" ref="K270:K271">{"LEARNED L05";(INDEX(ALLCLASSDATA,MATCH("Learned-L05",CLASSFEATUREHEADERS,0),MATCH($A271,CLASSNAMEHEADERS,0)))}</f>
        <v>LEARNED L05</v>
      </c>
      <c r="L270" s="223" t="str">
        <f t="array" ref="L270:L271">{"LEARNED L06";(INDEX(ALLCLASSDATA,MATCH("Learned-L06",CLASSFEATUREHEADERS,0),MATCH($A271,CLASSNAMEHEADERS,0)))}</f>
        <v>LEARNED L06</v>
      </c>
      <c r="M270" s="223" t="str">
        <f t="array" ref="M270:M271">{"LEARNED L07";(INDEX(ALLCLASSDATA,MATCH("Learned-L07",CLASSFEATUREHEADERS,0),MATCH($A271,CLASSNAMEHEADERS,0)))}</f>
        <v>LEARNED L07</v>
      </c>
      <c r="N270" s="223" t="str">
        <f t="array" ref="N270:N271">{"LEARNED L08";(INDEX(ALLCLASSDATA,MATCH("Learned-L08",CLASSFEATUREHEADERS,0),MATCH($A271,CLASSNAMEHEADERS,0)))}</f>
        <v>LEARNED L08</v>
      </c>
      <c r="O270" s="223" t="str">
        <f t="array" ref="O270:O271">{"LEARNED L09";(INDEX(ALLCLASSDATA,MATCH("Learned-L09",CLASSFEATUREHEADERS,0),MATCH($A271,CLASSNAMEHEADERS,0)))}</f>
        <v>LEARNED L09</v>
      </c>
      <c r="P270" s="223" t="str">
        <f t="array" ref="P270:P271">{"LEARNED L10";(INDEX(ALLCLASSDATA,MATCH("Learned-L10",CLASSFEATUREHEADERS,0),MATCH($A271,CLASSNAMEHEADERS,0)))}</f>
        <v>LEARNED L10</v>
      </c>
      <c r="Q270" s="223" t="str">
        <f t="array" ref="Q270:Q271">{"LEARNED L11";(INDEX(ALLCLASSDATA,MATCH("Learned-L11",CLASSFEATUREHEADERS,0),MATCH($A271,CLASSNAMEHEADERS,0)))}</f>
        <v>LEARNED L11</v>
      </c>
      <c r="R270" s="223" t="str">
        <f t="array" ref="R270:R271">{"LEARNED L12";(INDEX(ALLCLASSDATA,MATCH("Learned-L12",CLASSFEATUREHEADERS,0),MATCH($A271,CLASSNAMEHEADERS,0)))}</f>
        <v>LEARNED L12</v>
      </c>
      <c r="S270" s="223" t="str">
        <f t="array" ref="S270:S271">{"LEARNED L13";(INDEX(ALLCLASSDATA,MATCH("Learned-L13",CLASSFEATUREHEADERS,0),MATCH($A271,CLASSNAMEHEADERS,0)))}</f>
        <v>LEARNED L13</v>
      </c>
      <c r="T270" s="223" t="str">
        <f t="array" ref="T270:T271">{"LEARNED L14";(INDEX(ALLCLASSDATA,MATCH("Learned-L14",CLASSFEATUREHEADERS,0),MATCH($A271,CLASSNAMEHEADERS,0)))}</f>
        <v>LEARNED L14</v>
      </c>
      <c r="U270" s="223" t="str">
        <f t="array" ref="U270:U271">{"LEARNED L15";(INDEX(ALLCLASSDATA,MATCH("Learned-L15",CLASSFEATUREHEADERS,0),MATCH($A271,CLASSNAMEHEADERS,0)))}</f>
        <v>LEARNED L15</v>
      </c>
      <c r="V270" s="223" t="str">
        <f t="array" ref="V270:V271">{"LEARNED L16";(INDEX(ALLCLASSDATA,MATCH("Learned-L16",CLASSFEATUREHEADERS,0),MATCH($A271,CLASSNAMEHEADERS,0)))}</f>
        <v>LEARNED L16</v>
      </c>
      <c r="W270" s="223" t="str">
        <f t="array" ref="W270:W271">{"LEARNED L17";(INDEX(ALLCLASSDATA,MATCH("Learned-L17",CLASSFEATUREHEADERS,0),MATCH($A271,CLASSNAMEHEADERS,0)))}</f>
        <v>LEARNED L17</v>
      </c>
      <c r="X270" s="223" t="str">
        <f t="array" ref="X270:X271">{"LEARNED L18";(INDEX(ALLCLASSDATA,MATCH("Learned-L18",CLASSFEATUREHEADERS,0),MATCH($A271,CLASSNAMEHEADERS,0)))}</f>
        <v>LEARNED L18</v>
      </c>
      <c r="Y270" s="223" t="str">
        <f t="array" ref="Y270:Y271">{"LEARNED L19";(INDEX(ALLCLASSDATA,MATCH("Learned-L19",CLASSFEATUREHEADERS,0),MATCH($A271,CLASSNAMEHEADERS,0)))}</f>
        <v>LEARNED L19</v>
      </c>
      <c r="Z270" s="223" t="str">
        <f t="array" ref="Z270:Z271">{"LEARNED L20";(INDEX(ALLCLASSDATA,MATCH("Learned-L20",CLASSFEATUREHEADERS,0),MATCH($A271,CLASSNAMEHEADERS,0)))}</f>
        <v>LEARNED L20</v>
      </c>
      <c r="AA270" s="76"/>
      <c r="AB270" s="76"/>
    </row>
    <row r="271">
      <c r="A271" s="48" t="s">
        <v>225</v>
      </c>
      <c r="B271" s="48" t="s">
        <v>418</v>
      </c>
      <c r="C271" s="48" t="s">
        <v>1901</v>
      </c>
      <c r="D271" s="48" t="s">
        <v>1918</v>
      </c>
      <c r="E271" s="278" t="s">
        <v>1909</v>
      </c>
      <c r="F271" s="280"/>
      <c r="G271" s="278" t="s">
        <v>1573</v>
      </c>
      <c r="H271" s="278" t="s">
        <v>1538</v>
      </c>
      <c r="I271" s="278" t="s">
        <v>1573</v>
      </c>
      <c r="J271" s="278" t="s">
        <v>1538</v>
      </c>
      <c r="K271" s="278" t="s">
        <v>1573</v>
      </c>
      <c r="L271" s="278" t="s">
        <v>1538</v>
      </c>
      <c r="M271" s="278" t="s">
        <v>1573</v>
      </c>
      <c r="N271" s="50" t="s">
        <v>1538</v>
      </c>
      <c r="O271" s="278" t="s">
        <v>1573</v>
      </c>
      <c r="P271" s="278" t="s">
        <v>1538</v>
      </c>
      <c r="Q271" s="278" t="s">
        <v>1573</v>
      </c>
      <c r="R271" s="278" t="s">
        <v>1538</v>
      </c>
      <c r="S271" s="278" t="s">
        <v>1573</v>
      </c>
      <c r="T271" s="278" t="s">
        <v>1538</v>
      </c>
      <c r="U271" s="278" t="s">
        <v>1573</v>
      </c>
      <c r="V271" s="278" t="s">
        <v>1538</v>
      </c>
      <c r="W271" s="278" t="s">
        <v>1573</v>
      </c>
      <c r="X271" s="278" t="s">
        <v>1538</v>
      </c>
      <c r="Y271" s="278"/>
      <c r="Z271" s="278"/>
      <c r="AA271" s="278"/>
      <c r="AB271" s="47"/>
    </row>
    <row r="272" hidden="1">
      <c r="A272" s="222" t="str">
        <f t="array" ref="A272:A273">{"FormulaRow44";(INDEX(CLASSLIST,A185,1))}</f>
        <v>FormulaRow44</v>
      </c>
      <c r="B272" s="222" t="str">
        <f t="array" ref="B272:B273">{"CLASSTYPE";((INDEX(ALLCLASSDATA,MATCH("ClassType",CLASSFEATUREHEADERS,0),MATCH($A273,CLASSNAMEHEADERS,0))))}</f>
        <v>CLASSTYPE</v>
      </c>
      <c r="C272" s="222" t="str">
        <f t="array" ref="C272:C273">{"SPELL/ALCHEMY";((IF(INDEX(ALLCLASSDATA,MATCH("CasterType",CLASSFEATUREHEADERS,0),MATCH(($A273),CLASSNAMEHEADERS,0))="","",(IF(INDEX(ALLCLASSDATA,MATCH("CasterType",CLASSFEATUREHEADERS,0),MATCH(($A273),CLASSNAMEHEADERS,0))="Alchemy","","Spells")))))}</f>
        <v>SPELL/ALCHEMY</v>
      </c>
      <c r="D272" s="222" t="str">
        <f t="array" ref="D272:D273">{"SPELLLIST";(IF(C273="Spells",((INDEX(ALLCLASSDATA,MATCH("CasterType",CLASSFEATUREHEADERS,0),MATCH(($A273),CLASSNAMEHEADERS,0))) &amp; ":" &amp; (INDEX(ALLCLASSDATA,MATCH("SpellList",CLASSFEATUREHEADERS,0),MATCH(($A273),CLASSNAMEHEADERS,0)))),""))}</f>
        <v>SPELLLIST</v>
      </c>
      <c r="E272" s="223" t="str">
        <f t="array" ref="E272:E273">{"TOTALSLOTS";(IF(C273="","","TotalSlots:"))}</f>
        <v>TOTALSLOTS</v>
      </c>
      <c r="F272" s="223" t="str">
        <f t="array" ref="F272:F273">{"TOTALCANTRIPSLOTS";(F269)}</f>
        <v>TOTALCANTRIPSLOTS</v>
      </c>
      <c r="G272" s="223" t="str">
        <f t="array" ref="G272:G273">{"TOTALSLOTS L01";(G269)}</f>
        <v>TOTALSLOTS L01</v>
      </c>
      <c r="H272" s="223" t="str">
        <f t="array" ref="H272:H273">{"TOTALSLOTS L02";(G273+H269)}</f>
        <v>TOTALSLOTS L02</v>
      </c>
      <c r="I272" s="223" t="str">
        <f t="array" ref="I272:I273">{"TOTALSLOTS L03";(H273+I269)}</f>
        <v>TOTALSLOTS L03</v>
      </c>
      <c r="J272" s="223" t="str">
        <f t="array" ref="J272:J273">{"TOTALSLOTS L04";(I273+J269)}</f>
        <v>TOTALSLOTS L04</v>
      </c>
      <c r="K272" s="223" t="str">
        <f t="array" ref="K272:K273">{"TOTALSLOTS L05";(J273+K269)}</f>
        <v>TOTALSLOTS L05</v>
      </c>
      <c r="L272" s="223" t="str">
        <f t="array" ref="L272:L273">{"TOTALSLOTS L06";(K273+L269)}</f>
        <v>TOTALSLOTS L06</v>
      </c>
      <c r="M272" s="223" t="str">
        <f t="array" ref="M272:M273">{"TOTALSLOTS L07";(L273+M269)}</f>
        <v>TOTALSLOTS L07</v>
      </c>
      <c r="N272" s="223" t="str">
        <f t="array" ref="N272:N273">{"TOTALSLOTS L08";(M273+N269)}</f>
        <v>TOTALSLOTS L08</v>
      </c>
      <c r="O272" s="223" t="str">
        <f t="array" ref="O272:O273">{"TOTALSLOTS L09";(N273+O269)}</f>
        <v>TOTALSLOTS L09</v>
      </c>
      <c r="P272" s="223" t="str">
        <f t="array" ref="P272:P273">{"TOTALSLOTS L10";(O273+P269)}</f>
        <v>TOTALSLOTS L10</v>
      </c>
      <c r="Q272" s="223" t="str">
        <f t="array" ref="Q272:Q273">{"TOTALSLOTS L11";(P273+Q269)}</f>
        <v>TOTALSLOTS L11</v>
      </c>
      <c r="R272" s="223" t="str">
        <f t="array" ref="R272:R273">{"TOTALSLOTS L12";(Q273+R269)}</f>
        <v>TOTALSLOTS L12</v>
      </c>
      <c r="S272" s="223" t="str">
        <f t="array" ref="S272:S273">{"TOTALSLOTS L13";(R273+S269)}</f>
        <v>TOTALSLOTS L13</v>
      </c>
      <c r="T272" s="223" t="str">
        <f t="array" ref="T272:T273">{"TOTALSLOTS L14";(S273+T269)}</f>
        <v>TOTALSLOTS L14</v>
      </c>
      <c r="U272" s="223" t="str">
        <f t="array" ref="U272:U273">{"TOTALSLOTS L15";(T273+U269)}</f>
        <v>TOTALSLOTS L15</v>
      </c>
      <c r="V272" s="223" t="str">
        <f t="array" ref="V272:V273">{"TOTALSLOTS L16";(U273+V269)}</f>
        <v>TOTALSLOTS L16</v>
      </c>
      <c r="W272" s="223" t="str">
        <f t="array" ref="W272:W273">{"TOTALSLOTS L17";(V273+W269)}</f>
        <v>TOTALSLOTS L17</v>
      </c>
      <c r="X272" s="223" t="str">
        <f t="array" ref="X272:X273">{"TOTALSLOTS L18";(W273+X269)}</f>
        <v>TOTALSLOTS L18</v>
      </c>
      <c r="Y272" s="223" t="str">
        <f t="array" ref="Y272:Y273">{"TOTALSLOTS L19";(X273+Y269)}</f>
        <v>TOTALSLOTS L19</v>
      </c>
      <c r="Z272" s="223" t="str">
        <f t="array" ref="Z272:Z273">{"TOTALSLOTS L20";(Y273+Z269)}</f>
        <v>TOTALSLOTS L20</v>
      </c>
      <c r="AA272" s="76"/>
      <c r="AB272" s="76"/>
    </row>
    <row r="273">
      <c r="A273" s="48" t="s">
        <v>225</v>
      </c>
      <c r="B273" s="48" t="s">
        <v>418</v>
      </c>
      <c r="C273" s="48" t="s">
        <v>1901</v>
      </c>
      <c r="D273" s="48" t="s">
        <v>1918</v>
      </c>
      <c r="E273" s="278" t="s">
        <v>1910</v>
      </c>
      <c r="F273" s="47">
        <v>3.0</v>
      </c>
      <c r="G273" s="278" t="s">
        <v>1538</v>
      </c>
      <c r="H273" s="278">
        <v>2.0</v>
      </c>
      <c r="I273" s="278">
        <v>4.0</v>
      </c>
      <c r="J273" s="278">
        <v>4.0</v>
      </c>
      <c r="K273" s="278">
        <v>6.0</v>
      </c>
      <c r="L273" s="278">
        <v>6.0</v>
      </c>
      <c r="M273" s="278">
        <v>8.0</v>
      </c>
      <c r="N273" s="278">
        <v>8.0</v>
      </c>
      <c r="O273" s="278">
        <v>10.0</v>
      </c>
      <c r="P273" s="278">
        <v>10.0</v>
      </c>
      <c r="Q273" s="278">
        <v>12.0</v>
      </c>
      <c r="R273" s="278">
        <v>12.0</v>
      </c>
      <c r="S273" s="278">
        <v>14.0</v>
      </c>
      <c r="T273" s="278">
        <v>14.0</v>
      </c>
      <c r="U273" s="278">
        <v>16.0</v>
      </c>
      <c r="V273" s="278">
        <v>16.0</v>
      </c>
      <c r="W273" s="278">
        <v>18.0</v>
      </c>
      <c r="X273" s="278">
        <v>18.0</v>
      </c>
      <c r="Y273" s="278">
        <v>19.0</v>
      </c>
      <c r="Z273" s="278">
        <v>19.0</v>
      </c>
      <c r="AA273" s="5"/>
      <c r="AB273" s="47"/>
    </row>
    <row r="274" hidden="1">
      <c r="A274" s="222" t="str">
        <f t="array" ref="A274:A275">{"FormulaRow45";(INDEX(CLASSLIST,A185,1))}</f>
        <v>FormulaRow45</v>
      </c>
      <c r="B274" s="222" t="str">
        <f t="array" ref="B274:B275">{"CLASSTYPE";((INDEX(ALLCLASSDATA,MATCH("ClassType",CLASSFEATUREHEADERS,0),MATCH($A275,CLASSNAMEHEADERS,0))))}</f>
        <v>CLASSTYPE</v>
      </c>
      <c r="C274" s="222" t="str">
        <f t="array" ref="C274:C275">{"SPELL/ALCHEMY";((IF(INDEX(ALLCLASSDATA,MATCH("CasterType",CLASSFEATUREHEADERS,0),MATCH(($A275),CLASSNAMEHEADERS,0))="","",(IF(INDEX(ALLCLASSDATA,MATCH("CasterType",CLASSFEATUREHEADERS,0),MATCH(($A275),CLASSNAMEHEADERS,0))="Alchemy","Alchemy","Spells")))))}</f>
        <v>SPELL/ALCHEMY</v>
      </c>
      <c r="D274" s="222" t="str">
        <f t="array" ref="D274:D275">{"SPELLLIST";(IF(C275="Spells",((INDEX(ALLCLASSDATA,MATCH("CasterType",CLASSFEATUREHEADERS,0),MATCH(($A275),CLASSNAMEHEADERS,0))) &amp; ":" &amp; (INDEX(ALLCLASSDATA,MATCH("SpellList",CLASSFEATUREHEADERS,0),MATCH(($A275),CLASSNAMEHEADERS,0)))),""))}</f>
        <v>SPELLLIST</v>
      </c>
      <c r="E274" s="223" t="str">
        <f t="array" ref="E274:E275">{"TOTALLEARNED";(IF(C275="","","TotalLearned:"))}</f>
        <v>TOTALLEARNED</v>
      </c>
      <c r="F274" s="223" t="str">
        <f t="array" ref="F274:F275">{"TOTALCANTRIPSLEARNED";(F271)}</f>
        <v>TOTALCANTRIPSLEARNED</v>
      </c>
      <c r="G274" s="223" t="str">
        <f t="array" ref="G274:G275">{"TOTALLEARNED L01";(G271)}</f>
        <v>TOTALLEARNED L01</v>
      </c>
      <c r="H274" s="223" t="str">
        <f t="array" ref="H274:H275">{"TOTALLEARNED L02";(G275+H271)}</f>
        <v>TOTALLEARNED L02</v>
      </c>
      <c r="I274" s="223" t="str">
        <f t="array" ref="I274:I275">{"TOTALLEARNED L03";(H275+I271)}</f>
        <v>TOTALLEARNED L03</v>
      </c>
      <c r="J274" s="223" t="str">
        <f t="array" ref="J274:J275">{"TOTALLEARNED L04";(I275+J271)}</f>
        <v>TOTALLEARNED L04</v>
      </c>
      <c r="K274" s="223" t="str">
        <f t="array" ref="K274:K275">{"TOTALLEARNED L05";(J275+K271)}</f>
        <v>TOTALLEARNED L05</v>
      </c>
      <c r="L274" s="223" t="str">
        <f t="array" ref="L274:L275">{"TOTALLEARNED L06";(K275+L271)}</f>
        <v>TOTALLEARNED L06</v>
      </c>
      <c r="M274" s="223" t="str">
        <f t="array" ref="M274:M275">{"TOTALLEARNED L07";(L275+M271)}</f>
        <v>TOTALLEARNED L07</v>
      </c>
      <c r="N274" s="223" t="str">
        <f t="array" ref="N274:N275">{"TOTALLEARNED L08";(M275+N271)}</f>
        <v>TOTALLEARNED L08</v>
      </c>
      <c r="O274" s="223" t="str">
        <f t="array" ref="O274:O275">{"TOTALLEARNED L09";(N275+O271)}</f>
        <v>TOTALLEARNED L09</v>
      </c>
      <c r="P274" s="223" t="str">
        <f t="array" ref="P274:P275">{"TOTALLEARNED L10";(O275+P271)}</f>
        <v>TOTALLEARNED L10</v>
      </c>
      <c r="Q274" s="223" t="str">
        <f t="array" ref="Q274:Q275">{"TOTALLEARNED L11";(P275+Q271)}</f>
        <v>TOTALLEARNED L11</v>
      </c>
      <c r="R274" s="223" t="str">
        <f t="array" ref="R274:R275">{"TOTALLEARNED L12";(Q275+R271)}</f>
        <v>TOTALLEARNED L12</v>
      </c>
      <c r="S274" s="223" t="str">
        <f t="array" ref="S274:S275">{"TOTALLEARNED L13";(R275+S271)}</f>
        <v>TOTALLEARNED L13</v>
      </c>
      <c r="T274" s="223" t="str">
        <f t="array" ref="T274:T275">{"TOTALLEARNED L14";(S275+T271)}</f>
        <v>TOTALLEARNED L14</v>
      </c>
      <c r="U274" s="223" t="str">
        <f t="array" ref="U274:U275">{"TOTALLEARNED L15";(T275+U271)}</f>
        <v>TOTALLEARNED L15</v>
      </c>
      <c r="V274" s="223" t="str">
        <f t="array" ref="V274:V275">{"TOTALLEARNED L16";(U275+V271)}</f>
        <v>TOTALLEARNED L16</v>
      </c>
      <c r="W274" s="223" t="str">
        <f t="array" ref="W274:W275">{"TOTALLEARNED L17";(V275+W271)}</f>
        <v>TOTALLEARNED L17</v>
      </c>
      <c r="X274" s="223" t="str">
        <f t="array" ref="X274:X275">{"TOTALLEARNED L18";(W275+X271)}</f>
        <v>TOTALLEARNED L18</v>
      </c>
      <c r="Y274" s="223" t="str">
        <f t="array" ref="Y274:Y275">{"TOTALLEARNED L19";(X275+Y271)}</f>
        <v>TOTALLEARNED L19</v>
      </c>
      <c r="Z274" s="223" t="str">
        <f t="array" ref="Z274:Z275">{"TOTALLEARNED L20";(Y275+Z271)}</f>
        <v>TOTALLEARNED L20</v>
      </c>
      <c r="AA274" s="76"/>
      <c r="AB274" s="76"/>
    </row>
    <row r="275">
      <c r="A275" s="97" t="s">
        <v>225</v>
      </c>
      <c r="B275" s="97" t="s">
        <v>418</v>
      </c>
      <c r="C275" s="97" t="s">
        <v>1901</v>
      </c>
      <c r="D275" s="97" t="s">
        <v>1918</v>
      </c>
      <c r="E275" s="281" t="s">
        <v>1911</v>
      </c>
      <c r="F275" s="282"/>
      <c r="G275" s="278" t="s">
        <v>1573</v>
      </c>
      <c r="H275" s="278">
        <v>6.0</v>
      </c>
      <c r="I275" s="278">
        <v>10.0</v>
      </c>
      <c r="J275" s="278">
        <v>12.0</v>
      </c>
      <c r="K275" s="278">
        <v>16.0</v>
      </c>
      <c r="L275" s="278">
        <v>18.0</v>
      </c>
      <c r="M275" s="278">
        <v>22.0</v>
      </c>
      <c r="N275" s="278">
        <v>24.0</v>
      </c>
      <c r="O275" s="278">
        <v>28.0</v>
      </c>
      <c r="P275" s="278">
        <v>30.0</v>
      </c>
      <c r="Q275" s="278">
        <v>34.0</v>
      </c>
      <c r="R275" s="278">
        <v>36.0</v>
      </c>
      <c r="S275" s="278">
        <v>40.0</v>
      </c>
      <c r="T275" s="278">
        <v>42.0</v>
      </c>
      <c r="U275" s="278">
        <v>46.0</v>
      </c>
      <c r="V275" s="278">
        <v>48.0</v>
      </c>
      <c r="W275" s="278">
        <v>52.0</v>
      </c>
      <c r="X275" s="278">
        <v>54.0</v>
      </c>
      <c r="Y275" s="278">
        <v>54.0</v>
      </c>
      <c r="Z275" s="278">
        <v>54.0</v>
      </c>
      <c r="AA275" s="5"/>
      <c r="AB275" s="47"/>
    </row>
    <row r="276">
      <c r="A276" s="55">
        <v>21.0</v>
      </c>
      <c r="B276" s="79" t="s">
        <v>1919</v>
      </c>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c r="AA276" s="71"/>
      <c r="AB276" s="73"/>
    </row>
    <row r="277" hidden="1">
      <c r="A277" s="76" t="str">
        <f t="array" ref="A277:A278">{"FormulaRow01";(INDEX(CLASSLIST,A276,1))}</f>
        <v>FormulaRow01</v>
      </c>
      <c r="B277" s="76" t="str">
        <f t="array" ref="B277:B278">{"CLASSTYPE";(INDEX(ALLCLASSDATA,MATCH("ClassType",CLASSFEATUREHEADERS,0),MATCH($A278,CLASSNAMEHEADERS,0)))}</f>
        <v>CLASSTYPE</v>
      </c>
      <c r="C277" s="81" t="str">
        <f t="array" ref="C277:C278">{"TOTAL";("Total: " &amp; G278+I278+K278+M278+O278+Q278+S278+U278+W278+Y278)}</f>
        <v>TOTAL</v>
      </c>
      <c r="D277" s="81" t="str">
        <f t="array" ref="D277:D278">{"BALANCE";(IF((G278+I278+K278+M278+O278+Q278+S278+U278+W278+Y278)=2100,"(balanced)",(IF((G278+I278+K278+M278+O278+Q278+S278+U278+W278+Y278)&gt;2100,"OVERBUDGET: ","UNDERBUDGET: ")) &amp; (G278+I278+K278+M278+O278+Q278+S278+U278+W278+Y278-2100)))}</f>
        <v>BALANCE</v>
      </c>
      <c r="E277" s="81"/>
      <c r="F277" s="81"/>
      <c r="G277" s="81" t="str">
        <f t="array" ref="G277:G278">{"SUM LVL0/1/2";((SUMIF(E279:H358,"&lt;&gt;#REF!")+(SUMIF(I279:Z286,"&lt;&gt;#REF!"))))}</f>
        <v>SUM LVL0/1/2</v>
      </c>
      <c r="H277" s="81"/>
      <c r="I277" s="81" t="str">
        <f t="array" ref="I277:I278">{"SUM LVL3/4";(SUMIF(I287:J358,"&lt;&gt;#REF!"))}</f>
        <v>SUM LVL3/4</v>
      </c>
      <c r="J277" s="81"/>
      <c r="K277" s="81" t="str">
        <f t="array" ref="K277:K278">{"SUM LVL5/6";(SUMIF(K287:L358,"&lt;&gt;#REF!"))}</f>
        <v>SUM LVL5/6</v>
      </c>
      <c r="L277" s="81"/>
      <c r="M277" s="81" t="str">
        <f t="array" ref="M277:M278">{"SUM LVL7/8";(SUMIF(M287:N358,"&lt;&gt;#REF!"))}</f>
        <v>SUM LVL7/8</v>
      </c>
      <c r="N277" s="81"/>
      <c r="O277" s="81" t="str">
        <f t="array" ref="O277:O278">{"SUM LVL9/10";(SUMIF(O287:P358,"&lt;&gt;#REF!"))}</f>
        <v>SUM LVL9/10</v>
      </c>
      <c r="P277" s="81"/>
      <c r="Q277" s="81" t="str">
        <f t="array" ref="Q277:Q278">{"SUM LVL11/12";(SUMIF(Q287:R358,"&lt;&gt;#REF!"))}</f>
        <v>SUM LVL11/12</v>
      </c>
      <c r="R277" s="81"/>
      <c r="S277" s="81" t="str">
        <f t="array" ref="S277:S278">{"SUM LVL13/14";(SUMIF(S287:T358,"&lt;&gt;#REF!"))}</f>
        <v>SUM LVL13/14</v>
      </c>
      <c r="T277" s="81"/>
      <c r="U277" s="81" t="str">
        <f t="array" ref="U277:U278">{"SUM LVL15/16";(SUMIF(U287:V358,"&lt;&gt;#REF!"))}</f>
        <v>SUM LVL15/16</v>
      </c>
      <c r="V277" s="81"/>
      <c r="W277" s="81" t="str">
        <f t="array" ref="W277:W278">{"SUM LVL17/18";(SUMIF(W287:X358,"&lt;&gt;#REF!"))}</f>
        <v>SUM LVL17/18</v>
      </c>
      <c r="X277" s="81"/>
      <c r="Y277" s="81" t="str">
        <f t="array" ref="Y277:Y278">{"SUM LVL19/20";(SUMIF(Y287:Z358,"&lt;&gt;#REF!"))}</f>
        <v>SUM LVL19/20</v>
      </c>
      <c r="Z277" s="81"/>
      <c r="AA277" s="76"/>
      <c r="AB277" s="76" t="str">
        <f t="array" ref="AB277:AB278">{"SUM ROWTOTALS";(SUMIF(AB280:AB366,"&lt;&gt;#REF!"))}</f>
        <v>SUM ROWTOTALS</v>
      </c>
    </row>
    <row r="278">
      <c r="A278" s="48" t="s">
        <v>229</v>
      </c>
      <c r="B278" s="48" t="s">
        <v>418</v>
      </c>
      <c r="C278" s="97" t="s">
        <v>1913</v>
      </c>
      <c r="D278" s="98" t="s">
        <v>1914</v>
      </c>
      <c r="E278" s="97"/>
      <c r="F278" s="99"/>
      <c r="G278" s="98">
        <v>440.0</v>
      </c>
      <c r="H278" s="98"/>
      <c r="I278" s="98">
        <v>70.0</v>
      </c>
      <c r="J278" s="98"/>
      <c r="K278" s="98">
        <v>120.0</v>
      </c>
      <c r="L278" s="98"/>
      <c r="M278" s="98">
        <v>120.0</v>
      </c>
      <c r="N278" s="98"/>
      <c r="O278" s="98">
        <v>120.0</v>
      </c>
      <c r="P278" s="98"/>
      <c r="Q278" s="98">
        <v>170.0</v>
      </c>
      <c r="R278" s="98"/>
      <c r="S278" s="98">
        <v>190.0</v>
      </c>
      <c r="T278" s="98"/>
      <c r="U278" s="98">
        <v>180.0</v>
      </c>
      <c r="V278" s="98"/>
      <c r="W278" s="98">
        <v>180.0</v>
      </c>
      <c r="X278" s="98"/>
      <c r="Y278" s="98">
        <v>420.0</v>
      </c>
      <c r="Z278" s="98"/>
      <c r="AA278" s="5"/>
      <c r="AB278" s="47">
        <v>2010.0</v>
      </c>
    </row>
    <row r="279" hidden="1">
      <c r="A279" s="76" t="str">
        <f t="array" ref="A279:A280">{"FormulaRow02";(INDEX(CLASSLIST,A276,1))}</f>
        <v>FormulaRow02</v>
      </c>
      <c r="B279" s="76" t="str">
        <f t="array" ref="B279:B280">{"CLASSTYPE";((INDEX(ALLCLASSDATA,MATCH("ClassType",CLASSFEATUREHEADERS,0),MATCH($A280,CLASSNAMEHEADERS,0))))}</f>
        <v>CLASSTYPE</v>
      </c>
      <c r="C279" s="81" t="str">
        <f t="array" ref="C279:C280">{"FEATURES";"Features"}</f>
        <v>FEATURES</v>
      </c>
      <c r="D279" s="81" t="str">
        <f t="array" ref="D279:D280">{"INITIALFEATURES";"Initial Features"}</f>
        <v>INITIALFEATURES</v>
      </c>
      <c r="E279" s="81" t="str">
        <f t="array" ref="E279:E280">{"KEY";"Key"}</f>
        <v>KEY</v>
      </c>
      <c r="F279" s="81" t="str">
        <f t="array" ref="F279:F280">{"HP";"HP"}</f>
        <v>HP</v>
      </c>
      <c r="G279" s="81" t="str">
        <f t="array" ref="G279:G280">{"CLASSFEATL01";"ClassFeatL01"}</f>
        <v>CLASSFEATL01</v>
      </c>
      <c r="H279" s="81" t="str">
        <f t="array" ref="H279:H280">{"SHIELDBLOCKL01";"ShieldBlockL01"}</f>
        <v>SHIELDBLOCKL01</v>
      </c>
      <c r="I279" s="81" t="str">
        <f t="array" ref="I279:I280">{"INITIALSKILLS";"InitialSkills"}</f>
        <v>INITIALSKILLS</v>
      </c>
      <c r="J279" s="81" t="str">
        <f t="array" ref="J279:J280">{"SUBCLASSSKILLS";"SubclassSkills"}</f>
        <v>SUBCLASSSKILLS</v>
      </c>
      <c r="K279" s="81" t="str">
        <f t="array" ref="K279:K280">{"GRANTEDSKILLS";"GrantedSkills"}</f>
        <v>GRANTEDSKILLS</v>
      </c>
      <c r="L279" s="81"/>
      <c r="M279" s="81"/>
      <c r="N279" s="81"/>
      <c r="O279" s="81" t="str">
        <f t="array" ref="O279:O280">{"FOCUSSPELLS";"FocusSpells:"}</f>
        <v>FOCUSSPELLS</v>
      </c>
      <c r="P279" s="81" t="str">
        <f t="array" ref="P279:P280">{"FOCUSSPELL1-L00";((INDEX(ALLCLASSDATA,MATCH("FocusSpell1-L00",CLASSFEATUREHEADERS,0),MATCH(($A280),CLASSNAMEHEADERS,0))))}</f>
        <v>FOCUSSPELL1-L00</v>
      </c>
      <c r="Q279" s="81" t="str">
        <f t="array" ref="Q279:Q280">{"FOCUSSPELL2-L00";((INDEX(ALLCLASSDATA,MATCH("FocusSpell2-L00",CLASSFEATUREHEADERS,0),MATCH(($A280),CLASSNAMEHEADERS,0))))}</f>
        <v>FOCUSSPELL2-L00</v>
      </c>
      <c r="R279" s="81" t="str">
        <f t="array" ref="R279:R280">{"FOCUSSPELL3-L00";((INDEX(ALLCLASSDATA,MATCH("FocusSpell3-L00",CLASSFEATUREHEADERS,0),MATCH(($A280),CLASSNAMEHEADERS,0))))}</f>
        <v>FOCUSSPELL3-L00</v>
      </c>
      <c r="S279" s="81" t="str">
        <f t="array" ref="S279:S280">{"FOCUSSPELL4-L00";((INDEX(ALLCLASSDATA,MATCH("FocusSpell4-L00",CLASSFEATUREHEADERS,0),MATCH(($A280),CLASSNAMEHEADERS,0))))}</f>
        <v>FOCUSSPELL4-L00</v>
      </c>
      <c r="T279" s="81" t="str">
        <f t="array" ref="T279:T280">{"FOCUSSPELL5-L00";((INDEX(ALLCLASSDATA,MATCH("FocusSpell5-L00",CLASSFEATUREHEADERS,0),MATCH(($A280),CLASSNAMEHEADERS,0))))}</f>
        <v>FOCUSSPELL5-L00</v>
      </c>
      <c r="U279" s="81"/>
      <c r="V279" s="81"/>
      <c r="W279" s="81"/>
      <c r="X279" s="81"/>
      <c r="Y279" s="81"/>
      <c r="Z279" s="81"/>
      <c r="AA279" s="76"/>
      <c r="AB279" s="76"/>
    </row>
    <row r="280">
      <c r="A280" s="48" t="s">
        <v>229</v>
      </c>
      <c r="B280" s="48" t="s">
        <v>418</v>
      </c>
      <c r="C280" s="48" t="s">
        <v>467</v>
      </c>
      <c r="D280" s="48" t="s">
        <v>468</v>
      </c>
      <c r="E280" s="48" t="s">
        <v>469</v>
      </c>
      <c r="F280" s="114" t="s">
        <v>15</v>
      </c>
      <c r="G280" s="8" t="s">
        <v>451</v>
      </c>
      <c r="H280" s="8" t="s">
        <v>463</v>
      </c>
      <c r="I280" s="8" t="s">
        <v>473</v>
      </c>
      <c r="J280" s="8" t="s">
        <v>474</v>
      </c>
      <c r="K280" s="8" t="s">
        <v>475</v>
      </c>
      <c r="L280" s="8"/>
      <c r="M280" s="8"/>
      <c r="N280" s="8"/>
      <c r="O280" s="8" t="s">
        <v>476</v>
      </c>
      <c r="P280" s="116" t="s">
        <v>1602</v>
      </c>
      <c r="Q280" s="116"/>
      <c r="R280" s="116"/>
      <c r="S280" s="116"/>
      <c r="T280" s="116"/>
      <c r="U280" s="8"/>
      <c r="V280" s="8"/>
      <c r="W280" s="8"/>
      <c r="X280" s="8"/>
      <c r="Y280" s="5"/>
      <c r="Z280" s="5"/>
      <c r="AA280" s="5"/>
      <c r="AB280" s="47"/>
    </row>
    <row r="281" hidden="1">
      <c r="A281" s="76" t="str">
        <f t="array" ref="A281:A282">{"FormulaRow03";(INDEX(CLASSLIST,A276,1))}</f>
        <v>FormulaRow03</v>
      </c>
      <c r="B281" s="76" t="str">
        <f t="array" ref="B281:B282">{"CLASSTYPE";((INDEX(ALLCLASSDATA,MATCH("ClassType",CLASSFEATUREHEADERS,0),MATCH($A282,CLASSNAMEHEADERS,0))))}</f>
        <v>CLASSTYPE</v>
      </c>
      <c r="C281" s="76" t="str">
        <f t="array" ref="C281:C282">{"FEATUREPTS";"FeaturesPts"}</f>
        <v>FEATUREPTS</v>
      </c>
      <c r="D281" s="76" t="str">
        <f t="array" ref="D281:D282">{"INITIALFEATURES";"Initial Features"}</f>
        <v>INITIALFEATURES</v>
      </c>
      <c r="E281" s="76" t="str">
        <f t="array" ref="E281:E282">{"KEYABILITY";((INDEX(ALLCLASSDATA,MATCH("KEYABILITY",CLASSFEATUREHEADERS,0),MATCH($A282,CLASSNAMEHEADERS,0))))}</f>
        <v>KEYABILITY</v>
      </c>
      <c r="F281" s="76" t="str">
        <f t="array" ref="F281:F282">{"HP";((INDEX(ALLCLASSDATA,MATCH("HP",CLASSFEATUREHEADERS,0),MATCH(($A282 &amp; "Points"),CLASSNAMEHEADERS,0))))}</f>
        <v>HP</v>
      </c>
      <c r="G281" s="76" t="str">
        <f t="array" ref="G281:G282">{"CLASSFEATL01";((INDEX(ALLCLASSDATA,MATCH("ClassFeatL01",CLASSFEATUREHEADERS,0),MATCH(($A282 &amp; "Points"),CLASSNAMEHEADERS,0))))}</f>
        <v>CLASSFEATL01</v>
      </c>
      <c r="H281" s="76" t="str">
        <f t="array" ref="H281:H282">{"SHIELDBLOCKL01";((INDEX(ALLCLASSDATA,MATCH("ShieldBlockL01",CLASSFEATUREHEADERS,0),MATCH(($A282 &amp; "Points"),CLASSNAMEHEADERS,0))))}</f>
        <v>SHIELDBLOCKL01</v>
      </c>
      <c r="I281" s="76" t="str">
        <f t="array" ref="I281:I282">{"INITIALSKILLINCREASES";((INDEX(ALLCLASSDATA,MATCH("InitialSkillIncreases",CLASSFEATUREHEADERS,0),MATCH(($A282 &amp; "Points"),CLASSNAMEHEADERS,0))))}</f>
        <v>INITIALSKILLINCREASES</v>
      </c>
      <c r="J281" s="76" t="str">
        <f t="array" ref="J281:J282">{"SUBCLASSSKILLINCREASES";((INDEX(ALLCLASSDATA,MATCH("SubclassSkillIncreases",CLASSFEATUREHEADERS,0),MATCH(($A282 &amp; "Points"),CLASSNAMEHEADERS,0))))}</f>
        <v>SUBCLASSSKILLINCREASES</v>
      </c>
      <c r="K281" s="76" t="str">
        <f t="array" ref="K281:K282">{"GRANTEDSKILLS";(((INDEX(ALLCLASSDATA,MATCH("SkillsGrantedTotal",CLASSFEATUREHEADERS,0),MATCH(($A282 &amp; "Points"),CLASSNAMEHEADERS,0)))-(INDEX(ALLCLASSDATA,MATCH("InitialSkillIncreases",CLASSFEATUREHEADERS,0),MATCH(($A282 &amp; "Points"),CLASSNAMEHEADERS,0)))-(INDEX(ALLCLASSDATA,MATCH("SubclassSkillIncreases",CLASSFEATUREHEADERS,0),MATCH(($A282 &amp; "Points"),CLASSNAMEHEADERS,0)))))}</f>
        <v>GRANTEDSKILLS</v>
      </c>
      <c r="L281" s="76"/>
      <c r="M281" s="76"/>
      <c r="N281" s="76"/>
      <c r="O281" s="76"/>
      <c r="P281" s="76" t="str">
        <f t="array" ref="P281:P282">{"FOCUSSPELL1-L00";((INDEX(ALLCLASSDATA,MATCH("FocusSpell1-L00",CLASSFEATUREHEADERS,0),MATCH(($A282 &amp; "Points"),CLASSNAMEHEADERS,0))))}</f>
        <v>FOCUSSPELL1-L00</v>
      </c>
      <c r="Q281" s="76" t="str">
        <f t="array" ref="Q281:Q282">{"FOCUSSPELL2-L00";((INDEX(ALLCLASSDATA,MATCH("FocusSpell2-L00",CLASSFEATUREHEADERS,0),MATCH(($A282 &amp; "Points"),CLASSNAMEHEADERS,0))))}</f>
        <v>FOCUSSPELL2-L00</v>
      </c>
      <c r="R281" s="76" t="str">
        <f t="array" ref="R281:R282">{"FOCUSSPELL3-L00";((INDEX(ALLCLASSDATA,MATCH("FocusSpell3-L00",CLASSFEATUREHEADERS,0),MATCH(($A282 &amp; "Points"),CLASSNAMEHEADERS,0))))}</f>
        <v>FOCUSSPELL3-L00</v>
      </c>
      <c r="S281" s="76" t="str">
        <f t="array" ref="S281:S282">{"FOCUSSPELL4-L00";((INDEX(ALLCLASSDATA,MATCH("FocusSpell4-L00",CLASSFEATUREHEADERS,0),MATCH(($A282 &amp; "Points"),CLASSNAMEHEADERS,0))))}</f>
        <v>FOCUSSPELL4-L00</v>
      </c>
      <c r="T281" s="76" t="str">
        <f t="array" ref="T281:T282">{"FOCUSSPELL5-L00";((INDEX(ALLCLASSDATA,MATCH("FocusSpell5-L00",CLASSFEATUREHEADERS,0),MATCH(($A282 &amp; "Points"),CLASSNAMEHEADERS,0))))}</f>
        <v>FOCUSSPELL5-L00</v>
      </c>
      <c r="U281" s="76"/>
      <c r="V281" s="76"/>
      <c r="W281" s="76"/>
      <c r="X281" s="76"/>
      <c r="Y281" s="76"/>
      <c r="Z281" s="76"/>
      <c r="AA281" s="76"/>
      <c r="AB281" s="76" t="str">
        <f t="array" ref="AB281:AB282">{"FEATUREPTS TOTAL";(sum(F282:Z282))}</f>
        <v>FEATUREPTS TOTAL</v>
      </c>
    </row>
    <row r="282">
      <c r="A282" s="48" t="s">
        <v>229</v>
      </c>
      <c r="B282" s="48" t="s">
        <v>418</v>
      </c>
      <c r="C282" s="97" t="s">
        <v>559</v>
      </c>
      <c r="D282" s="97" t="s">
        <v>468</v>
      </c>
      <c r="E282" s="97" t="s">
        <v>262</v>
      </c>
      <c r="F282" s="132">
        <v>60.0</v>
      </c>
      <c r="G282" s="98" t="s">
        <v>603</v>
      </c>
      <c r="H282" s="98" t="s">
        <v>603</v>
      </c>
      <c r="I282" s="98">
        <v>10.0</v>
      </c>
      <c r="J282" s="98"/>
      <c r="K282" s="98">
        <v>5.0</v>
      </c>
      <c r="L282" s="98"/>
      <c r="M282" s="98"/>
      <c r="N282" s="98"/>
      <c r="O282" s="98"/>
      <c r="P282" s="98">
        <v>10.0</v>
      </c>
      <c r="Q282" s="98"/>
      <c r="R282" s="98"/>
      <c r="S282" s="98"/>
      <c r="T282" s="98"/>
      <c r="U282" s="98"/>
      <c r="V282" s="98"/>
      <c r="W282" s="98"/>
      <c r="X282" s="98"/>
      <c r="Y282" s="98"/>
      <c r="Z282" s="98"/>
      <c r="AA282" s="5"/>
      <c r="AB282" s="47">
        <v>85.0</v>
      </c>
    </row>
    <row r="283" hidden="1">
      <c r="A283" s="76" t="str">
        <f t="array" ref="A283:A284">{"FormulaRow04";(INDEX(CLASSLIST,A276,1))}</f>
        <v>FormulaRow04</v>
      </c>
      <c r="B283" s="76" t="str">
        <f t="array" ref="B283:B284">{"CLASSTYPE";((INDEX(ALLCLASSDATA,MATCH("ClassType",CLASSFEATUREHEADERS,0),MATCH($A284,CLASSNAMEHEADERS,0))))}</f>
        <v>CLASSTYPE</v>
      </c>
      <c r="C283" s="81" t="str">
        <f t="array" ref="C283:C284">{"INITIALFEATURES";"InitialFeatures"}</f>
        <v>INITIALFEATURES</v>
      </c>
      <c r="D283" s="81" t="str">
        <f t="array" ref="D283:D284">{"CLASS/SUBCLASSFEATURES";"Class/Subclass Features"}</f>
        <v>CLASS/SUBCLASSFEATURES</v>
      </c>
      <c r="E283" s="81"/>
      <c r="F283" s="136"/>
      <c r="G283" s="81" t="str">
        <f t="array" ref="G283:G284">{"CLASSINITIALABILITY1-L00";((INDEX(ALLCLASSDATA,MATCH("ClassInitialAbility1-L00",CLASSFEATUREHEADERS,0),MATCH(($A284),CLASSNAMEHEADERS,0))))}</f>
        <v>CLASSINITIALABILITY1-L00</v>
      </c>
      <c r="H283" s="81" t="str">
        <f t="array" ref="H283:H284">{"CLASSINITIALABILITY2-L00";((INDEX(ALLCLASSDATA,MATCH("ClassInitialAbility2-L00",CLASSFEATUREHEADERS,0),MATCH(($A284),CLASSNAMEHEADERS,0))))}</f>
        <v>CLASSINITIALABILITY2-L00</v>
      </c>
      <c r="I283" s="81" t="str">
        <f t="array" ref="I283:I284">{"CLASSINITIALABILITY3-L00";((INDEX(ALLCLASSDATA,MATCH("ClassInitialAbility3-L00",CLASSFEATUREHEADERS,0),MATCH(($A284),CLASSNAMEHEADERS,0))))}</f>
        <v>CLASSINITIALABILITY3-L00</v>
      </c>
      <c r="J283" s="81" t="str">
        <f t="array" ref="J283:J284">{"CLASSINITIALABILITY4-L00";((INDEX(ALLCLASSDATA,MATCH("ClassInitialAbility4-L00",CLASSFEATUREHEADERS,0),MATCH(($A284),CLASSNAMEHEADERS,0))))}</f>
        <v>#REF!</v>
      </c>
      <c r="K283" s="81" t="str">
        <f t="array" ref="K283:K284">{"CLASSINITIALABILITY5-L00";((INDEX(ALLCLASSDATA,MATCH("ClassInitialAbility5-L00",CLASSFEATUREHEADERS,0),MATCH(($A284),CLASSNAMEHEADERS,0))))}</f>
        <v>CLASSINITIALABILITY5-L00</v>
      </c>
      <c r="L283" s="81" t="str">
        <f t="array" ref="L283:L284">{"CLASSINITIALABILITY6-L00";((INDEX(ALLCLASSDATA,MATCH("ClassInitialAbility6-L00",CLASSFEATUREHEADERS,0),MATCH(($A284),CLASSNAMEHEADERS,0))))}</f>
        <v>CLASSINITIALABILITY6-L00</v>
      </c>
      <c r="M283" s="81" t="str">
        <f t="array" ref="M283:M284">{"CLASSINITIALABILITY7-L00";((INDEX(ALLCLASSDATA,MATCH("ClassInitialAbility7-L00",CLASSFEATUREHEADERS,0),MATCH(($A284),CLASSNAMEHEADERS,0))))}</f>
        <v>CLASSINITIALABILITY7-L00</v>
      </c>
      <c r="N283" s="81" t="str">
        <f t="array" ref="N283:N284">{"CLASSINITIALABILITY8-L00";((INDEX(ALLCLASSDATA,MATCH("ClassInitialAbility8-L00",CLASSFEATUREHEADERS,0),MATCH(($A284),CLASSNAMEHEADERS,0))))}</f>
        <v>CLASSINITIALABILITY8-L00</v>
      </c>
      <c r="O283" s="81" t="str">
        <f t="array" ref="O283:O284">{"CLASSINITIALABILITY9-L00";((INDEX(ALLCLASSDATA,MATCH("ClassInitialAbility9-L00",CLASSFEATUREHEADERS,0),MATCH(($A284),CLASSNAMEHEADERS,0))))}</f>
        <v>CLASSINITIALABILITY9-L00</v>
      </c>
      <c r="P283" s="81" t="str">
        <f t="array" ref="P283:P284">{"CLASSINITIALABILITY10-L00";((INDEX(ALLCLASSDATA,MATCH("ClassInitialAbility10-L00",CLASSFEATUREHEADERS,0),MATCH(($A284),CLASSNAMEHEADERS,0))))}</f>
        <v>CLASSINITIALABILITY10-L00</v>
      </c>
      <c r="Q283" s="81" t="str">
        <f t="array" ref="Q283:Q284">{"SUBCLASSINITIAL1-L00";((INDEX(ALLCLASSDATA,MATCH("SubclassInitial1-L00",CLASSFEATUREHEADERS,0),MATCH(($A284),CLASSNAMEHEADERS,0))))}</f>
        <v>SUBCLASSINITIAL1-L00</v>
      </c>
      <c r="R283" s="81" t="str">
        <f t="array" ref="R283:R284">{"SUBCLASSINITIAL2-L00";((INDEX(ALLCLASSDATA,MATCH("SubclassInitial2-L00",CLASSFEATUREHEADERS,0),MATCH(($A284),CLASSNAMEHEADERS,0))))}</f>
        <v>SUBCLASSINITIAL2-L00</v>
      </c>
      <c r="S283" s="81" t="str">
        <f t="array" ref="S283:S284">{"SUBCLASSINITIAL3-L00";((INDEX(ALLCLASSDATA,MATCH("SubclassInitial3-L00",CLASSFEATUREHEADERS,0),MATCH(($A284),CLASSNAMEHEADERS,0))))}</f>
        <v>SUBCLASSINITIAL3-L00</v>
      </c>
      <c r="T283" s="81" t="str">
        <f t="array" ref="T283:T284">{"SUBCLASSINITIAL4-L00";((INDEX(ALLCLASSDATA,MATCH("SubclassInitial4-L00",CLASSFEATUREHEADERS,0),MATCH(($A284),CLASSNAMEHEADERS,0))))}</f>
        <v>SUBCLASSINITIAL4-L00</v>
      </c>
      <c r="U283" s="81" t="str">
        <f t="array" ref="U283:U284">{"SUBCLASSINITIAL5-L00";((INDEX(ALLCLASSDATA,MATCH("SubclassInitial5-L00",CLASSFEATUREHEADERS,0),MATCH(($A284),CLASSNAMEHEADERS,0))))}</f>
        <v>SUBCLASSINITIAL5-L00</v>
      </c>
      <c r="V283" s="81" t="str">
        <f t="array" ref="V283:V284">{"SUBCLASSINITIAL6-L00";((INDEX(ALLCLASSDATA,MATCH("SubclassInitial6-L00",CLASSFEATUREHEADERS,0),MATCH(($A284),CLASSNAMEHEADERS,0))))}</f>
        <v>SUBCLASSINITIAL6-L00</v>
      </c>
      <c r="W283" s="81" t="str">
        <f t="array" ref="W283:W284">{"SUBCLASSINITIAL7-L00";((INDEX(ALLCLASSDATA,MATCH("SubclassInitial7-L00",CLASSFEATUREHEADERS,0),MATCH(($A284),CLASSNAMEHEADERS,0))))}</f>
        <v>SUBCLASSINITIAL7-L00</v>
      </c>
      <c r="X283" s="81" t="str">
        <f t="array" ref="X283:X284">{"SUBCLASSINITIAL8-L00";((INDEX(ALLCLASSDATA,MATCH("SubclassInitial8-L00",CLASSFEATUREHEADERS,0),MATCH(($A284),CLASSNAMEHEADERS,0))))}</f>
        <v>SUBCLASSINITIAL8-L00</v>
      </c>
      <c r="Y283" s="81" t="str">
        <f t="array" ref="Y283:Y284">{"SUBCLASSINITIAL9-L00";((INDEX(ALLCLASSDATA,MATCH("SubclassInitial9-L00",CLASSFEATUREHEADERS,0),MATCH(($A284),CLASSNAMEHEADERS,0))))}</f>
        <v>SUBCLASSINITIAL9-L00</v>
      </c>
      <c r="Z283" s="81" t="str">
        <f t="array" ref="Z283:Z284">{"SUBCLASSINITIAL10-L00";((INDEX(ALLCLASSDATA,MATCH("SubclassInitial10-L00",CLASSFEATUREHEADERS,0),MATCH(($A284),CLASSNAMEHEADERS,0))))}</f>
        <v>SUBCLASSINITIAL10-L00</v>
      </c>
      <c r="AA283" s="76"/>
      <c r="AB283" s="76"/>
    </row>
    <row r="284">
      <c r="A284" s="48" t="s">
        <v>229</v>
      </c>
      <c r="B284" s="48" t="s">
        <v>418</v>
      </c>
      <c r="C284" s="48" t="s">
        <v>614</v>
      </c>
      <c r="D284" s="48" t="s">
        <v>616</v>
      </c>
      <c r="E284" s="48"/>
      <c r="F284" s="47"/>
      <c r="G284" s="5" t="s">
        <v>1623</v>
      </c>
      <c r="H284" s="5" t="s">
        <v>1639</v>
      </c>
      <c r="I284" s="5" t="s">
        <v>1176</v>
      </c>
      <c r="J284" s="48" t="s">
        <v>647</v>
      </c>
      <c r="K284" s="5"/>
      <c r="L284" s="5"/>
      <c r="M284" s="5"/>
      <c r="N284" s="5"/>
      <c r="O284" s="5"/>
      <c r="P284" s="5"/>
      <c r="Q284" s="5" t="s">
        <v>1825</v>
      </c>
      <c r="R284" s="284" t="s">
        <v>1836</v>
      </c>
      <c r="S284" s="5"/>
      <c r="T284" s="5"/>
      <c r="U284" s="5"/>
      <c r="V284" s="5"/>
      <c r="W284" s="5"/>
      <c r="X284" s="5"/>
      <c r="Y284" s="5"/>
      <c r="Z284" s="5"/>
      <c r="AA284" s="5"/>
      <c r="AB284" s="47"/>
    </row>
    <row r="285" hidden="1">
      <c r="A285" s="76" t="str">
        <f t="array" ref="A285:A286">{"FormulaRow05";(INDEX(CLASSLIST,A276,1))}</f>
        <v>FormulaRow05</v>
      </c>
      <c r="B285" s="76" t="str">
        <f t="array" ref="B285:B286">{"CLASSTYPE";((INDEX(ALLCLASSDATA,MATCH("ClassType",CLASSFEATUREHEADERS,0),MATCH($A286,CLASSNAMEHEADERS,0))))}</f>
        <v>CLASSTYPE</v>
      </c>
      <c r="C285" s="76" t="str">
        <f t="array" ref="C285:C286">{"INITIALFEATURESPTS";"InitialFeaturesPts"}</f>
        <v>INITIALFEATURESPTS</v>
      </c>
      <c r="D285" s="76" t="str">
        <f t="array" ref="D285:D286">{"CLASS/SUBCLASSFEATURES";"Class/Subclass Features"}</f>
        <v>CLASS/SUBCLASSFEATURES</v>
      </c>
      <c r="E285" s="76"/>
      <c r="F285" s="76"/>
      <c r="G285" s="76" t="str">
        <f t="array" ref="G285:G286">{"CLASSINITIALABILITY1-L00PTS";((INDEX(ALLCLASSDATA,MATCH("ClassInitialAbility1-L00",CLASSFEATUREHEADERS,0),MATCH(($A286 &amp; "Points"),CLASSNAMEHEADERS,0))))}</f>
        <v>CLASSINITIALABILITY1-L00PTS</v>
      </c>
      <c r="H285" s="76" t="str">
        <f t="array" ref="H285:H286">{"CLASSINITIALABILITY2-L00PTS";((INDEX(ALLCLASSDATA,MATCH("ClassInitialAbility2-L00",CLASSFEATUREHEADERS,0),MATCH(($A286 &amp; "Points"),CLASSNAMEHEADERS,0))))}</f>
        <v>CLASSINITIALABILITY2-L00PTS</v>
      </c>
      <c r="I285" s="76" t="str">
        <f t="array" ref="I285:I286">{"CLASSINITIALABILITY3-L00PTS";((INDEX(ALLCLASSDATA,MATCH("ClassInitialAbility3-L00",CLASSFEATUREHEADERS,0),MATCH(($A286 &amp; "Points"),CLASSNAMEHEADERS,0))))}</f>
        <v>CLASSINITIALABILITY3-L00PTS</v>
      </c>
      <c r="J285" s="76" t="str">
        <f t="array" ref="J285:J286">{"CLASSINITIALABILITY4-L00PTS";((INDEX(ALLCLASSDATA,MATCH("ClassInitialAbility4-L00",CLASSFEATUREHEADERS,0),MATCH(($A286 &amp; "Points"),CLASSNAMEHEADERS,0))))}</f>
        <v>CLASSINITIALABILITY4-L00PTS</v>
      </c>
      <c r="K285" s="76" t="str">
        <f t="array" ref="K285:K286">{"CLASSINITIALABILITY5-L00PTS";((INDEX(ALLCLASSDATA,MATCH("ClassInitialAbility5-L00",CLASSFEATUREHEADERS,0),MATCH(($A286 &amp; "Points"),CLASSNAMEHEADERS,0))))}</f>
        <v>CLASSINITIALABILITY5-L00PTS</v>
      </c>
      <c r="L285" s="76" t="str">
        <f t="array" ref="L285:L286">{"CLASSINITIALABILITY6-L00PTS";((INDEX(ALLCLASSDATA,MATCH("ClassInitialAbility6-L00",CLASSFEATUREHEADERS,0),MATCH(($A286 &amp; "Points"),CLASSNAMEHEADERS,0))))}</f>
        <v>CLASSINITIALABILITY6-L00PTS</v>
      </c>
      <c r="M285" s="76" t="str">
        <f t="array" ref="M285:M286">{"CLASSINITIALABILITY7-L00PTS";((INDEX(ALLCLASSDATA,MATCH("ClassInitialAbility7-L00",CLASSFEATUREHEADERS,0),MATCH(($A286 &amp; "Points"),CLASSNAMEHEADERS,0))))}</f>
        <v>CLASSINITIALABILITY7-L00PTS</v>
      </c>
      <c r="N285" s="76" t="str">
        <f t="array" ref="N285:N286">{"CLASSINITIALABILITY8-L00PTS";((INDEX(ALLCLASSDATA,MATCH("ClassInitialAbility8-L00",CLASSFEATUREHEADERS,0),MATCH(($A286 &amp; "Points"),CLASSNAMEHEADERS,0))))}</f>
        <v>CLASSINITIALABILITY8-L00PTS</v>
      </c>
      <c r="O285" s="76" t="str">
        <f t="array" ref="O285:O286">{"CLASSINITIALABILITY9-L00PTS";((INDEX(ALLCLASSDATA,MATCH("ClassInitialAbility9-L00",CLASSFEATUREHEADERS,0),MATCH(($A286 &amp; "Points"),CLASSNAMEHEADERS,0))))}</f>
        <v>CLASSINITIALABILITY9-L00PTS</v>
      </c>
      <c r="P285" s="76" t="str">
        <f t="array" ref="P285:P286">{"CLASSINITIALABILITY10-L00PTS";((INDEX(ALLCLASSDATA,MATCH("ClassInitialAbility10-L00",CLASSFEATUREHEADERS,0),MATCH(($A286 &amp; "Points"),CLASSNAMEHEADERS,0))))}</f>
        <v>CLASSINITIALABILITY10-L00PTS</v>
      </c>
      <c r="Q285" s="76" t="str">
        <f t="array" ref="Q285:Q286">{"SUBCLASSINITIAL1-L00PTS";((INDEX(ALLCLASSDATA,MATCH("SubclassInitial1-L00",CLASSFEATUREHEADERS,0),MATCH(($A286 &amp; "Points"),CLASSNAMEHEADERS,0))))}</f>
        <v>SUBCLASSINITIAL1-L00PTS</v>
      </c>
      <c r="R285" s="76" t="str">
        <f t="array" ref="R285:R286">{"SUBCLASSINITIAL2-L00PTS";((INDEX(ALLCLASSDATA,MATCH("SubclassInitial2-L00",CLASSFEATUREHEADERS,0),MATCH(($A286 &amp; "Points"),CLASSNAMEHEADERS,0))))}</f>
        <v>SUBCLASSINITIAL2-L00PTS</v>
      </c>
      <c r="S285" s="76" t="str">
        <f t="array" ref="S285:S286">{"SUBCLASSINITIAL3-L00PTS";((INDEX(ALLCLASSDATA,MATCH("SubclassInitial3-L00",CLASSFEATUREHEADERS,0),MATCH(($A286 &amp; "Points"),CLASSNAMEHEADERS,0))))}</f>
        <v>SUBCLASSINITIAL3-L00PTS</v>
      </c>
      <c r="T285" s="76" t="str">
        <f t="array" ref="T285:T286">{"SUBCLASSINITIAL4-L00PTS";((INDEX(ALLCLASSDATA,MATCH("SubclassInitial4-L00",CLASSFEATUREHEADERS,0),MATCH(($A286 &amp; "Points"),CLASSNAMEHEADERS,0))))}</f>
        <v>SUBCLASSINITIAL4-L00PTS</v>
      </c>
      <c r="U285" s="76" t="str">
        <f t="array" ref="U285:U286">{"SUBCLASSINITIAL5-L00PTS";((INDEX(ALLCLASSDATA,MATCH("SubclassInitial5-L00",CLASSFEATUREHEADERS,0),MATCH(($A286 &amp; "Points"),CLASSNAMEHEADERS,0))))}</f>
        <v>SUBCLASSINITIAL5-L00PTS</v>
      </c>
      <c r="V285" s="76" t="str">
        <f t="array" ref="V285:V286">{"SUBCLASSINITIAL6-L00PTS";((INDEX(ALLCLASSDATA,MATCH("SubclassInitial6-L00",CLASSFEATUREHEADERS,0),MATCH(($A286 &amp; "Points"),CLASSNAMEHEADERS,0))))}</f>
        <v>SUBCLASSINITIAL6-L00PTS</v>
      </c>
      <c r="W285" s="76" t="str">
        <f t="array" ref="W285:W286">{"SUBCLASSINITIAL7-L00PTS";((INDEX(ALLCLASSDATA,MATCH("SubclassInitial7-L00",CLASSFEATUREHEADERS,0),MATCH(($A286 &amp; "Points"),CLASSNAMEHEADERS,0))))}</f>
        <v>SUBCLASSINITIAL7-L00PTS</v>
      </c>
      <c r="X285" s="76" t="str">
        <f t="array" ref="X285:X286">{"SUBCLASSINITIAL8-L00PTS";((INDEX(ALLCLASSDATA,MATCH("SubclassInitial8-L00",CLASSFEATUREHEADERS,0),MATCH(($A286 &amp; "Points"),CLASSNAMEHEADERS,0))))}</f>
        <v>SUBCLASSINITIAL8-L00PTS</v>
      </c>
      <c r="Y285" s="76" t="str">
        <f t="array" ref="Y285:Y286">{"SUBCLASSINITIAL9-L00PTS";((INDEX(ALLCLASSDATA,MATCH("SubclassInitial9-L00",CLASSFEATUREHEADERS,0),MATCH(($A286 &amp; "Points"),CLASSNAMEHEADERS,0))))}</f>
        <v>SUBCLASSINITIAL9-L00PTS</v>
      </c>
      <c r="Z285" s="76" t="str">
        <f t="array" ref="Z285:Z286">{"SUBCLASSINITIAL10-L00PTS";((INDEX(ALLCLASSDATA,MATCH("SubclassInitial10-L00",CLASSFEATUREHEADERS,0),MATCH(($A286 &amp; "Points"),CLASSNAMEHEADERS,0))))}</f>
        <v>SUBCLASSINITIAL10-L00PTS</v>
      </c>
      <c r="AA285" s="76"/>
      <c r="AB285" s="76" t="str">
        <f t="array" ref="AB285:AB286">{"INITIALFEATUREPTS TOTAL";(sum(F286:Z286))}</f>
        <v>INITIALFEATUREPTS TOTAL</v>
      </c>
    </row>
    <row r="286">
      <c r="A286" s="48" t="s">
        <v>229</v>
      </c>
      <c r="B286" s="48" t="s">
        <v>418</v>
      </c>
      <c r="C286" s="97" t="s">
        <v>651</v>
      </c>
      <c r="D286" s="97" t="s">
        <v>616</v>
      </c>
      <c r="E286" s="97"/>
      <c r="F286" s="132"/>
      <c r="G286" s="98"/>
      <c r="H286" s="98"/>
      <c r="I286" s="97">
        <v>10.0</v>
      </c>
      <c r="J286" s="98"/>
      <c r="K286" s="97"/>
      <c r="L286" s="98"/>
      <c r="M286" s="98"/>
      <c r="N286" s="98"/>
      <c r="O286" s="98"/>
      <c r="P286" s="98"/>
      <c r="Q286" s="98">
        <v>10.0</v>
      </c>
      <c r="R286" s="98">
        <v>70.0</v>
      </c>
      <c r="S286" s="98"/>
      <c r="T286" s="98"/>
      <c r="U286" s="98"/>
      <c r="V286" s="98"/>
      <c r="W286" s="98"/>
      <c r="X286" s="98"/>
      <c r="Y286" s="98"/>
      <c r="Z286" s="98"/>
      <c r="AA286" s="5"/>
      <c r="AB286" s="47">
        <v>90.0</v>
      </c>
    </row>
    <row r="287" hidden="1">
      <c r="A287" s="76" t="str">
        <f t="array" ref="A287:A288">{"FormulaRow06";(INDEX(CLASSLIST,A276,1))}</f>
        <v>FormulaRow06</v>
      </c>
      <c r="B287" s="76" t="str">
        <f t="array" ref="B287:B288">{"CLASSTYPE";((INDEX(ALLCLASSDATA,MATCH("ClassType",CLASSFEATUREHEADERS,0),MATCH($A288,CLASSNAMEHEADERS,0))))}</f>
        <v>CLASSTYPE</v>
      </c>
      <c r="C287" s="81" t="str">
        <f t="array" ref="C287:C288">{"SKILLS";"Skills"}</f>
        <v>SKILLS</v>
      </c>
      <c r="D287" s="81" t="str">
        <f t="array" ref="D287:D288">{"EXTRASKILLINCREASES";"Extra Skill Increases"}</f>
        <v>EXTRASKILLINCREASES</v>
      </c>
      <c r="E287" s="81"/>
      <c r="F287" s="81"/>
      <c r="G287" s="81"/>
      <c r="H287" s="81" t="str">
        <f t="array" ref="H287:H288">{"SKILLINCREASEEXTRA-L02";((INDEX(ALLCLASSDATA,MATCH("SkillIncreaseExtra-L02",CLASSFEATUREHEADERS,0),MATCH(($A288 &amp; "Points"),CLASSNAMEHEADERS,0))))}</f>
        <v>SKILLINCREASEEXTRA-L02</v>
      </c>
      <c r="I287" s="81" t="str">
        <f t="array" ref="I287:I288">{"SKILLINCREASEEXTRA-L03";((INDEX(ALLCLASSDATA,MATCH("SkillIncreaseExtra-L03",CLASSFEATUREHEADERS,0),MATCH(($A288 &amp; "Points"),CLASSNAMEHEADERS,0))))}</f>
        <v>SKILLINCREASEEXTRA-L03</v>
      </c>
      <c r="J287" s="81" t="str">
        <f t="array" ref="J287:J288">{"SKILLINCREASEEXTRA-L04";((INDEX(ALLCLASSDATA,MATCH("SkillIncreaseExtra-L04",CLASSFEATUREHEADERS,0),MATCH(($A288 &amp; "Points"),CLASSNAMEHEADERS,0))))}</f>
        <v>SKILLINCREASEEXTRA-L04</v>
      </c>
      <c r="K287" s="81" t="str">
        <f t="array" ref="K287:K288">{"SKILLINCREASEEXTRA-L05";((INDEX(ALLCLASSDATA,MATCH("SkillIncreaseExtra-L05",CLASSFEATUREHEADERS,0),MATCH(($A288 &amp; "Points"),CLASSNAMEHEADERS,0))))}</f>
        <v>SKILLINCREASEEXTRA-L05</v>
      </c>
      <c r="L287" s="81" t="str">
        <f t="array" ref="L287:L288">{"SKILLINCREASEEXTRA-L06";((INDEX(ALLCLASSDATA,MATCH("SkillIncreaseExtra-L06",CLASSFEATUREHEADERS,0),MATCH(($A288 &amp; "Points"),CLASSNAMEHEADERS,0))))}</f>
        <v>SKILLINCREASEEXTRA-L06</v>
      </c>
      <c r="M287" s="81" t="str">
        <f t="array" ref="M287:M288">{"SKILLINCREASEEXTRA-L07";((INDEX(ALLCLASSDATA,MATCH("SkillIncreaseExtra-L07",CLASSFEATUREHEADERS,0),MATCH(($A288 &amp; "Points"),CLASSNAMEHEADERS,0))))}</f>
        <v>SKILLINCREASEEXTRA-L07</v>
      </c>
      <c r="N287" s="81" t="str">
        <f t="array" ref="N287:N288">{"SKILLINCREASEEXTRA-L08";((INDEX(ALLCLASSDATA,MATCH("SkillIncreaseExtra-L08",CLASSFEATUREHEADERS,0),MATCH(($A288 &amp; "Points"),CLASSNAMEHEADERS,0))))}</f>
        <v>SKILLINCREASEEXTRA-L08</v>
      </c>
      <c r="O287" s="81" t="str">
        <f t="array" ref="O287:O288">{"SKILLINCREASEEXTRA-L09";((INDEX(ALLCLASSDATA,MATCH("SkillIncreaseExtra-L09",CLASSFEATUREHEADERS,0),MATCH(($A288 &amp; "Points"),CLASSNAMEHEADERS,0))))}</f>
        <v>SKILLINCREASEEXTRA-L09</v>
      </c>
      <c r="P287" s="81" t="str">
        <f t="array" ref="P287:P288">{"SKILLINCREASEEXTRA-L10";((INDEX(ALLCLASSDATA,MATCH("SkillIncreaseExtra-L10",CLASSFEATUREHEADERS,0),MATCH(($A288 &amp; "Points"),CLASSNAMEHEADERS,0))))}</f>
        <v>SKILLINCREASEEXTRA-L10</v>
      </c>
      <c r="Q287" s="81" t="str">
        <f t="array" ref="Q287:Q288">{"SKILLINCREASEEXTRA-L11";((INDEX(ALLCLASSDATA,MATCH("SkillIncreaseExtra-L11",CLASSFEATUREHEADERS,0),MATCH(($A288 &amp; "Points"),CLASSNAMEHEADERS,0))))}</f>
        <v>SKILLINCREASEEXTRA-L11</v>
      </c>
      <c r="R287" s="81" t="str">
        <f t="array" ref="R287:R288">{"SKILLINCREASEEXTRA-L12";((INDEX(ALLCLASSDATA,MATCH("SkillIncreaseExtra-L12",CLASSFEATUREHEADERS,0),MATCH(($A288 &amp; "Points"),CLASSNAMEHEADERS,0))))}</f>
        <v>SKILLINCREASEEXTRA-L12</v>
      </c>
      <c r="S287" s="81" t="str">
        <f t="array" ref="S287:S288">{"SKILLINCREASEEXTRA-L13";((INDEX(ALLCLASSDATA,MATCH("SkillIncreaseExtra-L13",CLASSFEATUREHEADERS,0),MATCH(($A288 &amp; "Points"),CLASSNAMEHEADERS,0))))}</f>
        <v>SKILLINCREASEEXTRA-L13</v>
      </c>
      <c r="T287" s="81" t="str">
        <f t="array" ref="T287:T288">{"SKILLINCREASEEXTRA-L14";((INDEX(ALLCLASSDATA,MATCH("SkillIncreaseExtra-L14",CLASSFEATUREHEADERS,0),MATCH(($A288 &amp; "Points"),CLASSNAMEHEADERS,0))))}</f>
        <v>SKILLINCREASEEXTRA-L14</v>
      </c>
      <c r="U287" s="81" t="str">
        <f t="array" ref="U287:U288">{"SKILLINCREASEEXTRA-L15";((INDEX(ALLCLASSDATA,MATCH("SkillIncreaseExtra-L15",CLASSFEATUREHEADERS,0),MATCH(($A288 &amp; "Points"),CLASSNAMEHEADERS,0))))}</f>
        <v>SKILLINCREASEEXTRA-L15</v>
      </c>
      <c r="V287" s="81" t="str">
        <f t="array" ref="V287:V288">{"SKILLINCREASEEXTRA-L16";((INDEX(ALLCLASSDATA,MATCH("SkillIncreaseExtra-L16",CLASSFEATUREHEADERS,0),MATCH(($A288 &amp; "Points"),CLASSNAMEHEADERS,0))))}</f>
        <v>SKILLINCREASEEXTRA-L16</v>
      </c>
      <c r="W287" s="81" t="str">
        <f t="array" ref="W287:W288">{"SKILLINCREASEEXTRA-L17";((INDEX(ALLCLASSDATA,MATCH("SkillIncreaseExtra-L17",CLASSFEATUREHEADERS,0),MATCH(($A288 &amp; "Points"),CLASSNAMEHEADERS,0))))}</f>
        <v>SKILLINCREASEEXTRA-L17</v>
      </c>
      <c r="X287" s="81" t="str">
        <f t="array" ref="X287:X288">{"SKILLINCREASEEXTRA-L18";((INDEX(ALLCLASSDATA,MATCH("SkillIncreaseExtra-L18",CLASSFEATUREHEADERS,0),MATCH(($A288 &amp; "Points"),CLASSNAMEHEADERS,0))))}</f>
        <v>SKILLINCREASEEXTRA-L18</v>
      </c>
      <c r="Y287" s="81" t="str">
        <f t="array" ref="Y287:Y288">{"SKILLINCREASEEXTRA-L19";((INDEX(ALLCLASSDATA,MATCH("SkillIncreaseExtra-L19",CLASSFEATUREHEADERS,0),MATCH(($A288 &amp; "Points"),CLASSNAMEHEADERS,0))))}</f>
        <v>SKILLINCREASEEXTRA-L19</v>
      </c>
      <c r="Z287" s="81" t="str">
        <f t="array" ref="Z287:Z288">{"SKILLINCREASEEXTRA-L20";((INDEX(ALLCLASSDATA,MATCH("SkillIncreaseExtra-L20",CLASSFEATUREHEADERS,0),MATCH(($A288 &amp; "Points"),CLASSNAMEHEADERS,0))))}</f>
        <v>SKILLINCREASEEXTRA-L20</v>
      </c>
      <c r="AA287" s="76"/>
      <c r="AB287" s="76" t="str">
        <f t="array" ref="AB287:AB288">{"SKILLINCREASE TOTAL";(sum(F288:Z288))}</f>
        <v>SKILLINCREASE TOTAL</v>
      </c>
    </row>
    <row r="288">
      <c r="A288" s="48" t="s">
        <v>229</v>
      </c>
      <c r="B288" s="48" t="s">
        <v>418</v>
      </c>
      <c r="C288" s="48" t="s">
        <v>659</v>
      </c>
      <c r="D288" s="48" t="s">
        <v>661</v>
      </c>
      <c r="E288" s="48"/>
      <c r="F288" s="47"/>
      <c r="G288" s="5"/>
      <c r="H288" s="5" t="s">
        <v>603</v>
      </c>
      <c r="I288" s="5" t="s">
        <v>603</v>
      </c>
      <c r="J288" s="5" t="s">
        <v>603</v>
      </c>
      <c r="K288" s="48" t="s">
        <v>603</v>
      </c>
      <c r="L288" s="5" t="s">
        <v>603</v>
      </c>
      <c r="M288" s="5" t="s">
        <v>603</v>
      </c>
      <c r="N288" s="5" t="s">
        <v>603</v>
      </c>
      <c r="O288" s="5" t="s">
        <v>603</v>
      </c>
      <c r="P288" s="5" t="s">
        <v>603</v>
      </c>
      <c r="Q288" s="5" t="s">
        <v>603</v>
      </c>
      <c r="R288" s="5" t="s">
        <v>603</v>
      </c>
      <c r="S288" s="5" t="s">
        <v>603</v>
      </c>
      <c r="T288" s="5" t="s">
        <v>603</v>
      </c>
      <c r="U288" s="5" t="s">
        <v>603</v>
      </c>
      <c r="V288" s="5" t="s">
        <v>603</v>
      </c>
      <c r="W288" s="5" t="s">
        <v>603</v>
      </c>
      <c r="X288" s="5" t="s">
        <v>603</v>
      </c>
      <c r="Y288" s="5" t="s">
        <v>603</v>
      </c>
      <c r="Z288" s="5" t="s">
        <v>603</v>
      </c>
      <c r="AA288" s="5"/>
      <c r="AB288" s="47">
        <v>0.0</v>
      </c>
    </row>
    <row r="289" hidden="1">
      <c r="A289" s="76" t="str">
        <f t="array" ref="A289:A290">{"FormulaRow07";(INDEX(CLASSLIST,A276,1))}</f>
        <v>FormulaRow07</v>
      </c>
      <c r="B289" s="76" t="str">
        <f t="array" ref="B289:B290">{"CLASSTYPE";((INDEX(ALLCLASSDATA,MATCH("ClassType",CLASSFEATUREHEADERS,0),MATCH($A290,CLASSNAMEHEADERS,0))))}</f>
        <v>CLASSTYPE</v>
      </c>
      <c r="C289" s="76" t="str">
        <f t="array" ref="C289:C290">{"SKILLS";"Skills"}</f>
        <v>SKILLS</v>
      </c>
      <c r="D289" s="76" t="str">
        <f t="array" ref="D289:D290">{"EXTRASKILLFEATS";"Extra Skill Feats"}</f>
        <v>EXTRASKILLFEATS</v>
      </c>
      <c r="E289" s="76"/>
      <c r="F289" s="76"/>
      <c r="G289" s="76" t="str">
        <f t="array" ref="G289:G290">{"SKILLFEATEXTRA-L01";((INDEX(ALLCLASSDATA,MATCH("SkillFeatExtra-L01",CLASSFEATUREHEADERS,0),MATCH(($A290 &amp; "Points"),CLASSNAMEHEADERS,0))))}</f>
        <v>SKILLFEATEXTRA-L01</v>
      </c>
      <c r="H289" s="76" t="str">
        <f t="array" ref="H289:H290">{"SKILLFEATEXTRA-L02";((INDEX(ALLCLASSDATA,MATCH("SkillFeatExtra-L02",CLASSFEATUREHEADERS,0),MATCH(($A290 &amp; "Points"),CLASSNAMEHEADERS,0))))}</f>
        <v>SKILLFEATEXTRA-L02</v>
      </c>
      <c r="I289" s="76" t="str">
        <f t="array" ref="I289:I290">{"SKILLFEATEXTRA-L03";((INDEX(ALLCLASSDATA,MATCH("SkillFeatExtra-L03",CLASSFEATUREHEADERS,0),MATCH(($A290 &amp; "Points"),CLASSNAMEHEADERS,0))))}</f>
        <v>SKILLFEATEXTRA-L03</v>
      </c>
      <c r="J289" s="76" t="str">
        <f t="array" ref="J289:J290">{"SKILLFEATEXTRA-L04";((INDEX(ALLCLASSDATA,MATCH("SkillFeatExtra-L04",CLASSFEATUREHEADERS,0),MATCH(($A290 &amp; "Points"),CLASSNAMEHEADERS,0))))}</f>
        <v>SKILLFEATEXTRA-L04</v>
      </c>
      <c r="K289" s="76" t="str">
        <f t="array" ref="K289:K290">{"SKILLFEATEXTRA-L05";((INDEX(ALLCLASSDATA,MATCH("SkillFeatExtra-L05",CLASSFEATUREHEADERS,0),MATCH(($A290 &amp; "Points"),CLASSNAMEHEADERS,0))))}</f>
        <v>SKILLFEATEXTRA-L05</v>
      </c>
      <c r="L289" s="76" t="str">
        <f t="array" ref="L289:L290">{"SKILLFEATEXTRA-L06";((INDEX(ALLCLASSDATA,MATCH("SkillFeatExtra-L06",CLASSFEATUREHEADERS,0),MATCH(($A290 &amp; "Points"),CLASSNAMEHEADERS,0))))}</f>
        <v>SKILLFEATEXTRA-L06</v>
      </c>
      <c r="M289" s="76" t="str">
        <f t="array" ref="M289:M290">{"SKILLFEATEXTRA-L07";((INDEX(ALLCLASSDATA,MATCH("SkillFeatExtra-L07",CLASSFEATUREHEADERS,0),MATCH(($A290 &amp; "Points"),CLASSNAMEHEADERS,0))))}</f>
        <v>SKILLFEATEXTRA-L07</v>
      </c>
      <c r="N289" s="76" t="str">
        <f t="array" ref="N289:N290">{"SKILLFEATEXTRA-L08";((INDEX(ALLCLASSDATA,MATCH("SkillFeatExtra-L08",CLASSFEATUREHEADERS,0),MATCH(($A290 &amp; "Points"),CLASSNAMEHEADERS,0))))}</f>
        <v>SKILLFEATEXTRA-L08</v>
      </c>
      <c r="O289" s="76" t="str">
        <f t="array" ref="O289:O290">{"SKILLFEATEXTRA-L09";((INDEX(ALLCLASSDATA,MATCH("SkillFeatExtra-L09",CLASSFEATUREHEADERS,0),MATCH(($A290 &amp; "Points"),CLASSNAMEHEADERS,0))))}</f>
        <v>SKILLFEATEXTRA-L09</v>
      </c>
      <c r="P289" s="76" t="str">
        <f t="array" ref="P289:P290">{"SKILLFEATEXTRA-L10";((INDEX(ALLCLASSDATA,MATCH("SkillFeatExtra-L10",CLASSFEATUREHEADERS,0),MATCH(($A290 &amp; "Points"),CLASSNAMEHEADERS,0))))}</f>
        <v>SKILLFEATEXTRA-L10</v>
      </c>
      <c r="Q289" s="76" t="str">
        <f t="array" ref="Q289:Q290">{"SKILLFEATEXTRA-L11";((INDEX(ALLCLASSDATA,MATCH("SkillFeatExtra-L11",CLASSFEATUREHEADERS,0),MATCH(($A290 &amp; "Points"),CLASSNAMEHEADERS,0))))}</f>
        <v>SKILLFEATEXTRA-L11</v>
      </c>
      <c r="R289" s="76" t="str">
        <f t="array" ref="R289:R290">{"SKILLFEATEXTRA-L12";((INDEX(ALLCLASSDATA,MATCH("SkillFeatExtra-L12",CLASSFEATUREHEADERS,0),MATCH(($A290 &amp; "Points"),CLASSNAMEHEADERS,0))))}</f>
        <v>SKILLFEATEXTRA-L12</v>
      </c>
      <c r="S289" s="76" t="str">
        <f t="array" ref="S289:S290">{"SKILLFEATEXTRA-L13";((INDEX(ALLCLASSDATA,MATCH("SkillFeatExtra-L13",CLASSFEATUREHEADERS,0),MATCH(($A290 &amp; "Points"),CLASSNAMEHEADERS,0))))}</f>
        <v>SKILLFEATEXTRA-L13</v>
      </c>
      <c r="T289" s="76" t="str">
        <f t="array" ref="T289:T290">{"SKILLFEATEXTRA-L14";((INDEX(ALLCLASSDATA,MATCH("SkillFeatExtra-L14",CLASSFEATUREHEADERS,0),MATCH(($A290 &amp; "Points"),CLASSNAMEHEADERS,0))))}</f>
        <v>SKILLFEATEXTRA-L14</v>
      </c>
      <c r="U289" s="76" t="str">
        <f t="array" ref="U289:U290">{"SKILLFEATEXTRA-L15";((INDEX(ALLCLASSDATA,MATCH("SkillFeatExtra-L15",CLASSFEATUREHEADERS,0),MATCH(($A290 &amp; "Points"),CLASSNAMEHEADERS,0))))}</f>
        <v>SKILLFEATEXTRA-L15</v>
      </c>
      <c r="V289" s="76" t="str">
        <f t="array" ref="V289:V290">{"SKILLFEATEXTRA-L16";((INDEX(ALLCLASSDATA,MATCH("SkillFeatExtra-L16",CLASSFEATUREHEADERS,0),MATCH(($A290 &amp; "Points"),CLASSNAMEHEADERS,0))))}</f>
        <v>SKILLFEATEXTRA-L16</v>
      </c>
      <c r="W289" s="76" t="str">
        <f t="array" ref="W289:W290">{"SKILLFEATEXTRA-L17";((INDEX(ALLCLASSDATA,MATCH("SkillFeatExtra-L17",CLASSFEATUREHEADERS,0),MATCH(($A290 &amp; "Points"),CLASSNAMEHEADERS,0))))}</f>
        <v>SKILLFEATEXTRA-L17</v>
      </c>
      <c r="X289" s="76" t="str">
        <f t="array" ref="X289:X290">{"SKILLFEATEXTRA-L18";((INDEX(ALLCLASSDATA,MATCH("SkillFeatExtra-L18",CLASSFEATUREHEADERS,0),MATCH(($A290 &amp; "Points"),CLASSNAMEHEADERS,0))))}</f>
        <v>SKILLFEATEXTRA-L18</v>
      </c>
      <c r="Y289" s="76" t="str">
        <f t="array" ref="Y289:Y290">{"SKILLFEATEXTRA-L19";((INDEX(ALLCLASSDATA,MATCH("SkillFeatExtra-L19",CLASSFEATUREHEADERS,0),MATCH(($A290 &amp; "Points"),CLASSNAMEHEADERS,0))))}</f>
        <v>SKILLFEATEXTRA-L19</v>
      </c>
      <c r="Z289" s="76" t="str">
        <f t="array" ref="Z289:Z290">{"SKILLFEATEXTRA-L20";((INDEX(ALLCLASSDATA,MATCH("SkillFeatExtra-L20",CLASSFEATUREHEADERS,0),MATCH(($A290 &amp; "Points"),CLASSNAMEHEADERS,0))))}</f>
        <v>SKILLFEATEXTRA-L20</v>
      </c>
      <c r="AA289" s="76"/>
      <c r="AB289" s="76" t="str">
        <f t="array" ref="AB289:AB290">{"SKILLFEAT TOTAL";(sum(F290:Z290))}</f>
        <v>SKILLFEAT TOTAL</v>
      </c>
    </row>
    <row r="290">
      <c r="A290" s="48" t="s">
        <v>229</v>
      </c>
      <c r="B290" s="48" t="s">
        <v>418</v>
      </c>
      <c r="C290" s="97" t="s">
        <v>659</v>
      </c>
      <c r="D290" s="97" t="s">
        <v>722</v>
      </c>
      <c r="E290" s="97"/>
      <c r="F290" s="132"/>
      <c r="G290" s="98" t="s">
        <v>603</v>
      </c>
      <c r="H290" s="98" t="s">
        <v>603</v>
      </c>
      <c r="I290" s="97" t="s">
        <v>603</v>
      </c>
      <c r="J290" s="98" t="s">
        <v>603</v>
      </c>
      <c r="K290" s="97" t="s">
        <v>603</v>
      </c>
      <c r="L290" s="98" t="s">
        <v>603</v>
      </c>
      <c r="M290" s="98" t="s">
        <v>603</v>
      </c>
      <c r="N290" s="98" t="s">
        <v>603</v>
      </c>
      <c r="O290" s="98" t="s">
        <v>603</v>
      </c>
      <c r="P290" s="98" t="s">
        <v>603</v>
      </c>
      <c r="Q290" s="98" t="s">
        <v>603</v>
      </c>
      <c r="R290" s="98" t="s">
        <v>603</v>
      </c>
      <c r="S290" s="98" t="s">
        <v>603</v>
      </c>
      <c r="T290" s="98" t="s">
        <v>603</v>
      </c>
      <c r="U290" s="98" t="s">
        <v>603</v>
      </c>
      <c r="V290" s="98" t="s">
        <v>603</v>
      </c>
      <c r="W290" s="98" t="s">
        <v>603</v>
      </c>
      <c r="X290" s="98" t="s">
        <v>603</v>
      </c>
      <c r="Y290" s="98" t="s">
        <v>603</v>
      </c>
      <c r="Z290" s="98" t="s">
        <v>603</v>
      </c>
      <c r="AA290" s="5"/>
      <c r="AB290" s="47">
        <v>0.0</v>
      </c>
    </row>
    <row r="291" hidden="1">
      <c r="A291" s="76" t="str">
        <f t="array" ref="A291:A292">{"FormulaRow08";(INDEX(CLASSLIST,A276,1))}</f>
        <v>FormulaRow08</v>
      </c>
      <c r="B291" s="76" t="str">
        <f t="array" ref="B291:B292">{"CLASSTYPE";((INDEX(ALLCLASSDATA,MATCH("ClassType",CLASSFEATUREHEADERS,0),MATCH($A292,CLASSNAMEHEADERS,0))))}</f>
        <v>CLASSTYPE</v>
      </c>
      <c r="C291" s="81" t="str">
        <f t="array" ref="C291:C292">{"CLASSABILITY";"ClassAbility"}</f>
        <v>CLASSABILITY</v>
      </c>
      <c r="D291" s="81" t="str">
        <f t="array" ref="D291:D292">{"CLASSABILITY1";"ClassAbility1"}</f>
        <v>CLASSABILITY1</v>
      </c>
      <c r="E291" s="81"/>
      <c r="F291" s="81"/>
      <c r="G291" s="81"/>
      <c r="H291" s="81"/>
      <c r="I291" s="81" t="str">
        <f t="array" ref="I291:I292">{"CLASSABILITY1-L03";((INDEX(ALLCLASSDATA,MATCH("ClassAbility1-L03",CLASSFEATUREHEADERS,0),MATCH(($A292),CLASSNAMEHEADERS,0))))}</f>
        <v>CLASSABILITY1-L03</v>
      </c>
      <c r="J291" s="81"/>
      <c r="K291" s="81" t="str">
        <f t="array" ref="K291:K292">{"CLASSABILITY1-L05";((INDEX(ALLCLASSDATA,MATCH("ClassAbility1-L05",CLASSFEATUREHEADERS,0),MATCH(($A292),CLASSNAMEHEADERS,0))))}</f>
        <v>CLASSABILITY1-L05</v>
      </c>
      <c r="L291" s="81"/>
      <c r="M291" s="81" t="str">
        <f t="array" ref="M291:M292">{"CLASSABILITY1-L07";((INDEX(ALLCLASSDATA,MATCH("ClassAbility1-L07",CLASSFEATUREHEADERS,0),MATCH(($A292),CLASSNAMEHEADERS,0))))}</f>
        <v>CLASSABILITY1-L07</v>
      </c>
      <c r="N291" s="81"/>
      <c r="O291" s="81" t="str">
        <f t="array" ref="O291:O292">{"CLASSABILITY1-L09";((INDEX(ALLCLASSDATA,MATCH("ClassAbility1-L09",CLASSFEATUREHEADERS,0),MATCH(($A292),CLASSNAMEHEADERS,0))))}</f>
        <v>CLASSABILITY1-L09</v>
      </c>
      <c r="P291" s="81"/>
      <c r="Q291" s="81" t="str">
        <f t="array" ref="Q291:Q292">{"CLASSABILITY1-L11";((INDEX(ALLCLASSDATA,MATCH("ClassAbility1-L11",CLASSFEATUREHEADERS,0),MATCH(($A292),CLASSNAMEHEADERS,0))))}</f>
        <v>CLASSABILITY1-L11</v>
      </c>
      <c r="R291" s="81"/>
      <c r="S291" s="81" t="str">
        <f t="array" ref="S291:S292">{"CLASSABILITY1-L13";((INDEX(ALLCLASSDATA,MATCH("ClassAbility1-L13",CLASSFEATUREHEADERS,0),MATCH(($A292),CLASSNAMEHEADERS,0))))}</f>
        <v>CLASSABILITY1-L13</v>
      </c>
      <c r="T291" s="81"/>
      <c r="U291" s="81" t="str">
        <f t="array" ref="U291:U292">{"CLASSABILITY1-L15";((INDEX(ALLCLASSDATA,MATCH("ClassAbility1-L15",CLASSFEATUREHEADERS,0),MATCH(($A292),CLASSNAMEHEADERS,0))))}</f>
        <v>CLASSABILITY1-L15</v>
      </c>
      <c r="V291" s="81"/>
      <c r="W291" s="81" t="str">
        <f t="array" ref="W291:W292">{"CLASSABILITY1-L17";((INDEX(ALLCLASSDATA,MATCH("ClassAbility1-L17",CLASSFEATUREHEADERS,0),MATCH(($A292),CLASSNAMEHEADERS,0))))}</f>
        <v>CLASSABILITY1-L17</v>
      </c>
      <c r="X291" s="81"/>
      <c r="Y291" s="81" t="str">
        <f t="array" ref="Y291:Y292">{"CLASSABILITY1-L19";((INDEX(ALLCLASSDATA,MATCH("ClassAbility1-L19",CLASSFEATUREHEADERS,0),MATCH(($A292),CLASSNAMEHEADERS,0))))}</f>
        <v>CLASSABILITY1-L19</v>
      </c>
      <c r="Z291" s="81"/>
      <c r="AA291" s="76"/>
      <c r="AB291" s="76"/>
    </row>
    <row r="292">
      <c r="A292" s="48" t="s">
        <v>229</v>
      </c>
      <c r="B292" s="48" t="s">
        <v>418</v>
      </c>
      <c r="C292" s="48" t="s">
        <v>825</v>
      </c>
      <c r="D292" s="48" t="s">
        <v>826</v>
      </c>
      <c r="E292" s="5"/>
      <c r="F292" s="47"/>
      <c r="G292" s="5"/>
      <c r="H292" s="5"/>
      <c r="I292" s="5"/>
      <c r="J292" s="5"/>
      <c r="K292" s="5" t="s">
        <v>323</v>
      </c>
      <c r="L292" s="5"/>
      <c r="M292" s="5" t="s">
        <v>350</v>
      </c>
      <c r="N292" s="5"/>
      <c r="O292" s="5" t="s">
        <v>1698</v>
      </c>
      <c r="P292" s="5"/>
      <c r="Q292" s="5" t="s">
        <v>1738</v>
      </c>
      <c r="R292" s="5"/>
      <c r="S292" s="5" t="s">
        <v>369</v>
      </c>
      <c r="T292" s="5"/>
      <c r="U292" s="5" t="s">
        <v>353</v>
      </c>
      <c r="V292" s="5"/>
      <c r="W292" s="5" t="s">
        <v>335</v>
      </c>
      <c r="X292" s="5"/>
      <c r="Y292" s="5" t="s">
        <v>1173</v>
      </c>
      <c r="Z292" s="5"/>
      <c r="AA292" s="5"/>
      <c r="AB292" s="47"/>
    </row>
    <row r="293" hidden="1">
      <c r="A293" s="76" t="str">
        <f t="array" ref="A293:A294">{"FormulaRow09";(INDEX(CLASSLIST,A276,1))}</f>
        <v>FormulaRow09</v>
      </c>
      <c r="B293" s="76" t="str">
        <f t="array" ref="B293:B294">{"CLASSTYPE";((INDEX(ALLCLASSDATA,MATCH("ClassType",CLASSFEATUREHEADERS,0),MATCH($A294,CLASSNAMEHEADERS,0))))}</f>
        <v>CLASSTYPE</v>
      </c>
      <c r="C293" s="76" t="str">
        <f t="array" ref="C293:C294">{"CLASSABILITYPTS";"ClassAbilityPts"}</f>
        <v>CLASSABILITYPTS</v>
      </c>
      <c r="D293" s="76" t="str">
        <f t="array" ref="D293:D294">{"CLASSABILITY1";"ClassAbility1"}</f>
        <v>CLASSABILITY1</v>
      </c>
      <c r="E293" s="76"/>
      <c r="F293" s="76"/>
      <c r="G293" s="76"/>
      <c r="H293" s="76"/>
      <c r="I293" s="76" t="str">
        <f t="array" ref="I293:I294">{"CLASSABILITY1-L03PTS";((INDEX(ALLCLASSDATA,MATCH("ClassAbility1-L03",CLASSFEATUREHEADERS,0),MATCH(($A294 &amp; "Points"),CLASSNAMEHEADERS,0))))}</f>
        <v>CLASSABILITY1-L03PTS</v>
      </c>
      <c r="J293" s="76"/>
      <c r="K293" s="76" t="str">
        <f t="array" ref="K293:K294">{"CLASSABILITY1-L05PTS";((INDEX(ALLCLASSDATA,MATCH("ClassAbility1-L05",CLASSFEATUREHEADERS,0),MATCH(($A294 &amp; "Points"),CLASSNAMEHEADERS,0))))}</f>
        <v>CLASSABILITY1-L05PTS</v>
      </c>
      <c r="L293" s="76"/>
      <c r="M293" s="76" t="str">
        <f t="array" ref="M293:M294">{"CLASSABILITY1-L07PTS";((INDEX(ALLCLASSDATA,MATCH("ClassAbility1-L07",CLASSFEATUREHEADERS,0),MATCH(($A294 &amp; "Points"),CLASSNAMEHEADERS,0))))}</f>
        <v>CLASSABILITY1-L07PTS</v>
      </c>
      <c r="N293" s="76"/>
      <c r="O293" s="76" t="str">
        <f t="array" ref="O293:O294">{"CLASSABILITY1-L09PTS";((INDEX(ALLCLASSDATA,MATCH("ClassAbility1-L09",CLASSFEATUREHEADERS,0),MATCH(($A294 &amp; "Points"),CLASSNAMEHEADERS,0))))}</f>
        <v>CLASSABILITY1-L09PTS</v>
      </c>
      <c r="P293" s="76"/>
      <c r="Q293" s="76" t="str">
        <f t="array" ref="Q293:Q294">{"CLASSABILITY1-L11PTS";((INDEX(ALLCLASSDATA,MATCH("ClassAbility1-L11",CLASSFEATUREHEADERS,0),MATCH(($A294 &amp; "Points"),CLASSNAMEHEADERS,0))))}</f>
        <v>CLASSABILITY1-L11PTS</v>
      </c>
      <c r="R293" s="76"/>
      <c r="S293" s="76" t="str">
        <f t="array" ref="S293:S294">{"CLASSABILITY1-L13PTS";((INDEX(ALLCLASSDATA,MATCH("ClassAbility1-L13",CLASSFEATUREHEADERS,0),MATCH(($A294 &amp; "Points"),CLASSNAMEHEADERS,0))))}</f>
        <v>CLASSABILITY1-L13PTS</v>
      </c>
      <c r="T293" s="76"/>
      <c r="U293" s="76" t="str">
        <f t="array" ref="U293:U294">{"CLASSABILITY1-L15PTS";((INDEX(ALLCLASSDATA,MATCH("ClassAbility1-L15",CLASSFEATUREHEADERS,0),MATCH(($A294 &amp; "Points"),CLASSNAMEHEADERS,0))))}</f>
        <v>CLASSABILITY1-L15PTS</v>
      </c>
      <c r="V293" s="76"/>
      <c r="W293" s="76" t="str">
        <f t="array" ref="W293:W294">{"CLASSABILITY1-L17PTS";((INDEX(ALLCLASSDATA,MATCH("ClassAbility1-L17",CLASSFEATUREHEADERS,0),MATCH(($A294 &amp; "Points"),CLASSNAMEHEADERS,0))))}</f>
        <v>CLASSABILITY1-L17PTS</v>
      </c>
      <c r="X293" s="76"/>
      <c r="Y293" s="76" t="str">
        <f t="array" ref="Y293:Y294">{"CLASSABILITY1-L19PTS";((INDEX(ALLCLASSDATA,MATCH("ClassAbility1-L19",CLASSFEATUREHEADERS,0),MATCH(($A294 &amp; "Points"),CLASSNAMEHEADERS,0))))}</f>
        <v>CLASSABILITY1-L19PTS</v>
      </c>
      <c r="Z293" s="76"/>
      <c r="AA293" s="76"/>
      <c r="AB293" s="76" t="str">
        <f t="array" ref="AB293:AB294">{"CLASSABILITY1 TOTAL";(sum(F294:Z294))}</f>
        <v>CLASSABILITY1 TOTAL</v>
      </c>
    </row>
    <row r="294">
      <c r="A294" s="48" t="s">
        <v>229</v>
      </c>
      <c r="B294" s="48" t="s">
        <v>418</v>
      </c>
      <c r="C294" s="48" t="s">
        <v>930</v>
      </c>
      <c r="D294" s="48" t="s">
        <v>826</v>
      </c>
      <c r="E294" s="5"/>
      <c r="F294" s="5"/>
      <c r="G294" s="5"/>
      <c r="H294" s="5"/>
      <c r="I294" s="48"/>
      <c r="J294" s="5"/>
      <c r="K294" s="5"/>
      <c r="L294" s="5"/>
      <c r="M294" s="5"/>
      <c r="N294" s="5"/>
      <c r="O294" s="5"/>
      <c r="P294" s="5"/>
      <c r="Q294" s="5"/>
      <c r="R294" s="5"/>
      <c r="S294" s="5"/>
      <c r="T294" s="5"/>
      <c r="U294" s="5"/>
      <c r="V294" s="5"/>
      <c r="W294" s="5"/>
      <c r="X294" s="5"/>
      <c r="Y294" s="5"/>
      <c r="Z294" s="5"/>
      <c r="AA294" s="5"/>
      <c r="AB294" s="47">
        <v>0.0</v>
      </c>
    </row>
    <row r="295" hidden="1">
      <c r="A295" s="76" t="str">
        <f t="array" ref="A295:A296">{"FormulaRow10";(INDEX(CLASSLIST,A276,1))}</f>
        <v>FormulaRow10</v>
      </c>
      <c r="B295" s="76" t="str">
        <f t="array" ref="B295:B296">{"CLASSTYPE";((INDEX(ALLCLASSDATA,MATCH("ClassType",CLASSFEATUREHEADERS,0),MATCH($A296,CLASSNAMEHEADERS,0))))}</f>
        <v>CLASSTYPE</v>
      </c>
      <c r="C295" s="76" t="str">
        <f t="array" ref="C295:C296">{"CLASSABILITY";"ClassAbility"}</f>
        <v>CLASSABILITY</v>
      </c>
      <c r="D295" s="76" t="str">
        <f t="array" ref="D295:D296">{"CLASSABILITY2";"ClassAbility2"}</f>
        <v>CLASSABILITY2</v>
      </c>
      <c r="E295" s="76"/>
      <c r="F295" s="76"/>
      <c r="G295" s="76"/>
      <c r="H295" s="76"/>
      <c r="I295" s="76" t="str">
        <f t="array" ref="I295:I296">{"CLASSABILITY2-L03";((INDEX(ALLCLASSDATA,MATCH("ClassAbility2-L03",CLASSFEATUREHEADERS,0),MATCH(($A296),CLASSNAMEHEADERS,0))))}</f>
        <v>CLASSABILITY2-L03</v>
      </c>
      <c r="J295" s="76"/>
      <c r="K295" s="76" t="str">
        <f t="array" ref="K295:K296">{"CLASSABILITY2-L05";((INDEX(ALLCLASSDATA,MATCH("ClassAbility2-L05",CLASSFEATUREHEADERS,0),MATCH(($A296),CLASSNAMEHEADERS,0))))}</f>
        <v>CLASSABILITY2-L05</v>
      </c>
      <c r="L295" s="76"/>
      <c r="M295" s="76" t="str">
        <f t="array" ref="M295:M296">{"CLASSABILITY2-L07";((INDEX(ALLCLASSDATA,MATCH("ClassAbility2-L07",CLASSFEATUREHEADERS,0),MATCH(($A296),CLASSNAMEHEADERS,0))))}</f>
        <v>CLASSABILITY2-L07</v>
      </c>
      <c r="N295" s="76"/>
      <c r="O295" s="76" t="str">
        <f t="array" ref="O295:O296">{"CLASSABILITY2-L09";((INDEX(ALLCLASSDATA,MATCH("ClassAbility2-L09",CLASSFEATUREHEADERS,0),MATCH(($A296),CLASSNAMEHEADERS,0))))}</f>
        <v>CLASSABILITY2-L09</v>
      </c>
      <c r="P295" s="76"/>
      <c r="Q295" s="76" t="str">
        <f t="array" ref="Q295:Q296">{"CLASSABILITY2-L11";((INDEX(ALLCLASSDATA,MATCH("ClassAbility2-L11",CLASSFEATUREHEADERS,0),MATCH(($A296),CLASSNAMEHEADERS,0))))}</f>
        <v>CLASSABILITY2-L11</v>
      </c>
      <c r="R295" s="76"/>
      <c r="S295" s="76" t="str">
        <f t="array" ref="S295:S296">{"CLASSABILITY2-L13";((INDEX(ALLCLASSDATA,MATCH("ClassAbility2-L13",CLASSFEATUREHEADERS,0),MATCH(($A296),CLASSNAMEHEADERS,0))))}</f>
        <v>CLASSABILITY2-L13</v>
      </c>
      <c r="T295" s="76"/>
      <c r="U295" s="76" t="str">
        <f t="array" ref="U295:U296">{"CLASSABILITY2-L15";((INDEX(ALLCLASSDATA,MATCH("ClassAbility2-L15",CLASSFEATUREHEADERS,0),MATCH(($A296),CLASSNAMEHEADERS,0))))}</f>
        <v>CLASSABILITY2-L15</v>
      </c>
      <c r="V295" s="76"/>
      <c r="W295" s="76" t="str">
        <f t="array" ref="W295:W296">{"CLASSABILITY2-L17";((INDEX(ALLCLASSDATA,MATCH("ClassAbility2-L17",CLASSFEATUREHEADERS,0),MATCH(($A296),CLASSNAMEHEADERS,0))))}</f>
        <v>CLASSABILITY2-L17</v>
      </c>
      <c r="X295" s="76"/>
      <c r="Y295" s="76" t="str">
        <f t="array" ref="Y295:Y296">{"CLASSABILITY2-L19";((INDEX(ALLCLASSDATA,MATCH("ClassAbility2-L19",CLASSFEATUREHEADERS,0),MATCH(($A296),CLASSNAMEHEADERS,0))))}</f>
        <v>CLASSABILITY2-L19</v>
      </c>
      <c r="Z295" s="76"/>
      <c r="AA295" s="76"/>
      <c r="AB295" s="76"/>
    </row>
    <row r="296">
      <c r="A296" s="48" t="s">
        <v>229</v>
      </c>
      <c r="B296" s="48" t="s">
        <v>418</v>
      </c>
      <c r="C296" s="48" t="s">
        <v>825</v>
      </c>
      <c r="D296" s="48" t="s">
        <v>1007</v>
      </c>
      <c r="E296" s="48"/>
      <c r="F296" s="47"/>
      <c r="G296" s="5"/>
      <c r="H296" s="5"/>
      <c r="I296" s="5"/>
      <c r="J296" s="5"/>
      <c r="K296" s="5"/>
      <c r="L296" s="5"/>
      <c r="M296" s="5"/>
      <c r="N296" s="5"/>
      <c r="O296" s="5"/>
      <c r="P296" s="5"/>
      <c r="Q296" s="5" t="s">
        <v>305</v>
      </c>
      <c r="R296" s="5"/>
      <c r="S296" s="5" t="s">
        <v>1756</v>
      </c>
      <c r="T296" s="5"/>
      <c r="U296" s="5"/>
      <c r="V296" s="5"/>
      <c r="W296" s="5"/>
      <c r="X296" s="5"/>
      <c r="Y296" s="5" t="s">
        <v>356</v>
      </c>
      <c r="Z296" s="5"/>
      <c r="AA296" s="5"/>
      <c r="AB296" s="47"/>
    </row>
    <row r="297" hidden="1">
      <c r="A297" s="76" t="str">
        <f t="array" ref="A297:A298">{"FormulaRow11";(INDEX(CLASSLIST,A276,1))}</f>
        <v>FormulaRow11</v>
      </c>
      <c r="B297" s="76" t="str">
        <f t="array" ref="B297:B298">{"CLASSTYPE";((INDEX(ALLCLASSDATA,MATCH("ClassType",CLASSFEATUREHEADERS,0),MATCH($A298,CLASSNAMEHEADERS,0))))}</f>
        <v>CLASSTYPE</v>
      </c>
      <c r="C297" s="76" t="str">
        <f t="array" ref="C297:C298">{"CLASSABILITYPTS";"ClassAbilityPts"}</f>
        <v>CLASSABILITYPTS</v>
      </c>
      <c r="D297" s="76" t="str">
        <f t="array" ref="D297:D298">{"CLASSABILITY2";"ClassAbility2"}</f>
        <v>CLASSABILITY2</v>
      </c>
      <c r="E297" s="76"/>
      <c r="F297" s="76"/>
      <c r="G297" s="76"/>
      <c r="H297" s="76"/>
      <c r="I297" s="76" t="str">
        <f t="array" ref="I297:I298">{"CLASSABILITY2-L03PTS";((INDEX(ALLCLASSDATA,MATCH("ClassAbility2-L03",CLASSFEATUREHEADERS,0),MATCH(($A298 &amp; "Points"),CLASSNAMEHEADERS,0))))}</f>
        <v>CLASSABILITY2-L03PTS</v>
      </c>
      <c r="J297" s="76"/>
      <c r="K297" s="76" t="str">
        <f t="array" ref="K297:K298">{"CLASSABILITY2-L05PTS";((INDEX(ALLCLASSDATA,MATCH("ClassAbility2-L05",CLASSFEATUREHEADERS,0),MATCH(($A298 &amp; "Points"),CLASSNAMEHEADERS,0))))}</f>
        <v>CLASSABILITY2-L05PTS</v>
      </c>
      <c r="L297" s="76"/>
      <c r="M297" s="76" t="str">
        <f t="array" ref="M297:M298">{"CLASSABILITY2-L07PTS";((INDEX(ALLCLASSDATA,MATCH("ClassAbility2-L07",CLASSFEATUREHEADERS,0),MATCH(($A298 &amp; "Points"),CLASSNAMEHEADERS,0))))}</f>
        <v>CLASSABILITY2-L07PTS</v>
      </c>
      <c r="N297" s="76"/>
      <c r="O297" s="76" t="str">
        <f t="array" ref="O297:O298">{"CLASSABILITY2-L09PTS";((INDEX(ALLCLASSDATA,MATCH("ClassAbility2-L09",CLASSFEATUREHEADERS,0),MATCH(($A298 &amp; "Points"),CLASSNAMEHEADERS,0))))}</f>
        <v>CLASSABILITY2-L09PTS</v>
      </c>
      <c r="P297" s="76"/>
      <c r="Q297" s="76" t="str">
        <f t="array" ref="Q297:Q298">{"CLASSABILITY2-L11PTS";((INDEX(ALLCLASSDATA,MATCH("ClassAbility2-L11",CLASSFEATUREHEADERS,0),MATCH(($A298 &amp; "Points"),CLASSNAMEHEADERS,0))))}</f>
        <v>CLASSABILITY2-L11PTS</v>
      </c>
      <c r="R297" s="76"/>
      <c r="S297" s="76" t="str">
        <f t="array" ref="S297:S298">{"CLASSABILITY2-L13PTS";((INDEX(ALLCLASSDATA,MATCH("ClassAbility2-L13",CLASSFEATUREHEADERS,0),MATCH(($A298 &amp; "Points"),CLASSNAMEHEADERS,0))))}</f>
        <v>CLASSABILITY2-L13PTS</v>
      </c>
      <c r="T297" s="76"/>
      <c r="U297" s="76" t="str">
        <f t="array" ref="U297:U298">{"CLASSABILITY2-L15PTS";((INDEX(ALLCLASSDATA,MATCH("ClassAbility2-L15",CLASSFEATUREHEADERS,0),MATCH(($A298 &amp; "Points"),CLASSNAMEHEADERS,0))))}</f>
        <v>CLASSABILITY2-L15PTS</v>
      </c>
      <c r="V297" s="76"/>
      <c r="W297" s="76" t="str">
        <f t="array" ref="W297:W298">{"CLASSABILITY2-L17PTS";((INDEX(ALLCLASSDATA,MATCH("ClassAbility2-L17",CLASSFEATUREHEADERS,0),MATCH(($A298 &amp; "Points"),CLASSNAMEHEADERS,0))))}</f>
        <v>CLASSABILITY2-L17PTS</v>
      </c>
      <c r="X297" s="76"/>
      <c r="Y297" s="76" t="str">
        <f t="array" ref="Y297:Y298">{"CLASSABILITY2-L19PTS";((INDEX(ALLCLASSDATA,MATCH("ClassAbility2-L19",CLASSFEATUREHEADERS,0),MATCH(($A298 &amp; "Points"),CLASSNAMEHEADERS,0))))}</f>
        <v>CLASSABILITY2-L19PTS</v>
      </c>
      <c r="Z297" s="76"/>
      <c r="AA297" s="76"/>
      <c r="AB297" s="76" t="str">
        <f t="array" ref="AB297:AB298">{"CLASSABILITY2 TOTAL";(sum(F298:Z298))}</f>
        <v>CLASSABILITY2 TOTAL</v>
      </c>
    </row>
    <row r="298">
      <c r="A298" s="48" t="s">
        <v>229</v>
      </c>
      <c r="B298" s="48" t="s">
        <v>418</v>
      </c>
      <c r="C298" s="48" t="s">
        <v>930</v>
      </c>
      <c r="D298" s="48" t="s">
        <v>1007</v>
      </c>
      <c r="E298" s="48"/>
      <c r="F298" s="47"/>
      <c r="G298" s="5"/>
      <c r="H298" s="5"/>
      <c r="I298" s="5"/>
      <c r="J298" s="5"/>
      <c r="K298" s="5"/>
      <c r="L298" s="5"/>
      <c r="M298" s="5"/>
      <c r="N298" s="5"/>
      <c r="O298" s="5"/>
      <c r="P298" s="5"/>
      <c r="Q298" s="5"/>
      <c r="R298" s="5"/>
      <c r="S298" s="5"/>
      <c r="T298" s="5"/>
      <c r="U298" s="5"/>
      <c r="V298" s="5"/>
      <c r="W298" s="5"/>
      <c r="X298" s="5"/>
      <c r="Y298" s="5"/>
      <c r="Z298" s="5"/>
      <c r="AA298" s="5"/>
      <c r="AB298" s="47">
        <v>0.0</v>
      </c>
    </row>
    <row r="299" hidden="1">
      <c r="A299" s="76" t="str">
        <f t="array" ref="A299:A300">{"FormulaRow12";(INDEX(CLASSLIST,A276,1))}</f>
        <v>FormulaRow12</v>
      </c>
      <c r="B299" s="76" t="str">
        <f t="array" ref="B299:B300">{"CLASSTYPE";((INDEX(ALLCLASSDATA,MATCH("ClassType",CLASSFEATUREHEADERS,0),MATCH($A300,CLASSNAMEHEADERS,0))))}</f>
        <v>CLASSTYPE</v>
      </c>
      <c r="C299" s="76" t="str">
        <f t="array" ref="C299:C300">{"CLASSABILITY";"ClassAbility"}</f>
        <v>CLASSABILITY</v>
      </c>
      <c r="D299" s="76" t="str">
        <f t="array" ref="D299:D300">{"CLASSABILITY3";"ClassAbility3"}</f>
        <v>CLASSABILITY3</v>
      </c>
      <c r="E299" s="76"/>
      <c r="F299" s="76"/>
      <c r="G299" s="76"/>
      <c r="H299" s="76"/>
      <c r="I299" s="76" t="str">
        <f t="array" ref="I299:I300">{"CLASSABILITY3-L03";((INDEX(ALLCLASSDATA,MATCH("ClassAbility3-L03",CLASSFEATUREHEADERS,0),MATCH(($A300),CLASSNAMEHEADERS,0))))}</f>
        <v>CLASSABILITY3-L03</v>
      </c>
      <c r="J299" s="76"/>
      <c r="K299" s="76" t="str">
        <f t="array" ref="K299:K300">{"CLASSABILITY3-L05";((INDEX(ALLCLASSDATA,MATCH("ClassAbility3-L05",CLASSFEATUREHEADERS,0),MATCH(($A300),CLASSNAMEHEADERS,0))))}</f>
        <v>CLASSABILITY3-L05</v>
      </c>
      <c r="L299" s="76"/>
      <c r="M299" s="76" t="str">
        <f t="array" ref="M299:M300">{"CLASSABILITY3-L07";((INDEX(ALLCLASSDATA,MATCH("ClassAbility3-L07",CLASSFEATUREHEADERS,0),MATCH(($A300),CLASSNAMEHEADERS,0))))}</f>
        <v>CLASSABILITY3-L07</v>
      </c>
      <c r="N299" s="76"/>
      <c r="O299" s="76" t="str">
        <f t="array" ref="O299:O300">{"CLASSABILITY3-L09";((INDEX(ALLCLASSDATA,MATCH("ClassAbility3-L09",CLASSFEATUREHEADERS,0),MATCH(($A300),CLASSNAMEHEADERS,0))))}</f>
        <v>CLASSABILITY3-L09</v>
      </c>
      <c r="P299" s="76"/>
      <c r="Q299" s="76" t="str">
        <f t="array" ref="Q299:Q300">{"CLASSABILITY3-L11";((INDEX(ALLCLASSDATA,MATCH("ClassAbility3-L11",CLASSFEATUREHEADERS,0),MATCH(($A300),CLASSNAMEHEADERS,0))))}</f>
        <v>CLASSABILITY3-L11</v>
      </c>
      <c r="R299" s="76"/>
      <c r="S299" s="76" t="str">
        <f t="array" ref="S299:S300">{"CLASSABILITY3-L13";((INDEX(ALLCLASSDATA,MATCH("ClassAbility3-L13",CLASSFEATUREHEADERS,0),MATCH(($A300),CLASSNAMEHEADERS,0))))}</f>
        <v>CLASSABILITY3-L13</v>
      </c>
      <c r="T299" s="76"/>
      <c r="U299" s="76" t="str">
        <f t="array" ref="U299:U300">{"CLASSABILITY3-L15";((INDEX(ALLCLASSDATA,MATCH("ClassAbility3-L15",CLASSFEATUREHEADERS,0),MATCH(($A300),CLASSNAMEHEADERS,0))))}</f>
        <v>CLASSABILITY3-L15</v>
      </c>
      <c r="V299" s="76"/>
      <c r="W299" s="76" t="str">
        <f t="array" ref="W299:W300">{"CLASSABILITY3-L17";((INDEX(ALLCLASSDATA,MATCH("ClassAbility3-L17",CLASSFEATUREHEADERS,0),MATCH(($A300),CLASSNAMEHEADERS,0))))}</f>
        <v>CLASSABILITY3-L17</v>
      </c>
      <c r="X299" s="76"/>
      <c r="Y299" s="76" t="str">
        <f t="array" ref="Y299:Y300">{"CLASSABILITY3-L19";((INDEX(ALLCLASSDATA,MATCH("ClassAbility3-L19",CLASSFEATUREHEADERS,0),MATCH(($A300),CLASSNAMEHEADERS,0))))}</f>
        <v>CLASSABILITY3-L19</v>
      </c>
      <c r="Z299" s="76"/>
      <c r="AA299" s="76"/>
      <c r="AB299" s="76"/>
    </row>
    <row r="300">
      <c r="A300" s="48" t="s">
        <v>229</v>
      </c>
      <c r="B300" s="48" t="s">
        <v>418</v>
      </c>
      <c r="C300" s="48" t="s">
        <v>825</v>
      </c>
      <c r="D300" s="48" t="s">
        <v>1144</v>
      </c>
      <c r="E300" s="48"/>
      <c r="F300" s="47"/>
      <c r="G300" s="5"/>
      <c r="H300" s="5"/>
      <c r="I300" s="5"/>
      <c r="J300" s="5"/>
      <c r="K300" s="5"/>
      <c r="L300" s="5"/>
      <c r="M300" s="5"/>
      <c r="N300" s="5"/>
      <c r="O300" s="5"/>
      <c r="P300" s="5"/>
      <c r="Q300" s="5"/>
      <c r="R300" s="5"/>
      <c r="S300" s="5"/>
      <c r="T300" s="5"/>
      <c r="U300" s="5"/>
      <c r="V300" s="5"/>
      <c r="W300" s="5"/>
      <c r="X300" s="5"/>
      <c r="Y300" s="5"/>
      <c r="Z300" s="5"/>
      <c r="AA300" s="5"/>
      <c r="AB300" s="47"/>
    </row>
    <row r="301" hidden="1">
      <c r="A301" s="76" t="str">
        <f t="array" ref="A301:A302">{"FormulaRow13";(INDEX(CLASSLIST,A276,1))}</f>
        <v>FormulaRow13</v>
      </c>
      <c r="B301" s="76" t="str">
        <f t="array" ref="B301:B302">{"CLASSTYPE";((INDEX(ALLCLASSDATA,MATCH("ClassType",CLASSFEATUREHEADERS,0),MATCH($A302,CLASSNAMEHEADERS,0))))}</f>
        <v>CLASSTYPE</v>
      </c>
      <c r="C301" s="76" t="str">
        <f t="array" ref="C301:C302">{"CLASSABILITYPTS";"ClassAbilityPts"}</f>
        <v>CLASSABILITYPTS</v>
      </c>
      <c r="D301" s="76" t="str">
        <f t="array" ref="D301:D302">{"CLASSABILITY3";"ClassAbility3"}</f>
        <v>CLASSABILITY3</v>
      </c>
      <c r="E301" s="76"/>
      <c r="F301" s="76"/>
      <c r="G301" s="76"/>
      <c r="H301" s="76"/>
      <c r="I301" s="76" t="str">
        <f t="array" ref="I301:I302">{"CLASSABILITY3-L03PTS";((INDEX(ALLCLASSDATA,MATCH("ClassAbility3-L03",CLASSFEATUREHEADERS,0),MATCH(($A302 &amp; "Points"),CLASSNAMEHEADERS,0))))}</f>
        <v>CLASSABILITY3-L03PTS</v>
      </c>
      <c r="J301" s="76"/>
      <c r="K301" s="76" t="str">
        <f t="array" ref="K301:K302">{"CLASSABILITY3-L05PTS";((INDEX(ALLCLASSDATA,MATCH("ClassAbility3-L05",CLASSFEATUREHEADERS,0),MATCH(($A302 &amp; "Points"),CLASSNAMEHEADERS,0))))}</f>
        <v>CLASSABILITY3-L05PTS</v>
      </c>
      <c r="L301" s="76"/>
      <c r="M301" s="76" t="str">
        <f t="array" ref="M301:M302">{"CLASSABILITY3-L07PTS";((INDEX(ALLCLASSDATA,MATCH("ClassAbility3-L07",CLASSFEATUREHEADERS,0),MATCH(($A302 &amp; "Points"),CLASSNAMEHEADERS,0))))}</f>
        <v>CLASSABILITY3-L07PTS</v>
      </c>
      <c r="N301" s="76"/>
      <c r="O301" s="76" t="str">
        <f t="array" ref="O301:O302">{"CLASSABILITY3-L09PTS";((INDEX(ALLCLASSDATA,MATCH("ClassAbility3-L09",CLASSFEATUREHEADERS,0),MATCH(($A302 &amp; "Points"),CLASSNAMEHEADERS,0))))}</f>
        <v>CLASSABILITY3-L09PTS</v>
      </c>
      <c r="P301" s="76"/>
      <c r="Q301" s="76" t="str">
        <f t="array" ref="Q301:Q302">{"CLASSABILITY3-L11PTS";((INDEX(ALLCLASSDATA,MATCH("ClassAbility3-L11",CLASSFEATUREHEADERS,0),MATCH(($A302 &amp; "Points"),CLASSNAMEHEADERS,0))))}</f>
        <v>CLASSABILITY3-L11PTS</v>
      </c>
      <c r="R301" s="76"/>
      <c r="S301" s="76" t="str">
        <f t="array" ref="S301:S302">{"CLASSABILITY3-L13PTS";((INDEX(ALLCLASSDATA,MATCH("ClassAbility3-L13",CLASSFEATUREHEADERS,0),MATCH(($A302 &amp; "Points"),CLASSNAMEHEADERS,0))))}</f>
        <v>CLASSABILITY3-L13PTS</v>
      </c>
      <c r="T301" s="76"/>
      <c r="U301" s="76" t="str">
        <f t="array" ref="U301:U302">{"CLASSABILITY3-L15PTS";((INDEX(ALLCLASSDATA,MATCH("ClassAbility3-L15",CLASSFEATUREHEADERS,0),MATCH(($A302 &amp; "Points"),CLASSNAMEHEADERS,0))))}</f>
        <v>CLASSABILITY3-L15PTS</v>
      </c>
      <c r="V301" s="76"/>
      <c r="W301" s="76" t="str">
        <f t="array" ref="W301:W302">{"CLASSABILITY3-L17PTS";((INDEX(ALLCLASSDATA,MATCH("ClassAbility3-L17",CLASSFEATUREHEADERS,0),MATCH(($A302 &amp; "Points"),CLASSNAMEHEADERS,0))))}</f>
        <v>CLASSABILITY3-L17PTS</v>
      </c>
      <c r="X301" s="76"/>
      <c r="Y301" s="76" t="str">
        <f t="array" ref="Y301:Y302">{"CLASSABILITY3-L19PTS";((INDEX(ALLCLASSDATA,MATCH("ClassAbility3-L19",CLASSFEATUREHEADERS,0),MATCH(($A302 &amp; "Points"),CLASSNAMEHEADERS,0))))}</f>
        <v>CLASSABILITY3-L19PTS</v>
      </c>
      <c r="Z301" s="76"/>
      <c r="AA301" s="76"/>
      <c r="AB301" s="76" t="str">
        <f t="array" ref="AB301:AB302">{"CLASSABILITY3 TOTAL";(sum(F302:Z302))}</f>
        <v>CLASSABILITY3 TOTAL</v>
      </c>
    </row>
    <row r="302">
      <c r="A302" s="48" t="s">
        <v>229</v>
      </c>
      <c r="B302" s="48" t="s">
        <v>418</v>
      </c>
      <c r="C302" s="48" t="s">
        <v>930</v>
      </c>
      <c r="D302" s="48" t="s">
        <v>1144</v>
      </c>
      <c r="E302" s="48"/>
      <c r="F302" s="47"/>
      <c r="G302" s="5"/>
      <c r="H302" s="5"/>
      <c r="I302" s="5"/>
      <c r="J302" s="5"/>
      <c r="K302" s="5"/>
      <c r="L302" s="5"/>
      <c r="M302" s="5"/>
      <c r="N302" s="5"/>
      <c r="O302" s="5"/>
      <c r="P302" s="5"/>
      <c r="Q302" s="5"/>
      <c r="R302" s="5"/>
      <c r="S302" s="5"/>
      <c r="T302" s="5"/>
      <c r="U302" s="5"/>
      <c r="V302" s="5"/>
      <c r="W302" s="5"/>
      <c r="X302" s="5"/>
      <c r="Y302" s="5"/>
      <c r="Z302" s="5"/>
      <c r="AA302" s="5"/>
      <c r="AB302" s="47">
        <v>0.0</v>
      </c>
    </row>
    <row r="303" hidden="1">
      <c r="A303" s="76" t="str">
        <f t="array" ref="A303:A304">{"FormulaRow14";(INDEX(CLASSLIST,A276,1))}</f>
        <v>FormulaRow14</v>
      </c>
      <c r="B303" s="76" t="str">
        <f t="array" ref="B303:B304">{"CLASSTYPE";((INDEX(ALLCLASSDATA,MATCH("ClassType",CLASSFEATUREHEADERS,0),MATCH($A304,CLASSNAMEHEADERS,0))))}</f>
        <v>CLASSTYPE</v>
      </c>
      <c r="C303" s="76" t="str">
        <f t="array" ref="C303:C304">{"CLASSABILITY";"ClassAbility"}</f>
        <v>CLASSABILITY</v>
      </c>
      <c r="D303" s="76" t="str">
        <f t="array" ref="D303:D304">{"CLASSABILITY4";"ClassAbility4"}</f>
        <v>CLASSABILITY4</v>
      </c>
      <c r="E303" s="76"/>
      <c r="F303" s="76"/>
      <c r="G303" s="76"/>
      <c r="H303" s="76"/>
      <c r="I303" s="76" t="str">
        <f t="array" ref="I303:I304">{"CLASSABILITY4-L03";((INDEX(ALLCLASSDATA,MATCH("ClassAbility4-L03",CLASSFEATUREHEADERS,0),MATCH(($A304),CLASSNAMEHEADERS,0))))}</f>
        <v>CLASSABILITY4-L03</v>
      </c>
      <c r="J303" s="76"/>
      <c r="K303" s="76" t="str">
        <f t="array" ref="K303:K304">{"CLASSABILITY4-L05";((INDEX(ALLCLASSDATA,MATCH("ClassAbility4-L05",CLASSFEATUREHEADERS,0),MATCH(($A304),CLASSNAMEHEADERS,0))))}</f>
        <v>CLASSABILITY4-L05</v>
      </c>
      <c r="L303" s="76"/>
      <c r="M303" s="76" t="str">
        <f t="array" ref="M303:M304">{"CLASSABILITY4-L07";((INDEX(ALLCLASSDATA,MATCH("ClassAbility4-L07",CLASSFEATUREHEADERS,0),MATCH(($A304),CLASSNAMEHEADERS,0))))}</f>
        <v>CLASSABILITY4-L07</v>
      </c>
      <c r="N303" s="76"/>
      <c r="O303" s="76" t="str">
        <f t="array" ref="O303:O304">{"CLASSABILITY4-L09";((INDEX(ALLCLASSDATA,MATCH("ClassAbility4-L09",CLASSFEATUREHEADERS,0),MATCH(($A304),CLASSNAMEHEADERS,0))))}</f>
        <v>CLASSABILITY4-L09</v>
      </c>
      <c r="P303" s="76"/>
      <c r="Q303" s="76" t="str">
        <f t="array" ref="Q303:Q304">{"CLASSABILITY4-L11";((INDEX(ALLCLASSDATA,MATCH("ClassAbility4-L11",CLASSFEATUREHEADERS,0),MATCH(($A304),CLASSNAMEHEADERS,0))))}</f>
        <v>CLASSABILITY4-L11</v>
      </c>
      <c r="R303" s="76"/>
      <c r="S303" s="76" t="str">
        <f t="array" ref="S303:S304">{"CLASSABILITY4-L13";((INDEX(ALLCLASSDATA,MATCH("ClassAbility4-L13",CLASSFEATUREHEADERS,0),MATCH(($A304),CLASSNAMEHEADERS,0))))}</f>
        <v>CLASSABILITY4-L13</v>
      </c>
      <c r="T303" s="76"/>
      <c r="U303" s="76" t="str">
        <f t="array" ref="U303:U304">{"CLASSABILITY4-L15";((INDEX(ALLCLASSDATA,MATCH("ClassAbility4-L15",CLASSFEATUREHEADERS,0),MATCH(($A304),CLASSNAMEHEADERS,0))))}</f>
        <v>CLASSABILITY4-L15</v>
      </c>
      <c r="V303" s="76"/>
      <c r="W303" s="76" t="str">
        <f t="array" ref="W303:W304">{"CLASSABILITY4-L17";((INDEX(ALLCLASSDATA,MATCH("ClassAbility4-L17",CLASSFEATUREHEADERS,0),MATCH(($A304),CLASSNAMEHEADERS,0))))}</f>
        <v>CLASSABILITY4-L17</v>
      </c>
      <c r="X303" s="76"/>
      <c r="Y303" s="76" t="str">
        <f t="array" ref="Y303:Y304">{"CLASSABILITY4-L19";((INDEX(ALLCLASSDATA,MATCH("ClassAbility4-L19",CLASSFEATUREHEADERS,0),MATCH(($A304),CLASSNAMEHEADERS,0))))}</f>
        <v>CLASSABILITY4-L19</v>
      </c>
      <c r="Z303" s="76"/>
      <c r="AA303" s="76"/>
      <c r="AB303" s="76"/>
    </row>
    <row r="304">
      <c r="A304" s="48" t="s">
        <v>229</v>
      </c>
      <c r="B304" s="48" t="s">
        <v>418</v>
      </c>
      <c r="C304" s="48" t="s">
        <v>825</v>
      </c>
      <c r="D304" s="48" t="s">
        <v>1273</v>
      </c>
      <c r="E304" s="48"/>
      <c r="F304" s="47"/>
      <c r="G304" s="5"/>
      <c r="H304" s="5"/>
      <c r="I304" s="5"/>
      <c r="J304" s="5"/>
      <c r="K304" s="5"/>
      <c r="L304" s="5"/>
      <c r="M304" s="5"/>
      <c r="N304" s="5"/>
      <c r="O304" s="5"/>
      <c r="P304" s="5"/>
      <c r="Q304" s="5"/>
      <c r="R304" s="5"/>
      <c r="S304" s="5"/>
      <c r="T304" s="5"/>
      <c r="U304" s="5"/>
      <c r="V304" s="5"/>
      <c r="W304" s="5"/>
      <c r="X304" s="5"/>
      <c r="Y304" s="5"/>
      <c r="Z304" s="5"/>
      <c r="AA304" s="5"/>
      <c r="AB304" s="47"/>
    </row>
    <row r="305" hidden="1">
      <c r="A305" s="76" t="str">
        <f t="array" ref="A305:A306">{"FormulaRow15";(INDEX(CLASSLIST,A276,1))}</f>
        <v>FormulaRow15</v>
      </c>
      <c r="B305" s="76" t="str">
        <f t="array" ref="B305:B306">{"CLASSTYPE";((INDEX(ALLCLASSDATA,MATCH("ClassType",CLASSFEATUREHEADERS,0),MATCH($A306,CLASSNAMEHEADERS,0))))}</f>
        <v>CLASSTYPE</v>
      </c>
      <c r="C305" s="76" t="str">
        <f t="array" ref="C305:C306">{"CLASSABILITYPTS";"ClassAbilityPts"}</f>
        <v>CLASSABILITYPTS</v>
      </c>
      <c r="D305" s="76" t="str">
        <f t="array" ref="D305:D306">{"CLASSABILITY4";"ClassAbility4"}</f>
        <v>CLASSABILITY4</v>
      </c>
      <c r="E305" s="76"/>
      <c r="F305" s="76"/>
      <c r="G305" s="76"/>
      <c r="H305" s="76"/>
      <c r="I305" s="76" t="str">
        <f t="array" ref="I305:I306">{"CLASSABILITY4-L03PTS";((INDEX(ALLCLASSDATA,MATCH("ClassAbility4-L03",CLASSFEATUREHEADERS,0),MATCH(($A306 &amp; "Points"),CLASSNAMEHEADERS,0))))}</f>
        <v>CLASSABILITY4-L03PTS</v>
      </c>
      <c r="J305" s="76"/>
      <c r="K305" s="76" t="str">
        <f t="array" ref="K305:K306">{"CLASSABILITY4-L05PTS";((INDEX(ALLCLASSDATA,MATCH("ClassAbility4-L05",CLASSFEATUREHEADERS,0),MATCH(($A306 &amp; "Points"),CLASSNAMEHEADERS,0))))}</f>
        <v>CLASSABILITY4-L05PTS</v>
      </c>
      <c r="L305" s="76"/>
      <c r="M305" s="76" t="str">
        <f t="array" ref="M305:M306">{"CLASSABILITY4-L07PTS";((INDEX(ALLCLASSDATA,MATCH("ClassAbility4-L07",CLASSFEATUREHEADERS,0),MATCH(($A306 &amp; "Points"),CLASSNAMEHEADERS,0))))}</f>
        <v>CLASSABILITY4-L07PTS</v>
      </c>
      <c r="N305" s="76"/>
      <c r="O305" s="76" t="str">
        <f t="array" ref="O305:O306">{"CLASSABILITY4-L09PTS";((INDEX(ALLCLASSDATA,MATCH("ClassAbility4-L09",CLASSFEATUREHEADERS,0),MATCH(($A306 &amp; "Points"),CLASSNAMEHEADERS,0))))}</f>
        <v>CLASSABILITY4-L09PTS</v>
      </c>
      <c r="P305" s="76"/>
      <c r="Q305" s="76" t="str">
        <f t="array" ref="Q305:Q306">{"CLASSABILITY4-L11PTS";((INDEX(ALLCLASSDATA,MATCH("ClassAbility4-L11",CLASSFEATUREHEADERS,0),MATCH(($A306 &amp; "Points"),CLASSNAMEHEADERS,0))))}</f>
        <v>CLASSABILITY4-L11PTS</v>
      </c>
      <c r="R305" s="76"/>
      <c r="S305" s="76" t="str">
        <f t="array" ref="S305:S306">{"CLASSABILITY4-L13PTS";((INDEX(ALLCLASSDATA,MATCH("ClassAbility4-L13",CLASSFEATUREHEADERS,0),MATCH(($A306 &amp; "Points"),CLASSNAMEHEADERS,0))))}</f>
        <v>CLASSABILITY4-L13PTS</v>
      </c>
      <c r="T305" s="76"/>
      <c r="U305" s="76" t="str">
        <f t="array" ref="U305:U306">{"CLASSABILITY4-L15PTS";((INDEX(ALLCLASSDATA,MATCH("ClassAbility4-L15",CLASSFEATUREHEADERS,0),MATCH(($A306 &amp; "Points"),CLASSNAMEHEADERS,0))))}</f>
        <v>CLASSABILITY4-L15PTS</v>
      </c>
      <c r="V305" s="76"/>
      <c r="W305" s="76" t="str">
        <f t="array" ref="W305:W306">{"CLASSABILITY4-L17PTS";((INDEX(ALLCLASSDATA,MATCH("ClassAbility4-L17",CLASSFEATUREHEADERS,0),MATCH(($A306 &amp; "Points"),CLASSNAMEHEADERS,0))))}</f>
        <v>CLASSABILITY4-L17PTS</v>
      </c>
      <c r="X305" s="76"/>
      <c r="Y305" s="76" t="str">
        <f t="array" ref="Y305:Y306">{"CLASSABILITY4-L19PTS";((INDEX(ALLCLASSDATA,MATCH("ClassAbility4-L19",CLASSFEATUREHEADERS,0),MATCH(($A306 &amp; "Points"),CLASSNAMEHEADERS,0))))}</f>
        <v>CLASSABILITY4-L19PTS</v>
      </c>
      <c r="Z305" s="76"/>
      <c r="AA305" s="76"/>
      <c r="AB305" s="76" t="str">
        <f t="array" ref="AB305:AB306">{"CLASSABILITY4 TOTAL";(sum(F306:Z306))}</f>
        <v>CLASSABILITY4 TOTAL</v>
      </c>
    </row>
    <row r="306">
      <c r="A306" s="48" t="s">
        <v>229</v>
      </c>
      <c r="B306" s="48" t="s">
        <v>418</v>
      </c>
      <c r="C306" s="48" t="s">
        <v>930</v>
      </c>
      <c r="D306" s="48" t="s">
        <v>1273</v>
      </c>
      <c r="E306" s="48"/>
      <c r="F306" s="47"/>
      <c r="G306" s="5"/>
      <c r="H306" s="5"/>
      <c r="I306" s="5"/>
      <c r="J306" s="5"/>
      <c r="K306" s="5"/>
      <c r="L306" s="5"/>
      <c r="M306" s="5"/>
      <c r="N306" s="5"/>
      <c r="O306" s="5"/>
      <c r="P306" s="5"/>
      <c r="Q306" s="5"/>
      <c r="R306" s="5"/>
      <c r="S306" s="5"/>
      <c r="T306" s="5"/>
      <c r="U306" s="5"/>
      <c r="V306" s="5"/>
      <c r="W306" s="5"/>
      <c r="X306" s="5"/>
      <c r="Y306" s="5"/>
      <c r="Z306" s="5"/>
      <c r="AA306" s="5"/>
      <c r="AB306" s="47">
        <v>0.0</v>
      </c>
    </row>
    <row r="307" hidden="1">
      <c r="A307" s="76" t="str">
        <f t="array" ref="A307:A308">{"FormulaRow16";(INDEX(CLASSLIST,A276,1))}</f>
        <v>FormulaRow16</v>
      </c>
      <c r="B307" s="76" t="str">
        <f t="array" ref="B307:B308">{"CLASSTYPE";((INDEX(ALLCLASSDATA,MATCH("ClassType",CLASSFEATUREHEADERS,0),MATCH($A308,CLASSNAMEHEADERS,0))))}</f>
        <v>CLASSTYPE</v>
      </c>
      <c r="C307" s="76" t="str">
        <f t="array" ref="C307:C308">{"CLASSABILITY";"ClassAbility"}</f>
        <v>CLASSABILITY</v>
      </c>
      <c r="D307" s="76" t="str">
        <f t="array" ref="D307:D308">{"SUBCLASSABILITY1";"SubclassAbility1"}</f>
        <v>SUBCLASSABILITY1</v>
      </c>
      <c r="E307" s="76"/>
      <c r="F307" s="76"/>
      <c r="G307" s="76"/>
      <c r="H307" s="76"/>
      <c r="I307" s="76" t="str">
        <f t="array" ref="I307:I308">{"SUBCLASSABILITY1-L03";((INDEX(ALLCLASSDATA,MATCH("SubclassAbility1-L03",CLASSFEATUREHEADERS,0),MATCH(($A308),CLASSNAMEHEADERS,0))))}</f>
        <v>SUBCLASSABILITY1-L03</v>
      </c>
      <c r="J307" s="76"/>
      <c r="K307" s="76" t="str">
        <f t="array" ref="K307:K308">{"SUBCLASSABILITY1-L05";((INDEX(ALLCLASSDATA,MATCH("SubclassAbility1-L05",CLASSFEATUREHEADERS,0),MATCH(($A308),CLASSNAMEHEADERS,0))))}</f>
        <v>SUBCLASSABILITY1-L05</v>
      </c>
      <c r="L307" s="76"/>
      <c r="M307" s="76" t="str">
        <f t="array" ref="M307:M308">{"SUBCLASSABILITY1-L07";((INDEX(ALLCLASSDATA,MATCH("SubclassAbility1-L07",CLASSFEATUREHEADERS,0),MATCH(($A308),CLASSNAMEHEADERS,0))))}</f>
        <v>SUBCLASSABILITY1-L07</v>
      </c>
      <c r="N307" s="76"/>
      <c r="O307" s="76" t="str">
        <f t="array" ref="O307:O308">{"SUBCLASSABILITY1-L09";((INDEX(ALLCLASSDATA,MATCH("SubclassAbility1-L09",CLASSFEATUREHEADERS,0),MATCH(($A308),CLASSNAMEHEADERS,0))))}</f>
        <v>SUBCLASSABILITY1-L09</v>
      </c>
      <c r="P307" s="76"/>
      <c r="Q307" s="76" t="str">
        <f t="array" ref="Q307:Q308">{"SUBCLASSABILITY1-L11";((INDEX(ALLCLASSDATA,MATCH("SubclassAbility1-L11",CLASSFEATUREHEADERS,0),MATCH(($A308),CLASSNAMEHEADERS,0))))}</f>
        <v>SUBCLASSABILITY1-L11</v>
      </c>
      <c r="R307" s="76"/>
      <c r="S307" s="76" t="str">
        <f t="array" ref="S307:S308">{"SUBCLASSABILITY1-L13";((INDEX(ALLCLASSDATA,MATCH("SubclassAbility1-L13",CLASSFEATUREHEADERS,0),MATCH(($A308),CLASSNAMEHEADERS,0))))}</f>
        <v>SUBCLASSABILITY1-L13</v>
      </c>
      <c r="T307" s="76"/>
      <c r="U307" s="76" t="str">
        <f t="array" ref="U307:U308">{"SUBCLASSABILITY1-L15";((INDEX(ALLCLASSDATA,MATCH("SubclassAbility1-L15",CLASSFEATUREHEADERS,0),MATCH(($A308),CLASSNAMEHEADERS,0))))}</f>
        <v>SUBCLASSABILITY1-L15</v>
      </c>
      <c r="V307" s="76"/>
      <c r="W307" s="76" t="str">
        <f t="array" ref="W307:W308">{"SUBCLASSABILITY1-L17";((INDEX(ALLCLASSDATA,MATCH("SubclassAbility1-L17",CLASSFEATUREHEADERS,0),MATCH(($A308),CLASSNAMEHEADERS,0))))}</f>
        <v>SUBCLASSABILITY1-L17</v>
      </c>
      <c r="X307" s="76"/>
      <c r="Y307" s="76" t="str">
        <f t="array" ref="Y307:Y308">{"SUBCLASSABILITY1-L19";((INDEX(ALLCLASSDATA,MATCH("SubclassAbility1-L19",CLASSFEATUREHEADERS,0),MATCH(($A308),CLASSNAMEHEADERS,0))))}</f>
        <v>SUBCLASSABILITY1-L19</v>
      </c>
      <c r="Z307" s="76"/>
      <c r="AA307" s="76"/>
      <c r="AB307" s="76"/>
    </row>
    <row r="308">
      <c r="A308" s="48" t="s">
        <v>229</v>
      </c>
      <c r="B308" s="48" t="s">
        <v>418</v>
      </c>
      <c r="C308" s="48" t="s">
        <v>825</v>
      </c>
      <c r="D308" s="28" t="s">
        <v>1355</v>
      </c>
      <c r="E308" s="5"/>
      <c r="F308" s="47"/>
      <c r="G308" s="5"/>
      <c r="H308" s="5"/>
      <c r="I308" s="5"/>
      <c r="J308" s="5"/>
      <c r="K308" s="5"/>
      <c r="L308" s="5"/>
      <c r="M308" s="5"/>
      <c r="N308" s="5"/>
      <c r="O308" s="5"/>
      <c r="P308" s="5"/>
      <c r="Q308" s="5"/>
      <c r="R308" s="5"/>
      <c r="S308" s="5"/>
      <c r="T308" s="5"/>
      <c r="U308" s="5"/>
      <c r="V308" s="5"/>
      <c r="W308" s="5"/>
      <c r="X308" s="5"/>
      <c r="Y308" s="5"/>
      <c r="Z308" s="5"/>
      <c r="AA308" s="5"/>
      <c r="AB308" s="47"/>
    </row>
    <row r="309" hidden="1">
      <c r="A309" s="76" t="str">
        <f t="array" ref="A309:A310">{"FormulaRow17";(INDEX(CLASSLIST,A276,1))}</f>
        <v>FormulaRow17</v>
      </c>
      <c r="B309" s="76" t="str">
        <f t="array" ref="B309:B310">{"CLASSTYPE";((INDEX(ALLCLASSDATA,MATCH("ClassType",CLASSFEATUREHEADERS,0),MATCH($A310,CLASSNAMEHEADERS,0))))}</f>
        <v>CLASSTYPE</v>
      </c>
      <c r="C309" s="76" t="str">
        <f t="array" ref="C309:C310">{"CLASSABILITYPTS";"ClassAbilityPts"}</f>
        <v>CLASSABILITYPTS</v>
      </c>
      <c r="D309" s="76" t="str">
        <f t="array" ref="D309:D310">{"SUBCLASSABILITY1";"SubclassAbility1"}</f>
        <v>SUBCLASSABILITY1</v>
      </c>
      <c r="E309" s="76"/>
      <c r="F309" s="76"/>
      <c r="G309" s="76"/>
      <c r="H309" s="76"/>
      <c r="I309" s="76" t="str">
        <f t="array" ref="I309:I310">{"SUBCLASSABILITY1-L03PTS";((INDEX(ALLCLASSDATA,MATCH("SubclassAbility1-L03",CLASSFEATUREHEADERS,0),MATCH(($A310 &amp; "Points"),CLASSNAMEHEADERS,0))))}</f>
        <v>SUBCLASSABILITY1-L03PTS</v>
      </c>
      <c r="J309" s="76"/>
      <c r="K309" s="76" t="str">
        <f t="array" ref="K309:K310">{"SUBCLASSABILITY1-L05PTS";((INDEX(ALLCLASSDATA,MATCH("SubclassAbility1-L05",CLASSFEATUREHEADERS,0),MATCH(($A310 &amp; "Points"),CLASSNAMEHEADERS,0))))}</f>
        <v>SUBCLASSABILITY1-L05PTS</v>
      </c>
      <c r="L309" s="76"/>
      <c r="M309" s="76" t="str">
        <f t="array" ref="M309:M310">{"SUBCLASSABILITY1-L07PTS";((INDEX(ALLCLASSDATA,MATCH("SubclassAbility1-L07",CLASSFEATUREHEADERS,0),MATCH(($A310 &amp; "Points"),CLASSNAMEHEADERS,0))))}</f>
        <v>SUBCLASSABILITY1-L07PTS</v>
      </c>
      <c r="N309" s="76"/>
      <c r="O309" s="76" t="str">
        <f t="array" ref="O309:O310">{"SUBCLASSABILITY1-L09PTS";((INDEX(ALLCLASSDATA,MATCH("SubclassAbility1-L09",CLASSFEATUREHEADERS,0),MATCH(($A310 &amp; "Points"),CLASSNAMEHEADERS,0))))}</f>
        <v>SUBCLASSABILITY1-L09PTS</v>
      </c>
      <c r="P309" s="76"/>
      <c r="Q309" s="76" t="str">
        <f t="array" ref="Q309:Q310">{"SUBCLASSABILITY1-L11PTS";((INDEX(ALLCLASSDATA,MATCH("SubclassAbility1-L11",CLASSFEATUREHEADERS,0),MATCH(($A310 &amp; "Points"),CLASSNAMEHEADERS,0))))}</f>
        <v>SUBCLASSABILITY1-L11PTS</v>
      </c>
      <c r="R309" s="76"/>
      <c r="S309" s="76" t="str">
        <f t="array" ref="S309:S310">{"SUBCLASSABILITY1-L13PTS";((INDEX(ALLCLASSDATA,MATCH("SubclassAbility1-L13",CLASSFEATUREHEADERS,0),MATCH(($A310 &amp; "Points"),CLASSNAMEHEADERS,0))))}</f>
        <v>SUBCLASSABILITY1-L13PTS</v>
      </c>
      <c r="T309" s="76"/>
      <c r="U309" s="76" t="str">
        <f t="array" ref="U309:U310">{"SUBCLASSABILITY1-L15PTS";((INDEX(ALLCLASSDATA,MATCH("SubclassAbility1-L15",CLASSFEATUREHEADERS,0),MATCH(($A310 &amp; "Points"),CLASSNAMEHEADERS,0))))}</f>
        <v>SUBCLASSABILITY1-L15PTS</v>
      </c>
      <c r="V309" s="76"/>
      <c r="W309" s="76" t="str">
        <f t="array" ref="W309:W310">{"SUBCLASSABILITY1-L17PTS";((INDEX(ALLCLASSDATA,MATCH("SubclassAbility1-L17",CLASSFEATUREHEADERS,0),MATCH(($A310 &amp; "Points"),CLASSNAMEHEADERS,0))))}</f>
        <v>SUBCLASSABILITY1-L17PTS</v>
      </c>
      <c r="X309" s="76"/>
      <c r="Y309" s="76" t="str">
        <f t="array" ref="Y309:Y310">{"SUBCLASSABILITY1-L19PTS";((INDEX(ALLCLASSDATA,MATCH("SubclassAbility1-L19",CLASSFEATUREHEADERS,0),MATCH(($A310 &amp; "Points"),CLASSNAMEHEADERS,0))))}</f>
        <v>SUBCLASSABILITY1-L19PTS</v>
      </c>
      <c r="Z309" s="76"/>
      <c r="AA309" s="76"/>
      <c r="AB309" s="76" t="str">
        <f t="array" ref="AB309:AB310">{"SUBCLASSABILITY1 TOTAL";(sum(F310:Z310))}</f>
        <v>SUBCLASSABILITY1 TOTAL</v>
      </c>
    </row>
    <row r="310">
      <c r="A310" s="48" t="s">
        <v>229</v>
      </c>
      <c r="B310" s="48" t="s">
        <v>418</v>
      </c>
      <c r="C310" s="48" t="s">
        <v>930</v>
      </c>
      <c r="D310" s="28" t="s">
        <v>1355</v>
      </c>
      <c r="E310" s="5"/>
      <c r="F310" s="47"/>
      <c r="G310" s="5"/>
      <c r="H310" s="5"/>
      <c r="I310" s="5"/>
      <c r="J310" s="5"/>
      <c r="K310" s="5"/>
      <c r="L310" s="5"/>
      <c r="M310" s="5"/>
      <c r="N310" s="5"/>
      <c r="O310" s="5"/>
      <c r="P310" s="5"/>
      <c r="Q310" s="5"/>
      <c r="R310" s="5"/>
      <c r="S310" s="5"/>
      <c r="T310" s="5"/>
      <c r="U310" s="5"/>
      <c r="V310" s="5"/>
      <c r="W310" s="5"/>
      <c r="X310" s="5"/>
      <c r="Y310" s="5"/>
      <c r="Z310" s="5"/>
      <c r="AA310" s="5"/>
      <c r="AB310" s="47">
        <v>0.0</v>
      </c>
    </row>
    <row r="311" hidden="1">
      <c r="A311" s="76" t="str">
        <f t="array" ref="A311:A312">{"FormulaRow18";(INDEX(CLASSLIST,A276,1))}</f>
        <v>FormulaRow18</v>
      </c>
      <c r="B311" s="76" t="str">
        <f t="array" ref="B311:B312">{"CLASSTYPE";((INDEX(ALLCLASSDATA,MATCH("ClassType",CLASSFEATUREHEADERS,0),MATCH($A312,CLASSNAMEHEADERS,0))))}</f>
        <v>CLASSTYPE</v>
      </c>
      <c r="C311" s="76" t="str">
        <f t="array" ref="C311:C312">{"CLASSABILITY";"ClassAbility"}</f>
        <v>CLASSABILITY</v>
      </c>
      <c r="D311" s="76" t="str">
        <f t="array" ref="D311:D312">{"SUBCLASSABILITY2";"SubclassAbility2"}</f>
        <v>SUBCLASSABILITY2</v>
      </c>
      <c r="E311" s="76"/>
      <c r="F311" s="76"/>
      <c r="G311" s="76"/>
      <c r="H311" s="76"/>
      <c r="I311" s="76" t="str">
        <f t="array" ref="I311:I312">{"SUBCLASSABILITY2-L03";((INDEX(ALLCLASSDATA,MATCH("SubclassAbility2-L03",CLASSFEATUREHEADERS,0),MATCH(($A312),CLASSNAMEHEADERS,0))))}</f>
        <v>SUBCLASSABILITY2-L03</v>
      </c>
      <c r="J311" s="76"/>
      <c r="K311" s="76" t="str">
        <f t="array" ref="K311:K312">{"SUBCLASSABILITY2-L05";((INDEX(ALLCLASSDATA,MATCH("SubclassAbility2-L05",CLASSFEATUREHEADERS,0),MATCH(($A312),CLASSNAMEHEADERS,0))))}</f>
        <v>SUBCLASSABILITY2-L05</v>
      </c>
      <c r="L311" s="76"/>
      <c r="M311" s="76" t="str">
        <f t="array" ref="M311:M312">{"SUBCLASSABILITY2-L07";((INDEX(ALLCLASSDATA,MATCH("SubclassAbility2-L07",CLASSFEATUREHEADERS,0),MATCH(($A312),CLASSNAMEHEADERS,0))))}</f>
        <v>SUBCLASSABILITY2-L07</v>
      </c>
      <c r="N311" s="76"/>
      <c r="O311" s="76" t="str">
        <f t="array" ref="O311:O312">{"SUBCLASSABILITY2-L09";((INDEX(ALLCLASSDATA,MATCH("SubclassAbility2-L09",CLASSFEATUREHEADERS,0),MATCH(($A312),CLASSNAMEHEADERS,0))))}</f>
        <v>SUBCLASSABILITY2-L09</v>
      </c>
      <c r="P311" s="76"/>
      <c r="Q311" s="76" t="str">
        <f t="array" ref="Q311:Q312">{"SUBCLASSABILITY2-L11";((INDEX(ALLCLASSDATA,MATCH("SubclassAbility2-L11",CLASSFEATUREHEADERS,0),MATCH(($A312),CLASSNAMEHEADERS,0))))}</f>
        <v>SUBCLASSABILITY2-L11</v>
      </c>
      <c r="R311" s="76"/>
      <c r="S311" s="76" t="str">
        <f t="array" ref="S311:S312">{"SUBCLASSABILITY2-L13";((INDEX(ALLCLASSDATA,MATCH("SubclassAbility2-L13",CLASSFEATUREHEADERS,0),MATCH(($A312),CLASSNAMEHEADERS,0))))}</f>
        <v>SUBCLASSABILITY2-L13</v>
      </c>
      <c r="T311" s="76"/>
      <c r="U311" s="76" t="str">
        <f t="array" ref="U311:U312">{"SUBCLASSABILITY2-L15";((INDEX(ALLCLASSDATA,MATCH("SubclassAbility2-L15",CLASSFEATUREHEADERS,0),MATCH(($A312),CLASSNAMEHEADERS,0))))}</f>
        <v>SUBCLASSABILITY2-L15</v>
      </c>
      <c r="V311" s="76"/>
      <c r="W311" s="76" t="str">
        <f t="array" ref="W311:W312">{"SUBCLASSABILITY2-L17";((INDEX(ALLCLASSDATA,MATCH("SubclassAbility2-L17",CLASSFEATUREHEADERS,0),MATCH(($A312),CLASSNAMEHEADERS,0))))}</f>
        <v>SUBCLASSABILITY2-L17</v>
      </c>
      <c r="X311" s="76"/>
      <c r="Y311" s="76" t="str">
        <f t="array" ref="Y311:Y312">{"SUBCLASSABILITY2-L19";((INDEX(ALLCLASSDATA,MATCH("SubclassAbility2-L19",CLASSFEATUREHEADERS,0),MATCH(($A312),CLASSNAMEHEADERS,0))))}</f>
        <v>SUBCLASSABILITY2-L19</v>
      </c>
      <c r="Z311" s="76"/>
      <c r="AA311" s="76"/>
      <c r="AB311" s="76"/>
    </row>
    <row r="312">
      <c r="A312" s="48" t="s">
        <v>229</v>
      </c>
      <c r="B312" s="48" t="s">
        <v>418</v>
      </c>
      <c r="C312" s="48" t="s">
        <v>825</v>
      </c>
      <c r="D312" s="28" t="s">
        <v>1370</v>
      </c>
      <c r="E312" s="5"/>
      <c r="F312" s="47"/>
      <c r="G312" s="5"/>
      <c r="H312" s="5"/>
      <c r="I312" s="5"/>
      <c r="J312" s="5"/>
      <c r="K312" s="5"/>
      <c r="L312" s="5"/>
      <c r="M312" s="5"/>
      <c r="N312" s="5"/>
      <c r="O312" s="5"/>
      <c r="P312" s="5"/>
      <c r="Q312" s="5"/>
      <c r="R312" s="5"/>
      <c r="S312" s="5"/>
      <c r="T312" s="5"/>
      <c r="U312" s="5"/>
      <c r="V312" s="5"/>
      <c r="W312" s="5"/>
      <c r="X312" s="5"/>
      <c r="Y312" s="5"/>
      <c r="Z312" s="5"/>
      <c r="AA312" s="5"/>
      <c r="AB312" s="47"/>
    </row>
    <row r="313" hidden="1">
      <c r="A313" s="76" t="str">
        <f t="array" ref="A313:A314">{"FormulaRow19";(INDEX(CLASSLIST,A276,1))}</f>
        <v>FormulaRow19</v>
      </c>
      <c r="B313" s="76" t="str">
        <f t="array" ref="B313:B314">{"CLASSTYPE";((INDEX(ALLCLASSDATA,MATCH("ClassType",CLASSFEATUREHEADERS,0),MATCH($A314,CLASSNAMEHEADERS,0))))}</f>
        <v>CLASSTYPE</v>
      </c>
      <c r="C313" s="76" t="str">
        <f t="array" ref="C313:C314">{"CLASSABILITYPTS";"ClassAbilityPts"}</f>
        <v>CLASSABILITYPTS</v>
      </c>
      <c r="D313" s="76" t="str">
        <f t="array" ref="D313:D314">{"SUBCLASSABILITY2";"SubclassAbility2"}</f>
        <v>SUBCLASSABILITY2</v>
      </c>
      <c r="E313" s="76"/>
      <c r="F313" s="76"/>
      <c r="G313" s="76"/>
      <c r="H313" s="76"/>
      <c r="I313" s="76" t="str">
        <f t="array" ref="I313:I314">{"SUBCLASSABILITY2-L03PTS";((INDEX(ALLCLASSDATA,MATCH("SubclassAbility2-L03",CLASSFEATUREHEADERS,0),MATCH(($A314 &amp; "Points"),CLASSNAMEHEADERS,0))))}</f>
        <v>SUBCLASSABILITY2-L03PTS</v>
      </c>
      <c r="J313" s="76"/>
      <c r="K313" s="76" t="str">
        <f t="array" ref="K313:K314">{"SUBCLASSABILITY2-L05PTS";((INDEX(ALLCLASSDATA,MATCH("SubclassAbility2-L05",CLASSFEATUREHEADERS,0),MATCH(($A314 &amp; "Points"),CLASSNAMEHEADERS,0))))}</f>
        <v>SUBCLASSABILITY2-L05PTS</v>
      </c>
      <c r="L313" s="76"/>
      <c r="M313" s="76" t="str">
        <f t="array" ref="M313:M314">{"SUBCLASSABILITY2-L07PTS";((INDEX(ALLCLASSDATA,MATCH("SubclassAbility2-L07",CLASSFEATUREHEADERS,0),MATCH(($A314 &amp; "Points"),CLASSNAMEHEADERS,0))))}</f>
        <v>SUBCLASSABILITY2-L07PTS</v>
      </c>
      <c r="N313" s="76"/>
      <c r="O313" s="76" t="str">
        <f t="array" ref="O313:O314">{"SUBCLASSABILITY2-L09PTS";((INDEX(ALLCLASSDATA,MATCH("SubclassAbility2-L09",CLASSFEATUREHEADERS,0),MATCH(($A314 &amp; "Points"),CLASSNAMEHEADERS,0))))}</f>
        <v>SUBCLASSABILITY2-L09PTS</v>
      </c>
      <c r="P313" s="76"/>
      <c r="Q313" s="76" t="str">
        <f t="array" ref="Q313:Q314">{"SUBCLASSABILITY2-L11PTS";((INDEX(ALLCLASSDATA,MATCH("SubclassAbility2-L11",CLASSFEATUREHEADERS,0),MATCH(($A314 &amp; "Points"),CLASSNAMEHEADERS,0))))}</f>
        <v>SUBCLASSABILITY2-L11PTS</v>
      </c>
      <c r="R313" s="76"/>
      <c r="S313" s="76" t="str">
        <f t="array" ref="S313:S314">{"SUBCLASSABILITY2-L13PTS";((INDEX(ALLCLASSDATA,MATCH("SubclassAbility2-L13",CLASSFEATUREHEADERS,0),MATCH(($A314 &amp; "Points"),CLASSNAMEHEADERS,0))))}</f>
        <v>SUBCLASSABILITY2-L13PTS</v>
      </c>
      <c r="T313" s="76"/>
      <c r="U313" s="76" t="str">
        <f t="array" ref="U313:U314">{"SUBCLASSABILITY2-L15PTS";((INDEX(ALLCLASSDATA,MATCH("SubclassAbility2-L15",CLASSFEATUREHEADERS,0),MATCH(($A314 &amp; "Points"),CLASSNAMEHEADERS,0))))}</f>
        <v>SUBCLASSABILITY2-L15PTS</v>
      </c>
      <c r="V313" s="76"/>
      <c r="W313" s="76" t="str">
        <f t="array" ref="W313:W314">{"SUBCLASSABILITY2-L17PTS";((INDEX(ALLCLASSDATA,MATCH("SubclassAbility2-L17",CLASSFEATUREHEADERS,0),MATCH(($A314 &amp; "Points"),CLASSNAMEHEADERS,0))))}</f>
        <v>SUBCLASSABILITY2-L17PTS</v>
      </c>
      <c r="X313" s="76"/>
      <c r="Y313" s="76" t="str">
        <f t="array" ref="Y313:Y314">{"SUBCLASSABILITY2-L19PTS";((INDEX(ALLCLASSDATA,MATCH("SubclassAbility2-L19",CLASSFEATUREHEADERS,0),MATCH(($A314 &amp; "Points"),CLASSNAMEHEADERS,0))))}</f>
        <v>SUBCLASSABILITY2-L19PTS</v>
      </c>
      <c r="Z313" s="76"/>
      <c r="AA313" s="76"/>
      <c r="AB313" s="76" t="str">
        <f t="array" ref="AB313:AB314">{"SUBCLASSABILITY2 TOTAL";(sum(F314:Z314))}</f>
        <v>SUBCLASSABILITY2 TOTAL</v>
      </c>
    </row>
    <row r="314">
      <c r="A314" s="48" t="s">
        <v>229</v>
      </c>
      <c r="B314" s="48" t="s">
        <v>418</v>
      </c>
      <c r="C314" s="97" t="s">
        <v>930</v>
      </c>
      <c r="D314" s="215" t="s">
        <v>1370</v>
      </c>
      <c r="E314" s="98"/>
      <c r="F314" s="132"/>
      <c r="G314" s="98"/>
      <c r="H314" s="98"/>
      <c r="I314" s="98"/>
      <c r="J314" s="98"/>
      <c r="K314" s="98"/>
      <c r="L314" s="98"/>
      <c r="M314" s="98"/>
      <c r="N314" s="98"/>
      <c r="O314" s="98"/>
      <c r="P314" s="98"/>
      <c r="Q314" s="98"/>
      <c r="R314" s="98"/>
      <c r="S314" s="98"/>
      <c r="T314" s="98"/>
      <c r="U314" s="98"/>
      <c r="V314" s="98"/>
      <c r="W314" s="98"/>
      <c r="X314" s="98"/>
      <c r="Y314" s="98"/>
      <c r="Z314" s="98"/>
      <c r="AA314" s="5"/>
      <c r="AB314" s="47">
        <v>0.0</v>
      </c>
    </row>
    <row r="315" hidden="1">
      <c r="A315" s="76" t="str">
        <f t="array" ref="A315:A316">{"FormulaRow20";(INDEX(CLASSLIST,A276,1))}</f>
        <v>FormulaRow20</v>
      </c>
      <c r="B315" s="76" t="str">
        <f t="array" ref="B315:B316">{"CLASSTYPE";((INDEX(ALLCLASSDATA,MATCH("ClassType",CLASSFEATUREHEADERS,0),MATCH($A316,CLASSNAMEHEADERS,0))))}</f>
        <v>CLASSTYPE</v>
      </c>
      <c r="C315" s="81" t="str">
        <f t="array" ref="C315:C316">{"DC";"DC"}</f>
        <v>DC</v>
      </c>
      <c r="D315" s="81" t="str">
        <f t="array" ref="D315:D316">{"CLASSDC";"ClassDC"}</f>
        <v>CLASSDC</v>
      </c>
      <c r="E315" s="81" t="str">
        <f t="array" ref="E315:E316">{"CLASSDCINITIAL";((IF(G316=10,"T",(IF(G316=50,"E","")))))}</f>
        <v>CLASSDCINITIAL</v>
      </c>
      <c r="F315" s="81" t="str">
        <f t="array" ref="F315:F316">{"CLASSDCINITIALPTS";((IF("00"=(INDEX(ALLCLASSDATA,MATCH("ClassDCLegendary",CLASSFEATUREHEADERS,0),MATCH($A316,CLASSNAMEHEADERS,0))),(INDEX(ALLCLASSDATA,MATCH("ClassDCLegendary",CLASSFEATUREHEADERS,0),MATCH(($A316 &amp; "Points"),CLASSNAMEHEADERS,0))),(IF("00"=(INDEX(ALLCLASSDATA,MATCH("ClassDCMaster",CLASSFEATUREHEADERS,0),MATCH($A316,CLASSNAMEHEADERS,0))),(INDEX(ALLCLASSDATA,MATCH("ClassDCMaster",CLASSFEATUREHEADERS,0),MATCH(($A316 &amp; "Points"),CLASSNAMEHEADERS,0))),(IF("00"=(INDEX(ALLCLASSDATA,MATCH("ClassDCExpert",CLASSFEATUREHEADERS,0),MATCH($A316,CLASSNAMEHEADERS,0))),(INDEX(ALLCLASSDATA,MATCH("ClassDCExpert",CLASSFEATUREHEADERS,0),MATCH(($A316 &amp; "Points"),CLASSNAMEHEADERS,0))),(IF("00"=(INDEX(ALLCLASSDATA,MATCH("ClassDCTrained",CLASSFEATUREHEADERS,0),MATCH($A316,CLASSNAMEHEADERS,0))),(INDEX(ALLCLASSDATA,MATCH("ClassDCTrained",CLASSFEATUREHEADERS,0),MATCH(($A316 &amp; "Points"),CLASSNAMEHEADERS,0))),"")))))))))}</f>
        <v>CLASSDCINITIALPTS</v>
      </c>
      <c r="G315" s="81" t="str">
        <f t="array" ref="G315:G316">{"CLASSDCL01";((IF("01"=(INDEX(ALLCLASSDATA,MATCH("ClassDCLegendary",CLASSFEATUREHEADERS,0),MATCH($A316,CLASSNAMEHEADERS,0))),(INDEX(ALLCLASSDATA,MATCH("ClassDCLegendary",CLASSFEATUREHEADERS,0),MATCH(($A316 &amp; "Points"),CLASSNAMEHEADERS,0))),(IF("01"=(INDEX(ALLCLASSDATA,MATCH("ClassDCMaster",CLASSFEATUREHEADERS,0),MATCH($A316,CLASSNAMEHEADERS,0))),(INDEX(ALLCLASSDATA,MATCH("ClassDCMaster",CLASSFEATUREHEADERS,0),MATCH(($A316 &amp; "Points"),CLASSNAMEHEADERS,0))),(IF("01"=(INDEX(ALLCLASSDATA,MATCH("ClassDCExpert",CLASSFEATUREHEADERS,0),MATCH($A316,CLASSNAMEHEADERS,0))),(INDEX(ALLCLASSDATA,MATCH("ClassDCExpert",CLASSFEATUREHEADERS,0),MATCH(($A316 &amp; "Points"),CLASSNAMEHEADERS,0))),(IF("01"=(INDEX(ALLCLASSDATA,MATCH("ClassDCTrained",CLASSFEATUREHEADERS,0),MATCH($A316,CLASSNAMEHEADERS,0))),(INDEX(ALLCLASSDATA,MATCH("ClassDCTrained",CLASSFEATUREHEADERS,0),MATCH(($A316 &amp; "Points"),CLASSNAMEHEADERS,0))),"")))))))))}</f>
        <v>CLASSDCL01</v>
      </c>
      <c r="H315" s="81"/>
      <c r="I315" s="81" t="str">
        <f t="array" ref="I315:I316">{"CLASSDCL03";((IF("03"=(INDEX(ALLCLASSDATA,MATCH("ClassDCLegendary",CLASSFEATUREHEADERS,0),MATCH($A316,CLASSNAMEHEADERS,0))),(INDEX(ALLCLASSDATA,MATCH("ClassDCLegendary",CLASSFEATUREHEADERS,0),MATCH(($A316 &amp; "Points"),CLASSNAMEHEADERS,0))),(IF("03"=(INDEX(ALLCLASSDATA,MATCH("ClassDCMaster",CLASSFEATUREHEADERS,0),MATCH($A316,CLASSNAMEHEADERS,0))),(INDEX(ALLCLASSDATA,MATCH("ClassDCMaster",CLASSFEATUREHEADERS,0),MATCH(($A316 &amp; "Points"),CLASSNAMEHEADERS,0))),(IF("03"=(INDEX(ALLCLASSDATA,MATCH("ClassDCExpert",CLASSFEATUREHEADERS,0),MATCH($A316,CLASSNAMEHEADERS,0))),(INDEX(ALLCLASSDATA,MATCH("ClassDCExpert",CLASSFEATUREHEADERS,0),MATCH(($A316 &amp; "Points"),CLASSNAMEHEADERS,0))),(IF("03"=(INDEX(ALLCLASSDATA,MATCH("ClassDCTrained",CLASSFEATUREHEADERS,0),MATCH($A316,CLASSNAMEHEADERS,0))),(INDEX(ALLCLASSDATA,MATCH("ClassDCTrained",CLASSFEATUREHEADERS,0),MATCH(($A316 &amp; "Points"),CLASSNAMEHEADERS,0))),"")))))))))}</f>
        <v>CLASSDCL03</v>
      </c>
      <c r="J315" s="81"/>
      <c r="K315" s="81" t="str">
        <f t="array" ref="K315:K316">{"CLASSDCL05";((IF("05"=(INDEX(ALLCLASSDATA,MATCH("ClassDCLegendary",CLASSFEATUREHEADERS,0),MATCH($A316,CLASSNAMEHEADERS,0))),(INDEX(ALLCLASSDATA,MATCH("ClassDCLegendary",CLASSFEATUREHEADERS,0),MATCH(($A316 &amp; "Points"),CLASSNAMEHEADERS,0))),(IF("05"=(INDEX(ALLCLASSDATA,MATCH("ClassDCMaster",CLASSFEATUREHEADERS,0),MATCH($A316,CLASSNAMEHEADERS,0))),(INDEX(ALLCLASSDATA,MATCH("ClassDCMaster",CLASSFEATUREHEADERS,0),MATCH(($A316 &amp; "Points"),CLASSNAMEHEADERS,0))),(IF("05"=(INDEX(ALLCLASSDATA,MATCH("ClassDCExpert",CLASSFEATUREHEADERS,0),MATCH($A316,CLASSNAMEHEADERS,0))),(INDEX(ALLCLASSDATA,MATCH("ClassDCExpert",CLASSFEATUREHEADERS,0),MATCH(($A316 &amp; "Points"),CLASSNAMEHEADERS,0))),(IF("05"=(INDEX(ALLCLASSDATA,MATCH("ClassDCTrained",CLASSFEATUREHEADERS,0),MATCH($A316,CLASSNAMEHEADERS,0))),(INDEX(ALLCLASSDATA,MATCH("ClassDCTrained",CLASSFEATUREHEADERS,0),MATCH(($A316 &amp; "Points"),CLASSNAMEHEADERS,0))),"")))))))))}</f>
        <v>CLASSDCL05</v>
      </c>
      <c r="L315" s="81"/>
      <c r="M315" s="81" t="str">
        <f t="array" ref="M315:M316">{"CLASSDCL07";((IF("07"=(INDEX(ALLCLASSDATA,MATCH("ClassDCLegendary",CLASSFEATUREHEADERS,0),MATCH($A316,CLASSNAMEHEADERS,0))),(INDEX(ALLCLASSDATA,MATCH("ClassDCLegendary",CLASSFEATUREHEADERS,0),MATCH(($A316 &amp; "Points"),CLASSNAMEHEADERS,0))),(IF("07"=(INDEX(ALLCLASSDATA,MATCH("ClassDCMaster",CLASSFEATUREHEADERS,0),MATCH($A316,CLASSNAMEHEADERS,0))),(INDEX(ALLCLASSDATA,MATCH("ClassDCMaster",CLASSFEATUREHEADERS,0),MATCH(($A316 &amp; "Points"),CLASSNAMEHEADERS,0))),(IF("07"=(INDEX(ALLCLASSDATA,MATCH("ClassDCExpert",CLASSFEATUREHEADERS,0),MATCH($A316,CLASSNAMEHEADERS,0))),(INDEX(ALLCLASSDATA,MATCH("ClassDCExpert",CLASSFEATUREHEADERS,0),MATCH(($A316 &amp; "Points"),CLASSNAMEHEADERS,0))),(IF("07"=(INDEX(ALLCLASSDATA,MATCH("ClassDCTrained",CLASSFEATUREHEADERS,0),MATCH($A316,CLASSNAMEHEADERS,0))),(INDEX(ALLCLASSDATA,MATCH("ClassDCTrained",CLASSFEATUREHEADERS,0),MATCH(($A316 &amp; "Points"),CLASSNAMEHEADERS,0))),"")))))))))}</f>
        <v>CLASSDCL07</v>
      </c>
      <c r="N315" s="81"/>
      <c r="O315" s="81" t="str">
        <f t="array" ref="O315:O316">{"CLASSDCL09";((IF("09"=(INDEX(ALLCLASSDATA,MATCH("ClassDCLegendary",CLASSFEATUREHEADERS,0),MATCH($A316,CLASSNAMEHEADERS,0))),(INDEX(ALLCLASSDATA,MATCH("ClassDCLegendary",CLASSFEATUREHEADERS,0),MATCH(($A316 &amp; "Points"),CLASSNAMEHEADERS,0))),(IF("09"=(INDEX(ALLCLASSDATA,MATCH("ClassDCMaster",CLASSFEATUREHEADERS,0),MATCH($A316,CLASSNAMEHEADERS,0))),(INDEX(ALLCLASSDATA,MATCH("ClassDCMaster",CLASSFEATUREHEADERS,0),MATCH(($A316 &amp; "Points"),CLASSNAMEHEADERS,0))),(IF("09"=(INDEX(ALLCLASSDATA,MATCH("ClassDCExpert",CLASSFEATUREHEADERS,0),MATCH($A316,CLASSNAMEHEADERS,0))),(INDEX(ALLCLASSDATA,MATCH("ClassDCExpert",CLASSFEATUREHEADERS,0),MATCH(($A316 &amp; "Points"),CLASSNAMEHEADERS,0))),(IF("09"=(INDEX(ALLCLASSDATA,MATCH("ClassDCTrained",CLASSFEATUREHEADERS,0),MATCH($A316,CLASSNAMEHEADERS,0))),(INDEX(ALLCLASSDATA,MATCH("ClassDCTrained",CLASSFEATUREHEADERS,0),MATCH(($A316 &amp; "Points"),CLASSNAMEHEADERS,0))),"")))))))))}</f>
        <v>CLASSDCL09</v>
      </c>
      <c r="P315" s="81"/>
      <c r="Q315" s="81" t="str">
        <f t="array" ref="Q315:Q316">{"CLASSDCL11";((IF("11"=(INDEX(ALLCLASSDATA,MATCH("ClassDCLegendary",CLASSFEATUREHEADERS,0),MATCH($A316,CLASSNAMEHEADERS,0))),(INDEX(ALLCLASSDATA,MATCH("ClassDCLegendary",CLASSFEATUREHEADERS,0),MATCH(($A316 &amp; "Points"),CLASSNAMEHEADERS,0))),(IF("11"=(INDEX(ALLCLASSDATA,MATCH("ClassDCMaster",CLASSFEATUREHEADERS,0),MATCH($A316,CLASSNAMEHEADERS,0))),(INDEX(ALLCLASSDATA,MATCH("ClassDCMaster",CLASSFEATUREHEADERS,0),MATCH(($A316 &amp; "Points"),CLASSNAMEHEADERS,0))),(IF("11"=(INDEX(ALLCLASSDATA,MATCH("ClassDCExpert",CLASSFEATUREHEADERS,0),MATCH($A316,CLASSNAMEHEADERS,0))),(INDEX(ALLCLASSDATA,MATCH("ClassDCExpert",CLASSFEATUREHEADERS,0),MATCH(($A316 &amp; "Points"),CLASSNAMEHEADERS,0))),(IF("11"=(INDEX(ALLCLASSDATA,MATCH("ClassDCTrained",CLASSFEATUREHEADERS,0),MATCH($A316,CLASSNAMEHEADERS,0))),(INDEX(ALLCLASSDATA,MATCH("ClassDCTrained",CLASSFEATUREHEADERS,0),MATCH(($A316 &amp; "Points"),CLASSNAMEHEADERS,0))),"")))))))))}</f>
        <v>CLASSDCL11</v>
      </c>
      <c r="R315" s="81"/>
      <c r="S315" s="81" t="str">
        <f t="array" ref="S315:S316">{"CLASSDCL13";((IF("13"=(INDEX(ALLCLASSDATA,MATCH("ClassDCLegendary",CLASSFEATUREHEADERS,0),MATCH($A316,CLASSNAMEHEADERS,0))),(INDEX(ALLCLASSDATA,MATCH("ClassDCLegendary",CLASSFEATUREHEADERS,0),MATCH(($A316 &amp; "Points"),CLASSNAMEHEADERS,0))),(IF("13"=(INDEX(ALLCLASSDATA,MATCH("ClassDCMaster",CLASSFEATUREHEADERS,0),MATCH($A316,CLASSNAMEHEADERS,0))),(INDEX(ALLCLASSDATA,MATCH("ClassDCMaster",CLASSFEATUREHEADERS,0),MATCH(($A316 &amp; "Points"),CLASSNAMEHEADERS,0))),(IF("13"=(INDEX(ALLCLASSDATA,MATCH("ClassDCExpert",CLASSFEATUREHEADERS,0),MATCH($A316,CLASSNAMEHEADERS,0))),(INDEX(ALLCLASSDATA,MATCH("ClassDCExpert",CLASSFEATUREHEADERS,0),MATCH(($A316 &amp; "Points"),CLASSNAMEHEADERS,0))),(IF("13"=(INDEX(ALLCLASSDATA,MATCH("ClassDCTrained",CLASSFEATUREHEADERS,0),MATCH($A316,CLASSNAMEHEADERS,0))),(INDEX(ALLCLASSDATA,MATCH("ClassDCTrained",CLASSFEATUREHEADERS,0),MATCH(($A316 &amp; "Points"),CLASSNAMEHEADERS,0))),"")))))))))}</f>
        <v>CLASSDCL13</v>
      </c>
      <c r="T315" s="81"/>
      <c r="U315" s="81" t="str">
        <f t="array" ref="U315:U316">{"CLASSDCL15";((IF("15"=(INDEX(ALLCLASSDATA,MATCH("ClassDCLegendary",CLASSFEATUREHEADERS,0),MATCH($A316,CLASSNAMEHEADERS,0))),(INDEX(ALLCLASSDATA,MATCH("ClassDCLegendary",CLASSFEATUREHEADERS,0),MATCH(($A316 &amp; "Points"),CLASSNAMEHEADERS,0))),(IF("15"=(INDEX(ALLCLASSDATA,MATCH("ClassDCMaster",CLASSFEATUREHEADERS,0),MATCH($A316,CLASSNAMEHEADERS,0))),(INDEX(ALLCLASSDATA,MATCH("ClassDCMaster",CLASSFEATUREHEADERS,0),MATCH(($A316 &amp; "Points"),CLASSNAMEHEADERS,0))),(IF("15"=(INDEX(ALLCLASSDATA,MATCH("ClassDCExpert",CLASSFEATUREHEADERS,0),MATCH($A316,CLASSNAMEHEADERS,0))),(INDEX(ALLCLASSDATA,MATCH("ClassDCExpert",CLASSFEATUREHEADERS,0),MATCH(($A316 &amp; "Points"),CLASSNAMEHEADERS,0))),(IF("15"=(INDEX(ALLCLASSDATA,MATCH("ClassDCTrained",CLASSFEATUREHEADERS,0),MATCH($A316,CLASSNAMEHEADERS,0))),(INDEX(ALLCLASSDATA,MATCH("ClassDCTrained",CLASSFEATUREHEADERS,0),MATCH(($A316 &amp; "Points"),CLASSNAMEHEADERS,0))),"")))))))))}</f>
        <v>CLASSDCL15</v>
      </c>
      <c r="V315" s="81"/>
      <c r="W315" s="81" t="str">
        <f t="array" ref="W315:W316">{"CLASSDCL17";((IF("17"=(INDEX(ALLCLASSDATA,MATCH("ClassDCLegendary",CLASSFEATUREHEADERS,0),MATCH($A316,CLASSNAMEHEADERS,0))),(INDEX(ALLCLASSDATA,MATCH("ClassDCLegendary",CLASSFEATUREHEADERS,0),MATCH(($A316 &amp; "Points"),CLASSNAMEHEADERS,0))),(IF("17"=(INDEX(ALLCLASSDATA,MATCH("ClassDCMaster",CLASSFEATUREHEADERS,0),MATCH($A316,CLASSNAMEHEADERS,0))),(INDEX(ALLCLASSDATA,MATCH("ClassDCMaster",CLASSFEATUREHEADERS,0),MATCH(($A316 &amp; "Points"),CLASSNAMEHEADERS,0))),(IF("17"=(INDEX(ALLCLASSDATA,MATCH("ClassDCExpert",CLASSFEATUREHEADERS,0),MATCH($A316,CLASSNAMEHEADERS,0))),(INDEX(ALLCLASSDATA,MATCH("ClassDCExpert",CLASSFEATUREHEADERS,0),MATCH(($A316 &amp; "Points"),CLASSNAMEHEADERS,0))),(IF("17"=(INDEX(ALLCLASSDATA,MATCH("ClassDCTrained",CLASSFEATUREHEADERS,0),MATCH($A316,CLASSNAMEHEADERS,0))),(INDEX(ALLCLASSDATA,MATCH("ClassDCTrained",CLASSFEATUREHEADERS,0),MATCH(($A316 &amp; "Points"),CLASSNAMEHEADERS,0))),"")))))))))}</f>
        <v>CLASSDCL17</v>
      </c>
      <c r="X315" s="81"/>
      <c r="Y315" s="81" t="str">
        <f t="array" ref="Y315:Y316">{"CLASSDCL19";((IF("19"=(INDEX(ALLCLASSDATA,MATCH("ClassDCLegendary",CLASSFEATUREHEADERS,0),MATCH($A316,CLASSNAMEHEADERS,0))),(INDEX(ALLCLASSDATA,MATCH("ClassDCLegendary",CLASSFEATUREHEADERS,0),MATCH(($A316 &amp; "Points"),CLASSNAMEHEADERS,0))),(IF("19"=(INDEX(ALLCLASSDATA,MATCH("ClassDCMaster",CLASSFEATUREHEADERS,0),MATCH($A316,CLASSNAMEHEADERS,0))),(INDEX(ALLCLASSDATA,MATCH("ClassDCMaster",CLASSFEATUREHEADERS,0),MATCH(($A316 &amp; "Points"),CLASSNAMEHEADERS,0))),(IF("19"=(INDEX(ALLCLASSDATA,MATCH("ClassDCExpert",CLASSFEATUREHEADERS,0),MATCH($A316,CLASSNAMEHEADERS,0))),(INDEX(ALLCLASSDATA,MATCH("ClassDCExpert",CLASSFEATUREHEADERS,0),MATCH(($A316 &amp; "Points"),CLASSNAMEHEADERS,0))),(IF("19"=(INDEX(ALLCLASSDATA,MATCH("ClassDCTrained",CLASSFEATUREHEADERS,0),MATCH($A316,CLASSNAMEHEADERS,0))),(INDEX(ALLCLASSDATA,MATCH("ClassDCTrained",CLASSFEATUREHEADERS,0),MATCH(($A316 &amp; "Points"),CLASSNAMEHEADERS,0))),"")))))))))}</f>
        <v>CLASSDCL19</v>
      </c>
      <c r="Z315" s="81"/>
      <c r="AA315" s="76" t="str">
        <f t="array" ref="AA315:AA316">{"CLASSDC TOTAL";(IF(COUNTBLANK(F316:Z316)=17,"L",(IF(COUNTBLANK(F316:Z316)=18,"M",(IF(COUNTBLANK(F316:Z316)=19,"E",(IF(COUNTBLANK(F316:Z316)=20,"T",""))))))))}</f>
        <v>CLASSDC TOTAL</v>
      </c>
      <c r="AB315" s="76" t="str">
        <f t="array" ref="AB315:AB316">{"CLASSDC TOTAL";(sum(F316:Z316))}</f>
        <v>CLASSDC TOTAL</v>
      </c>
    </row>
    <row r="316">
      <c r="A316" s="48" t="s">
        <v>229</v>
      </c>
      <c r="B316" s="48" t="s">
        <v>418</v>
      </c>
      <c r="C316" s="48" t="s">
        <v>1465</v>
      </c>
      <c r="D316" s="48" t="s">
        <v>1466</v>
      </c>
      <c r="E316" s="5" t="s">
        <v>603</v>
      </c>
      <c r="F316" s="47" t="s">
        <v>603</v>
      </c>
      <c r="G316" s="5" t="s">
        <v>603</v>
      </c>
      <c r="H316" s="5"/>
      <c r="I316" s="5" t="s">
        <v>603</v>
      </c>
      <c r="J316" s="5"/>
      <c r="K316" s="5" t="s">
        <v>603</v>
      </c>
      <c r="L316" s="5"/>
      <c r="M316" s="5" t="s">
        <v>603</v>
      </c>
      <c r="N316" s="5"/>
      <c r="O316" s="5" t="s">
        <v>603</v>
      </c>
      <c r="P316" s="5"/>
      <c r="Q316" s="5" t="s">
        <v>603</v>
      </c>
      <c r="R316" s="5"/>
      <c r="S316" s="5" t="s">
        <v>603</v>
      </c>
      <c r="T316" s="5"/>
      <c r="U316" s="5" t="s">
        <v>603</v>
      </c>
      <c r="V316" s="5"/>
      <c r="W316" s="5" t="s">
        <v>603</v>
      </c>
      <c r="X316" s="5"/>
      <c r="Y316" s="5" t="s">
        <v>603</v>
      </c>
      <c r="Z316" s="5"/>
      <c r="AA316" s="5" t="s">
        <v>603</v>
      </c>
      <c r="AB316" s="47">
        <v>0.0</v>
      </c>
    </row>
    <row r="317" hidden="1">
      <c r="A317" s="222" t="str">
        <f t="array" ref="A317:A318">{"FormulaRow21";(INDEX(CLASSLIST,A276,1))}</f>
        <v>FormulaRow21</v>
      </c>
      <c r="B317" s="222" t="str">
        <f t="array" ref="B317:B318">{"CLASSTYPE";((INDEX(ALLCLASSDATA,MATCH("ClassType",CLASSFEATUREHEADERS,0),MATCH($A318,CLASSNAMEHEADERS,0))))}</f>
        <v>CLASSTYPE</v>
      </c>
      <c r="C317" s="222" t="str">
        <f t="array" ref="C317:C318">{"DC";"DC"}</f>
        <v>DC</v>
      </c>
      <c r="D317" s="222" t="str">
        <f t="array" ref="D317:D318">{"SPELLDC";"SpellDC"}</f>
        <v>SPELLDC</v>
      </c>
      <c r="E317" s="223" t="str">
        <f t="array" ref="E317:E318">{"SPELLDCINITIAL";((IF(G318=10,"T",(IF(G318=50,"E","")))))}</f>
        <v>SPELLDCINITIAL</v>
      </c>
      <c r="F317" s="223" t="str">
        <f t="array" ref="F317:F318">{"SPELLDCINITIALPTS";((IF("00"=(INDEX(ALLCLASSDATA,MATCH("SpellDCLegendary",CLASSFEATUREHEADERS,0),MATCH($A318,CLASSNAMEHEADERS,0))),(INDEX(ALLCLASSDATA,MATCH("SpellDCLegendary",CLASSFEATUREHEADERS,0),MATCH(($A318 &amp; "Points"),CLASSNAMEHEADERS,0))),(IF("00"=(INDEX(ALLCLASSDATA,MATCH("SpellDCMaster",CLASSFEATUREHEADERS,0),MATCH($A318,CLASSNAMEHEADERS,0))),(INDEX(ALLCLASSDATA,MATCH("SpellDCMaster",CLASSFEATUREHEADERS,0),MATCH(($A318 &amp; "Points"),CLASSNAMEHEADERS,0))),(IF("00"=(INDEX(ALLCLASSDATA,MATCH("SpellDCExpert",CLASSFEATUREHEADERS,0),MATCH($A318,CLASSNAMEHEADERS,0))),(INDEX(ALLCLASSDATA,MATCH("SpellDCExpert",CLASSFEATUREHEADERS,0),MATCH(($A318 &amp; "Points"),CLASSNAMEHEADERS,0))),(IF("00"=(INDEX(ALLCLASSDATA,MATCH("SpellDCTrained",CLASSFEATUREHEADERS,0),MATCH($A318,CLASSNAMEHEADERS,0))),(INDEX(ALLCLASSDATA,MATCH("SpellDCTrained",CLASSFEATUREHEADERS,0),MATCH(($A318 &amp; "Points"),CLASSNAMEHEADERS,0))),"")))))))))}</f>
        <v>SPELLDCINITIALPTS</v>
      </c>
      <c r="G317" s="223" t="str">
        <f t="array" ref="G317:G318">{"SPELLDCL01";((IF("01"=(INDEX(ALLCLASSDATA,MATCH("SpellDCLegendary",CLASSFEATUREHEADERS,0),MATCH($A318,CLASSNAMEHEADERS,0))),(INDEX(ALLCLASSDATA,MATCH("SpellDCLegendary",CLASSFEATUREHEADERS,0),MATCH(($A318 &amp; "Points"),CLASSNAMEHEADERS,0))),(IF("01"=(INDEX(ALLCLASSDATA,MATCH("SpellDCMaster",CLASSFEATUREHEADERS,0),MATCH($A318,CLASSNAMEHEADERS,0))),(INDEX(ALLCLASSDATA,MATCH("SpellDCMaster",CLASSFEATUREHEADERS,0),MATCH(($A318 &amp; "Points"),CLASSNAMEHEADERS,0))),(IF("01"=(INDEX(ALLCLASSDATA,MATCH("SpellDCExpert",CLASSFEATUREHEADERS,0),MATCH($A318,CLASSNAMEHEADERS,0))),(INDEX(ALLCLASSDATA,MATCH("SpellDCExpert",CLASSFEATUREHEADERS,0),MATCH(($A318 &amp; "Points"),CLASSNAMEHEADERS,0))),(IF("01"=(INDEX(ALLCLASSDATA,MATCH("SpellDCTrained",CLASSFEATUREHEADERS,0),MATCH($A318,CLASSNAMEHEADERS,0))),(INDEX(ALLCLASSDATA,MATCH("SpellDCTrained",CLASSFEATUREHEADERS,0),MATCH(($A318 &amp; "Points"),CLASSNAMEHEADERS,0))),"")))))))))}</f>
        <v>SPELLDCL01</v>
      </c>
      <c r="H317" s="223"/>
      <c r="I317" s="223" t="str">
        <f t="array" ref="I317:I318">{"SPELLDCL03";((IF("03"=(INDEX(ALLCLASSDATA,MATCH("SpellDCLegendary",CLASSFEATUREHEADERS,0),MATCH($A318,CLASSNAMEHEADERS,0))),(INDEX(ALLCLASSDATA,MATCH("SpellDCLegendary",CLASSFEATUREHEADERS,0),MATCH(($A318 &amp; "Points"),CLASSNAMEHEADERS,0))),(IF("03"=(INDEX(ALLCLASSDATA,MATCH("SpellDCMaster",CLASSFEATUREHEADERS,0),MATCH($A318,CLASSNAMEHEADERS,0))),(INDEX(ALLCLASSDATA,MATCH("SpellDCMaster",CLASSFEATUREHEADERS,0),MATCH(($A318 &amp; "Points"),CLASSNAMEHEADERS,0))),(IF("03"=(INDEX(ALLCLASSDATA,MATCH("SpellDCExpert",CLASSFEATUREHEADERS,0),MATCH($A318,CLASSNAMEHEADERS,0))),(INDEX(ALLCLASSDATA,MATCH("SpellDCExpert",CLASSFEATUREHEADERS,0),MATCH(($A318 &amp; "Points"),CLASSNAMEHEADERS,0))),(IF("03"=(INDEX(ALLCLASSDATA,MATCH("SpellDCTrained",CLASSFEATUREHEADERS,0),MATCH($A318,CLASSNAMEHEADERS,0))),(INDEX(ALLCLASSDATA,MATCH("SpellDCTrained",CLASSFEATUREHEADERS,0),MATCH(($A318 &amp; "Points"),CLASSNAMEHEADERS,0))),"")))))))))}</f>
        <v>SPELLDCL03</v>
      </c>
      <c r="J317" s="223"/>
      <c r="K317" s="223" t="str">
        <f t="array" ref="K317:K318">{"SPELLDCL05";((IF("05"=(INDEX(ALLCLASSDATA,MATCH("SpellDCLegendary",CLASSFEATUREHEADERS,0),MATCH($A318,CLASSNAMEHEADERS,0))),(INDEX(ALLCLASSDATA,MATCH("SpellDCLegendary",CLASSFEATUREHEADERS,0),MATCH(($A318 &amp; "Points"),CLASSNAMEHEADERS,0))),(IF("05"=(INDEX(ALLCLASSDATA,MATCH("SpellDCMaster",CLASSFEATUREHEADERS,0),MATCH($A318,CLASSNAMEHEADERS,0))),(INDEX(ALLCLASSDATA,MATCH("SpellDCMaster",CLASSFEATUREHEADERS,0),MATCH(($A318 &amp; "Points"),CLASSNAMEHEADERS,0))),(IF("05"=(INDEX(ALLCLASSDATA,MATCH("SpellDCExpert",CLASSFEATUREHEADERS,0),MATCH($A318,CLASSNAMEHEADERS,0))),(INDEX(ALLCLASSDATA,MATCH("SpellDCExpert",CLASSFEATUREHEADERS,0),MATCH(($A318 &amp; "Points"),CLASSNAMEHEADERS,0))),(IF("05"=(INDEX(ALLCLASSDATA,MATCH("SpellDCTrained",CLASSFEATUREHEADERS,0),MATCH($A318,CLASSNAMEHEADERS,0))),(INDEX(ALLCLASSDATA,MATCH("SpellDCTrained",CLASSFEATUREHEADERS,0),MATCH(($A318 &amp; "Points"),CLASSNAMEHEADERS,0))),"")))))))))}</f>
        <v>SPELLDCL05</v>
      </c>
      <c r="L317" s="223"/>
      <c r="M317" s="223" t="str">
        <f t="array" ref="M317:M318">{"SPELLDCL07";((IF("07"=(INDEX(ALLCLASSDATA,MATCH("SpellDCLegendary",CLASSFEATUREHEADERS,0),MATCH($A318,CLASSNAMEHEADERS,0))),(INDEX(ALLCLASSDATA,MATCH("SpellDCLegendary",CLASSFEATUREHEADERS,0),MATCH(($A318 &amp; "Points"),CLASSNAMEHEADERS,0))),(IF("07"=(INDEX(ALLCLASSDATA,MATCH("SpellDCMaster",CLASSFEATUREHEADERS,0),MATCH($A318,CLASSNAMEHEADERS,0))),(INDEX(ALLCLASSDATA,MATCH("SpellDCMaster",CLASSFEATUREHEADERS,0),MATCH(($A318 &amp; "Points"),CLASSNAMEHEADERS,0))),(IF("07"=(INDEX(ALLCLASSDATA,MATCH("SpellDCExpert",CLASSFEATUREHEADERS,0),MATCH($A318,CLASSNAMEHEADERS,0))),(INDEX(ALLCLASSDATA,MATCH("SpellDCExpert",CLASSFEATUREHEADERS,0),MATCH(($A318 &amp; "Points"),CLASSNAMEHEADERS,0))),(IF("07"=(INDEX(ALLCLASSDATA,MATCH("SpellDCTrained",CLASSFEATUREHEADERS,0),MATCH($A318,CLASSNAMEHEADERS,0))),(INDEX(ALLCLASSDATA,MATCH("SpellDCTrained",CLASSFEATUREHEADERS,0),MATCH(($A318 &amp; "Points"),CLASSNAMEHEADERS,0))),"")))))))))}</f>
        <v>SPELLDCL07</v>
      </c>
      <c r="N317" s="223"/>
      <c r="O317" s="223" t="str">
        <f t="array" ref="O317:O318">{"SPELLDCL09";((IF("09"=(INDEX(ALLCLASSDATA,MATCH("SpellDCLegendary",CLASSFEATUREHEADERS,0),MATCH($A318,CLASSNAMEHEADERS,0))),(INDEX(ALLCLASSDATA,MATCH("SpellDCLegendary",CLASSFEATUREHEADERS,0),MATCH(($A318 &amp; "Points"),CLASSNAMEHEADERS,0))),(IF("09"=(INDEX(ALLCLASSDATA,MATCH("SpellDCMaster",CLASSFEATUREHEADERS,0),MATCH($A318,CLASSNAMEHEADERS,0))),(INDEX(ALLCLASSDATA,MATCH("SpellDCMaster",CLASSFEATUREHEADERS,0),MATCH(($A318 &amp; "Points"),CLASSNAMEHEADERS,0))),(IF("09"=(INDEX(ALLCLASSDATA,MATCH("SpellDCExpert",CLASSFEATUREHEADERS,0),MATCH($A318,CLASSNAMEHEADERS,0))),(INDEX(ALLCLASSDATA,MATCH("SpellDCExpert",CLASSFEATUREHEADERS,0),MATCH(($A318 &amp; "Points"),CLASSNAMEHEADERS,0))),(IF("09"=(INDEX(ALLCLASSDATA,MATCH("SpellDCTrained",CLASSFEATUREHEADERS,0),MATCH($A318,CLASSNAMEHEADERS,0))),(INDEX(ALLCLASSDATA,MATCH("SpellDCTrained",CLASSFEATUREHEADERS,0),MATCH(($A318 &amp; "Points"),CLASSNAMEHEADERS,0))),"")))))))))}</f>
        <v>SPELLDCL09</v>
      </c>
      <c r="P317" s="223"/>
      <c r="Q317" s="223" t="str">
        <f t="array" ref="Q317:Q318">{"SPELLDCL11";((IF("11"=(INDEX(ALLCLASSDATA,MATCH("SpellDCLegendary",CLASSFEATUREHEADERS,0),MATCH($A318,CLASSNAMEHEADERS,0))),(INDEX(ALLCLASSDATA,MATCH("SpellDCLegendary",CLASSFEATUREHEADERS,0),MATCH(($A318 &amp; "Points"),CLASSNAMEHEADERS,0))),(IF("11"=(INDEX(ALLCLASSDATA,MATCH("SpellDCMaster",CLASSFEATUREHEADERS,0),MATCH($A318,CLASSNAMEHEADERS,0))),(INDEX(ALLCLASSDATA,MATCH("SpellDCMaster",CLASSFEATUREHEADERS,0),MATCH(($A318 &amp; "Points"),CLASSNAMEHEADERS,0))),(IF("11"=(INDEX(ALLCLASSDATA,MATCH("SpellDCExpert",CLASSFEATUREHEADERS,0),MATCH($A318,CLASSNAMEHEADERS,0))),(INDEX(ALLCLASSDATA,MATCH("SpellDCExpert",CLASSFEATUREHEADERS,0),MATCH(($A318 &amp; "Points"),CLASSNAMEHEADERS,0))),(IF("11"=(INDEX(ALLCLASSDATA,MATCH("SpellDCTrained",CLASSFEATUREHEADERS,0),MATCH($A318,CLASSNAMEHEADERS,0))),(INDEX(ALLCLASSDATA,MATCH("SpellDCTrained",CLASSFEATUREHEADERS,0),MATCH(($A318 &amp; "Points"),CLASSNAMEHEADERS,0))),"")))))))))}</f>
        <v>SPELLDCL11</v>
      </c>
      <c r="R317" s="223"/>
      <c r="S317" s="223" t="str">
        <f t="array" ref="S317:S318">{"SPELLDCL13";((IF("13"=(INDEX(ALLCLASSDATA,MATCH("SpellDCLegendary",CLASSFEATUREHEADERS,0),MATCH($A318,CLASSNAMEHEADERS,0))),(INDEX(ALLCLASSDATA,MATCH("SpellDCLegendary",CLASSFEATUREHEADERS,0),MATCH(($A318 &amp; "Points"),CLASSNAMEHEADERS,0))),(IF("13"=(INDEX(ALLCLASSDATA,MATCH("SpellDCMaster",CLASSFEATUREHEADERS,0),MATCH($A318,CLASSNAMEHEADERS,0))),(INDEX(ALLCLASSDATA,MATCH("SpellDCMaster",CLASSFEATUREHEADERS,0),MATCH(($A318 &amp; "Points"),CLASSNAMEHEADERS,0))),(IF("13"=(INDEX(ALLCLASSDATA,MATCH("SpellDCExpert",CLASSFEATUREHEADERS,0),MATCH($A318,CLASSNAMEHEADERS,0))),(INDEX(ALLCLASSDATA,MATCH("SpellDCExpert",CLASSFEATUREHEADERS,0),MATCH(($A318 &amp; "Points"),CLASSNAMEHEADERS,0))),(IF("13"=(INDEX(ALLCLASSDATA,MATCH("SpellDCTrained",CLASSFEATUREHEADERS,0),MATCH($A318,CLASSNAMEHEADERS,0))),(INDEX(ALLCLASSDATA,MATCH("SpellDCTrained",CLASSFEATUREHEADERS,0),MATCH(($A318 &amp; "Points"),CLASSNAMEHEADERS,0))),"")))))))))}</f>
        <v>SPELLDCL13</v>
      </c>
      <c r="T317" s="223"/>
      <c r="U317" s="223" t="str">
        <f t="array" ref="U317:U318">{"SPELLDCL15";((IF("15"=(INDEX(ALLCLASSDATA,MATCH("SpellDCLegendary",CLASSFEATUREHEADERS,0),MATCH($A318,CLASSNAMEHEADERS,0))),(INDEX(ALLCLASSDATA,MATCH("SpellDCLegendary",CLASSFEATUREHEADERS,0),MATCH(($A318 &amp; "Points"),CLASSNAMEHEADERS,0))),(IF("15"=(INDEX(ALLCLASSDATA,MATCH("SpellDCMaster",CLASSFEATUREHEADERS,0),MATCH($A318,CLASSNAMEHEADERS,0))),(INDEX(ALLCLASSDATA,MATCH("SpellDCMaster",CLASSFEATUREHEADERS,0),MATCH(($A318 &amp; "Points"),CLASSNAMEHEADERS,0))),(IF("15"=(INDEX(ALLCLASSDATA,MATCH("SpellDCExpert",CLASSFEATUREHEADERS,0),MATCH($A318,CLASSNAMEHEADERS,0))),(INDEX(ALLCLASSDATA,MATCH("SpellDCExpert",CLASSFEATUREHEADERS,0),MATCH(($A318 &amp; "Points"),CLASSNAMEHEADERS,0))),(IF("15"=(INDEX(ALLCLASSDATA,MATCH("SpellDCTrained",CLASSFEATUREHEADERS,0),MATCH($A318,CLASSNAMEHEADERS,0))),(INDEX(ALLCLASSDATA,MATCH("SpellDCTrained",CLASSFEATUREHEADERS,0),MATCH(($A318 &amp; "Points"),CLASSNAMEHEADERS,0))),"")))))))))}</f>
        <v>SPELLDCL15</v>
      </c>
      <c r="V317" s="223"/>
      <c r="W317" s="223" t="str">
        <f t="array" ref="W317:W318">{"SPELLDCL17";((IF("17"=(INDEX(ALLCLASSDATA,MATCH("SpellDCLegendary",CLASSFEATUREHEADERS,0),MATCH($A318,CLASSNAMEHEADERS,0))),(INDEX(ALLCLASSDATA,MATCH("SpellDCLegendary",CLASSFEATUREHEADERS,0),MATCH(($A318 &amp; "Points"),CLASSNAMEHEADERS,0))),(IF("17"=(INDEX(ALLCLASSDATA,MATCH("SpellDCMaster",CLASSFEATUREHEADERS,0),MATCH($A318,CLASSNAMEHEADERS,0))),(INDEX(ALLCLASSDATA,MATCH("SpellDCMaster",CLASSFEATUREHEADERS,0),MATCH(($A318 &amp; "Points"),CLASSNAMEHEADERS,0))),(IF("17"=(INDEX(ALLCLASSDATA,MATCH("SpellDCExpert",CLASSFEATUREHEADERS,0),MATCH($A318,CLASSNAMEHEADERS,0))),(INDEX(ALLCLASSDATA,MATCH("SpellDCExpert",CLASSFEATUREHEADERS,0),MATCH(($A318 &amp; "Points"),CLASSNAMEHEADERS,0))),(IF("17"=(INDEX(ALLCLASSDATA,MATCH("SpellDCTrained",CLASSFEATUREHEADERS,0),MATCH($A318,CLASSNAMEHEADERS,0))),(INDEX(ALLCLASSDATA,MATCH("SpellDCTrained",CLASSFEATUREHEADERS,0),MATCH(($A318 &amp; "Points"),CLASSNAMEHEADERS,0))),"")))))))))}</f>
        <v>SPELLDCL17</v>
      </c>
      <c r="X317" s="223"/>
      <c r="Y317" s="223" t="str">
        <f t="array" ref="Y317:Y318">{"SPELLDCL19";((IF("19"=(INDEX(ALLCLASSDATA,MATCH("SpellDCLegendary",CLASSFEATUREHEADERS,0),MATCH($A318,CLASSNAMEHEADERS,0))),(INDEX(ALLCLASSDATA,MATCH("SpellDCLegendary",CLASSFEATUREHEADERS,0),MATCH(($A318 &amp; "Points"),CLASSNAMEHEADERS,0))),(IF("19"=(INDEX(ALLCLASSDATA,MATCH("SpellDCMaster",CLASSFEATUREHEADERS,0),MATCH($A318,CLASSNAMEHEADERS,0))),(INDEX(ALLCLASSDATA,MATCH("SpellDCMaster",CLASSFEATUREHEADERS,0),MATCH(($A318 &amp; "Points"),CLASSNAMEHEADERS,0))),(IF("19"=(INDEX(ALLCLASSDATA,MATCH("SpellDCExpert",CLASSFEATUREHEADERS,0),MATCH($A318,CLASSNAMEHEADERS,0))),(INDEX(ALLCLASSDATA,MATCH("SpellDCExpert",CLASSFEATUREHEADERS,0),MATCH(($A318 &amp; "Points"),CLASSNAMEHEADERS,0))),(IF("19"=(INDEX(ALLCLASSDATA,MATCH("SpellDCTrained",CLASSFEATUREHEADERS,0),MATCH($A318,CLASSNAMEHEADERS,0))),(INDEX(ALLCLASSDATA,MATCH("SpellDCTrained",CLASSFEATUREHEADERS,0),MATCH(($A318 &amp; "Points"),CLASSNAMEHEADERS,0))),"")))))))))}</f>
        <v>SPELLDCL19</v>
      </c>
      <c r="Z317" s="223"/>
      <c r="AA317" s="76" t="str">
        <f t="array" ref="AA317:AA318">{"SPELLDC TOTAL";(IF(COUNTBLANK(F318:Z318)=17,"L",(IF(COUNTBLANK(F318:Z318)=18,"M",(IF(COUNTBLANK(F318:Z318)=19,"E",(IF(COUNTBLANK(F318:Z318)=20,"T",""))))))))}</f>
        <v>SPELLDC TOTAL</v>
      </c>
      <c r="AB317" s="76" t="str">
        <f t="array" ref="AB317:AB318">{"SPELLDC TOTAL";(sum(F318:Z318))}</f>
        <v>SPELLDC TOTAL</v>
      </c>
    </row>
    <row r="318">
      <c r="A318" s="48" t="s">
        <v>229</v>
      </c>
      <c r="B318" s="48" t="s">
        <v>418</v>
      </c>
      <c r="C318" s="97" t="s">
        <v>1465</v>
      </c>
      <c r="D318" s="97" t="s">
        <v>1485</v>
      </c>
      <c r="E318" s="98" t="s">
        <v>435</v>
      </c>
      <c r="F318" s="132" t="s">
        <v>603</v>
      </c>
      <c r="G318" s="98">
        <v>10.0</v>
      </c>
      <c r="H318" s="98"/>
      <c r="I318" s="98" t="s">
        <v>603</v>
      </c>
      <c r="J318" s="98"/>
      <c r="K318" s="98" t="s">
        <v>603</v>
      </c>
      <c r="L318" s="98"/>
      <c r="M318" s="98">
        <v>50.0</v>
      </c>
      <c r="N318" s="98"/>
      <c r="O318" s="98" t="s">
        <v>603</v>
      </c>
      <c r="P318" s="98"/>
      <c r="Q318" s="98" t="s">
        <v>603</v>
      </c>
      <c r="R318" s="98"/>
      <c r="S318" s="98" t="s">
        <v>603</v>
      </c>
      <c r="T318" s="98"/>
      <c r="U318" s="98">
        <v>110.0</v>
      </c>
      <c r="V318" s="98"/>
      <c r="W318" s="98" t="s">
        <v>603</v>
      </c>
      <c r="X318" s="98"/>
      <c r="Y318" s="98">
        <v>190.0</v>
      </c>
      <c r="Z318" s="98"/>
      <c r="AA318" s="5" t="s">
        <v>466</v>
      </c>
      <c r="AB318" s="47">
        <v>360.0</v>
      </c>
    </row>
    <row r="319" hidden="1">
      <c r="A319" s="222" t="str">
        <f t="array" ref="A319:A320">{"FormulaRow22";(INDEX(CLASSLIST,A276,1))}</f>
        <v>FormulaRow22</v>
      </c>
      <c r="B319" s="222" t="str">
        <f t="array" ref="B319:B320">{"CLASSTYPE";((INDEX(ALLCLASSDATA,MATCH("ClassType",CLASSFEATUREHEADERS,0),MATCH($A320,CLASSNAMEHEADERS,0))))}</f>
        <v>CLASSTYPE</v>
      </c>
      <c r="C319" s="228" t="str">
        <f t="shared" ref="C319:D319" si="4">{"PERCEPTION";"Perception"}</f>
        <v>PERCEPTION</v>
      </c>
      <c r="D319" s="228" t="str">
        <f t="shared" si="4"/>
        <v>PERCEPTION</v>
      </c>
      <c r="E319" s="230" t="str">
        <f t="array" ref="E319:E320">{"PERCEPTIONINITIAL";((IF(G320=10,"T",(IF(G320=50,"E","")))))}</f>
        <v>PERCEPTIONINITIAL</v>
      </c>
      <c r="F319" s="230" t="str">
        <f t="array" ref="F319:F320">{"PERCEPTIONINITIALPTS";((IF("00"=(INDEX(ALLCLASSDATA,MATCH("PerceptionLegendary",CLASSFEATUREHEADERS,0),MATCH($A320,CLASSNAMEHEADERS,0))),(INDEX(ALLCLASSDATA,MATCH("PerceptionLegendary",CLASSFEATUREHEADERS,0),MATCH(($A320 &amp; "Points"),CLASSNAMEHEADERS,0))),(IF("00"=(INDEX(ALLCLASSDATA,MATCH("PerceptionMaster",CLASSFEATUREHEADERS,0),MATCH($A320,CLASSNAMEHEADERS,0))),(INDEX(ALLCLASSDATA,MATCH("PerceptionMaster",CLASSFEATUREHEADERS,0),MATCH(($A320 &amp; "Points"),CLASSNAMEHEADERS,0))),(IF("00"=(INDEX(ALLCLASSDATA,MATCH("PerceptionExpert",CLASSFEATUREHEADERS,0),MATCH($A320,CLASSNAMEHEADERS,0))),(INDEX(ALLCLASSDATA,MATCH("PerceptionExpert",CLASSFEATUREHEADERS,0),MATCH(($A320 &amp; "Points"),CLASSNAMEHEADERS,0))),(IF("00"=(INDEX(ALLCLASSDATA,MATCH("PerceptionTrained",CLASSFEATUREHEADERS,0),MATCH($A320,CLASSNAMEHEADERS,0))),(INDEX(ALLCLASSDATA,MATCH("PerceptionTrained",CLASSFEATUREHEADERS,0),MATCH(($A320 &amp; "Points"),CLASSNAMEHEADERS,0))),"")))))))))}</f>
        <v>PERCEPTIONINITIALPTS</v>
      </c>
      <c r="G319" s="230" t="str">
        <f t="array" ref="G319:G320">{"PERCEPTIONL01";((IF("01"=(INDEX(ALLCLASSDATA,MATCH("PerceptionLegendary",CLASSFEATUREHEADERS,0),MATCH($A320,CLASSNAMEHEADERS,0))),(INDEX(ALLCLASSDATA,MATCH("PerceptionLegendary",CLASSFEATUREHEADERS,0),MATCH(($A320 &amp; "Points"),CLASSNAMEHEADERS,0))),(IF("01"=(INDEX(ALLCLASSDATA,MATCH("PerceptionMaster",CLASSFEATUREHEADERS,0),MATCH($A320,CLASSNAMEHEADERS,0))),(INDEX(ALLCLASSDATA,MATCH("PerceptionMaster",CLASSFEATUREHEADERS,0),MATCH(($A320 &amp; "Points"),CLASSNAMEHEADERS,0))),(IF("01"=(INDEX(ALLCLASSDATA,MATCH("PerceptionExpert",CLASSFEATUREHEADERS,0),MATCH($A320,CLASSNAMEHEADERS,0))),(INDEX(ALLCLASSDATA,MATCH("PerceptionExpert",CLASSFEATUREHEADERS,0),MATCH(($A320 &amp; "Points"),CLASSNAMEHEADERS,0))),(IF("01"=(INDEX(ALLCLASSDATA,MATCH("PerceptionTrained",CLASSFEATUREHEADERS,0),MATCH($A320,CLASSNAMEHEADERS,0))),(INDEX(ALLCLASSDATA,MATCH("PerceptionTrained",CLASSFEATUREHEADERS,0),MATCH(($A320 &amp; "Points"),CLASSNAMEHEADERS,0))),"")))))))))}</f>
        <v>PERCEPTIONL01</v>
      </c>
      <c r="H319" s="230"/>
      <c r="I319" s="230" t="str">
        <f t="array" ref="I319:I320">{"PERCEPTIONL03";((IF("03"=(INDEX(ALLCLASSDATA,MATCH("PerceptionLegendary",CLASSFEATUREHEADERS,0),MATCH($A320,CLASSNAMEHEADERS,0))),(INDEX(ALLCLASSDATA,MATCH("PerceptionLegendary",CLASSFEATUREHEADERS,0),MATCH(($A320 &amp; "Points"),CLASSNAMEHEADERS,0))),(IF("03"=(INDEX(ALLCLASSDATA,MATCH("PerceptionMaster",CLASSFEATUREHEADERS,0),MATCH($A320,CLASSNAMEHEADERS,0))),(INDEX(ALLCLASSDATA,MATCH("PerceptionMaster",CLASSFEATUREHEADERS,0),MATCH(($A320 &amp; "Points"),CLASSNAMEHEADERS,0))),(IF("03"=(INDEX(ALLCLASSDATA,MATCH("PerceptionExpert",CLASSFEATUREHEADERS,0),MATCH($A320,CLASSNAMEHEADERS,0))),(INDEX(ALLCLASSDATA,MATCH("PerceptionExpert",CLASSFEATUREHEADERS,0),MATCH(($A320 &amp; "Points"),CLASSNAMEHEADERS,0))),(IF("03"=(INDEX(ALLCLASSDATA,MATCH("PerceptionTrained",CLASSFEATUREHEADERS,0),MATCH($A320,CLASSNAMEHEADERS,0))),(INDEX(ALLCLASSDATA,MATCH("PerceptionTrained",CLASSFEATUREHEADERS,0),MATCH(($A320 &amp; "Points"),CLASSNAMEHEADERS,0))),"")))))))))}</f>
        <v>PERCEPTIONL03</v>
      </c>
      <c r="J319" s="230"/>
      <c r="K319" s="230" t="str">
        <f t="array" ref="K319:K320">{"PERCEPTIONL05";((IF("05"=(INDEX(ALLCLASSDATA,MATCH("PerceptionLegendary",CLASSFEATUREHEADERS,0),MATCH($A320,CLASSNAMEHEADERS,0))),(INDEX(ALLCLASSDATA,MATCH("PerceptionLegendary",CLASSFEATUREHEADERS,0),MATCH(($A320 &amp; "Points"),CLASSNAMEHEADERS,0))),(IF("05"=(INDEX(ALLCLASSDATA,MATCH("PerceptionMaster",CLASSFEATUREHEADERS,0),MATCH($A320,CLASSNAMEHEADERS,0))),(INDEX(ALLCLASSDATA,MATCH("PerceptionMaster",CLASSFEATUREHEADERS,0),MATCH(($A320 &amp; "Points"),CLASSNAMEHEADERS,0))),(IF("05"=(INDEX(ALLCLASSDATA,MATCH("PerceptionExpert",CLASSFEATUREHEADERS,0),MATCH($A320,CLASSNAMEHEADERS,0))),(INDEX(ALLCLASSDATA,MATCH("PerceptionExpert",CLASSFEATUREHEADERS,0),MATCH(($A320 &amp; "Points"),CLASSNAMEHEADERS,0))),(IF("05"=(INDEX(ALLCLASSDATA,MATCH("PerceptionTrained",CLASSFEATUREHEADERS,0),MATCH($A320,CLASSNAMEHEADERS,0))),(INDEX(ALLCLASSDATA,MATCH("PerceptionTrained",CLASSFEATUREHEADERS,0),MATCH(($A320 &amp; "Points"),CLASSNAMEHEADERS,0))),"")))))))))}</f>
        <v>PERCEPTIONL05</v>
      </c>
      <c r="L319" s="230"/>
      <c r="M319" s="230" t="str">
        <f t="array" ref="M319:M320">{"PERCEPTIONL07";((IF("07"=(INDEX(ALLCLASSDATA,MATCH("PerceptionLegendary",CLASSFEATUREHEADERS,0),MATCH($A320,CLASSNAMEHEADERS,0))),(INDEX(ALLCLASSDATA,MATCH("PerceptionLegendary",CLASSFEATUREHEADERS,0),MATCH(($A320 &amp; "Points"),CLASSNAMEHEADERS,0))),(IF("07"=(INDEX(ALLCLASSDATA,MATCH("PerceptionMaster",CLASSFEATUREHEADERS,0),MATCH($A320,CLASSNAMEHEADERS,0))),(INDEX(ALLCLASSDATA,MATCH("PerceptionMaster",CLASSFEATUREHEADERS,0),MATCH(($A320 &amp; "Points"),CLASSNAMEHEADERS,0))),(IF("07"=(INDEX(ALLCLASSDATA,MATCH("PerceptionExpert",CLASSFEATUREHEADERS,0),MATCH($A320,CLASSNAMEHEADERS,0))),(INDEX(ALLCLASSDATA,MATCH("PerceptionExpert",CLASSFEATUREHEADERS,0),MATCH(($A320 &amp; "Points"),CLASSNAMEHEADERS,0))),(IF("07"=(INDEX(ALLCLASSDATA,MATCH("PerceptionTrained",CLASSFEATUREHEADERS,0),MATCH($A320,CLASSNAMEHEADERS,0))),(INDEX(ALLCLASSDATA,MATCH("PerceptionTrained",CLASSFEATUREHEADERS,0),MATCH(($A320 &amp; "Points"),CLASSNAMEHEADERS,0))),"")))))))))}</f>
        <v>PERCEPTIONL07</v>
      </c>
      <c r="N319" s="230"/>
      <c r="O319" s="230" t="str">
        <f t="array" ref="O319:O320">{"PERCEPTIONL09";((IF("09"=(INDEX(ALLCLASSDATA,MATCH("PerceptionLegendary",CLASSFEATUREHEADERS,0),MATCH($A320,CLASSNAMEHEADERS,0))),(INDEX(ALLCLASSDATA,MATCH("PerceptionLegendary",CLASSFEATUREHEADERS,0),MATCH(($A320 &amp; "Points"),CLASSNAMEHEADERS,0))),(IF("09"=(INDEX(ALLCLASSDATA,MATCH("PerceptionMaster",CLASSFEATUREHEADERS,0),MATCH($A320,CLASSNAMEHEADERS,0))),(INDEX(ALLCLASSDATA,MATCH("PerceptionMaster",CLASSFEATUREHEADERS,0),MATCH(($A320 &amp; "Points"),CLASSNAMEHEADERS,0))),(IF("09"=(INDEX(ALLCLASSDATA,MATCH("PerceptionExpert",CLASSFEATUREHEADERS,0),MATCH($A320,CLASSNAMEHEADERS,0))),(INDEX(ALLCLASSDATA,MATCH("PerceptionExpert",CLASSFEATUREHEADERS,0),MATCH(($A320 &amp; "Points"),CLASSNAMEHEADERS,0))),(IF("09"=(INDEX(ALLCLASSDATA,MATCH("PerceptionTrained",CLASSFEATUREHEADERS,0),MATCH($A320,CLASSNAMEHEADERS,0))),(INDEX(ALLCLASSDATA,MATCH("PerceptionTrained",CLASSFEATUREHEADERS,0),MATCH(($A320 &amp; "Points"),CLASSNAMEHEADERS,0))),"")))))))))}</f>
        <v>PERCEPTIONL09</v>
      </c>
      <c r="P319" s="230"/>
      <c r="Q319" s="230" t="str">
        <f t="array" ref="Q319:Q320">{"PERCEPTIONL11";((IF("11"=(INDEX(ALLCLASSDATA,MATCH("PerceptionLegendary",CLASSFEATUREHEADERS,0),MATCH($A320,CLASSNAMEHEADERS,0))),(INDEX(ALLCLASSDATA,MATCH("PerceptionLegendary",CLASSFEATUREHEADERS,0),MATCH(($A320 &amp; "Points"),CLASSNAMEHEADERS,0))),(IF("11"=(INDEX(ALLCLASSDATA,MATCH("PerceptionMaster",CLASSFEATUREHEADERS,0),MATCH($A320,CLASSNAMEHEADERS,0))),(INDEX(ALLCLASSDATA,MATCH("PerceptionMaster",CLASSFEATUREHEADERS,0),MATCH(($A320 &amp; "Points"),CLASSNAMEHEADERS,0))),(IF("11"=(INDEX(ALLCLASSDATA,MATCH("PerceptionExpert",CLASSFEATUREHEADERS,0),MATCH($A320,CLASSNAMEHEADERS,0))),(INDEX(ALLCLASSDATA,MATCH("PerceptionExpert",CLASSFEATUREHEADERS,0),MATCH(($A320 &amp; "Points"),CLASSNAMEHEADERS,0))),(IF("11"=(INDEX(ALLCLASSDATA,MATCH("PerceptionTrained",CLASSFEATUREHEADERS,0),MATCH($A320,CLASSNAMEHEADERS,0))),(INDEX(ALLCLASSDATA,MATCH("PerceptionTrained",CLASSFEATUREHEADERS,0),MATCH(($A320 &amp; "Points"),CLASSNAMEHEADERS,0))),"")))))))))}</f>
        <v>PERCEPTIONL11</v>
      </c>
      <c r="R319" s="230"/>
      <c r="S319" s="230" t="str">
        <f t="array" ref="S319:S320">{"PERCEPTIONL13";((IF("13"=(INDEX(ALLCLASSDATA,MATCH("PerceptionLegendary",CLASSFEATUREHEADERS,0),MATCH($A320,CLASSNAMEHEADERS,0))),(INDEX(ALLCLASSDATA,MATCH("PerceptionLegendary",CLASSFEATUREHEADERS,0),MATCH(($A320 &amp; "Points"),CLASSNAMEHEADERS,0))),(IF("13"=(INDEX(ALLCLASSDATA,MATCH("PerceptionMaster",CLASSFEATUREHEADERS,0),MATCH($A320,CLASSNAMEHEADERS,0))),(INDEX(ALLCLASSDATA,MATCH("PerceptionMaster",CLASSFEATUREHEADERS,0),MATCH(($A320 &amp; "Points"),CLASSNAMEHEADERS,0))),(IF("13"=(INDEX(ALLCLASSDATA,MATCH("PerceptionExpert",CLASSFEATUREHEADERS,0),MATCH($A320,CLASSNAMEHEADERS,0))),(INDEX(ALLCLASSDATA,MATCH("PerceptionExpert",CLASSFEATUREHEADERS,0),MATCH(($A320 &amp; "Points"),CLASSNAMEHEADERS,0))),(IF("13"=(INDEX(ALLCLASSDATA,MATCH("PerceptionTrained",CLASSFEATUREHEADERS,0),MATCH($A320,CLASSNAMEHEADERS,0))),(INDEX(ALLCLASSDATA,MATCH("PerceptionTrained",CLASSFEATUREHEADERS,0),MATCH(($A320 &amp; "Points"),CLASSNAMEHEADERS,0))),"")))))))))}</f>
        <v>PERCEPTIONL13</v>
      </c>
      <c r="T319" s="230"/>
      <c r="U319" s="230" t="str">
        <f t="array" ref="U319:U320">{"PERCEPTIONL15";((IF("15"=(INDEX(ALLCLASSDATA,MATCH("PerceptionLegendary",CLASSFEATUREHEADERS,0),MATCH($A320,CLASSNAMEHEADERS,0))),(INDEX(ALLCLASSDATA,MATCH("PerceptionLegendary",CLASSFEATUREHEADERS,0),MATCH(($A320 &amp; "Points"),CLASSNAMEHEADERS,0))),(IF("15"=(INDEX(ALLCLASSDATA,MATCH("PerceptionMaster",CLASSFEATUREHEADERS,0),MATCH($A320,CLASSNAMEHEADERS,0))),(INDEX(ALLCLASSDATA,MATCH("PerceptionMaster",CLASSFEATUREHEADERS,0),MATCH(($A320 &amp; "Points"),CLASSNAMEHEADERS,0))),(IF("15"=(INDEX(ALLCLASSDATA,MATCH("PerceptionExpert",CLASSFEATUREHEADERS,0),MATCH($A320,CLASSNAMEHEADERS,0))),(INDEX(ALLCLASSDATA,MATCH("PerceptionExpert",CLASSFEATUREHEADERS,0),MATCH(($A320 &amp; "Points"),CLASSNAMEHEADERS,0))),(IF("15"=(INDEX(ALLCLASSDATA,MATCH("PerceptionTrained",CLASSFEATUREHEADERS,0),MATCH($A320,CLASSNAMEHEADERS,0))),(INDEX(ALLCLASSDATA,MATCH("PerceptionTrained",CLASSFEATUREHEADERS,0),MATCH(($A320 &amp; "Points"),CLASSNAMEHEADERS,0))),"")))))))))}</f>
        <v>PERCEPTIONL15</v>
      </c>
      <c r="V319" s="230"/>
      <c r="W319" s="230" t="str">
        <f t="array" ref="W319:W320">{"PERCEPTIONL17";((IF("17"=(INDEX(ALLCLASSDATA,MATCH("PerceptionLegendary",CLASSFEATUREHEADERS,0),MATCH($A320,CLASSNAMEHEADERS,0))),(INDEX(ALLCLASSDATA,MATCH("PerceptionLegendary",CLASSFEATUREHEADERS,0),MATCH(($A320 &amp; "Points"),CLASSNAMEHEADERS,0))),(IF("17"=(INDEX(ALLCLASSDATA,MATCH("PerceptionMaster",CLASSFEATUREHEADERS,0),MATCH($A320,CLASSNAMEHEADERS,0))),(INDEX(ALLCLASSDATA,MATCH("PerceptionMaster",CLASSFEATUREHEADERS,0),MATCH(($A320 &amp; "Points"),CLASSNAMEHEADERS,0))),(IF("17"=(INDEX(ALLCLASSDATA,MATCH("PerceptionExpert",CLASSFEATUREHEADERS,0),MATCH($A320,CLASSNAMEHEADERS,0))),(INDEX(ALLCLASSDATA,MATCH("PerceptionExpert",CLASSFEATUREHEADERS,0),MATCH(($A320 &amp; "Points"),CLASSNAMEHEADERS,0))),(IF("17"=(INDEX(ALLCLASSDATA,MATCH("PerceptionTrained",CLASSFEATUREHEADERS,0),MATCH($A320,CLASSNAMEHEADERS,0))),(INDEX(ALLCLASSDATA,MATCH("PerceptionTrained",CLASSFEATUREHEADERS,0),MATCH(($A320 &amp; "Points"),CLASSNAMEHEADERS,0))),"")))))))))}</f>
        <v>PERCEPTIONL17</v>
      </c>
      <c r="X319" s="230"/>
      <c r="Y319" s="230" t="str">
        <f t="array" ref="Y319:Y320">{"PERCEPTIONL19";((IF("19"=(INDEX(ALLCLASSDATA,MATCH("PerceptionLegendary",CLASSFEATUREHEADERS,0),MATCH($A320,CLASSNAMEHEADERS,0))),(INDEX(ALLCLASSDATA,MATCH("PerceptionLegendary",CLASSFEATUREHEADERS,0),MATCH(($A320 &amp; "Points"),CLASSNAMEHEADERS,0))),(IF("19"=(INDEX(ALLCLASSDATA,MATCH("PerceptionMaster",CLASSFEATUREHEADERS,0),MATCH($A320,CLASSNAMEHEADERS,0))),(INDEX(ALLCLASSDATA,MATCH("PerceptionMaster",CLASSFEATUREHEADERS,0),MATCH(($A320 &amp; "Points"),CLASSNAMEHEADERS,0))),(IF("19"=(INDEX(ALLCLASSDATA,MATCH("PerceptionExpert",CLASSFEATUREHEADERS,0),MATCH($A320,CLASSNAMEHEADERS,0))),(INDEX(ALLCLASSDATA,MATCH("PerceptionExpert",CLASSFEATUREHEADERS,0),MATCH(($A320 &amp; "Points"),CLASSNAMEHEADERS,0))),(IF("19"=(INDEX(ALLCLASSDATA,MATCH("PerceptionTrained",CLASSFEATUREHEADERS,0),MATCH($A320,CLASSNAMEHEADERS,0))),(INDEX(ALLCLASSDATA,MATCH("PerceptionTrained",CLASSFEATUREHEADERS,0),MATCH(($A320 &amp; "Points"),CLASSNAMEHEADERS,0))),"")))))))))}</f>
        <v>PERCEPTIONL19</v>
      </c>
      <c r="Z319" s="230"/>
      <c r="AA319" s="76" t="str">
        <f t="array" ref="AA319:AA320">{"PERCEPTION TOTAL";(IF(COUNTBLANK(F320:Z320)=17,"L",(IF(COUNTBLANK(F320:Z320)=18,"M",(IF(COUNTBLANK(F320:Z320)=19,"E",(IF(COUNTBLANK(F320:Z320)=20,"T",""))))))))}</f>
        <v>PERCEPTION TOTAL</v>
      </c>
      <c r="AB319" s="76" t="str">
        <f t="array" ref="AB319:AB320">{"PERCEPTION TOTAL";(sum(F320:Z320))}</f>
        <v>PERCEPTION TOTAL</v>
      </c>
    </row>
    <row r="320">
      <c r="A320" s="48" t="s">
        <v>229</v>
      </c>
      <c r="B320" s="48" t="s">
        <v>418</v>
      </c>
      <c r="C320" s="97" t="s">
        <v>637</v>
      </c>
      <c r="D320" s="97" t="s">
        <v>637</v>
      </c>
      <c r="E320" s="98" t="s">
        <v>435</v>
      </c>
      <c r="F320" s="132" t="s">
        <v>603</v>
      </c>
      <c r="G320" s="98">
        <v>10.0</v>
      </c>
      <c r="H320" s="98"/>
      <c r="I320" s="98" t="s">
        <v>603</v>
      </c>
      <c r="J320" s="98"/>
      <c r="K320" s="98" t="s">
        <v>603</v>
      </c>
      <c r="L320" s="98"/>
      <c r="M320" s="98" t="s">
        <v>603</v>
      </c>
      <c r="N320" s="98"/>
      <c r="O320" s="98" t="s">
        <v>603</v>
      </c>
      <c r="P320" s="98"/>
      <c r="Q320" s="98">
        <v>50.0</v>
      </c>
      <c r="R320" s="98"/>
      <c r="S320" s="98" t="s">
        <v>603</v>
      </c>
      <c r="T320" s="98"/>
      <c r="U320" s="98" t="s">
        <v>603</v>
      </c>
      <c r="V320" s="98"/>
      <c r="W320" s="98" t="s">
        <v>603</v>
      </c>
      <c r="X320" s="98"/>
      <c r="Y320" s="98" t="s">
        <v>603</v>
      </c>
      <c r="Z320" s="98"/>
      <c r="AA320" s="5" t="s">
        <v>436</v>
      </c>
      <c r="AB320" s="47">
        <v>60.0</v>
      </c>
    </row>
    <row r="321" hidden="1">
      <c r="A321" s="222" t="str">
        <f t="array" ref="A321:A322">{"FormulaRow23";(INDEX(CLASSLIST,A276,1))}</f>
        <v>FormulaRow23</v>
      </c>
      <c r="B321" s="222" t="str">
        <f t="array" ref="B321:B322">{"CLASSTYPE";((INDEX(ALLCLASSDATA,MATCH("ClassType",CLASSFEATUREHEADERS,0),MATCH($A322,CLASSNAMEHEADERS,0))))}</f>
        <v>CLASSTYPE</v>
      </c>
      <c r="C321" s="228" t="str">
        <f t="array" ref="C321:C322">{"SAVES";"Saves"}</f>
        <v>SAVES</v>
      </c>
      <c r="D321" s="228" t="str">
        <f t="array" ref="D321:D322">{"FORTITUDESAVE";"FortitudeSave"}</f>
        <v>FORTITUDESAVE</v>
      </c>
      <c r="E321" s="230" t="str">
        <f t="array" ref="E321:E322">{"FORTITUDEINITIAL";((IF(G322=10,"T",(IF(G322=50,"E","")))))}</f>
        <v>FORTITUDEINITIAL</v>
      </c>
      <c r="F321" s="230" t="str">
        <f t="array" ref="F321:F322">{"FORTITUDEINITIALPTS";((IF("00"=(INDEX(ALLCLASSDATA,MATCH("FortitudeSaveLegendary",CLASSFEATUREHEADERS,0),MATCH($A322,CLASSNAMEHEADERS,0))),(INDEX(ALLCLASSDATA,MATCH("FortitudeSaveLegendary",CLASSFEATUREHEADERS,0),MATCH(($A322 &amp; "Points"),CLASSNAMEHEADERS,0))),(IF("00"=(INDEX(ALLCLASSDATA,MATCH("FortitudeSaveMaster",CLASSFEATUREHEADERS,0),MATCH($A322,CLASSNAMEHEADERS,0))),(INDEX(ALLCLASSDATA,MATCH("FortitudeSaveMaster",CLASSFEATUREHEADERS,0),MATCH(($A322 &amp; "Points"),CLASSNAMEHEADERS,0))),(IF("00"=(INDEX(ALLCLASSDATA,MATCH("FortitudeSaveExpert",CLASSFEATUREHEADERS,0),MATCH($A322,CLASSNAMEHEADERS,0))),(INDEX(ALLCLASSDATA,MATCH("FortitudeSaveExpert",CLASSFEATUREHEADERS,0),MATCH(($A322 &amp; "Points"),CLASSNAMEHEADERS,0))),(IF("00"=(INDEX(ALLCLASSDATA,MATCH("FortitudeSaveTrained",CLASSFEATUREHEADERS,0),MATCH($A322,CLASSNAMEHEADERS,0))),(INDEX(ALLCLASSDATA,MATCH("FortitudeSaveTrained",CLASSFEATUREHEADERS,0),MATCH(($A322 &amp; "Points"),CLASSNAMEHEADERS,0))),"")))))))))}</f>
        <v>FORTITUDEINITIALPTS</v>
      </c>
      <c r="G321" s="230" t="str">
        <f t="array" ref="G321:G322">{"FORTITUDEL01";((IF("01"=(INDEX(ALLCLASSDATA,MATCH("FortitudeSaveLegendary",CLASSFEATUREHEADERS,0),MATCH($A322,CLASSNAMEHEADERS,0))),(INDEX(ALLCLASSDATA,MATCH("FortitudeSaveLegendary",CLASSFEATUREHEADERS,0),MATCH(($A322 &amp; "Points"),CLASSNAMEHEADERS,0))),(IF("01"=(INDEX(ALLCLASSDATA,MATCH("FortitudeSaveMaster",CLASSFEATUREHEADERS,0),MATCH($A322,CLASSNAMEHEADERS,0))),(INDEX(ALLCLASSDATA,MATCH("FortitudeSaveMaster",CLASSFEATUREHEADERS,0),MATCH(($A322 &amp; "Points"),CLASSNAMEHEADERS,0))),(IF("01"=(INDEX(ALLCLASSDATA,MATCH("FortitudeSaveExpert",CLASSFEATUREHEADERS,0),MATCH($A322,CLASSNAMEHEADERS,0))),(INDEX(ALLCLASSDATA,MATCH("FortitudeSaveExpert",CLASSFEATUREHEADERS,0),MATCH(($A322 &amp; "Points"),CLASSNAMEHEADERS,0))),(IF("01"=(INDEX(ALLCLASSDATA,MATCH("FortitudeSaveTrained",CLASSFEATUREHEADERS,0),MATCH($A322,CLASSNAMEHEADERS,0))),(INDEX(ALLCLASSDATA,MATCH("FortitudeSaveTrained",CLASSFEATUREHEADERS,0),MATCH(($A322 &amp; "Points"),CLASSNAMEHEADERS,0))),"")))))))))}</f>
        <v>FORTITUDEL01</v>
      </c>
      <c r="H321" s="230"/>
      <c r="I321" s="230" t="str">
        <f t="array" ref="I321:I322">{"FORTITUDEL03";((IF("03"=(INDEX(ALLCLASSDATA,MATCH("FortitudeSaveLegendary",CLASSFEATUREHEADERS,0),MATCH($A322,CLASSNAMEHEADERS,0))),(INDEX(ALLCLASSDATA,MATCH("FortitudeSaveLegendary",CLASSFEATUREHEADERS,0),MATCH(($A322 &amp; "Points"),CLASSNAMEHEADERS,0))),(IF("03"=(INDEX(ALLCLASSDATA,MATCH("FortitudeSaveMaster",CLASSFEATUREHEADERS,0),MATCH($A322,CLASSNAMEHEADERS,0))),(INDEX(ALLCLASSDATA,MATCH("FortitudeSaveMaster",CLASSFEATUREHEADERS,0),MATCH(($A322 &amp; "Points"),CLASSNAMEHEADERS,0))),(IF("03"=(INDEX(ALLCLASSDATA,MATCH("FortitudeSaveExpert",CLASSFEATUREHEADERS,0),MATCH($A322,CLASSNAMEHEADERS,0))),(INDEX(ALLCLASSDATA,MATCH("FortitudeSaveExpert",CLASSFEATUREHEADERS,0),MATCH(($A322 &amp; "Points"),CLASSNAMEHEADERS,0))),(IF("03"=(INDEX(ALLCLASSDATA,MATCH("FortitudeSaveTrained",CLASSFEATUREHEADERS,0),MATCH($A322,CLASSNAMEHEADERS,0))),(INDEX(ALLCLASSDATA,MATCH("FortitudeSaveTrained",CLASSFEATUREHEADERS,0),MATCH(($A322 &amp; "Points"),CLASSNAMEHEADERS,0))),"")))))))))}</f>
        <v>FORTITUDEL03</v>
      </c>
      <c r="J321" s="230"/>
      <c r="K321" s="230" t="str">
        <f t="array" ref="K321:K322">{"FORTITUDEL05";((IF("05"=(INDEX(ALLCLASSDATA,MATCH("FortitudeSaveLegendary",CLASSFEATUREHEADERS,0),MATCH($A322,CLASSNAMEHEADERS,0))),(INDEX(ALLCLASSDATA,MATCH("FortitudeSaveLegendary",CLASSFEATUREHEADERS,0),MATCH(($A322 &amp; "Points"),CLASSNAMEHEADERS,0))),(IF("05"=(INDEX(ALLCLASSDATA,MATCH("FortitudeSaveMaster",CLASSFEATUREHEADERS,0),MATCH($A322,CLASSNAMEHEADERS,0))),(INDEX(ALLCLASSDATA,MATCH("FortitudeSaveMaster",CLASSFEATUREHEADERS,0),MATCH(($A322 &amp; "Points"),CLASSNAMEHEADERS,0))),(IF("05"=(INDEX(ALLCLASSDATA,MATCH("FortitudeSaveExpert",CLASSFEATUREHEADERS,0),MATCH($A322,CLASSNAMEHEADERS,0))),(INDEX(ALLCLASSDATA,MATCH("FortitudeSaveExpert",CLASSFEATUREHEADERS,0),MATCH(($A322 &amp; "Points"),CLASSNAMEHEADERS,0))),(IF("05"=(INDEX(ALLCLASSDATA,MATCH("FortitudeSaveTrained",CLASSFEATUREHEADERS,0),MATCH($A322,CLASSNAMEHEADERS,0))),(INDEX(ALLCLASSDATA,MATCH("FortitudeSaveTrained",CLASSFEATUREHEADERS,0),MATCH(($A322 &amp; "Points"),CLASSNAMEHEADERS,0))),"")))))))))}</f>
        <v>FORTITUDEL05</v>
      </c>
      <c r="L321" s="230"/>
      <c r="M321" s="230" t="str">
        <f t="array" ref="M321:M322">{"FORTITUDEL07";((IF("07"=(INDEX(ALLCLASSDATA,MATCH("FortitudeSaveLegendary",CLASSFEATUREHEADERS,0),MATCH($A322,CLASSNAMEHEADERS,0))),(INDEX(ALLCLASSDATA,MATCH("FortitudeSaveLegendary",CLASSFEATUREHEADERS,0),MATCH(($A322 &amp; "Points"),CLASSNAMEHEADERS,0))),(IF("07"=(INDEX(ALLCLASSDATA,MATCH("FortitudeSaveMaster",CLASSFEATUREHEADERS,0),MATCH($A322,CLASSNAMEHEADERS,0))),(INDEX(ALLCLASSDATA,MATCH("FortitudeSaveMaster",CLASSFEATUREHEADERS,0),MATCH(($A322 &amp; "Points"),CLASSNAMEHEADERS,0))),(IF("07"=(INDEX(ALLCLASSDATA,MATCH("FortitudeSaveExpert",CLASSFEATUREHEADERS,0),MATCH($A322,CLASSNAMEHEADERS,0))),(INDEX(ALLCLASSDATA,MATCH("FortitudeSaveExpert",CLASSFEATUREHEADERS,0),MATCH(($A322 &amp; "Points"),CLASSNAMEHEADERS,0))),(IF("07"=(INDEX(ALLCLASSDATA,MATCH("FortitudeSaveTrained",CLASSFEATUREHEADERS,0),MATCH($A322,CLASSNAMEHEADERS,0))),(INDEX(ALLCLASSDATA,MATCH("FortitudeSaveTrained",CLASSFEATUREHEADERS,0),MATCH(($A322 &amp; "Points"),CLASSNAMEHEADERS,0))),"")))))))))}</f>
        <v>FORTITUDEL07</v>
      </c>
      <c r="N321" s="230"/>
      <c r="O321" s="230" t="str">
        <f t="array" ref="O321:O322">{"FORTITUDEL09";((IF("09"=(INDEX(ALLCLASSDATA,MATCH("FortitudeSaveLegendary",CLASSFEATUREHEADERS,0),MATCH($A322,CLASSNAMEHEADERS,0))),(INDEX(ALLCLASSDATA,MATCH("FortitudeSaveLegendary",CLASSFEATUREHEADERS,0),MATCH(($A322 &amp; "Points"),CLASSNAMEHEADERS,0))),(IF("09"=(INDEX(ALLCLASSDATA,MATCH("FortitudeSaveMaster",CLASSFEATUREHEADERS,0),MATCH($A322,CLASSNAMEHEADERS,0))),(INDEX(ALLCLASSDATA,MATCH("FortitudeSaveMaster",CLASSFEATUREHEADERS,0),MATCH(($A322 &amp; "Points"),CLASSNAMEHEADERS,0))),(IF("09"=(INDEX(ALLCLASSDATA,MATCH("FortitudeSaveExpert",CLASSFEATUREHEADERS,0),MATCH($A322,CLASSNAMEHEADERS,0))),(INDEX(ALLCLASSDATA,MATCH("FortitudeSaveExpert",CLASSFEATUREHEADERS,0),MATCH(($A322 &amp; "Points"),CLASSNAMEHEADERS,0))),(IF("09"=(INDEX(ALLCLASSDATA,MATCH("FortitudeSaveTrained",CLASSFEATUREHEADERS,0),MATCH($A322,CLASSNAMEHEADERS,0))),(INDEX(ALLCLASSDATA,MATCH("FortitudeSaveTrained",CLASSFEATUREHEADERS,0),MATCH(($A322 &amp; "Points"),CLASSNAMEHEADERS,0))),"")))))))))}</f>
        <v>FORTITUDEL09</v>
      </c>
      <c r="P321" s="230"/>
      <c r="Q321" s="230" t="str">
        <f t="array" ref="Q321:Q322">{"FORTITUDEL11";((IF("11"=(INDEX(ALLCLASSDATA,MATCH("FortitudeSaveLegendary",CLASSFEATUREHEADERS,0),MATCH($A322,CLASSNAMEHEADERS,0))),(INDEX(ALLCLASSDATA,MATCH("FortitudeSaveLegendary",CLASSFEATUREHEADERS,0),MATCH(($A322 &amp; "Points"),CLASSNAMEHEADERS,0))),(IF("11"=(INDEX(ALLCLASSDATA,MATCH("FortitudeSaveMaster",CLASSFEATUREHEADERS,0),MATCH($A322,CLASSNAMEHEADERS,0))),(INDEX(ALLCLASSDATA,MATCH("FortitudeSaveMaster",CLASSFEATUREHEADERS,0),MATCH(($A322 &amp; "Points"),CLASSNAMEHEADERS,0))),(IF("11"=(INDEX(ALLCLASSDATA,MATCH("FortitudeSaveExpert",CLASSFEATUREHEADERS,0),MATCH($A322,CLASSNAMEHEADERS,0))),(INDEX(ALLCLASSDATA,MATCH("FortitudeSaveExpert",CLASSFEATUREHEADERS,0),MATCH(($A322 &amp; "Points"),CLASSNAMEHEADERS,0))),(IF("11"=(INDEX(ALLCLASSDATA,MATCH("FortitudeSaveTrained",CLASSFEATUREHEADERS,0),MATCH($A322,CLASSNAMEHEADERS,0))),(INDEX(ALLCLASSDATA,MATCH("FortitudeSaveTrained",CLASSFEATUREHEADERS,0),MATCH(($A322 &amp; "Points"),CLASSNAMEHEADERS,0))),"")))))))))}</f>
        <v>FORTITUDEL11</v>
      </c>
      <c r="R321" s="230"/>
      <c r="S321" s="230" t="str">
        <f t="array" ref="S321:S322">{"FORTITUDEL13";((IF("13"=(INDEX(ALLCLASSDATA,MATCH("FortitudeSaveLegendary",CLASSFEATUREHEADERS,0),MATCH($A322,CLASSNAMEHEADERS,0))),(INDEX(ALLCLASSDATA,MATCH("FortitudeSaveLegendary",CLASSFEATUREHEADERS,0),MATCH(($A322 &amp; "Points"),CLASSNAMEHEADERS,0))),(IF("13"=(INDEX(ALLCLASSDATA,MATCH("FortitudeSaveMaster",CLASSFEATUREHEADERS,0),MATCH($A322,CLASSNAMEHEADERS,0))),(INDEX(ALLCLASSDATA,MATCH("FortitudeSaveMaster",CLASSFEATUREHEADERS,0),MATCH(($A322 &amp; "Points"),CLASSNAMEHEADERS,0))),(IF("13"=(INDEX(ALLCLASSDATA,MATCH("FortitudeSaveExpert",CLASSFEATUREHEADERS,0),MATCH($A322,CLASSNAMEHEADERS,0))),(INDEX(ALLCLASSDATA,MATCH("FortitudeSaveExpert",CLASSFEATUREHEADERS,0),MATCH(($A322 &amp; "Points"),CLASSNAMEHEADERS,0))),(IF("13"=(INDEX(ALLCLASSDATA,MATCH("FortitudeSaveTrained",CLASSFEATUREHEADERS,0),MATCH($A322,CLASSNAMEHEADERS,0))),(INDEX(ALLCLASSDATA,MATCH("FortitudeSaveTrained",CLASSFEATUREHEADERS,0),MATCH(($A322 &amp; "Points"),CLASSNAMEHEADERS,0))),"")))))))))}</f>
        <v>FORTITUDEL13</v>
      </c>
      <c r="T321" s="230"/>
      <c r="U321" s="230" t="str">
        <f t="array" ref="U321:U322">{"FORTITUDEL15";((IF("15"=(INDEX(ALLCLASSDATA,MATCH("FortitudeSaveLegendary",CLASSFEATUREHEADERS,0),MATCH($A322,CLASSNAMEHEADERS,0))),(INDEX(ALLCLASSDATA,MATCH("FortitudeSaveLegendary",CLASSFEATUREHEADERS,0),MATCH(($A322 &amp; "Points"),CLASSNAMEHEADERS,0))),(IF("15"=(INDEX(ALLCLASSDATA,MATCH("FortitudeSaveMaster",CLASSFEATUREHEADERS,0),MATCH($A322,CLASSNAMEHEADERS,0))),(INDEX(ALLCLASSDATA,MATCH("FortitudeSaveMaster",CLASSFEATUREHEADERS,0),MATCH(($A322 &amp; "Points"),CLASSNAMEHEADERS,0))),(IF("15"=(INDEX(ALLCLASSDATA,MATCH("FortitudeSaveExpert",CLASSFEATUREHEADERS,0),MATCH($A322,CLASSNAMEHEADERS,0))),(INDEX(ALLCLASSDATA,MATCH("FortitudeSaveExpert",CLASSFEATUREHEADERS,0),MATCH(($A322 &amp; "Points"),CLASSNAMEHEADERS,0))),(IF("15"=(INDEX(ALLCLASSDATA,MATCH("FortitudeSaveTrained",CLASSFEATUREHEADERS,0),MATCH($A322,CLASSNAMEHEADERS,0))),(INDEX(ALLCLASSDATA,MATCH("FortitudeSaveTrained",CLASSFEATUREHEADERS,0),MATCH(($A322 &amp; "Points"),CLASSNAMEHEADERS,0))),"")))))))))}</f>
        <v>FORTITUDEL15</v>
      </c>
      <c r="V321" s="230"/>
      <c r="W321" s="230" t="str">
        <f t="array" ref="W321:W322">{"FORTITUDEL17";((IF("17"=(INDEX(ALLCLASSDATA,MATCH("FortitudeSaveLegendary",CLASSFEATUREHEADERS,0),MATCH($A322,CLASSNAMEHEADERS,0))),(INDEX(ALLCLASSDATA,MATCH("FortitudeSaveLegendary",CLASSFEATUREHEADERS,0),MATCH(($A322 &amp; "Points"),CLASSNAMEHEADERS,0))),(IF("17"=(INDEX(ALLCLASSDATA,MATCH("FortitudeSaveMaster",CLASSFEATUREHEADERS,0),MATCH($A322,CLASSNAMEHEADERS,0))),(INDEX(ALLCLASSDATA,MATCH("FortitudeSaveMaster",CLASSFEATUREHEADERS,0),MATCH(($A322 &amp; "Points"),CLASSNAMEHEADERS,0))),(IF("17"=(INDEX(ALLCLASSDATA,MATCH("FortitudeSaveExpert",CLASSFEATUREHEADERS,0),MATCH($A322,CLASSNAMEHEADERS,0))),(INDEX(ALLCLASSDATA,MATCH("FortitudeSaveExpert",CLASSFEATUREHEADERS,0),MATCH(($A322 &amp; "Points"),CLASSNAMEHEADERS,0))),(IF("17"=(INDEX(ALLCLASSDATA,MATCH("FortitudeSaveTrained",CLASSFEATUREHEADERS,0),MATCH($A322,CLASSNAMEHEADERS,0))),(INDEX(ALLCLASSDATA,MATCH("FortitudeSaveTrained",CLASSFEATUREHEADERS,0),MATCH(($A322 &amp; "Points"),CLASSNAMEHEADERS,0))),"")))))))))}</f>
        <v>FORTITUDEL17</v>
      </c>
      <c r="X321" s="230"/>
      <c r="Y321" s="230" t="str">
        <f t="array" ref="Y321:Y322">{"FORTITUDEL19";((IF("19"=(INDEX(ALLCLASSDATA,MATCH("FortitudeSaveLegendary",CLASSFEATUREHEADERS,0),MATCH($A322,CLASSNAMEHEADERS,0))),(INDEX(ALLCLASSDATA,MATCH("FortitudeSaveLegendary",CLASSFEATUREHEADERS,0),MATCH(($A322 &amp; "Points"),CLASSNAMEHEADERS,0))),(IF("19"=(INDEX(ALLCLASSDATA,MATCH("FortitudeSaveMaster",CLASSFEATUREHEADERS,0),MATCH($A322,CLASSNAMEHEADERS,0))),(INDEX(ALLCLASSDATA,MATCH("FortitudeSaveMaster",CLASSFEATUREHEADERS,0),MATCH(($A322 &amp; "Points"),CLASSNAMEHEADERS,0))),(IF("19"=(INDEX(ALLCLASSDATA,MATCH("FortitudeSaveExpert",CLASSFEATUREHEADERS,0),MATCH($A322,CLASSNAMEHEADERS,0))),(INDEX(ALLCLASSDATA,MATCH("FortitudeSaveExpert",CLASSFEATUREHEADERS,0),MATCH(($A322 &amp; "Points"),CLASSNAMEHEADERS,0))),(IF("19"=(INDEX(ALLCLASSDATA,MATCH("FortitudeSaveTrained",CLASSFEATUREHEADERS,0),MATCH($A322,CLASSNAMEHEADERS,0))),(INDEX(ALLCLASSDATA,MATCH("FortitudeSaveTrained",CLASSFEATUREHEADERS,0),MATCH(($A322 &amp; "Points"),CLASSNAMEHEADERS,0))),"")))))))))}</f>
        <v>FORTITUDEL19</v>
      </c>
      <c r="Z321" s="230"/>
      <c r="AA321" s="76" t="str">
        <f t="array" ref="AA321:AA322">{"FORTITUDE TOTAL";(IF(COUNTBLANK(F322:Z322)=17,"L",(IF(COUNTBLANK(F322:Z322)=18,"M",(IF(COUNTBLANK(F322:Z322)=19,"E",(IF(COUNTBLANK(F322:Z322)=20,"T",""))))))))}</f>
        <v>FORTITUDE TOTAL</v>
      </c>
      <c r="AB321" s="76" t="str">
        <f t="array" ref="AB321:AB322">{"FORTITUDE TOTAL";(sum(F322:Z322))}</f>
        <v>FORTITUDE TOTAL</v>
      </c>
    </row>
    <row r="322">
      <c r="A322" s="48" t="s">
        <v>229</v>
      </c>
      <c r="B322" s="48" t="s">
        <v>418</v>
      </c>
      <c r="C322" s="48" t="s">
        <v>1549</v>
      </c>
      <c r="D322" s="48" t="s">
        <v>1550</v>
      </c>
      <c r="E322" s="5" t="s">
        <v>435</v>
      </c>
      <c r="F322" s="47" t="s">
        <v>603</v>
      </c>
      <c r="G322" s="5">
        <v>10.0</v>
      </c>
      <c r="H322" s="5"/>
      <c r="I322" s="5" t="s">
        <v>603</v>
      </c>
      <c r="J322" s="5"/>
      <c r="K322" s="5" t="s">
        <v>603</v>
      </c>
      <c r="L322" s="5"/>
      <c r="M322" s="5" t="s">
        <v>603</v>
      </c>
      <c r="N322" s="5"/>
      <c r="O322" s="5">
        <v>50.0</v>
      </c>
      <c r="P322" s="5"/>
      <c r="Q322" s="5" t="s">
        <v>603</v>
      </c>
      <c r="R322" s="5"/>
      <c r="S322" s="5" t="s">
        <v>603</v>
      </c>
      <c r="T322" s="5"/>
      <c r="U322" s="5" t="s">
        <v>603</v>
      </c>
      <c r="V322" s="5"/>
      <c r="W322" s="5" t="s">
        <v>603</v>
      </c>
      <c r="X322" s="5"/>
      <c r="Y322" s="5" t="s">
        <v>603</v>
      </c>
      <c r="Z322" s="5"/>
      <c r="AA322" s="5" t="s">
        <v>436</v>
      </c>
      <c r="AB322" s="47">
        <v>60.0</v>
      </c>
    </row>
    <row r="323" hidden="1">
      <c r="A323" s="222" t="str">
        <f t="array" ref="A323:A324">{"FormulaRow24";(INDEX(CLASSLIST,A276,1))}</f>
        <v>FormulaRow24</v>
      </c>
      <c r="B323" s="222" t="str">
        <f t="array" ref="B323:B324">{"CLASSTYPE";((INDEX(ALLCLASSDATA,MATCH("ClassType",CLASSFEATUREHEADERS,0),MATCH($A324,CLASSNAMEHEADERS,0))))}</f>
        <v>CLASSTYPE</v>
      </c>
      <c r="C323" s="222" t="str">
        <f t="array" ref="C323:C324">{"SAVES";"Saves"}</f>
        <v>SAVES</v>
      </c>
      <c r="D323" s="222" t="str">
        <f t="array" ref="D323:D324">{"REFLEXSAVE";"ReflexSave"}</f>
        <v>REFLEXSAVE</v>
      </c>
      <c r="E323" s="223" t="str">
        <f t="array" ref="E323:E324">{"REFLEXINITIAL";((IF(G324=10,"T",(IF(G324=50,"E","")))))}</f>
        <v>REFLEXINITIAL</v>
      </c>
      <c r="F323" s="223" t="str">
        <f t="array" ref="F323:F324">{"REFLEXINITIALPTS";((IF("00"=(INDEX(ALLCLASSDATA,MATCH("ReflexSaveLegendary",CLASSFEATUREHEADERS,0),MATCH($A324,CLASSNAMEHEADERS,0))),(INDEX(ALLCLASSDATA,MATCH("ReflexSaveLegendary",CLASSFEATUREHEADERS,0),MATCH(($A324 &amp; "Points"),CLASSNAMEHEADERS,0))),(IF("00"=(INDEX(ALLCLASSDATA,MATCH("ReflexSaveMaster",CLASSFEATUREHEADERS,0),MATCH($A324,CLASSNAMEHEADERS,0))),(INDEX(ALLCLASSDATA,MATCH("ReflexSaveMaster",CLASSFEATUREHEADERS,0),MATCH(($A324 &amp; "Points"),CLASSNAMEHEADERS,0))),(IF("00"=(INDEX(ALLCLASSDATA,MATCH("ReflexSaveExpert",CLASSFEATUREHEADERS,0),MATCH($A324,CLASSNAMEHEADERS,0))),(INDEX(ALLCLASSDATA,MATCH("ReflexSaveExpert",CLASSFEATUREHEADERS,0),MATCH(($A324 &amp; "Points"),CLASSNAMEHEADERS,0))),(IF("00"=(INDEX(ALLCLASSDATA,MATCH("ReflexSaveTrained",CLASSFEATUREHEADERS,0),MATCH($A324,CLASSNAMEHEADERS,0))),(INDEX(ALLCLASSDATA,MATCH("ReflexSaveTrained",CLASSFEATUREHEADERS,0),MATCH(($A324 &amp; "Points"),CLASSNAMEHEADERS,0))),"")))))))))}</f>
        <v>REFLEXINITIALPTS</v>
      </c>
      <c r="G323" s="223" t="str">
        <f t="array" ref="G323:G324">{"REFLEXL01";((IF("01"=(INDEX(ALLCLASSDATA,MATCH("ReflexSaveLegendary",CLASSFEATUREHEADERS,0),MATCH($A324,CLASSNAMEHEADERS,0))),(INDEX(ALLCLASSDATA,MATCH("ReflexSaveLegendary",CLASSFEATUREHEADERS,0),MATCH(($A324 &amp; "Points"),CLASSNAMEHEADERS,0))),(IF("01"=(INDEX(ALLCLASSDATA,MATCH("ReflexSaveMaster",CLASSFEATUREHEADERS,0),MATCH($A324,CLASSNAMEHEADERS,0))),(INDEX(ALLCLASSDATA,MATCH("ReflexSaveMaster",CLASSFEATUREHEADERS,0),MATCH(($A324 &amp; "Points"),CLASSNAMEHEADERS,0))),(IF("01"=(INDEX(ALLCLASSDATA,MATCH("ReflexSaveExpert",CLASSFEATUREHEADERS,0),MATCH($A324,CLASSNAMEHEADERS,0))),(INDEX(ALLCLASSDATA,MATCH("ReflexSaveExpert",CLASSFEATUREHEADERS,0),MATCH(($A324 &amp; "Points"),CLASSNAMEHEADERS,0))),(IF("01"=(INDEX(ALLCLASSDATA,MATCH("ReflexSaveTrained",CLASSFEATUREHEADERS,0),MATCH($A324,CLASSNAMEHEADERS,0))),(INDEX(ALLCLASSDATA,MATCH("ReflexSaveTrained",CLASSFEATUREHEADERS,0),MATCH(($A324 &amp; "Points"),CLASSNAMEHEADERS,0))),"")))))))))}</f>
        <v>REFLEXL01</v>
      </c>
      <c r="H323" s="223"/>
      <c r="I323" s="223" t="str">
        <f t="array" ref="I323:I324">{"REFLEXL03";((IF("03"=(INDEX(ALLCLASSDATA,MATCH("ReflexSaveLegendary",CLASSFEATUREHEADERS,0),MATCH($A324,CLASSNAMEHEADERS,0))),(INDEX(ALLCLASSDATA,MATCH("ReflexSaveLegendary",CLASSFEATUREHEADERS,0),MATCH(($A324 &amp; "Points"),CLASSNAMEHEADERS,0))),(IF("03"=(INDEX(ALLCLASSDATA,MATCH("ReflexSaveMaster",CLASSFEATUREHEADERS,0),MATCH($A324,CLASSNAMEHEADERS,0))),(INDEX(ALLCLASSDATA,MATCH("ReflexSaveMaster",CLASSFEATUREHEADERS,0),MATCH(($A324 &amp; "Points"),CLASSNAMEHEADERS,0))),(IF("03"=(INDEX(ALLCLASSDATA,MATCH("ReflexSaveExpert",CLASSFEATUREHEADERS,0),MATCH($A324,CLASSNAMEHEADERS,0))),(INDEX(ALLCLASSDATA,MATCH("ReflexSaveExpert",CLASSFEATUREHEADERS,0),MATCH(($A324 &amp; "Points"),CLASSNAMEHEADERS,0))),(IF("03"=(INDEX(ALLCLASSDATA,MATCH("ReflexSaveTrained",CLASSFEATUREHEADERS,0),MATCH($A324,CLASSNAMEHEADERS,0))),(INDEX(ALLCLASSDATA,MATCH("ReflexSaveTrained",CLASSFEATUREHEADERS,0),MATCH(($A324 &amp; "Points"),CLASSNAMEHEADERS,0))),"")))))))))}</f>
        <v>REFLEXL03</v>
      </c>
      <c r="J323" s="223"/>
      <c r="K323" s="223" t="str">
        <f t="array" ref="K323:K324">{"REFLEXL05";((IF("05"=(INDEX(ALLCLASSDATA,MATCH("ReflexSaveLegendary",CLASSFEATUREHEADERS,0),MATCH($A324,CLASSNAMEHEADERS,0))),(INDEX(ALLCLASSDATA,MATCH("ReflexSaveLegendary",CLASSFEATUREHEADERS,0),MATCH(($A324 &amp; "Points"),CLASSNAMEHEADERS,0))),(IF("05"=(INDEX(ALLCLASSDATA,MATCH("ReflexSaveMaster",CLASSFEATUREHEADERS,0),MATCH($A324,CLASSNAMEHEADERS,0))),(INDEX(ALLCLASSDATA,MATCH("ReflexSaveMaster",CLASSFEATUREHEADERS,0),MATCH(($A324 &amp; "Points"),CLASSNAMEHEADERS,0))),(IF("05"=(INDEX(ALLCLASSDATA,MATCH("ReflexSaveExpert",CLASSFEATUREHEADERS,0),MATCH($A324,CLASSNAMEHEADERS,0))),(INDEX(ALLCLASSDATA,MATCH("ReflexSaveExpert",CLASSFEATUREHEADERS,0),MATCH(($A324 &amp; "Points"),CLASSNAMEHEADERS,0))),(IF("05"=(INDEX(ALLCLASSDATA,MATCH("ReflexSaveTrained",CLASSFEATUREHEADERS,0),MATCH($A324,CLASSNAMEHEADERS,0))),(INDEX(ALLCLASSDATA,MATCH("ReflexSaveTrained",CLASSFEATUREHEADERS,0),MATCH(($A324 &amp; "Points"),CLASSNAMEHEADERS,0))),"")))))))))}</f>
        <v>REFLEXL05</v>
      </c>
      <c r="L323" s="223"/>
      <c r="M323" s="223" t="str">
        <f t="array" ref="M323:M324">{"REFLEXL07";((IF("07"=(INDEX(ALLCLASSDATA,MATCH("ReflexSaveLegendary",CLASSFEATUREHEADERS,0),MATCH($A324,CLASSNAMEHEADERS,0))),(INDEX(ALLCLASSDATA,MATCH("ReflexSaveLegendary",CLASSFEATUREHEADERS,0),MATCH(($A324 &amp; "Points"),CLASSNAMEHEADERS,0))),(IF("07"=(INDEX(ALLCLASSDATA,MATCH("ReflexSaveMaster",CLASSFEATUREHEADERS,0),MATCH($A324,CLASSNAMEHEADERS,0))),(INDEX(ALLCLASSDATA,MATCH("ReflexSaveMaster",CLASSFEATUREHEADERS,0),MATCH(($A324 &amp; "Points"),CLASSNAMEHEADERS,0))),(IF("07"=(INDEX(ALLCLASSDATA,MATCH("ReflexSaveExpert",CLASSFEATUREHEADERS,0),MATCH($A324,CLASSNAMEHEADERS,0))),(INDEX(ALLCLASSDATA,MATCH("ReflexSaveExpert",CLASSFEATUREHEADERS,0),MATCH(($A324 &amp; "Points"),CLASSNAMEHEADERS,0))),(IF("07"=(INDEX(ALLCLASSDATA,MATCH("ReflexSaveTrained",CLASSFEATUREHEADERS,0),MATCH($A324,CLASSNAMEHEADERS,0))),(INDEX(ALLCLASSDATA,MATCH("ReflexSaveTrained",CLASSFEATUREHEADERS,0),MATCH(($A324 &amp; "Points"),CLASSNAMEHEADERS,0))),"")))))))))}</f>
        <v>REFLEXL07</v>
      </c>
      <c r="N323" s="223"/>
      <c r="O323" s="223" t="str">
        <f t="array" ref="O323:O324">{"REFLEXL09";((IF("09"=(INDEX(ALLCLASSDATA,MATCH("ReflexSaveLegendary",CLASSFEATUREHEADERS,0),MATCH($A324,CLASSNAMEHEADERS,0))),(INDEX(ALLCLASSDATA,MATCH("ReflexSaveLegendary",CLASSFEATUREHEADERS,0),MATCH(($A324 &amp; "Points"),CLASSNAMEHEADERS,0))),(IF("09"=(INDEX(ALLCLASSDATA,MATCH("ReflexSaveMaster",CLASSFEATUREHEADERS,0),MATCH($A324,CLASSNAMEHEADERS,0))),(INDEX(ALLCLASSDATA,MATCH("ReflexSaveMaster",CLASSFEATUREHEADERS,0),MATCH(($A324 &amp; "Points"),CLASSNAMEHEADERS,0))),(IF("09"=(INDEX(ALLCLASSDATA,MATCH("ReflexSaveExpert",CLASSFEATUREHEADERS,0),MATCH($A324,CLASSNAMEHEADERS,0))),(INDEX(ALLCLASSDATA,MATCH("ReflexSaveExpert",CLASSFEATUREHEADERS,0),MATCH(($A324 &amp; "Points"),CLASSNAMEHEADERS,0))),(IF("09"=(INDEX(ALLCLASSDATA,MATCH("ReflexSaveTrained",CLASSFEATUREHEADERS,0),MATCH($A324,CLASSNAMEHEADERS,0))),(INDEX(ALLCLASSDATA,MATCH("ReflexSaveTrained",CLASSFEATUREHEADERS,0),MATCH(($A324 &amp; "Points"),CLASSNAMEHEADERS,0))),"")))))))))}</f>
        <v>REFLEXL09</v>
      </c>
      <c r="P323" s="223"/>
      <c r="Q323" s="223" t="str">
        <f t="array" ref="Q323:Q324">{"REFLEXL11";((IF("11"=(INDEX(ALLCLASSDATA,MATCH("ReflexSaveLegendary",CLASSFEATUREHEADERS,0),MATCH($A324,CLASSNAMEHEADERS,0))),(INDEX(ALLCLASSDATA,MATCH("ReflexSaveLegendary",CLASSFEATUREHEADERS,0),MATCH(($A324 &amp; "Points"),CLASSNAMEHEADERS,0))),(IF("11"=(INDEX(ALLCLASSDATA,MATCH("ReflexSaveMaster",CLASSFEATUREHEADERS,0),MATCH($A324,CLASSNAMEHEADERS,0))),(INDEX(ALLCLASSDATA,MATCH("ReflexSaveMaster",CLASSFEATUREHEADERS,0),MATCH(($A324 &amp; "Points"),CLASSNAMEHEADERS,0))),(IF("11"=(INDEX(ALLCLASSDATA,MATCH("ReflexSaveExpert",CLASSFEATUREHEADERS,0),MATCH($A324,CLASSNAMEHEADERS,0))),(INDEX(ALLCLASSDATA,MATCH("ReflexSaveExpert",CLASSFEATUREHEADERS,0),MATCH(($A324 &amp; "Points"),CLASSNAMEHEADERS,0))),(IF("11"=(INDEX(ALLCLASSDATA,MATCH("ReflexSaveTrained",CLASSFEATUREHEADERS,0),MATCH($A324,CLASSNAMEHEADERS,0))),(INDEX(ALLCLASSDATA,MATCH("ReflexSaveTrained",CLASSFEATUREHEADERS,0),MATCH(($A324 &amp; "Points"),CLASSNAMEHEADERS,0))),"")))))))))}</f>
        <v>REFLEXL11</v>
      </c>
      <c r="R323" s="223"/>
      <c r="S323" s="223" t="str">
        <f t="array" ref="S323:S324">{"REFLEXL13";((IF("13"=(INDEX(ALLCLASSDATA,MATCH("ReflexSaveLegendary",CLASSFEATUREHEADERS,0),MATCH($A324,CLASSNAMEHEADERS,0))),(INDEX(ALLCLASSDATA,MATCH("ReflexSaveLegendary",CLASSFEATUREHEADERS,0),MATCH(($A324 &amp; "Points"),CLASSNAMEHEADERS,0))),(IF("13"=(INDEX(ALLCLASSDATA,MATCH("ReflexSaveMaster",CLASSFEATUREHEADERS,0),MATCH($A324,CLASSNAMEHEADERS,0))),(INDEX(ALLCLASSDATA,MATCH("ReflexSaveMaster",CLASSFEATUREHEADERS,0),MATCH(($A324 &amp; "Points"),CLASSNAMEHEADERS,0))),(IF("13"=(INDEX(ALLCLASSDATA,MATCH("ReflexSaveExpert",CLASSFEATUREHEADERS,0),MATCH($A324,CLASSNAMEHEADERS,0))),(INDEX(ALLCLASSDATA,MATCH("ReflexSaveExpert",CLASSFEATUREHEADERS,0),MATCH(($A324 &amp; "Points"),CLASSNAMEHEADERS,0))),(IF("13"=(INDEX(ALLCLASSDATA,MATCH("ReflexSaveTrained",CLASSFEATUREHEADERS,0),MATCH($A324,CLASSNAMEHEADERS,0))),(INDEX(ALLCLASSDATA,MATCH("ReflexSaveTrained",CLASSFEATUREHEADERS,0),MATCH(($A324 &amp; "Points"),CLASSNAMEHEADERS,0))),"")))))))))}</f>
        <v>REFLEXL13</v>
      </c>
      <c r="T323" s="223"/>
      <c r="U323" s="223" t="str">
        <f t="array" ref="U323:U324">{"REFLEXL15";((IF("15"=(INDEX(ALLCLASSDATA,MATCH("ReflexSaveLegendary",CLASSFEATUREHEADERS,0),MATCH($A324,CLASSNAMEHEADERS,0))),(INDEX(ALLCLASSDATA,MATCH("ReflexSaveLegendary",CLASSFEATUREHEADERS,0),MATCH(($A324 &amp; "Points"),CLASSNAMEHEADERS,0))),(IF("15"=(INDEX(ALLCLASSDATA,MATCH("ReflexSaveMaster",CLASSFEATUREHEADERS,0),MATCH($A324,CLASSNAMEHEADERS,0))),(INDEX(ALLCLASSDATA,MATCH("ReflexSaveMaster",CLASSFEATUREHEADERS,0),MATCH(($A324 &amp; "Points"),CLASSNAMEHEADERS,0))),(IF("15"=(INDEX(ALLCLASSDATA,MATCH("ReflexSaveExpert",CLASSFEATUREHEADERS,0),MATCH($A324,CLASSNAMEHEADERS,0))),(INDEX(ALLCLASSDATA,MATCH("ReflexSaveExpert",CLASSFEATUREHEADERS,0),MATCH(($A324 &amp; "Points"),CLASSNAMEHEADERS,0))),(IF("15"=(INDEX(ALLCLASSDATA,MATCH("ReflexSaveTrained",CLASSFEATUREHEADERS,0),MATCH($A324,CLASSNAMEHEADERS,0))),(INDEX(ALLCLASSDATA,MATCH("ReflexSaveTrained",CLASSFEATUREHEADERS,0),MATCH(($A324 &amp; "Points"),CLASSNAMEHEADERS,0))),"")))))))))}</f>
        <v>REFLEXL15</v>
      </c>
      <c r="V323" s="223"/>
      <c r="W323" s="223" t="str">
        <f t="array" ref="W323:W324">{"REFLEXL17";((IF("17"=(INDEX(ALLCLASSDATA,MATCH("ReflexSaveLegendary",CLASSFEATUREHEADERS,0),MATCH($A324,CLASSNAMEHEADERS,0))),(INDEX(ALLCLASSDATA,MATCH("ReflexSaveLegendary",CLASSFEATUREHEADERS,0),MATCH(($A324 &amp; "Points"),CLASSNAMEHEADERS,0))),(IF("17"=(INDEX(ALLCLASSDATA,MATCH("ReflexSaveMaster",CLASSFEATUREHEADERS,0),MATCH($A324,CLASSNAMEHEADERS,0))),(INDEX(ALLCLASSDATA,MATCH("ReflexSaveMaster",CLASSFEATUREHEADERS,0),MATCH(($A324 &amp; "Points"),CLASSNAMEHEADERS,0))),(IF("17"=(INDEX(ALLCLASSDATA,MATCH("ReflexSaveExpert",CLASSFEATUREHEADERS,0),MATCH($A324,CLASSNAMEHEADERS,0))),(INDEX(ALLCLASSDATA,MATCH("ReflexSaveExpert",CLASSFEATUREHEADERS,0),MATCH(($A324 &amp; "Points"),CLASSNAMEHEADERS,0))),(IF("17"=(INDEX(ALLCLASSDATA,MATCH("ReflexSaveTrained",CLASSFEATUREHEADERS,0),MATCH($A324,CLASSNAMEHEADERS,0))),(INDEX(ALLCLASSDATA,MATCH("ReflexSaveTrained",CLASSFEATUREHEADERS,0),MATCH(($A324 &amp; "Points"),CLASSNAMEHEADERS,0))),"")))))))))}</f>
        <v>REFLEXL17</v>
      </c>
      <c r="X323" s="223"/>
      <c r="Y323" s="223" t="str">
        <f t="array" ref="Y323:Y324">{"REFLEXL19";((IF("19"=(INDEX(ALLCLASSDATA,MATCH("ReflexSaveLegendary",CLASSFEATUREHEADERS,0),MATCH($A324,CLASSNAMEHEADERS,0))),(INDEX(ALLCLASSDATA,MATCH("ReflexSaveLegendary",CLASSFEATUREHEADERS,0),MATCH(($A324 &amp; "Points"),CLASSNAMEHEADERS,0))),(IF("19"=(INDEX(ALLCLASSDATA,MATCH("ReflexSaveMaster",CLASSFEATUREHEADERS,0),MATCH($A324,CLASSNAMEHEADERS,0))),(INDEX(ALLCLASSDATA,MATCH("ReflexSaveMaster",CLASSFEATUREHEADERS,0),MATCH(($A324 &amp; "Points"),CLASSNAMEHEADERS,0))),(IF("19"=(INDEX(ALLCLASSDATA,MATCH("ReflexSaveExpert",CLASSFEATUREHEADERS,0),MATCH($A324,CLASSNAMEHEADERS,0))),(INDEX(ALLCLASSDATA,MATCH("ReflexSaveExpert",CLASSFEATUREHEADERS,0),MATCH(($A324 &amp; "Points"),CLASSNAMEHEADERS,0))),(IF("19"=(INDEX(ALLCLASSDATA,MATCH("ReflexSaveTrained",CLASSFEATUREHEADERS,0),MATCH($A324,CLASSNAMEHEADERS,0))),(INDEX(ALLCLASSDATA,MATCH("ReflexSaveTrained",CLASSFEATUREHEADERS,0),MATCH(($A324 &amp; "Points"),CLASSNAMEHEADERS,0))),"")))))))))}</f>
        <v>REFLEXL19</v>
      </c>
      <c r="Z323" s="223"/>
      <c r="AA323" s="76" t="str">
        <f t="array" ref="AA323:AA324">{"REFLEX TOTAL";(IF(COUNTBLANK(F324:Z324)=17,"L",(IF(COUNTBLANK(F324:Z324)=18,"M",(IF(COUNTBLANK(F324:Z324)=19,"E",(IF(COUNTBLANK(F324:Z324)=20,"T",""))))))))}</f>
        <v>REFLEX TOTAL</v>
      </c>
      <c r="AB323" s="76" t="str">
        <f t="array" ref="AB323:AB324">{"REFLEX TOTAL";(sum(F324:Z324))}</f>
        <v>REFLEX TOTAL</v>
      </c>
    </row>
    <row r="324">
      <c r="A324" s="48" t="s">
        <v>229</v>
      </c>
      <c r="B324" s="48" t="s">
        <v>418</v>
      </c>
      <c r="C324" s="48" t="s">
        <v>1549</v>
      </c>
      <c r="D324" s="48" t="s">
        <v>1572</v>
      </c>
      <c r="E324" s="5" t="s">
        <v>435</v>
      </c>
      <c r="F324" s="47" t="s">
        <v>603</v>
      </c>
      <c r="G324" s="5">
        <v>10.0</v>
      </c>
      <c r="H324" s="5"/>
      <c r="I324" s="5" t="s">
        <v>603</v>
      </c>
      <c r="J324" s="5"/>
      <c r="K324" s="5">
        <v>50.0</v>
      </c>
      <c r="L324" s="5"/>
      <c r="M324" s="5" t="s">
        <v>603</v>
      </c>
      <c r="N324" s="5"/>
      <c r="O324" s="5" t="s">
        <v>603</v>
      </c>
      <c r="P324" s="5"/>
      <c r="Q324" s="5" t="s">
        <v>603</v>
      </c>
      <c r="R324" s="5"/>
      <c r="S324" s="5" t="s">
        <v>603</v>
      </c>
      <c r="T324" s="5"/>
      <c r="U324" s="5" t="s">
        <v>603</v>
      </c>
      <c r="V324" s="5"/>
      <c r="W324" s="5" t="s">
        <v>603</v>
      </c>
      <c r="X324" s="5"/>
      <c r="Y324" s="5" t="s">
        <v>603</v>
      </c>
      <c r="Z324" s="5"/>
      <c r="AA324" s="5" t="s">
        <v>436</v>
      </c>
      <c r="AB324" s="47">
        <v>60.0</v>
      </c>
    </row>
    <row r="325" hidden="1">
      <c r="A325" s="222" t="str">
        <f t="array" ref="A325:A326">{"FormulaRow25";(INDEX(CLASSLIST,A276,1))}</f>
        <v>FormulaRow25</v>
      </c>
      <c r="B325" s="222" t="str">
        <f t="array" ref="B325:B326">{"CLASSTYPE";((INDEX(ALLCLASSDATA,MATCH("ClassType",CLASSFEATUREHEADERS,0),MATCH($A326,CLASSNAMEHEADERS,0))))}</f>
        <v>CLASSTYPE</v>
      </c>
      <c r="C325" s="222" t="str">
        <f t="array" ref="C325:C326">{"SAVES";"Saves"}</f>
        <v>SAVES</v>
      </c>
      <c r="D325" s="222" t="str">
        <f t="array" ref="D325:D326">{"WILLSAVE";"WillSave"}</f>
        <v>WILLSAVE</v>
      </c>
      <c r="E325" s="223" t="str">
        <f t="array" ref="E325:E326">{"WILLINITIAL";((IF(G326=10,"T",(IF(G326=50,"E","")))))}</f>
        <v>WILLINITIAL</v>
      </c>
      <c r="F325" s="223" t="str">
        <f t="array" ref="F325:F326">{"WILLINITIALPTS";((IF("00"=(INDEX(ALLCLASSDATA,MATCH("WillSaveLegendary",CLASSFEATUREHEADERS,0),MATCH($A326,CLASSNAMEHEADERS,0))),(INDEX(ALLCLASSDATA,MATCH("WillSaveLegendary",CLASSFEATUREHEADERS,0),MATCH(($A326 &amp; "Points"),CLASSNAMEHEADERS,0))),(IF("00"=(INDEX(ALLCLASSDATA,MATCH("WillSaveMaster",CLASSFEATUREHEADERS,0),MATCH($A326,CLASSNAMEHEADERS,0))),(INDEX(ALLCLASSDATA,MATCH("WillSaveMaster",CLASSFEATUREHEADERS,0),MATCH(($A326 &amp; "Points"),CLASSNAMEHEADERS,0))),(IF("00"=(INDEX(ALLCLASSDATA,MATCH("WillSaveExpert",CLASSFEATUREHEADERS,0),MATCH($A326,CLASSNAMEHEADERS,0))),(INDEX(ALLCLASSDATA,MATCH("WillSaveExpert",CLASSFEATUREHEADERS,0),MATCH(($A326 &amp; "Points"),CLASSNAMEHEADERS,0))),(IF("00"=(INDEX(ALLCLASSDATA,MATCH("WillSaveTrained",CLASSFEATUREHEADERS,0),MATCH($A326,CLASSNAMEHEADERS,0))),(INDEX(ALLCLASSDATA,MATCH("WillSaveTrained",CLASSFEATUREHEADERS,0),MATCH(($A326 &amp; "Points"),CLASSNAMEHEADERS,0))),"")))))))))}</f>
        <v>WILLINITIALPTS</v>
      </c>
      <c r="G325" s="223" t="str">
        <f t="array" ref="G325:G326">{"WILLL01";((IF("01"=(INDEX(ALLCLASSDATA,MATCH("WillSaveLegendary",CLASSFEATUREHEADERS,0),MATCH($A326,CLASSNAMEHEADERS,0))),(INDEX(ALLCLASSDATA,MATCH("WillSaveLegendary",CLASSFEATUREHEADERS,0),MATCH(($A326 &amp; "Points"),CLASSNAMEHEADERS,0))),(IF("01"=(INDEX(ALLCLASSDATA,MATCH("WillSaveMaster",CLASSFEATUREHEADERS,0),MATCH($A326,CLASSNAMEHEADERS,0))),(INDEX(ALLCLASSDATA,MATCH("WillSaveMaster",CLASSFEATUREHEADERS,0),MATCH(($A326 &amp; "Points"),CLASSNAMEHEADERS,0))),(IF("01"=(INDEX(ALLCLASSDATA,MATCH("WillSaveExpert",CLASSFEATUREHEADERS,0),MATCH($A326,CLASSNAMEHEADERS,0))),(INDEX(ALLCLASSDATA,MATCH("WillSaveExpert",CLASSFEATUREHEADERS,0),MATCH(($A326 &amp; "Points"),CLASSNAMEHEADERS,0))),(IF("01"=(INDEX(ALLCLASSDATA,MATCH("WillSaveTrained",CLASSFEATUREHEADERS,0),MATCH($A326,CLASSNAMEHEADERS,0))),(INDEX(ALLCLASSDATA,MATCH("WillSaveTrained",CLASSFEATUREHEADERS,0),MATCH(($A326 &amp; "Points"),CLASSNAMEHEADERS,0))),"")))))))))}</f>
        <v>WILLL01</v>
      </c>
      <c r="H325" s="223"/>
      <c r="I325" s="223" t="str">
        <f t="array" ref="I325:I326">{"WILLL03";((IF("03"=(INDEX(ALLCLASSDATA,MATCH("WillSaveLegendary",CLASSFEATUREHEADERS,0),MATCH($A326,CLASSNAMEHEADERS,0))),(INDEX(ALLCLASSDATA,MATCH("WillSaveLegendary",CLASSFEATUREHEADERS,0),MATCH(($A326 &amp; "Points"),CLASSNAMEHEADERS,0))),(IF("03"=(INDEX(ALLCLASSDATA,MATCH("WillSaveMaster",CLASSFEATUREHEADERS,0),MATCH($A326,CLASSNAMEHEADERS,0))),(INDEX(ALLCLASSDATA,MATCH("WillSaveMaster",CLASSFEATUREHEADERS,0),MATCH(($A326 &amp; "Points"),CLASSNAMEHEADERS,0))),(IF("03"=(INDEX(ALLCLASSDATA,MATCH("WillSaveExpert",CLASSFEATUREHEADERS,0),MATCH($A326,CLASSNAMEHEADERS,0))),(INDEX(ALLCLASSDATA,MATCH("WillSaveExpert",CLASSFEATUREHEADERS,0),MATCH(($A326 &amp; "Points"),CLASSNAMEHEADERS,0))),(IF("03"=(INDEX(ALLCLASSDATA,MATCH("WillSaveTrained",CLASSFEATUREHEADERS,0),MATCH($A326,CLASSNAMEHEADERS,0))),(INDEX(ALLCLASSDATA,MATCH("WillSaveTrained",CLASSFEATUREHEADERS,0),MATCH(($A326 &amp; "Points"),CLASSNAMEHEADERS,0))),"")))))))))}</f>
        <v>WILLL03</v>
      </c>
      <c r="J325" s="223"/>
      <c r="K325" s="223" t="str">
        <f t="array" ref="K325:K326">{"WILLL05";((IF("05"=(INDEX(ALLCLASSDATA,MATCH("WillSaveLegendary",CLASSFEATUREHEADERS,0),MATCH($A326,CLASSNAMEHEADERS,0))),(INDEX(ALLCLASSDATA,MATCH("WillSaveLegendary",CLASSFEATUREHEADERS,0),MATCH(($A326 &amp; "Points"),CLASSNAMEHEADERS,0))),(IF("05"=(INDEX(ALLCLASSDATA,MATCH("WillSaveMaster",CLASSFEATUREHEADERS,0),MATCH($A326,CLASSNAMEHEADERS,0))),(INDEX(ALLCLASSDATA,MATCH("WillSaveMaster",CLASSFEATUREHEADERS,0),MATCH(($A326 &amp; "Points"),CLASSNAMEHEADERS,0))),(IF("05"=(INDEX(ALLCLASSDATA,MATCH("WillSaveExpert",CLASSFEATUREHEADERS,0),MATCH($A326,CLASSNAMEHEADERS,0))),(INDEX(ALLCLASSDATA,MATCH("WillSaveExpert",CLASSFEATUREHEADERS,0),MATCH(($A326 &amp; "Points"),CLASSNAMEHEADERS,0))),(IF("05"=(INDEX(ALLCLASSDATA,MATCH("WillSaveTrained",CLASSFEATUREHEADERS,0),MATCH($A326,CLASSNAMEHEADERS,0))),(INDEX(ALLCLASSDATA,MATCH("WillSaveTrained",CLASSFEATUREHEADERS,0),MATCH(($A326 &amp; "Points"),CLASSNAMEHEADERS,0))),"")))))))))}</f>
        <v>WILLL05</v>
      </c>
      <c r="L325" s="223"/>
      <c r="M325" s="223" t="str">
        <f t="array" ref="M325:M326">{"WILLL07";((IF("07"=(INDEX(ALLCLASSDATA,MATCH("WillSaveLegendary",CLASSFEATUREHEADERS,0),MATCH($A326,CLASSNAMEHEADERS,0))),(INDEX(ALLCLASSDATA,MATCH("WillSaveLegendary",CLASSFEATUREHEADERS,0),MATCH(($A326 &amp; "Points"),CLASSNAMEHEADERS,0))),(IF("07"=(INDEX(ALLCLASSDATA,MATCH("WillSaveMaster",CLASSFEATUREHEADERS,0),MATCH($A326,CLASSNAMEHEADERS,0))),(INDEX(ALLCLASSDATA,MATCH("WillSaveMaster",CLASSFEATUREHEADERS,0),MATCH(($A326 &amp; "Points"),CLASSNAMEHEADERS,0))),(IF("07"=(INDEX(ALLCLASSDATA,MATCH("WillSaveExpert",CLASSFEATUREHEADERS,0),MATCH($A326,CLASSNAMEHEADERS,0))),(INDEX(ALLCLASSDATA,MATCH("WillSaveExpert",CLASSFEATUREHEADERS,0),MATCH(($A326 &amp; "Points"),CLASSNAMEHEADERS,0))),(IF("07"=(INDEX(ALLCLASSDATA,MATCH("WillSaveTrained",CLASSFEATUREHEADERS,0),MATCH($A326,CLASSNAMEHEADERS,0))),(INDEX(ALLCLASSDATA,MATCH("WillSaveTrained",CLASSFEATUREHEADERS,0),MATCH(($A326 &amp; "Points"),CLASSNAMEHEADERS,0))),"")))))))))}</f>
        <v>WILLL07</v>
      </c>
      <c r="N325" s="223"/>
      <c r="O325" s="223" t="str">
        <f t="array" ref="O325:O326">{"WILLL09";((IF("09"=(INDEX(ALLCLASSDATA,MATCH("WillSaveLegendary",CLASSFEATUREHEADERS,0),MATCH($A326,CLASSNAMEHEADERS,0))),(INDEX(ALLCLASSDATA,MATCH("WillSaveLegendary",CLASSFEATUREHEADERS,0),MATCH(($A326 &amp; "Points"),CLASSNAMEHEADERS,0))),(IF("09"=(INDEX(ALLCLASSDATA,MATCH("WillSaveMaster",CLASSFEATUREHEADERS,0),MATCH($A326,CLASSNAMEHEADERS,0))),(INDEX(ALLCLASSDATA,MATCH("WillSaveMaster",CLASSFEATUREHEADERS,0),MATCH(($A326 &amp; "Points"),CLASSNAMEHEADERS,0))),(IF("09"=(INDEX(ALLCLASSDATA,MATCH("WillSaveExpert",CLASSFEATUREHEADERS,0),MATCH($A326,CLASSNAMEHEADERS,0))),(INDEX(ALLCLASSDATA,MATCH("WillSaveExpert",CLASSFEATUREHEADERS,0),MATCH(($A326 &amp; "Points"),CLASSNAMEHEADERS,0))),(IF("09"=(INDEX(ALLCLASSDATA,MATCH("WillSaveTrained",CLASSFEATUREHEADERS,0),MATCH($A326,CLASSNAMEHEADERS,0))),(INDEX(ALLCLASSDATA,MATCH("WillSaveTrained",CLASSFEATUREHEADERS,0),MATCH(($A326 &amp; "Points"),CLASSNAMEHEADERS,0))),"")))))))))}</f>
        <v>WILLL09</v>
      </c>
      <c r="P325" s="223"/>
      <c r="Q325" s="223" t="str">
        <f t="array" ref="Q325:Q326">{"WILLL11";((IF("11"=(INDEX(ALLCLASSDATA,MATCH("WillSaveLegendary",CLASSFEATUREHEADERS,0),MATCH($A326,CLASSNAMEHEADERS,0))),(INDEX(ALLCLASSDATA,MATCH("WillSaveLegendary",CLASSFEATUREHEADERS,0),MATCH(($A326 &amp; "Points"),CLASSNAMEHEADERS,0))),(IF("11"=(INDEX(ALLCLASSDATA,MATCH("WillSaveMaster",CLASSFEATUREHEADERS,0),MATCH($A326,CLASSNAMEHEADERS,0))),(INDEX(ALLCLASSDATA,MATCH("WillSaveMaster",CLASSFEATUREHEADERS,0),MATCH(($A326 &amp; "Points"),CLASSNAMEHEADERS,0))),(IF("11"=(INDEX(ALLCLASSDATA,MATCH("WillSaveExpert",CLASSFEATUREHEADERS,0),MATCH($A326,CLASSNAMEHEADERS,0))),(INDEX(ALLCLASSDATA,MATCH("WillSaveExpert",CLASSFEATUREHEADERS,0),MATCH(($A326 &amp; "Points"),CLASSNAMEHEADERS,0))),(IF("11"=(INDEX(ALLCLASSDATA,MATCH("WillSaveTrained",CLASSFEATUREHEADERS,0),MATCH($A326,CLASSNAMEHEADERS,0))),(INDEX(ALLCLASSDATA,MATCH("WillSaveTrained",CLASSFEATUREHEADERS,0),MATCH(($A326 &amp; "Points"),CLASSNAMEHEADERS,0))),"")))))))))}</f>
        <v>WILLL11</v>
      </c>
      <c r="R325" s="223"/>
      <c r="S325" s="223" t="str">
        <f t="array" ref="S325:S326">{"WILLL13";((IF("13"=(INDEX(ALLCLASSDATA,MATCH("WillSaveLegendary",CLASSFEATUREHEADERS,0),MATCH($A326,CLASSNAMEHEADERS,0))),(INDEX(ALLCLASSDATA,MATCH("WillSaveLegendary",CLASSFEATUREHEADERS,0),MATCH(($A326 &amp; "Points"),CLASSNAMEHEADERS,0))),(IF("13"=(INDEX(ALLCLASSDATA,MATCH("WillSaveMaster",CLASSFEATUREHEADERS,0),MATCH($A326,CLASSNAMEHEADERS,0))),(INDEX(ALLCLASSDATA,MATCH("WillSaveMaster",CLASSFEATUREHEADERS,0),MATCH(($A326 &amp; "Points"),CLASSNAMEHEADERS,0))),(IF("13"=(INDEX(ALLCLASSDATA,MATCH("WillSaveExpert",CLASSFEATUREHEADERS,0),MATCH($A326,CLASSNAMEHEADERS,0))),(INDEX(ALLCLASSDATA,MATCH("WillSaveExpert",CLASSFEATUREHEADERS,0),MATCH(($A326 &amp; "Points"),CLASSNAMEHEADERS,0))),(IF("13"=(INDEX(ALLCLASSDATA,MATCH("WillSaveTrained",CLASSFEATUREHEADERS,0),MATCH($A326,CLASSNAMEHEADERS,0))),(INDEX(ALLCLASSDATA,MATCH("WillSaveTrained",CLASSFEATUREHEADERS,0),MATCH(($A326 &amp; "Points"),CLASSNAMEHEADERS,0))),"")))))))))}</f>
        <v>WILLL13</v>
      </c>
      <c r="T325" s="223"/>
      <c r="U325" s="223" t="str">
        <f t="array" ref="U325:U326">{"WILLL15";((IF("15"=(INDEX(ALLCLASSDATA,MATCH("WillSaveLegendary",CLASSFEATUREHEADERS,0),MATCH($A326,CLASSNAMEHEADERS,0))),(INDEX(ALLCLASSDATA,MATCH("WillSaveLegendary",CLASSFEATUREHEADERS,0),MATCH(($A326 &amp; "Points"),CLASSNAMEHEADERS,0))),(IF("15"=(INDEX(ALLCLASSDATA,MATCH("WillSaveMaster",CLASSFEATUREHEADERS,0),MATCH($A326,CLASSNAMEHEADERS,0))),(INDEX(ALLCLASSDATA,MATCH("WillSaveMaster",CLASSFEATUREHEADERS,0),MATCH(($A326 &amp; "Points"),CLASSNAMEHEADERS,0))),(IF("15"=(INDEX(ALLCLASSDATA,MATCH("WillSaveExpert",CLASSFEATUREHEADERS,0),MATCH($A326,CLASSNAMEHEADERS,0))),(INDEX(ALLCLASSDATA,MATCH("WillSaveExpert",CLASSFEATUREHEADERS,0),MATCH(($A326 &amp; "Points"),CLASSNAMEHEADERS,0))),(IF("15"=(INDEX(ALLCLASSDATA,MATCH("WillSaveTrained",CLASSFEATUREHEADERS,0),MATCH($A326,CLASSNAMEHEADERS,0))),(INDEX(ALLCLASSDATA,MATCH("WillSaveTrained",CLASSFEATUREHEADERS,0),MATCH(($A326 &amp; "Points"),CLASSNAMEHEADERS,0))),"")))))))))}</f>
        <v>WILLL15</v>
      </c>
      <c r="V325" s="223"/>
      <c r="W325" s="223" t="str">
        <f t="array" ref="W325:W326">{"WILLL17";((IF("17"=(INDEX(ALLCLASSDATA,MATCH("WillSaveLegendary",CLASSFEATUREHEADERS,0),MATCH($A326,CLASSNAMEHEADERS,0))),(INDEX(ALLCLASSDATA,MATCH("WillSaveLegendary",CLASSFEATUREHEADERS,0),MATCH(($A326 &amp; "Points"),CLASSNAMEHEADERS,0))),(IF("17"=(INDEX(ALLCLASSDATA,MATCH("WillSaveMaster",CLASSFEATUREHEADERS,0),MATCH($A326,CLASSNAMEHEADERS,0))),(INDEX(ALLCLASSDATA,MATCH("WillSaveMaster",CLASSFEATUREHEADERS,0),MATCH(($A326 &amp; "Points"),CLASSNAMEHEADERS,0))),(IF("17"=(INDEX(ALLCLASSDATA,MATCH("WillSaveExpert",CLASSFEATUREHEADERS,0),MATCH($A326,CLASSNAMEHEADERS,0))),(INDEX(ALLCLASSDATA,MATCH("WillSaveExpert",CLASSFEATUREHEADERS,0),MATCH(($A326 &amp; "Points"),CLASSNAMEHEADERS,0))),(IF("17"=(INDEX(ALLCLASSDATA,MATCH("WillSaveTrained",CLASSFEATUREHEADERS,0),MATCH($A326,CLASSNAMEHEADERS,0))),(INDEX(ALLCLASSDATA,MATCH("WillSaveTrained",CLASSFEATUREHEADERS,0),MATCH(($A326 &amp; "Points"),CLASSNAMEHEADERS,0))),"")))))))))}</f>
        <v>WILLL17</v>
      </c>
      <c r="X325" s="223"/>
      <c r="Y325" s="223" t="str">
        <f t="array" ref="Y325:Y326">{"WILLL19";((IF("19"=(INDEX(ALLCLASSDATA,MATCH("WillSaveLegendary",CLASSFEATUREHEADERS,0),MATCH($A326,CLASSNAMEHEADERS,0))),(INDEX(ALLCLASSDATA,MATCH("WillSaveLegendary",CLASSFEATUREHEADERS,0),MATCH(($A326 &amp; "Points"),CLASSNAMEHEADERS,0))),(IF("19"=(INDEX(ALLCLASSDATA,MATCH("WillSaveMaster",CLASSFEATUREHEADERS,0),MATCH($A326,CLASSNAMEHEADERS,0))),(INDEX(ALLCLASSDATA,MATCH("WillSaveMaster",CLASSFEATUREHEADERS,0),MATCH(($A326 &amp; "Points"),CLASSNAMEHEADERS,0))),(IF("19"=(INDEX(ALLCLASSDATA,MATCH("WillSaveExpert",CLASSFEATUREHEADERS,0),MATCH($A326,CLASSNAMEHEADERS,0))),(INDEX(ALLCLASSDATA,MATCH("WillSaveExpert",CLASSFEATUREHEADERS,0),MATCH(($A326 &amp; "Points"),CLASSNAMEHEADERS,0))),(IF("19"=(INDEX(ALLCLASSDATA,MATCH("WillSaveTrained",CLASSFEATUREHEADERS,0),MATCH($A326,CLASSNAMEHEADERS,0))),(INDEX(ALLCLASSDATA,MATCH("WillSaveTrained",CLASSFEATUREHEADERS,0),MATCH(($A326 &amp; "Points"),CLASSNAMEHEADERS,0))),"")))))))))}</f>
        <v>WILLL19</v>
      </c>
      <c r="Z325" s="223"/>
      <c r="AA325" s="76" t="str">
        <f t="array" ref="AA325:AA326">{"WILL TOTAL";(IF(COUNTBLANK(F326:Z326)=17,"L",(IF(COUNTBLANK(F326:Z326)=18,"M",(IF(COUNTBLANK(F326:Z326)=19,"E",(IF(COUNTBLANK(F326:Z326)=20,"T",""))))))))}</f>
        <v>WILL TOTAL</v>
      </c>
      <c r="AB325" s="76" t="str">
        <f t="array" ref="AB325:AB326">{"WILL TOTAL";(sum(F326:Z326))}</f>
        <v>WILL TOTAL</v>
      </c>
    </row>
    <row r="326">
      <c r="A326" s="48" t="s">
        <v>229</v>
      </c>
      <c r="B326" s="48" t="s">
        <v>418</v>
      </c>
      <c r="C326" s="97" t="s">
        <v>1549</v>
      </c>
      <c r="D326" s="97" t="s">
        <v>1591</v>
      </c>
      <c r="E326" s="98" t="s">
        <v>436</v>
      </c>
      <c r="F326" s="132">
        <v>10.0</v>
      </c>
      <c r="G326" s="98">
        <v>50.0</v>
      </c>
      <c r="H326" s="98"/>
      <c r="I326" s="98" t="s">
        <v>603</v>
      </c>
      <c r="J326" s="98"/>
      <c r="K326" s="98" t="s">
        <v>603</v>
      </c>
      <c r="L326" s="97"/>
      <c r="M326" s="98" t="s">
        <v>603</v>
      </c>
      <c r="N326" s="98"/>
      <c r="O326" s="98" t="s">
        <v>603</v>
      </c>
      <c r="P326" s="97"/>
      <c r="Q326" s="98" t="s">
        <v>603</v>
      </c>
      <c r="R326" s="98"/>
      <c r="S326" s="98" t="s">
        <v>603</v>
      </c>
      <c r="T326" s="98"/>
      <c r="U326" s="98" t="s">
        <v>603</v>
      </c>
      <c r="V326" s="98"/>
      <c r="W326" s="98">
        <v>110.0</v>
      </c>
      <c r="X326" s="98"/>
      <c r="Y326" s="98" t="s">
        <v>603</v>
      </c>
      <c r="Z326" s="98"/>
      <c r="AA326" s="5" t="s">
        <v>437</v>
      </c>
      <c r="AB326" s="47">
        <v>170.0</v>
      </c>
    </row>
    <row r="327" hidden="1">
      <c r="A327" s="222" t="str">
        <f t="array" ref="A327:A328">{"FormulaRow26";(INDEX(CLASSLIST,A276,1))}</f>
        <v>FormulaRow26</v>
      </c>
      <c r="B327" s="222" t="str">
        <f t="array" ref="B327:B328">{"CLASSTYPE";((INDEX(ALLCLASSDATA,MATCH("ClassType",CLASSFEATUREHEADERS,0),MATCH($A328,CLASSNAMEHEADERS,0))))}</f>
        <v>CLASSTYPE</v>
      </c>
      <c r="C327" s="228" t="str">
        <f t="array" ref="C327:C328">{"ATTACK";"Attack"}</f>
        <v>ATTACK</v>
      </c>
      <c r="D327" s="228" t="str">
        <f t="array" ref="D327:D328">{"WEAPONSPECIAL";"WeaponCS/WS/GWS"}</f>
        <v>WEAPONSPECIAL</v>
      </c>
      <c r="E327" s="230"/>
      <c r="F327" s="230"/>
      <c r="G327" s="230" t="str">
        <f t="array" ref="G327:G328">{"WEAPONSPECIALL01";((IF("01"=INDEX(ALLCLASSDATA,MATCH("WeaponGreaterSpecialization",CLASSFEATUREHEADERS,0),MATCH($A328,CLASSNAMEHEADERS,0)),WeaponGWS,(IF("01"=INDEX(ALLCLASSDATA,MATCH("WeaponSpecialization",CLASSFEATUREHEADERS,0),MATCH($A328,CLASSNAMEHEADERS,0)),WeaponWS,(IF("01"=INDEX(ALLCLASSDATA,MATCH("WeaponCriticalSpecialization",CLASSFEATUREHEADERS,0),MATCH($A328,CLASSNAMEHEADERS,0)),WeaponCS,"")))))))}</f>
        <v>WEAPONSPECIALL01</v>
      </c>
      <c r="H327" s="230"/>
      <c r="I327" s="230" t="str">
        <f t="array" ref="I327:I328">{"WEAPONSPECIALL03";((IF("03"=INDEX(ALLCLASSDATA,MATCH("WeaponGreaterSpecialization",CLASSFEATUREHEADERS,0),MATCH($A328,CLASSNAMEHEADERS,0)),WeaponGWS,(IF("03"=INDEX(ALLCLASSDATA,MATCH("WeaponSpecialization",CLASSFEATUREHEADERS,0),MATCH($A328,CLASSNAMEHEADERS,0)),WeaponWS,(IF("03"=INDEX(ALLCLASSDATA,MATCH("WeaponCriticalSpecialization",CLASSFEATUREHEADERS,0),MATCH($A328,CLASSNAMEHEADERS,0)),WeaponCS,"")))))))}</f>
        <v>WEAPONSPECIALL03</v>
      </c>
      <c r="J327" s="230"/>
      <c r="K327" s="230" t="str">
        <f t="array" ref="K327:K328">{"WEAPONSPECIALL05";((IF("05"=INDEX(ALLCLASSDATA,MATCH("WeaponGreaterSpecialization",CLASSFEATUREHEADERS,0),MATCH($A328,CLASSNAMEHEADERS,0)),WeaponGWS,(IF("05"=INDEX(ALLCLASSDATA,MATCH("WeaponSpecialization",CLASSFEATUREHEADERS,0),MATCH($A328,CLASSNAMEHEADERS,0)),WeaponWS,(IF("05"=INDEX(ALLCLASSDATA,MATCH("WeaponCriticalSpecialization",CLASSFEATUREHEADERS,0),MATCH($A328,CLASSNAMEHEADERS,0)),WeaponCS,"")))))))}</f>
        <v>WEAPONSPECIALL05</v>
      </c>
      <c r="L327" s="230"/>
      <c r="M327" s="230" t="str">
        <f t="array" ref="M327:M328">{"WEAPONSPECIALL07";((IF("07"=INDEX(ALLCLASSDATA,MATCH("WeaponGreaterSpecialization",CLASSFEATUREHEADERS,0),MATCH($A328,CLASSNAMEHEADERS,0)),WeaponGWS,(IF("07"=INDEX(ALLCLASSDATA,MATCH("WeaponSpecialization",CLASSFEATUREHEADERS,0),MATCH($A328,CLASSNAMEHEADERS,0)),WeaponWS,(IF("07"=INDEX(ALLCLASSDATA,MATCH("WeaponCriticalSpecialization",CLASSFEATUREHEADERS,0),MATCH($A328,CLASSNAMEHEADERS,0)),WeaponCS,"")))))))}</f>
        <v>WEAPONSPECIALL07</v>
      </c>
      <c r="N327" s="230"/>
      <c r="O327" s="230" t="str">
        <f t="array" ref="O327:O328">{"WEAPONSPECIALL09";((IF("09"=INDEX(ALLCLASSDATA,MATCH("WeaponGreaterSpecialization",CLASSFEATUREHEADERS,0),MATCH($A328,CLASSNAMEHEADERS,0)),WeaponGWS,(IF("09"=INDEX(ALLCLASSDATA,MATCH("WeaponSpecialization",CLASSFEATUREHEADERS,0),MATCH($A328,CLASSNAMEHEADERS,0)),WeaponWS,(IF("09"=INDEX(ALLCLASSDATA,MATCH("WeaponCriticalSpecialization",CLASSFEATUREHEADERS,0),MATCH($A328,CLASSNAMEHEADERS,0)),WeaponCS,"")))))))}</f>
        <v>WEAPONSPECIALL09</v>
      </c>
      <c r="P327" s="230"/>
      <c r="Q327" s="230" t="str">
        <f t="array" ref="Q327:Q328">{"WEAPONSPECIALL11";((IF("11"=INDEX(ALLCLASSDATA,MATCH("WeaponGreaterSpecialization",CLASSFEATUREHEADERS,0),MATCH($A328,CLASSNAMEHEADERS,0)),WeaponGWS,(IF("11"=INDEX(ALLCLASSDATA,MATCH("WeaponSpecialization",CLASSFEATUREHEADERS,0),MATCH($A328,CLASSNAMEHEADERS,0)),WeaponWS,(IF("11"=INDEX(ALLCLASSDATA,MATCH("WeaponCriticalSpecialization",CLASSFEATUREHEADERS,0),MATCH($A328,CLASSNAMEHEADERS,0)),WeaponCS,"")))))))}</f>
        <v>WEAPONSPECIALL11</v>
      </c>
      <c r="R327" s="230"/>
      <c r="S327" s="230" t="str">
        <f t="array" ref="S327:S328">{"WEAPONSPECIALL13";((IF("13"=INDEX(ALLCLASSDATA,MATCH("WeaponGreaterSpecialization",CLASSFEATUREHEADERS,0),MATCH($A328,CLASSNAMEHEADERS,0)),WeaponGWS,(IF("13"=INDEX(ALLCLASSDATA,MATCH("WeaponSpecialization",CLASSFEATUREHEADERS,0),MATCH($A328,CLASSNAMEHEADERS,0)),WeaponWS,(IF("13"=INDEX(ALLCLASSDATA,MATCH("WeaponCriticalSpecialization",CLASSFEATUREHEADERS,0),MATCH($A328,CLASSNAMEHEADERS,0)),WeaponCS,"")))))))}</f>
        <v>WEAPONSPECIALL13</v>
      </c>
      <c r="T327" s="230"/>
      <c r="U327" s="230" t="str">
        <f t="array" ref="U327:U328">{"WEAPONSPECIALL15";((IF("15"=INDEX(ALLCLASSDATA,MATCH("WeaponGreaterSpecialization",CLASSFEATUREHEADERS,0),MATCH($A328,CLASSNAMEHEADERS,0)),WeaponGWS,(IF("15"=INDEX(ALLCLASSDATA,MATCH("WeaponSpecialization",CLASSFEATUREHEADERS,0),MATCH($A328,CLASSNAMEHEADERS,0)),WeaponWS,(IF("15"=INDEX(ALLCLASSDATA,MATCH("WeaponCriticalSpecialization",CLASSFEATUREHEADERS,0),MATCH($A328,CLASSNAMEHEADERS,0)),WeaponCS,"")))))))}</f>
        <v>WEAPONSPECIALL15</v>
      </c>
      <c r="V327" s="230"/>
      <c r="W327" s="230" t="str">
        <f t="array" ref="W327:W328">{"WEAPONSPECIALL17";((IF("17"=INDEX(ALLCLASSDATA,MATCH("WeaponGreaterSpecialization",CLASSFEATUREHEADERS,0),MATCH($A328,CLASSNAMEHEADERS,0)),WeaponGWS,(IF("17"=INDEX(ALLCLASSDATA,MATCH("WeaponSpecialization",CLASSFEATUREHEADERS,0),MATCH($A328,CLASSNAMEHEADERS,0)),WeaponWS,(IF("17"=INDEX(ALLCLASSDATA,MATCH("WeaponCriticalSpecialization",CLASSFEATUREHEADERS,0),MATCH($A328,CLASSNAMEHEADERS,0)),WeaponCS,"")))))))}</f>
        <v>WEAPONSPECIALL17</v>
      </c>
      <c r="X327" s="230"/>
      <c r="Y327" s="230" t="str">
        <f t="array" ref="Y327:Y328">{"WEAPONSPECIALL19";((IF("19"=INDEX(ALLCLASSDATA,MATCH("WeaponGreaterSpecialization",CLASSFEATUREHEADERS,0),MATCH($A328,CLASSNAMEHEADERS,0)),WeaponGWS,(IF("19"=INDEX(ALLCLASSDATA,MATCH("WeaponSpecialization",CLASSFEATUREHEADERS,0),MATCH($A328,CLASSNAMEHEADERS,0)),WeaponWS,(IF("19"=INDEX(ALLCLASSDATA,MATCH("WeaponCriticalSpecialization",CLASSFEATUREHEADERS,0),MATCH($A328,CLASSNAMEHEADERS,0)),WeaponCS,"")))))))}</f>
        <v>WEAPONSPECIALL19</v>
      </c>
      <c r="Z327" s="230"/>
      <c r="AA327" s="76"/>
      <c r="AB327" s="76" t="str">
        <f t="array" ref="AB327:AB328">{"WEAPONSPECIAL TOTAL";(sum(F328:Z328))}</f>
        <v>WEAPONSPECIAL TOTAL</v>
      </c>
    </row>
    <row r="328">
      <c r="A328" s="48" t="s">
        <v>229</v>
      </c>
      <c r="B328" s="48" t="s">
        <v>418</v>
      </c>
      <c r="C328" s="48" t="s">
        <v>1634</v>
      </c>
      <c r="D328" s="48" t="s">
        <v>1635</v>
      </c>
      <c r="E328" s="5"/>
      <c r="F328" s="47"/>
      <c r="G328" s="5" t="s">
        <v>603</v>
      </c>
      <c r="H328" s="5"/>
      <c r="I328" s="5" t="s">
        <v>603</v>
      </c>
      <c r="J328" s="5"/>
      <c r="K328" s="5" t="s">
        <v>603</v>
      </c>
      <c r="L328" s="5"/>
      <c r="M328" s="5" t="s">
        <v>603</v>
      </c>
      <c r="N328" s="5"/>
      <c r="O328" s="5" t="s">
        <v>603</v>
      </c>
      <c r="P328" s="5"/>
      <c r="Q328" s="5" t="s">
        <v>603</v>
      </c>
      <c r="R328" s="5"/>
      <c r="S328" s="5">
        <v>70.0</v>
      </c>
      <c r="T328" s="5"/>
      <c r="U328" s="5" t="s">
        <v>603</v>
      </c>
      <c r="V328" s="5"/>
      <c r="W328" s="5" t="s">
        <v>603</v>
      </c>
      <c r="X328" s="5"/>
      <c r="Y328" s="5" t="s">
        <v>603</v>
      </c>
      <c r="Z328" s="5"/>
      <c r="AA328" s="5"/>
      <c r="AB328" s="47">
        <v>70.0</v>
      </c>
    </row>
    <row r="329" hidden="1">
      <c r="A329" s="222" t="str">
        <f t="array" ref="A329:A330">{"FormulaRow27";(INDEX(CLASSLIST,A276,1))}</f>
        <v>FormulaRow27</v>
      </c>
      <c r="B329" s="222" t="str">
        <f t="array" ref="B329:B330">{"CLASSTYPE";((INDEX(ALLCLASSDATA,MATCH("ClassType",CLASSFEATUREHEADERS,0),MATCH($A330,CLASSNAMEHEADERS,0))))}</f>
        <v>CLASSTYPE</v>
      </c>
      <c r="C329" s="222" t="str">
        <f t="array" ref="C329:C330">{"ATTACK";"Attack"}</f>
        <v>ATTACK</v>
      </c>
      <c r="D329" s="222" t="str">
        <f t="array" ref="D329:D330">{"UNARMED";"Unarmed"}</f>
        <v>UNARMED</v>
      </c>
      <c r="E329" s="223" t="str">
        <f t="array" ref="E329:E330">{"UNARMEDINITIAL";((IF(G330=10,"T",(IF(G330=50,"E","")))))}</f>
        <v>UNARMEDINITIAL</v>
      </c>
      <c r="F329" s="223" t="str">
        <f t="array" ref="F329:F330">{"UNARMEDINITIALPTS";((IF("00"=(INDEX(ALLCLASSDATA,MATCH("UnarmedLegendary",CLASSFEATUREHEADERS,0),MATCH($A330,CLASSNAMEHEADERS,0))),(INDEX(ALLCLASSDATA,MATCH("UnarmedLegendary",CLASSFEATUREHEADERS,0),MATCH(($A330 &amp; "Points"),CLASSNAMEHEADERS,0))),(IF("00"=(INDEX(ALLCLASSDATA,MATCH("UnarmedMaster",CLASSFEATUREHEADERS,0),MATCH($A330,CLASSNAMEHEADERS,0))),(INDEX(ALLCLASSDATA,MATCH("UnarmedMaster",CLASSFEATUREHEADERS,0),MATCH(($A330 &amp; "Points"),CLASSNAMEHEADERS,0))),(IF("00"=(INDEX(ALLCLASSDATA,MATCH("UnarmedExpert",CLASSFEATUREHEADERS,0),MATCH($A330,CLASSNAMEHEADERS,0))),(INDEX(ALLCLASSDATA,MATCH("UnarmedExpert",CLASSFEATUREHEADERS,0),MATCH(($A330 &amp; "Points"),CLASSNAMEHEADERS,0))),(IF("00"=(INDEX(ALLCLASSDATA,MATCH("UnarmedTrained",CLASSFEATUREHEADERS,0),MATCH($A330,CLASSNAMEHEADERS,0))),(INDEX(ALLCLASSDATA,MATCH("UnarmedTrained",CLASSFEATUREHEADERS,0),MATCH(($A330 &amp; "Points"),CLASSNAMEHEADERS,0))),"")))))))))}</f>
        <v>UNARMEDINITIALPTS</v>
      </c>
      <c r="G329" s="223" t="str">
        <f t="array" ref="G329:G330">{"UNARMEDL01";((IF("01"=(INDEX(ALLCLASSDATA,MATCH("UnarmedLegendary",CLASSFEATUREHEADERS,0),MATCH($A330,CLASSNAMEHEADERS,0))),(INDEX(ALLCLASSDATA,MATCH("UnarmedLegendary",CLASSFEATUREHEADERS,0),MATCH(($A330 &amp; "Points"),CLASSNAMEHEADERS,0))),(IF("01"=(INDEX(ALLCLASSDATA,MATCH("UnarmedMaster",CLASSFEATUREHEADERS,0),MATCH($A330,CLASSNAMEHEADERS,0))),(INDEX(ALLCLASSDATA,MATCH("UnarmedMaster",CLASSFEATUREHEADERS,0),MATCH(($A330 &amp; "Points"),CLASSNAMEHEADERS,0))),(IF("01"=(INDEX(ALLCLASSDATA,MATCH("UnarmedExpert",CLASSFEATUREHEADERS,0),MATCH($A330,CLASSNAMEHEADERS,0))),(INDEX(ALLCLASSDATA,MATCH("UnarmedExpert",CLASSFEATUREHEADERS,0),MATCH(($A330 &amp; "Points"),CLASSNAMEHEADERS,0))),(IF("01"=(INDEX(ALLCLASSDATA,MATCH("UnarmedTrained",CLASSFEATUREHEADERS,0),MATCH($A330,CLASSNAMEHEADERS,0))),(INDEX(ALLCLASSDATA,MATCH("UnarmedTrained",CLASSFEATUREHEADERS,0),MATCH(($A330 &amp; "Points"),CLASSNAMEHEADERS,0))),"")))))))))}</f>
        <v>UNARMEDL01</v>
      </c>
      <c r="H329" s="223"/>
      <c r="I329" s="223" t="str">
        <f t="array" ref="I329:I330">{"UNARMEDL03";((IF("03"=(INDEX(ALLCLASSDATA,MATCH("UnarmedLegendary",CLASSFEATUREHEADERS,0),MATCH($A330,CLASSNAMEHEADERS,0))),(INDEX(ALLCLASSDATA,MATCH("UnarmedLegendary",CLASSFEATUREHEADERS,0),MATCH(($A330 &amp; "Points"),CLASSNAMEHEADERS,0))),(IF("03"=(INDEX(ALLCLASSDATA,MATCH("UnarmedMaster",CLASSFEATUREHEADERS,0),MATCH($A330,CLASSNAMEHEADERS,0))),(INDEX(ALLCLASSDATA,MATCH("UnarmedMaster",CLASSFEATUREHEADERS,0),MATCH(($A330 &amp; "Points"),CLASSNAMEHEADERS,0))),(IF("03"=(INDEX(ALLCLASSDATA,MATCH("UnarmedExpert",CLASSFEATUREHEADERS,0),MATCH($A330,CLASSNAMEHEADERS,0))),(INDEX(ALLCLASSDATA,MATCH("UnarmedExpert",CLASSFEATUREHEADERS,0),MATCH(($A330 &amp; "Points"),CLASSNAMEHEADERS,0))),(IF("03"=(INDEX(ALLCLASSDATA,MATCH("UnarmedTrained",CLASSFEATUREHEADERS,0),MATCH($A330,CLASSNAMEHEADERS,0))),(INDEX(ALLCLASSDATA,MATCH("UnarmedTrained",CLASSFEATUREHEADERS,0),MATCH(($A330 &amp; "Points"),CLASSNAMEHEADERS,0))),"")))))))))}</f>
        <v>UNARMEDL03</v>
      </c>
      <c r="J329" s="223"/>
      <c r="K329" s="223" t="str">
        <f t="array" ref="K329:K330">{"UNARMEDL05";((IF("05"=(INDEX(ALLCLASSDATA,MATCH("UnarmedLegendary",CLASSFEATUREHEADERS,0),MATCH($A330,CLASSNAMEHEADERS,0))),(INDEX(ALLCLASSDATA,MATCH("UnarmedLegendary",CLASSFEATUREHEADERS,0),MATCH(($A330 &amp; "Points"),CLASSNAMEHEADERS,0))),(IF("05"=(INDEX(ALLCLASSDATA,MATCH("UnarmedMaster",CLASSFEATUREHEADERS,0),MATCH($A330,CLASSNAMEHEADERS,0))),(INDEX(ALLCLASSDATA,MATCH("UnarmedMaster",CLASSFEATUREHEADERS,0),MATCH(($A330 &amp; "Points"),CLASSNAMEHEADERS,0))),(IF("05"=(INDEX(ALLCLASSDATA,MATCH("UnarmedExpert",CLASSFEATUREHEADERS,0),MATCH($A330,CLASSNAMEHEADERS,0))),(INDEX(ALLCLASSDATA,MATCH("UnarmedExpert",CLASSFEATUREHEADERS,0),MATCH(($A330 &amp; "Points"),CLASSNAMEHEADERS,0))),(IF("05"=(INDEX(ALLCLASSDATA,MATCH("UnarmedTrained",CLASSFEATUREHEADERS,0),MATCH($A330,CLASSNAMEHEADERS,0))),(INDEX(ALLCLASSDATA,MATCH("UnarmedTrained",CLASSFEATUREHEADERS,0),MATCH(($A330 &amp; "Points"),CLASSNAMEHEADERS,0))),"")))))))))}</f>
        <v>UNARMEDL05</v>
      </c>
      <c r="L329" s="223"/>
      <c r="M329" s="223" t="str">
        <f t="array" ref="M329:M330">{"UNARMEDL07";((IF("07"=(INDEX(ALLCLASSDATA,MATCH("UnarmedLegendary",CLASSFEATUREHEADERS,0),MATCH($A330,CLASSNAMEHEADERS,0))),(INDEX(ALLCLASSDATA,MATCH("UnarmedLegendary",CLASSFEATUREHEADERS,0),MATCH(($A330 &amp; "Points"),CLASSNAMEHEADERS,0))),(IF("07"=(INDEX(ALLCLASSDATA,MATCH("UnarmedMaster",CLASSFEATUREHEADERS,0),MATCH($A330,CLASSNAMEHEADERS,0))),(INDEX(ALLCLASSDATA,MATCH("UnarmedMaster",CLASSFEATUREHEADERS,0),MATCH(($A330 &amp; "Points"),CLASSNAMEHEADERS,0))),(IF("07"=(INDEX(ALLCLASSDATA,MATCH("UnarmedExpert",CLASSFEATUREHEADERS,0),MATCH($A330,CLASSNAMEHEADERS,0))),(INDEX(ALLCLASSDATA,MATCH("UnarmedExpert",CLASSFEATUREHEADERS,0),MATCH(($A330 &amp; "Points"),CLASSNAMEHEADERS,0))),(IF("07"=(INDEX(ALLCLASSDATA,MATCH("UnarmedTrained",CLASSFEATUREHEADERS,0),MATCH($A330,CLASSNAMEHEADERS,0))),(INDEX(ALLCLASSDATA,MATCH("UnarmedTrained",CLASSFEATUREHEADERS,0),MATCH(($A330 &amp; "Points"),CLASSNAMEHEADERS,0))),"")))))))))}</f>
        <v>UNARMEDL07</v>
      </c>
      <c r="N329" s="223"/>
      <c r="O329" s="223" t="str">
        <f t="array" ref="O329:O330">{"UNARMEDL09";((IF("09"=(INDEX(ALLCLASSDATA,MATCH("UnarmedLegendary",CLASSFEATUREHEADERS,0),MATCH($A330,CLASSNAMEHEADERS,0))),(INDEX(ALLCLASSDATA,MATCH("UnarmedLegendary",CLASSFEATUREHEADERS,0),MATCH(($A330 &amp; "Points"),CLASSNAMEHEADERS,0))),(IF("09"=(INDEX(ALLCLASSDATA,MATCH("UnarmedMaster",CLASSFEATUREHEADERS,0),MATCH($A330,CLASSNAMEHEADERS,0))),(INDEX(ALLCLASSDATA,MATCH("UnarmedMaster",CLASSFEATUREHEADERS,0),MATCH(($A330 &amp; "Points"),CLASSNAMEHEADERS,0))),(IF("09"=(INDEX(ALLCLASSDATA,MATCH("UnarmedExpert",CLASSFEATUREHEADERS,0),MATCH($A330,CLASSNAMEHEADERS,0))),(INDEX(ALLCLASSDATA,MATCH("UnarmedExpert",CLASSFEATUREHEADERS,0),MATCH(($A330 &amp; "Points"),CLASSNAMEHEADERS,0))),(IF("09"=(INDEX(ALLCLASSDATA,MATCH("UnarmedTrained",CLASSFEATUREHEADERS,0),MATCH($A330,CLASSNAMEHEADERS,0))),(INDEX(ALLCLASSDATA,MATCH("UnarmedTrained",CLASSFEATUREHEADERS,0),MATCH(($A330 &amp; "Points"),CLASSNAMEHEADERS,0))),"")))))))))}</f>
        <v>UNARMEDL09</v>
      </c>
      <c r="P329" s="223"/>
      <c r="Q329" s="223" t="str">
        <f t="array" ref="Q329:Q330">{"UNARMEDL11";((IF("11"=(INDEX(ALLCLASSDATA,MATCH("UnarmedLegendary",CLASSFEATUREHEADERS,0),MATCH($A330,CLASSNAMEHEADERS,0))),(INDEX(ALLCLASSDATA,MATCH("UnarmedLegendary",CLASSFEATUREHEADERS,0),MATCH(($A330 &amp; "Points"),CLASSNAMEHEADERS,0))),(IF("11"=(INDEX(ALLCLASSDATA,MATCH("UnarmedMaster",CLASSFEATUREHEADERS,0),MATCH($A330,CLASSNAMEHEADERS,0))),(INDEX(ALLCLASSDATA,MATCH("UnarmedMaster",CLASSFEATUREHEADERS,0),MATCH(($A330 &amp; "Points"),CLASSNAMEHEADERS,0))),(IF("11"=(INDEX(ALLCLASSDATA,MATCH("UnarmedExpert",CLASSFEATUREHEADERS,0),MATCH($A330,CLASSNAMEHEADERS,0))),(INDEX(ALLCLASSDATA,MATCH("UnarmedExpert",CLASSFEATUREHEADERS,0),MATCH(($A330 &amp; "Points"),CLASSNAMEHEADERS,0))),(IF("11"=(INDEX(ALLCLASSDATA,MATCH("UnarmedTrained",CLASSFEATUREHEADERS,0),MATCH($A330,CLASSNAMEHEADERS,0))),(INDEX(ALLCLASSDATA,MATCH("UnarmedTrained",CLASSFEATUREHEADERS,0),MATCH(($A330 &amp; "Points"),CLASSNAMEHEADERS,0))),"")))))))))}</f>
        <v>UNARMEDL11</v>
      </c>
      <c r="R329" s="223"/>
      <c r="S329" s="223" t="str">
        <f t="array" ref="S329:S330">{"UNARMEDL13";((IF("13"=(INDEX(ALLCLASSDATA,MATCH("UnarmedLegendary",CLASSFEATUREHEADERS,0),MATCH($A330,CLASSNAMEHEADERS,0))),(INDEX(ALLCLASSDATA,MATCH("UnarmedLegendary",CLASSFEATUREHEADERS,0),MATCH(($A330 &amp; "Points"),CLASSNAMEHEADERS,0))),(IF("13"=(INDEX(ALLCLASSDATA,MATCH("UnarmedMaster",CLASSFEATUREHEADERS,0),MATCH($A330,CLASSNAMEHEADERS,0))),(INDEX(ALLCLASSDATA,MATCH("UnarmedMaster",CLASSFEATUREHEADERS,0),MATCH(($A330 &amp; "Points"),CLASSNAMEHEADERS,0))),(IF("13"=(INDEX(ALLCLASSDATA,MATCH("UnarmedExpert",CLASSFEATUREHEADERS,0),MATCH($A330,CLASSNAMEHEADERS,0))),(INDEX(ALLCLASSDATA,MATCH("UnarmedExpert",CLASSFEATUREHEADERS,0),MATCH(($A330 &amp; "Points"),CLASSNAMEHEADERS,0))),(IF("13"=(INDEX(ALLCLASSDATA,MATCH("UnarmedTrained",CLASSFEATUREHEADERS,0),MATCH($A330,CLASSNAMEHEADERS,0))),(INDEX(ALLCLASSDATA,MATCH("UnarmedTrained",CLASSFEATUREHEADERS,0),MATCH(($A330 &amp; "Points"),CLASSNAMEHEADERS,0))),"")))))))))}</f>
        <v>UNARMEDL13</v>
      </c>
      <c r="T329" s="223"/>
      <c r="U329" s="223" t="str">
        <f t="array" ref="U329:U330">{"UNARMEDL15";((IF("15"=(INDEX(ALLCLASSDATA,MATCH("UnarmedLegendary",CLASSFEATUREHEADERS,0),MATCH($A330,CLASSNAMEHEADERS,0))),(INDEX(ALLCLASSDATA,MATCH("UnarmedLegendary",CLASSFEATUREHEADERS,0),MATCH(($A330 &amp; "Points"),CLASSNAMEHEADERS,0))),(IF("15"=(INDEX(ALLCLASSDATA,MATCH("UnarmedMaster",CLASSFEATUREHEADERS,0),MATCH($A330,CLASSNAMEHEADERS,0))),(INDEX(ALLCLASSDATA,MATCH("UnarmedMaster",CLASSFEATUREHEADERS,0),MATCH(($A330 &amp; "Points"),CLASSNAMEHEADERS,0))),(IF("15"=(INDEX(ALLCLASSDATA,MATCH("UnarmedExpert",CLASSFEATUREHEADERS,0),MATCH($A330,CLASSNAMEHEADERS,0))),(INDEX(ALLCLASSDATA,MATCH("UnarmedExpert",CLASSFEATUREHEADERS,0),MATCH(($A330 &amp; "Points"),CLASSNAMEHEADERS,0))),(IF("15"=(INDEX(ALLCLASSDATA,MATCH("UnarmedTrained",CLASSFEATUREHEADERS,0),MATCH($A330,CLASSNAMEHEADERS,0))),(INDEX(ALLCLASSDATA,MATCH("UnarmedTrained",CLASSFEATUREHEADERS,0),MATCH(($A330 &amp; "Points"),CLASSNAMEHEADERS,0))),"")))))))))}</f>
        <v>UNARMEDL15</v>
      </c>
      <c r="V329" s="223"/>
      <c r="W329" s="223" t="str">
        <f t="array" ref="W329:W330">{"UNARMEDL17";((IF("17"=(INDEX(ALLCLASSDATA,MATCH("UnarmedLegendary",CLASSFEATUREHEADERS,0),MATCH($A330,CLASSNAMEHEADERS,0))),(INDEX(ALLCLASSDATA,MATCH("UnarmedLegendary",CLASSFEATUREHEADERS,0),MATCH(($A330 &amp; "Points"),CLASSNAMEHEADERS,0))),(IF("17"=(INDEX(ALLCLASSDATA,MATCH("UnarmedMaster",CLASSFEATUREHEADERS,0),MATCH($A330,CLASSNAMEHEADERS,0))),(INDEX(ALLCLASSDATA,MATCH("UnarmedMaster",CLASSFEATUREHEADERS,0),MATCH(($A330 &amp; "Points"),CLASSNAMEHEADERS,0))),(IF("17"=(INDEX(ALLCLASSDATA,MATCH("UnarmedExpert",CLASSFEATUREHEADERS,0),MATCH($A330,CLASSNAMEHEADERS,0))),(INDEX(ALLCLASSDATA,MATCH("UnarmedExpert",CLASSFEATUREHEADERS,0),MATCH(($A330 &amp; "Points"),CLASSNAMEHEADERS,0))),(IF("17"=(INDEX(ALLCLASSDATA,MATCH("UnarmedTrained",CLASSFEATUREHEADERS,0),MATCH($A330,CLASSNAMEHEADERS,0))),(INDEX(ALLCLASSDATA,MATCH("UnarmedTrained",CLASSFEATUREHEADERS,0),MATCH(($A330 &amp; "Points"),CLASSNAMEHEADERS,0))),"")))))))))}</f>
        <v>UNARMEDL17</v>
      </c>
      <c r="X329" s="223"/>
      <c r="Y329" s="223" t="str">
        <f t="array" ref="Y329:Y330">{"UNARMEDL19";((IF("19"=(INDEX(ALLCLASSDATA,MATCH("UnarmedLegendary",CLASSFEATUREHEADERS,0),MATCH($A330,CLASSNAMEHEADERS,0))),(INDEX(ALLCLASSDATA,MATCH("UnarmedLegendary",CLASSFEATUREHEADERS,0),MATCH(($A330 &amp; "Points"),CLASSNAMEHEADERS,0))),(IF("19"=(INDEX(ALLCLASSDATA,MATCH("UnarmedMaster",CLASSFEATUREHEADERS,0),MATCH($A330,CLASSNAMEHEADERS,0))),(INDEX(ALLCLASSDATA,MATCH("UnarmedMaster",CLASSFEATUREHEADERS,0),MATCH(($A330 &amp; "Points"),CLASSNAMEHEADERS,0))),(IF("19"=(INDEX(ALLCLASSDATA,MATCH("UnarmedExpert",CLASSFEATUREHEADERS,0),MATCH($A330,CLASSNAMEHEADERS,0))),(INDEX(ALLCLASSDATA,MATCH("UnarmedExpert",CLASSFEATUREHEADERS,0),MATCH(($A330 &amp; "Points"),CLASSNAMEHEADERS,0))),(IF("19"=(INDEX(ALLCLASSDATA,MATCH("UnarmedTrained",CLASSFEATUREHEADERS,0),MATCH($A330,CLASSNAMEHEADERS,0))),(INDEX(ALLCLASSDATA,MATCH("UnarmedTrained",CLASSFEATUREHEADERS,0),MATCH(($A330 &amp; "Points"),CLASSNAMEHEADERS,0))),"")))))))))}</f>
        <v>UNARMEDL19</v>
      </c>
      <c r="Z329" s="223"/>
      <c r="AA329" s="76" t="str">
        <f t="array" ref="AA329:AA330">{"UNARMED TOTAL";(IF(COUNTBLANK(F330:Z330)=17,"L",(IF(COUNTBLANK(F330:Z330)=18,"M",(IF(COUNTBLANK(F330:Z330)=19,"E",(IF(COUNTBLANK(F330:Z330)=20,"T",""))))))))}</f>
        <v>UNARMED TOTAL</v>
      </c>
      <c r="AB329" s="76" t="str">
        <f t="array" ref="AB329:AB330">{"UNARMED TOTAL";(sum(F330:Z330))}</f>
        <v>UNARMED TOTAL</v>
      </c>
    </row>
    <row r="330">
      <c r="A330" s="48" t="s">
        <v>229</v>
      </c>
      <c r="B330" s="48" t="s">
        <v>418</v>
      </c>
      <c r="C330" s="48" t="s">
        <v>1634</v>
      </c>
      <c r="D330" s="48" t="s">
        <v>257</v>
      </c>
      <c r="E330" s="5" t="s">
        <v>435</v>
      </c>
      <c r="F330" s="47" t="s">
        <v>603</v>
      </c>
      <c r="G330" s="5">
        <v>10.0</v>
      </c>
      <c r="H330" s="5"/>
      <c r="I330" s="5" t="s">
        <v>603</v>
      </c>
      <c r="J330" s="5"/>
      <c r="K330" s="5" t="s">
        <v>603</v>
      </c>
      <c r="L330" s="5"/>
      <c r="M330" s="5" t="s">
        <v>603</v>
      </c>
      <c r="N330" s="5"/>
      <c r="O330" s="5" t="s">
        <v>603</v>
      </c>
      <c r="P330" s="5"/>
      <c r="Q330" s="5" t="s">
        <v>436</v>
      </c>
      <c r="R330" s="5"/>
      <c r="S330" s="5" t="s">
        <v>603</v>
      </c>
      <c r="T330" s="5"/>
      <c r="U330" s="5" t="s">
        <v>603</v>
      </c>
      <c r="V330" s="5"/>
      <c r="W330" s="5" t="s">
        <v>603</v>
      </c>
      <c r="X330" s="5"/>
      <c r="Y330" s="5" t="s">
        <v>603</v>
      </c>
      <c r="Z330" s="5"/>
      <c r="AA330" s="5" t="s">
        <v>436</v>
      </c>
      <c r="AB330" s="47">
        <v>10.0</v>
      </c>
    </row>
    <row r="331" hidden="1">
      <c r="A331" s="222" t="str">
        <f t="array" ref="A331:A332">{"FormulaRow28";(INDEX(CLASSLIST,A276,1))}</f>
        <v>FormulaRow28</v>
      </c>
      <c r="B331" s="222" t="str">
        <f t="array" ref="B331:B332">{"CLASSTYPE";((INDEX(ALLCLASSDATA,MATCH("ClassType",CLASSFEATUREHEADERS,0),MATCH($A332,CLASSNAMEHEADERS,0))))}</f>
        <v>CLASSTYPE</v>
      </c>
      <c r="C331" s="222" t="str">
        <f t="array" ref="C331:C332">{"ATTACK";"Attack"}</f>
        <v>ATTACK</v>
      </c>
      <c r="D331" s="222" t="str">
        <f t="array" ref="D331:D332">{"SIMPLELIMITED";"SimpleLimited"}</f>
        <v>SIMPLELIMITED</v>
      </c>
      <c r="E331" s="223" t="str">
        <f t="array" ref="E331:E332">{"SIMPLELIMITEDINITIAL";((IF(G332=10,"T",(IF(G332=50,"E","")))))}</f>
        <v>SIMPLELIMITEDINITIAL</v>
      </c>
      <c r="F331" s="223" t="str">
        <f t="array" ref="F331:F332">{"SIMPLELIMITEDINITIALPTS";((IF("00"=(INDEX(ALLCLASSDATA,MATCH("SimpleLimitedLegendary",CLASSFEATUREHEADERS,0),MATCH($A332,CLASSNAMEHEADERS,0))),(INDEX(ALLCLASSDATA,MATCH("SimpleLimitedLegendary",CLASSFEATUREHEADERS,0),MATCH(($A332 &amp; "Points"),CLASSNAMEHEADERS,0))),(IF("00"=(INDEX(ALLCLASSDATA,MATCH("SimpleLimitedMaster",CLASSFEATUREHEADERS,0),MATCH($A332,CLASSNAMEHEADERS,0))),(INDEX(ALLCLASSDATA,MATCH("SimpleLimitedMaster",CLASSFEATUREHEADERS,0),MATCH(($A332 &amp; "Points"),CLASSNAMEHEADERS,0))),(IF("00"=(INDEX(ALLCLASSDATA,MATCH("SimpleLimitedExpert",CLASSFEATUREHEADERS,0),MATCH($A332,CLASSNAMEHEADERS,0))),(INDEX(ALLCLASSDATA,MATCH("SimpleLimitedExpert",CLASSFEATUREHEADERS,0),MATCH(($A332 &amp; "Points"),CLASSNAMEHEADERS,0))),(IF("00"=(INDEX(ALLCLASSDATA,MATCH("SimpleLimitedTrained",CLASSFEATUREHEADERS,0),MATCH($A332,CLASSNAMEHEADERS,0))),(INDEX(ALLCLASSDATA,MATCH("SimpleLimitedTrained",CLASSFEATUREHEADERS,0),MATCH(($A332 &amp; "Points"),CLASSNAMEHEADERS,0))),"")))))))))}</f>
        <v>SIMPLELIMITEDINITIALPTS</v>
      </c>
      <c r="G331" s="223" t="str">
        <f t="array" ref="G331:G332">{"SIMPLELIMITEDL01";((IF("01"=(INDEX(ALLCLASSDATA,MATCH("SimpleLimitedLegendary",CLASSFEATUREHEADERS,0),MATCH($A332,CLASSNAMEHEADERS,0))),(INDEX(ALLCLASSDATA,MATCH("SimpleLimitedLegendary",CLASSFEATUREHEADERS,0),MATCH(($A332 &amp; "Points"),CLASSNAMEHEADERS,0))),(IF("01"=(INDEX(ALLCLASSDATA,MATCH("SimpleLimitedMaster",CLASSFEATUREHEADERS,0),MATCH($A332,CLASSNAMEHEADERS,0))),(INDEX(ALLCLASSDATA,MATCH("SimpleLimitedMaster",CLASSFEATUREHEADERS,0),MATCH(($A332 &amp; "Points"),CLASSNAMEHEADERS,0))),(IF("01"=(INDEX(ALLCLASSDATA,MATCH("SimpleLimitedExpert",CLASSFEATUREHEADERS,0),MATCH($A332,CLASSNAMEHEADERS,0))),(INDEX(ALLCLASSDATA,MATCH("SimpleLimitedExpert",CLASSFEATUREHEADERS,0),MATCH(($A332 &amp; "Points"),CLASSNAMEHEADERS,0))),(IF("01"=(INDEX(ALLCLASSDATA,MATCH("SimpleLimitedTrained",CLASSFEATUREHEADERS,0),MATCH($A332,CLASSNAMEHEADERS,0))),(INDEX(ALLCLASSDATA,MATCH("SimpleLimitedTrained",CLASSFEATUREHEADERS,0),MATCH(($A332 &amp; "Points"),CLASSNAMEHEADERS,0))),"")))))))))}</f>
        <v>SIMPLELIMITEDL01</v>
      </c>
      <c r="H331" s="223"/>
      <c r="I331" s="223" t="str">
        <f t="array" ref="I331:I332">{"SIMPLELIMITEDL03";((IF("03"=(INDEX(ALLCLASSDATA,MATCH("SimpleLimitedLegendary",CLASSFEATUREHEADERS,0),MATCH($A332,CLASSNAMEHEADERS,0))),(INDEX(ALLCLASSDATA,MATCH("SimpleLimitedLegendary",CLASSFEATUREHEADERS,0),MATCH(($A332 &amp; "Points"),CLASSNAMEHEADERS,0))),(IF("03"=(INDEX(ALLCLASSDATA,MATCH("SimpleLimitedMaster",CLASSFEATUREHEADERS,0),MATCH($A332,CLASSNAMEHEADERS,0))),(INDEX(ALLCLASSDATA,MATCH("SimpleLimitedMaster",CLASSFEATUREHEADERS,0),MATCH(($A332 &amp; "Points"),CLASSNAMEHEADERS,0))),(IF("03"=(INDEX(ALLCLASSDATA,MATCH("SimpleLimitedExpert",CLASSFEATUREHEADERS,0),MATCH($A332,CLASSNAMEHEADERS,0))),(INDEX(ALLCLASSDATA,MATCH("SimpleLimitedExpert",CLASSFEATUREHEADERS,0),MATCH(($A332 &amp; "Points"),CLASSNAMEHEADERS,0))),(IF("03"=(INDEX(ALLCLASSDATA,MATCH("SimpleLimitedTrained",CLASSFEATUREHEADERS,0),MATCH($A332,CLASSNAMEHEADERS,0))),(INDEX(ALLCLASSDATA,MATCH("SimpleLimitedTrained",CLASSFEATUREHEADERS,0),MATCH(($A332 &amp; "Points"),CLASSNAMEHEADERS,0))),"")))))))))}</f>
        <v>SIMPLELIMITEDL03</v>
      </c>
      <c r="J331" s="223"/>
      <c r="K331" s="223" t="str">
        <f t="array" ref="K331:K332">{"SIMPLELIMITEDL05";((IF("05"=(INDEX(ALLCLASSDATA,MATCH("SimpleLimitedLegendary",CLASSFEATUREHEADERS,0),MATCH($A332,CLASSNAMEHEADERS,0))),(INDEX(ALLCLASSDATA,MATCH("SimpleLimitedLegendary",CLASSFEATUREHEADERS,0),MATCH(($A332 &amp; "Points"),CLASSNAMEHEADERS,0))),(IF("05"=(INDEX(ALLCLASSDATA,MATCH("SimpleLimitedMaster",CLASSFEATUREHEADERS,0),MATCH($A332,CLASSNAMEHEADERS,0))),(INDEX(ALLCLASSDATA,MATCH("SimpleLimitedMaster",CLASSFEATUREHEADERS,0),MATCH(($A332 &amp; "Points"),CLASSNAMEHEADERS,0))),(IF("05"=(INDEX(ALLCLASSDATA,MATCH("SimpleLimitedExpert",CLASSFEATUREHEADERS,0),MATCH($A332,CLASSNAMEHEADERS,0))),(INDEX(ALLCLASSDATA,MATCH("SimpleLimitedExpert",CLASSFEATUREHEADERS,0),MATCH(($A332 &amp; "Points"),CLASSNAMEHEADERS,0))),(IF("05"=(INDEX(ALLCLASSDATA,MATCH("SimpleLimitedTrained",CLASSFEATUREHEADERS,0),MATCH($A332,CLASSNAMEHEADERS,0))),(INDEX(ALLCLASSDATA,MATCH("SimpleLimitedTrained",CLASSFEATUREHEADERS,0),MATCH(($A332 &amp; "Points"),CLASSNAMEHEADERS,0))),"")))))))))}</f>
        <v>SIMPLELIMITEDL05</v>
      </c>
      <c r="L331" s="223"/>
      <c r="M331" s="223" t="str">
        <f t="array" ref="M331:M332">{"SIMPLELIMITEDL07";((IF("07"=(INDEX(ALLCLASSDATA,MATCH("SimpleLimitedLegendary",CLASSFEATUREHEADERS,0),MATCH($A332,CLASSNAMEHEADERS,0))),(INDEX(ALLCLASSDATA,MATCH("SimpleLimitedLegendary",CLASSFEATUREHEADERS,0),MATCH(($A332 &amp; "Points"),CLASSNAMEHEADERS,0))),(IF("07"=(INDEX(ALLCLASSDATA,MATCH("SimpleLimitedMaster",CLASSFEATUREHEADERS,0),MATCH($A332,CLASSNAMEHEADERS,0))),(INDEX(ALLCLASSDATA,MATCH("SimpleLimitedMaster",CLASSFEATUREHEADERS,0),MATCH(($A332 &amp; "Points"),CLASSNAMEHEADERS,0))),(IF("07"=(INDEX(ALLCLASSDATA,MATCH("SimpleLimitedExpert",CLASSFEATUREHEADERS,0),MATCH($A332,CLASSNAMEHEADERS,0))),(INDEX(ALLCLASSDATA,MATCH("SimpleLimitedExpert",CLASSFEATUREHEADERS,0),MATCH(($A332 &amp; "Points"),CLASSNAMEHEADERS,0))),(IF("07"=(INDEX(ALLCLASSDATA,MATCH("SimpleLimitedTrained",CLASSFEATUREHEADERS,0),MATCH($A332,CLASSNAMEHEADERS,0))),(INDEX(ALLCLASSDATA,MATCH("SimpleLimitedTrained",CLASSFEATUREHEADERS,0),MATCH(($A332 &amp; "Points"),CLASSNAMEHEADERS,0))),"")))))))))}</f>
        <v>SIMPLELIMITEDL07</v>
      </c>
      <c r="N331" s="223"/>
      <c r="O331" s="223" t="str">
        <f t="array" ref="O331:O332">{"SIMPLELIMITEDL09";((IF("09"=(INDEX(ALLCLASSDATA,MATCH("SimpleLimitedLegendary",CLASSFEATUREHEADERS,0),MATCH($A332,CLASSNAMEHEADERS,0))),(INDEX(ALLCLASSDATA,MATCH("SimpleLimitedLegendary",CLASSFEATUREHEADERS,0),MATCH(($A332 &amp; "Points"),CLASSNAMEHEADERS,0))),(IF("09"=(INDEX(ALLCLASSDATA,MATCH("SimpleLimitedMaster",CLASSFEATUREHEADERS,0),MATCH($A332,CLASSNAMEHEADERS,0))),(INDEX(ALLCLASSDATA,MATCH("SimpleLimitedMaster",CLASSFEATUREHEADERS,0),MATCH(($A332 &amp; "Points"),CLASSNAMEHEADERS,0))),(IF("09"=(INDEX(ALLCLASSDATA,MATCH("SimpleLimitedExpert",CLASSFEATUREHEADERS,0),MATCH($A332,CLASSNAMEHEADERS,0))),(INDEX(ALLCLASSDATA,MATCH("SimpleLimitedExpert",CLASSFEATUREHEADERS,0),MATCH(($A332 &amp; "Points"),CLASSNAMEHEADERS,0))),(IF("09"=(INDEX(ALLCLASSDATA,MATCH("SimpleLimitedTrained",CLASSFEATUREHEADERS,0),MATCH($A332,CLASSNAMEHEADERS,0))),(INDEX(ALLCLASSDATA,MATCH("SimpleLimitedTrained",CLASSFEATUREHEADERS,0),MATCH(($A332 &amp; "Points"),CLASSNAMEHEADERS,0))),"")))))))))}</f>
        <v>SIMPLELIMITEDL09</v>
      </c>
      <c r="P331" s="223"/>
      <c r="Q331" s="223" t="str">
        <f t="array" ref="Q331:Q332">{"SIMPLELIMITEDL11";((IF("11"=(INDEX(ALLCLASSDATA,MATCH("SimpleLimitedLegendary",CLASSFEATUREHEADERS,0),MATCH($A332,CLASSNAMEHEADERS,0))),(INDEX(ALLCLASSDATA,MATCH("SimpleLimitedLegendary",CLASSFEATUREHEADERS,0),MATCH(($A332 &amp; "Points"),CLASSNAMEHEADERS,0))),(IF("11"=(INDEX(ALLCLASSDATA,MATCH("SimpleLimitedMaster",CLASSFEATUREHEADERS,0),MATCH($A332,CLASSNAMEHEADERS,0))),(INDEX(ALLCLASSDATA,MATCH("SimpleLimitedMaster",CLASSFEATUREHEADERS,0),MATCH(($A332 &amp; "Points"),CLASSNAMEHEADERS,0))),(IF("11"=(INDEX(ALLCLASSDATA,MATCH("SimpleLimitedExpert",CLASSFEATUREHEADERS,0),MATCH($A332,CLASSNAMEHEADERS,0))),(INDEX(ALLCLASSDATA,MATCH("SimpleLimitedExpert",CLASSFEATUREHEADERS,0),MATCH(($A332 &amp; "Points"),CLASSNAMEHEADERS,0))),(IF("11"=(INDEX(ALLCLASSDATA,MATCH("SimpleLimitedTrained",CLASSFEATUREHEADERS,0),MATCH($A332,CLASSNAMEHEADERS,0))),(INDEX(ALLCLASSDATA,MATCH("SimpleLimitedTrained",CLASSFEATUREHEADERS,0),MATCH(($A332 &amp; "Points"),CLASSNAMEHEADERS,0))),"")))))))))}</f>
        <v>SIMPLELIMITEDL11</v>
      </c>
      <c r="R331" s="223"/>
      <c r="S331" s="223" t="str">
        <f t="array" ref="S331:S332">{"SIMPLELIMITEDL13";((IF("13"=(INDEX(ALLCLASSDATA,MATCH("SimpleLimitedLegendary",CLASSFEATUREHEADERS,0),MATCH($A332,CLASSNAMEHEADERS,0))),(INDEX(ALLCLASSDATA,MATCH("SimpleLimitedLegendary",CLASSFEATUREHEADERS,0),MATCH(($A332 &amp; "Points"),CLASSNAMEHEADERS,0))),(IF("13"=(INDEX(ALLCLASSDATA,MATCH("SimpleLimitedMaster",CLASSFEATUREHEADERS,0),MATCH($A332,CLASSNAMEHEADERS,0))),(INDEX(ALLCLASSDATA,MATCH("SimpleLimitedMaster",CLASSFEATUREHEADERS,0),MATCH(($A332 &amp; "Points"),CLASSNAMEHEADERS,0))),(IF("13"=(INDEX(ALLCLASSDATA,MATCH("SimpleLimitedExpert",CLASSFEATUREHEADERS,0),MATCH($A332,CLASSNAMEHEADERS,0))),(INDEX(ALLCLASSDATA,MATCH("SimpleLimitedExpert",CLASSFEATUREHEADERS,0),MATCH(($A332 &amp; "Points"),CLASSNAMEHEADERS,0))),(IF("13"=(INDEX(ALLCLASSDATA,MATCH("SimpleLimitedTrained",CLASSFEATUREHEADERS,0),MATCH($A332,CLASSNAMEHEADERS,0))),(INDEX(ALLCLASSDATA,MATCH("SimpleLimitedTrained",CLASSFEATUREHEADERS,0),MATCH(($A332 &amp; "Points"),CLASSNAMEHEADERS,0))),"")))))))))}</f>
        <v>SIMPLELIMITEDL13</v>
      </c>
      <c r="T331" s="223"/>
      <c r="U331" s="223" t="str">
        <f t="array" ref="U331:U332">{"SIMPLELIMITEDL15";((IF("15"=(INDEX(ALLCLASSDATA,MATCH("SimpleLimitedLegendary",CLASSFEATUREHEADERS,0),MATCH($A332,CLASSNAMEHEADERS,0))),(INDEX(ALLCLASSDATA,MATCH("SimpleLimitedLegendary",CLASSFEATUREHEADERS,0),MATCH(($A332 &amp; "Points"),CLASSNAMEHEADERS,0))),(IF("15"=(INDEX(ALLCLASSDATA,MATCH("SimpleLimitedMaster",CLASSFEATUREHEADERS,0),MATCH($A332,CLASSNAMEHEADERS,0))),(INDEX(ALLCLASSDATA,MATCH("SimpleLimitedMaster",CLASSFEATUREHEADERS,0),MATCH(($A332 &amp; "Points"),CLASSNAMEHEADERS,0))),(IF("15"=(INDEX(ALLCLASSDATA,MATCH("SimpleLimitedExpert",CLASSFEATUREHEADERS,0),MATCH($A332,CLASSNAMEHEADERS,0))),(INDEX(ALLCLASSDATA,MATCH("SimpleLimitedExpert",CLASSFEATUREHEADERS,0),MATCH(($A332 &amp; "Points"),CLASSNAMEHEADERS,0))),(IF("15"=(INDEX(ALLCLASSDATA,MATCH("SimpleLimitedTrained",CLASSFEATUREHEADERS,0),MATCH($A332,CLASSNAMEHEADERS,0))),(INDEX(ALLCLASSDATA,MATCH("SimpleLimitedTrained",CLASSFEATUREHEADERS,0),MATCH(($A332 &amp; "Points"),CLASSNAMEHEADERS,0))),"")))))))))}</f>
        <v>SIMPLELIMITEDL15</v>
      </c>
      <c r="V331" s="223"/>
      <c r="W331" s="223" t="str">
        <f t="array" ref="W331:W332">{"SIMPLELIMITEDL17";((IF("17"=(INDEX(ALLCLASSDATA,MATCH("SimpleLimitedLegendary",CLASSFEATUREHEADERS,0),MATCH($A332,CLASSNAMEHEADERS,0))),(INDEX(ALLCLASSDATA,MATCH("SimpleLimitedLegendary",CLASSFEATUREHEADERS,0),MATCH(($A332 &amp; "Points"),CLASSNAMEHEADERS,0))),(IF("17"=(INDEX(ALLCLASSDATA,MATCH("SimpleLimitedMaster",CLASSFEATUREHEADERS,0),MATCH($A332,CLASSNAMEHEADERS,0))),(INDEX(ALLCLASSDATA,MATCH("SimpleLimitedMaster",CLASSFEATUREHEADERS,0),MATCH(($A332 &amp; "Points"),CLASSNAMEHEADERS,0))),(IF("17"=(INDEX(ALLCLASSDATA,MATCH("SimpleLimitedExpert",CLASSFEATUREHEADERS,0),MATCH($A332,CLASSNAMEHEADERS,0))),(INDEX(ALLCLASSDATA,MATCH("SimpleLimitedExpert",CLASSFEATUREHEADERS,0),MATCH(($A332 &amp; "Points"),CLASSNAMEHEADERS,0))),(IF("17"=(INDEX(ALLCLASSDATA,MATCH("SimpleLimitedTrained",CLASSFEATUREHEADERS,0),MATCH($A332,CLASSNAMEHEADERS,0))),(INDEX(ALLCLASSDATA,MATCH("SimpleLimitedTrained",CLASSFEATUREHEADERS,0),MATCH(($A332 &amp; "Points"),CLASSNAMEHEADERS,0))),"")))))))))}</f>
        <v>SIMPLELIMITEDL17</v>
      </c>
      <c r="X331" s="223"/>
      <c r="Y331" s="223" t="str">
        <f t="array" ref="Y331:Y332">{"SIMPLELIMITEDL19";((IF("19"=(INDEX(ALLCLASSDATA,MATCH("SimpleLimitedLegendary",CLASSFEATUREHEADERS,0),MATCH($A332,CLASSNAMEHEADERS,0))),(INDEX(ALLCLASSDATA,MATCH("SimpleLimitedLegendary",CLASSFEATUREHEADERS,0),MATCH(($A332 &amp; "Points"),CLASSNAMEHEADERS,0))),(IF("19"=(INDEX(ALLCLASSDATA,MATCH("SimpleLimitedMaster",CLASSFEATUREHEADERS,0),MATCH($A332,CLASSNAMEHEADERS,0))),(INDEX(ALLCLASSDATA,MATCH("SimpleLimitedMaster",CLASSFEATUREHEADERS,0),MATCH(($A332 &amp; "Points"),CLASSNAMEHEADERS,0))),(IF("19"=(INDEX(ALLCLASSDATA,MATCH("SimpleLimitedExpert",CLASSFEATUREHEADERS,0),MATCH($A332,CLASSNAMEHEADERS,0))),(INDEX(ALLCLASSDATA,MATCH("SimpleLimitedExpert",CLASSFEATUREHEADERS,0),MATCH(($A332 &amp; "Points"),CLASSNAMEHEADERS,0))),(IF("19"=(INDEX(ALLCLASSDATA,MATCH("SimpleLimitedTrained",CLASSFEATUREHEADERS,0),MATCH($A332,CLASSNAMEHEADERS,0))),(INDEX(ALLCLASSDATA,MATCH("SimpleLimitedTrained",CLASSFEATUREHEADERS,0),MATCH(($A332 &amp; "Points"),CLASSNAMEHEADERS,0))),"")))))))))}</f>
        <v>SIMPLELIMITEDL19</v>
      </c>
      <c r="Z331" s="223"/>
      <c r="AA331" s="76" t="str">
        <f t="array" ref="AA331:AA332">{"SIMPLELIMITED TOTAL";(IF(COUNTBLANK(F332:Z332)=17,"L",(IF(COUNTBLANK(F332:Z332)=18,"M",(IF(COUNTBLANK(F332:Z332)=19,"E",(IF(COUNTBLANK(F332:Z332)=20,"T",""))))))))}</f>
        <v>SIMPLELIMITED TOTAL</v>
      </c>
      <c r="AB331" s="76" t="str">
        <f t="array" ref="AB331:AB332">{"SIMPLELIMITED TOTAL";(sum(F332:Z332))}</f>
        <v>SIMPLELIMITED TOTAL</v>
      </c>
    </row>
    <row r="332">
      <c r="A332" s="48" t="s">
        <v>229</v>
      </c>
      <c r="B332" s="48" t="s">
        <v>418</v>
      </c>
      <c r="C332" s="48" t="s">
        <v>1634</v>
      </c>
      <c r="D332" s="48" t="s">
        <v>599</v>
      </c>
      <c r="E332" s="5" t="s">
        <v>435</v>
      </c>
      <c r="F332" s="47" t="s">
        <v>603</v>
      </c>
      <c r="G332" s="5">
        <v>10.0</v>
      </c>
      <c r="H332" s="5"/>
      <c r="I332" s="5" t="s">
        <v>603</v>
      </c>
      <c r="J332" s="5"/>
      <c r="K332" s="5" t="s">
        <v>603</v>
      </c>
      <c r="L332" s="5"/>
      <c r="M332" s="5" t="s">
        <v>603</v>
      </c>
      <c r="N332" s="5"/>
      <c r="O332" s="5" t="s">
        <v>603</v>
      </c>
      <c r="P332" s="5"/>
      <c r="Q332" s="5">
        <v>50.0</v>
      </c>
      <c r="R332" s="5"/>
      <c r="S332" s="5" t="s">
        <v>603</v>
      </c>
      <c r="T332" s="5"/>
      <c r="U332" s="5" t="s">
        <v>603</v>
      </c>
      <c r="V332" s="5"/>
      <c r="W332" s="5" t="s">
        <v>603</v>
      </c>
      <c r="X332" s="5"/>
      <c r="Y332" s="5" t="s">
        <v>603</v>
      </c>
      <c r="Z332" s="5"/>
      <c r="AA332" s="5" t="s">
        <v>436</v>
      </c>
      <c r="AB332" s="47">
        <v>60.0</v>
      </c>
    </row>
    <row r="333" hidden="1">
      <c r="A333" s="222" t="str">
        <f t="array" ref="A333:A334">{"FormulaRow29";(INDEX(CLASSLIST,A276,1))}</f>
        <v>FormulaRow29</v>
      </c>
      <c r="B333" s="222" t="str">
        <f t="array" ref="B333:B334">{"CLASSTYPE";((INDEX(ALLCLASSDATA,MATCH("ClassType",CLASSFEATUREHEADERS,0),MATCH($A334,CLASSNAMEHEADERS,0))))}</f>
        <v>CLASSTYPE</v>
      </c>
      <c r="C333" s="222" t="str">
        <f t="array" ref="C333:C334">{"ATTACK";"Attack"}</f>
        <v>ATTACK</v>
      </c>
      <c r="D333" s="222" t="str">
        <f t="array" ref="D333:D334">{"SIMPLE";"Simple"}</f>
        <v>SIMPLE</v>
      </c>
      <c r="E333" s="223" t="str">
        <f t="array" ref="E333:E334">{"SIMPLEINITIAL";((IF(G334=10,"T",(IF(G334=50,"E","")))))}</f>
        <v>SIMPLEINITIAL</v>
      </c>
      <c r="F333" s="223" t="str">
        <f t="array" ref="F333:F334">{"SIMPLEINITIALPTS";((IF("00"=(INDEX(ALLCLASSDATA,MATCH("SimpleLegendary",CLASSFEATUREHEADERS,0),MATCH($A334,CLASSNAMEHEADERS,0))),(INDEX(ALLCLASSDATA,MATCH("SimpleLegendary",CLASSFEATUREHEADERS,0),MATCH(($A334 &amp; "Points"),CLASSNAMEHEADERS,0))),(IF("00"=(INDEX(ALLCLASSDATA,MATCH("SimpleMaster",CLASSFEATUREHEADERS,0),MATCH($A334,CLASSNAMEHEADERS,0))),(INDEX(ALLCLASSDATA,MATCH("SimpleMaster",CLASSFEATUREHEADERS,0),MATCH(($A334 &amp; "Points"),CLASSNAMEHEADERS,0))),(IF("00"=(INDEX(ALLCLASSDATA,MATCH("SimpleExpert",CLASSFEATUREHEADERS,0),MATCH($A334,CLASSNAMEHEADERS,0))),(INDEX(ALLCLASSDATA,MATCH("SimpleExpert",CLASSFEATUREHEADERS,0),MATCH(($A334 &amp; "Points"),CLASSNAMEHEADERS,0))),(IF("00"=(INDEX(ALLCLASSDATA,MATCH("SimpleTrained",CLASSFEATUREHEADERS,0),MATCH($A334,CLASSNAMEHEADERS,0))),(INDEX(ALLCLASSDATA,MATCH("SimpleTrained",CLASSFEATUREHEADERS,0),MATCH(($A334 &amp; "Points"),CLASSNAMEHEADERS,0))),"")))))))))}</f>
        <v>SIMPLEINITIALPTS</v>
      </c>
      <c r="G333" s="223" t="str">
        <f t="array" ref="G333:G334">{"SIMPLEL01";((IF("01"=(INDEX(ALLCLASSDATA,MATCH("SimpleLegendary",CLASSFEATUREHEADERS,0),MATCH($A334,CLASSNAMEHEADERS,0))),(INDEX(ALLCLASSDATA,MATCH("SimpleLegendary",CLASSFEATUREHEADERS,0),MATCH(($A334 &amp; "Points"),CLASSNAMEHEADERS,0))),(IF("01"=(INDEX(ALLCLASSDATA,MATCH("SimpleMaster",CLASSFEATUREHEADERS,0),MATCH($A334,CLASSNAMEHEADERS,0))),(INDEX(ALLCLASSDATA,MATCH("SimpleMaster",CLASSFEATUREHEADERS,0),MATCH(($A334 &amp; "Points"),CLASSNAMEHEADERS,0))),(IF("01"=(INDEX(ALLCLASSDATA,MATCH("SimpleExpert",CLASSFEATUREHEADERS,0),MATCH($A334,CLASSNAMEHEADERS,0))),(INDEX(ALLCLASSDATA,MATCH("SimpleExpert",CLASSFEATUREHEADERS,0),MATCH(($A334 &amp; "Points"),CLASSNAMEHEADERS,0))),(IF("01"=(INDEX(ALLCLASSDATA,MATCH("SimpleTrained",CLASSFEATUREHEADERS,0),MATCH($A334,CLASSNAMEHEADERS,0))),(INDEX(ALLCLASSDATA,MATCH("SimpleTrained",CLASSFEATUREHEADERS,0),MATCH(($A334 &amp; "Points"),CLASSNAMEHEADERS,0))),"")))))))))}</f>
        <v>SIMPLEL01</v>
      </c>
      <c r="H333" s="223"/>
      <c r="I333" s="223" t="str">
        <f t="array" ref="I333:I334">{"SIMPLEL03";((IF("03"=(INDEX(ALLCLASSDATA,MATCH("SimpleLegendary",CLASSFEATUREHEADERS,0),MATCH($A334,CLASSNAMEHEADERS,0))),(INDEX(ALLCLASSDATA,MATCH("SimpleLegendary",CLASSFEATUREHEADERS,0),MATCH(($A334 &amp; "Points"),CLASSNAMEHEADERS,0))),(IF("03"=(INDEX(ALLCLASSDATA,MATCH("SimpleMaster",CLASSFEATUREHEADERS,0),MATCH($A334,CLASSNAMEHEADERS,0))),(INDEX(ALLCLASSDATA,MATCH("SimpleMaster",CLASSFEATUREHEADERS,0),MATCH(($A334 &amp; "Points"),CLASSNAMEHEADERS,0))),(IF("03"=(INDEX(ALLCLASSDATA,MATCH("SimpleExpert",CLASSFEATUREHEADERS,0),MATCH($A334,CLASSNAMEHEADERS,0))),(INDEX(ALLCLASSDATA,MATCH("SimpleExpert",CLASSFEATUREHEADERS,0),MATCH(($A334 &amp; "Points"),CLASSNAMEHEADERS,0))),(IF("03"=(INDEX(ALLCLASSDATA,MATCH("SimpleTrained",CLASSFEATUREHEADERS,0),MATCH($A334,CLASSNAMEHEADERS,0))),(INDEX(ALLCLASSDATA,MATCH("SimpleTrained",CLASSFEATUREHEADERS,0),MATCH(($A334 &amp; "Points"),CLASSNAMEHEADERS,0))),"")))))))))}</f>
        <v>SIMPLEL03</v>
      </c>
      <c r="J333" s="223"/>
      <c r="K333" s="223" t="str">
        <f t="array" ref="K333:K334">{"SIMPLEL05";((IF("05"=(INDEX(ALLCLASSDATA,MATCH("SimpleLegendary",CLASSFEATUREHEADERS,0),MATCH($A334,CLASSNAMEHEADERS,0))),(INDEX(ALLCLASSDATA,MATCH("SimpleLegendary",CLASSFEATUREHEADERS,0),MATCH(($A334 &amp; "Points"),CLASSNAMEHEADERS,0))),(IF("05"=(INDEX(ALLCLASSDATA,MATCH("SimpleMaster",CLASSFEATUREHEADERS,0),MATCH($A334,CLASSNAMEHEADERS,0))),(INDEX(ALLCLASSDATA,MATCH("SimpleMaster",CLASSFEATUREHEADERS,0),MATCH(($A334 &amp; "Points"),CLASSNAMEHEADERS,0))),(IF("05"=(INDEX(ALLCLASSDATA,MATCH("SimpleExpert",CLASSFEATUREHEADERS,0),MATCH($A334,CLASSNAMEHEADERS,0))),(INDEX(ALLCLASSDATA,MATCH("SimpleExpert",CLASSFEATUREHEADERS,0),MATCH(($A334 &amp; "Points"),CLASSNAMEHEADERS,0))),(IF("05"=(INDEX(ALLCLASSDATA,MATCH("SimpleTrained",CLASSFEATUREHEADERS,0),MATCH($A334,CLASSNAMEHEADERS,0))),(INDEX(ALLCLASSDATA,MATCH("SimpleTrained",CLASSFEATUREHEADERS,0),MATCH(($A334 &amp; "Points"),CLASSNAMEHEADERS,0))),"")))))))))}</f>
        <v>SIMPLEL05</v>
      </c>
      <c r="L333" s="223"/>
      <c r="M333" s="223" t="str">
        <f t="array" ref="M333:M334">{"SIMPLEL07";((IF("07"=(INDEX(ALLCLASSDATA,MATCH("SimpleLegendary",CLASSFEATUREHEADERS,0),MATCH($A334,CLASSNAMEHEADERS,0))),(INDEX(ALLCLASSDATA,MATCH("SimpleLegendary",CLASSFEATUREHEADERS,0),MATCH(($A334 &amp; "Points"),CLASSNAMEHEADERS,0))),(IF("07"=(INDEX(ALLCLASSDATA,MATCH("SimpleMaster",CLASSFEATUREHEADERS,0),MATCH($A334,CLASSNAMEHEADERS,0))),(INDEX(ALLCLASSDATA,MATCH("SimpleMaster",CLASSFEATUREHEADERS,0),MATCH(($A334 &amp; "Points"),CLASSNAMEHEADERS,0))),(IF("07"=(INDEX(ALLCLASSDATA,MATCH("SimpleExpert",CLASSFEATUREHEADERS,0),MATCH($A334,CLASSNAMEHEADERS,0))),(INDEX(ALLCLASSDATA,MATCH("SimpleExpert",CLASSFEATUREHEADERS,0),MATCH(($A334 &amp; "Points"),CLASSNAMEHEADERS,0))),(IF("07"=(INDEX(ALLCLASSDATA,MATCH("SimpleTrained",CLASSFEATUREHEADERS,0),MATCH($A334,CLASSNAMEHEADERS,0))),(INDEX(ALLCLASSDATA,MATCH("SimpleTrained",CLASSFEATUREHEADERS,0),MATCH(($A334 &amp; "Points"),CLASSNAMEHEADERS,0))),"")))))))))}</f>
        <v>SIMPLEL07</v>
      </c>
      <c r="N333" s="223"/>
      <c r="O333" s="223" t="str">
        <f t="array" ref="O333:O334">{"SIMPLEL09";((IF("09"=(INDEX(ALLCLASSDATA,MATCH("SimpleLegendary",CLASSFEATUREHEADERS,0),MATCH($A334,CLASSNAMEHEADERS,0))),(INDEX(ALLCLASSDATA,MATCH("SimpleLegendary",CLASSFEATUREHEADERS,0),MATCH(($A334 &amp; "Points"),CLASSNAMEHEADERS,0))),(IF("09"=(INDEX(ALLCLASSDATA,MATCH("SimpleMaster",CLASSFEATUREHEADERS,0),MATCH($A334,CLASSNAMEHEADERS,0))),(INDEX(ALLCLASSDATA,MATCH("SimpleMaster",CLASSFEATUREHEADERS,0),MATCH(($A334 &amp; "Points"),CLASSNAMEHEADERS,0))),(IF("09"=(INDEX(ALLCLASSDATA,MATCH("SimpleExpert",CLASSFEATUREHEADERS,0),MATCH($A334,CLASSNAMEHEADERS,0))),(INDEX(ALLCLASSDATA,MATCH("SimpleExpert",CLASSFEATUREHEADERS,0),MATCH(($A334 &amp; "Points"),CLASSNAMEHEADERS,0))),(IF("09"=(INDEX(ALLCLASSDATA,MATCH("SimpleTrained",CLASSFEATUREHEADERS,0),MATCH($A334,CLASSNAMEHEADERS,0))),(INDEX(ALLCLASSDATA,MATCH("SimpleTrained",CLASSFEATUREHEADERS,0),MATCH(($A334 &amp; "Points"),CLASSNAMEHEADERS,0))),"")))))))))}</f>
        <v>SIMPLEL09</v>
      </c>
      <c r="P333" s="223"/>
      <c r="Q333" s="223" t="str">
        <f t="array" ref="Q333:Q334">{"SIMPLEL11";((IF("11"=(INDEX(ALLCLASSDATA,MATCH("SimpleLegendary",CLASSFEATUREHEADERS,0),MATCH($A334,CLASSNAMEHEADERS,0))),(INDEX(ALLCLASSDATA,MATCH("SimpleLegendary",CLASSFEATUREHEADERS,0),MATCH(($A334 &amp; "Points"),CLASSNAMEHEADERS,0))),(IF("11"=(INDEX(ALLCLASSDATA,MATCH("SimpleMaster",CLASSFEATUREHEADERS,0),MATCH($A334,CLASSNAMEHEADERS,0))),(INDEX(ALLCLASSDATA,MATCH("SimpleMaster",CLASSFEATUREHEADERS,0),MATCH(($A334 &amp; "Points"),CLASSNAMEHEADERS,0))),(IF("11"=(INDEX(ALLCLASSDATA,MATCH("SimpleExpert",CLASSFEATUREHEADERS,0),MATCH($A334,CLASSNAMEHEADERS,0))),(INDEX(ALLCLASSDATA,MATCH("SimpleExpert",CLASSFEATUREHEADERS,0),MATCH(($A334 &amp; "Points"),CLASSNAMEHEADERS,0))),(IF("11"=(INDEX(ALLCLASSDATA,MATCH("SimpleTrained",CLASSFEATUREHEADERS,0),MATCH($A334,CLASSNAMEHEADERS,0))),(INDEX(ALLCLASSDATA,MATCH("SimpleTrained",CLASSFEATUREHEADERS,0),MATCH(($A334 &amp; "Points"),CLASSNAMEHEADERS,0))),"")))))))))}</f>
        <v>SIMPLEL11</v>
      </c>
      <c r="R333" s="223"/>
      <c r="S333" s="223" t="str">
        <f t="array" ref="S333:S334">{"SIMPLEL13";((IF("13"=(INDEX(ALLCLASSDATA,MATCH("SimpleLegendary",CLASSFEATUREHEADERS,0),MATCH($A334,CLASSNAMEHEADERS,0))),(INDEX(ALLCLASSDATA,MATCH("SimpleLegendary",CLASSFEATUREHEADERS,0),MATCH(($A334 &amp; "Points"),CLASSNAMEHEADERS,0))),(IF("13"=(INDEX(ALLCLASSDATA,MATCH("SimpleMaster",CLASSFEATUREHEADERS,0),MATCH($A334,CLASSNAMEHEADERS,0))),(INDEX(ALLCLASSDATA,MATCH("SimpleMaster",CLASSFEATUREHEADERS,0),MATCH(($A334 &amp; "Points"),CLASSNAMEHEADERS,0))),(IF("13"=(INDEX(ALLCLASSDATA,MATCH("SimpleExpert",CLASSFEATUREHEADERS,0),MATCH($A334,CLASSNAMEHEADERS,0))),(INDEX(ALLCLASSDATA,MATCH("SimpleExpert",CLASSFEATUREHEADERS,0),MATCH(($A334 &amp; "Points"),CLASSNAMEHEADERS,0))),(IF("13"=(INDEX(ALLCLASSDATA,MATCH("SimpleTrained",CLASSFEATUREHEADERS,0),MATCH($A334,CLASSNAMEHEADERS,0))),(INDEX(ALLCLASSDATA,MATCH("SimpleTrained",CLASSFEATUREHEADERS,0),MATCH(($A334 &amp; "Points"),CLASSNAMEHEADERS,0))),"")))))))))}</f>
        <v>SIMPLEL13</v>
      </c>
      <c r="T333" s="223"/>
      <c r="U333" s="223" t="str">
        <f t="array" ref="U333:U334">{"SIMPLEL15";((IF("15"=(INDEX(ALLCLASSDATA,MATCH("SimpleLegendary",CLASSFEATUREHEADERS,0),MATCH($A334,CLASSNAMEHEADERS,0))),(INDEX(ALLCLASSDATA,MATCH("SimpleLegendary",CLASSFEATUREHEADERS,0),MATCH(($A334 &amp; "Points"),CLASSNAMEHEADERS,0))),(IF("15"=(INDEX(ALLCLASSDATA,MATCH("SimpleMaster",CLASSFEATUREHEADERS,0),MATCH($A334,CLASSNAMEHEADERS,0))),(INDEX(ALLCLASSDATA,MATCH("SimpleMaster",CLASSFEATUREHEADERS,0),MATCH(($A334 &amp; "Points"),CLASSNAMEHEADERS,0))),(IF("15"=(INDEX(ALLCLASSDATA,MATCH("SimpleExpert",CLASSFEATUREHEADERS,0),MATCH($A334,CLASSNAMEHEADERS,0))),(INDEX(ALLCLASSDATA,MATCH("SimpleExpert",CLASSFEATUREHEADERS,0),MATCH(($A334 &amp; "Points"),CLASSNAMEHEADERS,0))),(IF("15"=(INDEX(ALLCLASSDATA,MATCH("SimpleTrained",CLASSFEATUREHEADERS,0),MATCH($A334,CLASSNAMEHEADERS,0))),(INDEX(ALLCLASSDATA,MATCH("SimpleTrained",CLASSFEATUREHEADERS,0),MATCH(($A334 &amp; "Points"),CLASSNAMEHEADERS,0))),"")))))))))}</f>
        <v>SIMPLEL15</v>
      </c>
      <c r="V333" s="223"/>
      <c r="W333" s="223" t="str">
        <f t="array" ref="W333:W334">{"SIMPLEL17";((IF("17"=(INDEX(ALLCLASSDATA,MATCH("SimpleLegendary",CLASSFEATUREHEADERS,0),MATCH($A334,CLASSNAMEHEADERS,0))),(INDEX(ALLCLASSDATA,MATCH("SimpleLegendary",CLASSFEATUREHEADERS,0),MATCH(($A334 &amp; "Points"),CLASSNAMEHEADERS,0))),(IF("17"=(INDEX(ALLCLASSDATA,MATCH("SimpleMaster",CLASSFEATUREHEADERS,0),MATCH($A334,CLASSNAMEHEADERS,0))),(INDEX(ALLCLASSDATA,MATCH("SimpleMaster",CLASSFEATUREHEADERS,0),MATCH(($A334 &amp; "Points"),CLASSNAMEHEADERS,0))),(IF("17"=(INDEX(ALLCLASSDATA,MATCH("SimpleExpert",CLASSFEATUREHEADERS,0),MATCH($A334,CLASSNAMEHEADERS,0))),(INDEX(ALLCLASSDATA,MATCH("SimpleExpert",CLASSFEATUREHEADERS,0),MATCH(($A334 &amp; "Points"),CLASSNAMEHEADERS,0))),(IF("17"=(INDEX(ALLCLASSDATA,MATCH("SimpleTrained",CLASSFEATUREHEADERS,0),MATCH($A334,CLASSNAMEHEADERS,0))),(INDEX(ALLCLASSDATA,MATCH("SimpleTrained",CLASSFEATUREHEADERS,0),MATCH(($A334 &amp; "Points"),CLASSNAMEHEADERS,0))),"")))))))))}</f>
        <v>SIMPLEL17</v>
      </c>
      <c r="X333" s="223"/>
      <c r="Y333" s="223" t="str">
        <f t="array" ref="Y333:Y334">{"SIMPLEL19";((IF("19"=(INDEX(ALLCLASSDATA,MATCH("SimpleLegendary",CLASSFEATUREHEADERS,0),MATCH($A334,CLASSNAMEHEADERS,0))),(INDEX(ALLCLASSDATA,MATCH("SimpleLegendary",CLASSFEATUREHEADERS,0),MATCH(($A334 &amp; "Points"),CLASSNAMEHEADERS,0))),(IF("19"=(INDEX(ALLCLASSDATA,MATCH("SimpleMaster",CLASSFEATUREHEADERS,0),MATCH($A334,CLASSNAMEHEADERS,0))),(INDEX(ALLCLASSDATA,MATCH("SimpleMaster",CLASSFEATUREHEADERS,0),MATCH(($A334 &amp; "Points"),CLASSNAMEHEADERS,0))),(IF("19"=(INDEX(ALLCLASSDATA,MATCH("SimpleExpert",CLASSFEATUREHEADERS,0),MATCH($A334,CLASSNAMEHEADERS,0))),(INDEX(ALLCLASSDATA,MATCH("SimpleExpert",CLASSFEATUREHEADERS,0),MATCH(($A334 &amp; "Points"),CLASSNAMEHEADERS,0))),(IF("19"=(INDEX(ALLCLASSDATA,MATCH("SimpleTrained",CLASSFEATUREHEADERS,0),MATCH($A334,CLASSNAMEHEADERS,0))),(INDEX(ALLCLASSDATA,MATCH("SimpleTrained",CLASSFEATUREHEADERS,0),MATCH(($A334 &amp; "Points"),CLASSNAMEHEADERS,0))),"")))))))))}</f>
        <v>SIMPLEL19</v>
      </c>
      <c r="Z333" s="223"/>
      <c r="AA333" s="76" t="str">
        <f t="array" ref="AA333:AA334">{"SIMPLE TOTAL";(IF(COUNTBLANK(F334:Z334)=17,"L",(IF(COUNTBLANK(F334:Z334)=18,"M",(IF(COUNTBLANK(F334:Z334)=19,"E",(IF(COUNTBLANK(F334:Z334)=20,"T",""))))))))}</f>
        <v>SIMPLE TOTAL</v>
      </c>
      <c r="AB333" s="76" t="str">
        <f t="array" ref="AB333:AB334">{"SIMPLE TOTAL";(sum(F334:Z334))}</f>
        <v>SIMPLE TOTAL</v>
      </c>
    </row>
    <row r="334">
      <c r="A334" s="48" t="s">
        <v>229</v>
      </c>
      <c r="B334" s="48" t="s">
        <v>418</v>
      </c>
      <c r="C334" s="48" t="s">
        <v>1634</v>
      </c>
      <c r="D334" s="48" t="s">
        <v>68</v>
      </c>
      <c r="E334" s="5" t="s">
        <v>603</v>
      </c>
      <c r="F334" s="47" t="s">
        <v>603</v>
      </c>
      <c r="G334" s="5" t="s">
        <v>603</v>
      </c>
      <c r="H334" s="5"/>
      <c r="I334" s="5" t="s">
        <v>603</v>
      </c>
      <c r="J334" s="5"/>
      <c r="K334" s="5" t="s">
        <v>603</v>
      </c>
      <c r="L334" s="5"/>
      <c r="M334" s="5" t="s">
        <v>603</v>
      </c>
      <c r="N334" s="5"/>
      <c r="O334" s="5" t="s">
        <v>603</v>
      </c>
      <c r="P334" s="5"/>
      <c r="Q334" s="5" t="s">
        <v>603</v>
      </c>
      <c r="R334" s="5"/>
      <c r="S334" s="5" t="s">
        <v>603</v>
      </c>
      <c r="T334" s="5"/>
      <c r="U334" s="5" t="s">
        <v>603</v>
      </c>
      <c r="V334" s="5"/>
      <c r="W334" s="5" t="s">
        <v>603</v>
      </c>
      <c r="X334" s="5"/>
      <c r="Y334" s="5" t="s">
        <v>603</v>
      </c>
      <c r="Z334" s="5"/>
      <c r="AA334" s="5" t="s">
        <v>603</v>
      </c>
      <c r="AB334" s="47">
        <v>0.0</v>
      </c>
    </row>
    <row r="335" hidden="1">
      <c r="A335" s="222" t="str">
        <f t="array" ref="A335:A336">{"FormulaRow30";(INDEX(CLASSLIST,A276,1))}</f>
        <v>FormulaRow30</v>
      </c>
      <c r="B335" s="222" t="str">
        <f t="array" ref="B335:B336">{"CLASSTYPE";((INDEX(ALLCLASSDATA,MATCH("ClassType",CLASSFEATUREHEADERS,0),MATCH($A336,CLASSNAMEHEADERS,0))))}</f>
        <v>CLASSTYPE</v>
      </c>
      <c r="C335" s="222" t="str">
        <f t="array" ref="C335:C336">{"ATTACK";"Attack"}</f>
        <v>ATTACK</v>
      </c>
      <c r="D335" s="222" t="str">
        <f t="array" ref="D335:D336">{"MARTIALLIMITED";"MartialLimited"}</f>
        <v>MARTIALLIMITED</v>
      </c>
      <c r="E335" s="223" t="str">
        <f t="array" ref="E335:E336">{"MARTIALLIMITEDINITIAL";((IF(G336=10,"T",(IF(G336=50,"E","")))))}</f>
        <v>MARTIALLIMITEDINITIAL</v>
      </c>
      <c r="F335" s="223" t="str">
        <f t="array" ref="F335:F336">{"MARTIALLIMITEDINITIALPTS";((IF("00"=(INDEX(ALLCLASSDATA,MATCH("MartialLimitedLegendary",CLASSFEATUREHEADERS,0),MATCH($A336,CLASSNAMEHEADERS,0))),(INDEX(ALLCLASSDATA,MATCH("MartialLimitedLegendary",CLASSFEATUREHEADERS,0),MATCH(($A336 &amp; "Points"),CLASSNAMEHEADERS,0))),(IF("00"=(INDEX(ALLCLASSDATA,MATCH("MartialLimitedMaster",CLASSFEATUREHEADERS,0),MATCH($A336,CLASSNAMEHEADERS,0))),(INDEX(ALLCLASSDATA,MATCH("MartialLimitedMaster",CLASSFEATUREHEADERS,0),MATCH(($A336 &amp; "Points"),CLASSNAMEHEADERS,0))),(IF("00"=(INDEX(ALLCLASSDATA,MATCH("MartialLimitedExpert",CLASSFEATUREHEADERS,0),MATCH($A336,CLASSNAMEHEADERS,0))),(INDEX(ALLCLASSDATA,MATCH("MartialLimitedExpert",CLASSFEATUREHEADERS,0),MATCH(($A336 &amp; "Points"),CLASSNAMEHEADERS,0))),(IF("00"=(INDEX(ALLCLASSDATA,MATCH("MartialLimitedTrained",CLASSFEATUREHEADERS,0),MATCH($A336,CLASSNAMEHEADERS,0))),(INDEX(ALLCLASSDATA,MATCH("MartialLimitedTrained",CLASSFEATUREHEADERS,0),MATCH(($A336 &amp; "Points"),CLASSNAMEHEADERS,0))),"")))))))))}</f>
        <v>MARTIALLIMITEDINITIALPTS</v>
      </c>
      <c r="G335" s="223" t="str">
        <f t="array" ref="G335:G336">{"MARTIALLIMITEDL01";((IF("01"=(INDEX(ALLCLASSDATA,MATCH("MartialLimitedLegendary",CLASSFEATUREHEADERS,0),MATCH($A336,CLASSNAMEHEADERS,0))),(INDEX(ALLCLASSDATA,MATCH("MartialLimitedLegendary",CLASSFEATUREHEADERS,0),MATCH(($A336 &amp; "Points"),CLASSNAMEHEADERS,0))),(IF("01"=(INDEX(ALLCLASSDATA,MATCH("MartialLimitedMaster",CLASSFEATUREHEADERS,0),MATCH($A336,CLASSNAMEHEADERS,0))),(INDEX(ALLCLASSDATA,MATCH("MartialLimitedMaster",CLASSFEATUREHEADERS,0),MATCH(($A336 &amp; "Points"),CLASSNAMEHEADERS,0))),(IF("01"=(INDEX(ALLCLASSDATA,MATCH("MartialLimitedExpert",CLASSFEATUREHEADERS,0),MATCH($A336,CLASSNAMEHEADERS,0))),(INDEX(ALLCLASSDATA,MATCH("MartialLimitedExpert",CLASSFEATUREHEADERS,0),MATCH(($A336 &amp; "Points"),CLASSNAMEHEADERS,0))),(IF("01"=(INDEX(ALLCLASSDATA,MATCH("MartialLimitedTrained",CLASSFEATUREHEADERS,0),MATCH($A336,CLASSNAMEHEADERS,0))),(INDEX(ALLCLASSDATA,MATCH("MartialLimitedTrained",CLASSFEATUREHEADERS,0),MATCH(($A336 &amp; "Points"),CLASSNAMEHEADERS,0))),"")))))))))}</f>
        <v>MARTIALLIMITEDL01</v>
      </c>
      <c r="H335" s="223"/>
      <c r="I335" s="223" t="str">
        <f t="array" ref="I335:I336">{"MARTIALLIMITEDL03";((IF("03"=(INDEX(ALLCLASSDATA,MATCH("MartialLimitedLegendary",CLASSFEATUREHEADERS,0),MATCH($A336,CLASSNAMEHEADERS,0))),(INDEX(ALLCLASSDATA,MATCH("MartialLimitedLegendary",CLASSFEATUREHEADERS,0),MATCH(($A336 &amp; "Points"),CLASSNAMEHEADERS,0))),(IF("03"=(INDEX(ALLCLASSDATA,MATCH("MartialLimitedMaster",CLASSFEATUREHEADERS,0),MATCH($A336,CLASSNAMEHEADERS,0))),(INDEX(ALLCLASSDATA,MATCH("MartialLimitedMaster",CLASSFEATUREHEADERS,0),MATCH(($A336 &amp; "Points"),CLASSNAMEHEADERS,0))),(IF("03"=(INDEX(ALLCLASSDATA,MATCH("MartialLimitedExpert",CLASSFEATUREHEADERS,0),MATCH($A336,CLASSNAMEHEADERS,0))),(INDEX(ALLCLASSDATA,MATCH("MartialLimitedExpert",CLASSFEATUREHEADERS,0),MATCH(($A336 &amp; "Points"),CLASSNAMEHEADERS,0))),(IF("03"=(INDEX(ALLCLASSDATA,MATCH("MartialLimitedTrained",CLASSFEATUREHEADERS,0),MATCH($A336,CLASSNAMEHEADERS,0))),(INDEX(ALLCLASSDATA,MATCH("MartialLimitedTrained",CLASSFEATUREHEADERS,0),MATCH(($A336 &amp; "Points"),CLASSNAMEHEADERS,0))),"")))))))))}</f>
        <v>MARTIALLIMITEDL03</v>
      </c>
      <c r="J335" s="223"/>
      <c r="K335" s="223" t="str">
        <f t="array" ref="K335:K336">{"MARTIALLIMITEDL05";((IF("05"=(INDEX(ALLCLASSDATA,MATCH("MartialLimitedLegendary",CLASSFEATUREHEADERS,0),MATCH($A336,CLASSNAMEHEADERS,0))),(INDEX(ALLCLASSDATA,MATCH("MartialLimitedLegendary",CLASSFEATUREHEADERS,0),MATCH(($A336 &amp; "Points"),CLASSNAMEHEADERS,0))),(IF("05"=(INDEX(ALLCLASSDATA,MATCH("MartialLimitedMaster",CLASSFEATUREHEADERS,0),MATCH($A336,CLASSNAMEHEADERS,0))),(INDEX(ALLCLASSDATA,MATCH("MartialLimitedMaster",CLASSFEATUREHEADERS,0),MATCH(($A336 &amp; "Points"),CLASSNAMEHEADERS,0))),(IF("05"=(INDEX(ALLCLASSDATA,MATCH("MartialLimitedExpert",CLASSFEATUREHEADERS,0),MATCH($A336,CLASSNAMEHEADERS,0))),(INDEX(ALLCLASSDATA,MATCH("MartialLimitedExpert",CLASSFEATUREHEADERS,0),MATCH(($A336 &amp; "Points"),CLASSNAMEHEADERS,0))),(IF("05"=(INDEX(ALLCLASSDATA,MATCH("MartialLimitedTrained",CLASSFEATUREHEADERS,0),MATCH($A336,CLASSNAMEHEADERS,0))),(INDEX(ALLCLASSDATA,MATCH("MartialLimitedTrained",CLASSFEATUREHEADERS,0),MATCH(($A336 &amp; "Points"),CLASSNAMEHEADERS,0))),"")))))))))}</f>
        <v>MARTIALLIMITEDL05</v>
      </c>
      <c r="L335" s="223"/>
      <c r="M335" s="223" t="str">
        <f t="array" ref="M335:M336">{"MARTIALLIMITEDL07";((IF("07"=(INDEX(ALLCLASSDATA,MATCH("MartialLimitedLegendary",CLASSFEATUREHEADERS,0),MATCH($A336,CLASSNAMEHEADERS,0))),(INDEX(ALLCLASSDATA,MATCH("MartialLimitedLegendary",CLASSFEATUREHEADERS,0),MATCH(($A336 &amp; "Points"),CLASSNAMEHEADERS,0))),(IF("07"=(INDEX(ALLCLASSDATA,MATCH("MartialLimitedMaster",CLASSFEATUREHEADERS,0),MATCH($A336,CLASSNAMEHEADERS,0))),(INDEX(ALLCLASSDATA,MATCH("MartialLimitedMaster",CLASSFEATUREHEADERS,0),MATCH(($A336 &amp; "Points"),CLASSNAMEHEADERS,0))),(IF("07"=(INDEX(ALLCLASSDATA,MATCH("MartialLimitedExpert",CLASSFEATUREHEADERS,0),MATCH($A336,CLASSNAMEHEADERS,0))),(INDEX(ALLCLASSDATA,MATCH("MartialLimitedExpert",CLASSFEATUREHEADERS,0),MATCH(($A336 &amp; "Points"),CLASSNAMEHEADERS,0))),(IF("07"=(INDEX(ALLCLASSDATA,MATCH("MartialLimitedTrained",CLASSFEATUREHEADERS,0),MATCH($A336,CLASSNAMEHEADERS,0))),(INDEX(ALLCLASSDATA,MATCH("MartialLimitedTrained",CLASSFEATUREHEADERS,0),MATCH(($A336 &amp; "Points"),CLASSNAMEHEADERS,0))),"")))))))))}</f>
        <v>MARTIALLIMITEDL07</v>
      </c>
      <c r="N335" s="223"/>
      <c r="O335" s="223" t="str">
        <f t="array" ref="O335:O336">{"MARTIALLIMITEDL09";((IF("09"=(INDEX(ALLCLASSDATA,MATCH("MartialLimitedLegendary",CLASSFEATUREHEADERS,0),MATCH($A336,CLASSNAMEHEADERS,0))),(INDEX(ALLCLASSDATA,MATCH("MartialLimitedLegendary",CLASSFEATUREHEADERS,0),MATCH(($A336 &amp; "Points"),CLASSNAMEHEADERS,0))),(IF("09"=(INDEX(ALLCLASSDATA,MATCH("MartialLimitedMaster",CLASSFEATUREHEADERS,0),MATCH($A336,CLASSNAMEHEADERS,0))),(INDEX(ALLCLASSDATA,MATCH("MartialLimitedMaster",CLASSFEATUREHEADERS,0),MATCH(($A336 &amp; "Points"),CLASSNAMEHEADERS,0))),(IF("09"=(INDEX(ALLCLASSDATA,MATCH("MartialLimitedExpert",CLASSFEATUREHEADERS,0),MATCH($A336,CLASSNAMEHEADERS,0))),(INDEX(ALLCLASSDATA,MATCH("MartialLimitedExpert",CLASSFEATUREHEADERS,0),MATCH(($A336 &amp; "Points"),CLASSNAMEHEADERS,0))),(IF("09"=(INDEX(ALLCLASSDATA,MATCH("MartialLimitedTrained",CLASSFEATUREHEADERS,0),MATCH($A336,CLASSNAMEHEADERS,0))),(INDEX(ALLCLASSDATA,MATCH("MartialLimitedTrained",CLASSFEATUREHEADERS,0),MATCH(($A336 &amp; "Points"),CLASSNAMEHEADERS,0))),"")))))))))}</f>
        <v>MARTIALLIMITEDL09</v>
      </c>
      <c r="P335" s="223"/>
      <c r="Q335" s="223" t="str">
        <f t="array" ref="Q335:Q336">{"MARTIALLIMITEDL11";((IF("11"=(INDEX(ALLCLASSDATA,MATCH("MartialLimitedLegendary",CLASSFEATUREHEADERS,0),MATCH($A336,CLASSNAMEHEADERS,0))),(INDEX(ALLCLASSDATA,MATCH("MartialLimitedLegendary",CLASSFEATUREHEADERS,0),MATCH(($A336 &amp; "Points"),CLASSNAMEHEADERS,0))),(IF("11"=(INDEX(ALLCLASSDATA,MATCH("MartialLimitedMaster",CLASSFEATUREHEADERS,0),MATCH($A336,CLASSNAMEHEADERS,0))),(INDEX(ALLCLASSDATA,MATCH("MartialLimitedMaster",CLASSFEATUREHEADERS,0),MATCH(($A336 &amp; "Points"),CLASSNAMEHEADERS,0))),(IF("11"=(INDEX(ALLCLASSDATA,MATCH("MartialLimitedExpert",CLASSFEATUREHEADERS,0),MATCH($A336,CLASSNAMEHEADERS,0))),(INDEX(ALLCLASSDATA,MATCH("MartialLimitedExpert",CLASSFEATUREHEADERS,0),MATCH(($A336 &amp; "Points"),CLASSNAMEHEADERS,0))),(IF("11"=(INDEX(ALLCLASSDATA,MATCH("MartialLimitedTrained",CLASSFEATUREHEADERS,0),MATCH($A336,CLASSNAMEHEADERS,0))),(INDEX(ALLCLASSDATA,MATCH("MartialLimitedTrained",CLASSFEATUREHEADERS,0),MATCH(($A336 &amp; "Points"),CLASSNAMEHEADERS,0))),"")))))))))}</f>
        <v>MARTIALLIMITEDL11</v>
      </c>
      <c r="R335" s="223"/>
      <c r="S335" s="223" t="str">
        <f t="array" ref="S335:S336">{"MARTIALLIMITEDL13";((IF("13"=(INDEX(ALLCLASSDATA,MATCH("MartialLimitedLegendary",CLASSFEATUREHEADERS,0),MATCH($A336,CLASSNAMEHEADERS,0))),(INDEX(ALLCLASSDATA,MATCH("MartialLimitedLegendary",CLASSFEATUREHEADERS,0),MATCH(($A336 &amp; "Points"),CLASSNAMEHEADERS,0))),(IF("13"=(INDEX(ALLCLASSDATA,MATCH("MartialLimitedMaster",CLASSFEATUREHEADERS,0),MATCH($A336,CLASSNAMEHEADERS,0))),(INDEX(ALLCLASSDATA,MATCH("MartialLimitedMaster",CLASSFEATUREHEADERS,0),MATCH(($A336 &amp; "Points"),CLASSNAMEHEADERS,0))),(IF("13"=(INDEX(ALLCLASSDATA,MATCH("MartialLimitedExpert",CLASSFEATUREHEADERS,0),MATCH($A336,CLASSNAMEHEADERS,0))),(INDEX(ALLCLASSDATA,MATCH("MartialLimitedExpert",CLASSFEATUREHEADERS,0),MATCH(($A336 &amp; "Points"),CLASSNAMEHEADERS,0))),(IF("13"=(INDEX(ALLCLASSDATA,MATCH("MartialLimitedTrained",CLASSFEATUREHEADERS,0),MATCH($A336,CLASSNAMEHEADERS,0))),(INDEX(ALLCLASSDATA,MATCH("MartialLimitedTrained",CLASSFEATUREHEADERS,0),MATCH(($A336 &amp; "Points"),CLASSNAMEHEADERS,0))),"")))))))))}</f>
        <v>MARTIALLIMITEDL13</v>
      </c>
      <c r="T335" s="223"/>
      <c r="U335" s="223" t="str">
        <f t="array" ref="U335:U336">{"MARTIALLIMITEDL15";((IF("15"=(INDEX(ALLCLASSDATA,MATCH("MartialLimitedLegendary",CLASSFEATUREHEADERS,0),MATCH($A336,CLASSNAMEHEADERS,0))),(INDEX(ALLCLASSDATA,MATCH("MartialLimitedLegendary",CLASSFEATUREHEADERS,0),MATCH(($A336 &amp; "Points"),CLASSNAMEHEADERS,0))),(IF("15"=(INDEX(ALLCLASSDATA,MATCH("MartialLimitedMaster",CLASSFEATUREHEADERS,0),MATCH($A336,CLASSNAMEHEADERS,0))),(INDEX(ALLCLASSDATA,MATCH("MartialLimitedMaster",CLASSFEATUREHEADERS,0),MATCH(($A336 &amp; "Points"),CLASSNAMEHEADERS,0))),(IF("15"=(INDEX(ALLCLASSDATA,MATCH("MartialLimitedExpert",CLASSFEATUREHEADERS,0),MATCH($A336,CLASSNAMEHEADERS,0))),(INDEX(ALLCLASSDATA,MATCH("MartialLimitedExpert",CLASSFEATUREHEADERS,0),MATCH(($A336 &amp; "Points"),CLASSNAMEHEADERS,0))),(IF("15"=(INDEX(ALLCLASSDATA,MATCH("MartialLimitedTrained",CLASSFEATUREHEADERS,0),MATCH($A336,CLASSNAMEHEADERS,0))),(INDEX(ALLCLASSDATA,MATCH("MartialLimitedTrained",CLASSFEATUREHEADERS,0),MATCH(($A336 &amp; "Points"),CLASSNAMEHEADERS,0))),"")))))))))}</f>
        <v>MARTIALLIMITEDL15</v>
      </c>
      <c r="V335" s="223"/>
      <c r="W335" s="223" t="str">
        <f t="array" ref="W335:W336">{"MARTIALLIMITEDL17";((IF("17"=(INDEX(ALLCLASSDATA,MATCH("MartialLimitedLegendary",CLASSFEATUREHEADERS,0),MATCH($A336,CLASSNAMEHEADERS,0))),(INDEX(ALLCLASSDATA,MATCH("MartialLimitedLegendary",CLASSFEATUREHEADERS,0),MATCH(($A336 &amp; "Points"),CLASSNAMEHEADERS,0))),(IF("17"=(INDEX(ALLCLASSDATA,MATCH("MartialLimitedMaster",CLASSFEATUREHEADERS,0),MATCH($A336,CLASSNAMEHEADERS,0))),(INDEX(ALLCLASSDATA,MATCH("MartialLimitedMaster",CLASSFEATUREHEADERS,0),MATCH(($A336 &amp; "Points"),CLASSNAMEHEADERS,0))),(IF("17"=(INDEX(ALLCLASSDATA,MATCH("MartialLimitedExpert",CLASSFEATUREHEADERS,0),MATCH($A336,CLASSNAMEHEADERS,0))),(INDEX(ALLCLASSDATA,MATCH("MartialLimitedExpert",CLASSFEATUREHEADERS,0),MATCH(($A336 &amp; "Points"),CLASSNAMEHEADERS,0))),(IF("17"=(INDEX(ALLCLASSDATA,MATCH("MartialLimitedTrained",CLASSFEATUREHEADERS,0),MATCH($A336,CLASSNAMEHEADERS,0))),(INDEX(ALLCLASSDATA,MATCH("MartialLimitedTrained",CLASSFEATUREHEADERS,0),MATCH(($A336 &amp; "Points"),CLASSNAMEHEADERS,0))),"")))))))))}</f>
        <v>MARTIALLIMITEDL17</v>
      </c>
      <c r="X335" s="223"/>
      <c r="Y335" s="223" t="str">
        <f t="array" ref="Y335:Y336">{"MARTIALLIMITEDL19";((IF("19"=(INDEX(ALLCLASSDATA,MATCH("MartialLimitedLegendary",CLASSFEATUREHEADERS,0),MATCH($A336,CLASSNAMEHEADERS,0))),(INDEX(ALLCLASSDATA,MATCH("MartialLimitedLegendary",CLASSFEATUREHEADERS,0),MATCH(($A336 &amp; "Points"),CLASSNAMEHEADERS,0))),(IF("19"=(INDEX(ALLCLASSDATA,MATCH("MartialLimitedMaster",CLASSFEATUREHEADERS,0),MATCH($A336,CLASSNAMEHEADERS,0))),(INDEX(ALLCLASSDATA,MATCH("MartialLimitedMaster",CLASSFEATUREHEADERS,0),MATCH(($A336 &amp; "Points"),CLASSNAMEHEADERS,0))),(IF("19"=(INDEX(ALLCLASSDATA,MATCH("MartialLimitedExpert",CLASSFEATUREHEADERS,0),MATCH($A336,CLASSNAMEHEADERS,0))),(INDEX(ALLCLASSDATA,MATCH("MartialLimitedExpert",CLASSFEATUREHEADERS,0),MATCH(($A336 &amp; "Points"),CLASSNAMEHEADERS,0))),(IF("19"=(INDEX(ALLCLASSDATA,MATCH("MartialLimitedTrained",CLASSFEATUREHEADERS,0),MATCH($A336,CLASSNAMEHEADERS,0))),(INDEX(ALLCLASSDATA,MATCH("MartialLimitedTrained",CLASSFEATUREHEADERS,0),MATCH(($A336 &amp; "Points"),CLASSNAMEHEADERS,0))),"")))))))))}</f>
        <v>MARTIALLIMITEDL19</v>
      </c>
      <c r="Z335" s="223"/>
      <c r="AA335" s="76" t="str">
        <f t="array" ref="AA335:AA336">{"MARTIALLIMITED TOTAL";(IF(COUNTBLANK(F336:Z336)=17,"L",(IF(COUNTBLANK(F336:Z336)=18,"M",(IF(COUNTBLANK(F336:Z336)=19,"E",(IF(COUNTBLANK(F336:Z336)=20,"T",""))))))))}</f>
        <v>MARTIALLIMITED TOTAL</v>
      </c>
      <c r="AB335" s="76" t="str">
        <f t="array" ref="AB335:AB336">{"MARTIALLIMITED TOTAL";(sum(F336:Z336))}</f>
        <v>MARTIALLIMITED TOTAL</v>
      </c>
    </row>
    <row r="336">
      <c r="A336" s="48" t="s">
        <v>229</v>
      </c>
      <c r="B336" s="48" t="s">
        <v>418</v>
      </c>
      <c r="C336" s="48" t="s">
        <v>1634</v>
      </c>
      <c r="D336" s="48" t="s">
        <v>600</v>
      </c>
      <c r="E336" s="5" t="s">
        <v>603</v>
      </c>
      <c r="F336" s="47" t="s">
        <v>603</v>
      </c>
      <c r="G336" s="5" t="s">
        <v>603</v>
      </c>
      <c r="H336" s="5"/>
      <c r="I336" s="5" t="s">
        <v>603</v>
      </c>
      <c r="J336" s="5"/>
      <c r="K336" s="5" t="s">
        <v>603</v>
      </c>
      <c r="L336" s="5"/>
      <c r="M336" s="5" t="s">
        <v>603</v>
      </c>
      <c r="N336" s="5"/>
      <c r="O336" s="5" t="s">
        <v>603</v>
      </c>
      <c r="P336" s="5"/>
      <c r="Q336" s="5" t="s">
        <v>603</v>
      </c>
      <c r="R336" s="5"/>
      <c r="S336" s="5" t="s">
        <v>603</v>
      </c>
      <c r="T336" s="5"/>
      <c r="U336" s="5" t="s">
        <v>603</v>
      </c>
      <c r="V336" s="5"/>
      <c r="W336" s="5" t="s">
        <v>603</v>
      </c>
      <c r="X336" s="5"/>
      <c r="Y336" s="5" t="s">
        <v>603</v>
      </c>
      <c r="Z336" s="5"/>
      <c r="AA336" s="5" t="s">
        <v>603</v>
      </c>
      <c r="AB336" s="47">
        <v>0.0</v>
      </c>
    </row>
    <row r="337" hidden="1">
      <c r="A337" s="222" t="str">
        <f t="array" ref="A337:A338">{"FormulaRow31";(INDEX(CLASSLIST,A276,1))}</f>
        <v>FormulaRow31</v>
      </c>
      <c r="B337" s="222" t="str">
        <f t="array" ref="B337:B338">{"CLASSTYPE";((INDEX(ALLCLASSDATA,MATCH("ClassType",CLASSFEATUREHEADERS,0),MATCH($A338,CLASSNAMEHEADERS,0))))}</f>
        <v>CLASSTYPE</v>
      </c>
      <c r="C337" s="222" t="str">
        <f t="array" ref="C337:C338">{"ATTACK";"Attack"}</f>
        <v>ATTACK</v>
      </c>
      <c r="D337" s="222" t="str">
        <f t="array" ref="D337:D338">{"MARTIAL";"Martial"}</f>
        <v>MARTIAL</v>
      </c>
      <c r="E337" s="223" t="str">
        <f t="array" ref="E337:E338">{"MARTIALINITIAL";((IF(G338=10,"T",(IF(G338=50,"E","")))))}</f>
        <v>MARTIALINITIAL</v>
      </c>
      <c r="F337" s="223" t="str">
        <f t="array" ref="F337:F338">{"MARTIALINITIALPTS";((IF("00"=(INDEX(ALLCLASSDATA,MATCH("MartialLegendary",CLASSFEATUREHEADERS,0),MATCH($A338,CLASSNAMEHEADERS,0))),(INDEX(ALLCLASSDATA,MATCH("MartialLegendary",CLASSFEATUREHEADERS,0),MATCH(($A338 &amp; "Points"),CLASSNAMEHEADERS,0))),(IF("00"=(INDEX(ALLCLASSDATA,MATCH("MartialMaster",CLASSFEATUREHEADERS,0),MATCH($A338,CLASSNAMEHEADERS,0))),(INDEX(ALLCLASSDATA,MATCH("MartialMaster",CLASSFEATUREHEADERS,0),MATCH(($A338 &amp; "Points"),CLASSNAMEHEADERS,0))),(IF("00"=(INDEX(ALLCLASSDATA,MATCH("MartialExpert",CLASSFEATUREHEADERS,0),MATCH($A338,CLASSNAMEHEADERS,0))),(INDEX(ALLCLASSDATA,MATCH("MartialExpert",CLASSFEATUREHEADERS,0),MATCH(($A338 &amp; "Points"),CLASSNAMEHEADERS,0))),(IF("00"=(INDEX(ALLCLASSDATA,MATCH("MartialTrained",CLASSFEATUREHEADERS,0),MATCH($A338,CLASSNAMEHEADERS,0))),(INDEX(ALLCLASSDATA,MATCH("MartialTrained",CLASSFEATUREHEADERS,0),MATCH(($A338 &amp; "Points"),CLASSNAMEHEADERS,0))),"")))))))))}</f>
        <v>MARTIALINITIALPTS</v>
      </c>
      <c r="G337" s="223" t="str">
        <f t="array" ref="G337:G338">{"MARTIALL01";((IF("01"=(INDEX(ALLCLASSDATA,MATCH("MartialLegendary",CLASSFEATUREHEADERS,0),MATCH($A338,CLASSNAMEHEADERS,0))),(INDEX(ALLCLASSDATA,MATCH("MartialLegendary",CLASSFEATUREHEADERS,0),MATCH(($A338 &amp; "Points"),CLASSNAMEHEADERS,0))),(IF("01"=(INDEX(ALLCLASSDATA,MATCH("MartialMaster",CLASSFEATUREHEADERS,0),MATCH($A338,CLASSNAMEHEADERS,0))),(INDEX(ALLCLASSDATA,MATCH("MartialMaster",CLASSFEATUREHEADERS,0),MATCH(($A338 &amp; "Points"),CLASSNAMEHEADERS,0))),(IF("01"=(INDEX(ALLCLASSDATA,MATCH("MartialExpert",CLASSFEATUREHEADERS,0),MATCH($A338,CLASSNAMEHEADERS,0))),(INDEX(ALLCLASSDATA,MATCH("MartialExpert",CLASSFEATUREHEADERS,0),MATCH(($A338 &amp; "Points"),CLASSNAMEHEADERS,0))),(IF("01"=(INDEX(ALLCLASSDATA,MATCH("MartialTrained",CLASSFEATUREHEADERS,0),MATCH($A338,CLASSNAMEHEADERS,0))),(INDEX(ALLCLASSDATA,MATCH("MartialTrained",CLASSFEATUREHEADERS,0),MATCH(($A338 &amp; "Points"),CLASSNAMEHEADERS,0))),"")))))))))}</f>
        <v>MARTIALL01</v>
      </c>
      <c r="H337" s="223"/>
      <c r="I337" s="223" t="str">
        <f t="array" ref="I337:I338">{"MARTIALL03";((IF("03"=(INDEX(ALLCLASSDATA,MATCH("MartialLegendary",CLASSFEATUREHEADERS,0),MATCH($A338,CLASSNAMEHEADERS,0))),(INDEX(ALLCLASSDATA,MATCH("MartialLegendary",CLASSFEATUREHEADERS,0),MATCH(($A338 &amp; "Points"),CLASSNAMEHEADERS,0))),(IF("03"=(INDEX(ALLCLASSDATA,MATCH("MartialMaster",CLASSFEATUREHEADERS,0),MATCH($A338,CLASSNAMEHEADERS,0))),(INDEX(ALLCLASSDATA,MATCH("MartialMaster",CLASSFEATUREHEADERS,0),MATCH(($A338 &amp; "Points"),CLASSNAMEHEADERS,0))),(IF("03"=(INDEX(ALLCLASSDATA,MATCH("MartialExpert",CLASSFEATUREHEADERS,0),MATCH($A338,CLASSNAMEHEADERS,0))),(INDEX(ALLCLASSDATA,MATCH("MartialExpert",CLASSFEATUREHEADERS,0),MATCH(($A338 &amp; "Points"),CLASSNAMEHEADERS,0))),(IF("03"=(INDEX(ALLCLASSDATA,MATCH("MartialTrained",CLASSFEATUREHEADERS,0),MATCH($A338,CLASSNAMEHEADERS,0))),(INDEX(ALLCLASSDATA,MATCH("MartialTrained",CLASSFEATUREHEADERS,0),MATCH(($A338 &amp; "Points"),CLASSNAMEHEADERS,0))),"")))))))))}</f>
        <v>MARTIALL03</v>
      </c>
      <c r="J337" s="223"/>
      <c r="K337" s="223" t="str">
        <f t="array" ref="K337:K338">{"MARTIALL05";((IF("05"=(INDEX(ALLCLASSDATA,MATCH("MartialLegendary",CLASSFEATUREHEADERS,0),MATCH($A338,CLASSNAMEHEADERS,0))),(INDEX(ALLCLASSDATA,MATCH("MartialLegendary",CLASSFEATUREHEADERS,0),MATCH(($A338 &amp; "Points"),CLASSNAMEHEADERS,0))),(IF("05"=(INDEX(ALLCLASSDATA,MATCH("MartialMaster",CLASSFEATUREHEADERS,0),MATCH($A338,CLASSNAMEHEADERS,0))),(INDEX(ALLCLASSDATA,MATCH("MartialMaster",CLASSFEATUREHEADERS,0),MATCH(($A338 &amp; "Points"),CLASSNAMEHEADERS,0))),(IF("05"=(INDEX(ALLCLASSDATA,MATCH("MartialExpert",CLASSFEATUREHEADERS,0),MATCH($A338,CLASSNAMEHEADERS,0))),(INDEX(ALLCLASSDATA,MATCH("MartialExpert",CLASSFEATUREHEADERS,0),MATCH(($A338 &amp; "Points"),CLASSNAMEHEADERS,0))),(IF("05"=(INDEX(ALLCLASSDATA,MATCH("MartialTrained",CLASSFEATUREHEADERS,0),MATCH($A338,CLASSNAMEHEADERS,0))),(INDEX(ALLCLASSDATA,MATCH("MartialTrained",CLASSFEATUREHEADERS,0),MATCH(($A338 &amp; "Points"),CLASSNAMEHEADERS,0))),"")))))))))}</f>
        <v>MARTIALL05</v>
      </c>
      <c r="L337" s="223"/>
      <c r="M337" s="223" t="str">
        <f t="array" ref="M337:M338">{"MARTIALL07";((IF("07"=(INDEX(ALLCLASSDATA,MATCH("MartialLegendary",CLASSFEATUREHEADERS,0),MATCH($A338,CLASSNAMEHEADERS,0))),(INDEX(ALLCLASSDATA,MATCH("MartialLegendary",CLASSFEATUREHEADERS,0),MATCH(($A338 &amp; "Points"),CLASSNAMEHEADERS,0))),(IF("07"=(INDEX(ALLCLASSDATA,MATCH("MartialMaster",CLASSFEATUREHEADERS,0),MATCH($A338,CLASSNAMEHEADERS,0))),(INDEX(ALLCLASSDATA,MATCH("MartialMaster",CLASSFEATUREHEADERS,0),MATCH(($A338 &amp; "Points"),CLASSNAMEHEADERS,0))),(IF("07"=(INDEX(ALLCLASSDATA,MATCH("MartialExpert",CLASSFEATUREHEADERS,0),MATCH($A338,CLASSNAMEHEADERS,0))),(INDEX(ALLCLASSDATA,MATCH("MartialExpert",CLASSFEATUREHEADERS,0),MATCH(($A338 &amp; "Points"),CLASSNAMEHEADERS,0))),(IF("07"=(INDEX(ALLCLASSDATA,MATCH("MartialTrained",CLASSFEATUREHEADERS,0),MATCH($A338,CLASSNAMEHEADERS,0))),(INDEX(ALLCLASSDATA,MATCH("MartialTrained",CLASSFEATUREHEADERS,0),MATCH(($A338 &amp; "Points"),CLASSNAMEHEADERS,0))),"")))))))))}</f>
        <v>MARTIALL07</v>
      </c>
      <c r="N337" s="223"/>
      <c r="O337" s="223" t="str">
        <f t="array" ref="O337:O338">{"MARTIALL09";((IF("09"=(INDEX(ALLCLASSDATA,MATCH("MartialLegendary",CLASSFEATUREHEADERS,0),MATCH($A338,CLASSNAMEHEADERS,0))),(INDEX(ALLCLASSDATA,MATCH("MartialLegendary",CLASSFEATUREHEADERS,0),MATCH(($A338 &amp; "Points"),CLASSNAMEHEADERS,0))),(IF("09"=(INDEX(ALLCLASSDATA,MATCH("MartialMaster",CLASSFEATUREHEADERS,0),MATCH($A338,CLASSNAMEHEADERS,0))),(INDEX(ALLCLASSDATA,MATCH("MartialMaster",CLASSFEATUREHEADERS,0),MATCH(($A338 &amp; "Points"),CLASSNAMEHEADERS,0))),(IF("09"=(INDEX(ALLCLASSDATA,MATCH("MartialExpert",CLASSFEATUREHEADERS,0),MATCH($A338,CLASSNAMEHEADERS,0))),(INDEX(ALLCLASSDATA,MATCH("MartialExpert",CLASSFEATUREHEADERS,0),MATCH(($A338 &amp; "Points"),CLASSNAMEHEADERS,0))),(IF("09"=(INDEX(ALLCLASSDATA,MATCH("MartialTrained",CLASSFEATUREHEADERS,0),MATCH($A338,CLASSNAMEHEADERS,0))),(INDEX(ALLCLASSDATA,MATCH("MartialTrained",CLASSFEATUREHEADERS,0),MATCH(($A338 &amp; "Points"),CLASSNAMEHEADERS,0))),"")))))))))}</f>
        <v>MARTIALL09</v>
      </c>
      <c r="P337" s="223"/>
      <c r="Q337" s="223" t="str">
        <f t="array" ref="Q337:Q338">{"MARTIALL11";((IF("11"=(INDEX(ALLCLASSDATA,MATCH("MartialLegendary",CLASSFEATUREHEADERS,0),MATCH($A338,CLASSNAMEHEADERS,0))),(INDEX(ALLCLASSDATA,MATCH("MartialLegendary",CLASSFEATUREHEADERS,0),MATCH(($A338 &amp; "Points"),CLASSNAMEHEADERS,0))),(IF("11"=(INDEX(ALLCLASSDATA,MATCH("MartialMaster",CLASSFEATUREHEADERS,0),MATCH($A338,CLASSNAMEHEADERS,0))),(INDEX(ALLCLASSDATA,MATCH("MartialMaster",CLASSFEATUREHEADERS,0),MATCH(($A338 &amp; "Points"),CLASSNAMEHEADERS,0))),(IF("11"=(INDEX(ALLCLASSDATA,MATCH("MartialExpert",CLASSFEATUREHEADERS,0),MATCH($A338,CLASSNAMEHEADERS,0))),(INDEX(ALLCLASSDATA,MATCH("MartialExpert",CLASSFEATUREHEADERS,0),MATCH(($A338 &amp; "Points"),CLASSNAMEHEADERS,0))),(IF("11"=(INDEX(ALLCLASSDATA,MATCH("MartialTrained",CLASSFEATUREHEADERS,0),MATCH($A338,CLASSNAMEHEADERS,0))),(INDEX(ALLCLASSDATA,MATCH("MartialTrained",CLASSFEATUREHEADERS,0),MATCH(($A338 &amp; "Points"),CLASSNAMEHEADERS,0))),"")))))))))}</f>
        <v>MARTIALL11</v>
      </c>
      <c r="R337" s="223"/>
      <c r="S337" s="223" t="str">
        <f t="array" ref="S337:S338">{"MARTIALL13";((IF("13"=(INDEX(ALLCLASSDATA,MATCH("MartialLegendary",CLASSFEATUREHEADERS,0),MATCH($A338,CLASSNAMEHEADERS,0))),(INDEX(ALLCLASSDATA,MATCH("MartialLegendary",CLASSFEATUREHEADERS,0),MATCH(($A338 &amp; "Points"),CLASSNAMEHEADERS,0))),(IF("13"=(INDEX(ALLCLASSDATA,MATCH("MartialMaster",CLASSFEATUREHEADERS,0),MATCH($A338,CLASSNAMEHEADERS,0))),(INDEX(ALLCLASSDATA,MATCH("MartialMaster",CLASSFEATUREHEADERS,0),MATCH(($A338 &amp; "Points"),CLASSNAMEHEADERS,0))),(IF("13"=(INDEX(ALLCLASSDATA,MATCH("MartialExpert",CLASSFEATUREHEADERS,0),MATCH($A338,CLASSNAMEHEADERS,0))),(INDEX(ALLCLASSDATA,MATCH("MartialExpert",CLASSFEATUREHEADERS,0),MATCH(($A338 &amp; "Points"),CLASSNAMEHEADERS,0))),(IF("13"=(INDEX(ALLCLASSDATA,MATCH("MartialTrained",CLASSFEATUREHEADERS,0),MATCH($A338,CLASSNAMEHEADERS,0))),(INDEX(ALLCLASSDATA,MATCH("MartialTrained",CLASSFEATUREHEADERS,0),MATCH(($A338 &amp; "Points"),CLASSNAMEHEADERS,0))),"")))))))))}</f>
        <v>MARTIALL13</v>
      </c>
      <c r="T337" s="223"/>
      <c r="U337" s="223" t="str">
        <f t="array" ref="U337:U338">{"MARTIALL15";((IF("15"=(INDEX(ALLCLASSDATA,MATCH("MartialLegendary",CLASSFEATUREHEADERS,0),MATCH($A338,CLASSNAMEHEADERS,0))),(INDEX(ALLCLASSDATA,MATCH("MartialLegendary",CLASSFEATUREHEADERS,0),MATCH(($A338 &amp; "Points"),CLASSNAMEHEADERS,0))),(IF("15"=(INDEX(ALLCLASSDATA,MATCH("MartialMaster",CLASSFEATUREHEADERS,0),MATCH($A338,CLASSNAMEHEADERS,0))),(INDEX(ALLCLASSDATA,MATCH("MartialMaster",CLASSFEATUREHEADERS,0),MATCH(($A338 &amp; "Points"),CLASSNAMEHEADERS,0))),(IF("15"=(INDEX(ALLCLASSDATA,MATCH("MartialExpert",CLASSFEATUREHEADERS,0),MATCH($A338,CLASSNAMEHEADERS,0))),(INDEX(ALLCLASSDATA,MATCH("MartialExpert",CLASSFEATUREHEADERS,0),MATCH(($A338 &amp; "Points"),CLASSNAMEHEADERS,0))),(IF("15"=(INDEX(ALLCLASSDATA,MATCH("MartialTrained",CLASSFEATUREHEADERS,0),MATCH($A338,CLASSNAMEHEADERS,0))),(INDEX(ALLCLASSDATA,MATCH("MartialTrained",CLASSFEATUREHEADERS,0),MATCH(($A338 &amp; "Points"),CLASSNAMEHEADERS,0))),"")))))))))}</f>
        <v>MARTIALL15</v>
      </c>
      <c r="V337" s="223"/>
      <c r="W337" s="223" t="str">
        <f t="array" ref="W337:W338">{"MARTIALL17";((IF("17"=(INDEX(ALLCLASSDATA,MATCH("MartialLegendary",CLASSFEATUREHEADERS,0),MATCH($A338,CLASSNAMEHEADERS,0))),(INDEX(ALLCLASSDATA,MATCH("MartialLegendary",CLASSFEATUREHEADERS,0),MATCH(($A338 &amp; "Points"),CLASSNAMEHEADERS,0))),(IF("17"=(INDEX(ALLCLASSDATA,MATCH("MartialMaster",CLASSFEATUREHEADERS,0),MATCH($A338,CLASSNAMEHEADERS,0))),(INDEX(ALLCLASSDATA,MATCH("MartialMaster",CLASSFEATUREHEADERS,0),MATCH(($A338 &amp; "Points"),CLASSNAMEHEADERS,0))),(IF("17"=(INDEX(ALLCLASSDATA,MATCH("MartialExpert",CLASSFEATUREHEADERS,0),MATCH($A338,CLASSNAMEHEADERS,0))),(INDEX(ALLCLASSDATA,MATCH("MartialExpert",CLASSFEATUREHEADERS,0),MATCH(($A338 &amp; "Points"),CLASSNAMEHEADERS,0))),(IF("17"=(INDEX(ALLCLASSDATA,MATCH("MartialTrained",CLASSFEATUREHEADERS,0),MATCH($A338,CLASSNAMEHEADERS,0))),(INDEX(ALLCLASSDATA,MATCH("MartialTrained",CLASSFEATUREHEADERS,0),MATCH(($A338 &amp; "Points"),CLASSNAMEHEADERS,0))),"")))))))))}</f>
        <v>MARTIALL17</v>
      </c>
      <c r="X337" s="223"/>
      <c r="Y337" s="223" t="str">
        <f t="array" ref="Y337:Y338">{"MARTIALL19";((IF("19"=(INDEX(ALLCLASSDATA,MATCH("MartialLegendary",CLASSFEATUREHEADERS,0),MATCH($A338,CLASSNAMEHEADERS,0))),(INDEX(ALLCLASSDATA,MATCH("MartialLegendary",CLASSFEATUREHEADERS,0),MATCH(($A338 &amp; "Points"),CLASSNAMEHEADERS,0))),(IF("19"=(INDEX(ALLCLASSDATA,MATCH("MartialMaster",CLASSFEATUREHEADERS,0),MATCH($A338,CLASSNAMEHEADERS,0))),(INDEX(ALLCLASSDATA,MATCH("MartialMaster",CLASSFEATUREHEADERS,0),MATCH(($A338 &amp; "Points"),CLASSNAMEHEADERS,0))),(IF("19"=(INDEX(ALLCLASSDATA,MATCH("MartialExpert",CLASSFEATUREHEADERS,0),MATCH($A338,CLASSNAMEHEADERS,0))),(INDEX(ALLCLASSDATA,MATCH("MartialExpert",CLASSFEATUREHEADERS,0),MATCH(($A338 &amp; "Points"),CLASSNAMEHEADERS,0))),(IF("19"=(INDEX(ALLCLASSDATA,MATCH("MartialTrained",CLASSFEATUREHEADERS,0),MATCH($A338,CLASSNAMEHEADERS,0))),(INDEX(ALLCLASSDATA,MATCH("MartialTrained",CLASSFEATUREHEADERS,0),MATCH(($A338 &amp; "Points"),CLASSNAMEHEADERS,0))),"")))))))))}</f>
        <v>MARTIALL19</v>
      </c>
      <c r="Z337" s="223"/>
      <c r="AA337" s="76" t="str">
        <f t="array" ref="AA337:AA338">{"MARTIAL TOTAL";(IF(COUNTBLANK(F338:Z338)=17,"L",(IF(COUNTBLANK(F338:Z338)=18,"M",(IF(COUNTBLANK(F338:Z338)=19,"E",(IF(COUNTBLANK(F338:Z338)=20,"T",""))))))))}</f>
        <v>MARTIAL TOTAL</v>
      </c>
      <c r="AB337" s="76" t="str">
        <f t="array" ref="AB337:AB338">{"MARTIAL TOTAL";(sum(F338:Z338))}</f>
        <v>MARTIAL TOTAL</v>
      </c>
    </row>
    <row r="338">
      <c r="A338" s="48" t="s">
        <v>229</v>
      </c>
      <c r="B338" s="48" t="s">
        <v>418</v>
      </c>
      <c r="C338" s="48" t="s">
        <v>1634</v>
      </c>
      <c r="D338" s="48" t="s">
        <v>6</v>
      </c>
      <c r="E338" s="5" t="s">
        <v>603</v>
      </c>
      <c r="F338" s="47" t="s">
        <v>603</v>
      </c>
      <c r="G338" s="5" t="s">
        <v>603</v>
      </c>
      <c r="H338" s="5"/>
      <c r="I338" s="5" t="s">
        <v>603</v>
      </c>
      <c r="J338" s="5"/>
      <c r="K338" s="5" t="s">
        <v>603</v>
      </c>
      <c r="L338" s="5"/>
      <c r="M338" s="5" t="s">
        <v>603</v>
      </c>
      <c r="N338" s="5"/>
      <c r="O338" s="5" t="s">
        <v>603</v>
      </c>
      <c r="P338" s="48"/>
      <c r="Q338" s="5" t="s">
        <v>603</v>
      </c>
      <c r="R338" s="5"/>
      <c r="S338" s="5" t="s">
        <v>603</v>
      </c>
      <c r="T338" s="5"/>
      <c r="U338" s="5" t="s">
        <v>603</v>
      </c>
      <c r="V338" s="5"/>
      <c r="W338" s="5" t="s">
        <v>603</v>
      </c>
      <c r="X338" s="5"/>
      <c r="Y338" s="5" t="s">
        <v>603</v>
      </c>
      <c r="Z338" s="5"/>
      <c r="AA338" s="5" t="s">
        <v>603</v>
      </c>
      <c r="AB338" s="47">
        <v>0.0</v>
      </c>
    </row>
    <row r="339" hidden="1">
      <c r="A339" s="222" t="str">
        <f t="array" ref="A339:A340">{"FormulaRow32";(INDEX(CLASSLIST,A276,1))}</f>
        <v>FormulaRow32</v>
      </c>
      <c r="B339" s="222" t="str">
        <f t="array" ref="B339:B340">{"CLASSTYPE";((INDEX(ALLCLASSDATA,MATCH("ClassType",CLASSFEATUREHEADERS,0),MATCH($A340,CLASSNAMEHEADERS,0))))}</f>
        <v>CLASSTYPE</v>
      </c>
      <c r="C339" s="222" t="str">
        <f t="array" ref="C339:C340">{"ATTACK";"Attack"}</f>
        <v>ATTACK</v>
      </c>
      <c r="D339" s="222" t="str">
        <f t="array" ref="D339:D340">{"ADVANCEDGROUP";"AdvancedGroup"}</f>
        <v>ADVANCEDGROUP</v>
      </c>
      <c r="E339" s="223" t="str">
        <f t="array" ref="E339:E340">{"ADVANCEDGROUPINITIAL";((IF(G340=10,"T",(IF(G340=50,"E","")))))}</f>
        <v>ADVANCEDGROUPINITIAL</v>
      </c>
      <c r="F339" s="223" t="str">
        <f t="array" ref="F339:F340">{"ADVANCEDGROUPINITIALPTS";((IF("00"=(INDEX(ALLCLASSDATA,MATCH("AdvancedGroupLegendary",CLASSFEATUREHEADERS,0),MATCH($A340,CLASSNAMEHEADERS,0))),(INDEX(ALLCLASSDATA,MATCH("AdvancedGroupLegendary",CLASSFEATUREHEADERS,0),MATCH(($A340 &amp; "Points"),CLASSNAMEHEADERS,0))),(IF("00"=(INDEX(ALLCLASSDATA,MATCH("AdvancedGroupMaster",CLASSFEATUREHEADERS,0),MATCH($A340,CLASSNAMEHEADERS,0))),(INDEX(ALLCLASSDATA,MATCH("AdvancedGroupMaster",CLASSFEATUREHEADERS,0),MATCH(($A340 &amp; "Points"),CLASSNAMEHEADERS,0))),(IF("00"=(INDEX(ALLCLASSDATA,MATCH("AdvancedGroupExpert",CLASSFEATUREHEADERS,0),MATCH($A340,CLASSNAMEHEADERS,0))),(INDEX(ALLCLASSDATA,MATCH("AdvancedGroupExpert",CLASSFEATUREHEADERS,0),MATCH(($A340 &amp; "Points"),CLASSNAMEHEADERS,0))),(IF("00"=(INDEX(ALLCLASSDATA,MATCH("AdvancedGroupTrained",CLASSFEATUREHEADERS,0),MATCH($A340,CLASSNAMEHEADERS,0))),(INDEX(ALLCLASSDATA,MATCH("AdvancedGroupTrained",CLASSFEATUREHEADERS,0),MATCH(($A340 &amp; "Points"),CLASSNAMEHEADERS,0))),"")))))))))}</f>
        <v>ADVANCEDGROUPINITIALPTS</v>
      </c>
      <c r="G339" s="223" t="str">
        <f t="array" ref="G339:G340">{"ADVANCEDGROUPL01";((IF("01"=(INDEX(ALLCLASSDATA,MATCH("AdvancedGroupLegendary",CLASSFEATUREHEADERS,0),MATCH($A340,CLASSNAMEHEADERS,0))),(INDEX(ALLCLASSDATA,MATCH("AdvancedGroupLegendary",CLASSFEATUREHEADERS,0),MATCH(($A340 &amp; "Points"),CLASSNAMEHEADERS,0))),(IF("01"=(INDEX(ALLCLASSDATA,MATCH("AdvancedGroupMaster",CLASSFEATUREHEADERS,0),MATCH($A340,CLASSNAMEHEADERS,0))),(INDEX(ALLCLASSDATA,MATCH("AdvancedGroupMaster",CLASSFEATUREHEADERS,0),MATCH(($A340 &amp; "Points"),CLASSNAMEHEADERS,0))),(IF("01"=(INDEX(ALLCLASSDATA,MATCH("AdvancedGroupExpert",CLASSFEATUREHEADERS,0),MATCH($A340,CLASSNAMEHEADERS,0))),(INDEX(ALLCLASSDATA,MATCH("AdvancedGroupExpert",CLASSFEATUREHEADERS,0),MATCH(($A340 &amp; "Points"),CLASSNAMEHEADERS,0))),(IF("01"=(INDEX(ALLCLASSDATA,MATCH("AdvancedGroupTrained",CLASSFEATUREHEADERS,0),MATCH($A340,CLASSNAMEHEADERS,0))),(INDEX(ALLCLASSDATA,MATCH("AdvancedGroupTrained",CLASSFEATUREHEADERS,0),MATCH(($A340 &amp; "Points"),CLASSNAMEHEADERS,0))),"")))))))))}</f>
        <v>ADVANCEDGROUPL01</v>
      </c>
      <c r="H339" s="223"/>
      <c r="I339" s="223" t="str">
        <f t="array" ref="I339:I340">{"ADVANCEDGROUPL03";((IF("03"=(INDEX(ALLCLASSDATA,MATCH("AdvancedGroupLegendary",CLASSFEATUREHEADERS,0),MATCH($A340,CLASSNAMEHEADERS,0))),(INDEX(ALLCLASSDATA,MATCH("AdvancedGroupLegendary",CLASSFEATUREHEADERS,0),MATCH(($A340 &amp; "Points"),CLASSNAMEHEADERS,0))),(IF("03"=(INDEX(ALLCLASSDATA,MATCH("AdvancedGroupMaster",CLASSFEATUREHEADERS,0),MATCH($A340,CLASSNAMEHEADERS,0))),(INDEX(ALLCLASSDATA,MATCH("AdvancedGroupMaster",CLASSFEATUREHEADERS,0),MATCH(($A340 &amp; "Points"),CLASSNAMEHEADERS,0))),(IF("03"=(INDEX(ALLCLASSDATA,MATCH("AdvancedGroupExpert",CLASSFEATUREHEADERS,0),MATCH($A340,CLASSNAMEHEADERS,0))),(INDEX(ALLCLASSDATA,MATCH("AdvancedGroupExpert",CLASSFEATUREHEADERS,0),MATCH(($A340 &amp; "Points"),CLASSNAMEHEADERS,0))),(IF("03"=(INDEX(ALLCLASSDATA,MATCH("AdvancedGroupTrained",CLASSFEATUREHEADERS,0),MATCH($A340,CLASSNAMEHEADERS,0))),(INDEX(ALLCLASSDATA,MATCH("AdvancedGroupTrained",CLASSFEATUREHEADERS,0),MATCH(($A340 &amp; "Points"),CLASSNAMEHEADERS,0))),"")))))))))}</f>
        <v>ADVANCEDGROUPL03</v>
      </c>
      <c r="J339" s="223"/>
      <c r="K339" s="223" t="str">
        <f t="array" ref="K339:K340">{"ADVANCEDGROUPL05";((IF("05"=(INDEX(ALLCLASSDATA,MATCH("AdvancedGroupLegendary",CLASSFEATUREHEADERS,0),MATCH($A340,CLASSNAMEHEADERS,0))),(INDEX(ALLCLASSDATA,MATCH("AdvancedGroupLegendary",CLASSFEATUREHEADERS,0),MATCH(($A340 &amp; "Points"),CLASSNAMEHEADERS,0))),(IF("05"=(INDEX(ALLCLASSDATA,MATCH("AdvancedGroupMaster",CLASSFEATUREHEADERS,0),MATCH($A340,CLASSNAMEHEADERS,0))),(INDEX(ALLCLASSDATA,MATCH("AdvancedGroupMaster",CLASSFEATUREHEADERS,0),MATCH(($A340 &amp; "Points"),CLASSNAMEHEADERS,0))),(IF("05"=(INDEX(ALLCLASSDATA,MATCH("AdvancedGroupExpert",CLASSFEATUREHEADERS,0),MATCH($A340,CLASSNAMEHEADERS,0))),(INDEX(ALLCLASSDATA,MATCH("AdvancedGroupExpert",CLASSFEATUREHEADERS,0),MATCH(($A340 &amp; "Points"),CLASSNAMEHEADERS,0))),(IF("05"=(INDEX(ALLCLASSDATA,MATCH("AdvancedGroupTrained",CLASSFEATUREHEADERS,0),MATCH($A340,CLASSNAMEHEADERS,0))),(INDEX(ALLCLASSDATA,MATCH("AdvancedGroupTrained",CLASSFEATUREHEADERS,0),MATCH(($A340 &amp; "Points"),CLASSNAMEHEADERS,0))),"")))))))))}</f>
        <v>ADVANCEDGROUPL05</v>
      </c>
      <c r="L339" s="223"/>
      <c r="M339" s="223" t="str">
        <f t="array" ref="M339:M340">{"ADVANCEDGROUPL07";((IF("07"=(INDEX(ALLCLASSDATA,MATCH("AdvancedGroupLegendary",CLASSFEATUREHEADERS,0),MATCH($A340,CLASSNAMEHEADERS,0))),(INDEX(ALLCLASSDATA,MATCH("AdvancedGroupLegendary",CLASSFEATUREHEADERS,0),MATCH(($A340 &amp; "Points"),CLASSNAMEHEADERS,0))),(IF("07"=(INDEX(ALLCLASSDATA,MATCH("AdvancedGroupMaster",CLASSFEATUREHEADERS,0),MATCH($A340,CLASSNAMEHEADERS,0))),(INDEX(ALLCLASSDATA,MATCH("AdvancedGroupMaster",CLASSFEATUREHEADERS,0),MATCH(($A340 &amp; "Points"),CLASSNAMEHEADERS,0))),(IF("07"=(INDEX(ALLCLASSDATA,MATCH("AdvancedGroupExpert",CLASSFEATUREHEADERS,0),MATCH($A340,CLASSNAMEHEADERS,0))),(INDEX(ALLCLASSDATA,MATCH("AdvancedGroupExpert",CLASSFEATUREHEADERS,0),MATCH(($A340 &amp; "Points"),CLASSNAMEHEADERS,0))),(IF("07"=(INDEX(ALLCLASSDATA,MATCH("AdvancedGroupTrained",CLASSFEATUREHEADERS,0),MATCH($A340,CLASSNAMEHEADERS,0))),(INDEX(ALLCLASSDATA,MATCH("AdvancedGroupTrained",CLASSFEATUREHEADERS,0),MATCH(($A340 &amp; "Points"),CLASSNAMEHEADERS,0))),"")))))))))}</f>
        <v>ADVANCEDGROUPL07</v>
      </c>
      <c r="N339" s="223"/>
      <c r="O339" s="223" t="str">
        <f t="array" ref="O339:O340">{"ADVANCEDGROUPL09";((IF("09"=(INDEX(ALLCLASSDATA,MATCH("AdvancedGroupLegendary",CLASSFEATUREHEADERS,0),MATCH($A340,CLASSNAMEHEADERS,0))),(INDEX(ALLCLASSDATA,MATCH("AdvancedGroupLegendary",CLASSFEATUREHEADERS,0),MATCH(($A340 &amp; "Points"),CLASSNAMEHEADERS,0))),(IF("09"=(INDEX(ALLCLASSDATA,MATCH("AdvancedGroupMaster",CLASSFEATUREHEADERS,0),MATCH($A340,CLASSNAMEHEADERS,0))),(INDEX(ALLCLASSDATA,MATCH("AdvancedGroupMaster",CLASSFEATUREHEADERS,0),MATCH(($A340 &amp; "Points"),CLASSNAMEHEADERS,0))),(IF("09"=(INDEX(ALLCLASSDATA,MATCH("AdvancedGroupExpert",CLASSFEATUREHEADERS,0),MATCH($A340,CLASSNAMEHEADERS,0))),(INDEX(ALLCLASSDATA,MATCH("AdvancedGroupExpert",CLASSFEATUREHEADERS,0),MATCH(($A340 &amp; "Points"),CLASSNAMEHEADERS,0))),(IF("09"=(INDEX(ALLCLASSDATA,MATCH("AdvancedGroupTrained",CLASSFEATUREHEADERS,0),MATCH($A340,CLASSNAMEHEADERS,0))),(INDEX(ALLCLASSDATA,MATCH("AdvancedGroupTrained",CLASSFEATUREHEADERS,0),MATCH(($A340 &amp; "Points"),CLASSNAMEHEADERS,0))),"")))))))))}</f>
        <v>ADVANCEDGROUPL09</v>
      </c>
      <c r="P339" s="223"/>
      <c r="Q339" s="223" t="str">
        <f t="array" ref="Q339:Q340">{"ADVANCEDGROUPL11";((IF("11"=(INDEX(ALLCLASSDATA,MATCH("AdvancedGroupLegendary",CLASSFEATUREHEADERS,0),MATCH($A340,CLASSNAMEHEADERS,0))),(INDEX(ALLCLASSDATA,MATCH("AdvancedGroupLegendary",CLASSFEATUREHEADERS,0),MATCH(($A340 &amp; "Points"),CLASSNAMEHEADERS,0))),(IF("11"=(INDEX(ALLCLASSDATA,MATCH("AdvancedGroupMaster",CLASSFEATUREHEADERS,0),MATCH($A340,CLASSNAMEHEADERS,0))),(INDEX(ALLCLASSDATA,MATCH("AdvancedGroupMaster",CLASSFEATUREHEADERS,0),MATCH(($A340 &amp; "Points"),CLASSNAMEHEADERS,0))),(IF("11"=(INDEX(ALLCLASSDATA,MATCH("AdvancedGroupExpert",CLASSFEATUREHEADERS,0),MATCH($A340,CLASSNAMEHEADERS,0))),(INDEX(ALLCLASSDATA,MATCH("AdvancedGroupExpert",CLASSFEATUREHEADERS,0),MATCH(($A340 &amp; "Points"),CLASSNAMEHEADERS,0))),(IF("11"=(INDEX(ALLCLASSDATA,MATCH("AdvancedGroupTrained",CLASSFEATUREHEADERS,0),MATCH($A340,CLASSNAMEHEADERS,0))),(INDEX(ALLCLASSDATA,MATCH("AdvancedGroupTrained",CLASSFEATUREHEADERS,0),MATCH(($A340 &amp; "Points"),CLASSNAMEHEADERS,0))),"")))))))))}</f>
        <v>ADVANCEDGROUPL11</v>
      </c>
      <c r="R339" s="223"/>
      <c r="S339" s="223" t="str">
        <f t="array" ref="S339:S340">{"ADVANCEDGROUPL13";((IF("13"=(INDEX(ALLCLASSDATA,MATCH("AdvancedGroupLegendary",CLASSFEATUREHEADERS,0),MATCH($A340,CLASSNAMEHEADERS,0))),(INDEX(ALLCLASSDATA,MATCH("AdvancedGroupLegendary",CLASSFEATUREHEADERS,0),MATCH(($A340 &amp; "Points"),CLASSNAMEHEADERS,0))),(IF("13"=(INDEX(ALLCLASSDATA,MATCH("AdvancedGroupMaster",CLASSFEATUREHEADERS,0),MATCH($A340,CLASSNAMEHEADERS,0))),(INDEX(ALLCLASSDATA,MATCH("AdvancedGroupMaster",CLASSFEATUREHEADERS,0),MATCH(($A340 &amp; "Points"),CLASSNAMEHEADERS,0))),(IF("13"=(INDEX(ALLCLASSDATA,MATCH("AdvancedGroupExpert",CLASSFEATUREHEADERS,0),MATCH($A340,CLASSNAMEHEADERS,0))),(INDEX(ALLCLASSDATA,MATCH("AdvancedGroupExpert",CLASSFEATUREHEADERS,0),MATCH(($A340 &amp; "Points"),CLASSNAMEHEADERS,0))),(IF("13"=(INDEX(ALLCLASSDATA,MATCH("AdvancedGroupTrained",CLASSFEATUREHEADERS,0),MATCH($A340,CLASSNAMEHEADERS,0))),(INDEX(ALLCLASSDATA,MATCH("AdvancedGroupTrained",CLASSFEATUREHEADERS,0),MATCH(($A340 &amp; "Points"),CLASSNAMEHEADERS,0))),"")))))))))}</f>
        <v>ADVANCEDGROUPL13</v>
      </c>
      <c r="T339" s="223"/>
      <c r="U339" s="223" t="str">
        <f t="array" ref="U339:U340">{"ADVANCEDGROUPL15";((IF("15"=(INDEX(ALLCLASSDATA,MATCH("AdvancedGroupLegendary",CLASSFEATUREHEADERS,0),MATCH($A340,CLASSNAMEHEADERS,0))),(INDEX(ALLCLASSDATA,MATCH("AdvancedGroupLegendary",CLASSFEATUREHEADERS,0),MATCH(($A340 &amp; "Points"),CLASSNAMEHEADERS,0))),(IF("15"=(INDEX(ALLCLASSDATA,MATCH("AdvancedGroupMaster",CLASSFEATUREHEADERS,0),MATCH($A340,CLASSNAMEHEADERS,0))),(INDEX(ALLCLASSDATA,MATCH("AdvancedGroupMaster",CLASSFEATUREHEADERS,0),MATCH(($A340 &amp; "Points"),CLASSNAMEHEADERS,0))),(IF("15"=(INDEX(ALLCLASSDATA,MATCH("AdvancedGroupExpert",CLASSFEATUREHEADERS,0),MATCH($A340,CLASSNAMEHEADERS,0))),(INDEX(ALLCLASSDATA,MATCH("AdvancedGroupExpert",CLASSFEATUREHEADERS,0),MATCH(($A340 &amp; "Points"),CLASSNAMEHEADERS,0))),(IF("15"=(INDEX(ALLCLASSDATA,MATCH("AdvancedGroupTrained",CLASSFEATUREHEADERS,0),MATCH($A340,CLASSNAMEHEADERS,0))),(INDEX(ALLCLASSDATA,MATCH("AdvancedGroupTrained",CLASSFEATUREHEADERS,0),MATCH(($A340 &amp; "Points"),CLASSNAMEHEADERS,0))),"")))))))))}</f>
        <v>ADVANCEDGROUPL15</v>
      </c>
      <c r="V339" s="223"/>
      <c r="W339" s="223" t="str">
        <f t="array" ref="W339:W340">{"ADVANCEDGROUPL17";((IF("17"=(INDEX(ALLCLASSDATA,MATCH("AdvancedGroupLegendary",CLASSFEATUREHEADERS,0),MATCH($A340,CLASSNAMEHEADERS,0))),(INDEX(ALLCLASSDATA,MATCH("AdvancedGroupLegendary",CLASSFEATUREHEADERS,0),MATCH(($A340 &amp; "Points"),CLASSNAMEHEADERS,0))),(IF("17"=(INDEX(ALLCLASSDATA,MATCH("AdvancedGroupMaster",CLASSFEATUREHEADERS,0),MATCH($A340,CLASSNAMEHEADERS,0))),(INDEX(ALLCLASSDATA,MATCH("AdvancedGroupMaster",CLASSFEATUREHEADERS,0),MATCH(($A340 &amp; "Points"),CLASSNAMEHEADERS,0))),(IF("17"=(INDEX(ALLCLASSDATA,MATCH("AdvancedGroupExpert",CLASSFEATUREHEADERS,0),MATCH($A340,CLASSNAMEHEADERS,0))),(INDEX(ALLCLASSDATA,MATCH("AdvancedGroupExpert",CLASSFEATUREHEADERS,0),MATCH(($A340 &amp; "Points"),CLASSNAMEHEADERS,0))),(IF("17"=(INDEX(ALLCLASSDATA,MATCH("AdvancedGroupTrained",CLASSFEATUREHEADERS,0),MATCH($A340,CLASSNAMEHEADERS,0))),(INDEX(ALLCLASSDATA,MATCH("AdvancedGroupTrained",CLASSFEATUREHEADERS,0),MATCH(($A340 &amp; "Points"),CLASSNAMEHEADERS,0))),"")))))))))}</f>
        <v>ADVANCEDGROUPL17</v>
      </c>
      <c r="X339" s="223"/>
      <c r="Y339" s="223" t="str">
        <f t="array" ref="Y339:Y340">{"ADVANCEDGROUPL19";((IF("19"=(INDEX(ALLCLASSDATA,MATCH("AdvancedGroupLegendary",CLASSFEATUREHEADERS,0),MATCH($A340,CLASSNAMEHEADERS,0))),(INDEX(ALLCLASSDATA,MATCH("AdvancedGroupLegendary",CLASSFEATUREHEADERS,0),MATCH(($A340 &amp; "Points"),CLASSNAMEHEADERS,0))),(IF("19"=(INDEX(ALLCLASSDATA,MATCH("AdvancedGroupMaster",CLASSFEATUREHEADERS,0),MATCH($A340,CLASSNAMEHEADERS,0))),(INDEX(ALLCLASSDATA,MATCH("AdvancedGroupMaster",CLASSFEATUREHEADERS,0),MATCH(($A340 &amp; "Points"),CLASSNAMEHEADERS,0))),(IF("19"=(INDEX(ALLCLASSDATA,MATCH("AdvancedGroupExpert",CLASSFEATUREHEADERS,0),MATCH($A340,CLASSNAMEHEADERS,0))),(INDEX(ALLCLASSDATA,MATCH("AdvancedGroupExpert",CLASSFEATUREHEADERS,0),MATCH(($A340 &amp; "Points"),CLASSNAMEHEADERS,0))),(IF("19"=(INDEX(ALLCLASSDATA,MATCH("AdvancedGroupTrained",CLASSFEATUREHEADERS,0),MATCH($A340,CLASSNAMEHEADERS,0))),(INDEX(ALLCLASSDATA,MATCH("AdvancedGroupTrained",CLASSFEATUREHEADERS,0),MATCH(($A340 &amp; "Points"),CLASSNAMEHEADERS,0))),"")))))))))}</f>
        <v>ADVANCEDGROUPL19</v>
      </c>
      <c r="Z339" s="223"/>
      <c r="AA339" s="76" t="str">
        <f t="array" ref="AA339:AA340">{"ADVANCEDGROUP TOTAL";(IF(COUNTBLANK(F340:Z340)=17,"L",(IF(COUNTBLANK(F340:Z340)=18,"M",(IF(COUNTBLANK(F340:Z340)=19,"E",(IF(COUNTBLANK(F340:Z340)=20,"T",""))))))))}</f>
        <v>ADVANCEDGROUP TOTAL</v>
      </c>
      <c r="AB339" s="76" t="str">
        <f t="array" ref="AB339:AB340">{"ADVANCEDGROUP TOTAL";(sum(F340:Z340))}</f>
        <v>ADVANCEDGROUP TOTAL</v>
      </c>
    </row>
    <row r="340">
      <c r="A340" s="48" t="s">
        <v>229</v>
      </c>
      <c r="B340" s="48" t="s">
        <v>418</v>
      </c>
      <c r="C340" s="48" t="s">
        <v>1634</v>
      </c>
      <c r="D340" s="48" t="s">
        <v>601</v>
      </c>
      <c r="E340" s="5" t="s">
        <v>603</v>
      </c>
      <c r="F340" s="47" t="s">
        <v>603</v>
      </c>
      <c r="G340" s="5" t="s">
        <v>603</v>
      </c>
      <c r="H340" s="5"/>
      <c r="I340" s="5" t="s">
        <v>603</v>
      </c>
      <c r="J340" s="5"/>
      <c r="K340" s="5" t="s">
        <v>603</v>
      </c>
      <c r="L340" s="5"/>
      <c r="M340" s="5" t="s">
        <v>603</v>
      </c>
      <c r="N340" s="5"/>
      <c r="O340" s="5" t="s">
        <v>603</v>
      </c>
      <c r="P340" s="5"/>
      <c r="Q340" s="5" t="s">
        <v>603</v>
      </c>
      <c r="R340" s="5"/>
      <c r="S340" s="5" t="s">
        <v>603</v>
      </c>
      <c r="T340" s="5"/>
      <c r="U340" s="5" t="s">
        <v>603</v>
      </c>
      <c r="V340" s="5"/>
      <c r="W340" s="5" t="s">
        <v>603</v>
      </c>
      <c r="X340" s="5"/>
      <c r="Y340" s="5" t="s">
        <v>603</v>
      </c>
      <c r="Z340" s="5"/>
      <c r="AA340" s="5" t="s">
        <v>603</v>
      </c>
      <c r="AB340" s="47">
        <v>0.0</v>
      </c>
    </row>
    <row r="341" hidden="1">
      <c r="A341" s="222" t="str">
        <f t="array" ref="A341:A342">{"FormulaRow33";(INDEX(CLASSLIST,A276,1))}</f>
        <v>FormulaRow33</v>
      </c>
      <c r="B341" s="222" t="str">
        <f t="array" ref="B341:B342">{"CLASSTYPE";((INDEX(ALLCLASSDATA,MATCH("ClassType",CLASSFEATUREHEADERS,0),MATCH($A342,CLASSNAMEHEADERS,0))))}</f>
        <v>CLASSTYPE</v>
      </c>
      <c r="C341" s="222" t="str">
        <f t="array" ref="C341:C342">{"ATTACK";"Attack"}</f>
        <v>ATTACK</v>
      </c>
      <c r="D341" s="222" t="str">
        <f t="array" ref="D341:D342">{"ADVANCED";"Advanced"}</f>
        <v>ADVANCED</v>
      </c>
      <c r="E341" s="223" t="str">
        <f t="array" ref="E341:E342">{"ADVANCEDINITIAL";((IF(G342=10,"T",(IF(G342=50,"E","")))))}</f>
        <v>ADVANCEDINITIAL</v>
      </c>
      <c r="F341" s="223" t="str">
        <f t="array" ref="F341:F342">{"ADVANCEDINITIALPTS";((IF("00"=(INDEX(ALLCLASSDATA,MATCH("AdvancedLegendary",CLASSFEATUREHEADERS,0),MATCH($A342,CLASSNAMEHEADERS,0))),(INDEX(ALLCLASSDATA,MATCH("AdvancedLegendary",CLASSFEATUREHEADERS,0),MATCH(($A342 &amp; "Points"),CLASSNAMEHEADERS,0))),(IF("00"=(INDEX(ALLCLASSDATA,MATCH("AdvancedMaster",CLASSFEATUREHEADERS,0),MATCH($A342,CLASSNAMEHEADERS,0))),(INDEX(ALLCLASSDATA,MATCH("AdvancedMaster",CLASSFEATUREHEADERS,0),MATCH(($A342 &amp; "Points"),CLASSNAMEHEADERS,0))),(IF("00"=(INDEX(ALLCLASSDATA,MATCH("AdvancedExpert",CLASSFEATUREHEADERS,0),MATCH($A342,CLASSNAMEHEADERS,0))),(INDEX(ALLCLASSDATA,MATCH("AdvancedExpert",CLASSFEATUREHEADERS,0),MATCH(($A342 &amp; "Points"),CLASSNAMEHEADERS,0))),(IF("00"=(INDEX(ALLCLASSDATA,MATCH("AdvancedTrained",CLASSFEATUREHEADERS,0),MATCH($A342,CLASSNAMEHEADERS,0))),(INDEX(ALLCLASSDATA,MATCH("AdvancedTrained",CLASSFEATUREHEADERS,0),MATCH(($A342 &amp; "Points"),CLASSNAMEHEADERS,0))),"")))))))))}</f>
        <v>ADVANCEDINITIALPTS</v>
      </c>
      <c r="G341" s="223" t="str">
        <f t="array" ref="G341:G342">{"ADVANCEDL01";((IF("01"=(INDEX(ALLCLASSDATA,MATCH("AdvancedLegendary",CLASSFEATUREHEADERS,0),MATCH($A342,CLASSNAMEHEADERS,0))),(INDEX(ALLCLASSDATA,MATCH("AdvancedLegendary",CLASSFEATUREHEADERS,0),MATCH(($A342 &amp; "Points"),CLASSNAMEHEADERS,0))),(IF("01"=(INDEX(ALLCLASSDATA,MATCH("AdvancedMaster",CLASSFEATUREHEADERS,0),MATCH($A342,CLASSNAMEHEADERS,0))),(INDEX(ALLCLASSDATA,MATCH("AdvancedMaster",CLASSFEATUREHEADERS,0),MATCH(($A342 &amp; "Points"),CLASSNAMEHEADERS,0))),(IF("01"=(INDEX(ALLCLASSDATA,MATCH("AdvancedExpert",CLASSFEATUREHEADERS,0),MATCH($A342,CLASSNAMEHEADERS,0))),(INDEX(ALLCLASSDATA,MATCH("AdvancedExpert",CLASSFEATUREHEADERS,0),MATCH(($A342 &amp; "Points"),CLASSNAMEHEADERS,0))),(IF("01"=(INDEX(ALLCLASSDATA,MATCH("AdvancedTrained",CLASSFEATUREHEADERS,0),MATCH($A342,CLASSNAMEHEADERS,0))),(INDEX(ALLCLASSDATA,MATCH("AdvancedTrained",CLASSFEATUREHEADERS,0),MATCH(($A342 &amp; "Points"),CLASSNAMEHEADERS,0))),"")))))))))}</f>
        <v>ADVANCEDL01</v>
      </c>
      <c r="H341" s="223"/>
      <c r="I341" s="223" t="str">
        <f t="array" ref="I341:I342">{"ADVANCEDL03";((IF("03"=(INDEX(ALLCLASSDATA,MATCH("AdvancedLegendary",CLASSFEATUREHEADERS,0),MATCH($A342,CLASSNAMEHEADERS,0))),(INDEX(ALLCLASSDATA,MATCH("AdvancedLegendary",CLASSFEATUREHEADERS,0),MATCH(($A342 &amp; "Points"),CLASSNAMEHEADERS,0))),(IF("03"=(INDEX(ALLCLASSDATA,MATCH("AdvancedMaster",CLASSFEATUREHEADERS,0),MATCH($A342,CLASSNAMEHEADERS,0))),(INDEX(ALLCLASSDATA,MATCH("AdvancedMaster",CLASSFEATUREHEADERS,0),MATCH(($A342 &amp; "Points"),CLASSNAMEHEADERS,0))),(IF("03"=(INDEX(ALLCLASSDATA,MATCH("AdvancedExpert",CLASSFEATUREHEADERS,0),MATCH($A342,CLASSNAMEHEADERS,0))),(INDEX(ALLCLASSDATA,MATCH("AdvancedExpert",CLASSFEATUREHEADERS,0),MATCH(($A342 &amp; "Points"),CLASSNAMEHEADERS,0))),(IF("03"=(INDEX(ALLCLASSDATA,MATCH("AdvancedTrained",CLASSFEATUREHEADERS,0),MATCH($A342,CLASSNAMEHEADERS,0))),(INDEX(ALLCLASSDATA,MATCH("AdvancedTrained",CLASSFEATUREHEADERS,0),MATCH(($A342 &amp; "Points"),CLASSNAMEHEADERS,0))),"")))))))))}</f>
        <v>ADVANCEDL03</v>
      </c>
      <c r="J341" s="223"/>
      <c r="K341" s="223" t="str">
        <f t="array" ref="K341:K342">{"ADVANCEDL05";((IF("05"=(INDEX(ALLCLASSDATA,MATCH("AdvancedLegendary",CLASSFEATUREHEADERS,0),MATCH($A342,CLASSNAMEHEADERS,0))),(INDEX(ALLCLASSDATA,MATCH("AdvancedLegendary",CLASSFEATUREHEADERS,0),MATCH(($A342 &amp; "Points"),CLASSNAMEHEADERS,0))),(IF("05"=(INDEX(ALLCLASSDATA,MATCH("AdvancedMaster",CLASSFEATUREHEADERS,0),MATCH($A342,CLASSNAMEHEADERS,0))),(INDEX(ALLCLASSDATA,MATCH("AdvancedMaster",CLASSFEATUREHEADERS,0),MATCH(($A342 &amp; "Points"),CLASSNAMEHEADERS,0))),(IF("05"=(INDEX(ALLCLASSDATA,MATCH("AdvancedExpert",CLASSFEATUREHEADERS,0),MATCH($A342,CLASSNAMEHEADERS,0))),(INDEX(ALLCLASSDATA,MATCH("AdvancedExpert",CLASSFEATUREHEADERS,0),MATCH(($A342 &amp; "Points"),CLASSNAMEHEADERS,0))),(IF("05"=(INDEX(ALLCLASSDATA,MATCH("AdvancedTrained",CLASSFEATUREHEADERS,0),MATCH($A342,CLASSNAMEHEADERS,0))),(INDEX(ALLCLASSDATA,MATCH("AdvancedTrained",CLASSFEATUREHEADERS,0),MATCH(($A342 &amp; "Points"),CLASSNAMEHEADERS,0))),"")))))))))}</f>
        <v>ADVANCEDL05</v>
      </c>
      <c r="L341" s="223"/>
      <c r="M341" s="223" t="str">
        <f t="array" ref="M341:M342">{"ADVANCEDL07";((IF("07"=(INDEX(ALLCLASSDATA,MATCH("AdvancedLegendary",CLASSFEATUREHEADERS,0),MATCH($A342,CLASSNAMEHEADERS,0))),(INDEX(ALLCLASSDATA,MATCH("AdvancedLegendary",CLASSFEATUREHEADERS,0),MATCH(($A342 &amp; "Points"),CLASSNAMEHEADERS,0))),(IF("07"=(INDEX(ALLCLASSDATA,MATCH("AdvancedMaster",CLASSFEATUREHEADERS,0),MATCH($A342,CLASSNAMEHEADERS,0))),(INDEX(ALLCLASSDATA,MATCH("AdvancedMaster",CLASSFEATUREHEADERS,0),MATCH(($A342 &amp; "Points"),CLASSNAMEHEADERS,0))),(IF("07"=(INDEX(ALLCLASSDATA,MATCH("AdvancedExpert",CLASSFEATUREHEADERS,0),MATCH($A342,CLASSNAMEHEADERS,0))),(INDEX(ALLCLASSDATA,MATCH("AdvancedExpert",CLASSFEATUREHEADERS,0),MATCH(($A342 &amp; "Points"),CLASSNAMEHEADERS,0))),(IF("07"=(INDEX(ALLCLASSDATA,MATCH("AdvancedTrained",CLASSFEATUREHEADERS,0),MATCH($A342,CLASSNAMEHEADERS,0))),(INDEX(ALLCLASSDATA,MATCH("AdvancedTrained",CLASSFEATUREHEADERS,0),MATCH(($A342 &amp; "Points"),CLASSNAMEHEADERS,0))),"")))))))))}</f>
        <v>ADVANCEDL07</v>
      </c>
      <c r="N341" s="223"/>
      <c r="O341" s="223" t="str">
        <f t="array" ref="O341:O342">{"ADVANCEDL09";((IF("09"=(INDEX(ALLCLASSDATA,MATCH("AdvancedLegendary",CLASSFEATUREHEADERS,0),MATCH($A342,CLASSNAMEHEADERS,0))),(INDEX(ALLCLASSDATA,MATCH("AdvancedLegendary",CLASSFEATUREHEADERS,0),MATCH(($A342 &amp; "Points"),CLASSNAMEHEADERS,0))),(IF("09"=(INDEX(ALLCLASSDATA,MATCH("AdvancedMaster",CLASSFEATUREHEADERS,0),MATCH($A342,CLASSNAMEHEADERS,0))),(INDEX(ALLCLASSDATA,MATCH("AdvancedMaster",CLASSFEATUREHEADERS,0),MATCH(($A342 &amp; "Points"),CLASSNAMEHEADERS,0))),(IF("09"=(INDEX(ALLCLASSDATA,MATCH("AdvancedExpert",CLASSFEATUREHEADERS,0),MATCH($A342,CLASSNAMEHEADERS,0))),(INDEX(ALLCLASSDATA,MATCH("AdvancedExpert",CLASSFEATUREHEADERS,0),MATCH(($A342 &amp; "Points"),CLASSNAMEHEADERS,0))),(IF("09"=(INDEX(ALLCLASSDATA,MATCH("AdvancedTrained",CLASSFEATUREHEADERS,0),MATCH($A342,CLASSNAMEHEADERS,0))),(INDEX(ALLCLASSDATA,MATCH("AdvancedTrained",CLASSFEATUREHEADERS,0),MATCH(($A342 &amp; "Points"),CLASSNAMEHEADERS,0))),"")))))))))}</f>
        <v>ADVANCEDL09</v>
      </c>
      <c r="P341" s="223"/>
      <c r="Q341" s="223" t="str">
        <f t="array" ref="Q341:Q342">{"ADVANCEDL11";((IF("11"=(INDEX(ALLCLASSDATA,MATCH("AdvancedLegendary",CLASSFEATUREHEADERS,0),MATCH($A342,CLASSNAMEHEADERS,0))),(INDEX(ALLCLASSDATA,MATCH("AdvancedLegendary",CLASSFEATUREHEADERS,0),MATCH(($A342 &amp; "Points"),CLASSNAMEHEADERS,0))),(IF("11"=(INDEX(ALLCLASSDATA,MATCH("AdvancedMaster",CLASSFEATUREHEADERS,0),MATCH($A342,CLASSNAMEHEADERS,0))),(INDEX(ALLCLASSDATA,MATCH("AdvancedMaster",CLASSFEATUREHEADERS,0),MATCH(($A342 &amp; "Points"),CLASSNAMEHEADERS,0))),(IF("11"=(INDEX(ALLCLASSDATA,MATCH("AdvancedExpert",CLASSFEATUREHEADERS,0),MATCH($A342,CLASSNAMEHEADERS,0))),(INDEX(ALLCLASSDATA,MATCH("AdvancedExpert",CLASSFEATUREHEADERS,0),MATCH(($A342 &amp; "Points"),CLASSNAMEHEADERS,0))),(IF("11"=(INDEX(ALLCLASSDATA,MATCH("AdvancedTrained",CLASSFEATUREHEADERS,0),MATCH($A342,CLASSNAMEHEADERS,0))),(INDEX(ALLCLASSDATA,MATCH("AdvancedTrained",CLASSFEATUREHEADERS,0),MATCH(($A342 &amp; "Points"),CLASSNAMEHEADERS,0))),"")))))))))}</f>
        <v>ADVANCEDL11</v>
      </c>
      <c r="R341" s="223"/>
      <c r="S341" s="223" t="str">
        <f t="array" ref="S341:S342">{"ADVANCEDL13";((IF("13"=(INDEX(ALLCLASSDATA,MATCH("AdvancedLegendary",CLASSFEATUREHEADERS,0),MATCH($A342,CLASSNAMEHEADERS,0))),(INDEX(ALLCLASSDATA,MATCH("AdvancedLegendary",CLASSFEATUREHEADERS,0),MATCH(($A342 &amp; "Points"),CLASSNAMEHEADERS,0))),(IF("13"=(INDEX(ALLCLASSDATA,MATCH("AdvancedMaster",CLASSFEATUREHEADERS,0),MATCH($A342,CLASSNAMEHEADERS,0))),(INDEX(ALLCLASSDATA,MATCH("AdvancedMaster",CLASSFEATUREHEADERS,0),MATCH(($A342 &amp; "Points"),CLASSNAMEHEADERS,0))),(IF("13"=(INDEX(ALLCLASSDATA,MATCH("AdvancedExpert",CLASSFEATUREHEADERS,0),MATCH($A342,CLASSNAMEHEADERS,0))),(INDEX(ALLCLASSDATA,MATCH("AdvancedExpert",CLASSFEATUREHEADERS,0),MATCH(($A342 &amp; "Points"),CLASSNAMEHEADERS,0))),(IF("13"=(INDEX(ALLCLASSDATA,MATCH("AdvancedTrained",CLASSFEATUREHEADERS,0),MATCH($A342,CLASSNAMEHEADERS,0))),(INDEX(ALLCLASSDATA,MATCH("AdvancedTrained",CLASSFEATUREHEADERS,0),MATCH(($A342 &amp; "Points"),CLASSNAMEHEADERS,0))),"")))))))))}</f>
        <v>ADVANCEDL13</v>
      </c>
      <c r="T341" s="223"/>
      <c r="U341" s="223" t="str">
        <f t="array" ref="U341:U342">{"ADVANCEDL15";((IF("15"=(INDEX(ALLCLASSDATA,MATCH("AdvancedLegendary",CLASSFEATUREHEADERS,0),MATCH($A342,CLASSNAMEHEADERS,0))),(INDEX(ALLCLASSDATA,MATCH("AdvancedLegendary",CLASSFEATUREHEADERS,0),MATCH(($A342 &amp; "Points"),CLASSNAMEHEADERS,0))),(IF("15"=(INDEX(ALLCLASSDATA,MATCH("AdvancedMaster",CLASSFEATUREHEADERS,0),MATCH($A342,CLASSNAMEHEADERS,0))),(INDEX(ALLCLASSDATA,MATCH("AdvancedMaster",CLASSFEATUREHEADERS,0),MATCH(($A342 &amp; "Points"),CLASSNAMEHEADERS,0))),(IF("15"=(INDEX(ALLCLASSDATA,MATCH("AdvancedExpert",CLASSFEATUREHEADERS,0),MATCH($A342,CLASSNAMEHEADERS,0))),(INDEX(ALLCLASSDATA,MATCH("AdvancedExpert",CLASSFEATUREHEADERS,0),MATCH(($A342 &amp; "Points"),CLASSNAMEHEADERS,0))),(IF("15"=(INDEX(ALLCLASSDATA,MATCH("AdvancedTrained",CLASSFEATUREHEADERS,0),MATCH($A342,CLASSNAMEHEADERS,0))),(INDEX(ALLCLASSDATA,MATCH("AdvancedTrained",CLASSFEATUREHEADERS,0),MATCH(($A342 &amp; "Points"),CLASSNAMEHEADERS,0))),"")))))))))}</f>
        <v>ADVANCEDL15</v>
      </c>
      <c r="V341" s="223"/>
      <c r="W341" s="223" t="str">
        <f t="array" ref="W341:W342">{"ADVANCEDL17";((IF("17"=(INDEX(ALLCLASSDATA,MATCH("AdvancedLegendary",CLASSFEATUREHEADERS,0),MATCH($A342,CLASSNAMEHEADERS,0))),(INDEX(ALLCLASSDATA,MATCH("AdvancedLegendary",CLASSFEATUREHEADERS,0),MATCH(($A342 &amp; "Points"),CLASSNAMEHEADERS,0))),(IF("17"=(INDEX(ALLCLASSDATA,MATCH("AdvancedMaster",CLASSFEATUREHEADERS,0),MATCH($A342,CLASSNAMEHEADERS,0))),(INDEX(ALLCLASSDATA,MATCH("AdvancedMaster",CLASSFEATUREHEADERS,0),MATCH(($A342 &amp; "Points"),CLASSNAMEHEADERS,0))),(IF("17"=(INDEX(ALLCLASSDATA,MATCH("AdvancedExpert",CLASSFEATUREHEADERS,0),MATCH($A342,CLASSNAMEHEADERS,0))),(INDEX(ALLCLASSDATA,MATCH("AdvancedExpert",CLASSFEATUREHEADERS,0),MATCH(($A342 &amp; "Points"),CLASSNAMEHEADERS,0))),(IF("17"=(INDEX(ALLCLASSDATA,MATCH("AdvancedTrained",CLASSFEATUREHEADERS,0),MATCH($A342,CLASSNAMEHEADERS,0))),(INDEX(ALLCLASSDATA,MATCH("AdvancedTrained",CLASSFEATUREHEADERS,0),MATCH(($A342 &amp; "Points"),CLASSNAMEHEADERS,0))),"")))))))))}</f>
        <v>ADVANCEDL17</v>
      </c>
      <c r="X341" s="223"/>
      <c r="Y341" s="223" t="str">
        <f t="array" ref="Y341:Y342">{"ADVANCEDL19";((IF("19"=(INDEX(ALLCLASSDATA,MATCH("AdvancedLegendary",CLASSFEATUREHEADERS,0),MATCH($A342,CLASSNAMEHEADERS,0))),(INDEX(ALLCLASSDATA,MATCH("AdvancedLegendary",CLASSFEATUREHEADERS,0),MATCH(($A342 &amp; "Points"),CLASSNAMEHEADERS,0))),(IF("19"=(INDEX(ALLCLASSDATA,MATCH("AdvancedMaster",CLASSFEATUREHEADERS,0),MATCH($A342,CLASSNAMEHEADERS,0))),(INDEX(ALLCLASSDATA,MATCH("AdvancedMaster",CLASSFEATUREHEADERS,0),MATCH(($A342 &amp; "Points"),CLASSNAMEHEADERS,0))),(IF("19"=(INDEX(ALLCLASSDATA,MATCH("AdvancedExpert",CLASSFEATUREHEADERS,0),MATCH($A342,CLASSNAMEHEADERS,0))),(INDEX(ALLCLASSDATA,MATCH("AdvancedExpert",CLASSFEATUREHEADERS,0),MATCH(($A342 &amp; "Points"),CLASSNAMEHEADERS,0))),(IF("19"=(INDEX(ALLCLASSDATA,MATCH("AdvancedTrained",CLASSFEATUREHEADERS,0),MATCH($A342,CLASSNAMEHEADERS,0))),(INDEX(ALLCLASSDATA,MATCH("AdvancedTrained",CLASSFEATUREHEADERS,0),MATCH(($A342 &amp; "Points"),CLASSNAMEHEADERS,0))),"")))))))))}</f>
        <v>ADVANCEDL19</v>
      </c>
      <c r="Z341" s="223"/>
      <c r="AA341" s="76" t="str">
        <f t="array" ref="AA341:AA342">{"ADVANCED TOTAL";(IF(COUNTBLANK(F342:Z342)=17,"L",(IF(COUNTBLANK(F342:Z342)=18,"M",(IF(COUNTBLANK(F342:Z342)=19,"E",(IF(COUNTBLANK(F342:Z342)=20,"T",""))))))))}</f>
        <v>ADVANCED TOTAL</v>
      </c>
      <c r="AB341" s="76" t="str">
        <f t="array" ref="AB341:AB342">{"ADVANCED TOTAL";(sum(F342:Z342))}</f>
        <v>ADVANCED TOTAL</v>
      </c>
    </row>
    <row r="342">
      <c r="A342" s="48" t="s">
        <v>229</v>
      </c>
      <c r="B342" s="48" t="s">
        <v>418</v>
      </c>
      <c r="C342" s="97" t="s">
        <v>1634</v>
      </c>
      <c r="D342" s="97" t="s">
        <v>602</v>
      </c>
      <c r="E342" s="98" t="s">
        <v>603</v>
      </c>
      <c r="F342" s="132" t="s">
        <v>603</v>
      </c>
      <c r="G342" s="98" t="s">
        <v>603</v>
      </c>
      <c r="H342" s="98"/>
      <c r="I342" s="98" t="s">
        <v>603</v>
      </c>
      <c r="J342" s="98"/>
      <c r="K342" s="98" t="s">
        <v>603</v>
      </c>
      <c r="L342" s="98"/>
      <c r="M342" s="98" t="s">
        <v>603</v>
      </c>
      <c r="N342" s="98"/>
      <c r="O342" s="98" t="s">
        <v>603</v>
      </c>
      <c r="P342" s="98"/>
      <c r="Q342" s="98" t="s">
        <v>603</v>
      </c>
      <c r="R342" s="98"/>
      <c r="S342" s="98" t="s">
        <v>603</v>
      </c>
      <c r="T342" s="98"/>
      <c r="U342" s="98" t="s">
        <v>603</v>
      </c>
      <c r="V342" s="98"/>
      <c r="W342" s="98" t="s">
        <v>603</v>
      </c>
      <c r="X342" s="98"/>
      <c r="Y342" s="98" t="s">
        <v>603</v>
      </c>
      <c r="Z342" s="98"/>
      <c r="AA342" s="5" t="s">
        <v>603</v>
      </c>
      <c r="AB342" s="47">
        <v>0.0</v>
      </c>
    </row>
    <row r="343" hidden="1">
      <c r="A343" s="222" t="str">
        <f t="array" ref="A343:A344">{"FormulaRow34";(INDEX(CLASSLIST,A276,1))}</f>
        <v>FormulaRow34</v>
      </c>
      <c r="B343" s="222" t="str">
        <f t="array" ref="B343:B344">{"CLASSTYPE";((INDEX(ALLCLASSDATA,MATCH("ClassType",CLASSFEATUREHEADERS,0),MATCH($A344,CLASSNAMEHEADERS,0))))}</f>
        <v>CLASSTYPE</v>
      </c>
      <c r="C343" s="222" t="str">
        <f t="array" ref="C343:C344">{"DEFENSE";"Defense"}</f>
        <v>DEFENSE</v>
      </c>
      <c r="D343" s="222" t="str">
        <f t="array" ref="D343:D344">{"ARMORSPECIAL";"ArmorAS"}</f>
        <v>ARMORSPECIAL</v>
      </c>
      <c r="E343" s="223"/>
      <c r="F343" s="223"/>
      <c r="G343" s="223" t="str">
        <f t="array" ref="G343:G344">{"ARMORSPECIALL01";((IF("01"=INDEX(ALLCLASSDATA,MATCH("ArmorSpecialization",CLASSFEATUREHEADERS,0),MATCH($A344,CLASSNAMEHEADERS,0)),ArmorAS,"")))}</f>
        <v>ARMORSPECIALL01</v>
      </c>
      <c r="H343" s="223"/>
      <c r="I343" s="223" t="str">
        <f t="array" ref="I343:I344">{"ARMORSPECIALL03";((IF("03"=INDEX(ALLCLASSDATA,MATCH("ArmorSpecialization",CLASSFEATUREHEADERS,0),MATCH($A344,CLASSNAMEHEADERS,0)),ArmorAS,"")))}</f>
        <v>ARMORSPECIALL03</v>
      </c>
      <c r="J343" s="223"/>
      <c r="K343" s="223" t="str">
        <f t="array" ref="K343:K344">{"ARMORSPECIALL05";((IF("05"=INDEX(ALLCLASSDATA,MATCH("ArmorSpecialization",CLASSFEATUREHEADERS,0),MATCH($A344,CLASSNAMEHEADERS,0)),ArmorAS,"")))}</f>
        <v>ARMORSPECIALL05</v>
      </c>
      <c r="L343" s="223"/>
      <c r="M343" s="223" t="str">
        <f t="array" ref="M343:M344">{"ARMORSPECIALL07";((IF("07"=INDEX(ALLCLASSDATA,MATCH("ArmorSpecialization",CLASSFEATUREHEADERS,0),MATCH($A344,CLASSNAMEHEADERS,0)),ArmorAS,"")))}</f>
        <v>ARMORSPECIALL07</v>
      </c>
      <c r="N343" s="223"/>
      <c r="O343" s="223" t="str">
        <f t="array" ref="O343:O344">{"ARMORSPECIALL09";((IF("09"=INDEX(ALLCLASSDATA,MATCH("ArmorSpecialization",CLASSFEATUREHEADERS,0),MATCH($A344,CLASSNAMEHEADERS,0)),ArmorAS,"")))}</f>
        <v>ARMORSPECIALL09</v>
      </c>
      <c r="P343" s="223"/>
      <c r="Q343" s="223" t="str">
        <f t="array" ref="Q343:Q344">{"ARMORSPECIALL11";((IF("11"=INDEX(ALLCLASSDATA,MATCH("ArmorSpecialization",CLASSFEATUREHEADERS,0),MATCH($A344,CLASSNAMEHEADERS,0)),ArmorAS,"")))}</f>
        <v>ARMORSPECIALL11</v>
      </c>
      <c r="R343" s="223"/>
      <c r="S343" s="223" t="str">
        <f t="array" ref="S343:S344">{"ARMORSPECIALL13";((IF("13"=INDEX(ALLCLASSDATA,MATCH("ArmorSpecialization",CLASSFEATUREHEADERS,0),MATCH($A344,CLASSNAMEHEADERS,0)),ArmorAS,"")))}</f>
        <v>ARMORSPECIALL13</v>
      </c>
      <c r="T343" s="223"/>
      <c r="U343" s="223" t="str">
        <f t="array" ref="U343:U344">{"ARMORSPECIALL15";((IF("15"=INDEX(ALLCLASSDATA,MATCH("ArmorSpecialization",CLASSFEATUREHEADERS,0),MATCH($A344,CLASSNAMEHEADERS,0)),ArmorAS,"")))}</f>
        <v>ARMORSPECIALL15</v>
      </c>
      <c r="V343" s="223"/>
      <c r="W343" s="223" t="str">
        <f t="array" ref="W343:W344">{"ARMORSPECIALL17";((IF("17"=INDEX(ALLCLASSDATA,MATCH("ArmorSpecialization",CLASSFEATUREHEADERS,0),MATCH($A344,CLASSNAMEHEADERS,0)),ArmorAS,"")))}</f>
        <v>ARMORSPECIALL17</v>
      </c>
      <c r="X343" s="223"/>
      <c r="Y343" s="223" t="str">
        <f t="array" ref="Y343:Y344">{"ARMORSPECIALL19";((IF("19"=INDEX(ALLCLASSDATA,MATCH("ArmorSpecialization",CLASSFEATUREHEADERS,0),MATCH($A344,CLASSNAMEHEADERS,0)),ArmorAS,"")))}</f>
        <v>ARMORSPECIALL19</v>
      </c>
      <c r="Z343" s="223"/>
      <c r="AA343" s="76"/>
      <c r="AB343" s="76" t="str">
        <f t="array" ref="AB343:AB344">{"ARMORSPECIAL TOTAL";(sum(F344:Z344))}</f>
        <v>ARMORSPECIAL TOTAL</v>
      </c>
    </row>
    <row r="344">
      <c r="A344" s="48" t="s">
        <v>229</v>
      </c>
      <c r="B344" s="48" t="s">
        <v>418</v>
      </c>
      <c r="C344" s="48" t="s">
        <v>1900</v>
      </c>
      <c r="D344" s="48" t="s">
        <v>51</v>
      </c>
      <c r="E344" s="5"/>
      <c r="F344" s="47"/>
      <c r="G344" s="5" t="s">
        <v>603</v>
      </c>
      <c r="H344" s="5"/>
      <c r="I344" s="5" t="s">
        <v>603</v>
      </c>
      <c r="J344" s="5"/>
      <c r="K344" s="5" t="s">
        <v>603</v>
      </c>
      <c r="L344" s="5"/>
      <c r="M344" s="5" t="s">
        <v>603</v>
      </c>
      <c r="N344" s="5"/>
      <c r="O344" s="5" t="s">
        <v>603</v>
      </c>
      <c r="P344" s="5"/>
      <c r="Q344" s="5" t="s">
        <v>603</v>
      </c>
      <c r="R344" s="5"/>
      <c r="S344" s="5" t="s">
        <v>603</v>
      </c>
      <c r="T344" s="5"/>
      <c r="U344" s="5" t="s">
        <v>603</v>
      </c>
      <c r="V344" s="5"/>
      <c r="W344" s="5" t="s">
        <v>603</v>
      </c>
      <c r="X344" s="5"/>
      <c r="Y344" s="5" t="s">
        <v>603</v>
      </c>
      <c r="Z344" s="5"/>
      <c r="AA344" s="5"/>
      <c r="AB344" s="47">
        <v>0.0</v>
      </c>
    </row>
    <row r="345" hidden="1">
      <c r="A345" s="222" t="str">
        <f t="array" ref="A345:A346">{"FormulaRow35";(INDEX(CLASSLIST,A276,1))}</f>
        <v>FormulaRow35</v>
      </c>
      <c r="B345" s="222" t="str">
        <f t="array" ref="B345:B346">{"CLASSTYPE";((INDEX(ALLCLASSDATA,MATCH("ClassType",CLASSFEATUREHEADERS,0),MATCH($A346,CLASSNAMEHEADERS,0))))}</f>
        <v>CLASSTYPE</v>
      </c>
      <c r="C345" s="222" t="str">
        <f t="array" ref="C345:C346">{"DEFENSE";"Defense"}</f>
        <v>DEFENSE</v>
      </c>
      <c r="D345" s="222" t="str">
        <f t="array" ref="D345:D346">{"UNARMORED";"Unarmored"}</f>
        <v>UNARMORED</v>
      </c>
      <c r="E345" s="223" t="str">
        <f t="array" ref="E345:E346">{"UNARMOREDINITIAL";((IF(G346=10,"T",(IF(G346=50,"E","")))))}</f>
        <v>UNARMOREDINITIAL</v>
      </c>
      <c r="F345" s="223" t="str">
        <f t="array" ref="F345:F346">{"UNARMOREDINITIALPTS";((IF("00"=(INDEX(ALLCLASSDATA,MATCH("UnarmoredLegendary",CLASSFEATUREHEADERS,0),MATCH($A346,CLASSNAMEHEADERS,0))),(INDEX(ALLCLASSDATA,MATCH("UnarmoredLegendary",CLASSFEATUREHEADERS,0),MATCH(($A346 &amp; "Points"),CLASSNAMEHEADERS,0))),(IF("00"=(INDEX(ALLCLASSDATA,MATCH("UnarmoredMaster",CLASSFEATUREHEADERS,0),MATCH($A346,CLASSNAMEHEADERS,0))),(INDEX(ALLCLASSDATA,MATCH("UnarmoredMaster",CLASSFEATUREHEADERS,0),MATCH(($A346 &amp; "Points"),CLASSNAMEHEADERS,0))),(IF("00"=(INDEX(ALLCLASSDATA,MATCH("UnarmoredExpert",CLASSFEATUREHEADERS,0),MATCH($A346,CLASSNAMEHEADERS,0))),(INDEX(ALLCLASSDATA,MATCH("UnarmoredExpert",CLASSFEATUREHEADERS,0),MATCH(($A346 &amp; "Points"),CLASSNAMEHEADERS,0))),(IF("00"=(INDEX(ALLCLASSDATA,MATCH("UnarmoredTrained",CLASSFEATUREHEADERS,0),MATCH($A346,CLASSNAMEHEADERS,0))),(INDEX(ALLCLASSDATA,MATCH("UnarmoredTrained",CLASSFEATUREHEADERS,0),MATCH(($A346 &amp; "Points"),CLASSNAMEHEADERS,0))),"")))))))))}</f>
        <v>UNARMOREDINITIALPTS</v>
      </c>
      <c r="G345" s="223" t="str">
        <f t="array" ref="G345:G346">{"UNARMOREDL01";((IF("01"=(INDEX(ALLCLASSDATA,MATCH("UnarmoredLegendary",CLASSFEATUREHEADERS,0),MATCH($A346,CLASSNAMEHEADERS,0))),(INDEX(ALLCLASSDATA,MATCH("UnarmoredLegendary",CLASSFEATUREHEADERS,0),MATCH(($A346 &amp; "Points"),CLASSNAMEHEADERS,0))),(IF("01"=(INDEX(ALLCLASSDATA,MATCH("UnarmoredMaster",CLASSFEATUREHEADERS,0),MATCH($A346,CLASSNAMEHEADERS,0))),(INDEX(ALLCLASSDATA,MATCH("UnarmoredMaster",CLASSFEATUREHEADERS,0),MATCH(($A346 &amp; "Points"),CLASSNAMEHEADERS,0))),(IF("01"=(INDEX(ALLCLASSDATA,MATCH("UnarmoredExpert",CLASSFEATUREHEADERS,0),MATCH($A346,CLASSNAMEHEADERS,0))),(INDEX(ALLCLASSDATA,MATCH("UnarmoredExpert",CLASSFEATUREHEADERS,0),MATCH(($A346 &amp; "Points"),CLASSNAMEHEADERS,0))),(IF("01"=(INDEX(ALLCLASSDATA,MATCH("UnarmoredTrained",CLASSFEATUREHEADERS,0),MATCH($A346,CLASSNAMEHEADERS,0))),(INDEX(ALLCLASSDATA,MATCH("UnarmoredTrained",CLASSFEATUREHEADERS,0),MATCH(($A346 &amp; "Points"),CLASSNAMEHEADERS,0))),"")))))))))}</f>
        <v>UNARMOREDL01</v>
      </c>
      <c r="H345" s="223"/>
      <c r="I345" s="223" t="str">
        <f t="array" ref="I345:I346">{"UNARMOREDL03";((IF("03"=(INDEX(ALLCLASSDATA,MATCH("UnarmoredLegendary",CLASSFEATUREHEADERS,0),MATCH($A346,CLASSNAMEHEADERS,0))),(INDEX(ALLCLASSDATA,MATCH("UnarmoredLegendary",CLASSFEATUREHEADERS,0),MATCH(($A346 &amp; "Points"),CLASSNAMEHEADERS,0))),(IF("03"=(INDEX(ALLCLASSDATA,MATCH("UnarmoredMaster",CLASSFEATUREHEADERS,0),MATCH($A346,CLASSNAMEHEADERS,0))),(INDEX(ALLCLASSDATA,MATCH("UnarmoredMaster",CLASSFEATUREHEADERS,0),MATCH(($A346 &amp; "Points"),CLASSNAMEHEADERS,0))),(IF("03"=(INDEX(ALLCLASSDATA,MATCH("UnarmoredExpert",CLASSFEATUREHEADERS,0),MATCH($A346,CLASSNAMEHEADERS,0))),(INDEX(ALLCLASSDATA,MATCH("UnarmoredExpert",CLASSFEATUREHEADERS,0),MATCH(($A346 &amp; "Points"),CLASSNAMEHEADERS,0))),(IF("03"=(INDEX(ALLCLASSDATA,MATCH("UnarmoredTrained",CLASSFEATUREHEADERS,0),MATCH($A346,CLASSNAMEHEADERS,0))),(INDEX(ALLCLASSDATA,MATCH("UnarmoredTrained",CLASSFEATUREHEADERS,0),MATCH(($A346 &amp; "Points"),CLASSNAMEHEADERS,0))),"")))))))))}</f>
        <v>UNARMOREDL03</v>
      </c>
      <c r="J345" s="223"/>
      <c r="K345" s="223" t="str">
        <f t="array" ref="K345:K346">{"UNARMOREDL05";((IF("05"=(INDEX(ALLCLASSDATA,MATCH("UnarmoredLegendary",CLASSFEATUREHEADERS,0),MATCH($A346,CLASSNAMEHEADERS,0))),(INDEX(ALLCLASSDATA,MATCH("UnarmoredLegendary",CLASSFEATUREHEADERS,0),MATCH(($A346 &amp; "Points"),CLASSNAMEHEADERS,0))),(IF("05"=(INDEX(ALLCLASSDATA,MATCH("UnarmoredMaster",CLASSFEATUREHEADERS,0),MATCH($A346,CLASSNAMEHEADERS,0))),(INDEX(ALLCLASSDATA,MATCH("UnarmoredMaster",CLASSFEATUREHEADERS,0),MATCH(($A346 &amp; "Points"),CLASSNAMEHEADERS,0))),(IF("05"=(INDEX(ALLCLASSDATA,MATCH("UnarmoredExpert",CLASSFEATUREHEADERS,0),MATCH($A346,CLASSNAMEHEADERS,0))),(INDEX(ALLCLASSDATA,MATCH("UnarmoredExpert",CLASSFEATUREHEADERS,0),MATCH(($A346 &amp; "Points"),CLASSNAMEHEADERS,0))),(IF("05"=(INDEX(ALLCLASSDATA,MATCH("UnarmoredTrained",CLASSFEATUREHEADERS,0),MATCH($A346,CLASSNAMEHEADERS,0))),(INDEX(ALLCLASSDATA,MATCH("UnarmoredTrained",CLASSFEATUREHEADERS,0),MATCH(($A346 &amp; "Points"),CLASSNAMEHEADERS,0))),"")))))))))}</f>
        <v>UNARMOREDL05</v>
      </c>
      <c r="L345" s="223"/>
      <c r="M345" s="223" t="str">
        <f t="array" ref="M345:M346">{"UNARMOREDL07";((IF("07"=(INDEX(ALLCLASSDATA,MATCH("UnarmoredLegendary",CLASSFEATUREHEADERS,0),MATCH($A346,CLASSNAMEHEADERS,0))),(INDEX(ALLCLASSDATA,MATCH("UnarmoredLegendary",CLASSFEATUREHEADERS,0),MATCH(($A346 &amp; "Points"),CLASSNAMEHEADERS,0))),(IF("07"=(INDEX(ALLCLASSDATA,MATCH("UnarmoredMaster",CLASSFEATUREHEADERS,0),MATCH($A346,CLASSNAMEHEADERS,0))),(INDEX(ALLCLASSDATA,MATCH("UnarmoredMaster",CLASSFEATUREHEADERS,0),MATCH(($A346 &amp; "Points"),CLASSNAMEHEADERS,0))),(IF("07"=(INDEX(ALLCLASSDATA,MATCH("UnarmoredExpert",CLASSFEATUREHEADERS,0),MATCH($A346,CLASSNAMEHEADERS,0))),(INDEX(ALLCLASSDATA,MATCH("UnarmoredExpert",CLASSFEATUREHEADERS,0),MATCH(($A346 &amp; "Points"),CLASSNAMEHEADERS,0))),(IF("07"=(INDEX(ALLCLASSDATA,MATCH("UnarmoredTrained",CLASSFEATUREHEADERS,0),MATCH($A346,CLASSNAMEHEADERS,0))),(INDEX(ALLCLASSDATA,MATCH("UnarmoredTrained",CLASSFEATUREHEADERS,0),MATCH(($A346 &amp; "Points"),CLASSNAMEHEADERS,0))),"")))))))))}</f>
        <v>UNARMOREDL07</v>
      </c>
      <c r="N345" s="223"/>
      <c r="O345" s="223" t="str">
        <f t="array" ref="O345:O346">{"UNARMOREDL09";((IF("09"=(INDEX(ALLCLASSDATA,MATCH("UnarmoredLegendary",CLASSFEATUREHEADERS,0),MATCH($A346,CLASSNAMEHEADERS,0))),(INDEX(ALLCLASSDATA,MATCH("UnarmoredLegendary",CLASSFEATUREHEADERS,0),MATCH(($A346 &amp; "Points"),CLASSNAMEHEADERS,0))),(IF("09"=(INDEX(ALLCLASSDATA,MATCH("UnarmoredMaster",CLASSFEATUREHEADERS,0),MATCH($A346,CLASSNAMEHEADERS,0))),(INDEX(ALLCLASSDATA,MATCH("UnarmoredMaster",CLASSFEATUREHEADERS,0),MATCH(($A346 &amp; "Points"),CLASSNAMEHEADERS,0))),(IF("09"=(INDEX(ALLCLASSDATA,MATCH("UnarmoredExpert",CLASSFEATUREHEADERS,0),MATCH($A346,CLASSNAMEHEADERS,0))),(INDEX(ALLCLASSDATA,MATCH("UnarmoredExpert",CLASSFEATUREHEADERS,0),MATCH(($A346 &amp; "Points"),CLASSNAMEHEADERS,0))),(IF("09"=(INDEX(ALLCLASSDATA,MATCH("UnarmoredTrained",CLASSFEATUREHEADERS,0),MATCH($A346,CLASSNAMEHEADERS,0))),(INDEX(ALLCLASSDATA,MATCH("UnarmoredTrained",CLASSFEATUREHEADERS,0),MATCH(($A346 &amp; "Points"),CLASSNAMEHEADERS,0))),"")))))))))}</f>
        <v>UNARMOREDL09</v>
      </c>
      <c r="P345" s="223"/>
      <c r="Q345" s="223" t="str">
        <f t="array" ref="Q345:Q346">{"UNARMOREDL11";((IF("11"=(INDEX(ALLCLASSDATA,MATCH("UnarmoredLegendary",CLASSFEATUREHEADERS,0),MATCH($A346,CLASSNAMEHEADERS,0))),(INDEX(ALLCLASSDATA,MATCH("UnarmoredLegendary",CLASSFEATUREHEADERS,0),MATCH(($A346 &amp; "Points"),CLASSNAMEHEADERS,0))),(IF("11"=(INDEX(ALLCLASSDATA,MATCH("UnarmoredMaster",CLASSFEATUREHEADERS,0),MATCH($A346,CLASSNAMEHEADERS,0))),(INDEX(ALLCLASSDATA,MATCH("UnarmoredMaster",CLASSFEATUREHEADERS,0),MATCH(($A346 &amp; "Points"),CLASSNAMEHEADERS,0))),(IF("11"=(INDEX(ALLCLASSDATA,MATCH("UnarmoredExpert",CLASSFEATUREHEADERS,0),MATCH($A346,CLASSNAMEHEADERS,0))),(INDEX(ALLCLASSDATA,MATCH("UnarmoredExpert",CLASSFEATUREHEADERS,0),MATCH(($A346 &amp; "Points"),CLASSNAMEHEADERS,0))),(IF("11"=(INDEX(ALLCLASSDATA,MATCH("UnarmoredTrained",CLASSFEATUREHEADERS,0),MATCH($A346,CLASSNAMEHEADERS,0))),(INDEX(ALLCLASSDATA,MATCH("UnarmoredTrained",CLASSFEATUREHEADERS,0),MATCH(($A346 &amp; "Points"),CLASSNAMEHEADERS,0))),"")))))))))}</f>
        <v>UNARMOREDL11</v>
      </c>
      <c r="R345" s="223"/>
      <c r="S345" s="223" t="str">
        <f t="array" ref="S345:S346">{"UNARMOREDL13";((IF("13"=(INDEX(ALLCLASSDATA,MATCH("UnarmoredLegendary",CLASSFEATUREHEADERS,0),MATCH($A346,CLASSNAMEHEADERS,0))),(INDEX(ALLCLASSDATA,MATCH("UnarmoredLegendary",CLASSFEATUREHEADERS,0),MATCH(($A346 &amp; "Points"),CLASSNAMEHEADERS,0))),(IF("13"=(INDEX(ALLCLASSDATA,MATCH("UnarmoredMaster",CLASSFEATUREHEADERS,0),MATCH($A346,CLASSNAMEHEADERS,0))),(INDEX(ALLCLASSDATA,MATCH("UnarmoredMaster",CLASSFEATUREHEADERS,0),MATCH(($A346 &amp; "Points"),CLASSNAMEHEADERS,0))),(IF("13"=(INDEX(ALLCLASSDATA,MATCH("UnarmoredExpert",CLASSFEATUREHEADERS,0),MATCH($A346,CLASSNAMEHEADERS,0))),(INDEX(ALLCLASSDATA,MATCH("UnarmoredExpert",CLASSFEATUREHEADERS,0),MATCH(($A346 &amp; "Points"),CLASSNAMEHEADERS,0))),(IF("13"=(INDEX(ALLCLASSDATA,MATCH("UnarmoredTrained",CLASSFEATUREHEADERS,0),MATCH($A346,CLASSNAMEHEADERS,0))),(INDEX(ALLCLASSDATA,MATCH("UnarmoredTrained",CLASSFEATUREHEADERS,0),MATCH(($A346 &amp; "Points"),CLASSNAMEHEADERS,0))),"")))))))))}</f>
        <v>UNARMOREDL13</v>
      </c>
      <c r="T345" s="223"/>
      <c r="U345" s="223" t="str">
        <f t="array" ref="U345:U346">{"UNARMOREDL15";((IF("15"=(INDEX(ALLCLASSDATA,MATCH("UnarmoredLegendary",CLASSFEATUREHEADERS,0),MATCH($A346,CLASSNAMEHEADERS,0))),(INDEX(ALLCLASSDATA,MATCH("UnarmoredLegendary",CLASSFEATUREHEADERS,0),MATCH(($A346 &amp; "Points"),CLASSNAMEHEADERS,0))),(IF("15"=(INDEX(ALLCLASSDATA,MATCH("UnarmoredMaster",CLASSFEATUREHEADERS,0),MATCH($A346,CLASSNAMEHEADERS,0))),(INDEX(ALLCLASSDATA,MATCH("UnarmoredMaster",CLASSFEATUREHEADERS,0),MATCH(($A346 &amp; "Points"),CLASSNAMEHEADERS,0))),(IF("15"=(INDEX(ALLCLASSDATA,MATCH("UnarmoredExpert",CLASSFEATUREHEADERS,0),MATCH($A346,CLASSNAMEHEADERS,0))),(INDEX(ALLCLASSDATA,MATCH("UnarmoredExpert",CLASSFEATUREHEADERS,0),MATCH(($A346 &amp; "Points"),CLASSNAMEHEADERS,0))),(IF("15"=(INDEX(ALLCLASSDATA,MATCH("UnarmoredTrained",CLASSFEATUREHEADERS,0),MATCH($A346,CLASSNAMEHEADERS,0))),(INDEX(ALLCLASSDATA,MATCH("UnarmoredTrained",CLASSFEATUREHEADERS,0),MATCH(($A346 &amp; "Points"),CLASSNAMEHEADERS,0))),"")))))))))}</f>
        <v>UNARMOREDL15</v>
      </c>
      <c r="V345" s="223"/>
      <c r="W345" s="223" t="str">
        <f t="array" ref="W345:W346">{"UNARMOREDL17";((IF("17"=(INDEX(ALLCLASSDATA,MATCH("UnarmoredLegendary",CLASSFEATUREHEADERS,0),MATCH($A346,CLASSNAMEHEADERS,0))),(INDEX(ALLCLASSDATA,MATCH("UnarmoredLegendary",CLASSFEATUREHEADERS,0),MATCH(($A346 &amp; "Points"),CLASSNAMEHEADERS,0))),(IF("17"=(INDEX(ALLCLASSDATA,MATCH("UnarmoredMaster",CLASSFEATUREHEADERS,0),MATCH($A346,CLASSNAMEHEADERS,0))),(INDEX(ALLCLASSDATA,MATCH("UnarmoredMaster",CLASSFEATUREHEADERS,0),MATCH(($A346 &amp; "Points"),CLASSNAMEHEADERS,0))),(IF("17"=(INDEX(ALLCLASSDATA,MATCH("UnarmoredExpert",CLASSFEATUREHEADERS,0),MATCH($A346,CLASSNAMEHEADERS,0))),(INDEX(ALLCLASSDATA,MATCH("UnarmoredExpert",CLASSFEATUREHEADERS,0),MATCH(($A346 &amp; "Points"),CLASSNAMEHEADERS,0))),(IF("17"=(INDEX(ALLCLASSDATA,MATCH("UnarmoredTrained",CLASSFEATUREHEADERS,0),MATCH($A346,CLASSNAMEHEADERS,0))),(INDEX(ALLCLASSDATA,MATCH("UnarmoredTrained",CLASSFEATUREHEADERS,0),MATCH(($A346 &amp; "Points"),CLASSNAMEHEADERS,0))),"")))))))))}</f>
        <v>UNARMOREDL17</v>
      </c>
      <c r="X345" s="223"/>
      <c r="Y345" s="223" t="str">
        <f t="array" ref="Y345:Y346">{"UNARMOREDL19";((IF("19"=(INDEX(ALLCLASSDATA,MATCH("UnarmoredLegendary",CLASSFEATUREHEADERS,0),MATCH($A346,CLASSNAMEHEADERS,0))),(INDEX(ALLCLASSDATA,MATCH("UnarmoredLegendary",CLASSFEATUREHEADERS,0),MATCH(($A346 &amp; "Points"),CLASSNAMEHEADERS,0))),(IF("19"=(INDEX(ALLCLASSDATA,MATCH("UnarmoredMaster",CLASSFEATUREHEADERS,0),MATCH($A346,CLASSNAMEHEADERS,0))),(INDEX(ALLCLASSDATA,MATCH("UnarmoredMaster",CLASSFEATUREHEADERS,0),MATCH(($A346 &amp; "Points"),CLASSNAMEHEADERS,0))),(IF("19"=(INDEX(ALLCLASSDATA,MATCH("UnarmoredExpert",CLASSFEATUREHEADERS,0),MATCH($A346,CLASSNAMEHEADERS,0))),(INDEX(ALLCLASSDATA,MATCH("UnarmoredExpert",CLASSFEATUREHEADERS,0),MATCH(($A346 &amp; "Points"),CLASSNAMEHEADERS,0))),(IF("19"=(INDEX(ALLCLASSDATA,MATCH("UnarmoredTrained",CLASSFEATUREHEADERS,0),MATCH($A346,CLASSNAMEHEADERS,0))),(INDEX(ALLCLASSDATA,MATCH("UnarmoredTrained",CLASSFEATUREHEADERS,0),MATCH(($A346 &amp; "Points"),CLASSNAMEHEADERS,0))),"")))))))))}</f>
        <v>UNARMOREDL19</v>
      </c>
      <c r="Z345" s="223"/>
      <c r="AA345" s="76" t="str">
        <f t="array" ref="AA345:AA346">{"UNARMORED TOTAL";(IF(COUNTBLANK(F346:Z346)=17,"L",(IF(COUNTBLANK(F346:Z346)=18,"M",(IF(COUNTBLANK(F346:Z346)=19,"E",(IF(COUNTBLANK(F346:Z346)=20,"T",""))))))))}</f>
        <v>UNARMORED TOTAL</v>
      </c>
      <c r="AB345" s="76" t="str">
        <f t="array" ref="AB345:AB346">{"UNARMORED TOTAL";(sum(F346:Z346))}</f>
        <v>UNARMORED TOTAL</v>
      </c>
    </row>
    <row r="346">
      <c r="A346" s="48" t="s">
        <v>229</v>
      </c>
      <c r="B346" s="48" t="s">
        <v>418</v>
      </c>
      <c r="C346" s="48" t="s">
        <v>1900</v>
      </c>
      <c r="D346" s="48" t="s">
        <v>78</v>
      </c>
      <c r="E346" s="5" t="s">
        <v>435</v>
      </c>
      <c r="F346" s="47" t="s">
        <v>603</v>
      </c>
      <c r="G346" s="5">
        <v>10.0</v>
      </c>
      <c r="H346" s="5"/>
      <c r="I346" s="5" t="s">
        <v>603</v>
      </c>
      <c r="J346" s="5"/>
      <c r="K346" s="5" t="s">
        <v>603</v>
      </c>
      <c r="L346" s="5"/>
      <c r="M346" s="5" t="s">
        <v>603</v>
      </c>
      <c r="N346" s="5"/>
      <c r="O346" s="5" t="s">
        <v>603</v>
      </c>
      <c r="P346" s="5"/>
      <c r="Q346" s="5" t="s">
        <v>603</v>
      </c>
      <c r="R346" s="5"/>
      <c r="S346" s="5">
        <v>50.0</v>
      </c>
      <c r="T346" s="5"/>
      <c r="U346" s="5" t="s">
        <v>603</v>
      </c>
      <c r="V346" s="5"/>
      <c r="W346" s="5" t="s">
        <v>603</v>
      </c>
      <c r="X346" s="5"/>
      <c r="Y346" s="5" t="s">
        <v>603</v>
      </c>
      <c r="Z346" s="5"/>
      <c r="AA346" s="5" t="s">
        <v>436</v>
      </c>
      <c r="AB346" s="47">
        <v>60.0</v>
      </c>
    </row>
    <row r="347" hidden="1">
      <c r="A347" s="222" t="str">
        <f t="array" ref="A347:A348">{"FormulaRow36";(INDEX(CLASSLIST,A276,1))}</f>
        <v>FormulaRow36</v>
      </c>
      <c r="B347" s="222" t="str">
        <f t="array" ref="B347:B348">{"CLASSTYPE";((INDEX(ALLCLASSDATA,MATCH("ClassType",CLASSFEATUREHEADERS,0),MATCH($A348,CLASSNAMEHEADERS,0))))}</f>
        <v>CLASSTYPE</v>
      </c>
      <c r="C347" s="222" t="str">
        <f t="array" ref="C347:C348">{"DEFENSE";"Defense"}</f>
        <v>DEFENSE</v>
      </c>
      <c r="D347" s="222" t="str">
        <f t="array" ref="D347:D348">{"LIGHT";"Light"}</f>
        <v>LIGHT</v>
      </c>
      <c r="E347" s="223" t="str">
        <f t="array" ref="E347:E348">{"LIGHTINITIAL";((IF(G348=10,"T",(IF(G348=50,"E","")))))}</f>
        <v>LIGHTINITIAL</v>
      </c>
      <c r="F347" s="223" t="str">
        <f t="array" ref="F347:F348">{"LIGHTINITIALPTS";((IF("00"=(INDEX(ALLCLASSDATA,MATCH("LightLegendary",CLASSFEATUREHEADERS,0),MATCH($A348,CLASSNAMEHEADERS,0))),(INDEX(ALLCLASSDATA,MATCH("LightLegendary",CLASSFEATUREHEADERS,0),MATCH(($A348 &amp; "Points"),CLASSNAMEHEADERS,0))),(IF("00"=(INDEX(ALLCLASSDATA,MATCH("LightMaster",CLASSFEATUREHEADERS,0),MATCH($A348,CLASSNAMEHEADERS,0))),(INDEX(ALLCLASSDATA,MATCH("LightMaster",CLASSFEATUREHEADERS,0),MATCH(($A348 &amp; "Points"),CLASSNAMEHEADERS,0))),(IF("00"=(INDEX(ALLCLASSDATA,MATCH("LightExpert",CLASSFEATUREHEADERS,0),MATCH($A348,CLASSNAMEHEADERS,0))),(INDEX(ALLCLASSDATA,MATCH("LightExpert",CLASSFEATUREHEADERS,0),MATCH(($A348 &amp; "Points"),CLASSNAMEHEADERS,0))),(IF("00"=(INDEX(ALLCLASSDATA,MATCH("LightTrained",CLASSFEATUREHEADERS,0),MATCH($A348,CLASSNAMEHEADERS,0))),(INDEX(ALLCLASSDATA,MATCH("LightTrained",CLASSFEATUREHEADERS,0),MATCH(($A348 &amp; "Points"),CLASSNAMEHEADERS,0))),"")))))))))}</f>
        <v>LIGHTINITIALPTS</v>
      </c>
      <c r="G347" s="223" t="str">
        <f t="array" ref="G347:G348">{"LIGHTL01";((IF("01"=(INDEX(ALLCLASSDATA,MATCH("LightLegendary",CLASSFEATUREHEADERS,0),MATCH($A348,CLASSNAMEHEADERS,0))),(INDEX(ALLCLASSDATA,MATCH("LightLegendary",CLASSFEATUREHEADERS,0),MATCH(($A348 &amp; "Points"),CLASSNAMEHEADERS,0))),(IF("01"=(INDEX(ALLCLASSDATA,MATCH("LightMaster",CLASSFEATUREHEADERS,0),MATCH($A348,CLASSNAMEHEADERS,0))),(INDEX(ALLCLASSDATA,MATCH("LightMaster",CLASSFEATUREHEADERS,0),MATCH(($A348 &amp; "Points"),CLASSNAMEHEADERS,0))),(IF("01"=(INDEX(ALLCLASSDATA,MATCH("LightExpert",CLASSFEATUREHEADERS,0),MATCH($A348,CLASSNAMEHEADERS,0))),(INDEX(ALLCLASSDATA,MATCH("LightExpert",CLASSFEATUREHEADERS,0),MATCH(($A348 &amp; "Points"),CLASSNAMEHEADERS,0))),(IF("01"=(INDEX(ALLCLASSDATA,MATCH("LightTrained",CLASSFEATUREHEADERS,0),MATCH($A348,CLASSNAMEHEADERS,0))),(INDEX(ALLCLASSDATA,MATCH("LightTrained",CLASSFEATUREHEADERS,0),MATCH(($A348 &amp; "Points"),CLASSNAMEHEADERS,0))),"")))))))))}</f>
        <v>LIGHTL01</v>
      </c>
      <c r="H347" s="223"/>
      <c r="I347" s="223" t="str">
        <f t="array" ref="I347:I348">{"LIGHTL03";((IF("03"=(INDEX(ALLCLASSDATA,MATCH("LightLegendary",CLASSFEATUREHEADERS,0),MATCH($A348,CLASSNAMEHEADERS,0))),(INDEX(ALLCLASSDATA,MATCH("LightLegendary",CLASSFEATUREHEADERS,0),MATCH(($A348 &amp; "Points"),CLASSNAMEHEADERS,0))),(IF("03"=(INDEX(ALLCLASSDATA,MATCH("LightMaster",CLASSFEATUREHEADERS,0),MATCH($A348,CLASSNAMEHEADERS,0))),(INDEX(ALLCLASSDATA,MATCH("LightMaster",CLASSFEATUREHEADERS,0),MATCH(($A348 &amp; "Points"),CLASSNAMEHEADERS,0))),(IF("03"=(INDEX(ALLCLASSDATA,MATCH("LightExpert",CLASSFEATUREHEADERS,0),MATCH($A348,CLASSNAMEHEADERS,0))),(INDEX(ALLCLASSDATA,MATCH("LightExpert",CLASSFEATUREHEADERS,0),MATCH(($A348 &amp; "Points"),CLASSNAMEHEADERS,0))),(IF("03"=(INDEX(ALLCLASSDATA,MATCH("LightTrained",CLASSFEATUREHEADERS,0),MATCH($A348,CLASSNAMEHEADERS,0))),(INDEX(ALLCLASSDATA,MATCH("LightTrained",CLASSFEATUREHEADERS,0),MATCH(($A348 &amp; "Points"),CLASSNAMEHEADERS,0))),"")))))))))}</f>
        <v>LIGHTL03</v>
      </c>
      <c r="J347" s="223"/>
      <c r="K347" s="223" t="str">
        <f t="array" ref="K347:K348">{"LIGHTL05";((IF("05"=(INDEX(ALLCLASSDATA,MATCH("LightLegendary",CLASSFEATUREHEADERS,0),MATCH($A348,CLASSNAMEHEADERS,0))),(INDEX(ALLCLASSDATA,MATCH("LightLegendary",CLASSFEATUREHEADERS,0),MATCH(($A348 &amp; "Points"),CLASSNAMEHEADERS,0))),(IF("05"=(INDEX(ALLCLASSDATA,MATCH("LightMaster",CLASSFEATUREHEADERS,0),MATCH($A348,CLASSNAMEHEADERS,0))),(INDEX(ALLCLASSDATA,MATCH("LightMaster",CLASSFEATUREHEADERS,0),MATCH(($A348 &amp; "Points"),CLASSNAMEHEADERS,0))),(IF("05"=(INDEX(ALLCLASSDATA,MATCH("LightExpert",CLASSFEATUREHEADERS,0),MATCH($A348,CLASSNAMEHEADERS,0))),(INDEX(ALLCLASSDATA,MATCH("LightExpert",CLASSFEATUREHEADERS,0),MATCH(($A348 &amp; "Points"),CLASSNAMEHEADERS,0))),(IF("05"=(INDEX(ALLCLASSDATA,MATCH("LightTrained",CLASSFEATUREHEADERS,0),MATCH($A348,CLASSNAMEHEADERS,0))),(INDEX(ALLCLASSDATA,MATCH("LightTrained",CLASSFEATUREHEADERS,0),MATCH(($A348 &amp; "Points"),CLASSNAMEHEADERS,0))),"")))))))))}</f>
        <v>LIGHTL05</v>
      </c>
      <c r="L347" s="223"/>
      <c r="M347" s="223" t="str">
        <f t="array" ref="M347:M348">{"LIGHTL07";((IF("07"=(INDEX(ALLCLASSDATA,MATCH("LightLegendary",CLASSFEATUREHEADERS,0),MATCH($A348,CLASSNAMEHEADERS,0))),(INDEX(ALLCLASSDATA,MATCH("LightLegendary",CLASSFEATUREHEADERS,0),MATCH(($A348 &amp; "Points"),CLASSNAMEHEADERS,0))),(IF("07"=(INDEX(ALLCLASSDATA,MATCH("LightMaster",CLASSFEATUREHEADERS,0),MATCH($A348,CLASSNAMEHEADERS,0))),(INDEX(ALLCLASSDATA,MATCH("LightMaster",CLASSFEATUREHEADERS,0),MATCH(($A348 &amp; "Points"),CLASSNAMEHEADERS,0))),(IF("07"=(INDEX(ALLCLASSDATA,MATCH("LightExpert",CLASSFEATUREHEADERS,0),MATCH($A348,CLASSNAMEHEADERS,0))),(INDEX(ALLCLASSDATA,MATCH("LightExpert",CLASSFEATUREHEADERS,0),MATCH(($A348 &amp; "Points"),CLASSNAMEHEADERS,0))),(IF("07"=(INDEX(ALLCLASSDATA,MATCH("LightTrained",CLASSFEATUREHEADERS,0),MATCH($A348,CLASSNAMEHEADERS,0))),(INDEX(ALLCLASSDATA,MATCH("LightTrained",CLASSFEATUREHEADERS,0),MATCH(($A348 &amp; "Points"),CLASSNAMEHEADERS,0))),"")))))))))}</f>
        <v>LIGHTL07</v>
      </c>
      <c r="N347" s="223"/>
      <c r="O347" s="223" t="str">
        <f t="array" ref="O347:O348">{"LIGHTL09";((IF("09"=(INDEX(ALLCLASSDATA,MATCH("LightLegendary",CLASSFEATUREHEADERS,0),MATCH($A348,CLASSNAMEHEADERS,0))),(INDEX(ALLCLASSDATA,MATCH("LightLegendary",CLASSFEATUREHEADERS,0),MATCH(($A348 &amp; "Points"),CLASSNAMEHEADERS,0))),(IF("09"=(INDEX(ALLCLASSDATA,MATCH("LightMaster",CLASSFEATUREHEADERS,0),MATCH($A348,CLASSNAMEHEADERS,0))),(INDEX(ALLCLASSDATA,MATCH("LightMaster",CLASSFEATUREHEADERS,0),MATCH(($A348 &amp; "Points"),CLASSNAMEHEADERS,0))),(IF("09"=(INDEX(ALLCLASSDATA,MATCH("LightExpert",CLASSFEATUREHEADERS,0),MATCH($A348,CLASSNAMEHEADERS,0))),(INDEX(ALLCLASSDATA,MATCH("LightExpert",CLASSFEATUREHEADERS,0),MATCH(($A348 &amp; "Points"),CLASSNAMEHEADERS,0))),(IF("09"=(INDEX(ALLCLASSDATA,MATCH("LightTrained",CLASSFEATUREHEADERS,0),MATCH($A348,CLASSNAMEHEADERS,0))),(INDEX(ALLCLASSDATA,MATCH("LightTrained",CLASSFEATUREHEADERS,0),MATCH(($A348 &amp; "Points"),CLASSNAMEHEADERS,0))),"")))))))))}</f>
        <v>LIGHTL09</v>
      </c>
      <c r="P347" s="223"/>
      <c r="Q347" s="223" t="str">
        <f t="array" ref="Q347:Q348">{"LIGHTL11";((IF("11"=(INDEX(ALLCLASSDATA,MATCH("LightLegendary",CLASSFEATUREHEADERS,0),MATCH($A348,CLASSNAMEHEADERS,0))),(INDEX(ALLCLASSDATA,MATCH("LightLegendary",CLASSFEATUREHEADERS,0),MATCH(($A348 &amp; "Points"),CLASSNAMEHEADERS,0))),(IF("11"=(INDEX(ALLCLASSDATA,MATCH("LightMaster",CLASSFEATUREHEADERS,0),MATCH($A348,CLASSNAMEHEADERS,0))),(INDEX(ALLCLASSDATA,MATCH("LightMaster",CLASSFEATUREHEADERS,0),MATCH(($A348 &amp; "Points"),CLASSNAMEHEADERS,0))),(IF("11"=(INDEX(ALLCLASSDATA,MATCH("LightExpert",CLASSFEATUREHEADERS,0),MATCH($A348,CLASSNAMEHEADERS,0))),(INDEX(ALLCLASSDATA,MATCH("LightExpert",CLASSFEATUREHEADERS,0),MATCH(($A348 &amp; "Points"),CLASSNAMEHEADERS,0))),(IF("11"=(INDEX(ALLCLASSDATA,MATCH("LightTrained",CLASSFEATUREHEADERS,0),MATCH($A348,CLASSNAMEHEADERS,0))),(INDEX(ALLCLASSDATA,MATCH("LightTrained",CLASSFEATUREHEADERS,0),MATCH(($A348 &amp; "Points"),CLASSNAMEHEADERS,0))),"")))))))))}</f>
        <v>LIGHTL11</v>
      </c>
      <c r="R347" s="223"/>
      <c r="S347" s="223" t="str">
        <f t="array" ref="S347:S348">{"LIGHTL13";((IF("13"=(INDEX(ALLCLASSDATA,MATCH("LightLegendary",CLASSFEATUREHEADERS,0),MATCH($A348,CLASSNAMEHEADERS,0))),(INDEX(ALLCLASSDATA,MATCH("LightLegendary",CLASSFEATUREHEADERS,0),MATCH(($A348 &amp; "Points"),CLASSNAMEHEADERS,0))),(IF("13"=(INDEX(ALLCLASSDATA,MATCH("LightMaster",CLASSFEATUREHEADERS,0),MATCH($A348,CLASSNAMEHEADERS,0))),(INDEX(ALLCLASSDATA,MATCH("LightMaster",CLASSFEATUREHEADERS,0),MATCH(($A348 &amp; "Points"),CLASSNAMEHEADERS,0))),(IF("13"=(INDEX(ALLCLASSDATA,MATCH("LightExpert",CLASSFEATUREHEADERS,0),MATCH($A348,CLASSNAMEHEADERS,0))),(INDEX(ALLCLASSDATA,MATCH("LightExpert",CLASSFEATUREHEADERS,0),MATCH(($A348 &amp; "Points"),CLASSNAMEHEADERS,0))),(IF("13"=(INDEX(ALLCLASSDATA,MATCH("LightTrained",CLASSFEATUREHEADERS,0),MATCH($A348,CLASSNAMEHEADERS,0))),(INDEX(ALLCLASSDATA,MATCH("LightTrained",CLASSFEATUREHEADERS,0),MATCH(($A348 &amp; "Points"),CLASSNAMEHEADERS,0))),"")))))))))}</f>
        <v>LIGHTL13</v>
      </c>
      <c r="T347" s="223"/>
      <c r="U347" s="223" t="str">
        <f t="array" ref="U347:U348">{"LIGHTL15";((IF("15"=(INDEX(ALLCLASSDATA,MATCH("LightLegendary",CLASSFEATUREHEADERS,0),MATCH($A348,CLASSNAMEHEADERS,0))),(INDEX(ALLCLASSDATA,MATCH("LightLegendary",CLASSFEATUREHEADERS,0),MATCH(($A348 &amp; "Points"),CLASSNAMEHEADERS,0))),(IF("15"=(INDEX(ALLCLASSDATA,MATCH("LightMaster",CLASSFEATUREHEADERS,0),MATCH($A348,CLASSNAMEHEADERS,0))),(INDEX(ALLCLASSDATA,MATCH("LightMaster",CLASSFEATUREHEADERS,0),MATCH(($A348 &amp; "Points"),CLASSNAMEHEADERS,0))),(IF("15"=(INDEX(ALLCLASSDATA,MATCH("LightExpert",CLASSFEATUREHEADERS,0),MATCH($A348,CLASSNAMEHEADERS,0))),(INDEX(ALLCLASSDATA,MATCH("LightExpert",CLASSFEATUREHEADERS,0),MATCH(($A348 &amp; "Points"),CLASSNAMEHEADERS,0))),(IF("15"=(INDEX(ALLCLASSDATA,MATCH("LightTrained",CLASSFEATUREHEADERS,0),MATCH($A348,CLASSNAMEHEADERS,0))),(INDEX(ALLCLASSDATA,MATCH("LightTrained",CLASSFEATUREHEADERS,0),MATCH(($A348 &amp; "Points"),CLASSNAMEHEADERS,0))),"")))))))))}</f>
        <v>LIGHTL15</v>
      </c>
      <c r="V347" s="223"/>
      <c r="W347" s="223" t="str">
        <f t="array" ref="W347:W348">{"LIGHTL17";((IF("17"=(INDEX(ALLCLASSDATA,MATCH("LightLegendary",CLASSFEATUREHEADERS,0),MATCH($A348,CLASSNAMEHEADERS,0))),(INDEX(ALLCLASSDATA,MATCH("LightLegendary",CLASSFEATUREHEADERS,0),MATCH(($A348 &amp; "Points"),CLASSNAMEHEADERS,0))),(IF("17"=(INDEX(ALLCLASSDATA,MATCH("LightMaster",CLASSFEATUREHEADERS,0),MATCH($A348,CLASSNAMEHEADERS,0))),(INDEX(ALLCLASSDATA,MATCH("LightMaster",CLASSFEATUREHEADERS,0),MATCH(($A348 &amp; "Points"),CLASSNAMEHEADERS,0))),(IF("17"=(INDEX(ALLCLASSDATA,MATCH("LightExpert",CLASSFEATUREHEADERS,0),MATCH($A348,CLASSNAMEHEADERS,0))),(INDEX(ALLCLASSDATA,MATCH("LightExpert",CLASSFEATUREHEADERS,0),MATCH(($A348 &amp; "Points"),CLASSNAMEHEADERS,0))),(IF("17"=(INDEX(ALLCLASSDATA,MATCH("LightTrained",CLASSFEATUREHEADERS,0),MATCH($A348,CLASSNAMEHEADERS,0))),(INDEX(ALLCLASSDATA,MATCH("LightTrained",CLASSFEATUREHEADERS,0),MATCH(($A348 &amp; "Points"),CLASSNAMEHEADERS,0))),"")))))))))}</f>
        <v>LIGHTL17</v>
      </c>
      <c r="X347" s="223"/>
      <c r="Y347" s="223" t="str">
        <f t="array" ref="Y347:Y348">{"LIGHTL19";((IF("19"=(INDEX(ALLCLASSDATA,MATCH("LightLegendary",CLASSFEATUREHEADERS,0),MATCH($A348,CLASSNAMEHEADERS,0))),(INDEX(ALLCLASSDATA,MATCH("LightLegendary",CLASSFEATUREHEADERS,0),MATCH(($A348 &amp; "Points"),CLASSNAMEHEADERS,0))),(IF("19"=(INDEX(ALLCLASSDATA,MATCH("LightMaster",CLASSFEATUREHEADERS,0),MATCH($A348,CLASSNAMEHEADERS,0))),(INDEX(ALLCLASSDATA,MATCH("LightMaster",CLASSFEATUREHEADERS,0),MATCH(($A348 &amp; "Points"),CLASSNAMEHEADERS,0))),(IF("19"=(INDEX(ALLCLASSDATA,MATCH("LightExpert",CLASSFEATUREHEADERS,0),MATCH($A348,CLASSNAMEHEADERS,0))),(INDEX(ALLCLASSDATA,MATCH("LightExpert",CLASSFEATUREHEADERS,0),MATCH(($A348 &amp; "Points"),CLASSNAMEHEADERS,0))),(IF("19"=(INDEX(ALLCLASSDATA,MATCH("LightTrained",CLASSFEATUREHEADERS,0),MATCH($A348,CLASSNAMEHEADERS,0))),(INDEX(ALLCLASSDATA,MATCH("LightTrained",CLASSFEATUREHEADERS,0),MATCH(($A348 &amp; "Points"),CLASSNAMEHEADERS,0))),"")))))))))}</f>
        <v>LIGHTL19</v>
      </c>
      <c r="Z347" s="223"/>
      <c r="AA347" s="76" t="str">
        <f t="array" ref="AA347:AA348">{"LIGHT TOTAL";(IF(COUNTBLANK(F348:Z348)=17,"L",(IF(COUNTBLANK(F348:Z348)=18,"M",(IF(COUNTBLANK(F348:Z348)=19,"E",(IF(COUNTBLANK(F348:Z348)=20,"T",""))))))))}</f>
        <v>LIGHT TOTAL</v>
      </c>
      <c r="AB347" s="76" t="str">
        <f t="array" ref="AB347:AB348">{"LIGHT TOTAL";(sum(F348:Z348))}</f>
        <v>LIGHT TOTAL</v>
      </c>
    </row>
    <row r="348">
      <c r="A348" s="48" t="s">
        <v>229</v>
      </c>
      <c r="B348" s="48" t="s">
        <v>418</v>
      </c>
      <c r="C348" s="48" t="s">
        <v>1900</v>
      </c>
      <c r="D348" s="48" t="s">
        <v>77</v>
      </c>
      <c r="E348" s="5" t="s">
        <v>603</v>
      </c>
      <c r="F348" s="47" t="s">
        <v>603</v>
      </c>
      <c r="G348" s="5" t="s">
        <v>603</v>
      </c>
      <c r="H348" s="5"/>
      <c r="I348" s="5" t="s">
        <v>603</v>
      </c>
      <c r="J348" s="5"/>
      <c r="K348" s="5" t="s">
        <v>603</v>
      </c>
      <c r="L348" s="5"/>
      <c r="M348" s="5" t="s">
        <v>603</v>
      </c>
      <c r="N348" s="5"/>
      <c r="O348" s="5" t="s">
        <v>603</v>
      </c>
      <c r="P348" s="5"/>
      <c r="Q348" s="5" t="s">
        <v>603</v>
      </c>
      <c r="R348" s="5"/>
      <c r="S348" s="5" t="s">
        <v>603</v>
      </c>
      <c r="T348" s="5"/>
      <c r="U348" s="5" t="s">
        <v>603</v>
      </c>
      <c r="V348" s="5"/>
      <c r="W348" s="5" t="s">
        <v>603</v>
      </c>
      <c r="X348" s="5"/>
      <c r="Y348" s="5" t="s">
        <v>603</v>
      </c>
      <c r="Z348" s="5"/>
      <c r="AA348" s="5" t="s">
        <v>603</v>
      </c>
      <c r="AB348" s="47">
        <v>0.0</v>
      </c>
    </row>
    <row r="349" hidden="1">
      <c r="A349" s="222" t="str">
        <f t="array" ref="A349:A350">{"FormulaRow37";(INDEX(CLASSLIST,A276,1))}</f>
        <v>FormulaRow37</v>
      </c>
      <c r="B349" s="222" t="str">
        <f t="array" ref="B349:B350">{"CLASSTYPE";((INDEX(ALLCLASSDATA,MATCH("ClassType",CLASSFEATUREHEADERS,0),MATCH($A350,CLASSNAMEHEADERS,0))))}</f>
        <v>CLASSTYPE</v>
      </c>
      <c r="C349" s="222" t="str">
        <f t="array" ref="C349:C350">{"DEFENSE";"Defense"}</f>
        <v>DEFENSE</v>
      </c>
      <c r="D349" s="222" t="str">
        <f t="array" ref="D349:D350">{"MEDIUM";"Medium"}</f>
        <v>MEDIUM</v>
      </c>
      <c r="E349" s="223" t="str">
        <f t="array" ref="E349:E350">{"MEDIUMINITIAL";((IF(G350=10,"T",(IF(G350=50,"E","")))))}</f>
        <v>MEDIUMINITIAL</v>
      </c>
      <c r="F349" s="223" t="str">
        <f t="array" ref="F349:F350">{"MEDIUMINITIALPTS";((IF("00"=(INDEX(ALLCLASSDATA,MATCH("MediumLegendary",CLASSFEATUREHEADERS,0),MATCH($A350,CLASSNAMEHEADERS,0))),(INDEX(ALLCLASSDATA,MATCH("MediumLegendary",CLASSFEATUREHEADERS,0),MATCH(($A350 &amp; "Points"),CLASSNAMEHEADERS,0))),(IF("00"=(INDEX(ALLCLASSDATA,MATCH("MediumMaster",CLASSFEATUREHEADERS,0),MATCH($A350,CLASSNAMEHEADERS,0))),(INDEX(ALLCLASSDATA,MATCH("MediumMaster",CLASSFEATUREHEADERS,0),MATCH(($A350 &amp; "Points"),CLASSNAMEHEADERS,0))),(IF("00"=(INDEX(ALLCLASSDATA,MATCH("MediumExpert",CLASSFEATUREHEADERS,0),MATCH($A350,CLASSNAMEHEADERS,0))),(INDEX(ALLCLASSDATA,MATCH("MediumExpert",CLASSFEATUREHEADERS,0),MATCH(($A350 &amp; "Points"),CLASSNAMEHEADERS,0))),(IF("00"=(INDEX(ALLCLASSDATA,MATCH("MediumTrained",CLASSFEATUREHEADERS,0),MATCH($A350,CLASSNAMEHEADERS,0))),(INDEX(ALLCLASSDATA,MATCH("MediumTrained",CLASSFEATUREHEADERS,0),MATCH(($A350 &amp; "Points"),CLASSNAMEHEADERS,0))),"")))))))))}</f>
        <v>MEDIUMINITIALPTS</v>
      </c>
      <c r="G349" s="223" t="str">
        <f t="array" ref="G349:G350">{"MEDIUML01";((IF("01"=(INDEX(ALLCLASSDATA,MATCH("MediumLegendary",CLASSFEATUREHEADERS,0),MATCH($A350,CLASSNAMEHEADERS,0))),(INDEX(ALLCLASSDATA,MATCH("MediumLegendary",CLASSFEATUREHEADERS,0),MATCH(($A350 &amp; "Points"),CLASSNAMEHEADERS,0))),(IF("01"=(INDEX(ALLCLASSDATA,MATCH("MediumMaster",CLASSFEATUREHEADERS,0),MATCH($A350,CLASSNAMEHEADERS,0))),(INDEX(ALLCLASSDATA,MATCH("MediumMaster",CLASSFEATUREHEADERS,0),MATCH(($A350 &amp; "Points"),CLASSNAMEHEADERS,0))),(IF("01"=(INDEX(ALLCLASSDATA,MATCH("MediumExpert",CLASSFEATUREHEADERS,0),MATCH($A350,CLASSNAMEHEADERS,0))),(INDEX(ALLCLASSDATA,MATCH("MediumExpert",CLASSFEATUREHEADERS,0),MATCH(($A350 &amp; "Points"),CLASSNAMEHEADERS,0))),(IF("01"=(INDEX(ALLCLASSDATA,MATCH("MediumTrained",CLASSFEATUREHEADERS,0),MATCH($A350,CLASSNAMEHEADERS,0))),(INDEX(ALLCLASSDATA,MATCH("MediumTrained",CLASSFEATUREHEADERS,0),MATCH(($A350 &amp; "Points"),CLASSNAMEHEADERS,0))),"")))))))))}</f>
        <v>MEDIUML01</v>
      </c>
      <c r="H349" s="223"/>
      <c r="I349" s="223" t="str">
        <f t="array" ref="I349:I350">{"MEDIUML03";((IF("03"=(INDEX(ALLCLASSDATA,MATCH("MediumLegendary",CLASSFEATUREHEADERS,0),MATCH($A350,CLASSNAMEHEADERS,0))),(INDEX(ALLCLASSDATA,MATCH("MediumLegendary",CLASSFEATUREHEADERS,0),MATCH(($A350 &amp; "Points"),CLASSNAMEHEADERS,0))),(IF("03"=(INDEX(ALLCLASSDATA,MATCH("MediumMaster",CLASSFEATUREHEADERS,0),MATCH($A350,CLASSNAMEHEADERS,0))),(INDEX(ALLCLASSDATA,MATCH("MediumMaster",CLASSFEATUREHEADERS,0),MATCH(($A350 &amp; "Points"),CLASSNAMEHEADERS,0))),(IF("03"=(INDEX(ALLCLASSDATA,MATCH("MediumExpert",CLASSFEATUREHEADERS,0),MATCH($A350,CLASSNAMEHEADERS,0))),(INDEX(ALLCLASSDATA,MATCH("MediumExpert",CLASSFEATUREHEADERS,0),MATCH(($A350 &amp; "Points"),CLASSNAMEHEADERS,0))),(IF("03"=(INDEX(ALLCLASSDATA,MATCH("MediumTrained",CLASSFEATUREHEADERS,0),MATCH($A350,CLASSNAMEHEADERS,0))),(INDEX(ALLCLASSDATA,MATCH("MediumTrained",CLASSFEATUREHEADERS,0),MATCH(($A350 &amp; "Points"),CLASSNAMEHEADERS,0))),"")))))))))}</f>
        <v>MEDIUML03</v>
      </c>
      <c r="J349" s="223"/>
      <c r="K349" s="223" t="str">
        <f t="array" ref="K349:K350">{"MEDIUML05";((IF("05"=(INDEX(ALLCLASSDATA,MATCH("MediumLegendary",CLASSFEATUREHEADERS,0),MATCH($A350,CLASSNAMEHEADERS,0))),(INDEX(ALLCLASSDATA,MATCH("MediumLegendary",CLASSFEATUREHEADERS,0),MATCH(($A350 &amp; "Points"),CLASSNAMEHEADERS,0))),(IF("05"=(INDEX(ALLCLASSDATA,MATCH("MediumMaster",CLASSFEATUREHEADERS,0),MATCH($A350,CLASSNAMEHEADERS,0))),(INDEX(ALLCLASSDATA,MATCH("MediumMaster",CLASSFEATUREHEADERS,0),MATCH(($A350 &amp; "Points"),CLASSNAMEHEADERS,0))),(IF("05"=(INDEX(ALLCLASSDATA,MATCH("MediumExpert",CLASSFEATUREHEADERS,0),MATCH($A350,CLASSNAMEHEADERS,0))),(INDEX(ALLCLASSDATA,MATCH("MediumExpert",CLASSFEATUREHEADERS,0),MATCH(($A350 &amp; "Points"),CLASSNAMEHEADERS,0))),(IF("05"=(INDEX(ALLCLASSDATA,MATCH("MediumTrained",CLASSFEATUREHEADERS,0),MATCH($A350,CLASSNAMEHEADERS,0))),(INDEX(ALLCLASSDATA,MATCH("MediumTrained",CLASSFEATUREHEADERS,0),MATCH(($A350 &amp; "Points"),CLASSNAMEHEADERS,0))),"")))))))))}</f>
        <v>MEDIUML05</v>
      </c>
      <c r="L349" s="223"/>
      <c r="M349" s="223" t="str">
        <f t="array" ref="M349:M350">{"MEDIUML07";((IF("07"=(INDEX(ALLCLASSDATA,MATCH("MediumLegendary",CLASSFEATUREHEADERS,0),MATCH($A350,CLASSNAMEHEADERS,0))),(INDEX(ALLCLASSDATA,MATCH("MediumLegendary",CLASSFEATUREHEADERS,0),MATCH(($A350 &amp; "Points"),CLASSNAMEHEADERS,0))),(IF("07"=(INDEX(ALLCLASSDATA,MATCH("MediumMaster",CLASSFEATUREHEADERS,0),MATCH($A350,CLASSNAMEHEADERS,0))),(INDEX(ALLCLASSDATA,MATCH("MediumMaster",CLASSFEATUREHEADERS,0),MATCH(($A350 &amp; "Points"),CLASSNAMEHEADERS,0))),(IF("07"=(INDEX(ALLCLASSDATA,MATCH("MediumExpert",CLASSFEATUREHEADERS,0),MATCH($A350,CLASSNAMEHEADERS,0))),(INDEX(ALLCLASSDATA,MATCH("MediumExpert",CLASSFEATUREHEADERS,0),MATCH(($A350 &amp; "Points"),CLASSNAMEHEADERS,0))),(IF("07"=(INDEX(ALLCLASSDATA,MATCH("MediumTrained",CLASSFEATUREHEADERS,0),MATCH($A350,CLASSNAMEHEADERS,0))),(INDEX(ALLCLASSDATA,MATCH("MediumTrained",CLASSFEATUREHEADERS,0),MATCH(($A350 &amp; "Points"),CLASSNAMEHEADERS,0))),"")))))))))}</f>
        <v>MEDIUML07</v>
      </c>
      <c r="N349" s="223"/>
      <c r="O349" s="223" t="str">
        <f t="array" ref="O349:O350">{"MEDIUML09";((IF("09"=(INDEX(ALLCLASSDATA,MATCH("MediumLegendary",CLASSFEATUREHEADERS,0),MATCH($A350,CLASSNAMEHEADERS,0))),(INDEX(ALLCLASSDATA,MATCH("MediumLegendary",CLASSFEATUREHEADERS,0),MATCH(($A350 &amp; "Points"),CLASSNAMEHEADERS,0))),(IF("09"=(INDEX(ALLCLASSDATA,MATCH("MediumMaster",CLASSFEATUREHEADERS,0),MATCH($A350,CLASSNAMEHEADERS,0))),(INDEX(ALLCLASSDATA,MATCH("MediumMaster",CLASSFEATUREHEADERS,0),MATCH(($A350 &amp; "Points"),CLASSNAMEHEADERS,0))),(IF("09"=(INDEX(ALLCLASSDATA,MATCH("MediumExpert",CLASSFEATUREHEADERS,0),MATCH($A350,CLASSNAMEHEADERS,0))),(INDEX(ALLCLASSDATA,MATCH("MediumExpert",CLASSFEATUREHEADERS,0),MATCH(($A350 &amp; "Points"),CLASSNAMEHEADERS,0))),(IF("09"=(INDEX(ALLCLASSDATA,MATCH("MediumTrained",CLASSFEATUREHEADERS,0),MATCH($A350,CLASSNAMEHEADERS,0))),(INDEX(ALLCLASSDATA,MATCH("MediumTrained",CLASSFEATUREHEADERS,0),MATCH(($A350 &amp; "Points"),CLASSNAMEHEADERS,0))),"")))))))))}</f>
        <v>MEDIUML09</v>
      </c>
      <c r="P349" s="223"/>
      <c r="Q349" s="223" t="str">
        <f t="array" ref="Q349:Q350">{"MEDIUML11";((IF("11"=(INDEX(ALLCLASSDATA,MATCH("MediumLegendary",CLASSFEATUREHEADERS,0),MATCH($A350,CLASSNAMEHEADERS,0))),(INDEX(ALLCLASSDATA,MATCH("MediumLegendary",CLASSFEATUREHEADERS,0),MATCH(($A350 &amp; "Points"),CLASSNAMEHEADERS,0))),(IF("11"=(INDEX(ALLCLASSDATA,MATCH("MediumMaster",CLASSFEATUREHEADERS,0),MATCH($A350,CLASSNAMEHEADERS,0))),(INDEX(ALLCLASSDATA,MATCH("MediumMaster",CLASSFEATUREHEADERS,0),MATCH(($A350 &amp; "Points"),CLASSNAMEHEADERS,0))),(IF("11"=(INDEX(ALLCLASSDATA,MATCH("MediumExpert",CLASSFEATUREHEADERS,0),MATCH($A350,CLASSNAMEHEADERS,0))),(INDEX(ALLCLASSDATA,MATCH("MediumExpert",CLASSFEATUREHEADERS,0),MATCH(($A350 &amp; "Points"),CLASSNAMEHEADERS,0))),(IF("11"=(INDEX(ALLCLASSDATA,MATCH("MediumTrained",CLASSFEATUREHEADERS,0),MATCH($A350,CLASSNAMEHEADERS,0))),(INDEX(ALLCLASSDATA,MATCH("MediumTrained",CLASSFEATUREHEADERS,0),MATCH(($A350 &amp; "Points"),CLASSNAMEHEADERS,0))),"")))))))))}</f>
        <v>MEDIUML11</v>
      </c>
      <c r="R349" s="223"/>
      <c r="S349" s="223" t="str">
        <f t="array" ref="S349:S350">{"MEDIUML13";((IF("13"=(INDEX(ALLCLASSDATA,MATCH("MediumLegendary",CLASSFEATUREHEADERS,0),MATCH($A350,CLASSNAMEHEADERS,0))),(INDEX(ALLCLASSDATA,MATCH("MediumLegendary",CLASSFEATUREHEADERS,0),MATCH(($A350 &amp; "Points"),CLASSNAMEHEADERS,0))),(IF("13"=(INDEX(ALLCLASSDATA,MATCH("MediumMaster",CLASSFEATUREHEADERS,0),MATCH($A350,CLASSNAMEHEADERS,0))),(INDEX(ALLCLASSDATA,MATCH("MediumMaster",CLASSFEATUREHEADERS,0),MATCH(($A350 &amp; "Points"),CLASSNAMEHEADERS,0))),(IF("13"=(INDEX(ALLCLASSDATA,MATCH("MediumExpert",CLASSFEATUREHEADERS,0),MATCH($A350,CLASSNAMEHEADERS,0))),(INDEX(ALLCLASSDATA,MATCH("MediumExpert",CLASSFEATUREHEADERS,0),MATCH(($A350 &amp; "Points"),CLASSNAMEHEADERS,0))),(IF("13"=(INDEX(ALLCLASSDATA,MATCH("MediumTrained",CLASSFEATUREHEADERS,0),MATCH($A350,CLASSNAMEHEADERS,0))),(INDEX(ALLCLASSDATA,MATCH("MediumTrained",CLASSFEATUREHEADERS,0),MATCH(($A350 &amp; "Points"),CLASSNAMEHEADERS,0))),"")))))))))}</f>
        <v>MEDIUML13</v>
      </c>
      <c r="T349" s="223"/>
      <c r="U349" s="223" t="str">
        <f t="array" ref="U349:U350">{"MEDIUML15";((IF("15"=(INDEX(ALLCLASSDATA,MATCH("MediumLegendary",CLASSFEATUREHEADERS,0),MATCH($A350,CLASSNAMEHEADERS,0))),(INDEX(ALLCLASSDATA,MATCH("MediumLegendary",CLASSFEATUREHEADERS,0),MATCH(($A350 &amp; "Points"),CLASSNAMEHEADERS,0))),(IF("15"=(INDEX(ALLCLASSDATA,MATCH("MediumMaster",CLASSFEATUREHEADERS,0),MATCH($A350,CLASSNAMEHEADERS,0))),(INDEX(ALLCLASSDATA,MATCH("MediumMaster",CLASSFEATUREHEADERS,0),MATCH(($A350 &amp; "Points"),CLASSNAMEHEADERS,0))),(IF("15"=(INDEX(ALLCLASSDATA,MATCH("MediumExpert",CLASSFEATUREHEADERS,0),MATCH($A350,CLASSNAMEHEADERS,0))),(INDEX(ALLCLASSDATA,MATCH("MediumExpert",CLASSFEATUREHEADERS,0),MATCH(($A350 &amp; "Points"),CLASSNAMEHEADERS,0))),(IF("15"=(INDEX(ALLCLASSDATA,MATCH("MediumTrained",CLASSFEATUREHEADERS,0),MATCH($A350,CLASSNAMEHEADERS,0))),(INDEX(ALLCLASSDATA,MATCH("MediumTrained",CLASSFEATUREHEADERS,0),MATCH(($A350 &amp; "Points"),CLASSNAMEHEADERS,0))),"")))))))))}</f>
        <v>MEDIUML15</v>
      </c>
      <c r="V349" s="223"/>
      <c r="W349" s="223" t="str">
        <f t="array" ref="W349:W350">{"MEDIUML17";((IF("17"=(INDEX(ALLCLASSDATA,MATCH("MediumLegendary",CLASSFEATUREHEADERS,0),MATCH($A350,CLASSNAMEHEADERS,0))),(INDEX(ALLCLASSDATA,MATCH("MediumLegendary",CLASSFEATUREHEADERS,0),MATCH(($A350 &amp; "Points"),CLASSNAMEHEADERS,0))),(IF("17"=(INDEX(ALLCLASSDATA,MATCH("MediumMaster",CLASSFEATUREHEADERS,0),MATCH($A350,CLASSNAMEHEADERS,0))),(INDEX(ALLCLASSDATA,MATCH("MediumMaster",CLASSFEATUREHEADERS,0),MATCH(($A350 &amp; "Points"),CLASSNAMEHEADERS,0))),(IF("17"=(INDEX(ALLCLASSDATA,MATCH("MediumExpert",CLASSFEATUREHEADERS,0),MATCH($A350,CLASSNAMEHEADERS,0))),(INDEX(ALLCLASSDATA,MATCH("MediumExpert",CLASSFEATUREHEADERS,0),MATCH(($A350 &amp; "Points"),CLASSNAMEHEADERS,0))),(IF("17"=(INDEX(ALLCLASSDATA,MATCH("MediumTrained",CLASSFEATUREHEADERS,0),MATCH($A350,CLASSNAMEHEADERS,0))),(INDEX(ALLCLASSDATA,MATCH("MediumTrained",CLASSFEATUREHEADERS,0),MATCH(($A350 &amp; "Points"),CLASSNAMEHEADERS,0))),"")))))))))}</f>
        <v>MEDIUML17</v>
      </c>
      <c r="X349" s="223"/>
      <c r="Y349" s="223" t="str">
        <f t="array" ref="Y349:Y350">{"MEDIUML19";((IF("19"=(INDEX(ALLCLASSDATA,MATCH("MediumLegendary",CLASSFEATUREHEADERS,0),MATCH($A350,CLASSNAMEHEADERS,0))),(INDEX(ALLCLASSDATA,MATCH("MediumLegendary",CLASSFEATUREHEADERS,0),MATCH(($A350 &amp; "Points"),CLASSNAMEHEADERS,0))),(IF("19"=(INDEX(ALLCLASSDATA,MATCH("MediumMaster",CLASSFEATUREHEADERS,0),MATCH($A350,CLASSNAMEHEADERS,0))),(INDEX(ALLCLASSDATA,MATCH("MediumMaster",CLASSFEATUREHEADERS,0),MATCH(($A350 &amp; "Points"),CLASSNAMEHEADERS,0))),(IF("19"=(INDEX(ALLCLASSDATA,MATCH("MediumExpert",CLASSFEATUREHEADERS,0),MATCH($A350,CLASSNAMEHEADERS,0))),(INDEX(ALLCLASSDATA,MATCH("MediumExpert",CLASSFEATUREHEADERS,0),MATCH(($A350 &amp; "Points"),CLASSNAMEHEADERS,0))),(IF("19"=(INDEX(ALLCLASSDATA,MATCH("MediumTrained",CLASSFEATUREHEADERS,0),MATCH($A350,CLASSNAMEHEADERS,0))),(INDEX(ALLCLASSDATA,MATCH("MediumTrained",CLASSFEATUREHEADERS,0),MATCH(($A350 &amp; "Points"),CLASSNAMEHEADERS,0))),"")))))))))}</f>
        <v>MEDIUML19</v>
      </c>
      <c r="Z349" s="223"/>
      <c r="AA349" s="76" t="str">
        <f t="array" ref="AA349:AA350">{"MEDIUM TOTAL";(IF(COUNTBLANK(F350:Z350)=17,"L",(IF(COUNTBLANK(F350:Z350)=18,"M",(IF(COUNTBLANK(F350:Z350)=19,"E",(IF(COUNTBLANK(F350:Z350)=20,"T",""))))))))}</f>
        <v>MEDIUM TOTAL</v>
      </c>
      <c r="AB349" s="76" t="str">
        <f t="array" ref="AB349:AB350">{"MEDIUM TOTAL";(sum(F350:Z350))}</f>
        <v>MEDIUM TOTAL</v>
      </c>
    </row>
    <row r="350">
      <c r="A350" s="48" t="s">
        <v>229</v>
      </c>
      <c r="B350" s="48" t="s">
        <v>418</v>
      </c>
      <c r="C350" s="48" t="s">
        <v>1900</v>
      </c>
      <c r="D350" s="48" t="s">
        <v>76</v>
      </c>
      <c r="E350" s="5" t="s">
        <v>603</v>
      </c>
      <c r="F350" s="47" t="s">
        <v>603</v>
      </c>
      <c r="G350" s="5" t="s">
        <v>603</v>
      </c>
      <c r="H350" s="5"/>
      <c r="I350" s="5" t="s">
        <v>603</v>
      </c>
      <c r="J350" s="5"/>
      <c r="K350" s="5" t="s">
        <v>603</v>
      </c>
      <c r="L350" s="5"/>
      <c r="M350" s="5" t="s">
        <v>603</v>
      </c>
      <c r="N350" s="5"/>
      <c r="O350" s="5" t="s">
        <v>603</v>
      </c>
      <c r="P350" s="5"/>
      <c r="Q350" s="5" t="s">
        <v>603</v>
      </c>
      <c r="R350" s="5"/>
      <c r="S350" s="5" t="s">
        <v>603</v>
      </c>
      <c r="T350" s="5"/>
      <c r="U350" s="5" t="s">
        <v>603</v>
      </c>
      <c r="V350" s="5"/>
      <c r="W350" s="5" t="s">
        <v>603</v>
      </c>
      <c r="X350" s="5"/>
      <c r="Y350" s="5" t="s">
        <v>603</v>
      </c>
      <c r="Z350" s="5"/>
      <c r="AA350" s="5" t="s">
        <v>603</v>
      </c>
      <c r="AB350" s="47">
        <v>0.0</v>
      </c>
    </row>
    <row r="351" hidden="1">
      <c r="A351" s="222" t="str">
        <f t="array" ref="A351:A352">{"FormulaRow38";(INDEX(CLASSLIST,A276,1))}</f>
        <v>FormulaRow38</v>
      </c>
      <c r="B351" s="222" t="str">
        <f t="array" ref="B351:B352">{"CLASSTYPE";((INDEX(ALLCLASSDATA,MATCH("ClassType",CLASSFEATUREHEADERS,0),MATCH($A352,CLASSNAMEHEADERS,0))))}</f>
        <v>CLASSTYPE</v>
      </c>
      <c r="C351" s="222" t="str">
        <f t="array" ref="C351:C352">{"DEFENSE";"Defense"}</f>
        <v>DEFENSE</v>
      </c>
      <c r="D351" s="222" t="str">
        <f t="array" ref="D351:D352">{"HEAVY";"Heavy"}</f>
        <v>HEAVY</v>
      </c>
      <c r="E351" s="223" t="str">
        <f t="array" ref="E351:E352">{"HEAVYINITIAL";((IF(G352=10,"T",(IF(G352=50,"E","")))))}</f>
        <v>HEAVYINITIAL</v>
      </c>
      <c r="F351" s="223" t="str">
        <f t="array" ref="F351:F352">{"HEAVYINITIALPTS";((IF("00"=(INDEX(ALLCLASSDATA,MATCH("HeavyLegendary",CLASSFEATUREHEADERS,0),MATCH($A352,CLASSNAMEHEADERS,0))),(INDEX(ALLCLASSDATA,MATCH("HeavyLegendary",CLASSFEATUREHEADERS,0),MATCH(($A352 &amp; "Points"),CLASSNAMEHEADERS,0))),(IF("00"=(INDEX(ALLCLASSDATA,MATCH("HeavyMaster",CLASSFEATUREHEADERS,0),MATCH($A352,CLASSNAMEHEADERS,0))),(INDEX(ALLCLASSDATA,MATCH("HeavyMaster",CLASSFEATUREHEADERS,0),MATCH(($A352 &amp; "Points"),CLASSNAMEHEADERS,0))),(IF("00"=(INDEX(ALLCLASSDATA,MATCH("HeavyExpert",CLASSFEATUREHEADERS,0),MATCH($A352,CLASSNAMEHEADERS,0))),(INDEX(ALLCLASSDATA,MATCH("HeavyExpert",CLASSFEATUREHEADERS,0),MATCH(($A352 &amp; "Points"),CLASSNAMEHEADERS,0))),(IF("00"=(INDEX(ALLCLASSDATA,MATCH("HeavyTrained",CLASSFEATUREHEADERS,0),MATCH($A352,CLASSNAMEHEADERS,0))),(INDEX(ALLCLASSDATA,MATCH("HeavyTrained",CLASSFEATUREHEADERS,0),MATCH(($A352 &amp; "Points"),CLASSNAMEHEADERS,0))),"")))))))))}</f>
        <v>HEAVYINITIALPTS</v>
      </c>
      <c r="G351" s="223" t="str">
        <f t="array" ref="G351:G352">{"HEAVYL01";((IF("01"=(INDEX(ALLCLASSDATA,MATCH("HeavyLegendary",CLASSFEATUREHEADERS,0),MATCH($A352,CLASSNAMEHEADERS,0))),(INDEX(ALLCLASSDATA,MATCH("HeavyLegendary",CLASSFEATUREHEADERS,0),MATCH(($A352 &amp; "Points"),CLASSNAMEHEADERS,0))),(IF("01"=(INDEX(ALLCLASSDATA,MATCH("HeavyMaster",CLASSFEATUREHEADERS,0),MATCH($A352,CLASSNAMEHEADERS,0))),(INDEX(ALLCLASSDATA,MATCH("HeavyMaster",CLASSFEATUREHEADERS,0),MATCH(($A352 &amp; "Points"),CLASSNAMEHEADERS,0))),(IF("01"=(INDEX(ALLCLASSDATA,MATCH("HeavyExpert",CLASSFEATUREHEADERS,0),MATCH($A352,CLASSNAMEHEADERS,0))),(INDEX(ALLCLASSDATA,MATCH("HeavyExpert",CLASSFEATUREHEADERS,0),MATCH(($A352 &amp; "Points"),CLASSNAMEHEADERS,0))),(IF("01"=(INDEX(ALLCLASSDATA,MATCH("HeavyTrained",CLASSFEATUREHEADERS,0),MATCH($A352,CLASSNAMEHEADERS,0))),(INDEX(ALLCLASSDATA,MATCH("HeavyTrained",CLASSFEATUREHEADERS,0),MATCH(($A352 &amp; "Points"),CLASSNAMEHEADERS,0))),"")))))))))}</f>
        <v>HEAVYL01</v>
      </c>
      <c r="H351" s="223"/>
      <c r="I351" s="223" t="str">
        <f t="array" ref="I351:I352">{"HEAVYL03";((IF("03"=(INDEX(ALLCLASSDATA,MATCH("HeavyLegendary",CLASSFEATUREHEADERS,0),MATCH($A352,CLASSNAMEHEADERS,0))),(INDEX(ALLCLASSDATA,MATCH("HeavyLegendary",CLASSFEATUREHEADERS,0),MATCH(($A352 &amp; "Points"),CLASSNAMEHEADERS,0))),(IF("03"=(INDEX(ALLCLASSDATA,MATCH("HeavyMaster",CLASSFEATUREHEADERS,0),MATCH($A352,CLASSNAMEHEADERS,0))),(INDEX(ALLCLASSDATA,MATCH("HeavyMaster",CLASSFEATUREHEADERS,0),MATCH(($A352 &amp; "Points"),CLASSNAMEHEADERS,0))),(IF("03"=(INDEX(ALLCLASSDATA,MATCH("HeavyExpert",CLASSFEATUREHEADERS,0),MATCH($A352,CLASSNAMEHEADERS,0))),(INDEX(ALLCLASSDATA,MATCH("HeavyExpert",CLASSFEATUREHEADERS,0),MATCH(($A352 &amp; "Points"),CLASSNAMEHEADERS,0))),(IF("03"=(INDEX(ALLCLASSDATA,MATCH("HeavyTrained",CLASSFEATUREHEADERS,0),MATCH($A352,CLASSNAMEHEADERS,0))),(INDEX(ALLCLASSDATA,MATCH("HeavyTrained",CLASSFEATUREHEADERS,0),MATCH(($A352 &amp; "Points"),CLASSNAMEHEADERS,0))),"")))))))))}</f>
        <v>HEAVYL03</v>
      </c>
      <c r="J351" s="223"/>
      <c r="K351" s="223" t="str">
        <f t="array" ref="K351:K352">{"HEAVYL05";((IF("05"=(INDEX(ALLCLASSDATA,MATCH("HeavyLegendary",CLASSFEATUREHEADERS,0),MATCH($A352,CLASSNAMEHEADERS,0))),(INDEX(ALLCLASSDATA,MATCH("HeavyLegendary",CLASSFEATUREHEADERS,0),MATCH(($A352 &amp; "Points"),CLASSNAMEHEADERS,0))),(IF("05"=(INDEX(ALLCLASSDATA,MATCH("HeavyMaster",CLASSFEATUREHEADERS,0),MATCH($A352,CLASSNAMEHEADERS,0))),(INDEX(ALLCLASSDATA,MATCH("HeavyMaster",CLASSFEATUREHEADERS,0),MATCH(($A352 &amp; "Points"),CLASSNAMEHEADERS,0))),(IF("05"=(INDEX(ALLCLASSDATA,MATCH("HeavyExpert",CLASSFEATUREHEADERS,0),MATCH($A352,CLASSNAMEHEADERS,0))),(INDEX(ALLCLASSDATA,MATCH("HeavyExpert",CLASSFEATUREHEADERS,0),MATCH(($A352 &amp; "Points"),CLASSNAMEHEADERS,0))),(IF("05"=(INDEX(ALLCLASSDATA,MATCH("HeavyTrained",CLASSFEATUREHEADERS,0),MATCH($A352,CLASSNAMEHEADERS,0))),(INDEX(ALLCLASSDATA,MATCH("HeavyTrained",CLASSFEATUREHEADERS,0),MATCH(($A352 &amp; "Points"),CLASSNAMEHEADERS,0))),"")))))))))}</f>
        <v>HEAVYL05</v>
      </c>
      <c r="L351" s="223"/>
      <c r="M351" s="223" t="str">
        <f t="array" ref="M351:M352">{"HEAVYL07";((IF("07"=(INDEX(ALLCLASSDATA,MATCH("HeavyLegendary",CLASSFEATUREHEADERS,0),MATCH($A352,CLASSNAMEHEADERS,0))),(INDEX(ALLCLASSDATA,MATCH("HeavyLegendary",CLASSFEATUREHEADERS,0),MATCH(($A352 &amp; "Points"),CLASSNAMEHEADERS,0))),(IF("07"=(INDEX(ALLCLASSDATA,MATCH("HeavyMaster",CLASSFEATUREHEADERS,0),MATCH($A352,CLASSNAMEHEADERS,0))),(INDEX(ALLCLASSDATA,MATCH("HeavyMaster",CLASSFEATUREHEADERS,0),MATCH(($A352 &amp; "Points"),CLASSNAMEHEADERS,0))),(IF("07"=(INDEX(ALLCLASSDATA,MATCH("HeavyExpert",CLASSFEATUREHEADERS,0),MATCH($A352,CLASSNAMEHEADERS,0))),(INDEX(ALLCLASSDATA,MATCH("HeavyExpert",CLASSFEATUREHEADERS,0),MATCH(($A352 &amp; "Points"),CLASSNAMEHEADERS,0))),(IF("07"=(INDEX(ALLCLASSDATA,MATCH("HeavyTrained",CLASSFEATUREHEADERS,0),MATCH($A352,CLASSNAMEHEADERS,0))),(INDEX(ALLCLASSDATA,MATCH("HeavyTrained",CLASSFEATUREHEADERS,0),MATCH(($A352 &amp; "Points"),CLASSNAMEHEADERS,0))),"")))))))))}</f>
        <v>HEAVYL07</v>
      </c>
      <c r="N351" s="223"/>
      <c r="O351" s="223" t="str">
        <f t="array" ref="O351:O352">{"HEAVYL09";((IF("09"=(INDEX(ALLCLASSDATA,MATCH("HeavyLegendary",CLASSFEATUREHEADERS,0),MATCH($A352,CLASSNAMEHEADERS,0))),(INDEX(ALLCLASSDATA,MATCH("HeavyLegendary",CLASSFEATUREHEADERS,0),MATCH(($A352 &amp; "Points"),CLASSNAMEHEADERS,0))),(IF("09"=(INDEX(ALLCLASSDATA,MATCH("HeavyMaster",CLASSFEATUREHEADERS,0),MATCH($A352,CLASSNAMEHEADERS,0))),(INDEX(ALLCLASSDATA,MATCH("HeavyMaster",CLASSFEATUREHEADERS,0),MATCH(($A352 &amp; "Points"),CLASSNAMEHEADERS,0))),(IF("09"=(INDEX(ALLCLASSDATA,MATCH("HeavyExpert",CLASSFEATUREHEADERS,0),MATCH($A352,CLASSNAMEHEADERS,0))),(INDEX(ALLCLASSDATA,MATCH("HeavyExpert",CLASSFEATUREHEADERS,0),MATCH(($A352 &amp; "Points"),CLASSNAMEHEADERS,0))),(IF("09"=(INDEX(ALLCLASSDATA,MATCH("HeavyTrained",CLASSFEATUREHEADERS,0),MATCH($A352,CLASSNAMEHEADERS,0))),(INDEX(ALLCLASSDATA,MATCH("HeavyTrained",CLASSFEATUREHEADERS,0),MATCH(($A352 &amp; "Points"),CLASSNAMEHEADERS,0))),"")))))))))}</f>
        <v>HEAVYL09</v>
      </c>
      <c r="P351" s="223"/>
      <c r="Q351" s="223" t="str">
        <f t="array" ref="Q351:Q352">{"HEAVYL11";((IF("11"=(INDEX(ALLCLASSDATA,MATCH("HeavyLegendary",CLASSFEATUREHEADERS,0),MATCH($A352,CLASSNAMEHEADERS,0))),(INDEX(ALLCLASSDATA,MATCH("HeavyLegendary",CLASSFEATUREHEADERS,0),MATCH(($A352 &amp; "Points"),CLASSNAMEHEADERS,0))),(IF("11"=(INDEX(ALLCLASSDATA,MATCH("HeavyMaster",CLASSFEATUREHEADERS,0),MATCH($A352,CLASSNAMEHEADERS,0))),(INDEX(ALLCLASSDATA,MATCH("HeavyMaster",CLASSFEATUREHEADERS,0),MATCH(($A352 &amp; "Points"),CLASSNAMEHEADERS,0))),(IF("11"=(INDEX(ALLCLASSDATA,MATCH("HeavyExpert",CLASSFEATUREHEADERS,0),MATCH($A352,CLASSNAMEHEADERS,0))),(INDEX(ALLCLASSDATA,MATCH("HeavyExpert",CLASSFEATUREHEADERS,0),MATCH(($A352 &amp; "Points"),CLASSNAMEHEADERS,0))),(IF("11"=(INDEX(ALLCLASSDATA,MATCH("HeavyTrained",CLASSFEATUREHEADERS,0),MATCH($A352,CLASSNAMEHEADERS,0))),(INDEX(ALLCLASSDATA,MATCH("HeavyTrained",CLASSFEATUREHEADERS,0),MATCH(($A352 &amp; "Points"),CLASSNAMEHEADERS,0))),"")))))))))}</f>
        <v>HEAVYL11</v>
      </c>
      <c r="R351" s="223"/>
      <c r="S351" s="223" t="str">
        <f t="array" ref="S351:S352">{"HEAVYL13";((IF("13"=(INDEX(ALLCLASSDATA,MATCH("HeavyLegendary",CLASSFEATUREHEADERS,0),MATCH($A352,CLASSNAMEHEADERS,0))),(INDEX(ALLCLASSDATA,MATCH("HeavyLegendary",CLASSFEATUREHEADERS,0),MATCH(($A352 &amp; "Points"),CLASSNAMEHEADERS,0))),(IF("13"=(INDEX(ALLCLASSDATA,MATCH("HeavyMaster",CLASSFEATUREHEADERS,0),MATCH($A352,CLASSNAMEHEADERS,0))),(INDEX(ALLCLASSDATA,MATCH("HeavyMaster",CLASSFEATUREHEADERS,0),MATCH(($A352 &amp; "Points"),CLASSNAMEHEADERS,0))),(IF("13"=(INDEX(ALLCLASSDATA,MATCH("HeavyExpert",CLASSFEATUREHEADERS,0),MATCH($A352,CLASSNAMEHEADERS,0))),(INDEX(ALLCLASSDATA,MATCH("HeavyExpert",CLASSFEATUREHEADERS,0),MATCH(($A352 &amp; "Points"),CLASSNAMEHEADERS,0))),(IF("13"=(INDEX(ALLCLASSDATA,MATCH("HeavyTrained",CLASSFEATUREHEADERS,0),MATCH($A352,CLASSNAMEHEADERS,0))),(INDEX(ALLCLASSDATA,MATCH("HeavyTrained",CLASSFEATUREHEADERS,0),MATCH(($A352 &amp; "Points"),CLASSNAMEHEADERS,0))),"")))))))))}</f>
        <v>HEAVYL13</v>
      </c>
      <c r="T351" s="223"/>
      <c r="U351" s="223" t="str">
        <f t="array" ref="U351:U352">{"HEAVYL15";((IF("15"=(INDEX(ALLCLASSDATA,MATCH("HeavyLegendary",CLASSFEATUREHEADERS,0),MATCH($A352,CLASSNAMEHEADERS,0))),(INDEX(ALLCLASSDATA,MATCH("HeavyLegendary",CLASSFEATUREHEADERS,0),MATCH(($A352 &amp; "Points"),CLASSNAMEHEADERS,0))),(IF("15"=(INDEX(ALLCLASSDATA,MATCH("HeavyMaster",CLASSFEATUREHEADERS,0),MATCH($A352,CLASSNAMEHEADERS,0))),(INDEX(ALLCLASSDATA,MATCH("HeavyMaster",CLASSFEATUREHEADERS,0),MATCH(($A352 &amp; "Points"),CLASSNAMEHEADERS,0))),(IF("15"=(INDEX(ALLCLASSDATA,MATCH("HeavyExpert",CLASSFEATUREHEADERS,0),MATCH($A352,CLASSNAMEHEADERS,0))),(INDEX(ALLCLASSDATA,MATCH("HeavyExpert",CLASSFEATUREHEADERS,0),MATCH(($A352 &amp; "Points"),CLASSNAMEHEADERS,0))),(IF("15"=(INDEX(ALLCLASSDATA,MATCH("HeavyTrained",CLASSFEATUREHEADERS,0),MATCH($A352,CLASSNAMEHEADERS,0))),(INDEX(ALLCLASSDATA,MATCH("HeavyTrained",CLASSFEATUREHEADERS,0),MATCH(($A352 &amp; "Points"),CLASSNAMEHEADERS,0))),"")))))))))}</f>
        <v>HEAVYL15</v>
      </c>
      <c r="V351" s="223"/>
      <c r="W351" s="223" t="str">
        <f t="array" ref="W351:W352">{"HEAVYL17";((IF("17"=(INDEX(ALLCLASSDATA,MATCH("HeavyLegendary",CLASSFEATUREHEADERS,0),MATCH($A352,CLASSNAMEHEADERS,0))),(INDEX(ALLCLASSDATA,MATCH("HeavyLegendary",CLASSFEATUREHEADERS,0),MATCH(($A352 &amp; "Points"),CLASSNAMEHEADERS,0))),(IF("17"=(INDEX(ALLCLASSDATA,MATCH("HeavyMaster",CLASSFEATUREHEADERS,0),MATCH($A352,CLASSNAMEHEADERS,0))),(INDEX(ALLCLASSDATA,MATCH("HeavyMaster",CLASSFEATUREHEADERS,0),MATCH(($A352 &amp; "Points"),CLASSNAMEHEADERS,0))),(IF("17"=(INDEX(ALLCLASSDATA,MATCH("HeavyExpert",CLASSFEATUREHEADERS,0),MATCH($A352,CLASSNAMEHEADERS,0))),(INDEX(ALLCLASSDATA,MATCH("HeavyExpert",CLASSFEATUREHEADERS,0),MATCH(($A352 &amp; "Points"),CLASSNAMEHEADERS,0))),(IF("17"=(INDEX(ALLCLASSDATA,MATCH("HeavyTrained",CLASSFEATUREHEADERS,0),MATCH($A352,CLASSNAMEHEADERS,0))),(INDEX(ALLCLASSDATA,MATCH("HeavyTrained",CLASSFEATUREHEADERS,0),MATCH(($A352 &amp; "Points"),CLASSNAMEHEADERS,0))),"")))))))))}</f>
        <v>HEAVYL17</v>
      </c>
      <c r="X351" s="223"/>
      <c r="Y351" s="223" t="str">
        <f t="array" ref="Y351:Y352">{"HEAVYL19";((IF("19"=(INDEX(ALLCLASSDATA,MATCH("HeavyLegendary",CLASSFEATUREHEADERS,0),MATCH($A352,CLASSNAMEHEADERS,0))),(INDEX(ALLCLASSDATA,MATCH("HeavyLegendary",CLASSFEATUREHEADERS,0),MATCH(($A352 &amp; "Points"),CLASSNAMEHEADERS,0))),(IF("19"=(INDEX(ALLCLASSDATA,MATCH("HeavyMaster",CLASSFEATUREHEADERS,0),MATCH($A352,CLASSNAMEHEADERS,0))),(INDEX(ALLCLASSDATA,MATCH("HeavyMaster",CLASSFEATUREHEADERS,0),MATCH(($A352 &amp; "Points"),CLASSNAMEHEADERS,0))),(IF("19"=(INDEX(ALLCLASSDATA,MATCH("HeavyExpert",CLASSFEATUREHEADERS,0),MATCH($A352,CLASSNAMEHEADERS,0))),(INDEX(ALLCLASSDATA,MATCH("HeavyExpert",CLASSFEATUREHEADERS,0),MATCH(($A352 &amp; "Points"),CLASSNAMEHEADERS,0))),(IF("19"=(INDEX(ALLCLASSDATA,MATCH("HeavyTrained",CLASSFEATUREHEADERS,0),MATCH($A352,CLASSNAMEHEADERS,0))),(INDEX(ALLCLASSDATA,MATCH("HeavyTrained",CLASSFEATUREHEADERS,0),MATCH(($A352 &amp; "Points"),CLASSNAMEHEADERS,0))),"")))))))))}</f>
        <v>HEAVYL19</v>
      </c>
      <c r="Z351" s="223"/>
      <c r="AA351" s="76" t="str">
        <f t="array" ref="AA351:AA352">{"HEAVY TOTAL";(IF(COUNTBLANK(F352:Z352)=17,"L",(IF(COUNTBLANK(F352:Z352)=18,"M",(IF(COUNTBLANK(F352:Z352)=19,"E",(IF(COUNTBLANK(F352:Z352)=20,"T",""))))))))}</f>
        <v>HEAVY TOTAL</v>
      </c>
      <c r="AB351" s="76" t="str">
        <f t="array" ref="AB351:AB352">{"HEAVY TOTAL";(sum(F352:Z352))}</f>
        <v>HEAVY TOTAL</v>
      </c>
    </row>
    <row r="352">
      <c r="A352" s="48" t="s">
        <v>229</v>
      </c>
      <c r="B352" s="48" t="s">
        <v>418</v>
      </c>
      <c r="C352" s="97" t="s">
        <v>1900</v>
      </c>
      <c r="D352" s="97" t="s">
        <v>533</v>
      </c>
      <c r="E352" s="98" t="s">
        <v>603</v>
      </c>
      <c r="F352" s="132" t="s">
        <v>603</v>
      </c>
      <c r="G352" s="98" t="s">
        <v>603</v>
      </c>
      <c r="H352" s="98"/>
      <c r="I352" s="98" t="s">
        <v>603</v>
      </c>
      <c r="J352" s="98"/>
      <c r="K352" s="98" t="s">
        <v>603</v>
      </c>
      <c r="L352" s="98"/>
      <c r="M352" s="98" t="s">
        <v>603</v>
      </c>
      <c r="N352" s="98"/>
      <c r="O352" s="98" t="s">
        <v>603</v>
      </c>
      <c r="P352" s="98"/>
      <c r="Q352" s="98" t="s">
        <v>603</v>
      </c>
      <c r="R352" s="98"/>
      <c r="S352" s="98" t="s">
        <v>603</v>
      </c>
      <c r="T352" s="98"/>
      <c r="U352" s="98" t="s">
        <v>603</v>
      </c>
      <c r="V352" s="98"/>
      <c r="W352" s="98" t="s">
        <v>603</v>
      </c>
      <c r="X352" s="98"/>
      <c r="Y352" s="98" t="s">
        <v>603</v>
      </c>
      <c r="Z352" s="98"/>
      <c r="AA352" s="5" t="s">
        <v>603</v>
      </c>
      <c r="AB352" s="47">
        <v>0.0</v>
      </c>
    </row>
    <row r="353" hidden="1">
      <c r="A353" s="222" t="str">
        <f t="array" ref="A353:A354">{"FormulaRow39";(INDEX(CLASSLIST,A276,1))}</f>
        <v>FormulaRow39</v>
      </c>
      <c r="B353" s="222" t="str">
        <f t="array" ref="B353:B354">{"CLASSTYPE";((INDEX(ALLCLASSDATA,MATCH("ClassType",CLASSFEATUREHEADERS,0),MATCH($A354,CLASSNAMEHEADERS,0))))}</f>
        <v>CLASSTYPE</v>
      </c>
      <c r="C353" s="222" t="str">
        <f t="array" ref="C353:C354">{"SPELL/ALCHEMY";((IF(INDEX(ALLCLASSDATA,MATCH("CasterType",CLASSFEATUREHEADERS,0),MATCH(($A354),CLASSNAMEHEADERS,0))="","",(IF(INDEX(ALLCLASSDATA,MATCH("CasterType",CLASSFEATUREHEADERS,0),MATCH(($A354),CLASSNAMEHEADERS,0))="Alchemy","Alchemy","Spells")))))}</f>
        <v>SPELL/ALCHEMY</v>
      </c>
      <c r="D353" s="222" t="str">
        <f t="array" ref="D353:D354">{"SPELLLIST";(IF(C354="Spells",((INDEX(ALLCLASSDATA,MATCH("CasterType",CLASSFEATUREHEADERS,0),MATCH(($A354),CLASSNAMEHEADERS,0))) &amp; ":" &amp; (INDEX(ALLCLASSDATA,MATCH("SpellList",CLASSFEATUREHEADERS,0),MATCH(($A354),CLASSNAMEHEADERS,0)))),""))}</f>
        <v>SPELLLIST</v>
      </c>
      <c r="E353" s="223" t="str">
        <f t="array" ref="E353:E354">{"SPL";(IF(C354="Spells","SPL:",""))}</f>
        <v>SPL</v>
      </c>
      <c r="F353" s="223" t="str">
        <f t="array" ref="F353:F354">{"CANTRIP/ALC";(IF(C354="Spells","C",(IF(C354="Alchemy","ALC:",""))))}</f>
        <v>CANTRIP/ALC</v>
      </c>
      <c r="G353" s="223" t="str">
        <f t="array" ref="G353:G354">{"SPELL/ALC L01";(IF(C354="Alchemy","L01",(IF(C354="Spells","S01",""))))}</f>
        <v>SPELL/ALC L01</v>
      </c>
      <c r="H353" s="223" t="str">
        <f t="array" ref="H353:H354">{"SPELL/ALC L02";(IF(C354="Alchemy","L02",(IF(C354="Spells","S01",""))))}</f>
        <v>SPELL/ALC L02</v>
      </c>
      <c r="I353" s="223" t="str">
        <f t="array" ref="I353:I354">{"SPELL/ALC L03";(IF(C354="Alchemy","L03",(IF(C354="Spells","S02",""))))}</f>
        <v>SPELL/ALC L03</v>
      </c>
      <c r="J353" s="223" t="str">
        <f t="array" ref="J353:J354">{"SPELL/ALC L04";(IF(C354="Alchemy","L04",(IF(C354="Spells","S02",""))))}</f>
        <v>SPELL/ALC L04</v>
      </c>
      <c r="K353" s="223" t="str">
        <f t="array" ref="K353:K354">{"SPELL/ALC L05";(IF(C354="Alchemy","L05",(IF(C354="Spells","S03",""))))}</f>
        <v>SPELL/ALC L05</v>
      </c>
      <c r="L353" s="223" t="str">
        <f t="array" ref="L353:L354">{"SPELL/ALC L06";(IF(C354="Alchemy","L06",(IF(C354="Spells","S03",""))))}</f>
        <v>SPELL/ALC L06</v>
      </c>
      <c r="M353" s="223" t="str">
        <f t="array" ref="M353:M354">{"SPELL/ALC L07";(IF(C354="Alchemy","L07",(IF(C354="Spells","S04",""))))}</f>
        <v>SPELL/ALC L07</v>
      </c>
      <c r="N353" s="223" t="str">
        <f t="array" ref="N353:N354">{"SPELL/ALC L08";(IF(C354="Alchemy","L08",(IF(C354="Spells","S04",""))))}</f>
        <v>SPELL/ALC L08</v>
      </c>
      <c r="O353" s="223" t="str">
        <f t="array" ref="O353:O354">{"SPELL/ALC L09";(IF(C354="Alchemy","L09",(IF(C354="Spells","S05",""))))}</f>
        <v>SPELL/ALC L09</v>
      </c>
      <c r="P353" s="223" t="str">
        <f t="array" ref="P353:P354">{"SPELL/ALC L10";(IF(C354="Alchemy","L10",(IF(C354="Spells","S05",""))))}</f>
        <v>SPELL/ALC L10</v>
      </c>
      <c r="Q353" s="223" t="str">
        <f t="array" ref="Q353:Q354">{"SPELL/ALC L11";(IF(C354="Alchemy","L11",(IF(C354="Spells","S06",""))))}</f>
        <v>SPELL/ALC L11</v>
      </c>
      <c r="R353" s="223" t="str">
        <f t="array" ref="R353:R354">{"SPELL/ALC L12";(IF(C354="Alchemy","L12",(IF(C354="Spells","S06",""))))}</f>
        <v>SPELL/ALC L12</v>
      </c>
      <c r="S353" s="223" t="str">
        <f t="array" ref="S353:S354">{"SPELL/ALC L13";(IF(C354="Alchemy","L13",(IF(C354="Spells","S07",""))))}</f>
        <v>SPELL/ALC L13</v>
      </c>
      <c r="T353" s="223" t="str">
        <f t="array" ref="T353:T354">{"SPELL/ALC L14";(IF(C354="Alchemy","L14",(IF(C354="Spells","S07",""))))}</f>
        <v>SPELL/ALC L14</v>
      </c>
      <c r="U353" s="223" t="str">
        <f t="array" ref="U353:U354">{"SPELL/ALC L15";(IF(C354="Alchemy","L15",(IF(C354="Spells","S08",""))))}</f>
        <v>SPELL/ALC L15</v>
      </c>
      <c r="V353" s="223" t="str">
        <f t="array" ref="V353:V354">{"SPELL/ALC L16";(IF(C354="Alchemy","L16",(IF(C354="Spells","S08",""))))}</f>
        <v>SPELL/ALC L16</v>
      </c>
      <c r="W353" s="223" t="str">
        <f t="array" ref="W353:W354">{"SPELL/ALC L17";(IF(C354="Alchemy","L17",(IF(C354="Spells","S09",""))))}</f>
        <v>SPELL/ALC L17</v>
      </c>
      <c r="X353" s="223" t="str">
        <f t="array" ref="X353:X354">{"SPELL/ALC L18";(IF(C354="Alchemy","L18",(IF(C354="Spells","S09",""))))}</f>
        <v>SPELL/ALC L18</v>
      </c>
      <c r="Y353" s="223" t="str">
        <f t="array" ref="Y353:Y354">{"SPELL/ALC L19";(IF(C354="Alchemy","L19",(IF(C354="Spells","S10",""))))}</f>
        <v>SPELL/ALC L19</v>
      </c>
      <c r="Z353" s="223" t="str">
        <f t="array" ref="Z353:Z354">{"SPELL/ALC L20";(IF(C354="Alchemy","L20",(IF(C354="Spells","S10",""))))}</f>
        <v>SPELL/ALC L20</v>
      </c>
      <c r="AA353" s="76"/>
      <c r="AB353" s="76"/>
    </row>
    <row r="354">
      <c r="A354" s="48" t="s">
        <v>229</v>
      </c>
      <c r="B354" s="48" t="s">
        <v>418</v>
      </c>
      <c r="C354" s="48" t="s">
        <v>1901</v>
      </c>
      <c r="D354" s="48" t="s">
        <v>1920</v>
      </c>
      <c r="E354" s="278" t="s">
        <v>1903</v>
      </c>
      <c r="F354" s="114" t="s">
        <v>653</v>
      </c>
      <c r="G354" s="279" t="s">
        <v>1536</v>
      </c>
      <c r="H354" s="28" t="s">
        <v>1536</v>
      </c>
      <c r="I354" s="28" t="s">
        <v>1542</v>
      </c>
      <c r="J354" s="28" t="s">
        <v>1542</v>
      </c>
      <c r="K354" s="28" t="s">
        <v>1545</v>
      </c>
      <c r="L354" s="28" t="s">
        <v>1545</v>
      </c>
      <c r="M354" s="28" t="s">
        <v>1548</v>
      </c>
      <c r="N354" s="28" t="s">
        <v>1548</v>
      </c>
      <c r="O354" s="28" t="s">
        <v>1553</v>
      </c>
      <c r="P354" s="28" t="s">
        <v>1553</v>
      </c>
      <c r="Q354" s="28" t="s">
        <v>1556</v>
      </c>
      <c r="R354" s="28" t="s">
        <v>1556</v>
      </c>
      <c r="S354" s="28" t="s">
        <v>1559</v>
      </c>
      <c r="T354" s="28" t="s">
        <v>1559</v>
      </c>
      <c r="U354" s="28" t="s">
        <v>1562</v>
      </c>
      <c r="V354" s="28" t="s">
        <v>1562</v>
      </c>
      <c r="W354" s="28" t="s">
        <v>1565</v>
      </c>
      <c r="X354" s="28" t="s">
        <v>1565</v>
      </c>
      <c r="Y354" s="28" t="s">
        <v>1568</v>
      </c>
      <c r="Z354" s="28" t="s">
        <v>1568</v>
      </c>
      <c r="AA354" s="5"/>
      <c r="AB354" s="47"/>
    </row>
    <row r="355" hidden="1">
      <c r="A355" s="222" t="str">
        <f t="array" ref="A355:A356">{"FormulaRow40";(INDEX(CLASSLIST,A276,1))}</f>
        <v>FormulaRow40</v>
      </c>
      <c r="B355" s="222" t="str">
        <f t="array" ref="B355:B356">{"CLASSTYPE";((INDEX(ALLCLASSDATA,MATCH("ClassType",CLASSFEATUREHEADERS,0),MATCH($A356,CLASSNAMEHEADERS,0))))}</f>
        <v>CLASSTYPE</v>
      </c>
      <c r="C355" s="222" t="str">
        <f t="array" ref="C355:C356">{"SPELL/ALCHEMY";((IF(INDEX(ALLCLASSDATA,MATCH("CasterType",CLASSFEATUREHEADERS,0),MATCH(($A356),CLASSNAMEHEADERS,0))="","",(IF(INDEX(ALLCLASSDATA,MATCH("CasterType",CLASSFEATUREHEADERS,0),MATCH(($A356),CLASSNAMEHEADERS,0))="Alchemy","","Spells")))))}</f>
        <v>SPELL/ALCHEMY</v>
      </c>
      <c r="D355" s="222" t="str">
        <f t="array" ref="D355:D356">{"SPELLLIST";(IF(C356="Spells",((INDEX(ALLCLASSDATA,MATCH("CasterType",CLASSFEATUREHEADERS,0),MATCH(($A356),CLASSNAMEHEADERS,0))) &amp; ":" &amp; (INDEX(ALLCLASSDATA,MATCH("SpellList",CLASSFEATUREHEADERS,0),MATCH(($A356),CLASSNAMEHEADERS,0)))),""))}</f>
        <v>SPELLLIST</v>
      </c>
      <c r="E355" s="222" t="str">
        <f t="array" ref="E355:E356">{"SLOTCOST";(IF(C356="Spells","SlotCost:",""))}</f>
        <v>SLOTCOST</v>
      </c>
      <c r="F355" s="222" t="str">
        <f t="array" ref="F355:F356">{"SLOTCOST CANTRIP";(INDEX(ALLCLASSDATA,MATCH("CantripSlots-L00",CLASSFEATUREHEADERS,0),MATCH(($A356 &amp; "Points"),CLASSNAMEHEADERS,0)))}</f>
        <v>SLOTCOST CANTRIP</v>
      </c>
      <c r="G355" s="222" t="str">
        <f t="array" ref="G355:G356">{"SLOTCOST L01";(INDEX(ALLCLASSDATA,MATCH("SPL01-L01",CLASSFEATUREHEADERS,0),MATCH(($A356 &amp; "Points"),CLASSNAMEHEADERS,0)))}</f>
        <v>SLOTCOST L01</v>
      </c>
      <c r="H355" s="222" t="str">
        <f t="array" ref="H355:H356">{"SLOTCOST L02";(INDEX(ALLCLASSDATA,MATCH("SPL01-L02",CLASSFEATUREHEADERS,0),MATCH(($A356 &amp; "Points"),CLASSNAMEHEADERS,0)))}</f>
        <v>#REF!</v>
      </c>
      <c r="I355" s="222" t="str">
        <f t="array" ref="I355:I356">{"SLOTCOST L03";(INDEX(ALLCLASSDATA,MATCH("SPL02-L03",CLASSFEATUREHEADERS,0),MATCH(($A356 &amp; "Points"),CLASSNAMEHEADERS,0)))}</f>
        <v>SLOTCOST L03</v>
      </c>
      <c r="J355" s="222" t="str">
        <f t="array" ref="J355:J356">{"SLOTCOST L04";(INDEX(ALLCLASSDATA,MATCH("SPL02-L04",CLASSFEATUREHEADERS,0),MATCH(($A356 &amp; "Points"),CLASSNAMEHEADERS,0)))}</f>
        <v>#REF!</v>
      </c>
      <c r="K355" s="222" t="str">
        <f t="array" ref="K355:K356">{"SLOTCOST L05";(INDEX(ALLCLASSDATA,MATCH("SPL03-L05",CLASSFEATUREHEADERS,0),MATCH(($A356 &amp; "Points"),CLASSNAMEHEADERS,0)))}</f>
        <v>SLOTCOST L05</v>
      </c>
      <c r="L355" s="222" t="str">
        <f t="array" ref="L355:L356">{"SLOTCOST L06";(INDEX(ALLCLASSDATA,MATCH("SPL03-L06",CLASSFEATUREHEADERS,0),MATCH(($A356 &amp; "Points"),CLASSNAMEHEADERS,0)))}</f>
        <v>#REF!</v>
      </c>
      <c r="M355" s="222" t="str">
        <f t="array" ref="M355:M356">{"SLOTCOST L07";(INDEX(ALLCLASSDATA,MATCH("SPL04-L07",CLASSFEATUREHEADERS,0),MATCH(($A356 &amp; "Points"),CLASSNAMEHEADERS,0)))}</f>
        <v>SLOTCOST L07</v>
      </c>
      <c r="N355" s="222" t="str">
        <f t="array" ref="N355:N356">{"SLOTCOST L08";(INDEX(ALLCLASSDATA,MATCH("SPL04-L08",CLASSFEATUREHEADERS,0),MATCH(($A356 &amp; "Points"),CLASSNAMEHEADERS,0)))}</f>
        <v>#REF!</v>
      </c>
      <c r="O355" s="222" t="str">
        <f t="array" ref="O355:O356">{"SLOTCOST L09";(INDEX(ALLCLASSDATA,MATCH("SPL05-L09",CLASSFEATUREHEADERS,0),MATCH(($A356 &amp; "Points"),CLASSNAMEHEADERS,0)))}</f>
        <v>SLOTCOST L09</v>
      </c>
      <c r="P355" s="222" t="str">
        <f t="array" ref="P355:P356">{"SLOTCOST L10";(INDEX(ALLCLASSDATA,MATCH("SPL05-L10",CLASSFEATUREHEADERS,0),MATCH(($A356 &amp; "Points"),CLASSNAMEHEADERS,0)))}</f>
        <v>#REF!</v>
      </c>
      <c r="Q355" s="222" t="str">
        <f t="array" ref="Q355:Q356">{"SLOTCOST L11";(INDEX(ALLCLASSDATA,MATCH("SPL06-L11",CLASSFEATUREHEADERS,0),MATCH(($A356 &amp; "Points"),CLASSNAMEHEADERS,0)))}</f>
        <v>SLOTCOST L11</v>
      </c>
      <c r="R355" s="222" t="str">
        <f t="array" ref="R355:R356">{"SLOTCOST L12";(INDEX(ALLCLASSDATA,MATCH("SPL06-L12",CLASSFEATUREHEADERS,0),MATCH(($A356 &amp; "Points"),CLASSNAMEHEADERS,0)))}</f>
        <v>#REF!</v>
      </c>
      <c r="S355" s="222" t="str">
        <f t="array" ref="S355:S356">{"SLOTCOST L13";(INDEX(ALLCLASSDATA,MATCH("SPL07-L13",CLASSFEATUREHEADERS,0),MATCH(($A356 &amp; "Points"),CLASSNAMEHEADERS,0)))}</f>
        <v>SLOTCOST L13</v>
      </c>
      <c r="T355" s="222" t="str">
        <f t="array" ref="T355:T356">{"SLOTCOST L14";(INDEX(ALLCLASSDATA,MATCH("SPL07-L14",CLASSFEATUREHEADERS,0),MATCH(($A356 &amp; "Points"),CLASSNAMEHEADERS,0)))}</f>
        <v>#REF!</v>
      </c>
      <c r="U355" s="222" t="str">
        <f t="array" ref="U355:U356">{"SLOTCOST L15";(INDEX(ALLCLASSDATA,MATCH("SPL08-L15",CLASSFEATUREHEADERS,0),MATCH(($A356 &amp; "Points"),CLASSNAMEHEADERS,0)))}</f>
        <v>SLOTCOST L15</v>
      </c>
      <c r="V355" s="222" t="str">
        <f t="array" ref="V355:V356">{"SLOTCOST L16";(INDEX(ALLCLASSDATA,MATCH("SPL08-L16",CLASSFEATUREHEADERS,0),MATCH(($A356 &amp; "Points"),CLASSNAMEHEADERS,0)))}</f>
        <v>#REF!</v>
      </c>
      <c r="W355" s="222" t="str">
        <f t="array" ref="W355:W356">{"SLOTCOST L17";(INDEX(ALLCLASSDATA,MATCH("SPL09-L17",CLASSFEATUREHEADERS,0),MATCH(($A356 &amp; "Points"),CLASSNAMEHEADERS,0)))}</f>
        <v>SLOTCOST L17</v>
      </c>
      <c r="X355" s="222" t="str">
        <f t="array" ref="X355:X356">{"SLOTCOST L18";(INDEX(ALLCLASSDATA,MATCH("SPL09-L18",CLASSFEATUREHEADERS,0),MATCH(($A356 &amp; "Points"),CLASSNAMEHEADERS,0)))}</f>
        <v>#REF!</v>
      </c>
      <c r="Y355" s="222" t="str">
        <f t="array" ref="Y355:Y356">{"SLOTCOST L19";(INDEX(ALLCLASSDATA,MATCH("SPL10-L19",CLASSFEATUREHEADERS,0),MATCH(($A356 &amp; "Points"),CLASSNAMEHEADERS,0)))}</f>
        <v>SLOTCOST L19</v>
      </c>
      <c r="Z355" s="222" t="str">
        <f t="array" ref="Z355:Z356">{"SLOTCOST L20";(INDEX(ALLCLASSDATA,MATCH("SPL10-L20",CLASSFEATUREHEADERS,0),MATCH(($A356 &amp; "Points"),CLASSNAMEHEADERS,0)))}</f>
        <v>SLOTCOST L20</v>
      </c>
      <c r="AA355" s="76"/>
      <c r="AB355" s="76" t="str">
        <f t="array" ref="AB355:AB356">{"SLOT TOTAL";(sum(F356:Z356))}</f>
        <v>SLOT TOTAL</v>
      </c>
    </row>
    <row r="356">
      <c r="A356" s="48" t="s">
        <v>229</v>
      </c>
      <c r="B356" s="48" t="s">
        <v>418</v>
      </c>
      <c r="C356" s="48" t="s">
        <v>1901</v>
      </c>
      <c r="D356" s="48" t="s">
        <v>1920</v>
      </c>
      <c r="E356" s="278" t="s">
        <v>1904</v>
      </c>
      <c r="F356" s="47">
        <v>0.0</v>
      </c>
      <c r="G356" s="5">
        <v>30.0</v>
      </c>
      <c r="H356" s="48" t="s">
        <v>1905</v>
      </c>
      <c r="I356" s="5">
        <v>30.0</v>
      </c>
      <c r="J356" s="48" t="s">
        <v>1905</v>
      </c>
      <c r="K356" s="5">
        <v>30.0</v>
      </c>
      <c r="L356" s="48" t="s">
        <v>1905</v>
      </c>
      <c r="M356" s="5">
        <v>30.0</v>
      </c>
      <c r="N356" s="48" t="s">
        <v>1905</v>
      </c>
      <c r="O356" s="5">
        <v>30.0</v>
      </c>
      <c r="P356" s="48" t="s">
        <v>1905</v>
      </c>
      <c r="Q356" s="5">
        <v>30.0</v>
      </c>
      <c r="R356" s="48" t="s">
        <v>1905</v>
      </c>
      <c r="S356" s="5">
        <v>30.0</v>
      </c>
      <c r="T356" s="48" t="s">
        <v>1905</v>
      </c>
      <c r="U356" s="5">
        <v>30.0</v>
      </c>
      <c r="V356" s="48" t="s">
        <v>1905</v>
      </c>
      <c r="W356" s="5">
        <v>30.0</v>
      </c>
      <c r="X356" s="48" t="s">
        <v>1905</v>
      </c>
      <c r="Y356" s="5">
        <v>190.0</v>
      </c>
      <c r="Z356" s="5" t="s">
        <v>603</v>
      </c>
      <c r="AA356" s="5"/>
      <c r="AB356" s="47">
        <v>460.0</v>
      </c>
    </row>
    <row r="357" hidden="1">
      <c r="A357" s="222" t="str">
        <f t="array" ref="A357:A358">{"FormulaRow41";(INDEX(CLASSLIST,A276,1))}</f>
        <v>FormulaRow41</v>
      </c>
      <c r="B357" s="222" t="str">
        <f t="array" ref="B357:B358">{"CLASSTYPE";((INDEX(ALLCLASSDATA,MATCH("ClassType",CLASSFEATUREHEADERS,0),MATCH($A358,CLASSNAMEHEADERS,0))))}</f>
        <v>CLASSTYPE</v>
      </c>
      <c r="C357" s="222" t="str">
        <f t="array" ref="C357:C358">{"SPELL/ALCHEMY";((IF(INDEX(ALLCLASSDATA,MATCH("CasterType",CLASSFEATUREHEADERS,0),MATCH(($A358),CLASSNAMEHEADERS,0))="","",(IF(INDEX(ALLCLASSDATA,MATCH("CasterType",CLASSFEATUREHEADERS,0),MATCH(($A358),CLASSNAMEHEADERS,0))="Alchemy","Alchemy","Spells")))))}</f>
        <v>SPELL/ALCHEMY</v>
      </c>
      <c r="D357" s="222" t="str">
        <f t="array" ref="D357:D358">{"SPELLLIST";(IF(C358="Spells",((INDEX(ALLCLASSDATA,MATCH("CasterType",CLASSFEATUREHEADERS,0),MATCH(($A358),CLASSNAMEHEADERS,0))) &amp; ":" &amp; (INDEX(ALLCLASSDATA,MATCH("SpellList",CLASSFEATUREHEADERS,0),MATCH(($A358),CLASSNAMEHEADERS,0)))),""))}</f>
        <v>SPELLLIST</v>
      </c>
      <c r="E357" s="223" t="str">
        <f t="array" ref="E357:E358">{"LEARNEDCOST";(IF(C358="","","LearnCost:"))}</f>
        <v>LEARNEDCOST</v>
      </c>
      <c r="F357" s="223" t="str">
        <f t="array" ref="F357:F358">{"LEARNED CANTRIPS";(INDEX(ALLCLASSDATA,MATCH("CantripsLearned-L00",CLASSFEATUREHEADERS,0),MATCH(($A358 &amp; "Points"),CLASSNAMEHEADERS,0)))}</f>
        <v>LEARNED CANTRIPS</v>
      </c>
      <c r="G357" s="223" t="str">
        <f t="array" ref="G357:G358">{"LEARNED L01";(INDEX(ALLCLASSDATA,MATCH("Learned-L01",CLASSFEATUREHEADERS,0),MATCH(($A358 &amp; "Points"),CLASSNAMEHEADERS,0)))}</f>
        <v>LEARNED L01</v>
      </c>
      <c r="H357" s="223" t="str">
        <f t="array" ref="H357:H358">{"LEARNED L02";(INDEX(ALLCLASSDATA,MATCH("Learned-L02",CLASSFEATUREHEADERS,0),MATCH(($A358 &amp; "Points"),CLASSNAMEHEADERS,0)))}</f>
        <v>LEARNED L02</v>
      </c>
      <c r="I357" s="223" t="str">
        <f t="array" ref="I357:I358">{"LEARNED L03";(INDEX(ALLCLASSDATA,MATCH("Learned-L03",CLASSFEATUREHEADERS,0),MATCH(($A358 &amp; "Points"),CLASSNAMEHEADERS,0)))}</f>
        <v>LEARNED L03</v>
      </c>
      <c r="J357" s="223" t="str">
        <f t="array" ref="J357:J358">{"LEARNED L04";(INDEX(ALLCLASSDATA,MATCH("Learned-L04",CLASSFEATUREHEADERS,0),MATCH(($A358 &amp; "Points"),CLASSNAMEHEADERS,0)))}</f>
        <v>LEARNED L04</v>
      </c>
      <c r="K357" s="223" t="str">
        <f t="array" ref="K357:K358">{"LEARNED L05";(INDEX(ALLCLASSDATA,MATCH("Learned-L05",CLASSFEATUREHEADERS,0),MATCH(($A358 &amp; "Points"),CLASSNAMEHEADERS,0)))}</f>
        <v>LEARNED L05</v>
      </c>
      <c r="L357" s="223" t="str">
        <f t="array" ref="L357:L358">{"LEARNED L06";(INDEX(ALLCLASSDATA,MATCH("Learned-L06",CLASSFEATUREHEADERS,0),MATCH(($A358 &amp; "Points"),CLASSNAMEHEADERS,0)))}</f>
        <v>LEARNED L06</v>
      </c>
      <c r="M357" s="223" t="str">
        <f t="array" ref="M357:M358">{"LEARNED L07";(INDEX(ALLCLASSDATA,MATCH("Learned-L07",CLASSFEATUREHEADERS,0),MATCH(($A358 &amp; "Points"),CLASSNAMEHEADERS,0)))}</f>
        <v>LEARNED L07</v>
      </c>
      <c r="N357" s="223" t="str">
        <f t="array" ref="N357:N358">{"LEARNED L08";(INDEX(ALLCLASSDATA,MATCH("Learned-L08",CLASSFEATUREHEADERS,0),MATCH(($A358 &amp; "Points"),CLASSNAMEHEADERS,0)))}</f>
        <v>LEARNED L08</v>
      </c>
      <c r="O357" s="223" t="str">
        <f t="array" ref="O357:O358">{"LEARNED L09";(INDEX(ALLCLASSDATA,MATCH("Learned-L09",CLASSFEATUREHEADERS,0),MATCH(($A358 &amp; "Points"),CLASSNAMEHEADERS,0)))}</f>
        <v>LEARNED L09</v>
      </c>
      <c r="P357" s="223" t="str">
        <f t="array" ref="P357:P358">{"LEARNED L10";(INDEX(ALLCLASSDATA,MATCH("Learned-L10",CLASSFEATUREHEADERS,0),MATCH(($A358 &amp; "Points"),CLASSNAMEHEADERS,0)))}</f>
        <v>LEARNED L10</v>
      </c>
      <c r="Q357" s="223" t="str">
        <f t="array" ref="Q357:Q358">{"LEARNED L11";(INDEX(ALLCLASSDATA,MATCH("Learned-L11",CLASSFEATUREHEADERS,0),MATCH(($A358 &amp; "Points"),CLASSNAMEHEADERS,0)))}</f>
        <v>LEARNED L11</v>
      </c>
      <c r="R357" s="223" t="str">
        <f t="array" ref="R357:R358">{"LEARNED L12";(INDEX(ALLCLASSDATA,MATCH("Learned-L12",CLASSFEATUREHEADERS,0),MATCH(($A358 &amp; "Points"),CLASSNAMEHEADERS,0)))}</f>
        <v>LEARNED L12</v>
      </c>
      <c r="S357" s="223" t="str">
        <f t="array" ref="S357:S358">{"LEARNED L13";(INDEX(ALLCLASSDATA,MATCH("Learned-L13",CLASSFEATUREHEADERS,0),MATCH(($A358 &amp; "Points"),CLASSNAMEHEADERS,0)))}</f>
        <v>LEARNED L13</v>
      </c>
      <c r="T357" s="223" t="str">
        <f t="array" ref="T357:T358">{"LEARNED L14";(INDEX(ALLCLASSDATA,MATCH("Learned-L14",CLASSFEATUREHEADERS,0),MATCH(($A358 &amp; "Points"),CLASSNAMEHEADERS,0)))}</f>
        <v>LEARNED L14</v>
      </c>
      <c r="U357" s="223" t="str">
        <f t="array" ref="U357:U358">{"LEARNED L15";(INDEX(ALLCLASSDATA,MATCH("Learned-L15",CLASSFEATUREHEADERS,0),MATCH(($A358 &amp; "Points"),CLASSNAMEHEADERS,0)))}</f>
        <v>LEARNED L15</v>
      </c>
      <c r="V357" s="223" t="str">
        <f t="array" ref="V357:V358">{"LEARNED L16";(INDEX(ALLCLASSDATA,MATCH("Learned-L16",CLASSFEATUREHEADERS,0),MATCH(($A358 &amp; "Points"),CLASSNAMEHEADERS,0)))}</f>
        <v>LEARNED L16</v>
      </c>
      <c r="W357" s="223" t="str">
        <f t="array" ref="W357:W358">{"LEARNED L17";(INDEX(ALLCLASSDATA,MATCH("Learned-L17",CLASSFEATUREHEADERS,0),MATCH(($A358 &amp; "Points"),CLASSNAMEHEADERS,0)))}</f>
        <v>LEARNED L17</v>
      </c>
      <c r="X357" s="223" t="str">
        <f t="array" ref="X357:X358">{"LEARNED L18";(INDEX(ALLCLASSDATA,MATCH("Learned-L18",CLASSFEATUREHEADERS,0),MATCH(($A358 &amp; "Points"),CLASSNAMEHEADERS,0)))}</f>
        <v>LEARNED L18</v>
      </c>
      <c r="Y357" s="223" t="str">
        <f t="array" ref="Y357:Y358">{"LEARNED L19";(INDEX(ALLCLASSDATA,MATCH("Learned-L19",CLASSFEATUREHEADERS,0),MATCH(($A358 &amp; "Points"),CLASSNAMEHEADERS,0)))}</f>
        <v>LEARNED L19</v>
      </c>
      <c r="Z357" s="223" t="str">
        <f t="array" ref="Z357:Z358">{"LEARNED L20";(INDEX(ALLCLASSDATA,MATCH("Learned-L20",CLASSFEATUREHEADERS,0),MATCH(($A358 &amp; "Points"),CLASSNAMEHEADERS,0)))}</f>
        <v>LEARNED L20</v>
      </c>
      <c r="AA357" s="76"/>
      <c r="AB357" s="76" t="str">
        <f t="array" ref="AB357:AB358">{"LEARNED TOTAL";(sum(F358:Z358))}</f>
        <v>LEARNED TOTAL</v>
      </c>
    </row>
    <row r="358">
      <c r="A358" s="48" t="s">
        <v>229</v>
      </c>
      <c r="B358" s="48" t="s">
        <v>418</v>
      </c>
      <c r="C358" s="48" t="s">
        <v>1901</v>
      </c>
      <c r="D358" s="48" t="s">
        <v>1920</v>
      </c>
      <c r="E358" s="278" t="s">
        <v>1906</v>
      </c>
      <c r="F358" s="47">
        <v>25.0</v>
      </c>
      <c r="G358" s="5">
        <v>60.0</v>
      </c>
      <c r="H358" s="5">
        <v>20.0</v>
      </c>
      <c r="I358" s="5">
        <v>20.0</v>
      </c>
      <c r="J358" s="5">
        <v>20.0</v>
      </c>
      <c r="K358" s="5">
        <v>20.0</v>
      </c>
      <c r="L358" s="5">
        <v>20.0</v>
      </c>
      <c r="M358" s="48">
        <v>20.0</v>
      </c>
      <c r="N358" s="5">
        <v>20.0</v>
      </c>
      <c r="O358" s="5">
        <v>20.0</v>
      </c>
      <c r="P358" s="5">
        <v>20.0</v>
      </c>
      <c r="Q358" s="5">
        <v>20.0</v>
      </c>
      <c r="R358" s="5">
        <v>20.0</v>
      </c>
      <c r="S358" s="5">
        <v>20.0</v>
      </c>
      <c r="T358" s="5">
        <v>20.0</v>
      </c>
      <c r="U358" s="5">
        <v>20.0</v>
      </c>
      <c r="V358" s="5">
        <v>20.0</v>
      </c>
      <c r="W358" s="5">
        <v>20.0</v>
      </c>
      <c r="X358" s="5">
        <v>20.0</v>
      </c>
      <c r="Y358" s="5">
        <v>20.0</v>
      </c>
      <c r="Z358" s="5">
        <v>20.0</v>
      </c>
      <c r="AA358" s="5"/>
      <c r="AB358" s="47">
        <v>465.0</v>
      </c>
    </row>
    <row r="359" hidden="1">
      <c r="A359" s="222" t="str">
        <f t="array" ref="A359:A360">{"FormulaRow42";(INDEX(CLASSLIST,A276,1))}</f>
        <v>FormulaRow42</v>
      </c>
      <c r="B359" s="222" t="str">
        <f t="array" ref="B359:B360">{"CLASSTYPE";((INDEX(ALLCLASSDATA,MATCH("ClassType",CLASSFEATUREHEADERS,0),MATCH($A360,CLASSNAMEHEADERS,0))))}</f>
        <v>CLASSTYPE</v>
      </c>
      <c r="C359" s="222" t="str">
        <f t="array" ref="C359:C360">{"SPELL/ALCHEMY";((IF(INDEX(ALLCLASSDATA,MATCH("CasterType",CLASSFEATUREHEADERS,0),MATCH(($A360),CLASSNAMEHEADERS,0))="","",(IF(INDEX(ALLCLASSDATA,MATCH("CasterType",CLASSFEATUREHEADERS,0),MATCH(($A360),CLASSNAMEHEADERS,0))="Alchemy","","Spells")))))}</f>
        <v>SPELL/ALCHEMY</v>
      </c>
      <c r="D359" s="222" t="str">
        <f t="array" ref="D359:D360">{"SPELLLIST";(IF(C360="Spells",((INDEX(ALLCLASSDATA,MATCH("CasterType",CLASSFEATUREHEADERS,0),MATCH(($A360),CLASSNAMEHEADERS,0))) &amp; ":" &amp; (INDEX(ALLCLASSDATA,MATCH("SpellList",CLASSFEATUREHEADERS,0),MATCH(($A360),CLASSNAMEHEADERS,0)))),""))}</f>
        <v>SPELLLIST</v>
      </c>
      <c r="E359" s="223" t="str">
        <f t="array" ref="E359:E360">{"SLOT/LVL";(IF(C354="Spells","Slot/LVL:",""))}</f>
        <v>SLOT/LVL</v>
      </c>
      <c r="F359" s="223" t="str">
        <f t="array" ref="F359:F360">{"CANTRIPSLOTS";(INDEX(ALLCLASSDATA,MATCH("CantripSlots-L00",CLASSFEATUREHEADERS,0),MATCH($A360,CLASSNAMEHEADERS,0)))}</f>
        <v>#REF!</v>
      </c>
      <c r="G359" s="223" t="str">
        <f t="array" ref="G359:G360">{"SPL01-L01";(INDEX(ALLCLASSDATA,MATCH("SPL01-L01",CLASSFEATUREHEADERS,0),MATCH($A360,CLASSNAMEHEADERS,0)))}</f>
        <v>SPL01-L01</v>
      </c>
      <c r="H359" s="223" t="str">
        <f t="array" ref="H359:H360">{"SPL01-L02";(INDEX(ALLCLASSDATA,MATCH("SPL01-L02",CLASSFEATUREHEADERS,0),MATCH($A360,CLASSNAMEHEADERS,0)))}</f>
        <v>#REF!</v>
      </c>
      <c r="I359" s="223" t="str">
        <f t="array" ref="I359:I360">{"SPL02-L03";(INDEX(ALLCLASSDATA,MATCH("SPL02-L03",CLASSFEATUREHEADERS,0),MATCH($A360,CLASSNAMEHEADERS,0)))}</f>
        <v>SPL02-L03</v>
      </c>
      <c r="J359" s="223" t="str">
        <f t="array" ref="J359:J360">{"SPL02-L04";(INDEX(ALLCLASSDATA,MATCH("SPL02-L04",CLASSFEATUREHEADERS,0),MATCH($A360,CLASSNAMEHEADERS,0)))}</f>
        <v>#REF!</v>
      </c>
      <c r="K359" s="223" t="str">
        <f t="array" ref="K359:K360">{"SPL03-L05";(INDEX(ALLCLASSDATA,MATCH("SPL03-L05",CLASSFEATUREHEADERS,0),MATCH($A360,CLASSNAMEHEADERS,0)))}</f>
        <v>SPL03-L05</v>
      </c>
      <c r="L359" s="223" t="str">
        <f t="array" ref="L359:L360">{"SPL03-L06";(INDEX(ALLCLASSDATA,MATCH("SPL03-L06",CLASSFEATUREHEADERS,0),MATCH($A360,CLASSNAMEHEADERS,0)))}</f>
        <v>#REF!</v>
      </c>
      <c r="M359" s="223" t="str">
        <f t="array" ref="M359:M360">{"SPL04-L07";(INDEX(ALLCLASSDATA,MATCH("SPL04-L07",CLASSFEATUREHEADERS,0),MATCH($A360,CLASSNAMEHEADERS,0)))}</f>
        <v>SPL04-L07</v>
      </c>
      <c r="N359" s="223" t="str">
        <f t="array" ref="N359:N360">{"SPL04-L08";(INDEX(ALLCLASSDATA,MATCH("SPL04-L08",CLASSFEATUREHEADERS,0),MATCH($A360,CLASSNAMEHEADERS,0)))}</f>
        <v>#REF!</v>
      </c>
      <c r="O359" s="223" t="str">
        <f t="array" ref="O359:O360">{"SPL05-L09";(INDEX(ALLCLASSDATA,MATCH("SPL05-L09",CLASSFEATUREHEADERS,0),MATCH($A360,CLASSNAMEHEADERS,0)))}</f>
        <v>SPL05-L09</v>
      </c>
      <c r="P359" s="223" t="str">
        <f t="array" ref="P359:P360">{"SPL05-L10";(INDEX(ALLCLASSDATA,MATCH("SPL05-L10",CLASSFEATUREHEADERS,0),MATCH($A360,CLASSNAMEHEADERS,0)))}</f>
        <v>#REF!</v>
      </c>
      <c r="Q359" s="223" t="str">
        <f t="array" ref="Q359:Q360">{"SPL06-L11";(INDEX(ALLCLASSDATA,MATCH("SPL06-L11",CLASSFEATUREHEADERS,0),MATCH($A360,CLASSNAMEHEADERS,0)))}</f>
        <v>SPL06-L11</v>
      </c>
      <c r="R359" s="223" t="str">
        <f t="array" ref="R359:R360">{"SPL06-L12";(INDEX(ALLCLASSDATA,MATCH("SPL06-L12",CLASSFEATUREHEADERS,0),MATCH($A360,CLASSNAMEHEADERS,0)))}</f>
        <v>#REF!</v>
      </c>
      <c r="S359" s="223" t="str">
        <f t="array" ref="S359:S360">{"SPL07-L13";(INDEX(ALLCLASSDATA,MATCH("SPL07-L13",CLASSFEATUREHEADERS,0),MATCH($A360,CLASSNAMEHEADERS,0)))}</f>
        <v>SPL07-L13</v>
      </c>
      <c r="T359" s="223" t="str">
        <f t="array" ref="T359:T360">{"SPL07-L14";(INDEX(ALLCLASSDATA,MATCH("SPL07-L14",CLASSFEATUREHEADERS,0),MATCH($A360,CLASSNAMEHEADERS,0)))}</f>
        <v>#REF!</v>
      </c>
      <c r="U359" s="223" t="str">
        <f t="array" ref="U359:U360">{"SPL08-L15";(INDEX(ALLCLASSDATA,MATCH("SPL08-L15",CLASSFEATUREHEADERS,0),MATCH($A360,CLASSNAMEHEADERS,0)))}</f>
        <v>SPL08-L15</v>
      </c>
      <c r="V359" s="223" t="str">
        <f t="array" ref="V359:V360">{"SPL08-L16";(INDEX(ALLCLASSDATA,MATCH("SPL08-L16",CLASSFEATUREHEADERS,0),MATCH($A360,CLASSNAMEHEADERS,0)))}</f>
        <v>#REF!</v>
      </c>
      <c r="W359" s="223" t="str">
        <f t="array" ref="W359:W360">{"SPL09-L17";(INDEX(ALLCLASSDATA,MATCH("SPL09-L17",CLASSFEATUREHEADERS,0),MATCH($A360,CLASSNAMEHEADERS,0)))}</f>
        <v>SPL09-L17</v>
      </c>
      <c r="X359" s="223" t="str">
        <f t="array" ref="X359:X360">{"SPL09-L18";(INDEX(ALLCLASSDATA,MATCH("SPL09-L18",CLASSFEATUREHEADERS,0),MATCH($A360,CLASSNAMEHEADERS,0)))}</f>
        <v>#REF!</v>
      </c>
      <c r="Y359" s="223" t="str">
        <f t="array" ref="Y359:Y360">{"SPL10-L19";(INDEX(ALLCLASSDATA,MATCH("SPL10-L19",CLASSFEATUREHEADERS,0),MATCH($A360,CLASSNAMEHEADERS,0)))}</f>
        <v>SPL10-L19</v>
      </c>
      <c r="Z359" s="223" t="str">
        <f t="array" ref="Z359:Z360">{"SPL10-L20";(INDEX(ALLCLASSDATA,MATCH("SPL10-L20",CLASSFEATUREHEADERS,0),MATCH($A360,CLASSNAMEHEADERS,0)))}</f>
        <v>SPL10-L20</v>
      </c>
      <c r="AA359" s="76"/>
      <c r="AB359" s="76"/>
    </row>
    <row r="360">
      <c r="A360" s="48" t="s">
        <v>229</v>
      </c>
      <c r="B360" s="48" t="s">
        <v>418</v>
      </c>
      <c r="C360" s="48" t="s">
        <v>1901</v>
      </c>
      <c r="D360" s="48" t="s">
        <v>1920</v>
      </c>
      <c r="E360" s="278" t="s">
        <v>1907</v>
      </c>
      <c r="F360" s="114">
        <v>3.0</v>
      </c>
      <c r="G360" s="50" t="s">
        <v>1539</v>
      </c>
      <c r="H360" s="50" t="s">
        <v>1908</v>
      </c>
      <c r="I360" s="50" t="s">
        <v>1539</v>
      </c>
      <c r="J360" s="50" t="s">
        <v>1908</v>
      </c>
      <c r="K360" s="50" t="s">
        <v>1539</v>
      </c>
      <c r="L360" s="50" t="s">
        <v>1908</v>
      </c>
      <c r="M360" s="50" t="s">
        <v>1539</v>
      </c>
      <c r="N360" s="50" t="s">
        <v>1908</v>
      </c>
      <c r="O360" s="50" t="s">
        <v>1539</v>
      </c>
      <c r="P360" s="50" t="s">
        <v>1908</v>
      </c>
      <c r="Q360" s="50" t="s">
        <v>1539</v>
      </c>
      <c r="R360" s="50" t="s">
        <v>1908</v>
      </c>
      <c r="S360" s="50" t="s">
        <v>1539</v>
      </c>
      <c r="T360" s="50" t="s">
        <v>1908</v>
      </c>
      <c r="U360" s="50" t="s">
        <v>1539</v>
      </c>
      <c r="V360" s="50" t="s">
        <v>1908</v>
      </c>
      <c r="W360" s="50" t="s">
        <v>1539</v>
      </c>
      <c r="X360" s="50" t="s">
        <v>1908</v>
      </c>
      <c r="Y360" s="50" t="s">
        <v>1537</v>
      </c>
      <c r="Z360" s="50"/>
      <c r="AA360" s="278"/>
      <c r="AB360" s="47"/>
    </row>
    <row r="361" hidden="1">
      <c r="A361" s="222" t="str">
        <f t="array" ref="A361:A362">{"FormulaRow43";(INDEX(CLASSLIST,A276,1))}</f>
        <v>FormulaRow43</v>
      </c>
      <c r="B361" s="222" t="str">
        <f t="array" ref="B361:B362">{"CLASSTYPE";((INDEX(ALLCLASSDATA,MATCH("ClassType",CLASSFEATUREHEADERS,0),MATCH($A362,CLASSNAMEHEADERS,0))))}</f>
        <v>CLASSTYPE</v>
      </c>
      <c r="C361" s="222" t="str">
        <f t="array" ref="C361:C362">{"SPELL/ALCHEMY";((IF(INDEX(ALLCLASSDATA,MATCH("CasterType",CLASSFEATUREHEADERS,0),MATCH(($A362),CLASSNAMEHEADERS,0))="","",(IF(INDEX(ALLCLASSDATA,MATCH("CasterType",CLASSFEATUREHEADERS,0),MATCH(($A362),CLASSNAMEHEADERS,0))="Alchemy","Alchemy","Spells")))))}</f>
        <v>SPELL/ALCHEMY</v>
      </c>
      <c r="D361" s="222" t="str">
        <f t="array" ref="D361:D362">{"SPELLLIST";(IF(C362="Spells",((INDEX(ALLCLASSDATA,MATCH("CasterType",CLASSFEATUREHEADERS,0),MATCH(($A362),CLASSNAMEHEADERS,0))) &amp; ":" &amp; (INDEX(ALLCLASSDATA,MATCH("SpellList",CLASSFEATUREHEADERS,0),MATCH(($A362),CLASSNAMEHEADERS,0)))),""))}</f>
        <v>SPELLLIST</v>
      </c>
      <c r="E361" s="223" t="str">
        <f t="array" ref="E361:E362">{"LEARNED/LVL";(IF(C362="","","Learn/LVL:"))}</f>
        <v>LEARNED/LVL</v>
      </c>
      <c r="F361" s="223" t="str">
        <f t="array" ref="F361:F362">{"LEARNEDCANTRIPS";(INDEX(ALLCLASSDATA,MATCH("CantripsLearned-L00",CLASSFEATUREHEADERS,0),MATCH($A362,CLASSNAMEHEADERS,0)))}</f>
        <v>LEARNEDCANTRIPS</v>
      </c>
      <c r="G361" s="223" t="str">
        <f t="array" ref="G361:G362">{"LEARNED L01";(INDEX(ALLCLASSDATA,MATCH("Learned-L01",CLASSFEATUREHEADERS,0),MATCH($A362,CLASSNAMEHEADERS,0)))}</f>
        <v>LEARNED L01</v>
      </c>
      <c r="H361" s="223" t="str">
        <f t="array" ref="H361:H362">{"LEARNED L02";(INDEX(ALLCLASSDATA,MATCH("Learned-L02",CLASSFEATUREHEADERS,0),MATCH($A362,CLASSNAMEHEADERS,0)))}</f>
        <v>LEARNED L02</v>
      </c>
      <c r="I361" s="223" t="str">
        <f t="array" ref="I361:I362">{"LEARNED L03";(INDEX(ALLCLASSDATA,MATCH("Learned-L03",CLASSFEATUREHEADERS,0),MATCH($A362,CLASSNAMEHEADERS,0)))}</f>
        <v>LEARNED L03</v>
      </c>
      <c r="J361" s="223" t="str">
        <f t="array" ref="J361:J362">{"LEARNED L04";(INDEX(ALLCLASSDATA,MATCH("Learned-L04",CLASSFEATUREHEADERS,0),MATCH($A362,CLASSNAMEHEADERS,0)))}</f>
        <v>LEARNED L04</v>
      </c>
      <c r="K361" s="223" t="str">
        <f t="array" ref="K361:K362">{"LEARNED L05";(INDEX(ALLCLASSDATA,MATCH("Learned-L05",CLASSFEATUREHEADERS,0),MATCH($A362,CLASSNAMEHEADERS,0)))}</f>
        <v>LEARNED L05</v>
      </c>
      <c r="L361" s="223" t="str">
        <f t="array" ref="L361:L362">{"LEARNED L06";(INDEX(ALLCLASSDATA,MATCH("Learned-L06",CLASSFEATUREHEADERS,0),MATCH($A362,CLASSNAMEHEADERS,0)))}</f>
        <v>LEARNED L06</v>
      </c>
      <c r="M361" s="223" t="str">
        <f t="array" ref="M361:M362">{"LEARNED L07";(INDEX(ALLCLASSDATA,MATCH("Learned-L07",CLASSFEATUREHEADERS,0),MATCH($A362,CLASSNAMEHEADERS,0)))}</f>
        <v>LEARNED L07</v>
      </c>
      <c r="N361" s="223" t="str">
        <f t="array" ref="N361:N362">{"LEARNED L08";(INDEX(ALLCLASSDATA,MATCH("Learned-L08",CLASSFEATUREHEADERS,0),MATCH($A362,CLASSNAMEHEADERS,0)))}</f>
        <v>LEARNED L08</v>
      </c>
      <c r="O361" s="223" t="str">
        <f t="array" ref="O361:O362">{"LEARNED L09";(INDEX(ALLCLASSDATA,MATCH("Learned-L09",CLASSFEATUREHEADERS,0),MATCH($A362,CLASSNAMEHEADERS,0)))}</f>
        <v>LEARNED L09</v>
      </c>
      <c r="P361" s="223" t="str">
        <f t="array" ref="P361:P362">{"LEARNED L10";(INDEX(ALLCLASSDATA,MATCH("Learned-L10",CLASSFEATUREHEADERS,0),MATCH($A362,CLASSNAMEHEADERS,0)))}</f>
        <v>LEARNED L10</v>
      </c>
      <c r="Q361" s="223" t="str">
        <f t="array" ref="Q361:Q362">{"LEARNED L11";(INDEX(ALLCLASSDATA,MATCH("Learned-L11",CLASSFEATUREHEADERS,0),MATCH($A362,CLASSNAMEHEADERS,0)))}</f>
        <v>LEARNED L11</v>
      </c>
      <c r="R361" s="223" t="str">
        <f t="array" ref="R361:R362">{"LEARNED L12";(INDEX(ALLCLASSDATA,MATCH("Learned-L12",CLASSFEATUREHEADERS,0),MATCH($A362,CLASSNAMEHEADERS,0)))}</f>
        <v>LEARNED L12</v>
      </c>
      <c r="S361" s="223" t="str">
        <f t="array" ref="S361:S362">{"LEARNED L13";(INDEX(ALLCLASSDATA,MATCH("Learned-L13",CLASSFEATUREHEADERS,0),MATCH($A362,CLASSNAMEHEADERS,0)))}</f>
        <v>LEARNED L13</v>
      </c>
      <c r="T361" s="223" t="str">
        <f t="array" ref="T361:T362">{"LEARNED L14";(INDEX(ALLCLASSDATA,MATCH("Learned-L14",CLASSFEATUREHEADERS,0),MATCH($A362,CLASSNAMEHEADERS,0)))}</f>
        <v>LEARNED L14</v>
      </c>
      <c r="U361" s="223" t="str">
        <f t="array" ref="U361:U362">{"LEARNED L15";(INDEX(ALLCLASSDATA,MATCH("Learned-L15",CLASSFEATUREHEADERS,0),MATCH($A362,CLASSNAMEHEADERS,0)))}</f>
        <v>LEARNED L15</v>
      </c>
      <c r="V361" s="223" t="str">
        <f t="array" ref="V361:V362">{"LEARNED L16";(INDEX(ALLCLASSDATA,MATCH("Learned-L16",CLASSFEATUREHEADERS,0),MATCH($A362,CLASSNAMEHEADERS,0)))}</f>
        <v>LEARNED L16</v>
      </c>
      <c r="W361" s="223" t="str">
        <f t="array" ref="W361:W362">{"LEARNED L17";(INDEX(ALLCLASSDATA,MATCH("Learned-L17",CLASSFEATUREHEADERS,0),MATCH($A362,CLASSNAMEHEADERS,0)))}</f>
        <v>LEARNED L17</v>
      </c>
      <c r="X361" s="223" t="str">
        <f t="array" ref="X361:X362">{"LEARNED L18";(INDEX(ALLCLASSDATA,MATCH("Learned-L18",CLASSFEATUREHEADERS,0),MATCH($A362,CLASSNAMEHEADERS,0)))}</f>
        <v>LEARNED L18</v>
      </c>
      <c r="Y361" s="223" t="str">
        <f t="array" ref="Y361:Y362">{"LEARNED L19";(INDEX(ALLCLASSDATA,MATCH("Learned-L19",CLASSFEATUREHEADERS,0),MATCH($A362,CLASSNAMEHEADERS,0)))}</f>
        <v>LEARNED L19</v>
      </c>
      <c r="Z361" s="223" t="str">
        <f t="array" ref="Z361:Z362">{"LEARNED L20";(INDEX(ALLCLASSDATA,MATCH("Learned-L20",CLASSFEATUREHEADERS,0),MATCH($A362,CLASSNAMEHEADERS,0)))}</f>
        <v>LEARNED L20</v>
      </c>
      <c r="AA361" s="76"/>
      <c r="AB361" s="76"/>
    </row>
    <row r="362">
      <c r="A362" s="48" t="s">
        <v>229</v>
      </c>
      <c r="B362" s="48" t="s">
        <v>418</v>
      </c>
      <c r="C362" s="48" t="s">
        <v>1901</v>
      </c>
      <c r="D362" s="48" t="s">
        <v>1920</v>
      </c>
      <c r="E362" s="278" t="s">
        <v>1909</v>
      </c>
      <c r="F362" s="280" t="s">
        <v>158</v>
      </c>
      <c r="G362" s="278" t="s">
        <v>1533</v>
      </c>
      <c r="H362" s="50" t="s">
        <v>1538</v>
      </c>
      <c r="I362" s="278" t="s">
        <v>1538</v>
      </c>
      <c r="J362" s="50" t="s">
        <v>1538</v>
      </c>
      <c r="K362" s="278" t="s">
        <v>1538</v>
      </c>
      <c r="L362" s="50" t="s">
        <v>1538</v>
      </c>
      <c r="M362" s="278" t="s">
        <v>1538</v>
      </c>
      <c r="N362" s="50" t="s">
        <v>1538</v>
      </c>
      <c r="O362" s="278" t="s">
        <v>1538</v>
      </c>
      <c r="P362" s="50" t="s">
        <v>1538</v>
      </c>
      <c r="Q362" s="278" t="s">
        <v>1538</v>
      </c>
      <c r="R362" s="50" t="s">
        <v>1538</v>
      </c>
      <c r="S362" s="278" t="s">
        <v>1538</v>
      </c>
      <c r="T362" s="50" t="s">
        <v>1538</v>
      </c>
      <c r="U362" s="278" t="s">
        <v>1538</v>
      </c>
      <c r="V362" s="50" t="s">
        <v>1538</v>
      </c>
      <c r="W362" s="278" t="s">
        <v>1538</v>
      </c>
      <c r="X362" s="50" t="s">
        <v>1538</v>
      </c>
      <c r="Y362" s="278" t="s">
        <v>1538</v>
      </c>
      <c r="Z362" s="278" t="s">
        <v>1538</v>
      </c>
      <c r="AA362" s="278"/>
      <c r="AB362" s="47"/>
    </row>
    <row r="363" hidden="1">
      <c r="A363" s="222" t="str">
        <f t="array" ref="A363:A364">{"FormulaRow44";(INDEX(CLASSLIST,A276,1))}</f>
        <v>FormulaRow44</v>
      </c>
      <c r="B363" s="222" t="str">
        <f t="array" ref="B363:B364">{"CLASSTYPE";((INDEX(ALLCLASSDATA,MATCH("ClassType",CLASSFEATUREHEADERS,0),MATCH($A364,CLASSNAMEHEADERS,0))))}</f>
        <v>CLASSTYPE</v>
      </c>
      <c r="C363" s="222" t="str">
        <f t="array" ref="C363:C364">{"SPELL/ALCHEMY";((IF(INDEX(ALLCLASSDATA,MATCH("CasterType",CLASSFEATUREHEADERS,0),MATCH(($A364),CLASSNAMEHEADERS,0))="","",(IF(INDEX(ALLCLASSDATA,MATCH("CasterType",CLASSFEATUREHEADERS,0),MATCH(($A364),CLASSNAMEHEADERS,0))="Alchemy","","Spells")))))}</f>
        <v>SPELL/ALCHEMY</v>
      </c>
      <c r="D363" s="222" t="str">
        <f t="array" ref="D363:D364">{"SPELLLIST";(IF(C364="Spells",((INDEX(ALLCLASSDATA,MATCH("CasterType",CLASSFEATUREHEADERS,0),MATCH(($A364),CLASSNAMEHEADERS,0))) &amp; ":" &amp; (INDEX(ALLCLASSDATA,MATCH("SpellList",CLASSFEATUREHEADERS,0),MATCH(($A364),CLASSNAMEHEADERS,0)))),""))}</f>
        <v>SPELLLIST</v>
      </c>
      <c r="E363" s="223" t="str">
        <f t="array" ref="E363:E364">{"TOTALSLOTS";(IF(C364="","","TotalSlots:"))}</f>
        <v>TOTALSLOTS</v>
      </c>
      <c r="F363" s="223" t="str">
        <f t="array" ref="F363:F364">{"TOTALCANTRIPSLOTS";(F360)}</f>
        <v>TOTALCANTRIPSLOTS</v>
      </c>
      <c r="G363" s="223" t="str">
        <f t="array" ref="G363:G364">{"TOTALSLOTS L01";(G360)}</f>
        <v>TOTALSLOTS L01</v>
      </c>
      <c r="H363" s="223" t="str">
        <f t="array" ref="H363:H364">{"TOTALSLOTS L02";(G364+H360)}</f>
        <v>TOTALSLOTS L02</v>
      </c>
      <c r="I363" s="223" t="str">
        <f t="array" ref="I363:I364">{"TOTALSLOTS L03";(H364+I360)}</f>
        <v>TOTALSLOTS L03</v>
      </c>
      <c r="J363" s="223" t="str">
        <f t="array" ref="J363:J364">{"TOTALSLOTS L04";(I364+J360)}</f>
        <v>TOTALSLOTS L04</v>
      </c>
      <c r="K363" s="223" t="str">
        <f t="array" ref="K363:K364">{"TOTALSLOTS L05";(J364+K360)}</f>
        <v>TOTALSLOTS L05</v>
      </c>
      <c r="L363" s="223" t="str">
        <f t="array" ref="L363:L364">{"TOTALSLOTS L06";(K364+L360)}</f>
        <v>TOTALSLOTS L06</v>
      </c>
      <c r="M363" s="223" t="str">
        <f t="array" ref="M363:M364">{"TOTALSLOTS L07";(L364+M360)}</f>
        <v>TOTALSLOTS L07</v>
      </c>
      <c r="N363" s="223" t="str">
        <f t="array" ref="N363:N364">{"TOTALSLOTS L08";(M364+N360)}</f>
        <v>TOTALSLOTS L08</v>
      </c>
      <c r="O363" s="223" t="str">
        <f t="array" ref="O363:O364">{"TOTALSLOTS L09";(N364+O360)}</f>
        <v>TOTALSLOTS L09</v>
      </c>
      <c r="P363" s="223" t="str">
        <f t="array" ref="P363:P364">{"TOTALSLOTS L10";(O364+P360)}</f>
        <v>TOTALSLOTS L10</v>
      </c>
      <c r="Q363" s="223" t="str">
        <f t="array" ref="Q363:Q364">{"TOTALSLOTS L11";(P364+Q360)}</f>
        <v>TOTALSLOTS L11</v>
      </c>
      <c r="R363" s="223" t="str">
        <f t="array" ref="R363:R364">{"TOTALSLOTS L12";(Q364+R360)}</f>
        <v>TOTALSLOTS L12</v>
      </c>
      <c r="S363" s="223" t="str">
        <f t="array" ref="S363:S364">{"TOTALSLOTS L13";(R364+S360)}</f>
        <v>TOTALSLOTS L13</v>
      </c>
      <c r="T363" s="223" t="str">
        <f t="array" ref="T363:T364">{"TOTALSLOTS L14";(S364+T360)}</f>
        <v>TOTALSLOTS L14</v>
      </c>
      <c r="U363" s="223" t="str">
        <f t="array" ref="U363:U364">{"TOTALSLOTS L15";(T364+U360)}</f>
        <v>TOTALSLOTS L15</v>
      </c>
      <c r="V363" s="223" t="str">
        <f t="array" ref="V363:V364">{"TOTALSLOTS L16";(U364+V360)}</f>
        <v>TOTALSLOTS L16</v>
      </c>
      <c r="W363" s="223" t="str">
        <f t="array" ref="W363:W364">{"TOTALSLOTS L17";(V364+W360)}</f>
        <v>TOTALSLOTS L17</v>
      </c>
      <c r="X363" s="223" t="str">
        <f t="array" ref="X363:X364">{"TOTALSLOTS L18";(W364+X360)}</f>
        <v>TOTALSLOTS L18</v>
      </c>
      <c r="Y363" s="223" t="str">
        <f t="array" ref="Y363:Y364">{"TOTALSLOTS L19";(X364+Y360)}</f>
        <v>TOTALSLOTS L19</v>
      </c>
      <c r="Z363" s="223" t="str">
        <f t="array" ref="Z363:Z364">{"TOTALSLOTS L20";(Y364+Z360)}</f>
        <v>TOTALSLOTS L20</v>
      </c>
      <c r="AA363" s="76"/>
      <c r="AB363" s="76"/>
    </row>
    <row r="364">
      <c r="A364" s="48" t="s">
        <v>229</v>
      </c>
      <c r="B364" s="48" t="s">
        <v>418</v>
      </c>
      <c r="C364" s="48" t="s">
        <v>1901</v>
      </c>
      <c r="D364" s="48" t="s">
        <v>1920</v>
      </c>
      <c r="E364" s="278" t="s">
        <v>1910</v>
      </c>
      <c r="F364" s="47">
        <v>3.0</v>
      </c>
      <c r="G364" s="278" t="s">
        <v>1539</v>
      </c>
      <c r="H364" s="278">
        <v>3.0</v>
      </c>
      <c r="I364" s="278">
        <v>6.0</v>
      </c>
      <c r="J364" s="278">
        <v>6.0</v>
      </c>
      <c r="K364" s="278">
        <v>9.0</v>
      </c>
      <c r="L364" s="278">
        <v>9.0</v>
      </c>
      <c r="M364" s="278">
        <v>12.0</v>
      </c>
      <c r="N364" s="278">
        <v>12.0</v>
      </c>
      <c r="O364" s="278">
        <v>15.0</v>
      </c>
      <c r="P364" s="278">
        <v>15.0</v>
      </c>
      <c r="Q364" s="278">
        <v>18.0</v>
      </c>
      <c r="R364" s="278">
        <v>18.0</v>
      </c>
      <c r="S364" s="278">
        <v>21.0</v>
      </c>
      <c r="T364" s="278">
        <v>21.0</v>
      </c>
      <c r="U364" s="278">
        <v>24.0</v>
      </c>
      <c r="V364" s="278">
        <v>24.0</v>
      </c>
      <c r="W364" s="278">
        <v>27.0</v>
      </c>
      <c r="X364" s="278">
        <v>27.0</v>
      </c>
      <c r="Y364" s="278">
        <v>28.0</v>
      </c>
      <c r="Z364" s="278">
        <v>28.0</v>
      </c>
      <c r="AA364" s="5"/>
      <c r="AB364" s="47"/>
    </row>
    <row r="365" hidden="1">
      <c r="A365" s="222" t="str">
        <f t="array" ref="A365:A366">{"FormulaRow45";(INDEX(CLASSLIST,A276,1))}</f>
        <v>FormulaRow45</v>
      </c>
      <c r="B365" s="222" t="str">
        <f t="array" ref="B365:B366">{"CLASSTYPE";((INDEX(ALLCLASSDATA,MATCH("ClassType",CLASSFEATUREHEADERS,0),MATCH($A366,CLASSNAMEHEADERS,0))))}</f>
        <v>CLASSTYPE</v>
      </c>
      <c r="C365" s="222" t="str">
        <f t="array" ref="C365:C366">{"SPELL/ALCHEMY";((IF(INDEX(ALLCLASSDATA,MATCH("CasterType",CLASSFEATUREHEADERS,0),MATCH(($A366),CLASSNAMEHEADERS,0))="","",(IF(INDEX(ALLCLASSDATA,MATCH("CasterType",CLASSFEATUREHEADERS,0),MATCH(($A366),CLASSNAMEHEADERS,0))="Alchemy","Alchemy","Spells")))))}</f>
        <v>SPELL/ALCHEMY</v>
      </c>
      <c r="D365" s="222" t="str">
        <f t="array" ref="D365:D366">{"SPELLLIST";(IF(C366="Spells",((INDEX(ALLCLASSDATA,MATCH("CasterType",CLASSFEATUREHEADERS,0),MATCH(($A366),CLASSNAMEHEADERS,0))) &amp; ":" &amp; (INDEX(ALLCLASSDATA,MATCH("SpellList",CLASSFEATUREHEADERS,0),MATCH(($A366),CLASSNAMEHEADERS,0)))),""))}</f>
        <v>SPELLLIST</v>
      </c>
      <c r="E365" s="223" t="str">
        <f t="array" ref="E365:E366">{"TOTALLEARNED";(IF(C366="","","TotalLearned:"))}</f>
        <v>TOTALLEARNED</v>
      </c>
      <c r="F365" s="223" t="str">
        <f t="array" ref="F365:F366">{"TOTALCANTRIPSLEARNED";(F362)}</f>
        <v>TOTALCANTRIPSLEARNED</v>
      </c>
      <c r="G365" s="223" t="str">
        <f t="array" ref="G365:G366">{"TOTALLEARNED L01";(G362)}</f>
        <v>TOTALLEARNED L01</v>
      </c>
      <c r="H365" s="223" t="str">
        <f t="array" ref="H365:H366">{"TOTALLEARNED L02";(G366+H362)}</f>
        <v>TOTALLEARNED L02</v>
      </c>
      <c r="I365" s="223" t="str">
        <f t="array" ref="I365:I366">{"TOTALLEARNED L03";(H366+I362)}</f>
        <v>TOTALLEARNED L03</v>
      </c>
      <c r="J365" s="223" t="str">
        <f t="array" ref="J365:J366">{"TOTALLEARNED L04";(I366+J362)}</f>
        <v>TOTALLEARNED L04</v>
      </c>
      <c r="K365" s="223" t="str">
        <f t="array" ref="K365:K366">{"TOTALLEARNED L05";(J366+K362)}</f>
        <v>TOTALLEARNED L05</v>
      </c>
      <c r="L365" s="223" t="str">
        <f t="array" ref="L365:L366">{"TOTALLEARNED L06";(K366+L362)}</f>
        <v>TOTALLEARNED L06</v>
      </c>
      <c r="M365" s="223" t="str">
        <f t="array" ref="M365:M366">{"TOTALLEARNED L07";(L366+M362)}</f>
        <v>TOTALLEARNED L07</v>
      </c>
      <c r="N365" s="223" t="str">
        <f t="array" ref="N365:N366">{"TOTALLEARNED L08";(M366+N362)}</f>
        <v>TOTALLEARNED L08</v>
      </c>
      <c r="O365" s="223" t="str">
        <f t="array" ref="O365:O366">{"TOTALLEARNED L09";(N366+O362)}</f>
        <v>TOTALLEARNED L09</v>
      </c>
      <c r="P365" s="223" t="str">
        <f t="array" ref="P365:P366">{"TOTALLEARNED L10";(O366+P362)}</f>
        <v>TOTALLEARNED L10</v>
      </c>
      <c r="Q365" s="223" t="str">
        <f t="array" ref="Q365:Q366">{"TOTALLEARNED L11";(P366+Q362)}</f>
        <v>TOTALLEARNED L11</v>
      </c>
      <c r="R365" s="223" t="str">
        <f t="array" ref="R365:R366">{"TOTALLEARNED L12";(Q366+R362)}</f>
        <v>TOTALLEARNED L12</v>
      </c>
      <c r="S365" s="223" t="str">
        <f t="array" ref="S365:S366">{"TOTALLEARNED L13";(R366+S362)}</f>
        <v>TOTALLEARNED L13</v>
      </c>
      <c r="T365" s="223" t="str">
        <f t="array" ref="T365:T366">{"TOTALLEARNED L14";(S366+T362)}</f>
        <v>TOTALLEARNED L14</v>
      </c>
      <c r="U365" s="223" t="str">
        <f t="array" ref="U365:U366">{"TOTALLEARNED L15";(T366+U362)}</f>
        <v>TOTALLEARNED L15</v>
      </c>
      <c r="V365" s="223" t="str">
        <f t="array" ref="V365:V366">{"TOTALLEARNED L16";(U366+V362)}</f>
        <v>TOTALLEARNED L16</v>
      </c>
      <c r="W365" s="223" t="str">
        <f t="array" ref="W365:W366">{"TOTALLEARNED L17";(V366+W362)}</f>
        <v>TOTALLEARNED L17</v>
      </c>
      <c r="X365" s="223" t="str">
        <f t="array" ref="X365:X366">{"TOTALLEARNED L18";(W366+X362)}</f>
        <v>TOTALLEARNED L18</v>
      </c>
      <c r="Y365" s="223" t="str">
        <f t="array" ref="Y365:Y366">{"TOTALLEARNED L19";(X366+Y362)}</f>
        <v>TOTALLEARNED L19</v>
      </c>
      <c r="Z365" s="223" t="str">
        <f t="array" ref="Z365:Z366">{"TOTALLEARNED L20";(Y366+Z362)}</f>
        <v>TOTALLEARNED L20</v>
      </c>
      <c r="AA365" s="76"/>
      <c r="AB365" s="76"/>
    </row>
    <row r="366">
      <c r="A366" s="97" t="s">
        <v>229</v>
      </c>
      <c r="B366" s="97" t="s">
        <v>418</v>
      </c>
      <c r="C366" s="97" t="s">
        <v>1901</v>
      </c>
      <c r="D366" s="97" t="s">
        <v>1920</v>
      </c>
      <c r="E366" s="281" t="s">
        <v>1911</v>
      </c>
      <c r="F366" s="282" t="s">
        <v>158</v>
      </c>
      <c r="G366" s="278" t="s">
        <v>1533</v>
      </c>
      <c r="H366" s="278">
        <v>8.0</v>
      </c>
      <c r="I366" s="278">
        <v>10.0</v>
      </c>
      <c r="J366" s="278">
        <v>12.0</v>
      </c>
      <c r="K366" s="278">
        <v>14.0</v>
      </c>
      <c r="L366" s="278">
        <v>16.0</v>
      </c>
      <c r="M366" s="278">
        <v>18.0</v>
      </c>
      <c r="N366" s="278">
        <v>20.0</v>
      </c>
      <c r="O366" s="278">
        <v>22.0</v>
      </c>
      <c r="P366" s="278">
        <v>24.0</v>
      </c>
      <c r="Q366" s="278">
        <v>26.0</v>
      </c>
      <c r="R366" s="278">
        <v>28.0</v>
      </c>
      <c r="S366" s="278">
        <v>30.0</v>
      </c>
      <c r="T366" s="278">
        <v>32.0</v>
      </c>
      <c r="U366" s="278">
        <v>34.0</v>
      </c>
      <c r="V366" s="278">
        <v>36.0</v>
      </c>
      <c r="W366" s="278">
        <v>38.0</v>
      </c>
      <c r="X366" s="278">
        <v>40.0</v>
      </c>
      <c r="Y366" s="278">
        <v>42.0</v>
      </c>
      <c r="Z366" s="278">
        <v>44.0</v>
      </c>
      <c r="AA366" s="5"/>
      <c r="AB366" s="47"/>
    </row>
    <row r="367">
      <c r="A367" s="55">
        <v>22.0</v>
      </c>
      <c r="B367" s="79" t="s">
        <v>1921</v>
      </c>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c r="AA367" s="71"/>
      <c r="AB367" s="73"/>
    </row>
    <row r="368" hidden="1">
      <c r="A368" s="76" t="str">
        <f t="array" ref="A368:A369">{"FormulaRow01";(INDEX(CLASSLIST,A367,1))}</f>
        <v>FormulaRow01</v>
      </c>
      <c r="B368" s="76" t="str">
        <f t="array" ref="B368:B369">{"CLASSTYPE";(INDEX(ALLCLASSDATA,MATCH("ClassType",CLASSFEATUREHEADERS,0),MATCH($A369,CLASSNAMEHEADERS,0)))}</f>
        <v>CLASSTYPE</v>
      </c>
      <c r="C368" s="81" t="str">
        <f t="array" ref="C368:C369">{"TOTAL";("Total: " &amp; G369+I369+K369+M369+O369+Q369+S369+U369+W369+Y369)}</f>
        <v>TOTAL</v>
      </c>
      <c r="D368" s="81" t="str">
        <f t="array" ref="D368:D369">{"BALANCE";(IF((G369+I369+K369+M369+O369+Q369+S369+U369+W369+Y369)=2100,"(balanced)",(IF((G369+I369+K369+M369+O369+Q369+S369+U369+W369+Y369)&gt;2100,"OVERBUDGET: ","UNDERBUDGET: ")) &amp; (G369+I369+K369+M369+O369+Q369+S369+U369+W369+Y369-2100)))}</f>
        <v>BALANCE</v>
      </c>
      <c r="E368" s="81"/>
      <c r="F368" s="81"/>
      <c r="G368" s="81" t="str">
        <f t="array" ref="G368:G369">{"SUM LVL0/1/2";((SUMIF(E370:H449,"&lt;&gt;#REF!")+(SUMIF(I370:Z377,"&lt;&gt;#REF!"))))}</f>
        <v>SUM LVL0/1/2</v>
      </c>
      <c r="H368" s="81"/>
      <c r="I368" s="81" t="str">
        <f t="array" ref="I368:I369">{"SUM LVL3/4";(SUMIF(I378:J449,"&lt;&gt;#REF!"))}</f>
        <v>SUM LVL3/4</v>
      </c>
      <c r="J368" s="81"/>
      <c r="K368" s="81" t="str">
        <f t="array" ref="K368:K369">{"SUM LVL5/6";(SUMIF(K378:L449,"&lt;&gt;#REF!"))}</f>
        <v>SUM LVL5/6</v>
      </c>
      <c r="L368" s="81"/>
      <c r="M368" s="81" t="str">
        <f t="array" ref="M368:M369">{"SUM LVL7/8";(SUMIF(M378:N449,"&lt;&gt;#REF!"))}</f>
        <v>SUM LVL7/8</v>
      </c>
      <c r="N368" s="81"/>
      <c r="O368" s="81" t="str">
        <f t="array" ref="O368:O369">{"SUM LVL9/10";(SUMIF(O378:P449,"&lt;&gt;#REF!"))}</f>
        <v>SUM LVL9/10</v>
      </c>
      <c r="P368" s="81"/>
      <c r="Q368" s="81" t="str">
        <f t="array" ref="Q368:Q369">{"SUM LVL11/12";(SUMIF(Q378:R449,"&lt;&gt;#REF!"))}</f>
        <v>SUM LVL11/12</v>
      </c>
      <c r="R368" s="81"/>
      <c r="S368" s="81" t="str">
        <f t="array" ref="S368:S369">{"SUM LVL13/14";(SUMIF(S378:T449,"&lt;&gt;#REF!"))}</f>
        <v>SUM LVL13/14</v>
      </c>
      <c r="T368" s="81"/>
      <c r="U368" s="81" t="str">
        <f t="array" ref="U368:U369">{"SUM LVL15/16";(SUMIF(U378:V449,"&lt;&gt;#REF!"))}</f>
        <v>SUM LVL15/16</v>
      </c>
      <c r="V368" s="81"/>
      <c r="W368" s="81" t="str">
        <f t="array" ref="W368:W369">{"SUM LVL17/18";(SUMIF(W378:X449,"&lt;&gt;#REF!"))}</f>
        <v>SUM LVL17/18</v>
      </c>
      <c r="X368" s="81"/>
      <c r="Y368" s="81" t="str">
        <f t="array" ref="Y368:Y369">{"SUM LVL19/20";(SUMIF(Y378:Z449,"&lt;&gt;#REF!"))}</f>
        <v>SUM LVL19/20</v>
      </c>
      <c r="Z368" s="81"/>
      <c r="AA368" s="76"/>
      <c r="AB368" s="76" t="str">
        <f t="array" ref="AB368:AB369">{"SUM ROWTOTALS";(SUMIF(AB371:AB457,"&lt;&gt;#REF!"))}</f>
        <v>SUM ROWTOTALS</v>
      </c>
    </row>
    <row r="369">
      <c r="A369" s="48" t="s">
        <v>231</v>
      </c>
      <c r="B369" s="48" t="s">
        <v>418</v>
      </c>
      <c r="C369" s="97" t="s">
        <v>1913</v>
      </c>
      <c r="D369" s="98" t="s">
        <v>1914</v>
      </c>
      <c r="E369" s="97"/>
      <c r="F369" s="99"/>
      <c r="G369" s="98">
        <v>520.0</v>
      </c>
      <c r="H369" s="98"/>
      <c r="I369" s="98">
        <v>60.0</v>
      </c>
      <c r="J369" s="98"/>
      <c r="K369" s="98">
        <v>110.0</v>
      </c>
      <c r="L369" s="98"/>
      <c r="M369" s="98">
        <v>110.0</v>
      </c>
      <c r="N369" s="98"/>
      <c r="O369" s="98">
        <v>110.0</v>
      </c>
      <c r="P369" s="98"/>
      <c r="Q369" s="98">
        <v>160.0</v>
      </c>
      <c r="R369" s="98"/>
      <c r="S369" s="98">
        <v>180.0</v>
      </c>
      <c r="T369" s="98"/>
      <c r="U369" s="98">
        <v>170.0</v>
      </c>
      <c r="V369" s="98"/>
      <c r="W369" s="98">
        <v>170.0</v>
      </c>
      <c r="X369" s="98"/>
      <c r="Y369" s="98">
        <v>420.0</v>
      </c>
      <c r="Z369" s="98"/>
      <c r="AA369" s="5"/>
      <c r="AB369" s="47">
        <v>2010.0</v>
      </c>
    </row>
    <row r="370" hidden="1">
      <c r="A370" s="76" t="str">
        <f t="array" ref="A370:A371">{"FormulaRow02";(INDEX(CLASSLIST,A367,1))}</f>
        <v>FormulaRow02</v>
      </c>
      <c r="B370" s="76" t="str">
        <f t="array" ref="B370:B371">{"CLASSTYPE";((INDEX(ALLCLASSDATA,MATCH("ClassType",CLASSFEATUREHEADERS,0),MATCH($A371,CLASSNAMEHEADERS,0))))}</f>
        <v>CLASSTYPE</v>
      </c>
      <c r="C370" s="81" t="str">
        <f t="array" ref="C370:C371">{"FEATURES";"Features"}</f>
        <v>FEATURES</v>
      </c>
      <c r="D370" s="81" t="str">
        <f t="array" ref="D370:D371">{"INITIALFEATURES";"Initial Features"}</f>
        <v>INITIALFEATURES</v>
      </c>
      <c r="E370" s="81" t="str">
        <f t="array" ref="E370:E371">{"KEY";"Key"}</f>
        <v>KEY</v>
      </c>
      <c r="F370" s="81" t="str">
        <f t="array" ref="F370:F371">{"HP";"HP"}</f>
        <v>HP</v>
      </c>
      <c r="G370" s="81" t="str">
        <f t="array" ref="G370:G371">{"CLASSFEATL01";"ClassFeatL01"}</f>
        <v>CLASSFEATL01</v>
      </c>
      <c r="H370" s="81" t="str">
        <f t="array" ref="H370:H371">{"SHIELDBLOCKL01";"ShieldBlockL01"}</f>
        <v>SHIELDBLOCKL01</v>
      </c>
      <c r="I370" s="81" t="str">
        <f t="array" ref="I370:I371">{"INITIALSKILLS";"InitialSkills"}</f>
        <v>INITIALSKILLS</v>
      </c>
      <c r="J370" s="81" t="str">
        <f t="array" ref="J370:J371">{"SUBCLASSSKILLS";"SubclassSkills"}</f>
        <v>SUBCLASSSKILLS</v>
      </c>
      <c r="K370" s="81" t="str">
        <f t="array" ref="K370:K371">{"GRANTEDSKILLS";"GrantedSkills"}</f>
        <v>GRANTEDSKILLS</v>
      </c>
      <c r="L370" s="81"/>
      <c r="M370" s="81"/>
      <c r="N370" s="81"/>
      <c r="O370" s="81" t="str">
        <f t="array" ref="O370:O371">{"FOCUSSPELLS";"FocusSpells:"}</f>
        <v>FOCUSSPELLS</v>
      </c>
      <c r="P370" s="81" t="str">
        <f t="array" ref="P370:P371">{"FOCUSSPELL1-L00";((INDEX(ALLCLASSDATA,MATCH("FocusSpell1-L00",CLASSFEATUREHEADERS,0),MATCH(($A371),CLASSNAMEHEADERS,0))))}</f>
        <v>FOCUSSPELL1-L00</v>
      </c>
      <c r="Q370" s="81" t="str">
        <f t="array" ref="Q370:Q371">{"FOCUSSPELL2-L00";((INDEX(ALLCLASSDATA,MATCH("FocusSpell2-L00",CLASSFEATUREHEADERS,0),MATCH(($A371),CLASSNAMEHEADERS,0))))}</f>
        <v>FOCUSSPELL2-L00</v>
      </c>
      <c r="R370" s="81" t="str">
        <f t="array" ref="R370:R371">{"FOCUSSPELL3-L00";((INDEX(ALLCLASSDATA,MATCH("FocusSpell3-L00",CLASSFEATUREHEADERS,0),MATCH(($A371),CLASSNAMEHEADERS,0))))}</f>
        <v>FOCUSSPELL3-L00</v>
      </c>
      <c r="S370" s="81" t="str">
        <f t="array" ref="S370:S371">{"FOCUSSPELL4-L00";((INDEX(ALLCLASSDATA,MATCH("FocusSpell4-L00",CLASSFEATUREHEADERS,0),MATCH(($A371),CLASSNAMEHEADERS,0))))}</f>
        <v>FOCUSSPELL4-L00</v>
      </c>
      <c r="T370" s="81" t="str">
        <f t="array" ref="T370:T371">{"FOCUSSPELL5-L00";((INDEX(ALLCLASSDATA,MATCH("FocusSpell5-L00",CLASSFEATUREHEADERS,0),MATCH(($A371),CLASSNAMEHEADERS,0))))}</f>
        <v>FOCUSSPELL5-L00</v>
      </c>
      <c r="U370" s="81"/>
      <c r="V370" s="81"/>
      <c r="W370" s="81"/>
      <c r="X370" s="81"/>
      <c r="Y370" s="81"/>
      <c r="Z370" s="81"/>
      <c r="AA370" s="76"/>
      <c r="AB370" s="76"/>
    </row>
    <row r="371">
      <c r="A371" s="48" t="s">
        <v>231</v>
      </c>
      <c r="B371" s="48" t="s">
        <v>418</v>
      </c>
      <c r="C371" s="48" t="s">
        <v>467</v>
      </c>
      <c r="D371" s="48" t="s">
        <v>468</v>
      </c>
      <c r="E371" s="48" t="s">
        <v>469</v>
      </c>
      <c r="F371" s="114" t="s">
        <v>15</v>
      </c>
      <c r="G371" s="8" t="s">
        <v>451</v>
      </c>
      <c r="H371" s="8" t="s">
        <v>463</v>
      </c>
      <c r="I371" s="8" t="s">
        <v>473</v>
      </c>
      <c r="J371" s="8" t="s">
        <v>474</v>
      </c>
      <c r="K371" s="8" t="s">
        <v>475</v>
      </c>
      <c r="L371" s="8"/>
      <c r="M371" s="8"/>
      <c r="N371" s="8"/>
      <c r="O371" s="8" t="s">
        <v>476</v>
      </c>
      <c r="P371" s="116" t="s">
        <v>1603</v>
      </c>
      <c r="Q371" s="116" t="s">
        <v>1610</v>
      </c>
      <c r="R371" s="116"/>
      <c r="S371" s="116"/>
      <c r="T371" s="116"/>
      <c r="U371" s="8"/>
      <c r="V371" s="8"/>
      <c r="W371" s="8"/>
      <c r="X371" s="8"/>
      <c r="Y371" s="5"/>
      <c r="Z371" s="5"/>
      <c r="AA371" s="5"/>
      <c r="AB371" s="47"/>
    </row>
    <row r="372" hidden="1">
      <c r="A372" s="76" t="str">
        <f t="array" ref="A372:A373">{"FormulaRow03";(INDEX(CLASSLIST,A367,1))}</f>
        <v>FormulaRow03</v>
      </c>
      <c r="B372" s="76" t="str">
        <f t="array" ref="B372:B373">{"CLASSTYPE";((INDEX(ALLCLASSDATA,MATCH("ClassType",CLASSFEATUREHEADERS,0),MATCH($A373,CLASSNAMEHEADERS,0))))}</f>
        <v>CLASSTYPE</v>
      </c>
      <c r="C372" s="76" t="str">
        <f t="array" ref="C372:C373">{"FEATUREPTS";"FeaturesPts"}</f>
        <v>FEATUREPTS</v>
      </c>
      <c r="D372" s="76" t="str">
        <f t="array" ref="D372:D373">{"INITIALFEATURES";"Initial Features"}</f>
        <v>INITIALFEATURES</v>
      </c>
      <c r="E372" s="76" t="str">
        <f t="array" ref="E372:E373">{"KEYABILITY";((INDEX(ALLCLASSDATA,MATCH("KEYABILITY",CLASSFEATUREHEADERS,0),MATCH($A373,CLASSNAMEHEADERS,0))))}</f>
        <v>KEYABILITY</v>
      </c>
      <c r="F372" s="76" t="str">
        <f t="array" ref="F372:F373">{"HP";((INDEX(ALLCLASSDATA,MATCH("HP",CLASSFEATUREHEADERS,0),MATCH(($A373 &amp; "Points"),CLASSNAMEHEADERS,0))))}</f>
        <v>HP</v>
      </c>
      <c r="G372" s="76" t="str">
        <f t="array" ref="G372:G373">{"CLASSFEATL01";((INDEX(ALLCLASSDATA,MATCH("ClassFeatL01",CLASSFEATUREHEADERS,0),MATCH(($A373 &amp; "Points"),CLASSNAMEHEADERS,0))))}</f>
        <v>CLASSFEATL01</v>
      </c>
      <c r="H372" s="76" t="str">
        <f t="array" ref="H372:H373">{"SHIELDBLOCKL01";((INDEX(ALLCLASSDATA,MATCH("ShieldBlockL01",CLASSFEATUREHEADERS,0),MATCH(($A373 &amp; "Points"),CLASSNAMEHEADERS,0))))}</f>
        <v>SHIELDBLOCKL01</v>
      </c>
      <c r="I372" s="76" t="str">
        <f t="array" ref="I372:I373">{"INITIALSKILLINCREASES";((INDEX(ALLCLASSDATA,MATCH("InitialSkillIncreases",CLASSFEATUREHEADERS,0),MATCH(($A373 &amp; "Points"),CLASSNAMEHEADERS,0))))}</f>
        <v>INITIALSKILLINCREASES</v>
      </c>
      <c r="J372" s="76" t="str">
        <f t="array" ref="J372:J373">{"SUBCLASSSKILLINCREASES";((INDEX(ALLCLASSDATA,MATCH("SubclassSkillIncreases",CLASSFEATUREHEADERS,0),MATCH(($A373 &amp; "Points"),CLASSNAMEHEADERS,0))))}</f>
        <v>SUBCLASSSKILLINCREASES</v>
      </c>
      <c r="K372" s="76" t="str">
        <f t="array" ref="K372:K373">{"GRANTEDSKILLS";(((INDEX(ALLCLASSDATA,MATCH("SkillsGrantedTotal",CLASSFEATUREHEADERS,0),MATCH(($A373 &amp; "Points"),CLASSNAMEHEADERS,0)))-(INDEX(ALLCLASSDATA,MATCH("InitialSkillIncreases",CLASSFEATUREHEADERS,0),MATCH(($A373 &amp; "Points"),CLASSNAMEHEADERS,0)))-(INDEX(ALLCLASSDATA,MATCH("SubclassSkillIncreases",CLASSFEATUREHEADERS,0),MATCH(($A373 &amp; "Points"),CLASSNAMEHEADERS,0)))))}</f>
        <v>GRANTEDSKILLS</v>
      </c>
      <c r="L372" s="76"/>
      <c r="M372" s="76"/>
      <c r="N372" s="76"/>
      <c r="O372" s="76"/>
      <c r="P372" s="76" t="str">
        <f t="array" ref="P372:P373">{"FOCUSSPELL1-L00";((INDEX(ALLCLASSDATA,MATCH("FocusSpell1-L00",CLASSFEATUREHEADERS,0),MATCH(($A373 &amp; "Points"),CLASSNAMEHEADERS,0))))}</f>
        <v>FOCUSSPELL1-L00</v>
      </c>
      <c r="Q372" s="76" t="str">
        <f t="array" ref="Q372:Q373">{"FOCUSSPELL2-L00";((INDEX(ALLCLASSDATA,MATCH("FocusSpell2-L00",CLASSFEATUREHEADERS,0),MATCH(($A373 &amp; "Points"),CLASSNAMEHEADERS,0))))}</f>
        <v>FOCUSSPELL2-L00</v>
      </c>
      <c r="R372" s="76" t="str">
        <f t="array" ref="R372:R373">{"FOCUSSPELL3-L00";((INDEX(ALLCLASSDATA,MATCH("FocusSpell3-L00",CLASSFEATUREHEADERS,0),MATCH(($A373 &amp; "Points"),CLASSNAMEHEADERS,0))))}</f>
        <v>FOCUSSPELL3-L00</v>
      </c>
      <c r="S372" s="76" t="str">
        <f t="array" ref="S372:S373">{"FOCUSSPELL4-L00";((INDEX(ALLCLASSDATA,MATCH("FocusSpell4-L00",CLASSFEATUREHEADERS,0),MATCH(($A373 &amp; "Points"),CLASSNAMEHEADERS,0))))}</f>
        <v>FOCUSSPELL4-L00</v>
      </c>
      <c r="T372" s="76" t="str">
        <f t="array" ref="T372:T373">{"FOCUSSPELL5-L00";((INDEX(ALLCLASSDATA,MATCH("FocusSpell5-L00",CLASSFEATUREHEADERS,0),MATCH(($A373 &amp; "Points"),CLASSNAMEHEADERS,0))))}</f>
        <v>FOCUSSPELL5-L00</v>
      </c>
      <c r="U372" s="76"/>
      <c r="V372" s="76"/>
      <c r="W372" s="76"/>
      <c r="X372" s="76"/>
      <c r="Y372" s="76"/>
      <c r="Z372" s="76"/>
      <c r="AA372" s="76"/>
      <c r="AB372" s="76" t="str">
        <f t="array" ref="AB372:AB373">{"FEATUREPTS TOTAL";(sum(F373:Z373))}</f>
        <v>FEATUREPTS TOTAL</v>
      </c>
    </row>
    <row r="373">
      <c r="A373" s="48" t="s">
        <v>231</v>
      </c>
      <c r="B373" s="48" t="s">
        <v>418</v>
      </c>
      <c r="C373" s="97" t="s">
        <v>559</v>
      </c>
      <c r="D373" s="97" t="s">
        <v>468</v>
      </c>
      <c r="E373" s="97" t="s">
        <v>262</v>
      </c>
      <c r="F373" s="132">
        <v>60.0</v>
      </c>
      <c r="G373" s="98" t="s">
        <v>603</v>
      </c>
      <c r="H373" s="98" t="s">
        <v>603</v>
      </c>
      <c r="I373" s="98">
        <v>15.0</v>
      </c>
      <c r="J373" s="98">
        <v>5.0</v>
      </c>
      <c r="K373" s="98">
        <v>0.0</v>
      </c>
      <c r="L373" s="98"/>
      <c r="M373" s="98"/>
      <c r="N373" s="98"/>
      <c r="O373" s="98"/>
      <c r="P373" s="98">
        <v>10.0</v>
      </c>
      <c r="Q373" s="98">
        <v>5.0</v>
      </c>
      <c r="R373" s="281"/>
      <c r="S373" s="281"/>
      <c r="T373" s="98"/>
      <c r="U373" s="98"/>
      <c r="V373" s="98"/>
      <c r="W373" s="98"/>
      <c r="X373" s="98"/>
      <c r="Y373" s="98"/>
      <c r="Z373" s="98"/>
      <c r="AA373" s="5"/>
      <c r="AB373" s="47">
        <v>95.0</v>
      </c>
    </row>
    <row r="374" hidden="1">
      <c r="A374" s="76" t="str">
        <f t="array" ref="A374:A375">{"FormulaRow04";(INDEX(CLASSLIST,A367,1))}</f>
        <v>FormulaRow04</v>
      </c>
      <c r="B374" s="76" t="str">
        <f t="array" ref="B374:B375">{"CLASSTYPE";((INDEX(ALLCLASSDATA,MATCH("ClassType",CLASSFEATUREHEADERS,0),MATCH($A375,CLASSNAMEHEADERS,0))))}</f>
        <v>CLASSTYPE</v>
      </c>
      <c r="C374" s="81" t="str">
        <f t="array" ref="C374:C375">{"INITIALFEATURES";"InitialFeatures"}</f>
        <v>INITIALFEATURES</v>
      </c>
      <c r="D374" s="81" t="str">
        <f t="array" ref="D374:D375">{"CLASS/SUBCLASSFEATURES";"Class/Subclass Features"}</f>
        <v>CLASS/SUBCLASSFEATURES</v>
      </c>
      <c r="E374" s="81"/>
      <c r="F374" s="136"/>
      <c r="G374" s="81" t="str">
        <f t="array" ref="G374:G375">{"CLASSINITIALABILITY1-L00";((INDEX(ALLCLASSDATA,MATCH("ClassInitialAbility1-L00",CLASSFEATUREHEADERS,0),MATCH(($A375),CLASSNAMEHEADERS,0))))}</f>
        <v>CLASSINITIALABILITY1-L00</v>
      </c>
      <c r="H374" s="81" t="str">
        <f t="array" ref="H374:H375">{"CLASSINITIALABILITY2-L00";((INDEX(ALLCLASSDATA,MATCH("ClassInitialAbility2-L00",CLASSFEATUREHEADERS,0),MATCH(($A375),CLASSNAMEHEADERS,0))))}</f>
        <v>CLASSINITIALABILITY2-L00</v>
      </c>
      <c r="I374" s="81" t="str">
        <f t="array" ref="I374:I375">{"CLASSINITIALABILITY3-L00";((INDEX(ALLCLASSDATA,MATCH("ClassInitialAbility3-L00",CLASSFEATUREHEADERS,0),MATCH(($A375),CLASSNAMEHEADERS,0))))}</f>
        <v>CLASSINITIALABILITY3-L00</v>
      </c>
      <c r="J374" s="81" t="str">
        <f t="array" ref="J374:J375">{"CLASSINITIALABILITY4-L00";((INDEX(ALLCLASSDATA,MATCH("ClassInitialAbility4-L00",CLASSFEATUREHEADERS,0),MATCH(($A375),CLASSNAMEHEADERS,0))))}</f>
        <v>#REF!</v>
      </c>
      <c r="K374" s="81" t="str">
        <f t="array" ref="K374:K375">{"CLASSINITIALABILITY5-L00";((INDEX(ALLCLASSDATA,MATCH("ClassInitialAbility5-L00",CLASSFEATUREHEADERS,0),MATCH(($A375),CLASSNAMEHEADERS,0))))}</f>
        <v>CLASSINITIALABILITY5-L00</v>
      </c>
      <c r="L374" s="81" t="str">
        <f t="array" ref="L374:L375">{"CLASSINITIALABILITY6-L00";((INDEX(ALLCLASSDATA,MATCH("ClassInitialAbility6-L00",CLASSFEATUREHEADERS,0),MATCH(($A375),CLASSNAMEHEADERS,0))))}</f>
        <v>CLASSINITIALABILITY6-L00</v>
      </c>
      <c r="M374" s="81" t="str">
        <f t="array" ref="M374:M375">{"CLASSINITIALABILITY7-L00";((INDEX(ALLCLASSDATA,MATCH("ClassInitialAbility7-L00",CLASSFEATUREHEADERS,0),MATCH(($A375),CLASSNAMEHEADERS,0))))}</f>
        <v>CLASSINITIALABILITY7-L00</v>
      </c>
      <c r="N374" s="81" t="str">
        <f t="array" ref="N374:N375">{"CLASSINITIALABILITY8-L00";((INDEX(ALLCLASSDATA,MATCH("ClassInitialAbility8-L00",CLASSFEATUREHEADERS,0),MATCH(($A375),CLASSNAMEHEADERS,0))))}</f>
        <v>CLASSINITIALABILITY8-L00</v>
      </c>
      <c r="O374" s="81" t="str">
        <f t="array" ref="O374:O375">{"CLASSINITIALABILITY9-L00";((INDEX(ALLCLASSDATA,MATCH("ClassInitialAbility9-L00",CLASSFEATUREHEADERS,0),MATCH(($A375),CLASSNAMEHEADERS,0))))}</f>
        <v>CLASSINITIALABILITY9-L00</v>
      </c>
      <c r="P374" s="81" t="str">
        <f t="array" ref="P374:P375">{"CLASSINITIALABILITY10-L00";((INDEX(ALLCLASSDATA,MATCH("ClassInitialAbility10-L00",CLASSFEATUREHEADERS,0),MATCH(($A375),CLASSNAMEHEADERS,0))))}</f>
        <v>CLASSINITIALABILITY10-L00</v>
      </c>
      <c r="Q374" s="81" t="str">
        <f t="array" ref="Q374:Q375">{"SUBCLASSINITIAL1-L00";((INDEX(ALLCLASSDATA,MATCH("SubclassInitial1-L00",CLASSFEATUREHEADERS,0),MATCH(($A375),CLASSNAMEHEADERS,0))))}</f>
        <v>SUBCLASSINITIAL1-L00</v>
      </c>
      <c r="R374" s="81" t="str">
        <f t="array" ref="R374:R375">{"SUBCLASSINITIAL2-L00";((INDEX(ALLCLASSDATA,MATCH("SubclassInitial2-L00",CLASSFEATUREHEADERS,0),MATCH(($A375),CLASSNAMEHEADERS,0))))}</f>
        <v>SUBCLASSINITIAL2-L00</v>
      </c>
      <c r="S374" s="81" t="str">
        <f t="array" ref="S374:S375">{"SUBCLASSINITIAL3-L00";((INDEX(ALLCLASSDATA,MATCH("SubclassInitial3-L00",CLASSFEATUREHEADERS,0),MATCH(($A375),CLASSNAMEHEADERS,0))))}</f>
        <v>SUBCLASSINITIAL3-L00</v>
      </c>
      <c r="T374" s="81" t="str">
        <f t="array" ref="T374:T375">{"SUBCLASSINITIAL4-L00";((INDEX(ALLCLASSDATA,MATCH("SubclassInitial4-L00",CLASSFEATUREHEADERS,0),MATCH(($A375),CLASSNAMEHEADERS,0))))}</f>
        <v>SUBCLASSINITIAL4-L00</v>
      </c>
      <c r="U374" s="81" t="str">
        <f t="array" ref="U374:U375">{"SUBCLASSINITIAL5-L00";((INDEX(ALLCLASSDATA,MATCH("SubclassInitial5-L00",CLASSFEATUREHEADERS,0),MATCH(($A375),CLASSNAMEHEADERS,0))))}</f>
        <v>SUBCLASSINITIAL5-L00</v>
      </c>
      <c r="V374" s="81" t="str">
        <f t="array" ref="V374:V375">{"SUBCLASSINITIAL6-L00";((INDEX(ALLCLASSDATA,MATCH("SubclassInitial6-L00",CLASSFEATUREHEADERS,0),MATCH(($A375),CLASSNAMEHEADERS,0))))}</f>
        <v>SUBCLASSINITIAL6-L00</v>
      </c>
      <c r="W374" s="81" t="str">
        <f t="array" ref="W374:W375">{"SUBCLASSINITIAL7-L00";((INDEX(ALLCLASSDATA,MATCH("SubclassInitial7-L00",CLASSFEATUREHEADERS,0),MATCH(($A375),CLASSNAMEHEADERS,0))))}</f>
        <v>SUBCLASSINITIAL7-L00</v>
      </c>
      <c r="X374" s="81" t="str">
        <f t="array" ref="X374:X375">{"SUBCLASSINITIAL8-L00";((INDEX(ALLCLASSDATA,MATCH("SubclassInitial8-L00",CLASSFEATUREHEADERS,0),MATCH(($A375),CLASSNAMEHEADERS,0))))}</f>
        <v>SUBCLASSINITIAL8-L00</v>
      </c>
      <c r="Y374" s="81" t="str">
        <f t="array" ref="Y374:Y375">{"SUBCLASSINITIAL9-L00";((INDEX(ALLCLASSDATA,MATCH("SubclassInitial9-L00",CLASSFEATUREHEADERS,0),MATCH(($A375),CLASSNAMEHEADERS,0))))}</f>
        <v>SUBCLASSINITIAL9-L00</v>
      </c>
      <c r="Z374" s="81" t="str">
        <f t="array" ref="Z374:Z375">{"SUBCLASSINITIAL10-L00";((INDEX(ALLCLASSDATA,MATCH("SubclassInitial10-L00",CLASSFEATUREHEADERS,0),MATCH(($A375),CLASSNAMEHEADERS,0))))}</f>
        <v>SUBCLASSINITIAL10-L00</v>
      </c>
      <c r="AA374" s="76"/>
      <c r="AB374" s="76"/>
    </row>
    <row r="375">
      <c r="A375" s="48" t="s">
        <v>231</v>
      </c>
      <c r="B375" s="48" t="s">
        <v>418</v>
      </c>
      <c r="C375" s="48" t="s">
        <v>614</v>
      </c>
      <c r="D375" s="48" t="s">
        <v>616</v>
      </c>
      <c r="E375" s="48"/>
      <c r="F375" s="47"/>
      <c r="G375" s="5" t="s">
        <v>1627</v>
      </c>
      <c r="H375" s="5" t="s">
        <v>1640</v>
      </c>
      <c r="I375" s="5" t="s">
        <v>1653</v>
      </c>
      <c r="J375" s="48" t="s">
        <v>647</v>
      </c>
      <c r="K375" s="5"/>
      <c r="L375" s="5"/>
      <c r="M375" s="5"/>
      <c r="N375" s="5"/>
      <c r="O375" s="5"/>
      <c r="P375" s="5"/>
      <c r="Q375" s="5" t="s">
        <v>1826</v>
      </c>
      <c r="R375" s="284" t="s">
        <v>1837</v>
      </c>
      <c r="S375" s="5"/>
      <c r="T375" s="5"/>
      <c r="U375" s="5"/>
      <c r="V375" s="5"/>
      <c r="W375" s="5"/>
      <c r="X375" s="5"/>
      <c r="Y375" s="5"/>
      <c r="Z375" s="5"/>
      <c r="AA375" s="5"/>
      <c r="AB375" s="47"/>
    </row>
    <row r="376" hidden="1">
      <c r="A376" s="76" t="str">
        <f t="array" ref="A376:A377">{"FormulaRow05";(INDEX(CLASSLIST,A367,1))}</f>
        <v>FormulaRow05</v>
      </c>
      <c r="B376" s="76" t="str">
        <f t="array" ref="B376:B377">{"CLASSTYPE";((INDEX(ALLCLASSDATA,MATCH("ClassType",CLASSFEATUREHEADERS,0),MATCH($A377,CLASSNAMEHEADERS,0))))}</f>
        <v>CLASSTYPE</v>
      </c>
      <c r="C376" s="76" t="str">
        <f t="array" ref="C376:C377">{"INITIALFEATURESPTS";"InitialFeaturesPts"}</f>
        <v>INITIALFEATURESPTS</v>
      </c>
      <c r="D376" s="76" t="str">
        <f t="array" ref="D376:D377">{"CLASS/SUBCLASSFEATURES";"Class/Subclass Features"}</f>
        <v>CLASS/SUBCLASSFEATURES</v>
      </c>
      <c r="E376" s="76"/>
      <c r="F376" s="76"/>
      <c r="G376" s="76" t="str">
        <f t="array" ref="G376:G377">{"CLASSINITIALABILITY1-L00PTS";((INDEX(ALLCLASSDATA,MATCH("ClassInitialAbility1-L00",CLASSFEATUREHEADERS,0),MATCH(($A377 &amp; "Points"),CLASSNAMEHEADERS,0))))}</f>
        <v>CLASSINITIALABILITY1-L00PTS</v>
      </c>
      <c r="H376" s="76" t="str">
        <f t="array" ref="H376:H377">{"CLASSINITIALABILITY2-L00PTS";((INDEX(ALLCLASSDATA,MATCH("ClassInitialAbility2-L00",CLASSFEATUREHEADERS,0),MATCH(($A377 &amp; "Points"),CLASSNAMEHEADERS,0))))}</f>
        <v>CLASSINITIALABILITY2-L00PTS</v>
      </c>
      <c r="I376" s="76" t="str">
        <f t="array" ref="I376:I377">{"CLASSINITIALABILITY3-L00PTS";((INDEX(ALLCLASSDATA,MATCH("ClassInitialAbility3-L00",CLASSFEATUREHEADERS,0),MATCH(($A377 &amp; "Points"),CLASSNAMEHEADERS,0))))}</f>
        <v>CLASSINITIALABILITY3-L00PTS</v>
      </c>
      <c r="J376" s="76" t="str">
        <f t="array" ref="J376:J377">{"CLASSINITIALABILITY4-L00PTS";((INDEX(ALLCLASSDATA,MATCH("ClassInitialAbility4-L00",CLASSFEATUREHEADERS,0),MATCH(($A377 &amp; "Points"),CLASSNAMEHEADERS,0))))}</f>
        <v>CLASSINITIALABILITY4-L00PTS</v>
      </c>
      <c r="K376" s="76" t="str">
        <f t="array" ref="K376:K377">{"CLASSINITIALABILITY5-L00PTS";((INDEX(ALLCLASSDATA,MATCH("ClassInitialAbility5-L00",CLASSFEATUREHEADERS,0),MATCH(($A377 &amp; "Points"),CLASSNAMEHEADERS,0))))}</f>
        <v>CLASSINITIALABILITY5-L00PTS</v>
      </c>
      <c r="L376" s="76" t="str">
        <f t="array" ref="L376:L377">{"CLASSINITIALABILITY6-L00PTS";((INDEX(ALLCLASSDATA,MATCH("ClassInitialAbility6-L00",CLASSFEATUREHEADERS,0),MATCH(($A377 &amp; "Points"),CLASSNAMEHEADERS,0))))}</f>
        <v>CLASSINITIALABILITY6-L00PTS</v>
      </c>
      <c r="M376" s="76" t="str">
        <f t="array" ref="M376:M377">{"CLASSINITIALABILITY7-L00PTS";((INDEX(ALLCLASSDATA,MATCH("ClassInitialAbility7-L00",CLASSFEATUREHEADERS,0),MATCH(($A377 &amp; "Points"),CLASSNAMEHEADERS,0))))}</f>
        <v>CLASSINITIALABILITY7-L00PTS</v>
      </c>
      <c r="N376" s="76" t="str">
        <f t="array" ref="N376:N377">{"CLASSINITIALABILITY8-L00PTS";((INDEX(ALLCLASSDATA,MATCH("ClassInitialAbility8-L00",CLASSFEATUREHEADERS,0),MATCH(($A377 &amp; "Points"),CLASSNAMEHEADERS,0))))}</f>
        <v>CLASSINITIALABILITY8-L00PTS</v>
      </c>
      <c r="O376" s="76" t="str">
        <f t="array" ref="O376:O377">{"CLASSINITIALABILITY9-L00PTS";((INDEX(ALLCLASSDATA,MATCH("ClassInitialAbility9-L00",CLASSFEATUREHEADERS,0),MATCH(($A377 &amp; "Points"),CLASSNAMEHEADERS,0))))}</f>
        <v>CLASSINITIALABILITY9-L00PTS</v>
      </c>
      <c r="P376" s="76" t="str">
        <f t="array" ref="P376:P377">{"CLASSINITIALABILITY10-L00PTS";((INDEX(ALLCLASSDATA,MATCH("ClassInitialAbility10-L00",CLASSFEATUREHEADERS,0),MATCH(($A377 &amp; "Points"),CLASSNAMEHEADERS,0))))}</f>
        <v>CLASSINITIALABILITY10-L00PTS</v>
      </c>
      <c r="Q376" s="76" t="str">
        <f t="array" ref="Q376:Q377">{"SUBCLASSINITIAL1-L00PTS";((INDEX(ALLCLASSDATA,MATCH("SubclassInitial1-L00",CLASSFEATUREHEADERS,0),MATCH(($A377 &amp; "Points"),CLASSNAMEHEADERS,0))))}</f>
        <v>SUBCLASSINITIAL1-L00PTS</v>
      </c>
      <c r="R376" s="76" t="str">
        <f t="array" ref="R376:R377">{"SUBCLASSINITIAL2-L00PTS";((INDEX(ALLCLASSDATA,MATCH("SubclassInitial2-L00",CLASSFEATUREHEADERS,0),MATCH(($A377 &amp; "Points"),CLASSNAMEHEADERS,0))))}</f>
        <v>SUBCLASSINITIAL2-L00PTS</v>
      </c>
      <c r="S376" s="76" t="str">
        <f t="array" ref="S376:S377">{"SUBCLASSINITIAL3-L00PTS";((INDEX(ALLCLASSDATA,MATCH("SubclassInitial3-L00",CLASSFEATUREHEADERS,0),MATCH(($A377 &amp; "Points"),CLASSNAMEHEADERS,0))))}</f>
        <v>SUBCLASSINITIAL3-L00PTS</v>
      </c>
      <c r="T376" s="76" t="str">
        <f t="array" ref="T376:T377">{"SUBCLASSINITIAL4-L00PTS";((INDEX(ALLCLASSDATA,MATCH("SubclassInitial4-L00",CLASSFEATUREHEADERS,0),MATCH(($A377 &amp; "Points"),CLASSNAMEHEADERS,0))))}</f>
        <v>SUBCLASSINITIAL4-L00PTS</v>
      </c>
      <c r="U376" s="76" t="str">
        <f t="array" ref="U376:U377">{"SUBCLASSINITIAL5-L00PTS";((INDEX(ALLCLASSDATA,MATCH("SubclassInitial5-L00",CLASSFEATUREHEADERS,0),MATCH(($A377 &amp; "Points"),CLASSNAMEHEADERS,0))))}</f>
        <v>SUBCLASSINITIAL5-L00PTS</v>
      </c>
      <c r="V376" s="76" t="str">
        <f t="array" ref="V376:V377">{"SUBCLASSINITIAL6-L00PTS";((INDEX(ALLCLASSDATA,MATCH("SubclassInitial6-L00",CLASSFEATUREHEADERS,0),MATCH(($A377 &amp; "Points"),CLASSNAMEHEADERS,0))))}</f>
        <v>SUBCLASSINITIAL6-L00PTS</v>
      </c>
      <c r="W376" s="76" t="str">
        <f t="array" ref="W376:W377">{"SUBCLASSINITIAL7-L00PTS";((INDEX(ALLCLASSDATA,MATCH("SubclassInitial7-L00",CLASSFEATUREHEADERS,0),MATCH(($A377 &amp; "Points"),CLASSNAMEHEADERS,0))))}</f>
        <v>SUBCLASSINITIAL7-L00PTS</v>
      </c>
      <c r="X376" s="76" t="str">
        <f t="array" ref="X376:X377">{"SUBCLASSINITIAL8-L00PTS";((INDEX(ALLCLASSDATA,MATCH("SubclassInitial8-L00",CLASSFEATUREHEADERS,0),MATCH(($A377 &amp; "Points"),CLASSNAMEHEADERS,0))))}</f>
        <v>SUBCLASSINITIAL8-L00PTS</v>
      </c>
      <c r="Y376" s="76" t="str">
        <f t="array" ref="Y376:Y377">{"SUBCLASSINITIAL9-L00PTS";((INDEX(ALLCLASSDATA,MATCH("SubclassInitial9-L00",CLASSFEATUREHEADERS,0),MATCH(($A377 &amp; "Points"),CLASSNAMEHEADERS,0))))}</f>
        <v>SUBCLASSINITIAL9-L00PTS</v>
      </c>
      <c r="Z376" s="76" t="str">
        <f t="array" ref="Z376:Z377">{"SUBCLASSINITIAL10-L00PTS";((INDEX(ALLCLASSDATA,MATCH("SubclassInitial10-L00",CLASSFEATUREHEADERS,0),MATCH(($A377 &amp; "Points"),CLASSNAMEHEADERS,0))))}</f>
        <v>SUBCLASSINITIAL10-L00PTS</v>
      </c>
      <c r="AA376" s="76"/>
      <c r="AB376" s="76" t="str">
        <f t="array" ref="AB376:AB377">{"INITIALFEATUREPTS TOTAL";(sum(F377:Z377))}</f>
        <v>INITIALFEATUREPTS TOTAL</v>
      </c>
    </row>
    <row r="377">
      <c r="A377" s="48" t="s">
        <v>231</v>
      </c>
      <c r="B377" s="48" t="s">
        <v>418</v>
      </c>
      <c r="C377" s="97" t="s">
        <v>651</v>
      </c>
      <c r="D377" s="97" t="s">
        <v>616</v>
      </c>
      <c r="E377" s="97"/>
      <c r="F377" s="132"/>
      <c r="G377" s="98"/>
      <c r="H377" s="98">
        <v>170.0</v>
      </c>
      <c r="I377" s="97"/>
      <c r="J377" s="98"/>
      <c r="K377" s="97"/>
      <c r="L377" s="98"/>
      <c r="M377" s="98"/>
      <c r="N377" s="98"/>
      <c r="O377" s="98"/>
      <c r="P377" s="98"/>
      <c r="Q377" s="98"/>
      <c r="R377" s="98"/>
      <c r="S377" s="98"/>
      <c r="T377" s="98"/>
      <c r="U377" s="98"/>
      <c r="V377" s="98"/>
      <c r="W377" s="98"/>
      <c r="X377" s="98"/>
      <c r="Y377" s="98"/>
      <c r="Z377" s="98"/>
      <c r="AA377" s="5"/>
      <c r="AB377" s="47">
        <v>170.0</v>
      </c>
    </row>
    <row r="378" hidden="1">
      <c r="A378" s="76" t="str">
        <f t="array" ref="A378:A379">{"FormulaRow06";(INDEX(CLASSLIST,A367,1))}</f>
        <v>FormulaRow06</v>
      </c>
      <c r="B378" s="76" t="str">
        <f t="array" ref="B378:B379">{"CLASSTYPE";((INDEX(ALLCLASSDATA,MATCH("ClassType",CLASSFEATUREHEADERS,0),MATCH($A379,CLASSNAMEHEADERS,0))))}</f>
        <v>CLASSTYPE</v>
      </c>
      <c r="C378" s="81" t="str">
        <f t="array" ref="C378:C379">{"SKILLS";"Skills"}</f>
        <v>SKILLS</v>
      </c>
      <c r="D378" s="81" t="str">
        <f t="array" ref="D378:D379">{"EXTRASKILLINCREASES";"Extra Skill Increases"}</f>
        <v>EXTRASKILLINCREASES</v>
      </c>
      <c r="E378" s="81"/>
      <c r="F378" s="81"/>
      <c r="G378" s="81"/>
      <c r="H378" s="81" t="str">
        <f t="array" ref="H378:H379">{"SKILLINCREASEEXTRA-L02";((INDEX(ALLCLASSDATA,MATCH("SkillIncreaseExtra-L02",CLASSFEATUREHEADERS,0),MATCH(($A379 &amp; "Points"),CLASSNAMEHEADERS,0))))}</f>
        <v>SKILLINCREASEEXTRA-L02</v>
      </c>
      <c r="I378" s="81" t="str">
        <f t="array" ref="I378:I379">{"SKILLINCREASEEXTRA-L03";((INDEX(ALLCLASSDATA,MATCH("SkillIncreaseExtra-L03",CLASSFEATUREHEADERS,0),MATCH(($A379 &amp; "Points"),CLASSNAMEHEADERS,0))))}</f>
        <v>SKILLINCREASEEXTRA-L03</v>
      </c>
      <c r="J378" s="81" t="str">
        <f t="array" ref="J378:J379">{"SKILLINCREASEEXTRA-L04";((INDEX(ALLCLASSDATA,MATCH("SkillIncreaseExtra-L04",CLASSFEATUREHEADERS,0),MATCH(($A379 &amp; "Points"),CLASSNAMEHEADERS,0))))}</f>
        <v>SKILLINCREASEEXTRA-L04</v>
      </c>
      <c r="K378" s="81" t="str">
        <f t="array" ref="K378:K379">{"SKILLINCREASEEXTRA-L05";((INDEX(ALLCLASSDATA,MATCH("SkillIncreaseExtra-L05",CLASSFEATUREHEADERS,0),MATCH(($A379 &amp; "Points"),CLASSNAMEHEADERS,0))))}</f>
        <v>SKILLINCREASEEXTRA-L05</v>
      </c>
      <c r="L378" s="81" t="str">
        <f t="array" ref="L378:L379">{"SKILLINCREASEEXTRA-L06";((INDEX(ALLCLASSDATA,MATCH("SkillIncreaseExtra-L06",CLASSFEATUREHEADERS,0),MATCH(($A379 &amp; "Points"),CLASSNAMEHEADERS,0))))}</f>
        <v>SKILLINCREASEEXTRA-L06</v>
      </c>
      <c r="M378" s="81" t="str">
        <f t="array" ref="M378:M379">{"SKILLINCREASEEXTRA-L07";((INDEX(ALLCLASSDATA,MATCH("SkillIncreaseExtra-L07",CLASSFEATUREHEADERS,0),MATCH(($A379 &amp; "Points"),CLASSNAMEHEADERS,0))))}</f>
        <v>SKILLINCREASEEXTRA-L07</v>
      </c>
      <c r="N378" s="81" t="str">
        <f t="array" ref="N378:N379">{"SKILLINCREASEEXTRA-L08";((INDEX(ALLCLASSDATA,MATCH("SkillIncreaseExtra-L08",CLASSFEATUREHEADERS,0),MATCH(($A379 &amp; "Points"),CLASSNAMEHEADERS,0))))}</f>
        <v>SKILLINCREASEEXTRA-L08</v>
      </c>
      <c r="O378" s="81" t="str">
        <f t="array" ref="O378:O379">{"SKILLINCREASEEXTRA-L09";((INDEX(ALLCLASSDATA,MATCH("SkillIncreaseExtra-L09",CLASSFEATUREHEADERS,0),MATCH(($A379 &amp; "Points"),CLASSNAMEHEADERS,0))))}</f>
        <v>SKILLINCREASEEXTRA-L09</v>
      </c>
      <c r="P378" s="81" t="str">
        <f t="array" ref="P378:P379">{"SKILLINCREASEEXTRA-L10";((INDEX(ALLCLASSDATA,MATCH("SkillIncreaseExtra-L10",CLASSFEATUREHEADERS,0),MATCH(($A379 &amp; "Points"),CLASSNAMEHEADERS,0))))}</f>
        <v>SKILLINCREASEEXTRA-L10</v>
      </c>
      <c r="Q378" s="81" t="str">
        <f t="array" ref="Q378:Q379">{"SKILLINCREASEEXTRA-L11";((INDEX(ALLCLASSDATA,MATCH("SkillIncreaseExtra-L11",CLASSFEATUREHEADERS,0),MATCH(($A379 &amp; "Points"),CLASSNAMEHEADERS,0))))}</f>
        <v>SKILLINCREASEEXTRA-L11</v>
      </c>
      <c r="R378" s="81" t="str">
        <f t="array" ref="R378:R379">{"SKILLINCREASEEXTRA-L12";((INDEX(ALLCLASSDATA,MATCH("SkillIncreaseExtra-L12",CLASSFEATUREHEADERS,0),MATCH(($A379 &amp; "Points"),CLASSNAMEHEADERS,0))))}</f>
        <v>SKILLINCREASEEXTRA-L12</v>
      </c>
      <c r="S378" s="81" t="str">
        <f t="array" ref="S378:S379">{"SKILLINCREASEEXTRA-L13";((INDEX(ALLCLASSDATA,MATCH("SkillIncreaseExtra-L13",CLASSFEATUREHEADERS,0),MATCH(($A379 &amp; "Points"),CLASSNAMEHEADERS,0))))}</f>
        <v>SKILLINCREASEEXTRA-L13</v>
      </c>
      <c r="T378" s="81" t="str">
        <f t="array" ref="T378:T379">{"SKILLINCREASEEXTRA-L14";((INDEX(ALLCLASSDATA,MATCH("SkillIncreaseExtra-L14",CLASSFEATUREHEADERS,0),MATCH(($A379 &amp; "Points"),CLASSNAMEHEADERS,0))))}</f>
        <v>SKILLINCREASEEXTRA-L14</v>
      </c>
      <c r="U378" s="81" t="str">
        <f t="array" ref="U378:U379">{"SKILLINCREASEEXTRA-L15";((INDEX(ALLCLASSDATA,MATCH("SkillIncreaseExtra-L15",CLASSFEATUREHEADERS,0),MATCH(($A379 &amp; "Points"),CLASSNAMEHEADERS,0))))}</f>
        <v>SKILLINCREASEEXTRA-L15</v>
      </c>
      <c r="V378" s="81" t="str">
        <f t="array" ref="V378:V379">{"SKILLINCREASEEXTRA-L16";((INDEX(ALLCLASSDATA,MATCH("SkillIncreaseExtra-L16",CLASSFEATUREHEADERS,0),MATCH(($A379 &amp; "Points"),CLASSNAMEHEADERS,0))))}</f>
        <v>SKILLINCREASEEXTRA-L16</v>
      </c>
      <c r="W378" s="81" t="str">
        <f t="array" ref="W378:W379">{"SKILLINCREASEEXTRA-L17";((INDEX(ALLCLASSDATA,MATCH("SkillIncreaseExtra-L17",CLASSFEATUREHEADERS,0),MATCH(($A379 &amp; "Points"),CLASSNAMEHEADERS,0))))}</f>
        <v>SKILLINCREASEEXTRA-L17</v>
      </c>
      <c r="X378" s="81" t="str">
        <f t="array" ref="X378:X379">{"SKILLINCREASEEXTRA-L18";((INDEX(ALLCLASSDATA,MATCH("SkillIncreaseExtra-L18",CLASSFEATUREHEADERS,0),MATCH(($A379 &amp; "Points"),CLASSNAMEHEADERS,0))))}</f>
        <v>SKILLINCREASEEXTRA-L18</v>
      </c>
      <c r="Y378" s="81" t="str">
        <f t="array" ref="Y378:Y379">{"SKILLINCREASEEXTRA-L19";((INDEX(ALLCLASSDATA,MATCH("SkillIncreaseExtra-L19",CLASSFEATUREHEADERS,0),MATCH(($A379 &amp; "Points"),CLASSNAMEHEADERS,0))))}</f>
        <v>SKILLINCREASEEXTRA-L19</v>
      </c>
      <c r="Z378" s="81" t="str">
        <f t="array" ref="Z378:Z379">{"SKILLINCREASEEXTRA-L20";((INDEX(ALLCLASSDATA,MATCH("SkillIncreaseExtra-L20",CLASSFEATUREHEADERS,0),MATCH(($A379 &amp; "Points"),CLASSNAMEHEADERS,0))))}</f>
        <v>SKILLINCREASEEXTRA-L20</v>
      </c>
      <c r="AA378" s="76"/>
      <c r="AB378" s="76" t="str">
        <f t="array" ref="AB378:AB379">{"SKILLINCREASE TOTAL";(sum(F379:Z379))}</f>
        <v>SKILLINCREASE TOTAL</v>
      </c>
    </row>
    <row r="379">
      <c r="A379" s="48" t="s">
        <v>231</v>
      </c>
      <c r="B379" s="48" t="s">
        <v>418</v>
      </c>
      <c r="C379" s="48" t="s">
        <v>659</v>
      </c>
      <c r="D379" s="48" t="s">
        <v>661</v>
      </c>
      <c r="E379" s="48"/>
      <c r="F379" s="47"/>
      <c r="G379" s="5"/>
      <c r="H379" s="5" t="s">
        <v>603</v>
      </c>
      <c r="I379" s="5" t="s">
        <v>603</v>
      </c>
      <c r="J379" s="5" t="s">
        <v>603</v>
      </c>
      <c r="K379" s="48" t="s">
        <v>603</v>
      </c>
      <c r="L379" s="5" t="s">
        <v>603</v>
      </c>
      <c r="M379" s="5" t="s">
        <v>603</v>
      </c>
      <c r="N379" s="5" t="s">
        <v>603</v>
      </c>
      <c r="O379" s="5" t="s">
        <v>603</v>
      </c>
      <c r="P379" s="5" t="s">
        <v>603</v>
      </c>
      <c r="Q379" s="5" t="s">
        <v>603</v>
      </c>
      <c r="R379" s="5" t="s">
        <v>603</v>
      </c>
      <c r="S379" s="5" t="s">
        <v>603</v>
      </c>
      <c r="T379" s="5" t="s">
        <v>603</v>
      </c>
      <c r="U379" s="5" t="s">
        <v>603</v>
      </c>
      <c r="V379" s="5" t="s">
        <v>603</v>
      </c>
      <c r="W379" s="5" t="s">
        <v>603</v>
      </c>
      <c r="X379" s="5" t="s">
        <v>603</v>
      </c>
      <c r="Y379" s="5" t="s">
        <v>603</v>
      </c>
      <c r="Z379" s="5" t="s">
        <v>603</v>
      </c>
      <c r="AA379" s="5"/>
      <c r="AB379" s="47">
        <v>0.0</v>
      </c>
    </row>
    <row r="380" hidden="1">
      <c r="A380" s="76" t="str">
        <f t="array" ref="A380:A381">{"FormulaRow07";(INDEX(CLASSLIST,A367,1))}</f>
        <v>FormulaRow07</v>
      </c>
      <c r="B380" s="76" t="str">
        <f t="array" ref="B380:B381">{"CLASSTYPE";((INDEX(ALLCLASSDATA,MATCH("ClassType",CLASSFEATUREHEADERS,0),MATCH($A381,CLASSNAMEHEADERS,0))))}</f>
        <v>CLASSTYPE</v>
      </c>
      <c r="C380" s="76" t="str">
        <f t="array" ref="C380:C381">{"SKILLS";"Skills"}</f>
        <v>SKILLS</v>
      </c>
      <c r="D380" s="76" t="str">
        <f t="array" ref="D380:D381">{"EXTRASKILLFEATS";"Extra Skill Feats"}</f>
        <v>EXTRASKILLFEATS</v>
      </c>
      <c r="E380" s="76"/>
      <c r="F380" s="76"/>
      <c r="G380" s="76" t="str">
        <f t="array" ref="G380:G381">{"SKILLFEATEXTRA-L01";((INDEX(ALLCLASSDATA,MATCH("SkillFeatExtra-L01",CLASSFEATUREHEADERS,0),MATCH(($A381 &amp; "Points"),CLASSNAMEHEADERS,0))))}</f>
        <v>SKILLFEATEXTRA-L01</v>
      </c>
      <c r="H380" s="76" t="str">
        <f t="array" ref="H380:H381">{"SKILLFEATEXTRA-L02";((INDEX(ALLCLASSDATA,MATCH("SkillFeatExtra-L02",CLASSFEATUREHEADERS,0),MATCH(($A381 &amp; "Points"),CLASSNAMEHEADERS,0))))}</f>
        <v>SKILLFEATEXTRA-L02</v>
      </c>
      <c r="I380" s="76" t="str">
        <f t="array" ref="I380:I381">{"SKILLFEATEXTRA-L03";((INDEX(ALLCLASSDATA,MATCH("SkillFeatExtra-L03",CLASSFEATUREHEADERS,0),MATCH(($A381 &amp; "Points"),CLASSNAMEHEADERS,0))))}</f>
        <v>SKILLFEATEXTRA-L03</v>
      </c>
      <c r="J380" s="76" t="str">
        <f t="array" ref="J380:J381">{"SKILLFEATEXTRA-L04";((INDEX(ALLCLASSDATA,MATCH("SkillFeatExtra-L04",CLASSFEATUREHEADERS,0),MATCH(($A381 &amp; "Points"),CLASSNAMEHEADERS,0))))}</f>
        <v>SKILLFEATEXTRA-L04</v>
      </c>
      <c r="K380" s="76" t="str">
        <f t="array" ref="K380:K381">{"SKILLFEATEXTRA-L05";((INDEX(ALLCLASSDATA,MATCH("SkillFeatExtra-L05",CLASSFEATUREHEADERS,0),MATCH(($A381 &amp; "Points"),CLASSNAMEHEADERS,0))))}</f>
        <v>SKILLFEATEXTRA-L05</v>
      </c>
      <c r="L380" s="76" t="str">
        <f t="array" ref="L380:L381">{"SKILLFEATEXTRA-L06";((INDEX(ALLCLASSDATA,MATCH("SkillFeatExtra-L06",CLASSFEATUREHEADERS,0),MATCH(($A381 &amp; "Points"),CLASSNAMEHEADERS,0))))}</f>
        <v>SKILLFEATEXTRA-L06</v>
      </c>
      <c r="M380" s="76" t="str">
        <f t="array" ref="M380:M381">{"SKILLFEATEXTRA-L07";((INDEX(ALLCLASSDATA,MATCH("SkillFeatExtra-L07",CLASSFEATUREHEADERS,0),MATCH(($A381 &amp; "Points"),CLASSNAMEHEADERS,0))))}</f>
        <v>SKILLFEATEXTRA-L07</v>
      </c>
      <c r="N380" s="76" t="str">
        <f t="array" ref="N380:N381">{"SKILLFEATEXTRA-L08";((INDEX(ALLCLASSDATA,MATCH("SkillFeatExtra-L08",CLASSFEATUREHEADERS,0),MATCH(($A381 &amp; "Points"),CLASSNAMEHEADERS,0))))}</f>
        <v>SKILLFEATEXTRA-L08</v>
      </c>
      <c r="O380" s="76" t="str">
        <f t="array" ref="O380:O381">{"SKILLFEATEXTRA-L09";((INDEX(ALLCLASSDATA,MATCH("SkillFeatExtra-L09",CLASSFEATUREHEADERS,0),MATCH(($A381 &amp; "Points"),CLASSNAMEHEADERS,0))))}</f>
        <v>SKILLFEATEXTRA-L09</v>
      </c>
      <c r="P380" s="76" t="str">
        <f t="array" ref="P380:P381">{"SKILLFEATEXTRA-L10";((INDEX(ALLCLASSDATA,MATCH("SkillFeatExtra-L10",CLASSFEATUREHEADERS,0),MATCH(($A381 &amp; "Points"),CLASSNAMEHEADERS,0))))}</f>
        <v>SKILLFEATEXTRA-L10</v>
      </c>
      <c r="Q380" s="76" t="str">
        <f t="array" ref="Q380:Q381">{"SKILLFEATEXTRA-L11";((INDEX(ALLCLASSDATA,MATCH("SkillFeatExtra-L11",CLASSFEATUREHEADERS,0),MATCH(($A381 &amp; "Points"),CLASSNAMEHEADERS,0))))}</f>
        <v>SKILLFEATEXTRA-L11</v>
      </c>
      <c r="R380" s="76" t="str">
        <f t="array" ref="R380:R381">{"SKILLFEATEXTRA-L12";((INDEX(ALLCLASSDATA,MATCH("SkillFeatExtra-L12",CLASSFEATUREHEADERS,0),MATCH(($A381 &amp; "Points"),CLASSNAMEHEADERS,0))))}</f>
        <v>SKILLFEATEXTRA-L12</v>
      </c>
      <c r="S380" s="76" t="str">
        <f t="array" ref="S380:S381">{"SKILLFEATEXTRA-L13";((INDEX(ALLCLASSDATA,MATCH("SkillFeatExtra-L13",CLASSFEATUREHEADERS,0),MATCH(($A381 &amp; "Points"),CLASSNAMEHEADERS,0))))}</f>
        <v>SKILLFEATEXTRA-L13</v>
      </c>
      <c r="T380" s="76" t="str">
        <f t="array" ref="T380:T381">{"SKILLFEATEXTRA-L14";((INDEX(ALLCLASSDATA,MATCH("SkillFeatExtra-L14",CLASSFEATUREHEADERS,0),MATCH(($A381 &amp; "Points"),CLASSNAMEHEADERS,0))))}</f>
        <v>SKILLFEATEXTRA-L14</v>
      </c>
      <c r="U380" s="76" t="str">
        <f t="array" ref="U380:U381">{"SKILLFEATEXTRA-L15";((INDEX(ALLCLASSDATA,MATCH("SkillFeatExtra-L15",CLASSFEATUREHEADERS,0),MATCH(($A381 &amp; "Points"),CLASSNAMEHEADERS,0))))}</f>
        <v>SKILLFEATEXTRA-L15</v>
      </c>
      <c r="V380" s="76" t="str">
        <f t="array" ref="V380:V381">{"SKILLFEATEXTRA-L16";((INDEX(ALLCLASSDATA,MATCH("SkillFeatExtra-L16",CLASSFEATUREHEADERS,0),MATCH(($A381 &amp; "Points"),CLASSNAMEHEADERS,0))))}</f>
        <v>SKILLFEATEXTRA-L16</v>
      </c>
      <c r="W380" s="76" t="str">
        <f t="array" ref="W380:W381">{"SKILLFEATEXTRA-L17";((INDEX(ALLCLASSDATA,MATCH("SkillFeatExtra-L17",CLASSFEATUREHEADERS,0),MATCH(($A381 &amp; "Points"),CLASSNAMEHEADERS,0))))}</f>
        <v>SKILLFEATEXTRA-L17</v>
      </c>
      <c r="X380" s="76" t="str">
        <f t="array" ref="X380:X381">{"SKILLFEATEXTRA-L18";((INDEX(ALLCLASSDATA,MATCH("SkillFeatExtra-L18",CLASSFEATUREHEADERS,0),MATCH(($A381 &amp; "Points"),CLASSNAMEHEADERS,0))))}</f>
        <v>SKILLFEATEXTRA-L18</v>
      </c>
      <c r="Y380" s="76" t="str">
        <f t="array" ref="Y380:Y381">{"SKILLFEATEXTRA-L19";((INDEX(ALLCLASSDATA,MATCH("SkillFeatExtra-L19",CLASSFEATUREHEADERS,0),MATCH(($A381 &amp; "Points"),CLASSNAMEHEADERS,0))))}</f>
        <v>SKILLFEATEXTRA-L19</v>
      </c>
      <c r="Z380" s="76" t="str">
        <f t="array" ref="Z380:Z381">{"SKILLFEATEXTRA-L20";((INDEX(ALLCLASSDATA,MATCH("SkillFeatExtra-L20",CLASSFEATUREHEADERS,0),MATCH(($A381 &amp; "Points"),CLASSNAMEHEADERS,0))))}</f>
        <v>SKILLFEATEXTRA-L20</v>
      </c>
      <c r="AA380" s="76"/>
      <c r="AB380" s="76" t="str">
        <f t="array" ref="AB380:AB381">{"SKILLFEAT TOTAL";(sum(F381:Z381))}</f>
        <v>SKILLFEAT TOTAL</v>
      </c>
    </row>
    <row r="381">
      <c r="A381" s="48" t="s">
        <v>231</v>
      </c>
      <c r="B381" s="48" t="s">
        <v>418</v>
      </c>
      <c r="C381" s="97" t="s">
        <v>659</v>
      </c>
      <c r="D381" s="97" t="s">
        <v>722</v>
      </c>
      <c r="E381" s="97"/>
      <c r="F381" s="132"/>
      <c r="G381" s="98" t="s">
        <v>603</v>
      </c>
      <c r="H381" s="98" t="s">
        <v>603</v>
      </c>
      <c r="I381" s="97" t="s">
        <v>603</v>
      </c>
      <c r="J381" s="98" t="s">
        <v>603</v>
      </c>
      <c r="K381" s="97" t="s">
        <v>603</v>
      </c>
      <c r="L381" s="98" t="s">
        <v>603</v>
      </c>
      <c r="M381" s="98" t="s">
        <v>603</v>
      </c>
      <c r="N381" s="98" t="s">
        <v>603</v>
      </c>
      <c r="O381" s="98" t="s">
        <v>603</v>
      </c>
      <c r="P381" s="98" t="s">
        <v>603</v>
      </c>
      <c r="Q381" s="98" t="s">
        <v>603</v>
      </c>
      <c r="R381" s="98" t="s">
        <v>603</v>
      </c>
      <c r="S381" s="98" t="s">
        <v>603</v>
      </c>
      <c r="T381" s="98" t="s">
        <v>603</v>
      </c>
      <c r="U381" s="98" t="s">
        <v>603</v>
      </c>
      <c r="V381" s="98" t="s">
        <v>603</v>
      </c>
      <c r="W381" s="98" t="s">
        <v>603</v>
      </c>
      <c r="X381" s="98" t="s">
        <v>603</v>
      </c>
      <c r="Y381" s="98" t="s">
        <v>603</v>
      </c>
      <c r="Z381" s="98" t="s">
        <v>603</v>
      </c>
      <c r="AA381" s="5"/>
      <c r="AB381" s="47">
        <v>0.0</v>
      </c>
    </row>
    <row r="382" hidden="1">
      <c r="A382" s="76" t="str">
        <f t="array" ref="A382:A383">{"FormulaRow08";(INDEX(CLASSLIST,A367,1))}</f>
        <v>FormulaRow08</v>
      </c>
      <c r="B382" s="76" t="str">
        <f t="array" ref="B382:B383">{"CLASSTYPE";((INDEX(ALLCLASSDATA,MATCH("ClassType",CLASSFEATUREHEADERS,0),MATCH($A383,CLASSNAMEHEADERS,0))))}</f>
        <v>CLASSTYPE</v>
      </c>
      <c r="C382" s="81" t="str">
        <f t="array" ref="C382:C383">{"CLASSABILITY";"ClassAbility"}</f>
        <v>CLASSABILITY</v>
      </c>
      <c r="D382" s="81" t="str">
        <f t="array" ref="D382:D383">{"CLASSABILITY1";"ClassAbility1"}</f>
        <v>CLASSABILITY1</v>
      </c>
      <c r="E382" s="81"/>
      <c r="F382" s="81"/>
      <c r="G382" s="81"/>
      <c r="H382" s="81"/>
      <c r="I382" s="81" t="str">
        <f t="array" ref="I382:I383">{"CLASSABILITY1-L03";((INDEX(ALLCLASSDATA,MATCH("ClassAbility1-L03",CLASSFEATUREHEADERS,0),MATCH(($A383),CLASSNAMEHEADERS,0))))}</f>
        <v>CLASSABILITY1-L03</v>
      </c>
      <c r="J382" s="81"/>
      <c r="K382" s="81" t="str">
        <f t="array" ref="K382:K383">{"CLASSABILITY1-L05";((INDEX(ALLCLASSDATA,MATCH("ClassAbility1-L05",CLASSFEATUREHEADERS,0),MATCH(($A383),CLASSNAMEHEADERS,0))))}</f>
        <v>CLASSABILITY1-L05</v>
      </c>
      <c r="L382" s="81"/>
      <c r="M382" s="81" t="str">
        <f t="array" ref="M382:M383">{"CLASSABILITY1-L07";((INDEX(ALLCLASSDATA,MATCH("ClassAbility1-L07",CLASSFEATUREHEADERS,0),MATCH(($A383),CLASSNAMEHEADERS,0))))}</f>
        <v>CLASSABILITY1-L07</v>
      </c>
      <c r="N382" s="81"/>
      <c r="O382" s="81" t="str">
        <f t="array" ref="O382:O383">{"CLASSABILITY1-L09";((INDEX(ALLCLASSDATA,MATCH("ClassAbility1-L09",CLASSFEATUREHEADERS,0),MATCH(($A383),CLASSNAMEHEADERS,0))))}</f>
        <v>CLASSABILITY1-L09</v>
      </c>
      <c r="P382" s="81"/>
      <c r="Q382" s="81" t="str">
        <f t="array" ref="Q382:Q383">{"CLASSABILITY1-L11";((INDEX(ALLCLASSDATA,MATCH("ClassAbility1-L11",CLASSFEATUREHEADERS,0),MATCH(($A383),CLASSNAMEHEADERS,0))))}</f>
        <v>CLASSABILITY1-L11</v>
      </c>
      <c r="R382" s="81"/>
      <c r="S382" s="81" t="str">
        <f t="array" ref="S382:S383">{"CLASSABILITY1-L13";((INDEX(ALLCLASSDATA,MATCH("ClassAbility1-L13",CLASSFEATUREHEADERS,0),MATCH(($A383),CLASSNAMEHEADERS,0))))}</f>
        <v>CLASSABILITY1-L13</v>
      </c>
      <c r="T382" s="81"/>
      <c r="U382" s="81" t="str">
        <f t="array" ref="U382:U383">{"CLASSABILITY1-L15";((INDEX(ALLCLASSDATA,MATCH("ClassAbility1-L15",CLASSFEATUREHEADERS,0),MATCH(($A383),CLASSNAMEHEADERS,0))))}</f>
        <v>CLASSABILITY1-L15</v>
      </c>
      <c r="V382" s="81"/>
      <c r="W382" s="81" t="str">
        <f t="array" ref="W382:W383">{"CLASSABILITY1-L17";((INDEX(ALLCLASSDATA,MATCH("ClassAbility1-L17",CLASSFEATUREHEADERS,0),MATCH(($A383),CLASSNAMEHEADERS,0))))}</f>
        <v>CLASSABILITY1-L17</v>
      </c>
      <c r="X382" s="81"/>
      <c r="Y382" s="81" t="str">
        <f t="array" ref="Y382:Y383">{"CLASSABILITY1-L19";((INDEX(ALLCLASSDATA,MATCH("ClassAbility1-L19",CLASSFEATUREHEADERS,0),MATCH(($A383),CLASSNAMEHEADERS,0))))}</f>
        <v>CLASSABILITY1-L19</v>
      </c>
      <c r="Z382" s="81"/>
      <c r="AA382" s="76"/>
      <c r="AB382" s="76"/>
    </row>
    <row r="383">
      <c r="A383" s="48" t="s">
        <v>231</v>
      </c>
      <c r="B383" s="48" t="s">
        <v>418</v>
      </c>
      <c r="C383" s="48" t="s">
        <v>825</v>
      </c>
      <c r="D383" s="48" t="s">
        <v>826</v>
      </c>
      <c r="E383" s="5"/>
      <c r="F383" s="47"/>
      <c r="G383" s="5"/>
      <c r="H383" s="5"/>
      <c r="I383" s="5"/>
      <c r="J383" s="5"/>
      <c r="K383" s="5" t="s">
        <v>1698</v>
      </c>
      <c r="L383" s="5"/>
      <c r="M383" s="5" t="s">
        <v>350</v>
      </c>
      <c r="N383" s="5"/>
      <c r="O383" s="5" t="s">
        <v>323</v>
      </c>
      <c r="P383" s="5"/>
      <c r="Q383" s="5" t="s">
        <v>359</v>
      </c>
      <c r="R383" s="5"/>
      <c r="S383" s="5" t="s">
        <v>369</v>
      </c>
      <c r="T383" s="5"/>
      <c r="U383" s="5" t="s">
        <v>353</v>
      </c>
      <c r="V383" s="5"/>
      <c r="W383" s="5" t="s">
        <v>335</v>
      </c>
      <c r="X383" s="5"/>
      <c r="Y383" s="5" t="s">
        <v>1796</v>
      </c>
      <c r="Z383" s="5"/>
      <c r="AA383" s="5"/>
      <c r="AB383" s="47"/>
    </row>
    <row r="384" hidden="1">
      <c r="A384" s="76" t="str">
        <f t="array" ref="A384:A385">{"FormulaRow09";(INDEX(CLASSLIST,A367,1))}</f>
        <v>FormulaRow09</v>
      </c>
      <c r="B384" s="76" t="str">
        <f t="array" ref="B384:B385">{"CLASSTYPE";((INDEX(ALLCLASSDATA,MATCH("ClassType",CLASSFEATUREHEADERS,0),MATCH($A385,CLASSNAMEHEADERS,0))))}</f>
        <v>CLASSTYPE</v>
      </c>
      <c r="C384" s="76" t="str">
        <f t="array" ref="C384:C385">{"CLASSABILITYPTS";"ClassAbilityPts"}</f>
        <v>CLASSABILITYPTS</v>
      </c>
      <c r="D384" s="76" t="str">
        <f t="array" ref="D384:D385">{"CLASSABILITY1";"ClassAbility1"}</f>
        <v>CLASSABILITY1</v>
      </c>
      <c r="E384" s="76"/>
      <c r="F384" s="76"/>
      <c r="G384" s="76"/>
      <c r="H384" s="76"/>
      <c r="I384" s="76" t="str">
        <f t="array" ref="I384:I385">{"CLASSABILITY1-L03PTS";((INDEX(ALLCLASSDATA,MATCH("ClassAbility1-L03",CLASSFEATUREHEADERS,0),MATCH(($A385 &amp; "Points"),CLASSNAMEHEADERS,0))))}</f>
        <v>CLASSABILITY1-L03PTS</v>
      </c>
      <c r="J384" s="76"/>
      <c r="K384" s="76" t="str">
        <f t="array" ref="K384:K385">{"CLASSABILITY1-L05PTS";((INDEX(ALLCLASSDATA,MATCH("ClassAbility1-L05",CLASSFEATUREHEADERS,0),MATCH(($A385 &amp; "Points"),CLASSNAMEHEADERS,0))))}</f>
        <v>CLASSABILITY1-L05PTS</v>
      </c>
      <c r="L384" s="76"/>
      <c r="M384" s="76" t="str">
        <f t="array" ref="M384:M385">{"CLASSABILITY1-L07PTS";((INDEX(ALLCLASSDATA,MATCH("ClassAbility1-L07",CLASSFEATUREHEADERS,0),MATCH(($A385 &amp; "Points"),CLASSNAMEHEADERS,0))))}</f>
        <v>CLASSABILITY1-L07PTS</v>
      </c>
      <c r="N384" s="76"/>
      <c r="O384" s="76" t="str">
        <f t="array" ref="O384:O385">{"CLASSABILITY1-L09PTS";((INDEX(ALLCLASSDATA,MATCH("ClassAbility1-L09",CLASSFEATUREHEADERS,0),MATCH(($A385 &amp; "Points"),CLASSNAMEHEADERS,0))))}</f>
        <v>CLASSABILITY1-L09PTS</v>
      </c>
      <c r="P384" s="76"/>
      <c r="Q384" s="76" t="str">
        <f t="array" ref="Q384:Q385">{"CLASSABILITY1-L11PTS";((INDEX(ALLCLASSDATA,MATCH("ClassAbility1-L11",CLASSFEATUREHEADERS,0),MATCH(($A385 &amp; "Points"),CLASSNAMEHEADERS,0))))}</f>
        <v>CLASSABILITY1-L11PTS</v>
      </c>
      <c r="R384" s="76"/>
      <c r="S384" s="76" t="str">
        <f t="array" ref="S384:S385">{"CLASSABILITY1-L13PTS";((INDEX(ALLCLASSDATA,MATCH("ClassAbility1-L13",CLASSFEATUREHEADERS,0),MATCH(($A385 &amp; "Points"),CLASSNAMEHEADERS,0))))}</f>
        <v>CLASSABILITY1-L13PTS</v>
      </c>
      <c r="T384" s="76"/>
      <c r="U384" s="76" t="str">
        <f t="array" ref="U384:U385">{"CLASSABILITY1-L15PTS";((INDEX(ALLCLASSDATA,MATCH("ClassAbility1-L15",CLASSFEATUREHEADERS,0),MATCH(($A385 &amp; "Points"),CLASSNAMEHEADERS,0))))}</f>
        <v>CLASSABILITY1-L15PTS</v>
      </c>
      <c r="V384" s="76"/>
      <c r="W384" s="76" t="str">
        <f t="array" ref="W384:W385">{"CLASSABILITY1-L17PTS";((INDEX(ALLCLASSDATA,MATCH("ClassAbility1-L17",CLASSFEATUREHEADERS,0),MATCH(($A385 &amp; "Points"),CLASSNAMEHEADERS,0))))}</f>
        <v>CLASSABILITY1-L17PTS</v>
      </c>
      <c r="X384" s="76"/>
      <c r="Y384" s="76" t="str">
        <f t="array" ref="Y384:Y385">{"CLASSABILITY1-L19PTS";((INDEX(ALLCLASSDATA,MATCH("ClassAbility1-L19",CLASSFEATUREHEADERS,0),MATCH(($A385 &amp; "Points"),CLASSNAMEHEADERS,0))))}</f>
        <v>CLASSABILITY1-L19PTS</v>
      </c>
      <c r="Z384" s="76"/>
      <c r="AA384" s="76"/>
      <c r="AB384" s="76" t="str">
        <f t="array" ref="AB384:AB385">{"CLASSABILITY1 TOTAL";(sum(F385:Z385))}</f>
        <v>CLASSABILITY1 TOTAL</v>
      </c>
    </row>
    <row r="385">
      <c r="A385" s="48" t="s">
        <v>231</v>
      </c>
      <c r="B385" s="48" t="s">
        <v>418</v>
      </c>
      <c r="C385" s="48" t="s">
        <v>930</v>
      </c>
      <c r="D385" s="48" t="s">
        <v>826</v>
      </c>
      <c r="E385" s="5"/>
      <c r="F385" s="5"/>
      <c r="G385" s="5"/>
      <c r="H385" s="5"/>
      <c r="I385" s="48"/>
      <c r="J385" s="5"/>
      <c r="K385" s="5"/>
      <c r="L385" s="5"/>
      <c r="M385" s="5"/>
      <c r="N385" s="5"/>
      <c r="O385" s="5"/>
      <c r="P385" s="5"/>
      <c r="Q385" s="5"/>
      <c r="R385" s="5"/>
      <c r="S385" s="5"/>
      <c r="T385" s="5"/>
      <c r="U385" s="5"/>
      <c r="V385" s="5"/>
      <c r="W385" s="5"/>
      <c r="X385" s="5"/>
      <c r="Y385" s="5"/>
      <c r="Z385" s="5"/>
      <c r="AA385" s="5"/>
      <c r="AB385" s="47">
        <v>0.0</v>
      </c>
    </row>
    <row r="386" hidden="1">
      <c r="A386" s="76" t="str">
        <f t="array" ref="A386:A387">{"FormulaRow10";(INDEX(CLASSLIST,A367,1))}</f>
        <v>FormulaRow10</v>
      </c>
      <c r="B386" s="76" t="str">
        <f t="array" ref="B386:B387">{"CLASSTYPE";((INDEX(ALLCLASSDATA,MATCH("ClassType",CLASSFEATUREHEADERS,0),MATCH($A387,CLASSNAMEHEADERS,0))))}</f>
        <v>CLASSTYPE</v>
      </c>
      <c r="C386" s="76" t="str">
        <f t="array" ref="C386:C387">{"CLASSABILITY";"ClassAbility"}</f>
        <v>CLASSABILITY</v>
      </c>
      <c r="D386" s="76" t="str">
        <f t="array" ref="D386:D387">{"CLASSABILITY2";"ClassAbility2"}</f>
        <v>CLASSABILITY2</v>
      </c>
      <c r="E386" s="76"/>
      <c r="F386" s="76"/>
      <c r="G386" s="76"/>
      <c r="H386" s="76"/>
      <c r="I386" s="76" t="str">
        <f t="array" ref="I386:I387">{"CLASSABILITY2-L03";((INDEX(ALLCLASSDATA,MATCH("ClassAbility2-L03",CLASSFEATUREHEADERS,0),MATCH(($A387),CLASSNAMEHEADERS,0))))}</f>
        <v>CLASSABILITY2-L03</v>
      </c>
      <c r="J386" s="76"/>
      <c r="K386" s="76" t="str">
        <f t="array" ref="K386:K387">{"CLASSABILITY2-L05";((INDEX(ALLCLASSDATA,MATCH("ClassAbility2-L05",CLASSFEATUREHEADERS,0),MATCH(($A387),CLASSNAMEHEADERS,0))))}</f>
        <v>CLASSABILITY2-L05</v>
      </c>
      <c r="L386" s="76"/>
      <c r="M386" s="76" t="str">
        <f t="array" ref="M386:M387">{"CLASSABILITY2-L07";((INDEX(ALLCLASSDATA,MATCH("ClassAbility2-L07",CLASSFEATUREHEADERS,0),MATCH(($A387),CLASSNAMEHEADERS,0))))}</f>
        <v>CLASSABILITY2-L07</v>
      </c>
      <c r="N386" s="76"/>
      <c r="O386" s="76" t="str">
        <f t="array" ref="O386:O387">{"CLASSABILITY2-L09";((INDEX(ALLCLASSDATA,MATCH("ClassAbility2-L09",CLASSFEATUREHEADERS,0),MATCH(($A387),CLASSNAMEHEADERS,0))))}</f>
        <v>CLASSABILITY2-L09</v>
      </c>
      <c r="P386" s="76"/>
      <c r="Q386" s="76" t="str">
        <f t="array" ref="Q386:Q387">{"CLASSABILITY2-L11";((INDEX(ALLCLASSDATA,MATCH("ClassAbility2-L11",CLASSFEATUREHEADERS,0),MATCH(($A387),CLASSNAMEHEADERS,0))))}</f>
        <v>CLASSABILITY2-L11</v>
      </c>
      <c r="R386" s="76"/>
      <c r="S386" s="76" t="str">
        <f t="array" ref="S386:S387">{"CLASSABILITY2-L13";((INDEX(ALLCLASSDATA,MATCH("ClassAbility2-L13",CLASSFEATUREHEADERS,0),MATCH(($A387),CLASSNAMEHEADERS,0))))}</f>
        <v>CLASSABILITY2-L13</v>
      </c>
      <c r="T386" s="76"/>
      <c r="U386" s="76" t="str">
        <f t="array" ref="U386:U387">{"CLASSABILITY2-L15";((INDEX(ALLCLASSDATA,MATCH("ClassAbility2-L15",CLASSFEATUREHEADERS,0),MATCH(($A387),CLASSNAMEHEADERS,0))))}</f>
        <v>CLASSABILITY2-L15</v>
      </c>
      <c r="V386" s="76"/>
      <c r="W386" s="76" t="str">
        <f t="array" ref="W386:W387">{"CLASSABILITY2-L17";((INDEX(ALLCLASSDATA,MATCH("ClassAbility2-L17",CLASSFEATUREHEADERS,0),MATCH(($A387),CLASSNAMEHEADERS,0))))}</f>
        <v>CLASSABILITY2-L17</v>
      </c>
      <c r="X386" s="76"/>
      <c r="Y386" s="76" t="str">
        <f t="array" ref="Y386:Y387">{"CLASSABILITY2-L19";((INDEX(ALLCLASSDATA,MATCH("ClassAbility2-L19",CLASSFEATUREHEADERS,0),MATCH(($A387),CLASSNAMEHEADERS,0))))}</f>
        <v>CLASSABILITY2-L19</v>
      </c>
      <c r="Z386" s="76"/>
      <c r="AA386" s="76"/>
      <c r="AB386" s="76"/>
    </row>
    <row r="387">
      <c r="A387" s="48" t="s">
        <v>231</v>
      </c>
      <c r="B387" s="48" t="s">
        <v>418</v>
      </c>
      <c r="C387" s="48" t="s">
        <v>825</v>
      </c>
      <c r="D387" s="48" t="s">
        <v>1007</v>
      </c>
      <c r="E387" s="48"/>
      <c r="F387" s="47"/>
      <c r="G387" s="5"/>
      <c r="H387" s="5"/>
      <c r="I387" s="5"/>
      <c r="J387" s="5"/>
      <c r="K387" s="5"/>
      <c r="L387" s="5"/>
      <c r="M387" s="5"/>
      <c r="N387" s="5"/>
      <c r="O387" s="5"/>
      <c r="P387" s="5"/>
      <c r="Q387" s="5" t="s">
        <v>305</v>
      </c>
      <c r="R387" s="5"/>
      <c r="S387" s="5" t="s">
        <v>1756</v>
      </c>
      <c r="T387" s="5"/>
      <c r="U387" s="5"/>
      <c r="V387" s="5"/>
      <c r="W387" s="5"/>
      <c r="X387" s="5"/>
      <c r="Y387" s="5" t="s">
        <v>356</v>
      </c>
      <c r="Z387" s="5"/>
      <c r="AA387" s="5"/>
      <c r="AB387" s="47"/>
    </row>
    <row r="388" hidden="1">
      <c r="A388" s="76" t="str">
        <f t="array" ref="A388:A389">{"FormulaRow11";(INDEX(CLASSLIST,A367,1))}</f>
        <v>FormulaRow11</v>
      </c>
      <c r="B388" s="76" t="str">
        <f t="array" ref="B388:B389">{"CLASSTYPE";((INDEX(ALLCLASSDATA,MATCH("ClassType",CLASSFEATUREHEADERS,0),MATCH($A389,CLASSNAMEHEADERS,0))))}</f>
        <v>CLASSTYPE</v>
      </c>
      <c r="C388" s="76" t="str">
        <f t="array" ref="C388:C389">{"CLASSABILITYPTS";"ClassAbilityPts"}</f>
        <v>CLASSABILITYPTS</v>
      </c>
      <c r="D388" s="76" t="str">
        <f t="array" ref="D388:D389">{"CLASSABILITY2";"ClassAbility2"}</f>
        <v>CLASSABILITY2</v>
      </c>
      <c r="E388" s="76"/>
      <c r="F388" s="76"/>
      <c r="G388" s="76"/>
      <c r="H388" s="76"/>
      <c r="I388" s="76" t="str">
        <f t="array" ref="I388:I389">{"CLASSABILITY2-L03PTS";((INDEX(ALLCLASSDATA,MATCH("ClassAbility2-L03",CLASSFEATUREHEADERS,0),MATCH(($A389 &amp; "Points"),CLASSNAMEHEADERS,0))))}</f>
        <v>CLASSABILITY2-L03PTS</v>
      </c>
      <c r="J388" s="76"/>
      <c r="K388" s="76" t="str">
        <f t="array" ref="K388:K389">{"CLASSABILITY2-L05PTS";((INDEX(ALLCLASSDATA,MATCH("ClassAbility2-L05",CLASSFEATUREHEADERS,0),MATCH(($A389 &amp; "Points"),CLASSNAMEHEADERS,0))))}</f>
        <v>CLASSABILITY2-L05PTS</v>
      </c>
      <c r="L388" s="76"/>
      <c r="M388" s="76" t="str">
        <f t="array" ref="M388:M389">{"CLASSABILITY2-L07PTS";((INDEX(ALLCLASSDATA,MATCH("ClassAbility2-L07",CLASSFEATUREHEADERS,0),MATCH(($A389 &amp; "Points"),CLASSNAMEHEADERS,0))))}</f>
        <v>CLASSABILITY2-L07PTS</v>
      </c>
      <c r="N388" s="76"/>
      <c r="O388" s="76" t="str">
        <f t="array" ref="O388:O389">{"CLASSABILITY2-L09PTS";((INDEX(ALLCLASSDATA,MATCH("ClassAbility2-L09",CLASSFEATUREHEADERS,0),MATCH(($A389 &amp; "Points"),CLASSNAMEHEADERS,0))))}</f>
        <v>CLASSABILITY2-L09PTS</v>
      </c>
      <c r="P388" s="76"/>
      <c r="Q388" s="76" t="str">
        <f t="array" ref="Q388:Q389">{"CLASSABILITY2-L11PTS";((INDEX(ALLCLASSDATA,MATCH("ClassAbility2-L11",CLASSFEATUREHEADERS,0),MATCH(($A389 &amp; "Points"),CLASSNAMEHEADERS,0))))}</f>
        <v>CLASSABILITY2-L11PTS</v>
      </c>
      <c r="R388" s="76"/>
      <c r="S388" s="76" t="str">
        <f t="array" ref="S388:S389">{"CLASSABILITY2-L13PTS";((INDEX(ALLCLASSDATA,MATCH("ClassAbility2-L13",CLASSFEATUREHEADERS,0),MATCH(($A389 &amp; "Points"),CLASSNAMEHEADERS,0))))}</f>
        <v>CLASSABILITY2-L13PTS</v>
      </c>
      <c r="T388" s="76"/>
      <c r="U388" s="76" t="str">
        <f t="array" ref="U388:U389">{"CLASSABILITY2-L15PTS";((INDEX(ALLCLASSDATA,MATCH("ClassAbility2-L15",CLASSFEATUREHEADERS,0),MATCH(($A389 &amp; "Points"),CLASSNAMEHEADERS,0))))}</f>
        <v>CLASSABILITY2-L15PTS</v>
      </c>
      <c r="V388" s="76"/>
      <c r="W388" s="76" t="str">
        <f t="array" ref="W388:W389">{"CLASSABILITY2-L17PTS";((INDEX(ALLCLASSDATA,MATCH("ClassAbility2-L17",CLASSFEATUREHEADERS,0),MATCH(($A389 &amp; "Points"),CLASSNAMEHEADERS,0))))}</f>
        <v>CLASSABILITY2-L17PTS</v>
      </c>
      <c r="X388" s="76"/>
      <c r="Y388" s="76" t="str">
        <f t="array" ref="Y388:Y389">{"CLASSABILITY2-L19PTS";((INDEX(ALLCLASSDATA,MATCH("ClassAbility2-L19",CLASSFEATUREHEADERS,0),MATCH(($A389 &amp; "Points"),CLASSNAMEHEADERS,0))))}</f>
        <v>CLASSABILITY2-L19PTS</v>
      </c>
      <c r="Z388" s="76"/>
      <c r="AA388" s="76"/>
      <c r="AB388" s="76" t="str">
        <f t="array" ref="AB388:AB389">{"CLASSABILITY2 TOTAL";(sum(F389:Z389))}</f>
        <v>CLASSABILITY2 TOTAL</v>
      </c>
    </row>
    <row r="389">
      <c r="A389" s="48" t="s">
        <v>231</v>
      </c>
      <c r="B389" s="48" t="s">
        <v>418</v>
      </c>
      <c r="C389" s="48" t="s">
        <v>930</v>
      </c>
      <c r="D389" s="48" t="s">
        <v>1007</v>
      </c>
      <c r="E389" s="48"/>
      <c r="F389" s="47"/>
      <c r="G389" s="5"/>
      <c r="H389" s="5"/>
      <c r="I389" s="5"/>
      <c r="J389" s="5"/>
      <c r="K389" s="5"/>
      <c r="L389" s="5"/>
      <c r="M389" s="5"/>
      <c r="N389" s="5"/>
      <c r="O389" s="5"/>
      <c r="P389" s="5"/>
      <c r="Q389" s="5"/>
      <c r="R389" s="5"/>
      <c r="S389" s="5"/>
      <c r="T389" s="5"/>
      <c r="U389" s="5"/>
      <c r="V389" s="5"/>
      <c r="W389" s="5"/>
      <c r="X389" s="5"/>
      <c r="Y389" s="5"/>
      <c r="Z389" s="5"/>
      <c r="AA389" s="5"/>
      <c r="AB389" s="47">
        <v>0.0</v>
      </c>
    </row>
    <row r="390" hidden="1">
      <c r="A390" s="76" t="str">
        <f t="array" ref="A390:A391">{"FormulaRow12";(INDEX(CLASSLIST,A367,1))}</f>
        <v>FormulaRow12</v>
      </c>
      <c r="B390" s="76" t="str">
        <f t="array" ref="B390:B391">{"CLASSTYPE";((INDEX(ALLCLASSDATA,MATCH("ClassType",CLASSFEATUREHEADERS,0),MATCH($A391,CLASSNAMEHEADERS,0))))}</f>
        <v>CLASSTYPE</v>
      </c>
      <c r="C390" s="76" t="str">
        <f t="array" ref="C390:C391">{"CLASSABILITY";"ClassAbility"}</f>
        <v>CLASSABILITY</v>
      </c>
      <c r="D390" s="76" t="str">
        <f t="array" ref="D390:D391">{"CLASSABILITY3";"ClassAbility3"}</f>
        <v>CLASSABILITY3</v>
      </c>
      <c r="E390" s="76"/>
      <c r="F390" s="76"/>
      <c r="G390" s="76"/>
      <c r="H390" s="76"/>
      <c r="I390" s="76" t="str">
        <f t="array" ref="I390:I391">{"CLASSABILITY3-L03";((INDEX(ALLCLASSDATA,MATCH("ClassAbility3-L03",CLASSFEATUREHEADERS,0),MATCH(($A391),CLASSNAMEHEADERS,0))))}</f>
        <v>CLASSABILITY3-L03</v>
      </c>
      <c r="J390" s="76"/>
      <c r="K390" s="76" t="str">
        <f t="array" ref="K390:K391">{"CLASSABILITY3-L05";((INDEX(ALLCLASSDATA,MATCH("ClassAbility3-L05",CLASSFEATUREHEADERS,0),MATCH(($A391),CLASSNAMEHEADERS,0))))}</f>
        <v>CLASSABILITY3-L05</v>
      </c>
      <c r="L390" s="76"/>
      <c r="M390" s="76" t="str">
        <f t="array" ref="M390:M391">{"CLASSABILITY3-L07";((INDEX(ALLCLASSDATA,MATCH("ClassAbility3-L07",CLASSFEATUREHEADERS,0),MATCH(($A391),CLASSNAMEHEADERS,0))))}</f>
        <v>CLASSABILITY3-L07</v>
      </c>
      <c r="N390" s="76"/>
      <c r="O390" s="76" t="str">
        <f t="array" ref="O390:O391">{"CLASSABILITY3-L09";((INDEX(ALLCLASSDATA,MATCH("ClassAbility3-L09",CLASSFEATUREHEADERS,0),MATCH(($A391),CLASSNAMEHEADERS,0))))}</f>
        <v>CLASSABILITY3-L09</v>
      </c>
      <c r="P390" s="76"/>
      <c r="Q390" s="76" t="str">
        <f t="array" ref="Q390:Q391">{"CLASSABILITY3-L11";((INDEX(ALLCLASSDATA,MATCH("ClassAbility3-L11",CLASSFEATUREHEADERS,0),MATCH(($A391),CLASSNAMEHEADERS,0))))}</f>
        <v>CLASSABILITY3-L11</v>
      </c>
      <c r="R390" s="76"/>
      <c r="S390" s="76" t="str">
        <f t="array" ref="S390:S391">{"CLASSABILITY3-L13";((INDEX(ALLCLASSDATA,MATCH("ClassAbility3-L13",CLASSFEATUREHEADERS,0),MATCH(($A391),CLASSNAMEHEADERS,0))))}</f>
        <v>CLASSABILITY3-L13</v>
      </c>
      <c r="T390" s="76"/>
      <c r="U390" s="76" t="str">
        <f t="array" ref="U390:U391">{"CLASSABILITY3-L15";((INDEX(ALLCLASSDATA,MATCH("ClassAbility3-L15",CLASSFEATUREHEADERS,0),MATCH(($A391),CLASSNAMEHEADERS,0))))}</f>
        <v>CLASSABILITY3-L15</v>
      </c>
      <c r="V390" s="76"/>
      <c r="W390" s="76" t="str">
        <f t="array" ref="W390:W391">{"CLASSABILITY3-L17";((INDEX(ALLCLASSDATA,MATCH("ClassAbility3-L17",CLASSFEATUREHEADERS,0),MATCH(($A391),CLASSNAMEHEADERS,0))))}</f>
        <v>CLASSABILITY3-L17</v>
      </c>
      <c r="X390" s="76"/>
      <c r="Y390" s="76" t="str">
        <f t="array" ref="Y390:Y391">{"CLASSABILITY3-L19";((INDEX(ALLCLASSDATA,MATCH("ClassAbility3-L19",CLASSFEATUREHEADERS,0),MATCH(($A391),CLASSNAMEHEADERS,0))))}</f>
        <v>CLASSABILITY3-L19</v>
      </c>
      <c r="Z390" s="76"/>
      <c r="AA390" s="76"/>
      <c r="AB390" s="76"/>
    </row>
    <row r="391">
      <c r="A391" s="48" t="s">
        <v>231</v>
      </c>
      <c r="B391" s="48" t="s">
        <v>418</v>
      </c>
      <c r="C391" s="48" t="s">
        <v>825</v>
      </c>
      <c r="D391" s="48" t="s">
        <v>1144</v>
      </c>
      <c r="E391" s="48"/>
      <c r="F391" s="47"/>
      <c r="G391" s="5"/>
      <c r="H391" s="5"/>
      <c r="I391" s="5"/>
      <c r="J391" s="5"/>
      <c r="K391" s="5"/>
      <c r="L391" s="5"/>
      <c r="M391" s="5"/>
      <c r="N391" s="5"/>
      <c r="O391" s="5"/>
      <c r="P391" s="5"/>
      <c r="Q391" s="5"/>
      <c r="R391" s="5"/>
      <c r="S391" s="5"/>
      <c r="T391" s="5"/>
      <c r="U391" s="5"/>
      <c r="V391" s="5"/>
      <c r="W391" s="5"/>
      <c r="X391" s="5"/>
      <c r="Y391" s="5"/>
      <c r="Z391" s="5"/>
      <c r="AA391" s="5"/>
      <c r="AB391" s="47"/>
    </row>
    <row r="392" hidden="1">
      <c r="A392" s="76" t="str">
        <f t="array" ref="A392:A393">{"FormulaRow13";(INDEX(CLASSLIST,A367,1))}</f>
        <v>FormulaRow13</v>
      </c>
      <c r="B392" s="76" t="str">
        <f t="array" ref="B392:B393">{"CLASSTYPE";((INDEX(ALLCLASSDATA,MATCH("ClassType",CLASSFEATUREHEADERS,0),MATCH($A393,CLASSNAMEHEADERS,0))))}</f>
        <v>CLASSTYPE</v>
      </c>
      <c r="C392" s="76" t="str">
        <f t="array" ref="C392:C393">{"CLASSABILITYPTS";"ClassAbilityPts"}</f>
        <v>CLASSABILITYPTS</v>
      </c>
      <c r="D392" s="76" t="str">
        <f t="array" ref="D392:D393">{"CLASSABILITY3";"ClassAbility3"}</f>
        <v>CLASSABILITY3</v>
      </c>
      <c r="E392" s="76"/>
      <c r="F392" s="76"/>
      <c r="G392" s="76"/>
      <c r="H392" s="76"/>
      <c r="I392" s="76" t="str">
        <f t="array" ref="I392:I393">{"CLASSABILITY3-L03PTS";((INDEX(ALLCLASSDATA,MATCH("ClassAbility3-L03",CLASSFEATUREHEADERS,0),MATCH(($A393 &amp; "Points"),CLASSNAMEHEADERS,0))))}</f>
        <v>CLASSABILITY3-L03PTS</v>
      </c>
      <c r="J392" s="76"/>
      <c r="K392" s="76" t="str">
        <f t="array" ref="K392:K393">{"CLASSABILITY3-L05PTS";((INDEX(ALLCLASSDATA,MATCH("ClassAbility3-L05",CLASSFEATUREHEADERS,0),MATCH(($A393 &amp; "Points"),CLASSNAMEHEADERS,0))))}</f>
        <v>CLASSABILITY3-L05PTS</v>
      </c>
      <c r="L392" s="76"/>
      <c r="M392" s="76" t="str">
        <f t="array" ref="M392:M393">{"CLASSABILITY3-L07PTS";((INDEX(ALLCLASSDATA,MATCH("ClassAbility3-L07",CLASSFEATUREHEADERS,0),MATCH(($A393 &amp; "Points"),CLASSNAMEHEADERS,0))))}</f>
        <v>CLASSABILITY3-L07PTS</v>
      </c>
      <c r="N392" s="76"/>
      <c r="O392" s="76" t="str">
        <f t="array" ref="O392:O393">{"CLASSABILITY3-L09PTS";((INDEX(ALLCLASSDATA,MATCH("ClassAbility3-L09",CLASSFEATUREHEADERS,0),MATCH(($A393 &amp; "Points"),CLASSNAMEHEADERS,0))))}</f>
        <v>CLASSABILITY3-L09PTS</v>
      </c>
      <c r="P392" s="76"/>
      <c r="Q392" s="76" t="str">
        <f t="array" ref="Q392:Q393">{"CLASSABILITY3-L11PTS";((INDEX(ALLCLASSDATA,MATCH("ClassAbility3-L11",CLASSFEATUREHEADERS,0),MATCH(($A393 &amp; "Points"),CLASSNAMEHEADERS,0))))}</f>
        <v>CLASSABILITY3-L11PTS</v>
      </c>
      <c r="R392" s="76"/>
      <c r="S392" s="76" t="str">
        <f t="array" ref="S392:S393">{"CLASSABILITY3-L13PTS";((INDEX(ALLCLASSDATA,MATCH("ClassAbility3-L13",CLASSFEATUREHEADERS,0),MATCH(($A393 &amp; "Points"),CLASSNAMEHEADERS,0))))}</f>
        <v>CLASSABILITY3-L13PTS</v>
      </c>
      <c r="T392" s="76"/>
      <c r="U392" s="76" t="str">
        <f t="array" ref="U392:U393">{"CLASSABILITY3-L15PTS";((INDEX(ALLCLASSDATA,MATCH("ClassAbility3-L15",CLASSFEATUREHEADERS,0),MATCH(($A393 &amp; "Points"),CLASSNAMEHEADERS,0))))}</f>
        <v>CLASSABILITY3-L15PTS</v>
      </c>
      <c r="V392" s="76"/>
      <c r="W392" s="76" t="str">
        <f t="array" ref="W392:W393">{"CLASSABILITY3-L17PTS";((INDEX(ALLCLASSDATA,MATCH("ClassAbility3-L17",CLASSFEATUREHEADERS,0),MATCH(($A393 &amp; "Points"),CLASSNAMEHEADERS,0))))}</f>
        <v>CLASSABILITY3-L17PTS</v>
      </c>
      <c r="X392" s="76"/>
      <c r="Y392" s="76" t="str">
        <f t="array" ref="Y392:Y393">{"CLASSABILITY3-L19PTS";((INDEX(ALLCLASSDATA,MATCH("ClassAbility3-L19",CLASSFEATUREHEADERS,0),MATCH(($A393 &amp; "Points"),CLASSNAMEHEADERS,0))))}</f>
        <v>CLASSABILITY3-L19PTS</v>
      </c>
      <c r="Z392" s="76"/>
      <c r="AA392" s="76"/>
      <c r="AB392" s="76" t="str">
        <f t="array" ref="AB392:AB393">{"CLASSABILITY3 TOTAL";(sum(F393:Z393))}</f>
        <v>CLASSABILITY3 TOTAL</v>
      </c>
    </row>
    <row r="393">
      <c r="A393" s="48" t="s">
        <v>231</v>
      </c>
      <c r="B393" s="48" t="s">
        <v>418</v>
      </c>
      <c r="C393" s="48" t="s">
        <v>930</v>
      </c>
      <c r="D393" s="48" t="s">
        <v>1144</v>
      </c>
      <c r="E393" s="48"/>
      <c r="F393" s="47"/>
      <c r="G393" s="5"/>
      <c r="H393" s="5"/>
      <c r="I393" s="5"/>
      <c r="J393" s="5"/>
      <c r="K393" s="5"/>
      <c r="L393" s="5"/>
      <c r="M393" s="5"/>
      <c r="N393" s="5"/>
      <c r="O393" s="5"/>
      <c r="P393" s="5"/>
      <c r="Q393" s="5"/>
      <c r="R393" s="5"/>
      <c r="S393" s="5"/>
      <c r="T393" s="5"/>
      <c r="U393" s="5"/>
      <c r="V393" s="5"/>
      <c r="W393" s="5"/>
      <c r="X393" s="5"/>
      <c r="Y393" s="5"/>
      <c r="Z393" s="5"/>
      <c r="AA393" s="5"/>
      <c r="AB393" s="47">
        <v>0.0</v>
      </c>
    </row>
    <row r="394" hidden="1">
      <c r="A394" s="76" t="str">
        <f t="array" ref="A394:A395">{"FormulaRow14";(INDEX(CLASSLIST,A367,1))}</f>
        <v>FormulaRow14</v>
      </c>
      <c r="B394" s="76" t="str">
        <f t="array" ref="B394:B395">{"CLASSTYPE";((INDEX(ALLCLASSDATA,MATCH("ClassType",CLASSFEATUREHEADERS,0),MATCH($A395,CLASSNAMEHEADERS,0))))}</f>
        <v>CLASSTYPE</v>
      </c>
      <c r="C394" s="76" t="str">
        <f t="array" ref="C394:C395">{"CLASSABILITY";"ClassAbility"}</f>
        <v>CLASSABILITY</v>
      </c>
      <c r="D394" s="76" t="str">
        <f t="array" ref="D394:D395">{"CLASSABILITY4";"ClassAbility4"}</f>
        <v>CLASSABILITY4</v>
      </c>
      <c r="E394" s="76"/>
      <c r="F394" s="76"/>
      <c r="G394" s="76"/>
      <c r="H394" s="76"/>
      <c r="I394" s="76" t="str">
        <f t="array" ref="I394:I395">{"CLASSABILITY4-L03";((INDEX(ALLCLASSDATA,MATCH("ClassAbility4-L03",CLASSFEATUREHEADERS,0),MATCH(($A395),CLASSNAMEHEADERS,0))))}</f>
        <v>CLASSABILITY4-L03</v>
      </c>
      <c r="J394" s="76"/>
      <c r="K394" s="76" t="str">
        <f t="array" ref="K394:K395">{"CLASSABILITY4-L05";((INDEX(ALLCLASSDATA,MATCH("ClassAbility4-L05",CLASSFEATUREHEADERS,0),MATCH(($A395),CLASSNAMEHEADERS,0))))}</f>
        <v>CLASSABILITY4-L05</v>
      </c>
      <c r="L394" s="76"/>
      <c r="M394" s="76" t="str">
        <f t="array" ref="M394:M395">{"CLASSABILITY4-L07";((INDEX(ALLCLASSDATA,MATCH("ClassAbility4-L07",CLASSFEATUREHEADERS,0),MATCH(($A395),CLASSNAMEHEADERS,0))))}</f>
        <v>CLASSABILITY4-L07</v>
      </c>
      <c r="N394" s="76"/>
      <c r="O394" s="76" t="str">
        <f t="array" ref="O394:O395">{"CLASSABILITY4-L09";((INDEX(ALLCLASSDATA,MATCH("ClassAbility4-L09",CLASSFEATUREHEADERS,0),MATCH(($A395),CLASSNAMEHEADERS,0))))}</f>
        <v>CLASSABILITY4-L09</v>
      </c>
      <c r="P394" s="76"/>
      <c r="Q394" s="76" t="str">
        <f t="array" ref="Q394:Q395">{"CLASSABILITY4-L11";((INDEX(ALLCLASSDATA,MATCH("ClassAbility4-L11",CLASSFEATUREHEADERS,0),MATCH(($A395),CLASSNAMEHEADERS,0))))}</f>
        <v>CLASSABILITY4-L11</v>
      </c>
      <c r="R394" s="76"/>
      <c r="S394" s="76" t="str">
        <f t="array" ref="S394:S395">{"CLASSABILITY4-L13";((INDEX(ALLCLASSDATA,MATCH("ClassAbility4-L13",CLASSFEATUREHEADERS,0),MATCH(($A395),CLASSNAMEHEADERS,0))))}</f>
        <v>CLASSABILITY4-L13</v>
      </c>
      <c r="T394" s="76"/>
      <c r="U394" s="76" t="str">
        <f t="array" ref="U394:U395">{"CLASSABILITY4-L15";((INDEX(ALLCLASSDATA,MATCH("ClassAbility4-L15",CLASSFEATUREHEADERS,0),MATCH(($A395),CLASSNAMEHEADERS,0))))}</f>
        <v>CLASSABILITY4-L15</v>
      </c>
      <c r="V394" s="76"/>
      <c r="W394" s="76" t="str">
        <f t="array" ref="W394:W395">{"CLASSABILITY4-L17";((INDEX(ALLCLASSDATA,MATCH("ClassAbility4-L17",CLASSFEATUREHEADERS,0),MATCH(($A395),CLASSNAMEHEADERS,0))))}</f>
        <v>CLASSABILITY4-L17</v>
      </c>
      <c r="X394" s="76"/>
      <c r="Y394" s="76" t="str">
        <f t="array" ref="Y394:Y395">{"CLASSABILITY4-L19";((INDEX(ALLCLASSDATA,MATCH("ClassAbility4-L19",CLASSFEATUREHEADERS,0),MATCH(($A395),CLASSNAMEHEADERS,0))))}</f>
        <v>CLASSABILITY4-L19</v>
      </c>
      <c r="Z394" s="76"/>
      <c r="AA394" s="76"/>
      <c r="AB394" s="76"/>
    </row>
    <row r="395">
      <c r="A395" s="48" t="s">
        <v>231</v>
      </c>
      <c r="B395" s="48" t="s">
        <v>418</v>
      </c>
      <c r="C395" s="48" t="s">
        <v>825</v>
      </c>
      <c r="D395" s="48" t="s">
        <v>1273</v>
      </c>
      <c r="E395" s="48"/>
      <c r="F395" s="47"/>
      <c r="G395" s="5"/>
      <c r="H395" s="5"/>
      <c r="I395" s="5"/>
      <c r="J395" s="5"/>
      <c r="K395" s="5"/>
      <c r="L395" s="5"/>
      <c r="M395" s="5"/>
      <c r="N395" s="5"/>
      <c r="O395" s="5"/>
      <c r="P395" s="5"/>
      <c r="Q395" s="5"/>
      <c r="R395" s="5"/>
      <c r="S395" s="5"/>
      <c r="T395" s="5"/>
      <c r="U395" s="5"/>
      <c r="V395" s="5"/>
      <c r="W395" s="5"/>
      <c r="X395" s="5"/>
      <c r="Y395" s="5"/>
      <c r="Z395" s="5"/>
      <c r="AA395" s="5"/>
      <c r="AB395" s="47"/>
    </row>
    <row r="396" hidden="1">
      <c r="A396" s="76" t="str">
        <f t="array" ref="A396:A397">{"FormulaRow15";(INDEX(CLASSLIST,A367,1))}</f>
        <v>FormulaRow15</v>
      </c>
      <c r="B396" s="76" t="str">
        <f t="array" ref="B396:B397">{"CLASSTYPE";((INDEX(ALLCLASSDATA,MATCH("ClassType",CLASSFEATUREHEADERS,0),MATCH($A397,CLASSNAMEHEADERS,0))))}</f>
        <v>CLASSTYPE</v>
      </c>
      <c r="C396" s="76" t="str">
        <f t="array" ref="C396:C397">{"CLASSABILITYPTS";"ClassAbilityPts"}</f>
        <v>CLASSABILITYPTS</v>
      </c>
      <c r="D396" s="76" t="str">
        <f t="array" ref="D396:D397">{"CLASSABILITY4";"ClassAbility4"}</f>
        <v>CLASSABILITY4</v>
      </c>
      <c r="E396" s="76"/>
      <c r="F396" s="76"/>
      <c r="G396" s="76"/>
      <c r="H396" s="76"/>
      <c r="I396" s="76" t="str">
        <f t="array" ref="I396:I397">{"CLASSABILITY4-L03PTS";((INDEX(ALLCLASSDATA,MATCH("ClassAbility4-L03",CLASSFEATUREHEADERS,0),MATCH(($A397 &amp; "Points"),CLASSNAMEHEADERS,0))))}</f>
        <v>CLASSABILITY4-L03PTS</v>
      </c>
      <c r="J396" s="76"/>
      <c r="K396" s="76" t="str">
        <f t="array" ref="K396:K397">{"CLASSABILITY4-L05PTS";((INDEX(ALLCLASSDATA,MATCH("ClassAbility4-L05",CLASSFEATUREHEADERS,0),MATCH(($A397 &amp; "Points"),CLASSNAMEHEADERS,0))))}</f>
        <v>CLASSABILITY4-L05PTS</v>
      </c>
      <c r="L396" s="76"/>
      <c r="M396" s="76" t="str">
        <f t="array" ref="M396:M397">{"CLASSABILITY4-L07PTS";((INDEX(ALLCLASSDATA,MATCH("ClassAbility4-L07",CLASSFEATUREHEADERS,0),MATCH(($A397 &amp; "Points"),CLASSNAMEHEADERS,0))))}</f>
        <v>CLASSABILITY4-L07PTS</v>
      </c>
      <c r="N396" s="76"/>
      <c r="O396" s="76" t="str">
        <f t="array" ref="O396:O397">{"CLASSABILITY4-L09PTS";((INDEX(ALLCLASSDATA,MATCH("ClassAbility4-L09",CLASSFEATUREHEADERS,0),MATCH(($A397 &amp; "Points"),CLASSNAMEHEADERS,0))))}</f>
        <v>CLASSABILITY4-L09PTS</v>
      </c>
      <c r="P396" s="76"/>
      <c r="Q396" s="76" t="str">
        <f t="array" ref="Q396:Q397">{"CLASSABILITY4-L11PTS";((INDEX(ALLCLASSDATA,MATCH("ClassAbility4-L11",CLASSFEATUREHEADERS,0),MATCH(($A397 &amp; "Points"),CLASSNAMEHEADERS,0))))}</f>
        <v>CLASSABILITY4-L11PTS</v>
      </c>
      <c r="R396" s="76"/>
      <c r="S396" s="76" t="str">
        <f t="array" ref="S396:S397">{"CLASSABILITY4-L13PTS";((INDEX(ALLCLASSDATA,MATCH("ClassAbility4-L13",CLASSFEATUREHEADERS,0),MATCH(($A397 &amp; "Points"),CLASSNAMEHEADERS,0))))}</f>
        <v>CLASSABILITY4-L13PTS</v>
      </c>
      <c r="T396" s="76"/>
      <c r="U396" s="76" t="str">
        <f t="array" ref="U396:U397">{"CLASSABILITY4-L15PTS";((INDEX(ALLCLASSDATA,MATCH("ClassAbility4-L15",CLASSFEATUREHEADERS,0),MATCH(($A397 &amp; "Points"),CLASSNAMEHEADERS,0))))}</f>
        <v>CLASSABILITY4-L15PTS</v>
      </c>
      <c r="V396" s="76"/>
      <c r="W396" s="76" t="str">
        <f t="array" ref="W396:W397">{"CLASSABILITY4-L17PTS";((INDEX(ALLCLASSDATA,MATCH("ClassAbility4-L17",CLASSFEATUREHEADERS,0),MATCH(($A397 &amp; "Points"),CLASSNAMEHEADERS,0))))}</f>
        <v>CLASSABILITY4-L17PTS</v>
      </c>
      <c r="X396" s="76"/>
      <c r="Y396" s="76" t="str">
        <f t="array" ref="Y396:Y397">{"CLASSABILITY4-L19PTS";((INDEX(ALLCLASSDATA,MATCH("ClassAbility4-L19",CLASSFEATUREHEADERS,0),MATCH(($A397 &amp; "Points"),CLASSNAMEHEADERS,0))))}</f>
        <v>CLASSABILITY4-L19PTS</v>
      </c>
      <c r="Z396" s="76"/>
      <c r="AA396" s="76"/>
      <c r="AB396" s="76" t="str">
        <f t="array" ref="AB396:AB397">{"CLASSABILITY4 TOTAL";(sum(F397:Z397))}</f>
        <v>CLASSABILITY4 TOTAL</v>
      </c>
    </row>
    <row r="397">
      <c r="A397" s="48" t="s">
        <v>231</v>
      </c>
      <c r="B397" s="48" t="s">
        <v>418</v>
      </c>
      <c r="C397" s="48" t="s">
        <v>930</v>
      </c>
      <c r="D397" s="48" t="s">
        <v>1273</v>
      </c>
      <c r="E397" s="48"/>
      <c r="F397" s="47"/>
      <c r="G397" s="5"/>
      <c r="H397" s="5"/>
      <c r="I397" s="5"/>
      <c r="J397" s="5"/>
      <c r="K397" s="5"/>
      <c r="L397" s="5"/>
      <c r="M397" s="5"/>
      <c r="N397" s="5"/>
      <c r="O397" s="5"/>
      <c r="P397" s="5"/>
      <c r="Q397" s="5"/>
      <c r="R397" s="5"/>
      <c r="S397" s="5"/>
      <c r="T397" s="5"/>
      <c r="U397" s="5"/>
      <c r="V397" s="5"/>
      <c r="W397" s="5"/>
      <c r="X397" s="5"/>
      <c r="Y397" s="5"/>
      <c r="Z397" s="5"/>
      <c r="AA397" s="5"/>
      <c r="AB397" s="47">
        <v>0.0</v>
      </c>
    </row>
    <row r="398" hidden="1">
      <c r="A398" s="76" t="str">
        <f t="array" ref="A398:A399">{"FormulaRow16";(INDEX(CLASSLIST,A367,1))}</f>
        <v>FormulaRow16</v>
      </c>
      <c r="B398" s="76" t="str">
        <f t="array" ref="B398:B399">{"CLASSTYPE";((INDEX(ALLCLASSDATA,MATCH("ClassType",CLASSFEATUREHEADERS,0),MATCH($A399,CLASSNAMEHEADERS,0))))}</f>
        <v>CLASSTYPE</v>
      </c>
      <c r="C398" s="76" t="str">
        <f t="array" ref="C398:C399">{"CLASSABILITY";"ClassAbility"}</f>
        <v>CLASSABILITY</v>
      </c>
      <c r="D398" s="76" t="str">
        <f t="array" ref="D398:D399">{"SUBCLASSABILITY1";"SubclassAbility1"}</f>
        <v>SUBCLASSABILITY1</v>
      </c>
      <c r="E398" s="76"/>
      <c r="F398" s="76"/>
      <c r="G398" s="76"/>
      <c r="H398" s="76"/>
      <c r="I398" s="76" t="str">
        <f t="array" ref="I398:I399">{"SUBCLASSABILITY1-L03";((INDEX(ALLCLASSDATA,MATCH("SubclassAbility1-L03",CLASSFEATUREHEADERS,0),MATCH(($A399),CLASSNAMEHEADERS,0))))}</f>
        <v>SUBCLASSABILITY1-L03</v>
      </c>
      <c r="J398" s="76"/>
      <c r="K398" s="76" t="str">
        <f t="array" ref="K398:K399">{"SUBCLASSABILITY1-L05";((INDEX(ALLCLASSDATA,MATCH("SubclassAbility1-L05",CLASSFEATUREHEADERS,0),MATCH(($A399),CLASSNAMEHEADERS,0))))}</f>
        <v>SUBCLASSABILITY1-L05</v>
      </c>
      <c r="L398" s="76"/>
      <c r="M398" s="76" t="str">
        <f t="array" ref="M398:M399">{"SUBCLASSABILITY1-L07";((INDEX(ALLCLASSDATA,MATCH("SubclassAbility1-L07",CLASSFEATUREHEADERS,0),MATCH(($A399),CLASSNAMEHEADERS,0))))}</f>
        <v>SUBCLASSABILITY1-L07</v>
      </c>
      <c r="N398" s="76"/>
      <c r="O398" s="76" t="str">
        <f t="array" ref="O398:O399">{"SUBCLASSABILITY1-L09";((INDEX(ALLCLASSDATA,MATCH("SubclassAbility1-L09",CLASSFEATUREHEADERS,0),MATCH(($A399),CLASSNAMEHEADERS,0))))}</f>
        <v>SUBCLASSABILITY1-L09</v>
      </c>
      <c r="P398" s="76"/>
      <c r="Q398" s="76" t="str">
        <f t="array" ref="Q398:Q399">{"SUBCLASSABILITY1-L11";((INDEX(ALLCLASSDATA,MATCH("SubclassAbility1-L11",CLASSFEATUREHEADERS,0),MATCH(($A399),CLASSNAMEHEADERS,0))))}</f>
        <v>SUBCLASSABILITY1-L11</v>
      </c>
      <c r="R398" s="76"/>
      <c r="S398" s="76" t="str">
        <f t="array" ref="S398:S399">{"SUBCLASSABILITY1-L13";((INDEX(ALLCLASSDATA,MATCH("SubclassAbility1-L13",CLASSFEATUREHEADERS,0),MATCH(($A399),CLASSNAMEHEADERS,0))))}</f>
        <v>SUBCLASSABILITY1-L13</v>
      </c>
      <c r="T398" s="76"/>
      <c r="U398" s="76" t="str">
        <f t="array" ref="U398:U399">{"SUBCLASSABILITY1-L15";((INDEX(ALLCLASSDATA,MATCH("SubclassAbility1-L15",CLASSFEATUREHEADERS,0),MATCH(($A399),CLASSNAMEHEADERS,0))))}</f>
        <v>SUBCLASSABILITY1-L15</v>
      </c>
      <c r="V398" s="76"/>
      <c r="W398" s="76" t="str">
        <f t="array" ref="W398:W399">{"SUBCLASSABILITY1-L17";((INDEX(ALLCLASSDATA,MATCH("SubclassAbility1-L17",CLASSFEATUREHEADERS,0),MATCH(($A399),CLASSNAMEHEADERS,0))))}</f>
        <v>SUBCLASSABILITY1-L17</v>
      </c>
      <c r="X398" s="76"/>
      <c r="Y398" s="76" t="str">
        <f t="array" ref="Y398:Y399">{"SUBCLASSABILITY1-L19";((INDEX(ALLCLASSDATA,MATCH("SubclassAbility1-L19",CLASSFEATUREHEADERS,0),MATCH(($A399),CLASSNAMEHEADERS,0))))}</f>
        <v>SUBCLASSABILITY1-L19</v>
      </c>
      <c r="Z398" s="76"/>
      <c r="AA398" s="76"/>
      <c r="AB398" s="76"/>
    </row>
    <row r="399">
      <c r="A399" s="48" t="s">
        <v>231</v>
      </c>
      <c r="B399" s="48" t="s">
        <v>418</v>
      </c>
      <c r="C399" s="48" t="s">
        <v>825</v>
      </c>
      <c r="D399" s="28" t="s">
        <v>1355</v>
      </c>
      <c r="E399" s="5"/>
      <c r="F399" s="47"/>
      <c r="G399" s="5"/>
      <c r="H399" s="5"/>
      <c r="I399" s="5"/>
      <c r="J399" s="5"/>
      <c r="K399" s="5"/>
      <c r="L399" s="5"/>
      <c r="M399" s="5"/>
      <c r="N399" s="5"/>
      <c r="O399" s="5"/>
      <c r="P399" s="5"/>
      <c r="Q399" s="5"/>
      <c r="R399" s="5"/>
      <c r="S399" s="5"/>
      <c r="T399" s="5"/>
      <c r="U399" s="5"/>
      <c r="V399" s="5"/>
      <c r="W399" s="5"/>
      <c r="X399" s="5"/>
      <c r="Y399" s="5"/>
      <c r="Z399" s="5"/>
      <c r="AA399" s="5"/>
      <c r="AB399" s="47"/>
    </row>
    <row r="400" hidden="1">
      <c r="A400" s="76" t="str">
        <f t="array" ref="A400:A401">{"FormulaRow17";(INDEX(CLASSLIST,A367,1))}</f>
        <v>FormulaRow17</v>
      </c>
      <c r="B400" s="76" t="str">
        <f t="array" ref="B400:B401">{"CLASSTYPE";((INDEX(ALLCLASSDATA,MATCH("ClassType",CLASSFEATUREHEADERS,0),MATCH($A401,CLASSNAMEHEADERS,0))))}</f>
        <v>CLASSTYPE</v>
      </c>
      <c r="C400" s="76" t="str">
        <f t="array" ref="C400:C401">{"CLASSABILITYPTS";"ClassAbilityPts"}</f>
        <v>CLASSABILITYPTS</v>
      </c>
      <c r="D400" s="76" t="str">
        <f t="array" ref="D400:D401">{"SUBCLASSABILITY1";"SubclassAbility1"}</f>
        <v>SUBCLASSABILITY1</v>
      </c>
      <c r="E400" s="76"/>
      <c r="F400" s="76"/>
      <c r="G400" s="76"/>
      <c r="H400" s="76"/>
      <c r="I400" s="76" t="str">
        <f t="array" ref="I400:I401">{"SUBCLASSABILITY1-L03PTS";((INDEX(ALLCLASSDATA,MATCH("SubclassAbility1-L03",CLASSFEATUREHEADERS,0),MATCH(($A401 &amp; "Points"),CLASSNAMEHEADERS,0))))}</f>
        <v>SUBCLASSABILITY1-L03PTS</v>
      </c>
      <c r="J400" s="76"/>
      <c r="K400" s="76" t="str">
        <f t="array" ref="K400:K401">{"SUBCLASSABILITY1-L05PTS";((INDEX(ALLCLASSDATA,MATCH("SubclassAbility1-L05",CLASSFEATUREHEADERS,0),MATCH(($A401 &amp; "Points"),CLASSNAMEHEADERS,0))))}</f>
        <v>SUBCLASSABILITY1-L05PTS</v>
      </c>
      <c r="L400" s="76"/>
      <c r="M400" s="76" t="str">
        <f t="array" ref="M400:M401">{"SUBCLASSABILITY1-L07PTS";((INDEX(ALLCLASSDATA,MATCH("SubclassAbility1-L07",CLASSFEATUREHEADERS,0),MATCH(($A401 &amp; "Points"),CLASSNAMEHEADERS,0))))}</f>
        <v>SUBCLASSABILITY1-L07PTS</v>
      </c>
      <c r="N400" s="76"/>
      <c r="O400" s="76" t="str">
        <f t="array" ref="O400:O401">{"SUBCLASSABILITY1-L09PTS";((INDEX(ALLCLASSDATA,MATCH("SubclassAbility1-L09",CLASSFEATUREHEADERS,0),MATCH(($A401 &amp; "Points"),CLASSNAMEHEADERS,0))))}</f>
        <v>SUBCLASSABILITY1-L09PTS</v>
      </c>
      <c r="P400" s="76"/>
      <c r="Q400" s="76" t="str">
        <f t="array" ref="Q400:Q401">{"SUBCLASSABILITY1-L11PTS";((INDEX(ALLCLASSDATA,MATCH("SubclassAbility1-L11",CLASSFEATUREHEADERS,0),MATCH(($A401 &amp; "Points"),CLASSNAMEHEADERS,0))))}</f>
        <v>SUBCLASSABILITY1-L11PTS</v>
      </c>
      <c r="R400" s="76"/>
      <c r="S400" s="76" t="str">
        <f t="array" ref="S400:S401">{"SUBCLASSABILITY1-L13PTS";((INDEX(ALLCLASSDATA,MATCH("SubclassAbility1-L13",CLASSFEATUREHEADERS,0),MATCH(($A401 &amp; "Points"),CLASSNAMEHEADERS,0))))}</f>
        <v>SUBCLASSABILITY1-L13PTS</v>
      </c>
      <c r="T400" s="76"/>
      <c r="U400" s="76" t="str">
        <f t="array" ref="U400:U401">{"SUBCLASSABILITY1-L15PTS";((INDEX(ALLCLASSDATA,MATCH("SubclassAbility1-L15",CLASSFEATUREHEADERS,0),MATCH(($A401 &amp; "Points"),CLASSNAMEHEADERS,0))))}</f>
        <v>SUBCLASSABILITY1-L15PTS</v>
      </c>
      <c r="V400" s="76"/>
      <c r="W400" s="76" t="str">
        <f t="array" ref="W400:W401">{"SUBCLASSABILITY1-L17PTS";((INDEX(ALLCLASSDATA,MATCH("SubclassAbility1-L17",CLASSFEATUREHEADERS,0),MATCH(($A401 &amp; "Points"),CLASSNAMEHEADERS,0))))}</f>
        <v>SUBCLASSABILITY1-L17PTS</v>
      </c>
      <c r="X400" s="76"/>
      <c r="Y400" s="76" t="str">
        <f t="array" ref="Y400:Y401">{"SUBCLASSABILITY1-L19PTS";((INDEX(ALLCLASSDATA,MATCH("SubclassAbility1-L19",CLASSFEATUREHEADERS,0),MATCH(($A401 &amp; "Points"),CLASSNAMEHEADERS,0))))}</f>
        <v>SUBCLASSABILITY1-L19PTS</v>
      </c>
      <c r="Z400" s="76"/>
      <c r="AA400" s="76"/>
      <c r="AB400" s="76" t="str">
        <f t="array" ref="AB400:AB401">{"SUBCLASSABILITY1 TOTAL";(sum(F401:Z401))}</f>
        <v>SUBCLASSABILITY1 TOTAL</v>
      </c>
    </row>
    <row r="401">
      <c r="A401" s="48" t="s">
        <v>231</v>
      </c>
      <c r="B401" s="48" t="s">
        <v>418</v>
      </c>
      <c r="C401" s="48" t="s">
        <v>930</v>
      </c>
      <c r="D401" s="28" t="s">
        <v>1355</v>
      </c>
      <c r="E401" s="5"/>
      <c r="F401" s="47"/>
      <c r="G401" s="5"/>
      <c r="H401" s="5"/>
      <c r="I401" s="5"/>
      <c r="J401" s="5"/>
      <c r="K401" s="5"/>
      <c r="L401" s="5"/>
      <c r="M401" s="5"/>
      <c r="N401" s="5"/>
      <c r="O401" s="5"/>
      <c r="P401" s="5"/>
      <c r="Q401" s="5"/>
      <c r="R401" s="5"/>
      <c r="S401" s="5"/>
      <c r="T401" s="5"/>
      <c r="U401" s="5"/>
      <c r="V401" s="5"/>
      <c r="W401" s="5"/>
      <c r="X401" s="5"/>
      <c r="Y401" s="5"/>
      <c r="Z401" s="5"/>
      <c r="AA401" s="5"/>
      <c r="AB401" s="47">
        <v>0.0</v>
      </c>
    </row>
    <row r="402" hidden="1">
      <c r="A402" s="76" t="str">
        <f t="array" ref="A402:A403">{"FormulaRow18";(INDEX(CLASSLIST,A367,1))}</f>
        <v>FormulaRow18</v>
      </c>
      <c r="B402" s="76" t="str">
        <f t="array" ref="B402:B403">{"CLASSTYPE";((INDEX(ALLCLASSDATA,MATCH("ClassType",CLASSFEATUREHEADERS,0),MATCH($A403,CLASSNAMEHEADERS,0))))}</f>
        <v>CLASSTYPE</v>
      </c>
      <c r="C402" s="76" t="str">
        <f t="array" ref="C402:C403">{"CLASSABILITY";"ClassAbility"}</f>
        <v>CLASSABILITY</v>
      </c>
      <c r="D402" s="76" t="str">
        <f t="array" ref="D402:D403">{"SUBCLASSABILITY2";"SubclassAbility2"}</f>
        <v>SUBCLASSABILITY2</v>
      </c>
      <c r="E402" s="76"/>
      <c r="F402" s="76"/>
      <c r="G402" s="76"/>
      <c r="H402" s="76"/>
      <c r="I402" s="76" t="str">
        <f t="array" ref="I402:I403">{"SUBCLASSABILITY2-L03";((INDEX(ALLCLASSDATA,MATCH("SubclassAbility2-L03",CLASSFEATUREHEADERS,0),MATCH(($A403),CLASSNAMEHEADERS,0))))}</f>
        <v>SUBCLASSABILITY2-L03</v>
      </c>
      <c r="J402" s="76"/>
      <c r="K402" s="76" t="str">
        <f t="array" ref="K402:K403">{"SUBCLASSABILITY2-L05";((INDEX(ALLCLASSDATA,MATCH("SubclassAbility2-L05",CLASSFEATUREHEADERS,0),MATCH(($A403),CLASSNAMEHEADERS,0))))}</f>
        <v>SUBCLASSABILITY2-L05</v>
      </c>
      <c r="L402" s="76"/>
      <c r="M402" s="76" t="str">
        <f t="array" ref="M402:M403">{"SUBCLASSABILITY2-L07";((INDEX(ALLCLASSDATA,MATCH("SubclassAbility2-L07",CLASSFEATUREHEADERS,0),MATCH(($A403),CLASSNAMEHEADERS,0))))}</f>
        <v>SUBCLASSABILITY2-L07</v>
      </c>
      <c r="N402" s="76"/>
      <c r="O402" s="76" t="str">
        <f t="array" ref="O402:O403">{"SUBCLASSABILITY2-L09";((INDEX(ALLCLASSDATA,MATCH("SubclassAbility2-L09",CLASSFEATUREHEADERS,0),MATCH(($A403),CLASSNAMEHEADERS,0))))}</f>
        <v>SUBCLASSABILITY2-L09</v>
      </c>
      <c r="P402" s="76"/>
      <c r="Q402" s="76" t="str">
        <f t="array" ref="Q402:Q403">{"SUBCLASSABILITY2-L11";((INDEX(ALLCLASSDATA,MATCH("SubclassAbility2-L11",CLASSFEATUREHEADERS,0),MATCH(($A403),CLASSNAMEHEADERS,0))))}</f>
        <v>SUBCLASSABILITY2-L11</v>
      </c>
      <c r="R402" s="76"/>
      <c r="S402" s="76" t="str">
        <f t="array" ref="S402:S403">{"SUBCLASSABILITY2-L13";((INDEX(ALLCLASSDATA,MATCH("SubclassAbility2-L13",CLASSFEATUREHEADERS,0),MATCH(($A403),CLASSNAMEHEADERS,0))))}</f>
        <v>SUBCLASSABILITY2-L13</v>
      </c>
      <c r="T402" s="76"/>
      <c r="U402" s="76" t="str">
        <f t="array" ref="U402:U403">{"SUBCLASSABILITY2-L15";((INDEX(ALLCLASSDATA,MATCH("SubclassAbility2-L15",CLASSFEATUREHEADERS,0),MATCH(($A403),CLASSNAMEHEADERS,0))))}</f>
        <v>SUBCLASSABILITY2-L15</v>
      </c>
      <c r="V402" s="76"/>
      <c r="W402" s="76" t="str">
        <f t="array" ref="W402:W403">{"SUBCLASSABILITY2-L17";((INDEX(ALLCLASSDATA,MATCH("SubclassAbility2-L17",CLASSFEATUREHEADERS,0),MATCH(($A403),CLASSNAMEHEADERS,0))))}</f>
        <v>SUBCLASSABILITY2-L17</v>
      </c>
      <c r="X402" s="76"/>
      <c r="Y402" s="76" t="str">
        <f t="array" ref="Y402:Y403">{"SUBCLASSABILITY2-L19";((INDEX(ALLCLASSDATA,MATCH("SubclassAbility2-L19",CLASSFEATUREHEADERS,0),MATCH(($A403),CLASSNAMEHEADERS,0))))}</f>
        <v>SUBCLASSABILITY2-L19</v>
      </c>
      <c r="Z402" s="76"/>
      <c r="AA402" s="76"/>
      <c r="AB402" s="76"/>
    </row>
    <row r="403">
      <c r="A403" s="48" t="s">
        <v>231</v>
      </c>
      <c r="B403" s="48" t="s">
        <v>418</v>
      </c>
      <c r="C403" s="48" t="s">
        <v>825</v>
      </c>
      <c r="D403" s="28" t="s">
        <v>1370</v>
      </c>
      <c r="E403" s="5"/>
      <c r="F403" s="47"/>
      <c r="G403" s="5"/>
      <c r="H403" s="5"/>
      <c r="I403" s="5"/>
      <c r="J403" s="5"/>
      <c r="K403" s="5"/>
      <c r="L403" s="5"/>
      <c r="M403" s="5"/>
      <c r="N403" s="5"/>
      <c r="O403" s="5"/>
      <c r="P403" s="5"/>
      <c r="Q403" s="5"/>
      <c r="R403" s="5"/>
      <c r="S403" s="5"/>
      <c r="T403" s="5"/>
      <c r="U403" s="5"/>
      <c r="V403" s="5"/>
      <c r="W403" s="5"/>
      <c r="X403" s="5"/>
      <c r="Y403" s="5"/>
      <c r="Z403" s="5"/>
      <c r="AA403" s="5"/>
      <c r="AB403" s="47"/>
    </row>
    <row r="404" hidden="1">
      <c r="A404" s="76" t="str">
        <f t="array" ref="A404:A405">{"FormulaRow19";(INDEX(CLASSLIST,A367,1))}</f>
        <v>FormulaRow19</v>
      </c>
      <c r="B404" s="76" t="str">
        <f t="array" ref="B404:B405">{"CLASSTYPE";((INDEX(ALLCLASSDATA,MATCH("ClassType",CLASSFEATUREHEADERS,0),MATCH($A405,CLASSNAMEHEADERS,0))))}</f>
        <v>CLASSTYPE</v>
      </c>
      <c r="C404" s="76" t="str">
        <f t="array" ref="C404:C405">{"CLASSABILITYPTS";"ClassAbilityPts"}</f>
        <v>CLASSABILITYPTS</v>
      </c>
      <c r="D404" s="76" t="str">
        <f t="array" ref="D404:D405">{"SUBCLASSABILITY2";"SubclassAbility2"}</f>
        <v>SUBCLASSABILITY2</v>
      </c>
      <c r="E404" s="76"/>
      <c r="F404" s="76"/>
      <c r="G404" s="76"/>
      <c r="H404" s="76"/>
      <c r="I404" s="76" t="str">
        <f t="array" ref="I404:I405">{"SUBCLASSABILITY2-L03PTS";((INDEX(ALLCLASSDATA,MATCH("SubclassAbility2-L03",CLASSFEATUREHEADERS,0),MATCH(($A405 &amp; "Points"),CLASSNAMEHEADERS,0))))}</f>
        <v>SUBCLASSABILITY2-L03PTS</v>
      </c>
      <c r="J404" s="76"/>
      <c r="K404" s="76" t="str">
        <f t="array" ref="K404:K405">{"SUBCLASSABILITY2-L05PTS";((INDEX(ALLCLASSDATA,MATCH("SubclassAbility2-L05",CLASSFEATUREHEADERS,0),MATCH(($A405 &amp; "Points"),CLASSNAMEHEADERS,0))))}</f>
        <v>SUBCLASSABILITY2-L05PTS</v>
      </c>
      <c r="L404" s="76"/>
      <c r="M404" s="76" t="str">
        <f t="array" ref="M404:M405">{"SUBCLASSABILITY2-L07PTS";((INDEX(ALLCLASSDATA,MATCH("SubclassAbility2-L07",CLASSFEATUREHEADERS,0),MATCH(($A405 &amp; "Points"),CLASSNAMEHEADERS,0))))}</f>
        <v>SUBCLASSABILITY2-L07PTS</v>
      </c>
      <c r="N404" s="76"/>
      <c r="O404" s="76" t="str">
        <f t="array" ref="O404:O405">{"SUBCLASSABILITY2-L09PTS";((INDEX(ALLCLASSDATA,MATCH("SubclassAbility2-L09",CLASSFEATUREHEADERS,0),MATCH(($A405 &amp; "Points"),CLASSNAMEHEADERS,0))))}</f>
        <v>SUBCLASSABILITY2-L09PTS</v>
      </c>
      <c r="P404" s="76"/>
      <c r="Q404" s="76" t="str">
        <f t="array" ref="Q404:Q405">{"SUBCLASSABILITY2-L11PTS";((INDEX(ALLCLASSDATA,MATCH("SubclassAbility2-L11",CLASSFEATUREHEADERS,0),MATCH(($A405 &amp; "Points"),CLASSNAMEHEADERS,0))))}</f>
        <v>SUBCLASSABILITY2-L11PTS</v>
      </c>
      <c r="R404" s="76"/>
      <c r="S404" s="76" t="str">
        <f t="array" ref="S404:S405">{"SUBCLASSABILITY2-L13PTS";((INDEX(ALLCLASSDATA,MATCH("SubclassAbility2-L13",CLASSFEATUREHEADERS,0),MATCH(($A405 &amp; "Points"),CLASSNAMEHEADERS,0))))}</f>
        <v>SUBCLASSABILITY2-L13PTS</v>
      </c>
      <c r="T404" s="76"/>
      <c r="U404" s="76" t="str">
        <f t="array" ref="U404:U405">{"SUBCLASSABILITY2-L15PTS";((INDEX(ALLCLASSDATA,MATCH("SubclassAbility2-L15",CLASSFEATUREHEADERS,0),MATCH(($A405 &amp; "Points"),CLASSNAMEHEADERS,0))))}</f>
        <v>SUBCLASSABILITY2-L15PTS</v>
      </c>
      <c r="V404" s="76"/>
      <c r="W404" s="76" t="str">
        <f t="array" ref="W404:W405">{"SUBCLASSABILITY2-L17PTS";((INDEX(ALLCLASSDATA,MATCH("SubclassAbility2-L17",CLASSFEATUREHEADERS,0),MATCH(($A405 &amp; "Points"),CLASSNAMEHEADERS,0))))}</f>
        <v>SUBCLASSABILITY2-L17PTS</v>
      </c>
      <c r="X404" s="76"/>
      <c r="Y404" s="76" t="str">
        <f t="array" ref="Y404:Y405">{"SUBCLASSABILITY2-L19PTS";((INDEX(ALLCLASSDATA,MATCH("SubclassAbility2-L19",CLASSFEATUREHEADERS,0),MATCH(($A405 &amp; "Points"),CLASSNAMEHEADERS,0))))}</f>
        <v>SUBCLASSABILITY2-L19PTS</v>
      </c>
      <c r="Z404" s="76"/>
      <c r="AA404" s="76"/>
      <c r="AB404" s="76" t="str">
        <f t="array" ref="AB404:AB405">{"SUBCLASSABILITY2 TOTAL";(sum(F405:Z405))}</f>
        <v>SUBCLASSABILITY2 TOTAL</v>
      </c>
    </row>
    <row r="405">
      <c r="A405" s="48" t="s">
        <v>231</v>
      </c>
      <c r="B405" s="48" t="s">
        <v>418</v>
      </c>
      <c r="C405" s="97" t="s">
        <v>930</v>
      </c>
      <c r="D405" s="215" t="s">
        <v>1370</v>
      </c>
      <c r="E405" s="98"/>
      <c r="F405" s="132"/>
      <c r="G405" s="98"/>
      <c r="H405" s="98"/>
      <c r="I405" s="98"/>
      <c r="J405" s="98"/>
      <c r="K405" s="98"/>
      <c r="L405" s="98"/>
      <c r="M405" s="98"/>
      <c r="N405" s="98"/>
      <c r="O405" s="98"/>
      <c r="P405" s="98"/>
      <c r="Q405" s="98"/>
      <c r="R405" s="98"/>
      <c r="S405" s="98"/>
      <c r="T405" s="98"/>
      <c r="U405" s="98"/>
      <c r="V405" s="98"/>
      <c r="W405" s="98"/>
      <c r="X405" s="98"/>
      <c r="Y405" s="98"/>
      <c r="Z405" s="98"/>
      <c r="AA405" s="5"/>
      <c r="AB405" s="47">
        <v>0.0</v>
      </c>
    </row>
    <row r="406" hidden="1">
      <c r="A406" s="76" t="str">
        <f t="array" ref="A406:A407">{"FormulaRow20";(INDEX(CLASSLIST,A367,1))}</f>
        <v>FormulaRow20</v>
      </c>
      <c r="B406" s="76" t="str">
        <f t="array" ref="B406:B407">{"CLASSTYPE";((INDEX(ALLCLASSDATA,MATCH("ClassType",CLASSFEATUREHEADERS,0),MATCH($A407,CLASSNAMEHEADERS,0))))}</f>
        <v>CLASSTYPE</v>
      </c>
      <c r="C406" s="81" t="str">
        <f t="array" ref="C406:C407">{"DC";"DC"}</f>
        <v>DC</v>
      </c>
      <c r="D406" s="81" t="str">
        <f t="array" ref="D406:D407">{"CLASSDC";"ClassDC"}</f>
        <v>CLASSDC</v>
      </c>
      <c r="E406" s="81" t="str">
        <f t="array" ref="E406:E407">{"CLASSDCINITIAL";((IF(G407=10,"T",(IF(G407=50,"E","")))))}</f>
        <v>CLASSDCINITIAL</v>
      </c>
      <c r="F406" s="81" t="str">
        <f t="array" ref="F406:F407">{"CLASSDCINITIALPTS";((IF("00"=(INDEX(ALLCLASSDATA,MATCH("ClassDCLegendary",CLASSFEATUREHEADERS,0),MATCH($A407,CLASSNAMEHEADERS,0))),(INDEX(ALLCLASSDATA,MATCH("ClassDCLegendary",CLASSFEATUREHEADERS,0),MATCH(($A407 &amp; "Points"),CLASSNAMEHEADERS,0))),(IF("00"=(INDEX(ALLCLASSDATA,MATCH("ClassDCMaster",CLASSFEATUREHEADERS,0),MATCH($A407,CLASSNAMEHEADERS,0))),(INDEX(ALLCLASSDATA,MATCH("ClassDCMaster",CLASSFEATUREHEADERS,0),MATCH(($A407 &amp; "Points"),CLASSNAMEHEADERS,0))),(IF("00"=(INDEX(ALLCLASSDATA,MATCH("ClassDCExpert",CLASSFEATUREHEADERS,0),MATCH($A407,CLASSNAMEHEADERS,0))),(INDEX(ALLCLASSDATA,MATCH("ClassDCExpert",CLASSFEATUREHEADERS,0),MATCH(($A407 &amp; "Points"),CLASSNAMEHEADERS,0))),(IF("00"=(INDEX(ALLCLASSDATA,MATCH("ClassDCTrained",CLASSFEATUREHEADERS,0),MATCH($A407,CLASSNAMEHEADERS,0))),(INDEX(ALLCLASSDATA,MATCH("ClassDCTrained",CLASSFEATUREHEADERS,0),MATCH(($A407 &amp; "Points"),CLASSNAMEHEADERS,0))),"")))))))))}</f>
        <v>CLASSDCINITIALPTS</v>
      </c>
      <c r="G406" s="81" t="str">
        <f t="array" ref="G406:G407">{"CLASSDCL01";((IF("01"=(INDEX(ALLCLASSDATA,MATCH("ClassDCLegendary",CLASSFEATUREHEADERS,0),MATCH($A407,CLASSNAMEHEADERS,0))),(INDEX(ALLCLASSDATA,MATCH("ClassDCLegendary",CLASSFEATUREHEADERS,0),MATCH(($A407 &amp; "Points"),CLASSNAMEHEADERS,0))),(IF("01"=(INDEX(ALLCLASSDATA,MATCH("ClassDCMaster",CLASSFEATUREHEADERS,0),MATCH($A407,CLASSNAMEHEADERS,0))),(INDEX(ALLCLASSDATA,MATCH("ClassDCMaster",CLASSFEATUREHEADERS,0),MATCH(($A407 &amp; "Points"),CLASSNAMEHEADERS,0))),(IF("01"=(INDEX(ALLCLASSDATA,MATCH("ClassDCExpert",CLASSFEATUREHEADERS,0),MATCH($A407,CLASSNAMEHEADERS,0))),(INDEX(ALLCLASSDATA,MATCH("ClassDCExpert",CLASSFEATUREHEADERS,0),MATCH(($A407 &amp; "Points"),CLASSNAMEHEADERS,0))),(IF("01"=(INDEX(ALLCLASSDATA,MATCH("ClassDCTrained",CLASSFEATUREHEADERS,0),MATCH($A407,CLASSNAMEHEADERS,0))),(INDEX(ALLCLASSDATA,MATCH("ClassDCTrained",CLASSFEATUREHEADERS,0),MATCH(($A407 &amp; "Points"),CLASSNAMEHEADERS,0))),"")))))))))}</f>
        <v>CLASSDCL01</v>
      </c>
      <c r="H406" s="81"/>
      <c r="I406" s="81" t="str">
        <f t="array" ref="I406:I407">{"CLASSDCL03";((IF("03"=(INDEX(ALLCLASSDATA,MATCH("ClassDCLegendary",CLASSFEATUREHEADERS,0),MATCH($A407,CLASSNAMEHEADERS,0))),(INDEX(ALLCLASSDATA,MATCH("ClassDCLegendary",CLASSFEATUREHEADERS,0),MATCH(($A407 &amp; "Points"),CLASSNAMEHEADERS,0))),(IF("03"=(INDEX(ALLCLASSDATA,MATCH("ClassDCMaster",CLASSFEATUREHEADERS,0),MATCH($A407,CLASSNAMEHEADERS,0))),(INDEX(ALLCLASSDATA,MATCH("ClassDCMaster",CLASSFEATUREHEADERS,0),MATCH(($A407 &amp; "Points"),CLASSNAMEHEADERS,0))),(IF("03"=(INDEX(ALLCLASSDATA,MATCH("ClassDCExpert",CLASSFEATUREHEADERS,0),MATCH($A407,CLASSNAMEHEADERS,0))),(INDEX(ALLCLASSDATA,MATCH("ClassDCExpert",CLASSFEATUREHEADERS,0),MATCH(($A407 &amp; "Points"),CLASSNAMEHEADERS,0))),(IF("03"=(INDEX(ALLCLASSDATA,MATCH("ClassDCTrained",CLASSFEATUREHEADERS,0),MATCH($A407,CLASSNAMEHEADERS,0))),(INDEX(ALLCLASSDATA,MATCH("ClassDCTrained",CLASSFEATUREHEADERS,0),MATCH(($A407 &amp; "Points"),CLASSNAMEHEADERS,0))),"")))))))))}</f>
        <v>CLASSDCL03</v>
      </c>
      <c r="J406" s="81"/>
      <c r="K406" s="81" t="str">
        <f t="array" ref="K406:K407">{"CLASSDCL05";((IF("05"=(INDEX(ALLCLASSDATA,MATCH("ClassDCLegendary",CLASSFEATUREHEADERS,0),MATCH($A407,CLASSNAMEHEADERS,0))),(INDEX(ALLCLASSDATA,MATCH("ClassDCLegendary",CLASSFEATUREHEADERS,0),MATCH(($A407 &amp; "Points"),CLASSNAMEHEADERS,0))),(IF("05"=(INDEX(ALLCLASSDATA,MATCH("ClassDCMaster",CLASSFEATUREHEADERS,0),MATCH($A407,CLASSNAMEHEADERS,0))),(INDEX(ALLCLASSDATA,MATCH("ClassDCMaster",CLASSFEATUREHEADERS,0),MATCH(($A407 &amp; "Points"),CLASSNAMEHEADERS,0))),(IF("05"=(INDEX(ALLCLASSDATA,MATCH("ClassDCExpert",CLASSFEATUREHEADERS,0),MATCH($A407,CLASSNAMEHEADERS,0))),(INDEX(ALLCLASSDATA,MATCH("ClassDCExpert",CLASSFEATUREHEADERS,0),MATCH(($A407 &amp; "Points"),CLASSNAMEHEADERS,0))),(IF("05"=(INDEX(ALLCLASSDATA,MATCH("ClassDCTrained",CLASSFEATUREHEADERS,0),MATCH($A407,CLASSNAMEHEADERS,0))),(INDEX(ALLCLASSDATA,MATCH("ClassDCTrained",CLASSFEATUREHEADERS,0),MATCH(($A407 &amp; "Points"),CLASSNAMEHEADERS,0))),"")))))))))}</f>
        <v>CLASSDCL05</v>
      </c>
      <c r="L406" s="81"/>
      <c r="M406" s="81" t="str">
        <f t="array" ref="M406:M407">{"CLASSDCL07";((IF("07"=(INDEX(ALLCLASSDATA,MATCH("ClassDCLegendary",CLASSFEATUREHEADERS,0),MATCH($A407,CLASSNAMEHEADERS,0))),(INDEX(ALLCLASSDATA,MATCH("ClassDCLegendary",CLASSFEATUREHEADERS,0),MATCH(($A407 &amp; "Points"),CLASSNAMEHEADERS,0))),(IF("07"=(INDEX(ALLCLASSDATA,MATCH("ClassDCMaster",CLASSFEATUREHEADERS,0),MATCH($A407,CLASSNAMEHEADERS,0))),(INDEX(ALLCLASSDATA,MATCH("ClassDCMaster",CLASSFEATUREHEADERS,0),MATCH(($A407 &amp; "Points"),CLASSNAMEHEADERS,0))),(IF("07"=(INDEX(ALLCLASSDATA,MATCH("ClassDCExpert",CLASSFEATUREHEADERS,0),MATCH($A407,CLASSNAMEHEADERS,0))),(INDEX(ALLCLASSDATA,MATCH("ClassDCExpert",CLASSFEATUREHEADERS,0),MATCH(($A407 &amp; "Points"),CLASSNAMEHEADERS,0))),(IF("07"=(INDEX(ALLCLASSDATA,MATCH("ClassDCTrained",CLASSFEATUREHEADERS,0),MATCH($A407,CLASSNAMEHEADERS,0))),(INDEX(ALLCLASSDATA,MATCH("ClassDCTrained",CLASSFEATUREHEADERS,0),MATCH(($A407 &amp; "Points"),CLASSNAMEHEADERS,0))),"")))))))))}</f>
        <v>CLASSDCL07</v>
      </c>
      <c r="N406" s="81"/>
      <c r="O406" s="81" t="str">
        <f t="array" ref="O406:O407">{"CLASSDCL09";((IF("09"=(INDEX(ALLCLASSDATA,MATCH("ClassDCLegendary",CLASSFEATUREHEADERS,0),MATCH($A407,CLASSNAMEHEADERS,0))),(INDEX(ALLCLASSDATA,MATCH("ClassDCLegendary",CLASSFEATUREHEADERS,0),MATCH(($A407 &amp; "Points"),CLASSNAMEHEADERS,0))),(IF("09"=(INDEX(ALLCLASSDATA,MATCH("ClassDCMaster",CLASSFEATUREHEADERS,0),MATCH($A407,CLASSNAMEHEADERS,0))),(INDEX(ALLCLASSDATA,MATCH("ClassDCMaster",CLASSFEATUREHEADERS,0),MATCH(($A407 &amp; "Points"),CLASSNAMEHEADERS,0))),(IF("09"=(INDEX(ALLCLASSDATA,MATCH("ClassDCExpert",CLASSFEATUREHEADERS,0),MATCH($A407,CLASSNAMEHEADERS,0))),(INDEX(ALLCLASSDATA,MATCH("ClassDCExpert",CLASSFEATUREHEADERS,0),MATCH(($A407 &amp; "Points"),CLASSNAMEHEADERS,0))),(IF("09"=(INDEX(ALLCLASSDATA,MATCH("ClassDCTrained",CLASSFEATUREHEADERS,0),MATCH($A407,CLASSNAMEHEADERS,0))),(INDEX(ALLCLASSDATA,MATCH("ClassDCTrained",CLASSFEATUREHEADERS,0),MATCH(($A407 &amp; "Points"),CLASSNAMEHEADERS,0))),"")))))))))}</f>
        <v>CLASSDCL09</v>
      </c>
      <c r="P406" s="81"/>
      <c r="Q406" s="81" t="str">
        <f t="array" ref="Q406:Q407">{"CLASSDCL11";((IF("11"=(INDEX(ALLCLASSDATA,MATCH("ClassDCLegendary",CLASSFEATUREHEADERS,0),MATCH($A407,CLASSNAMEHEADERS,0))),(INDEX(ALLCLASSDATA,MATCH("ClassDCLegendary",CLASSFEATUREHEADERS,0),MATCH(($A407 &amp; "Points"),CLASSNAMEHEADERS,0))),(IF("11"=(INDEX(ALLCLASSDATA,MATCH("ClassDCMaster",CLASSFEATUREHEADERS,0),MATCH($A407,CLASSNAMEHEADERS,0))),(INDEX(ALLCLASSDATA,MATCH("ClassDCMaster",CLASSFEATUREHEADERS,0),MATCH(($A407 &amp; "Points"),CLASSNAMEHEADERS,0))),(IF("11"=(INDEX(ALLCLASSDATA,MATCH("ClassDCExpert",CLASSFEATUREHEADERS,0),MATCH($A407,CLASSNAMEHEADERS,0))),(INDEX(ALLCLASSDATA,MATCH("ClassDCExpert",CLASSFEATUREHEADERS,0),MATCH(($A407 &amp; "Points"),CLASSNAMEHEADERS,0))),(IF("11"=(INDEX(ALLCLASSDATA,MATCH("ClassDCTrained",CLASSFEATUREHEADERS,0),MATCH($A407,CLASSNAMEHEADERS,0))),(INDEX(ALLCLASSDATA,MATCH("ClassDCTrained",CLASSFEATUREHEADERS,0),MATCH(($A407 &amp; "Points"),CLASSNAMEHEADERS,0))),"")))))))))}</f>
        <v>CLASSDCL11</v>
      </c>
      <c r="R406" s="81"/>
      <c r="S406" s="81" t="str">
        <f t="array" ref="S406:S407">{"CLASSDCL13";((IF("13"=(INDEX(ALLCLASSDATA,MATCH("ClassDCLegendary",CLASSFEATUREHEADERS,0),MATCH($A407,CLASSNAMEHEADERS,0))),(INDEX(ALLCLASSDATA,MATCH("ClassDCLegendary",CLASSFEATUREHEADERS,0),MATCH(($A407 &amp; "Points"),CLASSNAMEHEADERS,0))),(IF("13"=(INDEX(ALLCLASSDATA,MATCH("ClassDCMaster",CLASSFEATUREHEADERS,0),MATCH($A407,CLASSNAMEHEADERS,0))),(INDEX(ALLCLASSDATA,MATCH("ClassDCMaster",CLASSFEATUREHEADERS,0),MATCH(($A407 &amp; "Points"),CLASSNAMEHEADERS,0))),(IF("13"=(INDEX(ALLCLASSDATA,MATCH("ClassDCExpert",CLASSFEATUREHEADERS,0),MATCH($A407,CLASSNAMEHEADERS,0))),(INDEX(ALLCLASSDATA,MATCH("ClassDCExpert",CLASSFEATUREHEADERS,0),MATCH(($A407 &amp; "Points"),CLASSNAMEHEADERS,0))),(IF("13"=(INDEX(ALLCLASSDATA,MATCH("ClassDCTrained",CLASSFEATUREHEADERS,0),MATCH($A407,CLASSNAMEHEADERS,0))),(INDEX(ALLCLASSDATA,MATCH("ClassDCTrained",CLASSFEATUREHEADERS,0),MATCH(($A407 &amp; "Points"),CLASSNAMEHEADERS,0))),"")))))))))}</f>
        <v>CLASSDCL13</v>
      </c>
      <c r="T406" s="81"/>
      <c r="U406" s="81" t="str">
        <f t="array" ref="U406:U407">{"CLASSDCL15";((IF("15"=(INDEX(ALLCLASSDATA,MATCH("ClassDCLegendary",CLASSFEATUREHEADERS,0),MATCH($A407,CLASSNAMEHEADERS,0))),(INDEX(ALLCLASSDATA,MATCH("ClassDCLegendary",CLASSFEATUREHEADERS,0),MATCH(($A407 &amp; "Points"),CLASSNAMEHEADERS,0))),(IF("15"=(INDEX(ALLCLASSDATA,MATCH("ClassDCMaster",CLASSFEATUREHEADERS,0),MATCH($A407,CLASSNAMEHEADERS,0))),(INDEX(ALLCLASSDATA,MATCH("ClassDCMaster",CLASSFEATUREHEADERS,0),MATCH(($A407 &amp; "Points"),CLASSNAMEHEADERS,0))),(IF("15"=(INDEX(ALLCLASSDATA,MATCH("ClassDCExpert",CLASSFEATUREHEADERS,0),MATCH($A407,CLASSNAMEHEADERS,0))),(INDEX(ALLCLASSDATA,MATCH("ClassDCExpert",CLASSFEATUREHEADERS,0),MATCH(($A407 &amp; "Points"),CLASSNAMEHEADERS,0))),(IF("15"=(INDEX(ALLCLASSDATA,MATCH("ClassDCTrained",CLASSFEATUREHEADERS,0),MATCH($A407,CLASSNAMEHEADERS,0))),(INDEX(ALLCLASSDATA,MATCH("ClassDCTrained",CLASSFEATUREHEADERS,0),MATCH(($A407 &amp; "Points"),CLASSNAMEHEADERS,0))),"")))))))))}</f>
        <v>CLASSDCL15</v>
      </c>
      <c r="V406" s="81"/>
      <c r="W406" s="81" t="str">
        <f t="array" ref="W406:W407">{"CLASSDCL17";((IF("17"=(INDEX(ALLCLASSDATA,MATCH("ClassDCLegendary",CLASSFEATUREHEADERS,0),MATCH($A407,CLASSNAMEHEADERS,0))),(INDEX(ALLCLASSDATA,MATCH("ClassDCLegendary",CLASSFEATUREHEADERS,0),MATCH(($A407 &amp; "Points"),CLASSNAMEHEADERS,0))),(IF("17"=(INDEX(ALLCLASSDATA,MATCH("ClassDCMaster",CLASSFEATUREHEADERS,0),MATCH($A407,CLASSNAMEHEADERS,0))),(INDEX(ALLCLASSDATA,MATCH("ClassDCMaster",CLASSFEATUREHEADERS,0),MATCH(($A407 &amp; "Points"),CLASSNAMEHEADERS,0))),(IF("17"=(INDEX(ALLCLASSDATA,MATCH("ClassDCExpert",CLASSFEATUREHEADERS,0),MATCH($A407,CLASSNAMEHEADERS,0))),(INDEX(ALLCLASSDATA,MATCH("ClassDCExpert",CLASSFEATUREHEADERS,0),MATCH(($A407 &amp; "Points"),CLASSNAMEHEADERS,0))),(IF("17"=(INDEX(ALLCLASSDATA,MATCH("ClassDCTrained",CLASSFEATUREHEADERS,0),MATCH($A407,CLASSNAMEHEADERS,0))),(INDEX(ALLCLASSDATA,MATCH("ClassDCTrained",CLASSFEATUREHEADERS,0),MATCH(($A407 &amp; "Points"),CLASSNAMEHEADERS,0))),"")))))))))}</f>
        <v>CLASSDCL17</v>
      </c>
      <c r="X406" s="81"/>
      <c r="Y406" s="81" t="str">
        <f t="array" ref="Y406:Y407">{"CLASSDCL19";((IF("19"=(INDEX(ALLCLASSDATA,MATCH("ClassDCLegendary",CLASSFEATUREHEADERS,0),MATCH($A407,CLASSNAMEHEADERS,0))),(INDEX(ALLCLASSDATA,MATCH("ClassDCLegendary",CLASSFEATUREHEADERS,0),MATCH(($A407 &amp; "Points"),CLASSNAMEHEADERS,0))),(IF("19"=(INDEX(ALLCLASSDATA,MATCH("ClassDCMaster",CLASSFEATUREHEADERS,0),MATCH($A407,CLASSNAMEHEADERS,0))),(INDEX(ALLCLASSDATA,MATCH("ClassDCMaster",CLASSFEATUREHEADERS,0),MATCH(($A407 &amp; "Points"),CLASSNAMEHEADERS,0))),(IF("19"=(INDEX(ALLCLASSDATA,MATCH("ClassDCExpert",CLASSFEATUREHEADERS,0),MATCH($A407,CLASSNAMEHEADERS,0))),(INDEX(ALLCLASSDATA,MATCH("ClassDCExpert",CLASSFEATUREHEADERS,0),MATCH(($A407 &amp; "Points"),CLASSNAMEHEADERS,0))),(IF("19"=(INDEX(ALLCLASSDATA,MATCH("ClassDCTrained",CLASSFEATUREHEADERS,0),MATCH($A407,CLASSNAMEHEADERS,0))),(INDEX(ALLCLASSDATA,MATCH("ClassDCTrained",CLASSFEATUREHEADERS,0),MATCH(($A407 &amp; "Points"),CLASSNAMEHEADERS,0))),"")))))))))}</f>
        <v>CLASSDCL19</v>
      </c>
      <c r="Z406" s="81"/>
      <c r="AA406" s="76" t="str">
        <f t="array" ref="AA406:AA407">{"CLASSDC TOTAL";(IF(COUNTBLANK(F407:Z407)=17,"L",(IF(COUNTBLANK(F407:Z407)=18,"M",(IF(COUNTBLANK(F407:Z407)=19,"E",(IF(COUNTBLANK(F407:Z407)=20,"T",""))))))))}</f>
        <v>CLASSDC TOTAL</v>
      </c>
      <c r="AB406" s="76" t="str">
        <f t="array" ref="AB406:AB407">{"CLASSDC TOTAL";(sum(F407:Z407))}</f>
        <v>CLASSDC TOTAL</v>
      </c>
    </row>
    <row r="407">
      <c r="A407" s="48" t="s">
        <v>231</v>
      </c>
      <c r="B407" s="48" t="s">
        <v>418</v>
      </c>
      <c r="C407" s="48" t="s">
        <v>1465</v>
      </c>
      <c r="D407" s="48" t="s">
        <v>1466</v>
      </c>
      <c r="E407" s="5" t="s">
        <v>603</v>
      </c>
      <c r="F407" s="47" t="s">
        <v>603</v>
      </c>
      <c r="G407" s="5" t="s">
        <v>603</v>
      </c>
      <c r="H407" s="5"/>
      <c r="I407" s="5" t="s">
        <v>603</v>
      </c>
      <c r="J407" s="5"/>
      <c r="K407" s="5" t="s">
        <v>603</v>
      </c>
      <c r="L407" s="5"/>
      <c r="M407" s="5" t="s">
        <v>603</v>
      </c>
      <c r="N407" s="5"/>
      <c r="O407" s="5" t="s">
        <v>603</v>
      </c>
      <c r="P407" s="5"/>
      <c r="Q407" s="5" t="s">
        <v>603</v>
      </c>
      <c r="R407" s="5"/>
      <c r="S407" s="5" t="s">
        <v>603</v>
      </c>
      <c r="T407" s="5"/>
      <c r="U407" s="5" t="s">
        <v>603</v>
      </c>
      <c r="V407" s="5"/>
      <c r="W407" s="5" t="s">
        <v>603</v>
      </c>
      <c r="X407" s="5"/>
      <c r="Y407" s="5" t="s">
        <v>603</v>
      </c>
      <c r="Z407" s="5"/>
      <c r="AA407" s="5" t="s">
        <v>603</v>
      </c>
      <c r="AB407" s="47">
        <v>0.0</v>
      </c>
    </row>
    <row r="408" hidden="1">
      <c r="A408" s="222" t="str">
        <f t="array" ref="A408:A409">{"FormulaRow21";(INDEX(CLASSLIST,A367,1))}</f>
        <v>FormulaRow21</v>
      </c>
      <c r="B408" s="222" t="str">
        <f t="array" ref="B408:B409">{"CLASSTYPE";((INDEX(ALLCLASSDATA,MATCH("ClassType",CLASSFEATUREHEADERS,0),MATCH($A409,CLASSNAMEHEADERS,0))))}</f>
        <v>CLASSTYPE</v>
      </c>
      <c r="C408" s="222" t="str">
        <f t="array" ref="C408:C409">{"DC";"DC"}</f>
        <v>DC</v>
      </c>
      <c r="D408" s="222" t="str">
        <f t="array" ref="D408:D409">{"SPELLDC";"SpellDC"}</f>
        <v>SPELLDC</v>
      </c>
      <c r="E408" s="223" t="str">
        <f t="array" ref="E408:E409">{"SPELLDCINITIAL";((IF(G409=10,"T",(IF(G409=50,"E","")))))}</f>
        <v>SPELLDCINITIAL</v>
      </c>
      <c r="F408" s="223" t="str">
        <f t="array" ref="F408:F409">{"SPELLDCINITIALPTS";((IF("00"=(INDEX(ALLCLASSDATA,MATCH("SpellDCLegendary",CLASSFEATUREHEADERS,0),MATCH($A409,CLASSNAMEHEADERS,0))),(INDEX(ALLCLASSDATA,MATCH("SpellDCLegendary",CLASSFEATUREHEADERS,0),MATCH(($A409 &amp; "Points"),CLASSNAMEHEADERS,0))),(IF("00"=(INDEX(ALLCLASSDATA,MATCH("SpellDCMaster",CLASSFEATUREHEADERS,0),MATCH($A409,CLASSNAMEHEADERS,0))),(INDEX(ALLCLASSDATA,MATCH("SpellDCMaster",CLASSFEATUREHEADERS,0),MATCH(($A409 &amp; "Points"),CLASSNAMEHEADERS,0))),(IF("00"=(INDEX(ALLCLASSDATA,MATCH("SpellDCExpert",CLASSFEATUREHEADERS,0),MATCH($A409,CLASSNAMEHEADERS,0))),(INDEX(ALLCLASSDATA,MATCH("SpellDCExpert",CLASSFEATUREHEADERS,0),MATCH(($A409 &amp; "Points"),CLASSNAMEHEADERS,0))),(IF("00"=(INDEX(ALLCLASSDATA,MATCH("SpellDCTrained",CLASSFEATUREHEADERS,0),MATCH($A409,CLASSNAMEHEADERS,0))),(INDEX(ALLCLASSDATA,MATCH("SpellDCTrained",CLASSFEATUREHEADERS,0),MATCH(($A409 &amp; "Points"),CLASSNAMEHEADERS,0))),"")))))))))}</f>
        <v>SPELLDCINITIALPTS</v>
      </c>
      <c r="G408" s="223" t="str">
        <f t="array" ref="G408:G409">{"SPELLDCL01";((IF("01"=(INDEX(ALLCLASSDATA,MATCH("SpellDCLegendary",CLASSFEATUREHEADERS,0),MATCH($A409,CLASSNAMEHEADERS,0))),(INDEX(ALLCLASSDATA,MATCH("SpellDCLegendary",CLASSFEATUREHEADERS,0),MATCH(($A409 &amp; "Points"),CLASSNAMEHEADERS,0))),(IF("01"=(INDEX(ALLCLASSDATA,MATCH("SpellDCMaster",CLASSFEATUREHEADERS,0),MATCH($A409,CLASSNAMEHEADERS,0))),(INDEX(ALLCLASSDATA,MATCH("SpellDCMaster",CLASSFEATUREHEADERS,0),MATCH(($A409 &amp; "Points"),CLASSNAMEHEADERS,0))),(IF("01"=(INDEX(ALLCLASSDATA,MATCH("SpellDCExpert",CLASSFEATUREHEADERS,0),MATCH($A409,CLASSNAMEHEADERS,0))),(INDEX(ALLCLASSDATA,MATCH("SpellDCExpert",CLASSFEATUREHEADERS,0),MATCH(($A409 &amp; "Points"),CLASSNAMEHEADERS,0))),(IF("01"=(INDEX(ALLCLASSDATA,MATCH("SpellDCTrained",CLASSFEATUREHEADERS,0),MATCH($A409,CLASSNAMEHEADERS,0))),(INDEX(ALLCLASSDATA,MATCH("SpellDCTrained",CLASSFEATUREHEADERS,0),MATCH(($A409 &amp; "Points"),CLASSNAMEHEADERS,0))),"")))))))))}</f>
        <v>SPELLDCL01</v>
      </c>
      <c r="H408" s="223"/>
      <c r="I408" s="223" t="str">
        <f t="array" ref="I408:I409">{"SPELLDCL03";((IF("03"=(INDEX(ALLCLASSDATA,MATCH("SpellDCLegendary",CLASSFEATUREHEADERS,0),MATCH($A409,CLASSNAMEHEADERS,0))),(INDEX(ALLCLASSDATA,MATCH("SpellDCLegendary",CLASSFEATUREHEADERS,0),MATCH(($A409 &amp; "Points"),CLASSNAMEHEADERS,0))),(IF("03"=(INDEX(ALLCLASSDATA,MATCH("SpellDCMaster",CLASSFEATUREHEADERS,0),MATCH($A409,CLASSNAMEHEADERS,0))),(INDEX(ALLCLASSDATA,MATCH("SpellDCMaster",CLASSFEATUREHEADERS,0),MATCH(($A409 &amp; "Points"),CLASSNAMEHEADERS,0))),(IF("03"=(INDEX(ALLCLASSDATA,MATCH("SpellDCExpert",CLASSFEATUREHEADERS,0),MATCH($A409,CLASSNAMEHEADERS,0))),(INDEX(ALLCLASSDATA,MATCH("SpellDCExpert",CLASSFEATUREHEADERS,0),MATCH(($A409 &amp; "Points"),CLASSNAMEHEADERS,0))),(IF("03"=(INDEX(ALLCLASSDATA,MATCH("SpellDCTrained",CLASSFEATUREHEADERS,0),MATCH($A409,CLASSNAMEHEADERS,0))),(INDEX(ALLCLASSDATA,MATCH("SpellDCTrained",CLASSFEATUREHEADERS,0),MATCH(($A409 &amp; "Points"),CLASSNAMEHEADERS,0))),"")))))))))}</f>
        <v>SPELLDCL03</v>
      </c>
      <c r="J408" s="223"/>
      <c r="K408" s="223" t="str">
        <f t="array" ref="K408:K409">{"SPELLDCL05";((IF("05"=(INDEX(ALLCLASSDATA,MATCH("SpellDCLegendary",CLASSFEATUREHEADERS,0),MATCH($A409,CLASSNAMEHEADERS,0))),(INDEX(ALLCLASSDATA,MATCH("SpellDCLegendary",CLASSFEATUREHEADERS,0),MATCH(($A409 &amp; "Points"),CLASSNAMEHEADERS,0))),(IF("05"=(INDEX(ALLCLASSDATA,MATCH("SpellDCMaster",CLASSFEATUREHEADERS,0),MATCH($A409,CLASSNAMEHEADERS,0))),(INDEX(ALLCLASSDATA,MATCH("SpellDCMaster",CLASSFEATUREHEADERS,0),MATCH(($A409 &amp; "Points"),CLASSNAMEHEADERS,0))),(IF("05"=(INDEX(ALLCLASSDATA,MATCH("SpellDCExpert",CLASSFEATUREHEADERS,0),MATCH($A409,CLASSNAMEHEADERS,0))),(INDEX(ALLCLASSDATA,MATCH("SpellDCExpert",CLASSFEATUREHEADERS,0),MATCH(($A409 &amp; "Points"),CLASSNAMEHEADERS,0))),(IF("05"=(INDEX(ALLCLASSDATA,MATCH("SpellDCTrained",CLASSFEATUREHEADERS,0),MATCH($A409,CLASSNAMEHEADERS,0))),(INDEX(ALLCLASSDATA,MATCH("SpellDCTrained",CLASSFEATUREHEADERS,0),MATCH(($A409 &amp; "Points"),CLASSNAMEHEADERS,0))),"")))))))))}</f>
        <v>SPELLDCL05</v>
      </c>
      <c r="L408" s="223"/>
      <c r="M408" s="223" t="str">
        <f t="array" ref="M408:M409">{"SPELLDCL07";((IF("07"=(INDEX(ALLCLASSDATA,MATCH("SpellDCLegendary",CLASSFEATUREHEADERS,0),MATCH($A409,CLASSNAMEHEADERS,0))),(INDEX(ALLCLASSDATA,MATCH("SpellDCLegendary",CLASSFEATUREHEADERS,0),MATCH(($A409 &amp; "Points"),CLASSNAMEHEADERS,0))),(IF("07"=(INDEX(ALLCLASSDATA,MATCH("SpellDCMaster",CLASSFEATUREHEADERS,0),MATCH($A409,CLASSNAMEHEADERS,0))),(INDEX(ALLCLASSDATA,MATCH("SpellDCMaster",CLASSFEATUREHEADERS,0),MATCH(($A409 &amp; "Points"),CLASSNAMEHEADERS,0))),(IF("07"=(INDEX(ALLCLASSDATA,MATCH("SpellDCExpert",CLASSFEATUREHEADERS,0),MATCH($A409,CLASSNAMEHEADERS,0))),(INDEX(ALLCLASSDATA,MATCH("SpellDCExpert",CLASSFEATUREHEADERS,0),MATCH(($A409 &amp; "Points"),CLASSNAMEHEADERS,0))),(IF("07"=(INDEX(ALLCLASSDATA,MATCH("SpellDCTrained",CLASSFEATUREHEADERS,0),MATCH($A409,CLASSNAMEHEADERS,0))),(INDEX(ALLCLASSDATA,MATCH("SpellDCTrained",CLASSFEATUREHEADERS,0),MATCH(($A409 &amp; "Points"),CLASSNAMEHEADERS,0))),"")))))))))}</f>
        <v>SPELLDCL07</v>
      </c>
      <c r="N408" s="223"/>
      <c r="O408" s="223" t="str">
        <f t="array" ref="O408:O409">{"SPELLDCL09";((IF("09"=(INDEX(ALLCLASSDATA,MATCH("SpellDCLegendary",CLASSFEATUREHEADERS,0),MATCH($A409,CLASSNAMEHEADERS,0))),(INDEX(ALLCLASSDATA,MATCH("SpellDCLegendary",CLASSFEATUREHEADERS,0),MATCH(($A409 &amp; "Points"),CLASSNAMEHEADERS,0))),(IF("09"=(INDEX(ALLCLASSDATA,MATCH("SpellDCMaster",CLASSFEATUREHEADERS,0),MATCH($A409,CLASSNAMEHEADERS,0))),(INDEX(ALLCLASSDATA,MATCH("SpellDCMaster",CLASSFEATUREHEADERS,0),MATCH(($A409 &amp; "Points"),CLASSNAMEHEADERS,0))),(IF("09"=(INDEX(ALLCLASSDATA,MATCH("SpellDCExpert",CLASSFEATUREHEADERS,0),MATCH($A409,CLASSNAMEHEADERS,0))),(INDEX(ALLCLASSDATA,MATCH("SpellDCExpert",CLASSFEATUREHEADERS,0),MATCH(($A409 &amp; "Points"),CLASSNAMEHEADERS,0))),(IF("09"=(INDEX(ALLCLASSDATA,MATCH("SpellDCTrained",CLASSFEATUREHEADERS,0),MATCH($A409,CLASSNAMEHEADERS,0))),(INDEX(ALLCLASSDATA,MATCH("SpellDCTrained",CLASSFEATUREHEADERS,0),MATCH(($A409 &amp; "Points"),CLASSNAMEHEADERS,0))),"")))))))))}</f>
        <v>SPELLDCL09</v>
      </c>
      <c r="P408" s="223"/>
      <c r="Q408" s="223" t="str">
        <f t="array" ref="Q408:Q409">{"SPELLDCL11";((IF("11"=(INDEX(ALLCLASSDATA,MATCH("SpellDCLegendary",CLASSFEATUREHEADERS,0),MATCH($A409,CLASSNAMEHEADERS,0))),(INDEX(ALLCLASSDATA,MATCH("SpellDCLegendary",CLASSFEATUREHEADERS,0),MATCH(($A409 &amp; "Points"),CLASSNAMEHEADERS,0))),(IF("11"=(INDEX(ALLCLASSDATA,MATCH("SpellDCMaster",CLASSFEATUREHEADERS,0),MATCH($A409,CLASSNAMEHEADERS,0))),(INDEX(ALLCLASSDATA,MATCH("SpellDCMaster",CLASSFEATUREHEADERS,0),MATCH(($A409 &amp; "Points"),CLASSNAMEHEADERS,0))),(IF("11"=(INDEX(ALLCLASSDATA,MATCH("SpellDCExpert",CLASSFEATUREHEADERS,0),MATCH($A409,CLASSNAMEHEADERS,0))),(INDEX(ALLCLASSDATA,MATCH("SpellDCExpert",CLASSFEATUREHEADERS,0),MATCH(($A409 &amp; "Points"),CLASSNAMEHEADERS,0))),(IF("11"=(INDEX(ALLCLASSDATA,MATCH("SpellDCTrained",CLASSFEATUREHEADERS,0),MATCH($A409,CLASSNAMEHEADERS,0))),(INDEX(ALLCLASSDATA,MATCH("SpellDCTrained",CLASSFEATUREHEADERS,0),MATCH(($A409 &amp; "Points"),CLASSNAMEHEADERS,0))),"")))))))))}</f>
        <v>SPELLDCL11</v>
      </c>
      <c r="R408" s="223"/>
      <c r="S408" s="223" t="str">
        <f t="array" ref="S408:S409">{"SPELLDCL13";((IF("13"=(INDEX(ALLCLASSDATA,MATCH("SpellDCLegendary",CLASSFEATUREHEADERS,0),MATCH($A409,CLASSNAMEHEADERS,0))),(INDEX(ALLCLASSDATA,MATCH("SpellDCLegendary",CLASSFEATUREHEADERS,0),MATCH(($A409 &amp; "Points"),CLASSNAMEHEADERS,0))),(IF("13"=(INDEX(ALLCLASSDATA,MATCH("SpellDCMaster",CLASSFEATUREHEADERS,0),MATCH($A409,CLASSNAMEHEADERS,0))),(INDEX(ALLCLASSDATA,MATCH("SpellDCMaster",CLASSFEATUREHEADERS,0),MATCH(($A409 &amp; "Points"),CLASSNAMEHEADERS,0))),(IF("13"=(INDEX(ALLCLASSDATA,MATCH("SpellDCExpert",CLASSFEATUREHEADERS,0),MATCH($A409,CLASSNAMEHEADERS,0))),(INDEX(ALLCLASSDATA,MATCH("SpellDCExpert",CLASSFEATUREHEADERS,0),MATCH(($A409 &amp; "Points"),CLASSNAMEHEADERS,0))),(IF("13"=(INDEX(ALLCLASSDATA,MATCH("SpellDCTrained",CLASSFEATUREHEADERS,0),MATCH($A409,CLASSNAMEHEADERS,0))),(INDEX(ALLCLASSDATA,MATCH("SpellDCTrained",CLASSFEATUREHEADERS,0),MATCH(($A409 &amp; "Points"),CLASSNAMEHEADERS,0))),"")))))))))}</f>
        <v>SPELLDCL13</v>
      </c>
      <c r="T408" s="223"/>
      <c r="U408" s="223" t="str">
        <f t="array" ref="U408:U409">{"SPELLDCL15";((IF("15"=(INDEX(ALLCLASSDATA,MATCH("SpellDCLegendary",CLASSFEATUREHEADERS,0),MATCH($A409,CLASSNAMEHEADERS,0))),(INDEX(ALLCLASSDATA,MATCH("SpellDCLegendary",CLASSFEATUREHEADERS,0),MATCH(($A409 &amp; "Points"),CLASSNAMEHEADERS,0))),(IF("15"=(INDEX(ALLCLASSDATA,MATCH("SpellDCMaster",CLASSFEATUREHEADERS,0),MATCH($A409,CLASSNAMEHEADERS,0))),(INDEX(ALLCLASSDATA,MATCH("SpellDCMaster",CLASSFEATUREHEADERS,0),MATCH(($A409 &amp; "Points"),CLASSNAMEHEADERS,0))),(IF("15"=(INDEX(ALLCLASSDATA,MATCH("SpellDCExpert",CLASSFEATUREHEADERS,0),MATCH($A409,CLASSNAMEHEADERS,0))),(INDEX(ALLCLASSDATA,MATCH("SpellDCExpert",CLASSFEATUREHEADERS,0),MATCH(($A409 &amp; "Points"),CLASSNAMEHEADERS,0))),(IF("15"=(INDEX(ALLCLASSDATA,MATCH("SpellDCTrained",CLASSFEATUREHEADERS,0),MATCH($A409,CLASSNAMEHEADERS,0))),(INDEX(ALLCLASSDATA,MATCH("SpellDCTrained",CLASSFEATUREHEADERS,0),MATCH(($A409 &amp; "Points"),CLASSNAMEHEADERS,0))),"")))))))))}</f>
        <v>SPELLDCL15</v>
      </c>
      <c r="V408" s="223"/>
      <c r="W408" s="223" t="str">
        <f t="array" ref="W408:W409">{"SPELLDCL17";((IF("17"=(INDEX(ALLCLASSDATA,MATCH("SpellDCLegendary",CLASSFEATUREHEADERS,0),MATCH($A409,CLASSNAMEHEADERS,0))),(INDEX(ALLCLASSDATA,MATCH("SpellDCLegendary",CLASSFEATUREHEADERS,0),MATCH(($A409 &amp; "Points"),CLASSNAMEHEADERS,0))),(IF("17"=(INDEX(ALLCLASSDATA,MATCH("SpellDCMaster",CLASSFEATUREHEADERS,0),MATCH($A409,CLASSNAMEHEADERS,0))),(INDEX(ALLCLASSDATA,MATCH("SpellDCMaster",CLASSFEATUREHEADERS,0),MATCH(($A409 &amp; "Points"),CLASSNAMEHEADERS,0))),(IF("17"=(INDEX(ALLCLASSDATA,MATCH("SpellDCExpert",CLASSFEATUREHEADERS,0),MATCH($A409,CLASSNAMEHEADERS,0))),(INDEX(ALLCLASSDATA,MATCH("SpellDCExpert",CLASSFEATUREHEADERS,0),MATCH(($A409 &amp; "Points"),CLASSNAMEHEADERS,0))),(IF("17"=(INDEX(ALLCLASSDATA,MATCH("SpellDCTrained",CLASSFEATUREHEADERS,0),MATCH($A409,CLASSNAMEHEADERS,0))),(INDEX(ALLCLASSDATA,MATCH("SpellDCTrained",CLASSFEATUREHEADERS,0),MATCH(($A409 &amp; "Points"),CLASSNAMEHEADERS,0))),"")))))))))}</f>
        <v>SPELLDCL17</v>
      </c>
      <c r="X408" s="223"/>
      <c r="Y408" s="223" t="str">
        <f t="array" ref="Y408:Y409">{"SPELLDCL19";((IF("19"=(INDEX(ALLCLASSDATA,MATCH("SpellDCLegendary",CLASSFEATUREHEADERS,0),MATCH($A409,CLASSNAMEHEADERS,0))),(INDEX(ALLCLASSDATA,MATCH("SpellDCLegendary",CLASSFEATUREHEADERS,0),MATCH(($A409 &amp; "Points"),CLASSNAMEHEADERS,0))),(IF("19"=(INDEX(ALLCLASSDATA,MATCH("SpellDCMaster",CLASSFEATUREHEADERS,0),MATCH($A409,CLASSNAMEHEADERS,0))),(INDEX(ALLCLASSDATA,MATCH("SpellDCMaster",CLASSFEATUREHEADERS,0),MATCH(($A409 &amp; "Points"),CLASSNAMEHEADERS,0))),(IF("19"=(INDEX(ALLCLASSDATA,MATCH("SpellDCExpert",CLASSFEATUREHEADERS,0),MATCH($A409,CLASSNAMEHEADERS,0))),(INDEX(ALLCLASSDATA,MATCH("SpellDCExpert",CLASSFEATUREHEADERS,0),MATCH(($A409 &amp; "Points"),CLASSNAMEHEADERS,0))),(IF("19"=(INDEX(ALLCLASSDATA,MATCH("SpellDCTrained",CLASSFEATUREHEADERS,0),MATCH($A409,CLASSNAMEHEADERS,0))),(INDEX(ALLCLASSDATA,MATCH("SpellDCTrained",CLASSFEATUREHEADERS,0),MATCH(($A409 &amp; "Points"),CLASSNAMEHEADERS,0))),"")))))))))}</f>
        <v>SPELLDCL19</v>
      </c>
      <c r="Z408" s="223"/>
      <c r="AA408" s="76" t="str">
        <f t="array" ref="AA408:AA409">{"SPELLDC TOTAL";(IF(COUNTBLANK(F409:Z409)=17,"L",(IF(COUNTBLANK(F409:Z409)=18,"M",(IF(COUNTBLANK(F409:Z409)=19,"E",(IF(COUNTBLANK(F409:Z409)=20,"T",""))))))))}</f>
        <v>SPELLDC TOTAL</v>
      </c>
      <c r="AB408" s="76" t="str">
        <f t="array" ref="AB408:AB409">{"SPELLDC TOTAL";(sum(F409:Z409))}</f>
        <v>SPELLDC TOTAL</v>
      </c>
    </row>
    <row r="409">
      <c r="A409" s="48" t="s">
        <v>231</v>
      </c>
      <c r="B409" s="48" t="s">
        <v>418</v>
      </c>
      <c r="C409" s="97" t="s">
        <v>1465</v>
      </c>
      <c r="D409" s="97" t="s">
        <v>1485</v>
      </c>
      <c r="E409" s="98" t="s">
        <v>435</v>
      </c>
      <c r="F409" s="132" t="s">
        <v>603</v>
      </c>
      <c r="G409" s="98">
        <v>10.0</v>
      </c>
      <c r="H409" s="98"/>
      <c r="I409" s="98" t="s">
        <v>603</v>
      </c>
      <c r="J409" s="98"/>
      <c r="K409" s="98" t="s">
        <v>603</v>
      </c>
      <c r="L409" s="98"/>
      <c r="M409" s="98">
        <v>50.0</v>
      </c>
      <c r="N409" s="98"/>
      <c r="O409" s="98" t="s">
        <v>603</v>
      </c>
      <c r="P409" s="98"/>
      <c r="Q409" s="98" t="s">
        <v>603</v>
      </c>
      <c r="R409" s="98"/>
      <c r="S409" s="98" t="s">
        <v>603</v>
      </c>
      <c r="T409" s="98"/>
      <c r="U409" s="98">
        <v>110.0</v>
      </c>
      <c r="V409" s="98"/>
      <c r="W409" s="98" t="s">
        <v>603</v>
      </c>
      <c r="X409" s="98"/>
      <c r="Y409" s="98">
        <v>190.0</v>
      </c>
      <c r="Z409" s="98"/>
      <c r="AA409" s="5" t="s">
        <v>466</v>
      </c>
      <c r="AB409" s="47">
        <v>360.0</v>
      </c>
    </row>
    <row r="410" hidden="1">
      <c r="A410" s="222" t="str">
        <f t="array" ref="A410:A411">{"FormulaRow22";(INDEX(CLASSLIST,A367,1))}</f>
        <v>FormulaRow22</v>
      </c>
      <c r="B410" s="222" t="str">
        <f t="array" ref="B410:B411">{"CLASSTYPE";((INDEX(ALLCLASSDATA,MATCH("ClassType",CLASSFEATUREHEADERS,0),MATCH($A411,CLASSNAMEHEADERS,0))))}</f>
        <v>CLASSTYPE</v>
      </c>
      <c r="C410" s="228" t="str">
        <f t="shared" ref="C410:D410" si="5">{"PERCEPTION";"Perception"}</f>
        <v>PERCEPTION</v>
      </c>
      <c r="D410" s="228" t="str">
        <f t="shared" si="5"/>
        <v>PERCEPTION</v>
      </c>
      <c r="E410" s="230" t="str">
        <f t="array" ref="E410:E411">{"PERCEPTIONINITIAL";((IF(G411=10,"T",(IF(G411=50,"E","")))))}</f>
        <v>PERCEPTIONINITIAL</v>
      </c>
      <c r="F410" s="230" t="str">
        <f t="array" ref="F410:F411">{"PERCEPTIONINITIALPTS";((IF("00"=(INDEX(ALLCLASSDATA,MATCH("PerceptionLegendary",CLASSFEATUREHEADERS,0),MATCH($A411,CLASSNAMEHEADERS,0))),(INDEX(ALLCLASSDATA,MATCH("PerceptionLegendary",CLASSFEATUREHEADERS,0),MATCH(($A411 &amp; "Points"),CLASSNAMEHEADERS,0))),(IF("00"=(INDEX(ALLCLASSDATA,MATCH("PerceptionMaster",CLASSFEATUREHEADERS,0),MATCH($A411,CLASSNAMEHEADERS,0))),(INDEX(ALLCLASSDATA,MATCH("PerceptionMaster",CLASSFEATUREHEADERS,0),MATCH(($A411 &amp; "Points"),CLASSNAMEHEADERS,0))),(IF("00"=(INDEX(ALLCLASSDATA,MATCH("PerceptionExpert",CLASSFEATUREHEADERS,0),MATCH($A411,CLASSNAMEHEADERS,0))),(INDEX(ALLCLASSDATA,MATCH("PerceptionExpert",CLASSFEATUREHEADERS,0),MATCH(($A411 &amp; "Points"),CLASSNAMEHEADERS,0))),(IF("00"=(INDEX(ALLCLASSDATA,MATCH("PerceptionTrained",CLASSFEATUREHEADERS,0),MATCH($A411,CLASSNAMEHEADERS,0))),(INDEX(ALLCLASSDATA,MATCH("PerceptionTrained",CLASSFEATUREHEADERS,0),MATCH(($A411 &amp; "Points"),CLASSNAMEHEADERS,0))),"")))))))))}</f>
        <v>PERCEPTIONINITIALPTS</v>
      </c>
      <c r="G410" s="230" t="str">
        <f t="array" ref="G410:G411">{"PERCEPTIONL01";((IF("01"=(INDEX(ALLCLASSDATA,MATCH("PerceptionLegendary",CLASSFEATUREHEADERS,0),MATCH($A411,CLASSNAMEHEADERS,0))),(INDEX(ALLCLASSDATA,MATCH("PerceptionLegendary",CLASSFEATUREHEADERS,0),MATCH(($A411 &amp; "Points"),CLASSNAMEHEADERS,0))),(IF("01"=(INDEX(ALLCLASSDATA,MATCH("PerceptionMaster",CLASSFEATUREHEADERS,0),MATCH($A411,CLASSNAMEHEADERS,0))),(INDEX(ALLCLASSDATA,MATCH("PerceptionMaster",CLASSFEATUREHEADERS,0),MATCH(($A411 &amp; "Points"),CLASSNAMEHEADERS,0))),(IF("01"=(INDEX(ALLCLASSDATA,MATCH("PerceptionExpert",CLASSFEATUREHEADERS,0),MATCH($A411,CLASSNAMEHEADERS,0))),(INDEX(ALLCLASSDATA,MATCH("PerceptionExpert",CLASSFEATUREHEADERS,0),MATCH(($A411 &amp; "Points"),CLASSNAMEHEADERS,0))),(IF("01"=(INDEX(ALLCLASSDATA,MATCH("PerceptionTrained",CLASSFEATUREHEADERS,0),MATCH($A411,CLASSNAMEHEADERS,0))),(INDEX(ALLCLASSDATA,MATCH("PerceptionTrained",CLASSFEATUREHEADERS,0),MATCH(($A411 &amp; "Points"),CLASSNAMEHEADERS,0))),"")))))))))}</f>
        <v>PERCEPTIONL01</v>
      </c>
      <c r="H410" s="230"/>
      <c r="I410" s="230" t="str">
        <f t="array" ref="I410:I411">{"PERCEPTIONL03";((IF("03"=(INDEX(ALLCLASSDATA,MATCH("PerceptionLegendary",CLASSFEATUREHEADERS,0),MATCH($A411,CLASSNAMEHEADERS,0))),(INDEX(ALLCLASSDATA,MATCH("PerceptionLegendary",CLASSFEATUREHEADERS,0),MATCH(($A411 &amp; "Points"),CLASSNAMEHEADERS,0))),(IF("03"=(INDEX(ALLCLASSDATA,MATCH("PerceptionMaster",CLASSFEATUREHEADERS,0),MATCH($A411,CLASSNAMEHEADERS,0))),(INDEX(ALLCLASSDATA,MATCH("PerceptionMaster",CLASSFEATUREHEADERS,0),MATCH(($A411 &amp; "Points"),CLASSNAMEHEADERS,0))),(IF("03"=(INDEX(ALLCLASSDATA,MATCH("PerceptionExpert",CLASSFEATUREHEADERS,0),MATCH($A411,CLASSNAMEHEADERS,0))),(INDEX(ALLCLASSDATA,MATCH("PerceptionExpert",CLASSFEATUREHEADERS,0),MATCH(($A411 &amp; "Points"),CLASSNAMEHEADERS,0))),(IF("03"=(INDEX(ALLCLASSDATA,MATCH("PerceptionTrained",CLASSFEATUREHEADERS,0),MATCH($A411,CLASSNAMEHEADERS,0))),(INDEX(ALLCLASSDATA,MATCH("PerceptionTrained",CLASSFEATUREHEADERS,0),MATCH(($A411 &amp; "Points"),CLASSNAMEHEADERS,0))),"")))))))))}</f>
        <v>PERCEPTIONL03</v>
      </c>
      <c r="J410" s="230"/>
      <c r="K410" s="230" t="str">
        <f t="array" ref="K410:K411">{"PERCEPTIONL05";((IF("05"=(INDEX(ALLCLASSDATA,MATCH("PerceptionLegendary",CLASSFEATUREHEADERS,0),MATCH($A411,CLASSNAMEHEADERS,0))),(INDEX(ALLCLASSDATA,MATCH("PerceptionLegendary",CLASSFEATUREHEADERS,0),MATCH(($A411 &amp; "Points"),CLASSNAMEHEADERS,0))),(IF("05"=(INDEX(ALLCLASSDATA,MATCH("PerceptionMaster",CLASSFEATUREHEADERS,0),MATCH($A411,CLASSNAMEHEADERS,0))),(INDEX(ALLCLASSDATA,MATCH("PerceptionMaster",CLASSFEATUREHEADERS,0),MATCH(($A411 &amp; "Points"),CLASSNAMEHEADERS,0))),(IF("05"=(INDEX(ALLCLASSDATA,MATCH("PerceptionExpert",CLASSFEATUREHEADERS,0),MATCH($A411,CLASSNAMEHEADERS,0))),(INDEX(ALLCLASSDATA,MATCH("PerceptionExpert",CLASSFEATUREHEADERS,0),MATCH(($A411 &amp; "Points"),CLASSNAMEHEADERS,0))),(IF("05"=(INDEX(ALLCLASSDATA,MATCH("PerceptionTrained",CLASSFEATUREHEADERS,0),MATCH($A411,CLASSNAMEHEADERS,0))),(INDEX(ALLCLASSDATA,MATCH("PerceptionTrained",CLASSFEATUREHEADERS,0),MATCH(($A411 &amp; "Points"),CLASSNAMEHEADERS,0))),"")))))))))}</f>
        <v>PERCEPTIONL05</v>
      </c>
      <c r="L410" s="230"/>
      <c r="M410" s="230" t="str">
        <f t="array" ref="M410:M411">{"PERCEPTIONL07";((IF("07"=(INDEX(ALLCLASSDATA,MATCH("PerceptionLegendary",CLASSFEATUREHEADERS,0),MATCH($A411,CLASSNAMEHEADERS,0))),(INDEX(ALLCLASSDATA,MATCH("PerceptionLegendary",CLASSFEATUREHEADERS,0),MATCH(($A411 &amp; "Points"),CLASSNAMEHEADERS,0))),(IF("07"=(INDEX(ALLCLASSDATA,MATCH("PerceptionMaster",CLASSFEATUREHEADERS,0),MATCH($A411,CLASSNAMEHEADERS,0))),(INDEX(ALLCLASSDATA,MATCH("PerceptionMaster",CLASSFEATUREHEADERS,0),MATCH(($A411 &amp; "Points"),CLASSNAMEHEADERS,0))),(IF("07"=(INDEX(ALLCLASSDATA,MATCH("PerceptionExpert",CLASSFEATUREHEADERS,0),MATCH($A411,CLASSNAMEHEADERS,0))),(INDEX(ALLCLASSDATA,MATCH("PerceptionExpert",CLASSFEATUREHEADERS,0),MATCH(($A411 &amp; "Points"),CLASSNAMEHEADERS,0))),(IF("07"=(INDEX(ALLCLASSDATA,MATCH("PerceptionTrained",CLASSFEATUREHEADERS,0),MATCH($A411,CLASSNAMEHEADERS,0))),(INDEX(ALLCLASSDATA,MATCH("PerceptionTrained",CLASSFEATUREHEADERS,0),MATCH(($A411 &amp; "Points"),CLASSNAMEHEADERS,0))),"")))))))))}</f>
        <v>PERCEPTIONL07</v>
      </c>
      <c r="N410" s="230"/>
      <c r="O410" s="230" t="str">
        <f t="array" ref="O410:O411">{"PERCEPTIONL09";((IF("09"=(INDEX(ALLCLASSDATA,MATCH("PerceptionLegendary",CLASSFEATUREHEADERS,0),MATCH($A411,CLASSNAMEHEADERS,0))),(INDEX(ALLCLASSDATA,MATCH("PerceptionLegendary",CLASSFEATUREHEADERS,0),MATCH(($A411 &amp; "Points"),CLASSNAMEHEADERS,0))),(IF("09"=(INDEX(ALLCLASSDATA,MATCH("PerceptionMaster",CLASSFEATUREHEADERS,0),MATCH($A411,CLASSNAMEHEADERS,0))),(INDEX(ALLCLASSDATA,MATCH("PerceptionMaster",CLASSFEATUREHEADERS,0),MATCH(($A411 &amp; "Points"),CLASSNAMEHEADERS,0))),(IF("09"=(INDEX(ALLCLASSDATA,MATCH("PerceptionExpert",CLASSFEATUREHEADERS,0),MATCH($A411,CLASSNAMEHEADERS,0))),(INDEX(ALLCLASSDATA,MATCH("PerceptionExpert",CLASSFEATUREHEADERS,0),MATCH(($A411 &amp; "Points"),CLASSNAMEHEADERS,0))),(IF("09"=(INDEX(ALLCLASSDATA,MATCH("PerceptionTrained",CLASSFEATUREHEADERS,0),MATCH($A411,CLASSNAMEHEADERS,0))),(INDEX(ALLCLASSDATA,MATCH("PerceptionTrained",CLASSFEATUREHEADERS,0),MATCH(($A411 &amp; "Points"),CLASSNAMEHEADERS,0))),"")))))))))}</f>
        <v>PERCEPTIONL09</v>
      </c>
      <c r="P410" s="230"/>
      <c r="Q410" s="230" t="str">
        <f t="array" ref="Q410:Q411">{"PERCEPTIONL11";((IF("11"=(INDEX(ALLCLASSDATA,MATCH("PerceptionLegendary",CLASSFEATUREHEADERS,0),MATCH($A411,CLASSNAMEHEADERS,0))),(INDEX(ALLCLASSDATA,MATCH("PerceptionLegendary",CLASSFEATUREHEADERS,0),MATCH(($A411 &amp; "Points"),CLASSNAMEHEADERS,0))),(IF("11"=(INDEX(ALLCLASSDATA,MATCH("PerceptionMaster",CLASSFEATUREHEADERS,0),MATCH($A411,CLASSNAMEHEADERS,0))),(INDEX(ALLCLASSDATA,MATCH("PerceptionMaster",CLASSFEATUREHEADERS,0),MATCH(($A411 &amp; "Points"),CLASSNAMEHEADERS,0))),(IF("11"=(INDEX(ALLCLASSDATA,MATCH("PerceptionExpert",CLASSFEATUREHEADERS,0),MATCH($A411,CLASSNAMEHEADERS,0))),(INDEX(ALLCLASSDATA,MATCH("PerceptionExpert",CLASSFEATUREHEADERS,0),MATCH(($A411 &amp; "Points"),CLASSNAMEHEADERS,0))),(IF("11"=(INDEX(ALLCLASSDATA,MATCH("PerceptionTrained",CLASSFEATUREHEADERS,0),MATCH($A411,CLASSNAMEHEADERS,0))),(INDEX(ALLCLASSDATA,MATCH("PerceptionTrained",CLASSFEATUREHEADERS,0),MATCH(($A411 &amp; "Points"),CLASSNAMEHEADERS,0))),"")))))))))}</f>
        <v>PERCEPTIONL11</v>
      </c>
      <c r="R410" s="230"/>
      <c r="S410" s="230" t="str">
        <f t="array" ref="S410:S411">{"PERCEPTIONL13";((IF("13"=(INDEX(ALLCLASSDATA,MATCH("PerceptionLegendary",CLASSFEATUREHEADERS,0),MATCH($A411,CLASSNAMEHEADERS,0))),(INDEX(ALLCLASSDATA,MATCH("PerceptionLegendary",CLASSFEATUREHEADERS,0),MATCH(($A411 &amp; "Points"),CLASSNAMEHEADERS,0))),(IF("13"=(INDEX(ALLCLASSDATA,MATCH("PerceptionMaster",CLASSFEATUREHEADERS,0),MATCH($A411,CLASSNAMEHEADERS,0))),(INDEX(ALLCLASSDATA,MATCH("PerceptionMaster",CLASSFEATUREHEADERS,0),MATCH(($A411 &amp; "Points"),CLASSNAMEHEADERS,0))),(IF("13"=(INDEX(ALLCLASSDATA,MATCH("PerceptionExpert",CLASSFEATUREHEADERS,0),MATCH($A411,CLASSNAMEHEADERS,0))),(INDEX(ALLCLASSDATA,MATCH("PerceptionExpert",CLASSFEATUREHEADERS,0),MATCH(($A411 &amp; "Points"),CLASSNAMEHEADERS,0))),(IF("13"=(INDEX(ALLCLASSDATA,MATCH("PerceptionTrained",CLASSFEATUREHEADERS,0),MATCH($A411,CLASSNAMEHEADERS,0))),(INDEX(ALLCLASSDATA,MATCH("PerceptionTrained",CLASSFEATUREHEADERS,0),MATCH(($A411 &amp; "Points"),CLASSNAMEHEADERS,0))),"")))))))))}</f>
        <v>PERCEPTIONL13</v>
      </c>
      <c r="T410" s="230"/>
      <c r="U410" s="230" t="str">
        <f t="array" ref="U410:U411">{"PERCEPTIONL15";((IF("15"=(INDEX(ALLCLASSDATA,MATCH("PerceptionLegendary",CLASSFEATUREHEADERS,0),MATCH($A411,CLASSNAMEHEADERS,0))),(INDEX(ALLCLASSDATA,MATCH("PerceptionLegendary",CLASSFEATUREHEADERS,0),MATCH(($A411 &amp; "Points"),CLASSNAMEHEADERS,0))),(IF("15"=(INDEX(ALLCLASSDATA,MATCH("PerceptionMaster",CLASSFEATUREHEADERS,0),MATCH($A411,CLASSNAMEHEADERS,0))),(INDEX(ALLCLASSDATA,MATCH("PerceptionMaster",CLASSFEATUREHEADERS,0),MATCH(($A411 &amp; "Points"),CLASSNAMEHEADERS,0))),(IF("15"=(INDEX(ALLCLASSDATA,MATCH("PerceptionExpert",CLASSFEATUREHEADERS,0),MATCH($A411,CLASSNAMEHEADERS,0))),(INDEX(ALLCLASSDATA,MATCH("PerceptionExpert",CLASSFEATUREHEADERS,0),MATCH(($A411 &amp; "Points"),CLASSNAMEHEADERS,0))),(IF("15"=(INDEX(ALLCLASSDATA,MATCH("PerceptionTrained",CLASSFEATUREHEADERS,0),MATCH($A411,CLASSNAMEHEADERS,0))),(INDEX(ALLCLASSDATA,MATCH("PerceptionTrained",CLASSFEATUREHEADERS,0),MATCH(($A411 &amp; "Points"),CLASSNAMEHEADERS,0))),"")))))))))}</f>
        <v>PERCEPTIONL15</v>
      </c>
      <c r="V410" s="230"/>
      <c r="W410" s="230" t="str">
        <f t="array" ref="W410:W411">{"PERCEPTIONL17";((IF("17"=(INDEX(ALLCLASSDATA,MATCH("PerceptionLegendary",CLASSFEATUREHEADERS,0),MATCH($A411,CLASSNAMEHEADERS,0))),(INDEX(ALLCLASSDATA,MATCH("PerceptionLegendary",CLASSFEATUREHEADERS,0),MATCH(($A411 &amp; "Points"),CLASSNAMEHEADERS,0))),(IF("17"=(INDEX(ALLCLASSDATA,MATCH("PerceptionMaster",CLASSFEATUREHEADERS,0),MATCH($A411,CLASSNAMEHEADERS,0))),(INDEX(ALLCLASSDATA,MATCH("PerceptionMaster",CLASSFEATUREHEADERS,0),MATCH(($A411 &amp; "Points"),CLASSNAMEHEADERS,0))),(IF("17"=(INDEX(ALLCLASSDATA,MATCH("PerceptionExpert",CLASSFEATUREHEADERS,0),MATCH($A411,CLASSNAMEHEADERS,0))),(INDEX(ALLCLASSDATA,MATCH("PerceptionExpert",CLASSFEATUREHEADERS,0),MATCH(($A411 &amp; "Points"),CLASSNAMEHEADERS,0))),(IF("17"=(INDEX(ALLCLASSDATA,MATCH("PerceptionTrained",CLASSFEATUREHEADERS,0),MATCH($A411,CLASSNAMEHEADERS,0))),(INDEX(ALLCLASSDATA,MATCH("PerceptionTrained",CLASSFEATUREHEADERS,0),MATCH(($A411 &amp; "Points"),CLASSNAMEHEADERS,0))),"")))))))))}</f>
        <v>PERCEPTIONL17</v>
      </c>
      <c r="X410" s="230"/>
      <c r="Y410" s="230" t="str">
        <f t="array" ref="Y410:Y411">{"PERCEPTIONL19";((IF("19"=(INDEX(ALLCLASSDATA,MATCH("PerceptionLegendary",CLASSFEATUREHEADERS,0),MATCH($A411,CLASSNAMEHEADERS,0))),(INDEX(ALLCLASSDATA,MATCH("PerceptionLegendary",CLASSFEATUREHEADERS,0),MATCH(($A411 &amp; "Points"),CLASSNAMEHEADERS,0))),(IF("19"=(INDEX(ALLCLASSDATA,MATCH("PerceptionMaster",CLASSFEATUREHEADERS,0),MATCH($A411,CLASSNAMEHEADERS,0))),(INDEX(ALLCLASSDATA,MATCH("PerceptionMaster",CLASSFEATUREHEADERS,0),MATCH(($A411 &amp; "Points"),CLASSNAMEHEADERS,0))),(IF("19"=(INDEX(ALLCLASSDATA,MATCH("PerceptionExpert",CLASSFEATUREHEADERS,0),MATCH($A411,CLASSNAMEHEADERS,0))),(INDEX(ALLCLASSDATA,MATCH("PerceptionExpert",CLASSFEATUREHEADERS,0),MATCH(($A411 &amp; "Points"),CLASSNAMEHEADERS,0))),(IF("19"=(INDEX(ALLCLASSDATA,MATCH("PerceptionTrained",CLASSFEATUREHEADERS,0),MATCH($A411,CLASSNAMEHEADERS,0))),(INDEX(ALLCLASSDATA,MATCH("PerceptionTrained",CLASSFEATUREHEADERS,0),MATCH(($A411 &amp; "Points"),CLASSNAMEHEADERS,0))),"")))))))))}</f>
        <v>PERCEPTIONL19</v>
      </c>
      <c r="Z410" s="230"/>
      <c r="AA410" s="76" t="str">
        <f t="array" ref="AA410:AA411">{"PERCEPTION TOTAL";(IF(COUNTBLANK(F411:Z411)=17,"L",(IF(COUNTBLANK(F411:Z411)=18,"M",(IF(COUNTBLANK(F411:Z411)=19,"E",(IF(COUNTBLANK(F411:Z411)=20,"T",""))))))))}</f>
        <v>PERCEPTION TOTAL</v>
      </c>
      <c r="AB410" s="76" t="str">
        <f t="array" ref="AB410:AB411">{"PERCEPTION TOTAL";(sum(F411:Z411))}</f>
        <v>PERCEPTION TOTAL</v>
      </c>
    </row>
    <row r="411">
      <c r="A411" s="48" t="s">
        <v>231</v>
      </c>
      <c r="B411" s="48" t="s">
        <v>418</v>
      </c>
      <c r="C411" s="97" t="s">
        <v>637</v>
      </c>
      <c r="D411" s="97" t="s">
        <v>637</v>
      </c>
      <c r="E411" s="98" t="s">
        <v>435</v>
      </c>
      <c r="F411" s="132" t="s">
        <v>603</v>
      </c>
      <c r="G411" s="98">
        <v>10.0</v>
      </c>
      <c r="H411" s="98"/>
      <c r="I411" s="98" t="s">
        <v>603</v>
      </c>
      <c r="J411" s="98"/>
      <c r="K411" s="98" t="s">
        <v>603</v>
      </c>
      <c r="L411" s="98"/>
      <c r="M411" s="98" t="s">
        <v>603</v>
      </c>
      <c r="N411" s="98"/>
      <c r="O411" s="98" t="s">
        <v>603</v>
      </c>
      <c r="P411" s="98"/>
      <c r="Q411" s="98">
        <v>50.0</v>
      </c>
      <c r="R411" s="98"/>
      <c r="S411" s="98" t="s">
        <v>603</v>
      </c>
      <c r="T411" s="98"/>
      <c r="U411" s="98" t="s">
        <v>603</v>
      </c>
      <c r="V411" s="98"/>
      <c r="W411" s="98" t="s">
        <v>603</v>
      </c>
      <c r="X411" s="98"/>
      <c r="Y411" s="98" t="s">
        <v>603</v>
      </c>
      <c r="Z411" s="98"/>
      <c r="AA411" s="5" t="s">
        <v>436</v>
      </c>
      <c r="AB411" s="47">
        <v>60.0</v>
      </c>
    </row>
    <row r="412" hidden="1">
      <c r="A412" s="222" t="str">
        <f t="array" ref="A412:A413">{"FormulaRow23";(INDEX(CLASSLIST,A367,1))}</f>
        <v>FormulaRow23</v>
      </c>
      <c r="B412" s="222" t="str">
        <f t="array" ref="B412:B413">{"CLASSTYPE";((INDEX(ALLCLASSDATA,MATCH("ClassType",CLASSFEATUREHEADERS,0),MATCH($A413,CLASSNAMEHEADERS,0))))}</f>
        <v>CLASSTYPE</v>
      </c>
      <c r="C412" s="228" t="str">
        <f t="array" ref="C412:C413">{"SAVES";"Saves"}</f>
        <v>SAVES</v>
      </c>
      <c r="D412" s="228" t="str">
        <f t="array" ref="D412:D413">{"FORTITUDESAVE";"FortitudeSave"}</f>
        <v>FORTITUDESAVE</v>
      </c>
      <c r="E412" s="230" t="str">
        <f t="array" ref="E412:E413">{"FORTITUDEINITIAL";((IF(G413=10,"T",(IF(G413=50,"E","")))))}</f>
        <v>FORTITUDEINITIAL</v>
      </c>
      <c r="F412" s="230" t="str">
        <f t="array" ref="F412:F413">{"FORTITUDEINITIALPTS";((IF("00"=(INDEX(ALLCLASSDATA,MATCH("FortitudeSaveLegendary",CLASSFEATUREHEADERS,0),MATCH($A413,CLASSNAMEHEADERS,0))),(INDEX(ALLCLASSDATA,MATCH("FortitudeSaveLegendary",CLASSFEATUREHEADERS,0),MATCH(($A413 &amp; "Points"),CLASSNAMEHEADERS,0))),(IF("00"=(INDEX(ALLCLASSDATA,MATCH("FortitudeSaveMaster",CLASSFEATUREHEADERS,0),MATCH($A413,CLASSNAMEHEADERS,0))),(INDEX(ALLCLASSDATA,MATCH("FortitudeSaveMaster",CLASSFEATUREHEADERS,0),MATCH(($A413 &amp; "Points"),CLASSNAMEHEADERS,0))),(IF("00"=(INDEX(ALLCLASSDATA,MATCH("FortitudeSaveExpert",CLASSFEATUREHEADERS,0),MATCH($A413,CLASSNAMEHEADERS,0))),(INDEX(ALLCLASSDATA,MATCH("FortitudeSaveExpert",CLASSFEATUREHEADERS,0),MATCH(($A413 &amp; "Points"),CLASSNAMEHEADERS,0))),(IF("00"=(INDEX(ALLCLASSDATA,MATCH("FortitudeSaveTrained",CLASSFEATUREHEADERS,0),MATCH($A413,CLASSNAMEHEADERS,0))),(INDEX(ALLCLASSDATA,MATCH("FortitudeSaveTrained",CLASSFEATUREHEADERS,0),MATCH(($A413 &amp; "Points"),CLASSNAMEHEADERS,0))),"")))))))))}</f>
        <v>FORTITUDEINITIALPTS</v>
      </c>
      <c r="G412" s="230" t="str">
        <f t="array" ref="G412:G413">{"FORTITUDEL01";((IF("01"=(INDEX(ALLCLASSDATA,MATCH("FortitudeSaveLegendary",CLASSFEATUREHEADERS,0),MATCH($A413,CLASSNAMEHEADERS,0))),(INDEX(ALLCLASSDATA,MATCH("FortitudeSaveLegendary",CLASSFEATUREHEADERS,0),MATCH(($A413 &amp; "Points"),CLASSNAMEHEADERS,0))),(IF("01"=(INDEX(ALLCLASSDATA,MATCH("FortitudeSaveMaster",CLASSFEATUREHEADERS,0),MATCH($A413,CLASSNAMEHEADERS,0))),(INDEX(ALLCLASSDATA,MATCH("FortitudeSaveMaster",CLASSFEATUREHEADERS,0),MATCH(($A413 &amp; "Points"),CLASSNAMEHEADERS,0))),(IF("01"=(INDEX(ALLCLASSDATA,MATCH("FortitudeSaveExpert",CLASSFEATUREHEADERS,0),MATCH($A413,CLASSNAMEHEADERS,0))),(INDEX(ALLCLASSDATA,MATCH("FortitudeSaveExpert",CLASSFEATUREHEADERS,0),MATCH(($A413 &amp; "Points"),CLASSNAMEHEADERS,0))),(IF("01"=(INDEX(ALLCLASSDATA,MATCH("FortitudeSaveTrained",CLASSFEATUREHEADERS,0),MATCH($A413,CLASSNAMEHEADERS,0))),(INDEX(ALLCLASSDATA,MATCH("FortitudeSaveTrained",CLASSFEATUREHEADERS,0),MATCH(($A413 &amp; "Points"),CLASSNAMEHEADERS,0))),"")))))))))}</f>
        <v>FORTITUDEL01</v>
      </c>
      <c r="H412" s="230"/>
      <c r="I412" s="230" t="str">
        <f t="array" ref="I412:I413">{"FORTITUDEL03";((IF("03"=(INDEX(ALLCLASSDATA,MATCH("FortitudeSaveLegendary",CLASSFEATUREHEADERS,0),MATCH($A413,CLASSNAMEHEADERS,0))),(INDEX(ALLCLASSDATA,MATCH("FortitudeSaveLegendary",CLASSFEATUREHEADERS,0),MATCH(($A413 &amp; "Points"),CLASSNAMEHEADERS,0))),(IF("03"=(INDEX(ALLCLASSDATA,MATCH("FortitudeSaveMaster",CLASSFEATUREHEADERS,0),MATCH($A413,CLASSNAMEHEADERS,0))),(INDEX(ALLCLASSDATA,MATCH("FortitudeSaveMaster",CLASSFEATUREHEADERS,0),MATCH(($A413 &amp; "Points"),CLASSNAMEHEADERS,0))),(IF("03"=(INDEX(ALLCLASSDATA,MATCH("FortitudeSaveExpert",CLASSFEATUREHEADERS,0),MATCH($A413,CLASSNAMEHEADERS,0))),(INDEX(ALLCLASSDATA,MATCH("FortitudeSaveExpert",CLASSFEATUREHEADERS,0),MATCH(($A413 &amp; "Points"),CLASSNAMEHEADERS,0))),(IF("03"=(INDEX(ALLCLASSDATA,MATCH("FortitudeSaveTrained",CLASSFEATUREHEADERS,0),MATCH($A413,CLASSNAMEHEADERS,0))),(INDEX(ALLCLASSDATA,MATCH("FortitudeSaveTrained",CLASSFEATUREHEADERS,0),MATCH(($A413 &amp; "Points"),CLASSNAMEHEADERS,0))),"")))))))))}</f>
        <v>FORTITUDEL03</v>
      </c>
      <c r="J412" s="230"/>
      <c r="K412" s="230" t="str">
        <f t="array" ref="K412:K413">{"FORTITUDEL05";((IF("05"=(INDEX(ALLCLASSDATA,MATCH("FortitudeSaveLegendary",CLASSFEATUREHEADERS,0),MATCH($A413,CLASSNAMEHEADERS,0))),(INDEX(ALLCLASSDATA,MATCH("FortitudeSaveLegendary",CLASSFEATUREHEADERS,0),MATCH(($A413 &amp; "Points"),CLASSNAMEHEADERS,0))),(IF("05"=(INDEX(ALLCLASSDATA,MATCH("FortitudeSaveMaster",CLASSFEATUREHEADERS,0),MATCH($A413,CLASSNAMEHEADERS,0))),(INDEX(ALLCLASSDATA,MATCH("FortitudeSaveMaster",CLASSFEATUREHEADERS,0),MATCH(($A413 &amp; "Points"),CLASSNAMEHEADERS,0))),(IF("05"=(INDEX(ALLCLASSDATA,MATCH("FortitudeSaveExpert",CLASSFEATUREHEADERS,0),MATCH($A413,CLASSNAMEHEADERS,0))),(INDEX(ALLCLASSDATA,MATCH("FortitudeSaveExpert",CLASSFEATUREHEADERS,0),MATCH(($A413 &amp; "Points"),CLASSNAMEHEADERS,0))),(IF("05"=(INDEX(ALLCLASSDATA,MATCH("FortitudeSaveTrained",CLASSFEATUREHEADERS,0),MATCH($A413,CLASSNAMEHEADERS,0))),(INDEX(ALLCLASSDATA,MATCH("FortitudeSaveTrained",CLASSFEATUREHEADERS,0),MATCH(($A413 &amp; "Points"),CLASSNAMEHEADERS,0))),"")))))))))}</f>
        <v>FORTITUDEL05</v>
      </c>
      <c r="L412" s="230"/>
      <c r="M412" s="230" t="str">
        <f t="array" ref="M412:M413">{"FORTITUDEL07";((IF("07"=(INDEX(ALLCLASSDATA,MATCH("FortitudeSaveLegendary",CLASSFEATUREHEADERS,0),MATCH($A413,CLASSNAMEHEADERS,0))),(INDEX(ALLCLASSDATA,MATCH("FortitudeSaveLegendary",CLASSFEATUREHEADERS,0),MATCH(($A413 &amp; "Points"),CLASSNAMEHEADERS,0))),(IF("07"=(INDEX(ALLCLASSDATA,MATCH("FortitudeSaveMaster",CLASSFEATUREHEADERS,0),MATCH($A413,CLASSNAMEHEADERS,0))),(INDEX(ALLCLASSDATA,MATCH("FortitudeSaveMaster",CLASSFEATUREHEADERS,0),MATCH(($A413 &amp; "Points"),CLASSNAMEHEADERS,0))),(IF("07"=(INDEX(ALLCLASSDATA,MATCH("FortitudeSaveExpert",CLASSFEATUREHEADERS,0),MATCH($A413,CLASSNAMEHEADERS,0))),(INDEX(ALLCLASSDATA,MATCH("FortitudeSaveExpert",CLASSFEATUREHEADERS,0),MATCH(($A413 &amp; "Points"),CLASSNAMEHEADERS,0))),(IF("07"=(INDEX(ALLCLASSDATA,MATCH("FortitudeSaveTrained",CLASSFEATUREHEADERS,0),MATCH($A413,CLASSNAMEHEADERS,0))),(INDEX(ALLCLASSDATA,MATCH("FortitudeSaveTrained",CLASSFEATUREHEADERS,0),MATCH(($A413 &amp; "Points"),CLASSNAMEHEADERS,0))),"")))))))))}</f>
        <v>FORTITUDEL07</v>
      </c>
      <c r="N412" s="230"/>
      <c r="O412" s="230" t="str">
        <f t="array" ref="O412:O413">{"FORTITUDEL09";((IF("09"=(INDEX(ALLCLASSDATA,MATCH("FortitudeSaveLegendary",CLASSFEATUREHEADERS,0),MATCH($A413,CLASSNAMEHEADERS,0))),(INDEX(ALLCLASSDATA,MATCH("FortitudeSaveLegendary",CLASSFEATUREHEADERS,0),MATCH(($A413 &amp; "Points"),CLASSNAMEHEADERS,0))),(IF("09"=(INDEX(ALLCLASSDATA,MATCH("FortitudeSaveMaster",CLASSFEATUREHEADERS,0),MATCH($A413,CLASSNAMEHEADERS,0))),(INDEX(ALLCLASSDATA,MATCH("FortitudeSaveMaster",CLASSFEATUREHEADERS,0),MATCH(($A413 &amp; "Points"),CLASSNAMEHEADERS,0))),(IF("09"=(INDEX(ALLCLASSDATA,MATCH("FortitudeSaveExpert",CLASSFEATUREHEADERS,0),MATCH($A413,CLASSNAMEHEADERS,0))),(INDEX(ALLCLASSDATA,MATCH("FortitudeSaveExpert",CLASSFEATUREHEADERS,0),MATCH(($A413 &amp; "Points"),CLASSNAMEHEADERS,0))),(IF("09"=(INDEX(ALLCLASSDATA,MATCH("FortitudeSaveTrained",CLASSFEATUREHEADERS,0),MATCH($A413,CLASSNAMEHEADERS,0))),(INDEX(ALLCLASSDATA,MATCH("FortitudeSaveTrained",CLASSFEATUREHEADERS,0),MATCH(($A413 &amp; "Points"),CLASSNAMEHEADERS,0))),"")))))))))}</f>
        <v>FORTITUDEL09</v>
      </c>
      <c r="P412" s="230"/>
      <c r="Q412" s="230" t="str">
        <f t="array" ref="Q412:Q413">{"FORTITUDEL11";((IF("11"=(INDEX(ALLCLASSDATA,MATCH("FortitudeSaveLegendary",CLASSFEATUREHEADERS,0),MATCH($A413,CLASSNAMEHEADERS,0))),(INDEX(ALLCLASSDATA,MATCH("FortitudeSaveLegendary",CLASSFEATUREHEADERS,0),MATCH(($A413 &amp; "Points"),CLASSNAMEHEADERS,0))),(IF("11"=(INDEX(ALLCLASSDATA,MATCH("FortitudeSaveMaster",CLASSFEATUREHEADERS,0),MATCH($A413,CLASSNAMEHEADERS,0))),(INDEX(ALLCLASSDATA,MATCH("FortitudeSaveMaster",CLASSFEATUREHEADERS,0),MATCH(($A413 &amp; "Points"),CLASSNAMEHEADERS,0))),(IF("11"=(INDEX(ALLCLASSDATA,MATCH("FortitudeSaveExpert",CLASSFEATUREHEADERS,0),MATCH($A413,CLASSNAMEHEADERS,0))),(INDEX(ALLCLASSDATA,MATCH("FortitudeSaveExpert",CLASSFEATUREHEADERS,0),MATCH(($A413 &amp; "Points"),CLASSNAMEHEADERS,0))),(IF("11"=(INDEX(ALLCLASSDATA,MATCH("FortitudeSaveTrained",CLASSFEATUREHEADERS,0),MATCH($A413,CLASSNAMEHEADERS,0))),(INDEX(ALLCLASSDATA,MATCH("FortitudeSaveTrained",CLASSFEATUREHEADERS,0),MATCH(($A413 &amp; "Points"),CLASSNAMEHEADERS,0))),"")))))))))}</f>
        <v>FORTITUDEL11</v>
      </c>
      <c r="R412" s="230"/>
      <c r="S412" s="230" t="str">
        <f t="array" ref="S412:S413">{"FORTITUDEL13";((IF("13"=(INDEX(ALLCLASSDATA,MATCH("FortitudeSaveLegendary",CLASSFEATUREHEADERS,0),MATCH($A413,CLASSNAMEHEADERS,0))),(INDEX(ALLCLASSDATA,MATCH("FortitudeSaveLegendary",CLASSFEATUREHEADERS,0),MATCH(($A413 &amp; "Points"),CLASSNAMEHEADERS,0))),(IF("13"=(INDEX(ALLCLASSDATA,MATCH("FortitudeSaveMaster",CLASSFEATUREHEADERS,0),MATCH($A413,CLASSNAMEHEADERS,0))),(INDEX(ALLCLASSDATA,MATCH("FortitudeSaveMaster",CLASSFEATUREHEADERS,0),MATCH(($A413 &amp; "Points"),CLASSNAMEHEADERS,0))),(IF("13"=(INDEX(ALLCLASSDATA,MATCH("FortitudeSaveExpert",CLASSFEATUREHEADERS,0),MATCH($A413,CLASSNAMEHEADERS,0))),(INDEX(ALLCLASSDATA,MATCH("FortitudeSaveExpert",CLASSFEATUREHEADERS,0),MATCH(($A413 &amp; "Points"),CLASSNAMEHEADERS,0))),(IF("13"=(INDEX(ALLCLASSDATA,MATCH("FortitudeSaveTrained",CLASSFEATUREHEADERS,0),MATCH($A413,CLASSNAMEHEADERS,0))),(INDEX(ALLCLASSDATA,MATCH("FortitudeSaveTrained",CLASSFEATUREHEADERS,0),MATCH(($A413 &amp; "Points"),CLASSNAMEHEADERS,0))),"")))))))))}</f>
        <v>FORTITUDEL13</v>
      </c>
      <c r="T412" s="230"/>
      <c r="U412" s="230" t="str">
        <f t="array" ref="U412:U413">{"FORTITUDEL15";((IF("15"=(INDEX(ALLCLASSDATA,MATCH("FortitudeSaveLegendary",CLASSFEATUREHEADERS,0),MATCH($A413,CLASSNAMEHEADERS,0))),(INDEX(ALLCLASSDATA,MATCH("FortitudeSaveLegendary",CLASSFEATUREHEADERS,0),MATCH(($A413 &amp; "Points"),CLASSNAMEHEADERS,0))),(IF("15"=(INDEX(ALLCLASSDATA,MATCH("FortitudeSaveMaster",CLASSFEATUREHEADERS,0),MATCH($A413,CLASSNAMEHEADERS,0))),(INDEX(ALLCLASSDATA,MATCH("FortitudeSaveMaster",CLASSFEATUREHEADERS,0),MATCH(($A413 &amp; "Points"),CLASSNAMEHEADERS,0))),(IF("15"=(INDEX(ALLCLASSDATA,MATCH("FortitudeSaveExpert",CLASSFEATUREHEADERS,0),MATCH($A413,CLASSNAMEHEADERS,0))),(INDEX(ALLCLASSDATA,MATCH("FortitudeSaveExpert",CLASSFEATUREHEADERS,0),MATCH(($A413 &amp; "Points"),CLASSNAMEHEADERS,0))),(IF("15"=(INDEX(ALLCLASSDATA,MATCH("FortitudeSaveTrained",CLASSFEATUREHEADERS,0),MATCH($A413,CLASSNAMEHEADERS,0))),(INDEX(ALLCLASSDATA,MATCH("FortitudeSaveTrained",CLASSFEATUREHEADERS,0),MATCH(($A413 &amp; "Points"),CLASSNAMEHEADERS,0))),"")))))))))}</f>
        <v>FORTITUDEL15</v>
      </c>
      <c r="V412" s="230"/>
      <c r="W412" s="230" t="str">
        <f t="array" ref="W412:W413">{"FORTITUDEL17";((IF("17"=(INDEX(ALLCLASSDATA,MATCH("FortitudeSaveLegendary",CLASSFEATUREHEADERS,0),MATCH($A413,CLASSNAMEHEADERS,0))),(INDEX(ALLCLASSDATA,MATCH("FortitudeSaveLegendary",CLASSFEATUREHEADERS,0),MATCH(($A413 &amp; "Points"),CLASSNAMEHEADERS,0))),(IF("17"=(INDEX(ALLCLASSDATA,MATCH("FortitudeSaveMaster",CLASSFEATUREHEADERS,0),MATCH($A413,CLASSNAMEHEADERS,0))),(INDEX(ALLCLASSDATA,MATCH("FortitudeSaveMaster",CLASSFEATUREHEADERS,0),MATCH(($A413 &amp; "Points"),CLASSNAMEHEADERS,0))),(IF("17"=(INDEX(ALLCLASSDATA,MATCH("FortitudeSaveExpert",CLASSFEATUREHEADERS,0),MATCH($A413,CLASSNAMEHEADERS,0))),(INDEX(ALLCLASSDATA,MATCH("FortitudeSaveExpert",CLASSFEATUREHEADERS,0),MATCH(($A413 &amp; "Points"),CLASSNAMEHEADERS,0))),(IF("17"=(INDEX(ALLCLASSDATA,MATCH("FortitudeSaveTrained",CLASSFEATUREHEADERS,0),MATCH($A413,CLASSNAMEHEADERS,0))),(INDEX(ALLCLASSDATA,MATCH("FortitudeSaveTrained",CLASSFEATUREHEADERS,0),MATCH(($A413 &amp; "Points"),CLASSNAMEHEADERS,0))),"")))))))))}</f>
        <v>FORTITUDEL17</v>
      </c>
      <c r="X412" s="230"/>
      <c r="Y412" s="230" t="str">
        <f t="array" ref="Y412:Y413">{"FORTITUDEL19";((IF("19"=(INDEX(ALLCLASSDATA,MATCH("FortitudeSaveLegendary",CLASSFEATUREHEADERS,0),MATCH($A413,CLASSNAMEHEADERS,0))),(INDEX(ALLCLASSDATA,MATCH("FortitudeSaveLegendary",CLASSFEATUREHEADERS,0),MATCH(($A413 &amp; "Points"),CLASSNAMEHEADERS,0))),(IF("19"=(INDEX(ALLCLASSDATA,MATCH("FortitudeSaveMaster",CLASSFEATUREHEADERS,0),MATCH($A413,CLASSNAMEHEADERS,0))),(INDEX(ALLCLASSDATA,MATCH("FortitudeSaveMaster",CLASSFEATUREHEADERS,0),MATCH(($A413 &amp; "Points"),CLASSNAMEHEADERS,0))),(IF("19"=(INDEX(ALLCLASSDATA,MATCH("FortitudeSaveExpert",CLASSFEATUREHEADERS,0),MATCH($A413,CLASSNAMEHEADERS,0))),(INDEX(ALLCLASSDATA,MATCH("FortitudeSaveExpert",CLASSFEATUREHEADERS,0),MATCH(($A413 &amp; "Points"),CLASSNAMEHEADERS,0))),(IF("19"=(INDEX(ALLCLASSDATA,MATCH("FortitudeSaveTrained",CLASSFEATUREHEADERS,0),MATCH($A413,CLASSNAMEHEADERS,0))),(INDEX(ALLCLASSDATA,MATCH("FortitudeSaveTrained",CLASSFEATUREHEADERS,0),MATCH(($A413 &amp; "Points"),CLASSNAMEHEADERS,0))),"")))))))))}</f>
        <v>FORTITUDEL19</v>
      </c>
      <c r="Z412" s="230"/>
      <c r="AA412" s="76" t="str">
        <f t="array" ref="AA412:AA413">{"FORTITUDE TOTAL";(IF(COUNTBLANK(F413:Z413)=17,"L",(IF(COUNTBLANK(F413:Z413)=18,"M",(IF(COUNTBLANK(F413:Z413)=19,"E",(IF(COUNTBLANK(F413:Z413)=20,"T",""))))))))}</f>
        <v>FORTITUDE TOTAL</v>
      </c>
      <c r="AB412" s="76" t="str">
        <f t="array" ref="AB412:AB413">{"FORTITUDE TOTAL";(sum(F413:Z413))}</f>
        <v>FORTITUDE TOTAL</v>
      </c>
    </row>
    <row r="413">
      <c r="A413" s="48" t="s">
        <v>231</v>
      </c>
      <c r="B413" s="48" t="s">
        <v>418</v>
      </c>
      <c r="C413" s="48" t="s">
        <v>1549</v>
      </c>
      <c r="D413" s="48" t="s">
        <v>1550</v>
      </c>
      <c r="E413" s="5" t="s">
        <v>435</v>
      </c>
      <c r="F413" s="47" t="s">
        <v>603</v>
      </c>
      <c r="G413" s="5">
        <v>10.0</v>
      </c>
      <c r="H413" s="5"/>
      <c r="I413" s="5" t="s">
        <v>603</v>
      </c>
      <c r="J413" s="5"/>
      <c r="K413" s="5">
        <v>50.0</v>
      </c>
      <c r="L413" s="5"/>
      <c r="M413" s="5" t="s">
        <v>603</v>
      </c>
      <c r="N413" s="5"/>
      <c r="O413" s="5" t="s">
        <v>603</v>
      </c>
      <c r="P413" s="5"/>
      <c r="Q413" s="5" t="s">
        <v>603</v>
      </c>
      <c r="R413" s="5"/>
      <c r="S413" s="5" t="s">
        <v>603</v>
      </c>
      <c r="T413" s="5"/>
      <c r="U413" s="5" t="s">
        <v>603</v>
      </c>
      <c r="V413" s="5"/>
      <c r="W413" s="5" t="s">
        <v>603</v>
      </c>
      <c r="X413" s="5"/>
      <c r="Y413" s="5" t="s">
        <v>603</v>
      </c>
      <c r="Z413" s="5"/>
      <c r="AA413" s="5" t="s">
        <v>436</v>
      </c>
      <c r="AB413" s="47">
        <v>60.0</v>
      </c>
    </row>
    <row r="414" hidden="1">
      <c r="A414" s="222" t="str">
        <f t="array" ref="A414:A415">{"FormulaRow24";(INDEX(CLASSLIST,A367,1))}</f>
        <v>FormulaRow24</v>
      </c>
      <c r="B414" s="222" t="str">
        <f t="array" ref="B414:B415">{"CLASSTYPE";((INDEX(ALLCLASSDATA,MATCH("ClassType",CLASSFEATUREHEADERS,0),MATCH($A415,CLASSNAMEHEADERS,0))))}</f>
        <v>CLASSTYPE</v>
      </c>
      <c r="C414" s="222" t="str">
        <f t="array" ref="C414:C415">{"SAVES";"Saves"}</f>
        <v>SAVES</v>
      </c>
      <c r="D414" s="222" t="str">
        <f t="array" ref="D414:D415">{"REFLEXSAVE";"ReflexSave"}</f>
        <v>REFLEXSAVE</v>
      </c>
      <c r="E414" s="223" t="str">
        <f t="array" ref="E414:E415">{"REFLEXINITIAL";((IF(G415=10,"T",(IF(G415=50,"E","")))))}</f>
        <v>REFLEXINITIAL</v>
      </c>
      <c r="F414" s="223" t="str">
        <f t="array" ref="F414:F415">{"REFLEXINITIALPTS";((IF("00"=(INDEX(ALLCLASSDATA,MATCH("ReflexSaveLegendary",CLASSFEATUREHEADERS,0),MATCH($A415,CLASSNAMEHEADERS,0))),(INDEX(ALLCLASSDATA,MATCH("ReflexSaveLegendary",CLASSFEATUREHEADERS,0),MATCH(($A415 &amp; "Points"),CLASSNAMEHEADERS,0))),(IF("00"=(INDEX(ALLCLASSDATA,MATCH("ReflexSaveMaster",CLASSFEATUREHEADERS,0),MATCH($A415,CLASSNAMEHEADERS,0))),(INDEX(ALLCLASSDATA,MATCH("ReflexSaveMaster",CLASSFEATUREHEADERS,0),MATCH(($A415 &amp; "Points"),CLASSNAMEHEADERS,0))),(IF("00"=(INDEX(ALLCLASSDATA,MATCH("ReflexSaveExpert",CLASSFEATUREHEADERS,0),MATCH($A415,CLASSNAMEHEADERS,0))),(INDEX(ALLCLASSDATA,MATCH("ReflexSaveExpert",CLASSFEATUREHEADERS,0),MATCH(($A415 &amp; "Points"),CLASSNAMEHEADERS,0))),(IF("00"=(INDEX(ALLCLASSDATA,MATCH("ReflexSaveTrained",CLASSFEATUREHEADERS,0),MATCH($A415,CLASSNAMEHEADERS,0))),(INDEX(ALLCLASSDATA,MATCH("ReflexSaveTrained",CLASSFEATUREHEADERS,0),MATCH(($A415 &amp; "Points"),CLASSNAMEHEADERS,0))),"")))))))))}</f>
        <v>REFLEXINITIALPTS</v>
      </c>
      <c r="G414" s="223" t="str">
        <f t="array" ref="G414:G415">{"REFLEXL01";((IF("01"=(INDEX(ALLCLASSDATA,MATCH("ReflexSaveLegendary",CLASSFEATUREHEADERS,0),MATCH($A415,CLASSNAMEHEADERS,0))),(INDEX(ALLCLASSDATA,MATCH("ReflexSaveLegendary",CLASSFEATUREHEADERS,0),MATCH(($A415 &amp; "Points"),CLASSNAMEHEADERS,0))),(IF("01"=(INDEX(ALLCLASSDATA,MATCH("ReflexSaveMaster",CLASSFEATUREHEADERS,0),MATCH($A415,CLASSNAMEHEADERS,0))),(INDEX(ALLCLASSDATA,MATCH("ReflexSaveMaster",CLASSFEATUREHEADERS,0),MATCH(($A415 &amp; "Points"),CLASSNAMEHEADERS,0))),(IF("01"=(INDEX(ALLCLASSDATA,MATCH("ReflexSaveExpert",CLASSFEATUREHEADERS,0),MATCH($A415,CLASSNAMEHEADERS,0))),(INDEX(ALLCLASSDATA,MATCH("ReflexSaveExpert",CLASSFEATUREHEADERS,0),MATCH(($A415 &amp; "Points"),CLASSNAMEHEADERS,0))),(IF("01"=(INDEX(ALLCLASSDATA,MATCH("ReflexSaveTrained",CLASSFEATUREHEADERS,0),MATCH($A415,CLASSNAMEHEADERS,0))),(INDEX(ALLCLASSDATA,MATCH("ReflexSaveTrained",CLASSFEATUREHEADERS,0),MATCH(($A415 &amp; "Points"),CLASSNAMEHEADERS,0))),"")))))))))}</f>
        <v>REFLEXL01</v>
      </c>
      <c r="H414" s="223"/>
      <c r="I414" s="223" t="str">
        <f t="array" ref="I414:I415">{"REFLEXL03";((IF("03"=(INDEX(ALLCLASSDATA,MATCH("ReflexSaveLegendary",CLASSFEATUREHEADERS,0),MATCH($A415,CLASSNAMEHEADERS,0))),(INDEX(ALLCLASSDATA,MATCH("ReflexSaveLegendary",CLASSFEATUREHEADERS,0),MATCH(($A415 &amp; "Points"),CLASSNAMEHEADERS,0))),(IF("03"=(INDEX(ALLCLASSDATA,MATCH("ReflexSaveMaster",CLASSFEATUREHEADERS,0),MATCH($A415,CLASSNAMEHEADERS,0))),(INDEX(ALLCLASSDATA,MATCH("ReflexSaveMaster",CLASSFEATUREHEADERS,0),MATCH(($A415 &amp; "Points"),CLASSNAMEHEADERS,0))),(IF("03"=(INDEX(ALLCLASSDATA,MATCH("ReflexSaveExpert",CLASSFEATUREHEADERS,0),MATCH($A415,CLASSNAMEHEADERS,0))),(INDEX(ALLCLASSDATA,MATCH("ReflexSaveExpert",CLASSFEATUREHEADERS,0),MATCH(($A415 &amp; "Points"),CLASSNAMEHEADERS,0))),(IF("03"=(INDEX(ALLCLASSDATA,MATCH("ReflexSaveTrained",CLASSFEATUREHEADERS,0),MATCH($A415,CLASSNAMEHEADERS,0))),(INDEX(ALLCLASSDATA,MATCH("ReflexSaveTrained",CLASSFEATUREHEADERS,0),MATCH(($A415 &amp; "Points"),CLASSNAMEHEADERS,0))),"")))))))))}</f>
        <v>REFLEXL03</v>
      </c>
      <c r="J414" s="223"/>
      <c r="K414" s="223" t="str">
        <f t="array" ref="K414:K415">{"REFLEXL05";((IF("05"=(INDEX(ALLCLASSDATA,MATCH("ReflexSaveLegendary",CLASSFEATUREHEADERS,0),MATCH($A415,CLASSNAMEHEADERS,0))),(INDEX(ALLCLASSDATA,MATCH("ReflexSaveLegendary",CLASSFEATUREHEADERS,0),MATCH(($A415 &amp; "Points"),CLASSNAMEHEADERS,0))),(IF("05"=(INDEX(ALLCLASSDATA,MATCH("ReflexSaveMaster",CLASSFEATUREHEADERS,0),MATCH($A415,CLASSNAMEHEADERS,0))),(INDEX(ALLCLASSDATA,MATCH("ReflexSaveMaster",CLASSFEATUREHEADERS,0),MATCH(($A415 &amp; "Points"),CLASSNAMEHEADERS,0))),(IF("05"=(INDEX(ALLCLASSDATA,MATCH("ReflexSaveExpert",CLASSFEATUREHEADERS,0),MATCH($A415,CLASSNAMEHEADERS,0))),(INDEX(ALLCLASSDATA,MATCH("ReflexSaveExpert",CLASSFEATUREHEADERS,0),MATCH(($A415 &amp; "Points"),CLASSNAMEHEADERS,0))),(IF("05"=(INDEX(ALLCLASSDATA,MATCH("ReflexSaveTrained",CLASSFEATUREHEADERS,0),MATCH($A415,CLASSNAMEHEADERS,0))),(INDEX(ALLCLASSDATA,MATCH("ReflexSaveTrained",CLASSFEATUREHEADERS,0),MATCH(($A415 &amp; "Points"),CLASSNAMEHEADERS,0))),"")))))))))}</f>
        <v>REFLEXL05</v>
      </c>
      <c r="L414" s="223"/>
      <c r="M414" s="223" t="str">
        <f t="array" ref="M414:M415">{"REFLEXL07";((IF("07"=(INDEX(ALLCLASSDATA,MATCH("ReflexSaveLegendary",CLASSFEATUREHEADERS,0),MATCH($A415,CLASSNAMEHEADERS,0))),(INDEX(ALLCLASSDATA,MATCH("ReflexSaveLegendary",CLASSFEATUREHEADERS,0),MATCH(($A415 &amp; "Points"),CLASSNAMEHEADERS,0))),(IF("07"=(INDEX(ALLCLASSDATA,MATCH("ReflexSaveMaster",CLASSFEATUREHEADERS,0),MATCH($A415,CLASSNAMEHEADERS,0))),(INDEX(ALLCLASSDATA,MATCH("ReflexSaveMaster",CLASSFEATUREHEADERS,0),MATCH(($A415 &amp; "Points"),CLASSNAMEHEADERS,0))),(IF("07"=(INDEX(ALLCLASSDATA,MATCH("ReflexSaveExpert",CLASSFEATUREHEADERS,0),MATCH($A415,CLASSNAMEHEADERS,0))),(INDEX(ALLCLASSDATA,MATCH("ReflexSaveExpert",CLASSFEATUREHEADERS,0),MATCH(($A415 &amp; "Points"),CLASSNAMEHEADERS,0))),(IF("07"=(INDEX(ALLCLASSDATA,MATCH("ReflexSaveTrained",CLASSFEATUREHEADERS,0),MATCH($A415,CLASSNAMEHEADERS,0))),(INDEX(ALLCLASSDATA,MATCH("ReflexSaveTrained",CLASSFEATUREHEADERS,0),MATCH(($A415 &amp; "Points"),CLASSNAMEHEADERS,0))),"")))))))))}</f>
        <v>REFLEXL07</v>
      </c>
      <c r="N414" s="223"/>
      <c r="O414" s="223" t="str">
        <f t="array" ref="O414:O415">{"REFLEXL09";((IF("09"=(INDEX(ALLCLASSDATA,MATCH("ReflexSaveLegendary",CLASSFEATUREHEADERS,0),MATCH($A415,CLASSNAMEHEADERS,0))),(INDEX(ALLCLASSDATA,MATCH("ReflexSaveLegendary",CLASSFEATUREHEADERS,0),MATCH(($A415 &amp; "Points"),CLASSNAMEHEADERS,0))),(IF("09"=(INDEX(ALLCLASSDATA,MATCH("ReflexSaveMaster",CLASSFEATUREHEADERS,0),MATCH($A415,CLASSNAMEHEADERS,0))),(INDEX(ALLCLASSDATA,MATCH("ReflexSaveMaster",CLASSFEATUREHEADERS,0),MATCH(($A415 &amp; "Points"),CLASSNAMEHEADERS,0))),(IF("09"=(INDEX(ALLCLASSDATA,MATCH("ReflexSaveExpert",CLASSFEATUREHEADERS,0),MATCH($A415,CLASSNAMEHEADERS,0))),(INDEX(ALLCLASSDATA,MATCH("ReflexSaveExpert",CLASSFEATUREHEADERS,0),MATCH(($A415 &amp; "Points"),CLASSNAMEHEADERS,0))),(IF("09"=(INDEX(ALLCLASSDATA,MATCH("ReflexSaveTrained",CLASSFEATUREHEADERS,0),MATCH($A415,CLASSNAMEHEADERS,0))),(INDEX(ALLCLASSDATA,MATCH("ReflexSaveTrained",CLASSFEATUREHEADERS,0),MATCH(($A415 &amp; "Points"),CLASSNAMEHEADERS,0))),"")))))))))}</f>
        <v>REFLEXL09</v>
      </c>
      <c r="P414" s="223"/>
      <c r="Q414" s="223" t="str">
        <f t="array" ref="Q414:Q415">{"REFLEXL11";((IF("11"=(INDEX(ALLCLASSDATA,MATCH("ReflexSaveLegendary",CLASSFEATUREHEADERS,0),MATCH($A415,CLASSNAMEHEADERS,0))),(INDEX(ALLCLASSDATA,MATCH("ReflexSaveLegendary",CLASSFEATUREHEADERS,0),MATCH(($A415 &amp; "Points"),CLASSNAMEHEADERS,0))),(IF("11"=(INDEX(ALLCLASSDATA,MATCH("ReflexSaveMaster",CLASSFEATUREHEADERS,0),MATCH($A415,CLASSNAMEHEADERS,0))),(INDEX(ALLCLASSDATA,MATCH("ReflexSaveMaster",CLASSFEATUREHEADERS,0),MATCH(($A415 &amp; "Points"),CLASSNAMEHEADERS,0))),(IF("11"=(INDEX(ALLCLASSDATA,MATCH("ReflexSaveExpert",CLASSFEATUREHEADERS,0),MATCH($A415,CLASSNAMEHEADERS,0))),(INDEX(ALLCLASSDATA,MATCH("ReflexSaveExpert",CLASSFEATUREHEADERS,0),MATCH(($A415 &amp; "Points"),CLASSNAMEHEADERS,0))),(IF("11"=(INDEX(ALLCLASSDATA,MATCH("ReflexSaveTrained",CLASSFEATUREHEADERS,0),MATCH($A415,CLASSNAMEHEADERS,0))),(INDEX(ALLCLASSDATA,MATCH("ReflexSaveTrained",CLASSFEATUREHEADERS,0),MATCH(($A415 &amp; "Points"),CLASSNAMEHEADERS,0))),"")))))))))}</f>
        <v>REFLEXL11</v>
      </c>
      <c r="R414" s="223"/>
      <c r="S414" s="223" t="str">
        <f t="array" ref="S414:S415">{"REFLEXL13";((IF("13"=(INDEX(ALLCLASSDATA,MATCH("ReflexSaveLegendary",CLASSFEATUREHEADERS,0),MATCH($A415,CLASSNAMEHEADERS,0))),(INDEX(ALLCLASSDATA,MATCH("ReflexSaveLegendary",CLASSFEATUREHEADERS,0),MATCH(($A415 &amp; "Points"),CLASSNAMEHEADERS,0))),(IF("13"=(INDEX(ALLCLASSDATA,MATCH("ReflexSaveMaster",CLASSFEATUREHEADERS,0),MATCH($A415,CLASSNAMEHEADERS,0))),(INDEX(ALLCLASSDATA,MATCH("ReflexSaveMaster",CLASSFEATUREHEADERS,0),MATCH(($A415 &amp; "Points"),CLASSNAMEHEADERS,0))),(IF("13"=(INDEX(ALLCLASSDATA,MATCH("ReflexSaveExpert",CLASSFEATUREHEADERS,0),MATCH($A415,CLASSNAMEHEADERS,0))),(INDEX(ALLCLASSDATA,MATCH("ReflexSaveExpert",CLASSFEATUREHEADERS,0),MATCH(($A415 &amp; "Points"),CLASSNAMEHEADERS,0))),(IF("13"=(INDEX(ALLCLASSDATA,MATCH("ReflexSaveTrained",CLASSFEATUREHEADERS,0),MATCH($A415,CLASSNAMEHEADERS,0))),(INDEX(ALLCLASSDATA,MATCH("ReflexSaveTrained",CLASSFEATUREHEADERS,0),MATCH(($A415 &amp; "Points"),CLASSNAMEHEADERS,0))),"")))))))))}</f>
        <v>REFLEXL13</v>
      </c>
      <c r="T414" s="223"/>
      <c r="U414" s="223" t="str">
        <f t="array" ref="U414:U415">{"REFLEXL15";((IF("15"=(INDEX(ALLCLASSDATA,MATCH("ReflexSaveLegendary",CLASSFEATUREHEADERS,0),MATCH($A415,CLASSNAMEHEADERS,0))),(INDEX(ALLCLASSDATA,MATCH("ReflexSaveLegendary",CLASSFEATUREHEADERS,0),MATCH(($A415 &amp; "Points"),CLASSNAMEHEADERS,0))),(IF("15"=(INDEX(ALLCLASSDATA,MATCH("ReflexSaveMaster",CLASSFEATUREHEADERS,0),MATCH($A415,CLASSNAMEHEADERS,0))),(INDEX(ALLCLASSDATA,MATCH("ReflexSaveMaster",CLASSFEATUREHEADERS,0),MATCH(($A415 &amp; "Points"),CLASSNAMEHEADERS,0))),(IF("15"=(INDEX(ALLCLASSDATA,MATCH("ReflexSaveExpert",CLASSFEATUREHEADERS,0),MATCH($A415,CLASSNAMEHEADERS,0))),(INDEX(ALLCLASSDATA,MATCH("ReflexSaveExpert",CLASSFEATUREHEADERS,0),MATCH(($A415 &amp; "Points"),CLASSNAMEHEADERS,0))),(IF("15"=(INDEX(ALLCLASSDATA,MATCH("ReflexSaveTrained",CLASSFEATUREHEADERS,0),MATCH($A415,CLASSNAMEHEADERS,0))),(INDEX(ALLCLASSDATA,MATCH("ReflexSaveTrained",CLASSFEATUREHEADERS,0),MATCH(($A415 &amp; "Points"),CLASSNAMEHEADERS,0))),"")))))))))}</f>
        <v>REFLEXL15</v>
      </c>
      <c r="V414" s="223"/>
      <c r="W414" s="223" t="str">
        <f t="array" ref="W414:W415">{"REFLEXL17";((IF("17"=(INDEX(ALLCLASSDATA,MATCH("ReflexSaveLegendary",CLASSFEATUREHEADERS,0),MATCH($A415,CLASSNAMEHEADERS,0))),(INDEX(ALLCLASSDATA,MATCH("ReflexSaveLegendary",CLASSFEATUREHEADERS,0),MATCH(($A415 &amp; "Points"),CLASSNAMEHEADERS,0))),(IF("17"=(INDEX(ALLCLASSDATA,MATCH("ReflexSaveMaster",CLASSFEATUREHEADERS,0),MATCH($A415,CLASSNAMEHEADERS,0))),(INDEX(ALLCLASSDATA,MATCH("ReflexSaveMaster",CLASSFEATUREHEADERS,0),MATCH(($A415 &amp; "Points"),CLASSNAMEHEADERS,0))),(IF("17"=(INDEX(ALLCLASSDATA,MATCH("ReflexSaveExpert",CLASSFEATUREHEADERS,0),MATCH($A415,CLASSNAMEHEADERS,0))),(INDEX(ALLCLASSDATA,MATCH("ReflexSaveExpert",CLASSFEATUREHEADERS,0),MATCH(($A415 &amp; "Points"),CLASSNAMEHEADERS,0))),(IF("17"=(INDEX(ALLCLASSDATA,MATCH("ReflexSaveTrained",CLASSFEATUREHEADERS,0),MATCH($A415,CLASSNAMEHEADERS,0))),(INDEX(ALLCLASSDATA,MATCH("ReflexSaveTrained",CLASSFEATUREHEADERS,0),MATCH(($A415 &amp; "Points"),CLASSNAMEHEADERS,0))),"")))))))))}</f>
        <v>REFLEXL17</v>
      </c>
      <c r="X414" s="223"/>
      <c r="Y414" s="223" t="str">
        <f t="array" ref="Y414:Y415">{"REFLEXL19";((IF("19"=(INDEX(ALLCLASSDATA,MATCH("ReflexSaveLegendary",CLASSFEATUREHEADERS,0),MATCH($A415,CLASSNAMEHEADERS,0))),(INDEX(ALLCLASSDATA,MATCH("ReflexSaveLegendary",CLASSFEATUREHEADERS,0),MATCH(($A415 &amp; "Points"),CLASSNAMEHEADERS,0))),(IF("19"=(INDEX(ALLCLASSDATA,MATCH("ReflexSaveMaster",CLASSFEATUREHEADERS,0),MATCH($A415,CLASSNAMEHEADERS,0))),(INDEX(ALLCLASSDATA,MATCH("ReflexSaveMaster",CLASSFEATUREHEADERS,0),MATCH(($A415 &amp; "Points"),CLASSNAMEHEADERS,0))),(IF("19"=(INDEX(ALLCLASSDATA,MATCH("ReflexSaveExpert",CLASSFEATUREHEADERS,0),MATCH($A415,CLASSNAMEHEADERS,0))),(INDEX(ALLCLASSDATA,MATCH("ReflexSaveExpert",CLASSFEATUREHEADERS,0),MATCH(($A415 &amp; "Points"),CLASSNAMEHEADERS,0))),(IF("19"=(INDEX(ALLCLASSDATA,MATCH("ReflexSaveTrained",CLASSFEATUREHEADERS,0),MATCH($A415,CLASSNAMEHEADERS,0))),(INDEX(ALLCLASSDATA,MATCH("ReflexSaveTrained",CLASSFEATUREHEADERS,0),MATCH(($A415 &amp; "Points"),CLASSNAMEHEADERS,0))),"")))))))))}</f>
        <v>REFLEXL19</v>
      </c>
      <c r="Z414" s="223"/>
      <c r="AA414" s="76" t="str">
        <f t="array" ref="AA414:AA415">{"REFLEX TOTAL";(IF(COUNTBLANK(F415:Z415)=17,"L",(IF(COUNTBLANK(F415:Z415)=18,"M",(IF(COUNTBLANK(F415:Z415)=19,"E",(IF(COUNTBLANK(F415:Z415)=20,"T",""))))))))}</f>
        <v>REFLEX TOTAL</v>
      </c>
      <c r="AB414" s="76" t="str">
        <f t="array" ref="AB414:AB415">{"REFLEX TOTAL";(sum(F415:Z415))}</f>
        <v>REFLEX TOTAL</v>
      </c>
    </row>
    <row r="415">
      <c r="A415" s="48" t="s">
        <v>231</v>
      </c>
      <c r="B415" s="48" t="s">
        <v>418</v>
      </c>
      <c r="C415" s="48" t="s">
        <v>1549</v>
      </c>
      <c r="D415" s="48" t="s">
        <v>1572</v>
      </c>
      <c r="E415" s="5" t="s">
        <v>435</v>
      </c>
      <c r="F415" s="47" t="s">
        <v>603</v>
      </c>
      <c r="G415" s="5">
        <v>10.0</v>
      </c>
      <c r="H415" s="5"/>
      <c r="I415" s="5" t="s">
        <v>603</v>
      </c>
      <c r="J415" s="5"/>
      <c r="K415" s="5" t="s">
        <v>603</v>
      </c>
      <c r="L415" s="5"/>
      <c r="M415" s="5" t="s">
        <v>603</v>
      </c>
      <c r="N415" s="5"/>
      <c r="O415" s="5">
        <v>50.0</v>
      </c>
      <c r="P415" s="5"/>
      <c r="Q415" s="5" t="s">
        <v>603</v>
      </c>
      <c r="R415" s="5"/>
      <c r="S415" s="5" t="s">
        <v>603</v>
      </c>
      <c r="T415" s="5"/>
      <c r="U415" s="5" t="s">
        <v>603</v>
      </c>
      <c r="V415" s="5"/>
      <c r="W415" s="5" t="s">
        <v>603</v>
      </c>
      <c r="X415" s="5"/>
      <c r="Y415" s="5" t="s">
        <v>603</v>
      </c>
      <c r="Z415" s="5"/>
      <c r="AA415" s="5" t="s">
        <v>436</v>
      </c>
      <c r="AB415" s="47">
        <v>60.0</v>
      </c>
    </row>
    <row r="416" hidden="1">
      <c r="A416" s="222" t="str">
        <f t="array" ref="A416:A417">{"FormulaRow25";(INDEX(CLASSLIST,A367,1))}</f>
        <v>FormulaRow25</v>
      </c>
      <c r="B416" s="222" t="str">
        <f t="array" ref="B416:B417">{"CLASSTYPE";((INDEX(ALLCLASSDATA,MATCH("ClassType",CLASSFEATUREHEADERS,0),MATCH($A417,CLASSNAMEHEADERS,0))))}</f>
        <v>CLASSTYPE</v>
      </c>
      <c r="C416" s="222" t="str">
        <f t="array" ref="C416:C417">{"SAVES";"Saves"}</f>
        <v>SAVES</v>
      </c>
      <c r="D416" s="222" t="str">
        <f t="array" ref="D416:D417">{"WILLSAVE";"WillSave"}</f>
        <v>WILLSAVE</v>
      </c>
      <c r="E416" s="223" t="str">
        <f t="array" ref="E416:E417">{"WILLINITIAL";((IF(G417=10,"T",(IF(G417=50,"E","")))))}</f>
        <v>WILLINITIAL</v>
      </c>
      <c r="F416" s="223" t="str">
        <f t="array" ref="F416:F417">{"WILLINITIALPTS";((IF("00"=(INDEX(ALLCLASSDATA,MATCH("WillSaveLegendary",CLASSFEATUREHEADERS,0),MATCH($A417,CLASSNAMEHEADERS,0))),(INDEX(ALLCLASSDATA,MATCH("WillSaveLegendary",CLASSFEATUREHEADERS,0),MATCH(($A417 &amp; "Points"),CLASSNAMEHEADERS,0))),(IF("00"=(INDEX(ALLCLASSDATA,MATCH("WillSaveMaster",CLASSFEATUREHEADERS,0),MATCH($A417,CLASSNAMEHEADERS,0))),(INDEX(ALLCLASSDATA,MATCH("WillSaveMaster",CLASSFEATUREHEADERS,0),MATCH(($A417 &amp; "Points"),CLASSNAMEHEADERS,0))),(IF("00"=(INDEX(ALLCLASSDATA,MATCH("WillSaveExpert",CLASSFEATUREHEADERS,0),MATCH($A417,CLASSNAMEHEADERS,0))),(INDEX(ALLCLASSDATA,MATCH("WillSaveExpert",CLASSFEATUREHEADERS,0),MATCH(($A417 &amp; "Points"),CLASSNAMEHEADERS,0))),(IF("00"=(INDEX(ALLCLASSDATA,MATCH("WillSaveTrained",CLASSFEATUREHEADERS,0),MATCH($A417,CLASSNAMEHEADERS,0))),(INDEX(ALLCLASSDATA,MATCH("WillSaveTrained",CLASSFEATUREHEADERS,0),MATCH(($A417 &amp; "Points"),CLASSNAMEHEADERS,0))),"")))))))))}</f>
        <v>WILLINITIALPTS</v>
      </c>
      <c r="G416" s="223" t="str">
        <f t="array" ref="G416:G417">{"WILLL01";((IF("01"=(INDEX(ALLCLASSDATA,MATCH("WillSaveLegendary",CLASSFEATUREHEADERS,0),MATCH($A417,CLASSNAMEHEADERS,0))),(INDEX(ALLCLASSDATA,MATCH("WillSaveLegendary",CLASSFEATUREHEADERS,0),MATCH(($A417 &amp; "Points"),CLASSNAMEHEADERS,0))),(IF("01"=(INDEX(ALLCLASSDATA,MATCH("WillSaveMaster",CLASSFEATUREHEADERS,0),MATCH($A417,CLASSNAMEHEADERS,0))),(INDEX(ALLCLASSDATA,MATCH("WillSaveMaster",CLASSFEATUREHEADERS,0),MATCH(($A417 &amp; "Points"),CLASSNAMEHEADERS,0))),(IF("01"=(INDEX(ALLCLASSDATA,MATCH("WillSaveExpert",CLASSFEATUREHEADERS,0),MATCH($A417,CLASSNAMEHEADERS,0))),(INDEX(ALLCLASSDATA,MATCH("WillSaveExpert",CLASSFEATUREHEADERS,0),MATCH(($A417 &amp; "Points"),CLASSNAMEHEADERS,0))),(IF("01"=(INDEX(ALLCLASSDATA,MATCH("WillSaveTrained",CLASSFEATUREHEADERS,0),MATCH($A417,CLASSNAMEHEADERS,0))),(INDEX(ALLCLASSDATA,MATCH("WillSaveTrained",CLASSFEATUREHEADERS,0),MATCH(($A417 &amp; "Points"),CLASSNAMEHEADERS,0))),"")))))))))}</f>
        <v>WILLL01</v>
      </c>
      <c r="H416" s="223"/>
      <c r="I416" s="223" t="str">
        <f t="array" ref="I416:I417">{"WILLL03";((IF("03"=(INDEX(ALLCLASSDATA,MATCH("WillSaveLegendary",CLASSFEATUREHEADERS,0),MATCH($A417,CLASSNAMEHEADERS,0))),(INDEX(ALLCLASSDATA,MATCH("WillSaveLegendary",CLASSFEATUREHEADERS,0),MATCH(($A417 &amp; "Points"),CLASSNAMEHEADERS,0))),(IF("03"=(INDEX(ALLCLASSDATA,MATCH("WillSaveMaster",CLASSFEATUREHEADERS,0),MATCH($A417,CLASSNAMEHEADERS,0))),(INDEX(ALLCLASSDATA,MATCH("WillSaveMaster",CLASSFEATUREHEADERS,0),MATCH(($A417 &amp; "Points"),CLASSNAMEHEADERS,0))),(IF("03"=(INDEX(ALLCLASSDATA,MATCH("WillSaveExpert",CLASSFEATUREHEADERS,0),MATCH($A417,CLASSNAMEHEADERS,0))),(INDEX(ALLCLASSDATA,MATCH("WillSaveExpert",CLASSFEATUREHEADERS,0),MATCH(($A417 &amp; "Points"),CLASSNAMEHEADERS,0))),(IF("03"=(INDEX(ALLCLASSDATA,MATCH("WillSaveTrained",CLASSFEATUREHEADERS,0),MATCH($A417,CLASSNAMEHEADERS,0))),(INDEX(ALLCLASSDATA,MATCH("WillSaveTrained",CLASSFEATUREHEADERS,0),MATCH(($A417 &amp; "Points"),CLASSNAMEHEADERS,0))),"")))))))))}</f>
        <v>WILLL03</v>
      </c>
      <c r="J416" s="223"/>
      <c r="K416" s="223" t="str">
        <f t="array" ref="K416:K417">{"WILLL05";((IF("05"=(INDEX(ALLCLASSDATA,MATCH("WillSaveLegendary",CLASSFEATUREHEADERS,0),MATCH($A417,CLASSNAMEHEADERS,0))),(INDEX(ALLCLASSDATA,MATCH("WillSaveLegendary",CLASSFEATUREHEADERS,0),MATCH(($A417 &amp; "Points"),CLASSNAMEHEADERS,0))),(IF("05"=(INDEX(ALLCLASSDATA,MATCH("WillSaveMaster",CLASSFEATUREHEADERS,0),MATCH($A417,CLASSNAMEHEADERS,0))),(INDEX(ALLCLASSDATA,MATCH("WillSaveMaster",CLASSFEATUREHEADERS,0),MATCH(($A417 &amp; "Points"),CLASSNAMEHEADERS,0))),(IF("05"=(INDEX(ALLCLASSDATA,MATCH("WillSaveExpert",CLASSFEATUREHEADERS,0),MATCH($A417,CLASSNAMEHEADERS,0))),(INDEX(ALLCLASSDATA,MATCH("WillSaveExpert",CLASSFEATUREHEADERS,0),MATCH(($A417 &amp; "Points"),CLASSNAMEHEADERS,0))),(IF("05"=(INDEX(ALLCLASSDATA,MATCH("WillSaveTrained",CLASSFEATUREHEADERS,0),MATCH($A417,CLASSNAMEHEADERS,0))),(INDEX(ALLCLASSDATA,MATCH("WillSaveTrained",CLASSFEATUREHEADERS,0),MATCH(($A417 &amp; "Points"),CLASSNAMEHEADERS,0))),"")))))))))}</f>
        <v>WILLL05</v>
      </c>
      <c r="L416" s="223"/>
      <c r="M416" s="223" t="str">
        <f t="array" ref="M416:M417">{"WILLL07";((IF("07"=(INDEX(ALLCLASSDATA,MATCH("WillSaveLegendary",CLASSFEATUREHEADERS,0),MATCH($A417,CLASSNAMEHEADERS,0))),(INDEX(ALLCLASSDATA,MATCH("WillSaveLegendary",CLASSFEATUREHEADERS,0),MATCH(($A417 &amp; "Points"),CLASSNAMEHEADERS,0))),(IF("07"=(INDEX(ALLCLASSDATA,MATCH("WillSaveMaster",CLASSFEATUREHEADERS,0),MATCH($A417,CLASSNAMEHEADERS,0))),(INDEX(ALLCLASSDATA,MATCH("WillSaveMaster",CLASSFEATUREHEADERS,0),MATCH(($A417 &amp; "Points"),CLASSNAMEHEADERS,0))),(IF("07"=(INDEX(ALLCLASSDATA,MATCH("WillSaveExpert",CLASSFEATUREHEADERS,0),MATCH($A417,CLASSNAMEHEADERS,0))),(INDEX(ALLCLASSDATA,MATCH("WillSaveExpert",CLASSFEATUREHEADERS,0),MATCH(($A417 &amp; "Points"),CLASSNAMEHEADERS,0))),(IF("07"=(INDEX(ALLCLASSDATA,MATCH("WillSaveTrained",CLASSFEATUREHEADERS,0),MATCH($A417,CLASSNAMEHEADERS,0))),(INDEX(ALLCLASSDATA,MATCH("WillSaveTrained",CLASSFEATUREHEADERS,0),MATCH(($A417 &amp; "Points"),CLASSNAMEHEADERS,0))),"")))))))))}</f>
        <v>WILLL07</v>
      </c>
      <c r="N416" s="223"/>
      <c r="O416" s="223" t="str">
        <f t="array" ref="O416:O417">{"WILLL09";((IF("09"=(INDEX(ALLCLASSDATA,MATCH("WillSaveLegendary",CLASSFEATUREHEADERS,0),MATCH($A417,CLASSNAMEHEADERS,0))),(INDEX(ALLCLASSDATA,MATCH("WillSaveLegendary",CLASSFEATUREHEADERS,0),MATCH(($A417 &amp; "Points"),CLASSNAMEHEADERS,0))),(IF("09"=(INDEX(ALLCLASSDATA,MATCH("WillSaveMaster",CLASSFEATUREHEADERS,0),MATCH($A417,CLASSNAMEHEADERS,0))),(INDEX(ALLCLASSDATA,MATCH("WillSaveMaster",CLASSFEATUREHEADERS,0),MATCH(($A417 &amp; "Points"),CLASSNAMEHEADERS,0))),(IF("09"=(INDEX(ALLCLASSDATA,MATCH("WillSaveExpert",CLASSFEATUREHEADERS,0),MATCH($A417,CLASSNAMEHEADERS,0))),(INDEX(ALLCLASSDATA,MATCH("WillSaveExpert",CLASSFEATUREHEADERS,0),MATCH(($A417 &amp; "Points"),CLASSNAMEHEADERS,0))),(IF("09"=(INDEX(ALLCLASSDATA,MATCH("WillSaveTrained",CLASSFEATUREHEADERS,0),MATCH($A417,CLASSNAMEHEADERS,0))),(INDEX(ALLCLASSDATA,MATCH("WillSaveTrained",CLASSFEATUREHEADERS,0),MATCH(($A417 &amp; "Points"),CLASSNAMEHEADERS,0))),"")))))))))}</f>
        <v>WILLL09</v>
      </c>
      <c r="P416" s="223"/>
      <c r="Q416" s="223" t="str">
        <f t="array" ref="Q416:Q417">{"WILLL11";((IF("11"=(INDEX(ALLCLASSDATA,MATCH("WillSaveLegendary",CLASSFEATUREHEADERS,0),MATCH($A417,CLASSNAMEHEADERS,0))),(INDEX(ALLCLASSDATA,MATCH("WillSaveLegendary",CLASSFEATUREHEADERS,0),MATCH(($A417 &amp; "Points"),CLASSNAMEHEADERS,0))),(IF("11"=(INDEX(ALLCLASSDATA,MATCH("WillSaveMaster",CLASSFEATUREHEADERS,0),MATCH($A417,CLASSNAMEHEADERS,0))),(INDEX(ALLCLASSDATA,MATCH("WillSaveMaster",CLASSFEATUREHEADERS,0),MATCH(($A417 &amp; "Points"),CLASSNAMEHEADERS,0))),(IF("11"=(INDEX(ALLCLASSDATA,MATCH("WillSaveExpert",CLASSFEATUREHEADERS,0),MATCH($A417,CLASSNAMEHEADERS,0))),(INDEX(ALLCLASSDATA,MATCH("WillSaveExpert",CLASSFEATUREHEADERS,0),MATCH(($A417 &amp; "Points"),CLASSNAMEHEADERS,0))),(IF("11"=(INDEX(ALLCLASSDATA,MATCH("WillSaveTrained",CLASSFEATUREHEADERS,0),MATCH($A417,CLASSNAMEHEADERS,0))),(INDEX(ALLCLASSDATA,MATCH("WillSaveTrained",CLASSFEATUREHEADERS,0),MATCH(($A417 &amp; "Points"),CLASSNAMEHEADERS,0))),"")))))))))}</f>
        <v>WILLL11</v>
      </c>
      <c r="R416" s="223"/>
      <c r="S416" s="223" t="str">
        <f t="array" ref="S416:S417">{"WILLL13";((IF("13"=(INDEX(ALLCLASSDATA,MATCH("WillSaveLegendary",CLASSFEATUREHEADERS,0),MATCH($A417,CLASSNAMEHEADERS,0))),(INDEX(ALLCLASSDATA,MATCH("WillSaveLegendary",CLASSFEATUREHEADERS,0),MATCH(($A417 &amp; "Points"),CLASSNAMEHEADERS,0))),(IF("13"=(INDEX(ALLCLASSDATA,MATCH("WillSaveMaster",CLASSFEATUREHEADERS,0),MATCH($A417,CLASSNAMEHEADERS,0))),(INDEX(ALLCLASSDATA,MATCH("WillSaveMaster",CLASSFEATUREHEADERS,0),MATCH(($A417 &amp; "Points"),CLASSNAMEHEADERS,0))),(IF("13"=(INDEX(ALLCLASSDATA,MATCH("WillSaveExpert",CLASSFEATUREHEADERS,0),MATCH($A417,CLASSNAMEHEADERS,0))),(INDEX(ALLCLASSDATA,MATCH("WillSaveExpert",CLASSFEATUREHEADERS,0),MATCH(($A417 &amp; "Points"),CLASSNAMEHEADERS,0))),(IF("13"=(INDEX(ALLCLASSDATA,MATCH("WillSaveTrained",CLASSFEATUREHEADERS,0),MATCH($A417,CLASSNAMEHEADERS,0))),(INDEX(ALLCLASSDATA,MATCH("WillSaveTrained",CLASSFEATUREHEADERS,0),MATCH(($A417 &amp; "Points"),CLASSNAMEHEADERS,0))),"")))))))))}</f>
        <v>WILLL13</v>
      </c>
      <c r="T416" s="223"/>
      <c r="U416" s="223" t="str">
        <f t="array" ref="U416:U417">{"WILLL15";((IF("15"=(INDEX(ALLCLASSDATA,MATCH("WillSaveLegendary",CLASSFEATUREHEADERS,0),MATCH($A417,CLASSNAMEHEADERS,0))),(INDEX(ALLCLASSDATA,MATCH("WillSaveLegendary",CLASSFEATUREHEADERS,0),MATCH(($A417 &amp; "Points"),CLASSNAMEHEADERS,0))),(IF("15"=(INDEX(ALLCLASSDATA,MATCH("WillSaveMaster",CLASSFEATUREHEADERS,0),MATCH($A417,CLASSNAMEHEADERS,0))),(INDEX(ALLCLASSDATA,MATCH("WillSaveMaster",CLASSFEATUREHEADERS,0),MATCH(($A417 &amp; "Points"),CLASSNAMEHEADERS,0))),(IF("15"=(INDEX(ALLCLASSDATA,MATCH("WillSaveExpert",CLASSFEATUREHEADERS,0),MATCH($A417,CLASSNAMEHEADERS,0))),(INDEX(ALLCLASSDATA,MATCH("WillSaveExpert",CLASSFEATUREHEADERS,0),MATCH(($A417 &amp; "Points"),CLASSNAMEHEADERS,0))),(IF("15"=(INDEX(ALLCLASSDATA,MATCH("WillSaveTrained",CLASSFEATUREHEADERS,0),MATCH($A417,CLASSNAMEHEADERS,0))),(INDEX(ALLCLASSDATA,MATCH("WillSaveTrained",CLASSFEATUREHEADERS,0),MATCH(($A417 &amp; "Points"),CLASSNAMEHEADERS,0))),"")))))))))}</f>
        <v>WILLL15</v>
      </c>
      <c r="V416" s="223"/>
      <c r="W416" s="223" t="str">
        <f t="array" ref="W416:W417">{"WILLL17";((IF("17"=(INDEX(ALLCLASSDATA,MATCH("WillSaveLegendary",CLASSFEATUREHEADERS,0),MATCH($A417,CLASSNAMEHEADERS,0))),(INDEX(ALLCLASSDATA,MATCH("WillSaveLegendary",CLASSFEATUREHEADERS,0),MATCH(($A417 &amp; "Points"),CLASSNAMEHEADERS,0))),(IF("17"=(INDEX(ALLCLASSDATA,MATCH("WillSaveMaster",CLASSFEATUREHEADERS,0),MATCH($A417,CLASSNAMEHEADERS,0))),(INDEX(ALLCLASSDATA,MATCH("WillSaveMaster",CLASSFEATUREHEADERS,0),MATCH(($A417 &amp; "Points"),CLASSNAMEHEADERS,0))),(IF("17"=(INDEX(ALLCLASSDATA,MATCH("WillSaveExpert",CLASSFEATUREHEADERS,0),MATCH($A417,CLASSNAMEHEADERS,0))),(INDEX(ALLCLASSDATA,MATCH("WillSaveExpert",CLASSFEATUREHEADERS,0),MATCH(($A417 &amp; "Points"),CLASSNAMEHEADERS,0))),(IF("17"=(INDEX(ALLCLASSDATA,MATCH("WillSaveTrained",CLASSFEATUREHEADERS,0),MATCH($A417,CLASSNAMEHEADERS,0))),(INDEX(ALLCLASSDATA,MATCH("WillSaveTrained",CLASSFEATUREHEADERS,0),MATCH(($A417 &amp; "Points"),CLASSNAMEHEADERS,0))),"")))))))))}</f>
        <v>WILLL17</v>
      </c>
      <c r="X416" s="223"/>
      <c r="Y416" s="223" t="str">
        <f t="array" ref="Y416:Y417">{"WILLL19";((IF("19"=(INDEX(ALLCLASSDATA,MATCH("WillSaveLegendary",CLASSFEATUREHEADERS,0),MATCH($A417,CLASSNAMEHEADERS,0))),(INDEX(ALLCLASSDATA,MATCH("WillSaveLegendary",CLASSFEATUREHEADERS,0),MATCH(($A417 &amp; "Points"),CLASSNAMEHEADERS,0))),(IF("19"=(INDEX(ALLCLASSDATA,MATCH("WillSaveMaster",CLASSFEATUREHEADERS,0),MATCH($A417,CLASSNAMEHEADERS,0))),(INDEX(ALLCLASSDATA,MATCH("WillSaveMaster",CLASSFEATUREHEADERS,0),MATCH(($A417 &amp; "Points"),CLASSNAMEHEADERS,0))),(IF("19"=(INDEX(ALLCLASSDATA,MATCH("WillSaveExpert",CLASSFEATUREHEADERS,0),MATCH($A417,CLASSNAMEHEADERS,0))),(INDEX(ALLCLASSDATA,MATCH("WillSaveExpert",CLASSFEATUREHEADERS,0),MATCH(($A417 &amp; "Points"),CLASSNAMEHEADERS,0))),(IF("19"=(INDEX(ALLCLASSDATA,MATCH("WillSaveTrained",CLASSFEATUREHEADERS,0),MATCH($A417,CLASSNAMEHEADERS,0))),(INDEX(ALLCLASSDATA,MATCH("WillSaveTrained",CLASSFEATUREHEADERS,0),MATCH(($A417 &amp; "Points"),CLASSNAMEHEADERS,0))),"")))))))))}</f>
        <v>WILLL19</v>
      </c>
      <c r="Z416" s="223"/>
      <c r="AA416" s="76" t="str">
        <f t="array" ref="AA416:AA417">{"WILL TOTAL";(IF(COUNTBLANK(F417:Z417)=17,"L",(IF(COUNTBLANK(F417:Z417)=18,"M",(IF(COUNTBLANK(F417:Z417)=19,"E",(IF(COUNTBLANK(F417:Z417)=20,"T",""))))))))}</f>
        <v>WILL TOTAL</v>
      </c>
      <c r="AB416" s="76" t="str">
        <f t="array" ref="AB416:AB417">{"WILL TOTAL";(sum(F417:Z417))}</f>
        <v>WILL TOTAL</v>
      </c>
    </row>
    <row r="417">
      <c r="A417" s="48" t="s">
        <v>231</v>
      </c>
      <c r="B417" s="48" t="s">
        <v>418</v>
      </c>
      <c r="C417" s="97" t="s">
        <v>1549</v>
      </c>
      <c r="D417" s="97" t="s">
        <v>1591</v>
      </c>
      <c r="E417" s="98" t="s">
        <v>436</v>
      </c>
      <c r="F417" s="132">
        <v>10.0</v>
      </c>
      <c r="G417" s="98">
        <v>50.0</v>
      </c>
      <c r="H417" s="98"/>
      <c r="I417" s="98" t="s">
        <v>603</v>
      </c>
      <c r="J417" s="98"/>
      <c r="K417" s="98" t="s">
        <v>603</v>
      </c>
      <c r="L417" s="97"/>
      <c r="M417" s="98" t="s">
        <v>603</v>
      </c>
      <c r="N417" s="98"/>
      <c r="O417" s="98" t="s">
        <v>603</v>
      </c>
      <c r="P417" s="97"/>
      <c r="Q417" s="98" t="s">
        <v>603</v>
      </c>
      <c r="R417" s="98"/>
      <c r="S417" s="98" t="s">
        <v>603</v>
      </c>
      <c r="T417" s="98"/>
      <c r="U417" s="98" t="s">
        <v>603</v>
      </c>
      <c r="V417" s="98"/>
      <c r="W417" s="98">
        <v>110.0</v>
      </c>
      <c r="X417" s="98"/>
      <c r="Y417" s="98" t="s">
        <v>603</v>
      </c>
      <c r="Z417" s="98"/>
      <c r="AA417" s="5" t="s">
        <v>437</v>
      </c>
      <c r="AB417" s="47">
        <v>170.0</v>
      </c>
    </row>
    <row r="418" hidden="1">
      <c r="A418" s="222" t="str">
        <f t="array" ref="A418:A419">{"FormulaRow26";(INDEX(CLASSLIST,A367,1))}</f>
        <v>FormulaRow26</v>
      </c>
      <c r="B418" s="222" t="str">
        <f t="array" ref="B418:B419">{"CLASSTYPE";((INDEX(ALLCLASSDATA,MATCH("ClassType",CLASSFEATUREHEADERS,0),MATCH($A419,CLASSNAMEHEADERS,0))))}</f>
        <v>CLASSTYPE</v>
      </c>
      <c r="C418" s="228" t="str">
        <f t="array" ref="C418:C419">{"ATTACK";"Attack"}</f>
        <v>ATTACK</v>
      </c>
      <c r="D418" s="228" t="str">
        <f t="array" ref="D418:D419">{"WEAPONSPECIAL";"WeaponCS/WS/GWS"}</f>
        <v>WEAPONSPECIAL</v>
      </c>
      <c r="E418" s="230"/>
      <c r="F418" s="230"/>
      <c r="G418" s="230" t="str">
        <f t="array" ref="G418:G419">{"WEAPONSPECIALL01";((IF("01"=INDEX(ALLCLASSDATA,MATCH("WeaponGreaterSpecialization",CLASSFEATUREHEADERS,0),MATCH($A419,CLASSNAMEHEADERS,0)),WeaponGWS,(IF("01"=INDEX(ALLCLASSDATA,MATCH("WeaponSpecialization",CLASSFEATUREHEADERS,0),MATCH($A419,CLASSNAMEHEADERS,0)),WeaponWS,(IF("01"=INDEX(ALLCLASSDATA,MATCH("WeaponCriticalSpecialization",CLASSFEATUREHEADERS,0),MATCH($A419,CLASSNAMEHEADERS,0)),WeaponCS,"")))))))}</f>
        <v>WEAPONSPECIALL01</v>
      </c>
      <c r="H418" s="230"/>
      <c r="I418" s="230" t="str">
        <f t="array" ref="I418:I419">{"WEAPONSPECIALL03";((IF("03"=INDEX(ALLCLASSDATA,MATCH("WeaponGreaterSpecialization",CLASSFEATUREHEADERS,0),MATCH($A419,CLASSNAMEHEADERS,0)),WeaponGWS,(IF("03"=INDEX(ALLCLASSDATA,MATCH("WeaponSpecialization",CLASSFEATUREHEADERS,0),MATCH($A419,CLASSNAMEHEADERS,0)),WeaponWS,(IF("03"=INDEX(ALLCLASSDATA,MATCH("WeaponCriticalSpecialization",CLASSFEATUREHEADERS,0),MATCH($A419,CLASSNAMEHEADERS,0)),WeaponCS,"")))))))}</f>
        <v>WEAPONSPECIALL03</v>
      </c>
      <c r="J418" s="230"/>
      <c r="K418" s="230" t="str">
        <f t="array" ref="K418:K419">{"WEAPONSPECIALL05";((IF("05"=INDEX(ALLCLASSDATA,MATCH("WeaponGreaterSpecialization",CLASSFEATUREHEADERS,0),MATCH($A419,CLASSNAMEHEADERS,0)),WeaponGWS,(IF("05"=INDEX(ALLCLASSDATA,MATCH("WeaponSpecialization",CLASSFEATUREHEADERS,0),MATCH($A419,CLASSNAMEHEADERS,0)),WeaponWS,(IF("05"=INDEX(ALLCLASSDATA,MATCH("WeaponCriticalSpecialization",CLASSFEATUREHEADERS,0),MATCH($A419,CLASSNAMEHEADERS,0)),WeaponCS,"")))))))}</f>
        <v>WEAPONSPECIALL05</v>
      </c>
      <c r="L418" s="230"/>
      <c r="M418" s="230" t="str">
        <f t="array" ref="M418:M419">{"WEAPONSPECIALL07";((IF("07"=INDEX(ALLCLASSDATA,MATCH("WeaponGreaterSpecialization",CLASSFEATUREHEADERS,0),MATCH($A419,CLASSNAMEHEADERS,0)),WeaponGWS,(IF("07"=INDEX(ALLCLASSDATA,MATCH("WeaponSpecialization",CLASSFEATUREHEADERS,0),MATCH($A419,CLASSNAMEHEADERS,0)),WeaponWS,(IF("07"=INDEX(ALLCLASSDATA,MATCH("WeaponCriticalSpecialization",CLASSFEATUREHEADERS,0),MATCH($A419,CLASSNAMEHEADERS,0)),WeaponCS,"")))))))}</f>
        <v>WEAPONSPECIALL07</v>
      </c>
      <c r="N418" s="230"/>
      <c r="O418" s="230" t="str">
        <f t="array" ref="O418:O419">{"WEAPONSPECIALL09";((IF("09"=INDEX(ALLCLASSDATA,MATCH("WeaponGreaterSpecialization",CLASSFEATUREHEADERS,0),MATCH($A419,CLASSNAMEHEADERS,0)),WeaponGWS,(IF("09"=INDEX(ALLCLASSDATA,MATCH("WeaponSpecialization",CLASSFEATUREHEADERS,0),MATCH($A419,CLASSNAMEHEADERS,0)),WeaponWS,(IF("09"=INDEX(ALLCLASSDATA,MATCH("WeaponCriticalSpecialization",CLASSFEATUREHEADERS,0),MATCH($A419,CLASSNAMEHEADERS,0)),WeaponCS,"")))))))}</f>
        <v>WEAPONSPECIALL09</v>
      </c>
      <c r="P418" s="230"/>
      <c r="Q418" s="230" t="str">
        <f t="array" ref="Q418:Q419">{"WEAPONSPECIALL11";((IF("11"=INDEX(ALLCLASSDATA,MATCH("WeaponGreaterSpecialization",CLASSFEATUREHEADERS,0),MATCH($A419,CLASSNAMEHEADERS,0)),WeaponGWS,(IF("11"=INDEX(ALLCLASSDATA,MATCH("WeaponSpecialization",CLASSFEATUREHEADERS,0),MATCH($A419,CLASSNAMEHEADERS,0)),WeaponWS,(IF("11"=INDEX(ALLCLASSDATA,MATCH("WeaponCriticalSpecialization",CLASSFEATUREHEADERS,0),MATCH($A419,CLASSNAMEHEADERS,0)),WeaponCS,"")))))))}</f>
        <v>WEAPONSPECIALL11</v>
      </c>
      <c r="R418" s="230"/>
      <c r="S418" s="230" t="str">
        <f t="array" ref="S418:S419">{"WEAPONSPECIALL13";((IF("13"=INDEX(ALLCLASSDATA,MATCH("WeaponGreaterSpecialization",CLASSFEATUREHEADERS,0),MATCH($A419,CLASSNAMEHEADERS,0)),WeaponGWS,(IF("13"=INDEX(ALLCLASSDATA,MATCH("WeaponSpecialization",CLASSFEATUREHEADERS,0),MATCH($A419,CLASSNAMEHEADERS,0)),WeaponWS,(IF("13"=INDEX(ALLCLASSDATA,MATCH("WeaponCriticalSpecialization",CLASSFEATUREHEADERS,0),MATCH($A419,CLASSNAMEHEADERS,0)),WeaponCS,"")))))))}</f>
        <v>WEAPONSPECIALL13</v>
      </c>
      <c r="T418" s="230"/>
      <c r="U418" s="230" t="str">
        <f t="array" ref="U418:U419">{"WEAPONSPECIALL15";((IF("15"=INDEX(ALLCLASSDATA,MATCH("WeaponGreaterSpecialization",CLASSFEATUREHEADERS,0),MATCH($A419,CLASSNAMEHEADERS,0)),WeaponGWS,(IF("15"=INDEX(ALLCLASSDATA,MATCH("WeaponSpecialization",CLASSFEATUREHEADERS,0),MATCH($A419,CLASSNAMEHEADERS,0)),WeaponWS,(IF("15"=INDEX(ALLCLASSDATA,MATCH("WeaponCriticalSpecialization",CLASSFEATUREHEADERS,0),MATCH($A419,CLASSNAMEHEADERS,0)),WeaponCS,"")))))))}</f>
        <v>WEAPONSPECIALL15</v>
      </c>
      <c r="V418" s="230"/>
      <c r="W418" s="230" t="str">
        <f t="array" ref="W418:W419">{"WEAPONSPECIALL17";((IF("17"=INDEX(ALLCLASSDATA,MATCH("WeaponGreaterSpecialization",CLASSFEATUREHEADERS,0),MATCH($A419,CLASSNAMEHEADERS,0)),WeaponGWS,(IF("17"=INDEX(ALLCLASSDATA,MATCH("WeaponSpecialization",CLASSFEATUREHEADERS,0),MATCH($A419,CLASSNAMEHEADERS,0)),WeaponWS,(IF("17"=INDEX(ALLCLASSDATA,MATCH("WeaponCriticalSpecialization",CLASSFEATUREHEADERS,0),MATCH($A419,CLASSNAMEHEADERS,0)),WeaponCS,"")))))))}</f>
        <v>WEAPONSPECIALL17</v>
      </c>
      <c r="X418" s="230"/>
      <c r="Y418" s="230" t="str">
        <f t="array" ref="Y418:Y419">{"WEAPONSPECIALL19";((IF("19"=INDEX(ALLCLASSDATA,MATCH("WeaponGreaterSpecialization",CLASSFEATUREHEADERS,0),MATCH($A419,CLASSNAMEHEADERS,0)),WeaponGWS,(IF("19"=INDEX(ALLCLASSDATA,MATCH("WeaponSpecialization",CLASSFEATUREHEADERS,0),MATCH($A419,CLASSNAMEHEADERS,0)),WeaponWS,(IF("19"=INDEX(ALLCLASSDATA,MATCH("WeaponCriticalSpecialization",CLASSFEATUREHEADERS,0),MATCH($A419,CLASSNAMEHEADERS,0)),WeaponCS,"")))))))}</f>
        <v>WEAPONSPECIALL19</v>
      </c>
      <c r="Z418" s="230"/>
      <c r="AA418" s="76"/>
      <c r="AB418" s="76" t="str">
        <f t="array" ref="AB418:AB419">{"WEAPONSPECIAL TOTAL";(sum(F419:Z419))}</f>
        <v>WEAPONSPECIAL TOTAL</v>
      </c>
    </row>
    <row r="419">
      <c r="A419" s="48" t="s">
        <v>231</v>
      </c>
      <c r="B419" s="48" t="s">
        <v>418</v>
      </c>
      <c r="C419" s="48" t="s">
        <v>1634</v>
      </c>
      <c r="D419" s="48" t="s">
        <v>1635</v>
      </c>
      <c r="E419" s="5"/>
      <c r="F419" s="47"/>
      <c r="G419" s="5" t="s">
        <v>603</v>
      </c>
      <c r="H419" s="5"/>
      <c r="I419" s="5" t="s">
        <v>603</v>
      </c>
      <c r="J419" s="5"/>
      <c r="K419" s="5" t="s">
        <v>603</v>
      </c>
      <c r="L419" s="5"/>
      <c r="M419" s="5" t="s">
        <v>603</v>
      </c>
      <c r="N419" s="5"/>
      <c r="O419" s="5" t="s">
        <v>603</v>
      </c>
      <c r="P419" s="5"/>
      <c r="Q419" s="5" t="s">
        <v>603</v>
      </c>
      <c r="R419" s="5"/>
      <c r="S419" s="5">
        <v>70.0</v>
      </c>
      <c r="T419" s="5"/>
      <c r="U419" s="5" t="s">
        <v>603</v>
      </c>
      <c r="V419" s="5"/>
      <c r="W419" s="5" t="s">
        <v>603</v>
      </c>
      <c r="X419" s="5"/>
      <c r="Y419" s="5" t="s">
        <v>603</v>
      </c>
      <c r="Z419" s="5"/>
      <c r="AA419" s="5"/>
      <c r="AB419" s="47">
        <v>70.0</v>
      </c>
    </row>
    <row r="420" hidden="1">
      <c r="A420" s="222" t="str">
        <f t="array" ref="A420:A421">{"FormulaRow27";(INDEX(CLASSLIST,A367,1))}</f>
        <v>FormulaRow27</v>
      </c>
      <c r="B420" s="222" t="str">
        <f t="array" ref="B420:B421">{"CLASSTYPE";((INDEX(ALLCLASSDATA,MATCH("ClassType",CLASSFEATUREHEADERS,0),MATCH($A421,CLASSNAMEHEADERS,0))))}</f>
        <v>CLASSTYPE</v>
      </c>
      <c r="C420" s="222" t="str">
        <f t="array" ref="C420:C421">{"ATTACK";"Attack"}</f>
        <v>ATTACK</v>
      </c>
      <c r="D420" s="222" t="str">
        <f t="array" ref="D420:D421">{"UNARMED";"Unarmed"}</f>
        <v>UNARMED</v>
      </c>
      <c r="E420" s="223" t="str">
        <f t="array" ref="E420:E421">{"UNARMEDINITIAL";((IF(G421=10,"T",(IF(G421=50,"E","")))))}</f>
        <v>UNARMEDINITIAL</v>
      </c>
      <c r="F420" s="223" t="str">
        <f t="array" ref="F420:F421">{"UNARMEDINITIALPTS";((IF("00"=(INDEX(ALLCLASSDATA,MATCH("UnarmedLegendary",CLASSFEATUREHEADERS,0),MATCH($A421,CLASSNAMEHEADERS,0))),(INDEX(ALLCLASSDATA,MATCH("UnarmedLegendary",CLASSFEATUREHEADERS,0),MATCH(($A421 &amp; "Points"),CLASSNAMEHEADERS,0))),(IF("00"=(INDEX(ALLCLASSDATA,MATCH("UnarmedMaster",CLASSFEATUREHEADERS,0),MATCH($A421,CLASSNAMEHEADERS,0))),(INDEX(ALLCLASSDATA,MATCH("UnarmedMaster",CLASSFEATUREHEADERS,0),MATCH(($A421 &amp; "Points"),CLASSNAMEHEADERS,0))),(IF("00"=(INDEX(ALLCLASSDATA,MATCH("UnarmedExpert",CLASSFEATUREHEADERS,0),MATCH($A421,CLASSNAMEHEADERS,0))),(INDEX(ALLCLASSDATA,MATCH("UnarmedExpert",CLASSFEATUREHEADERS,0),MATCH(($A421 &amp; "Points"),CLASSNAMEHEADERS,0))),(IF("00"=(INDEX(ALLCLASSDATA,MATCH("UnarmedTrained",CLASSFEATUREHEADERS,0),MATCH($A421,CLASSNAMEHEADERS,0))),(INDEX(ALLCLASSDATA,MATCH("UnarmedTrained",CLASSFEATUREHEADERS,0),MATCH(($A421 &amp; "Points"),CLASSNAMEHEADERS,0))),"")))))))))}</f>
        <v>UNARMEDINITIALPTS</v>
      </c>
      <c r="G420" s="223" t="str">
        <f t="array" ref="G420:G421">{"UNARMEDL01";((IF("01"=(INDEX(ALLCLASSDATA,MATCH("UnarmedLegendary",CLASSFEATUREHEADERS,0),MATCH($A421,CLASSNAMEHEADERS,0))),(INDEX(ALLCLASSDATA,MATCH("UnarmedLegendary",CLASSFEATUREHEADERS,0),MATCH(($A421 &amp; "Points"),CLASSNAMEHEADERS,0))),(IF("01"=(INDEX(ALLCLASSDATA,MATCH("UnarmedMaster",CLASSFEATUREHEADERS,0),MATCH($A421,CLASSNAMEHEADERS,0))),(INDEX(ALLCLASSDATA,MATCH("UnarmedMaster",CLASSFEATUREHEADERS,0),MATCH(($A421 &amp; "Points"),CLASSNAMEHEADERS,0))),(IF("01"=(INDEX(ALLCLASSDATA,MATCH("UnarmedExpert",CLASSFEATUREHEADERS,0),MATCH($A421,CLASSNAMEHEADERS,0))),(INDEX(ALLCLASSDATA,MATCH("UnarmedExpert",CLASSFEATUREHEADERS,0),MATCH(($A421 &amp; "Points"),CLASSNAMEHEADERS,0))),(IF("01"=(INDEX(ALLCLASSDATA,MATCH("UnarmedTrained",CLASSFEATUREHEADERS,0),MATCH($A421,CLASSNAMEHEADERS,0))),(INDEX(ALLCLASSDATA,MATCH("UnarmedTrained",CLASSFEATUREHEADERS,0),MATCH(($A421 &amp; "Points"),CLASSNAMEHEADERS,0))),"")))))))))}</f>
        <v>UNARMEDL01</v>
      </c>
      <c r="H420" s="223"/>
      <c r="I420" s="223" t="str">
        <f t="array" ref="I420:I421">{"UNARMEDL03";((IF("03"=(INDEX(ALLCLASSDATA,MATCH("UnarmedLegendary",CLASSFEATUREHEADERS,0),MATCH($A421,CLASSNAMEHEADERS,0))),(INDEX(ALLCLASSDATA,MATCH("UnarmedLegendary",CLASSFEATUREHEADERS,0),MATCH(($A421 &amp; "Points"),CLASSNAMEHEADERS,0))),(IF("03"=(INDEX(ALLCLASSDATA,MATCH("UnarmedMaster",CLASSFEATUREHEADERS,0),MATCH($A421,CLASSNAMEHEADERS,0))),(INDEX(ALLCLASSDATA,MATCH("UnarmedMaster",CLASSFEATUREHEADERS,0),MATCH(($A421 &amp; "Points"),CLASSNAMEHEADERS,0))),(IF("03"=(INDEX(ALLCLASSDATA,MATCH("UnarmedExpert",CLASSFEATUREHEADERS,0),MATCH($A421,CLASSNAMEHEADERS,0))),(INDEX(ALLCLASSDATA,MATCH("UnarmedExpert",CLASSFEATUREHEADERS,0),MATCH(($A421 &amp; "Points"),CLASSNAMEHEADERS,0))),(IF("03"=(INDEX(ALLCLASSDATA,MATCH("UnarmedTrained",CLASSFEATUREHEADERS,0),MATCH($A421,CLASSNAMEHEADERS,0))),(INDEX(ALLCLASSDATA,MATCH("UnarmedTrained",CLASSFEATUREHEADERS,0),MATCH(($A421 &amp; "Points"),CLASSNAMEHEADERS,0))),"")))))))))}</f>
        <v>UNARMEDL03</v>
      </c>
      <c r="J420" s="223"/>
      <c r="K420" s="223" t="str">
        <f t="array" ref="K420:K421">{"UNARMEDL05";((IF("05"=(INDEX(ALLCLASSDATA,MATCH("UnarmedLegendary",CLASSFEATUREHEADERS,0),MATCH($A421,CLASSNAMEHEADERS,0))),(INDEX(ALLCLASSDATA,MATCH("UnarmedLegendary",CLASSFEATUREHEADERS,0),MATCH(($A421 &amp; "Points"),CLASSNAMEHEADERS,0))),(IF("05"=(INDEX(ALLCLASSDATA,MATCH("UnarmedMaster",CLASSFEATUREHEADERS,0),MATCH($A421,CLASSNAMEHEADERS,0))),(INDEX(ALLCLASSDATA,MATCH("UnarmedMaster",CLASSFEATUREHEADERS,0),MATCH(($A421 &amp; "Points"),CLASSNAMEHEADERS,0))),(IF("05"=(INDEX(ALLCLASSDATA,MATCH("UnarmedExpert",CLASSFEATUREHEADERS,0),MATCH($A421,CLASSNAMEHEADERS,0))),(INDEX(ALLCLASSDATA,MATCH("UnarmedExpert",CLASSFEATUREHEADERS,0),MATCH(($A421 &amp; "Points"),CLASSNAMEHEADERS,0))),(IF("05"=(INDEX(ALLCLASSDATA,MATCH("UnarmedTrained",CLASSFEATUREHEADERS,0),MATCH($A421,CLASSNAMEHEADERS,0))),(INDEX(ALLCLASSDATA,MATCH("UnarmedTrained",CLASSFEATUREHEADERS,0),MATCH(($A421 &amp; "Points"),CLASSNAMEHEADERS,0))),"")))))))))}</f>
        <v>UNARMEDL05</v>
      </c>
      <c r="L420" s="223"/>
      <c r="M420" s="223" t="str">
        <f t="array" ref="M420:M421">{"UNARMEDL07";((IF("07"=(INDEX(ALLCLASSDATA,MATCH("UnarmedLegendary",CLASSFEATUREHEADERS,0),MATCH($A421,CLASSNAMEHEADERS,0))),(INDEX(ALLCLASSDATA,MATCH("UnarmedLegendary",CLASSFEATUREHEADERS,0),MATCH(($A421 &amp; "Points"),CLASSNAMEHEADERS,0))),(IF("07"=(INDEX(ALLCLASSDATA,MATCH("UnarmedMaster",CLASSFEATUREHEADERS,0),MATCH($A421,CLASSNAMEHEADERS,0))),(INDEX(ALLCLASSDATA,MATCH("UnarmedMaster",CLASSFEATUREHEADERS,0),MATCH(($A421 &amp; "Points"),CLASSNAMEHEADERS,0))),(IF("07"=(INDEX(ALLCLASSDATA,MATCH("UnarmedExpert",CLASSFEATUREHEADERS,0),MATCH($A421,CLASSNAMEHEADERS,0))),(INDEX(ALLCLASSDATA,MATCH("UnarmedExpert",CLASSFEATUREHEADERS,0),MATCH(($A421 &amp; "Points"),CLASSNAMEHEADERS,0))),(IF("07"=(INDEX(ALLCLASSDATA,MATCH("UnarmedTrained",CLASSFEATUREHEADERS,0),MATCH($A421,CLASSNAMEHEADERS,0))),(INDEX(ALLCLASSDATA,MATCH("UnarmedTrained",CLASSFEATUREHEADERS,0),MATCH(($A421 &amp; "Points"),CLASSNAMEHEADERS,0))),"")))))))))}</f>
        <v>UNARMEDL07</v>
      </c>
      <c r="N420" s="223"/>
      <c r="O420" s="223" t="str">
        <f t="array" ref="O420:O421">{"UNARMEDL09";((IF("09"=(INDEX(ALLCLASSDATA,MATCH("UnarmedLegendary",CLASSFEATUREHEADERS,0),MATCH($A421,CLASSNAMEHEADERS,0))),(INDEX(ALLCLASSDATA,MATCH("UnarmedLegendary",CLASSFEATUREHEADERS,0),MATCH(($A421 &amp; "Points"),CLASSNAMEHEADERS,0))),(IF("09"=(INDEX(ALLCLASSDATA,MATCH("UnarmedMaster",CLASSFEATUREHEADERS,0),MATCH($A421,CLASSNAMEHEADERS,0))),(INDEX(ALLCLASSDATA,MATCH("UnarmedMaster",CLASSFEATUREHEADERS,0),MATCH(($A421 &amp; "Points"),CLASSNAMEHEADERS,0))),(IF("09"=(INDEX(ALLCLASSDATA,MATCH("UnarmedExpert",CLASSFEATUREHEADERS,0),MATCH($A421,CLASSNAMEHEADERS,0))),(INDEX(ALLCLASSDATA,MATCH("UnarmedExpert",CLASSFEATUREHEADERS,0),MATCH(($A421 &amp; "Points"),CLASSNAMEHEADERS,0))),(IF("09"=(INDEX(ALLCLASSDATA,MATCH("UnarmedTrained",CLASSFEATUREHEADERS,0),MATCH($A421,CLASSNAMEHEADERS,0))),(INDEX(ALLCLASSDATA,MATCH("UnarmedTrained",CLASSFEATUREHEADERS,0),MATCH(($A421 &amp; "Points"),CLASSNAMEHEADERS,0))),"")))))))))}</f>
        <v>UNARMEDL09</v>
      </c>
      <c r="P420" s="223"/>
      <c r="Q420" s="223" t="str">
        <f t="array" ref="Q420:Q421">{"UNARMEDL11";((IF("11"=(INDEX(ALLCLASSDATA,MATCH("UnarmedLegendary",CLASSFEATUREHEADERS,0),MATCH($A421,CLASSNAMEHEADERS,0))),(INDEX(ALLCLASSDATA,MATCH("UnarmedLegendary",CLASSFEATUREHEADERS,0),MATCH(($A421 &amp; "Points"),CLASSNAMEHEADERS,0))),(IF("11"=(INDEX(ALLCLASSDATA,MATCH("UnarmedMaster",CLASSFEATUREHEADERS,0),MATCH($A421,CLASSNAMEHEADERS,0))),(INDEX(ALLCLASSDATA,MATCH("UnarmedMaster",CLASSFEATUREHEADERS,0),MATCH(($A421 &amp; "Points"),CLASSNAMEHEADERS,0))),(IF("11"=(INDEX(ALLCLASSDATA,MATCH("UnarmedExpert",CLASSFEATUREHEADERS,0),MATCH($A421,CLASSNAMEHEADERS,0))),(INDEX(ALLCLASSDATA,MATCH("UnarmedExpert",CLASSFEATUREHEADERS,0),MATCH(($A421 &amp; "Points"),CLASSNAMEHEADERS,0))),(IF("11"=(INDEX(ALLCLASSDATA,MATCH("UnarmedTrained",CLASSFEATUREHEADERS,0),MATCH($A421,CLASSNAMEHEADERS,0))),(INDEX(ALLCLASSDATA,MATCH("UnarmedTrained",CLASSFEATUREHEADERS,0),MATCH(($A421 &amp; "Points"),CLASSNAMEHEADERS,0))),"")))))))))}</f>
        <v>UNARMEDL11</v>
      </c>
      <c r="R420" s="223"/>
      <c r="S420" s="223" t="str">
        <f t="array" ref="S420:S421">{"UNARMEDL13";((IF("13"=(INDEX(ALLCLASSDATA,MATCH("UnarmedLegendary",CLASSFEATUREHEADERS,0),MATCH($A421,CLASSNAMEHEADERS,0))),(INDEX(ALLCLASSDATA,MATCH("UnarmedLegendary",CLASSFEATUREHEADERS,0),MATCH(($A421 &amp; "Points"),CLASSNAMEHEADERS,0))),(IF("13"=(INDEX(ALLCLASSDATA,MATCH("UnarmedMaster",CLASSFEATUREHEADERS,0),MATCH($A421,CLASSNAMEHEADERS,0))),(INDEX(ALLCLASSDATA,MATCH("UnarmedMaster",CLASSFEATUREHEADERS,0),MATCH(($A421 &amp; "Points"),CLASSNAMEHEADERS,0))),(IF("13"=(INDEX(ALLCLASSDATA,MATCH("UnarmedExpert",CLASSFEATUREHEADERS,0),MATCH($A421,CLASSNAMEHEADERS,0))),(INDEX(ALLCLASSDATA,MATCH("UnarmedExpert",CLASSFEATUREHEADERS,0),MATCH(($A421 &amp; "Points"),CLASSNAMEHEADERS,0))),(IF("13"=(INDEX(ALLCLASSDATA,MATCH("UnarmedTrained",CLASSFEATUREHEADERS,0),MATCH($A421,CLASSNAMEHEADERS,0))),(INDEX(ALLCLASSDATA,MATCH("UnarmedTrained",CLASSFEATUREHEADERS,0),MATCH(($A421 &amp; "Points"),CLASSNAMEHEADERS,0))),"")))))))))}</f>
        <v>UNARMEDL13</v>
      </c>
      <c r="T420" s="223"/>
      <c r="U420" s="223" t="str">
        <f t="array" ref="U420:U421">{"UNARMEDL15";((IF("15"=(INDEX(ALLCLASSDATA,MATCH("UnarmedLegendary",CLASSFEATUREHEADERS,0),MATCH($A421,CLASSNAMEHEADERS,0))),(INDEX(ALLCLASSDATA,MATCH("UnarmedLegendary",CLASSFEATUREHEADERS,0),MATCH(($A421 &amp; "Points"),CLASSNAMEHEADERS,0))),(IF("15"=(INDEX(ALLCLASSDATA,MATCH("UnarmedMaster",CLASSFEATUREHEADERS,0),MATCH($A421,CLASSNAMEHEADERS,0))),(INDEX(ALLCLASSDATA,MATCH("UnarmedMaster",CLASSFEATUREHEADERS,0),MATCH(($A421 &amp; "Points"),CLASSNAMEHEADERS,0))),(IF("15"=(INDEX(ALLCLASSDATA,MATCH("UnarmedExpert",CLASSFEATUREHEADERS,0),MATCH($A421,CLASSNAMEHEADERS,0))),(INDEX(ALLCLASSDATA,MATCH("UnarmedExpert",CLASSFEATUREHEADERS,0),MATCH(($A421 &amp; "Points"),CLASSNAMEHEADERS,0))),(IF("15"=(INDEX(ALLCLASSDATA,MATCH("UnarmedTrained",CLASSFEATUREHEADERS,0),MATCH($A421,CLASSNAMEHEADERS,0))),(INDEX(ALLCLASSDATA,MATCH("UnarmedTrained",CLASSFEATUREHEADERS,0),MATCH(($A421 &amp; "Points"),CLASSNAMEHEADERS,0))),"")))))))))}</f>
        <v>UNARMEDL15</v>
      </c>
      <c r="V420" s="223"/>
      <c r="W420" s="223" t="str">
        <f t="array" ref="W420:W421">{"UNARMEDL17";((IF("17"=(INDEX(ALLCLASSDATA,MATCH("UnarmedLegendary",CLASSFEATUREHEADERS,0),MATCH($A421,CLASSNAMEHEADERS,0))),(INDEX(ALLCLASSDATA,MATCH("UnarmedLegendary",CLASSFEATUREHEADERS,0),MATCH(($A421 &amp; "Points"),CLASSNAMEHEADERS,0))),(IF("17"=(INDEX(ALLCLASSDATA,MATCH("UnarmedMaster",CLASSFEATUREHEADERS,0),MATCH($A421,CLASSNAMEHEADERS,0))),(INDEX(ALLCLASSDATA,MATCH("UnarmedMaster",CLASSFEATUREHEADERS,0),MATCH(($A421 &amp; "Points"),CLASSNAMEHEADERS,0))),(IF("17"=(INDEX(ALLCLASSDATA,MATCH("UnarmedExpert",CLASSFEATUREHEADERS,0),MATCH($A421,CLASSNAMEHEADERS,0))),(INDEX(ALLCLASSDATA,MATCH("UnarmedExpert",CLASSFEATUREHEADERS,0),MATCH(($A421 &amp; "Points"),CLASSNAMEHEADERS,0))),(IF("17"=(INDEX(ALLCLASSDATA,MATCH("UnarmedTrained",CLASSFEATUREHEADERS,0),MATCH($A421,CLASSNAMEHEADERS,0))),(INDEX(ALLCLASSDATA,MATCH("UnarmedTrained",CLASSFEATUREHEADERS,0),MATCH(($A421 &amp; "Points"),CLASSNAMEHEADERS,0))),"")))))))))}</f>
        <v>UNARMEDL17</v>
      </c>
      <c r="X420" s="223"/>
      <c r="Y420" s="223" t="str">
        <f t="array" ref="Y420:Y421">{"UNARMEDL19";((IF("19"=(INDEX(ALLCLASSDATA,MATCH("UnarmedLegendary",CLASSFEATUREHEADERS,0),MATCH($A421,CLASSNAMEHEADERS,0))),(INDEX(ALLCLASSDATA,MATCH("UnarmedLegendary",CLASSFEATUREHEADERS,0),MATCH(($A421 &amp; "Points"),CLASSNAMEHEADERS,0))),(IF("19"=(INDEX(ALLCLASSDATA,MATCH("UnarmedMaster",CLASSFEATUREHEADERS,0),MATCH($A421,CLASSNAMEHEADERS,0))),(INDEX(ALLCLASSDATA,MATCH("UnarmedMaster",CLASSFEATUREHEADERS,0),MATCH(($A421 &amp; "Points"),CLASSNAMEHEADERS,0))),(IF("19"=(INDEX(ALLCLASSDATA,MATCH("UnarmedExpert",CLASSFEATUREHEADERS,0),MATCH($A421,CLASSNAMEHEADERS,0))),(INDEX(ALLCLASSDATA,MATCH("UnarmedExpert",CLASSFEATUREHEADERS,0),MATCH(($A421 &amp; "Points"),CLASSNAMEHEADERS,0))),(IF("19"=(INDEX(ALLCLASSDATA,MATCH("UnarmedTrained",CLASSFEATUREHEADERS,0),MATCH($A421,CLASSNAMEHEADERS,0))),(INDEX(ALLCLASSDATA,MATCH("UnarmedTrained",CLASSFEATUREHEADERS,0),MATCH(($A421 &amp; "Points"),CLASSNAMEHEADERS,0))),"")))))))))}</f>
        <v>UNARMEDL19</v>
      </c>
      <c r="Z420" s="223"/>
      <c r="AA420" s="76" t="str">
        <f t="array" ref="AA420:AA421">{"UNARMED TOTAL";(IF(COUNTBLANK(F421:Z421)=17,"L",(IF(COUNTBLANK(F421:Z421)=18,"M",(IF(COUNTBLANK(F421:Z421)=19,"E",(IF(COUNTBLANK(F421:Z421)=20,"T",""))))))))}</f>
        <v>UNARMED TOTAL</v>
      </c>
      <c r="AB420" s="76" t="str">
        <f t="array" ref="AB420:AB421">{"UNARMED TOTAL";(sum(F421:Z421))}</f>
        <v>UNARMED TOTAL</v>
      </c>
    </row>
    <row r="421">
      <c r="A421" s="48" t="s">
        <v>231</v>
      </c>
      <c r="B421" s="48" t="s">
        <v>418</v>
      </c>
      <c r="C421" s="48" t="s">
        <v>1634</v>
      </c>
      <c r="D421" s="48" t="s">
        <v>257</v>
      </c>
      <c r="E421" s="5" t="s">
        <v>435</v>
      </c>
      <c r="F421" s="47" t="s">
        <v>603</v>
      </c>
      <c r="G421" s="5">
        <v>10.0</v>
      </c>
      <c r="H421" s="5"/>
      <c r="I421" s="5" t="s">
        <v>603</v>
      </c>
      <c r="J421" s="5"/>
      <c r="K421" s="5" t="s">
        <v>603</v>
      </c>
      <c r="L421" s="5"/>
      <c r="M421" s="5" t="s">
        <v>603</v>
      </c>
      <c r="N421" s="5"/>
      <c r="O421" s="5" t="s">
        <v>603</v>
      </c>
      <c r="P421" s="5"/>
      <c r="Q421" s="5" t="s">
        <v>436</v>
      </c>
      <c r="R421" s="5"/>
      <c r="S421" s="5" t="s">
        <v>603</v>
      </c>
      <c r="T421" s="5"/>
      <c r="U421" s="5" t="s">
        <v>603</v>
      </c>
      <c r="V421" s="5"/>
      <c r="W421" s="5" t="s">
        <v>603</v>
      </c>
      <c r="X421" s="5"/>
      <c r="Y421" s="5" t="s">
        <v>603</v>
      </c>
      <c r="Z421" s="5"/>
      <c r="AA421" s="5" t="s">
        <v>436</v>
      </c>
      <c r="AB421" s="47">
        <v>10.0</v>
      </c>
    </row>
    <row r="422" hidden="1">
      <c r="A422" s="222" t="str">
        <f t="array" ref="A422:A423">{"FormulaRow28";(INDEX(CLASSLIST,A367,1))}</f>
        <v>FormulaRow28</v>
      </c>
      <c r="B422" s="222" t="str">
        <f t="array" ref="B422:B423">{"CLASSTYPE";((INDEX(ALLCLASSDATA,MATCH("ClassType",CLASSFEATUREHEADERS,0),MATCH($A423,CLASSNAMEHEADERS,0))))}</f>
        <v>CLASSTYPE</v>
      </c>
      <c r="C422" s="222" t="str">
        <f t="array" ref="C422:C423">{"ATTACK";"Attack"}</f>
        <v>ATTACK</v>
      </c>
      <c r="D422" s="222" t="str">
        <f t="array" ref="D422:D423">{"SIMPLELIMITED";"SimpleLimited"}</f>
        <v>SIMPLELIMITED</v>
      </c>
      <c r="E422" s="223" t="str">
        <f t="array" ref="E422:E423">{"SIMPLELIMITEDINITIAL";((IF(G423=10,"T",(IF(G423=50,"E","")))))}</f>
        <v>SIMPLELIMITEDINITIAL</v>
      </c>
      <c r="F422" s="223" t="str">
        <f t="array" ref="F422:F423">{"SIMPLELIMITEDINITIALPTS";((IF("00"=(INDEX(ALLCLASSDATA,MATCH("SimpleLimitedLegendary",CLASSFEATUREHEADERS,0),MATCH($A423,CLASSNAMEHEADERS,0))),(INDEX(ALLCLASSDATA,MATCH("SimpleLimitedLegendary",CLASSFEATUREHEADERS,0),MATCH(($A423 &amp; "Points"),CLASSNAMEHEADERS,0))),(IF("00"=(INDEX(ALLCLASSDATA,MATCH("SimpleLimitedMaster",CLASSFEATUREHEADERS,0),MATCH($A423,CLASSNAMEHEADERS,0))),(INDEX(ALLCLASSDATA,MATCH("SimpleLimitedMaster",CLASSFEATUREHEADERS,0),MATCH(($A423 &amp; "Points"),CLASSNAMEHEADERS,0))),(IF("00"=(INDEX(ALLCLASSDATA,MATCH("SimpleLimitedExpert",CLASSFEATUREHEADERS,0),MATCH($A423,CLASSNAMEHEADERS,0))),(INDEX(ALLCLASSDATA,MATCH("SimpleLimitedExpert",CLASSFEATUREHEADERS,0),MATCH(($A423 &amp; "Points"),CLASSNAMEHEADERS,0))),(IF("00"=(INDEX(ALLCLASSDATA,MATCH("SimpleLimitedTrained",CLASSFEATUREHEADERS,0),MATCH($A423,CLASSNAMEHEADERS,0))),(INDEX(ALLCLASSDATA,MATCH("SimpleLimitedTrained",CLASSFEATUREHEADERS,0),MATCH(($A423 &amp; "Points"),CLASSNAMEHEADERS,0))),"")))))))))}</f>
        <v>SIMPLELIMITEDINITIALPTS</v>
      </c>
      <c r="G422" s="223" t="str">
        <f t="array" ref="G422:G423">{"SIMPLELIMITEDL01";((IF("01"=(INDEX(ALLCLASSDATA,MATCH("SimpleLimitedLegendary",CLASSFEATUREHEADERS,0),MATCH($A423,CLASSNAMEHEADERS,0))),(INDEX(ALLCLASSDATA,MATCH("SimpleLimitedLegendary",CLASSFEATUREHEADERS,0),MATCH(($A423 &amp; "Points"),CLASSNAMEHEADERS,0))),(IF("01"=(INDEX(ALLCLASSDATA,MATCH("SimpleLimitedMaster",CLASSFEATUREHEADERS,0),MATCH($A423,CLASSNAMEHEADERS,0))),(INDEX(ALLCLASSDATA,MATCH("SimpleLimitedMaster",CLASSFEATUREHEADERS,0),MATCH(($A423 &amp; "Points"),CLASSNAMEHEADERS,0))),(IF("01"=(INDEX(ALLCLASSDATA,MATCH("SimpleLimitedExpert",CLASSFEATUREHEADERS,0),MATCH($A423,CLASSNAMEHEADERS,0))),(INDEX(ALLCLASSDATA,MATCH("SimpleLimitedExpert",CLASSFEATUREHEADERS,0),MATCH(($A423 &amp; "Points"),CLASSNAMEHEADERS,0))),(IF("01"=(INDEX(ALLCLASSDATA,MATCH("SimpleLimitedTrained",CLASSFEATUREHEADERS,0),MATCH($A423,CLASSNAMEHEADERS,0))),(INDEX(ALLCLASSDATA,MATCH("SimpleLimitedTrained",CLASSFEATUREHEADERS,0),MATCH(($A423 &amp; "Points"),CLASSNAMEHEADERS,0))),"")))))))))}</f>
        <v>SIMPLELIMITEDL01</v>
      </c>
      <c r="H422" s="223"/>
      <c r="I422" s="223" t="str">
        <f t="array" ref="I422:I423">{"SIMPLELIMITEDL03";((IF("03"=(INDEX(ALLCLASSDATA,MATCH("SimpleLimitedLegendary",CLASSFEATUREHEADERS,0),MATCH($A423,CLASSNAMEHEADERS,0))),(INDEX(ALLCLASSDATA,MATCH("SimpleLimitedLegendary",CLASSFEATUREHEADERS,0),MATCH(($A423 &amp; "Points"),CLASSNAMEHEADERS,0))),(IF("03"=(INDEX(ALLCLASSDATA,MATCH("SimpleLimitedMaster",CLASSFEATUREHEADERS,0),MATCH($A423,CLASSNAMEHEADERS,0))),(INDEX(ALLCLASSDATA,MATCH("SimpleLimitedMaster",CLASSFEATUREHEADERS,0),MATCH(($A423 &amp; "Points"),CLASSNAMEHEADERS,0))),(IF("03"=(INDEX(ALLCLASSDATA,MATCH("SimpleLimitedExpert",CLASSFEATUREHEADERS,0),MATCH($A423,CLASSNAMEHEADERS,0))),(INDEX(ALLCLASSDATA,MATCH("SimpleLimitedExpert",CLASSFEATUREHEADERS,0),MATCH(($A423 &amp; "Points"),CLASSNAMEHEADERS,0))),(IF("03"=(INDEX(ALLCLASSDATA,MATCH("SimpleLimitedTrained",CLASSFEATUREHEADERS,0),MATCH($A423,CLASSNAMEHEADERS,0))),(INDEX(ALLCLASSDATA,MATCH("SimpleLimitedTrained",CLASSFEATUREHEADERS,0),MATCH(($A423 &amp; "Points"),CLASSNAMEHEADERS,0))),"")))))))))}</f>
        <v>SIMPLELIMITEDL03</v>
      </c>
      <c r="J422" s="223"/>
      <c r="K422" s="223" t="str">
        <f t="array" ref="K422:K423">{"SIMPLELIMITEDL05";((IF("05"=(INDEX(ALLCLASSDATA,MATCH("SimpleLimitedLegendary",CLASSFEATUREHEADERS,0),MATCH($A423,CLASSNAMEHEADERS,0))),(INDEX(ALLCLASSDATA,MATCH("SimpleLimitedLegendary",CLASSFEATUREHEADERS,0),MATCH(($A423 &amp; "Points"),CLASSNAMEHEADERS,0))),(IF("05"=(INDEX(ALLCLASSDATA,MATCH("SimpleLimitedMaster",CLASSFEATUREHEADERS,0),MATCH($A423,CLASSNAMEHEADERS,0))),(INDEX(ALLCLASSDATA,MATCH("SimpleLimitedMaster",CLASSFEATUREHEADERS,0),MATCH(($A423 &amp; "Points"),CLASSNAMEHEADERS,0))),(IF("05"=(INDEX(ALLCLASSDATA,MATCH("SimpleLimitedExpert",CLASSFEATUREHEADERS,0),MATCH($A423,CLASSNAMEHEADERS,0))),(INDEX(ALLCLASSDATA,MATCH("SimpleLimitedExpert",CLASSFEATUREHEADERS,0),MATCH(($A423 &amp; "Points"),CLASSNAMEHEADERS,0))),(IF("05"=(INDEX(ALLCLASSDATA,MATCH("SimpleLimitedTrained",CLASSFEATUREHEADERS,0),MATCH($A423,CLASSNAMEHEADERS,0))),(INDEX(ALLCLASSDATA,MATCH("SimpleLimitedTrained",CLASSFEATUREHEADERS,0),MATCH(($A423 &amp; "Points"),CLASSNAMEHEADERS,0))),"")))))))))}</f>
        <v>SIMPLELIMITEDL05</v>
      </c>
      <c r="L422" s="223"/>
      <c r="M422" s="223" t="str">
        <f t="array" ref="M422:M423">{"SIMPLELIMITEDL07";((IF("07"=(INDEX(ALLCLASSDATA,MATCH("SimpleLimitedLegendary",CLASSFEATUREHEADERS,0),MATCH($A423,CLASSNAMEHEADERS,0))),(INDEX(ALLCLASSDATA,MATCH("SimpleLimitedLegendary",CLASSFEATUREHEADERS,0),MATCH(($A423 &amp; "Points"),CLASSNAMEHEADERS,0))),(IF("07"=(INDEX(ALLCLASSDATA,MATCH("SimpleLimitedMaster",CLASSFEATUREHEADERS,0),MATCH($A423,CLASSNAMEHEADERS,0))),(INDEX(ALLCLASSDATA,MATCH("SimpleLimitedMaster",CLASSFEATUREHEADERS,0),MATCH(($A423 &amp; "Points"),CLASSNAMEHEADERS,0))),(IF("07"=(INDEX(ALLCLASSDATA,MATCH("SimpleLimitedExpert",CLASSFEATUREHEADERS,0),MATCH($A423,CLASSNAMEHEADERS,0))),(INDEX(ALLCLASSDATA,MATCH("SimpleLimitedExpert",CLASSFEATUREHEADERS,0),MATCH(($A423 &amp; "Points"),CLASSNAMEHEADERS,0))),(IF("07"=(INDEX(ALLCLASSDATA,MATCH("SimpleLimitedTrained",CLASSFEATUREHEADERS,0),MATCH($A423,CLASSNAMEHEADERS,0))),(INDEX(ALLCLASSDATA,MATCH("SimpleLimitedTrained",CLASSFEATUREHEADERS,0),MATCH(($A423 &amp; "Points"),CLASSNAMEHEADERS,0))),"")))))))))}</f>
        <v>SIMPLELIMITEDL07</v>
      </c>
      <c r="N422" s="223"/>
      <c r="O422" s="223" t="str">
        <f t="array" ref="O422:O423">{"SIMPLELIMITEDL09";((IF("09"=(INDEX(ALLCLASSDATA,MATCH("SimpleLimitedLegendary",CLASSFEATUREHEADERS,0),MATCH($A423,CLASSNAMEHEADERS,0))),(INDEX(ALLCLASSDATA,MATCH("SimpleLimitedLegendary",CLASSFEATUREHEADERS,0),MATCH(($A423 &amp; "Points"),CLASSNAMEHEADERS,0))),(IF("09"=(INDEX(ALLCLASSDATA,MATCH("SimpleLimitedMaster",CLASSFEATUREHEADERS,0),MATCH($A423,CLASSNAMEHEADERS,0))),(INDEX(ALLCLASSDATA,MATCH("SimpleLimitedMaster",CLASSFEATUREHEADERS,0),MATCH(($A423 &amp; "Points"),CLASSNAMEHEADERS,0))),(IF("09"=(INDEX(ALLCLASSDATA,MATCH("SimpleLimitedExpert",CLASSFEATUREHEADERS,0),MATCH($A423,CLASSNAMEHEADERS,0))),(INDEX(ALLCLASSDATA,MATCH("SimpleLimitedExpert",CLASSFEATUREHEADERS,0),MATCH(($A423 &amp; "Points"),CLASSNAMEHEADERS,0))),(IF("09"=(INDEX(ALLCLASSDATA,MATCH("SimpleLimitedTrained",CLASSFEATUREHEADERS,0),MATCH($A423,CLASSNAMEHEADERS,0))),(INDEX(ALLCLASSDATA,MATCH("SimpleLimitedTrained",CLASSFEATUREHEADERS,0),MATCH(($A423 &amp; "Points"),CLASSNAMEHEADERS,0))),"")))))))))}</f>
        <v>SIMPLELIMITEDL09</v>
      </c>
      <c r="P422" s="223"/>
      <c r="Q422" s="223" t="str">
        <f t="array" ref="Q422:Q423">{"SIMPLELIMITEDL11";((IF("11"=(INDEX(ALLCLASSDATA,MATCH("SimpleLimitedLegendary",CLASSFEATUREHEADERS,0),MATCH($A423,CLASSNAMEHEADERS,0))),(INDEX(ALLCLASSDATA,MATCH("SimpleLimitedLegendary",CLASSFEATUREHEADERS,0),MATCH(($A423 &amp; "Points"),CLASSNAMEHEADERS,0))),(IF("11"=(INDEX(ALLCLASSDATA,MATCH("SimpleLimitedMaster",CLASSFEATUREHEADERS,0),MATCH($A423,CLASSNAMEHEADERS,0))),(INDEX(ALLCLASSDATA,MATCH("SimpleLimitedMaster",CLASSFEATUREHEADERS,0),MATCH(($A423 &amp; "Points"),CLASSNAMEHEADERS,0))),(IF("11"=(INDEX(ALLCLASSDATA,MATCH("SimpleLimitedExpert",CLASSFEATUREHEADERS,0),MATCH($A423,CLASSNAMEHEADERS,0))),(INDEX(ALLCLASSDATA,MATCH("SimpleLimitedExpert",CLASSFEATUREHEADERS,0),MATCH(($A423 &amp; "Points"),CLASSNAMEHEADERS,0))),(IF("11"=(INDEX(ALLCLASSDATA,MATCH("SimpleLimitedTrained",CLASSFEATUREHEADERS,0),MATCH($A423,CLASSNAMEHEADERS,0))),(INDEX(ALLCLASSDATA,MATCH("SimpleLimitedTrained",CLASSFEATUREHEADERS,0),MATCH(($A423 &amp; "Points"),CLASSNAMEHEADERS,0))),"")))))))))}</f>
        <v>SIMPLELIMITEDL11</v>
      </c>
      <c r="R422" s="223"/>
      <c r="S422" s="223" t="str">
        <f t="array" ref="S422:S423">{"SIMPLELIMITEDL13";((IF("13"=(INDEX(ALLCLASSDATA,MATCH("SimpleLimitedLegendary",CLASSFEATUREHEADERS,0),MATCH($A423,CLASSNAMEHEADERS,0))),(INDEX(ALLCLASSDATA,MATCH("SimpleLimitedLegendary",CLASSFEATUREHEADERS,0),MATCH(($A423 &amp; "Points"),CLASSNAMEHEADERS,0))),(IF("13"=(INDEX(ALLCLASSDATA,MATCH("SimpleLimitedMaster",CLASSFEATUREHEADERS,0),MATCH($A423,CLASSNAMEHEADERS,0))),(INDEX(ALLCLASSDATA,MATCH("SimpleLimitedMaster",CLASSFEATUREHEADERS,0),MATCH(($A423 &amp; "Points"),CLASSNAMEHEADERS,0))),(IF("13"=(INDEX(ALLCLASSDATA,MATCH("SimpleLimitedExpert",CLASSFEATUREHEADERS,0),MATCH($A423,CLASSNAMEHEADERS,0))),(INDEX(ALLCLASSDATA,MATCH("SimpleLimitedExpert",CLASSFEATUREHEADERS,0),MATCH(($A423 &amp; "Points"),CLASSNAMEHEADERS,0))),(IF("13"=(INDEX(ALLCLASSDATA,MATCH("SimpleLimitedTrained",CLASSFEATUREHEADERS,0),MATCH($A423,CLASSNAMEHEADERS,0))),(INDEX(ALLCLASSDATA,MATCH("SimpleLimitedTrained",CLASSFEATUREHEADERS,0),MATCH(($A423 &amp; "Points"),CLASSNAMEHEADERS,0))),"")))))))))}</f>
        <v>SIMPLELIMITEDL13</v>
      </c>
      <c r="T422" s="223"/>
      <c r="U422" s="223" t="str">
        <f t="array" ref="U422:U423">{"SIMPLELIMITEDL15";((IF("15"=(INDEX(ALLCLASSDATA,MATCH("SimpleLimitedLegendary",CLASSFEATUREHEADERS,0),MATCH($A423,CLASSNAMEHEADERS,0))),(INDEX(ALLCLASSDATA,MATCH("SimpleLimitedLegendary",CLASSFEATUREHEADERS,0),MATCH(($A423 &amp; "Points"),CLASSNAMEHEADERS,0))),(IF("15"=(INDEX(ALLCLASSDATA,MATCH("SimpleLimitedMaster",CLASSFEATUREHEADERS,0),MATCH($A423,CLASSNAMEHEADERS,0))),(INDEX(ALLCLASSDATA,MATCH("SimpleLimitedMaster",CLASSFEATUREHEADERS,0),MATCH(($A423 &amp; "Points"),CLASSNAMEHEADERS,0))),(IF("15"=(INDEX(ALLCLASSDATA,MATCH("SimpleLimitedExpert",CLASSFEATUREHEADERS,0),MATCH($A423,CLASSNAMEHEADERS,0))),(INDEX(ALLCLASSDATA,MATCH("SimpleLimitedExpert",CLASSFEATUREHEADERS,0),MATCH(($A423 &amp; "Points"),CLASSNAMEHEADERS,0))),(IF("15"=(INDEX(ALLCLASSDATA,MATCH("SimpleLimitedTrained",CLASSFEATUREHEADERS,0),MATCH($A423,CLASSNAMEHEADERS,0))),(INDEX(ALLCLASSDATA,MATCH("SimpleLimitedTrained",CLASSFEATUREHEADERS,0),MATCH(($A423 &amp; "Points"),CLASSNAMEHEADERS,0))),"")))))))))}</f>
        <v>SIMPLELIMITEDL15</v>
      </c>
      <c r="V422" s="223"/>
      <c r="W422" s="223" t="str">
        <f t="array" ref="W422:W423">{"SIMPLELIMITEDL17";((IF("17"=(INDEX(ALLCLASSDATA,MATCH("SimpleLimitedLegendary",CLASSFEATUREHEADERS,0),MATCH($A423,CLASSNAMEHEADERS,0))),(INDEX(ALLCLASSDATA,MATCH("SimpleLimitedLegendary",CLASSFEATUREHEADERS,0),MATCH(($A423 &amp; "Points"),CLASSNAMEHEADERS,0))),(IF("17"=(INDEX(ALLCLASSDATA,MATCH("SimpleLimitedMaster",CLASSFEATUREHEADERS,0),MATCH($A423,CLASSNAMEHEADERS,0))),(INDEX(ALLCLASSDATA,MATCH("SimpleLimitedMaster",CLASSFEATUREHEADERS,0),MATCH(($A423 &amp; "Points"),CLASSNAMEHEADERS,0))),(IF("17"=(INDEX(ALLCLASSDATA,MATCH("SimpleLimitedExpert",CLASSFEATUREHEADERS,0),MATCH($A423,CLASSNAMEHEADERS,0))),(INDEX(ALLCLASSDATA,MATCH("SimpleLimitedExpert",CLASSFEATUREHEADERS,0),MATCH(($A423 &amp; "Points"),CLASSNAMEHEADERS,0))),(IF("17"=(INDEX(ALLCLASSDATA,MATCH("SimpleLimitedTrained",CLASSFEATUREHEADERS,0),MATCH($A423,CLASSNAMEHEADERS,0))),(INDEX(ALLCLASSDATA,MATCH("SimpleLimitedTrained",CLASSFEATUREHEADERS,0),MATCH(($A423 &amp; "Points"),CLASSNAMEHEADERS,0))),"")))))))))}</f>
        <v>SIMPLELIMITEDL17</v>
      </c>
      <c r="X422" s="223"/>
      <c r="Y422" s="223" t="str">
        <f t="array" ref="Y422:Y423">{"SIMPLELIMITEDL19";((IF("19"=(INDEX(ALLCLASSDATA,MATCH("SimpleLimitedLegendary",CLASSFEATUREHEADERS,0),MATCH($A423,CLASSNAMEHEADERS,0))),(INDEX(ALLCLASSDATA,MATCH("SimpleLimitedLegendary",CLASSFEATUREHEADERS,0),MATCH(($A423 &amp; "Points"),CLASSNAMEHEADERS,0))),(IF("19"=(INDEX(ALLCLASSDATA,MATCH("SimpleLimitedMaster",CLASSFEATUREHEADERS,0),MATCH($A423,CLASSNAMEHEADERS,0))),(INDEX(ALLCLASSDATA,MATCH("SimpleLimitedMaster",CLASSFEATUREHEADERS,0),MATCH(($A423 &amp; "Points"),CLASSNAMEHEADERS,0))),(IF("19"=(INDEX(ALLCLASSDATA,MATCH("SimpleLimitedExpert",CLASSFEATUREHEADERS,0),MATCH($A423,CLASSNAMEHEADERS,0))),(INDEX(ALLCLASSDATA,MATCH("SimpleLimitedExpert",CLASSFEATUREHEADERS,0),MATCH(($A423 &amp; "Points"),CLASSNAMEHEADERS,0))),(IF("19"=(INDEX(ALLCLASSDATA,MATCH("SimpleLimitedTrained",CLASSFEATUREHEADERS,0),MATCH($A423,CLASSNAMEHEADERS,0))),(INDEX(ALLCLASSDATA,MATCH("SimpleLimitedTrained",CLASSFEATUREHEADERS,0),MATCH(($A423 &amp; "Points"),CLASSNAMEHEADERS,0))),"")))))))))}</f>
        <v>SIMPLELIMITEDL19</v>
      </c>
      <c r="Z422" s="223"/>
      <c r="AA422" s="76" t="str">
        <f t="array" ref="AA422:AA423">{"SIMPLELIMITED TOTAL";(IF(COUNTBLANK(F423:Z423)=17,"L",(IF(COUNTBLANK(F423:Z423)=18,"M",(IF(COUNTBLANK(F423:Z423)=19,"E",(IF(COUNTBLANK(F423:Z423)=20,"T",""))))))))}</f>
        <v>SIMPLELIMITED TOTAL</v>
      </c>
      <c r="AB422" s="76" t="str">
        <f t="array" ref="AB422:AB423">{"SIMPLELIMITED TOTAL";(sum(F423:Z423))}</f>
        <v>SIMPLELIMITED TOTAL</v>
      </c>
    </row>
    <row r="423">
      <c r="A423" s="48" t="s">
        <v>231</v>
      </c>
      <c r="B423" s="48" t="s">
        <v>418</v>
      </c>
      <c r="C423" s="48" t="s">
        <v>1634</v>
      </c>
      <c r="D423" s="48" t="s">
        <v>599</v>
      </c>
      <c r="E423" s="5" t="s">
        <v>603</v>
      </c>
      <c r="F423" s="47" t="s">
        <v>603</v>
      </c>
      <c r="G423" s="5" t="s">
        <v>603</v>
      </c>
      <c r="H423" s="5"/>
      <c r="I423" s="5" t="s">
        <v>603</v>
      </c>
      <c r="J423" s="5"/>
      <c r="K423" s="5" t="s">
        <v>603</v>
      </c>
      <c r="L423" s="5"/>
      <c r="M423" s="5" t="s">
        <v>603</v>
      </c>
      <c r="N423" s="5"/>
      <c r="O423" s="5" t="s">
        <v>603</v>
      </c>
      <c r="P423" s="5"/>
      <c r="Q423" s="5" t="s">
        <v>603</v>
      </c>
      <c r="R423" s="5"/>
      <c r="S423" s="5" t="s">
        <v>603</v>
      </c>
      <c r="T423" s="5"/>
      <c r="U423" s="5" t="s">
        <v>603</v>
      </c>
      <c r="V423" s="5"/>
      <c r="W423" s="5" t="s">
        <v>603</v>
      </c>
      <c r="X423" s="5"/>
      <c r="Y423" s="5" t="s">
        <v>603</v>
      </c>
      <c r="Z423" s="5"/>
      <c r="AA423" s="5" t="s">
        <v>603</v>
      </c>
      <c r="AB423" s="47">
        <v>0.0</v>
      </c>
    </row>
    <row r="424" hidden="1">
      <c r="A424" s="222" t="str">
        <f t="array" ref="A424:A425">{"FormulaRow29";(INDEX(CLASSLIST,A367,1))}</f>
        <v>FormulaRow29</v>
      </c>
      <c r="B424" s="222" t="str">
        <f t="array" ref="B424:B425">{"CLASSTYPE";((INDEX(ALLCLASSDATA,MATCH("ClassType",CLASSFEATUREHEADERS,0),MATCH($A425,CLASSNAMEHEADERS,0))))}</f>
        <v>CLASSTYPE</v>
      </c>
      <c r="C424" s="222" t="str">
        <f t="array" ref="C424:C425">{"ATTACK";"Attack"}</f>
        <v>ATTACK</v>
      </c>
      <c r="D424" s="222" t="str">
        <f t="array" ref="D424:D425">{"SIMPLE";"Simple"}</f>
        <v>SIMPLE</v>
      </c>
      <c r="E424" s="223" t="str">
        <f t="array" ref="E424:E425">{"SIMPLEINITIAL";((IF(G425=10,"T",(IF(G425=50,"E","")))))}</f>
        <v>SIMPLEINITIAL</v>
      </c>
      <c r="F424" s="223" t="str">
        <f t="array" ref="F424:F425">{"SIMPLEINITIALPTS";((IF("00"=(INDEX(ALLCLASSDATA,MATCH("SimpleLegendary",CLASSFEATUREHEADERS,0),MATCH($A425,CLASSNAMEHEADERS,0))),(INDEX(ALLCLASSDATA,MATCH("SimpleLegendary",CLASSFEATUREHEADERS,0),MATCH(($A425 &amp; "Points"),CLASSNAMEHEADERS,0))),(IF("00"=(INDEX(ALLCLASSDATA,MATCH("SimpleMaster",CLASSFEATUREHEADERS,0),MATCH($A425,CLASSNAMEHEADERS,0))),(INDEX(ALLCLASSDATA,MATCH("SimpleMaster",CLASSFEATUREHEADERS,0),MATCH(($A425 &amp; "Points"),CLASSNAMEHEADERS,0))),(IF("00"=(INDEX(ALLCLASSDATA,MATCH("SimpleExpert",CLASSFEATUREHEADERS,0),MATCH($A425,CLASSNAMEHEADERS,0))),(INDEX(ALLCLASSDATA,MATCH("SimpleExpert",CLASSFEATUREHEADERS,0),MATCH(($A425 &amp; "Points"),CLASSNAMEHEADERS,0))),(IF("00"=(INDEX(ALLCLASSDATA,MATCH("SimpleTrained",CLASSFEATUREHEADERS,0),MATCH($A425,CLASSNAMEHEADERS,0))),(INDEX(ALLCLASSDATA,MATCH("SimpleTrained",CLASSFEATUREHEADERS,0),MATCH(($A425 &amp; "Points"),CLASSNAMEHEADERS,0))),"")))))))))}</f>
        <v>SIMPLEINITIALPTS</v>
      </c>
      <c r="G424" s="223" t="str">
        <f t="array" ref="G424:G425">{"SIMPLEL01";((IF("01"=(INDEX(ALLCLASSDATA,MATCH("SimpleLegendary",CLASSFEATUREHEADERS,0),MATCH($A425,CLASSNAMEHEADERS,0))),(INDEX(ALLCLASSDATA,MATCH("SimpleLegendary",CLASSFEATUREHEADERS,0),MATCH(($A425 &amp; "Points"),CLASSNAMEHEADERS,0))),(IF("01"=(INDEX(ALLCLASSDATA,MATCH("SimpleMaster",CLASSFEATUREHEADERS,0),MATCH($A425,CLASSNAMEHEADERS,0))),(INDEX(ALLCLASSDATA,MATCH("SimpleMaster",CLASSFEATUREHEADERS,0),MATCH(($A425 &amp; "Points"),CLASSNAMEHEADERS,0))),(IF("01"=(INDEX(ALLCLASSDATA,MATCH("SimpleExpert",CLASSFEATUREHEADERS,0),MATCH($A425,CLASSNAMEHEADERS,0))),(INDEX(ALLCLASSDATA,MATCH("SimpleExpert",CLASSFEATUREHEADERS,0),MATCH(($A425 &amp; "Points"),CLASSNAMEHEADERS,0))),(IF("01"=(INDEX(ALLCLASSDATA,MATCH("SimpleTrained",CLASSFEATUREHEADERS,0),MATCH($A425,CLASSNAMEHEADERS,0))),(INDEX(ALLCLASSDATA,MATCH("SimpleTrained",CLASSFEATUREHEADERS,0),MATCH(($A425 &amp; "Points"),CLASSNAMEHEADERS,0))),"")))))))))}</f>
        <v>SIMPLEL01</v>
      </c>
      <c r="H424" s="223"/>
      <c r="I424" s="223" t="str">
        <f t="array" ref="I424:I425">{"SIMPLEL03";((IF("03"=(INDEX(ALLCLASSDATA,MATCH("SimpleLegendary",CLASSFEATUREHEADERS,0),MATCH($A425,CLASSNAMEHEADERS,0))),(INDEX(ALLCLASSDATA,MATCH("SimpleLegendary",CLASSFEATUREHEADERS,0),MATCH(($A425 &amp; "Points"),CLASSNAMEHEADERS,0))),(IF("03"=(INDEX(ALLCLASSDATA,MATCH("SimpleMaster",CLASSFEATUREHEADERS,0),MATCH($A425,CLASSNAMEHEADERS,0))),(INDEX(ALLCLASSDATA,MATCH("SimpleMaster",CLASSFEATUREHEADERS,0),MATCH(($A425 &amp; "Points"),CLASSNAMEHEADERS,0))),(IF("03"=(INDEX(ALLCLASSDATA,MATCH("SimpleExpert",CLASSFEATUREHEADERS,0),MATCH($A425,CLASSNAMEHEADERS,0))),(INDEX(ALLCLASSDATA,MATCH("SimpleExpert",CLASSFEATUREHEADERS,0),MATCH(($A425 &amp; "Points"),CLASSNAMEHEADERS,0))),(IF("03"=(INDEX(ALLCLASSDATA,MATCH("SimpleTrained",CLASSFEATUREHEADERS,0),MATCH($A425,CLASSNAMEHEADERS,0))),(INDEX(ALLCLASSDATA,MATCH("SimpleTrained",CLASSFEATUREHEADERS,0),MATCH(($A425 &amp; "Points"),CLASSNAMEHEADERS,0))),"")))))))))}</f>
        <v>SIMPLEL03</v>
      </c>
      <c r="J424" s="223"/>
      <c r="K424" s="223" t="str">
        <f t="array" ref="K424:K425">{"SIMPLEL05";((IF("05"=(INDEX(ALLCLASSDATA,MATCH("SimpleLegendary",CLASSFEATUREHEADERS,0),MATCH($A425,CLASSNAMEHEADERS,0))),(INDEX(ALLCLASSDATA,MATCH("SimpleLegendary",CLASSFEATUREHEADERS,0),MATCH(($A425 &amp; "Points"),CLASSNAMEHEADERS,0))),(IF("05"=(INDEX(ALLCLASSDATA,MATCH("SimpleMaster",CLASSFEATUREHEADERS,0),MATCH($A425,CLASSNAMEHEADERS,0))),(INDEX(ALLCLASSDATA,MATCH("SimpleMaster",CLASSFEATUREHEADERS,0),MATCH(($A425 &amp; "Points"),CLASSNAMEHEADERS,0))),(IF("05"=(INDEX(ALLCLASSDATA,MATCH("SimpleExpert",CLASSFEATUREHEADERS,0),MATCH($A425,CLASSNAMEHEADERS,0))),(INDEX(ALLCLASSDATA,MATCH("SimpleExpert",CLASSFEATUREHEADERS,0),MATCH(($A425 &amp; "Points"),CLASSNAMEHEADERS,0))),(IF("05"=(INDEX(ALLCLASSDATA,MATCH("SimpleTrained",CLASSFEATUREHEADERS,0),MATCH($A425,CLASSNAMEHEADERS,0))),(INDEX(ALLCLASSDATA,MATCH("SimpleTrained",CLASSFEATUREHEADERS,0),MATCH(($A425 &amp; "Points"),CLASSNAMEHEADERS,0))),"")))))))))}</f>
        <v>SIMPLEL05</v>
      </c>
      <c r="L424" s="223"/>
      <c r="M424" s="223" t="str">
        <f t="array" ref="M424:M425">{"SIMPLEL07";((IF("07"=(INDEX(ALLCLASSDATA,MATCH("SimpleLegendary",CLASSFEATUREHEADERS,0),MATCH($A425,CLASSNAMEHEADERS,0))),(INDEX(ALLCLASSDATA,MATCH("SimpleLegendary",CLASSFEATUREHEADERS,0),MATCH(($A425 &amp; "Points"),CLASSNAMEHEADERS,0))),(IF("07"=(INDEX(ALLCLASSDATA,MATCH("SimpleMaster",CLASSFEATUREHEADERS,0),MATCH($A425,CLASSNAMEHEADERS,0))),(INDEX(ALLCLASSDATA,MATCH("SimpleMaster",CLASSFEATUREHEADERS,0),MATCH(($A425 &amp; "Points"),CLASSNAMEHEADERS,0))),(IF("07"=(INDEX(ALLCLASSDATA,MATCH("SimpleExpert",CLASSFEATUREHEADERS,0),MATCH($A425,CLASSNAMEHEADERS,0))),(INDEX(ALLCLASSDATA,MATCH("SimpleExpert",CLASSFEATUREHEADERS,0),MATCH(($A425 &amp; "Points"),CLASSNAMEHEADERS,0))),(IF("07"=(INDEX(ALLCLASSDATA,MATCH("SimpleTrained",CLASSFEATUREHEADERS,0),MATCH($A425,CLASSNAMEHEADERS,0))),(INDEX(ALLCLASSDATA,MATCH("SimpleTrained",CLASSFEATUREHEADERS,0),MATCH(($A425 &amp; "Points"),CLASSNAMEHEADERS,0))),"")))))))))}</f>
        <v>SIMPLEL07</v>
      </c>
      <c r="N424" s="223"/>
      <c r="O424" s="223" t="str">
        <f t="array" ref="O424:O425">{"SIMPLEL09";((IF("09"=(INDEX(ALLCLASSDATA,MATCH("SimpleLegendary",CLASSFEATUREHEADERS,0),MATCH($A425,CLASSNAMEHEADERS,0))),(INDEX(ALLCLASSDATA,MATCH("SimpleLegendary",CLASSFEATUREHEADERS,0),MATCH(($A425 &amp; "Points"),CLASSNAMEHEADERS,0))),(IF("09"=(INDEX(ALLCLASSDATA,MATCH("SimpleMaster",CLASSFEATUREHEADERS,0),MATCH($A425,CLASSNAMEHEADERS,0))),(INDEX(ALLCLASSDATA,MATCH("SimpleMaster",CLASSFEATUREHEADERS,0),MATCH(($A425 &amp; "Points"),CLASSNAMEHEADERS,0))),(IF("09"=(INDEX(ALLCLASSDATA,MATCH("SimpleExpert",CLASSFEATUREHEADERS,0),MATCH($A425,CLASSNAMEHEADERS,0))),(INDEX(ALLCLASSDATA,MATCH("SimpleExpert",CLASSFEATUREHEADERS,0),MATCH(($A425 &amp; "Points"),CLASSNAMEHEADERS,0))),(IF("09"=(INDEX(ALLCLASSDATA,MATCH("SimpleTrained",CLASSFEATUREHEADERS,0),MATCH($A425,CLASSNAMEHEADERS,0))),(INDEX(ALLCLASSDATA,MATCH("SimpleTrained",CLASSFEATUREHEADERS,0),MATCH(($A425 &amp; "Points"),CLASSNAMEHEADERS,0))),"")))))))))}</f>
        <v>SIMPLEL09</v>
      </c>
      <c r="P424" s="223"/>
      <c r="Q424" s="223" t="str">
        <f t="array" ref="Q424:Q425">{"SIMPLEL11";((IF("11"=(INDEX(ALLCLASSDATA,MATCH("SimpleLegendary",CLASSFEATUREHEADERS,0),MATCH($A425,CLASSNAMEHEADERS,0))),(INDEX(ALLCLASSDATA,MATCH("SimpleLegendary",CLASSFEATUREHEADERS,0),MATCH(($A425 &amp; "Points"),CLASSNAMEHEADERS,0))),(IF("11"=(INDEX(ALLCLASSDATA,MATCH("SimpleMaster",CLASSFEATUREHEADERS,0),MATCH($A425,CLASSNAMEHEADERS,0))),(INDEX(ALLCLASSDATA,MATCH("SimpleMaster",CLASSFEATUREHEADERS,0),MATCH(($A425 &amp; "Points"),CLASSNAMEHEADERS,0))),(IF("11"=(INDEX(ALLCLASSDATA,MATCH("SimpleExpert",CLASSFEATUREHEADERS,0),MATCH($A425,CLASSNAMEHEADERS,0))),(INDEX(ALLCLASSDATA,MATCH("SimpleExpert",CLASSFEATUREHEADERS,0),MATCH(($A425 &amp; "Points"),CLASSNAMEHEADERS,0))),(IF("11"=(INDEX(ALLCLASSDATA,MATCH("SimpleTrained",CLASSFEATUREHEADERS,0),MATCH($A425,CLASSNAMEHEADERS,0))),(INDEX(ALLCLASSDATA,MATCH("SimpleTrained",CLASSFEATUREHEADERS,0),MATCH(($A425 &amp; "Points"),CLASSNAMEHEADERS,0))),"")))))))))}</f>
        <v>SIMPLEL11</v>
      </c>
      <c r="R424" s="223"/>
      <c r="S424" s="223" t="str">
        <f t="array" ref="S424:S425">{"SIMPLEL13";((IF("13"=(INDEX(ALLCLASSDATA,MATCH("SimpleLegendary",CLASSFEATUREHEADERS,0),MATCH($A425,CLASSNAMEHEADERS,0))),(INDEX(ALLCLASSDATA,MATCH("SimpleLegendary",CLASSFEATUREHEADERS,0),MATCH(($A425 &amp; "Points"),CLASSNAMEHEADERS,0))),(IF("13"=(INDEX(ALLCLASSDATA,MATCH("SimpleMaster",CLASSFEATUREHEADERS,0),MATCH($A425,CLASSNAMEHEADERS,0))),(INDEX(ALLCLASSDATA,MATCH("SimpleMaster",CLASSFEATUREHEADERS,0),MATCH(($A425 &amp; "Points"),CLASSNAMEHEADERS,0))),(IF("13"=(INDEX(ALLCLASSDATA,MATCH("SimpleExpert",CLASSFEATUREHEADERS,0),MATCH($A425,CLASSNAMEHEADERS,0))),(INDEX(ALLCLASSDATA,MATCH("SimpleExpert",CLASSFEATUREHEADERS,0),MATCH(($A425 &amp; "Points"),CLASSNAMEHEADERS,0))),(IF("13"=(INDEX(ALLCLASSDATA,MATCH("SimpleTrained",CLASSFEATUREHEADERS,0),MATCH($A425,CLASSNAMEHEADERS,0))),(INDEX(ALLCLASSDATA,MATCH("SimpleTrained",CLASSFEATUREHEADERS,0),MATCH(($A425 &amp; "Points"),CLASSNAMEHEADERS,0))),"")))))))))}</f>
        <v>SIMPLEL13</v>
      </c>
      <c r="T424" s="223"/>
      <c r="U424" s="223" t="str">
        <f t="array" ref="U424:U425">{"SIMPLEL15";((IF("15"=(INDEX(ALLCLASSDATA,MATCH("SimpleLegendary",CLASSFEATUREHEADERS,0),MATCH($A425,CLASSNAMEHEADERS,0))),(INDEX(ALLCLASSDATA,MATCH("SimpleLegendary",CLASSFEATUREHEADERS,0),MATCH(($A425 &amp; "Points"),CLASSNAMEHEADERS,0))),(IF("15"=(INDEX(ALLCLASSDATA,MATCH("SimpleMaster",CLASSFEATUREHEADERS,0),MATCH($A425,CLASSNAMEHEADERS,0))),(INDEX(ALLCLASSDATA,MATCH("SimpleMaster",CLASSFEATUREHEADERS,0),MATCH(($A425 &amp; "Points"),CLASSNAMEHEADERS,0))),(IF("15"=(INDEX(ALLCLASSDATA,MATCH("SimpleExpert",CLASSFEATUREHEADERS,0),MATCH($A425,CLASSNAMEHEADERS,0))),(INDEX(ALLCLASSDATA,MATCH("SimpleExpert",CLASSFEATUREHEADERS,0),MATCH(($A425 &amp; "Points"),CLASSNAMEHEADERS,0))),(IF("15"=(INDEX(ALLCLASSDATA,MATCH("SimpleTrained",CLASSFEATUREHEADERS,0),MATCH($A425,CLASSNAMEHEADERS,0))),(INDEX(ALLCLASSDATA,MATCH("SimpleTrained",CLASSFEATUREHEADERS,0),MATCH(($A425 &amp; "Points"),CLASSNAMEHEADERS,0))),"")))))))))}</f>
        <v>SIMPLEL15</v>
      </c>
      <c r="V424" s="223"/>
      <c r="W424" s="223" t="str">
        <f t="array" ref="W424:W425">{"SIMPLEL17";((IF("17"=(INDEX(ALLCLASSDATA,MATCH("SimpleLegendary",CLASSFEATUREHEADERS,0),MATCH($A425,CLASSNAMEHEADERS,0))),(INDEX(ALLCLASSDATA,MATCH("SimpleLegendary",CLASSFEATUREHEADERS,0),MATCH(($A425 &amp; "Points"),CLASSNAMEHEADERS,0))),(IF("17"=(INDEX(ALLCLASSDATA,MATCH("SimpleMaster",CLASSFEATUREHEADERS,0),MATCH($A425,CLASSNAMEHEADERS,0))),(INDEX(ALLCLASSDATA,MATCH("SimpleMaster",CLASSFEATUREHEADERS,0),MATCH(($A425 &amp; "Points"),CLASSNAMEHEADERS,0))),(IF("17"=(INDEX(ALLCLASSDATA,MATCH("SimpleExpert",CLASSFEATUREHEADERS,0),MATCH($A425,CLASSNAMEHEADERS,0))),(INDEX(ALLCLASSDATA,MATCH("SimpleExpert",CLASSFEATUREHEADERS,0),MATCH(($A425 &amp; "Points"),CLASSNAMEHEADERS,0))),(IF("17"=(INDEX(ALLCLASSDATA,MATCH("SimpleTrained",CLASSFEATUREHEADERS,0),MATCH($A425,CLASSNAMEHEADERS,0))),(INDEX(ALLCLASSDATA,MATCH("SimpleTrained",CLASSFEATUREHEADERS,0),MATCH(($A425 &amp; "Points"),CLASSNAMEHEADERS,0))),"")))))))))}</f>
        <v>SIMPLEL17</v>
      </c>
      <c r="X424" s="223"/>
      <c r="Y424" s="223" t="str">
        <f t="array" ref="Y424:Y425">{"SIMPLEL19";((IF("19"=(INDEX(ALLCLASSDATA,MATCH("SimpleLegendary",CLASSFEATUREHEADERS,0),MATCH($A425,CLASSNAMEHEADERS,0))),(INDEX(ALLCLASSDATA,MATCH("SimpleLegendary",CLASSFEATUREHEADERS,0),MATCH(($A425 &amp; "Points"),CLASSNAMEHEADERS,0))),(IF("19"=(INDEX(ALLCLASSDATA,MATCH("SimpleMaster",CLASSFEATUREHEADERS,0),MATCH($A425,CLASSNAMEHEADERS,0))),(INDEX(ALLCLASSDATA,MATCH("SimpleMaster",CLASSFEATUREHEADERS,0),MATCH(($A425 &amp; "Points"),CLASSNAMEHEADERS,0))),(IF("19"=(INDEX(ALLCLASSDATA,MATCH("SimpleExpert",CLASSFEATUREHEADERS,0),MATCH($A425,CLASSNAMEHEADERS,0))),(INDEX(ALLCLASSDATA,MATCH("SimpleExpert",CLASSFEATUREHEADERS,0),MATCH(($A425 &amp; "Points"),CLASSNAMEHEADERS,0))),(IF("19"=(INDEX(ALLCLASSDATA,MATCH("SimpleTrained",CLASSFEATUREHEADERS,0),MATCH($A425,CLASSNAMEHEADERS,0))),(INDEX(ALLCLASSDATA,MATCH("SimpleTrained",CLASSFEATUREHEADERS,0),MATCH(($A425 &amp; "Points"),CLASSNAMEHEADERS,0))),"")))))))))}</f>
        <v>SIMPLEL19</v>
      </c>
      <c r="Z424" s="223"/>
      <c r="AA424" s="76" t="str">
        <f t="array" ref="AA424:AA425">{"SIMPLE TOTAL";(IF(COUNTBLANK(F425:Z425)=17,"L",(IF(COUNTBLANK(F425:Z425)=18,"M",(IF(COUNTBLANK(F425:Z425)=19,"E",(IF(COUNTBLANK(F425:Z425)=20,"T",""))))))))}</f>
        <v>SIMPLE TOTAL</v>
      </c>
      <c r="AB424" s="76" t="str">
        <f t="array" ref="AB424:AB425">{"SIMPLE TOTAL";(sum(F425:Z425))}</f>
        <v>SIMPLE TOTAL</v>
      </c>
    </row>
    <row r="425">
      <c r="A425" s="48" t="s">
        <v>231</v>
      </c>
      <c r="B425" s="48" t="s">
        <v>418</v>
      </c>
      <c r="C425" s="48" t="s">
        <v>1634</v>
      </c>
      <c r="D425" s="48" t="s">
        <v>68</v>
      </c>
      <c r="E425" s="5" t="s">
        <v>435</v>
      </c>
      <c r="F425" s="47" t="s">
        <v>603</v>
      </c>
      <c r="G425" s="5">
        <v>10.0</v>
      </c>
      <c r="H425" s="5"/>
      <c r="I425" s="5" t="s">
        <v>603</v>
      </c>
      <c r="J425" s="5"/>
      <c r="K425" s="5" t="s">
        <v>603</v>
      </c>
      <c r="L425" s="5"/>
      <c r="M425" s="5" t="s">
        <v>603</v>
      </c>
      <c r="N425" s="5"/>
      <c r="O425" s="5" t="s">
        <v>603</v>
      </c>
      <c r="P425" s="5"/>
      <c r="Q425" s="5">
        <v>50.0</v>
      </c>
      <c r="R425" s="5"/>
      <c r="S425" s="5" t="s">
        <v>603</v>
      </c>
      <c r="T425" s="5"/>
      <c r="U425" s="5" t="s">
        <v>603</v>
      </c>
      <c r="V425" s="5"/>
      <c r="W425" s="5" t="s">
        <v>603</v>
      </c>
      <c r="X425" s="5"/>
      <c r="Y425" s="5" t="s">
        <v>603</v>
      </c>
      <c r="Z425" s="5"/>
      <c r="AA425" s="5" t="s">
        <v>436</v>
      </c>
      <c r="AB425" s="47">
        <v>60.0</v>
      </c>
    </row>
    <row r="426" hidden="1">
      <c r="A426" s="222" t="str">
        <f t="array" ref="A426:A427">{"FormulaRow30";(INDEX(CLASSLIST,A367,1))}</f>
        <v>FormulaRow30</v>
      </c>
      <c r="B426" s="222" t="str">
        <f t="array" ref="B426:B427">{"CLASSTYPE";((INDEX(ALLCLASSDATA,MATCH("ClassType",CLASSFEATUREHEADERS,0),MATCH($A427,CLASSNAMEHEADERS,0))))}</f>
        <v>CLASSTYPE</v>
      </c>
      <c r="C426" s="222" t="str">
        <f t="array" ref="C426:C427">{"ATTACK";"Attack"}</f>
        <v>ATTACK</v>
      </c>
      <c r="D426" s="222" t="str">
        <f t="array" ref="D426:D427">{"MARTIALLIMITED";"MartialLimited"}</f>
        <v>MARTIALLIMITED</v>
      </c>
      <c r="E426" s="223" t="str">
        <f t="array" ref="E426:E427">{"MARTIALLIMITEDINITIAL";((IF(G427=10,"T",(IF(G427=50,"E","")))))}</f>
        <v>MARTIALLIMITEDINITIAL</v>
      </c>
      <c r="F426" s="223" t="str">
        <f t="array" ref="F426:F427">{"MARTIALLIMITEDINITIALPTS";((IF("00"=(INDEX(ALLCLASSDATA,MATCH("MartialLimitedLegendary",CLASSFEATUREHEADERS,0),MATCH($A427,CLASSNAMEHEADERS,0))),(INDEX(ALLCLASSDATA,MATCH("MartialLimitedLegendary",CLASSFEATUREHEADERS,0),MATCH(($A427 &amp; "Points"),CLASSNAMEHEADERS,0))),(IF("00"=(INDEX(ALLCLASSDATA,MATCH("MartialLimitedMaster",CLASSFEATUREHEADERS,0),MATCH($A427,CLASSNAMEHEADERS,0))),(INDEX(ALLCLASSDATA,MATCH("MartialLimitedMaster",CLASSFEATUREHEADERS,0),MATCH(($A427 &amp; "Points"),CLASSNAMEHEADERS,0))),(IF("00"=(INDEX(ALLCLASSDATA,MATCH("MartialLimitedExpert",CLASSFEATUREHEADERS,0),MATCH($A427,CLASSNAMEHEADERS,0))),(INDEX(ALLCLASSDATA,MATCH("MartialLimitedExpert",CLASSFEATUREHEADERS,0),MATCH(($A427 &amp; "Points"),CLASSNAMEHEADERS,0))),(IF("00"=(INDEX(ALLCLASSDATA,MATCH("MartialLimitedTrained",CLASSFEATUREHEADERS,0),MATCH($A427,CLASSNAMEHEADERS,0))),(INDEX(ALLCLASSDATA,MATCH("MartialLimitedTrained",CLASSFEATUREHEADERS,0),MATCH(($A427 &amp; "Points"),CLASSNAMEHEADERS,0))),"")))))))))}</f>
        <v>MARTIALLIMITEDINITIALPTS</v>
      </c>
      <c r="G426" s="223" t="str">
        <f t="array" ref="G426:G427">{"MARTIALLIMITEDL01";((IF("01"=(INDEX(ALLCLASSDATA,MATCH("MartialLimitedLegendary",CLASSFEATUREHEADERS,0),MATCH($A427,CLASSNAMEHEADERS,0))),(INDEX(ALLCLASSDATA,MATCH("MartialLimitedLegendary",CLASSFEATUREHEADERS,0),MATCH(($A427 &amp; "Points"),CLASSNAMEHEADERS,0))),(IF("01"=(INDEX(ALLCLASSDATA,MATCH("MartialLimitedMaster",CLASSFEATUREHEADERS,0),MATCH($A427,CLASSNAMEHEADERS,0))),(INDEX(ALLCLASSDATA,MATCH("MartialLimitedMaster",CLASSFEATUREHEADERS,0),MATCH(($A427 &amp; "Points"),CLASSNAMEHEADERS,0))),(IF("01"=(INDEX(ALLCLASSDATA,MATCH("MartialLimitedExpert",CLASSFEATUREHEADERS,0),MATCH($A427,CLASSNAMEHEADERS,0))),(INDEX(ALLCLASSDATA,MATCH("MartialLimitedExpert",CLASSFEATUREHEADERS,0),MATCH(($A427 &amp; "Points"),CLASSNAMEHEADERS,0))),(IF("01"=(INDEX(ALLCLASSDATA,MATCH("MartialLimitedTrained",CLASSFEATUREHEADERS,0),MATCH($A427,CLASSNAMEHEADERS,0))),(INDEX(ALLCLASSDATA,MATCH("MartialLimitedTrained",CLASSFEATUREHEADERS,0),MATCH(($A427 &amp; "Points"),CLASSNAMEHEADERS,0))),"")))))))))}</f>
        <v>MARTIALLIMITEDL01</v>
      </c>
      <c r="H426" s="223"/>
      <c r="I426" s="223" t="str">
        <f t="array" ref="I426:I427">{"MARTIALLIMITEDL03";((IF("03"=(INDEX(ALLCLASSDATA,MATCH("MartialLimitedLegendary",CLASSFEATUREHEADERS,0),MATCH($A427,CLASSNAMEHEADERS,0))),(INDEX(ALLCLASSDATA,MATCH("MartialLimitedLegendary",CLASSFEATUREHEADERS,0),MATCH(($A427 &amp; "Points"),CLASSNAMEHEADERS,0))),(IF("03"=(INDEX(ALLCLASSDATA,MATCH("MartialLimitedMaster",CLASSFEATUREHEADERS,0),MATCH($A427,CLASSNAMEHEADERS,0))),(INDEX(ALLCLASSDATA,MATCH("MartialLimitedMaster",CLASSFEATUREHEADERS,0),MATCH(($A427 &amp; "Points"),CLASSNAMEHEADERS,0))),(IF("03"=(INDEX(ALLCLASSDATA,MATCH("MartialLimitedExpert",CLASSFEATUREHEADERS,0),MATCH($A427,CLASSNAMEHEADERS,0))),(INDEX(ALLCLASSDATA,MATCH("MartialLimitedExpert",CLASSFEATUREHEADERS,0),MATCH(($A427 &amp; "Points"),CLASSNAMEHEADERS,0))),(IF("03"=(INDEX(ALLCLASSDATA,MATCH("MartialLimitedTrained",CLASSFEATUREHEADERS,0),MATCH($A427,CLASSNAMEHEADERS,0))),(INDEX(ALLCLASSDATA,MATCH("MartialLimitedTrained",CLASSFEATUREHEADERS,0),MATCH(($A427 &amp; "Points"),CLASSNAMEHEADERS,0))),"")))))))))}</f>
        <v>MARTIALLIMITEDL03</v>
      </c>
      <c r="J426" s="223"/>
      <c r="K426" s="223" t="str">
        <f t="array" ref="K426:K427">{"MARTIALLIMITEDL05";((IF("05"=(INDEX(ALLCLASSDATA,MATCH("MartialLimitedLegendary",CLASSFEATUREHEADERS,0),MATCH($A427,CLASSNAMEHEADERS,0))),(INDEX(ALLCLASSDATA,MATCH("MartialLimitedLegendary",CLASSFEATUREHEADERS,0),MATCH(($A427 &amp; "Points"),CLASSNAMEHEADERS,0))),(IF("05"=(INDEX(ALLCLASSDATA,MATCH("MartialLimitedMaster",CLASSFEATUREHEADERS,0),MATCH($A427,CLASSNAMEHEADERS,0))),(INDEX(ALLCLASSDATA,MATCH("MartialLimitedMaster",CLASSFEATUREHEADERS,0),MATCH(($A427 &amp; "Points"),CLASSNAMEHEADERS,0))),(IF("05"=(INDEX(ALLCLASSDATA,MATCH("MartialLimitedExpert",CLASSFEATUREHEADERS,0),MATCH($A427,CLASSNAMEHEADERS,0))),(INDEX(ALLCLASSDATA,MATCH("MartialLimitedExpert",CLASSFEATUREHEADERS,0),MATCH(($A427 &amp; "Points"),CLASSNAMEHEADERS,0))),(IF("05"=(INDEX(ALLCLASSDATA,MATCH("MartialLimitedTrained",CLASSFEATUREHEADERS,0),MATCH($A427,CLASSNAMEHEADERS,0))),(INDEX(ALLCLASSDATA,MATCH("MartialLimitedTrained",CLASSFEATUREHEADERS,0),MATCH(($A427 &amp; "Points"),CLASSNAMEHEADERS,0))),"")))))))))}</f>
        <v>MARTIALLIMITEDL05</v>
      </c>
      <c r="L426" s="223"/>
      <c r="M426" s="223" t="str">
        <f t="array" ref="M426:M427">{"MARTIALLIMITEDL07";((IF("07"=(INDEX(ALLCLASSDATA,MATCH("MartialLimitedLegendary",CLASSFEATUREHEADERS,0),MATCH($A427,CLASSNAMEHEADERS,0))),(INDEX(ALLCLASSDATA,MATCH("MartialLimitedLegendary",CLASSFEATUREHEADERS,0),MATCH(($A427 &amp; "Points"),CLASSNAMEHEADERS,0))),(IF("07"=(INDEX(ALLCLASSDATA,MATCH("MartialLimitedMaster",CLASSFEATUREHEADERS,0),MATCH($A427,CLASSNAMEHEADERS,0))),(INDEX(ALLCLASSDATA,MATCH("MartialLimitedMaster",CLASSFEATUREHEADERS,0),MATCH(($A427 &amp; "Points"),CLASSNAMEHEADERS,0))),(IF("07"=(INDEX(ALLCLASSDATA,MATCH("MartialLimitedExpert",CLASSFEATUREHEADERS,0),MATCH($A427,CLASSNAMEHEADERS,0))),(INDEX(ALLCLASSDATA,MATCH("MartialLimitedExpert",CLASSFEATUREHEADERS,0),MATCH(($A427 &amp; "Points"),CLASSNAMEHEADERS,0))),(IF("07"=(INDEX(ALLCLASSDATA,MATCH("MartialLimitedTrained",CLASSFEATUREHEADERS,0),MATCH($A427,CLASSNAMEHEADERS,0))),(INDEX(ALLCLASSDATA,MATCH("MartialLimitedTrained",CLASSFEATUREHEADERS,0),MATCH(($A427 &amp; "Points"),CLASSNAMEHEADERS,0))),"")))))))))}</f>
        <v>MARTIALLIMITEDL07</v>
      </c>
      <c r="N426" s="223"/>
      <c r="O426" s="223" t="str">
        <f t="array" ref="O426:O427">{"MARTIALLIMITEDL09";((IF("09"=(INDEX(ALLCLASSDATA,MATCH("MartialLimitedLegendary",CLASSFEATUREHEADERS,0),MATCH($A427,CLASSNAMEHEADERS,0))),(INDEX(ALLCLASSDATA,MATCH("MartialLimitedLegendary",CLASSFEATUREHEADERS,0),MATCH(($A427 &amp; "Points"),CLASSNAMEHEADERS,0))),(IF("09"=(INDEX(ALLCLASSDATA,MATCH("MartialLimitedMaster",CLASSFEATUREHEADERS,0),MATCH($A427,CLASSNAMEHEADERS,0))),(INDEX(ALLCLASSDATA,MATCH("MartialLimitedMaster",CLASSFEATUREHEADERS,0),MATCH(($A427 &amp; "Points"),CLASSNAMEHEADERS,0))),(IF("09"=(INDEX(ALLCLASSDATA,MATCH("MartialLimitedExpert",CLASSFEATUREHEADERS,0),MATCH($A427,CLASSNAMEHEADERS,0))),(INDEX(ALLCLASSDATA,MATCH("MartialLimitedExpert",CLASSFEATUREHEADERS,0),MATCH(($A427 &amp; "Points"),CLASSNAMEHEADERS,0))),(IF("09"=(INDEX(ALLCLASSDATA,MATCH("MartialLimitedTrained",CLASSFEATUREHEADERS,0),MATCH($A427,CLASSNAMEHEADERS,0))),(INDEX(ALLCLASSDATA,MATCH("MartialLimitedTrained",CLASSFEATUREHEADERS,0),MATCH(($A427 &amp; "Points"),CLASSNAMEHEADERS,0))),"")))))))))}</f>
        <v>MARTIALLIMITEDL09</v>
      </c>
      <c r="P426" s="223"/>
      <c r="Q426" s="223" t="str">
        <f t="array" ref="Q426:Q427">{"MARTIALLIMITEDL11";((IF("11"=(INDEX(ALLCLASSDATA,MATCH("MartialLimitedLegendary",CLASSFEATUREHEADERS,0),MATCH($A427,CLASSNAMEHEADERS,0))),(INDEX(ALLCLASSDATA,MATCH("MartialLimitedLegendary",CLASSFEATUREHEADERS,0),MATCH(($A427 &amp; "Points"),CLASSNAMEHEADERS,0))),(IF("11"=(INDEX(ALLCLASSDATA,MATCH("MartialLimitedMaster",CLASSFEATUREHEADERS,0),MATCH($A427,CLASSNAMEHEADERS,0))),(INDEX(ALLCLASSDATA,MATCH("MartialLimitedMaster",CLASSFEATUREHEADERS,0),MATCH(($A427 &amp; "Points"),CLASSNAMEHEADERS,0))),(IF("11"=(INDEX(ALLCLASSDATA,MATCH("MartialLimitedExpert",CLASSFEATUREHEADERS,0),MATCH($A427,CLASSNAMEHEADERS,0))),(INDEX(ALLCLASSDATA,MATCH("MartialLimitedExpert",CLASSFEATUREHEADERS,0),MATCH(($A427 &amp; "Points"),CLASSNAMEHEADERS,0))),(IF("11"=(INDEX(ALLCLASSDATA,MATCH("MartialLimitedTrained",CLASSFEATUREHEADERS,0),MATCH($A427,CLASSNAMEHEADERS,0))),(INDEX(ALLCLASSDATA,MATCH("MartialLimitedTrained",CLASSFEATUREHEADERS,0),MATCH(($A427 &amp; "Points"),CLASSNAMEHEADERS,0))),"")))))))))}</f>
        <v>MARTIALLIMITEDL11</v>
      </c>
      <c r="R426" s="223"/>
      <c r="S426" s="223" t="str">
        <f t="array" ref="S426:S427">{"MARTIALLIMITEDL13";((IF("13"=(INDEX(ALLCLASSDATA,MATCH("MartialLimitedLegendary",CLASSFEATUREHEADERS,0),MATCH($A427,CLASSNAMEHEADERS,0))),(INDEX(ALLCLASSDATA,MATCH("MartialLimitedLegendary",CLASSFEATUREHEADERS,0),MATCH(($A427 &amp; "Points"),CLASSNAMEHEADERS,0))),(IF("13"=(INDEX(ALLCLASSDATA,MATCH("MartialLimitedMaster",CLASSFEATUREHEADERS,0),MATCH($A427,CLASSNAMEHEADERS,0))),(INDEX(ALLCLASSDATA,MATCH("MartialLimitedMaster",CLASSFEATUREHEADERS,0),MATCH(($A427 &amp; "Points"),CLASSNAMEHEADERS,0))),(IF("13"=(INDEX(ALLCLASSDATA,MATCH("MartialLimitedExpert",CLASSFEATUREHEADERS,0),MATCH($A427,CLASSNAMEHEADERS,0))),(INDEX(ALLCLASSDATA,MATCH("MartialLimitedExpert",CLASSFEATUREHEADERS,0),MATCH(($A427 &amp; "Points"),CLASSNAMEHEADERS,0))),(IF("13"=(INDEX(ALLCLASSDATA,MATCH("MartialLimitedTrained",CLASSFEATUREHEADERS,0),MATCH($A427,CLASSNAMEHEADERS,0))),(INDEX(ALLCLASSDATA,MATCH("MartialLimitedTrained",CLASSFEATUREHEADERS,0),MATCH(($A427 &amp; "Points"),CLASSNAMEHEADERS,0))),"")))))))))}</f>
        <v>MARTIALLIMITEDL13</v>
      </c>
      <c r="T426" s="223"/>
      <c r="U426" s="223" t="str">
        <f t="array" ref="U426:U427">{"MARTIALLIMITEDL15";((IF("15"=(INDEX(ALLCLASSDATA,MATCH("MartialLimitedLegendary",CLASSFEATUREHEADERS,0),MATCH($A427,CLASSNAMEHEADERS,0))),(INDEX(ALLCLASSDATA,MATCH("MartialLimitedLegendary",CLASSFEATUREHEADERS,0),MATCH(($A427 &amp; "Points"),CLASSNAMEHEADERS,0))),(IF("15"=(INDEX(ALLCLASSDATA,MATCH("MartialLimitedMaster",CLASSFEATUREHEADERS,0),MATCH($A427,CLASSNAMEHEADERS,0))),(INDEX(ALLCLASSDATA,MATCH("MartialLimitedMaster",CLASSFEATUREHEADERS,0),MATCH(($A427 &amp; "Points"),CLASSNAMEHEADERS,0))),(IF("15"=(INDEX(ALLCLASSDATA,MATCH("MartialLimitedExpert",CLASSFEATUREHEADERS,0),MATCH($A427,CLASSNAMEHEADERS,0))),(INDEX(ALLCLASSDATA,MATCH("MartialLimitedExpert",CLASSFEATUREHEADERS,0),MATCH(($A427 &amp; "Points"),CLASSNAMEHEADERS,0))),(IF("15"=(INDEX(ALLCLASSDATA,MATCH("MartialLimitedTrained",CLASSFEATUREHEADERS,0),MATCH($A427,CLASSNAMEHEADERS,0))),(INDEX(ALLCLASSDATA,MATCH("MartialLimitedTrained",CLASSFEATUREHEADERS,0),MATCH(($A427 &amp; "Points"),CLASSNAMEHEADERS,0))),"")))))))))}</f>
        <v>MARTIALLIMITEDL15</v>
      </c>
      <c r="V426" s="223"/>
      <c r="W426" s="223" t="str">
        <f t="array" ref="W426:W427">{"MARTIALLIMITEDL17";((IF("17"=(INDEX(ALLCLASSDATA,MATCH("MartialLimitedLegendary",CLASSFEATUREHEADERS,0),MATCH($A427,CLASSNAMEHEADERS,0))),(INDEX(ALLCLASSDATA,MATCH("MartialLimitedLegendary",CLASSFEATUREHEADERS,0),MATCH(($A427 &amp; "Points"),CLASSNAMEHEADERS,0))),(IF("17"=(INDEX(ALLCLASSDATA,MATCH("MartialLimitedMaster",CLASSFEATUREHEADERS,0),MATCH($A427,CLASSNAMEHEADERS,0))),(INDEX(ALLCLASSDATA,MATCH("MartialLimitedMaster",CLASSFEATUREHEADERS,0),MATCH(($A427 &amp; "Points"),CLASSNAMEHEADERS,0))),(IF("17"=(INDEX(ALLCLASSDATA,MATCH("MartialLimitedExpert",CLASSFEATUREHEADERS,0),MATCH($A427,CLASSNAMEHEADERS,0))),(INDEX(ALLCLASSDATA,MATCH("MartialLimitedExpert",CLASSFEATUREHEADERS,0),MATCH(($A427 &amp; "Points"),CLASSNAMEHEADERS,0))),(IF("17"=(INDEX(ALLCLASSDATA,MATCH("MartialLimitedTrained",CLASSFEATUREHEADERS,0),MATCH($A427,CLASSNAMEHEADERS,0))),(INDEX(ALLCLASSDATA,MATCH("MartialLimitedTrained",CLASSFEATUREHEADERS,0),MATCH(($A427 &amp; "Points"),CLASSNAMEHEADERS,0))),"")))))))))}</f>
        <v>MARTIALLIMITEDL17</v>
      </c>
      <c r="X426" s="223"/>
      <c r="Y426" s="223" t="str">
        <f t="array" ref="Y426:Y427">{"MARTIALLIMITEDL19";((IF("19"=(INDEX(ALLCLASSDATA,MATCH("MartialLimitedLegendary",CLASSFEATUREHEADERS,0),MATCH($A427,CLASSNAMEHEADERS,0))),(INDEX(ALLCLASSDATA,MATCH("MartialLimitedLegendary",CLASSFEATUREHEADERS,0),MATCH(($A427 &amp; "Points"),CLASSNAMEHEADERS,0))),(IF("19"=(INDEX(ALLCLASSDATA,MATCH("MartialLimitedMaster",CLASSFEATUREHEADERS,0),MATCH($A427,CLASSNAMEHEADERS,0))),(INDEX(ALLCLASSDATA,MATCH("MartialLimitedMaster",CLASSFEATUREHEADERS,0),MATCH(($A427 &amp; "Points"),CLASSNAMEHEADERS,0))),(IF("19"=(INDEX(ALLCLASSDATA,MATCH("MartialLimitedExpert",CLASSFEATUREHEADERS,0),MATCH($A427,CLASSNAMEHEADERS,0))),(INDEX(ALLCLASSDATA,MATCH("MartialLimitedExpert",CLASSFEATUREHEADERS,0),MATCH(($A427 &amp; "Points"),CLASSNAMEHEADERS,0))),(IF("19"=(INDEX(ALLCLASSDATA,MATCH("MartialLimitedTrained",CLASSFEATUREHEADERS,0),MATCH($A427,CLASSNAMEHEADERS,0))),(INDEX(ALLCLASSDATA,MATCH("MartialLimitedTrained",CLASSFEATUREHEADERS,0),MATCH(($A427 &amp; "Points"),CLASSNAMEHEADERS,0))),"")))))))))}</f>
        <v>MARTIALLIMITEDL19</v>
      </c>
      <c r="Z426" s="223"/>
      <c r="AA426" s="76" t="str">
        <f t="array" ref="AA426:AA427">{"MARTIALLIMITED TOTAL";(IF(COUNTBLANK(F427:Z427)=17,"L",(IF(COUNTBLANK(F427:Z427)=18,"M",(IF(COUNTBLANK(F427:Z427)=19,"E",(IF(COUNTBLANK(F427:Z427)=20,"T",""))))))))}</f>
        <v>MARTIALLIMITED TOTAL</v>
      </c>
      <c r="AB426" s="76" t="str">
        <f t="array" ref="AB426:AB427">{"MARTIALLIMITED TOTAL";(sum(F427:Z427))}</f>
        <v>MARTIALLIMITED TOTAL</v>
      </c>
    </row>
    <row r="427">
      <c r="A427" s="48" t="s">
        <v>231</v>
      </c>
      <c r="B427" s="48" t="s">
        <v>418</v>
      </c>
      <c r="C427" s="48" t="s">
        <v>1634</v>
      </c>
      <c r="D427" s="48" t="s">
        <v>600</v>
      </c>
      <c r="E427" s="5" t="s">
        <v>603</v>
      </c>
      <c r="F427" s="47" t="s">
        <v>603</v>
      </c>
      <c r="G427" s="5" t="s">
        <v>603</v>
      </c>
      <c r="H427" s="5"/>
      <c r="I427" s="5" t="s">
        <v>603</v>
      </c>
      <c r="J427" s="5"/>
      <c r="K427" s="5" t="s">
        <v>603</v>
      </c>
      <c r="L427" s="5"/>
      <c r="M427" s="5" t="s">
        <v>603</v>
      </c>
      <c r="N427" s="5"/>
      <c r="O427" s="5" t="s">
        <v>603</v>
      </c>
      <c r="P427" s="5"/>
      <c r="Q427" s="5" t="s">
        <v>603</v>
      </c>
      <c r="R427" s="5"/>
      <c r="S427" s="5" t="s">
        <v>603</v>
      </c>
      <c r="T427" s="5"/>
      <c r="U427" s="5" t="s">
        <v>603</v>
      </c>
      <c r="V427" s="5"/>
      <c r="W427" s="5" t="s">
        <v>603</v>
      </c>
      <c r="X427" s="5"/>
      <c r="Y427" s="5" t="s">
        <v>603</v>
      </c>
      <c r="Z427" s="5"/>
      <c r="AA427" s="5" t="s">
        <v>603</v>
      </c>
      <c r="AB427" s="47">
        <v>0.0</v>
      </c>
    </row>
    <row r="428" hidden="1">
      <c r="A428" s="222" t="str">
        <f t="array" ref="A428:A429">{"FormulaRow31";(INDEX(CLASSLIST,A367,1))}</f>
        <v>FormulaRow31</v>
      </c>
      <c r="B428" s="222" t="str">
        <f t="array" ref="B428:B429">{"CLASSTYPE";((INDEX(ALLCLASSDATA,MATCH("ClassType",CLASSFEATUREHEADERS,0),MATCH($A429,CLASSNAMEHEADERS,0))))}</f>
        <v>CLASSTYPE</v>
      </c>
      <c r="C428" s="222" t="str">
        <f t="array" ref="C428:C429">{"ATTACK";"Attack"}</f>
        <v>ATTACK</v>
      </c>
      <c r="D428" s="222" t="str">
        <f t="array" ref="D428:D429">{"MARTIAL";"Martial"}</f>
        <v>MARTIAL</v>
      </c>
      <c r="E428" s="223" t="str">
        <f t="array" ref="E428:E429">{"MARTIALINITIAL";((IF(G429=10,"T",(IF(G429=50,"E","")))))}</f>
        <v>MARTIALINITIAL</v>
      </c>
      <c r="F428" s="223" t="str">
        <f t="array" ref="F428:F429">{"MARTIALINITIALPTS";((IF("00"=(INDEX(ALLCLASSDATA,MATCH("MartialLegendary",CLASSFEATUREHEADERS,0),MATCH($A429,CLASSNAMEHEADERS,0))),(INDEX(ALLCLASSDATA,MATCH("MartialLegendary",CLASSFEATUREHEADERS,0),MATCH(($A429 &amp; "Points"),CLASSNAMEHEADERS,0))),(IF("00"=(INDEX(ALLCLASSDATA,MATCH("MartialMaster",CLASSFEATUREHEADERS,0),MATCH($A429,CLASSNAMEHEADERS,0))),(INDEX(ALLCLASSDATA,MATCH("MartialMaster",CLASSFEATUREHEADERS,0),MATCH(($A429 &amp; "Points"),CLASSNAMEHEADERS,0))),(IF("00"=(INDEX(ALLCLASSDATA,MATCH("MartialExpert",CLASSFEATUREHEADERS,0),MATCH($A429,CLASSNAMEHEADERS,0))),(INDEX(ALLCLASSDATA,MATCH("MartialExpert",CLASSFEATUREHEADERS,0),MATCH(($A429 &amp; "Points"),CLASSNAMEHEADERS,0))),(IF("00"=(INDEX(ALLCLASSDATA,MATCH("MartialTrained",CLASSFEATUREHEADERS,0),MATCH($A429,CLASSNAMEHEADERS,0))),(INDEX(ALLCLASSDATA,MATCH("MartialTrained",CLASSFEATUREHEADERS,0),MATCH(($A429 &amp; "Points"),CLASSNAMEHEADERS,0))),"")))))))))}</f>
        <v>MARTIALINITIALPTS</v>
      </c>
      <c r="G428" s="223" t="str">
        <f t="array" ref="G428:G429">{"MARTIALL01";((IF("01"=(INDEX(ALLCLASSDATA,MATCH("MartialLegendary",CLASSFEATUREHEADERS,0),MATCH($A429,CLASSNAMEHEADERS,0))),(INDEX(ALLCLASSDATA,MATCH("MartialLegendary",CLASSFEATUREHEADERS,0),MATCH(($A429 &amp; "Points"),CLASSNAMEHEADERS,0))),(IF("01"=(INDEX(ALLCLASSDATA,MATCH("MartialMaster",CLASSFEATUREHEADERS,0),MATCH($A429,CLASSNAMEHEADERS,0))),(INDEX(ALLCLASSDATA,MATCH("MartialMaster",CLASSFEATUREHEADERS,0),MATCH(($A429 &amp; "Points"),CLASSNAMEHEADERS,0))),(IF("01"=(INDEX(ALLCLASSDATA,MATCH("MartialExpert",CLASSFEATUREHEADERS,0),MATCH($A429,CLASSNAMEHEADERS,0))),(INDEX(ALLCLASSDATA,MATCH("MartialExpert",CLASSFEATUREHEADERS,0),MATCH(($A429 &amp; "Points"),CLASSNAMEHEADERS,0))),(IF("01"=(INDEX(ALLCLASSDATA,MATCH("MartialTrained",CLASSFEATUREHEADERS,0),MATCH($A429,CLASSNAMEHEADERS,0))),(INDEX(ALLCLASSDATA,MATCH("MartialTrained",CLASSFEATUREHEADERS,0),MATCH(($A429 &amp; "Points"),CLASSNAMEHEADERS,0))),"")))))))))}</f>
        <v>MARTIALL01</v>
      </c>
      <c r="H428" s="223"/>
      <c r="I428" s="223" t="str">
        <f t="array" ref="I428:I429">{"MARTIALL03";((IF("03"=(INDEX(ALLCLASSDATA,MATCH("MartialLegendary",CLASSFEATUREHEADERS,0),MATCH($A429,CLASSNAMEHEADERS,0))),(INDEX(ALLCLASSDATA,MATCH("MartialLegendary",CLASSFEATUREHEADERS,0),MATCH(($A429 &amp; "Points"),CLASSNAMEHEADERS,0))),(IF("03"=(INDEX(ALLCLASSDATA,MATCH("MartialMaster",CLASSFEATUREHEADERS,0),MATCH($A429,CLASSNAMEHEADERS,0))),(INDEX(ALLCLASSDATA,MATCH("MartialMaster",CLASSFEATUREHEADERS,0),MATCH(($A429 &amp; "Points"),CLASSNAMEHEADERS,0))),(IF("03"=(INDEX(ALLCLASSDATA,MATCH("MartialExpert",CLASSFEATUREHEADERS,0),MATCH($A429,CLASSNAMEHEADERS,0))),(INDEX(ALLCLASSDATA,MATCH("MartialExpert",CLASSFEATUREHEADERS,0),MATCH(($A429 &amp; "Points"),CLASSNAMEHEADERS,0))),(IF("03"=(INDEX(ALLCLASSDATA,MATCH("MartialTrained",CLASSFEATUREHEADERS,0),MATCH($A429,CLASSNAMEHEADERS,0))),(INDEX(ALLCLASSDATA,MATCH("MartialTrained",CLASSFEATUREHEADERS,0),MATCH(($A429 &amp; "Points"),CLASSNAMEHEADERS,0))),"")))))))))}</f>
        <v>MARTIALL03</v>
      </c>
      <c r="J428" s="223"/>
      <c r="K428" s="223" t="str">
        <f t="array" ref="K428:K429">{"MARTIALL05";((IF("05"=(INDEX(ALLCLASSDATA,MATCH("MartialLegendary",CLASSFEATUREHEADERS,0),MATCH($A429,CLASSNAMEHEADERS,0))),(INDEX(ALLCLASSDATA,MATCH("MartialLegendary",CLASSFEATUREHEADERS,0),MATCH(($A429 &amp; "Points"),CLASSNAMEHEADERS,0))),(IF("05"=(INDEX(ALLCLASSDATA,MATCH("MartialMaster",CLASSFEATUREHEADERS,0),MATCH($A429,CLASSNAMEHEADERS,0))),(INDEX(ALLCLASSDATA,MATCH("MartialMaster",CLASSFEATUREHEADERS,0),MATCH(($A429 &amp; "Points"),CLASSNAMEHEADERS,0))),(IF("05"=(INDEX(ALLCLASSDATA,MATCH("MartialExpert",CLASSFEATUREHEADERS,0),MATCH($A429,CLASSNAMEHEADERS,0))),(INDEX(ALLCLASSDATA,MATCH("MartialExpert",CLASSFEATUREHEADERS,0),MATCH(($A429 &amp; "Points"),CLASSNAMEHEADERS,0))),(IF("05"=(INDEX(ALLCLASSDATA,MATCH("MartialTrained",CLASSFEATUREHEADERS,0),MATCH($A429,CLASSNAMEHEADERS,0))),(INDEX(ALLCLASSDATA,MATCH("MartialTrained",CLASSFEATUREHEADERS,0),MATCH(($A429 &amp; "Points"),CLASSNAMEHEADERS,0))),"")))))))))}</f>
        <v>MARTIALL05</v>
      </c>
      <c r="L428" s="223"/>
      <c r="M428" s="223" t="str">
        <f t="array" ref="M428:M429">{"MARTIALL07";((IF("07"=(INDEX(ALLCLASSDATA,MATCH("MartialLegendary",CLASSFEATUREHEADERS,0),MATCH($A429,CLASSNAMEHEADERS,0))),(INDEX(ALLCLASSDATA,MATCH("MartialLegendary",CLASSFEATUREHEADERS,0),MATCH(($A429 &amp; "Points"),CLASSNAMEHEADERS,0))),(IF("07"=(INDEX(ALLCLASSDATA,MATCH("MartialMaster",CLASSFEATUREHEADERS,0),MATCH($A429,CLASSNAMEHEADERS,0))),(INDEX(ALLCLASSDATA,MATCH("MartialMaster",CLASSFEATUREHEADERS,0),MATCH(($A429 &amp; "Points"),CLASSNAMEHEADERS,0))),(IF("07"=(INDEX(ALLCLASSDATA,MATCH("MartialExpert",CLASSFEATUREHEADERS,0),MATCH($A429,CLASSNAMEHEADERS,0))),(INDEX(ALLCLASSDATA,MATCH("MartialExpert",CLASSFEATUREHEADERS,0),MATCH(($A429 &amp; "Points"),CLASSNAMEHEADERS,0))),(IF("07"=(INDEX(ALLCLASSDATA,MATCH("MartialTrained",CLASSFEATUREHEADERS,0),MATCH($A429,CLASSNAMEHEADERS,0))),(INDEX(ALLCLASSDATA,MATCH("MartialTrained",CLASSFEATUREHEADERS,0),MATCH(($A429 &amp; "Points"),CLASSNAMEHEADERS,0))),"")))))))))}</f>
        <v>MARTIALL07</v>
      </c>
      <c r="N428" s="223"/>
      <c r="O428" s="223" t="str">
        <f t="array" ref="O428:O429">{"MARTIALL09";((IF("09"=(INDEX(ALLCLASSDATA,MATCH("MartialLegendary",CLASSFEATUREHEADERS,0),MATCH($A429,CLASSNAMEHEADERS,0))),(INDEX(ALLCLASSDATA,MATCH("MartialLegendary",CLASSFEATUREHEADERS,0),MATCH(($A429 &amp; "Points"),CLASSNAMEHEADERS,0))),(IF("09"=(INDEX(ALLCLASSDATA,MATCH("MartialMaster",CLASSFEATUREHEADERS,0),MATCH($A429,CLASSNAMEHEADERS,0))),(INDEX(ALLCLASSDATA,MATCH("MartialMaster",CLASSFEATUREHEADERS,0),MATCH(($A429 &amp; "Points"),CLASSNAMEHEADERS,0))),(IF("09"=(INDEX(ALLCLASSDATA,MATCH("MartialExpert",CLASSFEATUREHEADERS,0),MATCH($A429,CLASSNAMEHEADERS,0))),(INDEX(ALLCLASSDATA,MATCH("MartialExpert",CLASSFEATUREHEADERS,0),MATCH(($A429 &amp; "Points"),CLASSNAMEHEADERS,0))),(IF("09"=(INDEX(ALLCLASSDATA,MATCH("MartialTrained",CLASSFEATUREHEADERS,0),MATCH($A429,CLASSNAMEHEADERS,0))),(INDEX(ALLCLASSDATA,MATCH("MartialTrained",CLASSFEATUREHEADERS,0),MATCH(($A429 &amp; "Points"),CLASSNAMEHEADERS,0))),"")))))))))}</f>
        <v>MARTIALL09</v>
      </c>
      <c r="P428" s="223"/>
      <c r="Q428" s="223" t="str">
        <f t="array" ref="Q428:Q429">{"MARTIALL11";((IF("11"=(INDEX(ALLCLASSDATA,MATCH("MartialLegendary",CLASSFEATUREHEADERS,0),MATCH($A429,CLASSNAMEHEADERS,0))),(INDEX(ALLCLASSDATA,MATCH("MartialLegendary",CLASSFEATUREHEADERS,0),MATCH(($A429 &amp; "Points"),CLASSNAMEHEADERS,0))),(IF("11"=(INDEX(ALLCLASSDATA,MATCH("MartialMaster",CLASSFEATUREHEADERS,0),MATCH($A429,CLASSNAMEHEADERS,0))),(INDEX(ALLCLASSDATA,MATCH("MartialMaster",CLASSFEATUREHEADERS,0),MATCH(($A429 &amp; "Points"),CLASSNAMEHEADERS,0))),(IF("11"=(INDEX(ALLCLASSDATA,MATCH("MartialExpert",CLASSFEATUREHEADERS,0),MATCH($A429,CLASSNAMEHEADERS,0))),(INDEX(ALLCLASSDATA,MATCH("MartialExpert",CLASSFEATUREHEADERS,0),MATCH(($A429 &amp; "Points"),CLASSNAMEHEADERS,0))),(IF("11"=(INDEX(ALLCLASSDATA,MATCH("MartialTrained",CLASSFEATUREHEADERS,0),MATCH($A429,CLASSNAMEHEADERS,0))),(INDEX(ALLCLASSDATA,MATCH("MartialTrained",CLASSFEATUREHEADERS,0),MATCH(($A429 &amp; "Points"),CLASSNAMEHEADERS,0))),"")))))))))}</f>
        <v>MARTIALL11</v>
      </c>
      <c r="R428" s="223"/>
      <c r="S428" s="223" t="str">
        <f t="array" ref="S428:S429">{"MARTIALL13";((IF("13"=(INDEX(ALLCLASSDATA,MATCH("MartialLegendary",CLASSFEATUREHEADERS,0),MATCH($A429,CLASSNAMEHEADERS,0))),(INDEX(ALLCLASSDATA,MATCH("MartialLegendary",CLASSFEATUREHEADERS,0),MATCH(($A429 &amp; "Points"),CLASSNAMEHEADERS,0))),(IF("13"=(INDEX(ALLCLASSDATA,MATCH("MartialMaster",CLASSFEATUREHEADERS,0),MATCH($A429,CLASSNAMEHEADERS,0))),(INDEX(ALLCLASSDATA,MATCH("MartialMaster",CLASSFEATUREHEADERS,0),MATCH(($A429 &amp; "Points"),CLASSNAMEHEADERS,0))),(IF("13"=(INDEX(ALLCLASSDATA,MATCH("MartialExpert",CLASSFEATUREHEADERS,0),MATCH($A429,CLASSNAMEHEADERS,0))),(INDEX(ALLCLASSDATA,MATCH("MartialExpert",CLASSFEATUREHEADERS,0),MATCH(($A429 &amp; "Points"),CLASSNAMEHEADERS,0))),(IF("13"=(INDEX(ALLCLASSDATA,MATCH("MartialTrained",CLASSFEATUREHEADERS,0),MATCH($A429,CLASSNAMEHEADERS,0))),(INDEX(ALLCLASSDATA,MATCH("MartialTrained",CLASSFEATUREHEADERS,0),MATCH(($A429 &amp; "Points"),CLASSNAMEHEADERS,0))),"")))))))))}</f>
        <v>MARTIALL13</v>
      </c>
      <c r="T428" s="223"/>
      <c r="U428" s="223" t="str">
        <f t="array" ref="U428:U429">{"MARTIALL15";((IF("15"=(INDEX(ALLCLASSDATA,MATCH("MartialLegendary",CLASSFEATUREHEADERS,0),MATCH($A429,CLASSNAMEHEADERS,0))),(INDEX(ALLCLASSDATA,MATCH("MartialLegendary",CLASSFEATUREHEADERS,0),MATCH(($A429 &amp; "Points"),CLASSNAMEHEADERS,0))),(IF("15"=(INDEX(ALLCLASSDATA,MATCH("MartialMaster",CLASSFEATUREHEADERS,0),MATCH($A429,CLASSNAMEHEADERS,0))),(INDEX(ALLCLASSDATA,MATCH("MartialMaster",CLASSFEATUREHEADERS,0),MATCH(($A429 &amp; "Points"),CLASSNAMEHEADERS,0))),(IF("15"=(INDEX(ALLCLASSDATA,MATCH("MartialExpert",CLASSFEATUREHEADERS,0),MATCH($A429,CLASSNAMEHEADERS,0))),(INDEX(ALLCLASSDATA,MATCH("MartialExpert",CLASSFEATUREHEADERS,0),MATCH(($A429 &amp; "Points"),CLASSNAMEHEADERS,0))),(IF("15"=(INDEX(ALLCLASSDATA,MATCH("MartialTrained",CLASSFEATUREHEADERS,0),MATCH($A429,CLASSNAMEHEADERS,0))),(INDEX(ALLCLASSDATA,MATCH("MartialTrained",CLASSFEATUREHEADERS,0),MATCH(($A429 &amp; "Points"),CLASSNAMEHEADERS,0))),"")))))))))}</f>
        <v>MARTIALL15</v>
      </c>
      <c r="V428" s="223"/>
      <c r="W428" s="223" t="str">
        <f t="array" ref="W428:W429">{"MARTIALL17";((IF("17"=(INDEX(ALLCLASSDATA,MATCH("MartialLegendary",CLASSFEATUREHEADERS,0),MATCH($A429,CLASSNAMEHEADERS,0))),(INDEX(ALLCLASSDATA,MATCH("MartialLegendary",CLASSFEATUREHEADERS,0),MATCH(($A429 &amp; "Points"),CLASSNAMEHEADERS,0))),(IF("17"=(INDEX(ALLCLASSDATA,MATCH("MartialMaster",CLASSFEATUREHEADERS,0),MATCH($A429,CLASSNAMEHEADERS,0))),(INDEX(ALLCLASSDATA,MATCH("MartialMaster",CLASSFEATUREHEADERS,0),MATCH(($A429 &amp; "Points"),CLASSNAMEHEADERS,0))),(IF("17"=(INDEX(ALLCLASSDATA,MATCH("MartialExpert",CLASSFEATUREHEADERS,0),MATCH($A429,CLASSNAMEHEADERS,0))),(INDEX(ALLCLASSDATA,MATCH("MartialExpert",CLASSFEATUREHEADERS,0),MATCH(($A429 &amp; "Points"),CLASSNAMEHEADERS,0))),(IF("17"=(INDEX(ALLCLASSDATA,MATCH("MartialTrained",CLASSFEATUREHEADERS,0),MATCH($A429,CLASSNAMEHEADERS,0))),(INDEX(ALLCLASSDATA,MATCH("MartialTrained",CLASSFEATUREHEADERS,0),MATCH(($A429 &amp; "Points"),CLASSNAMEHEADERS,0))),"")))))))))}</f>
        <v>MARTIALL17</v>
      </c>
      <c r="X428" s="223"/>
      <c r="Y428" s="223" t="str">
        <f t="array" ref="Y428:Y429">{"MARTIALL19";((IF("19"=(INDEX(ALLCLASSDATA,MATCH("MartialLegendary",CLASSFEATUREHEADERS,0),MATCH($A429,CLASSNAMEHEADERS,0))),(INDEX(ALLCLASSDATA,MATCH("MartialLegendary",CLASSFEATUREHEADERS,0),MATCH(($A429 &amp; "Points"),CLASSNAMEHEADERS,0))),(IF("19"=(INDEX(ALLCLASSDATA,MATCH("MartialMaster",CLASSFEATUREHEADERS,0),MATCH($A429,CLASSNAMEHEADERS,0))),(INDEX(ALLCLASSDATA,MATCH("MartialMaster",CLASSFEATUREHEADERS,0),MATCH(($A429 &amp; "Points"),CLASSNAMEHEADERS,0))),(IF("19"=(INDEX(ALLCLASSDATA,MATCH("MartialExpert",CLASSFEATUREHEADERS,0),MATCH($A429,CLASSNAMEHEADERS,0))),(INDEX(ALLCLASSDATA,MATCH("MartialExpert",CLASSFEATUREHEADERS,0),MATCH(($A429 &amp; "Points"),CLASSNAMEHEADERS,0))),(IF("19"=(INDEX(ALLCLASSDATA,MATCH("MartialTrained",CLASSFEATUREHEADERS,0),MATCH($A429,CLASSNAMEHEADERS,0))),(INDEX(ALLCLASSDATA,MATCH("MartialTrained",CLASSFEATUREHEADERS,0),MATCH(($A429 &amp; "Points"),CLASSNAMEHEADERS,0))),"")))))))))}</f>
        <v>MARTIALL19</v>
      </c>
      <c r="Z428" s="223"/>
      <c r="AA428" s="76" t="str">
        <f t="array" ref="AA428:AA429">{"MARTIAL TOTAL";(IF(COUNTBLANK(F429:Z429)=17,"L",(IF(COUNTBLANK(F429:Z429)=18,"M",(IF(COUNTBLANK(F429:Z429)=19,"E",(IF(COUNTBLANK(F429:Z429)=20,"T",""))))))))}</f>
        <v>MARTIAL TOTAL</v>
      </c>
      <c r="AB428" s="76" t="str">
        <f t="array" ref="AB428:AB429">{"MARTIAL TOTAL";(sum(F429:Z429))}</f>
        <v>MARTIAL TOTAL</v>
      </c>
    </row>
    <row r="429">
      <c r="A429" s="48" t="s">
        <v>231</v>
      </c>
      <c r="B429" s="48" t="s">
        <v>418</v>
      </c>
      <c r="C429" s="48" t="s">
        <v>1634</v>
      </c>
      <c r="D429" s="48" t="s">
        <v>6</v>
      </c>
      <c r="E429" s="5" t="s">
        <v>603</v>
      </c>
      <c r="F429" s="47" t="s">
        <v>603</v>
      </c>
      <c r="G429" s="5" t="s">
        <v>603</v>
      </c>
      <c r="H429" s="5"/>
      <c r="I429" s="5" t="s">
        <v>603</v>
      </c>
      <c r="J429" s="5"/>
      <c r="K429" s="5" t="s">
        <v>603</v>
      </c>
      <c r="L429" s="5"/>
      <c r="M429" s="5" t="s">
        <v>603</v>
      </c>
      <c r="N429" s="5"/>
      <c r="O429" s="5" t="s">
        <v>603</v>
      </c>
      <c r="P429" s="48"/>
      <c r="Q429" s="5" t="s">
        <v>603</v>
      </c>
      <c r="R429" s="5"/>
      <c r="S429" s="5" t="s">
        <v>603</v>
      </c>
      <c r="T429" s="5"/>
      <c r="U429" s="5" t="s">
        <v>603</v>
      </c>
      <c r="V429" s="5"/>
      <c r="W429" s="5" t="s">
        <v>603</v>
      </c>
      <c r="X429" s="5"/>
      <c r="Y429" s="5" t="s">
        <v>603</v>
      </c>
      <c r="Z429" s="5"/>
      <c r="AA429" s="5" t="s">
        <v>603</v>
      </c>
      <c r="AB429" s="47">
        <v>0.0</v>
      </c>
    </row>
    <row r="430" hidden="1">
      <c r="A430" s="222" t="str">
        <f t="array" ref="A430:A431">{"FormulaRow32";(INDEX(CLASSLIST,A367,1))}</f>
        <v>FormulaRow32</v>
      </c>
      <c r="B430" s="222" t="str">
        <f t="array" ref="B430:B431">{"CLASSTYPE";((INDEX(ALLCLASSDATA,MATCH("ClassType",CLASSFEATUREHEADERS,0),MATCH($A431,CLASSNAMEHEADERS,0))))}</f>
        <v>CLASSTYPE</v>
      </c>
      <c r="C430" s="222" t="str">
        <f t="array" ref="C430:C431">{"ATTACK";"Attack"}</f>
        <v>ATTACK</v>
      </c>
      <c r="D430" s="222" t="str">
        <f t="array" ref="D430:D431">{"ADVANCEDGROUP";"AdvancedGroup"}</f>
        <v>ADVANCEDGROUP</v>
      </c>
      <c r="E430" s="223" t="str">
        <f t="array" ref="E430:E431">{"ADVANCEDGROUPINITIAL";((IF(G431=10,"T",(IF(G431=50,"E","")))))}</f>
        <v>ADVANCEDGROUPINITIAL</v>
      </c>
      <c r="F430" s="223" t="str">
        <f t="array" ref="F430:F431">{"ADVANCEDGROUPINITIALPTS";((IF("00"=(INDEX(ALLCLASSDATA,MATCH("AdvancedGroupLegendary",CLASSFEATUREHEADERS,0),MATCH($A431,CLASSNAMEHEADERS,0))),(INDEX(ALLCLASSDATA,MATCH("AdvancedGroupLegendary",CLASSFEATUREHEADERS,0),MATCH(($A431 &amp; "Points"),CLASSNAMEHEADERS,0))),(IF("00"=(INDEX(ALLCLASSDATA,MATCH("AdvancedGroupMaster",CLASSFEATUREHEADERS,0),MATCH($A431,CLASSNAMEHEADERS,0))),(INDEX(ALLCLASSDATA,MATCH("AdvancedGroupMaster",CLASSFEATUREHEADERS,0),MATCH(($A431 &amp; "Points"),CLASSNAMEHEADERS,0))),(IF("00"=(INDEX(ALLCLASSDATA,MATCH("AdvancedGroupExpert",CLASSFEATUREHEADERS,0),MATCH($A431,CLASSNAMEHEADERS,0))),(INDEX(ALLCLASSDATA,MATCH("AdvancedGroupExpert",CLASSFEATUREHEADERS,0),MATCH(($A431 &amp; "Points"),CLASSNAMEHEADERS,0))),(IF("00"=(INDEX(ALLCLASSDATA,MATCH("AdvancedGroupTrained",CLASSFEATUREHEADERS,0),MATCH($A431,CLASSNAMEHEADERS,0))),(INDEX(ALLCLASSDATA,MATCH("AdvancedGroupTrained",CLASSFEATUREHEADERS,0),MATCH(($A431 &amp; "Points"),CLASSNAMEHEADERS,0))),"")))))))))}</f>
        <v>ADVANCEDGROUPINITIALPTS</v>
      </c>
      <c r="G430" s="223" t="str">
        <f t="array" ref="G430:G431">{"ADVANCEDGROUPL01";((IF("01"=(INDEX(ALLCLASSDATA,MATCH("AdvancedGroupLegendary",CLASSFEATUREHEADERS,0),MATCH($A431,CLASSNAMEHEADERS,0))),(INDEX(ALLCLASSDATA,MATCH("AdvancedGroupLegendary",CLASSFEATUREHEADERS,0),MATCH(($A431 &amp; "Points"),CLASSNAMEHEADERS,0))),(IF("01"=(INDEX(ALLCLASSDATA,MATCH("AdvancedGroupMaster",CLASSFEATUREHEADERS,0),MATCH($A431,CLASSNAMEHEADERS,0))),(INDEX(ALLCLASSDATA,MATCH("AdvancedGroupMaster",CLASSFEATUREHEADERS,0),MATCH(($A431 &amp; "Points"),CLASSNAMEHEADERS,0))),(IF("01"=(INDEX(ALLCLASSDATA,MATCH("AdvancedGroupExpert",CLASSFEATUREHEADERS,0),MATCH($A431,CLASSNAMEHEADERS,0))),(INDEX(ALLCLASSDATA,MATCH("AdvancedGroupExpert",CLASSFEATUREHEADERS,0),MATCH(($A431 &amp; "Points"),CLASSNAMEHEADERS,0))),(IF("01"=(INDEX(ALLCLASSDATA,MATCH("AdvancedGroupTrained",CLASSFEATUREHEADERS,0),MATCH($A431,CLASSNAMEHEADERS,0))),(INDEX(ALLCLASSDATA,MATCH("AdvancedGroupTrained",CLASSFEATUREHEADERS,0),MATCH(($A431 &amp; "Points"),CLASSNAMEHEADERS,0))),"")))))))))}</f>
        <v>ADVANCEDGROUPL01</v>
      </c>
      <c r="H430" s="223"/>
      <c r="I430" s="223" t="str">
        <f t="array" ref="I430:I431">{"ADVANCEDGROUPL03";((IF("03"=(INDEX(ALLCLASSDATA,MATCH("AdvancedGroupLegendary",CLASSFEATUREHEADERS,0),MATCH($A431,CLASSNAMEHEADERS,0))),(INDEX(ALLCLASSDATA,MATCH("AdvancedGroupLegendary",CLASSFEATUREHEADERS,0),MATCH(($A431 &amp; "Points"),CLASSNAMEHEADERS,0))),(IF("03"=(INDEX(ALLCLASSDATA,MATCH("AdvancedGroupMaster",CLASSFEATUREHEADERS,0),MATCH($A431,CLASSNAMEHEADERS,0))),(INDEX(ALLCLASSDATA,MATCH("AdvancedGroupMaster",CLASSFEATUREHEADERS,0),MATCH(($A431 &amp; "Points"),CLASSNAMEHEADERS,0))),(IF("03"=(INDEX(ALLCLASSDATA,MATCH("AdvancedGroupExpert",CLASSFEATUREHEADERS,0),MATCH($A431,CLASSNAMEHEADERS,0))),(INDEX(ALLCLASSDATA,MATCH("AdvancedGroupExpert",CLASSFEATUREHEADERS,0),MATCH(($A431 &amp; "Points"),CLASSNAMEHEADERS,0))),(IF("03"=(INDEX(ALLCLASSDATA,MATCH("AdvancedGroupTrained",CLASSFEATUREHEADERS,0),MATCH($A431,CLASSNAMEHEADERS,0))),(INDEX(ALLCLASSDATA,MATCH("AdvancedGroupTrained",CLASSFEATUREHEADERS,0),MATCH(($A431 &amp; "Points"),CLASSNAMEHEADERS,0))),"")))))))))}</f>
        <v>ADVANCEDGROUPL03</v>
      </c>
      <c r="J430" s="223"/>
      <c r="K430" s="223" t="str">
        <f t="array" ref="K430:K431">{"ADVANCEDGROUPL05";((IF("05"=(INDEX(ALLCLASSDATA,MATCH("AdvancedGroupLegendary",CLASSFEATUREHEADERS,0),MATCH($A431,CLASSNAMEHEADERS,0))),(INDEX(ALLCLASSDATA,MATCH("AdvancedGroupLegendary",CLASSFEATUREHEADERS,0),MATCH(($A431 &amp; "Points"),CLASSNAMEHEADERS,0))),(IF("05"=(INDEX(ALLCLASSDATA,MATCH("AdvancedGroupMaster",CLASSFEATUREHEADERS,0),MATCH($A431,CLASSNAMEHEADERS,0))),(INDEX(ALLCLASSDATA,MATCH("AdvancedGroupMaster",CLASSFEATUREHEADERS,0),MATCH(($A431 &amp; "Points"),CLASSNAMEHEADERS,0))),(IF("05"=(INDEX(ALLCLASSDATA,MATCH("AdvancedGroupExpert",CLASSFEATUREHEADERS,0),MATCH($A431,CLASSNAMEHEADERS,0))),(INDEX(ALLCLASSDATA,MATCH("AdvancedGroupExpert",CLASSFEATUREHEADERS,0),MATCH(($A431 &amp; "Points"),CLASSNAMEHEADERS,0))),(IF("05"=(INDEX(ALLCLASSDATA,MATCH("AdvancedGroupTrained",CLASSFEATUREHEADERS,0),MATCH($A431,CLASSNAMEHEADERS,0))),(INDEX(ALLCLASSDATA,MATCH("AdvancedGroupTrained",CLASSFEATUREHEADERS,0),MATCH(($A431 &amp; "Points"),CLASSNAMEHEADERS,0))),"")))))))))}</f>
        <v>ADVANCEDGROUPL05</v>
      </c>
      <c r="L430" s="223"/>
      <c r="M430" s="223" t="str">
        <f t="array" ref="M430:M431">{"ADVANCEDGROUPL07";((IF("07"=(INDEX(ALLCLASSDATA,MATCH("AdvancedGroupLegendary",CLASSFEATUREHEADERS,0),MATCH($A431,CLASSNAMEHEADERS,0))),(INDEX(ALLCLASSDATA,MATCH("AdvancedGroupLegendary",CLASSFEATUREHEADERS,0),MATCH(($A431 &amp; "Points"),CLASSNAMEHEADERS,0))),(IF("07"=(INDEX(ALLCLASSDATA,MATCH("AdvancedGroupMaster",CLASSFEATUREHEADERS,0),MATCH($A431,CLASSNAMEHEADERS,0))),(INDEX(ALLCLASSDATA,MATCH("AdvancedGroupMaster",CLASSFEATUREHEADERS,0),MATCH(($A431 &amp; "Points"),CLASSNAMEHEADERS,0))),(IF("07"=(INDEX(ALLCLASSDATA,MATCH("AdvancedGroupExpert",CLASSFEATUREHEADERS,0),MATCH($A431,CLASSNAMEHEADERS,0))),(INDEX(ALLCLASSDATA,MATCH("AdvancedGroupExpert",CLASSFEATUREHEADERS,0),MATCH(($A431 &amp; "Points"),CLASSNAMEHEADERS,0))),(IF("07"=(INDEX(ALLCLASSDATA,MATCH("AdvancedGroupTrained",CLASSFEATUREHEADERS,0),MATCH($A431,CLASSNAMEHEADERS,0))),(INDEX(ALLCLASSDATA,MATCH("AdvancedGroupTrained",CLASSFEATUREHEADERS,0),MATCH(($A431 &amp; "Points"),CLASSNAMEHEADERS,0))),"")))))))))}</f>
        <v>ADVANCEDGROUPL07</v>
      </c>
      <c r="N430" s="223"/>
      <c r="O430" s="223" t="str">
        <f t="array" ref="O430:O431">{"ADVANCEDGROUPL09";((IF("09"=(INDEX(ALLCLASSDATA,MATCH("AdvancedGroupLegendary",CLASSFEATUREHEADERS,0),MATCH($A431,CLASSNAMEHEADERS,0))),(INDEX(ALLCLASSDATA,MATCH("AdvancedGroupLegendary",CLASSFEATUREHEADERS,0),MATCH(($A431 &amp; "Points"),CLASSNAMEHEADERS,0))),(IF("09"=(INDEX(ALLCLASSDATA,MATCH("AdvancedGroupMaster",CLASSFEATUREHEADERS,0),MATCH($A431,CLASSNAMEHEADERS,0))),(INDEX(ALLCLASSDATA,MATCH("AdvancedGroupMaster",CLASSFEATUREHEADERS,0),MATCH(($A431 &amp; "Points"),CLASSNAMEHEADERS,0))),(IF("09"=(INDEX(ALLCLASSDATA,MATCH("AdvancedGroupExpert",CLASSFEATUREHEADERS,0),MATCH($A431,CLASSNAMEHEADERS,0))),(INDEX(ALLCLASSDATA,MATCH("AdvancedGroupExpert",CLASSFEATUREHEADERS,0),MATCH(($A431 &amp; "Points"),CLASSNAMEHEADERS,0))),(IF("09"=(INDEX(ALLCLASSDATA,MATCH("AdvancedGroupTrained",CLASSFEATUREHEADERS,0),MATCH($A431,CLASSNAMEHEADERS,0))),(INDEX(ALLCLASSDATA,MATCH("AdvancedGroupTrained",CLASSFEATUREHEADERS,0),MATCH(($A431 &amp; "Points"),CLASSNAMEHEADERS,0))),"")))))))))}</f>
        <v>ADVANCEDGROUPL09</v>
      </c>
      <c r="P430" s="223"/>
      <c r="Q430" s="223" t="str">
        <f t="array" ref="Q430:Q431">{"ADVANCEDGROUPL11";((IF("11"=(INDEX(ALLCLASSDATA,MATCH("AdvancedGroupLegendary",CLASSFEATUREHEADERS,0),MATCH($A431,CLASSNAMEHEADERS,0))),(INDEX(ALLCLASSDATA,MATCH("AdvancedGroupLegendary",CLASSFEATUREHEADERS,0),MATCH(($A431 &amp; "Points"),CLASSNAMEHEADERS,0))),(IF("11"=(INDEX(ALLCLASSDATA,MATCH("AdvancedGroupMaster",CLASSFEATUREHEADERS,0),MATCH($A431,CLASSNAMEHEADERS,0))),(INDEX(ALLCLASSDATA,MATCH("AdvancedGroupMaster",CLASSFEATUREHEADERS,0),MATCH(($A431 &amp; "Points"),CLASSNAMEHEADERS,0))),(IF("11"=(INDEX(ALLCLASSDATA,MATCH("AdvancedGroupExpert",CLASSFEATUREHEADERS,0),MATCH($A431,CLASSNAMEHEADERS,0))),(INDEX(ALLCLASSDATA,MATCH("AdvancedGroupExpert",CLASSFEATUREHEADERS,0),MATCH(($A431 &amp; "Points"),CLASSNAMEHEADERS,0))),(IF("11"=(INDEX(ALLCLASSDATA,MATCH("AdvancedGroupTrained",CLASSFEATUREHEADERS,0),MATCH($A431,CLASSNAMEHEADERS,0))),(INDEX(ALLCLASSDATA,MATCH("AdvancedGroupTrained",CLASSFEATUREHEADERS,0),MATCH(($A431 &amp; "Points"),CLASSNAMEHEADERS,0))),"")))))))))}</f>
        <v>ADVANCEDGROUPL11</v>
      </c>
      <c r="R430" s="223"/>
      <c r="S430" s="223" t="str">
        <f t="array" ref="S430:S431">{"ADVANCEDGROUPL13";((IF("13"=(INDEX(ALLCLASSDATA,MATCH("AdvancedGroupLegendary",CLASSFEATUREHEADERS,0),MATCH($A431,CLASSNAMEHEADERS,0))),(INDEX(ALLCLASSDATA,MATCH("AdvancedGroupLegendary",CLASSFEATUREHEADERS,0),MATCH(($A431 &amp; "Points"),CLASSNAMEHEADERS,0))),(IF("13"=(INDEX(ALLCLASSDATA,MATCH("AdvancedGroupMaster",CLASSFEATUREHEADERS,0),MATCH($A431,CLASSNAMEHEADERS,0))),(INDEX(ALLCLASSDATA,MATCH("AdvancedGroupMaster",CLASSFEATUREHEADERS,0),MATCH(($A431 &amp; "Points"),CLASSNAMEHEADERS,0))),(IF("13"=(INDEX(ALLCLASSDATA,MATCH("AdvancedGroupExpert",CLASSFEATUREHEADERS,0),MATCH($A431,CLASSNAMEHEADERS,0))),(INDEX(ALLCLASSDATA,MATCH("AdvancedGroupExpert",CLASSFEATUREHEADERS,0),MATCH(($A431 &amp; "Points"),CLASSNAMEHEADERS,0))),(IF("13"=(INDEX(ALLCLASSDATA,MATCH("AdvancedGroupTrained",CLASSFEATUREHEADERS,0),MATCH($A431,CLASSNAMEHEADERS,0))),(INDEX(ALLCLASSDATA,MATCH("AdvancedGroupTrained",CLASSFEATUREHEADERS,0),MATCH(($A431 &amp; "Points"),CLASSNAMEHEADERS,0))),"")))))))))}</f>
        <v>ADVANCEDGROUPL13</v>
      </c>
      <c r="T430" s="223"/>
      <c r="U430" s="223" t="str">
        <f t="array" ref="U430:U431">{"ADVANCEDGROUPL15";((IF("15"=(INDEX(ALLCLASSDATA,MATCH("AdvancedGroupLegendary",CLASSFEATUREHEADERS,0),MATCH($A431,CLASSNAMEHEADERS,0))),(INDEX(ALLCLASSDATA,MATCH("AdvancedGroupLegendary",CLASSFEATUREHEADERS,0),MATCH(($A431 &amp; "Points"),CLASSNAMEHEADERS,0))),(IF("15"=(INDEX(ALLCLASSDATA,MATCH("AdvancedGroupMaster",CLASSFEATUREHEADERS,0),MATCH($A431,CLASSNAMEHEADERS,0))),(INDEX(ALLCLASSDATA,MATCH("AdvancedGroupMaster",CLASSFEATUREHEADERS,0),MATCH(($A431 &amp; "Points"),CLASSNAMEHEADERS,0))),(IF("15"=(INDEX(ALLCLASSDATA,MATCH("AdvancedGroupExpert",CLASSFEATUREHEADERS,0),MATCH($A431,CLASSNAMEHEADERS,0))),(INDEX(ALLCLASSDATA,MATCH("AdvancedGroupExpert",CLASSFEATUREHEADERS,0),MATCH(($A431 &amp; "Points"),CLASSNAMEHEADERS,0))),(IF("15"=(INDEX(ALLCLASSDATA,MATCH("AdvancedGroupTrained",CLASSFEATUREHEADERS,0),MATCH($A431,CLASSNAMEHEADERS,0))),(INDEX(ALLCLASSDATA,MATCH("AdvancedGroupTrained",CLASSFEATUREHEADERS,0),MATCH(($A431 &amp; "Points"),CLASSNAMEHEADERS,0))),"")))))))))}</f>
        <v>ADVANCEDGROUPL15</v>
      </c>
      <c r="V430" s="223"/>
      <c r="W430" s="223" t="str">
        <f t="array" ref="W430:W431">{"ADVANCEDGROUPL17";((IF("17"=(INDEX(ALLCLASSDATA,MATCH("AdvancedGroupLegendary",CLASSFEATUREHEADERS,0),MATCH($A431,CLASSNAMEHEADERS,0))),(INDEX(ALLCLASSDATA,MATCH("AdvancedGroupLegendary",CLASSFEATUREHEADERS,0),MATCH(($A431 &amp; "Points"),CLASSNAMEHEADERS,0))),(IF("17"=(INDEX(ALLCLASSDATA,MATCH("AdvancedGroupMaster",CLASSFEATUREHEADERS,0),MATCH($A431,CLASSNAMEHEADERS,0))),(INDEX(ALLCLASSDATA,MATCH("AdvancedGroupMaster",CLASSFEATUREHEADERS,0),MATCH(($A431 &amp; "Points"),CLASSNAMEHEADERS,0))),(IF("17"=(INDEX(ALLCLASSDATA,MATCH("AdvancedGroupExpert",CLASSFEATUREHEADERS,0),MATCH($A431,CLASSNAMEHEADERS,0))),(INDEX(ALLCLASSDATA,MATCH("AdvancedGroupExpert",CLASSFEATUREHEADERS,0),MATCH(($A431 &amp; "Points"),CLASSNAMEHEADERS,0))),(IF("17"=(INDEX(ALLCLASSDATA,MATCH("AdvancedGroupTrained",CLASSFEATUREHEADERS,0),MATCH($A431,CLASSNAMEHEADERS,0))),(INDEX(ALLCLASSDATA,MATCH("AdvancedGroupTrained",CLASSFEATUREHEADERS,0),MATCH(($A431 &amp; "Points"),CLASSNAMEHEADERS,0))),"")))))))))}</f>
        <v>ADVANCEDGROUPL17</v>
      </c>
      <c r="X430" s="223"/>
      <c r="Y430" s="223" t="str">
        <f t="array" ref="Y430:Y431">{"ADVANCEDGROUPL19";((IF("19"=(INDEX(ALLCLASSDATA,MATCH("AdvancedGroupLegendary",CLASSFEATUREHEADERS,0),MATCH($A431,CLASSNAMEHEADERS,0))),(INDEX(ALLCLASSDATA,MATCH("AdvancedGroupLegendary",CLASSFEATUREHEADERS,0),MATCH(($A431 &amp; "Points"),CLASSNAMEHEADERS,0))),(IF("19"=(INDEX(ALLCLASSDATA,MATCH("AdvancedGroupMaster",CLASSFEATUREHEADERS,0),MATCH($A431,CLASSNAMEHEADERS,0))),(INDEX(ALLCLASSDATA,MATCH("AdvancedGroupMaster",CLASSFEATUREHEADERS,0),MATCH(($A431 &amp; "Points"),CLASSNAMEHEADERS,0))),(IF("19"=(INDEX(ALLCLASSDATA,MATCH("AdvancedGroupExpert",CLASSFEATUREHEADERS,0),MATCH($A431,CLASSNAMEHEADERS,0))),(INDEX(ALLCLASSDATA,MATCH("AdvancedGroupExpert",CLASSFEATUREHEADERS,0),MATCH(($A431 &amp; "Points"),CLASSNAMEHEADERS,0))),(IF("19"=(INDEX(ALLCLASSDATA,MATCH("AdvancedGroupTrained",CLASSFEATUREHEADERS,0),MATCH($A431,CLASSNAMEHEADERS,0))),(INDEX(ALLCLASSDATA,MATCH("AdvancedGroupTrained",CLASSFEATUREHEADERS,0),MATCH(($A431 &amp; "Points"),CLASSNAMEHEADERS,0))),"")))))))))}</f>
        <v>ADVANCEDGROUPL19</v>
      </c>
      <c r="Z430" s="223"/>
      <c r="AA430" s="76" t="str">
        <f t="array" ref="AA430:AA431">{"ADVANCEDGROUP TOTAL";(IF(COUNTBLANK(F431:Z431)=17,"L",(IF(COUNTBLANK(F431:Z431)=18,"M",(IF(COUNTBLANK(F431:Z431)=19,"E",(IF(COUNTBLANK(F431:Z431)=20,"T",""))))))))}</f>
        <v>ADVANCEDGROUP TOTAL</v>
      </c>
      <c r="AB430" s="76" t="str">
        <f t="array" ref="AB430:AB431">{"ADVANCEDGROUP TOTAL";(sum(F431:Z431))}</f>
        <v>ADVANCEDGROUP TOTAL</v>
      </c>
    </row>
    <row r="431">
      <c r="A431" s="48" t="s">
        <v>231</v>
      </c>
      <c r="B431" s="48" t="s">
        <v>418</v>
      </c>
      <c r="C431" s="48" t="s">
        <v>1634</v>
      </c>
      <c r="D431" s="48" t="s">
        <v>601</v>
      </c>
      <c r="E431" s="5" t="s">
        <v>603</v>
      </c>
      <c r="F431" s="47" t="s">
        <v>603</v>
      </c>
      <c r="G431" s="5" t="s">
        <v>603</v>
      </c>
      <c r="H431" s="5"/>
      <c r="I431" s="5" t="s">
        <v>603</v>
      </c>
      <c r="J431" s="5"/>
      <c r="K431" s="5" t="s">
        <v>603</v>
      </c>
      <c r="L431" s="5"/>
      <c r="M431" s="5" t="s">
        <v>603</v>
      </c>
      <c r="N431" s="5"/>
      <c r="O431" s="5" t="s">
        <v>603</v>
      </c>
      <c r="P431" s="5"/>
      <c r="Q431" s="5" t="s">
        <v>603</v>
      </c>
      <c r="R431" s="5"/>
      <c r="S431" s="5" t="s">
        <v>603</v>
      </c>
      <c r="T431" s="5"/>
      <c r="U431" s="5" t="s">
        <v>603</v>
      </c>
      <c r="V431" s="5"/>
      <c r="W431" s="5" t="s">
        <v>603</v>
      </c>
      <c r="X431" s="5"/>
      <c r="Y431" s="5" t="s">
        <v>603</v>
      </c>
      <c r="Z431" s="5"/>
      <c r="AA431" s="5" t="s">
        <v>603</v>
      </c>
      <c r="AB431" s="47">
        <v>0.0</v>
      </c>
    </row>
    <row r="432" hidden="1">
      <c r="A432" s="222" t="str">
        <f t="array" ref="A432:A433">{"FormulaRow33";(INDEX(CLASSLIST,A367,1))}</f>
        <v>FormulaRow33</v>
      </c>
      <c r="B432" s="222" t="str">
        <f t="array" ref="B432:B433">{"CLASSTYPE";((INDEX(ALLCLASSDATA,MATCH("ClassType",CLASSFEATUREHEADERS,0),MATCH($A433,CLASSNAMEHEADERS,0))))}</f>
        <v>CLASSTYPE</v>
      </c>
      <c r="C432" s="222" t="str">
        <f t="array" ref="C432:C433">{"ATTACK";"Attack"}</f>
        <v>ATTACK</v>
      </c>
      <c r="D432" s="222" t="str">
        <f t="array" ref="D432:D433">{"ADVANCED";"Advanced"}</f>
        <v>ADVANCED</v>
      </c>
      <c r="E432" s="223" t="str">
        <f t="array" ref="E432:E433">{"ADVANCEDINITIAL";((IF(G433=10,"T",(IF(G433=50,"E","")))))}</f>
        <v>ADVANCEDINITIAL</v>
      </c>
      <c r="F432" s="223" t="str">
        <f t="array" ref="F432:F433">{"ADVANCEDINITIALPTS";((IF("00"=(INDEX(ALLCLASSDATA,MATCH("AdvancedLegendary",CLASSFEATUREHEADERS,0),MATCH($A433,CLASSNAMEHEADERS,0))),(INDEX(ALLCLASSDATA,MATCH("AdvancedLegendary",CLASSFEATUREHEADERS,0),MATCH(($A433 &amp; "Points"),CLASSNAMEHEADERS,0))),(IF("00"=(INDEX(ALLCLASSDATA,MATCH("AdvancedMaster",CLASSFEATUREHEADERS,0),MATCH($A433,CLASSNAMEHEADERS,0))),(INDEX(ALLCLASSDATA,MATCH("AdvancedMaster",CLASSFEATUREHEADERS,0),MATCH(($A433 &amp; "Points"),CLASSNAMEHEADERS,0))),(IF("00"=(INDEX(ALLCLASSDATA,MATCH("AdvancedExpert",CLASSFEATUREHEADERS,0),MATCH($A433,CLASSNAMEHEADERS,0))),(INDEX(ALLCLASSDATA,MATCH("AdvancedExpert",CLASSFEATUREHEADERS,0),MATCH(($A433 &amp; "Points"),CLASSNAMEHEADERS,0))),(IF("00"=(INDEX(ALLCLASSDATA,MATCH("AdvancedTrained",CLASSFEATUREHEADERS,0),MATCH($A433,CLASSNAMEHEADERS,0))),(INDEX(ALLCLASSDATA,MATCH("AdvancedTrained",CLASSFEATUREHEADERS,0),MATCH(($A433 &amp; "Points"),CLASSNAMEHEADERS,0))),"")))))))))}</f>
        <v>ADVANCEDINITIALPTS</v>
      </c>
      <c r="G432" s="223" t="str">
        <f t="array" ref="G432:G433">{"ADVANCEDL01";((IF("01"=(INDEX(ALLCLASSDATA,MATCH("AdvancedLegendary",CLASSFEATUREHEADERS,0),MATCH($A433,CLASSNAMEHEADERS,0))),(INDEX(ALLCLASSDATA,MATCH("AdvancedLegendary",CLASSFEATUREHEADERS,0),MATCH(($A433 &amp; "Points"),CLASSNAMEHEADERS,0))),(IF("01"=(INDEX(ALLCLASSDATA,MATCH("AdvancedMaster",CLASSFEATUREHEADERS,0),MATCH($A433,CLASSNAMEHEADERS,0))),(INDEX(ALLCLASSDATA,MATCH("AdvancedMaster",CLASSFEATUREHEADERS,0),MATCH(($A433 &amp; "Points"),CLASSNAMEHEADERS,0))),(IF("01"=(INDEX(ALLCLASSDATA,MATCH("AdvancedExpert",CLASSFEATUREHEADERS,0),MATCH($A433,CLASSNAMEHEADERS,0))),(INDEX(ALLCLASSDATA,MATCH("AdvancedExpert",CLASSFEATUREHEADERS,0),MATCH(($A433 &amp; "Points"),CLASSNAMEHEADERS,0))),(IF("01"=(INDEX(ALLCLASSDATA,MATCH("AdvancedTrained",CLASSFEATUREHEADERS,0),MATCH($A433,CLASSNAMEHEADERS,0))),(INDEX(ALLCLASSDATA,MATCH("AdvancedTrained",CLASSFEATUREHEADERS,0),MATCH(($A433 &amp; "Points"),CLASSNAMEHEADERS,0))),"")))))))))}</f>
        <v>ADVANCEDL01</v>
      </c>
      <c r="H432" s="223"/>
      <c r="I432" s="223" t="str">
        <f t="array" ref="I432:I433">{"ADVANCEDL03";((IF("03"=(INDEX(ALLCLASSDATA,MATCH("AdvancedLegendary",CLASSFEATUREHEADERS,0),MATCH($A433,CLASSNAMEHEADERS,0))),(INDEX(ALLCLASSDATA,MATCH("AdvancedLegendary",CLASSFEATUREHEADERS,0),MATCH(($A433 &amp; "Points"),CLASSNAMEHEADERS,0))),(IF("03"=(INDEX(ALLCLASSDATA,MATCH("AdvancedMaster",CLASSFEATUREHEADERS,0),MATCH($A433,CLASSNAMEHEADERS,0))),(INDEX(ALLCLASSDATA,MATCH("AdvancedMaster",CLASSFEATUREHEADERS,0),MATCH(($A433 &amp; "Points"),CLASSNAMEHEADERS,0))),(IF("03"=(INDEX(ALLCLASSDATA,MATCH("AdvancedExpert",CLASSFEATUREHEADERS,0),MATCH($A433,CLASSNAMEHEADERS,0))),(INDEX(ALLCLASSDATA,MATCH("AdvancedExpert",CLASSFEATUREHEADERS,0),MATCH(($A433 &amp; "Points"),CLASSNAMEHEADERS,0))),(IF("03"=(INDEX(ALLCLASSDATA,MATCH("AdvancedTrained",CLASSFEATUREHEADERS,0),MATCH($A433,CLASSNAMEHEADERS,0))),(INDEX(ALLCLASSDATA,MATCH("AdvancedTrained",CLASSFEATUREHEADERS,0),MATCH(($A433 &amp; "Points"),CLASSNAMEHEADERS,0))),"")))))))))}</f>
        <v>ADVANCEDL03</v>
      </c>
      <c r="J432" s="223"/>
      <c r="K432" s="223" t="str">
        <f t="array" ref="K432:K433">{"ADVANCEDL05";((IF("05"=(INDEX(ALLCLASSDATA,MATCH("AdvancedLegendary",CLASSFEATUREHEADERS,0),MATCH($A433,CLASSNAMEHEADERS,0))),(INDEX(ALLCLASSDATA,MATCH("AdvancedLegendary",CLASSFEATUREHEADERS,0),MATCH(($A433 &amp; "Points"),CLASSNAMEHEADERS,0))),(IF("05"=(INDEX(ALLCLASSDATA,MATCH("AdvancedMaster",CLASSFEATUREHEADERS,0),MATCH($A433,CLASSNAMEHEADERS,0))),(INDEX(ALLCLASSDATA,MATCH("AdvancedMaster",CLASSFEATUREHEADERS,0),MATCH(($A433 &amp; "Points"),CLASSNAMEHEADERS,0))),(IF("05"=(INDEX(ALLCLASSDATA,MATCH("AdvancedExpert",CLASSFEATUREHEADERS,0),MATCH($A433,CLASSNAMEHEADERS,0))),(INDEX(ALLCLASSDATA,MATCH("AdvancedExpert",CLASSFEATUREHEADERS,0),MATCH(($A433 &amp; "Points"),CLASSNAMEHEADERS,0))),(IF("05"=(INDEX(ALLCLASSDATA,MATCH("AdvancedTrained",CLASSFEATUREHEADERS,0),MATCH($A433,CLASSNAMEHEADERS,0))),(INDEX(ALLCLASSDATA,MATCH("AdvancedTrained",CLASSFEATUREHEADERS,0),MATCH(($A433 &amp; "Points"),CLASSNAMEHEADERS,0))),"")))))))))}</f>
        <v>ADVANCEDL05</v>
      </c>
      <c r="L432" s="223"/>
      <c r="M432" s="223" t="str">
        <f t="array" ref="M432:M433">{"ADVANCEDL07";((IF("07"=(INDEX(ALLCLASSDATA,MATCH("AdvancedLegendary",CLASSFEATUREHEADERS,0),MATCH($A433,CLASSNAMEHEADERS,0))),(INDEX(ALLCLASSDATA,MATCH("AdvancedLegendary",CLASSFEATUREHEADERS,0),MATCH(($A433 &amp; "Points"),CLASSNAMEHEADERS,0))),(IF("07"=(INDEX(ALLCLASSDATA,MATCH("AdvancedMaster",CLASSFEATUREHEADERS,0),MATCH($A433,CLASSNAMEHEADERS,0))),(INDEX(ALLCLASSDATA,MATCH("AdvancedMaster",CLASSFEATUREHEADERS,0),MATCH(($A433 &amp; "Points"),CLASSNAMEHEADERS,0))),(IF("07"=(INDEX(ALLCLASSDATA,MATCH("AdvancedExpert",CLASSFEATUREHEADERS,0),MATCH($A433,CLASSNAMEHEADERS,0))),(INDEX(ALLCLASSDATA,MATCH("AdvancedExpert",CLASSFEATUREHEADERS,0),MATCH(($A433 &amp; "Points"),CLASSNAMEHEADERS,0))),(IF("07"=(INDEX(ALLCLASSDATA,MATCH("AdvancedTrained",CLASSFEATUREHEADERS,0),MATCH($A433,CLASSNAMEHEADERS,0))),(INDEX(ALLCLASSDATA,MATCH("AdvancedTrained",CLASSFEATUREHEADERS,0),MATCH(($A433 &amp; "Points"),CLASSNAMEHEADERS,0))),"")))))))))}</f>
        <v>ADVANCEDL07</v>
      </c>
      <c r="N432" s="223"/>
      <c r="O432" s="223" t="str">
        <f t="array" ref="O432:O433">{"ADVANCEDL09";((IF("09"=(INDEX(ALLCLASSDATA,MATCH("AdvancedLegendary",CLASSFEATUREHEADERS,0),MATCH($A433,CLASSNAMEHEADERS,0))),(INDEX(ALLCLASSDATA,MATCH("AdvancedLegendary",CLASSFEATUREHEADERS,0),MATCH(($A433 &amp; "Points"),CLASSNAMEHEADERS,0))),(IF("09"=(INDEX(ALLCLASSDATA,MATCH("AdvancedMaster",CLASSFEATUREHEADERS,0),MATCH($A433,CLASSNAMEHEADERS,0))),(INDEX(ALLCLASSDATA,MATCH("AdvancedMaster",CLASSFEATUREHEADERS,0),MATCH(($A433 &amp; "Points"),CLASSNAMEHEADERS,0))),(IF("09"=(INDEX(ALLCLASSDATA,MATCH("AdvancedExpert",CLASSFEATUREHEADERS,0),MATCH($A433,CLASSNAMEHEADERS,0))),(INDEX(ALLCLASSDATA,MATCH("AdvancedExpert",CLASSFEATUREHEADERS,0),MATCH(($A433 &amp; "Points"),CLASSNAMEHEADERS,0))),(IF("09"=(INDEX(ALLCLASSDATA,MATCH("AdvancedTrained",CLASSFEATUREHEADERS,0),MATCH($A433,CLASSNAMEHEADERS,0))),(INDEX(ALLCLASSDATA,MATCH("AdvancedTrained",CLASSFEATUREHEADERS,0),MATCH(($A433 &amp; "Points"),CLASSNAMEHEADERS,0))),"")))))))))}</f>
        <v>ADVANCEDL09</v>
      </c>
      <c r="P432" s="223"/>
      <c r="Q432" s="223" t="str">
        <f t="array" ref="Q432:Q433">{"ADVANCEDL11";((IF("11"=(INDEX(ALLCLASSDATA,MATCH("AdvancedLegendary",CLASSFEATUREHEADERS,0),MATCH($A433,CLASSNAMEHEADERS,0))),(INDEX(ALLCLASSDATA,MATCH("AdvancedLegendary",CLASSFEATUREHEADERS,0),MATCH(($A433 &amp; "Points"),CLASSNAMEHEADERS,0))),(IF("11"=(INDEX(ALLCLASSDATA,MATCH("AdvancedMaster",CLASSFEATUREHEADERS,0),MATCH($A433,CLASSNAMEHEADERS,0))),(INDEX(ALLCLASSDATA,MATCH("AdvancedMaster",CLASSFEATUREHEADERS,0),MATCH(($A433 &amp; "Points"),CLASSNAMEHEADERS,0))),(IF("11"=(INDEX(ALLCLASSDATA,MATCH("AdvancedExpert",CLASSFEATUREHEADERS,0),MATCH($A433,CLASSNAMEHEADERS,0))),(INDEX(ALLCLASSDATA,MATCH("AdvancedExpert",CLASSFEATUREHEADERS,0),MATCH(($A433 &amp; "Points"),CLASSNAMEHEADERS,0))),(IF("11"=(INDEX(ALLCLASSDATA,MATCH("AdvancedTrained",CLASSFEATUREHEADERS,0),MATCH($A433,CLASSNAMEHEADERS,0))),(INDEX(ALLCLASSDATA,MATCH("AdvancedTrained",CLASSFEATUREHEADERS,0),MATCH(($A433 &amp; "Points"),CLASSNAMEHEADERS,0))),"")))))))))}</f>
        <v>ADVANCEDL11</v>
      </c>
      <c r="R432" s="223"/>
      <c r="S432" s="223" t="str">
        <f t="array" ref="S432:S433">{"ADVANCEDL13";((IF("13"=(INDEX(ALLCLASSDATA,MATCH("AdvancedLegendary",CLASSFEATUREHEADERS,0),MATCH($A433,CLASSNAMEHEADERS,0))),(INDEX(ALLCLASSDATA,MATCH("AdvancedLegendary",CLASSFEATUREHEADERS,0),MATCH(($A433 &amp; "Points"),CLASSNAMEHEADERS,0))),(IF("13"=(INDEX(ALLCLASSDATA,MATCH("AdvancedMaster",CLASSFEATUREHEADERS,0),MATCH($A433,CLASSNAMEHEADERS,0))),(INDEX(ALLCLASSDATA,MATCH("AdvancedMaster",CLASSFEATUREHEADERS,0),MATCH(($A433 &amp; "Points"),CLASSNAMEHEADERS,0))),(IF("13"=(INDEX(ALLCLASSDATA,MATCH("AdvancedExpert",CLASSFEATUREHEADERS,0),MATCH($A433,CLASSNAMEHEADERS,0))),(INDEX(ALLCLASSDATA,MATCH("AdvancedExpert",CLASSFEATUREHEADERS,0),MATCH(($A433 &amp; "Points"),CLASSNAMEHEADERS,0))),(IF("13"=(INDEX(ALLCLASSDATA,MATCH("AdvancedTrained",CLASSFEATUREHEADERS,0),MATCH($A433,CLASSNAMEHEADERS,0))),(INDEX(ALLCLASSDATA,MATCH("AdvancedTrained",CLASSFEATUREHEADERS,0),MATCH(($A433 &amp; "Points"),CLASSNAMEHEADERS,0))),"")))))))))}</f>
        <v>ADVANCEDL13</v>
      </c>
      <c r="T432" s="223"/>
      <c r="U432" s="223" t="str">
        <f t="array" ref="U432:U433">{"ADVANCEDL15";((IF("15"=(INDEX(ALLCLASSDATA,MATCH("AdvancedLegendary",CLASSFEATUREHEADERS,0),MATCH($A433,CLASSNAMEHEADERS,0))),(INDEX(ALLCLASSDATA,MATCH("AdvancedLegendary",CLASSFEATUREHEADERS,0),MATCH(($A433 &amp; "Points"),CLASSNAMEHEADERS,0))),(IF("15"=(INDEX(ALLCLASSDATA,MATCH("AdvancedMaster",CLASSFEATUREHEADERS,0),MATCH($A433,CLASSNAMEHEADERS,0))),(INDEX(ALLCLASSDATA,MATCH("AdvancedMaster",CLASSFEATUREHEADERS,0),MATCH(($A433 &amp; "Points"),CLASSNAMEHEADERS,0))),(IF("15"=(INDEX(ALLCLASSDATA,MATCH("AdvancedExpert",CLASSFEATUREHEADERS,0),MATCH($A433,CLASSNAMEHEADERS,0))),(INDEX(ALLCLASSDATA,MATCH("AdvancedExpert",CLASSFEATUREHEADERS,0),MATCH(($A433 &amp; "Points"),CLASSNAMEHEADERS,0))),(IF("15"=(INDEX(ALLCLASSDATA,MATCH("AdvancedTrained",CLASSFEATUREHEADERS,0),MATCH($A433,CLASSNAMEHEADERS,0))),(INDEX(ALLCLASSDATA,MATCH("AdvancedTrained",CLASSFEATUREHEADERS,0),MATCH(($A433 &amp; "Points"),CLASSNAMEHEADERS,0))),"")))))))))}</f>
        <v>ADVANCEDL15</v>
      </c>
      <c r="V432" s="223"/>
      <c r="W432" s="223" t="str">
        <f t="array" ref="W432:W433">{"ADVANCEDL17";((IF("17"=(INDEX(ALLCLASSDATA,MATCH("AdvancedLegendary",CLASSFEATUREHEADERS,0),MATCH($A433,CLASSNAMEHEADERS,0))),(INDEX(ALLCLASSDATA,MATCH("AdvancedLegendary",CLASSFEATUREHEADERS,0),MATCH(($A433 &amp; "Points"),CLASSNAMEHEADERS,0))),(IF("17"=(INDEX(ALLCLASSDATA,MATCH("AdvancedMaster",CLASSFEATUREHEADERS,0),MATCH($A433,CLASSNAMEHEADERS,0))),(INDEX(ALLCLASSDATA,MATCH("AdvancedMaster",CLASSFEATUREHEADERS,0),MATCH(($A433 &amp; "Points"),CLASSNAMEHEADERS,0))),(IF("17"=(INDEX(ALLCLASSDATA,MATCH("AdvancedExpert",CLASSFEATUREHEADERS,0),MATCH($A433,CLASSNAMEHEADERS,0))),(INDEX(ALLCLASSDATA,MATCH("AdvancedExpert",CLASSFEATUREHEADERS,0),MATCH(($A433 &amp; "Points"),CLASSNAMEHEADERS,0))),(IF("17"=(INDEX(ALLCLASSDATA,MATCH("AdvancedTrained",CLASSFEATUREHEADERS,0),MATCH($A433,CLASSNAMEHEADERS,0))),(INDEX(ALLCLASSDATA,MATCH("AdvancedTrained",CLASSFEATUREHEADERS,0),MATCH(($A433 &amp; "Points"),CLASSNAMEHEADERS,0))),"")))))))))}</f>
        <v>ADVANCEDL17</v>
      </c>
      <c r="X432" s="223"/>
      <c r="Y432" s="223" t="str">
        <f t="array" ref="Y432:Y433">{"ADVANCEDL19";((IF("19"=(INDEX(ALLCLASSDATA,MATCH("AdvancedLegendary",CLASSFEATUREHEADERS,0),MATCH($A433,CLASSNAMEHEADERS,0))),(INDEX(ALLCLASSDATA,MATCH("AdvancedLegendary",CLASSFEATUREHEADERS,0),MATCH(($A433 &amp; "Points"),CLASSNAMEHEADERS,0))),(IF("19"=(INDEX(ALLCLASSDATA,MATCH("AdvancedMaster",CLASSFEATUREHEADERS,0),MATCH($A433,CLASSNAMEHEADERS,0))),(INDEX(ALLCLASSDATA,MATCH("AdvancedMaster",CLASSFEATUREHEADERS,0),MATCH(($A433 &amp; "Points"),CLASSNAMEHEADERS,0))),(IF("19"=(INDEX(ALLCLASSDATA,MATCH("AdvancedExpert",CLASSFEATUREHEADERS,0),MATCH($A433,CLASSNAMEHEADERS,0))),(INDEX(ALLCLASSDATA,MATCH("AdvancedExpert",CLASSFEATUREHEADERS,0),MATCH(($A433 &amp; "Points"),CLASSNAMEHEADERS,0))),(IF("19"=(INDEX(ALLCLASSDATA,MATCH("AdvancedTrained",CLASSFEATUREHEADERS,0),MATCH($A433,CLASSNAMEHEADERS,0))),(INDEX(ALLCLASSDATA,MATCH("AdvancedTrained",CLASSFEATUREHEADERS,0),MATCH(($A433 &amp; "Points"),CLASSNAMEHEADERS,0))),"")))))))))}</f>
        <v>ADVANCEDL19</v>
      </c>
      <c r="Z432" s="223"/>
      <c r="AA432" s="76" t="str">
        <f t="array" ref="AA432:AA433">{"ADVANCED TOTAL";(IF(COUNTBLANK(F433:Z433)=17,"L",(IF(COUNTBLANK(F433:Z433)=18,"M",(IF(COUNTBLANK(F433:Z433)=19,"E",(IF(COUNTBLANK(F433:Z433)=20,"T",""))))))))}</f>
        <v>ADVANCED TOTAL</v>
      </c>
      <c r="AB432" s="76" t="str">
        <f t="array" ref="AB432:AB433">{"ADVANCED TOTAL";(sum(F433:Z433))}</f>
        <v>ADVANCED TOTAL</v>
      </c>
    </row>
    <row r="433">
      <c r="A433" s="48" t="s">
        <v>231</v>
      </c>
      <c r="B433" s="48" t="s">
        <v>418</v>
      </c>
      <c r="C433" s="97" t="s">
        <v>1634</v>
      </c>
      <c r="D433" s="97" t="s">
        <v>602</v>
      </c>
      <c r="E433" s="98" t="s">
        <v>603</v>
      </c>
      <c r="F433" s="132" t="s">
        <v>603</v>
      </c>
      <c r="G433" s="98" t="s">
        <v>603</v>
      </c>
      <c r="H433" s="98"/>
      <c r="I433" s="98" t="s">
        <v>603</v>
      </c>
      <c r="J433" s="98"/>
      <c r="K433" s="98" t="s">
        <v>603</v>
      </c>
      <c r="L433" s="98"/>
      <c r="M433" s="98" t="s">
        <v>603</v>
      </c>
      <c r="N433" s="98"/>
      <c r="O433" s="98" t="s">
        <v>603</v>
      </c>
      <c r="P433" s="98"/>
      <c r="Q433" s="98" t="s">
        <v>603</v>
      </c>
      <c r="R433" s="98"/>
      <c r="S433" s="98" t="s">
        <v>603</v>
      </c>
      <c r="T433" s="98"/>
      <c r="U433" s="98" t="s">
        <v>603</v>
      </c>
      <c r="V433" s="98"/>
      <c r="W433" s="98" t="s">
        <v>603</v>
      </c>
      <c r="X433" s="98"/>
      <c r="Y433" s="98" t="s">
        <v>603</v>
      </c>
      <c r="Z433" s="98"/>
      <c r="AA433" s="5" t="s">
        <v>603</v>
      </c>
      <c r="AB433" s="47">
        <v>0.0</v>
      </c>
    </row>
    <row r="434" hidden="1">
      <c r="A434" s="222" t="str">
        <f t="array" ref="A434:A435">{"FormulaRow34";(INDEX(CLASSLIST,A367,1))}</f>
        <v>FormulaRow34</v>
      </c>
      <c r="B434" s="222" t="str">
        <f t="array" ref="B434:B435">{"CLASSTYPE";((INDEX(ALLCLASSDATA,MATCH("ClassType",CLASSFEATUREHEADERS,0),MATCH($A435,CLASSNAMEHEADERS,0))))}</f>
        <v>CLASSTYPE</v>
      </c>
      <c r="C434" s="222" t="str">
        <f t="array" ref="C434:C435">{"DEFENSE";"Defense"}</f>
        <v>DEFENSE</v>
      </c>
      <c r="D434" s="222" t="str">
        <f t="array" ref="D434:D435">{"ARMORSPECIAL";"ArmorAS"}</f>
        <v>ARMORSPECIAL</v>
      </c>
      <c r="E434" s="223"/>
      <c r="F434" s="223"/>
      <c r="G434" s="223" t="str">
        <f t="array" ref="G434:G435">{"ARMORSPECIALL01";((IF("01"=INDEX(ALLCLASSDATA,MATCH("ArmorSpecialization",CLASSFEATUREHEADERS,0),MATCH($A435,CLASSNAMEHEADERS,0)),ArmorAS,"")))}</f>
        <v>ARMORSPECIALL01</v>
      </c>
      <c r="H434" s="223"/>
      <c r="I434" s="223" t="str">
        <f t="array" ref="I434:I435">{"ARMORSPECIALL03";((IF("03"=INDEX(ALLCLASSDATA,MATCH("ArmorSpecialization",CLASSFEATUREHEADERS,0),MATCH($A435,CLASSNAMEHEADERS,0)),ArmorAS,"")))}</f>
        <v>ARMORSPECIALL03</v>
      </c>
      <c r="J434" s="223"/>
      <c r="K434" s="223" t="str">
        <f t="array" ref="K434:K435">{"ARMORSPECIALL05";((IF("05"=INDEX(ALLCLASSDATA,MATCH("ArmorSpecialization",CLASSFEATUREHEADERS,0),MATCH($A435,CLASSNAMEHEADERS,0)),ArmorAS,"")))}</f>
        <v>ARMORSPECIALL05</v>
      </c>
      <c r="L434" s="223"/>
      <c r="M434" s="223" t="str">
        <f t="array" ref="M434:M435">{"ARMORSPECIALL07";((IF("07"=INDEX(ALLCLASSDATA,MATCH("ArmorSpecialization",CLASSFEATUREHEADERS,0),MATCH($A435,CLASSNAMEHEADERS,0)),ArmorAS,"")))}</f>
        <v>ARMORSPECIALL07</v>
      </c>
      <c r="N434" s="223"/>
      <c r="O434" s="223" t="str">
        <f t="array" ref="O434:O435">{"ARMORSPECIALL09";((IF("09"=INDEX(ALLCLASSDATA,MATCH("ArmorSpecialization",CLASSFEATUREHEADERS,0),MATCH($A435,CLASSNAMEHEADERS,0)),ArmorAS,"")))}</f>
        <v>ARMORSPECIALL09</v>
      </c>
      <c r="P434" s="223"/>
      <c r="Q434" s="223" t="str">
        <f t="array" ref="Q434:Q435">{"ARMORSPECIALL11";((IF("11"=INDEX(ALLCLASSDATA,MATCH("ArmorSpecialization",CLASSFEATUREHEADERS,0),MATCH($A435,CLASSNAMEHEADERS,0)),ArmorAS,"")))}</f>
        <v>ARMORSPECIALL11</v>
      </c>
      <c r="R434" s="223"/>
      <c r="S434" s="223" t="str">
        <f t="array" ref="S434:S435">{"ARMORSPECIALL13";((IF("13"=INDEX(ALLCLASSDATA,MATCH("ArmorSpecialization",CLASSFEATUREHEADERS,0),MATCH($A435,CLASSNAMEHEADERS,0)),ArmorAS,"")))}</f>
        <v>ARMORSPECIALL13</v>
      </c>
      <c r="T434" s="223"/>
      <c r="U434" s="223" t="str">
        <f t="array" ref="U434:U435">{"ARMORSPECIALL15";((IF("15"=INDEX(ALLCLASSDATA,MATCH("ArmorSpecialization",CLASSFEATUREHEADERS,0),MATCH($A435,CLASSNAMEHEADERS,0)),ArmorAS,"")))}</f>
        <v>ARMORSPECIALL15</v>
      </c>
      <c r="V434" s="223"/>
      <c r="W434" s="223" t="str">
        <f t="array" ref="W434:W435">{"ARMORSPECIALL17";((IF("17"=INDEX(ALLCLASSDATA,MATCH("ArmorSpecialization",CLASSFEATUREHEADERS,0),MATCH($A435,CLASSNAMEHEADERS,0)),ArmorAS,"")))}</f>
        <v>ARMORSPECIALL17</v>
      </c>
      <c r="X434" s="223"/>
      <c r="Y434" s="223" t="str">
        <f t="array" ref="Y434:Y435">{"ARMORSPECIALL19";((IF("19"=INDEX(ALLCLASSDATA,MATCH("ArmorSpecialization",CLASSFEATUREHEADERS,0),MATCH($A435,CLASSNAMEHEADERS,0)),ArmorAS,"")))}</f>
        <v>ARMORSPECIALL19</v>
      </c>
      <c r="Z434" s="223"/>
      <c r="AA434" s="76"/>
      <c r="AB434" s="76" t="str">
        <f t="array" ref="AB434:AB435">{"ARMORSPECIAL TOTAL";(sum(F435:Z435))}</f>
        <v>ARMORSPECIAL TOTAL</v>
      </c>
    </row>
    <row r="435">
      <c r="A435" s="48" t="s">
        <v>231</v>
      </c>
      <c r="B435" s="48" t="s">
        <v>418</v>
      </c>
      <c r="C435" s="48" t="s">
        <v>1900</v>
      </c>
      <c r="D435" s="48" t="s">
        <v>51</v>
      </c>
      <c r="E435" s="5"/>
      <c r="F435" s="47"/>
      <c r="G435" s="5" t="s">
        <v>603</v>
      </c>
      <c r="H435" s="5"/>
      <c r="I435" s="5" t="s">
        <v>603</v>
      </c>
      <c r="J435" s="5"/>
      <c r="K435" s="5" t="s">
        <v>603</v>
      </c>
      <c r="L435" s="5"/>
      <c r="M435" s="5" t="s">
        <v>603</v>
      </c>
      <c r="N435" s="5"/>
      <c r="O435" s="5" t="s">
        <v>603</v>
      </c>
      <c r="P435" s="5"/>
      <c r="Q435" s="5" t="s">
        <v>603</v>
      </c>
      <c r="R435" s="5"/>
      <c r="S435" s="5" t="s">
        <v>603</v>
      </c>
      <c r="T435" s="5"/>
      <c r="U435" s="5" t="s">
        <v>603</v>
      </c>
      <c r="V435" s="5"/>
      <c r="W435" s="5" t="s">
        <v>603</v>
      </c>
      <c r="X435" s="5"/>
      <c r="Y435" s="5" t="s">
        <v>603</v>
      </c>
      <c r="Z435" s="5"/>
      <c r="AA435" s="5"/>
      <c r="AB435" s="47">
        <v>0.0</v>
      </c>
    </row>
    <row r="436" hidden="1">
      <c r="A436" s="222" t="str">
        <f t="array" ref="A436:A437">{"FormulaRow35";(INDEX(CLASSLIST,A367,1))}</f>
        <v>FormulaRow35</v>
      </c>
      <c r="B436" s="222" t="str">
        <f t="array" ref="B436:B437">{"CLASSTYPE";((INDEX(ALLCLASSDATA,MATCH("ClassType",CLASSFEATUREHEADERS,0),MATCH($A437,CLASSNAMEHEADERS,0))))}</f>
        <v>CLASSTYPE</v>
      </c>
      <c r="C436" s="222" t="str">
        <f t="array" ref="C436:C437">{"DEFENSE";"Defense"}</f>
        <v>DEFENSE</v>
      </c>
      <c r="D436" s="222" t="str">
        <f t="array" ref="D436:D437">{"UNARMORED";"Unarmored"}</f>
        <v>UNARMORED</v>
      </c>
      <c r="E436" s="223" t="str">
        <f t="array" ref="E436:E437">{"UNARMOREDINITIAL";((IF(G437=10,"T",(IF(G437=50,"E","")))))}</f>
        <v>UNARMOREDINITIAL</v>
      </c>
      <c r="F436" s="223" t="str">
        <f t="array" ref="F436:F437">{"UNARMOREDINITIALPTS";((IF("00"=(INDEX(ALLCLASSDATA,MATCH("UnarmoredLegendary",CLASSFEATUREHEADERS,0),MATCH($A437,CLASSNAMEHEADERS,0))),(INDEX(ALLCLASSDATA,MATCH("UnarmoredLegendary",CLASSFEATUREHEADERS,0),MATCH(($A437 &amp; "Points"),CLASSNAMEHEADERS,0))),(IF("00"=(INDEX(ALLCLASSDATA,MATCH("UnarmoredMaster",CLASSFEATUREHEADERS,0),MATCH($A437,CLASSNAMEHEADERS,0))),(INDEX(ALLCLASSDATA,MATCH("UnarmoredMaster",CLASSFEATUREHEADERS,0),MATCH(($A437 &amp; "Points"),CLASSNAMEHEADERS,0))),(IF("00"=(INDEX(ALLCLASSDATA,MATCH("UnarmoredExpert",CLASSFEATUREHEADERS,0),MATCH($A437,CLASSNAMEHEADERS,0))),(INDEX(ALLCLASSDATA,MATCH("UnarmoredExpert",CLASSFEATUREHEADERS,0),MATCH(($A437 &amp; "Points"),CLASSNAMEHEADERS,0))),(IF("00"=(INDEX(ALLCLASSDATA,MATCH("UnarmoredTrained",CLASSFEATUREHEADERS,0),MATCH($A437,CLASSNAMEHEADERS,0))),(INDEX(ALLCLASSDATA,MATCH("UnarmoredTrained",CLASSFEATUREHEADERS,0),MATCH(($A437 &amp; "Points"),CLASSNAMEHEADERS,0))),"")))))))))}</f>
        <v>UNARMOREDINITIALPTS</v>
      </c>
      <c r="G436" s="223" t="str">
        <f t="array" ref="G436:G437">{"UNARMOREDL01";((IF("01"=(INDEX(ALLCLASSDATA,MATCH("UnarmoredLegendary",CLASSFEATUREHEADERS,0),MATCH($A437,CLASSNAMEHEADERS,0))),(INDEX(ALLCLASSDATA,MATCH("UnarmoredLegendary",CLASSFEATUREHEADERS,0),MATCH(($A437 &amp; "Points"),CLASSNAMEHEADERS,0))),(IF("01"=(INDEX(ALLCLASSDATA,MATCH("UnarmoredMaster",CLASSFEATUREHEADERS,0),MATCH($A437,CLASSNAMEHEADERS,0))),(INDEX(ALLCLASSDATA,MATCH("UnarmoredMaster",CLASSFEATUREHEADERS,0),MATCH(($A437 &amp; "Points"),CLASSNAMEHEADERS,0))),(IF("01"=(INDEX(ALLCLASSDATA,MATCH("UnarmoredExpert",CLASSFEATUREHEADERS,0),MATCH($A437,CLASSNAMEHEADERS,0))),(INDEX(ALLCLASSDATA,MATCH("UnarmoredExpert",CLASSFEATUREHEADERS,0),MATCH(($A437 &amp; "Points"),CLASSNAMEHEADERS,0))),(IF("01"=(INDEX(ALLCLASSDATA,MATCH("UnarmoredTrained",CLASSFEATUREHEADERS,0),MATCH($A437,CLASSNAMEHEADERS,0))),(INDEX(ALLCLASSDATA,MATCH("UnarmoredTrained",CLASSFEATUREHEADERS,0),MATCH(($A437 &amp; "Points"),CLASSNAMEHEADERS,0))),"")))))))))}</f>
        <v>UNARMOREDL01</v>
      </c>
      <c r="H436" s="223"/>
      <c r="I436" s="223" t="str">
        <f t="array" ref="I436:I437">{"UNARMOREDL03";((IF("03"=(INDEX(ALLCLASSDATA,MATCH("UnarmoredLegendary",CLASSFEATUREHEADERS,0),MATCH($A437,CLASSNAMEHEADERS,0))),(INDEX(ALLCLASSDATA,MATCH("UnarmoredLegendary",CLASSFEATUREHEADERS,0),MATCH(($A437 &amp; "Points"),CLASSNAMEHEADERS,0))),(IF("03"=(INDEX(ALLCLASSDATA,MATCH("UnarmoredMaster",CLASSFEATUREHEADERS,0),MATCH($A437,CLASSNAMEHEADERS,0))),(INDEX(ALLCLASSDATA,MATCH("UnarmoredMaster",CLASSFEATUREHEADERS,0),MATCH(($A437 &amp; "Points"),CLASSNAMEHEADERS,0))),(IF("03"=(INDEX(ALLCLASSDATA,MATCH("UnarmoredExpert",CLASSFEATUREHEADERS,0),MATCH($A437,CLASSNAMEHEADERS,0))),(INDEX(ALLCLASSDATA,MATCH("UnarmoredExpert",CLASSFEATUREHEADERS,0),MATCH(($A437 &amp; "Points"),CLASSNAMEHEADERS,0))),(IF("03"=(INDEX(ALLCLASSDATA,MATCH("UnarmoredTrained",CLASSFEATUREHEADERS,0),MATCH($A437,CLASSNAMEHEADERS,0))),(INDEX(ALLCLASSDATA,MATCH("UnarmoredTrained",CLASSFEATUREHEADERS,0),MATCH(($A437 &amp; "Points"),CLASSNAMEHEADERS,0))),"")))))))))}</f>
        <v>UNARMOREDL03</v>
      </c>
      <c r="J436" s="223"/>
      <c r="K436" s="223" t="str">
        <f t="array" ref="K436:K437">{"UNARMOREDL05";((IF("05"=(INDEX(ALLCLASSDATA,MATCH("UnarmoredLegendary",CLASSFEATUREHEADERS,0),MATCH($A437,CLASSNAMEHEADERS,0))),(INDEX(ALLCLASSDATA,MATCH("UnarmoredLegendary",CLASSFEATUREHEADERS,0),MATCH(($A437 &amp; "Points"),CLASSNAMEHEADERS,0))),(IF("05"=(INDEX(ALLCLASSDATA,MATCH("UnarmoredMaster",CLASSFEATUREHEADERS,0),MATCH($A437,CLASSNAMEHEADERS,0))),(INDEX(ALLCLASSDATA,MATCH("UnarmoredMaster",CLASSFEATUREHEADERS,0),MATCH(($A437 &amp; "Points"),CLASSNAMEHEADERS,0))),(IF("05"=(INDEX(ALLCLASSDATA,MATCH("UnarmoredExpert",CLASSFEATUREHEADERS,0),MATCH($A437,CLASSNAMEHEADERS,0))),(INDEX(ALLCLASSDATA,MATCH("UnarmoredExpert",CLASSFEATUREHEADERS,0),MATCH(($A437 &amp; "Points"),CLASSNAMEHEADERS,0))),(IF("05"=(INDEX(ALLCLASSDATA,MATCH("UnarmoredTrained",CLASSFEATUREHEADERS,0),MATCH($A437,CLASSNAMEHEADERS,0))),(INDEX(ALLCLASSDATA,MATCH("UnarmoredTrained",CLASSFEATUREHEADERS,0),MATCH(($A437 &amp; "Points"),CLASSNAMEHEADERS,0))),"")))))))))}</f>
        <v>UNARMOREDL05</v>
      </c>
      <c r="L436" s="223"/>
      <c r="M436" s="223" t="str">
        <f t="array" ref="M436:M437">{"UNARMOREDL07";((IF("07"=(INDEX(ALLCLASSDATA,MATCH("UnarmoredLegendary",CLASSFEATUREHEADERS,0),MATCH($A437,CLASSNAMEHEADERS,0))),(INDEX(ALLCLASSDATA,MATCH("UnarmoredLegendary",CLASSFEATUREHEADERS,0),MATCH(($A437 &amp; "Points"),CLASSNAMEHEADERS,0))),(IF("07"=(INDEX(ALLCLASSDATA,MATCH("UnarmoredMaster",CLASSFEATUREHEADERS,0),MATCH($A437,CLASSNAMEHEADERS,0))),(INDEX(ALLCLASSDATA,MATCH("UnarmoredMaster",CLASSFEATUREHEADERS,0),MATCH(($A437 &amp; "Points"),CLASSNAMEHEADERS,0))),(IF("07"=(INDEX(ALLCLASSDATA,MATCH("UnarmoredExpert",CLASSFEATUREHEADERS,0),MATCH($A437,CLASSNAMEHEADERS,0))),(INDEX(ALLCLASSDATA,MATCH("UnarmoredExpert",CLASSFEATUREHEADERS,0),MATCH(($A437 &amp; "Points"),CLASSNAMEHEADERS,0))),(IF("07"=(INDEX(ALLCLASSDATA,MATCH("UnarmoredTrained",CLASSFEATUREHEADERS,0),MATCH($A437,CLASSNAMEHEADERS,0))),(INDEX(ALLCLASSDATA,MATCH("UnarmoredTrained",CLASSFEATUREHEADERS,0),MATCH(($A437 &amp; "Points"),CLASSNAMEHEADERS,0))),"")))))))))}</f>
        <v>UNARMOREDL07</v>
      </c>
      <c r="N436" s="223"/>
      <c r="O436" s="223" t="str">
        <f t="array" ref="O436:O437">{"UNARMOREDL09";((IF("09"=(INDEX(ALLCLASSDATA,MATCH("UnarmoredLegendary",CLASSFEATUREHEADERS,0),MATCH($A437,CLASSNAMEHEADERS,0))),(INDEX(ALLCLASSDATA,MATCH("UnarmoredLegendary",CLASSFEATUREHEADERS,0),MATCH(($A437 &amp; "Points"),CLASSNAMEHEADERS,0))),(IF("09"=(INDEX(ALLCLASSDATA,MATCH("UnarmoredMaster",CLASSFEATUREHEADERS,0),MATCH($A437,CLASSNAMEHEADERS,0))),(INDEX(ALLCLASSDATA,MATCH("UnarmoredMaster",CLASSFEATUREHEADERS,0),MATCH(($A437 &amp; "Points"),CLASSNAMEHEADERS,0))),(IF("09"=(INDEX(ALLCLASSDATA,MATCH("UnarmoredExpert",CLASSFEATUREHEADERS,0),MATCH($A437,CLASSNAMEHEADERS,0))),(INDEX(ALLCLASSDATA,MATCH("UnarmoredExpert",CLASSFEATUREHEADERS,0),MATCH(($A437 &amp; "Points"),CLASSNAMEHEADERS,0))),(IF("09"=(INDEX(ALLCLASSDATA,MATCH("UnarmoredTrained",CLASSFEATUREHEADERS,0),MATCH($A437,CLASSNAMEHEADERS,0))),(INDEX(ALLCLASSDATA,MATCH("UnarmoredTrained",CLASSFEATUREHEADERS,0),MATCH(($A437 &amp; "Points"),CLASSNAMEHEADERS,0))),"")))))))))}</f>
        <v>UNARMOREDL09</v>
      </c>
      <c r="P436" s="223"/>
      <c r="Q436" s="223" t="str">
        <f t="array" ref="Q436:Q437">{"UNARMOREDL11";((IF("11"=(INDEX(ALLCLASSDATA,MATCH("UnarmoredLegendary",CLASSFEATUREHEADERS,0),MATCH($A437,CLASSNAMEHEADERS,0))),(INDEX(ALLCLASSDATA,MATCH("UnarmoredLegendary",CLASSFEATUREHEADERS,0),MATCH(($A437 &amp; "Points"),CLASSNAMEHEADERS,0))),(IF("11"=(INDEX(ALLCLASSDATA,MATCH("UnarmoredMaster",CLASSFEATUREHEADERS,0),MATCH($A437,CLASSNAMEHEADERS,0))),(INDEX(ALLCLASSDATA,MATCH("UnarmoredMaster",CLASSFEATUREHEADERS,0),MATCH(($A437 &amp; "Points"),CLASSNAMEHEADERS,0))),(IF("11"=(INDEX(ALLCLASSDATA,MATCH("UnarmoredExpert",CLASSFEATUREHEADERS,0),MATCH($A437,CLASSNAMEHEADERS,0))),(INDEX(ALLCLASSDATA,MATCH("UnarmoredExpert",CLASSFEATUREHEADERS,0),MATCH(($A437 &amp; "Points"),CLASSNAMEHEADERS,0))),(IF("11"=(INDEX(ALLCLASSDATA,MATCH("UnarmoredTrained",CLASSFEATUREHEADERS,0),MATCH($A437,CLASSNAMEHEADERS,0))),(INDEX(ALLCLASSDATA,MATCH("UnarmoredTrained",CLASSFEATUREHEADERS,0),MATCH(($A437 &amp; "Points"),CLASSNAMEHEADERS,0))),"")))))))))}</f>
        <v>UNARMOREDL11</v>
      </c>
      <c r="R436" s="223"/>
      <c r="S436" s="223" t="str">
        <f t="array" ref="S436:S437">{"UNARMOREDL13";((IF("13"=(INDEX(ALLCLASSDATA,MATCH("UnarmoredLegendary",CLASSFEATUREHEADERS,0),MATCH($A437,CLASSNAMEHEADERS,0))),(INDEX(ALLCLASSDATA,MATCH("UnarmoredLegendary",CLASSFEATUREHEADERS,0),MATCH(($A437 &amp; "Points"),CLASSNAMEHEADERS,0))),(IF("13"=(INDEX(ALLCLASSDATA,MATCH("UnarmoredMaster",CLASSFEATUREHEADERS,0),MATCH($A437,CLASSNAMEHEADERS,0))),(INDEX(ALLCLASSDATA,MATCH("UnarmoredMaster",CLASSFEATUREHEADERS,0),MATCH(($A437 &amp; "Points"),CLASSNAMEHEADERS,0))),(IF("13"=(INDEX(ALLCLASSDATA,MATCH("UnarmoredExpert",CLASSFEATUREHEADERS,0),MATCH($A437,CLASSNAMEHEADERS,0))),(INDEX(ALLCLASSDATA,MATCH("UnarmoredExpert",CLASSFEATUREHEADERS,0),MATCH(($A437 &amp; "Points"),CLASSNAMEHEADERS,0))),(IF("13"=(INDEX(ALLCLASSDATA,MATCH("UnarmoredTrained",CLASSFEATUREHEADERS,0),MATCH($A437,CLASSNAMEHEADERS,0))),(INDEX(ALLCLASSDATA,MATCH("UnarmoredTrained",CLASSFEATUREHEADERS,0),MATCH(($A437 &amp; "Points"),CLASSNAMEHEADERS,0))),"")))))))))}</f>
        <v>UNARMOREDL13</v>
      </c>
      <c r="T436" s="223"/>
      <c r="U436" s="223" t="str">
        <f t="array" ref="U436:U437">{"UNARMOREDL15";((IF("15"=(INDEX(ALLCLASSDATA,MATCH("UnarmoredLegendary",CLASSFEATUREHEADERS,0),MATCH($A437,CLASSNAMEHEADERS,0))),(INDEX(ALLCLASSDATA,MATCH("UnarmoredLegendary",CLASSFEATUREHEADERS,0),MATCH(($A437 &amp; "Points"),CLASSNAMEHEADERS,0))),(IF("15"=(INDEX(ALLCLASSDATA,MATCH("UnarmoredMaster",CLASSFEATUREHEADERS,0),MATCH($A437,CLASSNAMEHEADERS,0))),(INDEX(ALLCLASSDATA,MATCH("UnarmoredMaster",CLASSFEATUREHEADERS,0),MATCH(($A437 &amp; "Points"),CLASSNAMEHEADERS,0))),(IF("15"=(INDEX(ALLCLASSDATA,MATCH("UnarmoredExpert",CLASSFEATUREHEADERS,0),MATCH($A437,CLASSNAMEHEADERS,0))),(INDEX(ALLCLASSDATA,MATCH("UnarmoredExpert",CLASSFEATUREHEADERS,0),MATCH(($A437 &amp; "Points"),CLASSNAMEHEADERS,0))),(IF("15"=(INDEX(ALLCLASSDATA,MATCH("UnarmoredTrained",CLASSFEATUREHEADERS,0),MATCH($A437,CLASSNAMEHEADERS,0))),(INDEX(ALLCLASSDATA,MATCH("UnarmoredTrained",CLASSFEATUREHEADERS,0),MATCH(($A437 &amp; "Points"),CLASSNAMEHEADERS,0))),"")))))))))}</f>
        <v>UNARMOREDL15</v>
      </c>
      <c r="V436" s="223"/>
      <c r="W436" s="223" t="str">
        <f t="array" ref="W436:W437">{"UNARMOREDL17";((IF("17"=(INDEX(ALLCLASSDATA,MATCH("UnarmoredLegendary",CLASSFEATUREHEADERS,0),MATCH($A437,CLASSNAMEHEADERS,0))),(INDEX(ALLCLASSDATA,MATCH("UnarmoredLegendary",CLASSFEATUREHEADERS,0),MATCH(($A437 &amp; "Points"),CLASSNAMEHEADERS,0))),(IF("17"=(INDEX(ALLCLASSDATA,MATCH("UnarmoredMaster",CLASSFEATUREHEADERS,0),MATCH($A437,CLASSNAMEHEADERS,0))),(INDEX(ALLCLASSDATA,MATCH("UnarmoredMaster",CLASSFEATUREHEADERS,0),MATCH(($A437 &amp; "Points"),CLASSNAMEHEADERS,0))),(IF("17"=(INDEX(ALLCLASSDATA,MATCH("UnarmoredExpert",CLASSFEATUREHEADERS,0),MATCH($A437,CLASSNAMEHEADERS,0))),(INDEX(ALLCLASSDATA,MATCH("UnarmoredExpert",CLASSFEATUREHEADERS,0),MATCH(($A437 &amp; "Points"),CLASSNAMEHEADERS,0))),(IF("17"=(INDEX(ALLCLASSDATA,MATCH("UnarmoredTrained",CLASSFEATUREHEADERS,0),MATCH($A437,CLASSNAMEHEADERS,0))),(INDEX(ALLCLASSDATA,MATCH("UnarmoredTrained",CLASSFEATUREHEADERS,0),MATCH(($A437 &amp; "Points"),CLASSNAMEHEADERS,0))),"")))))))))}</f>
        <v>UNARMOREDL17</v>
      </c>
      <c r="X436" s="223"/>
      <c r="Y436" s="223" t="str">
        <f t="array" ref="Y436:Y437">{"UNARMOREDL19";((IF("19"=(INDEX(ALLCLASSDATA,MATCH("UnarmoredLegendary",CLASSFEATUREHEADERS,0),MATCH($A437,CLASSNAMEHEADERS,0))),(INDEX(ALLCLASSDATA,MATCH("UnarmoredLegendary",CLASSFEATUREHEADERS,0),MATCH(($A437 &amp; "Points"),CLASSNAMEHEADERS,0))),(IF("19"=(INDEX(ALLCLASSDATA,MATCH("UnarmoredMaster",CLASSFEATUREHEADERS,0),MATCH($A437,CLASSNAMEHEADERS,0))),(INDEX(ALLCLASSDATA,MATCH("UnarmoredMaster",CLASSFEATUREHEADERS,0),MATCH(($A437 &amp; "Points"),CLASSNAMEHEADERS,0))),(IF("19"=(INDEX(ALLCLASSDATA,MATCH("UnarmoredExpert",CLASSFEATUREHEADERS,0),MATCH($A437,CLASSNAMEHEADERS,0))),(INDEX(ALLCLASSDATA,MATCH("UnarmoredExpert",CLASSFEATUREHEADERS,0),MATCH(($A437 &amp; "Points"),CLASSNAMEHEADERS,0))),(IF("19"=(INDEX(ALLCLASSDATA,MATCH("UnarmoredTrained",CLASSFEATUREHEADERS,0),MATCH($A437,CLASSNAMEHEADERS,0))),(INDEX(ALLCLASSDATA,MATCH("UnarmoredTrained",CLASSFEATUREHEADERS,0),MATCH(($A437 &amp; "Points"),CLASSNAMEHEADERS,0))),"")))))))))}</f>
        <v>UNARMOREDL19</v>
      </c>
      <c r="Z436" s="223"/>
      <c r="AA436" s="76" t="str">
        <f t="array" ref="AA436:AA437">{"UNARMORED TOTAL";(IF(COUNTBLANK(F437:Z437)=17,"L",(IF(COUNTBLANK(F437:Z437)=18,"M",(IF(COUNTBLANK(F437:Z437)=19,"E",(IF(COUNTBLANK(F437:Z437)=20,"T",""))))))))}</f>
        <v>UNARMORED TOTAL</v>
      </c>
      <c r="AB436" s="76" t="str">
        <f t="array" ref="AB436:AB437">{"UNARMORED TOTAL";(sum(F437:Z437))}</f>
        <v>UNARMORED TOTAL</v>
      </c>
    </row>
    <row r="437">
      <c r="A437" s="48" t="s">
        <v>231</v>
      </c>
      <c r="B437" s="48" t="s">
        <v>418</v>
      </c>
      <c r="C437" s="48" t="s">
        <v>1900</v>
      </c>
      <c r="D437" s="48" t="s">
        <v>78</v>
      </c>
      <c r="E437" s="5" t="s">
        <v>435</v>
      </c>
      <c r="F437" s="47" t="s">
        <v>603</v>
      </c>
      <c r="G437" s="5">
        <v>10.0</v>
      </c>
      <c r="H437" s="5"/>
      <c r="I437" s="5" t="s">
        <v>603</v>
      </c>
      <c r="J437" s="5"/>
      <c r="K437" s="5" t="s">
        <v>603</v>
      </c>
      <c r="L437" s="5"/>
      <c r="M437" s="5" t="s">
        <v>603</v>
      </c>
      <c r="N437" s="5"/>
      <c r="O437" s="5" t="s">
        <v>603</v>
      </c>
      <c r="P437" s="5"/>
      <c r="Q437" s="5" t="s">
        <v>603</v>
      </c>
      <c r="R437" s="5"/>
      <c r="S437" s="5">
        <v>50.0</v>
      </c>
      <c r="T437" s="5"/>
      <c r="U437" s="5" t="s">
        <v>603</v>
      </c>
      <c r="V437" s="5"/>
      <c r="W437" s="5" t="s">
        <v>603</v>
      </c>
      <c r="X437" s="5"/>
      <c r="Y437" s="5" t="s">
        <v>603</v>
      </c>
      <c r="Z437" s="5"/>
      <c r="AA437" s="5" t="s">
        <v>436</v>
      </c>
      <c r="AB437" s="47">
        <v>60.0</v>
      </c>
    </row>
    <row r="438" hidden="1">
      <c r="A438" s="222" t="str">
        <f t="array" ref="A438:A439">{"FormulaRow36";(INDEX(CLASSLIST,A367,1))}</f>
        <v>FormulaRow36</v>
      </c>
      <c r="B438" s="222" t="str">
        <f t="array" ref="B438:B439">{"CLASSTYPE";((INDEX(ALLCLASSDATA,MATCH("ClassType",CLASSFEATUREHEADERS,0),MATCH($A439,CLASSNAMEHEADERS,0))))}</f>
        <v>CLASSTYPE</v>
      </c>
      <c r="C438" s="222" t="str">
        <f t="array" ref="C438:C439">{"DEFENSE";"Defense"}</f>
        <v>DEFENSE</v>
      </c>
      <c r="D438" s="222" t="str">
        <f t="array" ref="D438:D439">{"LIGHT";"Light"}</f>
        <v>LIGHT</v>
      </c>
      <c r="E438" s="223" t="str">
        <f t="array" ref="E438:E439">{"LIGHTINITIAL";((IF(G439=10,"T",(IF(G439=50,"E","")))))}</f>
        <v>LIGHTINITIAL</v>
      </c>
      <c r="F438" s="223" t="str">
        <f t="array" ref="F438:F439">{"LIGHTINITIALPTS";((IF("00"=(INDEX(ALLCLASSDATA,MATCH("LightLegendary",CLASSFEATUREHEADERS,0),MATCH($A439,CLASSNAMEHEADERS,0))),(INDEX(ALLCLASSDATA,MATCH("LightLegendary",CLASSFEATUREHEADERS,0),MATCH(($A439 &amp; "Points"),CLASSNAMEHEADERS,0))),(IF("00"=(INDEX(ALLCLASSDATA,MATCH("LightMaster",CLASSFEATUREHEADERS,0),MATCH($A439,CLASSNAMEHEADERS,0))),(INDEX(ALLCLASSDATA,MATCH("LightMaster",CLASSFEATUREHEADERS,0),MATCH(($A439 &amp; "Points"),CLASSNAMEHEADERS,0))),(IF("00"=(INDEX(ALLCLASSDATA,MATCH("LightExpert",CLASSFEATUREHEADERS,0),MATCH($A439,CLASSNAMEHEADERS,0))),(INDEX(ALLCLASSDATA,MATCH("LightExpert",CLASSFEATUREHEADERS,0),MATCH(($A439 &amp; "Points"),CLASSNAMEHEADERS,0))),(IF("00"=(INDEX(ALLCLASSDATA,MATCH("LightTrained",CLASSFEATUREHEADERS,0),MATCH($A439,CLASSNAMEHEADERS,0))),(INDEX(ALLCLASSDATA,MATCH("LightTrained",CLASSFEATUREHEADERS,0),MATCH(($A439 &amp; "Points"),CLASSNAMEHEADERS,0))),"")))))))))}</f>
        <v>LIGHTINITIALPTS</v>
      </c>
      <c r="G438" s="223" t="str">
        <f t="array" ref="G438:G439">{"LIGHTL01";((IF("01"=(INDEX(ALLCLASSDATA,MATCH("LightLegendary",CLASSFEATUREHEADERS,0),MATCH($A439,CLASSNAMEHEADERS,0))),(INDEX(ALLCLASSDATA,MATCH("LightLegendary",CLASSFEATUREHEADERS,0),MATCH(($A439 &amp; "Points"),CLASSNAMEHEADERS,0))),(IF("01"=(INDEX(ALLCLASSDATA,MATCH("LightMaster",CLASSFEATUREHEADERS,0),MATCH($A439,CLASSNAMEHEADERS,0))),(INDEX(ALLCLASSDATA,MATCH("LightMaster",CLASSFEATUREHEADERS,0),MATCH(($A439 &amp; "Points"),CLASSNAMEHEADERS,0))),(IF("01"=(INDEX(ALLCLASSDATA,MATCH("LightExpert",CLASSFEATUREHEADERS,0),MATCH($A439,CLASSNAMEHEADERS,0))),(INDEX(ALLCLASSDATA,MATCH("LightExpert",CLASSFEATUREHEADERS,0),MATCH(($A439 &amp; "Points"),CLASSNAMEHEADERS,0))),(IF("01"=(INDEX(ALLCLASSDATA,MATCH("LightTrained",CLASSFEATUREHEADERS,0),MATCH($A439,CLASSNAMEHEADERS,0))),(INDEX(ALLCLASSDATA,MATCH("LightTrained",CLASSFEATUREHEADERS,0),MATCH(($A439 &amp; "Points"),CLASSNAMEHEADERS,0))),"")))))))))}</f>
        <v>LIGHTL01</v>
      </c>
      <c r="H438" s="223"/>
      <c r="I438" s="223" t="str">
        <f t="array" ref="I438:I439">{"LIGHTL03";((IF("03"=(INDEX(ALLCLASSDATA,MATCH("LightLegendary",CLASSFEATUREHEADERS,0),MATCH($A439,CLASSNAMEHEADERS,0))),(INDEX(ALLCLASSDATA,MATCH("LightLegendary",CLASSFEATUREHEADERS,0),MATCH(($A439 &amp; "Points"),CLASSNAMEHEADERS,0))),(IF("03"=(INDEX(ALLCLASSDATA,MATCH("LightMaster",CLASSFEATUREHEADERS,0),MATCH($A439,CLASSNAMEHEADERS,0))),(INDEX(ALLCLASSDATA,MATCH("LightMaster",CLASSFEATUREHEADERS,0),MATCH(($A439 &amp; "Points"),CLASSNAMEHEADERS,0))),(IF("03"=(INDEX(ALLCLASSDATA,MATCH("LightExpert",CLASSFEATUREHEADERS,0),MATCH($A439,CLASSNAMEHEADERS,0))),(INDEX(ALLCLASSDATA,MATCH("LightExpert",CLASSFEATUREHEADERS,0),MATCH(($A439 &amp; "Points"),CLASSNAMEHEADERS,0))),(IF("03"=(INDEX(ALLCLASSDATA,MATCH("LightTrained",CLASSFEATUREHEADERS,0),MATCH($A439,CLASSNAMEHEADERS,0))),(INDEX(ALLCLASSDATA,MATCH("LightTrained",CLASSFEATUREHEADERS,0),MATCH(($A439 &amp; "Points"),CLASSNAMEHEADERS,0))),"")))))))))}</f>
        <v>LIGHTL03</v>
      </c>
      <c r="J438" s="223"/>
      <c r="K438" s="223" t="str">
        <f t="array" ref="K438:K439">{"LIGHTL05";((IF("05"=(INDEX(ALLCLASSDATA,MATCH("LightLegendary",CLASSFEATUREHEADERS,0),MATCH($A439,CLASSNAMEHEADERS,0))),(INDEX(ALLCLASSDATA,MATCH("LightLegendary",CLASSFEATUREHEADERS,0),MATCH(($A439 &amp; "Points"),CLASSNAMEHEADERS,0))),(IF("05"=(INDEX(ALLCLASSDATA,MATCH("LightMaster",CLASSFEATUREHEADERS,0),MATCH($A439,CLASSNAMEHEADERS,0))),(INDEX(ALLCLASSDATA,MATCH("LightMaster",CLASSFEATUREHEADERS,0),MATCH(($A439 &amp; "Points"),CLASSNAMEHEADERS,0))),(IF("05"=(INDEX(ALLCLASSDATA,MATCH("LightExpert",CLASSFEATUREHEADERS,0),MATCH($A439,CLASSNAMEHEADERS,0))),(INDEX(ALLCLASSDATA,MATCH("LightExpert",CLASSFEATUREHEADERS,0),MATCH(($A439 &amp; "Points"),CLASSNAMEHEADERS,0))),(IF("05"=(INDEX(ALLCLASSDATA,MATCH("LightTrained",CLASSFEATUREHEADERS,0),MATCH($A439,CLASSNAMEHEADERS,0))),(INDEX(ALLCLASSDATA,MATCH("LightTrained",CLASSFEATUREHEADERS,0),MATCH(($A439 &amp; "Points"),CLASSNAMEHEADERS,0))),"")))))))))}</f>
        <v>LIGHTL05</v>
      </c>
      <c r="L438" s="223"/>
      <c r="M438" s="223" t="str">
        <f t="array" ref="M438:M439">{"LIGHTL07";((IF("07"=(INDEX(ALLCLASSDATA,MATCH("LightLegendary",CLASSFEATUREHEADERS,0),MATCH($A439,CLASSNAMEHEADERS,0))),(INDEX(ALLCLASSDATA,MATCH("LightLegendary",CLASSFEATUREHEADERS,0),MATCH(($A439 &amp; "Points"),CLASSNAMEHEADERS,0))),(IF("07"=(INDEX(ALLCLASSDATA,MATCH("LightMaster",CLASSFEATUREHEADERS,0),MATCH($A439,CLASSNAMEHEADERS,0))),(INDEX(ALLCLASSDATA,MATCH("LightMaster",CLASSFEATUREHEADERS,0),MATCH(($A439 &amp; "Points"),CLASSNAMEHEADERS,0))),(IF("07"=(INDEX(ALLCLASSDATA,MATCH("LightExpert",CLASSFEATUREHEADERS,0),MATCH($A439,CLASSNAMEHEADERS,0))),(INDEX(ALLCLASSDATA,MATCH("LightExpert",CLASSFEATUREHEADERS,0),MATCH(($A439 &amp; "Points"),CLASSNAMEHEADERS,0))),(IF("07"=(INDEX(ALLCLASSDATA,MATCH("LightTrained",CLASSFEATUREHEADERS,0),MATCH($A439,CLASSNAMEHEADERS,0))),(INDEX(ALLCLASSDATA,MATCH("LightTrained",CLASSFEATUREHEADERS,0),MATCH(($A439 &amp; "Points"),CLASSNAMEHEADERS,0))),"")))))))))}</f>
        <v>LIGHTL07</v>
      </c>
      <c r="N438" s="223"/>
      <c r="O438" s="223" t="str">
        <f t="array" ref="O438:O439">{"LIGHTL09";((IF("09"=(INDEX(ALLCLASSDATA,MATCH("LightLegendary",CLASSFEATUREHEADERS,0),MATCH($A439,CLASSNAMEHEADERS,0))),(INDEX(ALLCLASSDATA,MATCH("LightLegendary",CLASSFEATUREHEADERS,0),MATCH(($A439 &amp; "Points"),CLASSNAMEHEADERS,0))),(IF("09"=(INDEX(ALLCLASSDATA,MATCH("LightMaster",CLASSFEATUREHEADERS,0),MATCH($A439,CLASSNAMEHEADERS,0))),(INDEX(ALLCLASSDATA,MATCH("LightMaster",CLASSFEATUREHEADERS,0),MATCH(($A439 &amp; "Points"),CLASSNAMEHEADERS,0))),(IF("09"=(INDEX(ALLCLASSDATA,MATCH("LightExpert",CLASSFEATUREHEADERS,0),MATCH($A439,CLASSNAMEHEADERS,0))),(INDEX(ALLCLASSDATA,MATCH("LightExpert",CLASSFEATUREHEADERS,0),MATCH(($A439 &amp; "Points"),CLASSNAMEHEADERS,0))),(IF("09"=(INDEX(ALLCLASSDATA,MATCH("LightTrained",CLASSFEATUREHEADERS,0),MATCH($A439,CLASSNAMEHEADERS,0))),(INDEX(ALLCLASSDATA,MATCH("LightTrained",CLASSFEATUREHEADERS,0),MATCH(($A439 &amp; "Points"),CLASSNAMEHEADERS,0))),"")))))))))}</f>
        <v>LIGHTL09</v>
      </c>
      <c r="P438" s="223"/>
      <c r="Q438" s="223" t="str">
        <f t="array" ref="Q438:Q439">{"LIGHTL11";((IF("11"=(INDEX(ALLCLASSDATA,MATCH("LightLegendary",CLASSFEATUREHEADERS,0),MATCH($A439,CLASSNAMEHEADERS,0))),(INDEX(ALLCLASSDATA,MATCH("LightLegendary",CLASSFEATUREHEADERS,0),MATCH(($A439 &amp; "Points"),CLASSNAMEHEADERS,0))),(IF("11"=(INDEX(ALLCLASSDATA,MATCH("LightMaster",CLASSFEATUREHEADERS,0),MATCH($A439,CLASSNAMEHEADERS,0))),(INDEX(ALLCLASSDATA,MATCH("LightMaster",CLASSFEATUREHEADERS,0),MATCH(($A439 &amp; "Points"),CLASSNAMEHEADERS,0))),(IF("11"=(INDEX(ALLCLASSDATA,MATCH("LightExpert",CLASSFEATUREHEADERS,0),MATCH($A439,CLASSNAMEHEADERS,0))),(INDEX(ALLCLASSDATA,MATCH("LightExpert",CLASSFEATUREHEADERS,0),MATCH(($A439 &amp; "Points"),CLASSNAMEHEADERS,0))),(IF("11"=(INDEX(ALLCLASSDATA,MATCH("LightTrained",CLASSFEATUREHEADERS,0),MATCH($A439,CLASSNAMEHEADERS,0))),(INDEX(ALLCLASSDATA,MATCH("LightTrained",CLASSFEATUREHEADERS,0),MATCH(($A439 &amp; "Points"),CLASSNAMEHEADERS,0))),"")))))))))}</f>
        <v>LIGHTL11</v>
      </c>
      <c r="R438" s="223"/>
      <c r="S438" s="223" t="str">
        <f t="array" ref="S438:S439">{"LIGHTL13";((IF("13"=(INDEX(ALLCLASSDATA,MATCH("LightLegendary",CLASSFEATUREHEADERS,0),MATCH($A439,CLASSNAMEHEADERS,0))),(INDEX(ALLCLASSDATA,MATCH("LightLegendary",CLASSFEATUREHEADERS,0),MATCH(($A439 &amp; "Points"),CLASSNAMEHEADERS,0))),(IF("13"=(INDEX(ALLCLASSDATA,MATCH("LightMaster",CLASSFEATUREHEADERS,0),MATCH($A439,CLASSNAMEHEADERS,0))),(INDEX(ALLCLASSDATA,MATCH("LightMaster",CLASSFEATUREHEADERS,0),MATCH(($A439 &amp; "Points"),CLASSNAMEHEADERS,0))),(IF("13"=(INDEX(ALLCLASSDATA,MATCH("LightExpert",CLASSFEATUREHEADERS,0),MATCH($A439,CLASSNAMEHEADERS,0))),(INDEX(ALLCLASSDATA,MATCH("LightExpert",CLASSFEATUREHEADERS,0),MATCH(($A439 &amp; "Points"),CLASSNAMEHEADERS,0))),(IF("13"=(INDEX(ALLCLASSDATA,MATCH("LightTrained",CLASSFEATUREHEADERS,0),MATCH($A439,CLASSNAMEHEADERS,0))),(INDEX(ALLCLASSDATA,MATCH("LightTrained",CLASSFEATUREHEADERS,0),MATCH(($A439 &amp; "Points"),CLASSNAMEHEADERS,0))),"")))))))))}</f>
        <v>LIGHTL13</v>
      </c>
      <c r="T438" s="223"/>
      <c r="U438" s="223" t="str">
        <f t="array" ref="U438:U439">{"LIGHTL15";((IF("15"=(INDEX(ALLCLASSDATA,MATCH("LightLegendary",CLASSFEATUREHEADERS,0),MATCH($A439,CLASSNAMEHEADERS,0))),(INDEX(ALLCLASSDATA,MATCH("LightLegendary",CLASSFEATUREHEADERS,0),MATCH(($A439 &amp; "Points"),CLASSNAMEHEADERS,0))),(IF("15"=(INDEX(ALLCLASSDATA,MATCH("LightMaster",CLASSFEATUREHEADERS,0),MATCH($A439,CLASSNAMEHEADERS,0))),(INDEX(ALLCLASSDATA,MATCH("LightMaster",CLASSFEATUREHEADERS,0),MATCH(($A439 &amp; "Points"),CLASSNAMEHEADERS,0))),(IF("15"=(INDEX(ALLCLASSDATA,MATCH("LightExpert",CLASSFEATUREHEADERS,0),MATCH($A439,CLASSNAMEHEADERS,0))),(INDEX(ALLCLASSDATA,MATCH("LightExpert",CLASSFEATUREHEADERS,0),MATCH(($A439 &amp; "Points"),CLASSNAMEHEADERS,0))),(IF("15"=(INDEX(ALLCLASSDATA,MATCH("LightTrained",CLASSFEATUREHEADERS,0),MATCH($A439,CLASSNAMEHEADERS,0))),(INDEX(ALLCLASSDATA,MATCH("LightTrained",CLASSFEATUREHEADERS,0),MATCH(($A439 &amp; "Points"),CLASSNAMEHEADERS,0))),"")))))))))}</f>
        <v>LIGHTL15</v>
      </c>
      <c r="V438" s="223"/>
      <c r="W438" s="223" t="str">
        <f t="array" ref="W438:W439">{"LIGHTL17";((IF("17"=(INDEX(ALLCLASSDATA,MATCH("LightLegendary",CLASSFEATUREHEADERS,0),MATCH($A439,CLASSNAMEHEADERS,0))),(INDEX(ALLCLASSDATA,MATCH("LightLegendary",CLASSFEATUREHEADERS,0),MATCH(($A439 &amp; "Points"),CLASSNAMEHEADERS,0))),(IF("17"=(INDEX(ALLCLASSDATA,MATCH("LightMaster",CLASSFEATUREHEADERS,0),MATCH($A439,CLASSNAMEHEADERS,0))),(INDEX(ALLCLASSDATA,MATCH("LightMaster",CLASSFEATUREHEADERS,0),MATCH(($A439 &amp; "Points"),CLASSNAMEHEADERS,0))),(IF("17"=(INDEX(ALLCLASSDATA,MATCH("LightExpert",CLASSFEATUREHEADERS,0),MATCH($A439,CLASSNAMEHEADERS,0))),(INDEX(ALLCLASSDATA,MATCH("LightExpert",CLASSFEATUREHEADERS,0),MATCH(($A439 &amp; "Points"),CLASSNAMEHEADERS,0))),(IF("17"=(INDEX(ALLCLASSDATA,MATCH("LightTrained",CLASSFEATUREHEADERS,0),MATCH($A439,CLASSNAMEHEADERS,0))),(INDEX(ALLCLASSDATA,MATCH("LightTrained",CLASSFEATUREHEADERS,0),MATCH(($A439 &amp; "Points"),CLASSNAMEHEADERS,0))),"")))))))))}</f>
        <v>LIGHTL17</v>
      </c>
      <c r="X438" s="223"/>
      <c r="Y438" s="223" t="str">
        <f t="array" ref="Y438:Y439">{"LIGHTL19";((IF("19"=(INDEX(ALLCLASSDATA,MATCH("LightLegendary",CLASSFEATUREHEADERS,0),MATCH($A439,CLASSNAMEHEADERS,0))),(INDEX(ALLCLASSDATA,MATCH("LightLegendary",CLASSFEATUREHEADERS,0),MATCH(($A439 &amp; "Points"),CLASSNAMEHEADERS,0))),(IF("19"=(INDEX(ALLCLASSDATA,MATCH("LightMaster",CLASSFEATUREHEADERS,0),MATCH($A439,CLASSNAMEHEADERS,0))),(INDEX(ALLCLASSDATA,MATCH("LightMaster",CLASSFEATUREHEADERS,0),MATCH(($A439 &amp; "Points"),CLASSNAMEHEADERS,0))),(IF("19"=(INDEX(ALLCLASSDATA,MATCH("LightExpert",CLASSFEATUREHEADERS,0),MATCH($A439,CLASSNAMEHEADERS,0))),(INDEX(ALLCLASSDATA,MATCH("LightExpert",CLASSFEATUREHEADERS,0),MATCH(($A439 &amp; "Points"),CLASSNAMEHEADERS,0))),(IF("19"=(INDEX(ALLCLASSDATA,MATCH("LightTrained",CLASSFEATUREHEADERS,0),MATCH($A439,CLASSNAMEHEADERS,0))),(INDEX(ALLCLASSDATA,MATCH("LightTrained",CLASSFEATUREHEADERS,0),MATCH(($A439 &amp; "Points"),CLASSNAMEHEADERS,0))),"")))))))))}</f>
        <v>LIGHTL19</v>
      </c>
      <c r="Z438" s="223"/>
      <c r="AA438" s="76" t="str">
        <f t="array" ref="AA438:AA439">{"LIGHT TOTAL";(IF(COUNTBLANK(F439:Z439)=17,"L",(IF(COUNTBLANK(F439:Z439)=18,"M",(IF(COUNTBLANK(F439:Z439)=19,"E",(IF(COUNTBLANK(F439:Z439)=20,"T",""))))))))}</f>
        <v>LIGHT TOTAL</v>
      </c>
      <c r="AB438" s="76" t="str">
        <f t="array" ref="AB438:AB439">{"LIGHT TOTAL";(sum(F439:Z439))}</f>
        <v>LIGHT TOTAL</v>
      </c>
    </row>
    <row r="439">
      <c r="A439" s="48" t="s">
        <v>231</v>
      </c>
      <c r="B439" s="48" t="s">
        <v>418</v>
      </c>
      <c r="C439" s="48" t="s">
        <v>1900</v>
      </c>
      <c r="D439" s="48" t="s">
        <v>77</v>
      </c>
      <c r="E439" s="5" t="s">
        <v>603</v>
      </c>
      <c r="F439" s="47" t="s">
        <v>603</v>
      </c>
      <c r="G439" s="5" t="s">
        <v>603</v>
      </c>
      <c r="H439" s="5"/>
      <c r="I439" s="5" t="s">
        <v>603</v>
      </c>
      <c r="J439" s="5"/>
      <c r="K439" s="5" t="s">
        <v>603</v>
      </c>
      <c r="L439" s="5"/>
      <c r="M439" s="5" t="s">
        <v>603</v>
      </c>
      <c r="N439" s="5"/>
      <c r="O439" s="5" t="s">
        <v>603</v>
      </c>
      <c r="P439" s="5"/>
      <c r="Q439" s="5" t="s">
        <v>603</v>
      </c>
      <c r="R439" s="5"/>
      <c r="S439" s="5" t="s">
        <v>603</v>
      </c>
      <c r="T439" s="5"/>
      <c r="U439" s="5" t="s">
        <v>603</v>
      </c>
      <c r="V439" s="5"/>
      <c r="W439" s="5" t="s">
        <v>603</v>
      </c>
      <c r="X439" s="5"/>
      <c r="Y439" s="5" t="s">
        <v>603</v>
      </c>
      <c r="Z439" s="5"/>
      <c r="AA439" s="5" t="s">
        <v>603</v>
      </c>
      <c r="AB439" s="47">
        <v>0.0</v>
      </c>
    </row>
    <row r="440" hidden="1">
      <c r="A440" s="222" t="str">
        <f t="array" ref="A440:A441">{"FormulaRow37";(INDEX(CLASSLIST,A367,1))}</f>
        <v>FormulaRow37</v>
      </c>
      <c r="B440" s="222" t="str">
        <f t="array" ref="B440:B441">{"CLASSTYPE";((INDEX(ALLCLASSDATA,MATCH("ClassType",CLASSFEATUREHEADERS,0),MATCH($A441,CLASSNAMEHEADERS,0))))}</f>
        <v>CLASSTYPE</v>
      </c>
      <c r="C440" s="222" t="str">
        <f t="array" ref="C440:C441">{"DEFENSE";"Defense"}</f>
        <v>DEFENSE</v>
      </c>
      <c r="D440" s="222" t="str">
        <f t="array" ref="D440:D441">{"MEDIUM";"Medium"}</f>
        <v>MEDIUM</v>
      </c>
      <c r="E440" s="223" t="str">
        <f t="array" ref="E440:E441">{"MEDIUMINITIAL";((IF(G441=10,"T",(IF(G441=50,"E","")))))}</f>
        <v>MEDIUMINITIAL</v>
      </c>
      <c r="F440" s="223" t="str">
        <f t="array" ref="F440:F441">{"MEDIUMINITIALPTS";((IF("00"=(INDEX(ALLCLASSDATA,MATCH("MediumLegendary",CLASSFEATUREHEADERS,0),MATCH($A441,CLASSNAMEHEADERS,0))),(INDEX(ALLCLASSDATA,MATCH("MediumLegendary",CLASSFEATUREHEADERS,0),MATCH(($A441 &amp; "Points"),CLASSNAMEHEADERS,0))),(IF("00"=(INDEX(ALLCLASSDATA,MATCH("MediumMaster",CLASSFEATUREHEADERS,0),MATCH($A441,CLASSNAMEHEADERS,0))),(INDEX(ALLCLASSDATA,MATCH("MediumMaster",CLASSFEATUREHEADERS,0),MATCH(($A441 &amp; "Points"),CLASSNAMEHEADERS,0))),(IF("00"=(INDEX(ALLCLASSDATA,MATCH("MediumExpert",CLASSFEATUREHEADERS,0),MATCH($A441,CLASSNAMEHEADERS,0))),(INDEX(ALLCLASSDATA,MATCH("MediumExpert",CLASSFEATUREHEADERS,0),MATCH(($A441 &amp; "Points"),CLASSNAMEHEADERS,0))),(IF("00"=(INDEX(ALLCLASSDATA,MATCH("MediumTrained",CLASSFEATUREHEADERS,0),MATCH($A441,CLASSNAMEHEADERS,0))),(INDEX(ALLCLASSDATA,MATCH("MediumTrained",CLASSFEATUREHEADERS,0),MATCH(($A441 &amp; "Points"),CLASSNAMEHEADERS,0))),"")))))))))}</f>
        <v>MEDIUMINITIALPTS</v>
      </c>
      <c r="G440" s="223" t="str">
        <f t="array" ref="G440:G441">{"MEDIUML01";((IF("01"=(INDEX(ALLCLASSDATA,MATCH("MediumLegendary",CLASSFEATUREHEADERS,0),MATCH($A441,CLASSNAMEHEADERS,0))),(INDEX(ALLCLASSDATA,MATCH("MediumLegendary",CLASSFEATUREHEADERS,0),MATCH(($A441 &amp; "Points"),CLASSNAMEHEADERS,0))),(IF("01"=(INDEX(ALLCLASSDATA,MATCH("MediumMaster",CLASSFEATUREHEADERS,0),MATCH($A441,CLASSNAMEHEADERS,0))),(INDEX(ALLCLASSDATA,MATCH("MediumMaster",CLASSFEATUREHEADERS,0),MATCH(($A441 &amp; "Points"),CLASSNAMEHEADERS,0))),(IF("01"=(INDEX(ALLCLASSDATA,MATCH("MediumExpert",CLASSFEATUREHEADERS,0),MATCH($A441,CLASSNAMEHEADERS,0))),(INDEX(ALLCLASSDATA,MATCH("MediumExpert",CLASSFEATUREHEADERS,0),MATCH(($A441 &amp; "Points"),CLASSNAMEHEADERS,0))),(IF("01"=(INDEX(ALLCLASSDATA,MATCH("MediumTrained",CLASSFEATUREHEADERS,0),MATCH($A441,CLASSNAMEHEADERS,0))),(INDEX(ALLCLASSDATA,MATCH("MediumTrained",CLASSFEATUREHEADERS,0),MATCH(($A441 &amp; "Points"),CLASSNAMEHEADERS,0))),"")))))))))}</f>
        <v>MEDIUML01</v>
      </c>
      <c r="H440" s="223"/>
      <c r="I440" s="223" t="str">
        <f t="array" ref="I440:I441">{"MEDIUML03";((IF("03"=(INDEX(ALLCLASSDATA,MATCH("MediumLegendary",CLASSFEATUREHEADERS,0),MATCH($A441,CLASSNAMEHEADERS,0))),(INDEX(ALLCLASSDATA,MATCH("MediumLegendary",CLASSFEATUREHEADERS,0),MATCH(($A441 &amp; "Points"),CLASSNAMEHEADERS,0))),(IF("03"=(INDEX(ALLCLASSDATA,MATCH("MediumMaster",CLASSFEATUREHEADERS,0),MATCH($A441,CLASSNAMEHEADERS,0))),(INDEX(ALLCLASSDATA,MATCH("MediumMaster",CLASSFEATUREHEADERS,0),MATCH(($A441 &amp; "Points"),CLASSNAMEHEADERS,0))),(IF("03"=(INDEX(ALLCLASSDATA,MATCH("MediumExpert",CLASSFEATUREHEADERS,0),MATCH($A441,CLASSNAMEHEADERS,0))),(INDEX(ALLCLASSDATA,MATCH("MediumExpert",CLASSFEATUREHEADERS,0),MATCH(($A441 &amp; "Points"),CLASSNAMEHEADERS,0))),(IF("03"=(INDEX(ALLCLASSDATA,MATCH("MediumTrained",CLASSFEATUREHEADERS,0),MATCH($A441,CLASSNAMEHEADERS,0))),(INDEX(ALLCLASSDATA,MATCH("MediumTrained",CLASSFEATUREHEADERS,0),MATCH(($A441 &amp; "Points"),CLASSNAMEHEADERS,0))),"")))))))))}</f>
        <v>MEDIUML03</v>
      </c>
      <c r="J440" s="223"/>
      <c r="K440" s="223" t="str">
        <f t="array" ref="K440:K441">{"MEDIUML05";((IF("05"=(INDEX(ALLCLASSDATA,MATCH("MediumLegendary",CLASSFEATUREHEADERS,0),MATCH($A441,CLASSNAMEHEADERS,0))),(INDEX(ALLCLASSDATA,MATCH("MediumLegendary",CLASSFEATUREHEADERS,0),MATCH(($A441 &amp; "Points"),CLASSNAMEHEADERS,0))),(IF("05"=(INDEX(ALLCLASSDATA,MATCH("MediumMaster",CLASSFEATUREHEADERS,0),MATCH($A441,CLASSNAMEHEADERS,0))),(INDEX(ALLCLASSDATA,MATCH("MediumMaster",CLASSFEATUREHEADERS,0),MATCH(($A441 &amp; "Points"),CLASSNAMEHEADERS,0))),(IF("05"=(INDEX(ALLCLASSDATA,MATCH("MediumExpert",CLASSFEATUREHEADERS,0),MATCH($A441,CLASSNAMEHEADERS,0))),(INDEX(ALLCLASSDATA,MATCH("MediumExpert",CLASSFEATUREHEADERS,0),MATCH(($A441 &amp; "Points"),CLASSNAMEHEADERS,0))),(IF("05"=(INDEX(ALLCLASSDATA,MATCH("MediumTrained",CLASSFEATUREHEADERS,0),MATCH($A441,CLASSNAMEHEADERS,0))),(INDEX(ALLCLASSDATA,MATCH("MediumTrained",CLASSFEATUREHEADERS,0),MATCH(($A441 &amp; "Points"),CLASSNAMEHEADERS,0))),"")))))))))}</f>
        <v>MEDIUML05</v>
      </c>
      <c r="L440" s="223"/>
      <c r="M440" s="223" t="str">
        <f t="array" ref="M440:M441">{"MEDIUML07";((IF("07"=(INDEX(ALLCLASSDATA,MATCH("MediumLegendary",CLASSFEATUREHEADERS,0),MATCH($A441,CLASSNAMEHEADERS,0))),(INDEX(ALLCLASSDATA,MATCH("MediumLegendary",CLASSFEATUREHEADERS,0),MATCH(($A441 &amp; "Points"),CLASSNAMEHEADERS,0))),(IF("07"=(INDEX(ALLCLASSDATA,MATCH("MediumMaster",CLASSFEATUREHEADERS,0),MATCH($A441,CLASSNAMEHEADERS,0))),(INDEX(ALLCLASSDATA,MATCH("MediumMaster",CLASSFEATUREHEADERS,0),MATCH(($A441 &amp; "Points"),CLASSNAMEHEADERS,0))),(IF("07"=(INDEX(ALLCLASSDATA,MATCH("MediumExpert",CLASSFEATUREHEADERS,0),MATCH($A441,CLASSNAMEHEADERS,0))),(INDEX(ALLCLASSDATA,MATCH("MediumExpert",CLASSFEATUREHEADERS,0),MATCH(($A441 &amp; "Points"),CLASSNAMEHEADERS,0))),(IF("07"=(INDEX(ALLCLASSDATA,MATCH("MediumTrained",CLASSFEATUREHEADERS,0),MATCH($A441,CLASSNAMEHEADERS,0))),(INDEX(ALLCLASSDATA,MATCH("MediumTrained",CLASSFEATUREHEADERS,0),MATCH(($A441 &amp; "Points"),CLASSNAMEHEADERS,0))),"")))))))))}</f>
        <v>MEDIUML07</v>
      </c>
      <c r="N440" s="223"/>
      <c r="O440" s="223" t="str">
        <f t="array" ref="O440:O441">{"MEDIUML09";((IF("09"=(INDEX(ALLCLASSDATA,MATCH("MediumLegendary",CLASSFEATUREHEADERS,0),MATCH($A441,CLASSNAMEHEADERS,0))),(INDEX(ALLCLASSDATA,MATCH("MediumLegendary",CLASSFEATUREHEADERS,0),MATCH(($A441 &amp; "Points"),CLASSNAMEHEADERS,0))),(IF("09"=(INDEX(ALLCLASSDATA,MATCH("MediumMaster",CLASSFEATUREHEADERS,0),MATCH($A441,CLASSNAMEHEADERS,0))),(INDEX(ALLCLASSDATA,MATCH("MediumMaster",CLASSFEATUREHEADERS,0),MATCH(($A441 &amp; "Points"),CLASSNAMEHEADERS,0))),(IF("09"=(INDEX(ALLCLASSDATA,MATCH("MediumExpert",CLASSFEATUREHEADERS,0),MATCH($A441,CLASSNAMEHEADERS,0))),(INDEX(ALLCLASSDATA,MATCH("MediumExpert",CLASSFEATUREHEADERS,0),MATCH(($A441 &amp; "Points"),CLASSNAMEHEADERS,0))),(IF("09"=(INDEX(ALLCLASSDATA,MATCH("MediumTrained",CLASSFEATUREHEADERS,0),MATCH($A441,CLASSNAMEHEADERS,0))),(INDEX(ALLCLASSDATA,MATCH("MediumTrained",CLASSFEATUREHEADERS,0),MATCH(($A441 &amp; "Points"),CLASSNAMEHEADERS,0))),"")))))))))}</f>
        <v>MEDIUML09</v>
      </c>
      <c r="P440" s="223"/>
      <c r="Q440" s="223" t="str">
        <f t="array" ref="Q440:Q441">{"MEDIUML11";((IF("11"=(INDEX(ALLCLASSDATA,MATCH("MediumLegendary",CLASSFEATUREHEADERS,0),MATCH($A441,CLASSNAMEHEADERS,0))),(INDEX(ALLCLASSDATA,MATCH("MediumLegendary",CLASSFEATUREHEADERS,0),MATCH(($A441 &amp; "Points"),CLASSNAMEHEADERS,0))),(IF("11"=(INDEX(ALLCLASSDATA,MATCH("MediumMaster",CLASSFEATUREHEADERS,0),MATCH($A441,CLASSNAMEHEADERS,0))),(INDEX(ALLCLASSDATA,MATCH("MediumMaster",CLASSFEATUREHEADERS,0),MATCH(($A441 &amp; "Points"),CLASSNAMEHEADERS,0))),(IF("11"=(INDEX(ALLCLASSDATA,MATCH("MediumExpert",CLASSFEATUREHEADERS,0),MATCH($A441,CLASSNAMEHEADERS,0))),(INDEX(ALLCLASSDATA,MATCH("MediumExpert",CLASSFEATUREHEADERS,0),MATCH(($A441 &amp; "Points"),CLASSNAMEHEADERS,0))),(IF("11"=(INDEX(ALLCLASSDATA,MATCH("MediumTrained",CLASSFEATUREHEADERS,0),MATCH($A441,CLASSNAMEHEADERS,0))),(INDEX(ALLCLASSDATA,MATCH("MediumTrained",CLASSFEATUREHEADERS,0),MATCH(($A441 &amp; "Points"),CLASSNAMEHEADERS,0))),"")))))))))}</f>
        <v>MEDIUML11</v>
      </c>
      <c r="R440" s="223"/>
      <c r="S440" s="223" t="str">
        <f t="array" ref="S440:S441">{"MEDIUML13";((IF("13"=(INDEX(ALLCLASSDATA,MATCH("MediumLegendary",CLASSFEATUREHEADERS,0),MATCH($A441,CLASSNAMEHEADERS,0))),(INDEX(ALLCLASSDATA,MATCH("MediumLegendary",CLASSFEATUREHEADERS,0),MATCH(($A441 &amp; "Points"),CLASSNAMEHEADERS,0))),(IF("13"=(INDEX(ALLCLASSDATA,MATCH("MediumMaster",CLASSFEATUREHEADERS,0),MATCH($A441,CLASSNAMEHEADERS,0))),(INDEX(ALLCLASSDATA,MATCH("MediumMaster",CLASSFEATUREHEADERS,0),MATCH(($A441 &amp; "Points"),CLASSNAMEHEADERS,0))),(IF("13"=(INDEX(ALLCLASSDATA,MATCH("MediumExpert",CLASSFEATUREHEADERS,0),MATCH($A441,CLASSNAMEHEADERS,0))),(INDEX(ALLCLASSDATA,MATCH("MediumExpert",CLASSFEATUREHEADERS,0),MATCH(($A441 &amp; "Points"),CLASSNAMEHEADERS,0))),(IF("13"=(INDEX(ALLCLASSDATA,MATCH("MediumTrained",CLASSFEATUREHEADERS,0),MATCH($A441,CLASSNAMEHEADERS,0))),(INDEX(ALLCLASSDATA,MATCH("MediumTrained",CLASSFEATUREHEADERS,0),MATCH(($A441 &amp; "Points"),CLASSNAMEHEADERS,0))),"")))))))))}</f>
        <v>MEDIUML13</v>
      </c>
      <c r="T440" s="223"/>
      <c r="U440" s="223" t="str">
        <f t="array" ref="U440:U441">{"MEDIUML15";((IF("15"=(INDEX(ALLCLASSDATA,MATCH("MediumLegendary",CLASSFEATUREHEADERS,0),MATCH($A441,CLASSNAMEHEADERS,0))),(INDEX(ALLCLASSDATA,MATCH("MediumLegendary",CLASSFEATUREHEADERS,0),MATCH(($A441 &amp; "Points"),CLASSNAMEHEADERS,0))),(IF("15"=(INDEX(ALLCLASSDATA,MATCH("MediumMaster",CLASSFEATUREHEADERS,0),MATCH($A441,CLASSNAMEHEADERS,0))),(INDEX(ALLCLASSDATA,MATCH("MediumMaster",CLASSFEATUREHEADERS,0),MATCH(($A441 &amp; "Points"),CLASSNAMEHEADERS,0))),(IF("15"=(INDEX(ALLCLASSDATA,MATCH("MediumExpert",CLASSFEATUREHEADERS,0),MATCH($A441,CLASSNAMEHEADERS,0))),(INDEX(ALLCLASSDATA,MATCH("MediumExpert",CLASSFEATUREHEADERS,0),MATCH(($A441 &amp; "Points"),CLASSNAMEHEADERS,0))),(IF("15"=(INDEX(ALLCLASSDATA,MATCH("MediumTrained",CLASSFEATUREHEADERS,0),MATCH($A441,CLASSNAMEHEADERS,0))),(INDEX(ALLCLASSDATA,MATCH("MediumTrained",CLASSFEATUREHEADERS,0),MATCH(($A441 &amp; "Points"),CLASSNAMEHEADERS,0))),"")))))))))}</f>
        <v>MEDIUML15</v>
      </c>
      <c r="V440" s="223"/>
      <c r="W440" s="223" t="str">
        <f t="array" ref="W440:W441">{"MEDIUML17";((IF("17"=(INDEX(ALLCLASSDATA,MATCH("MediumLegendary",CLASSFEATUREHEADERS,0),MATCH($A441,CLASSNAMEHEADERS,0))),(INDEX(ALLCLASSDATA,MATCH("MediumLegendary",CLASSFEATUREHEADERS,0),MATCH(($A441 &amp; "Points"),CLASSNAMEHEADERS,0))),(IF("17"=(INDEX(ALLCLASSDATA,MATCH("MediumMaster",CLASSFEATUREHEADERS,0),MATCH($A441,CLASSNAMEHEADERS,0))),(INDEX(ALLCLASSDATA,MATCH("MediumMaster",CLASSFEATUREHEADERS,0),MATCH(($A441 &amp; "Points"),CLASSNAMEHEADERS,0))),(IF("17"=(INDEX(ALLCLASSDATA,MATCH("MediumExpert",CLASSFEATUREHEADERS,0),MATCH($A441,CLASSNAMEHEADERS,0))),(INDEX(ALLCLASSDATA,MATCH("MediumExpert",CLASSFEATUREHEADERS,0),MATCH(($A441 &amp; "Points"),CLASSNAMEHEADERS,0))),(IF("17"=(INDEX(ALLCLASSDATA,MATCH("MediumTrained",CLASSFEATUREHEADERS,0),MATCH($A441,CLASSNAMEHEADERS,0))),(INDEX(ALLCLASSDATA,MATCH("MediumTrained",CLASSFEATUREHEADERS,0),MATCH(($A441 &amp; "Points"),CLASSNAMEHEADERS,0))),"")))))))))}</f>
        <v>MEDIUML17</v>
      </c>
      <c r="X440" s="223"/>
      <c r="Y440" s="223" t="str">
        <f t="array" ref="Y440:Y441">{"MEDIUML19";((IF("19"=(INDEX(ALLCLASSDATA,MATCH("MediumLegendary",CLASSFEATUREHEADERS,0),MATCH($A441,CLASSNAMEHEADERS,0))),(INDEX(ALLCLASSDATA,MATCH("MediumLegendary",CLASSFEATUREHEADERS,0),MATCH(($A441 &amp; "Points"),CLASSNAMEHEADERS,0))),(IF("19"=(INDEX(ALLCLASSDATA,MATCH("MediumMaster",CLASSFEATUREHEADERS,0),MATCH($A441,CLASSNAMEHEADERS,0))),(INDEX(ALLCLASSDATA,MATCH("MediumMaster",CLASSFEATUREHEADERS,0),MATCH(($A441 &amp; "Points"),CLASSNAMEHEADERS,0))),(IF("19"=(INDEX(ALLCLASSDATA,MATCH("MediumExpert",CLASSFEATUREHEADERS,0),MATCH($A441,CLASSNAMEHEADERS,0))),(INDEX(ALLCLASSDATA,MATCH("MediumExpert",CLASSFEATUREHEADERS,0),MATCH(($A441 &amp; "Points"),CLASSNAMEHEADERS,0))),(IF("19"=(INDEX(ALLCLASSDATA,MATCH("MediumTrained",CLASSFEATUREHEADERS,0),MATCH($A441,CLASSNAMEHEADERS,0))),(INDEX(ALLCLASSDATA,MATCH("MediumTrained",CLASSFEATUREHEADERS,0),MATCH(($A441 &amp; "Points"),CLASSNAMEHEADERS,0))),"")))))))))}</f>
        <v>MEDIUML19</v>
      </c>
      <c r="Z440" s="223"/>
      <c r="AA440" s="76" t="str">
        <f t="array" ref="AA440:AA441">{"MEDIUM TOTAL";(IF(COUNTBLANK(F441:Z441)=17,"L",(IF(COUNTBLANK(F441:Z441)=18,"M",(IF(COUNTBLANK(F441:Z441)=19,"E",(IF(COUNTBLANK(F441:Z441)=20,"T",""))))))))}</f>
        <v>MEDIUM TOTAL</v>
      </c>
      <c r="AB440" s="76" t="str">
        <f t="array" ref="AB440:AB441">{"MEDIUM TOTAL";(sum(F441:Z441))}</f>
        <v>MEDIUM TOTAL</v>
      </c>
    </row>
    <row r="441">
      <c r="A441" s="48" t="s">
        <v>231</v>
      </c>
      <c r="B441" s="48" t="s">
        <v>418</v>
      </c>
      <c r="C441" s="48" t="s">
        <v>1900</v>
      </c>
      <c r="D441" s="48" t="s">
        <v>76</v>
      </c>
      <c r="E441" s="5" t="s">
        <v>603</v>
      </c>
      <c r="F441" s="47" t="s">
        <v>603</v>
      </c>
      <c r="G441" s="5" t="s">
        <v>603</v>
      </c>
      <c r="H441" s="5"/>
      <c r="I441" s="5" t="s">
        <v>603</v>
      </c>
      <c r="J441" s="5"/>
      <c r="K441" s="5" t="s">
        <v>603</v>
      </c>
      <c r="L441" s="5"/>
      <c r="M441" s="5" t="s">
        <v>603</v>
      </c>
      <c r="N441" s="5"/>
      <c r="O441" s="5" t="s">
        <v>603</v>
      </c>
      <c r="P441" s="5"/>
      <c r="Q441" s="5" t="s">
        <v>603</v>
      </c>
      <c r="R441" s="5"/>
      <c r="S441" s="5" t="s">
        <v>603</v>
      </c>
      <c r="T441" s="5"/>
      <c r="U441" s="5" t="s">
        <v>603</v>
      </c>
      <c r="V441" s="5"/>
      <c r="W441" s="5" t="s">
        <v>603</v>
      </c>
      <c r="X441" s="5"/>
      <c r="Y441" s="5" t="s">
        <v>603</v>
      </c>
      <c r="Z441" s="5"/>
      <c r="AA441" s="5" t="s">
        <v>603</v>
      </c>
      <c r="AB441" s="47">
        <v>0.0</v>
      </c>
    </row>
    <row r="442" hidden="1">
      <c r="A442" s="222" t="str">
        <f t="array" ref="A442:A443">{"FormulaRow38";(INDEX(CLASSLIST,A367,1))}</f>
        <v>FormulaRow38</v>
      </c>
      <c r="B442" s="222" t="str">
        <f t="array" ref="B442:B443">{"CLASSTYPE";((INDEX(ALLCLASSDATA,MATCH("ClassType",CLASSFEATUREHEADERS,0),MATCH($A443,CLASSNAMEHEADERS,0))))}</f>
        <v>CLASSTYPE</v>
      </c>
      <c r="C442" s="222" t="str">
        <f t="array" ref="C442:C443">{"DEFENSE";"Defense"}</f>
        <v>DEFENSE</v>
      </c>
      <c r="D442" s="222" t="str">
        <f t="array" ref="D442:D443">{"HEAVY";"Heavy"}</f>
        <v>HEAVY</v>
      </c>
      <c r="E442" s="223" t="str">
        <f t="array" ref="E442:E443">{"HEAVYINITIAL";((IF(G443=10,"T",(IF(G443=50,"E","")))))}</f>
        <v>HEAVYINITIAL</v>
      </c>
      <c r="F442" s="223" t="str">
        <f t="array" ref="F442:F443">{"HEAVYINITIALPTS";((IF("00"=(INDEX(ALLCLASSDATA,MATCH("HeavyLegendary",CLASSFEATUREHEADERS,0),MATCH($A443,CLASSNAMEHEADERS,0))),(INDEX(ALLCLASSDATA,MATCH("HeavyLegendary",CLASSFEATUREHEADERS,0),MATCH(($A443 &amp; "Points"),CLASSNAMEHEADERS,0))),(IF("00"=(INDEX(ALLCLASSDATA,MATCH("HeavyMaster",CLASSFEATUREHEADERS,0),MATCH($A443,CLASSNAMEHEADERS,0))),(INDEX(ALLCLASSDATA,MATCH("HeavyMaster",CLASSFEATUREHEADERS,0),MATCH(($A443 &amp; "Points"),CLASSNAMEHEADERS,0))),(IF("00"=(INDEX(ALLCLASSDATA,MATCH("HeavyExpert",CLASSFEATUREHEADERS,0),MATCH($A443,CLASSNAMEHEADERS,0))),(INDEX(ALLCLASSDATA,MATCH("HeavyExpert",CLASSFEATUREHEADERS,0),MATCH(($A443 &amp; "Points"),CLASSNAMEHEADERS,0))),(IF("00"=(INDEX(ALLCLASSDATA,MATCH("HeavyTrained",CLASSFEATUREHEADERS,0),MATCH($A443,CLASSNAMEHEADERS,0))),(INDEX(ALLCLASSDATA,MATCH("HeavyTrained",CLASSFEATUREHEADERS,0),MATCH(($A443 &amp; "Points"),CLASSNAMEHEADERS,0))),"")))))))))}</f>
        <v>HEAVYINITIALPTS</v>
      </c>
      <c r="G442" s="223" t="str">
        <f t="array" ref="G442:G443">{"HEAVYL01";((IF("01"=(INDEX(ALLCLASSDATA,MATCH("HeavyLegendary",CLASSFEATUREHEADERS,0),MATCH($A443,CLASSNAMEHEADERS,0))),(INDEX(ALLCLASSDATA,MATCH("HeavyLegendary",CLASSFEATUREHEADERS,0),MATCH(($A443 &amp; "Points"),CLASSNAMEHEADERS,0))),(IF("01"=(INDEX(ALLCLASSDATA,MATCH("HeavyMaster",CLASSFEATUREHEADERS,0),MATCH($A443,CLASSNAMEHEADERS,0))),(INDEX(ALLCLASSDATA,MATCH("HeavyMaster",CLASSFEATUREHEADERS,0),MATCH(($A443 &amp; "Points"),CLASSNAMEHEADERS,0))),(IF("01"=(INDEX(ALLCLASSDATA,MATCH("HeavyExpert",CLASSFEATUREHEADERS,0),MATCH($A443,CLASSNAMEHEADERS,0))),(INDEX(ALLCLASSDATA,MATCH("HeavyExpert",CLASSFEATUREHEADERS,0),MATCH(($A443 &amp; "Points"),CLASSNAMEHEADERS,0))),(IF("01"=(INDEX(ALLCLASSDATA,MATCH("HeavyTrained",CLASSFEATUREHEADERS,0),MATCH($A443,CLASSNAMEHEADERS,0))),(INDEX(ALLCLASSDATA,MATCH("HeavyTrained",CLASSFEATUREHEADERS,0),MATCH(($A443 &amp; "Points"),CLASSNAMEHEADERS,0))),"")))))))))}</f>
        <v>HEAVYL01</v>
      </c>
      <c r="H442" s="223"/>
      <c r="I442" s="223" t="str">
        <f t="array" ref="I442:I443">{"HEAVYL03";((IF("03"=(INDEX(ALLCLASSDATA,MATCH("HeavyLegendary",CLASSFEATUREHEADERS,0),MATCH($A443,CLASSNAMEHEADERS,0))),(INDEX(ALLCLASSDATA,MATCH("HeavyLegendary",CLASSFEATUREHEADERS,0),MATCH(($A443 &amp; "Points"),CLASSNAMEHEADERS,0))),(IF("03"=(INDEX(ALLCLASSDATA,MATCH("HeavyMaster",CLASSFEATUREHEADERS,0),MATCH($A443,CLASSNAMEHEADERS,0))),(INDEX(ALLCLASSDATA,MATCH("HeavyMaster",CLASSFEATUREHEADERS,0),MATCH(($A443 &amp; "Points"),CLASSNAMEHEADERS,0))),(IF("03"=(INDEX(ALLCLASSDATA,MATCH("HeavyExpert",CLASSFEATUREHEADERS,0),MATCH($A443,CLASSNAMEHEADERS,0))),(INDEX(ALLCLASSDATA,MATCH("HeavyExpert",CLASSFEATUREHEADERS,0),MATCH(($A443 &amp; "Points"),CLASSNAMEHEADERS,0))),(IF("03"=(INDEX(ALLCLASSDATA,MATCH("HeavyTrained",CLASSFEATUREHEADERS,0),MATCH($A443,CLASSNAMEHEADERS,0))),(INDEX(ALLCLASSDATA,MATCH("HeavyTrained",CLASSFEATUREHEADERS,0),MATCH(($A443 &amp; "Points"),CLASSNAMEHEADERS,0))),"")))))))))}</f>
        <v>HEAVYL03</v>
      </c>
      <c r="J442" s="223"/>
      <c r="K442" s="223" t="str">
        <f t="array" ref="K442:K443">{"HEAVYL05";((IF("05"=(INDEX(ALLCLASSDATA,MATCH("HeavyLegendary",CLASSFEATUREHEADERS,0),MATCH($A443,CLASSNAMEHEADERS,0))),(INDEX(ALLCLASSDATA,MATCH("HeavyLegendary",CLASSFEATUREHEADERS,0),MATCH(($A443 &amp; "Points"),CLASSNAMEHEADERS,0))),(IF("05"=(INDEX(ALLCLASSDATA,MATCH("HeavyMaster",CLASSFEATUREHEADERS,0),MATCH($A443,CLASSNAMEHEADERS,0))),(INDEX(ALLCLASSDATA,MATCH("HeavyMaster",CLASSFEATUREHEADERS,0),MATCH(($A443 &amp; "Points"),CLASSNAMEHEADERS,0))),(IF("05"=(INDEX(ALLCLASSDATA,MATCH("HeavyExpert",CLASSFEATUREHEADERS,0),MATCH($A443,CLASSNAMEHEADERS,0))),(INDEX(ALLCLASSDATA,MATCH("HeavyExpert",CLASSFEATUREHEADERS,0),MATCH(($A443 &amp; "Points"),CLASSNAMEHEADERS,0))),(IF("05"=(INDEX(ALLCLASSDATA,MATCH("HeavyTrained",CLASSFEATUREHEADERS,0),MATCH($A443,CLASSNAMEHEADERS,0))),(INDEX(ALLCLASSDATA,MATCH("HeavyTrained",CLASSFEATUREHEADERS,0),MATCH(($A443 &amp; "Points"),CLASSNAMEHEADERS,0))),"")))))))))}</f>
        <v>HEAVYL05</v>
      </c>
      <c r="L442" s="223"/>
      <c r="M442" s="223" t="str">
        <f t="array" ref="M442:M443">{"HEAVYL07";((IF("07"=(INDEX(ALLCLASSDATA,MATCH("HeavyLegendary",CLASSFEATUREHEADERS,0),MATCH($A443,CLASSNAMEHEADERS,0))),(INDEX(ALLCLASSDATA,MATCH("HeavyLegendary",CLASSFEATUREHEADERS,0),MATCH(($A443 &amp; "Points"),CLASSNAMEHEADERS,0))),(IF("07"=(INDEX(ALLCLASSDATA,MATCH("HeavyMaster",CLASSFEATUREHEADERS,0),MATCH($A443,CLASSNAMEHEADERS,0))),(INDEX(ALLCLASSDATA,MATCH("HeavyMaster",CLASSFEATUREHEADERS,0),MATCH(($A443 &amp; "Points"),CLASSNAMEHEADERS,0))),(IF("07"=(INDEX(ALLCLASSDATA,MATCH("HeavyExpert",CLASSFEATUREHEADERS,0),MATCH($A443,CLASSNAMEHEADERS,0))),(INDEX(ALLCLASSDATA,MATCH("HeavyExpert",CLASSFEATUREHEADERS,0),MATCH(($A443 &amp; "Points"),CLASSNAMEHEADERS,0))),(IF("07"=(INDEX(ALLCLASSDATA,MATCH("HeavyTrained",CLASSFEATUREHEADERS,0),MATCH($A443,CLASSNAMEHEADERS,0))),(INDEX(ALLCLASSDATA,MATCH("HeavyTrained",CLASSFEATUREHEADERS,0),MATCH(($A443 &amp; "Points"),CLASSNAMEHEADERS,0))),"")))))))))}</f>
        <v>HEAVYL07</v>
      </c>
      <c r="N442" s="223"/>
      <c r="O442" s="223" t="str">
        <f t="array" ref="O442:O443">{"HEAVYL09";((IF("09"=(INDEX(ALLCLASSDATA,MATCH("HeavyLegendary",CLASSFEATUREHEADERS,0),MATCH($A443,CLASSNAMEHEADERS,0))),(INDEX(ALLCLASSDATA,MATCH("HeavyLegendary",CLASSFEATUREHEADERS,0),MATCH(($A443 &amp; "Points"),CLASSNAMEHEADERS,0))),(IF("09"=(INDEX(ALLCLASSDATA,MATCH("HeavyMaster",CLASSFEATUREHEADERS,0),MATCH($A443,CLASSNAMEHEADERS,0))),(INDEX(ALLCLASSDATA,MATCH("HeavyMaster",CLASSFEATUREHEADERS,0),MATCH(($A443 &amp; "Points"),CLASSNAMEHEADERS,0))),(IF("09"=(INDEX(ALLCLASSDATA,MATCH("HeavyExpert",CLASSFEATUREHEADERS,0),MATCH($A443,CLASSNAMEHEADERS,0))),(INDEX(ALLCLASSDATA,MATCH("HeavyExpert",CLASSFEATUREHEADERS,0),MATCH(($A443 &amp; "Points"),CLASSNAMEHEADERS,0))),(IF("09"=(INDEX(ALLCLASSDATA,MATCH("HeavyTrained",CLASSFEATUREHEADERS,0),MATCH($A443,CLASSNAMEHEADERS,0))),(INDEX(ALLCLASSDATA,MATCH("HeavyTrained",CLASSFEATUREHEADERS,0),MATCH(($A443 &amp; "Points"),CLASSNAMEHEADERS,0))),"")))))))))}</f>
        <v>HEAVYL09</v>
      </c>
      <c r="P442" s="223"/>
      <c r="Q442" s="223" t="str">
        <f t="array" ref="Q442:Q443">{"HEAVYL11";((IF("11"=(INDEX(ALLCLASSDATA,MATCH("HeavyLegendary",CLASSFEATUREHEADERS,0),MATCH($A443,CLASSNAMEHEADERS,0))),(INDEX(ALLCLASSDATA,MATCH("HeavyLegendary",CLASSFEATUREHEADERS,0),MATCH(($A443 &amp; "Points"),CLASSNAMEHEADERS,0))),(IF("11"=(INDEX(ALLCLASSDATA,MATCH("HeavyMaster",CLASSFEATUREHEADERS,0),MATCH($A443,CLASSNAMEHEADERS,0))),(INDEX(ALLCLASSDATA,MATCH("HeavyMaster",CLASSFEATUREHEADERS,0),MATCH(($A443 &amp; "Points"),CLASSNAMEHEADERS,0))),(IF("11"=(INDEX(ALLCLASSDATA,MATCH("HeavyExpert",CLASSFEATUREHEADERS,0),MATCH($A443,CLASSNAMEHEADERS,0))),(INDEX(ALLCLASSDATA,MATCH("HeavyExpert",CLASSFEATUREHEADERS,0),MATCH(($A443 &amp; "Points"),CLASSNAMEHEADERS,0))),(IF("11"=(INDEX(ALLCLASSDATA,MATCH("HeavyTrained",CLASSFEATUREHEADERS,0),MATCH($A443,CLASSNAMEHEADERS,0))),(INDEX(ALLCLASSDATA,MATCH("HeavyTrained",CLASSFEATUREHEADERS,0),MATCH(($A443 &amp; "Points"),CLASSNAMEHEADERS,0))),"")))))))))}</f>
        <v>HEAVYL11</v>
      </c>
      <c r="R442" s="223"/>
      <c r="S442" s="223" t="str">
        <f t="array" ref="S442:S443">{"HEAVYL13";((IF("13"=(INDEX(ALLCLASSDATA,MATCH("HeavyLegendary",CLASSFEATUREHEADERS,0),MATCH($A443,CLASSNAMEHEADERS,0))),(INDEX(ALLCLASSDATA,MATCH("HeavyLegendary",CLASSFEATUREHEADERS,0),MATCH(($A443 &amp; "Points"),CLASSNAMEHEADERS,0))),(IF("13"=(INDEX(ALLCLASSDATA,MATCH("HeavyMaster",CLASSFEATUREHEADERS,0),MATCH($A443,CLASSNAMEHEADERS,0))),(INDEX(ALLCLASSDATA,MATCH("HeavyMaster",CLASSFEATUREHEADERS,0),MATCH(($A443 &amp; "Points"),CLASSNAMEHEADERS,0))),(IF("13"=(INDEX(ALLCLASSDATA,MATCH("HeavyExpert",CLASSFEATUREHEADERS,0),MATCH($A443,CLASSNAMEHEADERS,0))),(INDEX(ALLCLASSDATA,MATCH("HeavyExpert",CLASSFEATUREHEADERS,0),MATCH(($A443 &amp; "Points"),CLASSNAMEHEADERS,0))),(IF("13"=(INDEX(ALLCLASSDATA,MATCH("HeavyTrained",CLASSFEATUREHEADERS,0),MATCH($A443,CLASSNAMEHEADERS,0))),(INDEX(ALLCLASSDATA,MATCH("HeavyTrained",CLASSFEATUREHEADERS,0),MATCH(($A443 &amp; "Points"),CLASSNAMEHEADERS,0))),"")))))))))}</f>
        <v>HEAVYL13</v>
      </c>
      <c r="T442" s="223"/>
      <c r="U442" s="223" t="str">
        <f t="array" ref="U442:U443">{"HEAVYL15";((IF("15"=(INDEX(ALLCLASSDATA,MATCH("HeavyLegendary",CLASSFEATUREHEADERS,0),MATCH($A443,CLASSNAMEHEADERS,0))),(INDEX(ALLCLASSDATA,MATCH("HeavyLegendary",CLASSFEATUREHEADERS,0),MATCH(($A443 &amp; "Points"),CLASSNAMEHEADERS,0))),(IF("15"=(INDEX(ALLCLASSDATA,MATCH("HeavyMaster",CLASSFEATUREHEADERS,0),MATCH($A443,CLASSNAMEHEADERS,0))),(INDEX(ALLCLASSDATA,MATCH("HeavyMaster",CLASSFEATUREHEADERS,0),MATCH(($A443 &amp; "Points"),CLASSNAMEHEADERS,0))),(IF("15"=(INDEX(ALLCLASSDATA,MATCH("HeavyExpert",CLASSFEATUREHEADERS,0),MATCH($A443,CLASSNAMEHEADERS,0))),(INDEX(ALLCLASSDATA,MATCH("HeavyExpert",CLASSFEATUREHEADERS,0),MATCH(($A443 &amp; "Points"),CLASSNAMEHEADERS,0))),(IF("15"=(INDEX(ALLCLASSDATA,MATCH("HeavyTrained",CLASSFEATUREHEADERS,0),MATCH($A443,CLASSNAMEHEADERS,0))),(INDEX(ALLCLASSDATA,MATCH("HeavyTrained",CLASSFEATUREHEADERS,0),MATCH(($A443 &amp; "Points"),CLASSNAMEHEADERS,0))),"")))))))))}</f>
        <v>HEAVYL15</v>
      </c>
      <c r="V442" s="223"/>
      <c r="W442" s="223" t="str">
        <f t="array" ref="W442:W443">{"HEAVYL17";((IF("17"=(INDEX(ALLCLASSDATA,MATCH("HeavyLegendary",CLASSFEATUREHEADERS,0),MATCH($A443,CLASSNAMEHEADERS,0))),(INDEX(ALLCLASSDATA,MATCH("HeavyLegendary",CLASSFEATUREHEADERS,0),MATCH(($A443 &amp; "Points"),CLASSNAMEHEADERS,0))),(IF("17"=(INDEX(ALLCLASSDATA,MATCH("HeavyMaster",CLASSFEATUREHEADERS,0),MATCH($A443,CLASSNAMEHEADERS,0))),(INDEX(ALLCLASSDATA,MATCH("HeavyMaster",CLASSFEATUREHEADERS,0),MATCH(($A443 &amp; "Points"),CLASSNAMEHEADERS,0))),(IF("17"=(INDEX(ALLCLASSDATA,MATCH("HeavyExpert",CLASSFEATUREHEADERS,0),MATCH($A443,CLASSNAMEHEADERS,0))),(INDEX(ALLCLASSDATA,MATCH("HeavyExpert",CLASSFEATUREHEADERS,0),MATCH(($A443 &amp; "Points"),CLASSNAMEHEADERS,0))),(IF("17"=(INDEX(ALLCLASSDATA,MATCH("HeavyTrained",CLASSFEATUREHEADERS,0),MATCH($A443,CLASSNAMEHEADERS,0))),(INDEX(ALLCLASSDATA,MATCH("HeavyTrained",CLASSFEATUREHEADERS,0),MATCH(($A443 &amp; "Points"),CLASSNAMEHEADERS,0))),"")))))))))}</f>
        <v>HEAVYL17</v>
      </c>
      <c r="X442" s="223"/>
      <c r="Y442" s="223" t="str">
        <f t="array" ref="Y442:Y443">{"HEAVYL19";((IF("19"=(INDEX(ALLCLASSDATA,MATCH("HeavyLegendary",CLASSFEATUREHEADERS,0),MATCH($A443,CLASSNAMEHEADERS,0))),(INDEX(ALLCLASSDATA,MATCH("HeavyLegendary",CLASSFEATUREHEADERS,0),MATCH(($A443 &amp; "Points"),CLASSNAMEHEADERS,0))),(IF("19"=(INDEX(ALLCLASSDATA,MATCH("HeavyMaster",CLASSFEATUREHEADERS,0),MATCH($A443,CLASSNAMEHEADERS,0))),(INDEX(ALLCLASSDATA,MATCH("HeavyMaster",CLASSFEATUREHEADERS,0),MATCH(($A443 &amp; "Points"),CLASSNAMEHEADERS,0))),(IF("19"=(INDEX(ALLCLASSDATA,MATCH("HeavyExpert",CLASSFEATUREHEADERS,0),MATCH($A443,CLASSNAMEHEADERS,0))),(INDEX(ALLCLASSDATA,MATCH("HeavyExpert",CLASSFEATUREHEADERS,0),MATCH(($A443 &amp; "Points"),CLASSNAMEHEADERS,0))),(IF("19"=(INDEX(ALLCLASSDATA,MATCH("HeavyTrained",CLASSFEATUREHEADERS,0),MATCH($A443,CLASSNAMEHEADERS,0))),(INDEX(ALLCLASSDATA,MATCH("HeavyTrained",CLASSFEATUREHEADERS,0),MATCH(($A443 &amp; "Points"),CLASSNAMEHEADERS,0))),"")))))))))}</f>
        <v>HEAVYL19</v>
      </c>
      <c r="Z442" s="223"/>
      <c r="AA442" s="76" t="str">
        <f t="array" ref="AA442:AA443">{"HEAVY TOTAL";(IF(COUNTBLANK(F443:Z443)=17,"L",(IF(COUNTBLANK(F443:Z443)=18,"M",(IF(COUNTBLANK(F443:Z443)=19,"E",(IF(COUNTBLANK(F443:Z443)=20,"T",""))))))))}</f>
        <v>HEAVY TOTAL</v>
      </c>
      <c r="AB442" s="76" t="str">
        <f t="array" ref="AB442:AB443">{"HEAVY TOTAL";(sum(F443:Z443))}</f>
        <v>HEAVY TOTAL</v>
      </c>
    </row>
    <row r="443">
      <c r="A443" s="48" t="s">
        <v>231</v>
      </c>
      <c r="B443" s="48" t="s">
        <v>418</v>
      </c>
      <c r="C443" s="97" t="s">
        <v>1900</v>
      </c>
      <c r="D443" s="97" t="s">
        <v>533</v>
      </c>
      <c r="E443" s="98" t="s">
        <v>603</v>
      </c>
      <c r="F443" s="132" t="s">
        <v>603</v>
      </c>
      <c r="G443" s="98" t="s">
        <v>603</v>
      </c>
      <c r="H443" s="98"/>
      <c r="I443" s="98" t="s">
        <v>603</v>
      </c>
      <c r="J443" s="98"/>
      <c r="K443" s="98" t="s">
        <v>603</v>
      </c>
      <c r="L443" s="98"/>
      <c r="M443" s="98" t="s">
        <v>603</v>
      </c>
      <c r="N443" s="98"/>
      <c r="O443" s="98" t="s">
        <v>603</v>
      </c>
      <c r="P443" s="98"/>
      <c r="Q443" s="98" t="s">
        <v>603</v>
      </c>
      <c r="R443" s="98"/>
      <c r="S443" s="98" t="s">
        <v>603</v>
      </c>
      <c r="T443" s="98"/>
      <c r="U443" s="98" t="s">
        <v>603</v>
      </c>
      <c r="V443" s="98"/>
      <c r="W443" s="98" t="s">
        <v>603</v>
      </c>
      <c r="X443" s="98"/>
      <c r="Y443" s="98" t="s">
        <v>603</v>
      </c>
      <c r="Z443" s="98"/>
      <c r="AA443" s="5" t="s">
        <v>603</v>
      </c>
      <c r="AB443" s="47">
        <v>0.0</v>
      </c>
    </row>
    <row r="444" hidden="1">
      <c r="A444" s="222" t="str">
        <f t="array" ref="A444:A445">{"FormulaRow39";(INDEX(CLASSLIST,A367,1))}</f>
        <v>FormulaRow39</v>
      </c>
      <c r="B444" s="222" t="str">
        <f t="array" ref="B444:B445">{"CLASSTYPE";((INDEX(ALLCLASSDATA,MATCH("ClassType",CLASSFEATUREHEADERS,0),MATCH($A445,CLASSNAMEHEADERS,0))))}</f>
        <v>CLASSTYPE</v>
      </c>
      <c r="C444" s="222" t="str">
        <f t="array" ref="C444:C445">{"SPELL/ALCHEMY";((IF(INDEX(ALLCLASSDATA,MATCH("CasterType",CLASSFEATUREHEADERS,0),MATCH(($A445),CLASSNAMEHEADERS,0))="","",(IF(INDEX(ALLCLASSDATA,MATCH("CasterType",CLASSFEATUREHEADERS,0),MATCH(($A445),CLASSNAMEHEADERS,0))="Alchemy","Alchemy","Spells")))))}</f>
        <v>SPELL/ALCHEMY</v>
      </c>
      <c r="D444" s="222" t="str">
        <f t="array" ref="D444:D445">{"SPELLLIST";(IF(C445="Spells",((INDEX(ALLCLASSDATA,MATCH("CasterType",CLASSFEATUREHEADERS,0),MATCH(($A445),CLASSNAMEHEADERS,0))) &amp; ":" &amp; (INDEX(ALLCLASSDATA,MATCH("SpellList",CLASSFEATUREHEADERS,0),MATCH(($A445),CLASSNAMEHEADERS,0)))),""))}</f>
        <v>SPELLLIST</v>
      </c>
      <c r="E444" s="223" t="str">
        <f t="array" ref="E444:E445">{"SPL";(IF(C445="Spells","SPL:",""))}</f>
        <v>SPL</v>
      </c>
      <c r="F444" s="223" t="str">
        <f t="array" ref="F444:F445">{"CANTRIP/ALC";(IF(C445="Spells","C",(IF(C445="Alchemy","ALC:",""))))}</f>
        <v>CANTRIP/ALC</v>
      </c>
      <c r="G444" s="223" t="str">
        <f t="array" ref="G444:G445">{"SPELL/ALC L01";(IF(C445="Alchemy","L01",(IF(C445="Spells","S01",""))))}</f>
        <v>SPELL/ALC L01</v>
      </c>
      <c r="H444" s="223" t="str">
        <f t="array" ref="H444:H445">{"SPELL/ALC L02";(IF(C445="Alchemy","L02",(IF(C445="Spells","S01",""))))}</f>
        <v>SPELL/ALC L02</v>
      </c>
      <c r="I444" s="223" t="str">
        <f t="array" ref="I444:I445">{"SPELL/ALC L03";(IF(C445="Alchemy","L03",(IF(C445="Spells","S02",""))))}</f>
        <v>SPELL/ALC L03</v>
      </c>
      <c r="J444" s="223" t="str">
        <f t="array" ref="J444:J445">{"SPELL/ALC L04";(IF(C445="Alchemy","L04",(IF(C445="Spells","S02",""))))}</f>
        <v>SPELL/ALC L04</v>
      </c>
      <c r="K444" s="223" t="str">
        <f t="array" ref="K444:K445">{"SPELL/ALC L05";(IF(C445="Alchemy","L05",(IF(C445="Spells","S03",""))))}</f>
        <v>SPELL/ALC L05</v>
      </c>
      <c r="L444" s="223" t="str">
        <f t="array" ref="L444:L445">{"SPELL/ALC L06";(IF(C445="Alchemy","L06",(IF(C445="Spells","S03",""))))}</f>
        <v>SPELL/ALC L06</v>
      </c>
      <c r="M444" s="223" t="str">
        <f t="array" ref="M444:M445">{"SPELL/ALC L07";(IF(C445="Alchemy","L07",(IF(C445="Spells","S04",""))))}</f>
        <v>SPELL/ALC L07</v>
      </c>
      <c r="N444" s="223" t="str">
        <f t="array" ref="N444:N445">{"SPELL/ALC L08";(IF(C445="Alchemy","L08",(IF(C445="Spells","S04",""))))}</f>
        <v>SPELL/ALC L08</v>
      </c>
      <c r="O444" s="223" t="str">
        <f t="array" ref="O444:O445">{"SPELL/ALC L09";(IF(C445="Alchemy","L09",(IF(C445="Spells","S05",""))))}</f>
        <v>SPELL/ALC L09</v>
      </c>
      <c r="P444" s="223" t="str">
        <f t="array" ref="P444:P445">{"SPELL/ALC L10";(IF(C445="Alchemy","L10",(IF(C445="Spells","S05",""))))}</f>
        <v>SPELL/ALC L10</v>
      </c>
      <c r="Q444" s="223" t="str">
        <f t="array" ref="Q444:Q445">{"SPELL/ALC L11";(IF(C445="Alchemy","L11",(IF(C445="Spells","S06",""))))}</f>
        <v>SPELL/ALC L11</v>
      </c>
      <c r="R444" s="223" t="str">
        <f t="array" ref="R444:R445">{"SPELL/ALC L12";(IF(C445="Alchemy","L12",(IF(C445="Spells","S06",""))))}</f>
        <v>SPELL/ALC L12</v>
      </c>
      <c r="S444" s="223" t="str">
        <f t="array" ref="S444:S445">{"SPELL/ALC L13";(IF(C445="Alchemy","L13",(IF(C445="Spells","S07",""))))}</f>
        <v>SPELL/ALC L13</v>
      </c>
      <c r="T444" s="223" t="str">
        <f t="array" ref="T444:T445">{"SPELL/ALC L14";(IF(C445="Alchemy","L14",(IF(C445="Spells","S07",""))))}</f>
        <v>SPELL/ALC L14</v>
      </c>
      <c r="U444" s="223" t="str">
        <f t="array" ref="U444:U445">{"SPELL/ALC L15";(IF(C445="Alchemy","L15",(IF(C445="Spells","S08",""))))}</f>
        <v>SPELL/ALC L15</v>
      </c>
      <c r="V444" s="223" t="str">
        <f t="array" ref="V444:V445">{"SPELL/ALC L16";(IF(C445="Alchemy","L16",(IF(C445="Spells","S08",""))))}</f>
        <v>SPELL/ALC L16</v>
      </c>
      <c r="W444" s="223" t="str">
        <f t="array" ref="W444:W445">{"SPELL/ALC L17";(IF(C445="Alchemy","L17",(IF(C445="Spells","S09",""))))}</f>
        <v>SPELL/ALC L17</v>
      </c>
      <c r="X444" s="223" t="str">
        <f t="array" ref="X444:X445">{"SPELL/ALC L18";(IF(C445="Alchemy","L18",(IF(C445="Spells","S09",""))))}</f>
        <v>SPELL/ALC L18</v>
      </c>
      <c r="Y444" s="223" t="str">
        <f t="array" ref="Y444:Y445">{"SPELL/ALC L19";(IF(C445="Alchemy","L19",(IF(C445="Spells","S10",""))))}</f>
        <v>SPELL/ALC L19</v>
      </c>
      <c r="Z444" s="223" t="str">
        <f t="array" ref="Z444:Z445">{"SPELL/ALC L20";(IF(C445="Alchemy","L20",(IF(C445="Spells","S10",""))))}</f>
        <v>SPELL/ALC L20</v>
      </c>
      <c r="AA444" s="76"/>
      <c r="AB444" s="76"/>
    </row>
    <row r="445">
      <c r="A445" s="48" t="s">
        <v>231</v>
      </c>
      <c r="B445" s="48" t="s">
        <v>418</v>
      </c>
      <c r="C445" s="48" t="s">
        <v>1901</v>
      </c>
      <c r="D445" s="48" t="s">
        <v>1922</v>
      </c>
      <c r="E445" s="278" t="s">
        <v>1903</v>
      </c>
      <c r="F445" s="114" t="s">
        <v>653</v>
      </c>
      <c r="G445" s="279" t="s">
        <v>1536</v>
      </c>
      <c r="H445" s="28" t="s">
        <v>1536</v>
      </c>
      <c r="I445" s="28" t="s">
        <v>1542</v>
      </c>
      <c r="J445" s="28" t="s">
        <v>1542</v>
      </c>
      <c r="K445" s="28" t="s">
        <v>1545</v>
      </c>
      <c r="L445" s="28" t="s">
        <v>1545</v>
      </c>
      <c r="M445" s="28" t="s">
        <v>1548</v>
      </c>
      <c r="N445" s="28" t="s">
        <v>1548</v>
      </c>
      <c r="O445" s="28" t="s">
        <v>1553</v>
      </c>
      <c r="P445" s="28" t="s">
        <v>1553</v>
      </c>
      <c r="Q445" s="28" t="s">
        <v>1556</v>
      </c>
      <c r="R445" s="28" t="s">
        <v>1556</v>
      </c>
      <c r="S445" s="28" t="s">
        <v>1559</v>
      </c>
      <c r="T445" s="28" t="s">
        <v>1559</v>
      </c>
      <c r="U445" s="28" t="s">
        <v>1562</v>
      </c>
      <c r="V445" s="28" t="s">
        <v>1562</v>
      </c>
      <c r="W445" s="28" t="s">
        <v>1565</v>
      </c>
      <c r="X445" s="28" t="s">
        <v>1565</v>
      </c>
      <c r="Y445" s="28" t="s">
        <v>1568</v>
      </c>
      <c r="Z445" s="28" t="s">
        <v>1568</v>
      </c>
      <c r="AA445" s="5"/>
      <c r="AB445" s="47"/>
    </row>
    <row r="446" hidden="1">
      <c r="A446" s="222" t="str">
        <f t="array" ref="A446:A447">{"FormulaRow40";(INDEX(CLASSLIST,A367,1))}</f>
        <v>FormulaRow40</v>
      </c>
      <c r="B446" s="222" t="str">
        <f t="array" ref="B446:B447">{"CLASSTYPE";((INDEX(ALLCLASSDATA,MATCH("ClassType",CLASSFEATUREHEADERS,0),MATCH($A447,CLASSNAMEHEADERS,0))))}</f>
        <v>CLASSTYPE</v>
      </c>
      <c r="C446" s="222" t="str">
        <f t="array" ref="C446:C447">{"SPELL/ALCHEMY";((IF(INDEX(ALLCLASSDATA,MATCH("CasterType",CLASSFEATUREHEADERS,0),MATCH(($A447),CLASSNAMEHEADERS,0))="","",(IF(INDEX(ALLCLASSDATA,MATCH("CasterType",CLASSFEATUREHEADERS,0),MATCH(($A447),CLASSNAMEHEADERS,0))="Alchemy","","Spells")))))}</f>
        <v>SPELL/ALCHEMY</v>
      </c>
      <c r="D446" s="222" t="str">
        <f t="array" ref="D446:D447">{"SPELLLIST";(IF(C447="Spells",((INDEX(ALLCLASSDATA,MATCH("CasterType",CLASSFEATUREHEADERS,0),MATCH(($A447),CLASSNAMEHEADERS,0))) &amp; ":" &amp; (INDEX(ALLCLASSDATA,MATCH("SpellList",CLASSFEATUREHEADERS,0),MATCH(($A447),CLASSNAMEHEADERS,0)))),""))}</f>
        <v>SPELLLIST</v>
      </c>
      <c r="E446" s="222" t="str">
        <f t="array" ref="E446:E447">{"SLOTCOST";(IF(C447="Spells","SlotCost:",""))}</f>
        <v>SLOTCOST</v>
      </c>
      <c r="F446" s="222" t="str">
        <f t="array" ref="F446:F447">{"SLOTCOST CANTRIP";(INDEX(ALLCLASSDATA,MATCH("CantripSlots-L00",CLASSFEATUREHEADERS,0),MATCH(($A447 &amp; "Points"),CLASSNAMEHEADERS,0)))}</f>
        <v>SLOTCOST CANTRIP</v>
      </c>
      <c r="G446" s="222" t="str">
        <f t="array" ref="G446:G447">{"SLOTCOST L01";(INDEX(ALLCLASSDATA,MATCH("SPL01-L01",CLASSFEATUREHEADERS,0),MATCH(($A447 &amp; "Points"),CLASSNAMEHEADERS,0)))}</f>
        <v>SLOTCOST L01</v>
      </c>
      <c r="H446" s="222" t="str">
        <f t="array" ref="H446:H447">{"SLOTCOST L02";(INDEX(ALLCLASSDATA,MATCH("SPL01-L02",CLASSFEATUREHEADERS,0),MATCH(($A447 &amp; "Points"),CLASSNAMEHEADERS,0)))}</f>
        <v>#REF!</v>
      </c>
      <c r="I446" s="222" t="str">
        <f t="array" ref="I446:I447">{"SLOTCOST L03";(INDEX(ALLCLASSDATA,MATCH("SPL02-L03",CLASSFEATUREHEADERS,0),MATCH(($A447 &amp; "Points"),CLASSNAMEHEADERS,0)))}</f>
        <v>SLOTCOST L03</v>
      </c>
      <c r="J446" s="222" t="str">
        <f t="array" ref="J446:J447">{"SLOTCOST L04";(INDEX(ALLCLASSDATA,MATCH("SPL02-L04",CLASSFEATUREHEADERS,0),MATCH(($A447 &amp; "Points"),CLASSNAMEHEADERS,0)))}</f>
        <v>#REF!</v>
      </c>
      <c r="K446" s="222" t="str">
        <f t="array" ref="K446:K447">{"SLOTCOST L05";(INDEX(ALLCLASSDATA,MATCH("SPL03-L05",CLASSFEATUREHEADERS,0),MATCH(($A447 &amp; "Points"),CLASSNAMEHEADERS,0)))}</f>
        <v>SLOTCOST L05</v>
      </c>
      <c r="L446" s="222" t="str">
        <f t="array" ref="L446:L447">{"SLOTCOST L06";(INDEX(ALLCLASSDATA,MATCH("SPL03-L06",CLASSFEATUREHEADERS,0),MATCH(($A447 &amp; "Points"),CLASSNAMEHEADERS,0)))}</f>
        <v>#REF!</v>
      </c>
      <c r="M446" s="222" t="str">
        <f t="array" ref="M446:M447">{"SLOTCOST L07";(INDEX(ALLCLASSDATA,MATCH("SPL04-L07",CLASSFEATUREHEADERS,0),MATCH(($A447 &amp; "Points"),CLASSNAMEHEADERS,0)))}</f>
        <v>SLOTCOST L07</v>
      </c>
      <c r="N446" s="222" t="str">
        <f t="array" ref="N446:N447">{"SLOTCOST L08";(INDEX(ALLCLASSDATA,MATCH("SPL04-L08",CLASSFEATUREHEADERS,0),MATCH(($A447 &amp; "Points"),CLASSNAMEHEADERS,0)))}</f>
        <v>#REF!</v>
      </c>
      <c r="O446" s="222" t="str">
        <f t="array" ref="O446:O447">{"SLOTCOST L09";(INDEX(ALLCLASSDATA,MATCH("SPL05-L09",CLASSFEATUREHEADERS,0),MATCH(($A447 &amp; "Points"),CLASSNAMEHEADERS,0)))}</f>
        <v>SLOTCOST L09</v>
      </c>
      <c r="P446" s="222" t="str">
        <f t="array" ref="P446:P447">{"SLOTCOST L10";(INDEX(ALLCLASSDATA,MATCH("SPL05-L10",CLASSFEATUREHEADERS,0),MATCH(($A447 &amp; "Points"),CLASSNAMEHEADERS,0)))}</f>
        <v>#REF!</v>
      </c>
      <c r="Q446" s="222" t="str">
        <f t="array" ref="Q446:Q447">{"SLOTCOST L11";(INDEX(ALLCLASSDATA,MATCH("SPL06-L11",CLASSFEATUREHEADERS,0),MATCH(($A447 &amp; "Points"),CLASSNAMEHEADERS,0)))}</f>
        <v>SLOTCOST L11</v>
      </c>
      <c r="R446" s="222" t="str">
        <f t="array" ref="R446:R447">{"SLOTCOST L12";(INDEX(ALLCLASSDATA,MATCH("SPL06-L12",CLASSFEATUREHEADERS,0),MATCH(($A447 &amp; "Points"),CLASSNAMEHEADERS,0)))}</f>
        <v>#REF!</v>
      </c>
      <c r="S446" s="222" t="str">
        <f t="array" ref="S446:S447">{"SLOTCOST L13";(INDEX(ALLCLASSDATA,MATCH("SPL07-L13",CLASSFEATUREHEADERS,0),MATCH(($A447 &amp; "Points"),CLASSNAMEHEADERS,0)))}</f>
        <v>SLOTCOST L13</v>
      </c>
      <c r="T446" s="222" t="str">
        <f t="array" ref="T446:T447">{"SLOTCOST L14";(INDEX(ALLCLASSDATA,MATCH("SPL07-L14",CLASSFEATUREHEADERS,0),MATCH(($A447 &amp; "Points"),CLASSNAMEHEADERS,0)))}</f>
        <v>#REF!</v>
      </c>
      <c r="U446" s="222" t="str">
        <f t="array" ref="U446:U447">{"SLOTCOST L15";(INDEX(ALLCLASSDATA,MATCH("SPL08-L15",CLASSFEATUREHEADERS,0),MATCH(($A447 &amp; "Points"),CLASSNAMEHEADERS,0)))}</f>
        <v>SLOTCOST L15</v>
      </c>
      <c r="V446" s="222" t="str">
        <f t="array" ref="V446:V447">{"SLOTCOST L16";(INDEX(ALLCLASSDATA,MATCH("SPL08-L16",CLASSFEATUREHEADERS,0),MATCH(($A447 &amp; "Points"),CLASSNAMEHEADERS,0)))}</f>
        <v>#REF!</v>
      </c>
      <c r="W446" s="222" t="str">
        <f t="array" ref="W446:W447">{"SLOTCOST L17";(INDEX(ALLCLASSDATA,MATCH("SPL09-L17",CLASSFEATUREHEADERS,0),MATCH(($A447 &amp; "Points"),CLASSNAMEHEADERS,0)))}</f>
        <v>SLOTCOST L17</v>
      </c>
      <c r="X446" s="222" t="str">
        <f t="array" ref="X446:X447">{"SLOTCOST L18";(INDEX(ALLCLASSDATA,MATCH("SPL09-L18",CLASSFEATUREHEADERS,0),MATCH(($A447 &amp; "Points"),CLASSNAMEHEADERS,0)))}</f>
        <v>#REF!</v>
      </c>
      <c r="Y446" s="222" t="str">
        <f t="array" ref="Y446:Y447">{"SLOTCOST L19";(INDEX(ALLCLASSDATA,MATCH("SPL10-L19",CLASSFEATUREHEADERS,0),MATCH(($A447 &amp; "Points"),CLASSNAMEHEADERS,0)))}</f>
        <v>SLOTCOST L19</v>
      </c>
      <c r="Z446" s="222" t="str">
        <f t="array" ref="Z446:Z447">{"SLOTCOST L20";(INDEX(ALLCLASSDATA,MATCH("SPL10-L20",CLASSFEATUREHEADERS,0),MATCH(($A447 &amp; "Points"),CLASSNAMEHEADERS,0)))}</f>
        <v>SLOTCOST L20</v>
      </c>
      <c r="AA446" s="76"/>
      <c r="AB446" s="76" t="str">
        <f t="array" ref="AB446:AB447">{"SLOT TOTAL";(sum(F447:Z447))}</f>
        <v>SLOT TOTAL</v>
      </c>
    </row>
    <row r="447">
      <c r="A447" s="48" t="s">
        <v>231</v>
      </c>
      <c r="B447" s="48" t="s">
        <v>418</v>
      </c>
      <c r="C447" s="48" t="s">
        <v>1901</v>
      </c>
      <c r="D447" s="48" t="s">
        <v>1922</v>
      </c>
      <c r="E447" s="278" t="s">
        <v>1904</v>
      </c>
      <c r="F447" s="47">
        <v>0.0</v>
      </c>
      <c r="G447" s="5">
        <v>20.0</v>
      </c>
      <c r="H447" s="48" t="s">
        <v>1905</v>
      </c>
      <c r="I447" s="5">
        <v>20.0</v>
      </c>
      <c r="J447" s="48" t="s">
        <v>1905</v>
      </c>
      <c r="K447" s="5">
        <v>20.0</v>
      </c>
      <c r="L447" s="48" t="s">
        <v>1905</v>
      </c>
      <c r="M447" s="5">
        <v>20.0</v>
      </c>
      <c r="N447" s="48" t="s">
        <v>1905</v>
      </c>
      <c r="O447" s="5">
        <v>20.0</v>
      </c>
      <c r="P447" s="48" t="s">
        <v>1905</v>
      </c>
      <c r="Q447" s="5">
        <v>20.0</v>
      </c>
      <c r="R447" s="48" t="s">
        <v>1905</v>
      </c>
      <c r="S447" s="5">
        <v>20.0</v>
      </c>
      <c r="T447" s="48" t="s">
        <v>1905</v>
      </c>
      <c r="U447" s="5">
        <v>20.0</v>
      </c>
      <c r="V447" s="48" t="s">
        <v>1905</v>
      </c>
      <c r="W447" s="5">
        <v>20.0</v>
      </c>
      <c r="X447" s="48" t="s">
        <v>1905</v>
      </c>
      <c r="Y447" s="5">
        <v>190.0</v>
      </c>
      <c r="Z447" s="5" t="s">
        <v>603</v>
      </c>
      <c r="AA447" s="5"/>
      <c r="AB447" s="47">
        <v>370.0</v>
      </c>
    </row>
    <row r="448" hidden="1">
      <c r="A448" s="222" t="str">
        <f t="array" ref="A448:A449">{"FormulaRow41";(INDEX(CLASSLIST,A367,1))}</f>
        <v>FormulaRow41</v>
      </c>
      <c r="B448" s="222" t="str">
        <f t="array" ref="B448:B449">{"CLASSTYPE";((INDEX(ALLCLASSDATA,MATCH("ClassType",CLASSFEATUREHEADERS,0),MATCH($A449,CLASSNAMEHEADERS,0))))}</f>
        <v>CLASSTYPE</v>
      </c>
      <c r="C448" s="222" t="str">
        <f t="array" ref="C448:C449">{"SPELL/ALCHEMY";((IF(INDEX(ALLCLASSDATA,MATCH("CasterType",CLASSFEATUREHEADERS,0),MATCH(($A449),CLASSNAMEHEADERS,0))="","",(IF(INDEX(ALLCLASSDATA,MATCH("CasterType",CLASSFEATUREHEADERS,0),MATCH(($A449),CLASSNAMEHEADERS,0))="Alchemy","Alchemy","Spells")))))}</f>
        <v>SPELL/ALCHEMY</v>
      </c>
      <c r="D448" s="222" t="str">
        <f t="array" ref="D448:D449">{"SPELLLIST";(IF(C449="Spells",((INDEX(ALLCLASSDATA,MATCH("CasterType",CLASSFEATUREHEADERS,0),MATCH(($A449),CLASSNAMEHEADERS,0))) &amp; ":" &amp; (INDEX(ALLCLASSDATA,MATCH("SpellList",CLASSFEATUREHEADERS,0),MATCH(($A449),CLASSNAMEHEADERS,0)))),""))}</f>
        <v>SPELLLIST</v>
      </c>
      <c r="E448" s="223" t="str">
        <f t="array" ref="E448:E449">{"LEARNEDCOST";(IF(C449="","","LearnCost:"))}</f>
        <v>LEARNEDCOST</v>
      </c>
      <c r="F448" s="223" t="str">
        <f t="array" ref="F448:F449">{"LEARNED CANTRIPS";(INDEX(ALLCLASSDATA,MATCH("CantripsLearned-L00",CLASSFEATUREHEADERS,0),MATCH(($A449 &amp; "Points"),CLASSNAMEHEADERS,0)))}</f>
        <v>LEARNED CANTRIPS</v>
      </c>
      <c r="G448" s="223" t="str">
        <f t="array" ref="G448:G449">{"LEARNED L01";(INDEX(ALLCLASSDATA,MATCH("Learned-L01",CLASSFEATUREHEADERS,0),MATCH(($A449 &amp; "Points"),CLASSNAMEHEADERS,0)))}</f>
        <v>LEARNED L01</v>
      </c>
      <c r="H448" s="223" t="str">
        <f t="array" ref="H448:H449">{"LEARNED L02";(INDEX(ALLCLASSDATA,MATCH("Learned-L02",CLASSFEATUREHEADERS,0),MATCH(($A449 &amp; "Points"),CLASSNAMEHEADERS,0)))}</f>
        <v>LEARNED L02</v>
      </c>
      <c r="I448" s="223" t="str">
        <f t="array" ref="I448:I449">{"LEARNED L03";(INDEX(ALLCLASSDATA,MATCH("Learned-L03",CLASSFEATUREHEADERS,0),MATCH(($A449 &amp; "Points"),CLASSNAMEHEADERS,0)))}</f>
        <v>LEARNED L03</v>
      </c>
      <c r="J448" s="223" t="str">
        <f t="array" ref="J448:J449">{"LEARNED L04";(INDEX(ALLCLASSDATA,MATCH("Learned-L04",CLASSFEATUREHEADERS,0),MATCH(($A449 &amp; "Points"),CLASSNAMEHEADERS,0)))}</f>
        <v>LEARNED L04</v>
      </c>
      <c r="K448" s="223" t="str">
        <f t="array" ref="K448:K449">{"LEARNED L05";(INDEX(ALLCLASSDATA,MATCH("Learned-L05",CLASSFEATUREHEADERS,0),MATCH(($A449 &amp; "Points"),CLASSNAMEHEADERS,0)))}</f>
        <v>LEARNED L05</v>
      </c>
      <c r="L448" s="223" t="str">
        <f t="array" ref="L448:L449">{"LEARNED L06";(INDEX(ALLCLASSDATA,MATCH("Learned-L06",CLASSFEATUREHEADERS,0),MATCH(($A449 &amp; "Points"),CLASSNAMEHEADERS,0)))}</f>
        <v>LEARNED L06</v>
      </c>
      <c r="M448" s="223" t="str">
        <f t="array" ref="M448:M449">{"LEARNED L07";(INDEX(ALLCLASSDATA,MATCH("Learned-L07",CLASSFEATUREHEADERS,0),MATCH(($A449 &amp; "Points"),CLASSNAMEHEADERS,0)))}</f>
        <v>LEARNED L07</v>
      </c>
      <c r="N448" s="223" t="str">
        <f t="array" ref="N448:N449">{"LEARNED L08";(INDEX(ALLCLASSDATA,MATCH("Learned-L08",CLASSFEATUREHEADERS,0),MATCH(($A449 &amp; "Points"),CLASSNAMEHEADERS,0)))}</f>
        <v>LEARNED L08</v>
      </c>
      <c r="O448" s="223" t="str">
        <f t="array" ref="O448:O449">{"LEARNED L09";(INDEX(ALLCLASSDATA,MATCH("Learned-L09",CLASSFEATUREHEADERS,0),MATCH(($A449 &amp; "Points"),CLASSNAMEHEADERS,0)))}</f>
        <v>LEARNED L09</v>
      </c>
      <c r="P448" s="223" t="str">
        <f t="array" ref="P448:P449">{"LEARNED L10";(INDEX(ALLCLASSDATA,MATCH("Learned-L10",CLASSFEATUREHEADERS,0),MATCH(($A449 &amp; "Points"),CLASSNAMEHEADERS,0)))}</f>
        <v>LEARNED L10</v>
      </c>
      <c r="Q448" s="223" t="str">
        <f t="array" ref="Q448:Q449">{"LEARNED L11";(INDEX(ALLCLASSDATA,MATCH("Learned-L11",CLASSFEATUREHEADERS,0),MATCH(($A449 &amp; "Points"),CLASSNAMEHEADERS,0)))}</f>
        <v>LEARNED L11</v>
      </c>
      <c r="R448" s="223" t="str">
        <f t="array" ref="R448:R449">{"LEARNED L12";(INDEX(ALLCLASSDATA,MATCH("Learned-L12",CLASSFEATUREHEADERS,0),MATCH(($A449 &amp; "Points"),CLASSNAMEHEADERS,0)))}</f>
        <v>LEARNED L12</v>
      </c>
      <c r="S448" s="223" t="str">
        <f t="array" ref="S448:S449">{"LEARNED L13";(INDEX(ALLCLASSDATA,MATCH("Learned-L13",CLASSFEATUREHEADERS,0),MATCH(($A449 &amp; "Points"),CLASSNAMEHEADERS,0)))}</f>
        <v>LEARNED L13</v>
      </c>
      <c r="T448" s="223" t="str">
        <f t="array" ref="T448:T449">{"LEARNED L14";(INDEX(ALLCLASSDATA,MATCH("Learned-L14",CLASSFEATUREHEADERS,0),MATCH(($A449 &amp; "Points"),CLASSNAMEHEADERS,0)))}</f>
        <v>LEARNED L14</v>
      </c>
      <c r="U448" s="223" t="str">
        <f t="array" ref="U448:U449">{"LEARNED L15";(INDEX(ALLCLASSDATA,MATCH("Learned-L15",CLASSFEATUREHEADERS,0),MATCH(($A449 &amp; "Points"),CLASSNAMEHEADERS,0)))}</f>
        <v>LEARNED L15</v>
      </c>
      <c r="V448" s="223" t="str">
        <f t="array" ref="V448:V449">{"LEARNED L16";(INDEX(ALLCLASSDATA,MATCH("Learned-L16",CLASSFEATUREHEADERS,0),MATCH(($A449 &amp; "Points"),CLASSNAMEHEADERS,0)))}</f>
        <v>LEARNED L16</v>
      </c>
      <c r="W448" s="223" t="str">
        <f t="array" ref="W448:W449">{"LEARNED L17";(INDEX(ALLCLASSDATA,MATCH("Learned-L17",CLASSFEATUREHEADERS,0),MATCH(($A449 &amp; "Points"),CLASSNAMEHEADERS,0)))}</f>
        <v>LEARNED L17</v>
      </c>
      <c r="X448" s="223" t="str">
        <f t="array" ref="X448:X449">{"LEARNED L18";(INDEX(ALLCLASSDATA,MATCH("Learned-L18",CLASSFEATUREHEADERS,0),MATCH(($A449 &amp; "Points"),CLASSNAMEHEADERS,0)))}</f>
        <v>LEARNED L18</v>
      </c>
      <c r="Y448" s="223" t="str">
        <f t="array" ref="Y448:Y449">{"LEARNED L19";(INDEX(ALLCLASSDATA,MATCH("Learned-L19",CLASSFEATUREHEADERS,0),MATCH(($A449 &amp; "Points"),CLASSNAMEHEADERS,0)))}</f>
        <v>LEARNED L19</v>
      </c>
      <c r="Z448" s="223" t="str">
        <f t="array" ref="Z448:Z449">{"LEARNED L20";(INDEX(ALLCLASSDATA,MATCH("Learned-L20",CLASSFEATUREHEADERS,0),MATCH(($A449 &amp; "Points"),CLASSNAMEHEADERS,0)))}</f>
        <v>LEARNED L20</v>
      </c>
      <c r="AA448" s="76"/>
      <c r="AB448" s="76" t="str">
        <f t="array" ref="AB448:AB449">{"LEARNED TOTAL";(sum(F449:Z449))}</f>
        <v>LEARNED TOTAL</v>
      </c>
    </row>
    <row r="449">
      <c r="A449" s="48" t="s">
        <v>231</v>
      </c>
      <c r="B449" s="48" t="s">
        <v>418</v>
      </c>
      <c r="C449" s="48" t="s">
        <v>1901</v>
      </c>
      <c r="D449" s="48" t="s">
        <v>1922</v>
      </c>
      <c r="E449" s="278" t="s">
        <v>1906</v>
      </c>
      <c r="F449" s="47">
        <v>25.0</v>
      </c>
      <c r="G449" s="5">
        <v>60.0</v>
      </c>
      <c r="H449" s="5">
        <v>20.0</v>
      </c>
      <c r="I449" s="5">
        <v>20.0</v>
      </c>
      <c r="J449" s="5">
        <v>20.0</v>
      </c>
      <c r="K449" s="5">
        <v>20.0</v>
      </c>
      <c r="L449" s="5">
        <v>20.0</v>
      </c>
      <c r="M449" s="48">
        <v>20.0</v>
      </c>
      <c r="N449" s="5">
        <v>20.0</v>
      </c>
      <c r="O449" s="5">
        <v>20.0</v>
      </c>
      <c r="P449" s="5">
        <v>20.0</v>
      </c>
      <c r="Q449" s="5">
        <v>20.0</v>
      </c>
      <c r="R449" s="5">
        <v>20.0</v>
      </c>
      <c r="S449" s="5">
        <v>20.0</v>
      </c>
      <c r="T449" s="5">
        <v>20.0</v>
      </c>
      <c r="U449" s="5">
        <v>20.0</v>
      </c>
      <c r="V449" s="5">
        <v>20.0</v>
      </c>
      <c r="W449" s="5">
        <v>20.0</v>
      </c>
      <c r="X449" s="5">
        <v>20.0</v>
      </c>
      <c r="Y449" s="5">
        <v>20.0</v>
      </c>
      <c r="Z449" s="5">
        <v>20.0</v>
      </c>
      <c r="AA449" s="5"/>
      <c r="AB449" s="47">
        <v>465.0</v>
      </c>
    </row>
    <row r="450" hidden="1">
      <c r="A450" s="222" t="str">
        <f t="array" ref="A450:A451">{"FormulaRow42";(INDEX(CLASSLIST,A367,1))}</f>
        <v>FormulaRow42</v>
      </c>
      <c r="B450" s="222" t="str">
        <f t="array" ref="B450:B451">{"CLASSTYPE";((INDEX(ALLCLASSDATA,MATCH("ClassType",CLASSFEATUREHEADERS,0),MATCH($A451,CLASSNAMEHEADERS,0))))}</f>
        <v>CLASSTYPE</v>
      </c>
      <c r="C450" s="222" t="str">
        <f t="array" ref="C450:C451">{"SPELL/ALCHEMY";((IF(INDEX(ALLCLASSDATA,MATCH("CasterType",CLASSFEATUREHEADERS,0),MATCH(($A451),CLASSNAMEHEADERS,0))="","",(IF(INDEX(ALLCLASSDATA,MATCH("CasterType",CLASSFEATUREHEADERS,0),MATCH(($A451),CLASSNAMEHEADERS,0))="Alchemy","","Spells")))))}</f>
        <v>SPELL/ALCHEMY</v>
      </c>
      <c r="D450" s="222" t="str">
        <f t="array" ref="D450:D451">{"SPELLLIST";(IF(C451="Spells",((INDEX(ALLCLASSDATA,MATCH("CasterType",CLASSFEATUREHEADERS,0),MATCH(($A451),CLASSNAMEHEADERS,0))) &amp; ":" &amp; (INDEX(ALLCLASSDATA,MATCH("SpellList",CLASSFEATUREHEADERS,0),MATCH(($A451),CLASSNAMEHEADERS,0)))),""))}</f>
        <v>SPELLLIST</v>
      </c>
      <c r="E450" s="223" t="str">
        <f t="array" ref="E450:E451">{"SLOT/LVL";(IF(C445="Spells","Slot/LVL:",""))}</f>
        <v>SLOT/LVL</v>
      </c>
      <c r="F450" s="223" t="str">
        <f t="array" ref="F450:F451">{"CANTRIPSLOTS";(INDEX(ALLCLASSDATA,MATCH("CantripSlots-L00",CLASSFEATUREHEADERS,0),MATCH($A451,CLASSNAMEHEADERS,0)))}</f>
        <v>#REF!</v>
      </c>
      <c r="G450" s="223" t="str">
        <f t="array" ref="G450:G451">{"SPL01-L01";(INDEX(ALLCLASSDATA,MATCH("SPL01-L01",CLASSFEATUREHEADERS,0),MATCH($A451,CLASSNAMEHEADERS,0)))}</f>
        <v>SPL01-L01</v>
      </c>
      <c r="H450" s="223" t="str">
        <f t="array" ref="H450:H451">{"SPL01-L02";(INDEX(ALLCLASSDATA,MATCH("SPL01-L02",CLASSFEATUREHEADERS,0),MATCH($A451,CLASSNAMEHEADERS,0)))}</f>
        <v>#REF!</v>
      </c>
      <c r="I450" s="223" t="str">
        <f t="array" ref="I450:I451">{"SPL02-L03";(INDEX(ALLCLASSDATA,MATCH("SPL02-L03",CLASSFEATUREHEADERS,0),MATCH($A451,CLASSNAMEHEADERS,0)))}</f>
        <v>SPL02-L03</v>
      </c>
      <c r="J450" s="223" t="str">
        <f t="array" ref="J450:J451">{"SPL02-L04";(INDEX(ALLCLASSDATA,MATCH("SPL02-L04",CLASSFEATUREHEADERS,0),MATCH($A451,CLASSNAMEHEADERS,0)))}</f>
        <v>#REF!</v>
      </c>
      <c r="K450" s="223" t="str">
        <f t="array" ref="K450:K451">{"SPL03-L05";(INDEX(ALLCLASSDATA,MATCH("SPL03-L05",CLASSFEATUREHEADERS,0),MATCH($A451,CLASSNAMEHEADERS,0)))}</f>
        <v>SPL03-L05</v>
      </c>
      <c r="L450" s="223" t="str">
        <f t="array" ref="L450:L451">{"SPL03-L06";(INDEX(ALLCLASSDATA,MATCH("SPL03-L06",CLASSFEATUREHEADERS,0),MATCH($A451,CLASSNAMEHEADERS,0)))}</f>
        <v>#REF!</v>
      </c>
      <c r="M450" s="223" t="str">
        <f t="array" ref="M450:M451">{"SPL04-L07";(INDEX(ALLCLASSDATA,MATCH("SPL04-L07",CLASSFEATUREHEADERS,0),MATCH($A451,CLASSNAMEHEADERS,0)))}</f>
        <v>SPL04-L07</v>
      </c>
      <c r="N450" s="223" t="str">
        <f t="array" ref="N450:N451">{"SPL04-L08";(INDEX(ALLCLASSDATA,MATCH("SPL04-L08",CLASSFEATUREHEADERS,0),MATCH($A451,CLASSNAMEHEADERS,0)))}</f>
        <v>#REF!</v>
      </c>
      <c r="O450" s="223" t="str">
        <f t="array" ref="O450:O451">{"SPL05-L09";(INDEX(ALLCLASSDATA,MATCH("SPL05-L09",CLASSFEATUREHEADERS,0),MATCH($A451,CLASSNAMEHEADERS,0)))}</f>
        <v>SPL05-L09</v>
      </c>
      <c r="P450" s="223" t="str">
        <f t="array" ref="P450:P451">{"SPL05-L10";(INDEX(ALLCLASSDATA,MATCH("SPL05-L10",CLASSFEATUREHEADERS,0),MATCH($A451,CLASSNAMEHEADERS,0)))}</f>
        <v>#REF!</v>
      </c>
      <c r="Q450" s="223" t="str">
        <f t="array" ref="Q450:Q451">{"SPL06-L11";(INDEX(ALLCLASSDATA,MATCH("SPL06-L11",CLASSFEATUREHEADERS,0),MATCH($A451,CLASSNAMEHEADERS,0)))}</f>
        <v>SPL06-L11</v>
      </c>
      <c r="R450" s="223" t="str">
        <f t="array" ref="R450:R451">{"SPL06-L12";(INDEX(ALLCLASSDATA,MATCH("SPL06-L12",CLASSFEATUREHEADERS,0),MATCH($A451,CLASSNAMEHEADERS,0)))}</f>
        <v>#REF!</v>
      </c>
      <c r="S450" s="223" t="str">
        <f t="array" ref="S450:S451">{"SPL07-L13";(INDEX(ALLCLASSDATA,MATCH("SPL07-L13",CLASSFEATUREHEADERS,0),MATCH($A451,CLASSNAMEHEADERS,0)))}</f>
        <v>SPL07-L13</v>
      </c>
      <c r="T450" s="223" t="str">
        <f t="array" ref="T450:T451">{"SPL07-L14";(INDEX(ALLCLASSDATA,MATCH("SPL07-L14",CLASSFEATUREHEADERS,0),MATCH($A451,CLASSNAMEHEADERS,0)))}</f>
        <v>#REF!</v>
      </c>
      <c r="U450" s="223" t="str">
        <f t="array" ref="U450:U451">{"SPL08-L15";(INDEX(ALLCLASSDATA,MATCH("SPL08-L15",CLASSFEATUREHEADERS,0),MATCH($A451,CLASSNAMEHEADERS,0)))}</f>
        <v>SPL08-L15</v>
      </c>
      <c r="V450" s="223" t="str">
        <f t="array" ref="V450:V451">{"SPL08-L16";(INDEX(ALLCLASSDATA,MATCH("SPL08-L16",CLASSFEATUREHEADERS,0),MATCH($A451,CLASSNAMEHEADERS,0)))}</f>
        <v>#REF!</v>
      </c>
      <c r="W450" s="223" t="str">
        <f t="array" ref="W450:W451">{"SPL09-L17";(INDEX(ALLCLASSDATA,MATCH("SPL09-L17",CLASSFEATUREHEADERS,0),MATCH($A451,CLASSNAMEHEADERS,0)))}</f>
        <v>SPL09-L17</v>
      </c>
      <c r="X450" s="223" t="str">
        <f t="array" ref="X450:X451">{"SPL09-L18";(INDEX(ALLCLASSDATA,MATCH("SPL09-L18",CLASSFEATUREHEADERS,0),MATCH($A451,CLASSNAMEHEADERS,0)))}</f>
        <v>#REF!</v>
      </c>
      <c r="Y450" s="223" t="str">
        <f t="array" ref="Y450:Y451">{"SPL10-L19";(INDEX(ALLCLASSDATA,MATCH("SPL10-L19",CLASSFEATUREHEADERS,0),MATCH($A451,CLASSNAMEHEADERS,0)))}</f>
        <v>SPL10-L19</v>
      </c>
      <c r="Z450" s="223" t="str">
        <f t="array" ref="Z450:Z451">{"SPL10-L20";(INDEX(ALLCLASSDATA,MATCH("SPL10-L20",CLASSFEATUREHEADERS,0),MATCH($A451,CLASSNAMEHEADERS,0)))}</f>
        <v>SPL10-L20</v>
      </c>
      <c r="AA450" s="76"/>
      <c r="AB450" s="76"/>
    </row>
    <row r="451">
      <c r="A451" s="48" t="s">
        <v>231</v>
      </c>
      <c r="B451" s="48" t="s">
        <v>418</v>
      </c>
      <c r="C451" s="48" t="s">
        <v>1901</v>
      </c>
      <c r="D451" s="48" t="s">
        <v>1922</v>
      </c>
      <c r="E451" s="278" t="s">
        <v>1907</v>
      </c>
      <c r="F451" s="114">
        <v>3.0</v>
      </c>
      <c r="G451" s="50" t="s">
        <v>1538</v>
      </c>
      <c r="H451" s="50" t="s">
        <v>1908</v>
      </c>
      <c r="I451" s="50" t="s">
        <v>1538</v>
      </c>
      <c r="J451" s="50" t="s">
        <v>1908</v>
      </c>
      <c r="K451" s="50" t="s">
        <v>1538</v>
      </c>
      <c r="L451" s="50" t="s">
        <v>1908</v>
      </c>
      <c r="M451" s="50" t="s">
        <v>1538</v>
      </c>
      <c r="N451" s="50" t="s">
        <v>1908</v>
      </c>
      <c r="O451" s="50" t="s">
        <v>1538</v>
      </c>
      <c r="P451" s="50" t="s">
        <v>1908</v>
      </c>
      <c r="Q451" s="50" t="s">
        <v>1538</v>
      </c>
      <c r="R451" s="50" t="s">
        <v>1908</v>
      </c>
      <c r="S451" s="50" t="s">
        <v>1538</v>
      </c>
      <c r="T451" s="50" t="s">
        <v>1908</v>
      </c>
      <c r="U451" s="50" t="s">
        <v>1538</v>
      </c>
      <c r="V451" s="50" t="s">
        <v>1908</v>
      </c>
      <c r="W451" s="50" t="s">
        <v>1538</v>
      </c>
      <c r="X451" s="50" t="s">
        <v>1908</v>
      </c>
      <c r="Y451" s="50" t="s">
        <v>1537</v>
      </c>
      <c r="Z451" s="50"/>
      <c r="AA451" s="278"/>
      <c r="AB451" s="47"/>
    </row>
    <row r="452" hidden="1">
      <c r="A452" s="222" t="str">
        <f t="array" ref="A452:A453">{"FormulaRow43";(INDEX(CLASSLIST,A367,1))}</f>
        <v>FormulaRow43</v>
      </c>
      <c r="B452" s="222" t="str">
        <f t="array" ref="B452:B453">{"CLASSTYPE";((INDEX(ALLCLASSDATA,MATCH("ClassType",CLASSFEATUREHEADERS,0),MATCH($A453,CLASSNAMEHEADERS,0))))}</f>
        <v>CLASSTYPE</v>
      </c>
      <c r="C452" s="222" t="str">
        <f t="array" ref="C452:C453">{"SPELL/ALCHEMY";((IF(INDEX(ALLCLASSDATA,MATCH("CasterType",CLASSFEATUREHEADERS,0),MATCH(($A453),CLASSNAMEHEADERS,0))="","",(IF(INDEX(ALLCLASSDATA,MATCH("CasterType",CLASSFEATUREHEADERS,0),MATCH(($A453),CLASSNAMEHEADERS,0))="Alchemy","Alchemy","Spells")))))}</f>
        <v>SPELL/ALCHEMY</v>
      </c>
      <c r="D452" s="222" t="str">
        <f t="array" ref="D452:D453">{"SPELLLIST";(IF(C453="Spells",((INDEX(ALLCLASSDATA,MATCH("CasterType",CLASSFEATUREHEADERS,0),MATCH(($A453),CLASSNAMEHEADERS,0))) &amp; ":" &amp; (INDEX(ALLCLASSDATA,MATCH("SpellList",CLASSFEATUREHEADERS,0),MATCH(($A453),CLASSNAMEHEADERS,0)))),""))}</f>
        <v>SPELLLIST</v>
      </c>
      <c r="E452" s="223" t="str">
        <f t="array" ref="E452:E453">{"LEARNED/LVL";(IF(C453="","","Learn/LVL:"))}</f>
        <v>LEARNED/LVL</v>
      </c>
      <c r="F452" s="223" t="str">
        <f t="array" ref="F452:F453">{"LEARNEDCANTRIPS";(INDEX(ALLCLASSDATA,MATCH("CantripsLearned-L00",CLASSFEATUREHEADERS,0),MATCH($A453,CLASSNAMEHEADERS,0)))}</f>
        <v>LEARNEDCANTRIPS</v>
      </c>
      <c r="G452" s="223" t="str">
        <f t="array" ref="G452:G453">{"LEARNED L01";(INDEX(ALLCLASSDATA,MATCH("Learned-L01",CLASSFEATUREHEADERS,0),MATCH($A453,CLASSNAMEHEADERS,0)))}</f>
        <v>LEARNED L01</v>
      </c>
      <c r="H452" s="223" t="str">
        <f t="array" ref="H452:H453">{"LEARNED L02";(INDEX(ALLCLASSDATA,MATCH("Learned-L02",CLASSFEATUREHEADERS,0),MATCH($A453,CLASSNAMEHEADERS,0)))}</f>
        <v>LEARNED L02</v>
      </c>
      <c r="I452" s="223" t="str">
        <f t="array" ref="I452:I453">{"LEARNED L03";(INDEX(ALLCLASSDATA,MATCH("Learned-L03",CLASSFEATUREHEADERS,0),MATCH($A453,CLASSNAMEHEADERS,0)))}</f>
        <v>LEARNED L03</v>
      </c>
      <c r="J452" s="223" t="str">
        <f t="array" ref="J452:J453">{"LEARNED L04";(INDEX(ALLCLASSDATA,MATCH("Learned-L04",CLASSFEATUREHEADERS,0),MATCH($A453,CLASSNAMEHEADERS,0)))}</f>
        <v>LEARNED L04</v>
      </c>
      <c r="K452" s="223" t="str">
        <f t="array" ref="K452:K453">{"LEARNED L05";(INDEX(ALLCLASSDATA,MATCH("Learned-L05",CLASSFEATUREHEADERS,0),MATCH($A453,CLASSNAMEHEADERS,0)))}</f>
        <v>LEARNED L05</v>
      </c>
      <c r="L452" s="223" t="str">
        <f t="array" ref="L452:L453">{"LEARNED L06";(INDEX(ALLCLASSDATA,MATCH("Learned-L06",CLASSFEATUREHEADERS,0),MATCH($A453,CLASSNAMEHEADERS,0)))}</f>
        <v>LEARNED L06</v>
      </c>
      <c r="M452" s="223" t="str">
        <f t="array" ref="M452:M453">{"LEARNED L07";(INDEX(ALLCLASSDATA,MATCH("Learned-L07",CLASSFEATUREHEADERS,0),MATCH($A453,CLASSNAMEHEADERS,0)))}</f>
        <v>LEARNED L07</v>
      </c>
      <c r="N452" s="223" t="str">
        <f t="array" ref="N452:N453">{"LEARNED L08";(INDEX(ALLCLASSDATA,MATCH("Learned-L08",CLASSFEATUREHEADERS,0),MATCH($A453,CLASSNAMEHEADERS,0)))}</f>
        <v>LEARNED L08</v>
      </c>
      <c r="O452" s="223" t="str">
        <f t="array" ref="O452:O453">{"LEARNED L09";(INDEX(ALLCLASSDATA,MATCH("Learned-L09",CLASSFEATUREHEADERS,0),MATCH($A453,CLASSNAMEHEADERS,0)))}</f>
        <v>LEARNED L09</v>
      </c>
      <c r="P452" s="223" t="str">
        <f t="array" ref="P452:P453">{"LEARNED L10";(INDEX(ALLCLASSDATA,MATCH("Learned-L10",CLASSFEATUREHEADERS,0),MATCH($A453,CLASSNAMEHEADERS,0)))}</f>
        <v>LEARNED L10</v>
      </c>
      <c r="Q452" s="223" t="str">
        <f t="array" ref="Q452:Q453">{"LEARNED L11";(INDEX(ALLCLASSDATA,MATCH("Learned-L11",CLASSFEATUREHEADERS,0),MATCH($A453,CLASSNAMEHEADERS,0)))}</f>
        <v>LEARNED L11</v>
      </c>
      <c r="R452" s="223" t="str">
        <f t="array" ref="R452:R453">{"LEARNED L12";(INDEX(ALLCLASSDATA,MATCH("Learned-L12",CLASSFEATUREHEADERS,0),MATCH($A453,CLASSNAMEHEADERS,0)))}</f>
        <v>LEARNED L12</v>
      </c>
      <c r="S452" s="223" t="str">
        <f t="array" ref="S452:S453">{"LEARNED L13";(INDEX(ALLCLASSDATA,MATCH("Learned-L13",CLASSFEATUREHEADERS,0),MATCH($A453,CLASSNAMEHEADERS,0)))}</f>
        <v>LEARNED L13</v>
      </c>
      <c r="T452" s="223" t="str">
        <f t="array" ref="T452:T453">{"LEARNED L14";(INDEX(ALLCLASSDATA,MATCH("Learned-L14",CLASSFEATUREHEADERS,0),MATCH($A453,CLASSNAMEHEADERS,0)))}</f>
        <v>LEARNED L14</v>
      </c>
      <c r="U452" s="223" t="str">
        <f t="array" ref="U452:U453">{"LEARNED L15";(INDEX(ALLCLASSDATA,MATCH("Learned-L15",CLASSFEATUREHEADERS,0),MATCH($A453,CLASSNAMEHEADERS,0)))}</f>
        <v>LEARNED L15</v>
      </c>
      <c r="V452" s="223" t="str">
        <f t="array" ref="V452:V453">{"LEARNED L16";(INDEX(ALLCLASSDATA,MATCH("Learned-L16",CLASSFEATUREHEADERS,0),MATCH($A453,CLASSNAMEHEADERS,0)))}</f>
        <v>LEARNED L16</v>
      </c>
      <c r="W452" s="223" t="str">
        <f t="array" ref="W452:W453">{"LEARNED L17";(INDEX(ALLCLASSDATA,MATCH("Learned-L17",CLASSFEATUREHEADERS,0),MATCH($A453,CLASSNAMEHEADERS,0)))}</f>
        <v>LEARNED L17</v>
      </c>
      <c r="X452" s="223" t="str">
        <f t="array" ref="X452:X453">{"LEARNED L18";(INDEX(ALLCLASSDATA,MATCH("Learned-L18",CLASSFEATUREHEADERS,0),MATCH($A453,CLASSNAMEHEADERS,0)))}</f>
        <v>LEARNED L18</v>
      </c>
      <c r="Y452" s="223" t="str">
        <f t="array" ref="Y452:Y453">{"LEARNED L19";(INDEX(ALLCLASSDATA,MATCH("Learned-L19",CLASSFEATUREHEADERS,0),MATCH($A453,CLASSNAMEHEADERS,0)))}</f>
        <v>LEARNED L19</v>
      </c>
      <c r="Z452" s="223" t="str">
        <f t="array" ref="Z452:Z453">{"LEARNED L20";(INDEX(ALLCLASSDATA,MATCH("Learned-L20",CLASSFEATUREHEADERS,0),MATCH($A453,CLASSNAMEHEADERS,0)))}</f>
        <v>LEARNED L20</v>
      </c>
      <c r="AA452" s="76"/>
      <c r="AB452" s="76"/>
    </row>
    <row r="453">
      <c r="A453" s="48" t="s">
        <v>231</v>
      </c>
      <c r="B453" s="48" t="s">
        <v>418</v>
      </c>
      <c r="C453" s="48" t="s">
        <v>1901</v>
      </c>
      <c r="D453" s="48" t="s">
        <v>1922</v>
      </c>
      <c r="E453" s="278" t="s">
        <v>1909</v>
      </c>
      <c r="F453" s="280" t="s">
        <v>158</v>
      </c>
      <c r="G453" s="278" t="s">
        <v>1533</v>
      </c>
      <c r="H453" s="278" t="s">
        <v>1538</v>
      </c>
      <c r="I453" s="278" t="s">
        <v>1538</v>
      </c>
      <c r="J453" s="278" t="s">
        <v>1538</v>
      </c>
      <c r="K453" s="278" t="s">
        <v>1538</v>
      </c>
      <c r="L453" s="278" t="s">
        <v>1538</v>
      </c>
      <c r="M453" s="278" t="s">
        <v>1538</v>
      </c>
      <c r="N453" s="50" t="s">
        <v>1538</v>
      </c>
      <c r="O453" s="278" t="s">
        <v>1538</v>
      </c>
      <c r="P453" s="278" t="s">
        <v>1538</v>
      </c>
      <c r="Q453" s="278" t="s">
        <v>1538</v>
      </c>
      <c r="R453" s="278" t="s">
        <v>1538</v>
      </c>
      <c r="S453" s="278" t="s">
        <v>1538</v>
      </c>
      <c r="T453" s="278" t="s">
        <v>1538</v>
      </c>
      <c r="U453" s="278" t="s">
        <v>1538</v>
      </c>
      <c r="V453" s="278" t="s">
        <v>1538</v>
      </c>
      <c r="W453" s="278" t="s">
        <v>1538</v>
      </c>
      <c r="X453" s="278" t="s">
        <v>1538</v>
      </c>
      <c r="Y453" s="278" t="s">
        <v>1538</v>
      </c>
      <c r="Z453" s="278" t="s">
        <v>1538</v>
      </c>
      <c r="AA453" s="278"/>
      <c r="AB453" s="47"/>
    </row>
    <row r="454" hidden="1">
      <c r="A454" s="222" t="str">
        <f t="array" ref="A454:A455">{"FormulaRow44";(INDEX(CLASSLIST,A367,1))}</f>
        <v>FormulaRow44</v>
      </c>
      <c r="B454" s="222" t="str">
        <f t="array" ref="B454:B455">{"CLASSTYPE";((INDEX(ALLCLASSDATA,MATCH("ClassType",CLASSFEATUREHEADERS,0),MATCH($A455,CLASSNAMEHEADERS,0))))}</f>
        <v>CLASSTYPE</v>
      </c>
      <c r="C454" s="222" t="str">
        <f t="array" ref="C454:C455">{"SPELL/ALCHEMY";((IF(INDEX(ALLCLASSDATA,MATCH("CasterType",CLASSFEATUREHEADERS,0),MATCH(($A455),CLASSNAMEHEADERS,0))="","",(IF(INDEX(ALLCLASSDATA,MATCH("CasterType",CLASSFEATUREHEADERS,0),MATCH(($A455),CLASSNAMEHEADERS,0))="Alchemy","","Spells")))))}</f>
        <v>SPELL/ALCHEMY</v>
      </c>
      <c r="D454" s="222" t="str">
        <f t="array" ref="D454:D455">{"SPELLLIST";(IF(C455="Spells",((INDEX(ALLCLASSDATA,MATCH("CasterType",CLASSFEATUREHEADERS,0),MATCH(($A455),CLASSNAMEHEADERS,0))) &amp; ":" &amp; (INDEX(ALLCLASSDATA,MATCH("SpellList",CLASSFEATUREHEADERS,0),MATCH(($A455),CLASSNAMEHEADERS,0)))),""))}</f>
        <v>SPELLLIST</v>
      </c>
      <c r="E454" s="223" t="str">
        <f t="array" ref="E454:E455">{"TOTALSLOTS";(IF(C455="","","TotalSlots:"))}</f>
        <v>TOTALSLOTS</v>
      </c>
      <c r="F454" s="223" t="str">
        <f t="array" ref="F454:F455">{"TOTALCANTRIPSLOTS";(F451)}</f>
        <v>TOTALCANTRIPSLOTS</v>
      </c>
      <c r="G454" s="223" t="str">
        <f t="array" ref="G454:G455">{"TOTALSLOTS L01";(G451)}</f>
        <v>TOTALSLOTS L01</v>
      </c>
      <c r="H454" s="223" t="str">
        <f t="array" ref="H454:H455">{"TOTALSLOTS L02";(G455+H451)}</f>
        <v>TOTALSLOTS L02</v>
      </c>
      <c r="I454" s="223" t="str">
        <f t="array" ref="I454:I455">{"TOTALSLOTS L03";(H455+I451)}</f>
        <v>TOTALSLOTS L03</v>
      </c>
      <c r="J454" s="223" t="str">
        <f t="array" ref="J454:J455">{"TOTALSLOTS L04";(I455+J451)}</f>
        <v>TOTALSLOTS L04</v>
      </c>
      <c r="K454" s="223" t="str">
        <f t="array" ref="K454:K455">{"TOTALSLOTS L05";(J455+K451)}</f>
        <v>TOTALSLOTS L05</v>
      </c>
      <c r="L454" s="223" t="str">
        <f t="array" ref="L454:L455">{"TOTALSLOTS L06";(K455+L451)}</f>
        <v>TOTALSLOTS L06</v>
      </c>
      <c r="M454" s="223" t="str">
        <f t="array" ref="M454:M455">{"TOTALSLOTS L07";(L455+M451)}</f>
        <v>TOTALSLOTS L07</v>
      </c>
      <c r="N454" s="223" t="str">
        <f t="array" ref="N454:N455">{"TOTALSLOTS L08";(M455+N451)}</f>
        <v>TOTALSLOTS L08</v>
      </c>
      <c r="O454" s="223" t="str">
        <f t="array" ref="O454:O455">{"TOTALSLOTS L09";(N455+O451)}</f>
        <v>TOTALSLOTS L09</v>
      </c>
      <c r="P454" s="223" t="str">
        <f t="array" ref="P454:P455">{"TOTALSLOTS L10";(O455+P451)}</f>
        <v>TOTALSLOTS L10</v>
      </c>
      <c r="Q454" s="223" t="str">
        <f t="array" ref="Q454:Q455">{"TOTALSLOTS L11";(P455+Q451)}</f>
        <v>TOTALSLOTS L11</v>
      </c>
      <c r="R454" s="223" t="str">
        <f t="array" ref="R454:R455">{"TOTALSLOTS L12";(Q455+R451)}</f>
        <v>TOTALSLOTS L12</v>
      </c>
      <c r="S454" s="223" t="str">
        <f t="array" ref="S454:S455">{"TOTALSLOTS L13";(R455+S451)}</f>
        <v>TOTALSLOTS L13</v>
      </c>
      <c r="T454" s="223" t="str">
        <f t="array" ref="T454:T455">{"TOTALSLOTS L14";(S455+T451)}</f>
        <v>TOTALSLOTS L14</v>
      </c>
      <c r="U454" s="223" t="str">
        <f t="array" ref="U454:U455">{"TOTALSLOTS L15";(T455+U451)}</f>
        <v>TOTALSLOTS L15</v>
      </c>
      <c r="V454" s="223" t="str">
        <f t="array" ref="V454:V455">{"TOTALSLOTS L16";(U455+V451)}</f>
        <v>TOTALSLOTS L16</v>
      </c>
      <c r="W454" s="223" t="str">
        <f t="array" ref="W454:W455">{"TOTALSLOTS L17";(V455+W451)}</f>
        <v>TOTALSLOTS L17</v>
      </c>
      <c r="X454" s="223" t="str">
        <f t="array" ref="X454:X455">{"TOTALSLOTS L18";(W455+X451)}</f>
        <v>TOTALSLOTS L18</v>
      </c>
      <c r="Y454" s="223" t="str">
        <f t="array" ref="Y454:Y455">{"TOTALSLOTS L19";(X455+Y451)}</f>
        <v>TOTALSLOTS L19</v>
      </c>
      <c r="Z454" s="223" t="str">
        <f t="array" ref="Z454:Z455">{"TOTALSLOTS L20";(Y455+Z451)}</f>
        <v>TOTALSLOTS L20</v>
      </c>
      <c r="AA454" s="76"/>
      <c r="AB454" s="76"/>
    </row>
    <row r="455">
      <c r="A455" s="48" t="s">
        <v>231</v>
      </c>
      <c r="B455" s="48" t="s">
        <v>418</v>
      </c>
      <c r="C455" s="48" t="s">
        <v>1901</v>
      </c>
      <c r="D455" s="48" t="s">
        <v>1922</v>
      </c>
      <c r="E455" s="278" t="s">
        <v>1910</v>
      </c>
      <c r="F455" s="47">
        <v>3.0</v>
      </c>
      <c r="G455" s="278" t="s">
        <v>1538</v>
      </c>
      <c r="H455" s="278">
        <v>2.0</v>
      </c>
      <c r="I455" s="278">
        <v>4.0</v>
      </c>
      <c r="J455" s="278">
        <v>4.0</v>
      </c>
      <c r="K455" s="278">
        <v>6.0</v>
      </c>
      <c r="L455" s="278">
        <v>6.0</v>
      </c>
      <c r="M455" s="278">
        <v>8.0</v>
      </c>
      <c r="N455" s="278">
        <v>8.0</v>
      </c>
      <c r="O455" s="278">
        <v>10.0</v>
      </c>
      <c r="P455" s="278">
        <v>10.0</v>
      </c>
      <c r="Q455" s="278">
        <v>12.0</v>
      </c>
      <c r="R455" s="278">
        <v>12.0</v>
      </c>
      <c r="S455" s="278">
        <v>14.0</v>
      </c>
      <c r="T455" s="278">
        <v>14.0</v>
      </c>
      <c r="U455" s="278">
        <v>16.0</v>
      </c>
      <c r="V455" s="278">
        <v>16.0</v>
      </c>
      <c r="W455" s="278">
        <v>18.0</v>
      </c>
      <c r="X455" s="278">
        <v>18.0</v>
      </c>
      <c r="Y455" s="278">
        <v>19.0</v>
      </c>
      <c r="Z455" s="278">
        <v>19.0</v>
      </c>
      <c r="AA455" s="5"/>
      <c r="AB455" s="47"/>
    </row>
    <row r="456" hidden="1">
      <c r="A456" s="222" t="str">
        <f t="array" ref="A456:A457">{"FormulaRow45";(INDEX(CLASSLIST,A367,1))}</f>
        <v>FormulaRow45</v>
      </c>
      <c r="B456" s="222" t="str">
        <f t="array" ref="B456:B457">{"CLASSTYPE";((INDEX(ALLCLASSDATA,MATCH("ClassType",CLASSFEATUREHEADERS,0),MATCH($A457,CLASSNAMEHEADERS,0))))}</f>
        <v>CLASSTYPE</v>
      </c>
      <c r="C456" s="222" t="str">
        <f t="array" ref="C456:C457">{"SPELL/ALCHEMY";((IF(INDEX(ALLCLASSDATA,MATCH("CasterType",CLASSFEATUREHEADERS,0),MATCH(($A457),CLASSNAMEHEADERS,0))="","",(IF(INDEX(ALLCLASSDATA,MATCH("CasterType",CLASSFEATUREHEADERS,0),MATCH(($A457),CLASSNAMEHEADERS,0))="Alchemy","Alchemy","Spells")))))}</f>
        <v>SPELL/ALCHEMY</v>
      </c>
      <c r="D456" s="222" t="str">
        <f t="array" ref="D456:D457">{"SPELLLIST";(IF(C457="Spells",((INDEX(ALLCLASSDATA,MATCH("CasterType",CLASSFEATUREHEADERS,0),MATCH(($A457),CLASSNAMEHEADERS,0))) &amp; ":" &amp; (INDEX(ALLCLASSDATA,MATCH("SpellList",CLASSFEATUREHEADERS,0),MATCH(($A457),CLASSNAMEHEADERS,0)))),""))}</f>
        <v>SPELLLIST</v>
      </c>
      <c r="E456" s="223" t="str">
        <f t="array" ref="E456:E457">{"TOTALLEARNED";(IF(C457="","","TotalLearned:"))}</f>
        <v>TOTALLEARNED</v>
      </c>
      <c r="F456" s="223" t="str">
        <f t="array" ref="F456:F457">{"TOTALCANTRIPSLEARNED";(F453)}</f>
        <v>TOTALCANTRIPSLEARNED</v>
      </c>
      <c r="G456" s="223" t="str">
        <f t="array" ref="G456:G457">{"TOTALLEARNED L01";(G453)}</f>
        <v>TOTALLEARNED L01</v>
      </c>
      <c r="H456" s="223" t="str">
        <f t="array" ref="H456:H457">{"TOTALLEARNED L02";(G457+H453)}</f>
        <v>TOTALLEARNED L02</v>
      </c>
      <c r="I456" s="223" t="str">
        <f t="array" ref="I456:I457">{"TOTALLEARNED L03";(H457+I453)}</f>
        <v>TOTALLEARNED L03</v>
      </c>
      <c r="J456" s="223" t="str">
        <f t="array" ref="J456:J457">{"TOTALLEARNED L04";(I457+J453)}</f>
        <v>TOTALLEARNED L04</v>
      </c>
      <c r="K456" s="223" t="str">
        <f t="array" ref="K456:K457">{"TOTALLEARNED L05";(J457+K453)}</f>
        <v>TOTALLEARNED L05</v>
      </c>
      <c r="L456" s="223" t="str">
        <f t="array" ref="L456:L457">{"TOTALLEARNED L06";(K457+L453)}</f>
        <v>TOTALLEARNED L06</v>
      </c>
      <c r="M456" s="223" t="str">
        <f t="array" ref="M456:M457">{"TOTALLEARNED L07";(L457+M453)}</f>
        <v>TOTALLEARNED L07</v>
      </c>
      <c r="N456" s="223" t="str">
        <f t="array" ref="N456:N457">{"TOTALLEARNED L08";(M457+N453)}</f>
        <v>TOTALLEARNED L08</v>
      </c>
      <c r="O456" s="223" t="str">
        <f t="array" ref="O456:O457">{"TOTALLEARNED L09";(N457+O453)}</f>
        <v>TOTALLEARNED L09</v>
      </c>
      <c r="P456" s="223" t="str">
        <f t="array" ref="P456:P457">{"TOTALLEARNED L10";(O457+P453)}</f>
        <v>TOTALLEARNED L10</v>
      </c>
      <c r="Q456" s="223" t="str">
        <f t="array" ref="Q456:Q457">{"TOTALLEARNED L11";(P457+Q453)}</f>
        <v>TOTALLEARNED L11</v>
      </c>
      <c r="R456" s="223" t="str">
        <f t="array" ref="R456:R457">{"TOTALLEARNED L12";(Q457+R453)}</f>
        <v>TOTALLEARNED L12</v>
      </c>
      <c r="S456" s="223" t="str">
        <f t="array" ref="S456:S457">{"TOTALLEARNED L13";(R457+S453)}</f>
        <v>TOTALLEARNED L13</v>
      </c>
      <c r="T456" s="223" t="str">
        <f t="array" ref="T456:T457">{"TOTALLEARNED L14";(S457+T453)}</f>
        <v>TOTALLEARNED L14</v>
      </c>
      <c r="U456" s="223" t="str">
        <f t="array" ref="U456:U457">{"TOTALLEARNED L15";(T457+U453)}</f>
        <v>TOTALLEARNED L15</v>
      </c>
      <c r="V456" s="223" t="str">
        <f t="array" ref="V456:V457">{"TOTALLEARNED L16";(U457+V453)}</f>
        <v>TOTALLEARNED L16</v>
      </c>
      <c r="W456" s="223" t="str">
        <f t="array" ref="W456:W457">{"TOTALLEARNED L17";(V457+W453)}</f>
        <v>TOTALLEARNED L17</v>
      </c>
      <c r="X456" s="223" t="str">
        <f t="array" ref="X456:X457">{"TOTALLEARNED L18";(W457+X453)}</f>
        <v>TOTALLEARNED L18</v>
      </c>
      <c r="Y456" s="223" t="str">
        <f t="array" ref="Y456:Y457">{"TOTALLEARNED L19";(X457+Y453)}</f>
        <v>TOTALLEARNED L19</v>
      </c>
      <c r="Z456" s="223" t="str">
        <f t="array" ref="Z456:Z457">{"TOTALLEARNED L20";(Y457+Z453)}</f>
        <v>TOTALLEARNED L20</v>
      </c>
      <c r="AA456" s="76"/>
      <c r="AB456" s="76"/>
    </row>
    <row r="457">
      <c r="A457" s="97" t="s">
        <v>231</v>
      </c>
      <c r="B457" s="97" t="s">
        <v>418</v>
      </c>
      <c r="C457" s="97" t="s">
        <v>1901</v>
      </c>
      <c r="D457" s="97" t="s">
        <v>1922</v>
      </c>
      <c r="E457" s="281" t="s">
        <v>1911</v>
      </c>
      <c r="F457" s="282" t="s">
        <v>158</v>
      </c>
      <c r="G457" s="278" t="s">
        <v>1533</v>
      </c>
      <c r="H457" s="278">
        <v>8.0</v>
      </c>
      <c r="I457" s="278">
        <v>10.0</v>
      </c>
      <c r="J457" s="278">
        <v>12.0</v>
      </c>
      <c r="K457" s="278">
        <v>14.0</v>
      </c>
      <c r="L457" s="278">
        <v>16.0</v>
      </c>
      <c r="M457" s="278">
        <v>18.0</v>
      </c>
      <c r="N457" s="278">
        <v>20.0</v>
      </c>
      <c r="O457" s="278">
        <v>22.0</v>
      </c>
      <c r="P457" s="278">
        <v>24.0</v>
      </c>
      <c r="Q457" s="278">
        <v>26.0</v>
      </c>
      <c r="R457" s="278">
        <v>28.0</v>
      </c>
      <c r="S457" s="278">
        <v>30.0</v>
      </c>
      <c r="T457" s="278">
        <v>32.0</v>
      </c>
      <c r="U457" s="278">
        <v>34.0</v>
      </c>
      <c r="V457" s="278">
        <v>36.0</v>
      </c>
      <c r="W457" s="278">
        <v>38.0</v>
      </c>
      <c r="X457" s="278">
        <v>40.0</v>
      </c>
      <c r="Y457" s="278">
        <v>42.0</v>
      </c>
      <c r="Z457" s="278">
        <v>44.0</v>
      </c>
      <c r="AA457" s="5"/>
      <c r="AB457" s="47"/>
    </row>
    <row r="458">
      <c r="A458" s="55">
        <v>13.0</v>
      </c>
      <c r="B458" s="79" t="s">
        <v>1923</v>
      </c>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c r="AA458" s="71"/>
      <c r="AB458" s="73"/>
    </row>
    <row r="459" hidden="1">
      <c r="A459" s="76" t="str">
        <f t="array" ref="A459:A460">{"FormulaRow01";(INDEX(CLASSLIST,A458,1))}</f>
        <v>FormulaRow01</v>
      </c>
      <c r="B459" s="76" t="str">
        <f t="array" ref="B459:B460">{"CLASSTYPE";(INDEX(ALLCLASSDATA,MATCH("ClassType",CLASSFEATUREHEADERS,0),MATCH($A460,CLASSNAMEHEADERS,0)))}</f>
        <v>CLASSTYPE</v>
      </c>
      <c r="C459" s="81" t="str">
        <f t="array" ref="C459:C460">{"TOTAL";("Total: " &amp; G460+I460+K460+M460+O460+Q460+S460+U460+W460+Y460)}</f>
        <v>TOTAL</v>
      </c>
      <c r="D459" s="81" t="str">
        <f t="array" ref="D459:D460">{"BALANCE";(IF((G460+I460+K460+M460+O460+Q460+S460+U460+W460+Y460)=2100,"(balanced)",(IF((G460+I460+K460+M460+O460+Q460+S460+U460+W460+Y460)&gt;2100,"OVERBUDGET: ","UNDERBUDGET: ")) &amp; (G460+I460+K460+M460+O460+Q460+S460+U460+W460+Y460-2100)))}</f>
        <v>BALANCE</v>
      </c>
      <c r="E459" s="81"/>
      <c r="F459" s="81"/>
      <c r="G459" s="81" t="str">
        <f t="array" ref="G459:G460">{"SUM LVL0/1/2";((SUMIF(E461:H540,"&lt;&gt;#REF!")+(SUMIF(I461:Z468,"&lt;&gt;#REF!"))))}</f>
        <v>SUM LVL0/1/2</v>
      </c>
      <c r="H459" s="81"/>
      <c r="I459" s="81" t="str">
        <f t="array" ref="I459:I460">{"SUM LVL3/4";(SUMIF(I469:J540,"&lt;&gt;#REF!"))}</f>
        <v>SUM LVL3/4</v>
      </c>
      <c r="J459" s="81"/>
      <c r="K459" s="81" t="str">
        <f t="array" ref="K459:K460">{"SUM LVL5/6";(SUMIF(K469:L540,"&lt;&gt;#REF!"))}</f>
        <v>SUM LVL5/6</v>
      </c>
      <c r="L459" s="81"/>
      <c r="M459" s="81" t="str">
        <f t="array" ref="M459:M460">{"SUM LVL7/8";(SUMIF(M469:N540,"&lt;&gt;#REF!"))}</f>
        <v>SUM LVL7/8</v>
      </c>
      <c r="N459" s="81"/>
      <c r="O459" s="81" t="str">
        <f t="array" ref="O459:O460">{"SUM LVL9/10";(SUMIF(O469:P540,"&lt;&gt;#REF!"))}</f>
        <v>SUM LVL9/10</v>
      </c>
      <c r="P459" s="81"/>
      <c r="Q459" s="81" t="str">
        <f t="array" ref="Q459:Q460">{"SUM LVL11/12";(SUMIF(Q469:R540,"&lt;&gt;#REF!"))}</f>
        <v>SUM LVL11/12</v>
      </c>
      <c r="R459" s="81"/>
      <c r="S459" s="81" t="str">
        <f t="array" ref="S459:S460">{"SUM LVL13/14";(SUMIF(S469:T540,"&lt;&gt;#REF!"))}</f>
        <v>SUM LVL13/14</v>
      </c>
      <c r="T459" s="81"/>
      <c r="U459" s="81" t="str">
        <f t="array" ref="U459:U460">{"SUM LVL15/16";(SUMIF(U469:V540,"&lt;&gt;#REF!"))}</f>
        <v>SUM LVL15/16</v>
      </c>
      <c r="V459" s="81"/>
      <c r="W459" s="81" t="str">
        <f t="array" ref="W459:W460">{"SUM LVL17/18";(SUMIF(W469:X540,"&lt;&gt;#REF!"))}</f>
        <v>SUM LVL17/18</v>
      </c>
      <c r="X459" s="81"/>
      <c r="Y459" s="81" t="str">
        <f t="array" ref="Y459:Y460">{"SUM LVL19/20";(SUMIF(Y469:Z540,"&lt;&gt;#REF!"))}</f>
        <v>SUM LVL19/20</v>
      </c>
      <c r="Z459" s="81"/>
      <c r="AA459" s="76"/>
      <c r="AB459" s="76" t="str">
        <f t="array" ref="AB459:AB460">{"SUM ROWTOTALS";(SUMIF(AB462:AB548,"&lt;&gt;#REF!"))}</f>
        <v>SUM ROWTOTALS</v>
      </c>
    </row>
    <row r="460">
      <c r="A460" s="48" t="s">
        <v>195</v>
      </c>
      <c r="B460" s="48" t="s">
        <v>417</v>
      </c>
      <c r="C460" s="97" t="s">
        <v>1924</v>
      </c>
      <c r="D460" s="98" t="s">
        <v>1925</v>
      </c>
      <c r="E460" s="97"/>
      <c r="F460" s="99"/>
      <c r="G460" s="98">
        <v>500.0</v>
      </c>
      <c r="H460" s="98"/>
      <c r="I460" s="98">
        <v>110.0</v>
      </c>
      <c r="J460" s="98"/>
      <c r="K460" s="98">
        <v>50.0</v>
      </c>
      <c r="L460" s="98"/>
      <c r="M460" s="98">
        <v>140.0</v>
      </c>
      <c r="N460" s="98"/>
      <c r="O460" s="98">
        <v>100.0</v>
      </c>
      <c r="P460" s="98"/>
      <c r="Q460" s="98">
        <v>210.0</v>
      </c>
      <c r="R460" s="98"/>
      <c r="S460" s="98">
        <v>230.0</v>
      </c>
      <c r="T460" s="98"/>
      <c r="U460" s="98">
        <v>260.0</v>
      </c>
      <c r="V460" s="98"/>
      <c r="W460" s="98">
        <v>280.0</v>
      </c>
      <c r="X460" s="98"/>
      <c r="Y460" s="98">
        <v>200.0</v>
      </c>
      <c r="Z460" s="98"/>
      <c r="AA460" s="5"/>
      <c r="AB460" s="47">
        <v>2080.0</v>
      </c>
    </row>
    <row r="461" hidden="1">
      <c r="A461" s="76" t="str">
        <f t="array" ref="A461:A462">{"FormulaRow02";(INDEX(CLASSLIST,A458,1))}</f>
        <v>FormulaRow02</v>
      </c>
      <c r="B461" s="76" t="str">
        <f t="array" ref="B461:B462">{"CLASSTYPE";((INDEX(ALLCLASSDATA,MATCH("ClassType",CLASSFEATUREHEADERS,0),MATCH($A462,CLASSNAMEHEADERS,0))))}</f>
        <v>CLASSTYPE</v>
      </c>
      <c r="C461" s="81" t="str">
        <f t="array" ref="C461:C462">{"FEATURES";"Features"}</f>
        <v>FEATURES</v>
      </c>
      <c r="D461" s="81" t="str">
        <f t="array" ref="D461:D462">{"INITIALFEATURES";"Initial Features"}</f>
        <v>INITIALFEATURES</v>
      </c>
      <c r="E461" s="81" t="str">
        <f t="array" ref="E461:E462">{"KEY";"Key"}</f>
        <v>KEY</v>
      </c>
      <c r="F461" s="81" t="str">
        <f t="array" ref="F461:F462">{"HP";"HP"}</f>
        <v>HP</v>
      </c>
      <c r="G461" s="81" t="str">
        <f t="array" ref="G461:G462">{"CLASSFEATL01";"ClassFeatL01"}</f>
        <v>CLASSFEATL01</v>
      </c>
      <c r="H461" s="81" t="str">
        <f t="array" ref="H461:H462">{"SHIELDBLOCKL01";"ShieldBlockL01"}</f>
        <v>SHIELDBLOCKL01</v>
      </c>
      <c r="I461" s="81" t="str">
        <f t="array" ref="I461:I462">{"INITIALSKILLS";"InitialSkills"}</f>
        <v>INITIALSKILLS</v>
      </c>
      <c r="J461" s="81" t="str">
        <f t="array" ref="J461:J462">{"SUBCLASSSKILLS";"SubclassSkills"}</f>
        <v>SUBCLASSSKILLS</v>
      </c>
      <c r="K461" s="81" t="str">
        <f t="array" ref="K461:K462">{"GRANTEDSKILLS";"GrantedSkills"}</f>
        <v>GRANTEDSKILLS</v>
      </c>
      <c r="L461" s="81"/>
      <c r="M461" s="81"/>
      <c r="N461" s="81"/>
      <c r="O461" s="81" t="str">
        <f t="array" ref="O461:O462">{"FOCUSSPELLS";"FocusSpells:"}</f>
        <v>FOCUSSPELLS</v>
      </c>
      <c r="P461" s="81" t="str">
        <f t="array" ref="P461:P462">{"FOCUSSPELL1-L00";((INDEX(ALLCLASSDATA,MATCH("FocusSpell1-L00",CLASSFEATUREHEADERS,0),MATCH(($A462),CLASSNAMEHEADERS,0))))}</f>
        <v>FOCUSSPELL1-L00</v>
      </c>
      <c r="Q461" s="81" t="str">
        <f t="array" ref="Q461:Q462">{"FOCUSSPELL2-L00";((INDEX(ALLCLASSDATA,MATCH("FocusSpell2-L00",CLASSFEATUREHEADERS,0),MATCH(($A462),CLASSNAMEHEADERS,0))))}</f>
        <v>FOCUSSPELL2-L00</v>
      </c>
      <c r="R461" s="81" t="str">
        <f t="array" ref="R461:R462">{"FOCUSSPELL3-L00";((INDEX(ALLCLASSDATA,MATCH("FocusSpell3-L00",CLASSFEATUREHEADERS,0),MATCH(($A462),CLASSNAMEHEADERS,0))))}</f>
        <v>FOCUSSPELL3-L00</v>
      </c>
      <c r="S461" s="81" t="str">
        <f t="array" ref="S461:S462">{"FOCUSSPELL4-L00";((INDEX(ALLCLASSDATA,MATCH("FocusSpell4-L00",CLASSFEATUREHEADERS,0),MATCH(($A462),CLASSNAMEHEADERS,0))))}</f>
        <v>FOCUSSPELL4-L00</v>
      </c>
      <c r="T461" s="81" t="str">
        <f t="array" ref="T461:T462">{"FOCUSSPELL5-L00";((INDEX(ALLCLASSDATA,MATCH("FocusSpell5-L00",CLASSFEATUREHEADERS,0),MATCH(($A462),CLASSNAMEHEADERS,0))))}</f>
        <v>FOCUSSPELL5-L00</v>
      </c>
      <c r="U461" s="81"/>
      <c r="V461" s="81"/>
      <c r="W461" s="81"/>
      <c r="X461" s="81"/>
      <c r="Y461" s="81"/>
      <c r="Z461" s="81"/>
      <c r="AA461" s="76"/>
      <c r="AB461" s="76"/>
    </row>
    <row r="462">
      <c r="A462" s="48" t="s">
        <v>195</v>
      </c>
      <c r="B462" s="48" t="s">
        <v>417</v>
      </c>
      <c r="C462" s="48" t="s">
        <v>467</v>
      </c>
      <c r="D462" s="48" t="s">
        <v>468</v>
      </c>
      <c r="E462" s="48" t="s">
        <v>469</v>
      </c>
      <c r="F462" s="114" t="s">
        <v>15</v>
      </c>
      <c r="G462" s="8" t="s">
        <v>451</v>
      </c>
      <c r="H462" s="8" t="s">
        <v>463</v>
      </c>
      <c r="I462" s="8" t="s">
        <v>473</v>
      </c>
      <c r="J462" s="8" t="s">
        <v>474</v>
      </c>
      <c r="K462" s="8" t="s">
        <v>475</v>
      </c>
      <c r="L462" s="8"/>
      <c r="M462" s="8"/>
      <c r="N462" s="8"/>
      <c r="O462" s="8" t="s">
        <v>476</v>
      </c>
      <c r="P462" s="116" t="s">
        <v>1596</v>
      </c>
      <c r="Q462" s="116" t="s">
        <v>1606</v>
      </c>
      <c r="R462" s="116"/>
      <c r="S462" s="116"/>
      <c r="T462" s="116"/>
      <c r="U462" s="8"/>
      <c r="V462" s="8"/>
      <c r="W462" s="8"/>
      <c r="X462" s="8"/>
      <c r="Y462" s="5"/>
      <c r="Z462" s="5"/>
      <c r="AA462" s="5"/>
      <c r="AB462" s="47"/>
    </row>
    <row r="463" hidden="1">
      <c r="A463" s="76" t="str">
        <f t="array" ref="A463:A464">{"FormulaRow03";(INDEX(CLASSLIST,A458,1))}</f>
        <v>FormulaRow03</v>
      </c>
      <c r="B463" s="76" t="str">
        <f t="array" ref="B463:B464">{"CLASSTYPE";((INDEX(ALLCLASSDATA,MATCH("ClassType",CLASSFEATUREHEADERS,0),MATCH($A464,CLASSNAMEHEADERS,0))))}</f>
        <v>CLASSTYPE</v>
      </c>
      <c r="C463" s="76" t="str">
        <f t="array" ref="C463:C464">{"FEATUREPTS";"FeaturesPts"}</f>
        <v>FEATUREPTS</v>
      </c>
      <c r="D463" s="76" t="str">
        <f t="array" ref="D463:D464">{"INITIALFEATURES";"Initial Features"}</f>
        <v>INITIALFEATURES</v>
      </c>
      <c r="E463" s="76" t="str">
        <f t="array" ref="E463:E464">{"KEYABILITY";((INDEX(ALLCLASSDATA,MATCH("KEYABILITY",CLASSFEATUREHEADERS,0),MATCH($A464,CLASSNAMEHEADERS,0))))}</f>
        <v>KEYABILITY</v>
      </c>
      <c r="F463" s="76" t="str">
        <f t="array" ref="F463:F464">{"HP";((INDEX(ALLCLASSDATA,MATCH("HP",CLASSFEATUREHEADERS,0),MATCH(($A464 &amp; "Points"),CLASSNAMEHEADERS,0))))}</f>
        <v>HP</v>
      </c>
      <c r="G463" s="76" t="str">
        <f t="array" ref="G463:G464">{"CLASSFEATL01";((INDEX(ALLCLASSDATA,MATCH("ClassFeatL01",CLASSFEATUREHEADERS,0),MATCH(($A464 &amp; "Points"),CLASSNAMEHEADERS,0))))}</f>
        <v>CLASSFEATL01</v>
      </c>
      <c r="H463" s="76" t="str">
        <f t="array" ref="H463:H464">{"SHIELDBLOCKL01";((INDEX(ALLCLASSDATA,MATCH("ShieldBlockL01",CLASSFEATUREHEADERS,0),MATCH(($A464 &amp; "Points"),CLASSNAMEHEADERS,0))))}</f>
        <v>SHIELDBLOCKL01</v>
      </c>
      <c r="I463" s="76" t="str">
        <f t="array" ref="I463:I464">{"INITIALSKILLINCREASES";((INDEX(ALLCLASSDATA,MATCH("InitialSkillIncreases",CLASSFEATUREHEADERS,0),MATCH(($A464 &amp; "Points"),CLASSNAMEHEADERS,0))))}</f>
        <v>INITIALSKILLINCREASES</v>
      </c>
      <c r="J463" s="76" t="str">
        <f t="array" ref="J463:J464">{"SUBCLASSSKILLINCREASES";((INDEX(ALLCLASSDATA,MATCH("SubclassSkillIncreases",CLASSFEATUREHEADERS,0),MATCH(($A464 &amp; "Points"),CLASSNAMEHEADERS,0))))}</f>
        <v>SUBCLASSSKILLINCREASES</v>
      </c>
      <c r="K463" s="76" t="str">
        <f t="array" ref="K463:K464">{"GRANTEDSKILLS";(((INDEX(ALLCLASSDATA,MATCH("SkillsGrantedTotal",CLASSFEATUREHEADERS,0),MATCH(($A464 &amp; "Points"),CLASSNAMEHEADERS,0)))-(INDEX(ALLCLASSDATA,MATCH("InitialSkillIncreases",CLASSFEATUREHEADERS,0),MATCH(($A464 &amp; "Points"),CLASSNAMEHEADERS,0)))-(INDEX(ALLCLASSDATA,MATCH("SubclassSkillIncreases",CLASSFEATUREHEADERS,0),MATCH(($A464 &amp; "Points"),CLASSNAMEHEADERS,0)))))}</f>
        <v>GRANTEDSKILLS</v>
      </c>
      <c r="L463" s="76"/>
      <c r="M463" s="76"/>
      <c r="N463" s="76"/>
      <c r="O463" s="76"/>
      <c r="P463" s="76" t="str">
        <f t="array" ref="P463:P464">{"FOCUSSPELL1-L00";((INDEX(ALLCLASSDATA,MATCH("FocusSpell1-L00",CLASSFEATUREHEADERS,0),MATCH(($A464 &amp; "Points"),CLASSNAMEHEADERS,0))))}</f>
        <v>FOCUSSPELL1-L00</v>
      </c>
      <c r="Q463" s="76" t="str">
        <f t="array" ref="Q463:Q464">{"FOCUSSPELL2-L00";((INDEX(ALLCLASSDATA,MATCH("FocusSpell2-L00",CLASSFEATUREHEADERS,0),MATCH(($A464 &amp; "Points"),CLASSNAMEHEADERS,0))))}</f>
        <v>FOCUSSPELL2-L00</v>
      </c>
      <c r="R463" s="76" t="str">
        <f t="array" ref="R463:R464">{"FOCUSSPELL3-L00";((INDEX(ALLCLASSDATA,MATCH("FocusSpell3-L00",CLASSFEATUREHEADERS,0),MATCH(($A464 &amp; "Points"),CLASSNAMEHEADERS,0))))}</f>
        <v>FOCUSSPELL3-L00</v>
      </c>
      <c r="S463" s="76" t="str">
        <f t="array" ref="S463:S464">{"FOCUSSPELL4-L00";((INDEX(ALLCLASSDATA,MATCH("FocusSpell4-L00",CLASSFEATUREHEADERS,0),MATCH(($A464 &amp; "Points"),CLASSNAMEHEADERS,0))))}</f>
        <v>FOCUSSPELL4-L00</v>
      </c>
      <c r="T463" s="76" t="str">
        <f t="array" ref="T463:T464">{"FOCUSSPELL5-L00";((INDEX(ALLCLASSDATA,MATCH("FocusSpell5-L00",CLASSFEATUREHEADERS,0),MATCH(($A464 &amp; "Points"),CLASSNAMEHEADERS,0))))}</f>
        <v>FOCUSSPELL5-L00</v>
      </c>
      <c r="U463" s="76"/>
      <c r="V463" s="76"/>
      <c r="W463" s="76"/>
      <c r="X463" s="76"/>
      <c r="Y463" s="76"/>
      <c r="Z463" s="76"/>
      <c r="AA463" s="76"/>
      <c r="AB463" s="76" t="str">
        <f t="array" ref="AB463:AB464">{"FEATUREPTS TOTAL";(sum(F464:Z464))}</f>
        <v>FEATUREPTS TOTAL</v>
      </c>
    </row>
    <row r="464">
      <c r="A464" s="48" t="s">
        <v>195</v>
      </c>
      <c r="B464" s="48" t="s">
        <v>417</v>
      </c>
      <c r="C464" s="97" t="s">
        <v>559</v>
      </c>
      <c r="D464" s="97" t="s">
        <v>468</v>
      </c>
      <c r="E464" s="97" t="s">
        <v>264</v>
      </c>
      <c r="F464" s="132">
        <v>100.0</v>
      </c>
      <c r="G464" s="98" t="s">
        <v>603</v>
      </c>
      <c r="H464" s="98" t="s">
        <v>603</v>
      </c>
      <c r="I464" s="98">
        <v>15.0</v>
      </c>
      <c r="J464" s="98">
        <v>10.0</v>
      </c>
      <c r="K464" s="98">
        <v>0.0</v>
      </c>
      <c r="L464" s="98"/>
      <c r="M464" s="98"/>
      <c r="N464" s="98"/>
      <c r="O464" s="98"/>
      <c r="P464" s="98">
        <v>10.0</v>
      </c>
      <c r="Q464" s="98">
        <v>5.0</v>
      </c>
      <c r="R464" s="98"/>
      <c r="S464" s="98"/>
      <c r="T464" s="98"/>
      <c r="U464" s="98"/>
      <c r="V464" s="98"/>
      <c r="W464" s="98"/>
      <c r="X464" s="98"/>
      <c r="Y464" s="98"/>
      <c r="Z464" s="98"/>
      <c r="AA464" s="5"/>
      <c r="AB464" s="47">
        <v>140.0</v>
      </c>
    </row>
    <row r="465" hidden="1">
      <c r="A465" s="76" t="str">
        <f t="array" ref="A465:A466">{"FormulaRow04";(INDEX(CLASSLIST,A458,1))}</f>
        <v>FormulaRow04</v>
      </c>
      <c r="B465" s="76" t="str">
        <f t="array" ref="B465:B466">{"CLASSTYPE";((INDEX(ALLCLASSDATA,MATCH("ClassType",CLASSFEATUREHEADERS,0),MATCH($A466,CLASSNAMEHEADERS,0))))}</f>
        <v>CLASSTYPE</v>
      </c>
      <c r="C465" s="81" t="str">
        <f t="array" ref="C465:C466">{"INITIALFEATURES";"InitialFeatures"}</f>
        <v>INITIALFEATURES</v>
      </c>
      <c r="D465" s="81" t="str">
        <f t="array" ref="D465:D466">{"CLASS/SUBCLASSFEATURES";"Class/Subclass Features"}</f>
        <v>CLASS/SUBCLASSFEATURES</v>
      </c>
      <c r="E465" s="81"/>
      <c r="F465" s="136"/>
      <c r="G465" s="81" t="str">
        <f t="array" ref="G465:G466">{"CLASSINITIALABILITY1-L00";((INDEX(ALLCLASSDATA,MATCH("ClassInitialAbility1-L00",CLASSFEATUREHEADERS,0),MATCH(($A466),CLASSNAMEHEADERS,0))))}</f>
        <v>CLASSINITIALABILITY1-L00</v>
      </c>
      <c r="H465" s="81" t="str">
        <f t="array" ref="H465:H466">{"CLASSINITIALABILITY2-L00";((INDEX(ALLCLASSDATA,MATCH("ClassInitialAbility2-L00",CLASSFEATUREHEADERS,0),MATCH(($A466),CLASSNAMEHEADERS,0))))}</f>
        <v>CLASSINITIALABILITY2-L00</v>
      </c>
      <c r="I465" s="81" t="str">
        <f t="array" ref="I465:I466">{"CLASSINITIALABILITY3-L00";((INDEX(ALLCLASSDATA,MATCH("ClassInitialAbility3-L00",CLASSFEATUREHEADERS,0),MATCH(($A466),CLASSNAMEHEADERS,0))))}</f>
        <v>CLASSINITIALABILITY3-L00</v>
      </c>
      <c r="J465" s="81" t="str">
        <f t="array" ref="J465:J466">{"CLASSINITIALABILITY4-L00";((INDEX(ALLCLASSDATA,MATCH("ClassInitialAbility4-L00",CLASSFEATUREHEADERS,0),MATCH(($A466),CLASSNAMEHEADERS,0))))}</f>
        <v>CLASSINITIALABILITY4-L00</v>
      </c>
      <c r="K465" s="81" t="str">
        <f t="array" ref="K465:K466">{"CLASSINITIALABILITY5-L00";((INDEX(ALLCLASSDATA,MATCH("ClassInitialAbility5-L00",CLASSFEATUREHEADERS,0),MATCH(($A466),CLASSNAMEHEADERS,0))))}</f>
        <v>CLASSINITIALABILITY5-L00</v>
      </c>
      <c r="L465" s="81" t="str">
        <f t="array" ref="L465:L466">{"CLASSINITIALABILITY6-L00";((INDEX(ALLCLASSDATA,MATCH("ClassInitialAbility6-L00",CLASSFEATUREHEADERS,0),MATCH(($A466),CLASSNAMEHEADERS,0))))}</f>
        <v>CLASSINITIALABILITY6-L00</v>
      </c>
      <c r="M465" s="81" t="str">
        <f t="array" ref="M465:M466">{"CLASSINITIALABILITY7-L00";((INDEX(ALLCLASSDATA,MATCH("ClassInitialAbility7-L00",CLASSFEATUREHEADERS,0),MATCH(($A466),CLASSNAMEHEADERS,0))))}</f>
        <v>#REF!</v>
      </c>
      <c r="N465" s="81" t="str">
        <f t="array" ref="N465:N466">{"CLASSINITIALABILITY8-L00";((INDEX(ALLCLASSDATA,MATCH("ClassInitialAbility8-L00",CLASSFEATUREHEADERS,0),MATCH(($A466),CLASSNAMEHEADERS,0))))}</f>
        <v>CLASSINITIALABILITY8-L00</v>
      </c>
      <c r="O465" s="81" t="str">
        <f t="array" ref="O465:O466">{"CLASSINITIALABILITY9-L00";((INDEX(ALLCLASSDATA,MATCH("ClassInitialAbility9-L00",CLASSFEATUREHEADERS,0),MATCH(($A466),CLASSNAMEHEADERS,0))))}</f>
        <v>CLASSINITIALABILITY9-L00</v>
      </c>
      <c r="P465" s="81" t="str">
        <f t="array" ref="P465:P466">{"CLASSINITIALABILITY10-L00";((INDEX(ALLCLASSDATA,MATCH("ClassInitialAbility10-L00",CLASSFEATUREHEADERS,0),MATCH(($A466),CLASSNAMEHEADERS,0))))}</f>
        <v>CLASSINITIALABILITY10-L00</v>
      </c>
      <c r="Q465" s="81" t="str">
        <f t="array" ref="Q465:Q466">{"SUBCLASSINITIAL1-L00";((INDEX(ALLCLASSDATA,MATCH("SubclassInitial1-L00",CLASSFEATUREHEADERS,0),MATCH(($A466),CLASSNAMEHEADERS,0))))}</f>
        <v>SUBCLASSINITIAL1-L00</v>
      </c>
      <c r="R465" s="81" t="str">
        <f t="array" ref="R465:R466">{"SUBCLASSINITIAL2-L00";((INDEX(ALLCLASSDATA,MATCH("SubclassInitial2-L00",CLASSFEATUREHEADERS,0),MATCH(($A466),CLASSNAMEHEADERS,0))))}</f>
        <v>SUBCLASSINITIAL2-L00</v>
      </c>
      <c r="S465" s="81" t="str">
        <f t="array" ref="S465:S466">{"SUBCLASSINITIAL3-L00";((INDEX(ALLCLASSDATA,MATCH("SubclassInitial3-L00",CLASSFEATUREHEADERS,0),MATCH(($A466),CLASSNAMEHEADERS,0))))}</f>
        <v>SUBCLASSINITIAL3-L00</v>
      </c>
      <c r="T465" s="81" t="str">
        <f t="array" ref="T465:T466">{"SUBCLASSINITIAL4-L00";((INDEX(ALLCLASSDATA,MATCH("SubclassInitial4-L00",CLASSFEATUREHEADERS,0),MATCH(($A466),CLASSNAMEHEADERS,0))))}</f>
        <v>SUBCLASSINITIAL4-L00</v>
      </c>
      <c r="U465" s="81" t="str">
        <f t="array" ref="U465:U466">{"SUBCLASSINITIAL5-L00";((INDEX(ALLCLASSDATA,MATCH("SubclassInitial5-L00",CLASSFEATUREHEADERS,0),MATCH(($A466),CLASSNAMEHEADERS,0))))}</f>
        <v>SUBCLASSINITIAL5-L00</v>
      </c>
      <c r="V465" s="81" t="str">
        <f t="array" ref="V465:V466">{"SUBCLASSINITIAL6-L00";((INDEX(ALLCLASSDATA,MATCH("SubclassInitial6-L00",CLASSFEATUREHEADERS,0),MATCH(($A466),CLASSNAMEHEADERS,0))))}</f>
        <v>SUBCLASSINITIAL6-L00</v>
      </c>
      <c r="W465" s="81" t="str">
        <f t="array" ref="W465:W466">{"SUBCLASSINITIAL7-L00";((INDEX(ALLCLASSDATA,MATCH("SubclassInitial7-L00",CLASSFEATUREHEADERS,0),MATCH(($A466),CLASSNAMEHEADERS,0))))}</f>
        <v>SUBCLASSINITIAL7-L00</v>
      </c>
      <c r="X465" s="81" t="str">
        <f t="array" ref="X465:X466">{"SUBCLASSINITIAL8-L00";((INDEX(ALLCLASSDATA,MATCH("SubclassInitial8-L00",CLASSFEATUREHEADERS,0),MATCH(($A466),CLASSNAMEHEADERS,0))))}</f>
        <v>SUBCLASSINITIAL8-L00</v>
      </c>
      <c r="Y465" s="81" t="str">
        <f t="array" ref="Y465:Y466">{"SUBCLASSINITIAL9-L00";((INDEX(ALLCLASSDATA,MATCH("SubclassInitial9-L00",CLASSFEATUREHEADERS,0),MATCH(($A466),CLASSNAMEHEADERS,0))))}</f>
        <v>SUBCLASSINITIAL9-L00</v>
      </c>
      <c r="Z465" s="81" t="str">
        <f t="array" ref="Z465:Z466">{"SUBCLASSINITIAL10-L00";((INDEX(ALLCLASSDATA,MATCH("SubclassInitial10-L00",CLASSFEATUREHEADERS,0),MATCH(($A466),CLASSNAMEHEADERS,0))))}</f>
        <v>SUBCLASSINITIAL10-L00</v>
      </c>
      <c r="AA465" s="76"/>
      <c r="AB465" s="76"/>
    </row>
    <row r="466">
      <c r="A466" s="48" t="s">
        <v>195</v>
      </c>
      <c r="B466" s="48" t="s">
        <v>417</v>
      </c>
      <c r="C466" s="48" t="s">
        <v>614</v>
      </c>
      <c r="D466" s="48" t="s">
        <v>616</v>
      </c>
      <c r="E466" s="48"/>
      <c r="F466" s="47"/>
      <c r="G466" s="5" t="s">
        <v>1622</v>
      </c>
      <c r="H466" s="5" t="s">
        <v>1638</v>
      </c>
      <c r="I466" s="5" t="s">
        <v>1307</v>
      </c>
      <c r="J466" s="5" t="s">
        <v>1308</v>
      </c>
      <c r="K466" s="5" t="s">
        <v>1309</v>
      </c>
      <c r="L466" s="5" t="s">
        <v>1667</v>
      </c>
      <c r="M466" s="48" t="s">
        <v>1926</v>
      </c>
      <c r="N466" s="5"/>
      <c r="O466" s="5"/>
      <c r="P466" s="5"/>
      <c r="Q466" s="5" t="s">
        <v>1819</v>
      </c>
      <c r="R466" s="5" t="s">
        <v>1833</v>
      </c>
      <c r="S466" s="5" t="s">
        <v>1839</v>
      </c>
      <c r="T466" s="5" t="s">
        <v>1842</v>
      </c>
      <c r="U466" s="5" t="s">
        <v>1844</v>
      </c>
      <c r="V466" s="5"/>
      <c r="W466" s="5"/>
      <c r="X466" s="5"/>
      <c r="Y466" s="5"/>
      <c r="Z466" s="5"/>
      <c r="AA466" s="5"/>
      <c r="AB466" s="47"/>
    </row>
    <row r="467" hidden="1">
      <c r="A467" s="76" t="str">
        <f t="array" ref="A467:A468">{"FormulaRow05";(INDEX(CLASSLIST,A458,1))}</f>
        <v>FormulaRow05</v>
      </c>
      <c r="B467" s="76" t="str">
        <f t="array" ref="B467:B468">{"CLASSTYPE";((INDEX(ALLCLASSDATA,MATCH("ClassType",CLASSFEATUREHEADERS,0),MATCH($A468,CLASSNAMEHEADERS,0))))}</f>
        <v>CLASSTYPE</v>
      </c>
      <c r="C467" s="76" t="str">
        <f t="array" ref="C467:C468">{"INITIALFEATURESPTS";"InitialFeaturesPts"}</f>
        <v>INITIALFEATURESPTS</v>
      </c>
      <c r="D467" s="76" t="str">
        <f t="array" ref="D467:D468">{"CLASS/SUBCLASSFEATURES";"Class/Subclass Features"}</f>
        <v>CLASS/SUBCLASSFEATURES</v>
      </c>
      <c r="E467" s="76"/>
      <c r="F467" s="76"/>
      <c r="G467" s="76" t="str">
        <f t="array" ref="G467:G468">{"CLASSINITIALABILITY1-L00PTS";((INDEX(ALLCLASSDATA,MATCH("ClassInitialAbility1-L00",CLASSFEATUREHEADERS,0),MATCH(($A468 &amp; "Points"),CLASSNAMEHEADERS,0))))}</f>
        <v>CLASSINITIALABILITY1-L00PTS</v>
      </c>
      <c r="H467" s="76" t="str">
        <f t="array" ref="H467:H468">{"CLASSINITIALABILITY2-L00PTS";((INDEX(ALLCLASSDATA,MATCH("ClassInitialAbility2-L00",CLASSFEATUREHEADERS,0),MATCH(($A468 &amp; "Points"),CLASSNAMEHEADERS,0))))}</f>
        <v>CLASSINITIALABILITY2-L00PTS</v>
      </c>
      <c r="I467" s="76" t="str">
        <f t="array" ref="I467:I468">{"CLASSINITIALABILITY3-L00PTS";((INDEX(ALLCLASSDATA,MATCH("ClassInitialAbility3-L00",CLASSFEATUREHEADERS,0),MATCH(($A468 &amp; "Points"),CLASSNAMEHEADERS,0))))}</f>
        <v>CLASSINITIALABILITY3-L00PTS</v>
      </c>
      <c r="J467" s="76" t="str">
        <f t="array" ref="J467:J468">{"CLASSINITIALABILITY4-L00PTS";((INDEX(ALLCLASSDATA,MATCH("ClassInitialAbility4-L00",CLASSFEATUREHEADERS,0),MATCH(($A468 &amp; "Points"),CLASSNAMEHEADERS,0))))}</f>
        <v>CLASSINITIALABILITY4-L00PTS</v>
      </c>
      <c r="K467" s="76" t="str">
        <f t="array" ref="K467:K468">{"CLASSINITIALABILITY5-L00PTS";((INDEX(ALLCLASSDATA,MATCH("ClassInitialAbility5-L00",CLASSFEATUREHEADERS,0),MATCH(($A468 &amp; "Points"),CLASSNAMEHEADERS,0))))}</f>
        <v>CLASSINITIALABILITY5-L00PTS</v>
      </c>
      <c r="L467" s="76" t="str">
        <f t="array" ref="L467:L468">{"CLASSINITIALABILITY6-L00PTS";((INDEX(ALLCLASSDATA,MATCH("ClassInitialAbility6-L00",CLASSFEATUREHEADERS,0),MATCH(($A468 &amp; "Points"),CLASSNAMEHEADERS,0))))}</f>
        <v>CLASSINITIALABILITY6-L00PTS</v>
      </c>
      <c r="M467" s="76" t="str">
        <f t="array" ref="M467:M468">{"CLASSINITIALABILITY7-L00PTS";((INDEX(ALLCLASSDATA,MATCH("ClassInitialAbility7-L00",CLASSFEATUREHEADERS,0),MATCH(($A468 &amp; "Points"),CLASSNAMEHEADERS,0))))}</f>
        <v>CLASSINITIALABILITY7-L00PTS</v>
      </c>
      <c r="N467" s="76" t="str">
        <f t="array" ref="N467:N468">{"CLASSINITIALABILITY8-L00PTS";((INDEX(ALLCLASSDATA,MATCH("ClassInitialAbility8-L00",CLASSFEATUREHEADERS,0),MATCH(($A468 &amp; "Points"),CLASSNAMEHEADERS,0))))}</f>
        <v>CLASSINITIALABILITY8-L00PTS</v>
      </c>
      <c r="O467" s="76" t="str">
        <f t="array" ref="O467:O468">{"CLASSINITIALABILITY9-L00PTS";((INDEX(ALLCLASSDATA,MATCH("ClassInitialAbility9-L00",CLASSFEATUREHEADERS,0),MATCH(($A468 &amp; "Points"),CLASSNAMEHEADERS,0))))}</f>
        <v>CLASSINITIALABILITY9-L00PTS</v>
      </c>
      <c r="P467" s="76" t="str">
        <f t="array" ref="P467:P468">{"CLASSINITIALABILITY10-L00PTS";((INDEX(ALLCLASSDATA,MATCH("ClassInitialAbility10-L00",CLASSFEATUREHEADERS,0),MATCH(($A468 &amp; "Points"),CLASSNAMEHEADERS,0))))}</f>
        <v>CLASSINITIALABILITY10-L00PTS</v>
      </c>
      <c r="Q467" s="76" t="str">
        <f t="array" ref="Q467:Q468">{"SUBCLASSINITIAL1-L00PTS";((INDEX(ALLCLASSDATA,MATCH("SubclassInitial1-L00",CLASSFEATUREHEADERS,0),MATCH(($A468 &amp; "Points"),CLASSNAMEHEADERS,0))))}</f>
        <v>SUBCLASSINITIAL1-L00PTS</v>
      </c>
      <c r="R467" s="76" t="str">
        <f t="array" ref="R467:R468">{"SUBCLASSINITIAL2-L00PTS";((INDEX(ALLCLASSDATA,MATCH("SubclassInitial2-L00",CLASSFEATUREHEADERS,0),MATCH(($A468 &amp; "Points"),CLASSNAMEHEADERS,0))))}</f>
        <v>SUBCLASSINITIAL2-L00PTS</v>
      </c>
      <c r="S467" s="76" t="str">
        <f t="array" ref="S467:S468">{"SUBCLASSINITIAL3-L00PTS";((INDEX(ALLCLASSDATA,MATCH("SubclassInitial3-L00",CLASSFEATUREHEADERS,0),MATCH(($A468 &amp; "Points"),CLASSNAMEHEADERS,0))))}</f>
        <v>SUBCLASSINITIAL3-L00PTS</v>
      </c>
      <c r="T467" s="76" t="str">
        <f t="array" ref="T467:T468">{"SUBCLASSINITIAL4-L00PTS";((INDEX(ALLCLASSDATA,MATCH("SubclassInitial4-L00",CLASSFEATUREHEADERS,0),MATCH(($A468 &amp; "Points"),CLASSNAMEHEADERS,0))))}</f>
        <v>SUBCLASSINITIAL4-L00PTS</v>
      </c>
      <c r="U467" s="76" t="str">
        <f t="array" ref="U467:U468">{"SUBCLASSINITIAL5-L00PTS";((INDEX(ALLCLASSDATA,MATCH("SubclassInitial5-L00",CLASSFEATUREHEADERS,0),MATCH(($A468 &amp; "Points"),CLASSNAMEHEADERS,0))))}</f>
        <v>SUBCLASSINITIAL5-L00PTS</v>
      </c>
      <c r="V467" s="76" t="str">
        <f t="array" ref="V467:V468">{"SUBCLASSINITIAL6-L00PTS";((INDEX(ALLCLASSDATA,MATCH("SubclassInitial6-L00",CLASSFEATUREHEADERS,0),MATCH(($A468 &amp; "Points"),CLASSNAMEHEADERS,0))))}</f>
        <v>SUBCLASSINITIAL6-L00PTS</v>
      </c>
      <c r="W467" s="76" t="str">
        <f t="array" ref="W467:W468">{"SUBCLASSINITIAL7-L00PTS";((INDEX(ALLCLASSDATA,MATCH("SubclassInitial7-L00",CLASSFEATUREHEADERS,0),MATCH(($A468 &amp; "Points"),CLASSNAMEHEADERS,0))))}</f>
        <v>SUBCLASSINITIAL7-L00PTS</v>
      </c>
      <c r="X467" s="76" t="str">
        <f t="array" ref="X467:X468">{"SUBCLASSINITIAL8-L00PTS";((INDEX(ALLCLASSDATA,MATCH("SubclassInitial8-L00",CLASSFEATUREHEADERS,0),MATCH(($A468 &amp; "Points"),CLASSNAMEHEADERS,0))))}</f>
        <v>SUBCLASSINITIAL8-L00PTS</v>
      </c>
      <c r="Y467" s="76" t="str">
        <f t="array" ref="Y467:Y468">{"SUBCLASSINITIAL9-L00PTS";((INDEX(ALLCLASSDATA,MATCH("SubclassInitial9-L00",CLASSFEATUREHEADERS,0),MATCH(($A468 &amp; "Points"),CLASSNAMEHEADERS,0))))}</f>
        <v>SUBCLASSINITIAL9-L00PTS</v>
      </c>
      <c r="Z467" s="76" t="str">
        <f t="array" ref="Z467:Z468">{"SUBCLASSINITIAL10-L00PTS";((INDEX(ALLCLASSDATA,MATCH("SubclassInitial10-L00",CLASSFEATUREHEADERS,0),MATCH(($A468 &amp; "Points"),CLASSNAMEHEADERS,0))))}</f>
        <v>SUBCLASSINITIAL10-L00PTS</v>
      </c>
      <c r="AA467" s="76"/>
      <c r="AB467" s="76" t="str">
        <f t="array" ref="AB467:AB468">{"INITIALFEATUREPTS TOTAL";(sum(F468:Z468))}</f>
        <v>INITIALFEATUREPTS TOTAL</v>
      </c>
    </row>
    <row r="468">
      <c r="A468" s="48" t="s">
        <v>195</v>
      </c>
      <c r="B468" s="48" t="s">
        <v>417</v>
      </c>
      <c r="C468" s="97" t="s">
        <v>651</v>
      </c>
      <c r="D468" s="97" t="s">
        <v>616</v>
      </c>
      <c r="E468" s="97"/>
      <c r="F468" s="132"/>
      <c r="G468" s="98">
        <v>10.0</v>
      </c>
      <c r="H468" s="98"/>
      <c r="I468" s="97">
        <v>10.0</v>
      </c>
      <c r="J468" s="98">
        <v>10.0</v>
      </c>
      <c r="K468" s="97">
        <v>50.0</v>
      </c>
      <c r="L468" s="98"/>
      <c r="M468" s="98"/>
      <c r="N468" s="98"/>
      <c r="O468" s="98"/>
      <c r="P468" s="98"/>
      <c r="Q468" s="98">
        <v>30.0</v>
      </c>
      <c r="R468" s="98">
        <v>10.0</v>
      </c>
      <c r="S468" s="98"/>
      <c r="T468" s="98">
        <v>10.0</v>
      </c>
      <c r="U468" s="98">
        <v>10.0</v>
      </c>
      <c r="V468" s="98"/>
      <c r="W468" s="98"/>
      <c r="X468" s="98"/>
      <c r="Y468" s="98"/>
      <c r="Z468" s="98"/>
      <c r="AA468" s="5"/>
      <c r="AB468" s="47">
        <v>140.0</v>
      </c>
    </row>
    <row r="469" hidden="1">
      <c r="A469" s="76" t="str">
        <f t="array" ref="A469:A470">{"FormulaRow06";(INDEX(CLASSLIST,A458,1))}</f>
        <v>FormulaRow06</v>
      </c>
      <c r="B469" s="76" t="str">
        <f t="array" ref="B469:B470">{"CLASSTYPE";((INDEX(ALLCLASSDATA,MATCH("ClassType",CLASSFEATUREHEADERS,0),MATCH($A470,CLASSNAMEHEADERS,0))))}</f>
        <v>CLASSTYPE</v>
      </c>
      <c r="C469" s="81" t="str">
        <f t="array" ref="C469:C470">{"SKILLS";"Skills"}</f>
        <v>SKILLS</v>
      </c>
      <c r="D469" s="81" t="str">
        <f t="array" ref="D469:D470">{"EXTRASKILLINCREASES";"Extra Skill Increases"}</f>
        <v>EXTRASKILLINCREASES</v>
      </c>
      <c r="E469" s="81"/>
      <c r="F469" s="81"/>
      <c r="G469" s="81"/>
      <c r="H469" s="81" t="str">
        <f t="array" ref="H469:H470">{"SKILLINCREASEEXTRA-L02";((INDEX(ALLCLASSDATA,MATCH("SkillIncreaseExtra-L02",CLASSFEATUREHEADERS,0),MATCH(($A470 &amp; "Points"),CLASSNAMEHEADERS,0))))}</f>
        <v>SKILLINCREASEEXTRA-L02</v>
      </c>
      <c r="I469" s="81" t="str">
        <f t="array" ref="I469:I470">{"SKILLINCREASEEXTRA-L03";((INDEX(ALLCLASSDATA,MATCH("SkillIncreaseExtra-L03",CLASSFEATUREHEADERS,0),MATCH(($A470 &amp; "Points"),CLASSNAMEHEADERS,0))))}</f>
        <v>SKILLINCREASEEXTRA-L03</v>
      </c>
      <c r="J469" s="81" t="str">
        <f t="array" ref="J469:J470">{"SKILLINCREASEEXTRA-L04";((INDEX(ALLCLASSDATA,MATCH("SkillIncreaseExtra-L04",CLASSFEATUREHEADERS,0),MATCH(($A470 &amp; "Points"),CLASSNAMEHEADERS,0))))}</f>
        <v>SKILLINCREASEEXTRA-L04</v>
      </c>
      <c r="K469" s="81" t="str">
        <f t="array" ref="K469:K470">{"SKILLINCREASEEXTRA-L05";((INDEX(ALLCLASSDATA,MATCH("SkillIncreaseExtra-L05",CLASSFEATUREHEADERS,0),MATCH(($A470 &amp; "Points"),CLASSNAMEHEADERS,0))))}</f>
        <v>SKILLINCREASEEXTRA-L05</v>
      </c>
      <c r="L469" s="81" t="str">
        <f t="array" ref="L469:L470">{"SKILLINCREASEEXTRA-L06";((INDEX(ALLCLASSDATA,MATCH("SkillIncreaseExtra-L06",CLASSFEATUREHEADERS,0),MATCH(($A470 &amp; "Points"),CLASSNAMEHEADERS,0))))}</f>
        <v>SKILLINCREASEEXTRA-L06</v>
      </c>
      <c r="M469" s="81" t="str">
        <f t="array" ref="M469:M470">{"SKILLINCREASEEXTRA-L07";((INDEX(ALLCLASSDATA,MATCH("SkillIncreaseExtra-L07",CLASSFEATUREHEADERS,0),MATCH(($A470 &amp; "Points"),CLASSNAMEHEADERS,0))))}</f>
        <v>SKILLINCREASEEXTRA-L07</v>
      </c>
      <c r="N469" s="81" t="str">
        <f t="array" ref="N469:N470">{"SKILLINCREASEEXTRA-L08";((INDEX(ALLCLASSDATA,MATCH("SkillIncreaseExtra-L08",CLASSFEATUREHEADERS,0),MATCH(($A470 &amp; "Points"),CLASSNAMEHEADERS,0))))}</f>
        <v>SKILLINCREASEEXTRA-L08</v>
      </c>
      <c r="O469" s="81" t="str">
        <f t="array" ref="O469:O470">{"SKILLINCREASEEXTRA-L09";((INDEX(ALLCLASSDATA,MATCH("SkillIncreaseExtra-L09",CLASSFEATUREHEADERS,0),MATCH(($A470 &amp; "Points"),CLASSNAMEHEADERS,0))))}</f>
        <v>SKILLINCREASEEXTRA-L09</v>
      </c>
      <c r="P469" s="81" t="str">
        <f t="array" ref="P469:P470">{"SKILLINCREASEEXTRA-L10";((INDEX(ALLCLASSDATA,MATCH("SkillIncreaseExtra-L10",CLASSFEATUREHEADERS,0),MATCH(($A470 &amp; "Points"),CLASSNAMEHEADERS,0))))}</f>
        <v>SKILLINCREASEEXTRA-L10</v>
      </c>
      <c r="Q469" s="81" t="str">
        <f t="array" ref="Q469:Q470">{"SKILLINCREASEEXTRA-L11";((INDEX(ALLCLASSDATA,MATCH("SkillIncreaseExtra-L11",CLASSFEATUREHEADERS,0),MATCH(($A470 &amp; "Points"),CLASSNAMEHEADERS,0))))}</f>
        <v>SKILLINCREASEEXTRA-L11</v>
      </c>
      <c r="R469" s="81" t="str">
        <f t="array" ref="R469:R470">{"SKILLINCREASEEXTRA-L12";((INDEX(ALLCLASSDATA,MATCH("SkillIncreaseExtra-L12",CLASSFEATUREHEADERS,0),MATCH(($A470 &amp; "Points"),CLASSNAMEHEADERS,0))))}</f>
        <v>SKILLINCREASEEXTRA-L12</v>
      </c>
      <c r="S469" s="81" t="str">
        <f t="array" ref="S469:S470">{"SKILLINCREASEEXTRA-L13";((INDEX(ALLCLASSDATA,MATCH("SkillIncreaseExtra-L13",CLASSFEATUREHEADERS,0),MATCH(($A470 &amp; "Points"),CLASSNAMEHEADERS,0))))}</f>
        <v>SKILLINCREASEEXTRA-L13</v>
      </c>
      <c r="T469" s="81" t="str">
        <f t="array" ref="T469:T470">{"SKILLINCREASEEXTRA-L14";((INDEX(ALLCLASSDATA,MATCH("SkillIncreaseExtra-L14",CLASSFEATUREHEADERS,0),MATCH(($A470 &amp; "Points"),CLASSNAMEHEADERS,0))))}</f>
        <v>SKILLINCREASEEXTRA-L14</v>
      </c>
      <c r="U469" s="81" t="str">
        <f t="array" ref="U469:U470">{"SKILLINCREASEEXTRA-L15";((INDEX(ALLCLASSDATA,MATCH("SkillIncreaseExtra-L15",CLASSFEATUREHEADERS,0),MATCH(($A470 &amp; "Points"),CLASSNAMEHEADERS,0))))}</f>
        <v>SKILLINCREASEEXTRA-L15</v>
      </c>
      <c r="V469" s="81" t="str">
        <f t="array" ref="V469:V470">{"SKILLINCREASEEXTRA-L16";((INDEX(ALLCLASSDATA,MATCH("SkillIncreaseExtra-L16",CLASSFEATUREHEADERS,0),MATCH(($A470 &amp; "Points"),CLASSNAMEHEADERS,0))))}</f>
        <v>SKILLINCREASEEXTRA-L16</v>
      </c>
      <c r="W469" s="81" t="str">
        <f t="array" ref="W469:W470">{"SKILLINCREASEEXTRA-L17";((INDEX(ALLCLASSDATA,MATCH("SkillIncreaseExtra-L17",CLASSFEATUREHEADERS,0),MATCH(($A470 &amp; "Points"),CLASSNAMEHEADERS,0))))}</f>
        <v>SKILLINCREASEEXTRA-L17</v>
      </c>
      <c r="X469" s="81" t="str">
        <f t="array" ref="X469:X470">{"SKILLINCREASEEXTRA-L18";((INDEX(ALLCLASSDATA,MATCH("SkillIncreaseExtra-L18",CLASSFEATUREHEADERS,0),MATCH(($A470 &amp; "Points"),CLASSNAMEHEADERS,0))))}</f>
        <v>SKILLINCREASEEXTRA-L18</v>
      </c>
      <c r="Y469" s="81" t="str">
        <f t="array" ref="Y469:Y470">{"SKILLINCREASEEXTRA-L19";((INDEX(ALLCLASSDATA,MATCH("SkillIncreaseExtra-L19",CLASSFEATUREHEADERS,0),MATCH(($A470 &amp; "Points"),CLASSNAMEHEADERS,0))))}</f>
        <v>SKILLINCREASEEXTRA-L19</v>
      </c>
      <c r="Z469" s="81" t="str">
        <f t="array" ref="Z469:Z470">{"SKILLINCREASEEXTRA-L20";((INDEX(ALLCLASSDATA,MATCH("SkillIncreaseExtra-L20",CLASSFEATUREHEADERS,0),MATCH(($A470 &amp; "Points"),CLASSNAMEHEADERS,0))))}</f>
        <v>SKILLINCREASEEXTRA-L20</v>
      </c>
      <c r="AA469" s="76"/>
      <c r="AB469" s="76" t="str">
        <f t="array" ref="AB469:AB470">{"SKILLINCREASE TOTAL";(sum(F470:Z470))}</f>
        <v>SKILLINCREASE TOTAL</v>
      </c>
    </row>
    <row r="470">
      <c r="A470" s="48" t="s">
        <v>195</v>
      </c>
      <c r="B470" s="48" t="s">
        <v>417</v>
      </c>
      <c r="C470" s="48" t="s">
        <v>659</v>
      </c>
      <c r="D470" s="48" t="s">
        <v>661</v>
      </c>
      <c r="E470" s="48"/>
      <c r="F470" s="47"/>
      <c r="G470" s="5"/>
      <c r="H470" s="5" t="s">
        <v>603</v>
      </c>
      <c r="I470" s="5" t="s">
        <v>603</v>
      </c>
      <c r="J470" s="5" t="s">
        <v>603</v>
      </c>
      <c r="K470" s="48" t="s">
        <v>603</v>
      </c>
      <c r="L470" s="5" t="s">
        <v>603</v>
      </c>
      <c r="M470" s="5" t="s">
        <v>603</v>
      </c>
      <c r="N470" s="5" t="s">
        <v>603</v>
      </c>
      <c r="O470" s="5" t="s">
        <v>603</v>
      </c>
      <c r="P470" s="5" t="s">
        <v>603</v>
      </c>
      <c r="Q470" s="5" t="s">
        <v>603</v>
      </c>
      <c r="R470" s="5" t="s">
        <v>603</v>
      </c>
      <c r="S470" s="5" t="s">
        <v>603</v>
      </c>
      <c r="T470" s="5" t="s">
        <v>603</v>
      </c>
      <c r="U470" s="5" t="s">
        <v>603</v>
      </c>
      <c r="V470" s="5" t="s">
        <v>603</v>
      </c>
      <c r="W470" s="5" t="s">
        <v>603</v>
      </c>
      <c r="X470" s="5" t="s">
        <v>603</v>
      </c>
      <c r="Y470" s="5" t="s">
        <v>603</v>
      </c>
      <c r="Z470" s="5" t="s">
        <v>603</v>
      </c>
      <c r="AA470" s="5"/>
      <c r="AB470" s="47">
        <v>0.0</v>
      </c>
    </row>
    <row r="471" hidden="1">
      <c r="A471" s="76" t="str">
        <f t="array" ref="A471:A472">{"FormulaRow07";(INDEX(CLASSLIST,A458,1))}</f>
        <v>FormulaRow07</v>
      </c>
      <c r="B471" s="76" t="str">
        <f t="array" ref="B471:B472">{"CLASSTYPE";((INDEX(ALLCLASSDATA,MATCH("ClassType",CLASSFEATUREHEADERS,0),MATCH($A472,CLASSNAMEHEADERS,0))))}</f>
        <v>CLASSTYPE</v>
      </c>
      <c r="C471" s="76" t="str">
        <f t="array" ref="C471:C472">{"SKILLS";"Skills"}</f>
        <v>SKILLS</v>
      </c>
      <c r="D471" s="76" t="str">
        <f t="array" ref="D471:D472">{"EXTRASKILLFEATS";"Extra Skill Feats"}</f>
        <v>EXTRASKILLFEATS</v>
      </c>
      <c r="E471" s="76"/>
      <c r="F471" s="76"/>
      <c r="G471" s="76" t="str">
        <f t="array" ref="G471:G472">{"SKILLFEATEXTRA-L01";((INDEX(ALLCLASSDATA,MATCH("SkillFeatExtra-L01",CLASSFEATUREHEADERS,0),MATCH(($A472 &amp; "Points"),CLASSNAMEHEADERS,0))))}</f>
        <v>SKILLFEATEXTRA-L01</v>
      </c>
      <c r="H471" s="76" t="str">
        <f t="array" ref="H471:H472">{"SKILLFEATEXTRA-L02";((INDEX(ALLCLASSDATA,MATCH("SkillFeatExtra-L02",CLASSFEATUREHEADERS,0),MATCH(($A472 &amp; "Points"),CLASSNAMEHEADERS,0))))}</f>
        <v>SKILLFEATEXTRA-L02</v>
      </c>
      <c r="I471" s="76" t="str">
        <f t="array" ref="I471:I472">{"SKILLFEATEXTRA-L03";((INDEX(ALLCLASSDATA,MATCH("SkillFeatExtra-L03",CLASSFEATUREHEADERS,0),MATCH(($A472 &amp; "Points"),CLASSNAMEHEADERS,0))))}</f>
        <v>SKILLFEATEXTRA-L03</v>
      </c>
      <c r="J471" s="76" t="str">
        <f t="array" ref="J471:J472">{"SKILLFEATEXTRA-L04";((INDEX(ALLCLASSDATA,MATCH("SkillFeatExtra-L04",CLASSFEATUREHEADERS,0),MATCH(($A472 &amp; "Points"),CLASSNAMEHEADERS,0))))}</f>
        <v>SKILLFEATEXTRA-L04</v>
      </c>
      <c r="K471" s="76" t="str">
        <f t="array" ref="K471:K472">{"SKILLFEATEXTRA-L05";((INDEX(ALLCLASSDATA,MATCH("SkillFeatExtra-L05",CLASSFEATUREHEADERS,0),MATCH(($A472 &amp; "Points"),CLASSNAMEHEADERS,0))))}</f>
        <v>SKILLFEATEXTRA-L05</v>
      </c>
      <c r="L471" s="76" t="str">
        <f t="array" ref="L471:L472">{"SKILLFEATEXTRA-L06";((INDEX(ALLCLASSDATA,MATCH("SkillFeatExtra-L06",CLASSFEATUREHEADERS,0),MATCH(($A472 &amp; "Points"),CLASSNAMEHEADERS,0))))}</f>
        <v>SKILLFEATEXTRA-L06</v>
      </c>
      <c r="M471" s="76" t="str">
        <f t="array" ref="M471:M472">{"SKILLFEATEXTRA-L07";((INDEX(ALLCLASSDATA,MATCH("SkillFeatExtra-L07",CLASSFEATUREHEADERS,0),MATCH(($A472 &amp; "Points"),CLASSNAMEHEADERS,0))))}</f>
        <v>SKILLFEATEXTRA-L07</v>
      </c>
      <c r="N471" s="76" t="str">
        <f t="array" ref="N471:N472">{"SKILLFEATEXTRA-L08";((INDEX(ALLCLASSDATA,MATCH("SkillFeatExtra-L08",CLASSFEATUREHEADERS,0),MATCH(($A472 &amp; "Points"),CLASSNAMEHEADERS,0))))}</f>
        <v>SKILLFEATEXTRA-L08</v>
      </c>
      <c r="O471" s="76" t="str">
        <f t="array" ref="O471:O472">{"SKILLFEATEXTRA-L09";((INDEX(ALLCLASSDATA,MATCH("SkillFeatExtra-L09",CLASSFEATUREHEADERS,0),MATCH(($A472 &amp; "Points"),CLASSNAMEHEADERS,0))))}</f>
        <v>SKILLFEATEXTRA-L09</v>
      </c>
      <c r="P471" s="76" t="str">
        <f t="array" ref="P471:P472">{"SKILLFEATEXTRA-L10";((INDEX(ALLCLASSDATA,MATCH("SkillFeatExtra-L10",CLASSFEATUREHEADERS,0),MATCH(($A472 &amp; "Points"),CLASSNAMEHEADERS,0))))}</f>
        <v>SKILLFEATEXTRA-L10</v>
      </c>
      <c r="Q471" s="76" t="str">
        <f t="array" ref="Q471:Q472">{"SKILLFEATEXTRA-L11";((INDEX(ALLCLASSDATA,MATCH("SkillFeatExtra-L11",CLASSFEATUREHEADERS,0),MATCH(($A472 &amp; "Points"),CLASSNAMEHEADERS,0))))}</f>
        <v>SKILLFEATEXTRA-L11</v>
      </c>
      <c r="R471" s="76" t="str">
        <f t="array" ref="R471:R472">{"SKILLFEATEXTRA-L12";((INDEX(ALLCLASSDATA,MATCH("SkillFeatExtra-L12",CLASSFEATUREHEADERS,0),MATCH(($A472 &amp; "Points"),CLASSNAMEHEADERS,0))))}</f>
        <v>SKILLFEATEXTRA-L12</v>
      </c>
      <c r="S471" s="76" t="str">
        <f t="array" ref="S471:S472">{"SKILLFEATEXTRA-L13";((INDEX(ALLCLASSDATA,MATCH("SkillFeatExtra-L13",CLASSFEATUREHEADERS,0),MATCH(($A472 &amp; "Points"),CLASSNAMEHEADERS,0))))}</f>
        <v>SKILLFEATEXTRA-L13</v>
      </c>
      <c r="T471" s="76" t="str">
        <f t="array" ref="T471:T472">{"SKILLFEATEXTRA-L14";((INDEX(ALLCLASSDATA,MATCH("SkillFeatExtra-L14",CLASSFEATUREHEADERS,0),MATCH(($A472 &amp; "Points"),CLASSNAMEHEADERS,0))))}</f>
        <v>SKILLFEATEXTRA-L14</v>
      </c>
      <c r="U471" s="76" t="str">
        <f t="array" ref="U471:U472">{"SKILLFEATEXTRA-L15";((INDEX(ALLCLASSDATA,MATCH("SkillFeatExtra-L15",CLASSFEATUREHEADERS,0),MATCH(($A472 &amp; "Points"),CLASSNAMEHEADERS,0))))}</f>
        <v>SKILLFEATEXTRA-L15</v>
      </c>
      <c r="V471" s="76" t="str">
        <f t="array" ref="V471:V472">{"SKILLFEATEXTRA-L16";((INDEX(ALLCLASSDATA,MATCH("SkillFeatExtra-L16",CLASSFEATUREHEADERS,0),MATCH(($A472 &amp; "Points"),CLASSNAMEHEADERS,0))))}</f>
        <v>SKILLFEATEXTRA-L16</v>
      </c>
      <c r="W471" s="76" t="str">
        <f t="array" ref="W471:W472">{"SKILLFEATEXTRA-L17";((INDEX(ALLCLASSDATA,MATCH("SkillFeatExtra-L17",CLASSFEATUREHEADERS,0),MATCH(($A472 &amp; "Points"),CLASSNAMEHEADERS,0))))}</f>
        <v>SKILLFEATEXTRA-L17</v>
      </c>
      <c r="X471" s="76" t="str">
        <f t="array" ref="X471:X472">{"SKILLFEATEXTRA-L18";((INDEX(ALLCLASSDATA,MATCH("SkillFeatExtra-L18",CLASSFEATUREHEADERS,0),MATCH(($A472 &amp; "Points"),CLASSNAMEHEADERS,0))))}</f>
        <v>SKILLFEATEXTRA-L18</v>
      </c>
      <c r="Y471" s="76" t="str">
        <f t="array" ref="Y471:Y472">{"SKILLFEATEXTRA-L19";((INDEX(ALLCLASSDATA,MATCH("SkillFeatExtra-L19",CLASSFEATUREHEADERS,0),MATCH(($A472 &amp; "Points"),CLASSNAMEHEADERS,0))))}</f>
        <v>SKILLFEATEXTRA-L19</v>
      </c>
      <c r="Z471" s="76" t="str">
        <f t="array" ref="Z471:Z472">{"SKILLFEATEXTRA-L20";((INDEX(ALLCLASSDATA,MATCH("SkillFeatExtra-L20",CLASSFEATUREHEADERS,0),MATCH(($A472 &amp; "Points"),CLASSNAMEHEADERS,0))))}</f>
        <v>SKILLFEATEXTRA-L20</v>
      </c>
      <c r="AA471" s="76"/>
      <c r="AB471" s="76" t="str">
        <f t="array" ref="AB471:AB472">{"SKILLFEAT TOTAL";(sum(F472:Z472))}</f>
        <v>SKILLFEAT TOTAL</v>
      </c>
    </row>
    <row r="472">
      <c r="A472" s="48" t="s">
        <v>195</v>
      </c>
      <c r="B472" s="48" t="s">
        <v>417</v>
      </c>
      <c r="C472" s="97" t="s">
        <v>659</v>
      </c>
      <c r="D472" s="97" t="s">
        <v>722</v>
      </c>
      <c r="E472" s="97"/>
      <c r="F472" s="132"/>
      <c r="G472" s="98" t="s">
        <v>603</v>
      </c>
      <c r="H472" s="98" t="s">
        <v>603</v>
      </c>
      <c r="I472" s="97" t="s">
        <v>603</v>
      </c>
      <c r="J472" s="98" t="s">
        <v>603</v>
      </c>
      <c r="K472" s="97" t="s">
        <v>603</v>
      </c>
      <c r="L472" s="98" t="s">
        <v>603</v>
      </c>
      <c r="M472" s="98" t="s">
        <v>603</v>
      </c>
      <c r="N472" s="98" t="s">
        <v>603</v>
      </c>
      <c r="O472" s="98" t="s">
        <v>603</v>
      </c>
      <c r="P472" s="98" t="s">
        <v>603</v>
      </c>
      <c r="Q472" s="98" t="s">
        <v>603</v>
      </c>
      <c r="R472" s="98" t="s">
        <v>603</v>
      </c>
      <c r="S472" s="98" t="s">
        <v>603</v>
      </c>
      <c r="T472" s="98" t="s">
        <v>603</v>
      </c>
      <c r="U472" s="98" t="s">
        <v>603</v>
      </c>
      <c r="V472" s="98" t="s">
        <v>603</v>
      </c>
      <c r="W472" s="98" t="s">
        <v>603</v>
      </c>
      <c r="X472" s="98" t="s">
        <v>603</v>
      </c>
      <c r="Y472" s="98" t="s">
        <v>603</v>
      </c>
      <c r="Z472" s="98" t="s">
        <v>603</v>
      </c>
      <c r="AA472" s="5"/>
      <c r="AB472" s="47">
        <v>0.0</v>
      </c>
    </row>
    <row r="473" hidden="1">
      <c r="A473" s="76" t="str">
        <f t="array" ref="A473:A474">{"FormulaRow08";(INDEX(CLASSLIST,A458,1))}</f>
        <v>FormulaRow08</v>
      </c>
      <c r="B473" s="76" t="str">
        <f t="array" ref="B473:B474">{"CLASSTYPE";((INDEX(ALLCLASSDATA,MATCH("ClassType",CLASSFEATUREHEADERS,0),MATCH($A474,CLASSNAMEHEADERS,0))))}</f>
        <v>CLASSTYPE</v>
      </c>
      <c r="C473" s="81" t="str">
        <f t="array" ref="C473:C474">{"CLASSABILITY";"ClassAbility"}</f>
        <v>CLASSABILITY</v>
      </c>
      <c r="D473" s="81" t="str">
        <f t="array" ref="D473:D474">{"CLASSABILITY1";"ClassAbility1"}</f>
        <v>CLASSABILITY1</v>
      </c>
      <c r="E473" s="81"/>
      <c r="F473" s="81"/>
      <c r="G473" s="81"/>
      <c r="H473" s="81"/>
      <c r="I473" s="81" t="str">
        <f t="array" ref="I473:I474">{"CLASSABILITY1-L03";((INDEX(ALLCLASSDATA,MATCH("ClassAbility1-L03",CLASSFEATUREHEADERS,0),MATCH(($A474),CLASSNAMEHEADERS,0))))}</f>
        <v>CLASSABILITY1-L03</v>
      </c>
      <c r="J473" s="81"/>
      <c r="K473" s="81" t="str">
        <f t="array" ref="K473:K474">{"CLASSABILITY1-L05";((INDEX(ALLCLASSDATA,MATCH("ClassAbility1-L05",CLASSFEATUREHEADERS,0),MATCH(($A474),CLASSNAMEHEADERS,0))))}</f>
        <v>CLASSABILITY1-L05</v>
      </c>
      <c r="L473" s="81"/>
      <c r="M473" s="81" t="str">
        <f t="array" ref="M473:M474">{"CLASSABILITY1-L07";((INDEX(ALLCLASSDATA,MATCH("ClassAbility1-L07",CLASSFEATUREHEADERS,0),MATCH(($A474),CLASSNAMEHEADERS,0))))}</f>
        <v>CLASSABILITY1-L07</v>
      </c>
      <c r="N473" s="81"/>
      <c r="O473" s="81" t="str">
        <f t="array" ref="O473:O474">{"CLASSABILITY1-L09";((INDEX(ALLCLASSDATA,MATCH("ClassAbility1-L09",CLASSFEATUREHEADERS,0),MATCH(($A474),CLASSNAMEHEADERS,0))))}</f>
        <v>CLASSABILITY1-L09</v>
      </c>
      <c r="P473" s="81"/>
      <c r="Q473" s="81" t="str">
        <f t="array" ref="Q473:Q474">{"CLASSABILITY1-L11";((INDEX(ALLCLASSDATA,MATCH("ClassAbility1-L11",CLASSFEATUREHEADERS,0),MATCH(($A474),CLASSNAMEHEADERS,0))))}</f>
        <v>CLASSABILITY1-L11</v>
      </c>
      <c r="R473" s="81"/>
      <c r="S473" s="81" t="str">
        <f t="array" ref="S473:S474">{"CLASSABILITY1-L13";((INDEX(ALLCLASSDATA,MATCH("ClassAbility1-L13",CLASSFEATUREHEADERS,0),MATCH(($A474),CLASSNAMEHEADERS,0))))}</f>
        <v>CLASSABILITY1-L13</v>
      </c>
      <c r="T473" s="81"/>
      <c r="U473" s="81" t="str">
        <f t="array" ref="U473:U474">{"CLASSABILITY1-L15";((INDEX(ALLCLASSDATA,MATCH("ClassAbility1-L15",CLASSFEATUREHEADERS,0),MATCH(($A474),CLASSNAMEHEADERS,0))))}</f>
        <v>CLASSABILITY1-L15</v>
      </c>
      <c r="V473" s="81"/>
      <c r="W473" s="81" t="str">
        <f t="array" ref="W473:W474">{"CLASSABILITY1-L17";((INDEX(ALLCLASSDATA,MATCH("ClassAbility1-L17",CLASSFEATUREHEADERS,0),MATCH(($A474),CLASSNAMEHEADERS,0))))}</f>
        <v>CLASSABILITY1-L17</v>
      </c>
      <c r="X473" s="81"/>
      <c r="Y473" s="81" t="str">
        <f t="array" ref="Y473:Y474">{"CLASSABILITY1-L19";((INDEX(ALLCLASSDATA,MATCH("ClassAbility1-L19",CLASSFEATUREHEADERS,0),MATCH(($A474),CLASSNAMEHEADERS,0))))}</f>
        <v>CLASSABILITY1-L19</v>
      </c>
      <c r="Z473" s="81"/>
      <c r="AA473" s="76"/>
      <c r="AB473" s="76"/>
    </row>
    <row r="474">
      <c r="A474" s="48" t="s">
        <v>195</v>
      </c>
      <c r="B474" s="48" t="s">
        <v>417</v>
      </c>
      <c r="C474" s="48" t="s">
        <v>825</v>
      </c>
      <c r="D474" s="48" t="s">
        <v>826</v>
      </c>
      <c r="E474" s="5"/>
      <c r="F474" s="47"/>
      <c r="G474" s="5"/>
      <c r="H474" s="5"/>
      <c r="I474" s="5" t="s">
        <v>1297</v>
      </c>
      <c r="J474" s="5"/>
      <c r="K474" s="5"/>
      <c r="L474" s="5"/>
      <c r="M474" s="5"/>
      <c r="N474" s="5"/>
      <c r="O474" s="5" t="s">
        <v>350</v>
      </c>
      <c r="P474" s="5"/>
      <c r="Q474" s="5" t="s">
        <v>1734</v>
      </c>
      <c r="R474" s="5"/>
      <c r="S474" s="5" t="s">
        <v>369</v>
      </c>
      <c r="T474" s="5"/>
      <c r="U474" s="5" t="s">
        <v>1762</v>
      </c>
      <c r="V474" s="5"/>
      <c r="W474" s="5" t="s">
        <v>353</v>
      </c>
      <c r="X474" s="5"/>
      <c r="Y474" s="5" t="s">
        <v>1300</v>
      </c>
      <c r="Z474" s="5"/>
      <c r="AA474" s="5"/>
      <c r="AB474" s="47"/>
    </row>
    <row r="475" hidden="1">
      <c r="A475" s="76" t="str">
        <f t="array" ref="A475:A476">{"FormulaRow09";(INDEX(CLASSLIST,A458,1))}</f>
        <v>FormulaRow09</v>
      </c>
      <c r="B475" s="76" t="str">
        <f t="array" ref="B475:B476">{"CLASSTYPE";((INDEX(ALLCLASSDATA,MATCH("ClassType",CLASSFEATUREHEADERS,0),MATCH($A476,CLASSNAMEHEADERS,0))))}</f>
        <v>CLASSTYPE</v>
      </c>
      <c r="C475" s="76" t="str">
        <f t="array" ref="C475:C476">{"CLASSABILITYPTS";"ClassAbilityPts"}</f>
        <v>CLASSABILITYPTS</v>
      </c>
      <c r="D475" s="76" t="str">
        <f t="array" ref="D475:D476">{"CLASSABILITY1";"ClassAbility1"}</f>
        <v>CLASSABILITY1</v>
      </c>
      <c r="E475" s="76"/>
      <c r="F475" s="76"/>
      <c r="G475" s="76"/>
      <c r="H475" s="76"/>
      <c r="I475" s="76" t="str">
        <f t="array" ref="I475:I476">{"CLASSABILITY1-L03PTS";((INDEX(ALLCLASSDATA,MATCH("ClassAbility1-L03",CLASSFEATUREHEADERS,0),MATCH(($A476 &amp; "Points"),CLASSNAMEHEADERS,0))))}</f>
        <v>CLASSABILITY1-L03PTS</v>
      </c>
      <c r="J475" s="76"/>
      <c r="K475" s="76" t="str">
        <f t="array" ref="K475:K476">{"CLASSABILITY1-L05PTS";((INDEX(ALLCLASSDATA,MATCH("ClassAbility1-L05",CLASSFEATUREHEADERS,0),MATCH(($A476 &amp; "Points"),CLASSNAMEHEADERS,0))))}</f>
        <v>CLASSABILITY1-L05PTS</v>
      </c>
      <c r="L475" s="76"/>
      <c r="M475" s="76" t="str">
        <f t="array" ref="M475:M476">{"CLASSABILITY1-L07PTS";((INDEX(ALLCLASSDATA,MATCH("ClassAbility1-L07",CLASSFEATUREHEADERS,0),MATCH(($A476 &amp; "Points"),CLASSNAMEHEADERS,0))))}</f>
        <v>CLASSABILITY1-L07PTS</v>
      </c>
      <c r="N475" s="76"/>
      <c r="O475" s="76" t="str">
        <f t="array" ref="O475:O476">{"CLASSABILITY1-L09PTS";((INDEX(ALLCLASSDATA,MATCH("ClassAbility1-L09",CLASSFEATUREHEADERS,0),MATCH(($A476 &amp; "Points"),CLASSNAMEHEADERS,0))))}</f>
        <v>CLASSABILITY1-L09PTS</v>
      </c>
      <c r="P475" s="76"/>
      <c r="Q475" s="76" t="str">
        <f t="array" ref="Q475:Q476">{"CLASSABILITY1-L11PTS";((INDEX(ALLCLASSDATA,MATCH("ClassAbility1-L11",CLASSFEATUREHEADERS,0),MATCH(($A476 &amp; "Points"),CLASSNAMEHEADERS,0))))}</f>
        <v>CLASSABILITY1-L11PTS</v>
      </c>
      <c r="R475" s="76"/>
      <c r="S475" s="76" t="str">
        <f t="array" ref="S475:S476">{"CLASSABILITY1-L13PTS";((INDEX(ALLCLASSDATA,MATCH("ClassAbility1-L13",CLASSFEATUREHEADERS,0),MATCH(($A476 &amp; "Points"),CLASSNAMEHEADERS,0))))}</f>
        <v>CLASSABILITY1-L13PTS</v>
      </c>
      <c r="T475" s="76"/>
      <c r="U475" s="76" t="str">
        <f t="array" ref="U475:U476">{"CLASSABILITY1-L15PTS";((INDEX(ALLCLASSDATA,MATCH("ClassAbility1-L15",CLASSFEATUREHEADERS,0),MATCH(($A476 &amp; "Points"),CLASSNAMEHEADERS,0))))}</f>
        <v>CLASSABILITY1-L15PTS</v>
      </c>
      <c r="V475" s="76"/>
      <c r="W475" s="76" t="str">
        <f t="array" ref="W475:W476">{"CLASSABILITY1-L17PTS";((INDEX(ALLCLASSDATA,MATCH("ClassAbility1-L17",CLASSFEATUREHEADERS,0),MATCH(($A476 &amp; "Points"),CLASSNAMEHEADERS,0))))}</f>
        <v>CLASSABILITY1-L17PTS</v>
      </c>
      <c r="X475" s="76"/>
      <c r="Y475" s="76" t="str">
        <f t="array" ref="Y475:Y476">{"CLASSABILITY1-L19PTS";((INDEX(ALLCLASSDATA,MATCH("ClassAbility1-L19",CLASSFEATUREHEADERS,0),MATCH(($A476 &amp; "Points"),CLASSNAMEHEADERS,0))))}</f>
        <v>CLASSABILITY1-L19PTS</v>
      </c>
      <c r="Z475" s="76"/>
      <c r="AA475" s="76"/>
      <c r="AB475" s="76" t="str">
        <f t="array" ref="AB475:AB476">{"CLASSABILITY1 TOTAL";(sum(F476:Z476))}</f>
        <v>CLASSABILITY1 TOTAL</v>
      </c>
    </row>
    <row r="476">
      <c r="A476" s="48" t="s">
        <v>195</v>
      </c>
      <c r="B476" s="48" t="s">
        <v>417</v>
      </c>
      <c r="C476" s="48" t="s">
        <v>930</v>
      </c>
      <c r="D476" s="48" t="s">
        <v>826</v>
      </c>
      <c r="E476" s="5"/>
      <c r="F476" s="5"/>
      <c r="G476" s="5"/>
      <c r="H476" s="5"/>
      <c r="I476" s="48">
        <v>30.0</v>
      </c>
      <c r="J476" s="5"/>
      <c r="K476" s="5"/>
      <c r="L476" s="5"/>
      <c r="M476" s="5"/>
      <c r="N476" s="5"/>
      <c r="O476" s="5"/>
      <c r="P476" s="5"/>
      <c r="Q476" s="5"/>
      <c r="R476" s="5"/>
      <c r="S476" s="5"/>
      <c r="T476" s="5"/>
      <c r="U476" s="5"/>
      <c r="V476" s="5"/>
      <c r="W476" s="5"/>
      <c r="X476" s="5"/>
      <c r="Y476" s="5">
        <v>90.0</v>
      </c>
      <c r="Z476" s="5"/>
      <c r="AA476" s="5"/>
      <c r="AB476" s="47">
        <v>120.0</v>
      </c>
    </row>
    <row r="477" hidden="1">
      <c r="A477" s="76" t="str">
        <f t="array" ref="A477:A478">{"FormulaRow10";(INDEX(CLASSLIST,A458,1))}</f>
        <v>FormulaRow10</v>
      </c>
      <c r="B477" s="76" t="str">
        <f t="array" ref="B477:B478">{"CLASSTYPE";((INDEX(ALLCLASSDATA,MATCH("ClassType",CLASSFEATUREHEADERS,0),MATCH($A478,CLASSNAMEHEADERS,0))))}</f>
        <v>CLASSTYPE</v>
      </c>
      <c r="C477" s="76" t="str">
        <f t="array" ref="C477:C478">{"CLASSABILITY";"ClassAbility"}</f>
        <v>CLASSABILITY</v>
      </c>
      <c r="D477" s="76" t="str">
        <f t="array" ref="D477:D478">{"CLASSABILITY2";"ClassAbility2"}</f>
        <v>CLASSABILITY2</v>
      </c>
      <c r="E477" s="76"/>
      <c r="F477" s="76"/>
      <c r="G477" s="76"/>
      <c r="H477" s="76"/>
      <c r="I477" s="76" t="str">
        <f t="array" ref="I477:I478">{"CLASSABILITY2-L03";((INDEX(ALLCLASSDATA,MATCH("ClassAbility2-L03",CLASSFEATUREHEADERS,0),MATCH(($A478),CLASSNAMEHEADERS,0))))}</f>
        <v>CLASSABILITY2-L03</v>
      </c>
      <c r="J477" s="76"/>
      <c r="K477" s="76" t="str">
        <f t="array" ref="K477:K478">{"CLASSABILITY2-L05";((INDEX(ALLCLASSDATA,MATCH("ClassAbility2-L05",CLASSFEATUREHEADERS,0),MATCH(($A478),CLASSNAMEHEADERS,0))))}</f>
        <v>CLASSABILITY2-L05</v>
      </c>
      <c r="L477" s="76"/>
      <c r="M477" s="76" t="str">
        <f t="array" ref="M477:M478">{"CLASSABILITY2-L07";((INDEX(ALLCLASSDATA,MATCH("ClassAbility2-L07",CLASSFEATUREHEADERS,0),MATCH(($A478),CLASSNAMEHEADERS,0))))}</f>
        <v>CLASSABILITY2-L07</v>
      </c>
      <c r="N477" s="76"/>
      <c r="O477" s="76" t="str">
        <f t="array" ref="O477:O478">{"CLASSABILITY2-L09";((INDEX(ALLCLASSDATA,MATCH("ClassAbility2-L09",CLASSFEATUREHEADERS,0),MATCH(($A478),CLASSNAMEHEADERS,0))))}</f>
        <v>CLASSABILITY2-L09</v>
      </c>
      <c r="P477" s="76"/>
      <c r="Q477" s="76" t="str">
        <f t="array" ref="Q477:Q478">{"CLASSABILITY2-L11";((INDEX(ALLCLASSDATA,MATCH("ClassAbility2-L11",CLASSFEATUREHEADERS,0),MATCH(($A478),CLASSNAMEHEADERS,0))))}</f>
        <v>CLASSABILITY2-L11</v>
      </c>
      <c r="R477" s="76"/>
      <c r="S477" s="76" t="str">
        <f t="array" ref="S477:S478">{"CLASSABILITY2-L13";((INDEX(ALLCLASSDATA,MATCH("ClassAbility2-L13",CLASSFEATUREHEADERS,0),MATCH(($A478),CLASSNAMEHEADERS,0))))}</f>
        <v>CLASSABILITY2-L13</v>
      </c>
      <c r="T477" s="76"/>
      <c r="U477" s="76" t="str">
        <f t="array" ref="U477:U478">{"CLASSABILITY2-L15";((INDEX(ALLCLASSDATA,MATCH("ClassAbility2-L15",CLASSFEATUREHEADERS,0),MATCH(($A478),CLASSNAMEHEADERS,0))))}</f>
        <v>CLASSABILITY2-L15</v>
      </c>
      <c r="V477" s="76"/>
      <c r="W477" s="76" t="str">
        <f t="array" ref="W477:W478">{"CLASSABILITY2-L17";((INDEX(ALLCLASSDATA,MATCH("ClassAbility2-L17",CLASSFEATUREHEADERS,0),MATCH(($A478),CLASSNAMEHEADERS,0))))}</f>
        <v>CLASSABILITY2-L17</v>
      </c>
      <c r="X477" s="76"/>
      <c r="Y477" s="76" t="str">
        <f t="array" ref="Y477:Y478">{"CLASSABILITY2-L19";((INDEX(ALLCLASSDATA,MATCH("ClassAbility2-L19",CLASSFEATUREHEADERS,0),MATCH(($A478),CLASSNAMEHEADERS,0))))}</f>
        <v>CLASSABILITY2-L19</v>
      </c>
      <c r="Z477" s="76"/>
      <c r="AA477" s="76"/>
      <c r="AB477" s="76"/>
    </row>
    <row r="478">
      <c r="A478" s="48" t="s">
        <v>195</v>
      </c>
      <c r="B478" s="48" t="s">
        <v>417</v>
      </c>
      <c r="C478" s="48" t="s">
        <v>825</v>
      </c>
      <c r="D478" s="48" t="s">
        <v>1007</v>
      </c>
      <c r="E478" s="48"/>
      <c r="F478" s="47"/>
      <c r="G478" s="5"/>
      <c r="H478" s="5"/>
      <c r="I478" s="5" t="s">
        <v>1685</v>
      </c>
      <c r="J478" s="5"/>
      <c r="K478" s="5"/>
      <c r="L478" s="5"/>
      <c r="M478" s="5"/>
      <c r="N478" s="5"/>
      <c r="O478" s="5" t="s">
        <v>1726</v>
      </c>
      <c r="P478" s="5"/>
      <c r="Q478" s="5"/>
      <c r="R478" s="5"/>
      <c r="S478" s="5" t="s">
        <v>1756</v>
      </c>
      <c r="T478" s="5"/>
      <c r="U478" s="5"/>
      <c r="V478" s="5"/>
      <c r="W478" s="5"/>
      <c r="X478" s="5"/>
      <c r="Y478" s="5"/>
      <c r="Z478" s="5"/>
      <c r="AA478" s="5"/>
      <c r="AB478" s="47"/>
    </row>
    <row r="479" hidden="1">
      <c r="A479" s="76" t="str">
        <f t="array" ref="A479:A480">{"FormulaRow11";(INDEX(CLASSLIST,A458,1))}</f>
        <v>FormulaRow11</v>
      </c>
      <c r="B479" s="76" t="str">
        <f t="array" ref="B479:B480">{"CLASSTYPE";((INDEX(ALLCLASSDATA,MATCH("ClassType",CLASSFEATUREHEADERS,0),MATCH($A480,CLASSNAMEHEADERS,0))))}</f>
        <v>CLASSTYPE</v>
      </c>
      <c r="C479" s="76" t="str">
        <f t="array" ref="C479:C480">{"CLASSABILITYPTS";"ClassAbilityPts"}</f>
        <v>CLASSABILITYPTS</v>
      </c>
      <c r="D479" s="76" t="str">
        <f t="array" ref="D479:D480">{"CLASSABILITY2";"ClassAbility2"}</f>
        <v>CLASSABILITY2</v>
      </c>
      <c r="E479" s="76"/>
      <c r="F479" s="76"/>
      <c r="G479" s="76"/>
      <c r="H479" s="76"/>
      <c r="I479" s="76" t="str">
        <f t="array" ref="I479:I480">{"CLASSABILITY2-L03PTS";((INDEX(ALLCLASSDATA,MATCH("ClassAbility2-L03",CLASSFEATUREHEADERS,0),MATCH(($A480 &amp; "Points"),CLASSNAMEHEADERS,0))))}</f>
        <v>CLASSABILITY2-L03PTS</v>
      </c>
      <c r="J479" s="76"/>
      <c r="K479" s="76" t="str">
        <f t="array" ref="K479:K480">{"CLASSABILITY2-L05PTS";((INDEX(ALLCLASSDATA,MATCH("ClassAbility2-L05",CLASSFEATUREHEADERS,0),MATCH(($A480 &amp; "Points"),CLASSNAMEHEADERS,0))))}</f>
        <v>CLASSABILITY2-L05PTS</v>
      </c>
      <c r="L479" s="76"/>
      <c r="M479" s="76" t="str">
        <f t="array" ref="M479:M480">{"CLASSABILITY2-L07PTS";((INDEX(ALLCLASSDATA,MATCH("ClassAbility2-L07",CLASSFEATUREHEADERS,0),MATCH(($A480 &amp; "Points"),CLASSNAMEHEADERS,0))))}</f>
        <v>CLASSABILITY2-L07PTS</v>
      </c>
      <c r="N479" s="76"/>
      <c r="O479" s="76" t="str">
        <f t="array" ref="O479:O480">{"CLASSABILITY2-L09PTS";((INDEX(ALLCLASSDATA,MATCH("ClassAbility2-L09",CLASSFEATUREHEADERS,0),MATCH(($A480 &amp; "Points"),CLASSNAMEHEADERS,0))))}</f>
        <v>CLASSABILITY2-L09PTS</v>
      </c>
      <c r="P479" s="76"/>
      <c r="Q479" s="76" t="str">
        <f t="array" ref="Q479:Q480">{"CLASSABILITY2-L11PTS";((INDEX(ALLCLASSDATA,MATCH("ClassAbility2-L11",CLASSFEATUREHEADERS,0),MATCH(($A480 &amp; "Points"),CLASSNAMEHEADERS,0))))}</f>
        <v>CLASSABILITY2-L11PTS</v>
      </c>
      <c r="R479" s="76"/>
      <c r="S479" s="76" t="str">
        <f t="array" ref="S479:S480">{"CLASSABILITY2-L13PTS";((INDEX(ALLCLASSDATA,MATCH("ClassAbility2-L13",CLASSFEATUREHEADERS,0),MATCH(($A480 &amp; "Points"),CLASSNAMEHEADERS,0))))}</f>
        <v>CLASSABILITY2-L13PTS</v>
      </c>
      <c r="T479" s="76"/>
      <c r="U479" s="76" t="str">
        <f t="array" ref="U479:U480">{"CLASSABILITY2-L15PTS";((INDEX(ALLCLASSDATA,MATCH("ClassAbility2-L15",CLASSFEATUREHEADERS,0),MATCH(($A480 &amp; "Points"),CLASSNAMEHEADERS,0))))}</f>
        <v>CLASSABILITY2-L15PTS</v>
      </c>
      <c r="V479" s="76"/>
      <c r="W479" s="76" t="str">
        <f t="array" ref="W479:W480">{"CLASSABILITY2-L17PTS";((INDEX(ALLCLASSDATA,MATCH("ClassAbility2-L17",CLASSFEATUREHEADERS,0),MATCH(($A480 &amp; "Points"),CLASSNAMEHEADERS,0))))}</f>
        <v>CLASSABILITY2-L17PTS</v>
      </c>
      <c r="X479" s="76"/>
      <c r="Y479" s="76" t="str">
        <f t="array" ref="Y479:Y480">{"CLASSABILITY2-L19PTS";((INDEX(ALLCLASSDATA,MATCH("ClassAbility2-L19",CLASSFEATUREHEADERS,0),MATCH(($A480 &amp; "Points"),CLASSNAMEHEADERS,0))))}</f>
        <v>CLASSABILITY2-L19PTS</v>
      </c>
      <c r="Z479" s="76"/>
      <c r="AA479" s="76"/>
      <c r="AB479" s="76" t="str">
        <f t="array" ref="AB479:AB480">{"CLASSABILITY2 TOTAL";(sum(F480:Z480))}</f>
        <v>CLASSABILITY2 TOTAL</v>
      </c>
    </row>
    <row r="480">
      <c r="A480" s="48" t="s">
        <v>195</v>
      </c>
      <c r="B480" s="48" t="s">
        <v>417</v>
      </c>
      <c r="C480" s="48" t="s">
        <v>930</v>
      </c>
      <c r="D480" s="48" t="s">
        <v>1007</v>
      </c>
      <c r="E480" s="48"/>
      <c r="F480" s="47"/>
      <c r="G480" s="5"/>
      <c r="H480" s="5"/>
      <c r="I480" s="5"/>
      <c r="J480" s="5"/>
      <c r="K480" s="5"/>
      <c r="L480" s="5"/>
      <c r="M480" s="5"/>
      <c r="N480" s="5"/>
      <c r="O480" s="5"/>
      <c r="P480" s="5"/>
      <c r="Q480" s="5"/>
      <c r="R480" s="5"/>
      <c r="S480" s="5"/>
      <c r="T480" s="5"/>
      <c r="U480" s="5"/>
      <c r="V480" s="5"/>
      <c r="W480" s="5"/>
      <c r="X480" s="5"/>
      <c r="Y480" s="5"/>
      <c r="Z480" s="5"/>
      <c r="AA480" s="5"/>
      <c r="AB480" s="47">
        <v>0.0</v>
      </c>
    </row>
    <row r="481" hidden="1">
      <c r="A481" s="76" t="str">
        <f t="array" ref="A481:A482">{"FormulaRow12";(INDEX(CLASSLIST,A458,1))}</f>
        <v>FormulaRow12</v>
      </c>
      <c r="B481" s="76" t="str">
        <f t="array" ref="B481:B482">{"CLASSTYPE";((INDEX(ALLCLASSDATA,MATCH("ClassType",CLASSFEATUREHEADERS,0),MATCH($A482,CLASSNAMEHEADERS,0))))}</f>
        <v>CLASSTYPE</v>
      </c>
      <c r="C481" s="76" t="str">
        <f t="array" ref="C481:C482">{"CLASSABILITY";"ClassAbility"}</f>
        <v>CLASSABILITY</v>
      </c>
      <c r="D481" s="76" t="str">
        <f t="array" ref="D481:D482">{"CLASSABILITY3";"ClassAbility3"}</f>
        <v>CLASSABILITY3</v>
      </c>
      <c r="E481" s="76"/>
      <c r="F481" s="76"/>
      <c r="G481" s="76"/>
      <c r="H481" s="76"/>
      <c r="I481" s="76" t="str">
        <f t="array" ref="I481:I482">{"CLASSABILITY3-L03";((INDEX(ALLCLASSDATA,MATCH("ClassAbility3-L03",CLASSFEATUREHEADERS,0),MATCH(($A482),CLASSNAMEHEADERS,0))))}</f>
        <v>CLASSABILITY3-L03</v>
      </c>
      <c r="J481" s="76"/>
      <c r="K481" s="76" t="str">
        <f t="array" ref="K481:K482">{"CLASSABILITY3-L05";((INDEX(ALLCLASSDATA,MATCH("ClassAbility3-L05",CLASSFEATUREHEADERS,0),MATCH(($A482),CLASSNAMEHEADERS,0))))}</f>
        <v>CLASSABILITY3-L05</v>
      </c>
      <c r="L481" s="76"/>
      <c r="M481" s="76" t="str">
        <f t="array" ref="M481:M482">{"CLASSABILITY3-L07";((INDEX(ALLCLASSDATA,MATCH("ClassAbility3-L07",CLASSFEATUREHEADERS,0),MATCH(($A482),CLASSNAMEHEADERS,0))))}</f>
        <v>CLASSABILITY3-L07</v>
      </c>
      <c r="N481" s="76"/>
      <c r="O481" s="76" t="str">
        <f t="array" ref="O481:O482">{"CLASSABILITY3-L09";((INDEX(ALLCLASSDATA,MATCH("ClassAbility3-L09",CLASSFEATUREHEADERS,0),MATCH(($A482),CLASSNAMEHEADERS,0))))}</f>
        <v>CLASSABILITY3-L09</v>
      </c>
      <c r="P481" s="76"/>
      <c r="Q481" s="76" t="str">
        <f t="array" ref="Q481:Q482">{"CLASSABILITY3-L11";((INDEX(ALLCLASSDATA,MATCH("ClassAbility3-L11",CLASSFEATUREHEADERS,0),MATCH(($A482),CLASSNAMEHEADERS,0))))}</f>
        <v>CLASSABILITY3-L11</v>
      </c>
      <c r="R481" s="76"/>
      <c r="S481" s="76" t="str">
        <f t="array" ref="S481:S482">{"CLASSABILITY3-L13";((INDEX(ALLCLASSDATA,MATCH("ClassAbility3-L13",CLASSFEATUREHEADERS,0),MATCH(($A482),CLASSNAMEHEADERS,0))))}</f>
        <v>CLASSABILITY3-L13</v>
      </c>
      <c r="T481" s="76"/>
      <c r="U481" s="76" t="str">
        <f t="array" ref="U481:U482">{"CLASSABILITY3-L15";((INDEX(ALLCLASSDATA,MATCH("ClassAbility3-L15",CLASSFEATUREHEADERS,0),MATCH(($A482),CLASSNAMEHEADERS,0))))}</f>
        <v>CLASSABILITY3-L15</v>
      </c>
      <c r="V481" s="76"/>
      <c r="W481" s="76" t="str">
        <f t="array" ref="W481:W482">{"CLASSABILITY3-L17";((INDEX(ALLCLASSDATA,MATCH("ClassAbility3-L17",CLASSFEATUREHEADERS,0),MATCH(($A482),CLASSNAMEHEADERS,0))))}</f>
        <v>CLASSABILITY3-L17</v>
      </c>
      <c r="X481" s="76"/>
      <c r="Y481" s="76" t="str">
        <f t="array" ref="Y481:Y482">{"CLASSABILITY3-L19";((INDEX(ALLCLASSDATA,MATCH("ClassAbility3-L19",CLASSFEATUREHEADERS,0),MATCH(($A482),CLASSNAMEHEADERS,0))))}</f>
        <v>CLASSABILITY3-L19</v>
      </c>
      <c r="Z481" s="76"/>
      <c r="AA481" s="76"/>
      <c r="AB481" s="76"/>
    </row>
    <row r="482">
      <c r="A482" s="48" t="s">
        <v>195</v>
      </c>
      <c r="B482" s="48" t="s">
        <v>417</v>
      </c>
      <c r="C482" s="48" t="s">
        <v>825</v>
      </c>
      <c r="D482" s="48" t="s">
        <v>1144</v>
      </c>
      <c r="E482" s="48"/>
      <c r="F482" s="47"/>
      <c r="G482" s="5"/>
      <c r="H482" s="5"/>
      <c r="I482" s="5"/>
      <c r="J482" s="5"/>
      <c r="K482" s="5"/>
      <c r="L482" s="5"/>
      <c r="M482" s="5"/>
      <c r="N482" s="5"/>
      <c r="O482" s="5"/>
      <c r="P482" s="5"/>
      <c r="Q482" s="5" t="s">
        <v>1745</v>
      </c>
      <c r="R482" s="5"/>
      <c r="S482" s="5"/>
      <c r="T482" s="5"/>
      <c r="U482" s="5"/>
      <c r="V482" s="5"/>
      <c r="W482" s="5"/>
      <c r="X482" s="5"/>
      <c r="Y482" s="5"/>
      <c r="Z482" s="5"/>
      <c r="AA482" s="5"/>
      <c r="AB482" s="47"/>
    </row>
    <row r="483" hidden="1">
      <c r="A483" s="76" t="str">
        <f t="array" ref="A483:A484">{"FormulaRow13";(INDEX(CLASSLIST,A458,1))}</f>
        <v>FormulaRow13</v>
      </c>
      <c r="B483" s="76" t="str">
        <f t="array" ref="B483:B484">{"CLASSTYPE";((INDEX(ALLCLASSDATA,MATCH("ClassType",CLASSFEATUREHEADERS,0),MATCH($A484,CLASSNAMEHEADERS,0))))}</f>
        <v>CLASSTYPE</v>
      </c>
      <c r="C483" s="76" t="str">
        <f t="array" ref="C483:C484">{"CLASSABILITYPTS";"ClassAbilityPts"}</f>
        <v>CLASSABILITYPTS</v>
      </c>
      <c r="D483" s="76" t="str">
        <f t="array" ref="D483:D484">{"CLASSABILITY3";"ClassAbility3"}</f>
        <v>CLASSABILITY3</v>
      </c>
      <c r="E483" s="76"/>
      <c r="F483" s="76"/>
      <c r="G483" s="76"/>
      <c r="H483" s="76"/>
      <c r="I483" s="76" t="str">
        <f t="array" ref="I483:I484">{"CLASSABILITY3-L03PTS";((INDEX(ALLCLASSDATA,MATCH("ClassAbility3-L03",CLASSFEATUREHEADERS,0),MATCH(($A484 &amp; "Points"),CLASSNAMEHEADERS,0))))}</f>
        <v>CLASSABILITY3-L03PTS</v>
      </c>
      <c r="J483" s="76"/>
      <c r="K483" s="76" t="str">
        <f t="array" ref="K483:K484">{"CLASSABILITY3-L05PTS";((INDEX(ALLCLASSDATA,MATCH("ClassAbility3-L05",CLASSFEATUREHEADERS,0),MATCH(($A484 &amp; "Points"),CLASSNAMEHEADERS,0))))}</f>
        <v>CLASSABILITY3-L05PTS</v>
      </c>
      <c r="L483" s="76"/>
      <c r="M483" s="76" t="str">
        <f t="array" ref="M483:M484">{"CLASSABILITY3-L07PTS";((INDEX(ALLCLASSDATA,MATCH("ClassAbility3-L07",CLASSFEATUREHEADERS,0),MATCH(($A484 &amp; "Points"),CLASSNAMEHEADERS,0))))}</f>
        <v>CLASSABILITY3-L07PTS</v>
      </c>
      <c r="N483" s="76"/>
      <c r="O483" s="76" t="str">
        <f t="array" ref="O483:O484">{"CLASSABILITY3-L09PTS";((INDEX(ALLCLASSDATA,MATCH("ClassAbility3-L09",CLASSFEATUREHEADERS,0),MATCH(($A484 &amp; "Points"),CLASSNAMEHEADERS,0))))}</f>
        <v>CLASSABILITY3-L09PTS</v>
      </c>
      <c r="P483" s="76"/>
      <c r="Q483" s="76" t="str">
        <f t="array" ref="Q483:Q484">{"CLASSABILITY3-L11PTS";((INDEX(ALLCLASSDATA,MATCH("ClassAbility3-L11",CLASSFEATUREHEADERS,0),MATCH(($A484 &amp; "Points"),CLASSNAMEHEADERS,0))))}</f>
        <v>CLASSABILITY3-L11PTS</v>
      </c>
      <c r="R483" s="76"/>
      <c r="S483" s="76" t="str">
        <f t="array" ref="S483:S484">{"CLASSABILITY3-L13PTS";((INDEX(ALLCLASSDATA,MATCH("ClassAbility3-L13",CLASSFEATUREHEADERS,0),MATCH(($A484 &amp; "Points"),CLASSNAMEHEADERS,0))))}</f>
        <v>CLASSABILITY3-L13PTS</v>
      </c>
      <c r="T483" s="76"/>
      <c r="U483" s="76" t="str">
        <f t="array" ref="U483:U484">{"CLASSABILITY3-L15PTS";((INDEX(ALLCLASSDATA,MATCH("ClassAbility3-L15",CLASSFEATUREHEADERS,0),MATCH(($A484 &amp; "Points"),CLASSNAMEHEADERS,0))))}</f>
        <v>CLASSABILITY3-L15PTS</v>
      </c>
      <c r="V483" s="76"/>
      <c r="W483" s="76" t="str">
        <f t="array" ref="W483:W484">{"CLASSABILITY3-L17PTS";((INDEX(ALLCLASSDATA,MATCH("ClassAbility3-L17",CLASSFEATUREHEADERS,0),MATCH(($A484 &amp; "Points"),CLASSNAMEHEADERS,0))))}</f>
        <v>CLASSABILITY3-L17PTS</v>
      </c>
      <c r="X483" s="76"/>
      <c r="Y483" s="76" t="str">
        <f t="array" ref="Y483:Y484">{"CLASSABILITY3-L19PTS";((INDEX(ALLCLASSDATA,MATCH("ClassAbility3-L19",CLASSFEATUREHEADERS,0),MATCH(($A484 &amp; "Points"),CLASSNAMEHEADERS,0))))}</f>
        <v>CLASSABILITY3-L19PTS</v>
      </c>
      <c r="Z483" s="76"/>
      <c r="AA483" s="76"/>
      <c r="AB483" s="76" t="str">
        <f t="array" ref="AB483:AB484">{"CLASSABILITY3 TOTAL";(sum(F484:Z484))}</f>
        <v>CLASSABILITY3 TOTAL</v>
      </c>
    </row>
    <row r="484">
      <c r="A484" s="48" t="s">
        <v>195</v>
      </c>
      <c r="B484" s="48" t="s">
        <v>417</v>
      </c>
      <c r="C484" s="48" t="s">
        <v>930</v>
      </c>
      <c r="D484" s="48" t="s">
        <v>1144</v>
      </c>
      <c r="E484" s="48"/>
      <c r="F484" s="47"/>
      <c r="G484" s="5"/>
      <c r="H484" s="5"/>
      <c r="I484" s="5"/>
      <c r="J484" s="5"/>
      <c r="K484" s="5"/>
      <c r="L484" s="5"/>
      <c r="M484" s="5"/>
      <c r="N484" s="5"/>
      <c r="O484" s="5"/>
      <c r="P484" s="5"/>
      <c r="Q484" s="5"/>
      <c r="R484" s="5"/>
      <c r="S484" s="5"/>
      <c r="T484" s="5"/>
      <c r="U484" s="5"/>
      <c r="V484" s="5"/>
      <c r="W484" s="5"/>
      <c r="X484" s="5"/>
      <c r="Y484" s="5"/>
      <c r="Z484" s="5"/>
      <c r="AA484" s="5"/>
      <c r="AB484" s="47">
        <v>0.0</v>
      </c>
    </row>
    <row r="485" hidden="1">
      <c r="A485" s="76" t="str">
        <f t="array" ref="A485:A486">{"FormulaRow14";(INDEX(CLASSLIST,A458,1))}</f>
        <v>FormulaRow14</v>
      </c>
      <c r="B485" s="76" t="str">
        <f t="array" ref="B485:B486">{"CLASSTYPE";((INDEX(ALLCLASSDATA,MATCH("ClassType",CLASSFEATUREHEADERS,0),MATCH($A486,CLASSNAMEHEADERS,0))))}</f>
        <v>CLASSTYPE</v>
      </c>
      <c r="C485" s="76" t="str">
        <f t="array" ref="C485:C486">{"CLASSABILITY";"ClassAbility"}</f>
        <v>CLASSABILITY</v>
      </c>
      <c r="D485" s="76" t="str">
        <f t="array" ref="D485:D486">{"CLASSABILITY4";"ClassAbility4"}</f>
        <v>CLASSABILITY4</v>
      </c>
      <c r="E485" s="76"/>
      <c r="F485" s="76"/>
      <c r="G485" s="76"/>
      <c r="H485" s="76"/>
      <c r="I485" s="76" t="str">
        <f t="array" ref="I485:I486">{"CLASSABILITY4-L03";((INDEX(ALLCLASSDATA,MATCH("ClassAbility4-L03",CLASSFEATUREHEADERS,0),MATCH(($A486),CLASSNAMEHEADERS,0))))}</f>
        <v>CLASSABILITY4-L03</v>
      </c>
      <c r="J485" s="76"/>
      <c r="K485" s="76" t="str">
        <f t="array" ref="K485:K486">{"CLASSABILITY4-L05";((INDEX(ALLCLASSDATA,MATCH("ClassAbility4-L05",CLASSFEATUREHEADERS,0),MATCH(($A486),CLASSNAMEHEADERS,0))))}</f>
        <v>CLASSABILITY4-L05</v>
      </c>
      <c r="L485" s="76"/>
      <c r="M485" s="76" t="str">
        <f t="array" ref="M485:M486">{"CLASSABILITY4-L07";((INDEX(ALLCLASSDATA,MATCH("ClassAbility4-L07",CLASSFEATUREHEADERS,0),MATCH(($A486),CLASSNAMEHEADERS,0))))}</f>
        <v>CLASSABILITY4-L07</v>
      </c>
      <c r="N485" s="76"/>
      <c r="O485" s="76" t="str">
        <f t="array" ref="O485:O486">{"CLASSABILITY4-L09";((INDEX(ALLCLASSDATA,MATCH("ClassAbility4-L09",CLASSFEATUREHEADERS,0),MATCH(($A486),CLASSNAMEHEADERS,0))))}</f>
        <v>CLASSABILITY4-L09</v>
      </c>
      <c r="P485" s="76"/>
      <c r="Q485" s="76" t="str">
        <f t="array" ref="Q485:Q486">{"CLASSABILITY4-L11";((INDEX(ALLCLASSDATA,MATCH("ClassAbility4-L11",CLASSFEATUREHEADERS,0),MATCH(($A486),CLASSNAMEHEADERS,0))))}</f>
        <v>CLASSABILITY4-L11</v>
      </c>
      <c r="R485" s="76"/>
      <c r="S485" s="76" t="str">
        <f t="array" ref="S485:S486">{"CLASSABILITY4-L13";((INDEX(ALLCLASSDATA,MATCH("ClassAbility4-L13",CLASSFEATUREHEADERS,0),MATCH(($A486),CLASSNAMEHEADERS,0))))}</f>
        <v>CLASSABILITY4-L13</v>
      </c>
      <c r="T485" s="76"/>
      <c r="U485" s="76" t="str">
        <f t="array" ref="U485:U486">{"CLASSABILITY4-L15";((INDEX(ALLCLASSDATA,MATCH("ClassAbility4-L15",CLASSFEATUREHEADERS,0),MATCH(($A486),CLASSNAMEHEADERS,0))))}</f>
        <v>CLASSABILITY4-L15</v>
      </c>
      <c r="V485" s="76"/>
      <c r="W485" s="76" t="str">
        <f t="array" ref="W485:W486">{"CLASSABILITY4-L17";((INDEX(ALLCLASSDATA,MATCH("ClassAbility4-L17",CLASSFEATUREHEADERS,0),MATCH(($A486),CLASSNAMEHEADERS,0))))}</f>
        <v>CLASSABILITY4-L17</v>
      </c>
      <c r="X485" s="76"/>
      <c r="Y485" s="76" t="str">
        <f t="array" ref="Y485:Y486">{"CLASSABILITY4-L19";((INDEX(ALLCLASSDATA,MATCH("ClassAbility4-L19",CLASSFEATUREHEADERS,0),MATCH(($A486),CLASSNAMEHEADERS,0))))}</f>
        <v>CLASSABILITY4-L19</v>
      </c>
      <c r="Z485" s="76"/>
      <c r="AA485" s="76"/>
      <c r="AB485" s="76"/>
    </row>
    <row r="486">
      <c r="A486" s="48" t="s">
        <v>195</v>
      </c>
      <c r="B486" s="48" t="s">
        <v>417</v>
      </c>
      <c r="C486" s="48" t="s">
        <v>825</v>
      </c>
      <c r="D486" s="48" t="s">
        <v>1273</v>
      </c>
      <c r="E486" s="48"/>
      <c r="F486" s="47"/>
      <c r="G486" s="5"/>
      <c r="H486" s="5"/>
      <c r="I486" s="5"/>
      <c r="J486" s="5"/>
      <c r="K486" s="5"/>
      <c r="L486" s="5"/>
      <c r="M486" s="5"/>
      <c r="N486" s="5"/>
      <c r="O486" s="5"/>
      <c r="P486" s="5"/>
      <c r="Q486" s="5"/>
      <c r="R486" s="5"/>
      <c r="S486" s="5"/>
      <c r="T486" s="5"/>
      <c r="U486" s="5"/>
      <c r="V486" s="5"/>
      <c r="W486" s="5"/>
      <c r="X486" s="5"/>
      <c r="Y486" s="5"/>
      <c r="Z486" s="5"/>
      <c r="AA486" s="5"/>
      <c r="AB486" s="47"/>
    </row>
    <row r="487" hidden="1">
      <c r="A487" s="76" t="str">
        <f t="array" ref="A487:A488">{"FormulaRow15";(INDEX(CLASSLIST,A458,1))}</f>
        <v>FormulaRow15</v>
      </c>
      <c r="B487" s="76" t="str">
        <f t="array" ref="B487:B488">{"CLASSTYPE";((INDEX(ALLCLASSDATA,MATCH("ClassType",CLASSFEATUREHEADERS,0),MATCH($A488,CLASSNAMEHEADERS,0))))}</f>
        <v>CLASSTYPE</v>
      </c>
      <c r="C487" s="76" t="str">
        <f t="array" ref="C487:C488">{"CLASSABILITYPTS";"ClassAbilityPts"}</f>
        <v>CLASSABILITYPTS</v>
      </c>
      <c r="D487" s="76" t="str">
        <f t="array" ref="D487:D488">{"CLASSABILITY4";"ClassAbility4"}</f>
        <v>CLASSABILITY4</v>
      </c>
      <c r="E487" s="76"/>
      <c r="F487" s="76"/>
      <c r="G487" s="76"/>
      <c r="H487" s="76"/>
      <c r="I487" s="76" t="str">
        <f t="array" ref="I487:I488">{"CLASSABILITY4-L03PTS";((INDEX(ALLCLASSDATA,MATCH("ClassAbility4-L03",CLASSFEATUREHEADERS,0),MATCH(($A488 &amp; "Points"),CLASSNAMEHEADERS,0))))}</f>
        <v>CLASSABILITY4-L03PTS</v>
      </c>
      <c r="J487" s="76"/>
      <c r="K487" s="76" t="str">
        <f t="array" ref="K487:K488">{"CLASSABILITY4-L05PTS";((INDEX(ALLCLASSDATA,MATCH("ClassAbility4-L05",CLASSFEATUREHEADERS,0),MATCH(($A488 &amp; "Points"),CLASSNAMEHEADERS,0))))}</f>
        <v>CLASSABILITY4-L05PTS</v>
      </c>
      <c r="L487" s="76"/>
      <c r="M487" s="76" t="str">
        <f t="array" ref="M487:M488">{"CLASSABILITY4-L07PTS";((INDEX(ALLCLASSDATA,MATCH("ClassAbility4-L07",CLASSFEATUREHEADERS,0),MATCH(($A488 &amp; "Points"),CLASSNAMEHEADERS,0))))}</f>
        <v>CLASSABILITY4-L07PTS</v>
      </c>
      <c r="N487" s="76"/>
      <c r="O487" s="76" t="str">
        <f t="array" ref="O487:O488">{"CLASSABILITY4-L09PTS";((INDEX(ALLCLASSDATA,MATCH("ClassAbility4-L09",CLASSFEATUREHEADERS,0),MATCH(($A488 &amp; "Points"),CLASSNAMEHEADERS,0))))}</f>
        <v>CLASSABILITY4-L09PTS</v>
      </c>
      <c r="P487" s="76"/>
      <c r="Q487" s="76" t="str">
        <f t="array" ref="Q487:Q488">{"CLASSABILITY4-L11PTS";((INDEX(ALLCLASSDATA,MATCH("ClassAbility4-L11",CLASSFEATUREHEADERS,0),MATCH(($A488 &amp; "Points"),CLASSNAMEHEADERS,0))))}</f>
        <v>CLASSABILITY4-L11PTS</v>
      </c>
      <c r="R487" s="76"/>
      <c r="S487" s="76" t="str">
        <f t="array" ref="S487:S488">{"CLASSABILITY4-L13PTS";((INDEX(ALLCLASSDATA,MATCH("ClassAbility4-L13",CLASSFEATUREHEADERS,0),MATCH(($A488 &amp; "Points"),CLASSNAMEHEADERS,0))))}</f>
        <v>CLASSABILITY4-L13PTS</v>
      </c>
      <c r="T487" s="76"/>
      <c r="U487" s="76" t="str">
        <f t="array" ref="U487:U488">{"CLASSABILITY4-L15PTS";((INDEX(ALLCLASSDATA,MATCH("ClassAbility4-L15",CLASSFEATUREHEADERS,0),MATCH(($A488 &amp; "Points"),CLASSNAMEHEADERS,0))))}</f>
        <v>CLASSABILITY4-L15PTS</v>
      </c>
      <c r="V487" s="76"/>
      <c r="W487" s="76" t="str">
        <f t="array" ref="W487:W488">{"CLASSABILITY4-L17PTS";((INDEX(ALLCLASSDATA,MATCH("ClassAbility4-L17",CLASSFEATUREHEADERS,0),MATCH(($A488 &amp; "Points"),CLASSNAMEHEADERS,0))))}</f>
        <v>CLASSABILITY4-L17PTS</v>
      </c>
      <c r="X487" s="76"/>
      <c r="Y487" s="76" t="str">
        <f t="array" ref="Y487:Y488">{"CLASSABILITY4-L19PTS";((INDEX(ALLCLASSDATA,MATCH("ClassAbility4-L19",CLASSFEATUREHEADERS,0),MATCH(($A488 &amp; "Points"),CLASSNAMEHEADERS,0))))}</f>
        <v>CLASSABILITY4-L19PTS</v>
      </c>
      <c r="Z487" s="76"/>
      <c r="AA487" s="76"/>
      <c r="AB487" s="76" t="str">
        <f t="array" ref="AB487:AB488">{"CLASSABILITY4 TOTAL";(sum(F488:Z488))}</f>
        <v>CLASSABILITY4 TOTAL</v>
      </c>
    </row>
    <row r="488">
      <c r="A488" s="48" t="s">
        <v>195</v>
      </c>
      <c r="B488" s="48" t="s">
        <v>417</v>
      </c>
      <c r="C488" s="48" t="s">
        <v>930</v>
      </c>
      <c r="D488" s="48" t="s">
        <v>1273</v>
      </c>
      <c r="E488" s="48"/>
      <c r="F488" s="47"/>
      <c r="G488" s="5"/>
      <c r="H488" s="5"/>
      <c r="I488" s="5"/>
      <c r="J488" s="5"/>
      <c r="K488" s="5"/>
      <c r="L488" s="5"/>
      <c r="M488" s="5"/>
      <c r="N488" s="5"/>
      <c r="O488" s="5"/>
      <c r="P488" s="5"/>
      <c r="Q488" s="5"/>
      <c r="R488" s="5"/>
      <c r="S488" s="5"/>
      <c r="T488" s="5"/>
      <c r="U488" s="5"/>
      <c r="V488" s="5"/>
      <c r="W488" s="5"/>
      <c r="X488" s="5"/>
      <c r="Y488" s="5"/>
      <c r="Z488" s="5"/>
      <c r="AA488" s="5"/>
      <c r="AB488" s="47">
        <v>0.0</v>
      </c>
    </row>
    <row r="489" hidden="1">
      <c r="A489" s="76" t="str">
        <f t="array" ref="A489:A490">{"FormulaRow16";(INDEX(CLASSLIST,A458,1))}</f>
        <v>FormulaRow16</v>
      </c>
      <c r="B489" s="76" t="str">
        <f t="array" ref="B489:B490">{"CLASSTYPE";((INDEX(ALLCLASSDATA,MATCH("ClassType",CLASSFEATUREHEADERS,0),MATCH($A490,CLASSNAMEHEADERS,0))))}</f>
        <v>CLASSTYPE</v>
      </c>
      <c r="C489" s="76" t="str">
        <f t="array" ref="C489:C490">{"CLASSABILITY";"ClassAbility"}</f>
        <v>CLASSABILITY</v>
      </c>
      <c r="D489" s="76" t="str">
        <f t="array" ref="D489:D490">{"SUBCLASSABILITY1";"SubclassAbility1"}</f>
        <v>SUBCLASSABILITY1</v>
      </c>
      <c r="E489" s="76"/>
      <c r="F489" s="76"/>
      <c r="G489" s="76"/>
      <c r="H489" s="76"/>
      <c r="I489" s="76" t="str">
        <f t="array" ref="I489:I490">{"SUBCLASSABILITY1-L03";((INDEX(ALLCLASSDATA,MATCH("SubclassAbility1-L03",CLASSFEATUREHEADERS,0),MATCH(($A490),CLASSNAMEHEADERS,0))))}</f>
        <v>SUBCLASSABILITY1-L03</v>
      </c>
      <c r="J489" s="76"/>
      <c r="K489" s="76" t="str">
        <f t="array" ref="K489:K490">{"SUBCLASSABILITY1-L05";((INDEX(ALLCLASSDATA,MATCH("SubclassAbility1-L05",CLASSFEATUREHEADERS,0),MATCH(($A490),CLASSNAMEHEADERS,0))))}</f>
        <v>SUBCLASSABILITY1-L05</v>
      </c>
      <c r="L489" s="76"/>
      <c r="M489" s="76" t="str">
        <f t="array" ref="M489:M490">{"SUBCLASSABILITY1-L07";((INDEX(ALLCLASSDATA,MATCH("SubclassAbility1-L07",CLASSFEATUREHEADERS,0),MATCH(($A490),CLASSNAMEHEADERS,0))))}</f>
        <v>SUBCLASSABILITY1-L07</v>
      </c>
      <c r="N489" s="76"/>
      <c r="O489" s="76" t="str">
        <f t="array" ref="O489:O490">{"SUBCLASSABILITY1-L09";((INDEX(ALLCLASSDATA,MATCH("SubclassAbility1-L09",CLASSFEATUREHEADERS,0),MATCH(($A490),CLASSNAMEHEADERS,0))))}</f>
        <v>SUBCLASSABILITY1-L09</v>
      </c>
      <c r="P489" s="76"/>
      <c r="Q489" s="76" t="str">
        <f t="array" ref="Q489:Q490">{"SUBCLASSABILITY1-L11";((INDEX(ALLCLASSDATA,MATCH("SubclassAbility1-L11",CLASSFEATUREHEADERS,0),MATCH(($A490),CLASSNAMEHEADERS,0))))}</f>
        <v>SUBCLASSABILITY1-L11</v>
      </c>
      <c r="R489" s="76"/>
      <c r="S489" s="76" t="str">
        <f t="array" ref="S489:S490">{"SUBCLASSABILITY1-L13";((INDEX(ALLCLASSDATA,MATCH("SubclassAbility1-L13",CLASSFEATUREHEADERS,0),MATCH(($A490),CLASSNAMEHEADERS,0))))}</f>
        <v>SUBCLASSABILITY1-L13</v>
      </c>
      <c r="T489" s="76"/>
      <c r="U489" s="76" t="str">
        <f t="array" ref="U489:U490">{"SUBCLASSABILITY1-L15";((INDEX(ALLCLASSDATA,MATCH("SubclassAbility1-L15",CLASSFEATUREHEADERS,0),MATCH(($A490),CLASSNAMEHEADERS,0))))}</f>
        <v>SUBCLASSABILITY1-L15</v>
      </c>
      <c r="V489" s="76"/>
      <c r="W489" s="76" t="str">
        <f t="array" ref="W489:W490">{"SUBCLASSABILITY1-L17";((INDEX(ALLCLASSDATA,MATCH("SubclassAbility1-L17",CLASSFEATUREHEADERS,0),MATCH(($A490),CLASSNAMEHEADERS,0))))}</f>
        <v>SUBCLASSABILITY1-L17</v>
      </c>
      <c r="X489" s="76"/>
      <c r="Y489" s="76" t="str">
        <f t="array" ref="Y489:Y490">{"SUBCLASSABILITY1-L19";((INDEX(ALLCLASSDATA,MATCH("SubclassAbility1-L19",CLASSFEATUREHEADERS,0),MATCH(($A490),CLASSNAMEHEADERS,0))))}</f>
        <v>SUBCLASSABILITY1-L19</v>
      </c>
      <c r="Z489" s="76"/>
      <c r="AA489" s="76"/>
      <c r="AB489" s="76"/>
    </row>
    <row r="490">
      <c r="A490" s="48" t="s">
        <v>195</v>
      </c>
      <c r="B490" s="48" t="s">
        <v>417</v>
      </c>
      <c r="C490" s="48" t="s">
        <v>825</v>
      </c>
      <c r="D490" s="28" t="s">
        <v>1355</v>
      </c>
      <c r="E490" s="5"/>
      <c r="F490" s="47"/>
      <c r="G490" s="5"/>
      <c r="H490" s="5"/>
      <c r="I490" s="5"/>
      <c r="J490" s="5"/>
      <c r="K490" s="5" t="s">
        <v>1857</v>
      </c>
      <c r="L490" s="5"/>
      <c r="M490" s="5" t="s">
        <v>1298</v>
      </c>
      <c r="N490" s="5"/>
      <c r="O490" s="5"/>
      <c r="P490" s="5"/>
      <c r="Q490" s="5" t="s">
        <v>1874</v>
      </c>
      <c r="R490" s="5"/>
      <c r="S490" s="5" t="s">
        <v>1878</v>
      </c>
      <c r="T490" s="5"/>
      <c r="U490" s="5" t="s">
        <v>1883</v>
      </c>
      <c r="V490" s="5"/>
      <c r="W490" s="5" t="s">
        <v>1299</v>
      </c>
      <c r="X490" s="5"/>
      <c r="Y490" s="5" t="s">
        <v>1891</v>
      </c>
      <c r="Z490" s="5"/>
      <c r="AA490" s="5"/>
      <c r="AB490" s="47"/>
    </row>
    <row r="491" hidden="1">
      <c r="A491" s="76" t="str">
        <f t="array" ref="A491:A492">{"FormulaRow17";(INDEX(CLASSLIST,A458,1))}</f>
        <v>FormulaRow17</v>
      </c>
      <c r="B491" s="76" t="str">
        <f t="array" ref="B491:B492">{"CLASSTYPE";((INDEX(ALLCLASSDATA,MATCH("ClassType",CLASSFEATUREHEADERS,0),MATCH($A492,CLASSNAMEHEADERS,0))))}</f>
        <v>CLASSTYPE</v>
      </c>
      <c r="C491" s="76" t="str">
        <f t="array" ref="C491:C492">{"CLASSABILITYPTS";"ClassAbilityPts"}</f>
        <v>CLASSABILITYPTS</v>
      </c>
      <c r="D491" s="76" t="str">
        <f t="array" ref="D491:D492">{"SUBCLASSABILITY1";"SubclassAbility1"}</f>
        <v>SUBCLASSABILITY1</v>
      </c>
      <c r="E491" s="76"/>
      <c r="F491" s="76"/>
      <c r="G491" s="76"/>
      <c r="H491" s="76"/>
      <c r="I491" s="76" t="str">
        <f t="array" ref="I491:I492">{"SUBCLASSABILITY1-L03PTS";((INDEX(ALLCLASSDATA,MATCH("SubclassAbility1-L03",CLASSFEATUREHEADERS,0),MATCH(($A492 &amp; "Points"),CLASSNAMEHEADERS,0))))}</f>
        <v>SUBCLASSABILITY1-L03PTS</v>
      </c>
      <c r="J491" s="76"/>
      <c r="K491" s="76" t="str">
        <f t="array" ref="K491:K492">{"SUBCLASSABILITY1-L05PTS";((INDEX(ALLCLASSDATA,MATCH("SubclassAbility1-L05",CLASSFEATUREHEADERS,0),MATCH(($A492 &amp; "Points"),CLASSNAMEHEADERS,0))))}</f>
        <v>SUBCLASSABILITY1-L05PTS</v>
      </c>
      <c r="L491" s="76"/>
      <c r="M491" s="76" t="str">
        <f t="array" ref="M491:M492">{"SUBCLASSABILITY1-L07PTS";((INDEX(ALLCLASSDATA,MATCH("SubclassAbility1-L07",CLASSFEATUREHEADERS,0),MATCH(($A492 &amp; "Points"),CLASSNAMEHEADERS,0))))}</f>
        <v>SUBCLASSABILITY1-L07PTS</v>
      </c>
      <c r="N491" s="76"/>
      <c r="O491" s="76" t="str">
        <f t="array" ref="O491:O492">{"SUBCLASSABILITY1-L09PTS";((INDEX(ALLCLASSDATA,MATCH("SubclassAbility1-L09",CLASSFEATUREHEADERS,0),MATCH(($A492 &amp; "Points"),CLASSNAMEHEADERS,0))))}</f>
        <v>SUBCLASSABILITY1-L09PTS</v>
      </c>
      <c r="P491" s="76"/>
      <c r="Q491" s="76" t="str">
        <f t="array" ref="Q491:Q492">{"SUBCLASSABILITY1-L11PTS";((INDEX(ALLCLASSDATA,MATCH("SubclassAbility1-L11",CLASSFEATUREHEADERS,0),MATCH(($A492 &amp; "Points"),CLASSNAMEHEADERS,0))))}</f>
        <v>SUBCLASSABILITY1-L11PTS</v>
      </c>
      <c r="R491" s="76"/>
      <c r="S491" s="76" t="str">
        <f t="array" ref="S491:S492">{"SUBCLASSABILITY1-L13PTS";((INDEX(ALLCLASSDATA,MATCH("SubclassAbility1-L13",CLASSFEATUREHEADERS,0),MATCH(($A492 &amp; "Points"),CLASSNAMEHEADERS,0))))}</f>
        <v>SUBCLASSABILITY1-L13PTS</v>
      </c>
      <c r="T491" s="76"/>
      <c r="U491" s="76" t="str">
        <f t="array" ref="U491:U492">{"SUBCLASSABILITY1-L15PTS";((INDEX(ALLCLASSDATA,MATCH("SubclassAbility1-L15",CLASSFEATUREHEADERS,0),MATCH(($A492 &amp; "Points"),CLASSNAMEHEADERS,0))))}</f>
        <v>SUBCLASSABILITY1-L15PTS</v>
      </c>
      <c r="V491" s="76"/>
      <c r="W491" s="76" t="str">
        <f t="array" ref="W491:W492">{"SUBCLASSABILITY1-L17PTS";((INDEX(ALLCLASSDATA,MATCH("SubclassAbility1-L17",CLASSFEATUREHEADERS,0),MATCH(($A492 &amp; "Points"),CLASSNAMEHEADERS,0))))}</f>
        <v>SUBCLASSABILITY1-L17PTS</v>
      </c>
      <c r="X491" s="76"/>
      <c r="Y491" s="76" t="str">
        <f t="array" ref="Y491:Y492">{"SUBCLASSABILITY1-L19PTS";((INDEX(ALLCLASSDATA,MATCH("SubclassAbility1-L19",CLASSFEATUREHEADERS,0),MATCH(($A492 &amp; "Points"),CLASSNAMEHEADERS,0))))}</f>
        <v>SUBCLASSABILITY1-L19PTS</v>
      </c>
      <c r="Z491" s="76"/>
      <c r="AA491" s="76"/>
      <c r="AB491" s="76" t="str">
        <f t="array" ref="AB491:AB492">{"SUBCLASSABILITY1 TOTAL";(sum(F492:Z492))}</f>
        <v>SUBCLASSABILITY1 TOTAL</v>
      </c>
    </row>
    <row r="492">
      <c r="A492" s="48" t="s">
        <v>195</v>
      </c>
      <c r="B492" s="48" t="s">
        <v>417</v>
      </c>
      <c r="C492" s="48" t="s">
        <v>930</v>
      </c>
      <c r="D492" s="28" t="s">
        <v>1355</v>
      </c>
      <c r="E492" s="5"/>
      <c r="F492" s="47"/>
      <c r="G492" s="5"/>
      <c r="H492" s="5"/>
      <c r="I492" s="5"/>
      <c r="J492" s="5"/>
      <c r="K492" s="5">
        <v>50.0</v>
      </c>
      <c r="L492" s="5"/>
      <c r="M492" s="5">
        <v>70.0</v>
      </c>
      <c r="N492" s="5"/>
      <c r="O492" s="5"/>
      <c r="P492" s="5"/>
      <c r="Q492" s="5">
        <v>50.0</v>
      </c>
      <c r="R492" s="5"/>
      <c r="S492" s="5">
        <v>110.0</v>
      </c>
      <c r="T492" s="5"/>
      <c r="U492" s="5">
        <v>150.0</v>
      </c>
      <c r="V492" s="5"/>
      <c r="W492" s="5">
        <v>170.0</v>
      </c>
      <c r="X492" s="5"/>
      <c r="Y492" s="5">
        <v>110.0</v>
      </c>
      <c r="Z492" s="5"/>
      <c r="AA492" s="5"/>
      <c r="AB492" s="47">
        <v>710.0</v>
      </c>
    </row>
    <row r="493" hidden="1">
      <c r="A493" s="76" t="str">
        <f t="array" ref="A493:A494">{"FormulaRow18";(INDEX(CLASSLIST,A458,1))}</f>
        <v>FormulaRow18</v>
      </c>
      <c r="B493" s="76" t="str">
        <f t="array" ref="B493:B494">{"CLASSTYPE";((INDEX(ALLCLASSDATA,MATCH("ClassType",CLASSFEATUREHEADERS,0),MATCH($A494,CLASSNAMEHEADERS,0))))}</f>
        <v>CLASSTYPE</v>
      </c>
      <c r="C493" s="76" t="str">
        <f t="array" ref="C493:C494">{"CLASSABILITY";"ClassAbility"}</f>
        <v>CLASSABILITY</v>
      </c>
      <c r="D493" s="76" t="str">
        <f t="array" ref="D493:D494">{"SUBCLASSABILITY2";"SubclassAbility2"}</f>
        <v>SUBCLASSABILITY2</v>
      </c>
      <c r="E493" s="76"/>
      <c r="F493" s="76"/>
      <c r="G493" s="76"/>
      <c r="H493" s="76"/>
      <c r="I493" s="76" t="str">
        <f t="array" ref="I493:I494">{"SUBCLASSABILITY2-L03";((INDEX(ALLCLASSDATA,MATCH("SubclassAbility2-L03",CLASSFEATUREHEADERS,0),MATCH(($A494),CLASSNAMEHEADERS,0))))}</f>
        <v>SUBCLASSABILITY2-L03</v>
      </c>
      <c r="J493" s="76"/>
      <c r="K493" s="76" t="str">
        <f t="array" ref="K493:K494">{"SUBCLASSABILITY2-L05";((INDEX(ALLCLASSDATA,MATCH("SubclassAbility2-L05",CLASSFEATUREHEADERS,0),MATCH(($A494),CLASSNAMEHEADERS,0))))}</f>
        <v>SUBCLASSABILITY2-L05</v>
      </c>
      <c r="L493" s="76"/>
      <c r="M493" s="76" t="str">
        <f t="array" ref="M493:M494">{"SUBCLASSABILITY2-L07";((INDEX(ALLCLASSDATA,MATCH("SubclassAbility2-L07",CLASSFEATUREHEADERS,0),MATCH(($A494),CLASSNAMEHEADERS,0))))}</f>
        <v>SUBCLASSABILITY2-L07</v>
      </c>
      <c r="N493" s="76"/>
      <c r="O493" s="76" t="str">
        <f t="array" ref="O493:O494">{"SUBCLASSABILITY2-L09";((INDEX(ALLCLASSDATA,MATCH("SubclassAbility2-L09",CLASSFEATUREHEADERS,0),MATCH(($A494),CLASSNAMEHEADERS,0))))}</f>
        <v>SUBCLASSABILITY2-L09</v>
      </c>
      <c r="P493" s="76"/>
      <c r="Q493" s="76" t="str">
        <f t="array" ref="Q493:Q494">{"SUBCLASSABILITY2-L11";((INDEX(ALLCLASSDATA,MATCH("SubclassAbility2-L11",CLASSFEATUREHEADERS,0),MATCH(($A494),CLASSNAMEHEADERS,0))))}</f>
        <v>SUBCLASSABILITY2-L11</v>
      </c>
      <c r="R493" s="76"/>
      <c r="S493" s="76" t="str">
        <f t="array" ref="S493:S494">{"SUBCLASSABILITY2-L13";((INDEX(ALLCLASSDATA,MATCH("SubclassAbility2-L13",CLASSFEATUREHEADERS,0),MATCH(($A494),CLASSNAMEHEADERS,0))))}</f>
        <v>SUBCLASSABILITY2-L13</v>
      </c>
      <c r="T493" s="76"/>
      <c r="U493" s="76" t="str">
        <f t="array" ref="U493:U494">{"SUBCLASSABILITY2-L15";((INDEX(ALLCLASSDATA,MATCH("SubclassAbility2-L15",CLASSFEATUREHEADERS,0),MATCH(($A494),CLASSNAMEHEADERS,0))))}</f>
        <v>SUBCLASSABILITY2-L15</v>
      </c>
      <c r="V493" s="76"/>
      <c r="W493" s="76" t="str">
        <f t="array" ref="W493:W494">{"SUBCLASSABILITY2-L17";((INDEX(ALLCLASSDATA,MATCH("SubclassAbility2-L17",CLASSFEATUREHEADERS,0),MATCH(($A494),CLASSNAMEHEADERS,0))))}</f>
        <v>SUBCLASSABILITY2-L17</v>
      </c>
      <c r="X493" s="76"/>
      <c r="Y493" s="76" t="str">
        <f t="array" ref="Y493:Y494">{"SUBCLASSABILITY2-L19";((INDEX(ALLCLASSDATA,MATCH("SubclassAbility2-L19",CLASSFEATUREHEADERS,0),MATCH(($A494),CLASSNAMEHEADERS,0))))}</f>
        <v>SUBCLASSABILITY2-L19</v>
      </c>
      <c r="Z493" s="76"/>
      <c r="AA493" s="76"/>
      <c r="AB493" s="76"/>
    </row>
    <row r="494">
      <c r="A494" s="48" t="s">
        <v>195</v>
      </c>
      <c r="B494" s="48" t="s">
        <v>417</v>
      </c>
      <c r="C494" s="48" t="s">
        <v>825</v>
      </c>
      <c r="D494" s="28" t="s">
        <v>1370</v>
      </c>
      <c r="E494" s="5"/>
      <c r="F494" s="47"/>
      <c r="G494" s="5"/>
      <c r="H494" s="5"/>
      <c r="I494" s="5"/>
      <c r="J494" s="5"/>
      <c r="K494" s="5"/>
      <c r="L494" s="5"/>
      <c r="M494" s="5" t="s">
        <v>1866</v>
      </c>
      <c r="N494" s="5"/>
      <c r="O494" s="5"/>
      <c r="P494" s="5"/>
      <c r="Q494" s="5"/>
      <c r="R494" s="5"/>
      <c r="S494" s="5"/>
      <c r="T494" s="5"/>
      <c r="U494" s="5"/>
      <c r="V494" s="5"/>
      <c r="W494" s="5"/>
      <c r="X494" s="5"/>
      <c r="Y494" s="5"/>
      <c r="Z494" s="5"/>
      <c r="AA494" s="5"/>
      <c r="AB494" s="47"/>
    </row>
    <row r="495" hidden="1">
      <c r="A495" s="76" t="str">
        <f t="array" ref="A495:A496">{"FormulaRow19";(INDEX(CLASSLIST,A458,1))}</f>
        <v>FormulaRow19</v>
      </c>
      <c r="B495" s="76" t="str">
        <f t="array" ref="B495:B496">{"CLASSTYPE";((INDEX(ALLCLASSDATA,MATCH("ClassType",CLASSFEATUREHEADERS,0),MATCH($A496,CLASSNAMEHEADERS,0))))}</f>
        <v>CLASSTYPE</v>
      </c>
      <c r="C495" s="76" t="str">
        <f t="array" ref="C495:C496">{"CLASSABILITYPTS";"ClassAbilityPts"}</f>
        <v>CLASSABILITYPTS</v>
      </c>
      <c r="D495" s="76" t="str">
        <f t="array" ref="D495:D496">{"SUBCLASSABILITY2";"SubclassAbility2"}</f>
        <v>SUBCLASSABILITY2</v>
      </c>
      <c r="E495" s="76"/>
      <c r="F495" s="76"/>
      <c r="G495" s="76"/>
      <c r="H495" s="76"/>
      <c r="I495" s="76" t="str">
        <f t="array" ref="I495:I496">{"SUBCLASSABILITY2-L03PTS";((INDEX(ALLCLASSDATA,MATCH("SubclassAbility2-L03",CLASSFEATUREHEADERS,0),MATCH(($A496 &amp; "Points"),CLASSNAMEHEADERS,0))))}</f>
        <v>SUBCLASSABILITY2-L03PTS</v>
      </c>
      <c r="J495" s="76"/>
      <c r="K495" s="76" t="str">
        <f t="array" ref="K495:K496">{"SUBCLASSABILITY2-L05PTS";((INDEX(ALLCLASSDATA,MATCH("SubclassAbility2-L05",CLASSFEATUREHEADERS,0),MATCH(($A496 &amp; "Points"),CLASSNAMEHEADERS,0))))}</f>
        <v>SUBCLASSABILITY2-L05PTS</v>
      </c>
      <c r="L495" s="76"/>
      <c r="M495" s="76" t="str">
        <f t="array" ref="M495:M496">{"SUBCLASSABILITY2-L07PTS";((INDEX(ALLCLASSDATA,MATCH("SubclassAbility2-L07",CLASSFEATUREHEADERS,0),MATCH(($A496 &amp; "Points"),CLASSNAMEHEADERS,0))))}</f>
        <v>SUBCLASSABILITY2-L07PTS</v>
      </c>
      <c r="N495" s="76"/>
      <c r="O495" s="76" t="str">
        <f t="array" ref="O495:O496">{"SUBCLASSABILITY2-L09PTS";((INDEX(ALLCLASSDATA,MATCH("SubclassAbility2-L09",CLASSFEATUREHEADERS,0),MATCH(($A496 &amp; "Points"),CLASSNAMEHEADERS,0))))}</f>
        <v>SUBCLASSABILITY2-L09PTS</v>
      </c>
      <c r="P495" s="76"/>
      <c r="Q495" s="76" t="str">
        <f t="array" ref="Q495:Q496">{"SUBCLASSABILITY2-L11PTS";((INDEX(ALLCLASSDATA,MATCH("SubclassAbility2-L11",CLASSFEATUREHEADERS,0),MATCH(($A496 &amp; "Points"),CLASSNAMEHEADERS,0))))}</f>
        <v>SUBCLASSABILITY2-L11PTS</v>
      </c>
      <c r="R495" s="76"/>
      <c r="S495" s="76" t="str">
        <f t="array" ref="S495:S496">{"SUBCLASSABILITY2-L13PTS";((INDEX(ALLCLASSDATA,MATCH("SubclassAbility2-L13",CLASSFEATUREHEADERS,0),MATCH(($A496 &amp; "Points"),CLASSNAMEHEADERS,0))))}</f>
        <v>SUBCLASSABILITY2-L13PTS</v>
      </c>
      <c r="T495" s="76"/>
      <c r="U495" s="76" t="str">
        <f t="array" ref="U495:U496">{"SUBCLASSABILITY2-L15PTS";((INDEX(ALLCLASSDATA,MATCH("SubclassAbility2-L15",CLASSFEATUREHEADERS,0),MATCH(($A496 &amp; "Points"),CLASSNAMEHEADERS,0))))}</f>
        <v>SUBCLASSABILITY2-L15PTS</v>
      </c>
      <c r="V495" s="76"/>
      <c r="W495" s="76" t="str">
        <f t="array" ref="W495:W496">{"SUBCLASSABILITY2-L17PTS";((INDEX(ALLCLASSDATA,MATCH("SubclassAbility2-L17",CLASSFEATUREHEADERS,0),MATCH(($A496 &amp; "Points"),CLASSNAMEHEADERS,0))))}</f>
        <v>SUBCLASSABILITY2-L17PTS</v>
      </c>
      <c r="X495" s="76"/>
      <c r="Y495" s="76" t="str">
        <f t="array" ref="Y495:Y496">{"SUBCLASSABILITY2-L19PTS";((INDEX(ALLCLASSDATA,MATCH("SubclassAbility2-L19",CLASSFEATUREHEADERS,0),MATCH(($A496 &amp; "Points"),CLASSNAMEHEADERS,0))))}</f>
        <v>SUBCLASSABILITY2-L19PTS</v>
      </c>
      <c r="Z495" s="76"/>
      <c r="AA495" s="76"/>
      <c r="AB495" s="76" t="str">
        <f t="array" ref="AB495:AB496">{"SUBCLASSABILITY2 TOTAL";(sum(F496:Z496))}</f>
        <v>SUBCLASSABILITY2 TOTAL</v>
      </c>
    </row>
    <row r="496">
      <c r="A496" s="48" t="s">
        <v>195</v>
      </c>
      <c r="B496" s="48" t="s">
        <v>417</v>
      </c>
      <c r="C496" s="97" t="s">
        <v>930</v>
      </c>
      <c r="D496" s="215" t="s">
        <v>1370</v>
      </c>
      <c r="E496" s="98"/>
      <c r="F496" s="132"/>
      <c r="G496" s="98"/>
      <c r="H496" s="98"/>
      <c r="I496" s="98"/>
      <c r="J496" s="98"/>
      <c r="K496" s="98"/>
      <c r="L496" s="98"/>
      <c r="M496" s="98">
        <v>70.0</v>
      </c>
      <c r="N496" s="98"/>
      <c r="O496" s="98"/>
      <c r="P496" s="98"/>
      <c r="Q496" s="98"/>
      <c r="R496" s="98"/>
      <c r="S496" s="98"/>
      <c r="T496" s="98"/>
      <c r="U496" s="98"/>
      <c r="V496" s="98"/>
      <c r="W496" s="98"/>
      <c r="X496" s="98"/>
      <c r="Y496" s="98"/>
      <c r="Z496" s="98"/>
      <c r="AA496" s="5"/>
      <c r="AB496" s="47">
        <v>70.0</v>
      </c>
    </row>
    <row r="497" hidden="1">
      <c r="A497" s="76" t="str">
        <f t="array" ref="A497:A498">{"FormulaRow20";(INDEX(CLASSLIST,A458,1))}</f>
        <v>FormulaRow20</v>
      </c>
      <c r="B497" s="76" t="str">
        <f t="array" ref="B497:B498">{"CLASSTYPE";((INDEX(ALLCLASSDATA,MATCH("ClassType",CLASSFEATUREHEADERS,0),MATCH($A498,CLASSNAMEHEADERS,0))))}</f>
        <v>CLASSTYPE</v>
      </c>
      <c r="C497" s="81" t="str">
        <f t="array" ref="C497:C498">{"DC";"DC"}</f>
        <v>DC</v>
      </c>
      <c r="D497" s="81" t="str">
        <f t="array" ref="D497:D498">{"CLASSDC";"ClassDC"}</f>
        <v>CLASSDC</v>
      </c>
      <c r="E497" s="81" t="str">
        <f t="array" ref="E497:E498">{"CLASSDCINITIAL";((IF(G498=10,"T",(IF(G498=50,"E","")))))}</f>
        <v>CLASSDCINITIAL</v>
      </c>
      <c r="F497" s="81" t="str">
        <f t="array" ref="F497:F498">{"CLASSDCINITIALPTS";((IF("00"=(INDEX(ALLCLASSDATA,MATCH("ClassDCLegendary",CLASSFEATUREHEADERS,0),MATCH($A498,CLASSNAMEHEADERS,0))),(INDEX(ALLCLASSDATA,MATCH("ClassDCLegendary",CLASSFEATUREHEADERS,0),MATCH(($A498 &amp; "Points"),CLASSNAMEHEADERS,0))),(IF("00"=(INDEX(ALLCLASSDATA,MATCH("ClassDCMaster",CLASSFEATUREHEADERS,0),MATCH($A498,CLASSNAMEHEADERS,0))),(INDEX(ALLCLASSDATA,MATCH("ClassDCMaster",CLASSFEATUREHEADERS,0),MATCH(($A498 &amp; "Points"),CLASSNAMEHEADERS,0))),(IF("00"=(INDEX(ALLCLASSDATA,MATCH("ClassDCExpert",CLASSFEATUREHEADERS,0),MATCH($A498,CLASSNAMEHEADERS,0))),(INDEX(ALLCLASSDATA,MATCH("ClassDCExpert",CLASSFEATUREHEADERS,0),MATCH(($A498 &amp; "Points"),CLASSNAMEHEADERS,0))),(IF("00"=(INDEX(ALLCLASSDATA,MATCH("ClassDCTrained",CLASSFEATUREHEADERS,0),MATCH($A498,CLASSNAMEHEADERS,0))),(INDEX(ALLCLASSDATA,MATCH("ClassDCTrained",CLASSFEATUREHEADERS,0),MATCH(($A498 &amp; "Points"),CLASSNAMEHEADERS,0))),"")))))))))}</f>
        <v>CLASSDCINITIALPTS</v>
      </c>
      <c r="G497" s="81" t="str">
        <f t="array" ref="G497:G498">{"CLASSDCL01";((IF("01"=(INDEX(ALLCLASSDATA,MATCH("ClassDCLegendary",CLASSFEATUREHEADERS,0),MATCH($A498,CLASSNAMEHEADERS,0))),(INDEX(ALLCLASSDATA,MATCH("ClassDCLegendary",CLASSFEATUREHEADERS,0),MATCH(($A498 &amp; "Points"),CLASSNAMEHEADERS,0))),(IF("01"=(INDEX(ALLCLASSDATA,MATCH("ClassDCMaster",CLASSFEATUREHEADERS,0),MATCH($A498,CLASSNAMEHEADERS,0))),(INDEX(ALLCLASSDATA,MATCH("ClassDCMaster",CLASSFEATUREHEADERS,0),MATCH(($A498 &amp; "Points"),CLASSNAMEHEADERS,0))),(IF("01"=(INDEX(ALLCLASSDATA,MATCH("ClassDCExpert",CLASSFEATUREHEADERS,0),MATCH($A498,CLASSNAMEHEADERS,0))),(INDEX(ALLCLASSDATA,MATCH("ClassDCExpert",CLASSFEATUREHEADERS,0),MATCH(($A498 &amp; "Points"),CLASSNAMEHEADERS,0))),(IF("01"=(INDEX(ALLCLASSDATA,MATCH("ClassDCTrained",CLASSFEATUREHEADERS,0),MATCH($A498,CLASSNAMEHEADERS,0))),(INDEX(ALLCLASSDATA,MATCH("ClassDCTrained",CLASSFEATUREHEADERS,0),MATCH(($A498 &amp; "Points"),CLASSNAMEHEADERS,0))),"")))))))))}</f>
        <v>CLASSDCL01</v>
      </c>
      <c r="H497" s="81"/>
      <c r="I497" s="81" t="str">
        <f t="array" ref="I497:I498">{"CLASSDCL03";((IF("03"=(INDEX(ALLCLASSDATA,MATCH("ClassDCLegendary",CLASSFEATUREHEADERS,0),MATCH($A498,CLASSNAMEHEADERS,0))),(INDEX(ALLCLASSDATA,MATCH("ClassDCLegendary",CLASSFEATUREHEADERS,0),MATCH(($A498 &amp; "Points"),CLASSNAMEHEADERS,0))),(IF("03"=(INDEX(ALLCLASSDATA,MATCH("ClassDCMaster",CLASSFEATUREHEADERS,0),MATCH($A498,CLASSNAMEHEADERS,0))),(INDEX(ALLCLASSDATA,MATCH("ClassDCMaster",CLASSFEATUREHEADERS,0),MATCH(($A498 &amp; "Points"),CLASSNAMEHEADERS,0))),(IF("03"=(INDEX(ALLCLASSDATA,MATCH("ClassDCExpert",CLASSFEATUREHEADERS,0),MATCH($A498,CLASSNAMEHEADERS,0))),(INDEX(ALLCLASSDATA,MATCH("ClassDCExpert",CLASSFEATUREHEADERS,0),MATCH(($A498 &amp; "Points"),CLASSNAMEHEADERS,0))),(IF("03"=(INDEX(ALLCLASSDATA,MATCH("ClassDCTrained",CLASSFEATUREHEADERS,0),MATCH($A498,CLASSNAMEHEADERS,0))),(INDEX(ALLCLASSDATA,MATCH("ClassDCTrained",CLASSFEATUREHEADERS,0),MATCH(($A498 &amp; "Points"),CLASSNAMEHEADERS,0))),"")))))))))}</f>
        <v>CLASSDCL03</v>
      </c>
      <c r="J497" s="81"/>
      <c r="K497" s="81" t="str">
        <f t="array" ref="K497:K498">{"CLASSDCL05";((IF("05"=(INDEX(ALLCLASSDATA,MATCH("ClassDCLegendary",CLASSFEATUREHEADERS,0),MATCH($A498,CLASSNAMEHEADERS,0))),(INDEX(ALLCLASSDATA,MATCH("ClassDCLegendary",CLASSFEATUREHEADERS,0),MATCH(($A498 &amp; "Points"),CLASSNAMEHEADERS,0))),(IF("05"=(INDEX(ALLCLASSDATA,MATCH("ClassDCMaster",CLASSFEATUREHEADERS,0),MATCH($A498,CLASSNAMEHEADERS,0))),(INDEX(ALLCLASSDATA,MATCH("ClassDCMaster",CLASSFEATUREHEADERS,0),MATCH(($A498 &amp; "Points"),CLASSNAMEHEADERS,0))),(IF("05"=(INDEX(ALLCLASSDATA,MATCH("ClassDCExpert",CLASSFEATUREHEADERS,0),MATCH($A498,CLASSNAMEHEADERS,0))),(INDEX(ALLCLASSDATA,MATCH("ClassDCExpert",CLASSFEATUREHEADERS,0),MATCH(($A498 &amp; "Points"),CLASSNAMEHEADERS,0))),(IF("05"=(INDEX(ALLCLASSDATA,MATCH("ClassDCTrained",CLASSFEATUREHEADERS,0),MATCH($A498,CLASSNAMEHEADERS,0))),(INDEX(ALLCLASSDATA,MATCH("ClassDCTrained",CLASSFEATUREHEADERS,0),MATCH(($A498 &amp; "Points"),CLASSNAMEHEADERS,0))),"")))))))))}</f>
        <v>CLASSDCL05</v>
      </c>
      <c r="L497" s="81"/>
      <c r="M497" s="81" t="str">
        <f t="array" ref="M497:M498">{"CLASSDCL07";((IF("07"=(INDEX(ALLCLASSDATA,MATCH("ClassDCLegendary",CLASSFEATUREHEADERS,0),MATCH($A498,CLASSNAMEHEADERS,0))),(INDEX(ALLCLASSDATA,MATCH("ClassDCLegendary",CLASSFEATUREHEADERS,0),MATCH(($A498 &amp; "Points"),CLASSNAMEHEADERS,0))),(IF("07"=(INDEX(ALLCLASSDATA,MATCH("ClassDCMaster",CLASSFEATUREHEADERS,0),MATCH($A498,CLASSNAMEHEADERS,0))),(INDEX(ALLCLASSDATA,MATCH("ClassDCMaster",CLASSFEATUREHEADERS,0),MATCH(($A498 &amp; "Points"),CLASSNAMEHEADERS,0))),(IF("07"=(INDEX(ALLCLASSDATA,MATCH("ClassDCExpert",CLASSFEATUREHEADERS,0),MATCH($A498,CLASSNAMEHEADERS,0))),(INDEX(ALLCLASSDATA,MATCH("ClassDCExpert",CLASSFEATUREHEADERS,0),MATCH(($A498 &amp; "Points"),CLASSNAMEHEADERS,0))),(IF("07"=(INDEX(ALLCLASSDATA,MATCH("ClassDCTrained",CLASSFEATUREHEADERS,0),MATCH($A498,CLASSNAMEHEADERS,0))),(INDEX(ALLCLASSDATA,MATCH("ClassDCTrained",CLASSFEATUREHEADERS,0),MATCH(($A498 &amp; "Points"),CLASSNAMEHEADERS,0))),"")))))))))}</f>
        <v>CLASSDCL07</v>
      </c>
      <c r="N497" s="81"/>
      <c r="O497" s="81" t="str">
        <f t="array" ref="O497:O498">{"CLASSDCL09";((IF("09"=(INDEX(ALLCLASSDATA,MATCH("ClassDCLegendary",CLASSFEATUREHEADERS,0),MATCH($A498,CLASSNAMEHEADERS,0))),(INDEX(ALLCLASSDATA,MATCH("ClassDCLegendary",CLASSFEATUREHEADERS,0),MATCH(($A498 &amp; "Points"),CLASSNAMEHEADERS,0))),(IF("09"=(INDEX(ALLCLASSDATA,MATCH("ClassDCMaster",CLASSFEATUREHEADERS,0),MATCH($A498,CLASSNAMEHEADERS,0))),(INDEX(ALLCLASSDATA,MATCH("ClassDCMaster",CLASSFEATUREHEADERS,0),MATCH(($A498 &amp; "Points"),CLASSNAMEHEADERS,0))),(IF("09"=(INDEX(ALLCLASSDATA,MATCH("ClassDCExpert",CLASSFEATUREHEADERS,0),MATCH($A498,CLASSNAMEHEADERS,0))),(INDEX(ALLCLASSDATA,MATCH("ClassDCExpert",CLASSFEATUREHEADERS,0),MATCH(($A498 &amp; "Points"),CLASSNAMEHEADERS,0))),(IF("09"=(INDEX(ALLCLASSDATA,MATCH("ClassDCTrained",CLASSFEATUREHEADERS,0),MATCH($A498,CLASSNAMEHEADERS,0))),(INDEX(ALLCLASSDATA,MATCH("ClassDCTrained",CLASSFEATUREHEADERS,0),MATCH(($A498 &amp; "Points"),CLASSNAMEHEADERS,0))),"")))))))))}</f>
        <v>CLASSDCL09</v>
      </c>
      <c r="P497" s="81"/>
      <c r="Q497" s="81" t="str">
        <f t="array" ref="Q497:Q498">{"CLASSDCL11";((IF("11"=(INDEX(ALLCLASSDATA,MATCH("ClassDCLegendary",CLASSFEATUREHEADERS,0),MATCH($A498,CLASSNAMEHEADERS,0))),(INDEX(ALLCLASSDATA,MATCH("ClassDCLegendary",CLASSFEATUREHEADERS,0),MATCH(($A498 &amp; "Points"),CLASSNAMEHEADERS,0))),(IF("11"=(INDEX(ALLCLASSDATA,MATCH("ClassDCMaster",CLASSFEATUREHEADERS,0),MATCH($A498,CLASSNAMEHEADERS,0))),(INDEX(ALLCLASSDATA,MATCH("ClassDCMaster",CLASSFEATUREHEADERS,0),MATCH(($A498 &amp; "Points"),CLASSNAMEHEADERS,0))),(IF("11"=(INDEX(ALLCLASSDATA,MATCH("ClassDCExpert",CLASSFEATUREHEADERS,0),MATCH($A498,CLASSNAMEHEADERS,0))),(INDEX(ALLCLASSDATA,MATCH("ClassDCExpert",CLASSFEATUREHEADERS,0),MATCH(($A498 &amp; "Points"),CLASSNAMEHEADERS,0))),(IF("11"=(INDEX(ALLCLASSDATA,MATCH("ClassDCTrained",CLASSFEATUREHEADERS,0),MATCH($A498,CLASSNAMEHEADERS,0))),(INDEX(ALLCLASSDATA,MATCH("ClassDCTrained",CLASSFEATUREHEADERS,0),MATCH(($A498 &amp; "Points"),CLASSNAMEHEADERS,0))),"")))))))))}</f>
        <v>CLASSDCL11</v>
      </c>
      <c r="R497" s="81"/>
      <c r="S497" s="81" t="str">
        <f t="array" ref="S497:S498">{"CLASSDCL13";((IF("13"=(INDEX(ALLCLASSDATA,MATCH("ClassDCLegendary",CLASSFEATUREHEADERS,0),MATCH($A498,CLASSNAMEHEADERS,0))),(INDEX(ALLCLASSDATA,MATCH("ClassDCLegendary",CLASSFEATUREHEADERS,0),MATCH(($A498 &amp; "Points"),CLASSNAMEHEADERS,0))),(IF("13"=(INDEX(ALLCLASSDATA,MATCH("ClassDCMaster",CLASSFEATUREHEADERS,0),MATCH($A498,CLASSNAMEHEADERS,0))),(INDEX(ALLCLASSDATA,MATCH("ClassDCMaster",CLASSFEATUREHEADERS,0),MATCH(($A498 &amp; "Points"),CLASSNAMEHEADERS,0))),(IF("13"=(INDEX(ALLCLASSDATA,MATCH("ClassDCExpert",CLASSFEATUREHEADERS,0),MATCH($A498,CLASSNAMEHEADERS,0))),(INDEX(ALLCLASSDATA,MATCH("ClassDCExpert",CLASSFEATUREHEADERS,0),MATCH(($A498 &amp; "Points"),CLASSNAMEHEADERS,0))),(IF("13"=(INDEX(ALLCLASSDATA,MATCH("ClassDCTrained",CLASSFEATUREHEADERS,0),MATCH($A498,CLASSNAMEHEADERS,0))),(INDEX(ALLCLASSDATA,MATCH("ClassDCTrained",CLASSFEATUREHEADERS,0),MATCH(($A498 &amp; "Points"),CLASSNAMEHEADERS,0))),"")))))))))}</f>
        <v>CLASSDCL13</v>
      </c>
      <c r="T497" s="81"/>
      <c r="U497" s="81" t="str">
        <f t="array" ref="U497:U498">{"CLASSDCL15";((IF("15"=(INDEX(ALLCLASSDATA,MATCH("ClassDCLegendary",CLASSFEATUREHEADERS,0),MATCH($A498,CLASSNAMEHEADERS,0))),(INDEX(ALLCLASSDATA,MATCH("ClassDCLegendary",CLASSFEATUREHEADERS,0),MATCH(($A498 &amp; "Points"),CLASSNAMEHEADERS,0))),(IF("15"=(INDEX(ALLCLASSDATA,MATCH("ClassDCMaster",CLASSFEATUREHEADERS,0),MATCH($A498,CLASSNAMEHEADERS,0))),(INDEX(ALLCLASSDATA,MATCH("ClassDCMaster",CLASSFEATUREHEADERS,0),MATCH(($A498 &amp; "Points"),CLASSNAMEHEADERS,0))),(IF("15"=(INDEX(ALLCLASSDATA,MATCH("ClassDCExpert",CLASSFEATUREHEADERS,0),MATCH($A498,CLASSNAMEHEADERS,0))),(INDEX(ALLCLASSDATA,MATCH("ClassDCExpert",CLASSFEATUREHEADERS,0),MATCH(($A498 &amp; "Points"),CLASSNAMEHEADERS,0))),(IF("15"=(INDEX(ALLCLASSDATA,MATCH("ClassDCTrained",CLASSFEATUREHEADERS,0),MATCH($A498,CLASSNAMEHEADERS,0))),(INDEX(ALLCLASSDATA,MATCH("ClassDCTrained",CLASSFEATUREHEADERS,0),MATCH(($A498 &amp; "Points"),CLASSNAMEHEADERS,0))),"")))))))))}</f>
        <v>CLASSDCL15</v>
      </c>
      <c r="V497" s="81"/>
      <c r="W497" s="81" t="str">
        <f t="array" ref="W497:W498">{"CLASSDCL17";((IF("17"=(INDEX(ALLCLASSDATA,MATCH("ClassDCLegendary",CLASSFEATUREHEADERS,0),MATCH($A498,CLASSNAMEHEADERS,0))),(INDEX(ALLCLASSDATA,MATCH("ClassDCLegendary",CLASSFEATUREHEADERS,0),MATCH(($A498 &amp; "Points"),CLASSNAMEHEADERS,0))),(IF("17"=(INDEX(ALLCLASSDATA,MATCH("ClassDCMaster",CLASSFEATUREHEADERS,0),MATCH($A498,CLASSNAMEHEADERS,0))),(INDEX(ALLCLASSDATA,MATCH("ClassDCMaster",CLASSFEATUREHEADERS,0),MATCH(($A498 &amp; "Points"),CLASSNAMEHEADERS,0))),(IF("17"=(INDEX(ALLCLASSDATA,MATCH("ClassDCExpert",CLASSFEATUREHEADERS,0),MATCH($A498,CLASSNAMEHEADERS,0))),(INDEX(ALLCLASSDATA,MATCH("ClassDCExpert",CLASSFEATUREHEADERS,0),MATCH(($A498 &amp; "Points"),CLASSNAMEHEADERS,0))),(IF("17"=(INDEX(ALLCLASSDATA,MATCH("ClassDCTrained",CLASSFEATUREHEADERS,0),MATCH($A498,CLASSNAMEHEADERS,0))),(INDEX(ALLCLASSDATA,MATCH("ClassDCTrained",CLASSFEATUREHEADERS,0),MATCH(($A498 &amp; "Points"),CLASSNAMEHEADERS,0))),"")))))))))}</f>
        <v>CLASSDCL17</v>
      </c>
      <c r="X497" s="81"/>
      <c r="Y497" s="81" t="str">
        <f t="array" ref="Y497:Y498">{"CLASSDCL19";((IF("19"=(INDEX(ALLCLASSDATA,MATCH("ClassDCLegendary",CLASSFEATUREHEADERS,0),MATCH($A498,CLASSNAMEHEADERS,0))),(INDEX(ALLCLASSDATA,MATCH("ClassDCLegendary",CLASSFEATUREHEADERS,0),MATCH(($A498 &amp; "Points"),CLASSNAMEHEADERS,0))),(IF("19"=(INDEX(ALLCLASSDATA,MATCH("ClassDCMaster",CLASSFEATUREHEADERS,0),MATCH($A498,CLASSNAMEHEADERS,0))),(INDEX(ALLCLASSDATA,MATCH("ClassDCMaster",CLASSFEATUREHEADERS,0),MATCH(($A498 &amp; "Points"),CLASSNAMEHEADERS,0))),(IF("19"=(INDEX(ALLCLASSDATA,MATCH("ClassDCExpert",CLASSFEATUREHEADERS,0),MATCH($A498,CLASSNAMEHEADERS,0))),(INDEX(ALLCLASSDATA,MATCH("ClassDCExpert",CLASSFEATUREHEADERS,0),MATCH(($A498 &amp; "Points"),CLASSNAMEHEADERS,0))),(IF("19"=(INDEX(ALLCLASSDATA,MATCH("ClassDCTrained",CLASSFEATUREHEADERS,0),MATCH($A498,CLASSNAMEHEADERS,0))),(INDEX(ALLCLASSDATA,MATCH("ClassDCTrained",CLASSFEATUREHEADERS,0),MATCH(($A498 &amp; "Points"),CLASSNAMEHEADERS,0))),"")))))))))}</f>
        <v>CLASSDCL19</v>
      </c>
      <c r="Z497" s="81"/>
      <c r="AA497" s="76" t="str">
        <f t="array" ref="AA497:AA498">{"CLASSDC TOTAL";(IF(COUNTBLANK(F498:Z498)=17,"L",(IF(COUNTBLANK(F498:Z498)=18,"M",(IF(COUNTBLANK(F498:Z498)=19,"E",(IF(COUNTBLANK(F498:Z498)=20,"T",""))))))))}</f>
        <v>CLASSDC TOTAL</v>
      </c>
      <c r="AB497" s="76" t="str">
        <f t="array" ref="AB497:AB498">{"CLASSDC TOTAL";(sum(F498:Z498))}</f>
        <v>CLASSDC TOTAL</v>
      </c>
    </row>
    <row r="498">
      <c r="A498" s="48" t="s">
        <v>195</v>
      </c>
      <c r="B498" s="48" t="s">
        <v>417</v>
      </c>
      <c r="C498" s="48" t="s">
        <v>1465</v>
      </c>
      <c r="D498" s="48" t="s">
        <v>1466</v>
      </c>
      <c r="E498" s="5" t="s">
        <v>603</v>
      </c>
      <c r="F498" s="47" t="s">
        <v>603</v>
      </c>
      <c r="G498" s="5" t="s">
        <v>603</v>
      </c>
      <c r="H498" s="5"/>
      <c r="I498" s="5" t="s">
        <v>603</v>
      </c>
      <c r="J498" s="5"/>
      <c r="K498" s="5" t="s">
        <v>603</v>
      </c>
      <c r="L498" s="5"/>
      <c r="M498" s="5" t="s">
        <v>603</v>
      </c>
      <c r="N498" s="5"/>
      <c r="O498" s="5" t="s">
        <v>603</v>
      </c>
      <c r="P498" s="5"/>
      <c r="Q498" s="5" t="s">
        <v>603</v>
      </c>
      <c r="R498" s="5"/>
      <c r="S498" s="5" t="s">
        <v>603</v>
      </c>
      <c r="T498" s="5"/>
      <c r="U498" s="5" t="s">
        <v>603</v>
      </c>
      <c r="V498" s="5"/>
      <c r="W498" s="5" t="s">
        <v>603</v>
      </c>
      <c r="X498" s="5"/>
      <c r="Y498" s="5" t="s">
        <v>603</v>
      </c>
      <c r="Z498" s="5"/>
      <c r="AA498" s="5" t="s">
        <v>603</v>
      </c>
      <c r="AB498" s="47">
        <v>0.0</v>
      </c>
    </row>
    <row r="499" hidden="1">
      <c r="A499" s="222" t="str">
        <f t="array" ref="A499:A500">{"FormulaRow21";(INDEX(CLASSLIST,A458,1))}</f>
        <v>FormulaRow21</v>
      </c>
      <c r="B499" s="222" t="str">
        <f t="array" ref="B499:B500">{"CLASSTYPE";((INDEX(ALLCLASSDATA,MATCH("ClassType",CLASSFEATUREHEADERS,0),MATCH($A500,CLASSNAMEHEADERS,0))))}</f>
        <v>CLASSTYPE</v>
      </c>
      <c r="C499" s="222" t="str">
        <f t="array" ref="C499:C500">{"DC";"DC"}</f>
        <v>DC</v>
      </c>
      <c r="D499" s="222" t="str">
        <f t="array" ref="D499:D500">{"SPELLDC";"SpellDC"}</f>
        <v>SPELLDC</v>
      </c>
      <c r="E499" s="223" t="str">
        <f t="array" ref="E499:E500">{"SPELLDCINITIAL";((IF(G500=10,"T",(IF(G500=50,"E","")))))}</f>
        <v>SPELLDCINITIAL</v>
      </c>
      <c r="F499" s="223" t="str">
        <f t="array" ref="F499:F500">{"SPELLDCINITIALPTS";((IF("00"=(INDEX(ALLCLASSDATA,MATCH("SpellDCLegendary",CLASSFEATUREHEADERS,0),MATCH($A500,CLASSNAMEHEADERS,0))),(INDEX(ALLCLASSDATA,MATCH("SpellDCLegendary",CLASSFEATUREHEADERS,0),MATCH(($A500 &amp; "Points"),CLASSNAMEHEADERS,0))),(IF("00"=(INDEX(ALLCLASSDATA,MATCH("SpellDCMaster",CLASSFEATUREHEADERS,0),MATCH($A500,CLASSNAMEHEADERS,0))),(INDEX(ALLCLASSDATA,MATCH("SpellDCMaster",CLASSFEATUREHEADERS,0),MATCH(($A500 &amp; "Points"),CLASSNAMEHEADERS,0))),(IF("00"=(INDEX(ALLCLASSDATA,MATCH("SpellDCExpert",CLASSFEATUREHEADERS,0),MATCH($A500,CLASSNAMEHEADERS,0))),(INDEX(ALLCLASSDATA,MATCH("SpellDCExpert",CLASSFEATUREHEADERS,0),MATCH(($A500 &amp; "Points"),CLASSNAMEHEADERS,0))),(IF("00"=(INDEX(ALLCLASSDATA,MATCH("SpellDCTrained",CLASSFEATUREHEADERS,0),MATCH($A500,CLASSNAMEHEADERS,0))),(INDEX(ALLCLASSDATA,MATCH("SpellDCTrained",CLASSFEATUREHEADERS,0),MATCH(($A500 &amp; "Points"),CLASSNAMEHEADERS,0))),"")))))))))}</f>
        <v>SPELLDCINITIALPTS</v>
      </c>
      <c r="G499" s="223" t="str">
        <f t="array" ref="G499:G500">{"SPELLDCL01";((IF("01"=(INDEX(ALLCLASSDATA,MATCH("SpellDCLegendary",CLASSFEATUREHEADERS,0),MATCH($A500,CLASSNAMEHEADERS,0))),(INDEX(ALLCLASSDATA,MATCH("SpellDCLegendary",CLASSFEATUREHEADERS,0),MATCH(($A500 &amp; "Points"),CLASSNAMEHEADERS,0))),(IF("01"=(INDEX(ALLCLASSDATA,MATCH("SpellDCMaster",CLASSFEATUREHEADERS,0),MATCH($A500,CLASSNAMEHEADERS,0))),(INDEX(ALLCLASSDATA,MATCH("SpellDCMaster",CLASSFEATUREHEADERS,0),MATCH(($A500 &amp; "Points"),CLASSNAMEHEADERS,0))),(IF("01"=(INDEX(ALLCLASSDATA,MATCH("SpellDCExpert",CLASSFEATUREHEADERS,0),MATCH($A500,CLASSNAMEHEADERS,0))),(INDEX(ALLCLASSDATA,MATCH("SpellDCExpert",CLASSFEATUREHEADERS,0),MATCH(($A500 &amp; "Points"),CLASSNAMEHEADERS,0))),(IF("01"=(INDEX(ALLCLASSDATA,MATCH("SpellDCTrained",CLASSFEATUREHEADERS,0),MATCH($A500,CLASSNAMEHEADERS,0))),(INDEX(ALLCLASSDATA,MATCH("SpellDCTrained",CLASSFEATUREHEADERS,0),MATCH(($A500 &amp; "Points"),CLASSNAMEHEADERS,0))),"")))))))))}</f>
        <v>SPELLDCL01</v>
      </c>
      <c r="H499" s="223"/>
      <c r="I499" s="223" t="str">
        <f t="array" ref="I499:I500">{"SPELLDCL03";((IF("03"=(INDEX(ALLCLASSDATA,MATCH("SpellDCLegendary",CLASSFEATUREHEADERS,0),MATCH($A500,CLASSNAMEHEADERS,0))),(INDEX(ALLCLASSDATA,MATCH("SpellDCLegendary",CLASSFEATUREHEADERS,0),MATCH(($A500 &amp; "Points"),CLASSNAMEHEADERS,0))),(IF("03"=(INDEX(ALLCLASSDATA,MATCH("SpellDCMaster",CLASSFEATUREHEADERS,0),MATCH($A500,CLASSNAMEHEADERS,0))),(INDEX(ALLCLASSDATA,MATCH("SpellDCMaster",CLASSFEATUREHEADERS,0),MATCH(($A500 &amp; "Points"),CLASSNAMEHEADERS,0))),(IF("03"=(INDEX(ALLCLASSDATA,MATCH("SpellDCExpert",CLASSFEATUREHEADERS,0),MATCH($A500,CLASSNAMEHEADERS,0))),(INDEX(ALLCLASSDATA,MATCH("SpellDCExpert",CLASSFEATUREHEADERS,0),MATCH(($A500 &amp; "Points"),CLASSNAMEHEADERS,0))),(IF("03"=(INDEX(ALLCLASSDATA,MATCH("SpellDCTrained",CLASSFEATUREHEADERS,0),MATCH($A500,CLASSNAMEHEADERS,0))),(INDEX(ALLCLASSDATA,MATCH("SpellDCTrained",CLASSFEATUREHEADERS,0),MATCH(($A500 &amp; "Points"),CLASSNAMEHEADERS,0))),"")))))))))}</f>
        <v>SPELLDCL03</v>
      </c>
      <c r="J499" s="223"/>
      <c r="K499" s="223" t="str">
        <f t="array" ref="K499:K500">{"SPELLDCL05";((IF("05"=(INDEX(ALLCLASSDATA,MATCH("SpellDCLegendary",CLASSFEATUREHEADERS,0),MATCH($A500,CLASSNAMEHEADERS,0))),(INDEX(ALLCLASSDATA,MATCH("SpellDCLegendary",CLASSFEATUREHEADERS,0),MATCH(($A500 &amp; "Points"),CLASSNAMEHEADERS,0))),(IF("05"=(INDEX(ALLCLASSDATA,MATCH("SpellDCMaster",CLASSFEATUREHEADERS,0),MATCH($A500,CLASSNAMEHEADERS,0))),(INDEX(ALLCLASSDATA,MATCH("SpellDCMaster",CLASSFEATUREHEADERS,0),MATCH(($A500 &amp; "Points"),CLASSNAMEHEADERS,0))),(IF("05"=(INDEX(ALLCLASSDATA,MATCH("SpellDCExpert",CLASSFEATUREHEADERS,0),MATCH($A500,CLASSNAMEHEADERS,0))),(INDEX(ALLCLASSDATA,MATCH("SpellDCExpert",CLASSFEATUREHEADERS,0),MATCH(($A500 &amp; "Points"),CLASSNAMEHEADERS,0))),(IF("05"=(INDEX(ALLCLASSDATA,MATCH("SpellDCTrained",CLASSFEATUREHEADERS,0),MATCH($A500,CLASSNAMEHEADERS,0))),(INDEX(ALLCLASSDATA,MATCH("SpellDCTrained",CLASSFEATUREHEADERS,0),MATCH(($A500 &amp; "Points"),CLASSNAMEHEADERS,0))),"")))))))))}</f>
        <v>SPELLDCL05</v>
      </c>
      <c r="L499" s="223"/>
      <c r="M499" s="223" t="str">
        <f t="array" ref="M499:M500">{"SPELLDCL07";((IF("07"=(INDEX(ALLCLASSDATA,MATCH("SpellDCLegendary",CLASSFEATUREHEADERS,0),MATCH($A500,CLASSNAMEHEADERS,0))),(INDEX(ALLCLASSDATA,MATCH("SpellDCLegendary",CLASSFEATUREHEADERS,0),MATCH(($A500 &amp; "Points"),CLASSNAMEHEADERS,0))),(IF("07"=(INDEX(ALLCLASSDATA,MATCH("SpellDCMaster",CLASSFEATUREHEADERS,0),MATCH($A500,CLASSNAMEHEADERS,0))),(INDEX(ALLCLASSDATA,MATCH("SpellDCMaster",CLASSFEATUREHEADERS,0),MATCH(($A500 &amp; "Points"),CLASSNAMEHEADERS,0))),(IF("07"=(INDEX(ALLCLASSDATA,MATCH("SpellDCExpert",CLASSFEATUREHEADERS,0),MATCH($A500,CLASSNAMEHEADERS,0))),(INDEX(ALLCLASSDATA,MATCH("SpellDCExpert",CLASSFEATUREHEADERS,0),MATCH(($A500 &amp; "Points"),CLASSNAMEHEADERS,0))),(IF("07"=(INDEX(ALLCLASSDATA,MATCH("SpellDCTrained",CLASSFEATUREHEADERS,0),MATCH($A500,CLASSNAMEHEADERS,0))),(INDEX(ALLCLASSDATA,MATCH("SpellDCTrained",CLASSFEATUREHEADERS,0),MATCH(($A500 &amp; "Points"),CLASSNAMEHEADERS,0))),"")))))))))}</f>
        <v>SPELLDCL07</v>
      </c>
      <c r="N499" s="223"/>
      <c r="O499" s="223" t="str">
        <f t="array" ref="O499:O500">{"SPELLDCL09";((IF("09"=(INDEX(ALLCLASSDATA,MATCH("SpellDCLegendary",CLASSFEATUREHEADERS,0),MATCH($A500,CLASSNAMEHEADERS,0))),(INDEX(ALLCLASSDATA,MATCH("SpellDCLegendary",CLASSFEATUREHEADERS,0),MATCH(($A500 &amp; "Points"),CLASSNAMEHEADERS,0))),(IF("09"=(INDEX(ALLCLASSDATA,MATCH("SpellDCMaster",CLASSFEATUREHEADERS,0),MATCH($A500,CLASSNAMEHEADERS,0))),(INDEX(ALLCLASSDATA,MATCH("SpellDCMaster",CLASSFEATUREHEADERS,0),MATCH(($A500 &amp; "Points"),CLASSNAMEHEADERS,0))),(IF("09"=(INDEX(ALLCLASSDATA,MATCH("SpellDCExpert",CLASSFEATUREHEADERS,0),MATCH($A500,CLASSNAMEHEADERS,0))),(INDEX(ALLCLASSDATA,MATCH("SpellDCExpert",CLASSFEATUREHEADERS,0),MATCH(($A500 &amp; "Points"),CLASSNAMEHEADERS,0))),(IF("09"=(INDEX(ALLCLASSDATA,MATCH("SpellDCTrained",CLASSFEATUREHEADERS,0),MATCH($A500,CLASSNAMEHEADERS,0))),(INDEX(ALLCLASSDATA,MATCH("SpellDCTrained",CLASSFEATUREHEADERS,0),MATCH(($A500 &amp; "Points"),CLASSNAMEHEADERS,0))),"")))))))))}</f>
        <v>SPELLDCL09</v>
      </c>
      <c r="P499" s="223"/>
      <c r="Q499" s="223" t="str">
        <f t="array" ref="Q499:Q500">{"SPELLDCL11";((IF("11"=(INDEX(ALLCLASSDATA,MATCH("SpellDCLegendary",CLASSFEATUREHEADERS,0),MATCH($A500,CLASSNAMEHEADERS,0))),(INDEX(ALLCLASSDATA,MATCH("SpellDCLegendary",CLASSFEATUREHEADERS,0),MATCH(($A500 &amp; "Points"),CLASSNAMEHEADERS,0))),(IF("11"=(INDEX(ALLCLASSDATA,MATCH("SpellDCMaster",CLASSFEATUREHEADERS,0),MATCH($A500,CLASSNAMEHEADERS,0))),(INDEX(ALLCLASSDATA,MATCH("SpellDCMaster",CLASSFEATUREHEADERS,0),MATCH(($A500 &amp; "Points"),CLASSNAMEHEADERS,0))),(IF("11"=(INDEX(ALLCLASSDATA,MATCH("SpellDCExpert",CLASSFEATUREHEADERS,0),MATCH($A500,CLASSNAMEHEADERS,0))),(INDEX(ALLCLASSDATA,MATCH("SpellDCExpert",CLASSFEATUREHEADERS,0),MATCH(($A500 &amp; "Points"),CLASSNAMEHEADERS,0))),(IF("11"=(INDEX(ALLCLASSDATA,MATCH("SpellDCTrained",CLASSFEATUREHEADERS,0),MATCH($A500,CLASSNAMEHEADERS,0))),(INDEX(ALLCLASSDATA,MATCH("SpellDCTrained",CLASSFEATUREHEADERS,0),MATCH(($A500 &amp; "Points"),CLASSNAMEHEADERS,0))),"")))))))))}</f>
        <v>SPELLDCL11</v>
      </c>
      <c r="R499" s="223"/>
      <c r="S499" s="223" t="str">
        <f t="array" ref="S499:S500">{"SPELLDCL13";((IF("13"=(INDEX(ALLCLASSDATA,MATCH("SpellDCLegendary",CLASSFEATUREHEADERS,0),MATCH($A500,CLASSNAMEHEADERS,0))),(INDEX(ALLCLASSDATA,MATCH("SpellDCLegendary",CLASSFEATUREHEADERS,0),MATCH(($A500 &amp; "Points"),CLASSNAMEHEADERS,0))),(IF("13"=(INDEX(ALLCLASSDATA,MATCH("SpellDCMaster",CLASSFEATUREHEADERS,0),MATCH($A500,CLASSNAMEHEADERS,0))),(INDEX(ALLCLASSDATA,MATCH("SpellDCMaster",CLASSFEATUREHEADERS,0),MATCH(($A500 &amp; "Points"),CLASSNAMEHEADERS,0))),(IF("13"=(INDEX(ALLCLASSDATA,MATCH("SpellDCExpert",CLASSFEATUREHEADERS,0),MATCH($A500,CLASSNAMEHEADERS,0))),(INDEX(ALLCLASSDATA,MATCH("SpellDCExpert",CLASSFEATUREHEADERS,0),MATCH(($A500 &amp; "Points"),CLASSNAMEHEADERS,0))),(IF("13"=(INDEX(ALLCLASSDATA,MATCH("SpellDCTrained",CLASSFEATUREHEADERS,0),MATCH($A500,CLASSNAMEHEADERS,0))),(INDEX(ALLCLASSDATA,MATCH("SpellDCTrained",CLASSFEATUREHEADERS,0),MATCH(($A500 &amp; "Points"),CLASSNAMEHEADERS,0))),"")))))))))}</f>
        <v>SPELLDCL13</v>
      </c>
      <c r="T499" s="223"/>
      <c r="U499" s="223" t="str">
        <f t="array" ref="U499:U500">{"SPELLDCL15";((IF("15"=(INDEX(ALLCLASSDATA,MATCH("SpellDCLegendary",CLASSFEATUREHEADERS,0),MATCH($A500,CLASSNAMEHEADERS,0))),(INDEX(ALLCLASSDATA,MATCH("SpellDCLegendary",CLASSFEATUREHEADERS,0),MATCH(($A500 &amp; "Points"),CLASSNAMEHEADERS,0))),(IF("15"=(INDEX(ALLCLASSDATA,MATCH("SpellDCMaster",CLASSFEATUREHEADERS,0),MATCH($A500,CLASSNAMEHEADERS,0))),(INDEX(ALLCLASSDATA,MATCH("SpellDCMaster",CLASSFEATUREHEADERS,0),MATCH(($A500 &amp; "Points"),CLASSNAMEHEADERS,0))),(IF("15"=(INDEX(ALLCLASSDATA,MATCH("SpellDCExpert",CLASSFEATUREHEADERS,0),MATCH($A500,CLASSNAMEHEADERS,0))),(INDEX(ALLCLASSDATA,MATCH("SpellDCExpert",CLASSFEATUREHEADERS,0),MATCH(($A500 &amp; "Points"),CLASSNAMEHEADERS,0))),(IF("15"=(INDEX(ALLCLASSDATA,MATCH("SpellDCTrained",CLASSFEATUREHEADERS,0),MATCH($A500,CLASSNAMEHEADERS,0))),(INDEX(ALLCLASSDATA,MATCH("SpellDCTrained",CLASSFEATUREHEADERS,0),MATCH(($A500 &amp; "Points"),CLASSNAMEHEADERS,0))),"")))))))))}</f>
        <v>SPELLDCL15</v>
      </c>
      <c r="V499" s="223"/>
      <c r="W499" s="223" t="str">
        <f t="array" ref="W499:W500">{"SPELLDCL17";((IF("17"=(INDEX(ALLCLASSDATA,MATCH("SpellDCLegendary",CLASSFEATUREHEADERS,0),MATCH($A500,CLASSNAMEHEADERS,0))),(INDEX(ALLCLASSDATA,MATCH("SpellDCLegendary",CLASSFEATUREHEADERS,0),MATCH(($A500 &amp; "Points"),CLASSNAMEHEADERS,0))),(IF("17"=(INDEX(ALLCLASSDATA,MATCH("SpellDCMaster",CLASSFEATUREHEADERS,0),MATCH($A500,CLASSNAMEHEADERS,0))),(INDEX(ALLCLASSDATA,MATCH("SpellDCMaster",CLASSFEATUREHEADERS,0),MATCH(($A500 &amp; "Points"),CLASSNAMEHEADERS,0))),(IF("17"=(INDEX(ALLCLASSDATA,MATCH("SpellDCExpert",CLASSFEATUREHEADERS,0),MATCH($A500,CLASSNAMEHEADERS,0))),(INDEX(ALLCLASSDATA,MATCH("SpellDCExpert",CLASSFEATUREHEADERS,0),MATCH(($A500 &amp; "Points"),CLASSNAMEHEADERS,0))),(IF("17"=(INDEX(ALLCLASSDATA,MATCH("SpellDCTrained",CLASSFEATUREHEADERS,0),MATCH($A500,CLASSNAMEHEADERS,0))),(INDEX(ALLCLASSDATA,MATCH("SpellDCTrained",CLASSFEATUREHEADERS,0),MATCH(($A500 &amp; "Points"),CLASSNAMEHEADERS,0))),"")))))))))}</f>
        <v>SPELLDCL17</v>
      </c>
      <c r="X499" s="223"/>
      <c r="Y499" s="223" t="str">
        <f t="array" ref="Y499:Y500">{"SPELLDCL19";((IF("19"=(INDEX(ALLCLASSDATA,MATCH("SpellDCLegendary",CLASSFEATUREHEADERS,0),MATCH($A500,CLASSNAMEHEADERS,0))),(INDEX(ALLCLASSDATA,MATCH("SpellDCLegendary",CLASSFEATUREHEADERS,0),MATCH(($A500 &amp; "Points"),CLASSNAMEHEADERS,0))),(IF("19"=(INDEX(ALLCLASSDATA,MATCH("SpellDCMaster",CLASSFEATUREHEADERS,0),MATCH($A500,CLASSNAMEHEADERS,0))),(INDEX(ALLCLASSDATA,MATCH("SpellDCMaster",CLASSFEATUREHEADERS,0),MATCH(($A500 &amp; "Points"),CLASSNAMEHEADERS,0))),(IF("19"=(INDEX(ALLCLASSDATA,MATCH("SpellDCExpert",CLASSFEATUREHEADERS,0),MATCH($A500,CLASSNAMEHEADERS,0))),(INDEX(ALLCLASSDATA,MATCH("SpellDCExpert",CLASSFEATUREHEADERS,0),MATCH(($A500 &amp; "Points"),CLASSNAMEHEADERS,0))),(IF("19"=(INDEX(ALLCLASSDATA,MATCH("SpellDCTrained",CLASSFEATUREHEADERS,0),MATCH($A500,CLASSNAMEHEADERS,0))),(INDEX(ALLCLASSDATA,MATCH("SpellDCTrained",CLASSFEATUREHEADERS,0),MATCH(($A500 &amp; "Points"),CLASSNAMEHEADERS,0))),"")))))))))}</f>
        <v>SPELLDCL19</v>
      </c>
      <c r="Z499" s="223"/>
      <c r="AA499" s="76" t="str">
        <f t="array" ref="AA499:AA500">{"SPELLDC TOTAL";(IF(COUNTBLANK(F500:Z500)=17,"L",(IF(COUNTBLANK(F500:Z500)=18,"M",(IF(COUNTBLANK(F500:Z500)=19,"E",(IF(COUNTBLANK(F500:Z500)=20,"T",""))))))))}</f>
        <v>SPELLDC TOTAL</v>
      </c>
      <c r="AB499" s="76" t="str">
        <f t="array" ref="AB499:AB500">{"SPELLDC TOTAL";(sum(F500:Z500))}</f>
        <v>SPELLDC TOTAL</v>
      </c>
    </row>
    <row r="500">
      <c r="A500" s="48" t="s">
        <v>195</v>
      </c>
      <c r="B500" s="48" t="s">
        <v>417</v>
      </c>
      <c r="C500" s="97" t="s">
        <v>1465</v>
      </c>
      <c r="D500" s="97" t="s">
        <v>1485</v>
      </c>
      <c r="E500" s="98" t="s">
        <v>435</v>
      </c>
      <c r="F500" s="132" t="s">
        <v>603</v>
      </c>
      <c r="G500" s="98">
        <v>10.0</v>
      </c>
      <c r="H500" s="98"/>
      <c r="I500" s="98" t="s">
        <v>603</v>
      </c>
      <c r="J500" s="98"/>
      <c r="K500" s="98" t="s">
        <v>603</v>
      </c>
      <c r="L500" s="98"/>
      <c r="M500" s="98" t="s">
        <v>603</v>
      </c>
      <c r="N500" s="98"/>
      <c r="O500" s="98">
        <v>50.0</v>
      </c>
      <c r="P500" s="98"/>
      <c r="Q500" s="98" t="s">
        <v>603</v>
      </c>
      <c r="R500" s="98"/>
      <c r="S500" s="98" t="s">
        <v>603</v>
      </c>
      <c r="T500" s="98"/>
      <c r="U500" s="98" t="s">
        <v>603</v>
      </c>
      <c r="V500" s="98"/>
      <c r="W500" s="98">
        <v>110.0</v>
      </c>
      <c r="X500" s="98"/>
      <c r="Y500" s="98" t="s">
        <v>603</v>
      </c>
      <c r="Z500" s="98"/>
      <c r="AA500" s="5" t="s">
        <v>437</v>
      </c>
      <c r="AB500" s="47">
        <v>170.0</v>
      </c>
    </row>
    <row r="501" hidden="1">
      <c r="A501" s="222" t="str">
        <f t="array" ref="A501:A502">{"FormulaRow22";(INDEX(CLASSLIST,A458,1))}</f>
        <v>FormulaRow22</v>
      </c>
      <c r="B501" s="222" t="str">
        <f t="array" ref="B501:B502">{"CLASSTYPE";((INDEX(ALLCLASSDATA,MATCH("ClassType",CLASSFEATUREHEADERS,0),MATCH($A502,CLASSNAMEHEADERS,0))))}</f>
        <v>CLASSTYPE</v>
      </c>
      <c r="C501" s="228" t="str">
        <f t="shared" ref="C501:D501" si="6">{"PERCEPTION";"Perception"}</f>
        <v>PERCEPTION</v>
      </c>
      <c r="D501" s="228" t="str">
        <f t="shared" si="6"/>
        <v>PERCEPTION</v>
      </c>
      <c r="E501" s="230" t="str">
        <f t="array" ref="E501:E502">{"PERCEPTIONINITIAL";((IF(G502=10,"T",(IF(G502=50,"E","")))))}</f>
        <v>PERCEPTIONINITIAL</v>
      </c>
      <c r="F501" s="230" t="str">
        <f t="array" ref="F501:F502">{"PERCEPTIONINITIALPTS";((IF("00"=(INDEX(ALLCLASSDATA,MATCH("PerceptionLegendary",CLASSFEATUREHEADERS,0),MATCH($A502,CLASSNAMEHEADERS,0))),(INDEX(ALLCLASSDATA,MATCH("PerceptionLegendary",CLASSFEATUREHEADERS,0),MATCH(($A502 &amp; "Points"),CLASSNAMEHEADERS,0))),(IF("00"=(INDEX(ALLCLASSDATA,MATCH("PerceptionMaster",CLASSFEATUREHEADERS,0),MATCH($A502,CLASSNAMEHEADERS,0))),(INDEX(ALLCLASSDATA,MATCH("PerceptionMaster",CLASSFEATUREHEADERS,0),MATCH(($A502 &amp; "Points"),CLASSNAMEHEADERS,0))),(IF("00"=(INDEX(ALLCLASSDATA,MATCH("PerceptionExpert",CLASSFEATUREHEADERS,0),MATCH($A502,CLASSNAMEHEADERS,0))),(INDEX(ALLCLASSDATA,MATCH("PerceptionExpert",CLASSFEATUREHEADERS,0),MATCH(($A502 &amp; "Points"),CLASSNAMEHEADERS,0))),(IF("00"=(INDEX(ALLCLASSDATA,MATCH("PerceptionTrained",CLASSFEATUREHEADERS,0),MATCH($A502,CLASSNAMEHEADERS,0))),(INDEX(ALLCLASSDATA,MATCH("PerceptionTrained",CLASSFEATUREHEADERS,0),MATCH(($A502 &amp; "Points"),CLASSNAMEHEADERS,0))),"")))))))))}</f>
        <v>PERCEPTIONINITIALPTS</v>
      </c>
      <c r="G501" s="230" t="str">
        <f t="array" ref="G501:G502">{"PERCEPTIONL01";((IF("01"=(INDEX(ALLCLASSDATA,MATCH("PerceptionLegendary",CLASSFEATUREHEADERS,0),MATCH($A502,CLASSNAMEHEADERS,0))),(INDEX(ALLCLASSDATA,MATCH("PerceptionLegendary",CLASSFEATUREHEADERS,0),MATCH(($A502 &amp; "Points"),CLASSNAMEHEADERS,0))),(IF("01"=(INDEX(ALLCLASSDATA,MATCH("PerceptionMaster",CLASSFEATUREHEADERS,0),MATCH($A502,CLASSNAMEHEADERS,0))),(INDEX(ALLCLASSDATA,MATCH("PerceptionMaster",CLASSFEATUREHEADERS,0),MATCH(($A502 &amp; "Points"),CLASSNAMEHEADERS,0))),(IF("01"=(INDEX(ALLCLASSDATA,MATCH("PerceptionExpert",CLASSFEATUREHEADERS,0),MATCH($A502,CLASSNAMEHEADERS,0))),(INDEX(ALLCLASSDATA,MATCH("PerceptionExpert",CLASSFEATUREHEADERS,0),MATCH(($A502 &amp; "Points"),CLASSNAMEHEADERS,0))),(IF("01"=(INDEX(ALLCLASSDATA,MATCH("PerceptionTrained",CLASSFEATUREHEADERS,0),MATCH($A502,CLASSNAMEHEADERS,0))),(INDEX(ALLCLASSDATA,MATCH("PerceptionTrained",CLASSFEATUREHEADERS,0),MATCH(($A502 &amp; "Points"),CLASSNAMEHEADERS,0))),"")))))))))}</f>
        <v>PERCEPTIONL01</v>
      </c>
      <c r="H501" s="230"/>
      <c r="I501" s="230" t="str">
        <f t="array" ref="I501:I502">{"PERCEPTIONL03";((IF("03"=(INDEX(ALLCLASSDATA,MATCH("PerceptionLegendary",CLASSFEATUREHEADERS,0),MATCH($A502,CLASSNAMEHEADERS,0))),(INDEX(ALLCLASSDATA,MATCH("PerceptionLegendary",CLASSFEATUREHEADERS,0),MATCH(($A502 &amp; "Points"),CLASSNAMEHEADERS,0))),(IF("03"=(INDEX(ALLCLASSDATA,MATCH("PerceptionMaster",CLASSFEATUREHEADERS,0),MATCH($A502,CLASSNAMEHEADERS,0))),(INDEX(ALLCLASSDATA,MATCH("PerceptionMaster",CLASSFEATUREHEADERS,0),MATCH(($A502 &amp; "Points"),CLASSNAMEHEADERS,0))),(IF("03"=(INDEX(ALLCLASSDATA,MATCH("PerceptionExpert",CLASSFEATUREHEADERS,0),MATCH($A502,CLASSNAMEHEADERS,0))),(INDEX(ALLCLASSDATA,MATCH("PerceptionExpert",CLASSFEATUREHEADERS,0),MATCH(($A502 &amp; "Points"),CLASSNAMEHEADERS,0))),(IF("03"=(INDEX(ALLCLASSDATA,MATCH("PerceptionTrained",CLASSFEATUREHEADERS,0),MATCH($A502,CLASSNAMEHEADERS,0))),(INDEX(ALLCLASSDATA,MATCH("PerceptionTrained",CLASSFEATUREHEADERS,0),MATCH(($A502 &amp; "Points"),CLASSNAMEHEADERS,0))),"")))))))))}</f>
        <v>PERCEPTIONL03</v>
      </c>
      <c r="J501" s="230"/>
      <c r="K501" s="230" t="str">
        <f t="array" ref="K501:K502">{"PERCEPTIONL05";((IF("05"=(INDEX(ALLCLASSDATA,MATCH("PerceptionLegendary",CLASSFEATUREHEADERS,0),MATCH($A502,CLASSNAMEHEADERS,0))),(INDEX(ALLCLASSDATA,MATCH("PerceptionLegendary",CLASSFEATUREHEADERS,0),MATCH(($A502 &amp; "Points"),CLASSNAMEHEADERS,0))),(IF("05"=(INDEX(ALLCLASSDATA,MATCH("PerceptionMaster",CLASSFEATUREHEADERS,0),MATCH($A502,CLASSNAMEHEADERS,0))),(INDEX(ALLCLASSDATA,MATCH("PerceptionMaster",CLASSFEATUREHEADERS,0),MATCH(($A502 &amp; "Points"),CLASSNAMEHEADERS,0))),(IF("05"=(INDEX(ALLCLASSDATA,MATCH("PerceptionExpert",CLASSFEATUREHEADERS,0),MATCH($A502,CLASSNAMEHEADERS,0))),(INDEX(ALLCLASSDATA,MATCH("PerceptionExpert",CLASSFEATUREHEADERS,0),MATCH(($A502 &amp; "Points"),CLASSNAMEHEADERS,0))),(IF("05"=(INDEX(ALLCLASSDATA,MATCH("PerceptionTrained",CLASSFEATUREHEADERS,0),MATCH($A502,CLASSNAMEHEADERS,0))),(INDEX(ALLCLASSDATA,MATCH("PerceptionTrained",CLASSFEATUREHEADERS,0),MATCH(($A502 &amp; "Points"),CLASSNAMEHEADERS,0))),"")))))))))}</f>
        <v>PERCEPTIONL05</v>
      </c>
      <c r="L501" s="230"/>
      <c r="M501" s="230" t="str">
        <f t="array" ref="M501:M502">{"PERCEPTIONL07";((IF("07"=(INDEX(ALLCLASSDATA,MATCH("PerceptionLegendary",CLASSFEATUREHEADERS,0),MATCH($A502,CLASSNAMEHEADERS,0))),(INDEX(ALLCLASSDATA,MATCH("PerceptionLegendary",CLASSFEATUREHEADERS,0),MATCH(($A502 &amp; "Points"),CLASSNAMEHEADERS,0))),(IF("07"=(INDEX(ALLCLASSDATA,MATCH("PerceptionMaster",CLASSFEATUREHEADERS,0),MATCH($A502,CLASSNAMEHEADERS,0))),(INDEX(ALLCLASSDATA,MATCH("PerceptionMaster",CLASSFEATUREHEADERS,0),MATCH(($A502 &amp; "Points"),CLASSNAMEHEADERS,0))),(IF("07"=(INDEX(ALLCLASSDATA,MATCH("PerceptionExpert",CLASSFEATUREHEADERS,0),MATCH($A502,CLASSNAMEHEADERS,0))),(INDEX(ALLCLASSDATA,MATCH("PerceptionExpert",CLASSFEATUREHEADERS,0),MATCH(($A502 &amp; "Points"),CLASSNAMEHEADERS,0))),(IF("07"=(INDEX(ALLCLASSDATA,MATCH("PerceptionTrained",CLASSFEATUREHEADERS,0),MATCH($A502,CLASSNAMEHEADERS,0))),(INDEX(ALLCLASSDATA,MATCH("PerceptionTrained",CLASSFEATUREHEADERS,0),MATCH(($A502 &amp; "Points"),CLASSNAMEHEADERS,0))),"")))))))))}</f>
        <v>PERCEPTIONL07</v>
      </c>
      <c r="N501" s="230"/>
      <c r="O501" s="230" t="str">
        <f t="array" ref="O501:O502">{"PERCEPTIONL09";((IF("09"=(INDEX(ALLCLASSDATA,MATCH("PerceptionLegendary",CLASSFEATUREHEADERS,0),MATCH($A502,CLASSNAMEHEADERS,0))),(INDEX(ALLCLASSDATA,MATCH("PerceptionLegendary",CLASSFEATUREHEADERS,0),MATCH(($A502 &amp; "Points"),CLASSNAMEHEADERS,0))),(IF("09"=(INDEX(ALLCLASSDATA,MATCH("PerceptionMaster",CLASSFEATUREHEADERS,0),MATCH($A502,CLASSNAMEHEADERS,0))),(INDEX(ALLCLASSDATA,MATCH("PerceptionMaster",CLASSFEATUREHEADERS,0),MATCH(($A502 &amp; "Points"),CLASSNAMEHEADERS,0))),(IF("09"=(INDEX(ALLCLASSDATA,MATCH("PerceptionExpert",CLASSFEATUREHEADERS,0),MATCH($A502,CLASSNAMEHEADERS,0))),(INDEX(ALLCLASSDATA,MATCH("PerceptionExpert",CLASSFEATUREHEADERS,0),MATCH(($A502 &amp; "Points"),CLASSNAMEHEADERS,0))),(IF("09"=(INDEX(ALLCLASSDATA,MATCH("PerceptionTrained",CLASSFEATUREHEADERS,0),MATCH($A502,CLASSNAMEHEADERS,0))),(INDEX(ALLCLASSDATA,MATCH("PerceptionTrained",CLASSFEATUREHEADERS,0),MATCH(($A502 &amp; "Points"),CLASSNAMEHEADERS,0))),"")))))))))}</f>
        <v>PERCEPTIONL09</v>
      </c>
      <c r="P501" s="230"/>
      <c r="Q501" s="230" t="str">
        <f t="array" ref="Q501:Q502">{"PERCEPTIONL11";((IF("11"=(INDEX(ALLCLASSDATA,MATCH("PerceptionLegendary",CLASSFEATUREHEADERS,0),MATCH($A502,CLASSNAMEHEADERS,0))),(INDEX(ALLCLASSDATA,MATCH("PerceptionLegendary",CLASSFEATUREHEADERS,0),MATCH(($A502 &amp; "Points"),CLASSNAMEHEADERS,0))),(IF("11"=(INDEX(ALLCLASSDATA,MATCH("PerceptionMaster",CLASSFEATUREHEADERS,0),MATCH($A502,CLASSNAMEHEADERS,0))),(INDEX(ALLCLASSDATA,MATCH("PerceptionMaster",CLASSFEATUREHEADERS,0),MATCH(($A502 &amp; "Points"),CLASSNAMEHEADERS,0))),(IF("11"=(INDEX(ALLCLASSDATA,MATCH("PerceptionExpert",CLASSFEATUREHEADERS,0),MATCH($A502,CLASSNAMEHEADERS,0))),(INDEX(ALLCLASSDATA,MATCH("PerceptionExpert",CLASSFEATUREHEADERS,0),MATCH(($A502 &amp; "Points"),CLASSNAMEHEADERS,0))),(IF("11"=(INDEX(ALLCLASSDATA,MATCH("PerceptionTrained",CLASSFEATUREHEADERS,0),MATCH($A502,CLASSNAMEHEADERS,0))),(INDEX(ALLCLASSDATA,MATCH("PerceptionTrained",CLASSFEATUREHEADERS,0),MATCH(($A502 &amp; "Points"),CLASSNAMEHEADERS,0))),"")))))))))}</f>
        <v>PERCEPTIONL11</v>
      </c>
      <c r="R501" s="230"/>
      <c r="S501" s="230" t="str">
        <f t="array" ref="S501:S502">{"PERCEPTIONL13";((IF("13"=(INDEX(ALLCLASSDATA,MATCH("PerceptionLegendary",CLASSFEATUREHEADERS,0),MATCH($A502,CLASSNAMEHEADERS,0))),(INDEX(ALLCLASSDATA,MATCH("PerceptionLegendary",CLASSFEATUREHEADERS,0),MATCH(($A502 &amp; "Points"),CLASSNAMEHEADERS,0))),(IF("13"=(INDEX(ALLCLASSDATA,MATCH("PerceptionMaster",CLASSFEATUREHEADERS,0),MATCH($A502,CLASSNAMEHEADERS,0))),(INDEX(ALLCLASSDATA,MATCH("PerceptionMaster",CLASSFEATUREHEADERS,0),MATCH(($A502 &amp; "Points"),CLASSNAMEHEADERS,0))),(IF("13"=(INDEX(ALLCLASSDATA,MATCH("PerceptionExpert",CLASSFEATUREHEADERS,0),MATCH($A502,CLASSNAMEHEADERS,0))),(INDEX(ALLCLASSDATA,MATCH("PerceptionExpert",CLASSFEATUREHEADERS,0),MATCH(($A502 &amp; "Points"),CLASSNAMEHEADERS,0))),(IF("13"=(INDEX(ALLCLASSDATA,MATCH("PerceptionTrained",CLASSFEATUREHEADERS,0),MATCH($A502,CLASSNAMEHEADERS,0))),(INDEX(ALLCLASSDATA,MATCH("PerceptionTrained",CLASSFEATUREHEADERS,0),MATCH(($A502 &amp; "Points"),CLASSNAMEHEADERS,0))),"")))))))))}</f>
        <v>PERCEPTIONL13</v>
      </c>
      <c r="T501" s="230"/>
      <c r="U501" s="230" t="str">
        <f t="array" ref="U501:U502">{"PERCEPTIONL15";((IF("15"=(INDEX(ALLCLASSDATA,MATCH("PerceptionLegendary",CLASSFEATUREHEADERS,0),MATCH($A502,CLASSNAMEHEADERS,0))),(INDEX(ALLCLASSDATA,MATCH("PerceptionLegendary",CLASSFEATUREHEADERS,0),MATCH(($A502 &amp; "Points"),CLASSNAMEHEADERS,0))),(IF("15"=(INDEX(ALLCLASSDATA,MATCH("PerceptionMaster",CLASSFEATUREHEADERS,0),MATCH($A502,CLASSNAMEHEADERS,0))),(INDEX(ALLCLASSDATA,MATCH("PerceptionMaster",CLASSFEATUREHEADERS,0),MATCH(($A502 &amp; "Points"),CLASSNAMEHEADERS,0))),(IF("15"=(INDEX(ALLCLASSDATA,MATCH("PerceptionExpert",CLASSFEATUREHEADERS,0),MATCH($A502,CLASSNAMEHEADERS,0))),(INDEX(ALLCLASSDATA,MATCH("PerceptionExpert",CLASSFEATUREHEADERS,0),MATCH(($A502 &amp; "Points"),CLASSNAMEHEADERS,0))),(IF("15"=(INDEX(ALLCLASSDATA,MATCH("PerceptionTrained",CLASSFEATUREHEADERS,0),MATCH($A502,CLASSNAMEHEADERS,0))),(INDEX(ALLCLASSDATA,MATCH("PerceptionTrained",CLASSFEATUREHEADERS,0),MATCH(($A502 &amp; "Points"),CLASSNAMEHEADERS,0))),"")))))))))}</f>
        <v>PERCEPTIONL15</v>
      </c>
      <c r="V501" s="230"/>
      <c r="W501" s="230" t="str">
        <f t="array" ref="W501:W502">{"PERCEPTIONL17";((IF("17"=(INDEX(ALLCLASSDATA,MATCH("PerceptionLegendary",CLASSFEATUREHEADERS,0),MATCH($A502,CLASSNAMEHEADERS,0))),(INDEX(ALLCLASSDATA,MATCH("PerceptionLegendary",CLASSFEATUREHEADERS,0),MATCH(($A502 &amp; "Points"),CLASSNAMEHEADERS,0))),(IF("17"=(INDEX(ALLCLASSDATA,MATCH("PerceptionMaster",CLASSFEATUREHEADERS,0),MATCH($A502,CLASSNAMEHEADERS,0))),(INDEX(ALLCLASSDATA,MATCH("PerceptionMaster",CLASSFEATUREHEADERS,0),MATCH(($A502 &amp; "Points"),CLASSNAMEHEADERS,0))),(IF("17"=(INDEX(ALLCLASSDATA,MATCH("PerceptionExpert",CLASSFEATUREHEADERS,0),MATCH($A502,CLASSNAMEHEADERS,0))),(INDEX(ALLCLASSDATA,MATCH("PerceptionExpert",CLASSFEATUREHEADERS,0),MATCH(($A502 &amp; "Points"),CLASSNAMEHEADERS,0))),(IF("17"=(INDEX(ALLCLASSDATA,MATCH("PerceptionTrained",CLASSFEATUREHEADERS,0),MATCH($A502,CLASSNAMEHEADERS,0))),(INDEX(ALLCLASSDATA,MATCH("PerceptionTrained",CLASSFEATUREHEADERS,0),MATCH(($A502 &amp; "Points"),CLASSNAMEHEADERS,0))),"")))))))))}</f>
        <v>PERCEPTIONL17</v>
      </c>
      <c r="X501" s="230"/>
      <c r="Y501" s="230" t="str">
        <f t="array" ref="Y501:Y502">{"PERCEPTIONL19";((IF("19"=(INDEX(ALLCLASSDATA,MATCH("PerceptionLegendary",CLASSFEATUREHEADERS,0),MATCH($A502,CLASSNAMEHEADERS,0))),(INDEX(ALLCLASSDATA,MATCH("PerceptionLegendary",CLASSFEATUREHEADERS,0),MATCH(($A502 &amp; "Points"),CLASSNAMEHEADERS,0))),(IF("19"=(INDEX(ALLCLASSDATA,MATCH("PerceptionMaster",CLASSFEATUREHEADERS,0),MATCH($A502,CLASSNAMEHEADERS,0))),(INDEX(ALLCLASSDATA,MATCH("PerceptionMaster",CLASSFEATUREHEADERS,0),MATCH(($A502 &amp; "Points"),CLASSNAMEHEADERS,0))),(IF("19"=(INDEX(ALLCLASSDATA,MATCH("PerceptionExpert",CLASSFEATUREHEADERS,0),MATCH($A502,CLASSNAMEHEADERS,0))),(INDEX(ALLCLASSDATA,MATCH("PerceptionExpert",CLASSFEATUREHEADERS,0),MATCH(($A502 &amp; "Points"),CLASSNAMEHEADERS,0))),(IF("19"=(INDEX(ALLCLASSDATA,MATCH("PerceptionTrained",CLASSFEATUREHEADERS,0),MATCH($A502,CLASSNAMEHEADERS,0))),(INDEX(ALLCLASSDATA,MATCH("PerceptionTrained",CLASSFEATUREHEADERS,0),MATCH(($A502 &amp; "Points"),CLASSNAMEHEADERS,0))),"")))))))))}</f>
        <v>PERCEPTIONL19</v>
      </c>
      <c r="Z501" s="230"/>
      <c r="AA501" s="76" t="str">
        <f t="array" ref="AA501:AA502">{"PERCEPTION TOTAL";(IF(COUNTBLANK(F502:Z502)=17,"L",(IF(COUNTBLANK(F502:Z502)=18,"M",(IF(COUNTBLANK(F502:Z502)=19,"E",(IF(COUNTBLANK(F502:Z502)=20,"T",""))))))))}</f>
        <v>PERCEPTION TOTAL</v>
      </c>
      <c r="AB501" s="76" t="str">
        <f t="array" ref="AB501:AB502">{"PERCEPTION TOTAL";(sum(F502:Z502))}</f>
        <v>PERCEPTION TOTAL</v>
      </c>
    </row>
    <row r="502">
      <c r="A502" s="48" t="s">
        <v>195</v>
      </c>
      <c r="B502" s="48" t="s">
        <v>417</v>
      </c>
      <c r="C502" s="97" t="s">
        <v>637</v>
      </c>
      <c r="D502" s="97" t="s">
        <v>637</v>
      </c>
      <c r="E502" s="98" t="s">
        <v>435</v>
      </c>
      <c r="F502" s="132" t="s">
        <v>603</v>
      </c>
      <c r="G502" s="98">
        <v>10.0</v>
      </c>
      <c r="H502" s="98"/>
      <c r="I502" s="98">
        <v>50.0</v>
      </c>
      <c r="J502" s="98"/>
      <c r="K502" s="98" t="s">
        <v>603</v>
      </c>
      <c r="L502" s="98"/>
      <c r="M502" s="98" t="s">
        <v>603</v>
      </c>
      <c r="N502" s="98"/>
      <c r="O502" s="98" t="s">
        <v>603</v>
      </c>
      <c r="P502" s="98"/>
      <c r="Q502" s="98" t="s">
        <v>603</v>
      </c>
      <c r="R502" s="98"/>
      <c r="S502" s="98" t="s">
        <v>603</v>
      </c>
      <c r="T502" s="98"/>
      <c r="U502" s="98" t="s">
        <v>603</v>
      </c>
      <c r="V502" s="98"/>
      <c r="W502" s="98" t="s">
        <v>603</v>
      </c>
      <c r="X502" s="98"/>
      <c r="Y502" s="98" t="s">
        <v>603</v>
      </c>
      <c r="Z502" s="98"/>
      <c r="AA502" s="5" t="s">
        <v>436</v>
      </c>
      <c r="AB502" s="47">
        <v>60.0</v>
      </c>
    </row>
    <row r="503" hidden="1">
      <c r="A503" s="222" t="str">
        <f t="array" ref="A503:A504">{"FormulaRow23";(INDEX(CLASSLIST,A458,1))}</f>
        <v>FormulaRow23</v>
      </c>
      <c r="B503" s="222" t="str">
        <f t="array" ref="B503:B504">{"CLASSTYPE";((INDEX(ALLCLASSDATA,MATCH("ClassType",CLASSFEATUREHEADERS,0),MATCH($A504,CLASSNAMEHEADERS,0))))}</f>
        <v>CLASSTYPE</v>
      </c>
      <c r="C503" s="228" t="str">
        <f t="array" ref="C503:C504">{"SAVES";"Saves"}</f>
        <v>SAVES</v>
      </c>
      <c r="D503" s="228" t="str">
        <f t="array" ref="D503:D504">{"FORTITUDESAVE";"FortitudeSave"}</f>
        <v>FORTITUDESAVE</v>
      </c>
      <c r="E503" s="230" t="str">
        <f t="array" ref="E503:E504">{"FORTITUDEINITIAL";((IF(G504=10,"T",(IF(G504=50,"E","")))))}</f>
        <v>FORTITUDEINITIAL</v>
      </c>
      <c r="F503" s="230" t="str">
        <f t="array" ref="F503:F504">{"FORTITUDEINITIALPTS";((IF("00"=(INDEX(ALLCLASSDATA,MATCH("FortitudeSaveLegendary",CLASSFEATUREHEADERS,0),MATCH($A504,CLASSNAMEHEADERS,0))),(INDEX(ALLCLASSDATA,MATCH("FortitudeSaveLegendary",CLASSFEATUREHEADERS,0),MATCH(($A504 &amp; "Points"),CLASSNAMEHEADERS,0))),(IF("00"=(INDEX(ALLCLASSDATA,MATCH("FortitudeSaveMaster",CLASSFEATUREHEADERS,0),MATCH($A504,CLASSNAMEHEADERS,0))),(INDEX(ALLCLASSDATA,MATCH("FortitudeSaveMaster",CLASSFEATUREHEADERS,0),MATCH(($A504 &amp; "Points"),CLASSNAMEHEADERS,0))),(IF("00"=(INDEX(ALLCLASSDATA,MATCH("FortitudeSaveExpert",CLASSFEATUREHEADERS,0),MATCH($A504,CLASSNAMEHEADERS,0))),(INDEX(ALLCLASSDATA,MATCH("FortitudeSaveExpert",CLASSFEATUREHEADERS,0),MATCH(($A504 &amp; "Points"),CLASSNAMEHEADERS,0))),(IF("00"=(INDEX(ALLCLASSDATA,MATCH("FortitudeSaveTrained",CLASSFEATUREHEADERS,0),MATCH($A504,CLASSNAMEHEADERS,0))),(INDEX(ALLCLASSDATA,MATCH("FortitudeSaveTrained",CLASSFEATUREHEADERS,0),MATCH(($A504 &amp; "Points"),CLASSNAMEHEADERS,0))),"")))))))))}</f>
        <v>FORTITUDEINITIALPTS</v>
      </c>
      <c r="G503" s="230" t="str">
        <f t="array" ref="G503:G504">{"FORTITUDEL01";((IF("01"=(INDEX(ALLCLASSDATA,MATCH("FortitudeSaveLegendary",CLASSFEATUREHEADERS,0),MATCH($A504,CLASSNAMEHEADERS,0))),(INDEX(ALLCLASSDATA,MATCH("FortitudeSaveLegendary",CLASSFEATUREHEADERS,0),MATCH(($A504 &amp; "Points"),CLASSNAMEHEADERS,0))),(IF("01"=(INDEX(ALLCLASSDATA,MATCH("FortitudeSaveMaster",CLASSFEATUREHEADERS,0),MATCH($A504,CLASSNAMEHEADERS,0))),(INDEX(ALLCLASSDATA,MATCH("FortitudeSaveMaster",CLASSFEATUREHEADERS,0),MATCH(($A504 &amp; "Points"),CLASSNAMEHEADERS,0))),(IF("01"=(INDEX(ALLCLASSDATA,MATCH("FortitudeSaveExpert",CLASSFEATUREHEADERS,0),MATCH($A504,CLASSNAMEHEADERS,0))),(INDEX(ALLCLASSDATA,MATCH("FortitudeSaveExpert",CLASSFEATUREHEADERS,0),MATCH(($A504 &amp; "Points"),CLASSNAMEHEADERS,0))),(IF("01"=(INDEX(ALLCLASSDATA,MATCH("FortitudeSaveTrained",CLASSFEATUREHEADERS,0),MATCH($A504,CLASSNAMEHEADERS,0))),(INDEX(ALLCLASSDATA,MATCH("FortitudeSaveTrained",CLASSFEATUREHEADERS,0),MATCH(($A504 &amp; "Points"),CLASSNAMEHEADERS,0))),"")))))))))}</f>
        <v>FORTITUDEL01</v>
      </c>
      <c r="H503" s="230"/>
      <c r="I503" s="230" t="str">
        <f t="array" ref="I503:I504">{"FORTITUDEL03";((IF("03"=(INDEX(ALLCLASSDATA,MATCH("FortitudeSaveLegendary",CLASSFEATUREHEADERS,0),MATCH($A504,CLASSNAMEHEADERS,0))),(INDEX(ALLCLASSDATA,MATCH("FortitudeSaveLegendary",CLASSFEATUREHEADERS,0),MATCH(($A504 &amp; "Points"),CLASSNAMEHEADERS,0))),(IF("03"=(INDEX(ALLCLASSDATA,MATCH("FortitudeSaveMaster",CLASSFEATUREHEADERS,0),MATCH($A504,CLASSNAMEHEADERS,0))),(INDEX(ALLCLASSDATA,MATCH("FortitudeSaveMaster",CLASSFEATUREHEADERS,0),MATCH(($A504 &amp; "Points"),CLASSNAMEHEADERS,0))),(IF("03"=(INDEX(ALLCLASSDATA,MATCH("FortitudeSaveExpert",CLASSFEATUREHEADERS,0),MATCH($A504,CLASSNAMEHEADERS,0))),(INDEX(ALLCLASSDATA,MATCH("FortitudeSaveExpert",CLASSFEATUREHEADERS,0),MATCH(($A504 &amp; "Points"),CLASSNAMEHEADERS,0))),(IF("03"=(INDEX(ALLCLASSDATA,MATCH("FortitudeSaveTrained",CLASSFEATUREHEADERS,0),MATCH($A504,CLASSNAMEHEADERS,0))),(INDEX(ALLCLASSDATA,MATCH("FortitudeSaveTrained",CLASSFEATUREHEADERS,0),MATCH(($A504 &amp; "Points"),CLASSNAMEHEADERS,0))),"")))))))))}</f>
        <v>FORTITUDEL03</v>
      </c>
      <c r="J503" s="230"/>
      <c r="K503" s="230" t="str">
        <f t="array" ref="K503:K504">{"FORTITUDEL05";((IF("05"=(INDEX(ALLCLASSDATA,MATCH("FortitudeSaveLegendary",CLASSFEATUREHEADERS,0),MATCH($A504,CLASSNAMEHEADERS,0))),(INDEX(ALLCLASSDATA,MATCH("FortitudeSaveLegendary",CLASSFEATUREHEADERS,0),MATCH(($A504 &amp; "Points"),CLASSNAMEHEADERS,0))),(IF("05"=(INDEX(ALLCLASSDATA,MATCH("FortitudeSaveMaster",CLASSFEATUREHEADERS,0),MATCH($A504,CLASSNAMEHEADERS,0))),(INDEX(ALLCLASSDATA,MATCH("FortitudeSaveMaster",CLASSFEATUREHEADERS,0),MATCH(($A504 &amp; "Points"),CLASSNAMEHEADERS,0))),(IF("05"=(INDEX(ALLCLASSDATA,MATCH("FortitudeSaveExpert",CLASSFEATUREHEADERS,0),MATCH($A504,CLASSNAMEHEADERS,0))),(INDEX(ALLCLASSDATA,MATCH("FortitudeSaveExpert",CLASSFEATUREHEADERS,0),MATCH(($A504 &amp; "Points"),CLASSNAMEHEADERS,0))),(IF("05"=(INDEX(ALLCLASSDATA,MATCH("FortitudeSaveTrained",CLASSFEATUREHEADERS,0),MATCH($A504,CLASSNAMEHEADERS,0))),(INDEX(ALLCLASSDATA,MATCH("FortitudeSaveTrained",CLASSFEATUREHEADERS,0),MATCH(($A504 &amp; "Points"),CLASSNAMEHEADERS,0))),"")))))))))}</f>
        <v>FORTITUDEL05</v>
      </c>
      <c r="L503" s="230"/>
      <c r="M503" s="230" t="str">
        <f t="array" ref="M503:M504">{"FORTITUDEL07";((IF("07"=(INDEX(ALLCLASSDATA,MATCH("FortitudeSaveLegendary",CLASSFEATUREHEADERS,0),MATCH($A504,CLASSNAMEHEADERS,0))),(INDEX(ALLCLASSDATA,MATCH("FortitudeSaveLegendary",CLASSFEATUREHEADERS,0),MATCH(($A504 &amp; "Points"),CLASSNAMEHEADERS,0))),(IF("07"=(INDEX(ALLCLASSDATA,MATCH("FortitudeSaveMaster",CLASSFEATUREHEADERS,0),MATCH($A504,CLASSNAMEHEADERS,0))),(INDEX(ALLCLASSDATA,MATCH("FortitudeSaveMaster",CLASSFEATUREHEADERS,0),MATCH(($A504 &amp; "Points"),CLASSNAMEHEADERS,0))),(IF("07"=(INDEX(ALLCLASSDATA,MATCH("FortitudeSaveExpert",CLASSFEATUREHEADERS,0),MATCH($A504,CLASSNAMEHEADERS,0))),(INDEX(ALLCLASSDATA,MATCH("FortitudeSaveExpert",CLASSFEATUREHEADERS,0),MATCH(($A504 &amp; "Points"),CLASSNAMEHEADERS,0))),(IF("07"=(INDEX(ALLCLASSDATA,MATCH("FortitudeSaveTrained",CLASSFEATUREHEADERS,0),MATCH($A504,CLASSNAMEHEADERS,0))),(INDEX(ALLCLASSDATA,MATCH("FortitudeSaveTrained",CLASSFEATUREHEADERS,0),MATCH(($A504 &amp; "Points"),CLASSNAMEHEADERS,0))),"")))))))))}</f>
        <v>FORTITUDEL07</v>
      </c>
      <c r="N503" s="230"/>
      <c r="O503" s="230" t="str">
        <f t="array" ref="O503:O504">{"FORTITUDEL09";((IF("09"=(INDEX(ALLCLASSDATA,MATCH("FortitudeSaveLegendary",CLASSFEATUREHEADERS,0),MATCH($A504,CLASSNAMEHEADERS,0))),(INDEX(ALLCLASSDATA,MATCH("FortitudeSaveLegendary",CLASSFEATUREHEADERS,0),MATCH(($A504 &amp; "Points"),CLASSNAMEHEADERS,0))),(IF("09"=(INDEX(ALLCLASSDATA,MATCH("FortitudeSaveMaster",CLASSFEATUREHEADERS,0),MATCH($A504,CLASSNAMEHEADERS,0))),(INDEX(ALLCLASSDATA,MATCH("FortitudeSaveMaster",CLASSFEATUREHEADERS,0),MATCH(($A504 &amp; "Points"),CLASSNAMEHEADERS,0))),(IF("09"=(INDEX(ALLCLASSDATA,MATCH("FortitudeSaveExpert",CLASSFEATUREHEADERS,0),MATCH($A504,CLASSNAMEHEADERS,0))),(INDEX(ALLCLASSDATA,MATCH("FortitudeSaveExpert",CLASSFEATUREHEADERS,0),MATCH(($A504 &amp; "Points"),CLASSNAMEHEADERS,0))),(IF("09"=(INDEX(ALLCLASSDATA,MATCH("FortitudeSaveTrained",CLASSFEATUREHEADERS,0),MATCH($A504,CLASSNAMEHEADERS,0))),(INDEX(ALLCLASSDATA,MATCH("FortitudeSaveTrained",CLASSFEATUREHEADERS,0),MATCH(($A504 &amp; "Points"),CLASSNAMEHEADERS,0))),"")))))))))}</f>
        <v>FORTITUDEL09</v>
      </c>
      <c r="P503" s="230"/>
      <c r="Q503" s="230" t="str">
        <f t="array" ref="Q503:Q504">{"FORTITUDEL11";((IF("11"=(INDEX(ALLCLASSDATA,MATCH("FortitudeSaveLegendary",CLASSFEATUREHEADERS,0),MATCH($A504,CLASSNAMEHEADERS,0))),(INDEX(ALLCLASSDATA,MATCH("FortitudeSaveLegendary",CLASSFEATUREHEADERS,0),MATCH(($A504 &amp; "Points"),CLASSNAMEHEADERS,0))),(IF("11"=(INDEX(ALLCLASSDATA,MATCH("FortitudeSaveMaster",CLASSFEATUREHEADERS,0),MATCH($A504,CLASSNAMEHEADERS,0))),(INDEX(ALLCLASSDATA,MATCH("FortitudeSaveMaster",CLASSFEATUREHEADERS,0),MATCH(($A504 &amp; "Points"),CLASSNAMEHEADERS,0))),(IF("11"=(INDEX(ALLCLASSDATA,MATCH("FortitudeSaveExpert",CLASSFEATUREHEADERS,0),MATCH($A504,CLASSNAMEHEADERS,0))),(INDEX(ALLCLASSDATA,MATCH("FortitudeSaveExpert",CLASSFEATUREHEADERS,0),MATCH(($A504 &amp; "Points"),CLASSNAMEHEADERS,0))),(IF("11"=(INDEX(ALLCLASSDATA,MATCH("FortitudeSaveTrained",CLASSFEATUREHEADERS,0),MATCH($A504,CLASSNAMEHEADERS,0))),(INDEX(ALLCLASSDATA,MATCH("FortitudeSaveTrained",CLASSFEATUREHEADERS,0),MATCH(($A504 &amp; "Points"),CLASSNAMEHEADERS,0))),"")))))))))}</f>
        <v>FORTITUDEL11</v>
      </c>
      <c r="R503" s="230"/>
      <c r="S503" s="230" t="str">
        <f t="array" ref="S503:S504">{"FORTITUDEL13";((IF("13"=(INDEX(ALLCLASSDATA,MATCH("FortitudeSaveLegendary",CLASSFEATUREHEADERS,0),MATCH($A504,CLASSNAMEHEADERS,0))),(INDEX(ALLCLASSDATA,MATCH("FortitudeSaveLegendary",CLASSFEATUREHEADERS,0),MATCH(($A504 &amp; "Points"),CLASSNAMEHEADERS,0))),(IF("13"=(INDEX(ALLCLASSDATA,MATCH("FortitudeSaveMaster",CLASSFEATUREHEADERS,0),MATCH($A504,CLASSNAMEHEADERS,0))),(INDEX(ALLCLASSDATA,MATCH("FortitudeSaveMaster",CLASSFEATUREHEADERS,0),MATCH(($A504 &amp; "Points"),CLASSNAMEHEADERS,0))),(IF("13"=(INDEX(ALLCLASSDATA,MATCH("FortitudeSaveExpert",CLASSFEATUREHEADERS,0),MATCH($A504,CLASSNAMEHEADERS,0))),(INDEX(ALLCLASSDATA,MATCH("FortitudeSaveExpert",CLASSFEATUREHEADERS,0),MATCH(($A504 &amp; "Points"),CLASSNAMEHEADERS,0))),(IF("13"=(INDEX(ALLCLASSDATA,MATCH("FortitudeSaveTrained",CLASSFEATUREHEADERS,0),MATCH($A504,CLASSNAMEHEADERS,0))),(INDEX(ALLCLASSDATA,MATCH("FortitudeSaveTrained",CLASSFEATUREHEADERS,0),MATCH(($A504 &amp; "Points"),CLASSNAMEHEADERS,0))),"")))))))))}</f>
        <v>FORTITUDEL13</v>
      </c>
      <c r="T503" s="230"/>
      <c r="U503" s="230" t="str">
        <f t="array" ref="U503:U504">{"FORTITUDEL15";((IF("15"=(INDEX(ALLCLASSDATA,MATCH("FortitudeSaveLegendary",CLASSFEATUREHEADERS,0),MATCH($A504,CLASSNAMEHEADERS,0))),(INDEX(ALLCLASSDATA,MATCH("FortitudeSaveLegendary",CLASSFEATUREHEADERS,0),MATCH(($A504 &amp; "Points"),CLASSNAMEHEADERS,0))),(IF("15"=(INDEX(ALLCLASSDATA,MATCH("FortitudeSaveMaster",CLASSFEATUREHEADERS,0),MATCH($A504,CLASSNAMEHEADERS,0))),(INDEX(ALLCLASSDATA,MATCH("FortitudeSaveMaster",CLASSFEATUREHEADERS,0),MATCH(($A504 &amp; "Points"),CLASSNAMEHEADERS,0))),(IF("15"=(INDEX(ALLCLASSDATA,MATCH("FortitudeSaveExpert",CLASSFEATUREHEADERS,0),MATCH($A504,CLASSNAMEHEADERS,0))),(INDEX(ALLCLASSDATA,MATCH("FortitudeSaveExpert",CLASSFEATUREHEADERS,0),MATCH(($A504 &amp; "Points"),CLASSNAMEHEADERS,0))),(IF("15"=(INDEX(ALLCLASSDATA,MATCH("FortitudeSaveTrained",CLASSFEATUREHEADERS,0),MATCH($A504,CLASSNAMEHEADERS,0))),(INDEX(ALLCLASSDATA,MATCH("FortitudeSaveTrained",CLASSFEATUREHEADERS,0),MATCH(($A504 &amp; "Points"),CLASSNAMEHEADERS,0))),"")))))))))}</f>
        <v>FORTITUDEL15</v>
      </c>
      <c r="V503" s="230"/>
      <c r="W503" s="230" t="str">
        <f t="array" ref="W503:W504">{"FORTITUDEL17";((IF("17"=(INDEX(ALLCLASSDATA,MATCH("FortitudeSaveLegendary",CLASSFEATUREHEADERS,0),MATCH($A504,CLASSNAMEHEADERS,0))),(INDEX(ALLCLASSDATA,MATCH("FortitudeSaveLegendary",CLASSFEATUREHEADERS,0),MATCH(($A504 &amp; "Points"),CLASSNAMEHEADERS,0))),(IF("17"=(INDEX(ALLCLASSDATA,MATCH("FortitudeSaveMaster",CLASSFEATUREHEADERS,0),MATCH($A504,CLASSNAMEHEADERS,0))),(INDEX(ALLCLASSDATA,MATCH("FortitudeSaveMaster",CLASSFEATUREHEADERS,0),MATCH(($A504 &amp; "Points"),CLASSNAMEHEADERS,0))),(IF("17"=(INDEX(ALLCLASSDATA,MATCH("FortitudeSaveExpert",CLASSFEATUREHEADERS,0),MATCH($A504,CLASSNAMEHEADERS,0))),(INDEX(ALLCLASSDATA,MATCH("FortitudeSaveExpert",CLASSFEATUREHEADERS,0),MATCH(($A504 &amp; "Points"),CLASSNAMEHEADERS,0))),(IF("17"=(INDEX(ALLCLASSDATA,MATCH("FortitudeSaveTrained",CLASSFEATUREHEADERS,0),MATCH($A504,CLASSNAMEHEADERS,0))),(INDEX(ALLCLASSDATA,MATCH("FortitudeSaveTrained",CLASSFEATUREHEADERS,0),MATCH(($A504 &amp; "Points"),CLASSNAMEHEADERS,0))),"")))))))))}</f>
        <v>FORTITUDEL17</v>
      </c>
      <c r="X503" s="230"/>
      <c r="Y503" s="230" t="str">
        <f t="array" ref="Y503:Y504">{"FORTITUDEL19";((IF("19"=(INDEX(ALLCLASSDATA,MATCH("FortitudeSaveLegendary",CLASSFEATUREHEADERS,0),MATCH($A504,CLASSNAMEHEADERS,0))),(INDEX(ALLCLASSDATA,MATCH("FortitudeSaveLegendary",CLASSFEATUREHEADERS,0),MATCH(($A504 &amp; "Points"),CLASSNAMEHEADERS,0))),(IF("19"=(INDEX(ALLCLASSDATA,MATCH("FortitudeSaveMaster",CLASSFEATUREHEADERS,0),MATCH($A504,CLASSNAMEHEADERS,0))),(INDEX(ALLCLASSDATA,MATCH("FortitudeSaveMaster",CLASSFEATUREHEADERS,0),MATCH(($A504 &amp; "Points"),CLASSNAMEHEADERS,0))),(IF("19"=(INDEX(ALLCLASSDATA,MATCH("FortitudeSaveExpert",CLASSFEATUREHEADERS,0),MATCH($A504,CLASSNAMEHEADERS,0))),(INDEX(ALLCLASSDATA,MATCH("FortitudeSaveExpert",CLASSFEATUREHEADERS,0),MATCH(($A504 &amp; "Points"),CLASSNAMEHEADERS,0))),(IF("19"=(INDEX(ALLCLASSDATA,MATCH("FortitudeSaveTrained",CLASSFEATUREHEADERS,0),MATCH($A504,CLASSNAMEHEADERS,0))),(INDEX(ALLCLASSDATA,MATCH("FortitudeSaveTrained",CLASSFEATUREHEADERS,0),MATCH(($A504 &amp; "Points"),CLASSNAMEHEADERS,0))),"")))))))))}</f>
        <v>FORTITUDEL19</v>
      </c>
      <c r="Z503" s="230"/>
      <c r="AA503" s="76" t="str">
        <f t="array" ref="AA503:AA504">{"FORTITUDE TOTAL";(IF(COUNTBLANK(F504:Z504)=17,"L",(IF(COUNTBLANK(F504:Z504)=18,"M",(IF(COUNTBLANK(F504:Z504)=19,"E",(IF(COUNTBLANK(F504:Z504)=20,"T",""))))))))}</f>
        <v>FORTITUDE TOTAL</v>
      </c>
      <c r="AB503" s="76" t="str">
        <f t="array" ref="AB503:AB504">{"FORTITUDE TOTAL";(sum(F504:Z504))}</f>
        <v>FORTITUDE TOTAL</v>
      </c>
    </row>
    <row r="504">
      <c r="A504" s="48" t="s">
        <v>195</v>
      </c>
      <c r="B504" s="48" t="s">
        <v>417</v>
      </c>
      <c r="C504" s="48" t="s">
        <v>1549</v>
      </c>
      <c r="D504" s="48" t="s">
        <v>1550</v>
      </c>
      <c r="E504" s="5" t="s">
        <v>436</v>
      </c>
      <c r="F504" s="47">
        <v>10.0</v>
      </c>
      <c r="G504" s="5">
        <v>50.0</v>
      </c>
      <c r="H504" s="5"/>
      <c r="I504" s="5" t="s">
        <v>603</v>
      </c>
      <c r="J504" s="5"/>
      <c r="K504" s="5" t="s">
        <v>603</v>
      </c>
      <c r="L504" s="5"/>
      <c r="M504" s="5" t="s">
        <v>603</v>
      </c>
      <c r="N504" s="5"/>
      <c r="O504" s="5" t="s">
        <v>603</v>
      </c>
      <c r="P504" s="5"/>
      <c r="Q504" s="5">
        <v>110.0</v>
      </c>
      <c r="R504" s="5"/>
      <c r="S504" s="5" t="s">
        <v>603</v>
      </c>
      <c r="T504" s="5"/>
      <c r="U504" s="5" t="s">
        <v>603</v>
      </c>
      <c r="V504" s="5"/>
      <c r="W504" s="5" t="s">
        <v>603</v>
      </c>
      <c r="X504" s="5"/>
      <c r="Y504" s="5" t="s">
        <v>603</v>
      </c>
      <c r="Z504" s="5"/>
      <c r="AA504" s="5" t="s">
        <v>437</v>
      </c>
      <c r="AB504" s="47">
        <v>170.0</v>
      </c>
    </row>
    <row r="505" hidden="1">
      <c r="A505" s="222" t="str">
        <f t="array" ref="A505:A506">{"FormulaRow24";(INDEX(CLASSLIST,A458,1))}</f>
        <v>FormulaRow24</v>
      </c>
      <c r="B505" s="222" t="str">
        <f t="array" ref="B505:B506">{"CLASSTYPE";((INDEX(ALLCLASSDATA,MATCH("ClassType",CLASSFEATUREHEADERS,0),MATCH($A506,CLASSNAMEHEADERS,0))))}</f>
        <v>CLASSTYPE</v>
      </c>
      <c r="C505" s="222" t="str">
        <f t="array" ref="C505:C506">{"SAVES";"Saves"}</f>
        <v>SAVES</v>
      </c>
      <c r="D505" s="222" t="str">
        <f t="array" ref="D505:D506">{"REFLEXSAVE";"ReflexSave"}</f>
        <v>REFLEXSAVE</v>
      </c>
      <c r="E505" s="223" t="str">
        <f t="array" ref="E505:E506">{"REFLEXINITIAL";((IF(G506=10,"T",(IF(G506=50,"E","")))))}</f>
        <v>REFLEXINITIAL</v>
      </c>
      <c r="F505" s="223" t="str">
        <f t="array" ref="F505:F506">{"REFLEXINITIALPTS";((IF("00"=(INDEX(ALLCLASSDATA,MATCH("ReflexSaveLegendary",CLASSFEATUREHEADERS,0),MATCH($A506,CLASSNAMEHEADERS,0))),(INDEX(ALLCLASSDATA,MATCH("ReflexSaveLegendary",CLASSFEATUREHEADERS,0),MATCH(($A506 &amp; "Points"),CLASSNAMEHEADERS,0))),(IF("00"=(INDEX(ALLCLASSDATA,MATCH("ReflexSaveMaster",CLASSFEATUREHEADERS,0),MATCH($A506,CLASSNAMEHEADERS,0))),(INDEX(ALLCLASSDATA,MATCH("ReflexSaveMaster",CLASSFEATUREHEADERS,0),MATCH(($A506 &amp; "Points"),CLASSNAMEHEADERS,0))),(IF("00"=(INDEX(ALLCLASSDATA,MATCH("ReflexSaveExpert",CLASSFEATUREHEADERS,0),MATCH($A506,CLASSNAMEHEADERS,0))),(INDEX(ALLCLASSDATA,MATCH("ReflexSaveExpert",CLASSFEATUREHEADERS,0),MATCH(($A506 &amp; "Points"),CLASSNAMEHEADERS,0))),(IF("00"=(INDEX(ALLCLASSDATA,MATCH("ReflexSaveTrained",CLASSFEATUREHEADERS,0),MATCH($A506,CLASSNAMEHEADERS,0))),(INDEX(ALLCLASSDATA,MATCH("ReflexSaveTrained",CLASSFEATUREHEADERS,0),MATCH(($A506 &amp; "Points"),CLASSNAMEHEADERS,0))),"")))))))))}</f>
        <v>REFLEXINITIALPTS</v>
      </c>
      <c r="G505" s="223" t="str">
        <f t="array" ref="G505:G506">{"REFLEXL01";((IF("01"=(INDEX(ALLCLASSDATA,MATCH("ReflexSaveLegendary",CLASSFEATUREHEADERS,0),MATCH($A506,CLASSNAMEHEADERS,0))),(INDEX(ALLCLASSDATA,MATCH("ReflexSaveLegendary",CLASSFEATUREHEADERS,0),MATCH(($A506 &amp; "Points"),CLASSNAMEHEADERS,0))),(IF("01"=(INDEX(ALLCLASSDATA,MATCH("ReflexSaveMaster",CLASSFEATUREHEADERS,0),MATCH($A506,CLASSNAMEHEADERS,0))),(INDEX(ALLCLASSDATA,MATCH("ReflexSaveMaster",CLASSFEATUREHEADERS,0),MATCH(($A506 &amp; "Points"),CLASSNAMEHEADERS,0))),(IF("01"=(INDEX(ALLCLASSDATA,MATCH("ReflexSaveExpert",CLASSFEATUREHEADERS,0),MATCH($A506,CLASSNAMEHEADERS,0))),(INDEX(ALLCLASSDATA,MATCH("ReflexSaveExpert",CLASSFEATUREHEADERS,0),MATCH(($A506 &amp; "Points"),CLASSNAMEHEADERS,0))),(IF("01"=(INDEX(ALLCLASSDATA,MATCH("ReflexSaveTrained",CLASSFEATUREHEADERS,0),MATCH($A506,CLASSNAMEHEADERS,0))),(INDEX(ALLCLASSDATA,MATCH("ReflexSaveTrained",CLASSFEATUREHEADERS,0),MATCH(($A506 &amp; "Points"),CLASSNAMEHEADERS,0))),"")))))))))}</f>
        <v>REFLEXL01</v>
      </c>
      <c r="H505" s="223"/>
      <c r="I505" s="223" t="str">
        <f t="array" ref="I505:I506">{"REFLEXL03";((IF("03"=(INDEX(ALLCLASSDATA,MATCH("ReflexSaveLegendary",CLASSFEATUREHEADERS,0),MATCH($A506,CLASSNAMEHEADERS,0))),(INDEX(ALLCLASSDATA,MATCH("ReflexSaveLegendary",CLASSFEATUREHEADERS,0),MATCH(($A506 &amp; "Points"),CLASSNAMEHEADERS,0))),(IF("03"=(INDEX(ALLCLASSDATA,MATCH("ReflexSaveMaster",CLASSFEATUREHEADERS,0),MATCH($A506,CLASSNAMEHEADERS,0))),(INDEX(ALLCLASSDATA,MATCH("ReflexSaveMaster",CLASSFEATUREHEADERS,0),MATCH(($A506 &amp; "Points"),CLASSNAMEHEADERS,0))),(IF("03"=(INDEX(ALLCLASSDATA,MATCH("ReflexSaveExpert",CLASSFEATUREHEADERS,0),MATCH($A506,CLASSNAMEHEADERS,0))),(INDEX(ALLCLASSDATA,MATCH("ReflexSaveExpert",CLASSFEATUREHEADERS,0),MATCH(($A506 &amp; "Points"),CLASSNAMEHEADERS,0))),(IF("03"=(INDEX(ALLCLASSDATA,MATCH("ReflexSaveTrained",CLASSFEATUREHEADERS,0),MATCH($A506,CLASSNAMEHEADERS,0))),(INDEX(ALLCLASSDATA,MATCH("ReflexSaveTrained",CLASSFEATUREHEADERS,0),MATCH(($A506 &amp; "Points"),CLASSNAMEHEADERS,0))),"")))))))))}</f>
        <v>REFLEXL03</v>
      </c>
      <c r="J505" s="223"/>
      <c r="K505" s="223" t="str">
        <f t="array" ref="K505:K506">{"REFLEXL05";((IF("05"=(INDEX(ALLCLASSDATA,MATCH("ReflexSaveLegendary",CLASSFEATUREHEADERS,0),MATCH($A506,CLASSNAMEHEADERS,0))),(INDEX(ALLCLASSDATA,MATCH("ReflexSaveLegendary",CLASSFEATUREHEADERS,0),MATCH(($A506 &amp; "Points"),CLASSNAMEHEADERS,0))),(IF("05"=(INDEX(ALLCLASSDATA,MATCH("ReflexSaveMaster",CLASSFEATUREHEADERS,0),MATCH($A506,CLASSNAMEHEADERS,0))),(INDEX(ALLCLASSDATA,MATCH("ReflexSaveMaster",CLASSFEATUREHEADERS,0),MATCH(($A506 &amp; "Points"),CLASSNAMEHEADERS,0))),(IF("05"=(INDEX(ALLCLASSDATA,MATCH("ReflexSaveExpert",CLASSFEATUREHEADERS,0),MATCH($A506,CLASSNAMEHEADERS,0))),(INDEX(ALLCLASSDATA,MATCH("ReflexSaveExpert",CLASSFEATUREHEADERS,0),MATCH(($A506 &amp; "Points"),CLASSNAMEHEADERS,0))),(IF("05"=(INDEX(ALLCLASSDATA,MATCH("ReflexSaveTrained",CLASSFEATUREHEADERS,0),MATCH($A506,CLASSNAMEHEADERS,0))),(INDEX(ALLCLASSDATA,MATCH("ReflexSaveTrained",CLASSFEATUREHEADERS,0),MATCH(($A506 &amp; "Points"),CLASSNAMEHEADERS,0))),"")))))))))}</f>
        <v>REFLEXL05</v>
      </c>
      <c r="L505" s="223"/>
      <c r="M505" s="223" t="str">
        <f t="array" ref="M505:M506">{"REFLEXL07";((IF("07"=(INDEX(ALLCLASSDATA,MATCH("ReflexSaveLegendary",CLASSFEATUREHEADERS,0),MATCH($A506,CLASSNAMEHEADERS,0))),(INDEX(ALLCLASSDATA,MATCH("ReflexSaveLegendary",CLASSFEATUREHEADERS,0),MATCH(($A506 &amp; "Points"),CLASSNAMEHEADERS,0))),(IF("07"=(INDEX(ALLCLASSDATA,MATCH("ReflexSaveMaster",CLASSFEATUREHEADERS,0),MATCH($A506,CLASSNAMEHEADERS,0))),(INDEX(ALLCLASSDATA,MATCH("ReflexSaveMaster",CLASSFEATUREHEADERS,0),MATCH(($A506 &amp; "Points"),CLASSNAMEHEADERS,0))),(IF("07"=(INDEX(ALLCLASSDATA,MATCH("ReflexSaveExpert",CLASSFEATUREHEADERS,0),MATCH($A506,CLASSNAMEHEADERS,0))),(INDEX(ALLCLASSDATA,MATCH("ReflexSaveExpert",CLASSFEATUREHEADERS,0),MATCH(($A506 &amp; "Points"),CLASSNAMEHEADERS,0))),(IF("07"=(INDEX(ALLCLASSDATA,MATCH("ReflexSaveTrained",CLASSFEATUREHEADERS,0),MATCH($A506,CLASSNAMEHEADERS,0))),(INDEX(ALLCLASSDATA,MATCH("ReflexSaveTrained",CLASSFEATUREHEADERS,0),MATCH(($A506 &amp; "Points"),CLASSNAMEHEADERS,0))),"")))))))))}</f>
        <v>REFLEXL07</v>
      </c>
      <c r="N505" s="223"/>
      <c r="O505" s="223" t="str">
        <f t="array" ref="O505:O506">{"REFLEXL09";((IF("09"=(INDEX(ALLCLASSDATA,MATCH("ReflexSaveLegendary",CLASSFEATUREHEADERS,0),MATCH($A506,CLASSNAMEHEADERS,0))),(INDEX(ALLCLASSDATA,MATCH("ReflexSaveLegendary",CLASSFEATUREHEADERS,0),MATCH(($A506 &amp; "Points"),CLASSNAMEHEADERS,0))),(IF("09"=(INDEX(ALLCLASSDATA,MATCH("ReflexSaveMaster",CLASSFEATUREHEADERS,0),MATCH($A506,CLASSNAMEHEADERS,0))),(INDEX(ALLCLASSDATA,MATCH("ReflexSaveMaster",CLASSFEATUREHEADERS,0),MATCH(($A506 &amp; "Points"),CLASSNAMEHEADERS,0))),(IF("09"=(INDEX(ALLCLASSDATA,MATCH("ReflexSaveExpert",CLASSFEATUREHEADERS,0),MATCH($A506,CLASSNAMEHEADERS,0))),(INDEX(ALLCLASSDATA,MATCH("ReflexSaveExpert",CLASSFEATUREHEADERS,0),MATCH(($A506 &amp; "Points"),CLASSNAMEHEADERS,0))),(IF("09"=(INDEX(ALLCLASSDATA,MATCH("ReflexSaveTrained",CLASSFEATUREHEADERS,0),MATCH($A506,CLASSNAMEHEADERS,0))),(INDEX(ALLCLASSDATA,MATCH("ReflexSaveTrained",CLASSFEATUREHEADERS,0),MATCH(($A506 &amp; "Points"),CLASSNAMEHEADERS,0))),"")))))))))}</f>
        <v>REFLEXL09</v>
      </c>
      <c r="P505" s="223"/>
      <c r="Q505" s="223" t="str">
        <f t="array" ref="Q505:Q506">{"REFLEXL11";((IF("11"=(INDEX(ALLCLASSDATA,MATCH("ReflexSaveLegendary",CLASSFEATUREHEADERS,0),MATCH($A506,CLASSNAMEHEADERS,0))),(INDEX(ALLCLASSDATA,MATCH("ReflexSaveLegendary",CLASSFEATUREHEADERS,0),MATCH(($A506 &amp; "Points"),CLASSNAMEHEADERS,0))),(IF("11"=(INDEX(ALLCLASSDATA,MATCH("ReflexSaveMaster",CLASSFEATUREHEADERS,0),MATCH($A506,CLASSNAMEHEADERS,0))),(INDEX(ALLCLASSDATA,MATCH("ReflexSaveMaster",CLASSFEATUREHEADERS,0),MATCH(($A506 &amp; "Points"),CLASSNAMEHEADERS,0))),(IF("11"=(INDEX(ALLCLASSDATA,MATCH("ReflexSaveExpert",CLASSFEATUREHEADERS,0),MATCH($A506,CLASSNAMEHEADERS,0))),(INDEX(ALLCLASSDATA,MATCH("ReflexSaveExpert",CLASSFEATUREHEADERS,0),MATCH(($A506 &amp; "Points"),CLASSNAMEHEADERS,0))),(IF("11"=(INDEX(ALLCLASSDATA,MATCH("ReflexSaveTrained",CLASSFEATUREHEADERS,0),MATCH($A506,CLASSNAMEHEADERS,0))),(INDEX(ALLCLASSDATA,MATCH("ReflexSaveTrained",CLASSFEATUREHEADERS,0),MATCH(($A506 &amp; "Points"),CLASSNAMEHEADERS,0))),"")))))))))}</f>
        <v>REFLEXL11</v>
      </c>
      <c r="R505" s="223"/>
      <c r="S505" s="223" t="str">
        <f t="array" ref="S505:S506">{"REFLEXL13";((IF("13"=(INDEX(ALLCLASSDATA,MATCH("ReflexSaveLegendary",CLASSFEATUREHEADERS,0),MATCH($A506,CLASSNAMEHEADERS,0))),(INDEX(ALLCLASSDATA,MATCH("ReflexSaveLegendary",CLASSFEATUREHEADERS,0),MATCH(($A506 &amp; "Points"),CLASSNAMEHEADERS,0))),(IF("13"=(INDEX(ALLCLASSDATA,MATCH("ReflexSaveMaster",CLASSFEATUREHEADERS,0),MATCH($A506,CLASSNAMEHEADERS,0))),(INDEX(ALLCLASSDATA,MATCH("ReflexSaveMaster",CLASSFEATUREHEADERS,0),MATCH(($A506 &amp; "Points"),CLASSNAMEHEADERS,0))),(IF("13"=(INDEX(ALLCLASSDATA,MATCH("ReflexSaveExpert",CLASSFEATUREHEADERS,0),MATCH($A506,CLASSNAMEHEADERS,0))),(INDEX(ALLCLASSDATA,MATCH("ReflexSaveExpert",CLASSFEATUREHEADERS,0),MATCH(($A506 &amp; "Points"),CLASSNAMEHEADERS,0))),(IF("13"=(INDEX(ALLCLASSDATA,MATCH("ReflexSaveTrained",CLASSFEATUREHEADERS,0),MATCH($A506,CLASSNAMEHEADERS,0))),(INDEX(ALLCLASSDATA,MATCH("ReflexSaveTrained",CLASSFEATUREHEADERS,0),MATCH(($A506 &amp; "Points"),CLASSNAMEHEADERS,0))),"")))))))))}</f>
        <v>REFLEXL13</v>
      </c>
      <c r="T505" s="223"/>
      <c r="U505" s="223" t="str">
        <f t="array" ref="U505:U506">{"REFLEXL15";((IF("15"=(INDEX(ALLCLASSDATA,MATCH("ReflexSaveLegendary",CLASSFEATUREHEADERS,0),MATCH($A506,CLASSNAMEHEADERS,0))),(INDEX(ALLCLASSDATA,MATCH("ReflexSaveLegendary",CLASSFEATUREHEADERS,0),MATCH(($A506 &amp; "Points"),CLASSNAMEHEADERS,0))),(IF("15"=(INDEX(ALLCLASSDATA,MATCH("ReflexSaveMaster",CLASSFEATUREHEADERS,0),MATCH($A506,CLASSNAMEHEADERS,0))),(INDEX(ALLCLASSDATA,MATCH("ReflexSaveMaster",CLASSFEATUREHEADERS,0),MATCH(($A506 &amp; "Points"),CLASSNAMEHEADERS,0))),(IF("15"=(INDEX(ALLCLASSDATA,MATCH("ReflexSaveExpert",CLASSFEATUREHEADERS,0),MATCH($A506,CLASSNAMEHEADERS,0))),(INDEX(ALLCLASSDATA,MATCH("ReflexSaveExpert",CLASSFEATUREHEADERS,0),MATCH(($A506 &amp; "Points"),CLASSNAMEHEADERS,0))),(IF("15"=(INDEX(ALLCLASSDATA,MATCH("ReflexSaveTrained",CLASSFEATUREHEADERS,0),MATCH($A506,CLASSNAMEHEADERS,0))),(INDEX(ALLCLASSDATA,MATCH("ReflexSaveTrained",CLASSFEATUREHEADERS,0),MATCH(($A506 &amp; "Points"),CLASSNAMEHEADERS,0))),"")))))))))}</f>
        <v>REFLEXL15</v>
      </c>
      <c r="V505" s="223"/>
      <c r="W505" s="223" t="str">
        <f t="array" ref="W505:W506">{"REFLEXL17";((IF("17"=(INDEX(ALLCLASSDATA,MATCH("ReflexSaveLegendary",CLASSFEATUREHEADERS,0),MATCH($A506,CLASSNAMEHEADERS,0))),(INDEX(ALLCLASSDATA,MATCH("ReflexSaveLegendary",CLASSFEATUREHEADERS,0),MATCH(($A506 &amp; "Points"),CLASSNAMEHEADERS,0))),(IF("17"=(INDEX(ALLCLASSDATA,MATCH("ReflexSaveMaster",CLASSFEATUREHEADERS,0),MATCH($A506,CLASSNAMEHEADERS,0))),(INDEX(ALLCLASSDATA,MATCH("ReflexSaveMaster",CLASSFEATUREHEADERS,0),MATCH(($A506 &amp; "Points"),CLASSNAMEHEADERS,0))),(IF("17"=(INDEX(ALLCLASSDATA,MATCH("ReflexSaveExpert",CLASSFEATUREHEADERS,0),MATCH($A506,CLASSNAMEHEADERS,0))),(INDEX(ALLCLASSDATA,MATCH("ReflexSaveExpert",CLASSFEATUREHEADERS,0),MATCH(($A506 &amp; "Points"),CLASSNAMEHEADERS,0))),(IF("17"=(INDEX(ALLCLASSDATA,MATCH("ReflexSaveTrained",CLASSFEATUREHEADERS,0),MATCH($A506,CLASSNAMEHEADERS,0))),(INDEX(ALLCLASSDATA,MATCH("ReflexSaveTrained",CLASSFEATUREHEADERS,0),MATCH(($A506 &amp; "Points"),CLASSNAMEHEADERS,0))),"")))))))))}</f>
        <v>REFLEXL17</v>
      </c>
      <c r="X505" s="223"/>
      <c r="Y505" s="223" t="str">
        <f t="array" ref="Y505:Y506">{"REFLEXL19";((IF("19"=(INDEX(ALLCLASSDATA,MATCH("ReflexSaveLegendary",CLASSFEATUREHEADERS,0),MATCH($A506,CLASSNAMEHEADERS,0))),(INDEX(ALLCLASSDATA,MATCH("ReflexSaveLegendary",CLASSFEATUREHEADERS,0),MATCH(($A506 &amp; "Points"),CLASSNAMEHEADERS,0))),(IF("19"=(INDEX(ALLCLASSDATA,MATCH("ReflexSaveMaster",CLASSFEATUREHEADERS,0),MATCH($A506,CLASSNAMEHEADERS,0))),(INDEX(ALLCLASSDATA,MATCH("ReflexSaveMaster",CLASSFEATUREHEADERS,0),MATCH(($A506 &amp; "Points"),CLASSNAMEHEADERS,0))),(IF("19"=(INDEX(ALLCLASSDATA,MATCH("ReflexSaveExpert",CLASSFEATUREHEADERS,0),MATCH($A506,CLASSNAMEHEADERS,0))),(INDEX(ALLCLASSDATA,MATCH("ReflexSaveExpert",CLASSFEATUREHEADERS,0),MATCH(($A506 &amp; "Points"),CLASSNAMEHEADERS,0))),(IF("19"=(INDEX(ALLCLASSDATA,MATCH("ReflexSaveTrained",CLASSFEATUREHEADERS,0),MATCH($A506,CLASSNAMEHEADERS,0))),(INDEX(ALLCLASSDATA,MATCH("ReflexSaveTrained",CLASSFEATUREHEADERS,0),MATCH(($A506 &amp; "Points"),CLASSNAMEHEADERS,0))),"")))))))))}</f>
        <v>REFLEXL19</v>
      </c>
      <c r="Z505" s="223"/>
      <c r="AA505" s="76" t="str">
        <f t="array" ref="AA505:AA506">{"REFLEX TOTAL";(IF(COUNTBLANK(F506:Z506)=17,"L",(IF(COUNTBLANK(F506:Z506)=18,"M",(IF(COUNTBLANK(F506:Z506)=19,"E",(IF(COUNTBLANK(F506:Z506)=20,"T",""))))))))}</f>
        <v>REFLEX TOTAL</v>
      </c>
      <c r="AB505" s="76" t="str">
        <f t="array" ref="AB505:AB506">{"REFLEX TOTAL";(sum(F506:Z506))}</f>
        <v>REFLEX TOTAL</v>
      </c>
    </row>
    <row r="506">
      <c r="A506" s="48" t="s">
        <v>195</v>
      </c>
      <c r="B506" s="48" t="s">
        <v>417</v>
      </c>
      <c r="C506" s="48" t="s">
        <v>1549</v>
      </c>
      <c r="D506" s="48" t="s">
        <v>1572</v>
      </c>
      <c r="E506" s="5" t="s">
        <v>435</v>
      </c>
      <c r="F506" s="47" t="s">
        <v>603</v>
      </c>
      <c r="G506" s="5">
        <v>10.0</v>
      </c>
      <c r="H506" s="5"/>
      <c r="I506" s="5" t="s">
        <v>603</v>
      </c>
      <c r="J506" s="5"/>
      <c r="K506" s="5" t="s">
        <v>603</v>
      </c>
      <c r="L506" s="5"/>
      <c r="M506" s="5" t="s">
        <v>603</v>
      </c>
      <c r="N506" s="5"/>
      <c r="O506" s="5">
        <v>50.0</v>
      </c>
      <c r="P506" s="5"/>
      <c r="Q506" s="5" t="s">
        <v>603</v>
      </c>
      <c r="R506" s="5"/>
      <c r="S506" s="5" t="s">
        <v>603</v>
      </c>
      <c r="T506" s="5"/>
      <c r="U506" s="5" t="s">
        <v>603</v>
      </c>
      <c r="V506" s="5"/>
      <c r="W506" s="5" t="s">
        <v>603</v>
      </c>
      <c r="X506" s="5"/>
      <c r="Y506" s="5" t="s">
        <v>603</v>
      </c>
      <c r="Z506" s="5"/>
      <c r="AA506" s="5" t="s">
        <v>436</v>
      </c>
      <c r="AB506" s="47">
        <v>60.0</v>
      </c>
    </row>
    <row r="507" hidden="1">
      <c r="A507" s="222" t="str">
        <f t="array" ref="A507:A508">{"FormulaRow25";(INDEX(CLASSLIST,A458,1))}</f>
        <v>FormulaRow25</v>
      </c>
      <c r="B507" s="222" t="str">
        <f t="array" ref="B507:B508">{"CLASSTYPE";((INDEX(ALLCLASSDATA,MATCH("ClassType",CLASSFEATUREHEADERS,0),MATCH($A508,CLASSNAMEHEADERS,0))))}</f>
        <v>CLASSTYPE</v>
      </c>
      <c r="C507" s="222" t="str">
        <f t="array" ref="C507:C508">{"SAVES";"Saves"}</f>
        <v>SAVES</v>
      </c>
      <c r="D507" s="222" t="str">
        <f t="array" ref="D507:D508">{"WILLSAVE";"WillSave"}</f>
        <v>WILLSAVE</v>
      </c>
      <c r="E507" s="223" t="str">
        <f t="array" ref="E507:E508">{"WILLINITIAL";((IF(G508=10,"T",(IF(G508=50,"E","")))))}</f>
        <v>WILLINITIAL</v>
      </c>
      <c r="F507" s="223" t="str">
        <f t="array" ref="F507:F508">{"WILLINITIALPTS";((IF("00"=(INDEX(ALLCLASSDATA,MATCH("WillSaveLegendary",CLASSFEATUREHEADERS,0),MATCH($A508,CLASSNAMEHEADERS,0))),(INDEX(ALLCLASSDATA,MATCH("WillSaveLegendary",CLASSFEATUREHEADERS,0),MATCH(($A508 &amp; "Points"),CLASSNAMEHEADERS,0))),(IF("00"=(INDEX(ALLCLASSDATA,MATCH("WillSaveMaster",CLASSFEATUREHEADERS,0),MATCH($A508,CLASSNAMEHEADERS,0))),(INDEX(ALLCLASSDATA,MATCH("WillSaveMaster",CLASSFEATUREHEADERS,0),MATCH(($A508 &amp; "Points"),CLASSNAMEHEADERS,0))),(IF("00"=(INDEX(ALLCLASSDATA,MATCH("WillSaveExpert",CLASSFEATUREHEADERS,0),MATCH($A508,CLASSNAMEHEADERS,0))),(INDEX(ALLCLASSDATA,MATCH("WillSaveExpert",CLASSFEATUREHEADERS,0),MATCH(($A508 &amp; "Points"),CLASSNAMEHEADERS,0))),(IF("00"=(INDEX(ALLCLASSDATA,MATCH("WillSaveTrained",CLASSFEATUREHEADERS,0),MATCH($A508,CLASSNAMEHEADERS,0))),(INDEX(ALLCLASSDATA,MATCH("WillSaveTrained",CLASSFEATUREHEADERS,0),MATCH(($A508 &amp; "Points"),CLASSNAMEHEADERS,0))),"")))))))))}</f>
        <v>WILLINITIALPTS</v>
      </c>
      <c r="G507" s="223" t="str">
        <f t="array" ref="G507:G508">{"WILLL01";((IF("01"=(INDEX(ALLCLASSDATA,MATCH("WillSaveLegendary",CLASSFEATUREHEADERS,0),MATCH($A508,CLASSNAMEHEADERS,0))),(INDEX(ALLCLASSDATA,MATCH("WillSaveLegendary",CLASSFEATUREHEADERS,0),MATCH(($A508 &amp; "Points"),CLASSNAMEHEADERS,0))),(IF("01"=(INDEX(ALLCLASSDATA,MATCH("WillSaveMaster",CLASSFEATUREHEADERS,0),MATCH($A508,CLASSNAMEHEADERS,0))),(INDEX(ALLCLASSDATA,MATCH("WillSaveMaster",CLASSFEATUREHEADERS,0),MATCH(($A508 &amp; "Points"),CLASSNAMEHEADERS,0))),(IF("01"=(INDEX(ALLCLASSDATA,MATCH("WillSaveExpert",CLASSFEATUREHEADERS,0),MATCH($A508,CLASSNAMEHEADERS,0))),(INDEX(ALLCLASSDATA,MATCH("WillSaveExpert",CLASSFEATUREHEADERS,0),MATCH(($A508 &amp; "Points"),CLASSNAMEHEADERS,0))),(IF("01"=(INDEX(ALLCLASSDATA,MATCH("WillSaveTrained",CLASSFEATUREHEADERS,0),MATCH($A508,CLASSNAMEHEADERS,0))),(INDEX(ALLCLASSDATA,MATCH("WillSaveTrained",CLASSFEATUREHEADERS,0),MATCH(($A508 &amp; "Points"),CLASSNAMEHEADERS,0))),"")))))))))}</f>
        <v>WILLL01</v>
      </c>
      <c r="H507" s="223"/>
      <c r="I507" s="223" t="str">
        <f t="array" ref="I507:I508">{"WILLL03";((IF("03"=(INDEX(ALLCLASSDATA,MATCH("WillSaveLegendary",CLASSFEATUREHEADERS,0),MATCH($A508,CLASSNAMEHEADERS,0))),(INDEX(ALLCLASSDATA,MATCH("WillSaveLegendary",CLASSFEATUREHEADERS,0),MATCH(($A508 &amp; "Points"),CLASSNAMEHEADERS,0))),(IF("03"=(INDEX(ALLCLASSDATA,MATCH("WillSaveMaster",CLASSFEATUREHEADERS,0),MATCH($A508,CLASSNAMEHEADERS,0))),(INDEX(ALLCLASSDATA,MATCH("WillSaveMaster",CLASSFEATUREHEADERS,0),MATCH(($A508 &amp; "Points"),CLASSNAMEHEADERS,0))),(IF("03"=(INDEX(ALLCLASSDATA,MATCH("WillSaveExpert",CLASSFEATUREHEADERS,0),MATCH($A508,CLASSNAMEHEADERS,0))),(INDEX(ALLCLASSDATA,MATCH("WillSaveExpert",CLASSFEATUREHEADERS,0),MATCH(($A508 &amp; "Points"),CLASSNAMEHEADERS,0))),(IF("03"=(INDEX(ALLCLASSDATA,MATCH("WillSaveTrained",CLASSFEATUREHEADERS,0),MATCH($A508,CLASSNAMEHEADERS,0))),(INDEX(ALLCLASSDATA,MATCH("WillSaveTrained",CLASSFEATUREHEADERS,0),MATCH(($A508 &amp; "Points"),CLASSNAMEHEADERS,0))),"")))))))))}</f>
        <v>WILLL03</v>
      </c>
      <c r="J507" s="223"/>
      <c r="K507" s="223" t="str">
        <f t="array" ref="K507:K508">{"WILLL05";((IF("05"=(INDEX(ALLCLASSDATA,MATCH("WillSaveLegendary",CLASSFEATUREHEADERS,0),MATCH($A508,CLASSNAMEHEADERS,0))),(INDEX(ALLCLASSDATA,MATCH("WillSaveLegendary",CLASSFEATUREHEADERS,0),MATCH(($A508 &amp; "Points"),CLASSNAMEHEADERS,0))),(IF("05"=(INDEX(ALLCLASSDATA,MATCH("WillSaveMaster",CLASSFEATUREHEADERS,0),MATCH($A508,CLASSNAMEHEADERS,0))),(INDEX(ALLCLASSDATA,MATCH("WillSaveMaster",CLASSFEATUREHEADERS,0),MATCH(($A508 &amp; "Points"),CLASSNAMEHEADERS,0))),(IF("05"=(INDEX(ALLCLASSDATA,MATCH("WillSaveExpert",CLASSFEATUREHEADERS,0),MATCH($A508,CLASSNAMEHEADERS,0))),(INDEX(ALLCLASSDATA,MATCH("WillSaveExpert",CLASSFEATUREHEADERS,0),MATCH(($A508 &amp; "Points"),CLASSNAMEHEADERS,0))),(IF("05"=(INDEX(ALLCLASSDATA,MATCH("WillSaveTrained",CLASSFEATUREHEADERS,0),MATCH($A508,CLASSNAMEHEADERS,0))),(INDEX(ALLCLASSDATA,MATCH("WillSaveTrained",CLASSFEATUREHEADERS,0),MATCH(($A508 &amp; "Points"),CLASSNAMEHEADERS,0))),"")))))))))}</f>
        <v>WILLL05</v>
      </c>
      <c r="L507" s="223"/>
      <c r="M507" s="223" t="str">
        <f t="array" ref="M507:M508">{"WILLL07";((IF("07"=(INDEX(ALLCLASSDATA,MATCH("WillSaveLegendary",CLASSFEATUREHEADERS,0),MATCH($A508,CLASSNAMEHEADERS,0))),(INDEX(ALLCLASSDATA,MATCH("WillSaveLegendary",CLASSFEATUREHEADERS,0),MATCH(($A508 &amp; "Points"),CLASSNAMEHEADERS,0))),(IF("07"=(INDEX(ALLCLASSDATA,MATCH("WillSaveMaster",CLASSFEATUREHEADERS,0),MATCH($A508,CLASSNAMEHEADERS,0))),(INDEX(ALLCLASSDATA,MATCH("WillSaveMaster",CLASSFEATUREHEADERS,0),MATCH(($A508 &amp; "Points"),CLASSNAMEHEADERS,0))),(IF("07"=(INDEX(ALLCLASSDATA,MATCH("WillSaveExpert",CLASSFEATUREHEADERS,0),MATCH($A508,CLASSNAMEHEADERS,0))),(INDEX(ALLCLASSDATA,MATCH("WillSaveExpert",CLASSFEATUREHEADERS,0),MATCH(($A508 &amp; "Points"),CLASSNAMEHEADERS,0))),(IF("07"=(INDEX(ALLCLASSDATA,MATCH("WillSaveTrained",CLASSFEATUREHEADERS,0),MATCH($A508,CLASSNAMEHEADERS,0))),(INDEX(ALLCLASSDATA,MATCH("WillSaveTrained",CLASSFEATUREHEADERS,0),MATCH(($A508 &amp; "Points"),CLASSNAMEHEADERS,0))),"")))))))))}</f>
        <v>WILLL07</v>
      </c>
      <c r="N507" s="223"/>
      <c r="O507" s="223" t="str">
        <f t="array" ref="O507:O508">{"WILLL09";((IF("09"=(INDEX(ALLCLASSDATA,MATCH("WillSaveLegendary",CLASSFEATUREHEADERS,0),MATCH($A508,CLASSNAMEHEADERS,0))),(INDEX(ALLCLASSDATA,MATCH("WillSaveLegendary",CLASSFEATUREHEADERS,0),MATCH(($A508 &amp; "Points"),CLASSNAMEHEADERS,0))),(IF("09"=(INDEX(ALLCLASSDATA,MATCH("WillSaveMaster",CLASSFEATUREHEADERS,0),MATCH($A508,CLASSNAMEHEADERS,0))),(INDEX(ALLCLASSDATA,MATCH("WillSaveMaster",CLASSFEATUREHEADERS,0),MATCH(($A508 &amp; "Points"),CLASSNAMEHEADERS,0))),(IF("09"=(INDEX(ALLCLASSDATA,MATCH("WillSaveExpert",CLASSFEATUREHEADERS,0),MATCH($A508,CLASSNAMEHEADERS,0))),(INDEX(ALLCLASSDATA,MATCH("WillSaveExpert",CLASSFEATUREHEADERS,0),MATCH(($A508 &amp; "Points"),CLASSNAMEHEADERS,0))),(IF("09"=(INDEX(ALLCLASSDATA,MATCH("WillSaveTrained",CLASSFEATUREHEADERS,0),MATCH($A508,CLASSNAMEHEADERS,0))),(INDEX(ALLCLASSDATA,MATCH("WillSaveTrained",CLASSFEATUREHEADERS,0),MATCH(($A508 &amp; "Points"),CLASSNAMEHEADERS,0))),"")))))))))}</f>
        <v>WILLL09</v>
      </c>
      <c r="P507" s="223"/>
      <c r="Q507" s="223" t="str">
        <f t="array" ref="Q507:Q508">{"WILLL11";((IF("11"=(INDEX(ALLCLASSDATA,MATCH("WillSaveLegendary",CLASSFEATUREHEADERS,0),MATCH($A508,CLASSNAMEHEADERS,0))),(INDEX(ALLCLASSDATA,MATCH("WillSaveLegendary",CLASSFEATUREHEADERS,0),MATCH(($A508 &amp; "Points"),CLASSNAMEHEADERS,0))),(IF("11"=(INDEX(ALLCLASSDATA,MATCH("WillSaveMaster",CLASSFEATUREHEADERS,0),MATCH($A508,CLASSNAMEHEADERS,0))),(INDEX(ALLCLASSDATA,MATCH("WillSaveMaster",CLASSFEATUREHEADERS,0),MATCH(($A508 &amp; "Points"),CLASSNAMEHEADERS,0))),(IF("11"=(INDEX(ALLCLASSDATA,MATCH("WillSaveExpert",CLASSFEATUREHEADERS,0),MATCH($A508,CLASSNAMEHEADERS,0))),(INDEX(ALLCLASSDATA,MATCH("WillSaveExpert",CLASSFEATUREHEADERS,0),MATCH(($A508 &amp; "Points"),CLASSNAMEHEADERS,0))),(IF("11"=(INDEX(ALLCLASSDATA,MATCH("WillSaveTrained",CLASSFEATUREHEADERS,0),MATCH($A508,CLASSNAMEHEADERS,0))),(INDEX(ALLCLASSDATA,MATCH("WillSaveTrained",CLASSFEATUREHEADERS,0),MATCH(($A508 &amp; "Points"),CLASSNAMEHEADERS,0))),"")))))))))}</f>
        <v>WILLL11</v>
      </c>
      <c r="R507" s="223"/>
      <c r="S507" s="223" t="str">
        <f t="array" ref="S507:S508">{"WILLL13";((IF("13"=(INDEX(ALLCLASSDATA,MATCH("WillSaveLegendary",CLASSFEATUREHEADERS,0),MATCH($A508,CLASSNAMEHEADERS,0))),(INDEX(ALLCLASSDATA,MATCH("WillSaveLegendary",CLASSFEATUREHEADERS,0),MATCH(($A508 &amp; "Points"),CLASSNAMEHEADERS,0))),(IF("13"=(INDEX(ALLCLASSDATA,MATCH("WillSaveMaster",CLASSFEATUREHEADERS,0),MATCH($A508,CLASSNAMEHEADERS,0))),(INDEX(ALLCLASSDATA,MATCH("WillSaveMaster",CLASSFEATUREHEADERS,0),MATCH(($A508 &amp; "Points"),CLASSNAMEHEADERS,0))),(IF("13"=(INDEX(ALLCLASSDATA,MATCH("WillSaveExpert",CLASSFEATUREHEADERS,0),MATCH($A508,CLASSNAMEHEADERS,0))),(INDEX(ALLCLASSDATA,MATCH("WillSaveExpert",CLASSFEATUREHEADERS,0),MATCH(($A508 &amp; "Points"),CLASSNAMEHEADERS,0))),(IF("13"=(INDEX(ALLCLASSDATA,MATCH("WillSaveTrained",CLASSFEATUREHEADERS,0),MATCH($A508,CLASSNAMEHEADERS,0))),(INDEX(ALLCLASSDATA,MATCH("WillSaveTrained",CLASSFEATUREHEADERS,0),MATCH(($A508 &amp; "Points"),CLASSNAMEHEADERS,0))),"")))))))))}</f>
        <v>WILLL13</v>
      </c>
      <c r="T507" s="223"/>
      <c r="U507" s="223" t="str">
        <f t="array" ref="U507:U508">{"WILLL15";((IF("15"=(INDEX(ALLCLASSDATA,MATCH("WillSaveLegendary",CLASSFEATUREHEADERS,0),MATCH($A508,CLASSNAMEHEADERS,0))),(INDEX(ALLCLASSDATA,MATCH("WillSaveLegendary",CLASSFEATUREHEADERS,0),MATCH(($A508 &amp; "Points"),CLASSNAMEHEADERS,0))),(IF("15"=(INDEX(ALLCLASSDATA,MATCH("WillSaveMaster",CLASSFEATUREHEADERS,0),MATCH($A508,CLASSNAMEHEADERS,0))),(INDEX(ALLCLASSDATA,MATCH("WillSaveMaster",CLASSFEATUREHEADERS,0),MATCH(($A508 &amp; "Points"),CLASSNAMEHEADERS,0))),(IF("15"=(INDEX(ALLCLASSDATA,MATCH("WillSaveExpert",CLASSFEATUREHEADERS,0),MATCH($A508,CLASSNAMEHEADERS,0))),(INDEX(ALLCLASSDATA,MATCH("WillSaveExpert",CLASSFEATUREHEADERS,0),MATCH(($A508 &amp; "Points"),CLASSNAMEHEADERS,0))),(IF("15"=(INDEX(ALLCLASSDATA,MATCH("WillSaveTrained",CLASSFEATUREHEADERS,0),MATCH($A508,CLASSNAMEHEADERS,0))),(INDEX(ALLCLASSDATA,MATCH("WillSaveTrained",CLASSFEATUREHEADERS,0),MATCH(($A508 &amp; "Points"),CLASSNAMEHEADERS,0))),"")))))))))}</f>
        <v>WILLL15</v>
      </c>
      <c r="V507" s="223"/>
      <c r="W507" s="223" t="str">
        <f t="array" ref="W507:W508">{"WILLL17";((IF("17"=(INDEX(ALLCLASSDATA,MATCH("WillSaveLegendary",CLASSFEATUREHEADERS,0),MATCH($A508,CLASSNAMEHEADERS,0))),(INDEX(ALLCLASSDATA,MATCH("WillSaveLegendary",CLASSFEATUREHEADERS,0),MATCH(($A508 &amp; "Points"),CLASSNAMEHEADERS,0))),(IF("17"=(INDEX(ALLCLASSDATA,MATCH("WillSaveMaster",CLASSFEATUREHEADERS,0),MATCH($A508,CLASSNAMEHEADERS,0))),(INDEX(ALLCLASSDATA,MATCH("WillSaveMaster",CLASSFEATUREHEADERS,0),MATCH(($A508 &amp; "Points"),CLASSNAMEHEADERS,0))),(IF("17"=(INDEX(ALLCLASSDATA,MATCH("WillSaveExpert",CLASSFEATUREHEADERS,0),MATCH($A508,CLASSNAMEHEADERS,0))),(INDEX(ALLCLASSDATA,MATCH("WillSaveExpert",CLASSFEATUREHEADERS,0),MATCH(($A508 &amp; "Points"),CLASSNAMEHEADERS,0))),(IF("17"=(INDEX(ALLCLASSDATA,MATCH("WillSaveTrained",CLASSFEATUREHEADERS,0),MATCH($A508,CLASSNAMEHEADERS,0))),(INDEX(ALLCLASSDATA,MATCH("WillSaveTrained",CLASSFEATUREHEADERS,0),MATCH(($A508 &amp; "Points"),CLASSNAMEHEADERS,0))),"")))))))))}</f>
        <v>WILLL17</v>
      </c>
      <c r="X507" s="223"/>
      <c r="Y507" s="223" t="str">
        <f t="array" ref="Y507:Y508">{"WILLL19";((IF("19"=(INDEX(ALLCLASSDATA,MATCH("WillSaveLegendary",CLASSFEATUREHEADERS,0),MATCH($A508,CLASSNAMEHEADERS,0))),(INDEX(ALLCLASSDATA,MATCH("WillSaveLegendary",CLASSFEATUREHEADERS,0),MATCH(($A508 &amp; "Points"),CLASSNAMEHEADERS,0))),(IF("19"=(INDEX(ALLCLASSDATA,MATCH("WillSaveMaster",CLASSFEATUREHEADERS,0),MATCH($A508,CLASSNAMEHEADERS,0))),(INDEX(ALLCLASSDATA,MATCH("WillSaveMaster",CLASSFEATUREHEADERS,0),MATCH(($A508 &amp; "Points"),CLASSNAMEHEADERS,0))),(IF("19"=(INDEX(ALLCLASSDATA,MATCH("WillSaveExpert",CLASSFEATUREHEADERS,0),MATCH($A508,CLASSNAMEHEADERS,0))),(INDEX(ALLCLASSDATA,MATCH("WillSaveExpert",CLASSFEATUREHEADERS,0),MATCH(($A508 &amp; "Points"),CLASSNAMEHEADERS,0))),(IF("19"=(INDEX(ALLCLASSDATA,MATCH("WillSaveTrained",CLASSFEATUREHEADERS,0),MATCH($A508,CLASSNAMEHEADERS,0))),(INDEX(ALLCLASSDATA,MATCH("WillSaveTrained",CLASSFEATUREHEADERS,0),MATCH(($A508 &amp; "Points"),CLASSNAMEHEADERS,0))),"")))))))))}</f>
        <v>WILLL19</v>
      </c>
      <c r="Z507" s="223"/>
      <c r="AA507" s="76" t="str">
        <f t="array" ref="AA507:AA508">{"WILL TOTAL";(IF(COUNTBLANK(F508:Z508)=17,"L",(IF(COUNTBLANK(F508:Z508)=18,"M",(IF(COUNTBLANK(F508:Z508)=19,"E",(IF(COUNTBLANK(F508:Z508)=20,"T",""))))))))}</f>
        <v>WILL TOTAL</v>
      </c>
      <c r="AB507" s="76" t="str">
        <f t="array" ref="AB507:AB508">{"WILL TOTAL";(sum(F508:Z508))}</f>
        <v>WILL TOTAL</v>
      </c>
    </row>
    <row r="508">
      <c r="A508" s="48" t="s">
        <v>195</v>
      </c>
      <c r="B508" s="48" t="s">
        <v>417</v>
      </c>
      <c r="C508" s="97" t="s">
        <v>1549</v>
      </c>
      <c r="D508" s="97" t="s">
        <v>1591</v>
      </c>
      <c r="E508" s="98" t="s">
        <v>436</v>
      </c>
      <c r="F508" s="132">
        <v>10.0</v>
      </c>
      <c r="G508" s="98">
        <v>50.0</v>
      </c>
      <c r="H508" s="98"/>
      <c r="I508" s="98" t="s">
        <v>603</v>
      </c>
      <c r="J508" s="98"/>
      <c r="K508" s="98" t="s">
        <v>603</v>
      </c>
      <c r="L508" s="97"/>
      <c r="M508" s="98" t="s">
        <v>603</v>
      </c>
      <c r="N508" s="98"/>
      <c r="O508" s="98" t="s">
        <v>603</v>
      </c>
      <c r="P508" s="97"/>
      <c r="Q508" s="98" t="s">
        <v>603</v>
      </c>
      <c r="R508" s="98"/>
      <c r="S508" s="98" t="s">
        <v>603</v>
      </c>
      <c r="T508" s="98"/>
      <c r="U508" s="98">
        <v>110.0</v>
      </c>
      <c r="V508" s="98"/>
      <c r="W508" s="98" t="s">
        <v>603</v>
      </c>
      <c r="X508" s="98"/>
      <c r="Y508" s="98" t="s">
        <v>603</v>
      </c>
      <c r="Z508" s="98"/>
      <c r="AA508" s="5" t="s">
        <v>437</v>
      </c>
      <c r="AB508" s="47">
        <v>170.0</v>
      </c>
    </row>
    <row r="509" hidden="1">
      <c r="A509" s="222" t="str">
        <f t="array" ref="A509:A510">{"FormulaRow26";(INDEX(CLASSLIST,A458,1))}</f>
        <v>FormulaRow26</v>
      </c>
      <c r="B509" s="222" t="str">
        <f t="array" ref="B509:B510">{"CLASSTYPE";((INDEX(ALLCLASSDATA,MATCH("ClassType",CLASSFEATUREHEADERS,0),MATCH($A510,CLASSNAMEHEADERS,0))))}</f>
        <v>CLASSTYPE</v>
      </c>
      <c r="C509" s="228" t="str">
        <f t="array" ref="C509:C510">{"ATTACK";"Attack"}</f>
        <v>ATTACK</v>
      </c>
      <c r="D509" s="228" t="str">
        <f t="array" ref="D509:D510">{"WEAPONSPECIAL";"WeaponCS/WS/GWS"}</f>
        <v>WEAPONSPECIAL</v>
      </c>
      <c r="E509" s="230"/>
      <c r="F509" s="230"/>
      <c r="G509" s="230" t="str">
        <f t="array" ref="G509:G510">{"WEAPONSPECIALL01";((IF("01"=INDEX(ALLCLASSDATA,MATCH("WeaponGreaterSpecialization",CLASSFEATUREHEADERS,0),MATCH($A510,CLASSNAMEHEADERS,0)),WeaponGWS,(IF("01"=INDEX(ALLCLASSDATA,MATCH("WeaponSpecialization",CLASSFEATUREHEADERS,0),MATCH($A510,CLASSNAMEHEADERS,0)),WeaponWS,(IF("01"=INDEX(ALLCLASSDATA,MATCH("WeaponCriticalSpecialization",CLASSFEATUREHEADERS,0),MATCH($A510,CLASSNAMEHEADERS,0)),WeaponCS,"")))))))}</f>
        <v>WEAPONSPECIALL01</v>
      </c>
      <c r="H509" s="230"/>
      <c r="I509" s="230" t="str">
        <f t="array" ref="I509:I510">{"WEAPONSPECIALL03";((IF("03"=INDEX(ALLCLASSDATA,MATCH("WeaponGreaterSpecialization",CLASSFEATUREHEADERS,0),MATCH($A510,CLASSNAMEHEADERS,0)),WeaponGWS,(IF("03"=INDEX(ALLCLASSDATA,MATCH("WeaponSpecialization",CLASSFEATUREHEADERS,0),MATCH($A510,CLASSNAMEHEADERS,0)),WeaponWS,(IF("03"=INDEX(ALLCLASSDATA,MATCH("WeaponCriticalSpecialization",CLASSFEATUREHEADERS,0),MATCH($A510,CLASSNAMEHEADERS,0)),WeaponCS,"")))))))}</f>
        <v>WEAPONSPECIALL03</v>
      </c>
      <c r="J509" s="230"/>
      <c r="K509" s="230" t="str">
        <f t="array" ref="K509:K510">{"WEAPONSPECIALL05";((IF("05"=INDEX(ALLCLASSDATA,MATCH("WeaponGreaterSpecialization",CLASSFEATUREHEADERS,0),MATCH($A510,CLASSNAMEHEADERS,0)),WeaponGWS,(IF("05"=INDEX(ALLCLASSDATA,MATCH("WeaponSpecialization",CLASSFEATUREHEADERS,0),MATCH($A510,CLASSNAMEHEADERS,0)),WeaponWS,(IF("05"=INDEX(ALLCLASSDATA,MATCH("WeaponCriticalSpecialization",CLASSFEATUREHEADERS,0),MATCH($A510,CLASSNAMEHEADERS,0)),WeaponCS,"")))))))}</f>
        <v>WEAPONSPECIALL05</v>
      </c>
      <c r="L509" s="230"/>
      <c r="M509" s="230" t="str">
        <f t="array" ref="M509:M510">{"WEAPONSPECIALL07";((IF("07"=INDEX(ALLCLASSDATA,MATCH("WeaponGreaterSpecialization",CLASSFEATUREHEADERS,0),MATCH($A510,CLASSNAMEHEADERS,0)),WeaponGWS,(IF("07"=INDEX(ALLCLASSDATA,MATCH("WeaponSpecialization",CLASSFEATUREHEADERS,0),MATCH($A510,CLASSNAMEHEADERS,0)),WeaponWS,(IF("07"=INDEX(ALLCLASSDATA,MATCH("WeaponCriticalSpecialization",CLASSFEATUREHEADERS,0),MATCH($A510,CLASSNAMEHEADERS,0)),WeaponCS,"")))))))}</f>
        <v>WEAPONSPECIALL07</v>
      </c>
      <c r="N509" s="230"/>
      <c r="O509" s="230" t="str">
        <f t="array" ref="O509:O510">{"WEAPONSPECIALL09";((IF("09"=INDEX(ALLCLASSDATA,MATCH("WeaponGreaterSpecialization",CLASSFEATUREHEADERS,0),MATCH($A510,CLASSNAMEHEADERS,0)),WeaponGWS,(IF("09"=INDEX(ALLCLASSDATA,MATCH("WeaponSpecialization",CLASSFEATUREHEADERS,0),MATCH($A510,CLASSNAMEHEADERS,0)),WeaponWS,(IF("09"=INDEX(ALLCLASSDATA,MATCH("WeaponCriticalSpecialization",CLASSFEATUREHEADERS,0),MATCH($A510,CLASSNAMEHEADERS,0)),WeaponCS,"")))))))}</f>
        <v>WEAPONSPECIALL09</v>
      </c>
      <c r="P509" s="230"/>
      <c r="Q509" s="230" t="str">
        <f t="array" ref="Q509:Q510">{"WEAPONSPECIALL11";((IF("11"=INDEX(ALLCLASSDATA,MATCH("WeaponGreaterSpecialization",CLASSFEATUREHEADERS,0),MATCH($A510,CLASSNAMEHEADERS,0)),WeaponGWS,(IF("11"=INDEX(ALLCLASSDATA,MATCH("WeaponSpecialization",CLASSFEATUREHEADERS,0),MATCH($A510,CLASSNAMEHEADERS,0)),WeaponWS,(IF("11"=INDEX(ALLCLASSDATA,MATCH("WeaponCriticalSpecialization",CLASSFEATUREHEADERS,0),MATCH($A510,CLASSNAMEHEADERS,0)),WeaponCS,"")))))))}</f>
        <v>WEAPONSPECIALL11</v>
      </c>
      <c r="R509" s="230"/>
      <c r="S509" s="230" t="str">
        <f t="array" ref="S509:S510">{"WEAPONSPECIALL13";((IF("13"=INDEX(ALLCLASSDATA,MATCH("WeaponGreaterSpecialization",CLASSFEATUREHEADERS,0),MATCH($A510,CLASSNAMEHEADERS,0)),WeaponGWS,(IF("13"=INDEX(ALLCLASSDATA,MATCH("WeaponSpecialization",CLASSFEATUREHEADERS,0),MATCH($A510,CLASSNAMEHEADERS,0)),WeaponWS,(IF("13"=INDEX(ALLCLASSDATA,MATCH("WeaponCriticalSpecialization",CLASSFEATUREHEADERS,0),MATCH($A510,CLASSNAMEHEADERS,0)),WeaponCS,"")))))))}</f>
        <v>WEAPONSPECIALL13</v>
      </c>
      <c r="T509" s="230"/>
      <c r="U509" s="230" t="str">
        <f t="array" ref="U509:U510">{"WEAPONSPECIALL15";((IF("15"=INDEX(ALLCLASSDATA,MATCH("WeaponGreaterSpecialization",CLASSFEATUREHEADERS,0),MATCH($A510,CLASSNAMEHEADERS,0)),WeaponGWS,(IF("15"=INDEX(ALLCLASSDATA,MATCH("WeaponSpecialization",CLASSFEATUREHEADERS,0),MATCH($A510,CLASSNAMEHEADERS,0)),WeaponWS,(IF("15"=INDEX(ALLCLASSDATA,MATCH("WeaponCriticalSpecialization",CLASSFEATUREHEADERS,0),MATCH($A510,CLASSNAMEHEADERS,0)),WeaponCS,"")))))))}</f>
        <v>WEAPONSPECIALL15</v>
      </c>
      <c r="V509" s="230"/>
      <c r="W509" s="230" t="str">
        <f t="array" ref="W509:W510">{"WEAPONSPECIALL17";((IF("17"=INDEX(ALLCLASSDATA,MATCH("WeaponGreaterSpecialization",CLASSFEATUREHEADERS,0),MATCH($A510,CLASSNAMEHEADERS,0)),WeaponGWS,(IF("17"=INDEX(ALLCLASSDATA,MATCH("WeaponSpecialization",CLASSFEATUREHEADERS,0),MATCH($A510,CLASSNAMEHEADERS,0)),WeaponWS,(IF("17"=INDEX(ALLCLASSDATA,MATCH("WeaponCriticalSpecialization",CLASSFEATUREHEADERS,0),MATCH($A510,CLASSNAMEHEADERS,0)),WeaponCS,"")))))))}</f>
        <v>WEAPONSPECIALL17</v>
      </c>
      <c r="X509" s="230"/>
      <c r="Y509" s="230" t="str">
        <f t="array" ref="Y509:Y510">{"WEAPONSPECIALL19";((IF("19"=INDEX(ALLCLASSDATA,MATCH("WeaponGreaterSpecialization",CLASSFEATUREHEADERS,0),MATCH($A510,CLASSNAMEHEADERS,0)),WeaponGWS,(IF("19"=INDEX(ALLCLASSDATA,MATCH("WeaponSpecialization",CLASSFEATUREHEADERS,0),MATCH($A510,CLASSNAMEHEADERS,0)),WeaponWS,(IF("19"=INDEX(ALLCLASSDATA,MATCH("WeaponCriticalSpecialization",CLASSFEATUREHEADERS,0),MATCH($A510,CLASSNAMEHEADERS,0)),WeaponCS,"")))))))}</f>
        <v>WEAPONSPECIALL19</v>
      </c>
      <c r="Z509" s="230"/>
      <c r="AA509" s="76"/>
      <c r="AB509" s="76" t="str">
        <f t="array" ref="AB509:AB510">{"WEAPONSPECIAL TOTAL";(sum(F510:Z510))}</f>
        <v>WEAPONSPECIAL TOTAL</v>
      </c>
    </row>
    <row r="510">
      <c r="A510" s="48" t="s">
        <v>195</v>
      </c>
      <c r="B510" s="48" t="s">
        <v>417</v>
      </c>
      <c r="C510" s="48" t="s">
        <v>1634</v>
      </c>
      <c r="D510" s="48" t="s">
        <v>1635</v>
      </c>
      <c r="E510" s="5"/>
      <c r="F510" s="47"/>
      <c r="G510" s="5" t="s">
        <v>603</v>
      </c>
      <c r="H510" s="5"/>
      <c r="I510" s="5" t="s">
        <v>603</v>
      </c>
      <c r="J510" s="5"/>
      <c r="K510" s="5" t="s">
        <v>603</v>
      </c>
      <c r="L510" s="5"/>
      <c r="M510" s="5" t="s">
        <v>603</v>
      </c>
      <c r="N510" s="5"/>
      <c r="O510" s="5" t="s">
        <v>603</v>
      </c>
      <c r="P510" s="5"/>
      <c r="Q510" s="5" t="s">
        <v>603</v>
      </c>
      <c r="R510" s="5"/>
      <c r="S510" s="5">
        <v>70.0</v>
      </c>
      <c r="T510" s="5"/>
      <c r="U510" s="5" t="s">
        <v>603</v>
      </c>
      <c r="V510" s="5"/>
      <c r="W510" s="5" t="s">
        <v>603</v>
      </c>
      <c r="X510" s="5"/>
      <c r="Y510" s="5" t="s">
        <v>603</v>
      </c>
      <c r="Z510" s="5"/>
      <c r="AA510" s="5"/>
      <c r="AB510" s="47">
        <v>70.0</v>
      </c>
    </row>
    <row r="511" hidden="1">
      <c r="A511" s="222" t="str">
        <f t="array" ref="A511:A512">{"FormulaRow27";(INDEX(CLASSLIST,A458,1))}</f>
        <v>FormulaRow27</v>
      </c>
      <c r="B511" s="222" t="str">
        <f t="array" ref="B511:B512">{"CLASSTYPE";((INDEX(ALLCLASSDATA,MATCH("ClassType",CLASSFEATUREHEADERS,0),MATCH($A512,CLASSNAMEHEADERS,0))))}</f>
        <v>CLASSTYPE</v>
      </c>
      <c r="C511" s="222" t="str">
        <f t="array" ref="C511:C512">{"ATTACK";"Attack"}</f>
        <v>ATTACK</v>
      </c>
      <c r="D511" s="222" t="str">
        <f t="array" ref="D511:D512">{"UNARMED";"Unarmed"}</f>
        <v>UNARMED</v>
      </c>
      <c r="E511" s="223" t="str">
        <f t="array" ref="E511:E512">{"UNARMEDINITIAL";((IF(G512=10,"T",(IF(G512=50,"E","")))))}</f>
        <v>UNARMEDINITIAL</v>
      </c>
      <c r="F511" s="223" t="str">
        <f t="array" ref="F511:F512">{"UNARMEDINITIALPTS";((IF("00"=(INDEX(ALLCLASSDATA,MATCH("UnarmedLegendary",CLASSFEATUREHEADERS,0),MATCH($A512,CLASSNAMEHEADERS,0))),(INDEX(ALLCLASSDATA,MATCH("UnarmedLegendary",CLASSFEATUREHEADERS,0),MATCH(($A512 &amp; "Points"),CLASSNAMEHEADERS,0))),(IF("00"=(INDEX(ALLCLASSDATA,MATCH("UnarmedMaster",CLASSFEATUREHEADERS,0),MATCH($A512,CLASSNAMEHEADERS,0))),(INDEX(ALLCLASSDATA,MATCH("UnarmedMaster",CLASSFEATUREHEADERS,0),MATCH(($A512 &amp; "Points"),CLASSNAMEHEADERS,0))),(IF("00"=(INDEX(ALLCLASSDATA,MATCH("UnarmedExpert",CLASSFEATUREHEADERS,0),MATCH($A512,CLASSNAMEHEADERS,0))),(INDEX(ALLCLASSDATA,MATCH("UnarmedExpert",CLASSFEATUREHEADERS,0),MATCH(($A512 &amp; "Points"),CLASSNAMEHEADERS,0))),(IF("00"=(INDEX(ALLCLASSDATA,MATCH("UnarmedTrained",CLASSFEATUREHEADERS,0),MATCH($A512,CLASSNAMEHEADERS,0))),(INDEX(ALLCLASSDATA,MATCH("UnarmedTrained",CLASSFEATUREHEADERS,0),MATCH(($A512 &amp; "Points"),CLASSNAMEHEADERS,0))),"")))))))))}</f>
        <v>UNARMEDINITIALPTS</v>
      </c>
      <c r="G511" s="223" t="str">
        <f t="array" ref="G511:G512">{"UNARMEDL01";((IF("01"=(INDEX(ALLCLASSDATA,MATCH("UnarmedLegendary",CLASSFEATUREHEADERS,0),MATCH($A512,CLASSNAMEHEADERS,0))),(INDEX(ALLCLASSDATA,MATCH("UnarmedLegendary",CLASSFEATUREHEADERS,0),MATCH(($A512 &amp; "Points"),CLASSNAMEHEADERS,0))),(IF("01"=(INDEX(ALLCLASSDATA,MATCH("UnarmedMaster",CLASSFEATUREHEADERS,0),MATCH($A512,CLASSNAMEHEADERS,0))),(INDEX(ALLCLASSDATA,MATCH("UnarmedMaster",CLASSFEATUREHEADERS,0),MATCH(($A512 &amp; "Points"),CLASSNAMEHEADERS,0))),(IF("01"=(INDEX(ALLCLASSDATA,MATCH("UnarmedExpert",CLASSFEATUREHEADERS,0),MATCH($A512,CLASSNAMEHEADERS,0))),(INDEX(ALLCLASSDATA,MATCH("UnarmedExpert",CLASSFEATUREHEADERS,0),MATCH(($A512 &amp; "Points"),CLASSNAMEHEADERS,0))),(IF("01"=(INDEX(ALLCLASSDATA,MATCH("UnarmedTrained",CLASSFEATUREHEADERS,0),MATCH($A512,CLASSNAMEHEADERS,0))),(INDEX(ALLCLASSDATA,MATCH("UnarmedTrained",CLASSFEATUREHEADERS,0),MATCH(($A512 &amp; "Points"),CLASSNAMEHEADERS,0))),"")))))))))}</f>
        <v>UNARMEDL01</v>
      </c>
      <c r="H511" s="223"/>
      <c r="I511" s="223" t="str">
        <f t="array" ref="I511:I512">{"UNARMEDL03";((IF("03"=(INDEX(ALLCLASSDATA,MATCH("UnarmedLegendary",CLASSFEATUREHEADERS,0),MATCH($A512,CLASSNAMEHEADERS,0))),(INDEX(ALLCLASSDATA,MATCH("UnarmedLegendary",CLASSFEATUREHEADERS,0),MATCH(($A512 &amp; "Points"),CLASSNAMEHEADERS,0))),(IF("03"=(INDEX(ALLCLASSDATA,MATCH("UnarmedMaster",CLASSFEATUREHEADERS,0),MATCH($A512,CLASSNAMEHEADERS,0))),(INDEX(ALLCLASSDATA,MATCH("UnarmedMaster",CLASSFEATUREHEADERS,0),MATCH(($A512 &amp; "Points"),CLASSNAMEHEADERS,0))),(IF("03"=(INDEX(ALLCLASSDATA,MATCH("UnarmedExpert",CLASSFEATUREHEADERS,0),MATCH($A512,CLASSNAMEHEADERS,0))),(INDEX(ALLCLASSDATA,MATCH("UnarmedExpert",CLASSFEATUREHEADERS,0),MATCH(($A512 &amp; "Points"),CLASSNAMEHEADERS,0))),(IF("03"=(INDEX(ALLCLASSDATA,MATCH("UnarmedTrained",CLASSFEATUREHEADERS,0),MATCH($A512,CLASSNAMEHEADERS,0))),(INDEX(ALLCLASSDATA,MATCH("UnarmedTrained",CLASSFEATUREHEADERS,0),MATCH(($A512 &amp; "Points"),CLASSNAMEHEADERS,0))),"")))))))))}</f>
        <v>UNARMEDL03</v>
      </c>
      <c r="J511" s="223"/>
      <c r="K511" s="223" t="str">
        <f t="array" ref="K511:K512">{"UNARMEDL05";((IF("05"=(INDEX(ALLCLASSDATA,MATCH("UnarmedLegendary",CLASSFEATUREHEADERS,0),MATCH($A512,CLASSNAMEHEADERS,0))),(INDEX(ALLCLASSDATA,MATCH("UnarmedLegendary",CLASSFEATUREHEADERS,0),MATCH(($A512 &amp; "Points"),CLASSNAMEHEADERS,0))),(IF("05"=(INDEX(ALLCLASSDATA,MATCH("UnarmedMaster",CLASSFEATUREHEADERS,0),MATCH($A512,CLASSNAMEHEADERS,0))),(INDEX(ALLCLASSDATA,MATCH("UnarmedMaster",CLASSFEATUREHEADERS,0),MATCH(($A512 &amp; "Points"),CLASSNAMEHEADERS,0))),(IF("05"=(INDEX(ALLCLASSDATA,MATCH("UnarmedExpert",CLASSFEATUREHEADERS,0),MATCH($A512,CLASSNAMEHEADERS,0))),(INDEX(ALLCLASSDATA,MATCH("UnarmedExpert",CLASSFEATUREHEADERS,0),MATCH(($A512 &amp; "Points"),CLASSNAMEHEADERS,0))),(IF("05"=(INDEX(ALLCLASSDATA,MATCH("UnarmedTrained",CLASSFEATUREHEADERS,0),MATCH($A512,CLASSNAMEHEADERS,0))),(INDEX(ALLCLASSDATA,MATCH("UnarmedTrained",CLASSFEATUREHEADERS,0),MATCH(($A512 &amp; "Points"),CLASSNAMEHEADERS,0))),"")))))))))}</f>
        <v>UNARMEDL05</v>
      </c>
      <c r="L511" s="223"/>
      <c r="M511" s="223" t="str">
        <f t="array" ref="M511:M512">{"UNARMEDL07";((IF("07"=(INDEX(ALLCLASSDATA,MATCH("UnarmedLegendary",CLASSFEATUREHEADERS,0),MATCH($A512,CLASSNAMEHEADERS,0))),(INDEX(ALLCLASSDATA,MATCH("UnarmedLegendary",CLASSFEATUREHEADERS,0),MATCH(($A512 &amp; "Points"),CLASSNAMEHEADERS,0))),(IF("07"=(INDEX(ALLCLASSDATA,MATCH("UnarmedMaster",CLASSFEATUREHEADERS,0),MATCH($A512,CLASSNAMEHEADERS,0))),(INDEX(ALLCLASSDATA,MATCH("UnarmedMaster",CLASSFEATUREHEADERS,0),MATCH(($A512 &amp; "Points"),CLASSNAMEHEADERS,0))),(IF("07"=(INDEX(ALLCLASSDATA,MATCH("UnarmedExpert",CLASSFEATUREHEADERS,0),MATCH($A512,CLASSNAMEHEADERS,0))),(INDEX(ALLCLASSDATA,MATCH("UnarmedExpert",CLASSFEATUREHEADERS,0),MATCH(($A512 &amp; "Points"),CLASSNAMEHEADERS,0))),(IF("07"=(INDEX(ALLCLASSDATA,MATCH("UnarmedTrained",CLASSFEATUREHEADERS,0),MATCH($A512,CLASSNAMEHEADERS,0))),(INDEX(ALLCLASSDATA,MATCH("UnarmedTrained",CLASSFEATUREHEADERS,0),MATCH(($A512 &amp; "Points"),CLASSNAMEHEADERS,0))),"")))))))))}</f>
        <v>UNARMEDL07</v>
      </c>
      <c r="N511" s="223"/>
      <c r="O511" s="223" t="str">
        <f t="array" ref="O511:O512">{"UNARMEDL09";((IF("09"=(INDEX(ALLCLASSDATA,MATCH("UnarmedLegendary",CLASSFEATUREHEADERS,0),MATCH($A512,CLASSNAMEHEADERS,0))),(INDEX(ALLCLASSDATA,MATCH("UnarmedLegendary",CLASSFEATUREHEADERS,0),MATCH(($A512 &amp; "Points"),CLASSNAMEHEADERS,0))),(IF("09"=(INDEX(ALLCLASSDATA,MATCH("UnarmedMaster",CLASSFEATUREHEADERS,0),MATCH($A512,CLASSNAMEHEADERS,0))),(INDEX(ALLCLASSDATA,MATCH("UnarmedMaster",CLASSFEATUREHEADERS,0),MATCH(($A512 &amp; "Points"),CLASSNAMEHEADERS,0))),(IF("09"=(INDEX(ALLCLASSDATA,MATCH("UnarmedExpert",CLASSFEATUREHEADERS,0),MATCH($A512,CLASSNAMEHEADERS,0))),(INDEX(ALLCLASSDATA,MATCH("UnarmedExpert",CLASSFEATUREHEADERS,0),MATCH(($A512 &amp; "Points"),CLASSNAMEHEADERS,0))),(IF("09"=(INDEX(ALLCLASSDATA,MATCH("UnarmedTrained",CLASSFEATUREHEADERS,0),MATCH($A512,CLASSNAMEHEADERS,0))),(INDEX(ALLCLASSDATA,MATCH("UnarmedTrained",CLASSFEATUREHEADERS,0),MATCH(($A512 &amp; "Points"),CLASSNAMEHEADERS,0))),"")))))))))}</f>
        <v>UNARMEDL09</v>
      </c>
      <c r="P511" s="223"/>
      <c r="Q511" s="223" t="str">
        <f t="array" ref="Q511:Q512">{"UNARMEDL11";((IF("11"=(INDEX(ALLCLASSDATA,MATCH("UnarmedLegendary",CLASSFEATUREHEADERS,0),MATCH($A512,CLASSNAMEHEADERS,0))),(INDEX(ALLCLASSDATA,MATCH("UnarmedLegendary",CLASSFEATUREHEADERS,0),MATCH(($A512 &amp; "Points"),CLASSNAMEHEADERS,0))),(IF("11"=(INDEX(ALLCLASSDATA,MATCH("UnarmedMaster",CLASSFEATUREHEADERS,0),MATCH($A512,CLASSNAMEHEADERS,0))),(INDEX(ALLCLASSDATA,MATCH("UnarmedMaster",CLASSFEATUREHEADERS,0),MATCH(($A512 &amp; "Points"),CLASSNAMEHEADERS,0))),(IF("11"=(INDEX(ALLCLASSDATA,MATCH("UnarmedExpert",CLASSFEATUREHEADERS,0),MATCH($A512,CLASSNAMEHEADERS,0))),(INDEX(ALLCLASSDATA,MATCH("UnarmedExpert",CLASSFEATUREHEADERS,0),MATCH(($A512 &amp; "Points"),CLASSNAMEHEADERS,0))),(IF("11"=(INDEX(ALLCLASSDATA,MATCH("UnarmedTrained",CLASSFEATUREHEADERS,0),MATCH($A512,CLASSNAMEHEADERS,0))),(INDEX(ALLCLASSDATA,MATCH("UnarmedTrained",CLASSFEATUREHEADERS,0),MATCH(($A512 &amp; "Points"),CLASSNAMEHEADERS,0))),"")))))))))}</f>
        <v>UNARMEDL11</v>
      </c>
      <c r="R511" s="223"/>
      <c r="S511" s="223" t="str">
        <f t="array" ref="S511:S512">{"UNARMEDL13";((IF("13"=(INDEX(ALLCLASSDATA,MATCH("UnarmedLegendary",CLASSFEATUREHEADERS,0),MATCH($A512,CLASSNAMEHEADERS,0))),(INDEX(ALLCLASSDATA,MATCH("UnarmedLegendary",CLASSFEATUREHEADERS,0),MATCH(($A512 &amp; "Points"),CLASSNAMEHEADERS,0))),(IF("13"=(INDEX(ALLCLASSDATA,MATCH("UnarmedMaster",CLASSFEATUREHEADERS,0),MATCH($A512,CLASSNAMEHEADERS,0))),(INDEX(ALLCLASSDATA,MATCH("UnarmedMaster",CLASSFEATUREHEADERS,0),MATCH(($A512 &amp; "Points"),CLASSNAMEHEADERS,0))),(IF("13"=(INDEX(ALLCLASSDATA,MATCH("UnarmedExpert",CLASSFEATUREHEADERS,0),MATCH($A512,CLASSNAMEHEADERS,0))),(INDEX(ALLCLASSDATA,MATCH("UnarmedExpert",CLASSFEATUREHEADERS,0),MATCH(($A512 &amp; "Points"),CLASSNAMEHEADERS,0))),(IF("13"=(INDEX(ALLCLASSDATA,MATCH("UnarmedTrained",CLASSFEATUREHEADERS,0),MATCH($A512,CLASSNAMEHEADERS,0))),(INDEX(ALLCLASSDATA,MATCH("UnarmedTrained",CLASSFEATUREHEADERS,0),MATCH(($A512 &amp; "Points"),CLASSNAMEHEADERS,0))),"")))))))))}</f>
        <v>UNARMEDL13</v>
      </c>
      <c r="T511" s="223"/>
      <c r="U511" s="223" t="str">
        <f t="array" ref="U511:U512">{"UNARMEDL15";((IF("15"=(INDEX(ALLCLASSDATA,MATCH("UnarmedLegendary",CLASSFEATUREHEADERS,0),MATCH($A512,CLASSNAMEHEADERS,0))),(INDEX(ALLCLASSDATA,MATCH("UnarmedLegendary",CLASSFEATUREHEADERS,0),MATCH(($A512 &amp; "Points"),CLASSNAMEHEADERS,0))),(IF("15"=(INDEX(ALLCLASSDATA,MATCH("UnarmedMaster",CLASSFEATUREHEADERS,0),MATCH($A512,CLASSNAMEHEADERS,0))),(INDEX(ALLCLASSDATA,MATCH("UnarmedMaster",CLASSFEATUREHEADERS,0),MATCH(($A512 &amp; "Points"),CLASSNAMEHEADERS,0))),(IF("15"=(INDEX(ALLCLASSDATA,MATCH("UnarmedExpert",CLASSFEATUREHEADERS,0),MATCH($A512,CLASSNAMEHEADERS,0))),(INDEX(ALLCLASSDATA,MATCH("UnarmedExpert",CLASSFEATUREHEADERS,0),MATCH(($A512 &amp; "Points"),CLASSNAMEHEADERS,0))),(IF("15"=(INDEX(ALLCLASSDATA,MATCH("UnarmedTrained",CLASSFEATUREHEADERS,0),MATCH($A512,CLASSNAMEHEADERS,0))),(INDEX(ALLCLASSDATA,MATCH("UnarmedTrained",CLASSFEATUREHEADERS,0),MATCH(($A512 &amp; "Points"),CLASSNAMEHEADERS,0))),"")))))))))}</f>
        <v>UNARMEDL15</v>
      </c>
      <c r="V511" s="223"/>
      <c r="W511" s="223" t="str">
        <f t="array" ref="W511:W512">{"UNARMEDL17";((IF("17"=(INDEX(ALLCLASSDATA,MATCH("UnarmedLegendary",CLASSFEATUREHEADERS,0),MATCH($A512,CLASSNAMEHEADERS,0))),(INDEX(ALLCLASSDATA,MATCH("UnarmedLegendary",CLASSFEATUREHEADERS,0),MATCH(($A512 &amp; "Points"),CLASSNAMEHEADERS,0))),(IF("17"=(INDEX(ALLCLASSDATA,MATCH("UnarmedMaster",CLASSFEATUREHEADERS,0),MATCH($A512,CLASSNAMEHEADERS,0))),(INDEX(ALLCLASSDATA,MATCH("UnarmedMaster",CLASSFEATUREHEADERS,0),MATCH(($A512 &amp; "Points"),CLASSNAMEHEADERS,0))),(IF("17"=(INDEX(ALLCLASSDATA,MATCH("UnarmedExpert",CLASSFEATUREHEADERS,0),MATCH($A512,CLASSNAMEHEADERS,0))),(INDEX(ALLCLASSDATA,MATCH("UnarmedExpert",CLASSFEATUREHEADERS,0),MATCH(($A512 &amp; "Points"),CLASSNAMEHEADERS,0))),(IF("17"=(INDEX(ALLCLASSDATA,MATCH("UnarmedTrained",CLASSFEATUREHEADERS,0),MATCH($A512,CLASSNAMEHEADERS,0))),(INDEX(ALLCLASSDATA,MATCH("UnarmedTrained",CLASSFEATUREHEADERS,0),MATCH(($A512 &amp; "Points"),CLASSNAMEHEADERS,0))),"")))))))))}</f>
        <v>UNARMEDL17</v>
      </c>
      <c r="X511" s="223"/>
      <c r="Y511" s="223" t="str">
        <f t="array" ref="Y511:Y512">{"UNARMEDL19";((IF("19"=(INDEX(ALLCLASSDATA,MATCH("UnarmedLegendary",CLASSFEATUREHEADERS,0),MATCH($A512,CLASSNAMEHEADERS,0))),(INDEX(ALLCLASSDATA,MATCH("UnarmedLegendary",CLASSFEATUREHEADERS,0),MATCH(($A512 &amp; "Points"),CLASSNAMEHEADERS,0))),(IF("19"=(INDEX(ALLCLASSDATA,MATCH("UnarmedMaster",CLASSFEATUREHEADERS,0),MATCH($A512,CLASSNAMEHEADERS,0))),(INDEX(ALLCLASSDATA,MATCH("UnarmedMaster",CLASSFEATUREHEADERS,0),MATCH(($A512 &amp; "Points"),CLASSNAMEHEADERS,0))),(IF("19"=(INDEX(ALLCLASSDATA,MATCH("UnarmedExpert",CLASSFEATUREHEADERS,0),MATCH($A512,CLASSNAMEHEADERS,0))),(INDEX(ALLCLASSDATA,MATCH("UnarmedExpert",CLASSFEATUREHEADERS,0),MATCH(($A512 &amp; "Points"),CLASSNAMEHEADERS,0))),(IF("19"=(INDEX(ALLCLASSDATA,MATCH("UnarmedTrained",CLASSFEATUREHEADERS,0),MATCH($A512,CLASSNAMEHEADERS,0))),(INDEX(ALLCLASSDATA,MATCH("UnarmedTrained",CLASSFEATUREHEADERS,0),MATCH(($A512 &amp; "Points"),CLASSNAMEHEADERS,0))),"")))))))))}</f>
        <v>UNARMEDL19</v>
      </c>
      <c r="Z511" s="223"/>
      <c r="AA511" s="76" t="str">
        <f t="array" ref="AA511:AA512">{"UNARMED TOTAL";(IF(COUNTBLANK(F512:Z512)=17,"L",(IF(COUNTBLANK(F512:Z512)=18,"M",(IF(COUNTBLANK(F512:Z512)=19,"E",(IF(COUNTBLANK(F512:Z512)=20,"T",""))))))))}</f>
        <v>UNARMED TOTAL</v>
      </c>
      <c r="AB511" s="76" t="str">
        <f t="array" ref="AB511:AB512">{"UNARMED TOTAL";(sum(F512:Z512))}</f>
        <v>UNARMED TOTAL</v>
      </c>
    </row>
    <row r="512">
      <c r="A512" s="48" t="s">
        <v>195</v>
      </c>
      <c r="B512" s="48" t="s">
        <v>417</v>
      </c>
      <c r="C512" s="48" t="s">
        <v>1634</v>
      </c>
      <c r="D512" s="48" t="s">
        <v>257</v>
      </c>
      <c r="E512" s="5" t="s">
        <v>435</v>
      </c>
      <c r="F512" s="47" t="s">
        <v>603</v>
      </c>
      <c r="G512" s="5">
        <v>10.0</v>
      </c>
      <c r="H512" s="5"/>
      <c r="I512" s="5" t="s">
        <v>603</v>
      </c>
      <c r="J512" s="5"/>
      <c r="K512" s="5" t="s">
        <v>603</v>
      </c>
      <c r="L512" s="5"/>
      <c r="M512" s="5" t="s">
        <v>603</v>
      </c>
      <c r="N512" s="5"/>
      <c r="O512" s="5" t="s">
        <v>603</v>
      </c>
      <c r="P512" s="5"/>
      <c r="Q512" s="5" t="s">
        <v>436</v>
      </c>
      <c r="R512" s="5"/>
      <c r="S512" s="5" t="s">
        <v>603</v>
      </c>
      <c r="T512" s="5"/>
      <c r="U512" s="5" t="s">
        <v>603</v>
      </c>
      <c r="V512" s="5"/>
      <c r="W512" s="5" t="s">
        <v>603</v>
      </c>
      <c r="X512" s="5"/>
      <c r="Y512" s="5" t="s">
        <v>603</v>
      </c>
      <c r="Z512" s="5"/>
      <c r="AA512" s="5" t="s">
        <v>436</v>
      </c>
      <c r="AB512" s="47">
        <v>10.0</v>
      </c>
    </row>
    <row r="513" hidden="1">
      <c r="A513" s="222" t="str">
        <f t="array" ref="A513:A514">{"FormulaRow28";(INDEX(CLASSLIST,A458,1))}</f>
        <v>FormulaRow28</v>
      </c>
      <c r="B513" s="222" t="str">
        <f t="array" ref="B513:B514">{"CLASSTYPE";((INDEX(ALLCLASSDATA,MATCH("ClassType",CLASSFEATUREHEADERS,0),MATCH($A514,CLASSNAMEHEADERS,0))))}</f>
        <v>CLASSTYPE</v>
      </c>
      <c r="C513" s="222" t="str">
        <f t="array" ref="C513:C514">{"ATTACK";"Attack"}</f>
        <v>ATTACK</v>
      </c>
      <c r="D513" s="222" t="str">
        <f t="array" ref="D513:D514">{"SIMPLELIMITED";"SimpleLimited"}</f>
        <v>SIMPLELIMITED</v>
      </c>
      <c r="E513" s="223" t="str">
        <f t="array" ref="E513:E514">{"SIMPLELIMITEDINITIAL";((IF(G514=10,"T",(IF(G514=50,"E","")))))}</f>
        <v>SIMPLELIMITEDINITIAL</v>
      </c>
      <c r="F513" s="223" t="str">
        <f t="array" ref="F513:F514">{"SIMPLELIMITEDINITIALPTS";((IF("00"=(INDEX(ALLCLASSDATA,MATCH("SimpleLimitedLegendary",CLASSFEATUREHEADERS,0),MATCH($A514,CLASSNAMEHEADERS,0))),(INDEX(ALLCLASSDATA,MATCH("SimpleLimitedLegendary",CLASSFEATUREHEADERS,0),MATCH(($A514 &amp; "Points"),CLASSNAMEHEADERS,0))),(IF("00"=(INDEX(ALLCLASSDATA,MATCH("SimpleLimitedMaster",CLASSFEATUREHEADERS,0),MATCH($A514,CLASSNAMEHEADERS,0))),(INDEX(ALLCLASSDATA,MATCH("SimpleLimitedMaster",CLASSFEATUREHEADERS,0),MATCH(($A514 &amp; "Points"),CLASSNAMEHEADERS,0))),(IF("00"=(INDEX(ALLCLASSDATA,MATCH("SimpleLimitedExpert",CLASSFEATUREHEADERS,0),MATCH($A514,CLASSNAMEHEADERS,0))),(INDEX(ALLCLASSDATA,MATCH("SimpleLimitedExpert",CLASSFEATUREHEADERS,0),MATCH(($A514 &amp; "Points"),CLASSNAMEHEADERS,0))),(IF("00"=(INDEX(ALLCLASSDATA,MATCH("SimpleLimitedTrained",CLASSFEATUREHEADERS,0),MATCH($A514,CLASSNAMEHEADERS,0))),(INDEX(ALLCLASSDATA,MATCH("SimpleLimitedTrained",CLASSFEATUREHEADERS,0),MATCH(($A514 &amp; "Points"),CLASSNAMEHEADERS,0))),"")))))))))}</f>
        <v>SIMPLELIMITEDINITIALPTS</v>
      </c>
      <c r="G513" s="223" t="str">
        <f t="array" ref="G513:G514">{"SIMPLELIMITEDL01";((IF("01"=(INDEX(ALLCLASSDATA,MATCH("SimpleLimitedLegendary",CLASSFEATUREHEADERS,0),MATCH($A514,CLASSNAMEHEADERS,0))),(INDEX(ALLCLASSDATA,MATCH("SimpleLimitedLegendary",CLASSFEATUREHEADERS,0),MATCH(($A514 &amp; "Points"),CLASSNAMEHEADERS,0))),(IF("01"=(INDEX(ALLCLASSDATA,MATCH("SimpleLimitedMaster",CLASSFEATUREHEADERS,0),MATCH($A514,CLASSNAMEHEADERS,0))),(INDEX(ALLCLASSDATA,MATCH("SimpleLimitedMaster",CLASSFEATUREHEADERS,0),MATCH(($A514 &amp; "Points"),CLASSNAMEHEADERS,0))),(IF("01"=(INDEX(ALLCLASSDATA,MATCH("SimpleLimitedExpert",CLASSFEATUREHEADERS,0),MATCH($A514,CLASSNAMEHEADERS,0))),(INDEX(ALLCLASSDATA,MATCH("SimpleLimitedExpert",CLASSFEATUREHEADERS,0),MATCH(($A514 &amp; "Points"),CLASSNAMEHEADERS,0))),(IF("01"=(INDEX(ALLCLASSDATA,MATCH("SimpleLimitedTrained",CLASSFEATUREHEADERS,0),MATCH($A514,CLASSNAMEHEADERS,0))),(INDEX(ALLCLASSDATA,MATCH("SimpleLimitedTrained",CLASSFEATUREHEADERS,0),MATCH(($A514 &amp; "Points"),CLASSNAMEHEADERS,0))),"")))))))))}</f>
        <v>SIMPLELIMITEDL01</v>
      </c>
      <c r="H513" s="223"/>
      <c r="I513" s="223" t="str">
        <f t="array" ref="I513:I514">{"SIMPLELIMITEDL03";((IF("03"=(INDEX(ALLCLASSDATA,MATCH("SimpleLimitedLegendary",CLASSFEATUREHEADERS,0),MATCH($A514,CLASSNAMEHEADERS,0))),(INDEX(ALLCLASSDATA,MATCH("SimpleLimitedLegendary",CLASSFEATUREHEADERS,0),MATCH(($A514 &amp; "Points"),CLASSNAMEHEADERS,0))),(IF("03"=(INDEX(ALLCLASSDATA,MATCH("SimpleLimitedMaster",CLASSFEATUREHEADERS,0),MATCH($A514,CLASSNAMEHEADERS,0))),(INDEX(ALLCLASSDATA,MATCH("SimpleLimitedMaster",CLASSFEATUREHEADERS,0),MATCH(($A514 &amp; "Points"),CLASSNAMEHEADERS,0))),(IF("03"=(INDEX(ALLCLASSDATA,MATCH("SimpleLimitedExpert",CLASSFEATUREHEADERS,0),MATCH($A514,CLASSNAMEHEADERS,0))),(INDEX(ALLCLASSDATA,MATCH("SimpleLimitedExpert",CLASSFEATUREHEADERS,0),MATCH(($A514 &amp; "Points"),CLASSNAMEHEADERS,0))),(IF("03"=(INDEX(ALLCLASSDATA,MATCH("SimpleLimitedTrained",CLASSFEATUREHEADERS,0),MATCH($A514,CLASSNAMEHEADERS,0))),(INDEX(ALLCLASSDATA,MATCH("SimpleLimitedTrained",CLASSFEATUREHEADERS,0),MATCH(($A514 &amp; "Points"),CLASSNAMEHEADERS,0))),"")))))))))}</f>
        <v>SIMPLELIMITEDL03</v>
      </c>
      <c r="J513" s="223"/>
      <c r="K513" s="223" t="str">
        <f t="array" ref="K513:K514">{"SIMPLELIMITEDL05";((IF("05"=(INDEX(ALLCLASSDATA,MATCH("SimpleLimitedLegendary",CLASSFEATUREHEADERS,0),MATCH($A514,CLASSNAMEHEADERS,0))),(INDEX(ALLCLASSDATA,MATCH("SimpleLimitedLegendary",CLASSFEATUREHEADERS,0),MATCH(($A514 &amp; "Points"),CLASSNAMEHEADERS,0))),(IF("05"=(INDEX(ALLCLASSDATA,MATCH("SimpleLimitedMaster",CLASSFEATUREHEADERS,0),MATCH($A514,CLASSNAMEHEADERS,0))),(INDEX(ALLCLASSDATA,MATCH("SimpleLimitedMaster",CLASSFEATUREHEADERS,0),MATCH(($A514 &amp; "Points"),CLASSNAMEHEADERS,0))),(IF("05"=(INDEX(ALLCLASSDATA,MATCH("SimpleLimitedExpert",CLASSFEATUREHEADERS,0),MATCH($A514,CLASSNAMEHEADERS,0))),(INDEX(ALLCLASSDATA,MATCH("SimpleLimitedExpert",CLASSFEATUREHEADERS,0),MATCH(($A514 &amp; "Points"),CLASSNAMEHEADERS,0))),(IF("05"=(INDEX(ALLCLASSDATA,MATCH("SimpleLimitedTrained",CLASSFEATUREHEADERS,0),MATCH($A514,CLASSNAMEHEADERS,0))),(INDEX(ALLCLASSDATA,MATCH("SimpleLimitedTrained",CLASSFEATUREHEADERS,0),MATCH(($A514 &amp; "Points"),CLASSNAMEHEADERS,0))),"")))))))))}</f>
        <v>SIMPLELIMITEDL05</v>
      </c>
      <c r="L513" s="223"/>
      <c r="M513" s="223" t="str">
        <f t="array" ref="M513:M514">{"SIMPLELIMITEDL07";((IF("07"=(INDEX(ALLCLASSDATA,MATCH("SimpleLimitedLegendary",CLASSFEATUREHEADERS,0),MATCH($A514,CLASSNAMEHEADERS,0))),(INDEX(ALLCLASSDATA,MATCH("SimpleLimitedLegendary",CLASSFEATUREHEADERS,0),MATCH(($A514 &amp; "Points"),CLASSNAMEHEADERS,0))),(IF("07"=(INDEX(ALLCLASSDATA,MATCH("SimpleLimitedMaster",CLASSFEATUREHEADERS,0),MATCH($A514,CLASSNAMEHEADERS,0))),(INDEX(ALLCLASSDATA,MATCH("SimpleLimitedMaster",CLASSFEATUREHEADERS,0),MATCH(($A514 &amp; "Points"),CLASSNAMEHEADERS,0))),(IF("07"=(INDEX(ALLCLASSDATA,MATCH("SimpleLimitedExpert",CLASSFEATUREHEADERS,0),MATCH($A514,CLASSNAMEHEADERS,0))),(INDEX(ALLCLASSDATA,MATCH("SimpleLimitedExpert",CLASSFEATUREHEADERS,0),MATCH(($A514 &amp; "Points"),CLASSNAMEHEADERS,0))),(IF("07"=(INDEX(ALLCLASSDATA,MATCH("SimpleLimitedTrained",CLASSFEATUREHEADERS,0),MATCH($A514,CLASSNAMEHEADERS,0))),(INDEX(ALLCLASSDATA,MATCH("SimpleLimitedTrained",CLASSFEATUREHEADERS,0),MATCH(($A514 &amp; "Points"),CLASSNAMEHEADERS,0))),"")))))))))}</f>
        <v>SIMPLELIMITEDL07</v>
      </c>
      <c r="N513" s="223"/>
      <c r="O513" s="223" t="str">
        <f t="array" ref="O513:O514">{"SIMPLELIMITEDL09";((IF("09"=(INDEX(ALLCLASSDATA,MATCH("SimpleLimitedLegendary",CLASSFEATUREHEADERS,0),MATCH($A514,CLASSNAMEHEADERS,0))),(INDEX(ALLCLASSDATA,MATCH("SimpleLimitedLegendary",CLASSFEATUREHEADERS,0),MATCH(($A514 &amp; "Points"),CLASSNAMEHEADERS,0))),(IF("09"=(INDEX(ALLCLASSDATA,MATCH("SimpleLimitedMaster",CLASSFEATUREHEADERS,0),MATCH($A514,CLASSNAMEHEADERS,0))),(INDEX(ALLCLASSDATA,MATCH("SimpleLimitedMaster",CLASSFEATUREHEADERS,0),MATCH(($A514 &amp; "Points"),CLASSNAMEHEADERS,0))),(IF("09"=(INDEX(ALLCLASSDATA,MATCH("SimpleLimitedExpert",CLASSFEATUREHEADERS,0),MATCH($A514,CLASSNAMEHEADERS,0))),(INDEX(ALLCLASSDATA,MATCH("SimpleLimitedExpert",CLASSFEATUREHEADERS,0),MATCH(($A514 &amp; "Points"),CLASSNAMEHEADERS,0))),(IF("09"=(INDEX(ALLCLASSDATA,MATCH("SimpleLimitedTrained",CLASSFEATUREHEADERS,0),MATCH($A514,CLASSNAMEHEADERS,0))),(INDEX(ALLCLASSDATA,MATCH("SimpleLimitedTrained",CLASSFEATUREHEADERS,0),MATCH(($A514 &amp; "Points"),CLASSNAMEHEADERS,0))),"")))))))))}</f>
        <v>SIMPLELIMITEDL09</v>
      </c>
      <c r="P513" s="223"/>
      <c r="Q513" s="223" t="str">
        <f t="array" ref="Q513:Q514">{"SIMPLELIMITEDL11";((IF("11"=(INDEX(ALLCLASSDATA,MATCH("SimpleLimitedLegendary",CLASSFEATUREHEADERS,0),MATCH($A514,CLASSNAMEHEADERS,0))),(INDEX(ALLCLASSDATA,MATCH("SimpleLimitedLegendary",CLASSFEATUREHEADERS,0),MATCH(($A514 &amp; "Points"),CLASSNAMEHEADERS,0))),(IF("11"=(INDEX(ALLCLASSDATA,MATCH("SimpleLimitedMaster",CLASSFEATUREHEADERS,0),MATCH($A514,CLASSNAMEHEADERS,0))),(INDEX(ALLCLASSDATA,MATCH("SimpleLimitedMaster",CLASSFEATUREHEADERS,0),MATCH(($A514 &amp; "Points"),CLASSNAMEHEADERS,0))),(IF("11"=(INDEX(ALLCLASSDATA,MATCH("SimpleLimitedExpert",CLASSFEATUREHEADERS,0),MATCH($A514,CLASSNAMEHEADERS,0))),(INDEX(ALLCLASSDATA,MATCH("SimpleLimitedExpert",CLASSFEATUREHEADERS,0),MATCH(($A514 &amp; "Points"),CLASSNAMEHEADERS,0))),(IF("11"=(INDEX(ALLCLASSDATA,MATCH("SimpleLimitedTrained",CLASSFEATUREHEADERS,0),MATCH($A514,CLASSNAMEHEADERS,0))),(INDEX(ALLCLASSDATA,MATCH("SimpleLimitedTrained",CLASSFEATUREHEADERS,0),MATCH(($A514 &amp; "Points"),CLASSNAMEHEADERS,0))),"")))))))))}</f>
        <v>SIMPLELIMITEDL11</v>
      </c>
      <c r="R513" s="223"/>
      <c r="S513" s="223" t="str">
        <f t="array" ref="S513:S514">{"SIMPLELIMITEDL13";((IF("13"=(INDEX(ALLCLASSDATA,MATCH("SimpleLimitedLegendary",CLASSFEATUREHEADERS,0),MATCH($A514,CLASSNAMEHEADERS,0))),(INDEX(ALLCLASSDATA,MATCH("SimpleLimitedLegendary",CLASSFEATUREHEADERS,0),MATCH(($A514 &amp; "Points"),CLASSNAMEHEADERS,0))),(IF("13"=(INDEX(ALLCLASSDATA,MATCH("SimpleLimitedMaster",CLASSFEATUREHEADERS,0),MATCH($A514,CLASSNAMEHEADERS,0))),(INDEX(ALLCLASSDATA,MATCH("SimpleLimitedMaster",CLASSFEATUREHEADERS,0),MATCH(($A514 &amp; "Points"),CLASSNAMEHEADERS,0))),(IF("13"=(INDEX(ALLCLASSDATA,MATCH("SimpleLimitedExpert",CLASSFEATUREHEADERS,0),MATCH($A514,CLASSNAMEHEADERS,0))),(INDEX(ALLCLASSDATA,MATCH("SimpleLimitedExpert",CLASSFEATUREHEADERS,0),MATCH(($A514 &amp; "Points"),CLASSNAMEHEADERS,0))),(IF("13"=(INDEX(ALLCLASSDATA,MATCH("SimpleLimitedTrained",CLASSFEATUREHEADERS,0),MATCH($A514,CLASSNAMEHEADERS,0))),(INDEX(ALLCLASSDATA,MATCH("SimpleLimitedTrained",CLASSFEATUREHEADERS,0),MATCH(($A514 &amp; "Points"),CLASSNAMEHEADERS,0))),"")))))))))}</f>
        <v>SIMPLELIMITEDL13</v>
      </c>
      <c r="T513" s="223"/>
      <c r="U513" s="223" t="str">
        <f t="array" ref="U513:U514">{"SIMPLELIMITEDL15";((IF("15"=(INDEX(ALLCLASSDATA,MATCH("SimpleLimitedLegendary",CLASSFEATUREHEADERS,0),MATCH($A514,CLASSNAMEHEADERS,0))),(INDEX(ALLCLASSDATA,MATCH("SimpleLimitedLegendary",CLASSFEATUREHEADERS,0),MATCH(($A514 &amp; "Points"),CLASSNAMEHEADERS,0))),(IF("15"=(INDEX(ALLCLASSDATA,MATCH("SimpleLimitedMaster",CLASSFEATUREHEADERS,0),MATCH($A514,CLASSNAMEHEADERS,0))),(INDEX(ALLCLASSDATA,MATCH("SimpleLimitedMaster",CLASSFEATUREHEADERS,0),MATCH(($A514 &amp; "Points"),CLASSNAMEHEADERS,0))),(IF("15"=(INDEX(ALLCLASSDATA,MATCH("SimpleLimitedExpert",CLASSFEATUREHEADERS,0),MATCH($A514,CLASSNAMEHEADERS,0))),(INDEX(ALLCLASSDATA,MATCH("SimpleLimitedExpert",CLASSFEATUREHEADERS,0),MATCH(($A514 &amp; "Points"),CLASSNAMEHEADERS,0))),(IF("15"=(INDEX(ALLCLASSDATA,MATCH("SimpleLimitedTrained",CLASSFEATUREHEADERS,0),MATCH($A514,CLASSNAMEHEADERS,0))),(INDEX(ALLCLASSDATA,MATCH("SimpleLimitedTrained",CLASSFEATUREHEADERS,0),MATCH(($A514 &amp; "Points"),CLASSNAMEHEADERS,0))),"")))))))))}</f>
        <v>SIMPLELIMITEDL15</v>
      </c>
      <c r="V513" s="223"/>
      <c r="W513" s="223" t="str">
        <f t="array" ref="W513:W514">{"SIMPLELIMITEDL17";((IF("17"=(INDEX(ALLCLASSDATA,MATCH("SimpleLimitedLegendary",CLASSFEATUREHEADERS,0),MATCH($A514,CLASSNAMEHEADERS,0))),(INDEX(ALLCLASSDATA,MATCH("SimpleLimitedLegendary",CLASSFEATUREHEADERS,0),MATCH(($A514 &amp; "Points"),CLASSNAMEHEADERS,0))),(IF("17"=(INDEX(ALLCLASSDATA,MATCH("SimpleLimitedMaster",CLASSFEATUREHEADERS,0),MATCH($A514,CLASSNAMEHEADERS,0))),(INDEX(ALLCLASSDATA,MATCH("SimpleLimitedMaster",CLASSFEATUREHEADERS,0),MATCH(($A514 &amp; "Points"),CLASSNAMEHEADERS,0))),(IF("17"=(INDEX(ALLCLASSDATA,MATCH("SimpleLimitedExpert",CLASSFEATUREHEADERS,0),MATCH($A514,CLASSNAMEHEADERS,0))),(INDEX(ALLCLASSDATA,MATCH("SimpleLimitedExpert",CLASSFEATUREHEADERS,0),MATCH(($A514 &amp; "Points"),CLASSNAMEHEADERS,0))),(IF("17"=(INDEX(ALLCLASSDATA,MATCH("SimpleLimitedTrained",CLASSFEATUREHEADERS,0),MATCH($A514,CLASSNAMEHEADERS,0))),(INDEX(ALLCLASSDATA,MATCH("SimpleLimitedTrained",CLASSFEATUREHEADERS,0),MATCH(($A514 &amp; "Points"),CLASSNAMEHEADERS,0))),"")))))))))}</f>
        <v>SIMPLELIMITEDL17</v>
      </c>
      <c r="X513" s="223"/>
      <c r="Y513" s="223" t="str">
        <f t="array" ref="Y513:Y514">{"SIMPLELIMITEDL19";((IF("19"=(INDEX(ALLCLASSDATA,MATCH("SimpleLimitedLegendary",CLASSFEATUREHEADERS,0),MATCH($A514,CLASSNAMEHEADERS,0))),(INDEX(ALLCLASSDATA,MATCH("SimpleLimitedLegendary",CLASSFEATUREHEADERS,0),MATCH(($A514 &amp; "Points"),CLASSNAMEHEADERS,0))),(IF("19"=(INDEX(ALLCLASSDATA,MATCH("SimpleLimitedMaster",CLASSFEATUREHEADERS,0),MATCH($A514,CLASSNAMEHEADERS,0))),(INDEX(ALLCLASSDATA,MATCH("SimpleLimitedMaster",CLASSFEATUREHEADERS,0),MATCH(($A514 &amp; "Points"),CLASSNAMEHEADERS,0))),(IF("19"=(INDEX(ALLCLASSDATA,MATCH("SimpleLimitedExpert",CLASSFEATUREHEADERS,0),MATCH($A514,CLASSNAMEHEADERS,0))),(INDEX(ALLCLASSDATA,MATCH("SimpleLimitedExpert",CLASSFEATUREHEADERS,0),MATCH(($A514 &amp; "Points"),CLASSNAMEHEADERS,0))),(IF("19"=(INDEX(ALLCLASSDATA,MATCH("SimpleLimitedTrained",CLASSFEATUREHEADERS,0),MATCH($A514,CLASSNAMEHEADERS,0))),(INDEX(ALLCLASSDATA,MATCH("SimpleLimitedTrained",CLASSFEATUREHEADERS,0),MATCH(($A514 &amp; "Points"),CLASSNAMEHEADERS,0))),"")))))))))}</f>
        <v>SIMPLELIMITEDL19</v>
      </c>
      <c r="Z513" s="223"/>
      <c r="AA513" s="76" t="str">
        <f t="array" ref="AA513:AA514">{"SIMPLELIMITED TOTAL";(IF(COUNTBLANK(F514:Z514)=17,"L",(IF(COUNTBLANK(F514:Z514)=18,"M",(IF(COUNTBLANK(F514:Z514)=19,"E",(IF(COUNTBLANK(F514:Z514)=20,"T",""))))))))}</f>
        <v>SIMPLELIMITED TOTAL</v>
      </c>
      <c r="AB513" s="76" t="str">
        <f t="array" ref="AB513:AB514">{"SIMPLELIMITED TOTAL";(sum(F514:Z514))}</f>
        <v>SIMPLELIMITED TOTAL</v>
      </c>
    </row>
    <row r="514">
      <c r="A514" s="48" t="s">
        <v>195</v>
      </c>
      <c r="B514" s="48" t="s">
        <v>417</v>
      </c>
      <c r="C514" s="48" t="s">
        <v>1634</v>
      </c>
      <c r="D514" s="48" t="s">
        <v>599</v>
      </c>
      <c r="E514" s="5" t="s">
        <v>603</v>
      </c>
      <c r="F514" s="47" t="s">
        <v>603</v>
      </c>
      <c r="G514" s="5" t="s">
        <v>603</v>
      </c>
      <c r="H514" s="5"/>
      <c r="I514" s="5" t="s">
        <v>603</v>
      </c>
      <c r="J514" s="5"/>
      <c r="K514" s="5" t="s">
        <v>603</v>
      </c>
      <c r="L514" s="5"/>
      <c r="M514" s="5" t="s">
        <v>603</v>
      </c>
      <c r="N514" s="5"/>
      <c r="O514" s="5" t="s">
        <v>603</v>
      </c>
      <c r="P514" s="5"/>
      <c r="Q514" s="5" t="s">
        <v>603</v>
      </c>
      <c r="R514" s="5"/>
      <c r="S514" s="5" t="s">
        <v>603</v>
      </c>
      <c r="T514" s="5"/>
      <c r="U514" s="5" t="s">
        <v>603</v>
      </c>
      <c r="V514" s="5"/>
      <c r="W514" s="5" t="s">
        <v>603</v>
      </c>
      <c r="X514" s="5"/>
      <c r="Y514" s="5" t="s">
        <v>603</v>
      </c>
      <c r="Z514" s="5"/>
      <c r="AA514" s="5" t="s">
        <v>603</v>
      </c>
      <c r="AB514" s="47">
        <v>0.0</v>
      </c>
    </row>
    <row r="515" hidden="1">
      <c r="A515" s="222" t="str">
        <f t="array" ref="A515:A516">{"FormulaRow29";(INDEX(CLASSLIST,A458,1))}</f>
        <v>FormulaRow29</v>
      </c>
      <c r="B515" s="222" t="str">
        <f t="array" ref="B515:B516">{"CLASSTYPE";((INDEX(ALLCLASSDATA,MATCH("ClassType",CLASSFEATUREHEADERS,0),MATCH($A516,CLASSNAMEHEADERS,0))))}</f>
        <v>CLASSTYPE</v>
      </c>
      <c r="C515" s="222" t="str">
        <f t="array" ref="C515:C516">{"ATTACK";"Attack"}</f>
        <v>ATTACK</v>
      </c>
      <c r="D515" s="222" t="str">
        <f t="array" ref="D515:D516">{"SIMPLE";"Simple"}</f>
        <v>SIMPLE</v>
      </c>
      <c r="E515" s="223" t="str">
        <f t="array" ref="E515:E516">{"SIMPLEINITIAL";((IF(G516=10,"T",(IF(G516=50,"E","")))))}</f>
        <v>SIMPLEINITIAL</v>
      </c>
      <c r="F515" s="223" t="str">
        <f t="array" ref="F515:F516">{"SIMPLEINITIALPTS";((IF("00"=(INDEX(ALLCLASSDATA,MATCH("SimpleLegendary",CLASSFEATUREHEADERS,0),MATCH($A516,CLASSNAMEHEADERS,0))),(INDEX(ALLCLASSDATA,MATCH("SimpleLegendary",CLASSFEATUREHEADERS,0),MATCH(($A516 &amp; "Points"),CLASSNAMEHEADERS,0))),(IF("00"=(INDEX(ALLCLASSDATA,MATCH("SimpleMaster",CLASSFEATUREHEADERS,0),MATCH($A516,CLASSNAMEHEADERS,0))),(INDEX(ALLCLASSDATA,MATCH("SimpleMaster",CLASSFEATUREHEADERS,0),MATCH(($A516 &amp; "Points"),CLASSNAMEHEADERS,0))),(IF("00"=(INDEX(ALLCLASSDATA,MATCH("SimpleExpert",CLASSFEATUREHEADERS,0),MATCH($A516,CLASSNAMEHEADERS,0))),(INDEX(ALLCLASSDATA,MATCH("SimpleExpert",CLASSFEATUREHEADERS,0),MATCH(($A516 &amp; "Points"),CLASSNAMEHEADERS,0))),(IF("00"=(INDEX(ALLCLASSDATA,MATCH("SimpleTrained",CLASSFEATUREHEADERS,0),MATCH($A516,CLASSNAMEHEADERS,0))),(INDEX(ALLCLASSDATA,MATCH("SimpleTrained",CLASSFEATUREHEADERS,0),MATCH(($A516 &amp; "Points"),CLASSNAMEHEADERS,0))),"")))))))))}</f>
        <v>SIMPLEINITIALPTS</v>
      </c>
      <c r="G515" s="223" t="str">
        <f t="array" ref="G515:G516">{"SIMPLEL01";((IF("01"=(INDEX(ALLCLASSDATA,MATCH("SimpleLegendary",CLASSFEATUREHEADERS,0),MATCH($A516,CLASSNAMEHEADERS,0))),(INDEX(ALLCLASSDATA,MATCH("SimpleLegendary",CLASSFEATUREHEADERS,0),MATCH(($A516 &amp; "Points"),CLASSNAMEHEADERS,0))),(IF("01"=(INDEX(ALLCLASSDATA,MATCH("SimpleMaster",CLASSFEATUREHEADERS,0),MATCH($A516,CLASSNAMEHEADERS,0))),(INDEX(ALLCLASSDATA,MATCH("SimpleMaster",CLASSFEATUREHEADERS,0),MATCH(($A516 &amp; "Points"),CLASSNAMEHEADERS,0))),(IF("01"=(INDEX(ALLCLASSDATA,MATCH("SimpleExpert",CLASSFEATUREHEADERS,0),MATCH($A516,CLASSNAMEHEADERS,0))),(INDEX(ALLCLASSDATA,MATCH("SimpleExpert",CLASSFEATUREHEADERS,0),MATCH(($A516 &amp; "Points"),CLASSNAMEHEADERS,0))),(IF("01"=(INDEX(ALLCLASSDATA,MATCH("SimpleTrained",CLASSFEATUREHEADERS,0),MATCH($A516,CLASSNAMEHEADERS,0))),(INDEX(ALLCLASSDATA,MATCH("SimpleTrained",CLASSFEATUREHEADERS,0),MATCH(($A516 &amp; "Points"),CLASSNAMEHEADERS,0))),"")))))))))}</f>
        <v>SIMPLEL01</v>
      </c>
      <c r="H515" s="223"/>
      <c r="I515" s="223" t="str">
        <f t="array" ref="I515:I516">{"SIMPLEL03";((IF("03"=(INDEX(ALLCLASSDATA,MATCH("SimpleLegendary",CLASSFEATUREHEADERS,0),MATCH($A516,CLASSNAMEHEADERS,0))),(INDEX(ALLCLASSDATA,MATCH("SimpleLegendary",CLASSFEATUREHEADERS,0),MATCH(($A516 &amp; "Points"),CLASSNAMEHEADERS,0))),(IF("03"=(INDEX(ALLCLASSDATA,MATCH("SimpleMaster",CLASSFEATUREHEADERS,0),MATCH($A516,CLASSNAMEHEADERS,0))),(INDEX(ALLCLASSDATA,MATCH("SimpleMaster",CLASSFEATUREHEADERS,0),MATCH(($A516 &amp; "Points"),CLASSNAMEHEADERS,0))),(IF("03"=(INDEX(ALLCLASSDATA,MATCH("SimpleExpert",CLASSFEATUREHEADERS,0),MATCH($A516,CLASSNAMEHEADERS,0))),(INDEX(ALLCLASSDATA,MATCH("SimpleExpert",CLASSFEATUREHEADERS,0),MATCH(($A516 &amp; "Points"),CLASSNAMEHEADERS,0))),(IF("03"=(INDEX(ALLCLASSDATA,MATCH("SimpleTrained",CLASSFEATUREHEADERS,0),MATCH($A516,CLASSNAMEHEADERS,0))),(INDEX(ALLCLASSDATA,MATCH("SimpleTrained",CLASSFEATUREHEADERS,0),MATCH(($A516 &amp; "Points"),CLASSNAMEHEADERS,0))),"")))))))))}</f>
        <v>SIMPLEL03</v>
      </c>
      <c r="J515" s="223"/>
      <c r="K515" s="223" t="str">
        <f t="array" ref="K515:K516">{"SIMPLEL05";((IF("05"=(INDEX(ALLCLASSDATA,MATCH("SimpleLegendary",CLASSFEATUREHEADERS,0),MATCH($A516,CLASSNAMEHEADERS,0))),(INDEX(ALLCLASSDATA,MATCH("SimpleLegendary",CLASSFEATUREHEADERS,0),MATCH(($A516 &amp; "Points"),CLASSNAMEHEADERS,0))),(IF("05"=(INDEX(ALLCLASSDATA,MATCH("SimpleMaster",CLASSFEATUREHEADERS,0),MATCH($A516,CLASSNAMEHEADERS,0))),(INDEX(ALLCLASSDATA,MATCH("SimpleMaster",CLASSFEATUREHEADERS,0),MATCH(($A516 &amp; "Points"),CLASSNAMEHEADERS,0))),(IF("05"=(INDEX(ALLCLASSDATA,MATCH("SimpleExpert",CLASSFEATUREHEADERS,0),MATCH($A516,CLASSNAMEHEADERS,0))),(INDEX(ALLCLASSDATA,MATCH("SimpleExpert",CLASSFEATUREHEADERS,0),MATCH(($A516 &amp; "Points"),CLASSNAMEHEADERS,0))),(IF("05"=(INDEX(ALLCLASSDATA,MATCH("SimpleTrained",CLASSFEATUREHEADERS,0),MATCH($A516,CLASSNAMEHEADERS,0))),(INDEX(ALLCLASSDATA,MATCH("SimpleTrained",CLASSFEATUREHEADERS,0),MATCH(($A516 &amp; "Points"),CLASSNAMEHEADERS,0))),"")))))))))}</f>
        <v>SIMPLEL05</v>
      </c>
      <c r="L515" s="223"/>
      <c r="M515" s="223" t="str">
        <f t="array" ref="M515:M516">{"SIMPLEL07";((IF("07"=(INDEX(ALLCLASSDATA,MATCH("SimpleLegendary",CLASSFEATUREHEADERS,0),MATCH($A516,CLASSNAMEHEADERS,0))),(INDEX(ALLCLASSDATA,MATCH("SimpleLegendary",CLASSFEATUREHEADERS,0),MATCH(($A516 &amp; "Points"),CLASSNAMEHEADERS,0))),(IF("07"=(INDEX(ALLCLASSDATA,MATCH("SimpleMaster",CLASSFEATUREHEADERS,0),MATCH($A516,CLASSNAMEHEADERS,0))),(INDEX(ALLCLASSDATA,MATCH("SimpleMaster",CLASSFEATUREHEADERS,0),MATCH(($A516 &amp; "Points"),CLASSNAMEHEADERS,0))),(IF("07"=(INDEX(ALLCLASSDATA,MATCH("SimpleExpert",CLASSFEATUREHEADERS,0),MATCH($A516,CLASSNAMEHEADERS,0))),(INDEX(ALLCLASSDATA,MATCH("SimpleExpert",CLASSFEATUREHEADERS,0),MATCH(($A516 &amp; "Points"),CLASSNAMEHEADERS,0))),(IF("07"=(INDEX(ALLCLASSDATA,MATCH("SimpleTrained",CLASSFEATUREHEADERS,0),MATCH($A516,CLASSNAMEHEADERS,0))),(INDEX(ALLCLASSDATA,MATCH("SimpleTrained",CLASSFEATUREHEADERS,0),MATCH(($A516 &amp; "Points"),CLASSNAMEHEADERS,0))),"")))))))))}</f>
        <v>SIMPLEL07</v>
      </c>
      <c r="N515" s="223"/>
      <c r="O515" s="223" t="str">
        <f t="array" ref="O515:O516">{"SIMPLEL09";((IF("09"=(INDEX(ALLCLASSDATA,MATCH("SimpleLegendary",CLASSFEATUREHEADERS,0),MATCH($A516,CLASSNAMEHEADERS,0))),(INDEX(ALLCLASSDATA,MATCH("SimpleLegendary",CLASSFEATUREHEADERS,0),MATCH(($A516 &amp; "Points"),CLASSNAMEHEADERS,0))),(IF("09"=(INDEX(ALLCLASSDATA,MATCH("SimpleMaster",CLASSFEATUREHEADERS,0),MATCH($A516,CLASSNAMEHEADERS,0))),(INDEX(ALLCLASSDATA,MATCH("SimpleMaster",CLASSFEATUREHEADERS,0),MATCH(($A516 &amp; "Points"),CLASSNAMEHEADERS,0))),(IF("09"=(INDEX(ALLCLASSDATA,MATCH("SimpleExpert",CLASSFEATUREHEADERS,0),MATCH($A516,CLASSNAMEHEADERS,0))),(INDEX(ALLCLASSDATA,MATCH("SimpleExpert",CLASSFEATUREHEADERS,0),MATCH(($A516 &amp; "Points"),CLASSNAMEHEADERS,0))),(IF("09"=(INDEX(ALLCLASSDATA,MATCH("SimpleTrained",CLASSFEATUREHEADERS,0),MATCH($A516,CLASSNAMEHEADERS,0))),(INDEX(ALLCLASSDATA,MATCH("SimpleTrained",CLASSFEATUREHEADERS,0),MATCH(($A516 &amp; "Points"),CLASSNAMEHEADERS,0))),"")))))))))}</f>
        <v>SIMPLEL09</v>
      </c>
      <c r="P515" s="223"/>
      <c r="Q515" s="223" t="str">
        <f t="array" ref="Q515:Q516">{"SIMPLEL11";((IF("11"=(INDEX(ALLCLASSDATA,MATCH("SimpleLegendary",CLASSFEATUREHEADERS,0),MATCH($A516,CLASSNAMEHEADERS,0))),(INDEX(ALLCLASSDATA,MATCH("SimpleLegendary",CLASSFEATUREHEADERS,0),MATCH(($A516 &amp; "Points"),CLASSNAMEHEADERS,0))),(IF("11"=(INDEX(ALLCLASSDATA,MATCH("SimpleMaster",CLASSFEATUREHEADERS,0),MATCH($A516,CLASSNAMEHEADERS,0))),(INDEX(ALLCLASSDATA,MATCH("SimpleMaster",CLASSFEATUREHEADERS,0),MATCH(($A516 &amp; "Points"),CLASSNAMEHEADERS,0))),(IF("11"=(INDEX(ALLCLASSDATA,MATCH("SimpleExpert",CLASSFEATUREHEADERS,0),MATCH($A516,CLASSNAMEHEADERS,0))),(INDEX(ALLCLASSDATA,MATCH("SimpleExpert",CLASSFEATUREHEADERS,0),MATCH(($A516 &amp; "Points"),CLASSNAMEHEADERS,0))),(IF("11"=(INDEX(ALLCLASSDATA,MATCH("SimpleTrained",CLASSFEATUREHEADERS,0),MATCH($A516,CLASSNAMEHEADERS,0))),(INDEX(ALLCLASSDATA,MATCH("SimpleTrained",CLASSFEATUREHEADERS,0),MATCH(($A516 &amp; "Points"),CLASSNAMEHEADERS,0))),"")))))))))}</f>
        <v>SIMPLEL11</v>
      </c>
      <c r="R515" s="223"/>
      <c r="S515" s="223" t="str">
        <f t="array" ref="S515:S516">{"SIMPLEL13";((IF("13"=(INDEX(ALLCLASSDATA,MATCH("SimpleLegendary",CLASSFEATUREHEADERS,0),MATCH($A516,CLASSNAMEHEADERS,0))),(INDEX(ALLCLASSDATA,MATCH("SimpleLegendary",CLASSFEATUREHEADERS,0),MATCH(($A516 &amp; "Points"),CLASSNAMEHEADERS,0))),(IF("13"=(INDEX(ALLCLASSDATA,MATCH("SimpleMaster",CLASSFEATUREHEADERS,0),MATCH($A516,CLASSNAMEHEADERS,0))),(INDEX(ALLCLASSDATA,MATCH("SimpleMaster",CLASSFEATUREHEADERS,0),MATCH(($A516 &amp; "Points"),CLASSNAMEHEADERS,0))),(IF("13"=(INDEX(ALLCLASSDATA,MATCH("SimpleExpert",CLASSFEATUREHEADERS,0),MATCH($A516,CLASSNAMEHEADERS,0))),(INDEX(ALLCLASSDATA,MATCH("SimpleExpert",CLASSFEATUREHEADERS,0),MATCH(($A516 &amp; "Points"),CLASSNAMEHEADERS,0))),(IF("13"=(INDEX(ALLCLASSDATA,MATCH("SimpleTrained",CLASSFEATUREHEADERS,0),MATCH($A516,CLASSNAMEHEADERS,0))),(INDEX(ALLCLASSDATA,MATCH("SimpleTrained",CLASSFEATUREHEADERS,0),MATCH(($A516 &amp; "Points"),CLASSNAMEHEADERS,0))),"")))))))))}</f>
        <v>SIMPLEL13</v>
      </c>
      <c r="T515" s="223"/>
      <c r="U515" s="223" t="str">
        <f t="array" ref="U515:U516">{"SIMPLEL15";((IF("15"=(INDEX(ALLCLASSDATA,MATCH("SimpleLegendary",CLASSFEATUREHEADERS,0),MATCH($A516,CLASSNAMEHEADERS,0))),(INDEX(ALLCLASSDATA,MATCH("SimpleLegendary",CLASSFEATUREHEADERS,0),MATCH(($A516 &amp; "Points"),CLASSNAMEHEADERS,0))),(IF("15"=(INDEX(ALLCLASSDATA,MATCH("SimpleMaster",CLASSFEATUREHEADERS,0),MATCH($A516,CLASSNAMEHEADERS,0))),(INDEX(ALLCLASSDATA,MATCH("SimpleMaster",CLASSFEATUREHEADERS,0),MATCH(($A516 &amp; "Points"),CLASSNAMEHEADERS,0))),(IF("15"=(INDEX(ALLCLASSDATA,MATCH("SimpleExpert",CLASSFEATUREHEADERS,0),MATCH($A516,CLASSNAMEHEADERS,0))),(INDEX(ALLCLASSDATA,MATCH("SimpleExpert",CLASSFEATUREHEADERS,0),MATCH(($A516 &amp; "Points"),CLASSNAMEHEADERS,0))),(IF("15"=(INDEX(ALLCLASSDATA,MATCH("SimpleTrained",CLASSFEATUREHEADERS,0),MATCH($A516,CLASSNAMEHEADERS,0))),(INDEX(ALLCLASSDATA,MATCH("SimpleTrained",CLASSFEATUREHEADERS,0),MATCH(($A516 &amp; "Points"),CLASSNAMEHEADERS,0))),"")))))))))}</f>
        <v>SIMPLEL15</v>
      </c>
      <c r="V515" s="223"/>
      <c r="W515" s="223" t="str">
        <f t="array" ref="W515:W516">{"SIMPLEL17";((IF("17"=(INDEX(ALLCLASSDATA,MATCH("SimpleLegendary",CLASSFEATUREHEADERS,0),MATCH($A516,CLASSNAMEHEADERS,0))),(INDEX(ALLCLASSDATA,MATCH("SimpleLegendary",CLASSFEATUREHEADERS,0),MATCH(($A516 &amp; "Points"),CLASSNAMEHEADERS,0))),(IF("17"=(INDEX(ALLCLASSDATA,MATCH("SimpleMaster",CLASSFEATUREHEADERS,0),MATCH($A516,CLASSNAMEHEADERS,0))),(INDEX(ALLCLASSDATA,MATCH("SimpleMaster",CLASSFEATUREHEADERS,0),MATCH(($A516 &amp; "Points"),CLASSNAMEHEADERS,0))),(IF("17"=(INDEX(ALLCLASSDATA,MATCH("SimpleExpert",CLASSFEATUREHEADERS,0),MATCH($A516,CLASSNAMEHEADERS,0))),(INDEX(ALLCLASSDATA,MATCH("SimpleExpert",CLASSFEATUREHEADERS,0),MATCH(($A516 &amp; "Points"),CLASSNAMEHEADERS,0))),(IF("17"=(INDEX(ALLCLASSDATA,MATCH("SimpleTrained",CLASSFEATUREHEADERS,0),MATCH($A516,CLASSNAMEHEADERS,0))),(INDEX(ALLCLASSDATA,MATCH("SimpleTrained",CLASSFEATUREHEADERS,0),MATCH(($A516 &amp; "Points"),CLASSNAMEHEADERS,0))),"")))))))))}</f>
        <v>SIMPLEL17</v>
      </c>
      <c r="X515" s="223"/>
      <c r="Y515" s="223" t="str">
        <f t="array" ref="Y515:Y516">{"SIMPLEL19";((IF("19"=(INDEX(ALLCLASSDATA,MATCH("SimpleLegendary",CLASSFEATUREHEADERS,0),MATCH($A516,CLASSNAMEHEADERS,0))),(INDEX(ALLCLASSDATA,MATCH("SimpleLegendary",CLASSFEATUREHEADERS,0),MATCH(($A516 &amp; "Points"),CLASSNAMEHEADERS,0))),(IF("19"=(INDEX(ALLCLASSDATA,MATCH("SimpleMaster",CLASSFEATUREHEADERS,0),MATCH($A516,CLASSNAMEHEADERS,0))),(INDEX(ALLCLASSDATA,MATCH("SimpleMaster",CLASSFEATUREHEADERS,0),MATCH(($A516 &amp; "Points"),CLASSNAMEHEADERS,0))),(IF("19"=(INDEX(ALLCLASSDATA,MATCH("SimpleExpert",CLASSFEATUREHEADERS,0),MATCH($A516,CLASSNAMEHEADERS,0))),(INDEX(ALLCLASSDATA,MATCH("SimpleExpert",CLASSFEATUREHEADERS,0),MATCH(($A516 &amp; "Points"),CLASSNAMEHEADERS,0))),(IF("19"=(INDEX(ALLCLASSDATA,MATCH("SimpleTrained",CLASSFEATUREHEADERS,0),MATCH($A516,CLASSNAMEHEADERS,0))),(INDEX(ALLCLASSDATA,MATCH("SimpleTrained",CLASSFEATUREHEADERS,0),MATCH(($A516 &amp; "Points"),CLASSNAMEHEADERS,0))),"")))))))))}</f>
        <v>SIMPLEL19</v>
      </c>
      <c r="Z515" s="223"/>
      <c r="AA515" s="76" t="str">
        <f t="array" ref="AA515:AA516">{"SIMPLE TOTAL";(IF(COUNTBLANK(F516:Z516)=17,"L",(IF(COUNTBLANK(F516:Z516)=18,"M",(IF(COUNTBLANK(F516:Z516)=19,"E",(IF(COUNTBLANK(F516:Z516)=20,"T",""))))))))}</f>
        <v>SIMPLE TOTAL</v>
      </c>
      <c r="AB515" s="76" t="str">
        <f t="array" ref="AB515:AB516">{"SIMPLE TOTAL";(sum(F516:Z516))}</f>
        <v>SIMPLE TOTAL</v>
      </c>
    </row>
    <row r="516">
      <c r="A516" s="48" t="s">
        <v>195</v>
      </c>
      <c r="B516" s="48" t="s">
        <v>417</v>
      </c>
      <c r="C516" s="48" t="s">
        <v>1634</v>
      </c>
      <c r="D516" s="48" t="s">
        <v>68</v>
      </c>
      <c r="E516" s="5" t="s">
        <v>435</v>
      </c>
      <c r="F516" s="47" t="s">
        <v>603</v>
      </c>
      <c r="G516" s="5">
        <v>10.0</v>
      </c>
      <c r="H516" s="5"/>
      <c r="I516" s="5" t="s">
        <v>603</v>
      </c>
      <c r="J516" s="5"/>
      <c r="K516" s="5" t="s">
        <v>603</v>
      </c>
      <c r="L516" s="5"/>
      <c r="M516" s="5" t="s">
        <v>603</v>
      </c>
      <c r="N516" s="5"/>
      <c r="O516" s="5" t="s">
        <v>603</v>
      </c>
      <c r="P516" s="5"/>
      <c r="Q516" s="5">
        <v>50.0</v>
      </c>
      <c r="R516" s="5"/>
      <c r="S516" s="5" t="s">
        <v>603</v>
      </c>
      <c r="T516" s="5"/>
      <c r="U516" s="5" t="s">
        <v>603</v>
      </c>
      <c r="V516" s="5"/>
      <c r="W516" s="5" t="s">
        <v>603</v>
      </c>
      <c r="X516" s="5"/>
      <c r="Y516" s="5" t="s">
        <v>603</v>
      </c>
      <c r="Z516" s="5"/>
      <c r="AA516" s="5" t="s">
        <v>436</v>
      </c>
      <c r="AB516" s="47">
        <v>60.0</v>
      </c>
    </row>
    <row r="517" hidden="1">
      <c r="A517" s="222" t="str">
        <f t="array" ref="A517:A518">{"FormulaRow30";(INDEX(CLASSLIST,A458,1))}</f>
        <v>FormulaRow30</v>
      </c>
      <c r="B517" s="222" t="str">
        <f t="array" ref="B517:B518">{"CLASSTYPE";((INDEX(ALLCLASSDATA,MATCH("ClassType",CLASSFEATUREHEADERS,0),MATCH($A518,CLASSNAMEHEADERS,0))))}</f>
        <v>CLASSTYPE</v>
      </c>
      <c r="C517" s="222" t="str">
        <f t="array" ref="C517:C518">{"ATTACK";"Attack"}</f>
        <v>ATTACK</v>
      </c>
      <c r="D517" s="222" t="str">
        <f t="array" ref="D517:D518">{"MARTIALLIMITED";"MartialLimited"}</f>
        <v>MARTIALLIMITED</v>
      </c>
      <c r="E517" s="223" t="str">
        <f t="array" ref="E517:E518">{"MARTIALLIMITEDINITIAL";((IF(G518=10,"T",(IF(G518=50,"E","")))))}</f>
        <v>MARTIALLIMITEDINITIAL</v>
      </c>
      <c r="F517" s="223" t="str">
        <f t="array" ref="F517:F518">{"MARTIALLIMITEDINITIALPTS";((IF("00"=(INDEX(ALLCLASSDATA,MATCH("MartialLimitedLegendary",CLASSFEATUREHEADERS,0),MATCH($A518,CLASSNAMEHEADERS,0))),(INDEX(ALLCLASSDATA,MATCH("MartialLimitedLegendary",CLASSFEATUREHEADERS,0),MATCH(($A518 &amp; "Points"),CLASSNAMEHEADERS,0))),(IF("00"=(INDEX(ALLCLASSDATA,MATCH("MartialLimitedMaster",CLASSFEATUREHEADERS,0),MATCH($A518,CLASSNAMEHEADERS,0))),(INDEX(ALLCLASSDATA,MATCH("MartialLimitedMaster",CLASSFEATUREHEADERS,0),MATCH(($A518 &amp; "Points"),CLASSNAMEHEADERS,0))),(IF("00"=(INDEX(ALLCLASSDATA,MATCH("MartialLimitedExpert",CLASSFEATUREHEADERS,0),MATCH($A518,CLASSNAMEHEADERS,0))),(INDEX(ALLCLASSDATA,MATCH("MartialLimitedExpert",CLASSFEATUREHEADERS,0),MATCH(($A518 &amp; "Points"),CLASSNAMEHEADERS,0))),(IF("00"=(INDEX(ALLCLASSDATA,MATCH("MartialLimitedTrained",CLASSFEATUREHEADERS,0),MATCH($A518,CLASSNAMEHEADERS,0))),(INDEX(ALLCLASSDATA,MATCH("MartialLimitedTrained",CLASSFEATUREHEADERS,0),MATCH(($A518 &amp; "Points"),CLASSNAMEHEADERS,0))),"")))))))))}</f>
        <v>MARTIALLIMITEDINITIALPTS</v>
      </c>
      <c r="G517" s="223" t="str">
        <f t="array" ref="G517:G518">{"MARTIALLIMITEDL01";((IF("01"=(INDEX(ALLCLASSDATA,MATCH("MartialLimitedLegendary",CLASSFEATUREHEADERS,0),MATCH($A518,CLASSNAMEHEADERS,0))),(INDEX(ALLCLASSDATA,MATCH("MartialLimitedLegendary",CLASSFEATUREHEADERS,0),MATCH(($A518 &amp; "Points"),CLASSNAMEHEADERS,0))),(IF("01"=(INDEX(ALLCLASSDATA,MATCH("MartialLimitedMaster",CLASSFEATUREHEADERS,0),MATCH($A518,CLASSNAMEHEADERS,0))),(INDEX(ALLCLASSDATA,MATCH("MartialLimitedMaster",CLASSFEATUREHEADERS,0),MATCH(($A518 &amp; "Points"),CLASSNAMEHEADERS,0))),(IF("01"=(INDEX(ALLCLASSDATA,MATCH("MartialLimitedExpert",CLASSFEATUREHEADERS,0),MATCH($A518,CLASSNAMEHEADERS,0))),(INDEX(ALLCLASSDATA,MATCH("MartialLimitedExpert",CLASSFEATUREHEADERS,0),MATCH(($A518 &amp; "Points"),CLASSNAMEHEADERS,0))),(IF("01"=(INDEX(ALLCLASSDATA,MATCH("MartialLimitedTrained",CLASSFEATUREHEADERS,0),MATCH($A518,CLASSNAMEHEADERS,0))),(INDEX(ALLCLASSDATA,MATCH("MartialLimitedTrained",CLASSFEATUREHEADERS,0),MATCH(($A518 &amp; "Points"),CLASSNAMEHEADERS,0))),"")))))))))}</f>
        <v>MARTIALLIMITEDL01</v>
      </c>
      <c r="H517" s="223"/>
      <c r="I517" s="223" t="str">
        <f t="array" ref="I517:I518">{"MARTIALLIMITEDL03";((IF("03"=(INDEX(ALLCLASSDATA,MATCH("MartialLimitedLegendary",CLASSFEATUREHEADERS,0),MATCH($A518,CLASSNAMEHEADERS,0))),(INDEX(ALLCLASSDATA,MATCH("MartialLimitedLegendary",CLASSFEATUREHEADERS,0),MATCH(($A518 &amp; "Points"),CLASSNAMEHEADERS,0))),(IF("03"=(INDEX(ALLCLASSDATA,MATCH("MartialLimitedMaster",CLASSFEATUREHEADERS,0),MATCH($A518,CLASSNAMEHEADERS,0))),(INDEX(ALLCLASSDATA,MATCH("MartialLimitedMaster",CLASSFEATUREHEADERS,0),MATCH(($A518 &amp; "Points"),CLASSNAMEHEADERS,0))),(IF("03"=(INDEX(ALLCLASSDATA,MATCH("MartialLimitedExpert",CLASSFEATUREHEADERS,0),MATCH($A518,CLASSNAMEHEADERS,0))),(INDEX(ALLCLASSDATA,MATCH("MartialLimitedExpert",CLASSFEATUREHEADERS,0),MATCH(($A518 &amp; "Points"),CLASSNAMEHEADERS,0))),(IF("03"=(INDEX(ALLCLASSDATA,MATCH("MartialLimitedTrained",CLASSFEATUREHEADERS,0),MATCH($A518,CLASSNAMEHEADERS,0))),(INDEX(ALLCLASSDATA,MATCH("MartialLimitedTrained",CLASSFEATUREHEADERS,0),MATCH(($A518 &amp; "Points"),CLASSNAMEHEADERS,0))),"")))))))))}</f>
        <v>MARTIALLIMITEDL03</v>
      </c>
      <c r="J517" s="223"/>
      <c r="K517" s="223" t="str">
        <f t="array" ref="K517:K518">{"MARTIALLIMITEDL05";((IF("05"=(INDEX(ALLCLASSDATA,MATCH("MartialLimitedLegendary",CLASSFEATUREHEADERS,0),MATCH($A518,CLASSNAMEHEADERS,0))),(INDEX(ALLCLASSDATA,MATCH("MartialLimitedLegendary",CLASSFEATUREHEADERS,0),MATCH(($A518 &amp; "Points"),CLASSNAMEHEADERS,0))),(IF("05"=(INDEX(ALLCLASSDATA,MATCH("MartialLimitedMaster",CLASSFEATUREHEADERS,0),MATCH($A518,CLASSNAMEHEADERS,0))),(INDEX(ALLCLASSDATA,MATCH("MartialLimitedMaster",CLASSFEATUREHEADERS,0),MATCH(($A518 &amp; "Points"),CLASSNAMEHEADERS,0))),(IF("05"=(INDEX(ALLCLASSDATA,MATCH("MartialLimitedExpert",CLASSFEATUREHEADERS,0),MATCH($A518,CLASSNAMEHEADERS,0))),(INDEX(ALLCLASSDATA,MATCH("MartialLimitedExpert",CLASSFEATUREHEADERS,0),MATCH(($A518 &amp; "Points"),CLASSNAMEHEADERS,0))),(IF("05"=(INDEX(ALLCLASSDATA,MATCH("MartialLimitedTrained",CLASSFEATUREHEADERS,0),MATCH($A518,CLASSNAMEHEADERS,0))),(INDEX(ALLCLASSDATA,MATCH("MartialLimitedTrained",CLASSFEATUREHEADERS,0),MATCH(($A518 &amp; "Points"),CLASSNAMEHEADERS,0))),"")))))))))}</f>
        <v>MARTIALLIMITEDL05</v>
      </c>
      <c r="L517" s="223"/>
      <c r="M517" s="223" t="str">
        <f t="array" ref="M517:M518">{"MARTIALLIMITEDL07";((IF("07"=(INDEX(ALLCLASSDATA,MATCH("MartialLimitedLegendary",CLASSFEATUREHEADERS,0),MATCH($A518,CLASSNAMEHEADERS,0))),(INDEX(ALLCLASSDATA,MATCH("MartialLimitedLegendary",CLASSFEATUREHEADERS,0),MATCH(($A518 &amp; "Points"),CLASSNAMEHEADERS,0))),(IF("07"=(INDEX(ALLCLASSDATA,MATCH("MartialLimitedMaster",CLASSFEATUREHEADERS,0),MATCH($A518,CLASSNAMEHEADERS,0))),(INDEX(ALLCLASSDATA,MATCH("MartialLimitedMaster",CLASSFEATUREHEADERS,0),MATCH(($A518 &amp; "Points"),CLASSNAMEHEADERS,0))),(IF("07"=(INDEX(ALLCLASSDATA,MATCH("MartialLimitedExpert",CLASSFEATUREHEADERS,0),MATCH($A518,CLASSNAMEHEADERS,0))),(INDEX(ALLCLASSDATA,MATCH("MartialLimitedExpert",CLASSFEATUREHEADERS,0),MATCH(($A518 &amp; "Points"),CLASSNAMEHEADERS,0))),(IF("07"=(INDEX(ALLCLASSDATA,MATCH("MartialLimitedTrained",CLASSFEATUREHEADERS,0),MATCH($A518,CLASSNAMEHEADERS,0))),(INDEX(ALLCLASSDATA,MATCH("MartialLimitedTrained",CLASSFEATUREHEADERS,0),MATCH(($A518 &amp; "Points"),CLASSNAMEHEADERS,0))),"")))))))))}</f>
        <v>MARTIALLIMITEDL07</v>
      </c>
      <c r="N517" s="223"/>
      <c r="O517" s="223" t="str">
        <f t="array" ref="O517:O518">{"MARTIALLIMITEDL09";((IF("09"=(INDEX(ALLCLASSDATA,MATCH("MartialLimitedLegendary",CLASSFEATUREHEADERS,0),MATCH($A518,CLASSNAMEHEADERS,0))),(INDEX(ALLCLASSDATA,MATCH("MartialLimitedLegendary",CLASSFEATUREHEADERS,0),MATCH(($A518 &amp; "Points"),CLASSNAMEHEADERS,0))),(IF("09"=(INDEX(ALLCLASSDATA,MATCH("MartialLimitedMaster",CLASSFEATUREHEADERS,0),MATCH($A518,CLASSNAMEHEADERS,0))),(INDEX(ALLCLASSDATA,MATCH("MartialLimitedMaster",CLASSFEATUREHEADERS,0),MATCH(($A518 &amp; "Points"),CLASSNAMEHEADERS,0))),(IF("09"=(INDEX(ALLCLASSDATA,MATCH("MartialLimitedExpert",CLASSFEATUREHEADERS,0),MATCH($A518,CLASSNAMEHEADERS,0))),(INDEX(ALLCLASSDATA,MATCH("MartialLimitedExpert",CLASSFEATUREHEADERS,0),MATCH(($A518 &amp; "Points"),CLASSNAMEHEADERS,0))),(IF("09"=(INDEX(ALLCLASSDATA,MATCH("MartialLimitedTrained",CLASSFEATUREHEADERS,0),MATCH($A518,CLASSNAMEHEADERS,0))),(INDEX(ALLCLASSDATA,MATCH("MartialLimitedTrained",CLASSFEATUREHEADERS,0),MATCH(($A518 &amp; "Points"),CLASSNAMEHEADERS,0))),"")))))))))}</f>
        <v>MARTIALLIMITEDL09</v>
      </c>
      <c r="P517" s="223"/>
      <c r="Q517" s="223" t="str">
        <f t="array" ref="Q517:Q518">{"MARTIALLIMITEDL11";((IF("11"=(INDEX(ALLCLASSDATA,MATCH("MartialLimitedLegendary",CLASSFEATUREHEADERS,0),MATCH($A518,CLASSNAMEHEADERS,0))),(INDEX(ALLCLASSDATA,MATCH("MartialLimitedLegendary",CLASSFEATUREHEADERS,0),MATCH(($A518 &amp; "Points"),CLASSNAMEHEADERS,0))),(IF("11"=(INDEX(ALLCLASSDATA,MATCH("MartialLimitedMaster",CLASSFEATUREHEADERS,0),MATCH($A518,CLASSNAMEHEADERS,0))),(INDEX(ALLCLASSDATA,MATCH("MartialLimitedMaster",CLASSFEATUREHEADERS,0),MATCH(($A518 &amp; "Points"),CLASSNAMEHEADERS,0))),(IF("11"=(INDEX(ALLCLASSDATA,MATCH("MartialLimitedExpert",CLASSFEATUREHEADERS,0),MATCH($A518,CLASSNAMEHEADERS,0))),(INDEX(ALLCLASSDATA,MATCH("MartialLimitedExpert",CLASSFEATUREHEADERS,0),MATCH(($A518 &amp; "Points"),CLASSNAMEHEADERS,0))),(IF("11"=(INDEX(ALLCLASSDATA,MATCH("MartialLimitedTrained",CLASSFEATUREHEADERS,0),MATCH($A518,CLASSNAMEHEADERS,0))),(INDEX(ALLCLASSDATA,MATCH("MartialLimitedTrained",CLASSFEATUREHEADERS,0),MATCH(($A518 &amp; "Points"),CLASSNAMEHEADERS,0))),"")))))))))}</f>
        <v>MARTIALLIMITEDL11</v>
      </c>
      <c r="R517" s="223"/>
      <c r="S517" s="223" t="str">
        <f t="array" ref="S517:S518">{"MARTIALLIMITEDL13";((IF("13"=(INDEX(ALLCLASSDATA,MATCH("MartialLimitedLegendary",CLASSFEATUREHEADERS,0),MATCH($A518,CLASSNAMEHEADERS,0))),(INDEX(ALLCLASSDATA,MATCH("MartialLimitedLegendary",CLASSFEATUREHEADERS,0),MATCH(($A518 &amp; "Points"),CLASSNAMEHEADERS,0))),(IF("13"=(INDEX(ALLCLASSDATA,MATCH("MartialLimitedMaster",CLASSFEATUREHEADERS,0),MATCH($A518,CLASSNAMEHEADERS,0))),(INDEX(ALLCLASSDATA,MATCH("MartialLimitedMaster",CLASSFEATUREHEADERS,0),MATCH(($A518 &amp; "Points"),CLASSNAMEHEADERS,0))),(IF("13"=(INDEX(ALLCLASSDATA,MATCH("MartialLimitedExpert",CLASSFEATUREHEADERS,0),MATCH($A518,CLASSNAMEHEADERS,0))),(INDEX(ALLCLASSDATA,MATCH("MartialLimitedExpert",CLASSFEATUREHEADERS,0),MATCH(($A518 &amp; "Points"),CLASSNAMEHEADERS,0))),(IF("13"=(INDEX(ALLCLASSDATA,MATCH("MartialLimitedTrained",CLASSFEATUREHEADERS,0),MATCH($A518,CLASSNAMEHEADERS,0))),(INDEX(ALLCLASSDATA,MATCH("MartialLimitedTrained",CLASSFEATUREHEADERS,0),MATCH(($A518 &amp; "Points"),CLASSNAMEHEADERS,0))),"")))))))))}</f>
        <v>MARTIALLIMITEDL13</v>
      </c>
      <c r="T517" s="223"/>
      <c r="U517" s="223" t="str">
        <f t="array" ref="U517:U518">{"MARTIALLIMITEDL15";((IF("15"=(INDEX(ALLCLASSDATA,MATCH("MartialLimitedLegendary",CLASSFEATUREHEADERS,0),MATCH($A518,CLASSNAMEHEADERS,0))),(INDEX(ALLCLASSDATA,MATCH("MartialLimitedLegendary",CLASSFEATUREHEADERS,0),MATCH(($A518 &amp; "Points"),CLASSNAMEHEADERS,0))),(IF("15"=(INDEX(ALLCLASSDATA,MATCH("MartialLimitedMaster",CLASSFEATUREHEADERS,0),MATCH($A518,CLASSNAMEHEADERS,0))),(INDEX(ALLCLASSDATA,MATCH("MartialLimitedMaster",CLASSFEATUREHEADERS,0),MATCH(($A518 &amp; "Points"),CLASSNAMEHEADERS,0))),(IF("15"=(INDEX(ALLCLASSDATA,MATCH("MartialLimitedExpert",CLASSFEATUREHEADERS,0),MATCH($A518,CLASSNAMEHEADERS,0))),(INDEX(ALLCLASSDATA,MATCH("MartialLimitedExpert",CLASSFEATUREHEADERS,0),MATCH(($A518 &amp; "Points"),CLASSNAMEHEADERS,0))),(IF("15"=(INDEX(ALLCLASSDATA,MATCH("MartialLimitedTrained",CLASSFEATUREHEADERS,0),MATCH($A518,CLASSNAMEHEADERS,0))),(INDEX(ALLCLASSDATA,MATCH("MartialLimitedTrained",CLASSFEATUREHEADERS,0),MATCH(($A518 &amp; "Points"),CLASSNAMEHEADERS,0))),"")))))))))}</f>
        <v>MARTIALLIMITEDL15</v>
      </c>
      <c r="V517" s="223"/>
      <c r="W517" s="223" t="str">
        <f t="array" ref="W517:W518">{"MARTIALLIMITEDL17";((IF("17"=(INDEX(ALLCLASSDATA,MATCH("MartialLimitedLegendary",CLASSFEATUREHEADERS,0),MATCH($A518,CLASSNAMEHEADERS,0))),(INDEX(ALLCLASSDATA,MATCH("MartialLimitedLegendary",CLASSFEATUREHEADERS,0),MATCH(($A518 &amp; "Points"),CLASSNAMEHEADERS,0))),(IF("17"=(INDEX(ALLCLASSDATA,MATCH("MartialLimitedMaster",CLASSFEATUREHEADERS,0),MATCH($A518,CLASSNAMEHEADERS,0))),(INDEX(ALLCLASSDATA,MATCH("MartialLimitedMaster",CLASSFEATUREHEADERS,0),MATCH(($A518 &amp; "Points"),CLASSNAMEHEADERS,0))),(IF("17"=(INDEX(ALLCLASSDATA,MATCH("MartialLimitedExpert",CLASSFEATUREHEADERS,0),MATCH($A518,CLASSNAMEHEADERS,0))),(INDEX(ALLCLASSDATA,MATCH("MartialLimitedExpert",CLASSFEATUREHEADERS,0),MATCH(($A518 &amp; "Points"),CLASSNAMEHEADERS,0))),(IF("17"=(INDEX(ALLCLASSDATA,MATCH("MartialLimitedTrained",CLASSFEATUREHEADERS,0),MATCH($A518,CLASSNAMEHEADERS,0))),(INDEX(ALLCLASSDATA,MATCH("MartialLimitedTrained",CLASSFEATUREHEADERS,0),MATCH(($A518 &amp; "Points"),CLASSNAMEHEADERS,0))),"")))))))))}</f>
        <v>MARTIALLIMITEDL17</v>
      </c>
      <c r="X517" s="223"/>
      <c r="Y517" s="223" t="str">
        <f t="array" ref="Y517:Y518">{"MARTIALLIMITEDL19";((IF("19"=(INDEX(ALLCLASSDATA,MATCH("MartialLimitedLegendary",CLASSFEATUREHEADERS,0),MATCH($A518,CLASSNAMEHEADERS,0))),(INDEX(ALLCLASSDATA,MATCH("MartialLimitedLegendary",CLASSFEATUREHEADERS,0),MATCH(($A518 &amp; "Points"),CLASSNAMEHEADERS,0))),(IF("19"=(INDEX(ALLCLASSDATA,MATCH("MartialLimitedMaster",CLASSFEATUREHEADERS,0),MATCH($A518,CLASSNAMEHEADERS,0))),(INDEX(ALLCLASSDATA,MATCH("MartialLimitedMaster",CLASSFEATUREHEADERS,0),MATCH(($A518 &amp; "Points"),CLASSNAMEHEADERS,0))),(IF("19"=(INDEX(ALLCLASSDATA,MATCH("MartialLimitedExpert",CLASSFEATUREHEADERS,0),MATCH($A518,CLASSNAMEHEADERS,0))),(INDEX(ALLCLASSDATA,MATCH("MartialLimitedExpert",CLASSFEATUREHEADERS,0),MATCH(($A518 &amp; "Points"),CLASSNAMEHEADERS,0))),(IF("19"=(INDEX(ALLCLASSDATA,MATCH("MartialLimitedTrained",CLASSFEATUREHEADERS,0),MATCH($A518,CLASSNAMEHEADERS,0))),(INDEX(ALLCLASSDATA,MATCH("MartialLimitedTrained",CLASSFEATUREHEADERS,0),MATCH(($A518 &amp; "Points"),CLASSNAMEHEADERS,0))),"")))))))))}</f>
        <v>MARTIALLIMITEDL19</v>
      </c>
      <c r="Z517" s="223"/>
      <c r="AA517" s="76" t="str">
        <f t="array" ref="AA517:AA518">{"MARTIALLIMITED TOTAL";(IF(COUNTBLANK(F518:Z518)=17,"L",(IF(COUNTBLANK(F518:Z518)=18,"M",(IF(COUNTBLANK(F518:Z518)=19,"E",(IF(COUNTBLANK(F518:Z518)=20,"T",""))))))))}</f>
        <v>MARTIALLIMITED TOTAL</v>
      </c>
      <c r="AB517" s="76" t="str">
        <f t="array" ref="AB517:AB518">{"MARTIALLIMITED TOTAL";(sum(F518:Z518))}</f>
        <v>MARTIALLIMITED TOTAL</v>
      </c>
    </row>
    <row r="518">
      <c r="A518" s="48" t="s">
        <v>195</v>
      </c>
      <c r="B518" s="48" t="s">
        <v>417</v>
      </c>
      <c r="C518" s="48" t="s">
        <v>1634</v>
      </c>
      <c r="D518" s="48" t="s">
        <v>600</v>
      </c>
      <c r="E518" s="5" t="s">
        <v>603</v>
      </c>
      <c r="F518" s="47" t="s">
        <v>603</v>
      </c>
      <c r="G518" s="5" t="s">
        <v>603</v>
      </c>
      <c r="H518" s="5"/>
      <c r="I518" s="5" t="s">
        <v>603</v>
      </c>
      <c r="J518" s="5"/>
      <c r="K518" s="5" t="s">
        <v>603</v>
      </c>
      <c r="L518" s="5"/>
      <c r="M518" s="5" t="s">
        <v>603</v>
      </c>
      <c r="N518" s="5"/>
      <c r="O518" s="5" t="s">
        <v>603</v>
      </c>
      <c r="P518" s="5"/>
      <c r="Q518" s="5" t="s">
        <v>603</v>
      </c>
      <c r="R518" s="5"/>
      <c r="S518" s="5" t="s">
        <v>603</v>
      </c>
      <c r="T518" s="5"/>
      <c r="U518" s="5" t="s">
        <v>603</v>
      </c>
      <c r="V518" s="5"/>
      <c r="W518" s="5" t="s">
        <v>603</v>
      </c>
      <c r="X518" s="5"/>
      <c r="Y518" s="5" t="s">
        <v>603</v>
      </c>
      <c r="Z518" s="5"/>
      <c r="AA518" s="5" t="s">
        <v>603</v>
      </c>
      <c r="AB518" s="47">
        <v>0.0</v>
      </c>
    </row>
    <row r="519" hidden="1">
      <c r="A519" s="222" t="str">
        <f t="array" ref="A519:A520">{"FormulaRow31";(INDEX(CLASSLIST,A458,1))}</f>
        <v>FormulaRow31</v>
      </c>
      <c r="B519" s="222" t="str">
        <f t="array" ref="B519:B520">{"CLASSTYPE";((INDEX(ALLCLASSDATA,MATCH("ClassType",CLASSFEATUREHEADERS,0),MATCH($A520,CLASSNAMEHEADERS,0))))}</f>
        <v>CLASSTYPE</v>
      </c>
      <c r="C519" s="222" t="str">
        <f t="array" ref="C519:C520">{"ATTACK";"Attack"}</f>
        <v>ATTACK</v>
      </c>
      <c r="D519" s="222" t="str">
        <f t="array" ref="D519:D520">{"MARTIAL";"Martial"}</f>
        <v>MARTIAL</v>
      </c>
      <c r="E519" s="223" t="str">
        <f t="array" ref="E519:E520">{"MARTIALINITIAL";((IF(G520=10,"T",(IF(G520=50,"E","")))))}</f>
        <v>MARTIALINITIAL</v>
      </c>
      <c r="F519" s="223" t="str">
        <f t="array" ref="F519:F520">{"MARTIALINITIALPTS";((IF("00"=(INDEX(ALLCLASSDATA,MATCH("MartialLegendary",CLASSFEATUREHEADERS,0),MATCH($A520,CLASSNAMEHEADERS,0))),(INDEX(ALLCLASSDATA,MATCH("MartialLegendary",CLASSFEATUREHEADERS,0),MATCH(($A520 &amp; "Points"),CLASSNAMEHEADERS,0))),(IF("00"=(INDEX(ALLCLASSDATA,MATCH("MartialMaster",CLASSFEATUREHEADERS,0),MATCH($A520,CLASSNAMEHEADERS,0))),(INDEX(ALLCLASSDATA,MATCH("MartialMaster",CLASSFEATUREHEADERS,0),MATCH(($A520 &amp; "Points"),CLASSNAMEHEADERS,0))),(IF("00"=(INDEX(ALLCLASSDATA,MATCH("MartialExpert",CLASSFEATUREHEADERS,0),MATCH($A520,CLASSNAMEHEADERS,0))),(INDEX(ALLCLASSDATA,MATCH("MartialExpert",CLASSFEATUREHEADERS,0),MATCH(($A520 &amp; "Points"),CLASSNAMEHEADERS,0))),(IF("00"=(INDEX(ALLCLASSDATA,MATCH("MartialTrained",CLASSFEATUREHEADERS,0),MATCH($A520,CLASSNAMEHEADERS,0))),(INDEX(ALLCLASSDATA,MATCH("MartialTrained",CLASSFEATUREHEADERS,0),MATCH(($A520 &amp; "Points"),CLASSNAMEHEADERS,0))),"")))))))))}</f>
        <v>MARTIALINITIALPTS</v>
      </c>
      <c r="G519" s="223" t="str">
        <f t="array" ref="G519:G520">{"MARTIALL01";((IF("01"=(INDEX(ALLCLASSDATA,MATCH("MartialLegendary",CLASSFEATUREHEADERS,0),MATCH($A520,CLASSNAMEHEADERS,0))),(INDEX(ALLCLASSDATA,MATCH("MartialLegendary",CLASSFEATUREHEADERS,0),MATCH(($A520 &amp; "Points"),CLASSNAMEHEADERS,0))),(IF("01"=(INDEX(ALLCLASSDATA,MATCH("MartialMaster",CLASSFEATUREHEADERS,0),MATCH($A520,CLASSNAMEHEADERS,0))),(INDEX(ALLCLASSDATA,MATCH("MartialMaster",CLASSFEATUREHEADERS,0),MATCH(($A520 &amp; "Points"),CLASSNAMEHEADERS,0))),(IF("01"=(INDEX(ALLCLASSDATA,MATCH("MartialExpert",CLASSFEATUREHEADERS,0),MATCH($A520,CLASSNAMEHEADERS,0))),(INDEX(ALLCLASSDATA,MATCH("MartialExpert",CLASSFEATUREHEADERS,0),MATCH(($A520 &amp; "Points"),CLASSNAMEHEADERS,0))),(IF("01"=(INDEX(ALLCLASSDATA,MATCH("MartialTrained",CLASSFEATUREHEADERS,0),MATCH($A520,CLASSNAMEHEADERS,0))),(INDEX(ALLCLASSDATA,MATCH("MartialTrained",CLASSFEATUREHEADERS,0),MATCH(($A520 &amp; "Points"),CLASSNAMEHEADERS,0))),"")))))))))}</f>
        <v>MARTIALL01</v>
      </c>
      <c r="H519" s="223"/>
      <c r="I519" s="223" t="str">
        <f t="array" ref="I519:I520">{"MARTIALL03";((IF("03"=(INDEX(ALLCLASSDATA,MATCH("MartialLegendary",CLASSFEATUREHEADERS,0),MATCH($A520,CLASSNAMEHEADERS,0))),(INDEX(ALLCLASSDATA,MATCH("MartialLegendary",CLASSFEATUREHEADERS,0),MATCH(($A520 &amp; "Points"),CLASSNAMEHEADERS,0))),(IF("03"=(INDEX(ALLCLASSDATA,MATCH("MartialMaster",CLASSFEATUREHEADERS,0),MATCH($A520,CLASSNAMEHEADERS,0))),(INDEX(ALLCLASSDATA,MATCH("MartialMaster",CLASSFEATUREHEADERS,0),MATCH(($A520 &amp; "Points"),CLASSNAMEHEADERS,0))),(IF("03"=(INDEX(ALLCLASSDATA,MATCH("MartialExpert",CLASSFEATUREHEADERS,0),MATCH($A520,CLASSNAMEHEADERS,0))),(INDEX(ALLCLASSDATA,MATCH("MartialExpert",CLASSFEATUREHEADERS,0),MATCH(($A520 &amp; "Points"),CLASSNAMEHEADERS,0))),(IF("03"=(INDEX(ALLCLASSDATA,MATCH("MartialTrained",CLASSFEATUREHEADERS,0),MATCH($A520,CLASSNAMEHEADERS,0))),(INDEX(ALLCLASSDATA,MATCH("MartialTrained",CLASSFEATUREHEADERS,0),MATCH(($A520 &amp; "Points"),CLASSNAMEHEADERS,0))),"")))))))))}</f>
        <v>MARTIALL03</v>
      </c>
      <c r="J519" s="223"/>
      <c r="K519" s="223" t="str">
        <f t="array" ref="K519:K520">{"MARTIALL05";((IF("05"=(INDEX(ALLCLASSDATA,MATCH("MartialLegendary",CLASSFEATUREHEADERS,0),MATCH($A520,CLASSNAMEHEADERS,0))),(INDEX(ALLCLASSDATA,MATCH("MartialLegendary",CLASSFEATUREHEADERS,0),MATCH(($A520 &amp; "Points"),CLASSNAMEHEADERS,0))),(IF("05"=(INDEX(ALLCLASSDATA,MATCH("MartialMaster",CLASSFEATUREHEADERS,0),MATCH($A520,CLASSNAMEHEADERS,0))),(INDEX(ALLCLASSDATA,MATCH("MartialMaster",CLASSFEATUREHEADERS,0),MATCH(($A520 &amp; "Points"),CLASSNAMEHEADERS,0))),(IF("05"=(INDEX(ALLCLASSDATA,MATCH("MartialExpert",CLASSFEATUREHEADERS,0),MATCH($A520,CLASSNAMEHEADERS,0))),(INDEX(ALLCLASSDATA,MATCH("MartialExpert",CLASSFEATUREHEADERS,0),MATCH(($A520 &amp; "Points"),CLASSNAMEHEADERS,0))),(IF("05"=(INDEX(ALLCLASSDATA,MATCH("MartialTrained",CLASSFEATUREHEADERS,0),MATCH($A520,CLASSNAMEHEADERS,0))),(INDEX(ALLCLASSDATA,MATCH("MartialTrained",CLASSFEATUREHEADERS,0),MATCH(($A520 &amp; "Points"),CLASSNAMEHEADERS,0))),"")))))))))}</f>
        <v>MARTIALL05</v>
      </c>
      <c r="L519" s="223"/>
      <c r="M519" s="223" t="str">
        <f t="array" ref="M519:M520">{"MARTIALL07";((IF("07"=(INDEX(ALLCLASSDATA,MATCH("MartialLegendary",CLASSFEATUREHEADERS,0),MATCH($A520,CLASSNAMEHEADERS,0))),(INDEX(ALLCLASSDATA,MATCH("MartialLegendary",CLASSFEATUREHEADERS,0),MATCH(($A520 &amp; "Points"),CLASSNAMEHEADERS,0))),(IF("07"=(INDEX(ALLCLASSDATA,MATCH("MartialMaster",CLASSFEATUREHEADERS,0),MATCH($A520,CLASSNAMEHEADERS,0))),(INDEX(ALLCLASSDATA,MATCH("MartialMaster",CLASSFEATUREHEADERS,0),MATCH(($A520 &amp; "Points"),CLASSNAMEHEADERS,0))),(IF("07"=(INDEX(ALLCLASSDATA,MATCH("MartialExpert",CLASSFEATUREHEADERS,0),MATCH($A520,CLASSNAMEHEADERS,0))),(INDEX(ALLCLASSDATA,MATCH("MartialExpert",CLASSFEATUREHEADERS,0),MATCH(($A520 &amp; "Points"),CLASSNAMEHEADERS,0))),(IF("07"=(INDEX(ALLCLASSDATA,MATCH("MartialTrained",CLASSFEATUREHEADERS,0),MATCH($A520,CLASSNAMEHEADERS,0))),(INDEX(ALLCLASSDATA,MATCH("MartialTrained",CLASSFEATUREHEADERS,0),MATCH(($A520 &amp; "Points"),CLASSNAMEHEADERS,0))),"")))))))))}</f>
        <v>MARTIALL07</v>
      </c>
      <c r="N519" s="223"/>
      <c r="O519" s="223" t="str">
        <f t="array" ref="O519:O520">{"MARTIALL09";((IF("09"=(INDEX(ALLCLASSDATA,MATCH("MartialLegendary",CLASSFEATUREHEADERS,0),MATCH($A520,CLASSNAMEHEADERS,0))),(INDEX(ALLCLASSDATA,MATCH("MartialLegendary",CLASSFEATUREHEADERS,0),MATCH(($A520 &amp; "Points"),CLASSNAMEHEADERS,0))),(IF("09"=(INDEX(ALLCLASSDATA,MATCH("MartialMaster",CLASSFEATUREHEADERS,0),MATCH($A520,CLASSNAMEHEADERS,0))),(INDEX(ALLCLASSDATA,MATCH("MartialMaster",CLASSFEATUREHEADERS,0),MATCH(($A520 &amp; "Points"),CLASSNAMEHEADERS,0))),(IF("09"=(INDEX(ALLCLASSDATA,MATCH("MartialExpert",CLASSFEATUREHEADERS,0),MATCH($A520,CLASSNAMEHEADERS,0))),(INDEX(ALLCLASSDATA,MATCH("MartialExpert",CLASSFEATUREHEADERS,0),MATCH(($A520 &amp; "Points"),CLASSNAMEHEADERS,0))),(IF("09"=(INDEX(ALLCLASSDATA,MATCH("MartialTrained",CLASSFEATUREHEADERS,0),MATCH($A520,CLASSNAMEHEADERS,0))),(INDEX(ALLCLASSDATA,MATCH("MartialTrained",CLASSFEATUREHEADERS,0),MATCH(($A520 &amp; "Points"),CLASSNAMEHEADERS,0))),"")))))))))}</f>
        <v>MARTIALL09</v>
      </c>
      <c r="P519" s="223"/>
      <c r="Q519" s="223" t="str">
        <f t="array" ref="Q519:Q520">{"MARTIALL11";((IF("11"=(INDEX(ALLCLASSDATA,MATCH("MartialLegendary",CLASSFEATUREHEADERS,0),MATCH($A520,CLASSNAMEHEADERS,0))),(INDEX(ALLCLASSDATA,MATCH("MartialLegendary",CLASSFEATUREHEADERS,0),MATCH(($A520 &amp; "Points"),CLASSNAMEHEADERS,0))),(IF("11"=(INDEX(ALLCLASSDATA,MATCH("MartialMaster",CLASSFEATUREHEADERS,0),MATCH($A520,CLASSNAMEHEADERS,0))),(INDEX(ALLCLASSDATA,MATCH("MartialMaster",CLASSFEATUREHEADERS,0),MATCH(($A520 &amp; "Points"),CLASSNAMEHEADERS,0))),(IF("11"=(INDEX(ALLCLASSDATA,MATCH("MartialExpert",CLASSFEATUREHEADERS,0),MATCH($A520,CLASSNAMEHEADERS,0))),(INDEX(ALLCLASSDATA,MATCH("MartialExpert",CLASSFEATUREHEADERS,0),MATCH(($A520 &amp; "Points"),CLASSNAMEHEADERS,0))),(IF("11"=(INDEX(ALLCLASSDATA,MATCH("MartialTrained",CLASSFEATUREHEADERS,0),MATCH($A520,CLASSNAMEHEADERS,0))),(INDEX(ALLCLASSDATA,MATCH("MartialTrained",CLASSFEATUREHEADERS,0),MATCH(($A520 &amp; "Points"),CLASSNAMEHEADERS,0))),"")))))))))}</f>
        <v>MARTIALL11</v>
      </c>
      <c r="R519" s="223"/>
      <c r="S519" s="223" t="str">
        <f t="array" ref="S519:S520">{"MARTIALL13";((IF("13"=(INDEX(ALLCLASSDATA,MATCH("MartialLegendary",CLASSFEATUREHEADERS,0),MATCH($A520,CLASSNAMEHEADERS,0))),(INDEX(ALLCLASSDATA,MATCH("MartialLegendary",CLASSFEATUREHEADERS,0),MATCH(($A520 &amp; "Points"),CLASSNAMEHEADERS,0))),(IF("13"=(INDEX(ALLCLASSDATA,MATCH("MartialMaster",CLASSFEATUREHEADERS,0),MATCH($A520,CLASSNAMEHEADERS,0))),(INDEX(ALLCLASSDATA,MATCH("MartialMaster",CLASSFEATUREHEADERS,0),MATCH(($A520 &amp; "Points"),CLASSNAMEHEADERS,0))),(IF("13"=(INDEX(ALLCLASSDATA,MATCH("MartialExpert",CLASSFEATUREHEADERS,0),MATCH($A520,CLASSNAMEHEADERS,0))),(INDEX(ALLCLASSDATA,MATCH("MartialExpert",CLASSFEATUREHEADERS,0),MATCH(($A520 &amp; "Points"),CLASSNAMEHEADERS,0))),(IF("13"=(INDEX(ALLCLASSDATA,MATCH("MartialTrained",CLASSFEATUREHEADERS,0),MATCH($A520,CLASSNAMEHEADERS,0))),(INDEX(ALLCLASSDATA,MATCH("MartialTrained",CLASSFEATUREHEADERS,0),MATCH(($A520 &amp; "Points"),CLASSNAMEHEADERS,0))),"")))))))))}</f>
        <v>MARTIALL13</v>
      </c>
      <c r="T519" s="223"/>
      <c r="U519" s="223" t="str">
        <f t="array" ref="U519:U520">{"MARTIALL15";((IF("15"=(INDEX(ALLCLASSDATA,MATCH("MartialLegendary",CLASSFEATUREHEADERS,0),MATCH($A520,CLASSNAMEHEADERS,0))),(INDEX(ALLCLASSDATA,MATCH("MartialLegendary",CLASSFEATUREHEADERS,0),MATCH(($A520 &amp; "Points"),CLASSNAMEHEADERS,0))),(IF("15"=(INDEX(ALLCLASSDATA,MATCH("MartialMaster",CLASSFEATUREHEADERS,0),MATCH($A520,CLASSNAMEHEADERS,0))),(INDEX(ALLCLASSDATA,MATCH("MartialMaster",CLASSFEATUREHEADERS,0),MATCH(($A520 &amp; "Points"),CLASSNAMEHEADERS,0))),(IF("15"=(INDEX(ALLCLASSDATA,MATCH("MartialExpert",CLASSFEATUREHEADERS,0),MATCH($A520,CLASSNAMEHEADERS,0))),(INDEX(ALLCLASSDATA,MATCH("MartialExpert",CLASSFEATUREHEADERS,0),MATCH(($A520 &amp; "Points"),CLASSNAMEHEADERS,0))),(IF("15"=(INDEX(ALLCLASSDATA,MATCH("MartialTrained",CLASSFEATUREHEADERS,0),MATCH($A520,CLASSNAMEHEADERS,0))),(INDEX(ALLCLASSDATA,MATCH("MartialTrained",CLASSFEATUREHEADERS,0),MATCH(($A520 &amp; "Points"),CLASSNAMEHEADERS,0))),"")))))))))}</f>
        <v>MARTIALL15</v>
      </c>
      <c r="V519" s="223"/>
      <c r="W519" s="223" t="str">
        <f t="array" ref="W519:W520">{"MARTIALL17";((IF("17"=(INDEX(ALLCLASSDATA,MATCH("MartialLegendary",CLASSFEATUREHEADERS,0),MATCH($A520,CLASSNAMEHEADERS,0))),(INDEX(ALLCLASSDATA,MATCH("MartialLegendary",CLASSFEATUREHEADERS,0),MATCH(($A520 &amp; "Points"),CLASSNAMEHEADERS,0))),(IF("17"=(INDEX(ALLCLASSDATA,MATCH("MartialMaster",CLASSFEATUREHEADERS,0),MATCH($A520,CLASSNAMEHEADERS,0))),(INDEX(ALLCLASSDATA,MATCH("MartialMaster",CLASSFEATUREHEADERS,0),MATCH(($A520 &amp; "Points"),CLASSNAMEHEADERS,0))),(IF("17"=(INDEX(ALLCLASSDATA,MATCH("MartialExpert",CLASSFEATUREHEADERS,0),MATCH($A520,CLASSNAMEHEADERS,0))),(INDEX(ALLCLASSDATA,MATCH("MartialExpert",CLASSFEATUREHEADERS,0),MATCH(($A520 &amp; "Points"),CLASSNAMEHEADERS,0))),(IF("17"=(INDEX(ALLCLASSDATA,MATCH("MartialTrained",CLASSFEATUREHEADERS,0),MATCH($A520,CLASSNAMEHEADERS,0))),(INDEX(ALLCLASSDATA,MATCH("MartialTrained",CLASSFEATUREHEADERS,0),MATCH(($A520 &amp; "Points"),CLASSNAMEHEADERS,0))),"")))))))))}</f>
        <v>MARTIALL17</v>
      </c>
      <c r="X519" s="223"/>
      <c r="Y519" s="223" t="str">
        <f t="array" ref="Y519:Y520">{"MARTIALL19";((IF("19"=(INDEX(ALLCLASSDATA,MATCH("MartialLegendary",CLASSFEATUREHEADERS,0),MATCH($A520,CLASSNAMEHEADERS,0))),(INDEX(ALLCLASSDATA,MATCH("MartialLegendary",CLASSFEATUREHEADERS,0),MATCH(($A520 &amp; "Points"),CLASSNAMEHEADERS,0))),(IF("19"=(INDEX(ALLCLASSDATA,MATCH("MartialMaster",CLASSFEATUREHEADERS,0),MATCH($A520,CLASSNAMEHEADERS,0))),(INDEX(ALLCLASSDATA,MATCH("MartialMaster",CLASSFEATUREHEADERS,0),MATCH(($A520 &amp; "Points"),CLASSNAMEHEADERS,0))),(IF("19"=(INDEX(ALLCLASSDATA,MATCH("MartialExpert",CLASSFEATUREHEADERS,0),MATCH($A520,CLASSNAMEHEADERS,0))),(INDEX(ALLCLASSDATA,MATCH("MartialExpert",CLASSFEATUREHEADERS,0),MATCH(($A520 &amp; "Points"),CLASSNAMEHEADERS,0))),(IF("19"=(INDEX(ALLCLASSDATA,MATCH("MartialTrained",CLASSFEATUREHEADERS,0),MATCH($A520,CLASSNAMEHEADERS,0))),(INDEX(ALLCLASSDATA,MATCH("MartialTrained",CLASSFEATUREHEADERS,0),MATCH(($A520 &amp; "Points"),CLASSNAMEHEADERS,0))),"")))))))))}</f>
        <v>MARTIALL19</v>
      </c>
      <c r="Z519" s="223"/>
      <c r="AA519" s="76" t="str">
        <f t="array" ref="AA519:AA520">{"MARTIAL TOTAL";(IF(COUNTBLANK(F520:Z520)=17,"L",(IF(COUNTBLANK(F520:Z520)=18,"M",(IF(COUNTBLANK(F520:Z520)=19,"E",(IF(COUNTBLANK(F520:Z520)=20,"T",""))))))))}</f>
        <v>MARTIAL TOTAL</v>
      </c>
      <c r="AB519" s="76" t="str">
        <f t="array" ref="AB519:AB520">{"MARTIAL TOTAL";(sum(F520:Z520))}</f>
        <v>MARTIAL TOTAL</v>
      </c>
    </row>
    <row r="520">
      <c r="A520" s="48" t="s">
        <v>195</v>
      </c>
      <c r="B520" s="48" t="s">
        <v>417</v>
      </c>
      <c r="C520" s="48" t="s">
        <v>1634</v>
      </c>
      <c r="D520" s="48" t="s">
        <v>6</v>
      </c>
      <c r="E520" s="5" t="s">
        <v>603</v>
      </c>
      <c r="F520" s="47" t="s">
        <v>603</v>
      </c>
      <c r="G520" s="5" t="s">
        <v>603</v>
      </c>
      <c r="H520" s="5"/>
      <c r="I520" s="5" t="s">
        <v>603</v>
      </c>
      <c r="J520" s="5"/>
      <c r="K520" s="5" t="s">
        <v>603</v>
      </c>
      <c r="L520" s="5"/>
      <c r="M520" s="5" t="s">
        <v>603</v>
      </c>
      <c r="N520" s="5"/>
      <c r="O520" s="5" t="s">
        <v>603</v>
      </c>
      <c r="P520" s="48"/>
      <c r="Q520" s="5" t="s">
        <v>603</v>
      </c>
      <c r="R520" s="5"/>
      <c r="S520" s="5" t="s">
        <v>603</v>
      </c>
      <c r="T520" s="5"/>
      <c r="U520" s="5" t="s">
        <v>603</v>
      </c>
      <c r="V520" s="5"/>
      <c r="W520" s="5" t="s">
        <v>603</v>
      </c>
      <c r="X520" s="5"/>
      <c r="Y520" s="5" t="s">
        <v>603</v>
      </c>
      <c r="Z520" s="5"/>
      <c r="AA520" s="5" t="s">
        <v>603</v>
      </c>
      <c r="AB520" s="47">
        <v>0.0</v>
      </c>
    </row>
    <row r="521" hidden="1">
      <c r="A521" s="222" t="str">
        <f t="array" ref="A521:A522">{"FormulaRow32";(INDEX(CLASSLIST,A458,1))}</f>
        <v>FormulaRow32</v>
      </c>
      <c r="B521" s="222" t="str">
        <f t="array" ref="B521:B522">{"CLASSTYPE";((INDEX(ALLCLASSDATA,MATCH("ClassType",CLASSFEATUREHEADERS,0),MATCH($A522,CLASSNAMEHEADERS,0))))}</f>
        <v>CLASSTYPE</v>
      </c>
      <c r="C521" s="222" t="str">
        <f t="array" ref="C521:C522">{"ATTACK";"Attack"}</f>
        <v>ATTACK</v>
      </c>
      <c r="D521" s="222" t="str">
        <f t="array" ref="D521:D522">{"ADVANCEDGROUP";"AdvancedGroup"}</f>
        <v>ADVANCEDGROUP</v>
      </c>
      <c r="E521" s="223" t="str">
        <f t="array" ref="E521:E522">{"ADVANCEDGROUPINITIAL";((IF(G522=10,"T",(IF(G522=50,"E","")))))}</f>
        <v>ADVANCEDGROUPINITIAL</v>
      </c>
      <c r="F521" s="223" t="str">
        <f t="array" ref="F521:F522">{"ADVANCEDGROUPINITIALPTS";((IF("00"=(INDEX(ALLCLASSDATA,MATCH("AdvancedGroupLegendary",CLASSFEATUREHEADERS,0),MATCH($A522,CLASSNAMEHEADERS,0))),(INDEX(ALLCLASSDATA,MATCH("AdvancedGroupLegendary",CLASSFEATUREHEADERS,0),MATCH(($A522 &amp; "Points"),CLASSNAMEHEADERS,0))),(IF("00"=(INDEX(ALLCLASSDATA,MATCH("AdvancedGroupMaster",CLASSFEATUREHEADERS,0),MATCH($A522,CLASSNAMEHEADERS,0))),(INDEX(ALLCLASSDATA,MATCH("AdvancedGroupMaster",CLASSFEATUREHEADERS,0),MATCH(($A522 &amp; "Points"),CLASSNAMEHEADERS,0))),(IF("00"=(INDEX(ALLCLASSDATA,MATCH("AdvancedGroupExpert",CLASSFEATUREHEADERS,0),MATCH($A522,CLASSNAMEHEADERS,0))),(INDEX(ALLCLASSDATA,MATCH("AdvancedGroupExpert",CLASSFEATUREHEADERS,0),MATCH(($A522 &amp; "Points"),CLASSNAMEHEADERS,0))),(IF("00"=(INDEX(ALLCLASSDATA,MATCH("AdvancedGroupTrained",CLASSFEATUREHEADERS,0),MATCH($A522,CLASSNAMEHEADERS,0))),(INDEX(ALLCLASSDATA,MATCH("AdvancedGroupTrained",CLASSFEATUREHEADERS,0),MATCH(($A522 &amp; "Points"),CLASSNAMEHEADERS,0))),"")))))))))}</f>
        <v>ADVANCEDGROUPINITIALPTS</v>
      </c>
      <c r="G521" s="223" t="str">
        <f t="array" ref="G521:G522">{"ADVANCEDGROUPL01";((IF("01"=(INDEX(ALLCLASSDATA,MATCH("AdvancedGroupLegendary",CLASSFEATUREHEADERS,0),MATCH($A522,CLASSNAMEHEADERS,0))),(INDEX(ALLCLASSDATA,MATCH("AdvancedGroupLegendary",CLASSFEATUREHEADERS,0),MATCH(($A522 &amp; "Points"),CLASSNAMEHEADERS,0))),(IF("01"=(INDEX(ALLCLASSDATA,MATCH("AdvancedGroupMaster",CLASSFEATUREHEADERS,0),MATCH($A522,CLASSNAMEHEADERS,0))),(INDEX(ALLCLASSDATA,MATCH("AdvancedGroupMaster",CLASSFEATUREHEADERS,0),MATCH(($A522 &amp; "Points"),CLASSNAMEHEADERS,0))),(IF("01"=(INDEX(ALLCLASSDATA,MATCH("AdvancedGroupExpert",CLASSFEATUREHEADERS,0),MATCH($A522,CLASSNAMEHEADERS,0))),(INDEX(ALLCLASSDATA,MATCH("AdvancedGroupExpert",CLASSFEATUREHEADERS,0),MATCH(($A522 &amp; "Points"),CLASSNAMEHEADERS,0))),(IF("01"=(INDEX(ALLCLASSDATA,MATCH("AdvancedGroupTrained",CLASSFEATUREHEADERS,0),MATCH($A522,CLASSNAMEHEADERS,0))),(INDEX(ALLCLASSDATA,MATCH("AdvancedGroupTrained",CLASSFEATUREHEADERS,0),MATCH(($A522 &amp; "Points"),CLASSNAMEHEADERS,0))),"")))))))))}</f>
        <v>ADVANCEDGROUPL01</v>
      </c>
      <c r="H521" s="223"/>
      <c r="I521" s="223" t="str">
        <f t="array" ref="I521:I522">{"ADVANCEDGROUPL03";((IF("03"=(INDEX(ALLCLASSDATA,MATCH("AdvancedGroupLegendary",CLASSFEATUREHEADERS,0),MATCH($A522,CLASSNAMEHEADERS,0))),(INDEX(ALLCLASSDATA,MATCH("AdvancedGroupLegendary",CLASSFEATUREHEADERS,0),MATCH(($A522 &amp; "Points"),CLASSNAMEHEADERS,0))),(IF("03"=(INDEX(ALLCLASSDATA,MATCH("AdvancedGroupMaster",CLASSFEATUREHEADERS,0),MATCH($A522,CLASSNAMEHEADERS,0))),(INDEX(ALLCLASSDATA,MATCH("AdvancedGroupMaster",CLASSFEATUREHEADERS,0),MATCH(($A522 &amp; "Points"),CLASSNAMEHEADERS,0))),(IF("03"=(INDEX(ALLCLASSDATA,MATCH("AdvancedGroupExpert",CLASSFEATUREHEADERS,0),MATCH($A522,CLASSNAMEHEADERS,0))),(INDEX(ALLCLASSDATA,MATCH("AdvancedGroupExpert",CLASSFEATUREHEADERS,0),MATCH(($A522 &amp; "Points"),CLASSNAMEHEADERS,0))),(IF("03"=(INDEX(ALLCLASSDATA,MATCH("AdvancedGroupTrained",CLASSFEATUREHEADERS,0),MATCH($A522,CLASSNAMEHEADERS,0))),(INDEX(ALLCLASSDATA,MATCH("AdvancedGroupTrained",CLASSFEATUREHEADERS,0),MATCH(($A522 &amp; "Points"),CLASSNAMEHEADERS,0))),"")))))))))}</f>
        <v>ADVANCEDGROUPL03</v>
      </c>
      <c r="J521" s="223"/>
      <c r="K521" s="223" t="str">
        <f t="array" ref="K521:K522">{"ADVANCEDGROUPL05";((IF("05"=(INDEX(ALLCLASSDATA,MATCH("AdvancedGroupLegendary",CLASSFEATUREHEADERS,0),MATCH($A522,CLASSNAMEHEADERS,0))),(INDEX(ALLCLASSDATA,MATCH("AdvancedGroupLegendary",CLASSFEATUREHEADERS,0),MATCH(($A522 &amp; "Points"),CLASSNAMEHEADERS,0))),(IF("05"=(INDEX(ALLCLASSDATA,MATCH("AdvancedGroupMaster",CLASSFEATUREHEADERS,0),MATCH($A522,CLASSNAMEHEADERS,0))),(INDEX(ALLCLASSDATA,MATCH("AdvancedGroupMaster",CLASSFEATUREHEADERS,0),MATCH(($A522 &amp; "Points"),CLASSNAMEHEADERS,0))),(IF("05"=(INDEX(ALLCLASSDATA,MATCH("AdvancedGroupExpert",CLASSFEATUREHEADERS,0),MATCH($A522,CLASSNAMEHEADERS,0))),(INDEX(ALLCLASSDATA,MATCH("AdvancedGroupExpert",CLASSFEATUREHEADERS,0),MATCH(($A522 &amp; "Points"),CLASSNAMEHEADERS,0))),(IF("05"=(INDEX(ALLCLASSDATA,MATCH("AdvancedGroupTrained",CLASSFEATUREHEADERS,0),MATCH($A522,CLASSNAMEHEADERS,0))),(INDEX(ALLCLASSDATA,MATCH("AdvancedGroupTrained",CLASSFEATUREHEADERS,0),MATCH(($A522 &amp; "Points"),CLASSNAMEHEADERS,0))),"")))))))))}</f>
        <v>ADVANCEDGROUPL05</v>
      </c>
      <c r="L521" s="223"/>
      <c r="M521" s="223" t="str">
        <f t="array" ref="M521:M522">{"ADVANCEDGROUPL07";((IF("07"=(INDEX(ALLCLASSDATA,MATCH("AdvancedGroupLegendary",CLASSFEATUREHEADERS,0),MATCH($A522,CLASSNAMEHEADERS,0))),(INDEX(ALLCLASSDATA,MATCH("AdvancedGroupLegendary",CLASSFEATUREHEADERS,0),MATCH(($A522 &amp; "Points"),CLASSNAMEHEADERS,0))),(IF("07"=(INDEX(ALLCLASSDATA,MATCH("AdvancedGroupMaster",CLASSFEATUREHEADERS,0),MATCH($A522,CLASSNAMEHEADERS,0))),(INDEX(ALLCLASSDATA,MATCH("AdvancedGroupMaster",CLASSFEATUREHEADERS,0),MATCH(($A522 &amp; "Points"),CLASSNAMEHEADERS,0))),(IF("07"=(INDEX(ALLCLASSDATA,MATCH("AdvancedGroupExpert",CLASSFEATUREHEADERS,0),MATCH($A522,CLASSNAMEHEADERS,0))),(INDEX(ALLCLASSDATA,MATCH("AdvancedGroupExpert",CLASSFEATUREHEADERS,0),MATCH(($A522 &amp; "Points"),CLASSNAMEHEADERS,0))),(IF("07"=(INDEX(ALLCLASSDATA,MATCH("AdvancedGroupTrained",CLASSFEATUREHEADERS,0),MATCH($A522,CLASSNAMEHEADERS,0))),(INDEX(ALLCLASSDATA,MATCH("AdvancedGroupTrained",CLASSFEATUREHEADERS,0),MATCH(($A522 &amp; "Points"),CLASSNAMEHEADERS,0))),"")))))))))}</f>
        <v>ADVANCEDGROUPL07</v>
      </c>
      <c r="N521" s="223"/>
      <c r="O521" s="223" t="str">
        <f t="array" ref="O521:O522">{"ADVANCEDGROUPL09";((IF("09"=(INDEX(ALLCLASSDATA,MATCH("AdvancedGroupLegendary",CLASSFEATUREHEADERS,0),MATCH($A522,CLASSNAMEHEADERS,0))),(INDEX(ALLCLASSDATA,MATCH("AdvancedGroupLegendary",CLASSFEATUREHEADERS,0),MATCH(($A522 &amp; "Points"),CLASSNAMEHEADERS,0))),(IF("09"=(INDEX(ALLCLASSDATA,MATCH("AdvancedGroupMaster",CLASSFEATUREHEADERS,0),MATCH($A522,CLASSNAMEHEADERS,0))),(INDEX(ALLCLASSDATA,MATCH("AdvancedGroupMaster",CLASSFEATUREHEADERS,0),MATCH(($A522 &amp; "Points"),CLASSNAMEHEADERS,0))),(IF("09"=(INDEX(ALLCLASSDATA,MATCH("AdvancedGroupExpert",CLASSFEATUREHEADERS,0),MATCH($A522,CLASSNAMEHEADERS,0))),(INDEX(ALLCLASSDATA,MATCH("AdvancedGroupExpert",CLASSFEATUREHEADERS,0),MATCH(($A522 &amp; "Points"),CLASSNAMEHEADERS,0))),(IF("09"=(INDEX(ALLCLASSDATA,MATCH("AdvancedGroupTrained",CLASSFEATUREHEADERS,0),MATCH($A522,CLASSNAMEHEADERS,0))),(INDEX(ALLCLASSDATA,MATCH("AdvancedGroupTrained",CLASSFEATUREHEADERS,0),MATCH(($A522 &amp; "Points"),CLASSNAMEHEADERS,0))),"")))))))))}</f>
        <v>ADVANCEDGROUPL09</v>
      </c>
      <c r="P521" s="223"/>
      <c r="Q521" s="223" t="str">
        <f t="array" ref="Q521:Q522">{"ADVANCEDGROUPL11";((IF("11"=(INDEX(ALLCLASSDATA,MATCH("AdvancedGroupLegendary",CLASSFEATUREHEADERS,0),MATCH($A522,CLASSNAMEHEADERS,0))),(INDEX(ALLCLASSDATA,MATCH("AdvancedGroupLegendary",CLASSFEATUREHEADERS,0),MATCH(($A522 &amp; "Points"),CLASSNAMEHEADERS,0))),(IF("11"=(INDEX(ALLCLASSDATA,MATCH("AdvancedGroupMaster",CLASSFEATUREHEADERS,0),MATCH($A522,CLASSNAMEHEADERS,0))),(INDEX(ALLCLASSDATA,MATCH("AdvancedGroupMaster",CLASSFEATUREHEADERS,0),MATCH(($A522 &amp; "Points"),CLASSNAMEHEADERS,0))),(IF("11"=(INDEX(ALLCLASSDATA,MATCH("AdvancedGroupExpert",CLASSFEATUREHEADERS,0),MATCH($A522,CLASSNAMEHEADERS,0))),(INDEX(ALLCLASSDATA,MATCH("AdvancedGroupExpert",CLASSFEATUREHEADERS,0),MATCH(($A522 &amp; "Points"),CLASSNAMEHEADERS,0))),(IF("11"=(INDEX(ALLCLASSDATA,MATCH("AdvancedGroupTrained",CLASSFEATUREHEADERS,0),MATCH($A522,CLASSNAMEHEADERS,0))),(INDEX(ALLCLASSDATA,MATCH("AdvancedGroupTrained",CLASSFEATUREHEADERS,0),MATCH(($A522 &amp; "Points"),CLASSNAMEHEADERS,0))),"")))))))))}</f>
        <v>ADVANCEDGROUPL11</v>
      </c>
      <c r="R521" s="223"/>
      <c r="S521" s="223" t="str">
        <f t="array" ref="S521:S522">{"ADVANCEDGROUPL13";((IF("13"=(INDEX(ALLCLASSDATA,MATCH("AdvancedGroupLegendary",CLASSFEATUREHEADERS,0),MATCH($A522,CLASSNAMEHEADERS,0))),(INDEX(ALLCLASSDATA,MATCH("AdvancedGroupLegendary",CLASSFEATUREHEADERS,0),MATCH(($A522 &amp; "Points"),CLASSNAMEHEADERS,0))),(IF("13"=(INDEX(ALLCLASSDATA,MATCH("AdvancedGroupMaster",CLASSFEATUREHEADERS,0),MATCH($A522,CLASSNAMEHEADERS,0))),(INDEX(ALLCLASSDATA,MATCH("AdvancedGroupMaster",CLASSFEATUREHEADERS,0),MATCH(($A522 &amp; "Points"),CLASSNAMEHEADERS,0))),(IF("13"=(INDEX(ALLCLASSDATA,MATCH("AdvancedGroupExpert",CLASSFEATUREHEADERS,0),MATCH($A522,CLASSNAMEHEADERS,0))),(INDEX(ALLCLASSDATA,MATCH("AdvancedGroupExpert",CLASSFEATUREHEADERS,0),MATCH(($A522 &amp; "Points"),CLASSNAMEHEADERS,0))),(IF("13"=(INDEX(ALLCLASSDATA,MATCH("AdvancedGroupTrained",CLASSFEATUREHEADERS,0),MATCH($A522,CLASSNAMEHEADERS,0))),(INDEX(ALLCLASSDATA,MATCH("AdvancedGroupTrained",CLASSFEATUREHEADERS,0),MATCH(($A522 &amp; "Points"),CLASSNAMEHEADERS,0))),"")))))))))}</f>
        <v>ADVANCEDGROUPL13</v>
      </c>
      <c r="T521" s="223"/>
      <c r="U521" s="223" t="str">
        <f t="array" ref="U521:U522">{"ADVANCEDGROUPL15";((IF("15"=(INDEX(ALLCLASSDATA,MATCH("AdvancedGroupLegendary",CLASSFEATUREHEADERS,0),MATCH($A522,CLASSNAMEHEADERS,0))),(INDEX(ALLCLASSDATA,MATCH("AdvancedGroupLegendary",CLASSFEATUREHEADERS,0),MATCH(($A522 &amp; "Points"),CLASSNAMEHEADERS,0))),(IF("15"=(INDEX(ALLCLASSDATA,MATCH("AdvancedGroupMaster",CLASSFEATUREHEADERS,0),MATCH($A522,CLASSNAMEHEADERS,0))),(INDEX(ALLCLASSDATA,MATCH("AdvancedGroupMaster",CLASSFEATUREHEADERS,0),MATCH(($A522 &amp; "Points"),CLASSNAMEHEADERS,0))),(IF("15"=(INDEX(ALLCLASSDATA,MATCH("AdvancedGroupExpert",CLASSFEATUREHEADERS,0),MATCH($A522,CLASSNAMEHEADERS,0))),(INDEX(ALLCLASSDATA,MATCH("AdvancedGroupExpert",CLASSFEATUREHEADERS,0),MATCH(($A522 &amp; "Points"),CLASSNAMEHEADERS,0))),(IF("15"=(INDEX(ALLCLASSDATA,MATCH("AdvancedGroupTrained",CLASSFEATUREHEADERS,0),MATCH($A522,CLASSNAMEHEADERS,0))),(INDEX(ALLCLASSDATA,MATCH("AdvancedGroupTrained",CLASSFEATUREHEADERS,0),MATCH(($A522 &amp; "Points"),CLASSNAMEHEADERS,0))),"")))))))))}</f>
        <v>ADVANCEDGROUPL15</v>
      </c>
      <c r="V521" s="223"/>
      <c r="W521" s="223" t="str">
        <f t="array" ref="W521:W522">{"ADVANCEDGROUPL17";((IF("17"=(INDEX(ALLCLASSDATA,MATCH("AdvancedGroupLegendary",CLASSFEATUREHEADERS,0),MATCH($A522,CLASSNAMEHEADERS,0))),(INDEX(ALLCLASSDATA,MATCH("AdvancedGroupLegendary",CLASSFEATUREHEADERS,0),MATCH(($A522 &amp; "Points"),CLASSNAMEHEADERS,0))),(IF("17"=(INDEX(ALLCLASSDATA,MATCH("AdvancedGroupMaster",CLASSFEATUREHEADERS,0),MATCH($A522,CLASSNAMEHEADERS,0))),(INDEX(ALLCLASSDATA,MATCH("AdvancedGroupMaster",CLASSFEATUREHEADERS,0),MATCH(($A522 &amp; "Points"),CLASSNAMEHEADERS,0))),(IF("17"=(INDEX(ALLCLASSDATA,MATCH("AdvancedGroupExpert",CLASSFEATUREHEADERS,0),MATCH($A522,CLASSNAMEHEADERS,0))),(INDEX(ALLCLASSDATA,MATCH("AdvancedGroupExpert",CLASSFEATUREHEADERS,0),MATCH(($A522 &amp; "Points"),CLASSNAMEHEADERS,0))),(IF("17"=(INDEX(ALLCLASSDATA,MATCH("AdvancedGroupTrained",CLASSFEATUREHEADERS,0),MATCH($A522,CLASSNAMEHEADERS,0))),(INDEX(ALLCLASSDATA,MATCH("AdvancedGroupTrained",CLASSFEATUREHEADERS,0),MATCH(($A522 &amp; "Points"),CLASSNAMEHEADERS,0))),"")))))))))}</f>
        <v>ADVANCEDGROUPL17</v>
      </c>
      <c r="X521" s="223"/>
      <c r="Y521" s="223" t="str">
        <f t="array" ref="Y521:Y522">{"ADVANCEDGROUPL19";((IF("19"=(INDEX(ALLCLASSDATA,MATCH("AdvancedGroupLegendary",CLASSFEATUREHEADERS,0),MATCH($A522,CLASSNAMEHEADERS,0))),(INDEX(ALLCLASSDATA,MATCH("AdvancedGroupLegendary",CLASSFEATUREHEADERS,0),MATCH(($A522 &amp; "Points"),CLASSNAMEHEADERS,0))),(IF("19"=(INDEX(ALLCLASSDATA,MATCH("AdvancedGroupMaster",CLASSFEATUREHEADERS,0),MATCH($A522,CLASSNAMEHEADERS,0))),(INDEX(ALLCLASSDATA,MATCH("AdvancedGroupMaster",CLASSFEATUREHEADERS,0),MATCH(($A522 &amp; "Points"),CLASSNAMEHEADERS,0))),(IF("19"=(INDEX(ALLCLASSDATA,MATCH("AdvancedGroupExpert",CLASSFEATUREHEADERS,0),MATCH($A522,CLASSNAMEHEADERS,0))),(INDEX(ALLCLASSDATA,MATCH("AdvancedGroupExpert",CLASSFEATUREHEADERS,0),MATCH(($A522 &amp; "Points"),CLASSNAMEHEADERS,0))),(IF("19"=(INDEX(ALLCLASSDATA,MATCH("AdvancedGroupTrained",CLASSFEATUREHEADERS,0),MATCH($A522,CLASSNAMEHEADERS,0))),(INDEX(ALLCLASSDATA,MATCH("AdvancedGroupTrained",CLASSFEATUREHEADERS,0),MATCH(($A522 &amp; "Points"),CLASSNAMEHEADERS,0))),"")))))))))}</f>
        <v>ADVANCEDGROUPL19</v>
      </c>
      <c r="Z521" s="223"/>
      <c r="AA521" s="76" t="str">
        <f t="array" ref="AA521:AA522">{"ADVANCEDGROUP TOTAL";(IF(COUNTBLANK(F522:Z522)=17,"L",(IF(COUNTBLANK(F522:Z522)=18,"M",(IF(COUNTBLANK(F522:Z522)=19,"E",(IF(COUNTBLANK(F522:Z522)=20,"T",""))))))))}</f>
        <v>ADVANCEDGROUP TOTAL</v>
      </c>
      <c r="AB521" s="76" t="str">
        <f t="array" ref="AB521:AB522">{"ADVANCEDGROUP TOTAL";(sum(F522:Z522))}</f>
        <v>ADVANCEDGROUP TOTAL</v>
      </c>
    </row>
    <row r="522">
      <c r="A522" s="48" t="s">
        <v>195</v>
      </c>
      <c r="B522" s="48" t="s">
        <v>417</v>
      </c>
      <c r="C522" s="48" t="s">
        <v>1634</v>
      </c>
      <c r="D522" s="48" t="s">
        <v>601</v>
      </c>
      <c r="E522" s="5" t="s">
        <v>603</v>
      </c>
      <c r="F522" s="47" t="s">
        <v>603</v>
      </c>
      <c r="G522" s="5" t="s">
        <v>603</v>
      </c>
      <c r="H522" s="5"/>
      <c r="I522" s="5" t="s">
        <v>603</v>
      </c>
      <c r="J522" s="5"/>
      <c r="K522" s="5" t="s">
        <v>603</v>
      </c>
      <c r="L522" s="5"/>
      <c r="M522" s="5" t="s">
        <v>603</v>
      </c>
      <c r="N522" s="5"/>
      <c r="O522" s="5" t="s">
        <v>603</v>
      </c>
      <c r="P522" s="5"/>
      <c r="Q522" s="5" t="s">
        <v>603</v>
      </c>
      <c r="R522" s="5"/>
      <c r="S522" s="5" t="s">
        <v>603</v>
      </c>
      <c r="T522" s="5"/>
      <c r="U522" s="5" t="s">
        <v>603</v>
      </c>
      <c r="V522" s="5"/>
      <c r="W522" s="5" t="s">
        <v>603</v>
      </c>
      <c r="X522" s="5"/>
      <c r="Y522" s="5" t="s">
        <v>603</v>
      </c>
      <c r="Z522" s="5"/>
      <c r="AA522" s="5" t="s">
        <v>603</v>
      </c>
      <c r="AB522" s="47">
        <v>0.0</v>
      </c>
    </row>
    <row r="523" hidden="1">
      <c r="A523" s="222" t="str">
        <f t="array" ref="A523:A524">{"FormulaRow33";(INDEX(CLASSLIST,A458,1))}</f>
        <v>FormulaRow33</v>
      </c>
      <c r="B523" s="222" t="str">
        <f t="array" ref="B523:B524">{"CLASSTYPE";((INDEX(ALLCLASSDATA,MATCH("ClassType",CLASSFEATUREHEADERS,0),MATCH($A524,CLASSNAMEHEADERS,0))))}</f>
        <v>CLASSTYPE</v>
      </c>
      <c r="C523" s="222" t="str">
        <f t="array" ref="C523:C524">{"ATTACK";"Attack"}</f>
        <v>ATTACK</v>
      </c>
      <c r="D523" s="222" t="str">
        <f t="array" ref="D523:D524">{"ADVANCED";"Advanced"}</f>
        <v>ADVANCED</v>
      </c>
      <c r="E523" s="223" t="str">
        <f t="array" ref="E523:E524">{"ADVANCEDINITIAL";((IF(G524=10,"T",(IF(G524=50,"E","")))))}</f>
        <v>ADVANCEDINITIAL</v>
      </c>
      <c r="F523" s="223" t="str">
        <f t="array" ref="F523:F524">{"ADVANCEDINITIALPTS";((IF("00"=(INDEX(ALLCLASSDATA,MATCH("AdvancedLegendary",CLASSFEATUREHEADERS,0),MATCH($A524,CLASSNAMEHEADERS,0))),(INDEX(ALLCLASSDATA,MATCH("AdvancedLegendary",CLASSFEATUREHEADERS,0),MATCH(($A524 &amp; "Points"),CLASSNAMEHEADERS,0))),(IF("00"=(INDEX(ALLCLASSDATA,MATCH("AdvancedMaster",CLASSFEATUREHEADERS,0),MATCH($A524,CLASSNAMEHEADERS,0))),(INDEX(ALLCLASSDATA,MATCH("AdvancedMaster",CLASSFEATUREHEADERS,0),MATCH(($A524 &amp; "Points"),CLASSNAMEHEADERS,0))),(IF("00"=(INDEX(ALLCLASSDATA,MATCH("AdvancedExpert",CLASSFEATUREHEADERS,0),MATCH($A524,CLASSNAMEHEADERS,0))),(INDEX(ALLCLASSDATA,MATCH("AdvancedExpert",CLASSFEATUREHEADERS,0),MATCH(($A524 &amp; "Points"),CLASSNAMEHEADERS,0))),(IF("00"=(INDEX(ALLCLASSDATA,MATCH("AdvancedTrained",CLASSFEATUREHEADERS,0),MATCH($A524,CLASSNAMEHEADERS,0))),(INDEX(ALLCLASSDATA,MATCH("AdvancedTrained",CLASSFEATUREHEADERS,0),MATCH(($A524 &amp; "Points"),CLASSNAMEHEADERS,0))),"")))))))))}</f>
        <v>ADVANCEDINITIALPTS</v>
      </c>
      <c r="G523" s="223" t="str">
        <f t="array" ref="G523:G524">{"ADVANCEDL01";((IF("01"=(INDEX(ALLCLASSDATA,MATCH("AdvancedLegendary",CLASSFEATUREHEADERS,0),MATCH($A524,CLASSNAMEHEADERS,0))),(INDEX(ALLCLASSDATA,MATCH("AdvancedLegendary",CLASSFEATUREHEADERS,0),MATCH(($A524 &amp; "Points"),CLASSNAMEHEADERS,0))),(IF("01"=(INDEX(ALLCLASSDATA,MATCH("AdvancedMaster",CLASSFEATUREHEADERS,0),MATCH($A524,CLASSNAMEHEADERS,0))),(INDEX(ALLCLASSDATA,MATCH("AdvancedMaster",CLASSFEATUREHEADERS,0),MATCH(($A524 &amp; "Points"),CLASSNAMEHEADERS,0))),(IF("01"=(INDEX(ALLCLASSDATA,MATCH("AdvancedExpert",CLASSFEATUREHEADERS,0),MATCH($A524,CLASSNAMEHEADERS,0))),(INDEX(ALLCLASSDATA,MATCH("AdvancedExpert",CLASSFEATUREHEADERS,0),MATCH(($A524 &amp; "Points"),CLASSNAMEHEADERS,0))),(IF("01"=(INDEX(ALLCLASSDATA,MATCH("AdvancedTrained",CLASSFEATUREHEADERS,0),MATCH($A524,CLASSNAMEHEADERS,0))),(INDEX(ALLCLASSDATA,MATCH("AdvancedTrained",CLASSFEATUREHEADERS,0),MATCH(($A524 &amp; "Points"),CLASSNAMEHEADERS,0))),"")))))))))}</f>
        <v>ADVANCEDL01</v>
      </c>
      <c r="H523" s="223"/>
      <c r="I523" s="223" t="str">
        <f t="array" ref="I523:I524">{"ADVANCEDL03";((IF("03"=(INDEX(ALLCLASSDATA,MATCH("AdvancedLegendary",CLASSFEATUREHEADERS,0),MATCH($A524,CLASSNAMEHEADERS,0))),(INDEX(ALLCLASSDATA,MATCH("AdvancedLegendary",CLASSFEATUREHEADERS,0),MATCH(($A524 &amp; "Points"),CLASSNAMEHEADERS,0))),(IF("03"=(INDEX(ALLCLASSDATA,MATCH("AdvancedMaster",CLASSFEATUREHEADERS,0),MATCH($A524,CLASSNAMEHEADERS,0))),(INDEX(ALLCLASSDATA,MATCH("AdvancedMaster",CLASSFEATUREHEADERS,0),MATCH(($A524 &amp; "Points"),CLASSNAMEHEADERS,0))),(IF("03"=(INDEX(ALLCLASSDATA,MATCH("AdvancedExpert",CLASSFEATUREHEADERS,0),MATCH($A524,CLASSNAMEHEADERS,0))),(INDEX(ALLCLASSDATA,MATCH("AdvancedExpert",CLASSFEATUREHEADERS,0),MATCH(($A524 &amp; "Points"),CLASSNAMEHEADERS,0))),(IF("03"=(INDEX(ALLCLASSDATA,MATCH("AdvancedTrained",CLASSFEATUREHEADERS,0),MATCH($A524,CLASSNAMEHEADERS,0))),(INDEX(ALLCLASSDATA,MATCH("AdvancedTrained",CLASSFEATUREHEADERS,0),MATCH(($A524 &amp; "Points"),CLASSNAMEHEADERS,0))),"")))))))))}</f>
        <v>ADVANCEDL03</v>
      </c>
      <c r="J523" s="223"/>
      <c r="K523" s="223" t="str">
        <f t="array" ref="K523:K524">{"ADVANCEDL05";((IF("05"=(INDEX(ALLCLASSDATA,MATCH("AdvancedLegendary",CLASSFEATUREHEADERS,0),MATCH($A524,CLASSNAMEHEADERS,0))),(INDEX(ALLCLASSDATA,MATCH("AdvancedLegendary",CLASSFEATUREHEADERS,0),MATCH(($A524 &amp; "Points"),CLASSNAMEHEADERS,0))),(IF("05"=(INDEX(ALLCLASSDATA,MATCH("AdvancedMaster",CLASSFEATUREHEADERS,0),MATCH($A524,CLASSNAMEHEADERS,0))),(INDEX(ALLCLASSDATA,MATCH("AdvancedMaster",CLASSFEATUREHEADERS,0),MATCH(($A524 &amp; "Points"),CLASSNAMEHEADERS,0))),(IF("05"=(INDEX(ALLCLASSDATA,MATCH("AdvancedExpert",CLASSFEATUREHEADERS,0),MATCH($A524,CLASSNAMEHEADERS,0))),(INDEX(ALLCLASSDATA,MATCH("AdvancedExpert",CLASSFEATUREHEADERS,0),MATCH(($A524 &amp; "Points"),CLASSNAMEHEADERS,0))),(IF("05"=(INDEX(ALLCLASSDATA,MATCH("AdvancedTrained",CLASSFEATUREHEADERS,0),MATCH($A524,CLASSNAMEHEADERS,0))),(INDEX(ALLCLASSDATA,MATCH("AdvancedTrained",CLASSFEATUREHEADERS,0),MATCH(($A524 &amp; "Points"),CLASSNAMEHEADERS,0))),"")))))))))}</f>
        <v>ADVANCEDL05</v>
      </c>
      <c r="L523" s="223"/>
      <c r="M523" s="223" t="str">
        <f t="array" ref="M523:M524">{"ADVANCEDL07";((IF("07"=(INDEX(ALLCLASSDATA,MATCH("AdvancedLegendary",CLASSFEATUREHEADERS,0),MATCH($A524,CLASSNAMEHEADERS,0))),(INDEX(ALLCLASSDATA,MATCH("AdvancedLegendary",CLASSFEATUREHEADERS,0),MATCH(($A524 &amp; "Points"),CLASSNAMEHEADERS,0))),(IF("07"=(INDEX(ALLCLASSDATA,MATCH("AdvancedMaster",CLASSFEATUREHEADERS,0),MATCH($A524,CLASSNAMEHEADERS,0))),(INDEX(ALLCLASSDATA,MATCH("AdvancedMaster",CLASSFEATUREHEADERS,0),MATCH(($A524 &amp; "Points"),CLASSNAMEHEADERS,0))),(IF("07"=(INDEX(ALLCLASSDATA,MATCH("AdvancedExpert",CLASSFEATUREHEADERS,0),MATCH($A524,CLASSNAMEHEADERS,0))),(INDEX(ALLCLASSDATA,MATCH("AdvancedExpert",CLASSFEATUREHEADERS,0),MATCH(($A524 &amp; "Points"),CLASSNAMEHEADERS,0))),(IF("07"=(INDEX(ALLCLASSDATA,MATCH("AdvancedTrained",CLASSFEATUREHEADERS,0),MATCH($A524,CLASSNAMEHEADERS,0))),(INDEX(ALLCLASSDATA,MATCH("AdvancedTrained",CLASSFEATUREHEADERS,0),MATCH(($A524 &amp; "Points"),CLASSNAMEHEADERS,0))),"")))))))))}</f>
        <v>ADVANCEDL07</v>
      </c>
      <c r="N523" s="223"/>
      <c r="O523" s="223" t="str">
        <f t="array" ref="O523:O524">{"ADVANCEDL09";((IF("09"=(INDEX(ALLCLASSDATA,MATCH("AdvancedLegendary",CLASSFEATUREHEADERS,0),MATCH($A524,CLASSNAMEHEADERS,0))),(INDEX(ALLCLASSDATA,MATCH("AdvancedLegendary",CLASSFEATUREHEADERS,0),MATCH(($A524 &amp; "Points"),CLASSNAMEHEADERS,0))),(IF("09"=(INDEX(ALLCLASSDATA,MATCH("AdvancedMaster",CLASSFEATUREHEADERS,0),MATCH($A524,CLASSNAMEHEADERS,0))),(INDEX(ALLCLASSDATA,MATCH("AdvancedMaster",CLASSFEATUREHEADERS,0),MATCH(($A524 &amp; "Points"),CLASSNAMEHEADERS,0))),(IF("09"=(INDEX(ALLCLASSDATA,MATCH("AdvancedExpert",CLASSFEATUREHEADERS,0),MATCH($A524,CLASSNAMEHEADERS,0))),(INDEX(ALLCLASSDATA,MATCH("AdvancedExpert",CLASSFEATUREHEADERS,0),MATCH(($A524 &amp; "Points"),CLASSNAMEHEADERS,0))),(IF("09"=(INDEX(ALLCLASSDATA,MATCH("AdvancedTrained",CLASSFEATUREHEADERS,0),MATCH($A524,CLASSNAMEHEADERS,0))),(INDEX(ALLCLASSDATA,MATCH("AdvancedTrained",CLASSFEATUREHEADERS,0),MATCH(($A524 &amp; "Points"),CLASSNAMEHEADERS,0))),"")))))))))}</f>
        <v>ADVANCEDL09</v>
      </c>
      <c r="P523" s="223"/>
      <c r="Q523" s="223" t="str">
        <f t="array" ref="Q523:Q524">{"ADVANCEDL11";((IF("11"=(INDEX(ALLCLASSDATA,MATCH("AdvancedLegendary",CLASSFEATUREHEADERS,0),MATCH($A524,CLASSNAMEHEADERS,0))),(INDEX(ALLCLASSDATA,MATCH("AdvancedLegendary",CLASSFEATUREHEADERS,0),MATCH(($A524 &amp; "Points"),CLASSNAMEHEADERS,0))),(IF("11"=(INDEX(ALLCLASSDATA,MATCH("AdvancedMaster",CLASSFEATUREHEADERS,0),MATCH($A524,CLASSNAMEHEADERS,0))),(INDEX(ALLCLASSDATA,MATCH("AdvancedMaster",CLASSFEATUREHEADERS,0),MATCH(($A524 &amp; "Points"),CLASSNAMEHEADERS,0))),(IF("11"=(INDEX(ALLCLASSDATA,MATCH("AdvancedExpert",CLASSFEATUREHEADERS,0),MATCH($A524,CLASSNAMEHEADERS,0))),(INDEX(ALLCLASSDATA,MATCH("AdvancedExpert",CLASSFEATUREHEADERS,0),MATCH(($A524 &amp; "Points"),CLASSNAMEHEADERS,0))),(IF("11"=(INDEX(ALLCLASSDATA,MATCH("AdvancedTrained",CLASSFEATUREHEADERS,0),MATCH($A524,CLASSNAMEHEADERS,0))),(INDEX(ALLCLASSDATA,MATCH("AdvancedTrained",CLASSFEATUREHEADERS,0),MATCH(($A524 &amp; "Points"),CLASSNAMEHEADERS,0))),"")))))))))}</f>
        <v>ADVANCEDL11</v>
      </c>
      <c r="R523" s="223"/>
      <c r="S523" s="223" t="str">
        <f t="array" ref="S523:S524">{"ADVANCEDL13";((IF("13"=(INDEX(ALLCLASSDATA,MATCH("AdvancedLegendary",CLASSFEATUREHEADERS,0),MATCH($A524,CLASSNAMEHEADERS,0))),(INDEX(ALLCLASSDATA,MATCH("AdvancedLegendary",CLASSFEATUREHEADERS,0),MATCH(($A524 &amp; "Points"),CLASSNAMEHEADERS,0))),(IF("13"=(INDEX(ALLCLASSDATA,MATCH("AdvancedMaster",CLASSFEATUREHEADERS,0),MATCH($A524,CLASSNAMEHEADERS,0))),(INDEX(ALLCLASSDATA,MATCH("AdvancedMaster",CLASSFEATUREHEADERS,0),MATCH(($A524 &amp; "Points"),CLASSNAMEHEADERS,0))),(IF("13"=(INDEX(ALLCLASSDATA,MATCH("AdvancedExpert",CLASSFEATUREHEADERS,0),MATCH($A524,CLASSNAMEHEADERS,0))),(INDEX(ALLCLASSDATA,MATCH("AdvancedExpert",CLASSFEATUREHEADERS,0),MATCH(($A524 &amp; "Points"),CLASSNAMEHEADERS,0))),(IF("13"=(INDEX(ALLCLASSDATA,MATCH("AdvancedTrained",CLASSFEATUREHEADERS,0),MATCH($A524,CLASSNAMEHEADERS,0))),(INDEX(ALLCLASSDATA,MATCH("AdvancedTrained",CLASSFEATUREHEADERS,0),MATCH(($A524 &amp; "Points"),CLASSNAMEHEADERS,0))),"")))))))))}</f>
        <v>ADVANCEDL13</v>
      </c>
      <c r="T523" s="223"/>
      <c r="U523" s="223" t="str">
        <f t="array" ref="U523:U524">{"ADVANCEDL15";((IF("15"=(INDEX(ALLCLASSDATA,MATCH("AdvancedLegendary",CLASSFEATUREHEADERS,0),MATCH($A524,CLASSNAMEHEADERS,0))),(INDEX(ALLCLASSDATA,MATCH("AdvancedLegendary",CLASSFEATUREHEADERS,0),MATCH(($A524 &amp; "Points"),CLASSNAMEHEADERS,0))),(IF("15"=(INDEX(ALLCLASSDATA,MATCH("AdvancedMaster",CLASSFEATUREHEADERS,0),MATCH($A524,CLASSNAMEHEADERS,0))),(INDEX(ALLCLASSDATA,MATCH("AdvancedMaster",CLASSFEATUREHEADERS,0),MATCH(($A524 &amp; "Points"),CLASSNAMEHEADERS,0))),(IF("15"=(INDEX(ALLCLASSDATA,MATCH("AdvancedExpert",CLASSFEATUREHEADERS,0),MATCH($A524,CLASSNAMEHEADERS,0))),(INDEX(ALLCLASSDATA,MATCH("AdvancedExpert",CLASSFEATUREHEADERS,0),MATCH(($A524 &amp; "Points"),CLASSNAMEHEADERS,0))),(IF("15"=(INDEX(ALLCLASSDATA,MATCH("AdvancedTrained",CLASSFEATUREHEADERS,0),MATCH($A524,CLASSNAMEHEADERS,0))),(INDEX(ALLCLASSDATA,MATCH("AdvancedTrained",CLASSFEATUREHEADERS,0),MATCH(($A524 &amp; "Points"),CLASSNAMEHEADERS,0))),"")))))))))}</f>
        <v>ADVANCEDL15</v>
      </c>
      <c r="V523" s="223"/>
      <c r="W523" s="223" t="str">
        <f t="array" ref="W523:W524">{"ADVANCEDL17";((IF("17"=(INDEX(ALLCLASSDATA,MATCH("AdvancedLegendary",CLASSFEATUREHEADERS,0),MATCH($A524,CLASSNAMEHEADERS,0))),(INDEX(ALLCLASSDATA,MATCH("AdvancedLegendary",CLASSFEATUREHEADERS,0),MATCH(($A524 &amp; "Points"),CLASSNAMEHEADERS,0))),(IF("17"=(INDEX(ALLCLASSDATA,MATCH("AdvancedMaster",CLASSFEATUREHEADERS,0),MATCH($A524,CLASSNAMEHEADERS,0))),(INDEX(ALLCLASSDATA,MATCH("AdvancedMaster",CLASSFEATUREHEADERS,0),MATCH(($A524 &amp; "Points"),CLASSNAMEHEADERS,0))),(IF("17"=(INDEX(ALLCLASSDATA,MATCH("AdvancedExpert",CLASSFEATUREHEADERS,0),MATCH($A524,CLASSNAMEHEADERS,0))),(INDEX(ALLCLASSDATA,MATCH("AdvancedExpert",CLASSFEATUREHEADERS,0),MATCH(($A524 &amp; "Points"),CLASSNAMEHEADERS,0))),(IF("17"=(INDEX(ALLCLASSDATA,MATCH("AdvancedTrained",CLASSFEATUREHEADERS,0),MATCH($A524,CLASSNAMEHEADERS,0))),(INDEX(ALLCLASSDATA,MATCH("AdvancedTrained",CLASSFEATUREHEADERS,0),MATCH(($A524 &amp; "Points"),CLASSNAMEHEADERS,0))),"")))))))))}</f>
        <v>ADVANCEDL17</v>
      </c>
      <c r="X523" s="223"/>
      <c r="Y523" s="223" t="str">
        <f t="array" ref="Y523:Y524">{"ADVANCEDL19";((IF("19"=(INDEX(ALLCLASSDATA,MATCH("AdvancedLegendary",CLASSFEATUREHEADERS,0),MATCH($A524,CLASSNAMEHEADERS,0))),(INDEX(ALLCLASSDATA,MATCH("AdvancedLegendary",CLASSFEATUREHEADERS,0),MATCH(($A524 &amp; "Points"),CLASSNAMEHEADERS,0))),(IF("19"=(INDEX(ALLCLASSDATA,MATCH("AdvancedMaster",CLASSFEATUREHEADERS,0),MATCH($A524,CLASSNAMEHEADERS,0))),(INDEX(ALLCLASSDATA,MATCH("AdvancedMaster",CLASSFEATUREHEADERS,0),MATCH(($A524 &amp; "Points"),CLASSNAMEHEADERS,0))),(IF("19"=(INDEX(ALLCLASSDATA,MATCH("AdvancedExpert",CLASSFEATUREHEADERS,0),MATCH($A524,CLASSNAMEHEADERS,0))),(INDEX(ALLCLASSDATA,MATCH("AdvancedExpert",CLASSFEATUREHEADERS,0),MATCH(($A524 &amp; "Points"),CLASSNAMEHEADERS,0))),(IF("19"=(INDEX(ALLCLASSDATA,MATCH("AdvancedTrained",CLASSFEATUREHEADERS,0),MATCH($A524,CLASSNAMEHEADERS,0))),(INDEX(ALLCLASSDATA,MATCH("AdvancedTrained",CLASSFEATUREHEADERS,0),MATCH(($A524 &amp; "Points"),CLASSNAMEHEADERS,0))),"")))))))))}</f>
        <v>ADVANCEDL19</v>
      </c>
      <c r="Z523" s="223"/>
      <c r="AA523" s="76" t="str">
        <f t="array" ref="AA523:AA524">{"ADVANCED TOTAL";(IF(COUNTBLANK(F524:Z524)=17,"L",(IF(COUNTBLANK(F524:Z524)=18,"M",(IF(COUNTBLANK(F524:Z524)=19,"E",(IF(COUNTBLANK(F524:Z524)=20,"T",""))))))))}</f>
        <v>ADVANCED TOTAL</v>
      </c>
      <c r="AB523" s="76" t="str">
        <f t="array" ref="AB523:AB524">{"ADVANCED TOTAL";(sum(F524:Z524))}</f>
        <v>ADVANCED TOTAL</v>
      </c>
    </row>
    <row r="524">
      <c r="A524" s="48" t="s">
        <v>195</v>
      </c>
      <c r="B524" s="48" t="s">
        <v>417</v>
      </c>
      <c r="C524" s="97" t="s">
        <v>1634</v>
      </c>
      <c r="D524" s="97" t="s">
        <v>602</v>
      </c>
      <c r="E524" s="98" t="s">
        <v>603</v>
      </c>
      <c r="F524" s="132" t="s">
        <v>603</v>
      </c>
      <c r="G524" s="98" t="s">
        <v>603</v>
      </c>
      <c r="H524" s="98"/>
      <c r="I524" s="98" t="s">
        <v>603</v>
      </c>
      <c r="J524" s="98"/>
      <c r="K524" s="98" t="s">
        <v>603</v>
      </c>
      <c r="L524" s="98"/>
      <c r="M524" s="98" t="s">
        <v>603</v>
      </c>
      <c r="N524" s="98"/>
      <c r="O524" s="98" t="s">
        <v>603</v>
      </c>
      <c r="P524" s="98"/>
      <c r="Q524" s="98" t="s">
        <v>603</v>
      </c>
      <c r="R524" s="98"/>
      <c r="S524" s="98" t="s">
        <v>603</v>
      </c>
      <c r="T524" s="98"/>
      <c r="U524" s="98" t="s">
        <v>603</v>
      </c>
      <c r="V524" s="98"/>
      <c r="W524" s="98" t="s">
        <v>603</v>
      </c>
      <c r="X524" s="98"/>
      <c r="Y524" s="98" t="s">
        <v>603</v>
      </c>
      <c r="Z524" s="98"/>
      <c r="AA524" s="5" t="s">
        <v>603</v>
      </c>
      <c r="AB524" s="47">
        <v>0.0</v>
      </c>
    </row>
    <row r="525" hidden="1">
      <c r="A525" s="222" t="str">
        <f t="array" ref="A525:A526">{"FormulaRow34";(INDEX(CLASSLIST,A458,1))}</f>
        <v>FormulaRow34</v>
      </c>
      <c r="B525" s="222" t="str">
        <f t="array" ref="B525:B526">{"CLASSTYPE";((INDEX(ALLCLASSDATA,MATCH("ClassType",CLASSFEATUREHEADERS,0),MATCH($A526,CLASSNAMEHEADERS,0))))}</f>
        <v>CLASSTYPE</v>
      </c>
      <c r="C525" s="222" t="str">
        <f t="array" ref="C525:C526">{"DEFENSE";"Defense"}</f>
        <v>DEFENSE</v>
      </c>
      <c r="D525" s="222" t="str">
        <f t="array" ref="D525:D526">{"ARMORSPECIAL";"ArmorAS"}</f>
        <v>ARMORSPECIAL</v>
      </c>
      <c r="E525" s="223"/>
      <c r="F525" s="223"/>
      <c r="G525" s="223" t="str">
        <f t="array" ref="G525:G526">{"ARMORSPECIALL01";((IF("01"=INDEX(ALLCLASSDATA,MATCH("ArmorSpecialization",CLASSFEATUREHEADERS,0),MATCH($A526,CLASSNAMEHEADERS,0)),ArmorAS,"")))}</f>
        <v>ARMORSPECIALL01</v>
      </c>
      <c r="H525" s="223"/>
      <c r="I525" s="223" t="str">
        <f t="array" ref="I525:I526">{"ARMORSPECIALL03";((IF("03"=INDEX(ALLCLASSDATA,MATCH("ArmorSpecialization",CLASSFEATUREHEADERS,0),MATCH($A526,CLASSNAMEHEADERS,0)),ArmorAS,"")))}</f>
        <v>ARMORSPECIALL03</v>
      </c>
      <c r="J525" s="223"/>
      <c r="K525" s="223" t="str">
        <f t="array" ref="K525:K526">{"ARMORSPECIALL05";((IF("05"=INDEX(ALLCLASSDATA,MATCH("ArmorSpecialization",CLASSFEATUREHEADERS,0),MATCH($A526,CLASSNAMEHEADERS,0)),ArmorAS,"")))}</f>
        <v>ARMORSPECIALL05</v>
      </c>
      <c r="L525" s="223"/>
      <c r="M525" s="223" t="str">
        <f t="array" ref="M525:M526">{"ARMORSPECIALL07";((IF("07"=INDEX(ALLCLASSDATA,MATCH("ArmorSpecialization",CLASSFEATUREHEADERS,0),MATCH($A526,CLASSNAMEHEADERS,0)),ArmorAS,"")))}</f>
        <v>ARMORSPECIALL07</v>
      </c>
      <c r="N525" s="223"/>
      <c r="O525" s="223" t="str">
        <f t="array" ref="O525:O526">{"ARMORSPECIALL09";((IF("09"=INDEX(ALLCLASSDATA,MATCH("ArmorSpecialization",CLASSFEATUREHEADERS,0),MATCH($A526,CLASSNAMEHEADERS,0)),ArmorAS,"")))}</f>
        <v>ARMORSPECIALL09</v>
      </c>
      <c r="P525" s="223"/>
      <c r="Q525" s="223" t="str">
        <f t="array" ref="Q525:Q526">{"ARMORSPECIALL11";((IF("11"=INDEX(ALLCLASSDATA,MATCH("ArmorSpecialization",CLASSFEATUREHEADERS,0),MATCH($A526,CLASSNAMEHEADERS,0)),ArmorAS,"")))}</f>
        <v>ARMORSPECIALL11</v>
      </c>
      <c r="R525" s="223"/>
      <c r="S525" s="223" t="str">
        <f t="array" ref="S525:S526">{"ARMORSPECIALL13";((IF("13"=INDEX(ALLCLASSDATA,MATCH("ArmorSpecialization",CLASSFEATUREHEADERS,0),MATCH($A526,CLASSNAMEHEADERS,0)),ArmorAS,"")))}</f>
        <v>ARMORSPECIALL13</v>
      </c>
      <c r="T525" s="223"/>
      <c r="U525" s="223" t="str">
        <f t="array" ref="U525:U526">{"ARMORSPECIALL15";((IF("15"=INDEX(ALLCLASSDATA,MATCH("ArmorSpecialization",CLASSFEATUREHEADERS,0),MATCH($A526,CLASSNAMEHEADERS,0)),ArmorAS,"")))}</f>
        <v>ARMORSPECIALL15</v>
      </c>
      <c r="V525" s="223"/>
      <c r="W525" s="223" t="str">
        <f t="array" ref="W525:W526">{"ARMORSPECIALL17";((IF("17"=INDEX(ALLCLASSDATA,MATCH("ArmorSpecialization",CLASSFEATUREHEADERS,0),MATCH($A526,CLASSNAMEHEADERS,0)),ArmorAS,"")))}</f>
        <v>ARMORSPECIALL17</v>
      </c>
      <c r="X525" s="223"/>
      <c r="Y525" s="223" t="str">
        <f t="array" ref="Y525:Y526">{"ARMORSPECIALL19";((IF("19"=INDEX(ALLCLASSDATA,MATCH("ArmorSpecialization",CLASSFEATUREHEADERS,0),MATCH($A526,CLASSNAMEHEADERS,0)),ArmorAS,"")))}</f>
        <v>ARMORSPECIALL19</v>
      </c>
      <c r="Z525" s="223"/>
      <c r="AA525" s="76"/>
      <c r="AB525" s="76" t="str">
        <f t="array" ref="AB525:AB526">{"ARMORSPECIAL TOTAL";(sum(F526:Z526))}</f>
        <v>ARMORSPECIAL TOTAL</v>
      </c>
    </row>
    <row r="526">
      <c r="A526" s="48" t="s">
        <v>195</v>
      </c>
      <c r="B526" s="48" t="s">
        <v>417</v>
      </c>
      <c r="C526" s="48" t="s">
        <v>1900</v>
      </c>
      <c r="D526" s="48" t="s">
        <v>51</v>
      </c>
      <c r="E526" s="5"/>
      <c r="F526" s="47"/>
      <c r="G526" s="5" t="s">
        <v>603</v>
      </c>
      <c r="H526" s="5"/>
      <c r="I526" s="5" t="s">
        <v>603</v>
      </c>
      <c r="J526" s="5"/>
      <c r="K526" s="5" t="s">
        <v>603</v>
      </c>
      <c r="L526" s="5"/>
      <c r="M526" s="5" t="s">
        <v>603</v>
      </c>
      <c r="N526" s="5"/>
      <c r="O526" s="5" t="s">
        <v>603</v>
      </c>
      <c r="P526" s="5"/>
      <c r="Q526" s="5" t="s">
        <v>603</v>
      </c>
      <c r="R526" s="5"/>
      <c r="S526" s="5" t="s">
        <v>603</v>
      </c>
      <c r="T526" s="5"/>
      <c r="U526" s="5" t="s">
        <v>603</v>
      </c>
      <c r="V526" s="5"/>
      <c r="W526" s="5" t="s">
        <v>603</v>
      </c>
      <c r="X526" s="5"/>
      <c r="Y526" s="5" t="s">
        <v>603</v>
      </c>
      <c r="Z526" s="5"/>
      <c r="AA526" s="5"/>
      <c r="AB526" s="47">
        <v>0.0</v>
      </c>
    </row>
    <row r="527" hidden="1">
      <c r="A527" s="222" t="str">
        <f t="array" ref="A527:A528">{"FormulaRow35";(INDEX(CLASSLIST,A458,1))}</f>
        <v>FormulaRow35</v>
      </c>
      <c r="B527" s="222" t="str">
        <f t="array" ref="B527:B528">{"CLASSTYPE";((INDEX(ALLCLASSDATA,MATCH("ClassType",CLASSFEATUREHEADERS,0),MATCH($A528,CLASSNAMEHEADERS,0))))}</f>
        <v>CLASSTYPE</v>
      </c>
      <c r="C527" s="222" t="str">
        <f t="array" ref="C527:C528">{"DEFENSE";"Defense"}</f>
        <v>DEFENSE</v>
      </c>
      <c r="D527" s="222" t="str">
        <f t="array" ref="D527:D528">{"UNARMORED";"Unarmored"}</f>
        <v>UNARMORED</v>
      </c>
      <c r="E527" s="223" t="str">
        <f t="array" ref="E527:E528">{"UNARMOREDINITIAL";((IF(G528=10,"T",(IF(G528=50,"E","")))))}</f>
        <v>UNARMOREDINITIAL</v>
      </c>
      <c r="F527" s="223" t="str">
        <f t="array" ref="F527:F528">{"UNARMOREDINITIALPTS";((IF("00"=(INDEX(ALLCLASSDATA,MATCH("UnarmoredLegendary",CLASSFEATUREHEADERS,0),MATCH($A528,CLASSNAMEHEADERS,0))),(INDEX(ALLCLASSDATA,MATCH("UnarmoredLegendary",CLASSFEATUREHEADERS,0),MATCH(($A528 &amp; "Points"),CLASSNAMEHEADERS,0))),(IF("00"=(INDEX(ALLCLASSDATA,MATCH("UnarmoredMaster",CLASSFEATUREHEADERS,0),MATCH($A528,CLASSNAMEHEADERS,0))),(INDEX(ALLCLASSDATA,MATCH("UnarmoredMaster",CLASSFEATUREHEADERS,0),MATCH(($A528 &amp; "Points"),CLASSNAMEHEADERS,0))),(IF("00"=(INDEX(ALLCLASSDATA,MATCH("UnarmoredExpert",CLASSFEATUREHEADERS,0),MATCH($A528,CLASSNAMEHEADERS,0))),(INDEX(ALLCLASSDATA,MATCH("UnarmoredExpert",CLASSFEATUREHEADERS,0),MATCH(($A528 &amp; "Points"),CLASSNAMEHEADERS,0))),(IF("00"=(INDEX(ALLCLASSDATA,MATCH("UnarmoredTrained",CLASSFEATUREHEADERS,0),MATCH($A528,CLASSNAMEHEADERS,0))),(INDEX(ALLCLASSDATA,MATCH("UnarmoredTrained",CLASSFEATUREHEADERS,0),MATCH(($A528 &amp; "Points"),CLASSNAMEHEADERS,0))),"")))))))))}</f>
        <v>UNARMOREDINITIALPTS</v>
      </c>
      <c r="G527" s="223" t="str">
        <f t="array" ref="G527:G528">{"UNARMOREDL01";((IF("01"=(INDEX(ALLCLASSDATA,MATCH("UnarmoredLegendary",CLASSFEATUREHEADERS,0),MATCH($A528,CLASSNAMEHEADERS,0))),(INDEX(ALLCLASSDATA,MATCH("UnarmoredLegendary",CLASSFEATUREHEADERS,0),MATCH(($A528 &amp; "Points"),CLASSNAMEHEADERS,0))),(IF("01"=(INDEX(ALLCLASSDATA,MATCH("UnarmoredMaster",CLASSFEATUREHEADERS,0),MATCH($A528,CLASSNAMEHEADERS,0))),(INDEX(ALLCLASSDATA,MATCH("UnarmoredMaster",CLASSFEATUREHEADERS,0),MATCH(($A528 &amp; "Points"),CLASSNAMEHEADERS,0))),(IF("01"=(INDEX(ALLCLASSDATA,MATCH("UnarmoredExpert",CLASSFEATUREHEADERS,0),MATCH($A528,CLASSNAMEHEADERS,0))),(INDEX(ALLCLASSDATA,MATCH("UnarmoredExpert",CLASSFEATUREHEADERS,0),MATCH(($A528 &amp; "Points"),CLASSNAMEHEADERS,0))),(IF("01"=(INDEX(ALLCLASSDATA,MATCH("UnarmoredTrained",CLASSFEATUREHEADERS,0),MATCH($A528,CLASSNAMEHEADERS,0))),(INDEX(ALLCLASSDATA,MATCH("UnarmoredTrained",CLASSFEATUREHEADERS,0),MATCH(($A528 &amp; "Points"),CLASSNAMEHEADERS,0))),"")))))))))}</f>
        <v>UNARMOREDL01</v>
      </c>
      <c r="H527" s="223"/>
      <c r="I527" s="223" t="str">
        <f t="array" ref="I527:I528">{"UNARMOREDL03";((IF("03"=(INDEX(ALLCLASSDATA,MATCH("UnarmoredLegendary",CLASSFEATUREHEADERS,0),MATCH($A528,CLASSNAMEHEADERS,0))),(INDEX(ALLCLASSDATA,MATCH("UnarmoredLegendary",CLASSFEATUREHEADERS,0),MATCH(($A528 &amp; "Points"),CLASSNAMEHEADERS,0))),(IF("03"=(INDEX(ALLCLASSDATA,MATCH("UnarmoredMaster",CLASSFEATUREHEADERS,0),MATCH($A528,CLASSNAMEHEADERS,0))),(INDEX(ALLCLASSDATA,MATCH("UnarmoredMaster",CLASSFEATUREHEADERS,0),MATCH(($A528 &amp; "Points"),CLASSNAMEHEADERS,0))),(IF("03"=(INDEX(ALLCLASSDATA,MATCH("UnarmoredExpert",CLASSFEATUREHEADERS,0),MATCH($A528,CLASSNAMEHEADERS,0))),(INDEX(ALLCLASSDATA,MATCH("UnarmoredExpert",CLASSFEATUREHEADERS,0),MATCH(($A528 &amp; "Points"),CLASSNAMEHEADERS,0))),(IF("03"=(INDEX(ALLCLASSDATA,MATCH("UnarmoredTrained",CLASSFEATUREHEADERS,0),MATCH($A528,CLASSNAMEHEADERS,0))),(INDEX(ALLCLASSDATA,MATCH("UnarmoredTrained",CLASSFEATUREHEADERS,0),MATCH(($A528 &amp; "Points"),CLASSNAMEHEADERS,0))),"")))))))))}</f>
        <v>UNARMOREDL03</v>
      </c>
      <c r="J527" s="223"/>
      <c r="K527" s="223" t="str">
        <f t="array" ref="K527:K528">{"UNARMOREDL05";((IF("05"=(INDEX(ALLCLASSDATA,MATCH("UnarmoredLegendary",CLASSFEATUREHEADERS,0),MATCH($A528,CLASSNAMEHEADERS,0))),(INDEX(ALLCLASSDATA,MATCH("UnarmoredLegendary",CLASSFEATUREHEADERS,0),MATCH(($A528 &amp; "Points"),CLASSNAMEHEADERS,0))),(IF("05"=(INDEX(ALLCLASSDATA,MATCH("UnarmoredMaster",CLASSFEATUREHEADERS,0),MATCH($A528,CLASSNAMEHEADERS,0))),(INDEX(ALLCLASSDATA,MATCH("UnarmoredMaster",CLASSFEATUREHEADERS,0),MATCH(($A528 &amp; "Points"),CLASSNAMEHEADERS,0))),(IF("05"=(INDEX(ALLCLASSDATA,MATCH("UnarmoredExpert",CLASSFEATUREHEADERS,0),MATCH($A528,CLASSNAMEHEADERS,0))),(INDEX(ALLCLASSDATA,MATCH("UnarmoredExpert",CLASSFEATUREHEADERS,0),MATCH(($A528 &amp; "Points"),CLASSNAMEHEADERS,0))),(IF("05"=(INDEX(ALLCLASSDATA,MATCH("UnarmoredTrained",CLASSFEATUREHEADERS,0),MATCH($A528,CLASSNAMEHEADERS,0))),(INDEX(ALLCLASSDATA,MATCH("UnarmoredTrained",CLASSFEATUREHEADERS,0),MATCH(($A528 &amp; "Points"),CLASSNAMEHEADERS,0))),"")))))))))}</f>
        <v>UNARMOREDL05</v>
      </c>
      <c r="L527" s="223"/>
      <c r="M527" s="223" t="str">
        <f t="array" ref="M527:M528">{"UNARMOREDL07";((IF("07"=(INDEX(ALLCLASSDATA,MATCH("UnarmoredLegendary",CLASSFEATUREHEADERS,0),MATCH($A528,CLASSNAMEHEADERS,0))),(INDEX(ALLCLASSDATA,MATCH("UnarmoredLegendary",CLASSFEATUREHEADERS,0),MATCH(($A528 &amp; "Points"),CLASSNAMEHEADERS,0))),(IF("07"=(INDEX(ALLCLASSDATA,MATCH("UnarmoredMaster",CLASSFEATUREHEADERS,0),MATCH($A528,CLASSNAMEHEADERS,0))),(INDEX(ALLCLASSDATA,MATCH("UnarmoredMaster",CLASSFEATUREHEADERS,0),MATCH(($A528 &amp; "Points"),CLASSNAMEHEADERS,0))),(IF("07"=(INDEX(ALLCLASSDATA,MATCH("UnarmoredExpert",CLASSFEATUREHEADERS,0),MATCH($A528,CLASSNAMEHEADERS,0))),(INDEX(ALLCLASSDATA,MATCH("UnarmoredExpert",CLASSFEATUREHEADERS,0),MATCH(($A528 &amp; "Points"),CLASSNAMEHEADERS,0))),(IF("07"=(INDEX(ALLCLASSDATA,MATCH("UnarmoredTrained",CLASSFEATUREHEADERS,0),MATCH($A528,CLASSNAMEHEADERS,0))),(INDEX(ALLCLASSDATA,MATCH("UnarmoredTrained",CLASSFEATUREHEADERS,0),MATCH(($A528 &amp; "Points"),CLASSNAMEHEADERS,0))),"")))))))))}</f>
        <v>UNARMOREDL07</v>
      </c>
      <c r="N527" s="223"/>
      <c r="O527" s="223" t="str">
        <f t="array" ref="O527:O528">{"UNARMOREDL09";((IF("09"=(INDEX(ALLCLASSDATA,MATCH("UnarmoredLegendary",CLASSFEATUREHEADERS,0),MATCH($A528,CLASSNAMEHEADERS,0))),(INDEX(ALLCLASSDATA,MATCH("UnarmoredLegendary",CLASSFEATUREHEADERS,0),MATCH(($A528 &amp; "Points"),CLASSNAMEHEADERS,0))),(IF("09"=(INDEX(ALLCLASSDATA,MATCH("UnarmoredMaster",CLASSFEATUREHEADERS,0),MATCH($A528,CLASSNAMEHEADERS,0))),(INDEX(ALLCLASSDATA,MATCH("UnarmoredMaster",CLASSFEATUREHEADERS,0),MATCH(($A528 &amp; "Points"),CLASSNAMEHEADERS,0))),(IF("09"=(INDEX(ALLCLASSDATA,MATCH("UnarmoredExpert",CLASSFEATUREHEADERS,0),MATCH($A528,CLASSNAMEHEADERS,0))),(INDEX(ALLCLASSDATA,MATCH("UnarmoredExpert",CLASSFEATUREHEADERS,0),MATCH(($A528 &amp; "Points"),CLASSNAMEHEADERS,0))),(IF("09"=(INDEX(ALLCLASSDATA,MATCH("UnarmoredTrained",CLASSFEATUREHEADERS,0),MATCH($A528,CLASSNAMEHEADERS,0))),(INDEX(ALLCLASSDATA,MATCH("UnarmoredTrained",CLASSFEATUREHEADERS,0),MATCH(($A528 &amp; "Points"),CLASSNAMEHEADERS,0))),"")))))))))}</f>
        <v>UNARMOREDL09</v>
      </c>
      <c r="P527" s="223"/>
      <c r="Q527" s="223" t="str">
        <f t="array" ref="Q527:Q528">{"UNARMOREDL11";((IF("11"=(INDEX(ALLCLASSDATA,MATCH("UnarmoredLegendary",CLASSFEATUREHEADERS,0),MATCH($A528,CLASSNAMEHEADERS,0))),(INDEX(ALLCLASSDATA,MATCH("UnarmoredLegendary",CLASSFEATUREHEADERS,0),MATCH(($A528 &amp; "Points"),CLASSNAMEHEADERS,0))),(IF("11"=(INDEX(ALLCLASSDATA,MATCH("UnarmoredMaster",CLASSFEATUREHEADERS,0),MATCH($A528,CLASSNAMEHEADERS,0))),(INDEX(ALLCLASSDATA,MATCH("UnarmoredMaster",CLASSFEATUREHEADERS,0),MATCH(($A528 &amp; "Points"),CLASSNAMEHEADERS,0))),(IF("11"=(INDEX(ALLCLASSDATA,MATCH("UnarmoredExpert",CLASSFEATUREHEADERS,0),MATCH($A528,CLASSNAMEHEADERS,0))),(INDEX(ALLCLASSDATA,MATCH("UnarmoredExpert",CLASSFEATUREHEADERS,0),MATCH(($A528 &amp; "Points"),CLASSNAMEHEADERS,0))),(IF("11"=(INDEX(ALLCLASSDATA,MATCH("UnarmoredTrained",CLASSFEATUREHEADERS,0),MATCH($A528,CLASSNAMEHEADERS,0))),(INDEX(ALLCLASSDATA,MATCH("UnarmoredTrained",CLASSFEATUREHEADERS,0),MATCH(($A528 &amp; "Points"),CLASSNAMEHEADERS,0))),"")))))))))}</f>
        <v>UNARMOREDL11</v>
      </c>
      <c r="R527" s="223"/>
      <c r="S527" s="223" t="str">
        <f t="array" ref="S527:S528">{"UNARMOREDL13";((IF("13"=(INDEX(ALLCLASSDATA,MATCH("UnarmoredLegendary",CLASSFEATUREHEADERS,0),MATCH($A528,CLASSNAMEHEADERS,0))),(INDEX(ALLCLASSDATA,MATCH("UnarmoredLegendary",CLASSFEATUREHEADERS,0),MATCH(($A528 &amp; "Points"),CLASSNAMEHEADERS,0))),(IF("13"=(INDEX(ALLCLASSDATA,MATCH("UnarmoredMaster",CLASSFEATUREHEADERS,0),MATCH($A528,CLASSNAMEHEADERS,0))),(INDEX(ALLCLASSDATA,MATCH("UnarmoredMaster",CLASSFEATUREHEADERS,0),MATCH(($A528 &amp; "Points"),CLASSNAMEHEADERS,0))),(IF("13"=(INDEX(ALLCLASSDATA,MATCH("UnarmoredExpert",CLASSFEATUREHEADERS,0),MATCH($A528,CLASSNAMEHEADERS,0))),(INDEX(ALLCLASSDATA,MATCH("UnarmoredExpert",CLASSFEATUREHEADERS,0),MATCH(($A528 &amp; "Points"),CLASSNAMEHEADERS,0))),(IF("13"=(INDEX(ALLCLASSDATA,MATCH("UnarmoredTrained",CLASSFEATUREHEADERS,0),MATCH($A528,CLASSNAMEHEADERS,0))),(INDEX(ALLCLASSDATA,MATCH("UnarmoredTrained",CLASSFEATUREHEADERS,0),MATCH(($A528 &amp; "Points"),CLASSNAMEHEADERS,0))),"")))))))))}</f>
        <v>UNARMOREDL13</v>
      </c>
      <c r="T527" s="223"/>
      <c r="U527" s="223" t="str">
        <f t="array" ref="U527:U528">{"UNARMOREDL15";((IF("15"=(INDEX(ALLCLASSDATA,MATCH("UnarmoredLegendary",CLASSFEATUREHEADERS,0),MATCH($A528,CLASSNAMEHEADERS,0))),(INDEX(ALLCLASSDATA,MATCH("UnarmoredLegendary",CLASSFEATUREHEADERS,0),MATCH(($A528 &amp; "Points"),CLASSNAMEHEADERS,0))),(IF("15"=(INDEX(ALLCLASSDATA,MATCH("UnarmoredMaster",CLASSFEATUREHEADERS,0),MATCH($A528,CLASSNAMEHEADERS,0))),(INDEX(ALLCLASSDATA,MATCH("UnarmoredMaster",CLASSFEATUREHEADERS,0),MATCH(($A528 &amp; "Points"),CLASSNAMEHEADERS,0))),(IF("15"=(INDEX(ALLCLASSDATA,MATCH("UnarmoredExpert",CLASSFEATUREHEADERS,0),MATCH($A528,CLASSNAMEHEADERS,0))),(INDEX(ALLCLASSDATA,MATCH("UnarmoredExpert",CLASSFEATUREHEADERS,0),MATCH(($A528 &amp; "Points"),CLASSNAMEHEADERS,0))),(IF("15"=(INDEX(ALLCLASSDATA,MATCH("UnarmoredTrained",CLASSFEATUREHEADERS,0),MATCH($A528,CLASSNAMEHEADERS,0))),(INDEX(ALLCLASSDATA,MATCH("UnarmoredTrained",CLASSFEATUREHEADERS,0),MATCH(($A528 &amp; "Points"),CLASSNAMEHEADERS,0))),"")))))))))}</f>
        <v>UNARMOREDL15</v>
      </c>
      <c r="V527" s="223"/>
      <c r="W527" s="223" t="str">
        <f t="array" ref="W527:W528">{"UNARMOREDL17";((IF("17"=(INDEX(ALLCLASSDATA,MATCH("UnarmoredLegendary",CLASSFEATUREHEADERS,0),MATCH($A528,CLASSNAMEHEADERS,0))),(INDEX(ALLCLASSDATA,MATCH("UnarmoredLegendary",CLASSFEATUREHEADERS,0),MATCH(($A528 &amp; "Points"),CLASSNAMEHEADERS,0))),(IF("17"=(INDEX(ALLCLASSDATA,MATCH("UnarmoredMaster",CLASSFEATUREHEADERS,0),MATCH($A528,CLASSNAMEHEADERS,0))),(INDEX(ALLCLASSDATA,MATCH("UnarmoredMaster",CLASSFEATUREHEADERS,0),MATCH(($A528 &amp; "Points"),CLASSNAMEHEADERS,0))),(IF("17"=(INDEX(ALLCLASSDATA,MATCH("UnarmoredExpert",CLASSFEATUREHEADERS,0),MATCH($A528,CLASSNAMEHEADERS,0))),(INDEX(ALLCLASSDATA,MATCH("UnarmoredExpert",CLASSFEATUREHEADERS,0),MATCH(($A528 &amp; "Points"),CLASSNAMEHEADERS,0))),(IF("17"=(INDEX(ALLCLASSDATA,MATCH("UnarmoredTrained",CLASSFEATUREHEADERS,0),MATCH($A528,CLASSNAMEHEADERS,0))),(INDEX(ALLCLASSDATA,MATCH("UnarmoredTrained",CLASSFEATUREHEADERS,0),MATCH(($A528 &amp; "Points"),CLASSNAMEHEADERS,0))),"")))))))))}</f>
        <v>UNARMOREDL17</v>
      </c>
      <c r="X527" s="223"/>
      <c r="Y527" s="223" t="str">
        <f t="array" ref="Y527:Y528">{"UNARMOREDL19";((IF("19"=(INDEX(ALLCLASSDATA,MATCH("UnarmoredLegendary",CLASSFEATUREHEADERS,0),MATCH($A528,CLASSNAMEHEADERS,0))),(INDEX(ALLCLASSDATA,MATCH("UnarmoredLegendary",CLASSFEATUREHEADERS,0),MATCH(($A528 &amp; "Points"),CLASSNAMEHEADERS,0))),(IF("19"=(INDEX(ALLCLASSDATA,MATCH("UnarmoredMaster",CLASSFEATUREHEADERS,0),MATCH($A528,CLASSNAMEHEADERS,0))),(INDEX(ALLCLASSDATA,MATCH("UnarmoredMaster",CLASSFEATUREHEADERS,0),MATCH(($A528 &amp; "Points"),CLASSNAMEHEADERS,0))),(IF("19"=(INDEX(ALLCLASSDATA,MATCH("UnarmoredExpert",CLASSFEATUREHEADERS,0),MATCH($A528,CLASSNAMEHEADERS,0))),(INDEX(ALLCLASSDATA,MATCH("UnarmoredExpert",CLASSFEATUREHEADERS,0),MATCH(($A528 &amp; "Points"),CLASSNAMEHEADERS,0))),(IF("19"=(INDEX(ALLCLASSDATA,MATCH("UnarmoredTrained",CLASSFEATUREHEADERS,0),MATCH($A528,CLASSNAMEHEADERS,0))),(INDEX(ALLCLASSDATA,MATCH("UnarmoredTrained",CLASSFEATUREHEADERS,0),MATCH(($A528 &amp; "Points"),CLASSNAMEHEADERS,0))),"")))))))))}</f>
        <v>UNARMOREDL19</v>
      </c>
      <c r="Z527" s="223"/>
      <c r="AA527" s="76" t="str">
        <f t="array" ref="AA527:AA528">{"UNARMORED TOTAL";(IF(COUNTBLANK(F528:Z528)=17,"L",(IF(COUNTBLANK(F528:Z528)=18,"M",(IF(COUNTBLANK(F528:Z528)=19,"E",(IF(COUNTBLANK(F528:Z528)=20,"T",""))))))))}</f>
        <v>UNARMORED TOTAL</v>
      </c>
      <c r="AB527" s="76" t="str">
        <f t="array" ref="AB527:AB528">{"UNARMORED TOTAL";(sum(F528:Z528))}</f>
        <v>UNARMORED TOTAL</v>
      </c>
    </row>
    <row r="528">
      <c r="A528" s="48" t="s">
        <v>195</v>
      </c>
      <c r="B528" s="48" t="s">
        <v>417</v>
      </c>
      <c r="C528" s="48" t="s">
        <v>1900</v>
      </c>
      <c r="D528" s="48" t="s">
        <v>78</v>
      </c>
      <c r="E528" s="5" t="s">
        <v>435</v>
      </c>
      <c r="F528" s="47" t="s">
        <v>603</v>
      </c>
      <c r="G528" s="5">
        <v>10.0</v>
      </c>
      <c r="H528" s="5"/>
      <c r="I528" s="5" t="s">
        <v>603</v>
      </c>
      <c r="J528" s="5"/>
      <c r="K528" s="5" t="s">
        <v>603</v>
      </c>
      <c r="L528" s="5"/>
      <c r="M528" s="5" t="s">
        <v>603</v>
      </c>
      <c r="N528" s="5"/>
      <c r="O528" s="5" t="s">
        <v>603</v>
      </c>
      <c r="P528" s="5"/>
      <c r="Q528" s="5" t="s">
        <v>603</v>
      </c>
      <c r="R528" s="5"/>
      <c r="S528" s="5">
        <v>50.0</v>
      </c>
      <c r="T528" s="5"/>
      <c r="U528" s="5" t="s">
        <v>603</v>
      </c>
      <c r="V528" s="5"/>
      <c r="W528" s="5" t="s">
        <v>603</v>
      </c>
      <c r="X528" s="5"/>
      <c r="Y528" s="5" t="s">
        <v>603</v>
      </c>
      <c r="Z528" s="5"/>
      <c r="AA528" s="5" t="s">
        <v>436</v>
      </c>
      <c r="AB528" s="47">
        <v>60.0</v>
      </c>
    </row>
    <row r="529" hidden="1">
      <c r="A529" s="222" t="str">
        <f t="array" ref="A529:A530">{"FormulaRow36";(INDEX(CLASSLIST,A458,1))}</f>
        <v>FormulaRow36</v>
      </c>
      <c r="B529" s="222" t="str">
        <f t="array" ref="B529:B530">{"CLASSTYPE";((INDEX(ALLCLASSDATA,MATCH("ClassType",CLASSFEATUREHEADERS,0),MATCH($A530,CLASSNAMEHEADERS,0))))}</f>
        <v>CLASSTYPE</v>
      </c>
      <c r="C529" s="222" t="str">
        <f t="array" ref="C529:C530">{"DEFENSE";"Defense"}</f>
        <v>DEFENSE</v>
      </c>
      <c r="D529" s="222" t="str">
        <f t="array" ref="D529:D530">{"LIGHT";"Light"}</f>
        <v>LIGHT</v>
      </c>
      <c r="E529" s="223" t="str">
        <f t="array" ref="E529:E530">{"LIGHTINITIAL";((IF(G530=10,"T",(IF(G530=50,"E","")))))}</f>
        <v>LIGHTINITIAL</v>
      </c>
      <c r="F529" s="223" t="str">
        <f t="array" ref="F529:F530">{"LIGHTINITIALPTS";((IF("00"=(INDEX(ALLCLASSDATA,MATCH("LightLegendary",CLASSFEATUREHEADERS,0),MATCH($A530,CLASSNAMEHEADERS,0))),(INDEX(ALLCLASSDATA,MATCH("LightLegendary",CLASSFEATUREHEADERS,0),MATCH(($A530 &amp; "Points"),CLASSNAMEHEADERS,0))),(IF("00"=(INDEX(ALLCLASSDATA,MATCH("LightMaster",CLASSFEATUREHEADERS,0),MATCH($A530,CLASSNAMEHEADERS,0))),(INDEX(ALLCLASSDATA,MATCH("LightMaster",CLASSFEATUREHEADERS,0),MATCH(($A530 &amp; "Points"),CLASSNAMEHEADERS,0))),(IF("00"=(INDEX(ALLCLASSDATA,MATCH("LightExpert",CLASSFEATUREHEADERS,0),MATCH($A530,CLASSNAMEHEADERS,0))),(INDEX(ALLCLASSDATA,MATCH("LightExpert",CLASSFEATUREHEADERS,0),MATCH(($A530 &amp; "Points"),CLASSNAMEHEADERS,0))),(IF("00"=(INDEX(ALLCLASSDATA,MATCH("LightTrained",CLASSFEATUREHEADERS,0),MATCH($A530,CLASSNAMEHEADERS,0))),(INDEX(ALLCLASSDATA,MATCH("LightTrained",CLASSFEATUREHEADERS,0),MATCH(($A530 &amp; "Points"),CLASSNAMEHEADERS,0))),"")))))))))}</f>
        <v>LIGHTINITIALPTS</v>
      </c>
      <c r="G529" s="223" t="str">
        <f t="array" ref="G529:G530">{"LIGHTL01";((IF("01"=(INDEX(ALLCLASSDATA,MATCH("LightLegendary",CLASSFEATUREHEADERS,0),MATCH($A530,CLASSNAMEHEADERS,0))),(INDEX(ALLCLASSDATA,MATCH("LightLegendary",CLASSFEATUREHEADERS,0),MATCH(($A530 &amp; "Points"),CLASSNAMEHEADERS,0))),(IF("01"=(INDEX(ALLCLASSDATA,MATCH("LightMaster",CLASSFEATUREHEADERS,0),MATCH($A530,CLASSNAMEHEADERS,0))),(INDEX(ALLCLASSDATA,MATCH("LightMaster",CLASSFEATUREHEADERS,0),MATCH(($A530 &amp; "Points"),CLASSNAMEHEADERS,0))),(IF("01"=(INDEX(ALLCLASSDATA,MATCH("LightExpert",CLASSFEATUREHEADERS,0),MATCH($A530,CLASSNAMEHEADERS,0))),(INDEX(ALLCLASSDATA,MATCH("LightExpert",CLASSFEATUREHEADERS,0),MATCH(($A530 &amp; "Points"),CLASSNAMEHEADERS,0))),(IF("01"=(INDEX(ALLCLASSDATA,MATCH("LightTrained",CLASSFEATUREHEADERS,0),MATCH($A530,CLASSNAMEHEADERS,0))),(INDEX(ALLCLASSDATA,MATCH("LightTrained",CLASSFEATUREHEADERS,0),MATCH(($A530 &amp; "Points"),CLASSNAMEHEADERS,0))),"")))))))))}</f>
        <v>LIGHTL01</v>
      </c>
      <c r="H529" s="223"/>
      <c r="I529" s="223" t="str">
        <f t="array" ref="I529:I530">{"LIGHTL03";((IF("03"=(INDEX(ALLCLASSDATA,MATCH("LightLegendary",CLASSFEATUREHEADERS,0),MATCH($A530,CLASSNAMEHEADERS,0))),(INDEX(ALLCLASSDATA,MATCH("LightLegendary",CLASSFEATUREHEADERS,0),MATCH(($A530 &amp; "Points"),CLASSNAMEHEADERS,0))),(IF("03"=(INDEX(ALLCLASSDATA,MATCH("LightMaster",CLASSFEATUREHEADERS,0),MATCH($A530,CLASSNAMEHEADERS,0))),(INDEX(ALLCLASSDATA,MATCH("LightMaster",CLASSFEATUREHEADERS,0),MATCH(($A530 &amp; "Points"),CLASSNAMEHEADERS,0))),(IF("03"=(INDEX(ALLCLASSDATA,MATCH("LightExpert",CLASSFEATUREHEADERS,0),MATCH($A530,CLASSNAMEHEADERS,0))),(INDEX(ALLCLASSDATA,MATCH("LightExpert",CLASSFEATUREHEADERS,0),MATCH(($A530 &amp; "Points"),CLASSNAMEHEADERS,0))),(IF("03"=(INDEX(ALLCLASSDATA,MATCH("LightTrained",CLASSFEATUREHEADERS,0),MATCH($A530,CLASSNAMEHEADERS,0))),(INDEX(ALLCLASSDATA,MATCH("LightTrained",CLASSFEATUREHEADERS,0),MATCH(($A530 &amp; "Points"),CLASSNAMEHEADERS,0))),"")))))))))}</f>
        <v>LIGHTL03</v>
      </c>
      <c r="J529" s="223"/>
      <c r="K529" s="223" t="str">
        <f t="array" ref="K529:K530">{"LIGHTL05";((IF("05"=(INDEX(ALLCLASSDATA,MATCH("LightLegendary",CLASSFEATUREHEADERS,0),MATCH($A530,CLASSNAMEHEADERS,0))),(INDEX(ALLCLASSDATA,MATCH("LightLegendary",CLASSFEATUREHEADERS,0),MATCH(($A530 &amp; "Points"),CLASSNAMEHEADERS,0))),(IF("05"=(INDEX(ALLCLASSDATA,MATCH("LightMaster",CLASSFEATUREHEADERS,0),MATCH($A530,CLASSNAMEHEADERS,0))),(INDEX(ALLCLASSDATA,MATCH("LightMaster",CLASSFEATUREHEADERS,0),MATCH(($A530 &amp; "Points"),CLASSNAMEHEADERS,0))),(IF("05"=(INDEX(ALLCLASSDATA,MATCH("LightExpert",CLASSFEATUREHEADERS,0),MATCH($A530,CLASSNAMEHEADERS,0))),(INDEX(ALLCLASSDATA,MATCH("LightExpert",CLASSFEATUREHEADERS,0),MATCH(($A530 &amp; "Points"),CLASSNAMEHEADERS,0))),(IF("05"=(INDEX(ALLCLASSDATA,MATCH("LightTrained",CLASSFEATUREHEADERS,0),MATCH($A530,CLASSNAMEHEADERS,0))),(INDEX(ALLCLASSDATA,MATCH("LightTrained",CLASSFEATUREHEADERS,0),MATCH(($A530 &amp; "Points"),CLASSNAMEHEADERS,0))),"")))))))))}</f>
        <v>LIGHTL05</v>
      </c>
      <c r="L529" s="223"/>
      <c r="M529" s="223" t="str">
        <f t="array" ref="M529:M530">{"LIGHTL07";((IF("07"=(INDEX(ALLCLASSDATA,MATCH("LightLegendary",CLASSFEATUREHEADERS,0),MATCH($A530,CLASSNAMEHEADERS,0))),(INDEX(ALLCLASSDATA,MATCH("LightLegendary",CLASSFEATUREHEADERS,0),MATCH(($A530 &amp; "Points"),CLASSNAMEHEADERS,0))),(IF("07"=(INDEX(ALLCLASSDATA,MATCH("LightMaster",CLASSFEATUREHEADERS,0),MATCH($A530,CLASSNAMEHEADERS,0))),(INDEX(ALLCLASSDATA,MATCH("LightMaster",CLASSFEATUREHEADERS,0),MATCH(($A530 &amp; "Points"),CLASSNAMEHEADERS,0))),(IF("07"=(INDEX(ALLCLASSDATA,MATCH("LightExpert",CLASSFEATUREHEADERS,0),MATCH($A530,CLASSNAMEHEADERS,0))),(INDEX(ALLCLASSDATA,MATCH("LightExpert",CLASSFEATUREHEADERS,0),MATCH(($A530 &amp; "Points"),CLASSNAMEHEADERS,0))),(IF("07"=(INDEX(ALLCLASSDATA,MATCH("LightTrained",CLASSFEATUREHEADERS,0),MATCH($A530,CLASSNAMEHEADERS,0))),(INDEX(ALLCLASSDATA,MATCH("LightTrained",CLASSFEATUREHEADERS,0),MATCH(($A530 &amp; "Points"),CLASSNAMEHEADERS,0))),"")))))))))}</f>
        <v>LIGHTL07</v>
      </c>
      <c r="N529" s="223"/>
      <c r="O529" s="223" t="str">
        <f t="array" ref="O529:O530">{"LIGHTL09";((IF("09"=(INDEX(ALLCLASSDATA,MATCH("LightLegendary",CLASSFEATUREHEADERS,0),MATCH($A530,CLASSNAMEHEADERS,0))),(INDEX(ALLCLASSDATA,MATCH("LightLegendary",CLASSFEATUREHEADERS,0),MATCH(($A530 &amp; "Points"),CLASSNAMEHEADERS,0))),(IF("09"=(INDEX(ALLCLASSDATA,MATCH("LightMaster",CLASSFEATUREHEADERS,0),MATCH($A530,CLASSNAMEHEADERS,0))),(INDEX(ALLCLASSDATA,MATCH("LightMaster",CLASSFEATUREHEADERS,0),MATCH(($A530 &amp; "Points"),CLASSNAMEHEADERS,0))),(IF("09"=(INDEX(ALLCLASSDATA,MATCH("LightExpert",CLASSFEATUREHEADERS,0),MATCH($A530,CLASSNAMEHEADERS,0))),(INDEX(ALLCLASSDATA,MATCH("LightExpert",CLASSFEATUREHEADERS,0),MATCH(($A530 &amp; "Points"),CLASSNAMEHEADERS,0))),(IF("09"=(INDEX(ALLCLASSDATA,MATCH("LightTrained",CLASSFEATUREHEADERS,0),MATCH($A530,CLASSNAMEHEADERS,0))),(INDEX(ALLCLASSDATA,MATCH("LightTrained",CLASSFEATUREHEADERS,0),MATCH(($A530 &amp; "Points"),CLASSNAMEHEADERS,0))),"")))))))))}</f>
        <v>LIGHTL09</v>
      </c>
      <c r="P529" s="223"/>
      <c r="Q529" s="223" t="str">
        <f t="array" ref="Q529:Q530">{"LIGHTL11";((IF("11"=(INDEX(ALLCLASSDATA,MATCH("LightLegendary",CLASSFEATUREHEADERS,0),MATCH($A530,CLASSNAMEHEADERS,0))),(INDEX(ALLCLASSDATA,MATCH("LightLegendary",CLASSFEATUREHEADERS,0),MATCH(($A530 &amp; "Points"),CLASSNAMEHEADERS,0))),(IF("11"=(INDEX(ALLCLASSDATA,MATCH("LightMaster",CLASSFEATUREHEADERS,0),MATCH($A530,CLASSNAMEHEADERS,0))),(INDEX(ALLCLASSDATA,MATCH("LightMaster",CLASSFEATUREHEADERS,0),MATCH(($A530 &amp; "Points"),CLASSNAMEHEADERS,0))),(IF("11"=(INDEX(ALLCLASSDATA,MATCH("LightExpert",CLASSFEATUREHEADERS,0),MATCH($A530,CLASSNAMEHEADERS,0))),(INDEX(ALLCLASSDATA,MATCH("LightExpert",CLASSFEATUREHEADERS,0),MATCH(($A530 &amp; "Points"),CLASSNAMEHEADERS,0))),(IF("11"=(INDEX(ALLCLASSDATA,MATCH("LightTrained",CLASSFEATUREHEADERS,0),MATCH($A530,CLASSNAMEHEADERS,0))),(INDEX(ALLCLASSDATA,MATCH("LightTrained",CLASSFEATUREHEADERS,0),MATCH(($A530 &amp; "Points"),CLASSNAMEHEADERS,0))),"")))))))))}</f>
        <v>LIGHTL11</v>
      </c>
      <c r="R529" s="223"/>
      <c r="S529" s="223" t="str">
        <f t="array" ref="S529:S530">{"LIGHTL13";((IF("13"=(INDEX(ALLCLASSDATA,MATCH("LightLegendary",CLASSFEATUREHEADERS,0),MATCH($A530,CLASSNAMEHEADERS,0))),(INDEX(ALLCLASSDATA,MATCH("LightLegendary",CLASSFEATUREHEADERS,0),MATCH(($A530 &amp; "Points"),CLASSNAMEHEADERS,0))),(IF("13"=(INDEX(ALLCLASSDATA,MATCH("LightMaster",CLASSFEATUREHEADERS,0),MATCH($A530,CLASSNAMEHEADERS,0))),(INDEX(ALLCLASSDATA,MATCH("LightMaster",CLASSFEATUREHEADERS,0),MATCH(($A530 &amp; "Points"),CLASSNAMEHEADERS,0))),(IF("13"=(INDEX(ALLCLASSDATA,MATCH("LightExpert",CLASSFEATUREHEADERS,0),MATCH($A530,CLASSNAMEHEADERS,0))),(INDEX(ALLCLASSDATA,MATCH("LightExpert",CLASSFEATUREHEADERS,0),MATCH(($A530 &amp; "Points"),CLASSNAMEHEADERS,0))),(IF("13"=(INDEX(ALLCLASSDATA,MATCH("LightTrained",CLASSFEATUREHEADERS,0),MATCH($A530,CLASSNAMEHEADERS,0))),(INDEX(ALLCLASSDATA,MATCH("LightTrained",CLASSFEATUREHEADERS,0),MATCH(($A530 &amp; "Points"),CLASSNAMEHEADERS,0))),"")))))))))}</f>
        <v>LIGHTL13</v>
      </c>
      <c r="T529" s="223"/>
      <c r="U529" s="223" t="str">
        <f t="array" ref="U529:U530">{"LIGHTL15";((IF("15"=(INDEX(ALLCLASSDATA,MATCH("LightLegendary",CLASSFEATUREHEADERS,0),MATCH($A530,CLASSNAMEHEADERS,0))),(INDEX(ALLCLASSDATA,MATCH("LightLegendary",CLASSFEATUREHEADERS,0),MATCH(($A530 &amp; "Points"),CLASSNAMEHEADERS,0))),(IF("15"=(INDEX(ALLCLASSDATA,MATCH("LightMaster",CLASSFEATUREHEADERS,0),MATCH($A530,CLASSNAMEHEADERS,0))),(INDEX(ALLCLASSDATA,MATCH("LightMaster",CLASSFEATUREHEADERS,0),MATCH(($A530 &amp; "Points"),CLASSNAMEHEADERS,0))),(IF("15"=(INDEX(ALLCLASSDATA,MATCH("LightExpert",CLASSFEATUREHEADERS,0),MATCH($A530,CLASSNAMEHEADERS,0))),(INDEX(ALLCLASSDATA,MATCH("LightExpert",CLASSFEATUREHEADERS,0),MATCH(($A530 &amp; "Points"),CLASSNAMEHEADERS,0))),(IF("15"=(INDEX(ALLCLASSDATA,MATCH("LightTrained",CLASSFEATUREHEADERS,0),MATCH($A530,CLASSNAMEHEADERS,0))),(INDEX(ALLCLASSDATA,MATCH("LightTrained",CLASSFEATUREHEADERS,0),MATCH(($A530 &amp; "Points"),CLASSNAMEHEADERS,0))),"")))))))))}</f>
        <v>LIGHTL15</v>
      </c>
      <c r="V529" s="223"/>
      <c r="W529" s="223" t="str">
        <f t="array" ref="W529:W530">{"LIGHTL17";((IF("17"=(INDEX(ALLCLASSDATA,MATCH("LightLegendary",CLASSFEATUREHEADERS,0),MATCH($A530,CLASSNAMEHEADERS,0))),(INDEX(ALLCLASSDATA,MATCH("LightLegendary",CLASSFEATUREHEADERS,0),MATCH(($A530 &amp; "Points"),CLASSNAMEHEADERS,0))),(IF("17"=(INDEX(ALLCLASSDATA,MATCH("LightMaster",CLASSFEATUREHEADERS,0),MATCH($A530,CLASSNAMEHEADERS,0))),(INDEX(ALLCLASSDATA,MATCH("LightMaster",CLASSFEATUREHEADERS,0),MATCH(($A530 &amp; "Points"),CLASSNAMEHEADERS,0))),(IF("17"=(INDEX(ALLCLASSDATA,MATCH("LightExpert",CLASSFEATUREHEADERS,0),MATCH($A530,CLASSNAMEHEADERS,0))),(INDEX(ALLCLASSDATA,MATCH("LightExpert",CLASSFEATUREHEADERS,0),MATCH(($A530 &amp; "Points"),CLASSNAMEHEADERS,0))),(IF("17"=(INDEX(ALLCLASSDATA,MATCH("LightTrained",CLASSFEATUREHEADERS,0),MATCH($A530,CLASSNAMEHEADERS,0))),(INDEX(ALLCLASSDATA,MATCH("LightTrained",CLASSFEATUREHEADERS,0),MATCH(($A530 &amp; "Points"),CLASSNAMEHEADERS,0))),"")))))))))}</f>
        <v>LIGHTL17</v>
      </c>
      <c r="X529" s="223"/>
      <c r="Y529" s="223" t="str">
        <f t="array" ref="Y529:Y530">{"LIGHTL19";((IF("19"=(INDEX(ALLCLASSDATA,MATCH("LightLegendary",CLASSFEATUREHEADERS,0),MATCH($A530,CLASSNAMEHEADERS,0))),(INDEX(ALLCLASSDATA,MATCH("LightLegendary",CLASSFEATUREHEADERS,0),MATCH(($A530 &amp; "Points"),CLASSNAMEHEADERS,0))),(IF("19"=(INDEX(ALLCLASSDATA,MATCH("LightMaster",CLASSFEATUREHEADERS,0),MATCH($A530,CLASSNAMEHEADERS,0))),(INDEX(ALLCLASSDATA,MATCH("LightMaster",CLASSFEATUREHEADERS,0),MATCH(($A530 &amp; "Points"),CLASSNAMEHEADERS,0))),(IF("19"=(INDEX(ALLCLASSDATA,MATCH("LightExpert",CLASSFEATUREHEADERS,0),MATCH($A530,CLASSNAMEHEADERS,0))),(INDEX(ALLCLASSDATA,MATCH("LightExpert",CLASSFEATUREHEADERS,0),MATCH(($A530 &amp; "Points"),CLASSNAMEHEADERS,0))),(IF("19"=(INDEX(ALLCLASSDATA,MATCH("LightTrained",CLASSFEATUREHEADERS,0),MATCH($A530,CLASSNAMEHEADERS,0))),(INDEX(ALLCLASSDATA,MATCH("LightTrained",CLASSFEATUREHEADERS,0),MATCH(($A530 &amp; "Points"),CLASSNAMEHEADERS,0))),"")))))))))}</f>
        <v>LIGHTL19</v>
      </c>
      <c r="Z529" s="223"/>
      <c r="AA529" s="76" t="str">
        <f t="array" ref="AA529:AA530">{"LIGHT TOTAL";(IF(COUNTBLANK(F530:Z530)=17,"L",(IF(COUNTBLANK(F530:Z530)=18,"M",(IF(COUNTBLANK(F530:Z530)=19,"E",(IF(COUNTBLANK(F530:Z530)=20,"T",""))))))))}</f>
        <v>LIGHT TOTAL</v>
      </c>
      <c r="AB529" s="76" t="str">
        <f t="array" ref="AB529:AB530">{"LIGHT TOTAL";(sum(F530:Z530))}</f>
        <v>LIGHT TOTAL</v>
      </c>
    </row>
    <row r="530">
      <c r="A530" s="48" t="s">
        <v>195</v>
      </c>
      <c r="B530" s="48" t="s">
        <v>417</v>
      </c>
      <c r="C530" s="48" t="s">
        <v>1900</v>
      </c>
      <c r="D530" s="48" t="s">
        <v>77</v>
      </c>
      <c r="E530" s="5" t="s">
        <v>603</v>
      </c>
      <c r="F530" s="47" t="s">
        <v>603</v>
      </c>
      <c r="G530" s="5" t="s">
        <v>603</v>
      </c>
      <c r="H530" s="5"/>
      <c r="I530" s="5" t="s">
        <v>603</v>
      </c>
      <c r="J530" s="5"/>
      <c r="K530" s="5" t="s">
        <v>603</v>
      </c>
      <c r="L530" s="5"/>
      <c r="M530" s="5" t="s">
        <v>603</v>
      </c>
      <c r="N530" s="5"/>
      <c r="O530" s="5" t="s">
        <v>603</v>
      </c>
      <c r="P530" s="5"/>
      <c r="Q530" s="5" t="s">
        <v>603</v>
      </c>
      <c r="R530" s="5"/>
      <c r="S530" s="5" t="s">
        <v>603</v>
      </c>
      <c r="T530" s="5"/>
      <c r="U530" s="5" t="s">
        <v>603</v>
      </c>
      <c r="V530" s="5"/>
      <c r="W530" s="5" t="s">
        <v>603</v>
      </c>
      <c r="X530" s="5"/>
      <c r="Y530" s="5" t="s">
        <v>603</v>
      </c>
      <c r="Z530" s="5"/>
      <c r="AA530" s="5" t="s">
        <v>603</v>
      </c>
      <c r="AB530" s="47">
        <v>0.0</v>
      </c>
    </row>
    <row r="531" hidden="1">
      <c r="A531" s="222" t="str">
        <f t="array" ref="A531:A532">{"FormulaRow37";(INDEX(CLASSLIST,A458,1))}</f>
        <v>FormulaRow37</v>
      </c>
      <c r="B531" s="222" t="str">
        <f t="array" ref="B531:B532">{"CLASSTYPE";((INDEX(ALLCLASSDATA,MATCH("ClassType",CLASSFEATUREHEADERS,0),MATCH($A532,CLASSNAMEHEADERS,0))))}</f>
        <v>CLASSTYPE</v>
      </c>
      <c r="C531" s="222" t="str">
        <f t="array" ref="C531:C532">{"DEFENSE";"Defense"}</f>
        <v>DEFENSE</v>
      </c>
      <c r="D531" s="222" t="str">
        <f t="array" ref="D531:D532">{"MEDIUM";"Medium"}</f>
        <v>MEDIUM</v>
      </c>
      <c r="E531" s="223" t="str">
        <f t="array" ref="E531:E532">{"MEDIUMINITIAL";((IF(G532=10,"T",(IF(G532=50,"E","")))))}</f>
        <v>MEDIUMINITIAL</v>
      </c>
      <c r="F531" s="223" t="str">
        <f t="array" ref="F531:F532">{"MEDIUMINITIALPTS";((IF("00"=(INDEX(ALLCLASSDATA,MATCH("MediumLegendary",CLASSFEATUREHEADERS,0),MATCH($A532,CLASSNAMEHEADERS,0))),(INDEX(ALLCLASSDATA,MATCH("MediumLegendary",CLASSFEATUREHEADERS,0),MATCH(($A532 &amp; "Points"),CLASSNAMEHEADERS,0))),(IF("00"=(INDEX(ALLCLASSDATA,MATCH("MediumMaster",CLASSFEATUREHEADERS,0),MATCH($A532,CLASSNAMEHEADERS,0))),(INDEX(ALLCLASSDATA,MATCH("MediumMaster",CLASSFEATUREHEADERS,0),MATCH(($A532 &amp; "Points"),CLASSNAMEHEADERS,0))),(IF("00"=(INDEX(ALLCLASSDATA,MATCH("MediumExpert",CLASSFEATUREHEADERS,0),MATCH($A532,CLASSNAMEHEADERS,0))),(INDEX(ALLCLASSDATA,MATCH("MediumExpert",CLASSFEATUREHEADERS,0),MATCH(($A532 &amp; "Points"),CLASSNAMEHEADERS,0))),(IF("00"=(INDEX(ALLCLASSDATA,MATCH("MediumTrained",CLASSFEATUREHEADERS,0),MATCH($A532,CLASSNAMEHEADERS,0))),(INDEX(ALLCLASSDATA,MATCH("MediumTrained",CLASSFEATUREHEADERS,0),MATCH(($A532 &amp; "Points"),CLASSNAMEHEADERS,0))),"")))))))))}</f>
        <v>MEDIUMINITIALPTS</v>
      </c>
      <c r="G531" s="223" t="str">
        <f t="array" ref="G531:G532">{"MEDIUML01";((IF("01"=(INDEX(ALLCLASSDATA,MATCH("MediumLegendary",CLASSFEATUREHEADERS,0),MATCH($A532,CLASSNAMEHEADERS,0))),(INDEX(ALLCLASSDATA,MATCH("MediumLegendary",CLASSFEATUREHEADERS,0),MATCH(($A532 &amp; "Points"),CLASSNAMEHEADERS,0))),(IF("01"=(INDEX(ALLCLASSDATA,MATCH("MediumMaster",CLASSFEATUREHEADERS,0),MATCH($A532,CLASSNAMEHEADERS,0))),(INDEX(ALLCLASSDATA,MATCH("MediumMaster",CLASSFEATUREHEADERS,0),MATCH(($A532 &amp; "Points"),CLASSNAMEHEADERS,0))),(IF("01"=(INDEX(ALLCLASSDATA,MATCH("MediumExpert",CLASSFEATUREHEADERS,0),MATCH($A532,CLASSNAMEHEADERS,0))),(INDEX(ALLCLASSDATA,MATCH("MediumExpert",CLASSFEATUREHEADERS,0),MATCH(($A532 &amp; "Points"),CLASSNAMEHEADERS,0))),(IF("01"=(INDEX(ALLCLASSDATA,MATCH("MediumTrained",CLASSFEATUREHEADERS,0),MATCH($A532,CLASSNAMEHEADERS,0))),(INDEX(ALLCLASSDATA,MATCH("MediumTrained",CLASSFEATUREHEADERS,0),MATCH(($A532 &amp; "Points"),CLASSNAMEHEADERS,0))),"")))))))))}</f>
        <v>MEDIUML01</v>
      </c>
      <c r="H531" s="223"/>
      <c r="I531" s="223" t="str">
        <f t="array" ref="I531:I532">{"MEDIUML03";((IF("03"=(INDEX(ALLCLASSDATA,MATCH("MediumLegendary",CLASSFEATUREHEADERS,0),MATCH($A532,CLASSNAMEHEADERS,0))),(INDEX(ALLCLASSDATA,MATCH("MediumLegendary",CLASSFEATUREHEADERS,0),MATCH(($A532 &amp; "Points"),CLASSNAMEHEADERS,0))),(IF("03"=(INDEX(ALLCLASSDATA,MATCH("MediumMaster",CLASSFEATUREHEADERS,0),MATCH($A532,CLASSNAMEHEADERS,0))),(INDEX(ALLCLASSDATA,MATCH("MediumMaster",CLASSFEATUREHEADERS,0),MATCH(($A532 &amp; "Points"),CLASSNAMEHEADERS,0))),(IF("03"=(INDEX(ALLCLASSDATA,MATCH("MediumExpert",CLASSFEATUREHEADERS,0),MATCH($A532,CLASSNAMEHEADERS,0))),(INDEX(ALLCLASSDATA,MATCH("MediumExpert",CLASSFEATUREHEADERS,0),MATCH(($A532 &amp; "Points"),CLASSNAMEHEADERS,0))),(IF("03"=(INDEX(ALLCLASSDATA,MATCH("MediumTrained",CLASSFEATUREHEADERS,0),MATCH($A532,CLASSNAMEHEADERS,0))),(INDEX(ALLCLASSDATA,MATCH("MediumTrained",CLASSFEATUREHEADERS,0),MATCH(($A532 &amp; "Points"),CLASSNAMEHEADERS,0))),"")))))))))}</f>
        <v>MEDIUML03</v>
      </c>
      <c r="J531" s="223"/>
      <c r="K531" s="223" t="str">
        <f t="array" ref="K531:K532">{"MEDIUML05";((IF("05"=(INDEX(ALLCLASSDATA,MATCH("MediumLegendary",CLASSFEATUREHEADERS,0),MATCH($A532,CLASSNAMEHEADERS,0))),(INDEX(ALLCLASSDATA,MATCH("MediumLegendary",CLASSFEATUREHEADERS,0),MATCH(($A532 &amp; "Points"),CLASSNAMEHEADERS,0))),(IF("05"=(INDEX(ALLCLASSDATA,MATCH("MediumMaster",CLASSFEATUREHEADERS,0),MATCH($A532,CLASSNAMEHEADERS,0))),(INDEX(ALLCLASSDATA,MATCH("MediumMaster",CLASSFEATUREHEADERS,0),MATCH(($A532 &amp; "Points"),CLASSNAMEHEADERS,0))),(IF("05"=(INDEX(ALLCLASSDATA,MATCH("MediumExpert",CLASSFEATUREHEADERS,0),MATCH($A532,CLASSNAMEHEADERS,0))),(INDEX(ALLCLASSDATA,MATCH("MediumExpert",CLASSFEATUREHEADERS,0),MATCH(($A532 &amp; "Points"),CLASSNAMEHEADERS,0))),(IF("05"=(INDEX(ALLCLASSDATA,MATCH("MediumTrained",CLASSFEATUREHEADERS,0),MATCH($A532,CLASSNAMEHEADERS,0))),(INDEX(ALLCLASSDATA,MATCH("MediumTrained",CLASSFEATUREHEADERS,0),MATCH(($A532 &amp; "Points"),CLASSNAMEHEADERS,0))),"")))))))))}</f>
        <v>MEDIUML05</v>
      </c>
      <c r="L531" s="223"/>
      <c r="M531" s="223" t="str">
        <f t="array" ref="M531:M532">{"MEDIUML07";((IF("07"=(INDEX(ALLCLASSDATA,MATCH("MediumLegendary",CLASSFEATUREHEADERS,0),MATCH($A532,CLASSNAMEHEADERS,0))),(INDEX(ALLCLASSDATA,MATCH("MediumLegendary",CLASSFEATUREHEADERS,0),MATCH(($A532 &amp; "Points"),CLASSNAMEHEADERS,0))),(IF("07"=(INDEX(ALLCLASSDATA,MATCH("MediumMaster",CLASSFEATUREHEADERS,0),MATCH($A532,CLASSNAMEHEADERS,0))),(INDEX(ALLCLASSDATA,MATCH("MediumMaster",CLASSFEATUREHEADERS,0),MATCH(($A532 &amp; "Points"),CLASSNAMEHEADERS,0))),(IF("07"=(INDEX(ALLCLASSDATA,MATCH("MediumExpert",CLASSFEATUREHEADERS,0),MATCH($A532,CLASSNAMEHEADERS,0))),(INDEX(ALLCLASSDATA,MATCH("MediumExpert",CLASSFEATUREHEADERS,0),MATCH(($A532 &amp; "Points"),CLASSNAMEHEADERS,0))),(IF("07"=(INDEX(ALLCLASSDATA,MATCH("MediumTrained",CLASSFEATUREHEADERS,0),MATCH($A532,CLASSNAMEHEADERS,0))),(INDEX(ALLCLASSDATA,MATCH("MediumTrained",CLASSFEATUREHEADERS,0),MATCH(($A532 &amp; "Points"),CLASSNAMEHEADERS,0))),"")))))))))}</f>
        <v>MEDIUML07</v>
      </c>
      <c r="N531" s="223"/>
      <c r="O531" s="223" t="str">
        <f t="array" ref="O531:O532">{"MEDIUML09";((IF("09"=(INDEX(ALLCLASSDATA,MATCH("MediumLegendary",CLASSFEATUREHEADERS,0),MATCH($A532,CLASSNAMEHEADERS,0))),(INDEX(ALLCLASSDATA,MATCH("MediumLegendary",CLASSFEATUREHEADERS,0),MATCH(($A532 &amp; "Points"),CLASSNAMEHEADERS,0))),(IF("09"=(INDEX(ALLCLASSDATA,MATCH("MediumMaster",CLASSFEATUREHEADERS,0),MATCH($A532,CLASSNAMEHEADERS,0))),(INDEX(ALLCLASSDATA,MATCH("MediumMaster",CLASSFEATUREHEADERS,0),MATCH(($A532 &amp; "Points"),CLASSNAMEHEADERS,0))),(IF("09"=(INDEX(ALLCLASSDATA,MATCH("MediumExpert",CLASSFEATUREHEADERS,0),MATCH($A532,CLASSNAMEHEADERS,0))),(INDEX(ALLCLASSDATA,MATCH("MediumExpert",CLASSFEATUREHEADERS,0),MATCH(($A532 &amp; "Points"),CLASSNAMEHEADERS,0))),(IF("09"=(INDEX(ALLCLASSDATA,MATCH("MediumTrained",CLASSFEATUREHEADERS,0),MATCH($A532,CLASSNAMEHEADERS,0))),(INDEX(ALLCLASSDATA,MATCH("MediumTrained",CLASSFEATUREHEADERS,0),MATCH(($A532 &amp; "Points"),CLASSNAMEHEADERS,0))),"")))))))))}</f>
        <v>MEDIUML09</v>
      </c>
      <c r="P531" s="223"/>
      <c r="Q531" s="223" t="str">
        <f t="array" ref="Q531:Q532">{"MEDIUML11";((IF("11"=(INDEX(ALLCLASSDATA,MATCH("MediumLegendary",CLASSFEATUREHEADERS,0),MATCH($A532,CLASSNAMEHEADERS,0))),(INDEX(ALLCLASSDATA,MATCH("MediumLegendary",CLASSFEATUREHEADERS,0),MATCH(($A532 &amp; "Points"),CLASSNAMEHEADERS,0))),(IF("11"=(INDEX(ALLCLASSDATA,MATCH("MediumMaster",CLASSFEATUREHEADERS,0),MATCH($A532,CLASSNAMEHEADERS,0))),(INDEX(ALLCLASSDATA,MATCH("MediumMaster",CLASSFEATUREHEADERS,0),MATCH(($A532 &amp; "Points"),CLASSNAMEHEADERS,0))),(IF("11"=(INDEX(ALLCLASSDATA,MATCH("MediumExpert",CLASSFEATUREHEADERS,0),MATCH($A532,CLASSNAMEHEADERS,0))),(INDEX(ALLCLASSDATA,MATCH("MediumExpert",CLASSFEATUREHEADERS,0),MATCH(($A532 &amp; "Points"),CLASSNAMEHEADERS,0))),(IF("11"=(INDEX(ALLCLASSDATA,MATCH("MediumTrained",CLASSFEATUREHEADERS,0),MATCH($A532,CLASSNAMEHEADERS,0))),(INDEX(ALLCLASSDATA,MATCH("MediumTrained",CLASSFEATUREHEADERS,0),MATCH(($A532 &amp; "Points"),CLASSNAMEHEADERS,0))),"")))))))))}</f>
        <v>MEDIUML11</v>
      </c>
      <c r="R531" s="223"/>
      <c r="S531" s="223" t="str">
        <f t="array" ref="S531:S532">{"MEDIUML13";((IF("13"=(INDEX(ALLCLASSDATA,MATCH("MediumLegendary",CLASSFEATUREHEADERS,0),MATCH($A532,CLASSNAMEHEADERS,0))),(INDEX(ALLCLASSDATA,MATCH("MediumLegendary",CLASSFEATUREHEADERS,0),MATCH(($A532 &amp; "Points"),CLASSNAMEHEADERS,0))),(IF("13"=(INDEX(ALLCLASSDATA,MATCH("MediumMaster",CLASSFEATUREHEADERS,0),MATCH($A532,CLASSNAMEHEADERS,0))),(INDEX(ALLCLASSDATA,MATCH("MediumMaster",CLASSFEATUREHEADERS,0),MATCH(($A532 &amp; "Points"),CLASSNAMEHEADERS,0))),(IF("13"=(INDEX(ALLCLASSDATA,MATCH("MediumExpert",CLASSFEATUREHEADERS,0),MATCH($A532,CLASSNAMEHEADERS,0))),(INDEX(ALLCLASSDATA,MATCH("MediumExpert",CLASSFEATUREHEADERS,0),MATCH(($A532 &amp; "Points"),CLASSNAMEHEADERS,0))),(IF("13"=(INDEX(ALLCLASSDATA,MATCH("MediumTrained",CLASSFEATUREHEADERS,0),MATCH($A532,CLASSNAMEHEADERS,0))),(INDEX(ALLCLASSDATA,MATCH("MediumTrained",CLASSFEATUREHEADERS,0),MATCH(($A532 &amp; "Points"),CLASSNAMEHEADERS,0))),"")))))))))}</f>
        <v>MEDIUML13</v>
      </c>
      <c r="T531" s="223"/>
      <c r="U531" s="223" t="str">
        <f t="array" ref="U531:U532">{"MEDIUML15";((IF("15"=(INDEX(ALLCLASSDATA,MATCH("MediumLegendary",CLASSFEATUREHEADERS,0),MATCH($A532,CLASSNAMEHEADERS,0))),(INDEX(ALLCLASSDATA,MATCH("MediumLegendary",CLASSFEATUREHEADERS,0),MATCH(($A532 &amp; "Points"),CLASSNAMEHEADERS,0))),(IF("15"=(INDEX(ALLCLASSDATA,MATCH("MediumMaster",CLASSFEATUREHEADERS,0),MATCH($A532,CLASSNAMEHEADERS,0))),(INDEX(ALLCLASSDATA,MATCH("MediumMaster",CLASSFEATUREHEADERS,0),MATCH(($A532 &amp; "Points"),CLASSNAMEHEADERS,0))),(IF("15"=(INDEX(ALLCLASSDATA,MATCH("MediumExpert",CLASSFEATUREHEADERS,0),MATCH($A532,CLASSNAMEHEADERS,0))),(INDEX(ALLCLASSDATA,MATCH("MediumExpert",CLASSFEATUREHEADERS,0),MATCH(($A532 &amp; "Points"),CLASSNAMEHEADERS,0))),(IF("15"=(INDEX(ALLCLASSDATA,MATCH("MediumTrained",CLASSFEATUREHEADERS,0),MATCH($A532,CLASSNAMEHEADERS,0))),(INDEX(ALLCLASSDATA,MATCH("MediumTrained",CLASSFEATUREHEADERS,0),MATCH(($A532 &amp; "Points"),CLASSNAMEHEADERS,0))),"")))))))))}</f>
        <v>MEDIUML15</v>
      </c>
      <c r="V531" s="223"/>
      <c r="W531" s="223" t="str">
        <f t="array" ref="W531:W532">{"MEDIUML17";((IF("17"=(INDEX(ALLCLASSDATA,MATCH("MediumLegendary",CLASSFEATUREHEADERS,0),MATCH($A532,CLASSNAMEHEADERS,0))),(INDEX(ALLCLASSDATA,MATCH("MediumLegendary",CLASSFEATUREHEADERS,0),MATCH(($A532 &amp; "Points"),CLASSNAMEHEADERS,0))),(IF("17"=(INDEX(ALLCLASSDATA,MATCH("MediumMaster",CLASSFEATUREHEADERS,0),MATCH($A532,CLASSNAMEHEADERS,0))),(INDEX(ALLCLASSDATA,MATCH("MediumMaster",CLASSFEATUREHEADERS,0),MATCH(($A532 &amp; "Points"),CLASSNAMEHEADERS,0))),(IF("17"=(INDEX(ALLCLASSDATA,MATCH("MediumExpert",CLASSFEATUREHEADERS,0),MATCH($A532,CLASSNAMEHEADERS,0))),(INDEX(ALLCLASSDATA,MATCH("MediumExpert",CLASSFEATUREHEADERS,0),MATCH(($A532 &amp; "Points"),CLASSNAMEHEADERS,0))),(IF("17"=(INDEX(ALLCLASSDATA,MATCH("MediumTrained",CLASSFEATUREHEADERS,0),MATCH($A532,CLASSNAMEHEADERS,0))),(INDEX(ALLCLASSDATA,MATCH("MediumTrained",CLASSFEATUREHEADERS,0),MATCH(($A532 &amp; "Points"),CLASSNAMEHEADERS,0))),"")))))))))}</f>
        <v>MEDIUML17</v>
      </c>
      <c r="X531" s="223"/>
      <c r="Y531" s="223" t="str">
        <f t="array" ref="Y531:Y532">{"MEDIUML19";((IF("19"=(INDEX(ALLCLASSDATA,MATCH("MediumLegendary",CLASSFEATUREHEADERS,0),MATCH($A532,CLASSNAMEHEADERS,0))),(INDEX(ALLCLASSDATA,MATCH("MediumLegendary",CLASSFEATUREHEADERS,0),MATCH(($A532 &amp; "Points"),CLASSNAMEHEADERS,0))),(IF("19"=(INDEX(ALLCLASSDATA,MATCH("MediumMaster",CLASSFEATUREHEADERS,0),MATCH($A532,CLASSNAMEHEADERS,0))),(INDEX(ALLCLASSDATA,MATCH("MediumMaster",CLASSFEATUREHEADERS,0),MATCH(($A532 &amp; "Points"),CLASSNAMEHEADERS,0))),(IF("19"=(INDEX(ALLCLASSDATA,MATCH("MediumExpert",CLASSFEATUREHEADERS,0),MATCH($A532,CLASSNAMEHEADERS,0))),(INDEX(ALLCLASSDATA,MATCH("MediumExpert",CLASSFEATUREHEADERS,0),MATCH(($A532 &amp; "Points"),CLASSNAMEHEADERS,0))),(IF("19"=(INDEX(ALLCLASSDATA,MATCH("MediumTrained",CLASSFEATUREHEADERS,0),MATCH($A532,CLASSNAMEHEADERS,0))),(INDEX(ALLCLASSDATA,MATCH("MediumTrained",CLASSFEATUREHEADERS,0),MATCH(($A532 &amp; "Points"),CLASSNAMEHEADERS,0))),"")))))))))}</f>
        <v>MEDIUML19</v>
      </c>
      <c r="Z531" s="223"/>
      <c r="AA531" s="76" t="str">
        <f t="array" ref="AA531:AA532">{"MEDIUM TOTAL";(IF(COUNTBLANK(F532:Z532)=17,"L",(IF(COUNTBLANK(F532:Z532)=18,"M",(IF(COUNTBLANK(F532:Z532)=19,"E",(IF(COUNTBLANK(F532:Z532)=20,"T",""))))))))}</f>
        <v>MEDIUM TOTAL</v>
      </c>
      <c r="AB531" s="76" t="str">
        <f t="array" ref="AB531:AB532">{"MEDIUM TOTAL";(sum(F532:Z532))}</f>
        <v>MEDIUM TOTAL</v>
      </c>
    </row>
    <row r="532">
      <c r="A532" s="48" t="s">
        <v>195</v>
      </c>
      <c r="B532" s="48" t="s">
        <v>417</v>
      </c>
      <c r="C532" s="48" t="s">
        <v>1900</v>
      </c>
      <c r="D532" s="48" t="s">
        <v>76</v>
      </c>
      <c r="E532" s="5" t="s">
        <v>603</v>
      </c>
      <c r="F532" s="47" t="s">
        <v>603</v>
      </c>
      <c r="G532" s="5" t="s">
        <v>603</v>
      </c>
      <c r="H532" s="5"/>
      <c r="I532" s="5" t="s">
        <v>603</v>
      </c>
      <c r="J532" s="5"/>
      <c r="K532" s="5" t="s">
        <v>603</v>
      </c>
      <c r="L532" s="5"/>
      <c r="M532" s="5" t="s">
        <v>603</v>
      </c>
      <c r="N532" s="5"/>
      <c r="O532" s="5" t="s">
        <v>603</v>
      </c>
      <c r="P532" s="5"/>
      <c r="Q532" s="5" t="s">
        <v>603</v>
      </c>
      <c r="R532" s="5"/>
      <c r="S532" s="5" t="s">
        <v>603</v>
      </c>
      <c r="T532" s="5"/>
      <c r="U532" s="5" t="s">
        <v>603</v>
      </c>
      <c r="V532" s="5"/>
      <c r="W532" s="5" t="s">
        <v>603</v>
      </c>
      <c r="X532" s="5"/>
      <c r="Y532" s="5" t="s">
        <v>603</v>
      </c>
      <c r="Z532" s="5"/>
      <c r="AA532" s="5" t="s">
        <v>603</v>
      </c>
      <c r="AB532" s="47">
        <v>0.0</v>
      </c>
    </row>
    <row r="533" hidden="1">
      <c r="A533" s="222" t="str">
        <f t="array" ref="A533:A534">{"FormulaRow38";(INDEX(CLASSLIST,A458,1))}</f>
        <v>FormulaRow38</v>
      </c>
      <c r="B533" s="222" t="str">
        <f t="array" ref="B533:B534">{"CLASSTYPE";((INDEX(ALLCLASSDATA,MATCH("ClassType",CLASSFEATUREHEADERS,0),MATCH($A534,CLASSNAMEHEADERS,0))))}</f>
        <v>CLASSTYPE</v>
      </c>
      <c r="C533" s="222" t="str">
        <f t="array" ref="C533:C534">{"DEFENSE";"Defense"}</f>
        <v>DEFENSE</v>
      </c>
      <c r="D533" s="222" t="str">
        <f t="array" ref="D533:D534">{"HEAVY";"Heavy"}</f>
        <v>HEAVY</v>
      </c>
      <c r="E533" s="223" t="str">
        <f t="array" ref="E533:E534">{"HEAVYINITIAL";((IF(G534=10,"T",(IF(G534=50,"E","")))))}</f>
        <v>HEAVYINITIAL</v>
      </c>
      <c r="F533" s="223" t="str">
        <f t="array" ref="F533:F534">{"HEAVYINITIALPTS";((IF("00"=(INDEX(ALLCLASSDATA,MATCH("HeavyLegendary",CLASSFEATUREHEADERS,0),MATCH($A534,CLASSNAMEHEADERS,0))),(INDEX(ALLCLASSDATA,MATCH("HeavyLegendary",CLASSFEATUREHEADERS,0),MATCH(($A534 &amp; "Points"),CLASSNAMEHEADERS,0))),(IF("00"=(INDEX(ALLCLASSDATA,MATCH("HeavyMaster",CLASSFEATUREHEADERS,0),MATCH($A534,CLASSNAMEHEADERS,0))),(INDEX(ALLCLASSDATA,MATCH("HeavyMaster",CLASSFEATUREHEADERS,0),MATCH(($A534 &amp; "Points"),CLASSNAMEHEADERS,0))),(IF("00"=(INDEX(ALLCLASSDATA,MATCH("HeavyExpert",CLASSFEATUREHEADERS,0),MATCH($A534,CLASSNAMEHEADERS,0))),(INDEX(ALLCLASSDATA,MATCH("HeavyExpert",CLASSFEATUREHEADERS,0),MATCH(($A534 &amp; "Points"),CLASSNAMEHEADERS,0))),(IF("00"=(INDEX(ALLCLASSDATA,MATCH("HeavyTrained",CLASSFEATUREHEADERS,0),MATCH($A534,CLASSNAMEHEADERS,0))),(INDEX(ALLCLASSDATA,MATCH("HeavyTrained",CLASSFEATUREHEADERS,0),MATCH(($A534 &amp; "Points"),CLASSNAMEHEADERS,0))),"")))))))))}</f>
        <v>HEAVYINITIALPTS</v>
      </c>
      <c r="G533" s="223" t="str">
        <f t="array" ref="G533:G534">{"HEAVYL01";((IF("01"=(INDEX(ALLCLASSDATA,MATCH("HeavyLegendary",CLASSFEATUREHEADERS,0),MATCH($A534,CLASSNAMEHEADERS,0))),(INDEX(ALLCLASSDATA,MATCH("HeavyLegendary",CLASSFEATUREHEADERS,0),MATCH(($A534 &amp; "Points"),CLASSNAMEHEADERS,0))),(IF("01"=(INDEX(ALLCLASSDATA,MATCH("HeavyMaster",CLASSFEATUREHEADERS,0),MATCH($A534,CLASSNAMEHEADERS,0))),(INDEX(ALLCLASSDATA,MATCH("HeavyMaster",CLASSFEATUREHEADERS,0),MATCH(($A534 &amp; "Points"),CLASSNAMEHEADERS,0))),(IF("01"=(INDEX(ALLCLASSDATA,MATCH("HeavyExpert",CLASSFEATUREHEADERS,0),MATCH($A534,CLASSNAMEHEADERS,0))),(INDEX(ALLCLASSDATA,MATCH("HeavyExpert",CLASSFEATUREHEADERS,0),MATCH(($A534 &amp; "Points"),CLASSNAMEHEADERS,0))),(IF("01"=(INDEX(ALLCLASSDATA,MATCH("HeavyTrained",CLASSFEATUREHEADERS,0),MATCH($A534,CLASSNAMEHEADERS,0))),(INDEX(ALLCLASSDATA,MATCH("HeavyTrained",CLASSFEATUREHEADERS,0),MATCH(($A534 &amp; "Points"),CLASSNAMEHEADERS,0))),"")))))))))}</f>
        <v>HEAVYL01</v>
      </c>
      <c r="H533" s="223"/>
      <c r="I533" s="223" t="str">
        <f t="array" ref="I533:I534">{"HEAVYL03";((IF("03"=(INDEX(ALLCLASSDATA,MATCH("HeavyLegendary",CLASSFEATUREHEADERS,0),MATCH($A534,CLASSNAMEHEADERS,0))),(INDEX(ALLCLASSDATA,MATCH("HeavyLegendary",CLASSFEATUREHEADERS,0),MATCH(($A534 &amp; "Points"),CLASSNAMEHEADERS,0))),(IF("03"=(INDEX(ALLCLASSDATA,MATCH("HeavyMaster",CLASSFEATUREHEADERS,0),MATCH($A534,CLASSNAMEHEADERS,0))),(INDEX(ALLCLASSDATA,MATCH("HeavyMaster",CLASSFEATUREHEADERS,0),MATCH(($A534 &amp; "Points"),CLASSNAMEHEADERS,0))),(IF("03"=(INDEX(ALLCLASSDATA,MATCH("HeavyExpert",CLASSFEATUREHEADERS,0),MATCH($A534,CLASSNAMEHEADERS,0))),(INDEX(ALLCLASSDATA,MATCH("HeavyExpert",CLASSFEATUREHEADERS,0),MATCH(($A534 &amp; "Points"),CLASSNAMEHEADERS,0))),(IF("03"=(INDEX(ALLCLASSDATA,MATCH("HeavyTrained",CLASSFEATUREHEADERS,0),MATCH($A534,CLASSNAMEHEADERS,0))),(INDEX(ALLCLASSDATA,MATCH("HeavyTrained",CLASSFEATUREHEADERS,0),MATCH(($A534 &amp; "Points"),CLASSNAMEHEADERS,0))),"")))))))))}</f>
        <v>HEAVYL03</v>
      </c>
      <c r="J533" s="223"/>
      <c r="K533" s="223" t="str">
        <f t="array" ref="K533:K534">{"HEAVYL05";((IF("05"=(INDEX(ALLCLASSDATA,MATCH("HeavyLegendary",CLASSFEATUREHEADERS,0),MATCH($A534,CLASSNAMEHEADERS,0))),(INDEX(ALLCLASSDATA,MATCH("HeavyLegendary",CLASSFEATUREHEADERS,0),MATCH(($A534 &amp; "Points"),CLASSNAMEHEADERS,0))),(IF("05"=(INDEX(ALLCLASSDATA,MATCH("HeavyMaster",CLASSFEATUREHEADERS,0),MATCH($A534,CLASSNAMEHEADERS,0))),(INDEX(ALLCLASSDATA,MATCH("HeavyMaster",CLASSFEATUREHEADERS,0),MATCH(($A534 &amp; "Points"),CLASSNAMEHEADERS,0))),(IF("05"=(INDEX(ALLCLASSDATA,MATCH("HeavyExpert",CLASSFEATUREHEADERS,0),MATCH($A534,CLASSNAMEHEADERS,0))),(INDEX(ALLCLASSDATA,MATCH("HeavyExpert",CLASSFEATUREHEADERS,0),MATCH(($A534 &amp; "Points"),CLASSNAMEHEADERS,0))),(IF("05"=(INDEX(ALLCLASSDATA,MATCH("HeavyTrained",CLASSFEATUREHEADERS,0),MATCH($A534,CLASSNAMEHEADERS,0))),(INDEX(ALLCLASSDATA,MATCH("HeavyTrained",CLASSFEATUREHEADERS,0),MATCH(($A534 &amp; "Points"),CLASSNAMEHEADERS,0))),"")))))))))}</f>
        <v>HEAVYL05</v>
      </c>
      <c r="L533" s="223"/>
      <c r="M533" s="223" t="str">
        <f t="array" ref="M533:M534">{"HEAVYL07";((IF("07"=(INDEX(ALLCLASSDATA,MATCH("HeavyLegendary",CLASSFEATUREHEADERS,0),MATCH($A534,CLASSNAMEHEADERS,0))),(INDEX(ALLCLASSDATA,MATCH("HeavyLegendary",CLASSFEATUREHEADERS,0),MATCH(($A534 &amp; "Points"),CLASSNAMEHEADERS,0))),(IF("07"=(INDEX(ALLCLASSDATA,MATCH("HeavyMaster",CLASSFEATUREHEADERS,0),MATCH($A534,CLASSNAMEHEADERS,0))),(INDEX(ALLCLASSDATA,MATCH("HeavyMaster",CLASSFEATUREHEADERS,0),MATCH(($A534 &amp; "Points"),CLASSNAMEHEADERS,0))),(IF("07"=(INDEX(ALLCLASSDATA,MATCH("HeavyExpert",CLASSFEATUREHEADERS,0),MATCH($A534,CLASSNAMEHEADERS,0))),(INDEX(ALLCLASSDATA,MATCH("HeavyExpert",CLASSFEATUREHEADERS,0),MATCH(($A534 &amp; "Points"),CLASSNAMEHEADERS,0))),(IF("07"=(INDEX(ALLCLASSDATA,MATCH("HeavyTrained",CLASSFEATUREHEADERS,0),MATCH($A534,CLASSNAMEHEADERS,0))),(INDEX(ALLCLASSDATA,MATCH("HeavyTrained",CLASSFEATUREHEADERS,0),MATCH(($A534 &amp; "Points"),CLASSNAMEHEADERS,0))),"")))))))))}</f>
        <v>HEAVYL07</v>
      </c>
      <c r="N533" s="223"/>
      <c r="O533" s="223" t="str">
        <f t="array" ref="O533:O534">{"HEAVYL09";((IF("09"=(INDEX(ALLCLASSDATA,MATCH("HeavyLegendary",CLASSFEATUREHEADERS,0),MATCH($A534,CLASSNAMEHEADERS,0))),(INDEX(ALLCLASSDATA,MATCH("HeavyLegendary",CLASSFEATUREHEADERS,0),MATCH(($A534 &amp; "Points"),CLASSNAMEHEADERS,0))),(IF("09"=(INDEX(ALLCLASSDATA,MATCH("HeavyMaster",CLASSFEATUREHEADERS,0),MATCH($A534,CLASSNAMEHEADERS,0))),(INDEX(ALLCLASSDATA,MATCH("HeavyMaster",CLASSFEATUREHEADERS,0),MATCH(($A534 &amp; "Points"),CLASSNAMEHEADERS,0))),(IF("09"=(INDEX(ALLCLASSDATA,MATCH("HeavyExpert",CLASSFEATUREHEADERS,0),MATCH($A534,CLASSNAMEHEADERS,0))),(INDEX(ALLCLASSDATA,MATCH("HeavyExpert",CLASSFEATUREHEADERS,0),MATCH(($A534 &amp; "Points"),CLASSNAMEHEADERS,0))),(IF("09"=(INDEX(ALLCLASSDATA,MATCH("HeavyTrained",CLASSFEATUREHEADERS,0),MATCH($A534,CLASSNAMEHEADERS,0))),(INDEX(ALLCLASSDATA,MATCH("HeavyTrained",CLASSFEATUREHEADERS,0),MATCH(($A534 &amp; "Points"),CLASSNAMEHEADERS,0))),"")))))))))}</f>
        <v>HEAVYL09</v>
      </c>
      <c r="P533" s="223"/>
      <c r="Q533" s="223" t="str">
        <f t="array" ref="Q533:Q534">{"HEAVYL11";((IF("11"=(INDEX(ALLCLASSDATA,MATCH("HeavyLegendary",CLASSFEATUREHEADERS,0),MATCH($A534,CLASSNAMEHEADERS,0))),(INDEX(ALLCLASSDATA,MATCH("HeavyLegendary",CLASSFEATUREHEADERS,0),MATCH(($A534 &amp; "Points"),CLASSNAMEHEADERS,0))),(IF("11"=(INDEX(ALLCLASSDATA,MATCH("HeavyMaster",CLASSFEATUREHEADERS,0),MATCH($A534,CLASSNAMEHEADERS,0))),(INDEX(ALLCLASSDATA,MATCH("HeavyMaster",CLASSFEATUREHEADERS,0),MATCH(($A534 &amp; "Points"),CLASSNAMEHEADERS,0))),(IF("11"=(INDEX(ALLCLASSDATA,MATCH("HeavyExpert",CLASSFEATUREHEADERS,0),MATCH($A534,CLASSNAMEHEADERS,0))),(INDEX(ALLCLASSDATA,MATCH("HeavyExpert",CLASSFEATUREHEADERS,0),MATCH(($A534 &amp; "Points"),CLASSNAMEHEADERS,0))),(IF("11"=(INDEX(ALLCLASSDATA,MATCH("HeavyTrained",CLASSFEATUREHEADERS,0),MATCH($A534,CLASSNAMEHEADERS,0))),(INDEX(ALLCLASSDATA,MATCH("HeavyTrained",CLASSFEATUREHEADERS,0),MATCH(($A534 &amp; "Points"),CLASSNAMEHEADERS,0))),"")))))))))}</f>
        <v>HEAVYL11</v>
      </c>
      <c r="R533" s="223"/>
      <c r="S533" s="223" t="str">
        <f t="array" ref="S533:S534">{"HEAVYL13";((IF("13"=(INDEX(ALLCLASSDATA,MATCH("HeavyLegendary",CLASSFEATUREHEADERS,0),MATCH($A534,CLASSNAMEHEADERS,0))),(INDEX(ALLCLASSDATA,MATCH("HeavyLegendary",CLASSFEATUREHEADERS,0),MATCH(($A534 &amp; "Points"),CLASSNAMEHEADERS,0))),(IF("13"=(INDEX(ALLCLASSDATA,MATCH("HeavyMaster",CLASSFEATUREHEADERS,0),MATCH($A534,CLASSNAMEHEADERS,0))),(INDEX(ALLCLASSDATA,MATCH("HeavyMaster",CLASSFEATUREHEADERS,0),MATCH(($A534 &amp; "Points"),CLASSNAMEHEADERS,0))),(IF("13"=(INDEX(ALLCLASSDATA,MATCH("HeavyExpert",CLASSFEATUREHEADERS,0),MATCH($A534,CLASSNAMEHEADERS,0))),(INDEX(ALLCLASSDATA,MATCH("HeavyExpert",CLASSFEATUREHEADERS,0),MATCH(($A534 &amp; "Points"),CLASSNAMEHEADERS,0))),(IF("13"=(INDEX(ALLCLASSDATA,MATCH("HeavyTrained",CLASSFEATUREHEADERS,0),MATCH($A534,CLASSNAMEHEADERS,0))),(INDEX(ALLCLASSDATA,MATCH("HeavyTrained",CLASSFEATUREHEADERS,0),MATCH(($A534 &amp; "Points"),CLASSNAMEHEADERS,0))),"")))))))))}</f>
        <v>HEAVYL13</v>
      </c>
      <c r="T533" s="223"/>
      <c r="U533" s="223" t="str">
        <f t="array" ref="U533:U534">{"HEAVYL15";((IF("15"=(INDEX(ALLCLASSDATA,MATCH("HeavyLegendary",CLASSFEATUREHEADERS,0),MATCH($A534,CLASSNAMEHEADERS,0))),(INDEX(ALLCLASSDATA,MATCH("HeavyLegendary",CLASSFEATUREHEADERS,0),MATCH(($A534 &amp; "Points"),CLASSNAMEHEADERS,0))),(IF("15"=(INDEX(ALLCLASSDATA,MATCH("HeavyMaster",CLASSFEATUREHEADERS,0),MATCH($A534,CLASSNAMEHEADERS,0))),(INDEX(ALLCLASSDATA,MATCH("HeavyMaster",CLASSFEATUREHEADERS,0),MATCH(($A534 &amp; "Points"),CLASSNAMEHEADERS,0))),(IF("15"=(INDEX(ALLCLASSDATA,MATCH("HeavyExpert",CLASSFEATUREHEADERS,0),MATCH($A534,CLASSNAMEHEADERS,0))),(INDEX(ALLCLASSDATA,MATCH("HeavyExpert",CLASSFEATUREHEADERS,0),MATCH(($A534 &amp; "Points"),CLASSNAMEHEADERS,0))),(IF("15"=(INDEX(ALLCLASSDATA,MATCH("HeavyTrained",CLASSFEATUREHEADERS,0),MATCH($A534,CLASSNAMEHEADERS,0))),(INDEX(ALLCLASSDATA,MATCH("HeavyTrained",CLASSFEATUREHEADERS,0),MATCH(($A534 &amp; "Points"),CLASSNAMEHEADERS,0))),"")))))))))}</f>
        <v>HEAVYL15</v>
      </c>
      <c r="V533" s="223"/>
      <c r="W533" s="223" t="str">
        <f t="array" ref="W533:W534">{"HEAVYL17";((IF("17"=(INDEX(ALLCLASSDATA,MATCH("HeavyLegendary",CLASSFEATUREHEADERS,0),MATCH($A534,CLASSNAMEHEADERS,0))),(INDEX(ALLCLASSDATA,MATCH("HeavyLegendary",CLASSFEATUREHEADERS,0),MATCH(($A534 &amp; "Points"),CLASSNAMEHEADERS,0))),(IF("17"=(INDEX(ALLCLASSDATA,MATCH("HeavyMaster",CLASSFEATUREHEADERS,0),MATCH($A534,CLASSNAMEHEADERS,0))),(INDEX(ALLCLASSDATA,MATCH("HeavyMaster",CLASSFEATUREHEADERS,0),MATCH(($A534 &amp; "Points"),CLASSNAMEHEADERS,0))),(IF("17"=(INDEX(ALLCLASSDATA,MATCH("HeavyExpert",CLASSFEATUREHEADERS,0),MATCH($A534,CLASSNAMEHEADERS,0))),(INDEX(ALLCLASSDATA,MATCH("HeavyExpert",CLASSFEATUREHEADERS,0),MATCH(($A534 &amp; "Points"),CLASSNAMEHEADERS,0))),(IF("17"=(INDEX(ALLCLASSDATA,MATCH("HeavyTrained",CLASSFEATUREHEADERS,0),MATCH($A534,CLASSNAMEHEADERS,0))),(INDEX(ALLCLASSDATA,MATCH("HeavyTrained",CLASSFEATUREHEADERS,0),MATCH(($A534 &amp; "Points"),CLASSNAMEHEADERS,0))),"")))))))))}</f>
        <v>HEAVYL17</v>
      </c>
      <c r="X533" s="223"/>
      <c r="Y533" s="223" t="str">
        <f t="array" ref="Y533:Y534">{"HEAVYL19";((IF("19"=(INDEX(ALLCLASSDATA,MATCH("HeavyLegendary",CLASSFEATUREHEADERS,0),MATCH($A534,CLASSNAMEHEADERS,0))),(INDEX(ALLCLASSDATA,MATCH("HeavyLegendary",CLASSFEATUREHEADERS,0),MATCH(($A534 &amp; "Points"),CLASSNAMEHEADERS,0))),(IF("19"=(INDEX(ALLCLASSDATA,MATCH("HeavyMaster",CLASSFEATUREHEADERS,0),MATCH($A534,CLASSNAMEHEADERS,0))),(INDEX(ALLCLASSDATA,MATCH("HeavyMaster",CLASSFEATUREHEADERS,0),MATCH(($A534 &amp; "Points"),CLASSNAMEHEADERS,0))),(IF("19"=(INDEX(ALLCLASSDATA,MATCH("HeavyExpert",CLASSFEATUREHEADERS,0),MATCH($A534,CLASSNAMEHEADERS,0))),(INDEX(ALLCLASSDATA,MATCH("HeavyExpert",CLASSFEATUREHEADERS,0),MATCH(($A534 &amp; "Points"),CLASSNAMEHEADERS,0))),(IF("19"=(INDEX(ALLCLASSDATA,MATCH("HeavyTrained",CLASSFEATUREHEADERS,0),MATCH($A534,CLASSNAMEHEADERS,0))),(INDEX(ALLCLASSDATA,MATCH("HeavyTrained",CLASSFEATUREHEADERS,0),MATCH(($A534 &amp; "Points"),CLASSNAMEHEADERS,0))),"")))))))))}</f>
        <v>HEAVYL19</v>
      </c>
      <c r="Z533" s="223"/>
      <c r="AA533" s="76" t="str">
        <f t="array" ref="AA533:AA534">{"HEAVY TOTAL";(IF(COUNTBLANK(F534:Z534)=17,"L",(IF(COUNTBLANK(F534:Z534)=18,"M",(IF(COUNTBLANK(F534:Z534)=19,"E",(IF(COUNTBLANK(F534:Z534)=20,"T",""))))))))}</f>
        <v>HEAVY TOTAL</v>
      </c>
      <c r="AB533" s="76" t="str">
        <f t="array" ref="AB533:AB534">{"HEAVY TOTAL";(sum(F534:Z534))}</f>
        <v>HEAVY TOTAL</v>
      </c>
    </row>
    <row r="534">
      <c r="A534" s="48" t="s">
        <v>195</v>
      </c>
      <c r="B534" s="48" t="s">
        <v>417</v>
      </c>
      <c r="C534" s="97" t="s">
        <v>1900</v>
      </c>
      <c r="D534" s="97" t="s">
        <v>533</v>
      </c>
      <c r="E534" s="98" t="s">
        <v>603</v>
      </c>
      <c r="F534" s="132" t="s">
        <v>603</v>
      </c>
      <c r="G534" s="98" t="s">
        <v>603</v>
      </c>
      <c r="H534" s="98"/>
      <c r="I534" s="98" t="s">
        <v>603</v>
      </c>
      <c r="J534" s="98"/>
      <c r="K534" s="98" t="s">
        <v>603</v>
      </c>
      <c r="L534" s="98"/>
      <c r="M534" s="98" t="s">
        <v>603</v>
      </c>
      <c r="N534" s="98"/>
      <c r="O534" s="98" t="s">
        <v>603</v>
      </c>
      <c r="P534" s="98"/>
      <c r="Q534" s="98" t="s">
        <v>603</v>
      </c>
      <c r="R534" s="98"/>
      <c r="S534" s="98" t="s">
        <v>603</v>
      </c>
      <c r="T534" s="98"/>
      <c r="U534" s="98" t="s">
        <v>603</v>
      </c>
      <c r="V534" s="98"/>
      <c r="W534" s="98" t="s">
        <v>603</v>
      </c>
      <c r="X534" s="98"/>
      <c r="Y534" s="98" t="s">
        <v>603</v>
      </c>
      <c r="Z534" s="98"/>
      <c r="AA534" s="5" t="s">
        <v>603</v>
      </c>
      <c r="AB534" s="47">
        <v>0.0</v>
      </c>
    </row>
    <row r="535" hidden="1">
      <c r="A535" s="222" t="str">
        <f t="array" ref="A535:A536">{"FormulaRow39";(INDEX(CLASSLIST,A458,1))}</f>
        <v>FormulaRow39</v>
      </c>
      <c r="B535" s="222" t="str">
        <f t="array" ref="B535:B536">{"CLASSTYPE";((INDEX(ALLCLASSDATA,MATCH("ClassType",CLASSFEATUREHEADERS,0),MATCH($A536,CLASSNAMEHEADERS,0))))}</f>
        <v>CLASSTYPE</v>
      </c>
      <c r="C535" s="222" t="str">
        <f t="array" ref="C535:C536">{"SPELL/ALCHEMY";((IF(INDEX(ALLCLASSDATA,MATCH("CasterType",CLASSFEATUREHEADERS,0),MATCH(($A536),CLASSNAMEHEADERS,0))="","",(IF(INDEX(ALLCLASSDATA,MATCH("CasterType",CLASSFEATUREHEADERS,0),MATCH(($A536),CLASSNAMEHEADERS,0))="Alchemy","Alchemy","Spells")))))}</f>
        <v>SPELL/ALCHEMY</v>
      </c>
      <c r="D535" s="222" t="str">
        <f t="array" ref="D535:D536">{"SPELLLIST";(IF(C536="Spells",((INDEX(ALLCLASSDATA,MATCH("CasterType",CLASSFEATUREHEADERS,0),MATCH(($A536),CLASSNAMEHEADERS,0))) &amp; ":" &amp; (INDEX(ALLCLASSDATA,MATCH("SpellList",CLASSFEATUREHEADERS,0),MATCH(($A536),CLASSNAMEHEADERS,0)))),""))}</f>
        <v>SPELLLIST</v>
      </c>
      <c r="E535" s="223" t="str">
        <f t="array" ref="E535:E536">{"SPL";(IF(C536="Spells","SPL:",""))}</f>
        <v>SPL</v>
      </c>
      <c r="F535" s="223" t="str">
        <f t="array" ref="F535:F536">{"CANTRIP/ALC";(IF(C536="Spells","C",(IF(C536="Alchemy","ALC:",""))))}</f>
        <v>CANTRIP/ALC</v>
      </c>
      <c r="G535" s="223" t="str">
        <f t="array" ref="G535:G536">{"SPELL/ALC L01";(IF(C536="Alchemy","L01",(IF(C536="Spells","S01",""))))}</f>
        <v>SPELL/ALC L01</v>
      </c>
      <c r="H535" s="223" t="str">
        <f t="array" ref="H535:H536">{"SPELL/ALC L02";(IF(C536="Alchemy","L02",(IF(C536="Spells","S01",""))))}</f>
        <v>SPELL/ALC L02</v>
      </c>
      <c r="I535" s="223" t="str">
        <f t="array" ref="I535:I536">{"SPELL/ALC L03";(IF(C536="Alchemy","L03",(IF(C536="Spells","S02",""))))}</f>
        <v>SPELL/ALC L03</v>
      </c>
      <c r="J535" s="223" t="str">
        <f t="array" ref="J535:J536">{"SPELL/ALC L04";(IF(C536="Alchemy","L04",(IF(C536="Spells","S02",""))))}</f>
        <v>SPELL/ALC L04</v>
      </c>
      <c r="K535" s="223" t="str">
        <f t="array" ref="K535:K536">{"SPELL/ALC L05";(IF(C536="Alchemy","L05",(IF(C536="Spells","S03",""))))}</f>
        <v>SPELL/ALC L05</v>
      </c>
      <c r="L535" s="223" t="str">
        <f t="array" ref="L535:L536">{"SPELL/ALC L06";(IF(C536="Alchemy","L06",(IF(C536="Spells","S03",""))))}</f>
        <v>SPELL/ALC L06</v>
      </c>
      <c r="M535" s="223" t="str">
        <f t="array" ref="M535:M536">{"SPELL/ALC L07";(IF(C536="Alchemy","L07",(IF(C536="Spells","S04",""))))}</f>
        <v>SPELL/ALC L07</v>
      </c>
      <c r="N535" s="223" t="str">
        <f t="array" ref="N535:N536">{"SPELL/ALC L08";(IF(C536="Alchemy","L08",(IF(C536="Spells","S04",""))))}</f>
        <v>SPELL/ALC L08</v>
      </c>
      <c r="O535" s="223" t="str">
        <f t="array" ref="O535:O536">{"SPELL/ALC L09";(IF(C536="Alchemy","L09",(IF(C536="Spells","S05",""))))}</f>
        <v>SPELL/ALC L09</v>
      </c>
      <c r="P535" s="223" t="str">
        <f t="array" ref="P535:P536">{"SPELL/ALC L10";(IF(C536="Alchemy","L10",(IF(C536="Spells","S05",""))))}</f>
        <v>SPELL/ALC L10</v>
      </c>
      <c r="Q535" s="223" t="str">
        <f t="array" ref="Q535:Q536">{"SPELL/ALC L11";(IF(C536="Alchemy","L11",(IF(C536="Spells","S06",""))))}</f>
        <v>SPELL/ALC L11</v>
      </c>
      <c r="R535" s="223" t="str">
        <f t="array" ref="R535:R536">{"SPELL/ALC L12";(IF(C536="Alchemy","L12",(IF(C536="Spells","S06",""))))}</f>
        <v>SPELL/ALC L12</v>
      </c>
      <c r="S535" s="223" t="str">
        <f t="array" ref="S535:S536">{"SPELL/ALC L13";(IF(C536="Alchemy","L13",(IF(C536="Spells","S07",""))))}</f>
        <v>SPELL/ALC L13</v>
      </c>
      <c r="T535" s="223" t="str">
        <f t="array" ref="T535:T536">{"SPELL/ALC L14";(IF(C536="Alchemy","L14",(IF(C536="Spells","S07",""))))}</f>
        <v>SPELL/ALC L14</v>
      </c>
      <c r="U535" s="223" t="str">
        <f t="array" ref="U535:U536">{"SPELL/ALC L15";(IF(C536="Alchemy","L15",(IF(C536="Spells","S08",""))))}</f>
        <v>SPELL/ALC L15</v>
      </c>
      <c r="V535" s="223" t="str">
        <f t="array" ref="V535:V536">{"SPELL/ALC L16";(IF(C536="Alchemy","L16",(IF(C536="Spells","S08",""))))}</f>
        <v>SPELL/ALC L16</v>
      </c>
      <c r="W535" s="223" t="str">
        <f t="array" ref="W535:W536">{"SPELL/ALC L17";(IF(C536="Alchemy","L17",(IF(C536="Spells","S09",""))))}</f>
        <v>SPELL/ALC L17</v>
      </c>
      <c r="X535" s="223" t="str">
        <f t="array" ref="X535:X536">{"SPELL/ALC L18";(IF(C536="Alchemy","L18",(IF(C536="Spells","S09",""))))}</f>
        <v>SPELL/ALC L18</v>
      </c>
      <c r="Y535" s="223" t="str">
        <f t="array" ref="Y535:Y536">{"SPELL/ALC L19";(IF(C536="Alchemy","L19",(IF(C536="Spells","S10",""))))}</f>
        <v>SPELL/ALC L19</v>
      </c>
      <c r="Z535" s="223" t="str">
        <f t="array" ref="Z535:Z536">{"SPELL/ALC L20";(IF(C536="Alchemy","L20",(IF(C536="Spells","S10",""))))}</f>
        <v>SPELL/ALC L20</v>
      </c>
      <c r="AA535" s="76"/>
      <c r="AB535" s="76"/>
    </row>
    <row r="536">
      <c r="A536" s="48" t="s">
        <v>195</v>
      </c>
      <c r="B536" s="48" t="s">
        <v>417</v>
      </c>
      <c r="C536" s="48" t="s">
        <v>1901</v>
      </c>
      <c r="D536" s="48" t="s">
        <v>1927</v>
      </c>
      <c r="E536" s="278" t="s">
        <v>1903</v>
      </c>
      <c r="F536" s="114" t="s">
        <v>653</v>
      </c>
      <c r="G536" s="279" t="s">
        <v>1536</v>
      </c>
      <c r="H536" s="28" t="s">
        <v>1536</v>
      </c>
      <c r="I536" s="28" t="s">
        <v>1542</v>
      </c>
      <c r="J536" s="28" t="s">
        <v>1542</v>
      </c>
      <c r="K536" s="28" t="s">
        <v>1545</v>
      </c>
      <c r="L536" s="28" t="s">
        <v>1545</v>
      </c>
      <c r="M536" s="28" t="s">
        <v>1548</v>
      </c>
      <c r="N536" s="28" t="s">
        <v>1548</v>
      </c>
      <c r="O536" s="28" t="s">
        <v>1553</v>
      </c>
      <c r="P536" s="28" t="s">
        <v>1553</v>
      </c>
      <c r="Q536" s="28" t="s">
        <v>1556</v>
      </c>
      <c r="R536" s="28" t="s">
        <v>1556</v>
      </c>
      <c r="S536" s="28" t="s">
        <v>1559</v>
      </c>
      <c r="T536" s="28" t="s">
        <v>1559</v>
      </c>
      <c r="U536" s="28" t="s">
        <v>1562</v>
      </c>
      <c r="V536" s="28" t="s">
        <v>1562</v>
      </c>
      <c r="W536" s="28" t="s">
        <v>1565</v>
      </c>
      <c r="X536" s="28" t="s">
        <v>1565</v>
      </c>
      <c r="Y536" s="28" t="s">
        <v>1568</v>
      </c>
      <c r="Z536" s="28" t="s">
        <v>1568</v>
      </c>
      <c r="AA536" s="5"/>
      <c r="AB536" s="47"/>
    </row>
    <row r="537" hidden="1">
      <c r="A537" s="222" t="str">
        <f t="array" ref="A537:A538">{"FormulaRow40";(INDEX(CLASSLIST,A458,1))}</f>
        <v>FormulaRow40</v>
      </c>
      <c r="B537" s="222" t="str">
        <f t="array" ref="B537:B538">{"CLASSTYPE";((INDEX(ALLCLASSDATA,MATCH("ClassType",CLASSFEATUREHEADERS,0),MATCH($A538,CLASSNAMEHEADERS,0))))}</f>
        <v>CLASSTYPE</v>
      </c>
      <c r="C537" s="222" t="str">
        <f t="array" ref="C537:C538">{"SPELL/ALCHEMY";((IF(INDEX(ALLCLASSDATA,MATCH("CasterType",CLASSFEATUREHEADERS,0),MATCH(($A538),CLASSNAMEHEADERS,0))="","",(IF(INDEX(ALLCLASSDATA,MATCH("CasterType",CLASSFEATUREHEADERS,0),MATCH(($A538),CLASSNAMEHEADERS,0))="Alchemy","","Spells")))))}</f>
        <v>SPELL/ALCHEMY</v>
      </c>
      <c r="D537" s="222" t="str">
        <f t="array" ref="D537:D538">{"SPELLLIST";(IF(C538="Spells",((INDEX(ALLCLASSDATA,MATCH("CasterType",CLASSFEATUREHEADERS,0),MATCH(($A538),CLASSNAMEHEADERS,0))) &amp; ":" &amp; (INDEX(ALLCLASSDATA,MATCH("SpellList",CLASSFEATUREHEADERS,0),MATCH(($A538),CLASSNAMEHEADERS,0)))),""))}</f>
        <v>SPELLLIST</v>
      </c>
      <c r="E537" s="222" t="str">
        <f t="array" ref="E537:E538">{"SLOTCOST";(IF(C538="Spells","SlotCost:",""))}</f>
        <v>SLOTCOST</v>
      </c>
      <c r="F537" s="222" t="str">
        <f t="array" ref="F537:F538">{"SLOTCOST CANTRIP";(INDEX(ALLCLASSDATA,MATCH("CantripSlots-L00",CLASSFEATUREHEADERS,0),MATCH(($A538 &amp; "Points"),CLASSNAMEHEADERS,0)))}</f>
        <v>SLOTCOST CANTRIP</v>
      </c>
      <c r="G537" s="222" t="str">
        <f t="array" ref="G537:G538">{"SLOTCOST L01";(INDEX(ALLCLASSDATA,MATCH("SPL01-L01",CLASSFEATUREHEADERS,0),MATCH(($A538 &amp; "Points"),CLASSNAMEHEADERS,0)))}</f>
        <v>SLOTCOST L01</v>
      </c>
      <c r="H537" s="222" t="str">
        <f t="array" ref="H537:H538">{"SLOTCOST L02";(INDEX(ALLCLASSDATA,MATCH("SPL01-L02",CLASSFEATUREHEADERS,0),MATCH(($A538 &amp; "Points"),CLASSNAMEHEADERS,0)))}</f>
        <v>#REF!</v>
      </c>
      <c r="I537" s="222" t="str">
        <f t="array" ref="I537:I538">{"SLOTCOST L03";(INDEX(ALLCLASSDATA,MATCH("SPL02-L03",CLASSFEATUREHEADERS,0),MATCH(($A538 &amp; "Points"),CLASSNAMEHEADERS,0)))}</f>
        <v>SLOTCOST L03</v>
      </c>
      <c r="J537" s="222" t="str">
        <f t="array" ref="J537:J538">{"SLOTCOST L04";(INDEX(ALLCLASSDATA,MATCH("SPL02-L04",CLASSFEATUREHEADERS,0),MATCH(($A538 &amp; "Points"),CLASSNAMEHEADERS,0)))}</f>
        <v>#REF!</v>
      </c>
      <c r="K537" s="222" t="str">
        <f t="array" ref="K537:K538">{"SLOTCOST L05";(INDEX(ALLCLASSDATA,MATCH("SPL03-L05",CLASSFEATUREHEADERS,0),MATCH(($A538 &amp; "Points"),CLASSNAMEHEADERS,0)))}</f>
        <v>SLOTCOST L05</v>
      </c>
      <c r="L537" s="222" t="str">
        <f t="array" ref="L537:L538">{"SLOTCOST L06";(INDEX(ALLCLASSDATA,MATCH("SPL03-L06",CLASSFEATUREHEADERS,0),MATCH(($A538 &amp; "Points"),CLASSNAMEHEADERS,0)))}</f>
        <v>SLOTCOST L06</v>
      </c>
      <c r="M537" s="222" t="str">
        <f t="array" ref="M537:M538">{"SLOTCOST L07";(INDEX(ALLCLASSDATA,MATCH("SPL04-L07",CLASSFEATUREHEADERS,0),MATCH(($A538 &amp; "Points"),CLASSNAMEHEADERS,0)))}</f>
        <v>SLOTCOST L07</v>
      </c>
      <c r="N537" s="222" t="str">
        <f t="array" ref="N537:N538">{"SLOTCOST L08";(INDEX(ALLCLASSDATA,MATCH("SPL04-L08",CLASSFEATUREHEADERS,0),MATCH(($A538 &amp; "Points"),CLASSNAMEHEADERS,0)))}</f>
        <v>SLOTCOST L08</v>
      </c>
      <c r="O537" s="222" t="str">
        <f t="array" ref="O537:O538">{"SLOTCOST L09";(INDEX(ALLCLASSDATA,MATCH("SPL05-L09",CLASSFEATUREHEADERS,0),MATCH(($A538 &amp; "Points"),CLASSNAMEHEADERS,0)))}</f>
        <v>SLOTCOST L09</v>
      </c>
      <c r="P537" s="222" t="str">
        <f t="array" ref="P537:P538">{"SLOTCOST L10";(INDEX(ALLCLASSDATA,MATCH("SPL05-L10",CLASSFEATUREHEADERS,0),MATCH(($A538 &amp; "Points"),CLASSNAMEHEADERS,0)))}</f>
        <v>SLOTCOST L10</v>
      </c>
      <c r="Q537" s="222" t="str">
        <f t="array" ref="Q537:Q538">{"SLOTCOST L11";(INDEX(ALLCLASSDATA,MATCH("SPL06-L11",CLASSFEATUREHEADERS,0),MATCH(($A538 &amp; "Points"),CLASSNAMEHEADERS,0)))}</f>
        <v>SLOTCOST L11</v>
      </c>
      <c r="R537" s="222" t="str">
        <f t="array" ref="R537:R538">{"SLOTCOST L12";(INDEX(ALLCLASSDATA,MATCH("SPL06-L12",CLASSFEATUREHEADERS,0),MATCH(($A538 &amp; "Points"),CLASSNAMEHEADERS,0)))}</f>
        <v>SLOTCOST L12</v>
      </c>
      <c r="S537" s="222" t="str">
        <f t="array" ref="S537:S538">{"SLOTCOST L13";(INDEX(ALLCLASSDATA,MATCH("SPL07-L13",CLASSFEATUREHEADERS,0),MATCH(($A538 &amp; "Points"),CLASSNAMEHEADERS,0)))}</f>
        <v>SLOTCOST L13</v>
      </c>
      <c r="T537" s="222" t="str">
        <f t="array" ref="T537:T538">{"SLOTCOST L14";(INDEX(ALLCLASSDATA,MATCH("SPL07-L14",CLASSFEATUREHEADERS,0),MATCH(($A538 &amp; "Points"),CLASSNAMEHEADERS,0)))}</f>
        <v>SLOTCOST L14</v>
      </c>
      <c r="U537" s="222" t="str">
        <f t="array" ref="U537:U538">{"SLOTCOST L15";(INDEX(ALLCLASSDATA,MATCH("SPL08-L15",CLASSFEATUREHEADERS,0),MATCH(($A538 &amp; "Points"),CLASSNAMEHEADERS,0)))}</f>
        <v>SLOTCOST L15</v>
      </c>
      <c r="V537" s="222" t="str">
        <f t="array" ref="V537:V538">{"SLOTCOST L16";(INDEX(ALLCLASSDATA,MATCH("SPL08-L16",CLASSFEATUREHEADERS,0),MATCH(($A538 &amp; "Points"),CLASSNAMEHEADERS,0)))}</f>
        <v>SLOTCOST L16</v>
      </c>
      <c r="W537" s="222" t="str">
        <f t="array" ref="W537:W538">{"SLOTCOST L17";(INDEX(ALLCLASSDATA,MATCH("SPL09-L17",CLASSFEATUREHEADERS,0),MATCH(($A538 &amp; "Points"),CLASSNAMEHEADERS,0)))}</f>
        <v>SLOTCOST L17</v>
      </c>
      <c r="X537" s="222" t="str">
        <f t="array" ref="X537:X538">{"SLOTCOST L18";(INDEX(ALLCLASSDATA,MATCH("SPL09-L18",CLASSFEATUREHEADERS,0),MATCH(($A538 &amp; "Points"),CLASSNAMEHEADERS,0)))}</f>
        <v>SLOTCOST L18</v>
      </c>
      <c r="Y537" s="222" t="str">
        <f t="array" ref="Y537:Y538">{"SLOTCOST L19";(INDEX(ALLCLASSDATA,MATCH("SPL10-L19",CLASSFEATUREHEADERS,0),MATCH(($A538 &amp; "Points"),CLASSNAMEHEADERS,0)))}</f>
        <v>SLOTCOST L19</v>
      </c>
      <c r="Z537" s="222" t="str">
        <f t="array" ref="Z537:Z538">{"SLOTCOST L20";(INDEX(ALLCLASSDATA,MATCH("SPL10-L20",CLASSFEATUREHEADERS,0),MATCH(($A538 &amp; "Points"),CLASSNAMEHEADERS,0)))}</f>
        <v>SLOTCOST L20</v>
      </c>
      <c r="AA537" s="76"/>
      <c r="AB537" s="76" t="str">
        <f t="array" ref="AB537:AB538">{"SLOT TOTAL";(sum(F538:Z538))}</f>
        <v>SLOT TOTAL</v>
      </c>
    </row>
    <row r="538">
      <c r="A538" s="48" t="s">
        <v>195</v>
      </c>
      <c r="B538" s="48" t="s">
        <v>417</v>
      </c>
      <c r="C538" s="48" t="s">
        <v>1901</v>
      </c>
      <c r="D538" s="48" t="s">
        <v>1927</v>
      </c>
      <c r="E538" s="278" t="s">
        <v>1904</v>
      </c>
      <c r="F538" s="47"/>
      <c r="G538" s="5">
        <v>10.0</v>
      </c>
      <c r="H538" s="48" t="s">
        <v>1905</v>
      </c>
      <c r="I538" s="5">
        <v>10.0</v>
      </c>
      <c r="J538" s="48" t="s">
        <v>1905</v>
      </c>
      <c r="K538" s="5" t="s">
        <v>603</v>
      </c>
      <c r="L538" s="48" t="s">
        <v>603</v>
      </c>
      <c r="M538" s="5" t="s">
        <v>603</v>
      </c>
      <c r="N538" s="5" t="s">
        <v>603</v>
      </c>
      <c r="O538" s="5" t="s">
        <v>603</v>
      </c>
      <c r="P538" s="5" t="s">
        <v>603</v>
      </c>
      <c r="Q538" s="5" t="s">
        <v>603</v>
      </c>
      <c r="R538" s="5" t="s">
        <v>603</v>
      </c>
      <c r="S538" s="5" t="s">
        <v>603</v>
      </c>
      <c r="T538" s="5" t="s">
        <v>603</v>
      </c>
      <c r="U538" s="5" t="s">
        <v>603</v>
      </c>
      <c r="V538" s="5" t="s">
        <v>603</v>
      </c>
      <c r="W538" s="5" t="s">
        <v>603</v>
      </c>
      <c r="X538" s="5" t="s">
        <v>603</v>
      </c>
      <c r="Y538" s="5" t="s">
        <v>603</v>
      </c>
      <c r="Z538" s="5" t="s">
        <v>603</v>
      </c>
      <c r="AA538" s="5"/>
      <c r="AB538" s="47">
        <v>20.0</v>
      </c>
    </row>
    <row r="539" hidden="1">
      <c r="A539" s="222" t="str">
        <f t="array" ref="A539:A540">{"FormulaRow41";(INDEX(CLASSLIST,A458,1))}</f>
        <v>FormulaRow41</v>
      </c>
      <c r="B539" s="222" t="str">
        <f t="array" ref="B539:B540">{"CLASSTYPE";((INDEX(ALLCLASSDATA,MATCH("ClassType",CLASSFEATUREHEADERS,0),MATCH($A540,CLASSNAMEHEADERS,0))))}</f>
        <v>CLASSTYPE</v>
      </c>
      <c r="C539" s="222" t="str">
        <f t="array" ref="C539:C540">{"SPELL/ALCHEMY";((IF(INDEX(ALLCLASSDATA,MATCH("CasterType",CLASSFEATUREHEADERS,0),MATCH(($A540),CLASSNAMEHEADERS,0))="","",(IF(INDEX(ALLCLASSDATA,MATCH("CasterType",CLASSFEATUREHEADERS,0),MATCH(($A540),CLASSNAMEHEADERS,0))="Alchemy","Alchemy","Spells")))))}</f>
        <v>SPELL/ALCHEMY</v>
      </c>
      <c r="D539" s="222" t="str">
        <f t="array" ref="D539:D540">{"SPELLLIST";(IF(C540="Spells",((INDEX(ALLCLASSDATA,MATCH("CasterType",CLASSFEATUREHEADERS,0),MATCH(($A540),CLASSNAMEHEADERS,0))) &amp; ":" &amp; (INDEX(ALLCLASSDATA,MATCH("SpellList",CLASSFEATUREHEADERS,0),MATCH(($A540),CLASSNAMEHEADERS,0)))),""))}</f>
        <v>SPELLLIST</v>
      </c>
      <c r="E539" s="223" t="str">
        <f t="array" ref="E539:E540">{"LEARNEDCOST";(IF(C540="","","LearnCost:"))}</f>
        <v>LEARNEDCOST</v>
      </c>
      <c r="F539" s="223" t="str">
        <f t="array" ref="F539:F540">{"LEARNED CANTRIPS";(INDEX(ALLCLASSDATA,MATCH("CantripsLearned-L00",CLASSFEATUREHEADERS,0),MATCH(($A540 &amp; "Points"),CLASSNAMEHEADERS,0)))}</f>
        <v>LEARNED CANTRIPS</v>
      </c>
      <c r="G539" s="223" t="str">
        <f t="array" ref="G539:G540">{"LEARNED L01";(INDEX(ALLCLASSDATA,MATCH("Learned-L01",CLASSFEATUREHEADERS,0),MATCH(($A540 &amp; "Points"),CLASSNAMEHEADERS,0)))}</f>
        <v>LEARNED L01</v>
      </c>
      <c r="H539" s="223" t="str">
        <f t="array" ref="H539:H540">{"LEARNED L02";(INDEX(ALLCLASSDATA,MATCH("Learned-L02",CLASSFEATUREHEADERS,0),MATCH(($A540 &amp; "Points"),CLASSNAMEHEADERS,0)))}</f>
        <v>LEARNED L02</v>
      </c>
      <c r="I539" s="223" t="str">
        <f t="array" ref="I539:I540">{"LEARNED L03";(INDEX(ALLCLASSDATA,MATCH("Learned-L03",CLASSFEATUREHEADERS,0),MATCH(($A540 &amp; "Points"),CLASSNAMEHEADERS,0)))}</f>
        <v>LEARNED L03</v>
      </c>
      <c r="J539" s="223" t="str">
        <f t="array" ref="J539:J540">{"LEARNED L04";(INDEX(ALLCLASSDATA,MATCH("Learned-L04",CLASSFEATUREHEADERS,0),MATCH(($A540 &amp; "Points"),CLASSNAMEHEADERS,0)))}</f>
        <v>LEARNED L04</v>
      </c>
      <c r="K539" s="223" t="str">
        <f t="array" ref="K539:K540">{"LEARNED L05";(INDEX(ALLCLASSDATA,MATCH("Learned-L05",CLASSFEATUREHEADERS,0),MATCH(($A540 &amp; "Points"),CLASSNAMEHEADERS,0)))}</f>
        <v>LEARNED L05</v>
      </c>
      <c r="L539" s="223" t="str">
        <f t="array" ref="L539:L540">{"LEARNED L06";(INDEX(ALLCLASSDATA,MATCH("Learned-L06",CLASSFEATUREHEADERS,0),MATCH(($A540 &amp; "Points"),CLASSNAMEHEADERS,0)))}</f>
        <v>LEARNED L06</v>
      </c>
      <c r="M539" s="223" t="str">
        <f t="array" ref="M539:M540">{"LEARNED L07";(INDEX(ALLCLASSDATA,MATCH("Learned-L07",CLASSFEATUREHEADERS,0),MATCH(($A540 &amp; "Points"),CLASSNAMEHEADERS,0)))}</f>
        <v>LEARNED L07</v>
      </c>
      <c r="N539" s="223" t="str">
        <f t="array" ref="N539:N540">{"LEARNED L08";(INDEX(ALLCLASSDATA,MATCH("Learned-L08",CLASSFEATUREHEADERS,0),MATCH(($A540 &amp; "Points"),CLASSNAMEHEADERS,0)))}</f>
        <v>LEARNED L08</v>
      </c>
      <c r="O539" s="223" t="str">
        <f t="array" ref="O539:O540">{"LEARNED L09";(INDEX(ALLCLASSDATA,MATCH("Learned-L09",CLASSFEATUREHEADERS,0),MATCH(($A540 &amp; "Points"),CLASSNAMEHEADERS,0)))}</f>
        <v>LEARNED L09</v>
      </c>
      <c r="P539" s="223" t="str">
        <f t="array" ref="P539:P540">{"LEARNED L10";(INDEX(ALLCLASSDATA,MATCH("Learned-L10",CLASSFEATUREHEADERS,0),MATCH(($A540 &amp; "Points"),CLASSNAMEHEADERS,0)))}</f>
        <v>LEARNED L10</v>
      </c>
      <c r="Q539" s="223" t="str">
        <f t="array" ref="Q539:Q540">{"LEARNED L11";(INDEX(ALLCLASSDATA,MATCH("Learned-L11",CLASSFEATUREHEADERS,0),MATCH(($A540 &amp; "Points"),CLASSNAMEHEADERS,0)))}</f>
        <v>LEARNED L11</v>
      </c>
      <c r="R539" s="223" t="str">
        <f t="array" ref="R539:R540">{"LEARNED L12";(INDEX(ALLCLASSDATA,MATCH("Learned-L12",CLASSFEATUREHEADERS,0),MATCH(($A540 &amp; "Points"),CLASSNAMEHEADERS,0)))}</f>
        <v>LEARNED L12</v>
      </c>
      <c r="S539" s="223" t="str">
        <f t="array" ref="S539:S540">{"LEARNED L13";(INDEX(ALLCLASSDATA,MATCH("Learned-L13",CLASSFEATUREHEADERS,0),MATCH(($A540 &amp; "Points"),CLASSNAMEHEADERS,0)))}</f>
        <v>LEARNED L13</v>
      </c>
      <c r="T539" s="223" t="str">
        <f t="array" ref="T539:T540">{"LEARNED L14";(INDEX(ALLCLASSDATA,MATCH("Learned-L14",CLASSFEATUREHEADERS,0),MATCH(($A540 &amp; "Points"),CLASSNAMEHEADERS,0)))}</f>
        <v>LEARNED L14</v>
      </c>
      <c r="U539" s="223" t="str">
        <f t="array" ref="U539:U540">{"LEARNED L15";(INDEX(ALLCLASSDATA,MATCH("Learned-L15",CLASSFEATUREHEADERS,0),MATCH(($A540 &amp; "Points"),CLASSNAMEHEADERS,0)))}</f>
        <v>LEARNED L15</v>
      </c>
      <c r="V539" s="223" t="str">
        <f t="array" ref="V539:V540">{"LEARNED L16";(INDEX(ALLCLASSDATA,MATCH("Learned-L16",CLASSFEATUREHEADERS,0),MATCH(($A540 &amp; "Points"),CLASSNAMEHEADERS,0)))}</f>
        <v>LEARNED L16</v>
      </c>
      <c r="W539" s="223" t="str">
        <f t="array" ref="W539:W540">{"LEARNED L17";(INDEX(ALLCLASSDATA,MATCH("Learned-L17",CLASSFEATUREHEADERS,0),MATCH(($A540 &amp; "Points"),CLASSNAMEHEADERS,0)))}</f>
        <v>LEARNED L17</v>
      </c>
      <c r="X539" s="223" t="str">
        <f t="array" ref="X539:X540">{"LEARNED L18";(INDEX(ALLCLASSDATA,MATCH("Learned-L18",CLASSFEATUREHEADERS,0),MATCH(($A540 &amp; "Points"),CLASSNAMEHEADERS,0)))}</f>
        <v>LEARNED L18</v>
      </c>
      <c r="Y539" s="223" t="str">
        <f t="array" ref="Y539:Y540">{"LEARNED L19";(INDEX(ALLCLASSDATA,MATCH("Learned-L19",CLASSFEATUREHEADERS,0),MATCH(($A540 &amp; "Points"),CLASSNAMEHEADERS,0)))}</f>
        <v>LEARNED L19</v>
      </c>
      <c r="Z539" s="223" t="str">
        <f t="array" ref="Z539:Z540">{"LEARNED L20";(INDEX(ALLCLASSDATA,MATCH("Learned-L20",CLASSFEATUREHEADERS,0),MATCH(($A540 &amp; "Points"),CLASSNAMEHEADERS,0)))}</f>
        <v>LEARNED L20</v>
      </c>
      <c r="AA539" s="76"/>
      <c r="AB539" s="76" t="str">
        <f t="array" ref="AB539:AB540">{"LEARNED TOTAL";(sum(F540:Z540))}</f>
        <v>LEARNED TOTAL</v>
      </c>
    </row>
    <row r="540">
      <c r="A540" s="48" t="s">
        <v>195</v>
      </c>
      <c r="B540" s="48" t="s">
        <v>417</v>
      </c>
      <c r="C540" s="48" t="s">
        <v>1901</v>
      </c>
      <c r="D540" s="48" t="s">
        <v>1927</v>
      </c>
      <c r="E540" s="278" t="s">
        <v>1906</v>
      </c>
      <c r="F540" s="47">
        <v>0.0</v>
      </c>
      <c r="G540" s="5">
        <v>20.0</v>
      </c>
      <c r="H540" s="5">
        <v>10.0</v>
      </c>
      <c r="I540" s="5">
        <v>10.0</v>
      </c>
      <c r="J540" s="5">
        <v>10.0</v>
      </c>
      <c r="K540" s="5" t="s">
        <v>603</v>
      </c>
      <c r="L540" s="5" t="s">
        <v>603</v>
      </c>
      <c r="M540" s="48" t="s">
        <v>603</v>
      </c>
      <c r="N540" s="5" t="s">
        <v>603</v>
      </c>
      <c r="O540" s="5" t="s">
        <v>603</v>
      </c>
      <c r="P540" s="5" t="s">
        <v>603</v>
      </c>
      <c r="Q540" s="5" t="s">
        <v>603</v>
      </c>
      <c r="R540" s="5" t="s">
        <v>603</v>
      </c>
      <c r="S540" s="5" t="s">
        <v>603</v>
      </c>
      <c r="T540" s="5" t="s">
        <v>603</v>
      </c>
      <c r="U540" s="5" t="s">
        <v>603</v>
      </c>
      <c r="V540" s="5" t="s">
        <v>603</v>
      </c>
      <c r="W540" s="5" t="s">
        <v>603</v>
      </c>
      <c r="X540" s="5" t="s">
        <v>603</v>
      </c>
      <c r="Y540" s="5" t="s">
        <v>603</v>
      </c>
      <c r="Z540" s="5" t="s">
        <v>603</v>
      </c>
      <c r="AA540" s="5"/>
      <c r="AB540" s="47">
        <v>50.0</v>
      </c>
    </row>
    <row r="541" hidden="1">
      <c r="A541" s="222" t="str">
        <f t="array" ref="A541:A542">{"FormulaRow42";(INDEX(CLASSLIST,A458,1))}</f>
        <v>FormulaRow42</v>
      </c>
      <c r="B541" s="222" t="str">
        <f t="array" ref="B541:B542">{"CLASSTYPE";((INDEX(ALLCLASSDATA,MATCH("ClassType",CLASSFEATUREHEADERS,0),MATCH($A542,CLASSNAMEHEADERS,0))))}</f>
        <v>CLASSTYPE</v>
      </c>
      <c r="C541" s="222" t="str">
        <f t="array" ref="C541:C542">{"SPELL/ALCHEMY";((IF(INDEX(ALLCLASSDATA,MATCH("CasterType",CLASSFEATUREHEADERS,0),MATCH(($A542),CLASSNAMEHEADERS,0))="","",(IF(INDEX(ALLCLASSDATA,MATCH("CasterType",CLASSFEATUREHEADERS,0),MATCH(($A542),CLASSNAMEHEADERS,0))="Alchemy","","Spells")))))}</f>
        <v>SPELL/ALCHEMY</v>
      </c>
      <c r="D541" s="222" t="str">
        <f t="array" ref="D541:D542">{"SPELLLIST";(IF(C542="Spells",((INDEX(ALLCLASSDATA,MATCH("CasterType",CLASSFEATUREHEADERS,0),MATCH(($A542),CLASSNAMEHEADERS,0))) &amp; ":" &amp; (INDEX(ALLCLASSDATA,MATCH("SpellList",CLASSFEATUREHEADERS,0),MATCH(($A542),CLASSNAMEHEADERS,0)))),""))}</f>
        <v>SPELLLIST</v>
      </c>
      <c r="E541" s="223" t="str">
        <f t="array" ref="E541:E542">{"SLOT/LVL";(IF(C536="Spells","Slot/LVL:",""))}</f>
        <v>SLOT/LVL</v>
      </c>
      <c r="F541" s="223" t="str">
        <f t="array" ref="F541:F542">{"CANTRIPSLOTS";(INDEX(ALLCLASSDATA,MATCH("CantripSlots-L00",CLASSFEATUREHEADERS,0),MATCH($A542,CLASSNAMEHEADERS,0)))}</f>
        <v>#REF!</v>
      </c>
      <c r="G541" s="223" t="str">
        <f t="array" ref="G541:G542">{"SPL01-L01";(INDEX(ALLCLASSDATA,MATCH("SPL01-L01",CLASSFEATUREHEADERS,0),MATCH($A542,CLASSNAMEHEADERS,0)))}</f>
        <v>SPL01-L01</v>
      </c>
      <c r="H541" s="223" t="str">
        <f t="array" ref="H541:H542">{"SPL01-L02";(INDEX(ALLCLASSDATA,MATCH("SPL01-L02",CLASSFEATUREHEADERS,0),MATCH($A542,CLASSNAMEHEADERS,0)))}</f>
        <v>#REF!</v>
      </c>
      <c r="I541" s="223" t="str">
        <f t="array" ref="I541:I542">{"SPL02-L03";(INDEX(ALLCLASSDATA,MATCH("SPL02-L03",CLASSFEATUREHEADERS,0),MATCH($A542,CLASSNAMEHEADERS,0)))}</f>
        <v>SPL02-L03</v>
      </c>
      <c r="J541" s="223" t="str">
        <f t="array" ref="J541:J542">{"SPL02-L04";(INDEX(ALLCLASSDATA,MATCH("SPL02-L04",CLASSFEATUREHEADERS,0),MATCH($A542,CLASSNAMEHEADERS,0)))}</f>
        <v>#REF!</v>
      </c>
      <c r="K541" s="223" t="str">
        <f t="array" ref="K541:K542">{"SPL03-L05";(INDEX(ALLCLASSDATA,MATCH("SPL03-L05",CLASSFEATUREHEADERS,0),MATCH($A542,CLASSNAMEHEADERS,0)))}</f>
        <v>SPL03-L05</v>
      </c>
      <c r="L541" s="223" t="str">
        <f t="array" ref="L541:L542">{"SPL03-L06";(INDEX(ALLCLASSDATA,MATCH("SPL03-L06",CLASSFEATUREHEADERS,0),MATCH($A542,CLASSNAMEHEADERS,0)))}</f>
        <v>SPL03-L06</v>
      </c>
      <c r="M541" s="223" t="str">
        <f t="array" ref="M541:M542">{"SPL04-L07";(INDEX(ALLCLASSDATA,MATCH("SPL04-L07",CLASSFEATUREHEADERS,0),MATCH($A542,CLASSNAMEHEADERS,0)))}</f>
        <v>SPL04-L07</v>
      </c>
      <c r="N541" s="223" t="str">
        <f t="array" ref="N541:N542">{"SPL04-L08";(INDEX(ALLCLASSDATA,MATCH("SPL04-L08",CLASSFEATUREHEADERS,0),MATCH($A542,CLASSNAMEHEADERS,0)))}</f>
        <v>SPL04-L08</v>
      </c>
      <c r="O541" s="223" t="str">
        <f t="array" ref="O541:O542">{"SPL05-L09";(INDEX(ALLCLASSDATA,MATCH("SPL05-L09",CLASSFEATUREHEADERS,0),MATCH($A542,CLASSNAMEHEADERS,0)))}</f>
        <v>SPL05-L09</v>
      </c>
      <c r="P541" s="223" t="str">
        <f t="array" ref="P541:P542">{"SPL05-L10";(INDEX(ALLCLASSDATA,MATCH("SPL05-L10",CLASSFEATUREHEADERS,0),MATCH($A542,CLASSNAMEHEADERS,0)))}</f>
        <v>SPL05-L10</v>
      </c>
      <c r="Q541" s="223" t="str">
        <f t="array" ref="Q541:Q542">{"SPL06-L11";(INDEX(ALLCLASSDATA,MATCH("SPL06-L11",CLASSFEATUREHEADERS,0),MATCH($A542,CLASSNAMEHEADERS,0)))}</f>
        <v>SPL06-L11</v>
      </c>
      <c r="R541" s="223" t="str">
        <f t="array" ref="R541:R542">{"SPL06-L12";(INDEX(ALLCLASSDATA,MATCH("SPL06-L12",CLASSFEATUREHEADERS,0),MATCH($A542,CLASSNAMEHEADERS,0)))}</f>
        <v>SPL06-L12</v>
      </c>
      <c r="S541" s="223" t="str">
        <f t="array" ref="S541:S542">{"SPL07-L13";(INDEX(ALLCLASSDATA,MATCH("SPL07-L13",CLASSFEATUREHEADERS,0),MATCH($A542,CLASSNAMEHEADERS,0)))}</f>
        <v>SPL07-L13</v>
      </c>
      <c r="T541" s="223" t="str">
        <f t="array" ref="T541:T542">{"SPL07-L14";(INDEX(ALLCLASSDATA,MATCH("SPL07-L14",CLASSFEATUREHEADERS,0),MATCH($A542,CLASSNAMEHEADERS,0)))}</f>
        <v>SPL07-L14</v>
      </c>
      <c r="U541" s="223" t="str">
        <f t="array" ref="U541:U542">{"SPL08-L15";(INDEX(ALLCLASSDATA,MATCH("SPL08-L15",CLASSFEATUREHEADERS,0),MATCH($A542,CLASSNAMEHEADERS,0)))}</f>
        <v>SPL08-L15</v>
      </c>
      <c r="V541" s="223" t="str">
        <f t="array" ref="V541:V542">{"SPL08-L16";(INDEX(ALLCLASSDATA,MATCH("SPL08-L16",CLASSFEATUREHEADERS,0),MATCH($A542,CLASSNAMEHEADERS,0)))}</f>
        <v>SPL08-L16</v>
      </c>
      <c r="W541" s="223" t="str">
        <f t="array" ref="W541:W542">{"SPL09-L17";(INDEX(ALLCLASSDATA,MATCH("SPL09-L17",CLASSFEATUREHEADERS,0),MATCH($A542,CLASSNAMEHEADERS,0)))}</f>
        <v>SPL09-L17</v>
      </c>
      <c r="X541" s="223" t="str">
        <f t="array" ref="X541:X542">{"SPL09-L18";(INDEX(ALLCLASSDATA,MATCH("SPL09-L18",CLASSFEATUREHEADERS,0),MATCH($A542,CLASSNAMEHEADERS,0)))}</f>
        <v>SPL09-L18</v>
      </c>
      <c r="Y541" s="223" t="str">
        <f t="array" ref="Y541:Y542">{"SPL10-L19";(INDEX(ALLCLASSDATA,MATCH("SPL10-L19",CLASSFEATUREHEADERS,0),MATCH($A542,CLASSNAMEHEADERS,0)))}</f>
        <v>SPL10-L19</v>
      </c>
      <c r="Z541" s="223" t="str">
        <f t="array" ref="Z541:Z542">{"SPL10-L20";(INDEX(ALLCLASSDATA,MATCH("SPL10-L20",CLASSFEATUREHEADERS,0),MATCH($A542,CLASSNAMEHEADERS,0)))}</f>
        <v>SPL10-L20</v>
      </c>
      <c r="AA541" s="76"/>
      <c r="AB541" s="76"/>
    </row>
    <row r="542">
      <c r="A542" s="48" t="s">
        <v>195</v>
      </c>
      <c r="B542" s="48" t="s">
        <v>417</v>
      </c>
      <c r="C542" s="48" t="s">
        <v>1901</v>
      </c>
      <c r="D542" s="48" t="s">
        <v>1927</v>
      </c>
      <c r="E542" s="278" t="s">
        <v>1907</v>
      </c>
      <c r="F542" s="114">
        <v>4.0</v>
      </c>
      <c r="G542" s="50" t="s">
        <v>1537</v>
      </c>
      <c r="H542" s="50" t="s">
        <v>1908</v>
      </c>
      <c r="I542" s="50" t="s">
        <v>1537</v>
      </c>
      <c r="J542" s="50" t="s">
        <v>1908</v>
      </c>
      <c r="K542" s="50"/>
      <c r="L542" s="50"/>
      <c r="M542" s="50"/>
      <c r="N542" s="50"/>
      <c r="O542" s="50"/>
      <c r="P542" s="50"/>
      <c r="Q542" s="50"/>
      <c r="R542" s="50"/>
      <c r="S542" s="50"/>
      <c r="T542" s="50"/>
      <c r="U542" s="50"/>
      <c r="V542" s="50"/>
      <c r="W542" s="50"/>
      <c r="X542" s="50"/>
      <c r="Y542" s="50"/>
      <c r="Z542" s="50"/>
      <c r="AA542" s="278"/>
      <c r="AB542" s="47"/>
    </row>
    <row r="543" hidden="1">
      <c r="A543" s="222" t="str">
        <f t="array" ref="A543:A544">{"FormulaRow43";(INDEX(CLASSLIST,A458,1))}</f>
        <v>FormulaRow43</v>
      </c>
      <c r="B543" s="222" t="str">
        <f t="array" ref="B543:B544">{"CLASSTYPE";((INDEX(ALLCLASSDATA,MATCH("ClassType",CLASSFEATUREHEADERS,0),MATCH($A544,CLASSNAMEHEADERS,0))))}</f>
        <v>CLASSTYPE</v>
      </c>
      <c r="C543" s="222" t="str">
        <f t="array" ref="C543:C544">{"SPELL/ALCHEMY";((IF(INDEX(ALLCLASSDATA,MATCH("CasterType",CLASSFEATUREHEADERS,0),MATCH(($A544),CLASSNAMEHEADERS,0))="","",(IF(INDEX(ALLCLASSDATA,MATCH("CasterType",CLASSFEATUREHEADERS,0),MATCH(($A544),CLASSNAMEHEADERS,0))="Alchemy","Alchemy","Spells")))))}</f>
        <v>SPELL/ALCHEMY</v>
      </c>
      <c r="D543" s="222" t="str">
        <f t="array" ref="D543:D544">{"SPELLLIST";(IF(C544="Spells",((INDEX(ALLCLASSDATA,MATCH("CasterType",CLASSFEATUREHEADERS,0),MATCH(($A544),CLASSNAMEHEADERS,0))) &amp; ":" &amp; (INDEX(ALLCLASSDATA,MATCH("SpellList",CLASSFEATUREHEADERS,0),MATCH(($A544),CLASSNAMEHEADERS,0)))),""))}</f>
        <v>SPELLLIST</v>
      </c>
      <c r="E543" s="223" t="str">
        <f t="array" ref="E543:E544">{"LEARNED/LVL";(IF(C544="","","Learn/LVL:"))}</f>
        <v>LEARNED/LVL</v>
      </c>
      <c r="F543" s="223" t="str">
        <f t="array" ref="F543:F544">{"LEARNEDCANTRIPS";(INDEX(ALLCLASSDATA,MATCH("CantripsLearned-L00",CLASSFEATUREHEADERS,0),MATCH($A544,CLASSNAMEHEADERS,0)))}</f>
        <v>LEARNEDCANTRIPS</v>
      </c>
      <c r="G543" s="223" t="str">
        <f t="array" ref="G543:G544">{"LEARNED L01";(INDEX(ALLCLASSDATA,MATCH("Learned-L01",CLASSFEATUREHEADERS,0),MATCH($A544,CLASSNAMEHEADERS,0)))}</f>
        <v>LEARNED L01</v>
      </c>
      <c r="H543" s="223" t="str">
        <f t="array" ref="H543:H544">{"LEARNED L02";(INDEX(ALLCLASSDATA,MATCH("Learned-L02",CLASSFEATUREHEADERS,0),MATCH($A544,CLASSNAMEHEADERS,0)))}</f>
        <v>LEARNED L02</v>
      </c>
      <c r="I543" s="223" t="str">
        <f t="array" ref="I543:I544">{"LEARNED L03";(INDEX(ALLCLASSDATA,MATCH("Learned-L03",CLASSFEATUREHEADERS,0),MATCH($A544,CLASSNAMEHEADERS,0)))}</f>
        <v>LEARNED L03</v>
      </c>
      <c r="J543" s="223" t="str">
        <f t="array" ref="J543:J544">{"LEARNED L04";(INDEX(ALLCLASSDATA,MATCH("Learned-L04",CLASSFEATUREHEADERS,0),MATCH($A544,CLASSNAMEHEADERS,0)))}</f>
        <v>LEARNED L04</v>
      </c>
      <c r="K543" s="223" t="str">
        <f t="array" ref="K543:K544">{"LEARNED L05";(INDEX(ALLCLASSDATA,MATCH("Learned-L05",CLASSFEATUREHEADERS,0),MATCH($A544,CLASSNAMEHEADERS,0)))}</f>
        <v>LEARNED L05</v>
      </c>
      <c r="L543" s="223" t="str">
        <f t="array" ref="L543:L544">{"LEARNED L06";(INDEX(ALLCLASSDATA,MATCH("Learned-L06",CLASSFEATUREHEADERS,0),MATCH($A544,CLASSNAMEHEADERS,0)))}</f>
        <v>LEARNED L06</v>
      </c>
      <c r="M543" s="223" t="str">
        <f t="array" ref="M543:M544">{"LEARNED L07";(INDEX(ALLCLASSDATA,MATCH("Learned-L07",CLASSFEATUREHEADERS,0),MATCH($A544,CLASSNAMEHEADERS,0)))}</f>
        <v>LEARNED L07</v>
      </c>
      <c r="N543" s="223" t="str">
        <f t="array" ref="N543:N544">{"LEARNED L08";(INDEX(ALLCLASSDATA,MATCH("Learned-L08",CLASSFEATUREHEADERS,0),MATCH($A544,CLASSNAMEHEADERS,0)))}</f>
        <v>LEARNED L08</v>
      </c>
      <c r="O543" s="223" t="str">
        <f t="array" ref="O543:O544">{"LEARNED L09";(INDEX(ALLCLASSDATA,MATCH("Learned-L09",CLASSFEATUREHEADERS,0),MATCH($A544,CLASSNAMEHEADERS,0)))}</f>
        <v>LEARNED L09</v>
      </c>
      <c r="P543" s="223" t="str">
        <f t="array" ref="P543:P544">{"LEARNED L10";(INDEX(ALLCLASSDATA,MATCH("Learned-L10",CLASSFEATUREHEADERS,0),MATCH($A544,CLASSNAMEHEADERS,0)))}</f>
        <v>LEARNED L10</v>
      </c>
      <c r="Q543" s="223" t="str">
        <f t="array" ref="Q543:Q544">{"LEARNED L11";(INDEX(ALLCLASSDATA,MATCH("Learned-L11",CLASSFEATUREHEADERS,0),MATCH($A544,CLASSNAMEHEADERS,0)))}</f>
        <v>LEARNED L11</v>
      </c>
      <c r="R543" s="223" t="str">
        <f t="array" ref="R543:R544">{"LEARNED L12";(INDEX(ALLCLASSDATA,MATCH("Learned-L12",CLASSFEATUREHEADERS,0),MATCH($A544,CLASSNAMEHEADERS,0)))}</f>
        <v>LEARNED L12</v>
      </c>
      <c r="S543" s="223" t="str">
        <f t="array" ref="S543:S544">{"LEARNED L13";(INDEX(ALLCLASSDATA,MATCH("Learned-L13",CLASSFEATUREHEADERS,0),MATCH($A544,CLASSNAMEHEADERS,0)))}</f>
        <v>LEARNED L13</v>
      </c>
      <c r="T543" s="223" t="str">
        <f t="array" ref="T543:T544">{"LEARNED L14";(INDEX(ALLCLASSDATA,MATCH("Learned-L14",CLASSFEATUREHEADERS,0),MATCH($A544,CLASSNAMEHEADERS,0)))}</f>
        <v>LEARNED L14</v>
      </c>
      <c r="U543" s="223" t="str">
        <f t="array" ref="U543:U544">{"LEARNED L15";(INDEX(ALLCLASSDATA,MATCH("Learned-L15",CLASSFEATUREHEADERS,0),MATCH($A544,CLASSNAMEHEADERS,0)))}</f>
        <v>LEARNED L15</v>
      </c>
      <c r="V543" s="223" t="str">
        <f t="array" ref="V543:V544">{"LEARNED L16";(INDEX(ALLCLASSDATA,MATCH("Learned-L16",CLASSFEATUREHEADERS,0),MATCH($A544,CLASSNAMEHEADERS,0)))}</f>
        <v>LEARNED L16</v>
      </c>
      <c r="W543" s="223" t="str">
        <f t="array" ref="W543:W544">{"LEARNED L17";(INDEX(ALLCLASSDATA,MATCH("Learned-L17",CLASSFEATUREHEADERS,0),MATCH($A544,CLASSNAMEHEADERS,0)))}</f>
        <v>LEARNED L17</v>
      </c>
      <c r="X543" s="223" t="str">
        <f t="array" ref="X543:X544">{"LEARNED L18";(INDEX(ALLCLASSDATA,MATCH("Learned-L18",CLASSFEATUREHEADERS,0),MATCH($A544,CLASSNAMEHEADERS,0)))}</f>
        <v>LEARNED L18</v>
      </c>
      <c r="Y543" s="223" t="str">
        <f t="array" ref="Y543:Y544">{"LEARNED L19";(INDEX(ALLCLASSDATA,MATCH("Learned-L19",CLASSFEATUREHEADERS,0),MATCH($A544,CLASSNAMEHEADERS,0)))}</f>
        <v>LEARNED L19</v>
      </c>
      <c r="Z543" s="223" t="str">
        <f t="array" ref="Z543:Z544">{"LEARNED L20";(INDEX(ALLCLASSDATA,MATCH("Learned-L20",CLASSFEATUREHEADERS,0),MATCH($A544,CLASSNAMEHEADERS,0)))}</f>
        <v>LEARNED L20</v>
      </c>
      <c r="AA543" s="76"/>
      <c r="AB543" s="76"/>
    </row>
    <row r="544">
      <c r="A544" s="48" t="s">
        <v>195</v>
      </c>
      <c r="B544" s="48" t="s">
        <v>417</v>
      </c>
      <c r="C544" s="48" t="s">
        <v>1901</v>
      </c>
      <c r="D544" s="48" t="s">
        <v>1927</v>
      </c>
      <c r="E544" s="278" t="s">
        <v>1909</v>
      </c>
      <c r="F544" s="280" t="s">
        <v>1530</v>
      </c>
      <c r="G544" s="278" t="s">
        <v>1538</v>
      </c>
      <c r="H544" s="278" t="s">
        <v>1537</v>
      </c>
      <c r="I544" s="278" t="s">
        <v>1537</v>
      </c>
      <c r="J544" s="278" t="s">
        <v>1537</v>
      </c>
      <c r="K544" s="278"/>
      <c r="L544" s="278"/>
      <c r="M544" s="278"/>
      <c r="N544" s="50"/>
      <c r="O544" s="278"/>
      <c r="P544" s="278"/>
      <c r="Q544" s="278"/>
      <c r="R544" s="278"/>
      <c r="S544" s="278"/>
      <c r="T544" s="278"/>
      <c r="U544" s="278"/>
      <c r="V544" s="278"/>
      <c r="W544" s="278"/>
      <c r="X544" s="278"/>
      <c r="Y544" s="278"/>
      <c r="Z544" s="278"/>
      <c r="AA544" s="278"/>
      <c r="AB544" s="47"/>
    </row>
    <row r="545" hidden="1">
      <c r="A545" s="222" t="str">
        <f t="array" ref="A545:A546">{"FormulaRow44";(INDEX(CLASSLIST,A458,1))}</f>
        <v>FormulaRow44</v>
      </c>
      <c r="B545" s="222" t="str">
        <f t="array" ref="B545:B546">{"CLASSTYPE";((INDEX(ALLCLASSDATA,MATCH("ClassType",CLASSFEATUREHEADERS,0),MATCH($A546,CLASSNAMEHEADERS,0))))}</f>
        <v>CLASSTYPE</v>
      </c>
      <c r="C545" s="222" t="str">
        <f t="array" ref="C545:C546">{"SPELL/ALCHEMY";((IF(INDEX(ALLCLASSDATA,MATCH("CasterType",CLASSFEATUREHEADERS,0),MATCH(($A546),CLASSNAMEHEADERS,0))="","",(IF(INDEX(ALLCLASSDATA,MATCH("CasterType",CLASSFEATUREHEADERS,0),MATCH(($A546),CLASSNAMEHEADERS,0))="Alchemy","","Spells")))))}</f>
        <v>SPELL/ALCHEMY</v>
      </c>
      <c r="D545" s="222" t="str">
        <f t="array" ref="D545:D546">{"SPELLLIST";(IF(C546="Spells",((INDEX(ALLCLASSDATA,MATCH("CasterType",CLASSFEATUREHEADERS,0),MATCH(($A546),CLASSNAMEHEADERS,0))) &amp; ":" &amp; (INDEX(ALLCLASSDATA,MATCH("SpellList",CLASSFEATUREHEADERS,0),MATCH(($A546),CLASSNAMEHEADERS,0)))),""))}</f>
        <v>SPELLLIST</v>
      </c>
      <c r="E545" s="223" t="str">
        <f t="array" ref="E545:E546">{"TOTALSLOTS";(IF(C546="","","TotalSlots:"))}</f>
        <v>TOTALSLOTS</v>
      </c>
      <c r="F545" s="223" t="str">
        <f t="array" ref="F545:F546">{"TOTALCANTRIPSLOTS";(F542)}</f>
        <v>TOTALCANTRIPSLOTS</v>
      </c>
      <c r="G545" s="223" t="str">
        <f t="array" ref="G545:G546">{"TOTALSLOTS L01";(G542)}</f>
        <v>TOTALSLOTS L01</v>
      </c>
      <c r="H545" s="223" t="str">
        <f t="array" ref="H545:H546">{"TOTALSLOTS L02";(G546+H542)}</f>
        <v>TOTALSLOTS L02</v>
      </c>
      <c r="I545" s="223" t="str">
        <f t="array" ref="I545:I546">{"TOTALSLOTS L03";(H546+I542)}</f>
        <v>TOTALSLOTS L03</v>
      </c>
      <c r="J545" s="223" t="str">
        <f t="array" ref="J545:J546">{"TOTALSLOTS L04";(I546+J542)}</f>
        <v>TOTALSLOTS L04</v>
      </c>
      <c r="K545" s="223" t="str">
        <f t="array" ref="K545:K546">{"TOTALSLOTS L05";(J546+K542)}</f>
        <v>TOTALSLOTS L05</v>
      </c>
      <c r="L545" s="223" t="str">
        <f t="array" ref="L545:L546">{"TOTALSLOTS L06";(K546+L542)}</f>
        <v>TOTALSLOTS L06</v>
      </c>
      <c r="M545" s="223" t="str">
        <f t="array" ref="M545:M546">{"TOTALSLOTS L07";(L546+M542)}</f>
        <v>TOTALSLOTS L07</v>
      </c>
      <c r="N545" s="223" t="str">
        <f t="array" ref="N545:N546">{"TOTALSLOTS L08";(M546+N542)}</f>
        <v>TOTALSLOTS L08</v>
      </c>
      <c r="O545" s="223" t="str">
        <f t="array" ref="O545:O546">{"TOTALSLOTS L09";(N546+O542)}</f>
        <v>TOTALSLOTS L09</v>
      </c>
      <c r="P545" s="223" t="str">
        <f t="array" ref="P545:P546">{"TOTALSLOTS L10";(O546+P542)}</f>
        <v>TOTALSLOTS L10</v>
      </c>
      <c r="Q545" s="223" t="str">
        <f t="array" ref="Q545:Q546">{"TOTALSLOTS L11";(P546+Q542)}</f>
        <v>TOTALSLOTS L11</v>
      </c>
      <c r="R545" s="223" t="str">
        <f t="array" ref="R545:R546">{"TOTALSLOTS L12";(Q546+R542)}</f>
        <v>TOTALSLOTS L12</v>
      </c>
      <c r="S545" s="223" t="str">
        <f t="array" ref="S545:S546">{"TOTALSLOTS L13";(R546+S542)}</f>
        <v>TOTALSLOTS L13</v>
      </c>
      <c r="T545" s="223" t="str">
        <f t="array" ref="T545:T546">{"TOTALSLOTS L14";(S546+T542)}</f>
        <v>TOTALSLOTS L14</v>
      </c>
      <c r="U545" s="223" t="str">
        <f t="array" ref="U545:U546">{"TOTALSLOTS L15";(T546+U542)}</f>
        <v>TOTALSLOTS L15</v>
      </c>
      <c r="V545" s="223" t="str">
        <f t="array" ref="V545:V546">{"TOTALSLOTS L16";(U546+V542)}</f>
        <v>TOTALSLOTS L16</v>
      </c>
      <c r="W545" s="223" t="str">
        <f t="array" ref="W545:W546">{"TOTALSLOTS L17";(V546+W542)}</f>
        <v>TOTALSLOTS L17</v>
      </c>
      <c r="X545" s="223" t="str">
        <f t="array" ref="X545:X546">{"TOTALSLOTS L18";(W546+X542)}</f>
        <v>TOTALSLOTS L18</v>
      </c>
      <c r="Y545" s="223" t="str">
        <f t="array" ref="Y545:Y546">{"TOTALSLOTS L19";(X546+Y542)}</f>
        <v>TOTALSLOTS L19</v>
      </c>
      <c r="Z545" s="223" t="str">
        <f t="array" ref="Z545:Z546">{"TOTALSLOTS L20";(Y546+Z542)}</f>
        <v>TOTALSLOTS L20</v>
      </c>
      <c r="AA545" s="76"/>
      <c r="AB545" s="76"/>
    </row>
    <row r="546">
      <c r="A546" s="48" t="s">
        <v>195</v>
      </c>
      <c r="B546" s="48" t="s">
        <v>417</v>
      </c>
      <c r="C546" s="48" t="s">
        <v>1901</v>
      </c>
      <c r="D546" s="48" t="s">
        <v>1927</v>
      </c>
      <c r="E546" s="278" t="s">
        <v>1910</v>
      </c>
      <c r="F546" s="47">
        <v>4.0</v>
      </c>
      <c r="G546" s="278" t="s">
        <v>1537</v>
      </c>
      <c r="H546" s="278">
        <v>1.0</v>
      </c>
      <c r="I546" s="278">
        <v>2.0</v>
      </c>
      <c r="J546" s="278">
        <v>2.0</v>
      </c>
      <c r="K546" s="278">
        <v>2.0</v>
      </c>
      <c r="L546" s="278">
        <v>2.0</v>
      </c>
      <c r="M546" s="278">
        <v>2.0</v>
      </c>
      <c r="N546" s="278">
        <v>2.0</v>
      </c>
      <c r="O546" s="278">
        <v>2.0</v>
      </c>
      <c r="P546" s="278">
        <v>2.0</v>
      </c>
      <c r="Q546" s="278">
        <v>2.0</v>
      </c>
      <c r="R546" s="278">
        <v>2.0</v>
      </c>
      <c r="S546" s="278">
        <v>2.0</v>
      </c>
      <c r="T546" s="278">
        <v>2.0</v>
      </c>
      <c r="U546" s="278">
        <v>2.0</v>
      </c>
      <c r="V546" s="278">
        <v>2.0</v>
      </c>
      <c r="W546" s="278">
        <v>2.0</v>
      </c>
      <c r="X546" s="278">
        <v>2.0</v>
      </c>
      <c r="Y546" s="278">
        <v>2.0</v>
      </c>
      <c r="Z546" s="278">
        <v>2.0</v>
      </c>
      <c r="AA546" s="5"/>
      <c r="AB546" s="47"/>
    </row>
    <row r="547" hidden="1">
      <c r="A547" s="222" t="str">
        <f t="array" ref="A547:A548">{"FormulaRow45";(INDEX(CLASSLIST,A458,1))}</f>
        <v>FormulaRow45</v>
      </c>
      <c r="B547" s="222" t="str">
        <f t="array" ref="B547:B548">{"CLASSTYPE";((INDEX(ALLCLASSDATA,MATCH("ClassType",CLASSFEATUREHEADERS,0),MATCH($A548,CLASSNAMEHEADERS,0))))}</f>
        <v>CLASSTYPE</v>
      </c>
      <c r="C547" s="222" t="str">
        <f t="array" ref="C547:C548">{"SPELL/ALCHEMY";((IF(INDEX(ALLCLASSDATA,MATCH("CasterType",CLASSFEATUREHEADERS,0),MATCH(($A548),CLASSNAMEHEADERS,0))="","",(IF(INDEX(ALLCLASSDATA,MATCH("CasterType",CLASSFEATUREHEADERS,0),MATCH(($A548),CLASSNAMEHEADERS,0))="Alchemy","Alchemy","Spells")))))}</f>
        <v>SPELL/ALCHEMY</v>
      </c>
      <c r="D547" s="222" t="str">
        <f t="array" ref="D547:D548">{"SPELLLIST";(IF(C548="Spells",((INDEX(ALLCLASSDATA,MATCH("CasterType",CLASSFEATUREHEADERS,0),MATCH(($A548),CLASSNAMEHEADERS,0))) &amp; ":" &amp; (INDEX(ALLCLASSDATA,MATCH("SpellList",CLASSFEATUREHEADERS,0),MATCH(($A548),CLASSNAMEHEADERS,0)))),""))}</f>
        <v>SPELLLIST</v>
      </c>
      <c r="E547" s="223" t="str">
        <f t="array" ref="E547:E548">{"TOTALLEARNED";(IF(C548="","","TotalLearned:"))}</f>
        <v>TOTALLEARNED</v>
      </c>
      <c r="F547" s="223" t="str">
        <f t="array" ref="F547:F548">{"TOTALCANTRIPSLEARNED";(F544)}</f>
        <v>TOTALCANTRIPSLEARNED</v>
      </c>
      <c r="G547" s="223" t="str">
        <f t="array" ref="G547:G548">{"TOTALLEARNED L01";(G544)}</f>
        <v>TOTALLEARNED L01</v>
      </c>
      <c r="H547" s="223" t="str">
        <f t="array" ref="H547:H548">{"TOTALLEARNED L02";(G548+H544)}</f>
        <v>TOTALLEARNED L02</v>
      </c>
      <c r="I547" s="223" t="str">
        <f t="array" ref="I547:I548">{"TOTALLEARNED L03";(H548+I544)}</f>
        <v>TOTALLEARNED L03</v>
      </c>
      <c r="J547" s="223" t="str">
        <f t="array" ref="J547:J548">{"TOTALLEARNED L04";(I548+J544)}</f>
        <v>TOTALLEARNED L04</v>
      </c>
      <c r="K547" s="223" t="str">
        <f t="array" ref="K547:K548">{"TOTALLEARNED L05";(J548+K544)}</f>
        <v>TOTALLEARNED L05</v>
      </c>
      <c r="L547" s="223" t="str">
        <f t="array" ref="L547:L548">{"TOTALLEARNED L06";(K548+L544)}</f>
        <v>TOTALLEARNED L06</v>
      </c>
      <c r="M547" s="223" t="str">
        <f t="array" ref="M547:M548">{"TOTALLEARNED L07";(L548+M544)}</f>
        <v>TOTALLEARNED L07</v>
      </c>
      <c r="N547" s="223" t="str">
        <f t="array" ref="N547:N548">{"TOTALLEARNED L08";(M548+N544)}</f>
        <v>TOTALLEARNED L08</v>
      </c>
      <c r="O547" s="223" t="str">
        <f t="array" ref="O547:O548">{"TOTALLEARNED L09";(N548+O544)}</f>
        <v>TOTALLEARNED L09</v>
      </c>
      <c r="P547" s="223" t="str">
        <f t="array" ref="P547:P548">{"TOTALLEARNED L10";(O548+P544)}</f>
        <v>TOTALLEARNED L10</v>
      </c>
      <c r="Q547" s="223" t="str">
        <f t="array" ref="Q547:Q548">{"TOTALLEARNED L11";(P548+Q544)}</f>
        <v>TOTALLEARNED L11</v>
      </c>
      <c r="R547" s="223" t="str">
        <f t="array" ref="R547:R548">{"TOTALLEARNED L12";(Q548+R544)}</f>
        <v>TOTALLEARNED L12</v>
      </c>
      <c r="S547" s="223" t="str">
        <f t="array" ref="S547:S548">{"TOTALLEARNED L13";(R548+S544)}</f>
        <v>TOTALLEARNED L13</v>
      </c>
      <c r="T547" s="223" t="str">
        <f t="array" ref="T547:T548">{"TOTALLEARNED L14";(S548+T544)}</f>
        <v>TOTALLEARNED L14</v>
      </c>
      <c r="U547" s="223" t="str">
        <f t="array" ref="U547:U548">{"TOTALLEARNED L15";(T548+U544)}</f>
        <v>TOTALLEARNED L15</v>
      </c>
      <c r="V547" s="223" t="str">
        <f t="array" ref="V547:V548">{"TOTALLEARNED L16";(U548+V544)}</f>
        <v>TOTALLEARNED L16</v>
      </c>
      <c r="W547" s="223" t="str">
        <f t="array" ref="W547:W548">{"TOTALLEARNED L17";(V548+W544)}</f>
        <v>TOTALLEARNED L17</v>
      </c>
      <c r="X547" s="223" t="str">
        <f t="array" ref="X547:X548">{"TOTALLEARNED L18";(W548+X544)}</f>
        <v>TOTALLEARNED L18</v>
      </c>
      <c r="Y547" s="223" t="str">
        <f t="array" ref="Y547:Y548">{"TOTALLEARNED L19";(X548+Y544)}</f>
        <v>TOTALLEARNED L19</v>
      </c>
      <c r="Z547" s="223" t="str">
        <f t="array" ref="Z547:Z548">{"TOTALLEARNED L20";(Y548+Z544)}</f>
        <v>TOTALLEARNED L20</v>
      </c>
      <c r="AA547" s="76"/>
      <c r="AB547" s="76"/>
    </row>
    <row r="548">
      <c r="A548" s="97" t="s">
        <v>195</v>
      </c>
      <c r="B548" s="97" t="s">
        <v>417</v>
      </c>
      <c r="C548" s="97" t="s">
        <v>1901</v>
      </c>
      <c r="D548" s="97" t="s">
        <v>1927</v>
      </c>
      <c r="E548" s="281" t="s">
        <v>1911</v>
      </c>
      <c r="F548" s="282" t="s">
        <v>1530</v>
      </c>
      <c r="G548" s="278" t="s">
        <v>1538</v>
      </c>
      <c r="H548" s="278">
        <v>3.0</v>
      </c>
      <c r="I548" s="278">
        <v>4.0</v>
      </c>
      <c r="J548" s="278">
        <v>5.0</v>
      </c>
      <c r="K548" s="278">
        <v>5.0</v>
      </c>
      <c r="L548" s="278">
        <v>5.0</v>
      </c>
      <c r="M548" s="278">
        <v>5.0</v>
      </c>
      <c r="N548" s="278">
        <v>5.0</v>
      </c>
      <c r="O548" s="278">
        <v>5.0</v>
      </c>
      <c r="P548" s="278">
        <v>5.0</v>
      </c>
      <c r="Q548" s="278">
        <v>5.0</v>
      </c>
      <c r="R548" s="278">
        <v>5.0</v>
      </c>
      <c r="S548" s="278">
        <v>5.0</v>
      </c>
      <c r="T548" s="278">
        <v>5.0</v>
      </c>
      <c r="U548" s="278">
        <v>5.0</v>
      </c>
      <c r="V548" s="278">
        <v>5.0</v>
      </c>
      <c r="W548" s="278">
        <v>5.0</v>
      </c>
      <c r="X548" s="278">
        <v>5.0</v>
      </c>
      <c r="Y548" s="278">
        <v>5.0</v>
      </c>
      <c r="Z548" s="278">
        <v>5.0</v>
      </c>
      <c r="AA548" s="5"/>
      <c r="AB548" s="47"/>
    </row>
    <row r="549">
      <c r="A549" s="55">
        <v>17.0</v>
      </c>
      <c r="B549" s="79" t="s">
        <v>1928</v>
      </c>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c r="AA549" s="71"/>
      <c r="AB549" s="73"/>
    </row>
    <row r="550" hidden="1">
      <c r="A550" s="76" t="str">
        <f t="array" ref="A550:A551">{"FormulaRow01";(INDEX(CLASSLIST,A549,1))}</f>
        <v>FormulaRow01</v>
      </c>
      <c r="B550" s="76" t="str">
        <f t="array" ref="B550:B551">{"CLASSTYPE";(INDEX(ALLCLASSDATA,MATCH("ClassType",CLASSFEATUREHEADERS,0),MATCH($A551,CLASSNAMEHEADERS,0)))}</f>
        <v>CLASSTYPE</v>
      </c>
      <c r="C550" s="81" t="str">
        <f t="array" ref="C550:C551">{"TOTAL";("Total: " &amp; G551+I551+K551+M551+O551+Q551+S551+U551+W551+Y551)}</f>
        <v>TOTAL</v>
      </c>
      <c r="D550" s="81" t="str">
        <f t="array" ref="D550:D551">{"BALANCE";(IF((G551+I551+K551+M551+O551+Q551+S551+U551+W551+Y551)=2100,"(balanced)",(IF((G551+I551+K551+M551+O551+Q551+S551+U551+W551+Y551)&gt;2100,"OVERBUDGET: ","UNDERBUDGET: ")) &amp; (G551+I551+K551+M551+O551+Q551+S551+U551+W551+Y551-2100)))}</f>
        <v>BALANCE</v>
      </c>
      <c r="E550" s="81"/>
      <c r="F550" s="81"/>
      <c r="G550" s="81" t="str">
        <f t="array" ref="G550:G551">{"SUM LVL0/1/2";((SUMIF(E552:H631,"&lt;&gt;#REF!")+(SUMIF(I552:Z559,"&lt;&gt;#REF!"))))}</f>
        <v>SUM LVL0/1/2</v>
      </c>
      <c r="H550" s="81"/>
      <c r="I550" s="81" t="str">
        <f t="array" ref="I550:I551">{"SUM LVL3/4";(SUMIF(I560:J631,"&lt;&gt;#REF!"))}</f>
        <v>SUM LVL3/4</v>
      </c>
      <c r="J550" s="81"/>
      <c r="K550" s="81" t="str">
        <f t="array" ref="K550:K551">{"SUM LVL5/6";(SUMIF(K560:L631,"&lt;&gt;#REF!"))}</f>
        <v>SUM LVL5/6</v>
      </c>
      <c r="L550" s="81"/>
      <c r="M550" s="81" t="str">
        <f t="array" ref="M550:M551">{"SUM LVL7/8";(SUMIF(M560:N631,"&lt;&gt;#REF!"))}</f>
        <v>SUM LVL7/8</v>
      </c>
      <c r="N550" s="81"/>
      <c r="O550" s="81" t="str">
        <f t="array" ref="O550:O551">{"SUM LVL9/10";(SUMIF(O560:P631,"&lt;&gt;#REF!"))}</f>
        <v>SUM LVL9/10</v>
      </c>
      <c r="P550" s="81"/>
      <c r="Q550" s="81" t="str">
        <f t="array" ref="Q550:Q551">{"SUM LVL11/12";(SUMIF(Q560:R631,"&lt;&gt;#REF!"))}</f>
        <v>SUM LVL11/12</v>
      </c>
      <c r="R550" s="81"/>
      <c r="S550" s="81" t="str">
        <f t="array" ref="S550:S551">{"SUM LVL13/14";(SUMIF(S560:T631,"&lt;&gt;#REF!"))}</f>
        <v>SUM LVL13/14</v>
      </c>
      <c r="T550" s="81"/>
      <c r="U550" s="81" t="str">
        <f t="array" ref="U550:U551">{"SUM LVL15/16";(SUMIF(U560:V631,"&lt;&gt;#REF!"))}</f>
        <v>SUM LVL15/16</v>
      </c>
      <c r="V550" s="81"/>
      <c r="W550" s="81" t="str">
        <f t="array" ref="W550:W551">{"SUM LVL17/18";(SUMIF(W560:X631,"&lt;&gt;#REF!"))}</f>
        <v>SUM LVL17/18</v>
      </c>
      <c r="X550" s="81"/>
      <c r="Y550" s="81" t="str">
        <f t="array" ref="Y550:Y551">{"SUM LVL19/20";(SUMIF(Y560:Z631,"&lt;&gt;#REF!"))}</f>
        <v>SUM LVL19/20</v>
      </c>
      <c r="Z550" s="81"/>
      <c r="AA550" s="76"/>
      <c r="AB550" s="76" t="str">
        <f t="array" ref="AB550:AB551">{"SUM ROWTOTALS";(SUMIF(AB553:AB639,"&lt;&gt;#REF!"))}</f>
        <v>SUM ROWTOTALS</v>
      </c>
    </row>
    <row r="551">
      <c r="A551" s="48" t="s">
        <v>221</v>
      </c>
      <c r="B551" s="48" t="s">
        <v>418</v>
      </c>
      <c r="C551" s="97" t="s">
        <v>1929</v>
      </c>
      <c r="D551" s="98" t="s">
        <v>1930</v>
      </c>
      <c r="E551" s="97"/>
      <c r="F551" s="99"/>
      <c r="G551" s="98">
        <v>490.0</v>
      </c>
      <c r="H551" s="98"/>
      <c r="I551" s="98">
        <v>120.0</v>
      </c>
      <c r="J551" s="98"/>
      <c r="K551" s="98">
        <v>40.0</v>
      </c>
      <c r="L551" s="98"/>
      <c r="M551" s="98">
        <v>90.0</v>
      </c>
      <c r="N551" s="98"/>
      <c r="O551" s="98">
        <v>200.0</v>
      </c>
      <c r="P551" s="98"/>
      <c r="Q551" s="98">
        <v>250.0</v>
      </c>
      <c r="R551" s="98"/>
      <c r="S551" s="98">
        <v>160.0</v>
      </c>
      <c r="T551" s="98"/>
      <c r="U551" s="98">
        <v>150.0</v>
      </c>
      <c r="V551" s="98"/>
      <c r="W551" s="98">
        <v>40.0</v>
      </c>
      <c r="X551" s="98"/>
      <c r="Y551" s="98">
        <v>380.0</v>
      </c>
      <c r="Z551" s="98"/>
      <c r="AA551" s="5"/>
      <c r="AB551" s="47">
        <v>1920.0</v>
      </c>
    </row>
    <row r="552" hidden="1">
      <c r="A552" s="76" t="str">
        <f t="array" ref="A552:A553">{"FormulaRow02";(INDEX(CLASSLIST,A549,1))}</f>
        <v>FormulaRow02</v>
      </c>
      <c r="B552" s="76" t="str">
        <f t="array" ref="B552:B553">{"CLASSTYPE";((INDEX(ALLCLASSDATA,MATCH("ClassType",CLASSFEATUREHEADERS,0),MATCH($A553,CLASSNAMEHEADERS,0))))}</f>
        <v>CLASSTYPE</v>
      </c>
      <c r="C552" s="81" t="str">
        <f t="array" ref="C552:C553">{"FEATURES";"Features"}</f>
        <v>FEATURES</v>
      </c>
      <c r="D552" s="81" t="str">
        <f t="array" ref="D552:D553">{"INITIALFEATURES";"Initial Features"}</f>
        <v>INITIALFEATURES</v>
      </c>
      <c r="E552" s="81" t="str">
        <f t="array" ref="E552:E553">{"KEY";"Key"}</f>
        <v>KEY</v>
      </c>
      <c r="F552" s="81" t="str">
        <f t="array" ref="F552:F553">{"HP";"HP"}</f>
        <v>HP</v>
      </c>
      <c r="G552" s="81" t="str">
        <f t="array" ref="G552:G553">{"CLASSFEATL01";"ClassFeatL01"}</f>
        <v>CLASSFEATL01</v>
      </c>
      <c r="H552" s="81" t="str">
        <f t="array" ref="H552:H553">{"SHIELDBLOCKL01";"ShieldBlockL01"}</f>
        <v>SHIELDBLOCKL01</v>
      </c>
      <c r="I552" s="81" t="str">
        <f t="array" ref="I552:I553">{"INITIALSKILLS";"InitialSkills"}</f>
        <v>INITIALSKILLS</v>
      </c>
      <c r="J552" s="81" t="str">
        <f t="array" ref="J552:J553">{"SUBCLASSSKILLS";"SubclassSkills"}</f>
        <v>SUBCLASSSKILLS</v>
      </c>
      <c r="K552" s="81" t="str">
        <f t="array" ref="K552:K553">{"GRANTEDSKILLS";"GrantedSkills"}</f>
        <v>GRANTEDSKILLS</v>
      </c>
      <c r="L552" s="81"/>
      <c r="M552" s="81"/>
      <c r="N552" s="81"/>
      <c r="O552" s="81" t="str">
        <f t="array" ref="O552:O553">{"FOCUSSPELLS";"FocusSpells:"}</f>
        <v>FOCUSSPELLS</v>
      </c>
      <c r="P552" s="81" t="str">
        <f t="array" ref="P552:P553">{"FOCUSSPELL1-L00";((INDEX(ALLCLASSDATA,MATCH("FocusSpell1-L00",CLASSFEATUREHEADERS,0),MATCH(($A553),CLASSNAMEHEADERS,0))))}</f>
        <v>FOCUSSPELL1-L00</v>
      </c>
      <c r="Q552" s="81" t="str">
        <f t="array" ref="Q552:Q553">{"FOCUSSPELL2-L00";((INDEX(ALLCLASSDATA,MATCH("FocusSpell2-L00",CLASSFEATUREHEADERS,0),MATCH(($A553),CLASSNAMEHEADERS,0))))}</f>
        <v>FOCUSSPELL2-L00</v>
      </c>
      <c r="R552" s="81" t="str">
        <f t="array" ref="R552:R553">{"FOCUSSPELL3-L00";((INDEX(ALLCLASSDATA,MATCH("FocusSpell3-L00",CLASSFEATUREHEADERS,0),MATCH(($A553),CLASSNAMEHEADERS,0))))}</f>
        <v>FOCUSSPELL3-L00</v>
      </c>
      <c r="S552" s="81" t="str">
        <f t="array" ref="S552:S553">{"FOCUSSPELL4-L00";((INDEX(ALLCLASSDATA,MATCH("FocusSpell4-L00",CLASSFEATUREHEADERS,0),MATCH(($A553),CLASSNAMEHEADERS,0))))}</f>
        <v>FOCUSSPELL4-L00</v>
      </c>
      <c r="T552" s="81" t="str">
        <f t="array" ref="T552:T553">{"FOCUSSPELL5-L00";((INDEX(ALLCLASSDATA,MATCH("FocusSpell5-L00",CLASSFEATUREHEADERS,0),MATCH(($A553),CLASSNAMEHEADERS,0))))}</f>
        <v>FOCUSSPELL5-L00</v>
      </c>
      <c r="U552" s="81"/>
      <c r="V552" s="81"/>
      <c r="W552" s="81"/>
      <c r="X552" s="81"/>
      <c r="Y552" s="81"/>
      <c r="Z552" s="81"/>
      <c r="AA552" s="76"/>
      <c r="AB552" s="76"/>
    </row>
    <row r="553">
      <c r="A553" s="48" t="s">
        <v>221</v>
      </c>
      <c r="B553" s="48" t="s">
        <v>418</v>
      </c>
      <c r="C553" s="48" t="s">
        <v>467</v>
      </c>
      <c r="D553" s="48" t="s">
        <v>468</v>
      </c>
      <c r="E553" s="48" t="s">
        <v>469</v>
      </c>
      <c r="F553" s="114" t="s">
        <v>15</v>
      </c>
      <c r="G553" s="8" t="s">
        <v>451</v>
      </c>
      <c r="H553" s="8" t="s">
        <v>463</v>
      </c>
      <c r="I553" s="8" t="s">
        <v>473</v>
      </c>
      <c r="J553" s="8" t="s">
        <v>474</v>
      </c>
      <c r="K553" s="8" t="s">
        <v>475</v>
      </c>
      <c r="L553" s="8"/>
      <c r="M553" s="8"/>
      <c r="N553" s="8"/>
      <c r="O553" s="8" t="s">
        <v>476</v>
      </c>
      <c r="P553" s="116" t="s">
        <v>1598</v>
      </c>
      <c r="Q553" s="116" t="s">
        <v>1607</v>
      </c>
      <c r="R553" s="116"/>
      <c r="S553" s="116"/>
      <c r="T553" s="116"/>
      <c r="U553" s="8"/>
      <c r="V553" s="8"/>
      <c r="W553" s="8"/>
      <c r="X553" s="8"/>
      <c r="Y553" s="5"/>
      <c r="Z553" s="5"/>
      <c r="AA553" s="5"/>
      <c r="AB553" s="47"/>
    </row>
    <row r="554" hidden="1">
      <c r="A554" s="76" t="str">
        <f t="array" ref="A554:A555">{"FormulaRow03";(INDEX(CLASSLIST,A549,1))}</f>
        <v>FormulaRow03</v>
      </c>
      <c r="B554" s="76" t="str">
        <f t="array" ref="B554:B555">{"CLASSTYPE";((INDEX(ALLCLASSDATA,MATCH("ClassType",CLASSFEATUREHEADERS,0),MATCH($A555,CLASSNAMEHEADERS,0))))}</f>
        <v>CLASSTYPE</v>
      </c>
      <c r="C554" s="76" t="str">
        <f t="array" ref="C554:C555">{"FEATUREPTS";"FeaturesPts"}</f>
        <v>FEATUREPTS</v>
      </c>
      <c r="D554" s="76" t="str">
        <f t="array" ref="D554:D555">{"INITIALFEATURES";"Initial Features"}</f>
        <v>INITIALFEATURES</v>
      </c>
      <c r="E554" s="76" t="str">
        <f t="array" ref="E554:E555">{"KEYABILITY";((INDEX(ALLCLASSDATA,MATCH("KEYABILITY",CLASSFEATUREHEADERS,0),MATCH($A555,CLASSNAMEHEADERS,0))))}</f>
        <v>KEYABILITY</v>
      </c>
      <c r="F554" s="76" t="str">
        <f t="array" ref="F554:F555">{"HP";((INDEX(ALLCLASSDATA,MATCH("HP",CLASSFEATUREHEADERS,0),MATCH(($A555 &amp; "Points"),CLASSNAMEHEADERS,0))))}</f>
        <v>HP</v>
      </c>
      <c r="G554" s="76" t="str">
        <f t="array" ref="G554:G555">{"CLASSFEATL01";((INDEX(ALLCLASSDATA,MATCH("ClassFeatL01",CLASSFEATUREHEADERS,0),MATCH(($A555 &amp; "Points"),CLASSNAMEHEADERS,0))))}</f>
        <v>CLASSFEATL01</v>
      </c>
      <c r="H554" s="76" t="str">
        <f t="array" ref="H554:H555">{"SHIELDBLOCKL01";((INDEX(ALLCLASSDATA,MATCH("ShieldBlockL01",CLASSFEATUREHEADERS,0),MATCH(($A555 &amp; "Points"),CLASSNAMEHEADERS,0))))}</f>
        <v>SHIELDBLOCKL01</v>
      </c>
      <c r="I554" s="76" t="str">
        <f t="array" ref="I554:I555">{"INITIALSKILLINCREASES";((INDEX(ALLCLASSDATA,MATCH("InitialSkillIncreases",CLASSFEATUREHEADERS,0),MATCH(($A555 &amp; "Points"),CLASSNAMEHEADERS,0))))}</f>
        <v>INITIALSKILLINCREASES</v>
      </c>
      <c r="J554" s="76" t="str">
        <f t="array" ref="J554:J555">{"SUBCLASSSKILLINCREASES";((INDEX(ALLCLASSDATA,MATCH("SubclassSkillIncreases",CLASSFEATUREHEADERS,0),MATCH(($A555 &amp; "Points"),CLASSNAMEHEADERS,0))))}</f>
        <v>SUBCLASSSKILLINCREASES</v>
      </c>
      <c r="K554" s="76" t="str">
        <f t="array" ref="K554:K555">{"GRANTEDSKILLS";(((INDEX(ALLCLASSDATA,MATCH("SkillsGrantedTotal",CLASSFEATUREHEADERS,0),MATCH(($A555 &amp; "Points"),CLASSNAMEHEADERS,0)))-(INDEX(ALLCLASSDATA,MATCH("InitialSkillIncreases",CLASSFEATUREHEADERS,0),MATCH(($A555 &amp; "Points"),CLASSNAMEHEADERS,0)))-(INDEX(ALLCLASSDATA,MATCH("SubclassSkillIncreases",CLASSFEATUREHEADERS,0),MATCH(($A555 &amp; "Points"),CLASSNAMEHEADERS,0)))))}</f>
        <v>GRANTEDSKILLS</v>
      </c>
      <c r="L554" s="76"/>
      <c r="M554" s="76"/>
      <c r="N554" s="76"/>
      <c r="O554" s="76"/>
      <c r="P554" s="76" t="str">
        <f t="array" ref="P554:P555">{"FOCUSSPELL1-L00";((INDEX(ALLCLASSDATA,MATCH("FocusSpell1-L00",CLASSFEATUREHEADERS,0),MATCH(($A555 &amp; "Points"),CLASSNAMEHEADERS,0))))}</f>
        <v>FOCUSSPELL1-L00</v>
      </c>
      <c r="Q554" s="76" t="str">
        <f t="array" ref="Q554:Q555">{"FOCUSSPELL2-L00";((INDEX(ALLCLASSDATA,MATCH("FocusSpell2-L00",CLASSFEATUREHEADERS,0),MATCH(($A555 &amp; "Points"),CLASSNAMEHEADERS,0))))}</f>
        <v>FOCUSSPELL2-L00</v>
      </c>
      <c r="R554" s="76" t="str">
        <f t="array" ref="R554:R555">{"FOCUSSPELL3-L00";((INDEX(ALLCLASSDATA,MATCH("FocusSpell3-L00",CLASSFEATUREHEADERS,0),MATCH(($A555 &amp; "Points"),CLASSNAMEHEADERS,0))))}</f>
        <v>FOCUSSPELL3-L00</v>
      </c>
      <c r="S554" s="76" t="str">
        <f t="array" ref="S554:S555">{"FOCUSSPELL4-L00";((INDEX(ALLCLASSDATA,MATCH("FocusSpell4-L00",CLASSFEATUREHEADERS,0),MATCH(($A555 &amp; "Points"),CLASSNAMEHEADERS,0))))}</f>
        <v>FOCUSSPELL4-L00</v>
      </c>
      <c r="T554" s="76" t="str">
        <f t="array" ref="T554:T555">{"FOCUSSPELL5-L00";((INDEX(ALLCLASSDATA,MATCH("FocusSpell5-L00",CLASSFEATUREHEADERS,0),MATCH(($A555 &amp; "Points"),CLASSNAMEHEADERS,0))))}</f>
        <v>FOCUSSPELL5-L00</v>
      </c>
      <c r="U554" s="76"/>
      <c r="V554" s="76"/>
      <c r="W554" s="76"/>
      <c r="X554" s="76"/>
      <c r="Y554" s="76"/>
      <c r="Z554" s="76"/>
      <c r="AA554" s="76"/>
      <c r="AB554" s="76" t="str">
        <f t="array" ref="AB554:AB555">{"FEATUREPTS TOTAL";(sum(F555:Z555))}</f>
        <v>FEATUREPTS TOTAL</v>
      </c>
    </row>
    <row r="555">
      <c r="A555" s="48" t="s">
        <v>221</v>
      </c>
      <c r="B555" s="48" t="s">
        <v>418</v>
      </c>
      <c r="C555" s="97" t="s">
        <v>559</v>
      </c>
      <c r="D555" s="97" t="s">
        <v>468</v>
      </c>
      <c r="E555" s="97" t="s">
        <v>264</v>
      </c>
      <c r="F555" s="132">
        <v>80.0</v>
      </c>
      <c r="G555" s="98">
        <v>10.0</v>
      </c>
      <c r="H555" s="98" t="s">
        <v>603</v>
      </c>
      <c r="I555" s="98">
        <v>20.0</v>
      </c>
      <c r="J555" s="98"/>
      <c r="K555" s="98">
        <v>10.0</v>
      </c>
      <c r="L555" s="98"/>
      <c r="M555" s="98"/>
      <c r="N555" s="98"/>
      <c r="O555" s="98"/>
      <c r="P555" s="98">
        <v>50.0</v>
      </c>
      <c r="Q555" s="98">
        <v>70.0</v>
      </c>
      <c r="R555" s="98"/>
      <c r="S555" s="98"/>
      <c r="T555" s="98"/>
      <c r="U555" s="98"/>
      <c r="V555" s="98"/>
      <c r="W555" s="98"/>
      <c r="X555" s="98"/>
      <c r="Y555" s="98"/>
      <c r="Z555" s="98"/>
      <c r="AA555" s="5"/>
      <c r="AB555" s="47">
        <v>240.0</v>
      </c>
    </row>
    <row r="556" hidden="1">
      <c r="A556" s="76" t="str">
        <f t="array" ref="A556:A557">{"FormulaRow04";(INDEX(CLASSLIST,A549,1))}</f>
        <v>FormulaRow04</v>
      </c>
      <c r="B556" s="76" t="str">
        <f t="array" ref="B556:B557">{"CLASSTYPE";((INDEX(ALLCLASSDATA,MATCH("ClassType",CLASSFEATUREHEADERS,0),MATCH($A557,CLASSNAMEHEADERS,0))))}</f>
        <v>CLASSTYPE</v>
      </c>
      <c r="C556" s="81" t="str">
        <f t="array" ref="C556:C557">{"INITIALFEATURES";"InitialFeatures"}</f>
        <v>INITIALFEATURES</v>
      </c>
      <c r="D556" s="81" t="str">
        <f t="array" ref="D556:D557">{"CLASS/SUBCLASSFEATURES";"Class/Subclass Features"}</f>
        <v>CLASS/SUBCLASSFEATURES</v>
      </c>
      <c r="E556" s="81"/>
      <c r="F556" s="136"/>
      <c r="G556" s="81" t="str">
        <f t="array" ref="G556:G557">{"CLASSINITIALABILITY1-L00";((INDEX(ALLCLASSDATA,MATCH("ClassInitialAbility1-L00",CLASSFEATUREHEADERS,0),MATCH(($A557),CLASSNAMEHEADERS,0))))}</f>
        <v>CLASSINITIALABILITY1-L00</v>
      </c>
      <c r="H556" s="81" t="str">
        <f t="array" ref="H556:H557">{"CLASSINITIALABILITY2-L00";((INDEX(ALLCLASSDATA,MATCH("ClassInitialAbility2-L00",CLASSFEATUREHEADERS,0),MATCH(($A557),CLASSNAMEHEADERS,0))))}</f>
        <v>CLASSINITIALABILITY2-L00</v>
      </c>
      <c r="I556" s="81" t="str">
        <f t="array" ref="I556:I557">{"CLASSINITIALABILITY3-L00";((INDEX(ALLCLASSDATA,MATCH("ClassInitialAbility3-L00",CLASSFEATUREHEADERS,0),MATCH(($A557),CLASSNAMEHEADERS,0))))}</f>
        <v>CLASSINITIALABILITY3-L00</v>
      </c>
      <c r="J556" s="81" t="str">
        <f t="array" ref="J556:J557">{"CLASSINITIALABILITY4-L00";((INDEX(ALLCLASSDATA,MATCH("ClassInitialAbility4-L00",CLASSFEATUREHEADERS,0),MATCH(($A557),CLASSNAMEHEADERS,0))))}</f>
        <v>CLASSINITIALABILITY4-L00</v>
      </c>
      <c r="K556" s="81" t="str">
        <f t="array" ref="K556:K557">{"CLASSINITIALABILITY5-L00";((INDEX(ALLCLASSDATA,MATCH("ClassInitialAbility5-L00",CLASSFEATUREHEADERS,0),MATCH(($A557),CLASSNAMEHEADERS,0))))}</f>
        <v>#REF!</v>
      </c>
      <c r="L556" s="81" t="str">
        <f t="array" ref="L556:L557">{"CLASSINITIALABILITY6-L00";((INDEX(ALLCLASSDATA,MATCH("ClassInitialAbility6-L00",CLASSFEATUREHEADERS,0),MATCH(($A557),CLASSNAMEHEADERS,0))))}</f>
        <v>CLASSINITIALABILITY6-L00</v>
      </c>
      <c r="M556" s="81" t="str">
        <f t="array" ref="M556:M557">{"CLASSINITIALABILITY7-L00";((INDEX(ALLCLASSDATA,MATCH("ClassInitialAbility7-L00",CLASSFEATUREHEADERS,0),MATCH(($A557),CLASSNAMEHEADERS,0))))}</f>
        <v>CLASSINITIALABILITY7-L00</v>
      </c>
      <c r="N556" s="81" t="str">
        <f t="array" ref="N556:N557">{"CLASSINITIALABILITY8-L00";((INDEX(ALLCLASSDATA,MATCH("ClassInitialAbility8-L00",CLASSFEATUREHEADERS,0),MATCH(($A557),CLASSNAMEHEADERS,0))))}</f>
        <v>CLASSINITIALABILITY8-L00</v>
      </c>
      <c r="O556" s="81" t="str">
        <f t="array" ref="O556:O557">{"CLASSINITIALABILITY9-L00";((INDEX(ALLCLASSDATA,MATCH("ClassInitialAbility9-L00",CLASSFEATUREHEADERS,0),MATCH(($A557),CLASSNAMEHEADERS,0))))}</f>
        <v>CLASSINITIALABILITY9-L00</v>
      </c>
      <c r="P556" s="81" t="str">
        <f t="array" ref="P556:P557">{"CLASSINITIALABILITY10-L00";((INDEX(ALLCLASSDATA,MATCH("ClassInitialAbility10-L00",CLASSFEATUREHEADERS,0),MATCH(($A557),CLASSNAMEHEADERS,0))))}</f>
        <v>CLASSINITIALABILITY10-L00</v>
      </c>
      <c r="Q556" s="81" t="str">
        <f t="array" ref="Q556:Q557">{"SUBCLASSINITIAL1-L00";((INDEX(ALLCLASSDATA,MATCH("SubclassInitial1-L00",CLASSFEATUREHEADERS,0),MATCH(($A557),CLASSNAMEHEADERS,0))))}</f>
        <v>SUBCLASSINITIAL1-L00</v>
      </c>
      <c r="R556" s="81" t="str">
        <f t="array" ref="R556:R557">{"SUBCLASSINITIAL2-L00";((INDEX(ALLCLASSDATA,MATCH("SubclassInitial2-L00",CLASSFEATUREHEADERS,0),MATCH(($A557),CLASSNAMEHEADERS,0))))}</f>
        <v>SUBCLASSINITIAL2-L00</v>
      </c>
      <c r="S556" s="81" t="str">
        <f t="array" ref="S556:S557">{"SUBCLASSINITIAL3-L00";((INDEX(ALLCLASSDATA,MATCH("SubclassInitial3-L00",CLASSFEATUREHEADERS,0),MATCH(($A557),CLASSNAMEHEADERS,0))))}</f>
        <v>SUBCLASSINITIAL3-L00</v>
      </c>
      <c r="T556" s="81" t="str">
        <f t="array" ref="T556:T557">{"SUBCLASSINITIAL4-L00";((INDEX(ALLCLASSDATA,MATCH("SubclassInitial4-L00",CLASSFEATUREHEADERS,0),MATCH(($A557),CLASSNAMEHEADERS,0))))}</f>
        <v>SUBCLASSINITIAL4-L00</v>
      </c>
      <c r="U556" s="81" t="str">
        <f t="array" ref="U556:U557">{"SUBCLASSINITIAL5-L00";((INDEX(ALLCLASSDATA,MATCH("SubclassInitial5-L00",CLASSFEATUREHEADERS,0),MATCH(($A557),CLASSNAMEHEADERS,0))))}</f>
        <v>SUBCLASSINITIAL5-L00</v>
      </c>
      <c r="V556" s="81" t="str">
        <f t="array" ref="V556:V557">{"SUBCLASSINITIAL6-L00";((INDEX(ALLCLASSDATA,MATCH("SubclassInitial6-L00",CLASSFEATUREHEADERS,0),MATCH(($A557),CLASSNAMEHEADERS,0))))}</f>
        <v>SUBCLASSINITIAL6-L00</v>
      </c>
      <c r="W556" s="81" t="str">
        <f t="array" ref="W556:W557">{"SUBCLASSINITIAL7-L00";((INDEX(ALLCLASSDATA,MATCH("SubclassInitial7-L00",CLASSFEATUREHEADERS,0),MATCH(($A557),CLASSNAMEHEADERS,0))))}</f>
        <v>SUBCLASSINITIAL7-L00</v>
      </c>
      <c r="X556" s="81" t="str">
        <f t="array" ref="X556:X557">{"SUBCLASSINITIAL8-L00";((INDEX(ALLCLASSDATA,MATCH("SubclassInitial8-L00",CLASSFEATUREHEADERS,0),MATCH(($A557),CLASSNAMEHEADERS,0))))}</f>
        <v>SUBCLASSINITIAL8-L00</v>
      </c>
      <c r="Y556" s="81" t="str">
        <f t="array" ref="Y556:Y557">{"SUBCLASSINITIAL9-L00";((INDEX(ALLCLASSDATA,MATCH("SubclassInitial9-L00",CLASSFEATUREHEADERS,0),MATCH(($A557),CLASSNAMEHEADERS,0))))}</f>
        <v>SUBCLASSINITIAL9-L00</v>
      </c>
      <c r="Z556" s="81" t="str">
        <f t="array" ref="Z556:Z557">{"SUBCLASSINITIAL10-L00";((INDEX(ALLCLASSDATA,MATCH("SubclassInitial10-L00",CLASSFEATUREHEADERS,0),MATCH(($A557),CLASSNAMEHEADERS,0))))}</f>
        <v>SUBCLASSINITIAL10-L00</v>
      </c>
      <c r="AA556" s="76"/>
      <c r="AB556" s="76"/>
    </row>
    <row r="557">
      <c r="A557" s="48" t="s">
        <v>221</v>
      </c>
      <c r="B557" s="48" t="s">
        <v>418</v>
      </c>
      <c r="C557" s="48" t="s">
        <v>614</v>
      </c>
      <c r="D557" s="48" t="s">
        <v>616</v>
      </c>
      <c r="E557" s="48"/>
      <c r="F557" s="47"/>
      <c r="G557" s="5" t="s">
        <v>1624</v>
      </c>
      <c r="H557" s="5" t="s">
        <v>1638</v>
      </c>
      <c r="I557" s="5" t="s">
        <v>1649</v>
      </c>
      <c r="J557" s="5"/>
      <c r="K557" s="48" t="s">
        <v>1926</v>
      </c>
      <c r="L557" s="5"/>
      <c r="M557" s="5"/>
      <c r="N557" s="5"/>
      <c r="O557" s="5"/>
      <c r="P557" s="5"/>
      <c r="Q557" s="5" t="s">
        <v>1821</v>
      </c>
      <c r="R557" s="5"/>
      <c r="S557" s="5"/>
      <c r="T557" s="5"/>
      <c r="U557" s="5"/>
      <c r="V557" s="5"/>
      <c r="W557" s="5"/>
      <c r="X557" s="5"/>
      <c r="Y557" s="5"/>
      <c r="Z557" s="5"/>
      <c r="AA557" s="5"/>
      <c r="AB557" s="47"/>
    </row>
    <row r="558" hidden="1">
      <c r="A558" s="76" t="str">
        <f t="array" ref="A558:A559">{"FormulaRow05";(INDEX(CLASSLIST,A549,1))}</f>
        <v>FormulaRow05</v>
      </c>
      <c r="B558" s="76" t="str">
        <f t="array" ref="B558:B559">{"CLASSTYPE";((INDEX(ALLCLASSDATA,MATCH("ClassType",CLASSFEATUREHEADERS,0),MATCH($A559,CLASSNAMEHEADERS,0))))}</f>
        <v>CLASSTYPE</v>
      </c>
      <c r="C558" s="76" t="str">
        <f t="array" ref="C558:C559">{"INITIALFEATURESPTS";"InitialFeaturesPts"}</f>
        <v>INITIALFEATURESPTS</v>
      </c>
      <c r="D558" s="76" t="str">
        <f t="array" ref="D558:D559">{"CLASS/SUBCLASSFEATURES";"Class/Subclass Features"}</f>
        <v>CLASS/SUBCLASSFEATURES</v>
      </c>
      <c r="E558" s="76"/>
      <c r="F558" s="76"/>
      <c r="G558" s="76" t="str">
        <f t="array" ref="G558:G559">{"CLASSINITIALABILITY1-L00PTS";((INDEX(ALLCLASSDATA,MATCH("ClassInitialAbility1-L00",CLASSFEATUREHEADERS,0),MATCH(($A559 &amp; "Points"),CLASSNAMEHEADERS,0))))}</f>
        <v>CLASSINITIALABILITY1-L00PTS</v>
      </c>
      <c r="H558" s="76" t="str">
        <f t="array" ref="H558:H559">{"CLASSINITIALABILITY2-L00PTS";((INDEX(ALLCLASSDATA,MATCH("ClassInitialAbility2-L00",CLASSFEATUREHEADERS,0),MATCH(($A559 &amp; "Points"),CLASSNAMEHEADERS,0))))}</f>
        <v>CLASSINITIALABILITY2-L00PTS</v>
      </c>
      <c r="I558" s="76" t="str">
        <f t="array" ref="I558:I559">{"CLASSINITIALABILITY3-L00PTS";((INDEX(ALLCLASSDATA,MATCH("ClassInitialAbility3-L00",CLASSFEATUREHEADERS,0),MATCH(($A559 &amp; "Points"),CLASSNAMEHEADERS,0))))}</f>
        <v>CLASSINITIALABILITY3-L00PTS</v>
      </c>
      <c r="J558" s="76" t="str">
        <f t="array" ref="J558:J559">{"CLASSINITIALABILITY4-L00PTS";((INDEX(ALLCLASSDATA,MATCH("ClassInitialAbility4-L00",CLASSFEATUREHEADERS,0),MATCH(($A559 &amp; "Points"),CLASSNAMEHEADERS,0))))}</f>
        <v>CLASSINITIALABILITY4-L00PTS</v>
      </c>
      <c r="K558" s="76" t="str">
        <f t="array" ref="K558:K559">{"CLASSINITIALABILITY5-L00PTS";((INDEX(ALLCLASSDATA,MATCH("ClassInitialAbility5-L00",CLASSFEATUREHEADERS,0),MATCH(($A559 &amp; "Points"),CLASSNAMEHEADERS,0))))}</f>
        <v>CLASSINITIALABILITY5-L00PTS</v>
      </c>
      <c r="L558" s="76" t="str">
        <f t="array" ref="L558:L559">{"CLASSINITIALABILITY6-L00PTS";((INDEX(ALLCLASSDATA,MATCH("ClassInitialAbility6-L00",CLASSFEATUREHEADERS,0),MATCH(($A559 &amp; "Points"),CLASSNAMEHEADERS,0))))}</f>
        <v>CLASSINITIALABILITY6-L00PTS</v>
      </c>
      <c r="M558" s="76" t="str">
        <f t="array" ref="M558:M559">{"CLASSINITIALABILITY7-L00PTS";((INDEX(ALLCLASSDATA,MATCH("ClassInitialAbility7-L00",CLASSFEATUREHEADERS,0),MATCH(($A559 &amp; "Points"),CLASSNAMEHEADERS,0))))}</f>
        <v>CLASSINITIALABILITY7-L00PTS</v>
      </c>
      <c r="N558" s="76" t="str">
        <f t="array" ref="N558:N559">{"CLASSINITIALABILITY8-L00PTS";((INDEX(ALLCLASSDATA,MATCH("ClassInitialAbility8-L00",CLASSFEATUREHEADERS,0),MATCH(($A559 &amp; "Points"),CLASSNAMEHEADERS,0))))}</f>
        <v>CLASSINITIALABILITY8-L00PTS</v>
      </c>
      <c r="O558" s="76" t="str">
        <f t="array" ref="O558:O559">{"CLASSINITIALABILITY9-L00PTS";((INDEX(ALLCLASSDATA,MATCH("ClassInitialAbility9-L00",CLASSFEATUREHEADERS,0),MATCH(($A559 &amp; "Points"),CLASSNAMEHEADERS,0))))}</f>
        <v>CLASSINITIALABILITY9-L00PTS</v>
      </c>
      <c r="P558" s="76" t="str">
        <f t="array" ref="P558:P559">{"CLASSINITIALABILITY10-L00PTS";((INDEX(ALLCLASSDATA,MATCH("ClassInitialAbility10-L00",CLASSFEATUREHEADERS,0),MATCH(($A559 &amp; "Points"),CLASSNAMEHEADERS,0))))}</f>
        <v>CLASSINITIALABILITY10-L00PTS</v>
      </c>
      <c r="Q558" s="76" t="str">
        <f t="array" ref="Q558:Q559">{"SUBCLASSINITIAL1-L00PTS";((INDEX(ALLCLASSDATA,MATCH("SubclassInitial1-L00",CLASSFEATUREHEADERS,0),MATCH(($A559 &amp; "Points"),CLASSNAMEHEADERS,0))))}</f>
        <v>SUBCLASSINITIAL1-L00PTS</v>
      </c>
      <c r="R558" s="76" t="str">
        <f t="array" ref="R558:R559">{"SUBCLASSINITIAL2-L00PTS";((INDEX(ALLCLASSDATA,MATCH("SubclassInitial2-L00",CLASSFEATUREHEADERS,0),MATCH(($A559 &amp; "Points"),CLASSNAMEHEADERS,0))))}</f>
        <v>SUBCLASSINITIAL2-L00PTS</v>
      </c>
      <c r="S558" s="76" t="str">
        <f t="array" ref="S558:S559">{"SUBCLASSINITIAL3-L00PTS";((INDEX(ALLCLASSDATA,MATCH("SubclassInitial3-L00",CLASSFEATUREHEADERS,0),MATCH(($A559 &amp; "Points"),CLASSNAMEHEADERS,0))))}</f>
        <v>SUBCLASSINITIAL3-L00PTS</v>
      </c>
      <c r="T558" s="76" t="str">
        <f t="array" ref="T558:T559">{"SUBCLASSINITIAL4-L00PTS";((INDEX(ALLCLASSDATA,MATCH("SubclassInitial4-L00",CLASSFEATUREHEADERS,0),MATCH(($A559 &amp; "Points"),CLASSNAMEHEADERS,0))))}</f>
        <v>SUBCLASSINITIAL4-L00PTS</v>
      </c>
      <c r="U558" s="76" t="str">
        <f t="array" ref="U558:U559">{"SUBCLASSINITIAL5-L00PTS";((INDEX(ALLCLASSDATA,MATCH("SubclassInitial5-L00",CLASSFEATUREHEADERS,0),MATCH(($A559 &amp; "Points"),CLASSNAMEHEADERS,0))))}</f>
        <v>SUBCLASSINITIAL5-L00PTS</v>
      </c>
      <c r="V558" s="76" t="str">
        <f t="array" ref="V558:V559">{"SUBCLASSINITIAL6-L00PTS";((INDEX(ALLCLASSDATA,MATCH("SubclassInitial6-L00",CLASSFEATUREHEADERS,0),MATCH(($A559 &amp; "Points"),CLASSNAMEHEADERS,0))))}</f>
        <v>SUBCLASSINITIAL6-L00PTS</v>
      </c>
      <c r="W558" s="76" t="str">
        <f t="array" ref="W558:W559">{"SUBCLASSINITIAL7-L00PTS";((INDEX(ALLCLASSDATA,MATCH("SubclassInitial7-L00",CLASSFEATUREHEADERS,0),MATCH(($A559 &amp; "Points"),CLASSNAMEHEADERS,0))))}</f>
        <v>SUBCLASSINITIAL7-L00PTS</v>
      </c>
      <c r="X558" s="76" t="str">
        <f t="array" ref="X558:X559">{"SUBCLASSINITIAL8-L00PTS";((INDEX(ALLCLASSDATA,MATCH("SubclassInitial8-L00",CLASSFEATUREHEADERS,0),MATCH(($A559 &amp; "Points"),CLASSNAMEHEADERS,0))))}</f>
        <v>SUBCLASSINITIAL8-L00PTS</v>
      </c>
      <c r="Y558" s="76" t="str">
        <f t="array" ref="Y558:Y559">{"SUBCLASSINITIAL9-L00PTS";((INDEX(ALLCLASSDATA,MATCH("SubclassInitial9-L00",CLASSFEATUREHEADERS,0),MATCH(($A559 &amp; "Points"),CLASSNAMEHEADERS,0))))}</f>
        <v>SUBCLASSINITIAL9-L00PTS</v>
      </c>
      <c r="Z558" s="76" t="str">
        <f t="array" ref="Z558:Z559">{"SUBCLASSINITIAL10-L00PTS";((INDEX(ALLCLASSDATA,MATCH("SubclassInitial10-L00",CLASSFEATUREHEADERS,0),MATCH(($A559 &amp; "Points"),CLASSNAMEHEADERS,0))))}</f>
        <v>SUBCLASSINITIAL10-L00PTS</v>
      </c>
      <c r="AA558" s="76"/>
      <c r="AB558" s="76" t="str">
        <f t="array" ref="AB558:AB559">{"INITIALFEATUREPTS TOTAL";(sum(F559:Z559))}</f>
        <v>INITIALFEATUREPTS TOTAL</v>
      </c>
    </row>
    <row r="559">
      <c r="A559" s="48" t="s">
        <v>221</v>
      </c>
      <c r="B559" s="48" t="s">
        <v>418</v>
      </c>
      <c r="C559" s="97" t="s">
        <v>651</v>
      </c>
      <c r="D559" s="97" t="s">
        <v>616</v>
      </c>
      <c r="E559" s="97"/>
      <c r="F559" s="132"/>
      <c r="G559" s="98"/>
      <c r="H559" s="98"/>
      <c r="I559" s="97"/>
      <c r="J559" s="98"/>
      <c r="K559" s="97"/>
      <c r="L559" s="98"/>
      <c r="M559" s="98"/>
      <c r="N559" s="98"/>
      <c r="O559" s="98"/>
      <c r="P559" s="98"/>
      <c r="Q559" s="98"/>
      <c r="R559" s="98"/>
      <c r="S559" s="98"/>
      <c r="T559" s="98"/>
      <c r="U559" s="98"/>
      <c r="V559" s="98"/>
      <c r="W559" s="98"/>
      <c r="X559" s="98"/>
      <c r="Y559" s="98"/>
      <c r="Z559" s="98"/>
      <c r="AA559" s="5"/>
      <c r="AB559" s="47">
        <v>0.0</v>
      </c>
    </row>
    <row r="560" hidden="1">
      <c r="A560" s="76" t="str">
        <f t="array" ref="A560:A561">{"FormulaRow06";(INDEX(CLASSLIST,A549,1))}</f>
        <v>FormulaRow06</v>
      </c>
      <c r="B560" s="76" t="str">
        <f t="array" ref="B560:B561">{"CLASSTYPE";((INDEX(ALLCLASSDATA,MATCH("ClassType",CLASSFEATUREHEADERS,0),MATCH($A561,CLASSNAMEHEADERS,0))))}</f>
        <v>CLASSTYPE</v>
      </c>
      <c r="C560" s="81" t="str">
        <f t="array" ref="C560:C561">{"SKILLS";"Skills"}</f>
        <v>SKILLS</v>
      </c>
      <c r="D560" s="81" t="str">
        <f t="array" ref="D560:D561">{"EXTRASKILLINCREASES";"Extra Skill Increases"}</f>
        <v>EXTRASKILLINCREASES</v>
      </c>
      <c r="E560" s="81"/>
      <c r="F560" s="81"/>
      <c r="G560" s="81"/>
      <c r="H560" s="81" t="str">
        <f t="array" ref="H560:H561">{"SKILLINCREASEEXTRA-L02";((INDEX(ALLCLASSDATA,MATCH("SkillIncreaseExtra-L02",CLASSFEATUREHEADERS,0),MATCH(($A561 &amp; "Points"),CLASSNAMEHEADERS,0))))}</f>
        <v>SKILLINCREASEEXTRA-L02</v>
      </c>
      <c r="I560" s="81" t="str">
        <f t="array" ref="I560:I561">{"SKILLINCREASEEXTRA-L03";((INDEX(ALLCLASSDATA,MATCH("SkillIncreaseExtra-L03",CLASSFEATUREHEADERS,0),MATCH(($A561 &amp; "Points"),CLASSNAMEHEADERS,0))))}</f>
        <v>SKILLINCREASEEXTRA-L03</v>
      </c>
      <c r="J560" s="81" t="str">
        <f t="array" ref="J560:J561">{"SKILLINCREASEEXTRA-L04";((INDEX(ALLCLASSDATA,MATCH("SkillIncreaseExtra-L04",CLASSFEATUREHEADERS,0),MATCH(($A561 &amp; "Points"),CLASSNAMEHEADERS,0))))}</f>
        <v>SKILLINCREASEEXTRA-L04</v>
      </c>
      <c r="K560" s="81" t="str">
        <f t="array" ref="K560:K561">{"SKILLINCREASEEXTRA-L05";((INDEX(ALLCLASSDATA,MATCH("SkillIncreaseExtra-L05",CLASSFEATUREHEADERS,0),MATCH(($A561 &amp; "Points"),CLASSNAMEHEADERS,0))))}</f>
        <v>SKILLINCREASEEXTRA-L05</v>
      </c>
      <c r="L560" s="81" t="str">
        <f t="array" ref="L560:L561">{"SKILLINCREASEEXTRA-L06";((INDEX(ALLCLASSDATA,MATCH("SkillIncreaseExtra-L06",CLASSFEATUREHEADERS,0),MATCH(($A561 &amp; "Points"),CLASSNAMEHEADERS,0))))}</f>
        <v>SKILLINCREASEEXTRA-L06</v>
      </c>
      <c r="M560" s="81" t="str">
        <f t="array" ref="M560:M561">{"SKILLINCREASEEXTRA-L07";((INDEX(ALLCLASSDATA,MATCH("SkillIncreaseExtra-L07",CLASSFEATUREHEADERS,0),MATCH(($A561 &amp; "Points"),CLASSNAMEHEADERS,0))))}</f>
        <v>SKILLINCREASEEXTRA-L07</v>
      </c>
      <c r="N560" s="81" t="str">
        <f t="array" ref="N560:N561">{"SKILLINCREASEEXTRA-L08";((INDEX(ALLCLASSDATA,MATCH("SkillIncreaseExtra-L08",CLASSFEATUREHEADERS,0),MATCH(($A561 &amp; "Points"),CLASSNAMEHEADERS,0))))}</f>
        <v>SKILLINCREASEEXTRA-L08</v>
      </c>
      <c r="O560" s="81" t="str">
        <f t="array" ref="O560:O561">{"SKILLINCREASEEXTRA-L09";((INDEX(ALLCLASSDATA,MATCH("SkillIncreaseExtra-L09",CLASSFEATUREHEADERS,0),MATCH(($A561 &amp; "Points"),CLASSNAMEHEADERS,0))))}</f>
        <v>SKILLINCREASEEXTRA-L09</v>
      </c>
      <c r="P560" s="81" t="str">
        <f t="array" ref="P560:P561">{"SKILLINCREASEEXTRA-L10";((INDEX(ALLCLASSDATA,MATCH("SkillIncreaseExtra-L10",CLASSFEATUREHEADERS,0),MATCH(($A561 &amp; "Points"),CLASSNAMEHEADERS,0))))}</f>
        <v>SKILLINCREASEEXTRA-L10</v>
      </c>
      <c r="Q560" s="81" t="str">
        <f t="array" ref="Q560:Q561">{"SKILLINCREASEEXTRA-L11";((INDEX(ALLCLASSDATA,MATCH("SkillIncreaseExtra-L11",CLASSFEATUREHEADERS,0),MATCH(($A561 &amp; "Points"),CLASSNAMEHEADERS,0))))}</f>
        <v>SKILLINCREASEEXTRA-L11</v>
      </c>
      <c r="R560" s="81" t="str">
        <f t="array" ref="R560:R561">{"SKILLINCREASEEXTRA-L12";((INDEX(ALLCLASSDATA,MATCH("SkillIncreaseExtra-L12",CLASSFEATUREHEADERS,0),MATCH(($A561 &amp; "Points"),CLASSNAMEHEADERS,0))))}</f>
        <v>SKILLINCREASEEXTRA-L12</v>
      </c>
      <c r="S560" s="81" t="str">
        <f t="array" ref="S560:S561">{"SKILLINCREASEEXTRA-L13";((INDEX(ALLCLASSDATA,MATCH("SkillIncreaseExtra-L13",CLASSFEATUREHEADERS,0),MATCH(($A561 &amp; "Points"),CLASSNAMEHEADERS,0))))}</f>
        <v>SKILLINCREASEEXTRA-L13</v>
      </c>
      <c r="T560" s="81" t="str">
        <f t="array" ref="T560:T561">{"SKILLINCREASEEXTRA-L14";((INDEX(ALLCLASSDATA,MATCH("SkillIncreaseExtra-L14",CLASSFEATUREHEADERS,0),MATCH(($A561 &amp; "Points"),CLASSNAMEHEADERS,0))))}</f>
        <v>SKILLINCREASEEXTRA-L14</v>
      </c>
      <c r="U560" s="81" t="str">
        <f t="array" ref="U560:U561">{"SKILLINCREASEEXTRA-L15";((INDEX(ALLCLASSDATA,MATCH("SkillIncreaseExtra-L15",CLASSFEATUREHEADERS,0),MATCH(($A561 &amp; "Points"),CLASSNAMEHEADERS,0))))}</f>
        <v>SKILLINCREASEEXTRA-L15</v>
      </c>
      <c r="V560" s="81" t="str">
        <f t="array" ref="V560:V561">{"SKILLINCREASEEXTRA-L16";((INDEX(ALLCLASSDATA,MATCH("SkillIncreaseExtra-L16",CLASSFEATUREHEADERS,0),MATCH(($A561 &amp; "Points"),CLASSNAMEHEADERS,0))))}</f>
        <v>SKILLINCREASEEXTRA-L16</v>
      </c>
      <c r="W560" s="81" t="str">
        <f t="array" ref="W560:W561">{"SKILLINCREASEEXTRA-L17";((INDEX(ALLCLASSDATA,MATCH("SkillIncreaseExtra-L17",CLASSFEATUREHEADERS,0),MATCH(($A561 &amp; "Points"),CLASSNAMEHEADERS,0))))}</f>
        <v>SKILLINCREASEEXTRA-L17</v>
      </c>
      <c r="X560" s="81" t="str">
        <f t="array" ref="X560:X561">{"SKILLINCREASEEXTRA-L18";((INDEX(ALLCLASSDATA,MATCH("SkillIncreaseExtra-L18",CLASSFEATUREHEADERS,0),MATCH(($A561 &amp; "Points"),CLASSNAMEHEADERS,0))))}</f>
        <v>SKILLINCREASEEXTRA-L18</v>
      </c>
      <c r="Y560" s="81" t="str">
        <f t="array" ref="Y560:Y561">{"SKILLINCREASEEXTRA-L19";((INDEX(ALLCLASSDATA,MATCH("SkillIncreaseExtra-L19",CLASSFEATUREHEADERS,0),MATCH(($A561 &amp; "Points"),CLASSNAMEHEADERS,0))))}</f>
        <v>SKILLINCREASEEXTRA-L19</v>
      </c>
      <c r="Z560" s="81" t="str">
        <f t="array" ref="Z560:Z561">{"SKILLINCREASEEXTRA-L20";((INDEX(ALLCLASSDATA,MATCH("SkillIncreaseExtra-L20",CLASSFEATUREHEADERS,0),MATCH(($A561 &amp; "Points"),CLASSNAMEHEADERS,0))))}</f>
        <v>SKILLINCREASEEXTRA-L20</v>
      </c>
      <c r="AA560" s="76"/>
      <c r="AB560" s="76" t="str">
        <f t="array" ref="AB560:AB561">{"SKILLINCREASE TOTAL";(sum(F561:Z561))}</f>
        <v>SKILLINCREASE TOTAL</v>
      </c>
    </row>
    <row r="561">
      <c r="A561" s="48" t="s">
        <v>221</v>
      </c>
      <c r="B561" s="48" t="s">
        <v>418</v>
      </c>
      <c r="C561" s="48" t="s">
        <v>659</v>
      </c>
      <c r="D561" s="48" t="s">
        <v>661</v>
      </c>
      <c r="E561" s="48"/>
      <c r="F561" s="47"/>
      <c r="G561" s="5"/>
      <c r="H561" s="5" t="s">
        <v>603</v>
      </c>
      <c r="I561" s="5" t="s">
        <v>603</v>
      </c>
      <c r="J561" s="5" t="s">
        <v>603</v>
      </c>
      <c r="K561" s="48" t="s">
        <v>603</v>
      </c>
      <c r="L561" s="5" t="s">
        <v>603</v>
      </c>
      <c r="M561" s="5" t="s">
        <v>603</v>
      </c>
      <c r="N561" s="5" t="s">
        <v>603</v>
      </c>
      <c r="O561" s="5" t="s">
        <v>603</v>
      </c>
      <c r="P561" s="5" t="s">
        <v>603</v>
      </c>
      <c r="Q561" s="5" t="s">
        <v>603</v>
      </c>
      <c r="R561" s="5" t="s">
        <v>603</v>
      </c>
      <c r="S561" s="5" t="s">
        <v>603</v>
      </c>
      <c r="T561" s="5" t="s">
        <v>603</v>
      </c>
      <c r="U561" s="5" t="s">
        <v>603</v>
      </c>
      <c r="V561" s="5" t="s">
        <v>603</v>
      </c>
      <c r="W561" s="5" t="s">
        <v>603</v>
      </c>
      <c r="X561" s="5" t="s">
        <v>603</v>
      </c>
      <c r="Y561" s="5" t="s">
        <v>603</v>
      </c>
      <c r="Z561" s="5" t="s">
        <v>603</v>
      </c>
      <c r="AA561" s="5"/>
      <c r="AB561" s="47">
        <v>0.0</v>
      </c>
    </row>
    <row r="562" hidden="1">
      <c r="A562" s="76" t="str">
        <f t="array" ref="A562:A563">{"FormulaRow07";(INDEX(CLASSLIST,A549,1))}</f>
        <v>FormulaRow07</v>
      </c>
      <c r="B562" s="76" t="str">
        <f t="array" ref="B562:B563">{"CLASSTYPE";((INDEX(ALLCLASSDATA,MATCH("ClassType",CLASSFEATUREHEADERS,0),MATCH($A563,CLASSNAMEHEADERS,0))))}</f>
        <v>CLASSTYPE</v>
      </c>
      <c r="C562" s="76" t="str">
        <f t="array" ref="C562:C563">{"SKILLS";"Skills"}</f>
        <v>SKILLS</v>
      </c>
      <c r="D562" s="76" t="str">
        <f t="array" ref="D562:D563">{"EXTRASKILLFEATS";"Extra Skill Feats"}</f>
        <v>EXTRASKILLFEATS</v>
      </c>
      <c r="E562" s="76"/>
      <c r="F562" s="76"/>
      <c r="G562" s="76" t="str">
        <f t="array" ref="G562:G563">{"SKILLFEATEXTRA-L01";((INDEX(ALLCLASSDATA,MATCH("SkillFeatExtra-L01",CLASSFEATUREHEADERS,0),MATCH(($A563 &amp; "Points"),CLASSNAMEHEADERS,0))))}</f>
        <v>SKILLFEATEXTRA-L01</v>
      </c>
      <c r="H562" s="76" t="str">
        <f t="array" ref="H562:H563">{"SKILLFEATEXTRA-L02";((INDEX(ALLCLASSDATA,MATCH("SkillFeatExtra-L02",CLASSFEATUREHEADERS,0),MATCH(($A563 &amp; "Points"),CLASSNAMEHEADERS,0))))}</f>
        <v>SKILLFEATEXTRA-L02</v>
      </c>
      <c r="I562" s="76" t="str">
        <f t="array" ref="I562:I563">{"SKILLFEATEXTRA-L03";((INDEX(ALLCLASSDATA,MATCH("SkillFeatExtra-L03",CLASSFEATUREHEADERS,0),MATCH(($A563 &amp; "Points"),CLASSNAMEHEADERS,0))))}</f>
        <v>SKILLFEATEXTRA-L03</v>
      </c>
      <c r="J562" s="76" t="str">
        <f t="array" ref="J562:J563">{"SKILLFEATEXTRA-L04";((INDEX(ALLCLASSDATA,MATCH("SkillFeatExtra-L04",CLASSFEATUREHEADERS,0),MATCH(($A563 &amp; "Points"),CLASSNAMEHEADERS,0))))}</f>
        <v>SKILLFEATEXTRA-L04</v>
      </c>
      <c r="K562" s="76" t="str">
        <f t="array" ref="K562:K563">{"SKILLFEATEXTRA-L05";((INDEX(ALLCLASSDATA,MATCH("SkillFeatExtra-L05",CLASSFEATUREHEADERS,0),MATCH(($A563 &amp; "Points"),CLASSNAMEHEADERS,0))))}</f>
        <v>SKILLFEATEXTRA-L05</v>
      </c>
      <c r="L562" s="76" t="str">
        <f t="array" ref="L562:L563">{"SKILLFEATEXTRA-L06";((INDEX(ALLCLASSDATA,MATCH("SkillFeatExtra-L06",CLASSFEATUREHEADERS,0),MATCH(($A563 &amp; "Points"),CLASSNAMEHEADERS,0))))}</f>
        <v>SKILLFEATEXTRA-L06</v>
      </c>
      <c r="M562" s="76" t="str">
        <f t="array" ref="M562:M563">{"SKILLFEATEXTRA-L07";((INDEX(ALLCLASSDATA,MATCH("SkillFeatExtra-L07",CLASSFEATUREHEADERS,0),MATCH(($A563 &amp; "Points"),CLASSNAMEHEADERS,0))))}</f>
        <v>SKILLFEATEXTRA-L07</v>
      </c>
      <c r="N562" s="76" t="str">
        <f t="array" ref="N562:N563">{"SKILLFEATEXTRA-L08";((INDEX(ALLCLASSDATA,MATCH("SkillFeatExtra-L08",CLASSFEATUREHEADERS,0),MATCH(($A563 &amp; "Points"),CLASSNAMEHEADERS,0))))}</f>
        <v>SKILLFEATEXTRA-L08</v>
      </c>
      <c r="O562" s="76" t="str">
        <f t="array" ref="O562:O563">{"SKILLFEATEXTRA-L09";((INDEX(ALLCLASSDATA,MATCH("SkillFeatExtra-L09",CLASSFEATUREHEADERS,0),MATCH(($A563 &amp; "Points"),CLASSNAMEHEADERS,0))))}</f>
        <v>SKILLFEATEXTRA-L09</v>
      </c>
      <c r="P562" s="76" t="str">
        <f t="array" ref="P562:P563">{"SKILLFEATEXTRA-L10";((INDEX(ALLCLASSDATA,MATCH("SkillFeatExtra-L10",CLASSFEATUREHEADERS,0),MATCH(($A563 &amp; "Points"),CLASSNAMEHEADERS,0))))}</f>
        <v>SKILLFEATEXTRA-L10</v>
      </c>
      <c r="Q562" s="76" t="str">
        <f t="array" ref="Q562:Q563">{"SKILLFEATEXTRA-L11";((INDEX(ALLCLASSDATA,MATCH("SkillFeatExtra-L11",CLASSFEATUREHEADERS,0),MATCH(($A563 &amp; "Points"),CLASSNAMEHEADERS,0))))}</f>
        <v>SKILLFEATEXTRA-L11</v>
      </c>
      <c r="R562" s="76" t="str">
        <f t="array" ref="R562:R563">{"SKILLFEATEXTRA-L12";((INDEX(ALLCLASSDATA,MATCH("SkillFeatExtra-L12",CLASSFEATUREHEADERS,0),MATCH(($A563 &amp; "Points"),CLASSNAMEHEADERS,0))))}</f>
        <v>SKILLFEATEXTRA-L12</v>
      </c>
      <c r="S562" s="76" t="str">
        <f t="array" ref="S562:S563">{"SKILLFEATEXTRA-L13";((INDEX(ALLCLASSDATA,MATCH("SkillFeatExtra-L13",CLASSFEATUREHEADERS,0),MATCH(($A563 &amp; "Points"),CLASSNAMEHEADERS,0))))}</f>
        <v>SKILLFEATEXTRA-L13</v>
      </c>
      <c r="T562" s="76" t="str">
        <f t="array" ref="T562:T563">{"SKILLFEATEXTRA-L14";((INDEX(ALLCLASSDATA,MATCH("SkillFeatExtra-L14",CLASSFEATUREHEADERS,0),MATCH(($A563 &amp; "Points"),CLASSNAMEHEADERS,0))))}</f>
        <v>SKILLFEATEXTRA-L14</v>
      </c>
      <c r="U562" s="76" t="str">
        <f t="array" ref="U562:U563">{"SKILLFEATEXTRA-L15";((INDEX(ALLCLASSDATA,MATCH("SkillFeatExtra-L15",CLASSFEATUREHEADERS,0),MATCH(($A563 &amp; "Points"),CLASSNAMEHEADERS,0))))}</f>
        <v>SKILLFEATEXTRA-L15</v>
      </c>
      <c r="V562" s="76" t="str">
        <f t="array" ref="V562:V563">{"SKILLFEATEXTRA-L16";((INDEX(ALLCLASSDATA,MATCH("SkillFeatExtra-L16",CLASSFEATUREHEADERS,0),MATCH(($A563 &amp; "Points"),CLASSNAMEHEADERS,0))))}</f>
        <v>SKILLFEATEXTRA-L16</v>
      </c>
      <c r="W562" s="76" t="str">
        <f t="array" ref="W562:W563">{"SKILLFEATEXTRA-L17";((INDEX(ALLCLASSDATA,MATCH("SkillFeatExtra-L17",CLASSFEATUREHEADERS,0),MATCH(($A563 &amp; "Points"),CLASSNAMEHEADERS,0))))}</f>
        <v>SKILLFEATEXTRA-L17</v>
      </c>
      <c r="X562" s="76" t="str">
        <f t="array" ref="X562:X563">{"SKILLFEATEXTRA-L18";((INDEX(ALLCLASSDATA,MATCH("SkillFeatExtra-L18",CLASSFEATUREHEADERS,0),MATCH(($A563 &amp; "Points"),CLASSNAMEHEADERS,0))))}</f>
        <v>SKILLFEATEXTRA-L18</v>
      </c>
      <c r="Y562" s="76" t="str">
        <f t="array" ref="Y562:Y563">{"SKILLFEATEXTRA-L19";((INDEX(ALLCLASSDATA,MATCH("SkillFeatExtra-L19",CLASSFEATUREHEADERS,0),MATCH(($A563 &amp; "Points"),CLASSNAMEHEADERS,0))))}</f>
        <v>SKILLFEATEXTRA-L19</v>
      </c>
      <c r="Z562" s="76" t="str">
        <f t="array" ref="Z562:Z563">{"SKILLFEATEXTRA-L20";((INDEX(ALLCLASSDATA,MATCH("SkillFeatExtra-L20",CLASSFEATUREHEADERS,0),MATCH(($A563 &amp; "Points"),CLASSNAMEHEADERS,0))))}</f>
        <v>SKILLFEATEXTRA-L20</v>
      </c>
      <c r="AA562" s="76"/>
      <c r="AB562" s="76" t="str">
        <f t="array" ref="AB562:AB563">{"SKILLFEAT TOTAL";(sum(F563:Z563))}</f>
        <v>SKILLFEAT TOTAL</v>
      </c>
    </row>
    <row r="563">
      <c r="A563" s="48" t="s">
        <v>221</v>
      </c>
      <c r="B563" s="48" t="s">
        <v>418</v>
      </c>
      <c r="C563" s="97" t="s">
        <v>659</v>
      </c>
      <c r="D563" s="97" t="s">
        <v>722</v>
      </c>
      <c r="E563" s="97"/>
      <c r="F563" s="132"/>
      <c r="G563" s="98" t="s">
        <v>603</v>
      </c>
      <c r="H563" s="98" t="s">
        <v>603</v>
      </c>
      <c r="I563" s="97" t="s">
        <v>603</v>
      </c>
      <c r="J563" s="98" t="s">
        <v>603</v>
      </c>
      <c r="K563" s="97" t="s">
        <v>603</v>
      </c>
      <c r="L563" s="98" t="s">
        <v>603</v>
      </c>
      <c r="M563" s="98" t="s">
        <v>603</v>
      </c>
      <c r="N563" s="98" t="s">
        <v>603</v>
      </c>
      <c r="O563" s="98" t="s">
        <v>603</v>
      </c>
      <c r="P563" s="98" t="s">
        <v>603</v>
      </c>
      <c r="Q563" s="98" t="s">
        <v>603</v>
      </c>
      <c r="R563" s="98" t="s">
        <v>603</v>
      </c>
      <c r="S563" s="98" t="s">
        <v>603</v>
      </c>
      <c r="T563" s="98" t="s">
        <v>603</v>
      </c>
      <c r="U563" s="98" t="s">
        <v>603</v>
      </c>
      <c r="V563" s="98" t="s">
        <v>603</v>
      </c>
      <c r="W563" s="98" t="s">
        <v>603</v>
      </c>
      <c r="X563" s="98" t="s">
        <v>603</v>
      </c>
      <c r="Y563" s="98" t="s">
        <v>603</v>
      </c>
      <c r="Z563" s="98" t="s">
        <v>603</v>
      </c>
      <c r="AA563" s="5"/>
      <c r="AB563" s="47">
        <v>0.0</v>
      </c>
    </row>
    <row r="564" hidden="1">
      <c r="A564" s="76" t="str">
        <f t="array" ref="A564:A565">{"FormulaRow08";(INDEX(CLASSLIST,A549,1))}</f>
        <v>FormulaRow08</v>
      </c>
      <c r="B564" s="76" t="str">
        <f t="array" ref="B564:B565">{"CLASSTYPE";((INDEX(ALLCLASSDATA,MATCH("ClassType",CLASSFEATUREHEADERS,0),MATCH($A565,CLASSNAMEHEADERS,0))))}</f>
        <v>CLASSTYPE</v>
      </c>
      <c r="C564" s="81" t="str">
        <f t="array" ref="C564:C565">{"CLASSABILITY";"ClassAbility"}</f>
        <v>CLASSABILITY</v>
      </c>
      <c r="D564" s="81" t="str">
        <f t="array" ref="D564:D565">{"CLASSABILITY1";"ClassAbility1"}</f>
        <v>CLASSABILITY1</v>
      </c>
      <c r="E564" s="81"/>
      <c r="F564" s="81"/>
      <c r="G564" s="81"/>
      <c r="H564" s="81"/>
      <c r="I564" s="81" t="str">
        <f t="array" ref="I564:I565">{"CLASSABILITY1-L03";((INDEX(ALLCLASSDATA,MATCH("ClassAbility1-L03",CLASSFEATUREHEADERS,0),MATCH(($A565),CLASSNAMEHEADERS,0))))}</f>
        <v>CLASSABILITY1-L03</v>
      </c>
      <c r="J564" s="81"/>
      <c r="K564" s="81" t="str">
        <f t="array" ref="K564:K565">{"CLASSABILITY1-L05";((INDEX(ALLCLASSDATA,MATCH("ClassAbility1-L05",CLASSFEATUREHEADERS,0),MATCH(($A565),CLASSNAMEHEADERS,0))))}</f>
        <v>CLASSABILITY1-L05</v>
      </c>
      <c r="L564" s="81"/>
      <c r="M564" s="81" t="str">
        <f t="array" ref="M564:M565">{"CLASSABILITY1-L07";((INDEX(ALLCLASSDATA,MATCH("ClassAbility1-L07",CLASSFEATUREHEADERS,0),MATCH(($A565),CLASSNAMEHEADERS,0))))}</f>
        <v>CLASSABILITY1-L07</v>
      </c>
      <c r="N564" s="81"/>
      <c r="O564" s="81" t="str">
        <f t="array" ref="O564:O565">{"CLASSABILITY1-L09";((INDEX(ALLCLASSDATA,MATCH("ClassAbility1-L09",CLASSFEATUREHEADERS,0),MATCH(($A565),CLASSNAMEHEADERS,0))))}</f>
        <v>CLASSABILITY1-L09</v>
      </c>
      <c r="P564" s="81"/>
      <c r="Q564" s="81" t="str">
        <f t="array" ref="Q564:Q565">{"CLASSABILITY1-L11";((INDEX(ALLCLASSDATA,MATCH("ClassAbility1-L11",CLASSFEATUREHEADERS,0),MATCH(($A565),CLASSNAMEHEADERS,0))))}</f>
        <v>CLASSABILITY1-L11</v>
      </c>
      <c r="R564" s="81"/>
      <c r="S564" s="81" t="str">
        <f t="array" ref="S564:S565">{"CLASSABILITY1-L13";((INDEX(ALLCLASSDATA,MATCH("ClassAbility1-L13",CLASSFEATUREHEADERS,0),MATCH(($A565),CLASSNAMEHEADERS,0))))}</f>
        <v>CLASSABILITY1-L13</v>
      </c>
      <c r="T564" s="81"/>
      <c r="U564" s="81" t="str">
        <f t="array" ref="U564:U565">{"CLASSABILITY1-L15";((INDEX(ALLCLASSDATA,MATCH("ClassAbility1-L15",CLASSFEATUREHEADERS,0),MATCH(($A565),CLASSNAMEHEADERS,0))))}</f>
        <v>CLASSABILITY1-L15</v>
      </c>
      <c r="V564" s="81"/>
      <c r="W564" s="81" t="str">
        <f t="array" ref="W564:W565">{"CLASSABILITY1-L17";((INDEX(ALLCLASSDATA,MATCH("ClassAbility1-L17",CLASSFEATUREHEADERS,0),MATCH(($A565),CLASSNAMEHEADERS,0))))}</f>
        <v>CLASSABILITY1-L17</v>
      </c>
      <c r="X564" s="81"/>
      <c r="Y564" s="81" t="str">
        <f t="array" ref="Y564:Y565">{"CLASSABILITY1-L19";((INDEX(ALLCLASSDATA,MATCH("ClassAbility1-L19",CLASSFEATUREHEADERS,0),MATCH(($A565),CLASSNAMEHEADERS,0))))}</f>
        <v>CLASSABILITY1-L19</v>
      </c>
      <c r="Z564" s="81"/>
      <c r="AA564" s="76"/>
      <c r="AB564" s="76"/>
    </row>
    <row r="565">
      <c r="A565" s="48" t="s">
        <v>221</v>
      </c>
      <c r="B565" s="48" t="s">
        <v>418</v>
      </c>
      <c r="C565" s="48" t="s">
        <v>825</v>
      </c>
      <c r="D565" s="48" t="s">
        <v>826</v>
      </c>
      <c r="E565" s="5"/>
      <c r="F565" s="47"/>
      <c r="G565" s="5"/>
      <c r="H565" s="5"/>
      <c r="I565" s="5" t="s">
        <v>1251</v>
      </c>
      <c r="J565" s="5"/>
      <c r="K565" s="5"/>
      <c r="L565" s="5"/>
      <c r="M565" s="5" t="s">
        <v>350</v>
      </c>
      <c r="N565" s="5"/>
      <c r="O565" s="5" t="s">
        <v>314</v>
      </c>
      <c r="P565" s="5"/>
      <c r="Q565" s="5" t="s">
        <v>1735</v>
      </c>
      <c r="R565" s="5"/>
      <c r="S565" s="5" t="s">
        <v>369</v>
      </c>
      <c r="T565" s="5"/>
      <c r="U565" s="5" t="s">
        <v>353</v>
      </c>
      <c r="V565" s="5"/>
      <c r="W565" s="5" t="s">
        <v>338</v>
      </c>
      <c r="X565" s="5"/>
      <c r="Y565" s="5" t="s">
        <v>1252</v>
      </c>
      <c r="Z565" s="5"/>
      <c r="AA565" s="5"/>
      <c r="AB565" s="47"/>
    </row>
    <row r="566" hidden="1">
      <c r="A566" s="76" t="str">
        <f t="array" ref="A566:A567">{"FormulaRow09";(INDEX(CLASSLIST,A549,1))}</f>
        <v>FormulaRow09</v>
      </c>
      <c r="B566" s="76" t="str">
        <f t="array" ref="B566:B567">{"CLASSTYPE";((INDEX(ALLCLASSDATA,MATCH("ClassType",CLASSFEATUREHEADERS,0),MATCH($A567,CLASSNAMEHEADERS,0))))}</f>
        <v>CLASSTYPE</v>
      </c>
      <c r="C566" s="76" t="str">
        <f t="array" ref="C566:C567">{"CLASSABILITYPTS";"ClassAbilityPts"}</f>
        <v>CLASSABILITYPTS</v>
      </c>
      <c r="D566" s="76" t="str">
        <f t="array" ref="D566:D567">{"CLASSABILITY1";"ClassAbility1"}</f>
        <v>CLASSABILITY1</v>
      </c>
      <c r="E566" s="76"/>
      <c r="F566" s="76"/>
      <c r="G566" s="76"/>
      <c r="H566" s="76"/>
      <c r="I566" s="76" t="str">
        <f t="array" ref="I566:I567">{"CLASSABILITY1-L03PTS";((INDEX(ALLCLASSDATA,MATCH("ClassAbility1-L03",CLASSFEATUREHEADERS,0),MATCH(($A567 &amp; "Points"),CLASSNAMEHEADERS,0))))}</f>
        <v>CLASSABILITY1-L03PTS</v>
      </c>
      <c r="J566" s="76"/>
      <c r="K566" s="76" t="str">
        <f t="array" ref="K566:K567">{"CLASSABILITY1-L05PTS";((INDEX(ALLCLASSDATA,MATCH("ClassAbility1-L05",CLASSFEATUREHEADERS,0),MATCH(($A567 &amp; "Points"),CLASSNAMEHEADERS,0))))}</f>
        <v>CLASSABILITY1-L05PTS</v>
      </c>
      <c r="L566" s="76"/>
      <c r="M566" s="76" t="str">
        <f t="array" ref="M566:M567">{"CLASSABILITY1-L07PTS";((INDEX(ALLCLASSDATA,MATCH("ClassAbility1-L07",CLASSFEATUREHEADERS,0),MATCH(($A567 &amp; "Points"),CLASSNAMEHEADERS,0))))}</f>
        <v>CLASSABILITY1-L07PTS</v>
      </c>
      <c r="N566" s="76"/>
      <c r="O566" s="76" t="str">
        <f t="array" ref="O566:O567">{"CLASSABILITY1-L09PTS";((INDEX(ALLCLASSDATA,MATCH("ClassAbility1-L09",CLASSFEATUREHEADERS,0),MATCH(($A567 &amp; "Points"),CLASSNAMEHEADERS,0))))}</f>
        <v>CLASSABILITY1-L09PTS</v>
      </c>
      <c r="P566" s="76"/>
      <c r="Q566" s="76" t="str">
        <f t="array" ref="Q566:Q567">{"CLASSABILITY1-L11PTS";((INDEX(ALLCLASSDATA,MATCH("ClassAbility1-L11",CLASSFEATUREHEADERS,0),MATCH(($A567 &amp; "Points"),CLASSNAMEHEADERS,0))))}</f>
        <v>CLASSABILITY1-L11PTS</v>
      </c>
      <c r="R566" s="76"/>
      <c r="S566" s="76" t="str">
        <f t="array" ref="S566:S567">{"CLASSABILITY1-L13PTS";((INDEX(ALLCLASSDATA,MATCH("ClassAbility1-L13",CLASSFEATUREHEADERS,0),MATCH(($A567 &amp; "Points"),CLASSNAMEHEADERS,0))))}</f>
        <v>CLASSABILITY1-L13PTS</v>
      </c>
      <c r="T566" s="76"/>
      <c r="U566" s="76" t="str">
        <f t="array" ref="U566:U567">{"CLASSABILITY1-L15PTS";((INDEX(ALLCLASSDATA,MATCH("ClassAbility1-L15",CLASSFEATUREHEADERS,0),MATCH(($A567 &amp; "Points"),CLASSNAMEHEADERS,0))))}</f>
        <v>CLASSABILITY1-L15PTS</v>
      </c>
      <c r="V566" s="76"/>
      <c r="W566" s="76" t="str">
        <f t="array" ref="W566:W567">{"CLASSABILITY1-L17PTS";((INDEX(ALLCLASSDATA,MATCH("ClassAbility1-L17",CLASSFEATUREHEADERS,0),MATCH(($A567 &amp; "Points"),CLASSNAMEHEADERS,0))))}</f>
        <v>CLASSABILITY1-L17PTS</v>
      </c>
      <c r="X566" s="76"/>
      <c r="Y566" s="76" t="str">
        <f t="array" ref="Y566:Y567">{"CLASSABILITY1-L19PTS";((INDEX(ALLCLASSDATA,MATCH("ClassAbility1-L19",CLASSFEATUREHEADERS,0),MATCH(($A567 &amp; "Points"),CLASSNAMEHEADERS,0))))}</f>
        <v>CLASSABILITY1-L19PTS</v>
      </c>
      <c r="Z566" s="76"/>
      <c r="AA566" s="76"/>
      <c r="AB566" s="76" t="str">
        <f t="array" ref="AB566:AB567">{"CLASSABILITY1 TOTAL";(sum(F567:Z567))}</f>
        <v>CLASSABILITY1 TOTAL</v>
      </c>
    </row>
    <row r="567">
      <c r="A567" s="48" t="s">
        <v>221</v>
      </c>
      <c r="B567" s="48" t="s">
        <v>418</v>
      </c>
      <c r="C567" s="48" t="s">
        <v>930</v>
      </c>
      <c r="D567" s="48" t="s">
        <v>826</v>
      </c>
      <c r="E567" s="5"/>
      <c r="F567" s="5"/>
      <c r="G567" s="5"/>
      <c r="H567" s="5"/>
      <c r="I567" s="48">
        <v>30.0</v>
      </c>
      <c r="J567" s="5"/>
      <c r="K567" s="5"/>
      <c r="L567" s="5"/>
      <c r="M567" s="5"/>
      <c r="N567" s="5"/>
      <c r="O567" s="5"/>
      <c r="P567" s="5"/>
      <c r="Q567" s="5"/>
      <c r="R567" s="5"/>
      <c r="S567" s="5"/>
      <c r="T567" s="5"/>
      <c r="U567" s="5"/>
      <c r="V567" s="5"/>
      <c r="W567" s="5"/>
      <c r="X567" s="5"/>
      <c r="Y567" s="5"/>
      <c r="Z567" s="5"/>
      <c r="AA567" s="5"/>
      <c r="AB567" s="47">
        <v>30.0</v>
      </c>
    </row>
    <row r="568" hidden="1">
      <c r="A568" s="76" t="str">
        <f t="array" ref="A568:A569">{"FormulaRow10";(INDEX(CLASSLIST,A549,1))}</f>
        <v>FormulaRow10</v>
      </c>
      <c r="B568" s="76" t="str">
        <f t="array" ref="B568:B569">{"CLASSTYPE";((INDEX(ALLCLASSDATA,MATCH("ClassType",CLASSFEATUREHEADERS,0),MATCH($A569,CLASSNAMEHEADERS,0))))}</f>
        <v>CLASSTYPE</v>
      </c>
      <c r="C568" s="76" t="str">
        <f t="array" ref="C568:C569">{"CLASSABILITY";"ClassAbility"}</f>
        <v>CLASSABILITY</v>
      </c>
      <c r="D568" s="76" t="str">
        <f t="array" ref="D568:D569">{"CLASSABILITY2";"ClassAbility2"}</f>
        <v>CLASSABILITY2</v>
      </c>
      <c r="E568" s="76"/>
      <c r="F568" s="76"/>
      <c r="G568" s="76"/>
      <c r="H568" s="76"/>
      <c r="I568" s="76" t="str">
        <f t="array" ref="I568:I569">{"CLASSABILITY2-L03";((INDEX(ALLCLASSDATA,MATCH("ClassAbility2-L03",CLASSFEATUREHEADERS,0),MATCH(($A569),CLASSNAMEHEADERS,0))))}</f>
        <v>CLASSABILITY2-L03</v>
      </c>
      <c r="J568" s="76"/>
      <c r="K568" s="76" t="str">
        <f t="array" ref="K568:K569">{"CLASSABILITY2-L05";((INDEX(ALLCLASSDATA,MATCH("ClassAbility2-L05",CLASSFEATUREHEADERS,0),MATCH(($A569),CLASSNAMEHEADERS,0))))}</f>
        <v>CLASSABILITY2-L05</v>
      </c>
      <c r="L568" s="76"/>
      <c r="M568" s="76" t="str">
        <f t="array" ref="M568:M569">{"CLASSABILITY2-L07";((INDEX(ALLCLASSDATA,MATCH("ClassAbility2-L07",CLASSFEATUREHEADERS,0),MATCH(($A569),CLASSNAMEHEADERS,0))))}</f>
        <v>CLASSABILITY2-L07</v>
      </c>
      <c r="N568" s="76"/>
      <c r="O568" s="76" t="str">
        <f t="array" ref="O568:O569">{"CLASSABILITY2-L09";((INDEX(ALLCLASSDATA,MATCH("ClassAbility2-L09",CLASSFEATUREHEADERS,0),MATCH(($A569),CLASSNAMEHEADERS,0))))}</f>
        <v>CLASSABILITY2-L09</v>
      </c>
      <c r="P568" s="76"/>
      <c r="Q568" s="76" t="str">
        <f t="array" ref="Q568:Q569">{"CLASSABILITY2-L11";((INDEX(ALLCLASSDATA,MATCH("ClassAbility2-L11",CLASSFEATUREHEADERS,0),MATCH(($A569),CLASSNAMEHEADERS,0))))}</f>
        <v>CLASSABILITY2-L11</v>
      </c>
      <c r="R568" s="76"/>
      <c r="S568" s="76" t="str">
        <f t="array" ref="S568:S569">{"CLASSABILITY2-L13";((INDEX(ALLCLASSDATA,MATCH("ClassAbility2-L13",CLASSFEATUREHEADERS,0),MATCH(($A569),CLASSNAMEHEADERS,0))))}</f>
        <v>CLASSABILITY2-L13</v>
      </c>
      <c r="T568" s="76"/>
      <c r="U568" s="76" t="str">
        <f t="array" ref="U568:U569">{"CLASSABILITY2-L15";((INDEX(ALLCLASSDATA,MATCH("ClassAbility2-L15",CLASSFEATUREHEADERS,0),MATCH(($A569),CLASSNAMEHEADERS,0))))}</f>
        <v>CLASSABILITY2-L15</v>
      </c>
      <c r="V568" s="76"/>
      <c r="W568" s="76" t="str">
        <f t="array" ref="W568:W569">{"CLASSABILITY2-L17";((INDEX(ALLCLASSDATA,MATCH("ClassAbility2-L17",CLASSFEATUREHEADERS,0),MATCH(($A569),CLASSNAMEHEADERS,0))))}</f>
        <v>CLASSABILITY2-L17</v>
      </c>
      <c r="X568" s="76"/>
      <c r="Y568" s="76" t="str">
        <f t="array" ref="Y568:Y569">{"CLASSABILITY2-L19";((INDEX(ALLCLASSDATA,MATCH("ClassAbility2-L19",CLASSFEATUREHEADERS,0),MATCH(($A569),CLASSNAMEHEADERS,0))))}</f>
        <v>CLASSABILITY2-L19</v>
      </c>
      <c r="Z568" s="76"/>
      <c r="AA568" s="76"/>
      <c r="AB568" s="76"/>
    </row>
    <row r="569">
      <c r="A569" s="48" t="s">
        <v>221</v>
      </c>
      <c r="B569" s="48" t="s">
        <v>418</v>
      </c>
      <c r="C569" s="48" t="s">
        <v>825</v>
      </c>
      <c r="D569" s="48" t="s">
        <v>1007</v>
      </c>
      <c r="E569" s="48"/>
      <c r="F569" s="47"/>
      <c r="G569" s="5"/>
      <c r="H569" s="5"/>
      <c r="I569" s="5" t="s">
        <v>323</v>
      </c>
      <c r="J569" s="5"/>
      <c r="K569" s="5"/>
      <c r="L569" s="5"/>
      <c r="M569" s="5"/>
      <c r="N569" s="5"/>
      <c r="O569" s="5" t="s">
        <v>335</v>
      </c>
      <c r="P569" s="5"/>
      <c r="Q569" s="5" t="s">
        <v>308</v>
      </c>
      <c r="R569" s="5"/>
      <c r="S569" s="5" t="s">
        <v>1755</v>
      </c>
      <c r="T569" s="5"/>
      <c r="U569" s="5"/>
      <c r="V569" s="5"/>
      <c r="W569" s="5" t="s">
        <v>1783</v>
      </c>
      <c r="X569" s="5"/>
      <c r="Y569" s="5" t="s">
        <v>356</v>
      </c>
      <c r="Z569" s="5"/>
      <c r="AA569" s="5"/>
      <c r="AB569" s="47"/>
    </row>
    <row r="570" hidden="1">
      <c r="A570" s="76" t="str">
        <f t="array" ref="A570:A571">{"FormulaRow11";(INDEX(CLASSLIST,A549,1))}</f>
        <v>FormulaRow11</v>
      </c>
      <c r="B570" s="76" t="str">
        <f t="array" ref="B570:B571">{"CLASSTYPE";((INDEX(ALLCLASSDATA,MATCH("ClassType",CLASSFEATUREHEADERS,0),MATCH($A571,CLASSNAMEHEADERS,0))))}</f>
        <v>CLASSTYPE</v>
      </c>
      <c r="C570" s="76" t="str">
        <f t="array" ref="C570:C571">{"CLASSABILITYPTS";"ClassAbilityPts"}</f>
        <v>CLASSABILITYPTS</v>
      </c>
      <c r="D570" s="76" t="str">
        <f t="array" ref="D570:D571">{"CLASSABILITY2";"ClassAbility2"}</f>
        <v>CLASSABILITY2</v>
      </c>
      <c r="E570" s="76"/>
      <c r="F570" s="76"/>
      <c r="G570" s="76"/>
      <c r="H570" s="76"/>
      <c r="I570" s="76" t="str">
        <f t="array" ref="I570:I571">{"CLASSABILITY2-L03PTS";((INDEX(ALLCLASSDATA,MATCH("ClassAbility2-L03",CLASSFEATUREHEADERS,0),MATCH(($A571 &amp; "Points"),CLASSNAMEHEADERS,0))))}</f>
        <v>CLASSABILITY2-L03PTS</v>
      </c>
      <c r="J570" s="76"/>
      <c r="K570" s="76" t="str">
        <f t="array" ref="K570:K571">{"CLASSABILITY2-L05PTS";((INDEX(ALLCLASSDATA,MATCH("ClassAbility2-L05",CLASSFEATUREHEADERS,0),MATCH(($A571 &amp; "Points"),CLASSNAMEHEADERS,0))))}</f>
        <v>CLASSABILITY2-L05PTS</v>
      </c>
      <c r="L570" s="76"/>
      <c r="M570" s="76" t="str">
        <f t="array" ref="M570:M571">{"CLASSABILITY2-L07PTS";((INDEX(ALLCLASSDATA,MATCH("ClassAbility2-L07",CLASSFEATUREHEADERS,0),MATCH(($A571 &amp; "Points"),CLASSNAMEHEADERS,0))))}</f>
        <v>CLASSABILITY2-L07PTS</v>
      </c>
      <c r="N570" s="76"/>
      <c r="O570" s="76" t="str">
        <f t="array" ref="O570:O571">{"CLASSABILITY2-L09PTS";((INDEX(ALLCLASSDATA,MATCH("ClassAbility2-L09",CLASSFEATUREHEADERS,0),MATCH(($A571 &amp; "Points"),CLASSNAMEHEADERS,0))))}</f>
        <v>CLASSABILITY2-L09PTS</v>
      </c>
      <c r="P570" s="76"/>
      <c r="Q570" s="76" t="str">
        <f t="array" ref="Q570:Q571">{"CLASSABILITY2-L11PTS";((INDEX(ALLCLASSDATA,MATCH("ClassAbility2-L11",CLASSFEATUREHEADERS,0),MATCH(($A571 &amp; "Points"),CLASSNAMEHEADERS,0))))}</f>
        <v>CLASSABILITY2-L11PTS</v>
      </c>
      <c r="R570" s="76"/>
      <c r="S570" s="76" t="str">
        <f t="array" ref="S570:S571">{"CLASSABILITY2-L13PTS";((INDEX(ALLCLASSDATA,MATCH("ClassAbility2-L13",CLASSFEATUREHEADERS,0),MATCH(($A571 &amp; "Points"),CLASSNAMEHEADERS,0))))}</f>
        <v>CLASSABILITY2-L13PTS</v>
      </c>
      <c r="T570" s="76"/>
      <c r="U570" s="76" t="str">
        <f t="array" ref="U570:U571">{"CLASSABILITY2-L15PTS";((INDEX(ALLCLASSDATA,MATCH("ClassAbility2-L15",CLASSFEATUREHEADERS,0),MATCH(($A571 &amp; "Points"),CLASSNAMEHEADERS,0))))}</f>
        <v>CLASSABILITY2-L15PTS</v>
      </c>
      <c r="V570" s="76"/>
      <c r="W570" s="76" t="str">
        <f t="array" ref="W570:W571">{"CLASSABILITY2-L17PTS";((INDEX(ALLCLASSDATA,MATCH("ClassAbility2-L17",CLASSFEATUREHEADERS,0),MATCH(($A571 &amp; "Points"),CLASSNAMEHEADERS,0))))}</f>
        <v>CLASSABILITY2-L17PTS</v>
      </c>
      <c r="X570" s="76"/>
      <c r="Y570" s="76" t="str">
        <f t="array" ref="Y570:Y571">{"CLASSABILITY2-L19PTS";((INDEX(ALLCLASSDATA,MATCH("ClassAbility2-L19",CLASSFEATUREHEADERS,0),MATCH(($A571 &amp; "Points"),CLASSNAMEHEADERS,0))))}</f>
        <v>CLASSABILITY2-L19PTS</v>
      </c>
      <c r="Z570" s="76"/>
      <c r="AA570" s="76"/>
      <c r="AB570" s="76" t="str">
        <f t="array" ref="AB570:AB571">{"CLASSABILITY2 TOTAL";(sum(F571:Z571))}</f>
        <v>CLASSABILITY2 TOTAL</v>
      </c>
    </row>
    <row r="571">
      <c r="A571" s="48" t="s">
        <v>221</v>
      </c>
      <c r="B571" s="48" t="s">
        <v>418</v>
      </c>
      <c r="C571" s="48" t="s">
        <v>930</v>
      </c>
      <c r="D571" s="48" t="s">
        <v>1007</v>
      </c>
      <c r="E571" s="48"/>
      <c r="F571" s="47"/>
      <c r="G571" s="5"/>
      <c r="H571" s="5"/>
      <c r="I571" s="5"/>
      <c r="J571" s="5"/>
      <c r="K571" s="5"/>
      <c r="L571" s="5"/>
      <c r="M571" s="5"/>
      <c r="N571" s="5"/>
      <c r="O571" s="5"/>
      <c r="P571" s="5"/>
      <c r="Q571" s="5"/>
      <c r="R571" s="5"/>
      <c r="S571" s="5"/>
      <c r="T571" s="5"/>
      <c r="U571" s="5"/>
      <c r="V571" s="5"/>
      <c r="W571" s="5">
        <v>-190.0</v>
      </c>
      <c r="X571" s="5"/>
      <c r="Y571" s="5"/>
      <c r="Z571" s="5"/>
      <c r="AA571" s="5"/>
      <c r="AB571" s="47">
        <v>-190.0</v>
      </c>
    </row>
    <row r="572" hidden="1">
      <c r="A572" s="76" t="str">
        <f t="array" ref="A572:A573">{"FormulaRow12";(INDEX(CLASSLIST,A549,1))}</f>
        <v>FormulaRow12</v>
      </c>
      <c r="B572" s="76" t="str">
        <f t="array" ref="B572:B573">{"CLASSTYPE";((INDEX(ALLCLASSDATA,MATCH("ClassType",CLASSFEATUREHEADERS,0),MATCH($A573,CLASSNAMEHEADERS,0))))}</f>
        <v>CLASSTYPE</v>
      </c>
      <c r="C572" s="76" t="str">
        <f t="array" ref="C572:C573">{"CLASSABILITY";"ClassAbility"}</f>
        <v>CLASSABILITY</v>
      </c>
      <c r="D572" s="76" t="str">
        <f t="array" ref="D572:D573">{"CLASSABILITY3";"ClassAbility3"}</f>
        <v>CLASSABILITY3</v>
      </c>
      <c r="E572" s="76"/>
      <c r="F572" s="76"/>
      <c r="G572" s="76"/>
      <c r="H572" s="76"/>
      <c r="I572" s="76" t="str">
        <f t="array" ref="I572:I573">{"CLASSABILITY3-L03";((INDEX(ALLCLASSDATA,MATCH("ClassAbility3-L03",CLASSFEATUREHEADERS,0),MATCH(($A573),CLASSNAMEHEADERS,0))))}</f>
        <v>CLASSABILITY3-L03</v>
      </c>
      <c r="J572" s="76"/>
      <c r="K572" s="76" t="str">
        <f t="array" ref="K572:K573">{"CLASSABILITY3-L05";((INDEX(ALLCLASSDATA,MATCH("ClassAbility3-L05",CLASSFEATUREHEADERS,0),MATCH(($A573),CLASSNAMEHEADERS,0))))}</f>
        <v>CLASSABILITY3-L05</v>
      </c>
      <c r="L572" s="76"/>
      <c r="M572" s="76" t="str">
        <f t="array" ref="M572:M573">{"CLASSABILITY3-L07";((INDEX(ALLCLASSDATA,MATCH("ClassAbility3-L07",CLASSFEATUREHEADERS,0),MATCH(($A573),CLASSNAMEHEADERS,0))))}</f>
        <v>CLASSABILITY3-L07</v>
      </c>
      <c r="N572" s="76"/>
      <c r="O572" s="76" t="str">
        <f t="array" ref="O572:O573">{"CLASSABILITY3-L09";((INDEX(ALLCLASSDATA,MATCH("ClassAbility3-L09",CLASSFEATUREHEADERS,0),MATCH(($A573),CLASSNAMEHEADERS,0))))}</f>
        <v>CLASSABILITY3-L09</v>
      </c>
      <c r="P572" s="76"/>
      <c r="Q572" s="76" t="str">
        <f t="array" ref="Q572:Q573">{"CLASSABILITY3-L11";((INDEX(ALLCLASSDATA,MATCH("ClassAbility3-L11",CLASSFEATUREHEADERS,0),MATCH(($A573),CLASSNAMEHEADERS,0))))}</f>
        <v>CLASSABILITY3-L11</v>
      </c>
      <c r="R572" s="76"/>
      <c r="S572" s="76" t="str">
        <f t="array" ref="S572:S573">{"CLASSABILITY3-L13";((INDEX(ALLCLASSDATA,MATCH("ClassAbility3-L13",CLASSFEATUREHEADERS,0),MATCH(($A573),CLASSNAMEHEADERS,0))))}</f>
        <v>CLASSABILITY3-L13</v>
      </c>
      <c r="T572" s="76"/>
      <c r="U572" s="76" t="str">
        <f t="array" ref="U572:U573">{"CLASSABILITY3-L15";((INDEX(ALLCLASSDATA,MATCH("ClassAbility3-L15",CLASSFEATUREHEADERS,0),MATCH(($A573),CLASSNAMEHEADERS,0))))}</f>
        <v>CLASSABILITY3-L15</v>
      </c>
      <c r="V572" s="76"/>
      <c r="W572" s="76" t="str">
        <f t="array" ref="W572:W573">{"CLASSABILITY3-L17";((INDEX(ALLCLASSDATA,MATCH("ClassAbility3-L17",CLASSFEATUREHEADERS,0),MATCH(($A573),CLASSNAMEHEADERS,0))))}</f>
        <v>CLASSABILITY3-L17</v>
      </c>
      <c r="X572" s="76"/>
      <c r="Y572" s="76" t="str">
        <f t="array" ref="Y572:Y573">{"CLASSABILITY3-L19";((INDEX(ALLCLASSDATA,MATCH("ClassAbility3-L19",CLASSFEATUREHEADERS,0),MATCH(($A573),CLASSNAMEHEADERS,0))))}</f>
        <v>CLASSABILITY3-L19</v>
      </c>
      <c r="Z572" s="76"/>
      <c r="AA572" s="76"/>
      <c r="AB572" s="76"/>
    </row>
    <row r="573">
      <c r="A573" s="48" t="s">
        <v>221</v>
      </c>
      <c r="B573" s="48" t="s">
        <v>418</v>
      </c>
      <c r="C573" s="48" t="s">
        <v>825</v>
      </c>
      <c r="D573" s="48" t="s">
        <v>1144</v>
      </c>
      <c r="E573" s="48"/>
      <c r="F573" s="47"/>
      <c r="G573" s="5"/>
      <c r="H573" s="5"/>
      <c r="I573" s="5"/>
      <c r="J573" s="5"/>
      <c r="K573" s="5"/>
      <c r="L573" s="5"/>
      <c r="M573" s="5"/>
      <c r="N573" s="5"/>
      <c r="O573" s="5"/>
      <c r="P573" s="5"/>
      <c r="Q573" s="5"/>
      <c r="R573" s="5"/>
      <c r="S573" s="5"/>
      <c r="T573" s="5"/>
      <c r="U573" s="5"/>
      <c r="V573" s="5"/>
      <c r="W573" s="5"/>
      <c r="X573" s="5"/>
      <c r="Y573" s="5"/>
      <c r="Z573" s="5"/>
      <c r="AA573" s="5"/>
      <c r="AB573" s="47"/>
    </row>
    <row r="574" hidden="1">
      <c r="A574" s="76" t="str">
        <f t="array" ref="A574:A575">{"FormulaRow13";(INDEX(CLASSLIST,A549,1))}</f>
        <v>FormulaRow13</v>
      </c>
      <c r="B574" s="76" t="str">
        <f t="array" ref="B574:B575">{"CLASSTYPE";((INDEX(ALLCLASSDATA,MATCH("ClassType",CLASSFEATUREHEADERS,0),MATCH($A575,CLASSNAMEHEADERS,0))))}</f>
        <v>CLASSTYPE</v>
      </c>
      <c r="C574" s="76" t="str">
        <f t="array" ref="C574:C575">{"CLASSABILITYPTS";"ClassAbilityPts"}</f>
        <v>CLASSABILITYPTS</v>
      </c>
      <c r="D574" s="76" t="str">
        <f t="array" ref="D574:D575">{"CLASSABILITY3";"ClassAbility3"}</f>
        <v>CLASSABILITY3</v>
      </c>
      <c r="E574" s="76"/>
      <c r="F574" s="76"/>
      <c r="G574" s="76"/>
      <c r="H574" s="76"/>
      <c r="I574" s="76" t="str">
        <f t="array" ref="I574:I575">{"CLASSABILITY3-L03PTS";((INDEX(ALLCLASSDATA,MATCH("ClassAbility3-L03",CLASSFEATUREHEADERS,0),MATCH(($A575 &amp; "Points"),CLASSNAMEHEADERS,0))))}</f>
        <v>CLASSABILITY3-L03PTS</v>
      </c>
      <c r="J574" s="76"/>
      <c r="K574" s="76" t="str">
        <f t="array" ref="K574:K575">{"CLASSABILITY3-L05PTS";((INDEX(ALLCLASSDATA,MATCH("ClassAbility3-L05",CLASSFEATUREHEADERS,0),MATCH(($A575 &amp; "Points"),CLASSNAMEHEADERS,0))))}</f>
        <v>CLASSABILITY3-L05PTS</v>
      </c>
      <c r="L574" s="76"/>
      <c r="M574" s="76" t="str">
        <f t="array" ref="M574:M575">{"CLASSABILITY3-L07PTS";((INDEX(ALLCLASSDATA,MATCH("ClassAbility3-L07",CLASSFEATUREHEADERS,0),MATCH(($A575 &amp; "Points"),CLASSNAMEHEADERS,0))))}</f>
        <v>CLASSABILITY3-L07PTS</v>
      </c>
      <c r="N574" s="76"/>
      <c r="O574" s="76" t="str">
        <f t="array" ref="O574:O575">{"CLASSABILITY3-L09PTS";((INDEX(ALLCLASSDATA,MATCH("ClassAbility3-L09",CLASSFEATUREHEADERS,0),MATCH(($A575 &amp; "Points"),CLASSNAMEHEADERS,0))))}</f>
        <v>CLASSABILITY3-L09PTS</v>
      </c>
      <c r="P574" s="76"/>
      <c r="Q574" s="76" t="str">
        <f t="array" ref="Q574:Q575">{"CLASSABILITY3-L11PTS";((INDEX(ALLCLASSDATA,MATCH("ClassAbility3-L11",CLASSFEATUREHEADERS,0),MATCH(($A575 &amp; "Points"),CLASSNAMEHEADERS,0))))}</f>
        <v>CLASSABILITY3-L11PTS</v>
      </c>
      <c r="R574" s="76"/>
      <c r="S574" s="76" t="str">
        <f t="array" ref="S574:S575">{"CLASSABILITY3-L13PTS";((INDEX(ALLCLASSDATA,MATCH("ClassAbility3-L13",CLASSFEATUREHEADERS,0),MATCH(($A575 &amp; "Points"),CLASSNAMEHEADERS,0))))}</f>
        <v>CLASSABILITY3-L13PTS</v>
      </c>
      <c r="T574" s="76"/>
      <c r="U574" s="76" t="str">
        <f t="array" ref="U574:U575">{"CLASSABILITY3-L15PTS";((INDEX(ALLCLASSDATA,MATCH("ClassAbility3-L15",CLASSFEATUREHEADERS,0),MATCH(($A575 &amp; "Points"),CLASSNAMEHEADERS,0))))}</f>
        <v>CLASSABILITY3-L15PTS</v>
      </c>
      <c r="V574" s="76"/>
      <c r="W574" s="76" t="str">
        <f t="array" ref="W574:W575">{"CLASSABILITY3-L17PTS";((INDEX(ALLCLASSDATA,MATCH("ClassAbility3-L17",CLASSFEATUREHEADERS,0),MATCH(($A575 &amp; "Points"),CLASSNAMEHEADERS,0))))}</f>
        <v>CLASSABILITY3-L17PTS</v>
      </c>
      <c r="X574" s="76"/>
      <c r="Y574" s="76" t="str">
        <f t="array" ref="Y574:Y575">{"CLASSABILITY3-L19PTS";((INDEX(ALLCLASSDATA,MATCH("ClassAbility3-L19",CLASSFEATUREHEADERS,0),MATCH(($A575 &amp; "Points"),CLASSNAMEHEADERS,0))))}</f>
        <v>CLASSABILITY3-L19PTS</v>
      </c>
      <c r="Z574" s="76"/>
      <c r="AA574" s="76"/>
      <c r="AB574" s="76" t="str">
        <f t="array" ref="AB574:AB575">{"CLASSABILITY3 TOTAL";(sum(F575:Z575))}</f>
        <v>CLASSABILITY3 TOTAL</v>
      </c>
    </row>
    <row r="575">
      <c r="A575" s="48" t="s">
        <v>221</v>
      </c>
      <c r="B575" s="48" t="s">
        <v>418</v>
      </c>
      <c r="C575" s="48" t="s">
        <v>930</v>
      </c>
      <c r="D575" s="48" t="s">
        <v>1144</v>
      </c>
      <c r="E575" s="48"/>
      <c r="F575" s="47"/>
      <c r="G575" s="5"/>
      <c r="H575" s="5"/>
      <c r="I575" s="5"/>
      <c r="J575" s="5"/>
      <c r="K575" s="5"/>
      <c r="L575" s="5"/>
      <c r="M575" s="5"/>
      <c r="N575" s="5"/>
      <c r="O575" s="5"/>
      <c r="P575" s="5"/>
      <c r="Q575" s="5"/>
      <c r="R575" s="5"/>
      <c r="S575" s="5"/>
      <c r="T575" s="5"/>
      <c r="U575" s="5"/>
      <c r="V575" s="5"/>
      <c r="W575" s="5"/>
      <c r="X575" s="5"/>
      <c r="Y575" s="5"/>
      <c r="Z575" s="5"/>
      <c r="AA575" s="5"/>
      <c r="AB575" s="47">
        <v>0.0</v>
      </c>
    </row>
    <row r="576" hidden="1">
      <c r="A576" s="76" t="str">
        <f t="array" ref="A576:A577">{"FormulaRow14";(INDEX(CLASSLIST,A549,1))}</f>
        <v>FormulaRow14</v>
      </c>
      <c r="B576" s="76" t="str">
        <f t="array" ref="B576:B577">{"CLASSTYPE";((INDEX(ALLCLASSDATA,MATCH("ClassType",CLASSFEATUREHEADERS,0),MATCH($A577,CLASSNAMEHEADERS,0))))}</f>
        <v>CLASSTYPE</v>
      </c>
      <c r="C576" s="76" t="str">
        <f t="array" ref="C576:C577">{"CLASSABILITY";"ClassAbility"}</f>
        <v>CLASSABILITY</v>
      </c>
      <c r="D576" s="76" t="str">
        <f t="array" ref="D576:D577">{"CLASSABILITY4";"ClassAbility4"}</f>
        <v>CLASSABILITY4</v>
      </c>
      <c r="E576" s="76"/>
      <c r="F576" s="76"/>
      <c r="G576" s="76"/>
      <c r="H576" s="76"/>
      <c r="I576" s="76" t="str">
        <f t="array" ref="I576:I577">{"CLASSABILITY4-L03";((INDEX(ALLCLASSDATA,MATCH("ClassAbility4-L03",CLASSFEATUREHEADERS,0),MATCH(($A577),CLASSNAMEHEADERS,0))))}</f>
        <v>CLASSABILITY4-L03</v>
      </c>
      <c r="J576" s="76"/>
      <c r="K576" s="76" t="str">
        <f t="array" ref="K576:K577">{"CLASSABILITY4-L05";((INDEX(ALLCLASSDATA,MATCH("ClassAbility4-L05",CLASSFEATUREHEADERS,0),MATCH(($A577),CLASSNAMEHEADERS,0))))}</f>
        <v>CLASSABILITY4-L05</v>
      </c>
      <c r="L576" s="76"/>
      <c r="M576" s="76" t="str">
        <f t="array" ref="M576:M577">{"CLASSABILITY4-L07";((INDEX(ALLCLASSDATA,MATCH("ClassAbility4-L07",CLASSFEATUREHEADERS,0),MATCH(($A577),CLASSNAMEHEADERS,0))))}</f>
        <v>CLASSABILITY4-L07</v>
      </c>
      <c r="N576" s="76"/>
      <c r="O576" s="76" t="str">
        <f t="array" ref="O576:O577">{"CLASSABILITY4-L09";((INDEX(ALLCLASSDATA,MATCH("ClassAbility4-L09",CLASSFEATUREHEADERS,0),MATCH(($A577),CLASSNAMEHEADERS,0))))}</f>
        <v>CLASSABILITY4-L09</v>
      </c>
      <c r="P576" s="76"/>
      <c r="Q576" s="76" t="str">
        <f t="array" ref="Q576:Q577">{"CLASSABILITY4-L11";((INDEX(ALLCLASSDATA,MATCH("ClassAbility4-L11",CLASSFEATUREHEADERS,0),MATCH(($A577),CLASSNAMEHEADERS,0))))}</f>
        <v>CLASSABILITY4-L11</v>
      </c>
      <c r="R576" s="76"/>
      <c r="S576" s="76" t="str">
        <f t="array" ref="S576:S577">{"CLASSABILITY4-L13";((INDEX(ALLCLASSDATA,MATCH("ClassAbility4-L13",CLASSFEATUREHEADERS,0),MATCH(($A577),CLASSNAMEHEADERS,0))))}</f>
        <v>CLASSABILITY4-L13</v>
      </c>
      <c r="T576" s="76"/>
      <c r="U576" s="76" t="str">
        <f t="array" ref="U576:U577">{"CLASSABILITY4-L15";((INDEX(ALLCLASSDATA,MATCH("ClassAbility4-L15",CLASSFEATUREHEADERS,0),MATCH(($A577),CLASSNAMEHEADERS,0))))}</f>
        <v>CLASSABILITY4-L15</v>
      </c>
      <c r="V576" s="76"/>
      <c r="W576" s="76" t="str">
        <f t="array" ref="W576:W577">{"CLASSABILITY4-L17";((INDEX(ALLCLASSDATA,MATCH("ClassAbility4-L17",CLASSFEATUREHEADERS,0),MATCH(($A577),CLASSNAMEHEADERS,0))))}</f>
        <v>CLASSABILITY4-L17</v>
      </c>
      <c r="X576" s="76"/>
      <c r="Y576" s="76" t="str">
        <f t="array" ref="Y576:Y577">{"CLASSABILITY4-L19";((INDEX(ALLCLASSDATA,MATCH("ClassAbility4-L19",CLASSFEATUREHEADERS,0),MATCH(($A577),CLASSNAMEHEADERS,0))))}</f>
        <v>CLASSABILITY4-L19</v>
      </c>
      <c r="Z576" s="76"/>
      <c r="AA576" s="76"/>
      <c r="AB576" s="76"/>
    </row>
    <row r="577">
      <c r="A577" s="48" t="s">
        <v>221</v>
      </c>
      <c r="B577" s="48" t="s">
        <v>418</v>
      </c>
      <c r="C577" s="48" t="s">
        <v>825</v>
      </c>
      <c r="D577" s="48" t="s">
        <v>1273</v>
      </c>
      <c r="E577" s="48"/>
      <c r="F577" s="47"/>
      <c r="G577" s="5"/>
      <c r="H577" s="5"/>
      <c r="I577" s="5"/>
      <c r="J577" s="5"/>
      <c r="K577" s="5"/>
      <c r="L577" s="5"/>
      <c r="M577" s="5"/>
      <c r="N577" s="5"/>
      <c r="O577" s="5"/>
      <c r="P577" s="5"/>
      <c r="Q577" s="5"/>
      <c r="R577" s="5"/>
      <c r="S577" s="5"/>
      <c r="T577" s="5"/>
      <c r="U577" s="5"/>
      <c r="V577" s="5"/>
      <c r="W577" s="5"/>
      <c r="X577" s="5"/>
      <c r="Y577" s="5"/>
      <c r="Z577" s="5"/>
      <c r="AA577" s="5"/>
      <c r="AB577" s="47"/>
    </row>
    <row r="578" hidden="1">
      <c r="A578" s="76" t="str">
        <f t="array" ref="A578:A579">{"FormulaRow15";(INDEX(CLASSLIST,A549,1))}</f>
        <v>FormulaRow15</v>
      </c>
      <c r="B578" s="76" t="str">
        <f t="array" ref="B578:B579">{"CLASSTYPE";((INDEX(ALLCLASSDATA,MATCH("ClassType",CLASSFEATUREHEADERS,0),MATCH($A579,CLASSNAMEHEADERS,0))))}</f>
        <v>CLASSTYPE</v>
      </c>
      <c r="C578" s="76" t="str">
        <f t="array" ref="C578:C579">{"CLASSABILITYPTS";"ClassAbilityPts"}</f>
        <v>CLASSABILITYPTS</v>
      </c>
      <c r="D578" s="76" t="str">
        <f t="array" ref="D578:D579">{"CLASSABILITY4";"ClassAbility4"}</f>
        <v>CLASSABILITY4</v>
      </c>
      <c r="E578" s="76"/>
      <c r="F578" s="76"/>
      <c r="G578" s="76"/>
      <c r="H578" s="76"/>
      <c r="I578" s="76" t="str">
        <f t="array" ref="I578:I579">{"CLASSABILITY4-L03PTS";((INDEX(ALLCLASSDATA,MATCH("ClassAbility4-L03",CLASSFEATUREHEADERS,0),MATCH(($A579 &amp; "Points"),CLASSNAMEHEADERS,0))))}</f>
        <v>CLASSABILITY4-L03PTS</v>
      </c>
      <c r="J578" s="76"/>
      <c r="K578" s="76" t="str">
        <f t="array" ref="K578:K579">{"CLASSABILITY4-L05PTS";((INDEX(ALLCLASSDATA,MATCH("ClassAbility4-L05",CLASSFEATUREHEADERS,0),MATCH(($A579 &amp; "Points"),CLASSNAMEHEADERS,0))))}</f>
        <v>CLASSABILITY4-L05PTS</v>
      </c>
      <c r="L578" s="76"/>
      <c r="M578" s="76" t="str">
        <f t="array" ref="M578:M579">{"CLASSABILITY4-L07PTS";((INDEX(ALLCLASSDATA,MATCH("ClassAbility4-L07",CLASSFEATUREHEADERS,0),MATCH(($A579 &amp; "Points"),CLASSNAMEHEADERS,0))))}</f>
        <v>CLASSABILITY4-L07PTS</v>
      </c>
      <c r="N578" s="76"/>
      <c r="O578" s="76" t="str">
        <f t="array" ref="O578:O579">{"CLASSABILITY4-L09PTS";((INDEX(ALLCLASSDATA,MATCH("ClassAbility4-L09",CLASSFEATUREHEADERS,0),MATCH(($A579 &amp; "Points"),CLASSNAMEHEADERS,0))))}</f>
        <v>CLASSABILITY4-L09PTS</v>
      </c>
      <c r="P578" s="76"/>
      <c r="Q578" s="76" t="str">
        <f t="array" ref="Q578:Q579">{"CLASSABILITY4-L11PTS";((INDEX(ALLCLASSDATA,MATCH("ClassAbility4-L11",CLASSFEATUREHEADERS,0),MATCH(($A579 &amp; "Points"),CLASSNAMEHEADERS,0))))}</f>
        <v>CLASSABILITY4-L11PTS</v>
      </c>
      <c r="R578" s="76"/>
      <c r="S578" s="76" t="str">
        <f t="array" ref="S578:S579">{"CLASSABILITY4-L13PTS";((INDEX(ALLCLASSDATA,MATCH("ClassAbility4-L13",CLASSFEATUREHEADERS,0),MATCH(($A579 &amp; "Points"),CLASSNAMEHEADERS,0))))}</f>
        <v>CLASSABILITY4-L13PTS</v>
      </c>
      <c r="T578" s="76"/>
      <c r="U578" s="76" t="str">
        <f t="array" ref="U578:U579">{"CLASSABILITY4-L15PTS";((INDEX(ALLCLASSDATA,MATCH("ClassAbility4-L15",CLASSFEATUREHEADERS,0),MATCH(($A579 &amp; "Points"),CLASSNAMEHEADERS,0))))}</f>
        <v>CLASSABILITY4-L15PTS</v>
      </c>
      <c r="V578" s="76"/>
      <c r="W578" s="76" t="str">
        <f t="array" ref="W578:W579">{"CLASSABILITY4-L17PTS";((INDEX(ALLCLASSDATA,MATCH("ClassAbility4-L17",CLASSFEATUREHEADERS,0),MATCH(($A579 &amp; "Points"),CLASSNAMEHEADERS,0))))}</f>
        <v>CLASSABILITY4-L17PTS</v>
      </c>
      <c r="X578" s="76"/>
      <c r="Y578" s="76" t="str">
        <f t="array" ref="Y578:Y579">{"CLASSABILITY4-L19PTS";((INDEX(ALLCLASSDATA,MATCH("ClassAbility4-L19",CLASSFEATUREHEADERS,0),MATCH(($A579 &amp; "Points"),CLASSNAMEHEADERS,0))))}</f>
        <v>CLASSABILITY4-L19PTS</v>
      </c>
      <c r="Z578" s="76"/>
      <c r="AA578" s="76"/>
      <c r="AB578" s="76" t="str">
        <f t="array" ref="AB578:AB579">{"CLASSABILITY4 TOTAL";(sum(F579:Z579))}</f>
        <v>CLASSABILITY4 TOTAL</v>
      </c>
    </row>
    <row r="579">
      <c r="A579" s="48" t="s">
        <v>221</v>
      </c>
      <c r="B579" s="48" t="s">
        <v>418</v>
      </c>
      <c r="C579" s="48" t="s">
        <v>930</v>
      </c>
      <c r="D579" s="48" t="s">
        <v>1273</v>
      </c>
      <c r="E579" s="48"/>
      <c r="F579" s="47"/>
      <c r="G579" s="5"/>
      <c r="H579" s="5"/>
      <c r="I579" s="5"/>
      <c r="J579" s="5"/>
      <c r="K579" s="5"/>
      <c r="L579" s="5"/>
      <c r="M579" s="5"/>
      <c r="N579" s="5"/>
      <c r="O579" s="5"/>
      <c r="P579" s="5"/>
      <c r="Q579" s="5"/>
      <c r="R579" s="5"/>
      <c r="S579" s="5"/>
      <c r="T579" s="5"/>
      <c r="U579" s="5"/>
      <c r="V579" s="5"/>
      <c r="W579" s="5"/>
      <c r="X579" s="5"/>
      <c r="Y579" s="5"/>
      <c r="Z579" s="5"/>
      <c r="AA579" s="5"/>
      <c r="AB579" s="47">
        <v>0.0</v>
      </c>
    </row>
    <row r="580" hidden="1">
      <c r="A580" s="76" t="str">
        <f t="array" ref="A580:A581">{"FormulaRow16";(INDEX(CLASSLIST,A549,1))}</f>
        <v>FormulaRow16</v>
      </c>
      <c r="B580" s="76" t="str">
        <f t="array" ref="B580:B581">{"CLASSTYPE";((INDEX(ALLCLASSDATA,MATCH("ClassType",CLASSFEATUREHEADERS,0),MATCH($A581,CLASSNAMEHEADERS,0))))}</f>
        <v>CLASSTYPE</v>
      </c>
      <c r="C580" s="76" t="str">
        <f t="array" ref="C580:C581">{"CLASSABILITY";"ClassAbility"}</f>
        <v>CLASSABILITY</v>
      </c>
      <c r="D580" s="76" t="str">
        <f t="array" ref="D580:D581">{"SUBCLASSABILITY1";"SubclassAbility1"}</f>
        <v>SUBCLASSABILITY1</v>
      </c>
      <c r="E580" s="76"/>
      <c r="F580" s="76"/>
      <c r="G580" s="76"/>
      <c r="H580" s="76"/>
      <c r="I580" s="76" t="str">
        <f t="array" ref="I580:I581">{"SUBCLASSABILITY1-L03";((INDEX(ALLCLASSDATA,MATCH("SubclassAbility1-L03",CLASSFEATUREHEADERS,0),MATCH(($A581),CLASSNAMEHEADERS,0))))}</f>
        <v>SUBCLASSABILITY1-L03</v>
      </c>
      <c r="J580" s="76"/>
      <c r="K580" s="76" t="str">
        <f t="array" ref="K580:K581">{"SUBCLASSABILITY1-L05";((INDEX(ALLCLASSDATA,MATCH("SubclassAbility1-L05",CLASSFEATUREHEADERS,0),MATCH(($A581),CLASSNAMEHEADERS,0))))}</f>
        <v>SUBCLASSABILITY1-L05</v>
      </c>
      <c r="L580" s="76"/>
      <c r="M580" s="76" t="str">
        <f t="array" ref="M580:M581">{"SUBCLASSABILITY1-L07";((INDEX(ALLCLASSDATA,MATCH("SubclassAbility1-L07",CLASSFEATUREHEADERS,0),MATCH(($A581),CLASSNAMEHEADERS,0))))}</f>
        <v>SUBCLASSABILITY1-L07</v>
      </c>
      <c r="N580" s="76"/>
      <c r="O580" s="76" t="str">
        <f t="array" ref="O580:O581">{"SUBCLASSABILITY1-L09";((INDEX(ALLCLASSDATA,MATCH("SubclassAbility1-L09",CLASSFEATUREHEADERS,0),MATCH(($A581),CLASSNAMEHEADERS,0))))}</f>
        <v>SUBCLASSABILITY1-L09</v>
      </c>
      <c r="P580" s="76"/>
      <c r="Q580" s="76" t="str">
        <f t="array" ref="Q580:Q581">{"SUBCLASSABILITY1-L11";((INDEX(ALLCLASSDATA,MATCH("SubclassAbility1-L11",CLASSFEATUREHEADERS,0),MATCH(($A581),CLASSNAMEHEADERS,0))))}</f>
        <v>SUBCLASSABILITY1-L11</v>
      </c>
      <c r="R580" s="76"/>
      <c r="S580" s="76" t="str">
        <f t="array" ref="S580:S581">{"SUBCLASSABILITY1-L13";((INDEX(ALLCLASSDATA,MATCH("SubclassAbility1-L13",CLASSFEATUREHEADERS,0),MATCH(($A581),CLASSNAMEHEADERS,0))))}</f>
        <v>SUBCLASSABILITY1-L13</v>
      </c>
      <c r="T580" s="76"/>
      <c r="U580" s="76" t="str">
        <f t="array" ref="U580:U581">{"SUBCLASSABILITY1-L15";((INDEX(ALLCLASSDATA,MATCH("SubclassAbility1-L15",CLASSFEATUREHEADERS,0),MATCH(($A581),CLASSNAMEHEADERS,0))))}</f>
        <v>SUBCLASSABILITY1-L15</v>
      </c>
      <c r="V580" s="76"/>
      <c r="W580" s="76" t="str">
        <f t="array" ref="W580:W581">{"SUBCLASSABILITY1-L17";((INDEX(ALLCLASSDATA,MATCH("SubclassAbility1-L17",CLASSFEATUREHEADERS,0),MATCH(($A581),CLASSNAMEHEADERS,0))))}</f>
        <v>SUBCLASSABILITY1-L17</v>
      </c>
      <c r="X580" s="76"/>
      <c r="Y580" s="76" t="str">
        <f t="array" ref="Y580:Y581">{"SUBCLASSABILITY1-L19";((INDEX(ALLCLASSDATA,MATCH("SubclassAbility1-L19",CLASSFEATUREHEADERS,0),MATCH(($A581),CLASSNAMEHEADERS,0))))}</f>
        <v>SUBCLASSABILITY1-L19</v>
      </c>
      <c r="Z580" s="76"/>
      <c r="AA580" s="76"/>
      <c r="AB580" s="76"/>
    </row>
    <row r="581">
      <c r="A581" s="48" t="s">
        <v>221</v>
      </c>
      <c r="B581" s="48" t="s">
        <v>418</v>
      </c>
      <c r="C581" s="48" t="s">
        <v>825</v>
      </c>
      <c r="D581" s="28" t="s">
        <v>1355</v>
      </c>
      <c r="E581" s="5"/>
      <c r="F581" s="47"/>
      <c r="G581" s="5"/>
      <c r="H581" s="5"/>
      <c r="I581" s="5"/>
      <c r="J581" s="5"/>
      <c r="K581" s="5"/>
      <c r="L581" s="5"/>
      <c r="M581" s="5"/>
      <c r="N581" s="5"/>
      <c r="O581" s="5"/>
      <c r="P581" s="5"/>
      <c r="Q581" s="5"/>
      <c r="R581" s="5"/>
      <c r="S581" s="5"/>
      <c r="T581" s="5"/>
      <c r="U581" s="5"/>
      <c r="V581" s="5"/>
      <c r="W581" s="5"/>
      <c r="X581" s="5"/>
      <c r="Y581" s="5"/>
      <c r="Z581" s="5"/>
      <c r="AA581" s="5"/>
      <c r="AB581" s="47"/>
    </row>
    <row r="582" hidden="1">
      <c r="A582" s="76" t="str">
        <f t="array" ref="A582:A583">{"FormulaRow17";(INDEX(CLASSLIST,A549,1))}</f>
        <v>FormulaRow17</v>
      </c>
      <c r="B582" s="76" t="str">
        <f t="array" ref="B582:B583">{"CLASSTYPE";((INDEX(ALLCLASSDATA,MATCH("ClassType",CLASSFEATUREHEADERS,0),MATCH($A583,CLASSNAMEHEADERS,0))))}</f>
        <v>CLASSTYPE</v>
      </c>
      <c r="C582" s="76" t="str">
        <f t="array" ref="C582:C583">{"CLASSABILITYPTS";"ClassAbilityPts"}</f>
        <v>CLASSABILITYPTS</v>
      </c>
      <c r="D582" s="76" t="str">
        <f t="array" ref="D582:D583">{"SUBCLASSABILITY1";"SubclassAbility1"}</f>
        <v>SUBCLASSABILITY1</v>
      </c>
      <c r="E582" s="76"/>
      <c r="F582" s="76"/>
      <c r="G582" s="76"/>
      <c r="H582" s="76"/>
      <c r="I582" s="76" t="str">
        <f t="array" ref="I582:I583">{"SUBCLASSABILITY1-L03PTS";((INDEX(ALLCLASSDATA,MATCH("SubclassAbility1-L03",CLASSFEATUREHEADERS,0),MATCH(($A583 &amp; "Points"),CLASSNAMEHEADERS,0))))}</f>
        <v>SUBCLASSABILITY1-L03PTS</v>
      </c>
      <c r="J582" s="76"/>
      <c r="K582" s="76" t="str">
        <f t="array" ref="K582:K583">{"SUBCLASSABILITY1-L05PTS";((INDEX(ALLCLASSDATA,MATCH("SubclassAbility1-L05",CLASSFEATUREHEADERS,0),MATCH(($A583 &amp; "Points"),CLASSNAMEHEADERS,0))))}</f>
        <v>SUBCLASSABILITY1-L05PTS</v>
      </c>
      <c r="L582" s="76"/>
      <c r="M582" s="76" t="str">
        <f t="array" ref="M582:M583">{"SUBCLASSABILITY1-L07PTS";((INDEX(ALLCLASSDATA,MATCH("SubclassAbility1-L07",CLASSFEATUREHEADERS,0),MATCH(($A583 &amp; "Points"),CLASSNAMEHEADERS,0))))}</f>
        <v>SUBCLASSABILITY1-L07PTS</v>
      </c>
      <c r="N582" s="76"/>
      <c r="O582" s="76" t="str">
        <f t="array" ref="O582:O583">{"SUBCLASSABILITY1-L09PTS";((INDEX(ALLCLASSDATA,MATCH("SubclassAbility1-L09",CLASSFEATUREHEADERS,0),MATCH(($A583 &amp; "Points"),CLASSNAMEHEADERS,0))))}</f>
        <v>SUBCLASSABILITY1-L09PTS</v>
      </c>
      <c r="P582" s="76"/>
      <c r="Q582" s="76" t="str">
        <f t="array" ref="Q582:Q583">{"SUBCLASSABILITY1-L11PTS";((INDEX(ALLCLASSDATA,MATCH("SubclassAbility1-L11",CLASSFEATUREHEADERS,0),MATCH(($A583 &amp; "Points"),CLASSNAMEHEADERS,0))))}</f>
        <v>SUBCLASSABILITY1-L11PTS</v>
      </c>
      <c r="R582" s="76"/>
      <c r="S582" s="76" t="str">
        <f t="array" ref="S582:S583">{"SUBCLASSABILITY1-L13PTS";((INDEX(ALLCLASSDATA,MATCH("SubclassAbility1-L13",CLASSFEATUREHEADERS,0),MATCH(($A583 &amp; "Points"),CLASSNAMEHEADERS,0))))}</f>
        <v>SUBCLASSABILITY1-L13PTS</v>
      </c>
      <c r="T582" s="76"/>
      <c r="U582" s="76" t="str">
        <f t="array" ref="U582:U583">{"SUBCLASSABILITY1-L15PTS";((INDEX(ALLCLASSDATA,MATCH("SubclassAbility1-L15",CLASSFEATUREHEADERS,0),MATCH(($A583 &amp; "Points"),CLASSNAMEHEADERS,0))))}</f>
        <v>SUBCLASSABILITY1-L15PTS</v>
      </c>
      <c r="V582" s="76"/>
      <c r="W582" s="76" t="str">
        <f t="array" ref="W582:W583">{"SUBCLASSABILITY1-L17PTS";((INDEX(ALLCLASSDATA,MATCH("SubclassAbility1-L17",CLASSFEATUREHEADERS,0),MATCH(($A583 &amp; "Points"),CLASSNAMEHEADERS,0))))}</f>
        <v>SUBCLASSABILITY1-L17PTS</v>
      </c>
      <c r="X582" s="76"/>
      <c r="Y582" s="76" t="str">
        <f t="array" ref="Y582:Y583">{"SUBCLASSABILITY1-L19PTS";((INDEX(ALLCLASSDATA,MATCH("SubclassAbility1-L19",CLASSFEATUREHEADERS,0),MATCH(($A583 &amp; "Points"),CLASSNAMEHEADERS,0))))}</f>
        <v>SUBCLASSABILITY1-L19PTS</v>
      </c>
      <c r="Z582" s="76"/>
      <c r="AA582" s="76"/>
      <c r="AB582" s="76" t="str">
        <f t="array" ref="AB582:AB583">{"SUBCLASSABILITY1 TOTAL";(sum(F583:Z583))}</f>
        <v>SUBCLASSABILITY1 TOTAL</v>
      </c>
    </row>
    <row r="583">
      <c r="A583" s="48" t="s">
        <v>221</v>
      </c>
      <c r="B583" s="48" t="s">
        <v>418</v>
      </c>
      <c r="C583" s="48" t="s">
        <v>930</v>
      </c>
      <c r="D583" s="28" t="s">
        <v>1355</v>
      </c>
      <c r="E583" s="5"/>
      <c r="F583" s="47"/>
      <c r="G583" s="5"/>
      <c r="H583" s="5"/>
      <c r="I583" s="5"/>
      <c r="J583" s="5"/>
      <c r="K583" s="5"/>
      <c r="L583" s="5"/>
      <c r="M583" s="5"/>
      <c r="N583" s="5"/>
      <c r="O583" s="5"/>
      <c r="P583" s="5"/>
      <c r="Q583" s="5"/>
      <c r="R583" s="5"/>
      <c r="S583" s="5"/>
      <c r="T583" s="5"/>
      <c r="U583" s="5"/>
      <c r="V583" s="5"/>
      <c r="W583" s="5"/>
      <c r="X583" s="5"/>
      <c r="Y583" s="5"/>
      <c r="Z583" s="5"/>
      <c r="AA583" s="5"/>
      <c r="AB583" s="47">
        <v>0.0</v>
      </c>
    </row>
    <row r="584" hidden="1">
      <c r="A584" s="76" t="str">
        <f t="array" ref="A584:A585">{"FormulaRow18";(INDEX(CLASSLIST,A549,1))}</f>
        <v>FormulaRow18</v>
      </c>
      <c r="B584" s="76" t="str">
        <f t="array" ref="B584:B585">{"CLASSTYPE";((INDEX(ALLCLASSDATA,MATCH("ClassType",CLASSFEATUREHEADERS,0),MATCH($A585,CLASSNAMEHEADERS,0))))}</f>
        <v>CLASSTYPE</v>
      </c>
      <c r="C584" s="76" t="str">
        <f t="array" ref="C584:C585">{"CLASSABILITY";"ClassAbility"}</f>
        <v>CLASSABILITY</v>
      </c>
      <c r="D584" s="76" t="str">
        <f t="array" ref="D584:D585">{"SUBCLASSABILITY2";"SubclassAbility2"}</f>
        <v>SUBCLASSABILITY2</v>
      </c>
      <c r="E584" s="76"/>
      <c r="F584" s="76"/>
      <c r="G584" s="76"/>
      <c r="H584" s="76"/>
      <c r="I584" s="76" t="str">
        <f t="array" ref="I584:I585">{"SUBCLASSABILITY2-L03";((INDEX(ALLCLASSDATA,MATCH("SubclassAbility2-L03",CLASSFEATUREHEADERS,0),MATCH(($A585),CLASSNAMEHEADERS,0))))}</f>
        <v>SUBCLASSABILITY2-L03</v>
      </c>
      <c r="J584" s="76"/>
      <c r="K584" s="76" t="str">
        <f t="array" ref="K584:K585">{"SUBCLASSABILITY2-L05";((INDEX(ALLCLASSDATA,MATCH("SubclassAbility2-L05",CLASSFEATUREHEADERS,0),MATCH(($A585),CLASSNAMEHEADERS,0))))}</f>
        <v>SUBCLASSABILITY2-L05</v>
      </c>
      <c r="L584" s="76"/>
      <c r="M584" s="76" t="str">
        <f t="array" ref="M584:M585">{"SUBCLASSABILITY2-L07";((INDEX(ALLCLASSDATA,MATCH("SubclassAbility2-L07",CLASSFEATUREHEADERS,0),MATCH(($A585),CLASSNAMEHEADERS,0))))}</f>
        <v>SUBCLASSABILITY2-L07</v>
      </c>
      <c r="N584" s="76"/>
      <c r="O584" s="76" t="str">
        <f t="array" ref="O584:O585">{"SUBCLASSABILITY2-L09";((INDEX(ALLCLASSDATA,MATCH("SubclassAbility2-L09",CLASSFEATUREHEADERS,0),MATCH(($A585),CLASSNAMEHEADERS,0))))}</f>
        <v>SUBCLASSABILITY2-L09</v>
      </c>
      <c r="P584" s="76"/>
      <c r="Q584" s="76" t="str">
        <f t="array" ref="Q584:Q585">{"SUBCLASSABILITY2-L11";((INDEX(ALLCLASSDATA,MATCH("SubclassAbility2-L11",CLASSFEATUREHEADERS,0),MATCH(($A585),CLASSNAMEHEADERS,0))))}</f>
        <v>SUBCLASSABILITY2-L11</v>
      </c>
      <c r="R584" s="76"/>
      <c r="S584" s="76" t="str">
        <f t="array" ref="S584:S585">{"SUBCLASSABILITY2-L13";((INDEX(ALLCLASSDATA,MATCH("SubclassAbility2-L13",CLASSFEATUREHEADERS,0),MATCH(($A585),CLASSNAMEHEADERS,0))))}</f>
        <v>SUBCLASSABILITY2-L13</v>
      </c>
      <c r="T584" s="76"/>
      <c r="U584" s="76" t="str">
        <f t="array" ref="U584:U585">{"SUBCLASSABILITY2-L15";((INDEX(ALLCLASSDATA,MATCH("SubclassAbility2-L15",CLASSFEATUREHEADERS,0),MATCH(($A585),CLASSNAMEHEADERS,0))))}</f>
        <v>SUBCLASSABILITY2-L15</v>
      </c>
      <c r="V584" s="76"/>
      <c r="W584" s="76" t="str">
        <f t="array" ref="W584:W585">{"SUBCLASSABILITY2-L17";((INDEX(ALLCLASSDATA,MATCH("SubclassAbility2-L17",CLASSFEATUREHEADERS,0),MATCH(($A585),CLASSNAMEHEADERS,0))))}</f>
        <v>SUBCLASSABILITY2-L17</v>
      </c>
      <c r="X584" s="76"/>
      <c r="Y584" s="76" t="str">
        <f t="array" ref="Y584:Y585">{"SUBCLASSABILITY2-L19";((INDEX(ALLCLASSDATA,MATCH("SubclassAbility2-L19",CLASSFEATUREHEADERS,0),MATCH(($A585),CLASSNAMEHEADERS,0))))}</f>
        <v>SUBCLASSABILITY2-L19</v>
      </c>
      <c r="Z584" s="76"/>
      <c r="AA584" s="76"/>
      <c r="AB584" s="76"/>
    </row>
    <row r="585">
      <c r="A585" s="48" t="s">
        <v>221</v>
      </c>
      <c r="B585" s="48" t="s">
        <v>418</v>
      </c>
      <c r="C585" s="48" t="s">
        <v>825</v>
      </c>
      <c r="D585" s="28" t="s">
        <v>1370</v>
      </c>
      <c r="E585" s="5"/>
      <c r="F585" s="47"/>
      <c r="G585" s="5"/>
      <c r="H585" s="5"/>
      <c r="I585" s="5"/>
      <c r="J585" s="5"/>
      <c r="K585" s="5"/>
      <c r="L585" s="5"/>
      <c r="M585" s="5"/>
      <c r="N585" s="5"/>
      <c r="O585" s="5"/>
      <c r="P585" s="5"/>
      <c r="Q585" s="5"/>
      <c r="R585" s="5"/>
      <c r="S585" s="5"/>
      <c r="T585" s="5"/>
      <c r="U585" s="5"/>
      <c r="V585" s="5"/>
      <c r="W585" s="5"/>
      <c r="X585" s="5"/>
      <c r="Y585" s="5"/>
      <c r="Z585" s="5"/>
      <c r="AA585" s="5"/>
      <c r="AB585" s="47"/>
    </row>
    <row r="586" hidden="1">
      <c r="A586" s="76" t="str">
        <f t="array" ref="A586:A587">{"FormulaRow19";(INDEX(CLASSLIST,A549,1))}</f>
        <v>FormulaRow19</v>
      </c>
      <c r="B586" s="76" t="str">
        <f t="array" ref="B586:B587">{"CLASSTYPE";((INDEX(ALLCLASSDATA,MATCH("ClassType",CLASSFEATUREHEADERS,0),MATCH($A587,CLASSNAMEHEADERS,0))))}</f>
        <v>CLASSTYPE</v>
      </c>
      <c r="C586" s="76" t="str">
        <f t="array" ref="C586:C587">{"CLASSABILITYPTS";"ClassAbilityPts"}</f>
        <v>CLASSABILITYPTS</v>
      </c>
      <c r="D586" s="76" t="str">
        <f t="array" ref="D586:D587">{"SUBCLASSABILITY2";"SubclassAbility2"}</f>
        <v>SUBCLASSABILITY2</v>
      </c>
      <c r="E586" s="76"/>
      <c r="F586" s="76"/>
      <c r="G586" s="76"/>
      <c r="H586" s="76"/>
      <c r="I586" s="76" t="str">
        <f t="array" ref="I586:I587">{"SUBCLASSABILITY2-L03PTS";((INDEX(ALLCLASSDATA,MATCH("SubclassAbility2-L03",CLASSFEATUREHEADERS,0),MATCH(($A587 &amp; "Points"),CLASSNAMEHEADERS,0))))}</f>
        <v>SUBCLASSABILITY2-L03PTS</v>
      </c>
      <c r="J586" s="76"/>
      <c r="K586" s="76" t="str">
        <f t="array" ref="K586:K587">{"SUBCLASSABILITY2-L05PTS";((INDEX(ALLCLASSDATA,MATCH("SubclassAbility2-L05",CLASSFEATUREHEADERS,0),MATCH(($A587 &amp; "Points"),CLASSNAMEHEADERS,0))))}</f>
        <v>SUBCLASSABILITY2-L05PTS</v>
      </c>
      <c r="L586" s="76"/>
      <c r="M586" s="76" t="str">
        <f t="array" ref="M586:M587">{"SUBCLASSABILITY2-L07PTS";((INDEX(ALLCLASSDATA,MATCH("SubclassAbility2-L07",CLASSFEATUREHEADERS,0),MATCH(($A587 &amp; "Points"),CLASSNAMEHEADERS,0))))}</f>
        <v>SUBCLASSABILITY2-L07PTS</v>
      </c>
      <c r="N586" s="76"/>
      <c r="O586" s="76" t="str">
        <f t="array" ref="O586:O587">{"SUBCLASSABILITY2-L09PTS";((INDEX(ALLCLASSDATA,MATCH("SubclassAbility2-L09",CLASSFEATUREHEADERS,0),MATCH(($A587 &amp; "Points"),CLASSNAMEHEADERS,0))))}</f>
        <v>SUBCLASSABILITY2-L09PTS</v>
      </c>
      <c r="P586" s="76"/>
      <c r="Q586" s="76" t="str">
        <f t="array" ref="Q586:Q587">{"SUBCLASSABILITY2-L11PTS";((INDEX(ALLCLASSDATA,MATCH("SubclassAbility2-L11",CLASSFEATUREHEADERS,0),MATCH(($A587 &amp; "Points"),CLASSNAMEHEADERS,0))))}</f>
        <v>SUBCLASSABILITY2-L11PTS</v>
      </c>
      <c r="R586" s="76"/>
      <c r="S586" s="76" t="str">
        <f t="array" ref="S586:S587">{"SUBCLASSABILITY2-L13PTS";((INDEX(ALLCLASSDATA,MATCH("SubclassAbility2-L13",CLASSFEATUREHEADERS,0),MATCH(($A587 &amp; "Points"),CLASSNAMEHEADERS,0))))}</f>
        <v>SUBCLASSABILITY2-L13PTS</v>
      </c>
      <c r="T586" s="76"/>
      <c r="U586" s="76" t="str">
        <f t="array" ref="U586:U587">{"SUBCLASSABILITY2-L15PTS";((INDEX(ALLCLASSDATA,MATCH("SubclassAbility2-L15",CLASSFEATUREHEADERS,0),MATCH(($A587 &amp; "Points"),CLASSNAMEHEADERS,0))))}</f>
        <v>SUBCLASSABILITY2-L15PTS</v>
      </c>
      <c r="V586" s="76"/>
      <c r="W586" s="76" t="str">
        <f t="array" ref="W586:W587">{"SUBCLASSABILITY2-L17PTS";((INDEX(ALLCLASSDATA,MATCH("SubclassAbility2-L17",CLASSFEATUREHEADERS,0),MATCH(($A587 &amp; "Points"),CLASSNAMEHEADERS,0))))}</f>
        <v>SUBCLASSABILITY2-L17PTS</v>
      </c>
      <c r="X586" s="76"/>
      <c r="Y586" s="76" t="str">
        <f t="array" ref="Y586:Y587">{"SUBCLASSABILITY2-L19PTS";((INDEX(ALLCLASSDATA,MATCH("SubclassAbility2-L19",CLASSFEATUREHEADERS,0),MATCH(($A587 &amp; "Points"),CLASSNAMEHEADERS,0))))}</f>
        <v>SUBCLASSABILITY2-L19PTS</v>
      </c>
      <c r="Z586" s="76"/>
      <c r="AA586" s="76"/>
      <c r="AB586" s="76" t="str">
        <f t="array" ref="AB586:AB587">{"SUBCLASSABILITY2 TOTAL";(sum(F587:Z587))}</f>
        <v>SUBCLASSABILITY2 TOTAL</v>
      </c>
    </row>
    <row r="587">
      <c r="A587" s="48" t="s">
        <v>221</v>
      </c>
      <c r="B587" s="48" t="s">
        <v>418</v>
      </c>
      <c r="C587" s="97" t="s">
        <v>930</v>
      </c>
      <c r="D587" s="215" t="s">
        <v>1370</v>
      </c>
      <c r="E587" s="98"/>
      <c r="F587" s="132"/>
      <c r="G587" s="98"/>
      <c r="H587" s="98"/>
      <c r="I587" s="98"/>
      <c r="J587" s="98"/>
      <c r="K587" s="98"/>
      <c r="L587" s="98"/>
      <c r="M587" s="98"/>
      <c r="N587" s="98"/>
      <c r="O587" s="98"/>
      <c r="P587" s="98"/>
      <c r="Q587" s="98"/>
      <c r="R587" s="98"/>
      <c r="S587" s="98"/>
      <c r="T587" s="98"/>
      <c r="U587" s="98"/>
      <c r="V587" s="98"/>
      <c r="W587" s="98"/>
      <c r="X587" s="98"/>
      <c r="Y587" s="98"/>
      <c r="Z587" s="98"/>
      <c r="AA587" s="5"/>
      <c r="AB587" s="47">
        <v>0.0</v>
      </c>
    </row>
    <row r="588" hidden="1">
      <c r="A588" s="76" t="str">
        <f t="array" ref="A588:A589">{"FormulaRow20";(INDEX(CLASSLIST,A549,1))}</f>
        <v>FormulaRow20</v>
      </c>
      <c r="B588" s="76" t="str">
        <f t="array" ref="B588:B589">{"CLASSTYPE";((INDEX(ALLCLASSDATA,MATCH("ClassType",CLASSFEATUREHEADERS,0),MATCH($A589,CLASSNAMEHEADERS,0))))}</f>
        <v>CLASSTYPE</v>
      </c>
      <c r="C588" s="81" t="str">
        <f t="array" ref="C588:C589">{"DC";"DC"}</f>
        <v>DC</v>
      </c>
      <c r="D588" s="81" t="str">
        <f t="array" ref="D588:D589">{"CLASSDC";"ClassDC"}</f>
        <v>CLASSDC</v>
      </c>
      <c r="E588" s="81" t="str">
        <f t="array" ref="E588:E589">{"CLASSDCINITIAL";((IF(G589=10,"T",(IF(G589=50,"E","")))))}</f>
        <v>CLASSDCINITIAL</v>
      </c>
      <c r="F588" s="81" t="str">
        <f t="array" ref="F588:F589">{"CLASSDCINITIALPTS";((IF("00"=(INDEX(ALLCLASSDATA,MATCH("ClassDCLegendary",CLASSFEATUREHEADERS,0),MATCH($A589,CLASSNAMEHEADERS,0))),(INDEX(ALLCLASSDATA,MATCH("ClassDCLegendary",CLASSFEATUREHEADERS,0),MATCH(($A589 &amp; "Points"),CLASSNAMEHEADERS,0))),(IF("00"=(INDEX(ALLCLASSDATA,MATCH("ClassDCMaster",CLASSFEATUREHEADERS,0),MATCH($A589,CLASSNAMEHEADERS,0))),(INDEX(ALLCLASSDATA,MATCH("ClassDCMaster",CLASSFEATUREHEADERS,0),MATCH(($A589 &amp; "Points"),CLASSNAMEHEADERS,0))),(IF("00"=(INDEX(ALLCLASSDATA,MATCH("ClassDCExpert",CLASSFEATUREHEADERS,0),MATCH($A589,CLASSNAMEHEADERS,0))),(INDEX(ALLCLASSDATA,MATCH("ClassDCExpert",CLASSFEATUREHEADERS,0),MATCH(($A589 &amp; "Points"),CLASSNAMEHEADERS,0))),(IF("00"=(INDEX(ALLCLASSDATA,MATCH("ClassDCTrained",CLASSFEATUREHEADERS,0),MATCH($A589,CLASSNAMEHEADERS,0))),(INDEX(ALLCLASSDATA,MATCH("ClassDCTrained",CLASSFEATUREHEADERS,0),MATCH(($A589 &amp; "Points"),CLASSNAMEHEADERS,0))),"")))))))))}</f>
        <v>CLASSDCINITIALPTS</v>
      </c>
      <c r="G588" s="81" t="str">
        <f t="array" ref="G588:G589">{"CLASSDCL01";((IF("01"=(INDEX(ALLCLASSDATA,MATCH("ClassDCLegendary",CLASSFEATUREHEADERS,0),MATCH($A589,CLASSNAMEHEADERS,0))),(INDEX(ALLCLASSDATA,MATCH("ClassDCLegendary",CLASSFEATUREHEADERS,0),MATCH(($A589 &amp; "Points"),CLASSNAMEHEADERS,0))),(IF("01"=(INDEX(ALLCLASSDATA,MATCH("ClassDCMaster",CLASSFEATUREHEADERS,0),MATCH($A589,CLASSNAMEHEADERS,0))),(INDEX(ALLCLASSDATA,MATCH("ClassDCMaster",CLASSFEATUREHEADERS,0),MATCH(($A589 &amp; "Points"),CLASSNAMEHEADERS,0))),(IF("01"=(INDEX(ALLCLASSDATA,MATCH("ClassDCExpert",CLASSFEATUREHEADERS,0),MATCH($A589,CLASSNAMEHEADERS,0))),(INDEX(ALLCLASSDATA,MATCH("ClassDCExpert",CLASSFEATUREHEADERS,0),MATCH(($A589 &amp; "Points"),CLASSNAMEHEADERS,0))),(IF("01"=(INDEX(ALLCLASSDATA,MATCH("ClassDCTrained",CLASSFEATUREHEADERS,0),MATCH($A589,CLASSNAMEHEADERS,0))),(INDEX(ALLCLASSDATA,MATCH("ClassDCTrained",CLASSFEATUREHEADERS,0),MATCH(($A589 &amp; "Points"),CLASSNAMEHEADERS,0))),"")))))))))}</f>
        <v>CLASSDCL01</v>
      </c>
      <c r="H588" s="81"/>
      <c r="I588" s="81" t="str">
        <f t="array" ref="I588:I589">{"CLASSDCL03";((IF("03"=(INDEX(ALLCLASSDATA,MATCH("ClassDCLegendary",CLASSFEATUREHEADERS,0),MATCH($A589,CLASSNAMEHEADERS,0))),(INDEX(ALLCLASSDATA,MATCH("ClassDCLegendary",CLASSFEATUREHEADERS,0),MATCH(($A589 &amp; "Points"),CLASSNAMEHEADERS,0))),(IF("03"=(INDEX(ALLCLASSDATA,MATCH("ClassDCMaster",CLASSFEATUREHEADERS,0),MATCH($A589,CLASSNAMEHEADERS,0))),(INDEX(ALLCLASSDATA,MATCH("ClassDCMaster",CLASSFEATUREHEADERS,0),MATCH(($A589 &amp; "Points"),CLASSNAMEHEADERS,0))),(IF("03"=(INDEX(ALLCLASSDATA,MATCH("ClassDCExpert",CLASSFEATUREHEADERS,0),MATCH($A589,CLASSNAMEHEADERS,0))),(INDEX(ALLCLASSDATA,MATCH("ClassDCExpert",CLASSFEATUREHEADERS,0),MATCH(($A589 &amp; "Points"),CLASSNAMEHEADERS,0))),(IF("03"=(INDEX(ALLCLASSDATA,MATCH("ClassDCTrained",CLASSFEATUREHEADERS,0),MATCH($A589,CLASSNAMEHEADERS,0))),(INDEX(ALLCLASSDATA,MATCH("ClassDCTrained",CLASSFEATUREHEADERS,0),MATCH(($A589 &amp; "Points"),CLASSNAMEHEADERS,0))),"")))))))))}</f>
        <v>CLASSDCL03</v>
      </c>
      <c r="J588" s="81"/>
      <c r="K588" s="81" t="str">
        <f t="array" ref="K588:K589">{"CLASSDCL05";((IF("05"=(INDEX(ALLCLASSDATA,MATCH("ClassDCLegendary",CLASSFEATUREHEADERS,0),MATCH($A589,CLASSNAMEHEADERS,0))),(INDEX(ALLCLASSDATA,MATCH("ClassDCLegendary",CLASSFEATUREHEADERS,0),MATCH(($A589 &amp; "Points"),CLASSNAMEHEADERS,0))),(IF("05"=(INDEX(ALLCLASSDATA,MATCH("ClassDCMaster",CLASSFEATUREHEADERS,0),MATCH($A589,CLASSNAMEHEADERS,0))),(INDEX(ALLCLASSDATA,MATCH("ClassDCMaster",CLASSFEATUREHEADERS,0),MATCH(($A589 &amp; "Points"),CLASSNAMEHEADERS,0))),(IF("05"=(INDEX(ALLCLASSDATA,MATCH("ClassDCExpert",CLASSFEATUREHEADERS,0),MATCH($A589,CLASSNAMEHEADERS,0))),(INDEX(ALLCLASSDATA,MATCH("ClassDCExpert",CLASSFEATUREHEADERS,0),MATCH(($A589 &amp; "Points"),CLASSNAMEHEADERS,0))),(IF("05"=(INDEX(ALLCLASSDATA,MATCH("ClassDCTrained",CLASSFEATUREHEADERS,0),MATCH($A589,CLASSNAMEHEADERS,0))),(INDEX(ALLCLASSDATA,MATCH("ClassDCTrained",CLASSFEATUREHEADERS,0),MATCH(($A589 &amp; "Points"),CLASSNAMEHEADERS,0))),"")))))))))}</f>
        <v>CLASSDCL05</v>
      </c>
      <c r="L588" s="81"/>
      <c r="M588" s="81" t="str">
        <f t="array" ref="M588:M589">{"CLASSDCL07";((IF("07"=(INDEX(ALLCLASSDATA,MATCH("ClassDCLegendary",CLASSFEATUREHEADERS,0),MATCH($A589,CLASSNAMEHEADERS,0))),(INDEX(ALLCLASSDATA,MATCH("ClassDCLegendary",CLASSFEATUREHEADERS,0),MATCH(($A589 &amp; "Points"),CLASSNAMEHEADERS,0))),(IF("07"=(INDEX(ALLCLASSDATA,MATCH("ClassDCMaster",CLASSFEATUREHEADERS,0),MATCH($A589,CLASSNAMEHEADERS,0))),(INDEX(ALLCLASSDATA,MATCH("ClassDCMaster",CLASSFEATUREHEADERS,0),MATCH(($A589 &amp; "Points"),CLASSNAMEHEADERS,0))),(IF("07"=(INDEX(ALLCLASSDATA,MATCH("ClassDCExpert",CLASSFEATUREHEADERS,0),MATCH($A589,CLASSNAMEHEADERS,0))),(INDEX(ALLCLASSDATA,MATCH("ClassDCExpert",CLASSFEATUREHEADERS,0),MATCH(($A589 &amp; "Points"),CLASSNAMEHEADERS,0))),(IF("07"=(INDEX(ALLCLASSDATA,MATCH("ClassDCTrained",CLASSFEATUREHEADERS,0),MATCH($A589,CLASSNAMEHEADERS,0))),(INDEX(ALLCLASSDATA,MATCH("ClassDCTrained",CLASSFEATUREHEADERS,0),MATCH(($A589 &amp; "Points"),CLASSNAMEHEADERS,0))),"")))))))))}</f>
        <v>CLASSDCL07</v>
      </c>
      <c r="N588" s="81"/>
      <c r="O588" s="81" t="str">
        <f t="array" ref="O588:O589">{"CLASSDCL09";((IF("09"=(INDEX(ALLCLASSDATA,MATCH("ClassDCLegendary",CLASSFEATUREHEADERS,0),MATCH($A589,CLASSNAMEHEADERS,0))),(INDEX(ALLCLASSDATA,MATCH("ClassDCLegendary",CLASSFEATUREHEADERS,0),MATCH(($A589 &amp; "Points"),CLASSNAMEHEADERS,0))),(IF("09"=(INDEX(ALLCLASSDATA,MATCH("ClassDCMaster",CLASSFEATUREHEADERS,0),MATCH($A589,CLASSNAMEHEADERS,0))),(INDEX(ALLCLASSDATA,MATCH("ClassDCMaster",CLASSFEATUREHEADERS,0),MATCH(($A589 &amp; "Points"),CLASSNAMEHEADERS,0))),(IF("09"=(INDEX(ALLCLASSDATA,MATCH("ClassDCExpert",CLASSFEATUREHEADERS,0),MATCH($A589,CLASSNAMEHEADERS,0))),(INDEX(ALLCLASSDATA,MATCH("ClassDCExpert",CLASSFEATUREHEADERS,0),MATCH(($A589 &amp; "Points"),CLASSNAMEHEADERS,0))),(IF("09"=(INDEX(ALLCLASSDATA,MATCH("ClassDCTrained",CLASSFEATUREHEADERS,0),MATCH($A589,CLASSNAMEHEADERS,0))),(INDEX(ALLCLASSDATA,MATCH("ClassDCTrained",CLASSFEATUREHEADERS,0),MATCH(($A589 &amp; "Points"),CLASSNAMEHEADERS,0))),"")))))))))}</f>
        <v>CLASSDCL09</v>
      </c>
      <c r="P588" s="81"/>
      <c r="Q588" s="81" t="str">
        <f t="array" ref="Q588:Q589">{"CLASSDCL11";((IF("11"=(INDEX(ALLCLASSDATA,MATCH("ClassDCLegendary",CLASSFEATUREHEADERS,0),MATCH($A589,CLASSNAMEHEADERS,0))),(INDEX(ALLCLASSDATA,MATCH("ClassDCLegendary",CLASSFEATUREHEADERS,0),MATCH(($A589 &amp; "Points"),CLASSNAMEHEADERS,0))),(IF("11"=(INDEX(ALLCLASSDATA,MATCH("ClassDCMaster",CLASSFEATUREHEADERS,0),MATCH($A589,CLASSNAMEHEADERS,0))),(INDEX(ALLCLASSDATA,MATCH("ClassDCMaster",CLASSFEATUREHEADERS,0),MATCH(($A589 &amp; "Points"),CLASSNAMEHEADERS,0))),(IF("11"=(INDEX(ALLCLASSDATA,MATCH("ClassDCExpert",CLASSFEATUREHEADERS,0),MATCH($A589,CLASSNAMEHEADERS,0))),(INDEX(ALLCLASSDATA,MATCH("ClassDCExpert",CLASSFEATUREHEADERS,0),MATCH(($A589 &amp; "Points"),CLASSNAMEHEADERS,0))),(IF("11"=(INDEX(ALLCLASSDATA,MATCH("ClassDCTrained",CLASSFEATUREHEADERS,0),MATCH($A589,CLASSNAMEHEADERS,0))),(INDEX(ALLCLASSDATA,MATCH("ClassDCTrained",CLASSFEATUREHEADERS,0),MATCH(($A589 &amp; "Points"),CLASSNAMEHEADERS,0))),"")))))))))}</f>
        <v>CLASSDCL11</v>
      </c>
      <c r="R588" s="81"/>
      <c r="S588" s="81" t="str">
        <f t="array" ref="S588:S589">{"CLASSDCL13";((IF("13"=(INDEX(ALLCLASSDATA,MATCH("ClassDCLegendary",CLASSFEATUREHEADERS,0),MATCH($A589,CLASSNAMEHEADERS,0))),(INDEX(ALLCLASSDATA,MATCH("ClassDCLegendary",CLASSFEATUREHEADERS,0),MATCH(($A589 &amp; "Points"),CLASSNAMEHEADERS,0))),(IF("13"=(INDEX(ALLCLASSDATA,MATCH("ClassDCMaster",CLASSFEATUREHEADERS,0),MATCH($A589,CLASSNAMEHEADERS,0))),(INDEX(ALLCLASSDATA,MATCH("ClassDCMaster",CLASSFEATUREHEADERS,0),MATCH(($A589 &amp; "Points"),CLASSNAMEHEADERS,0))),(IF("13"=(INDEX(ALLCLASSDATA,MATCH("ClassDCExpert",CLASSFEATUREHEADERS,0),MATCH($A589,CLASSNAMEHEADERS,0))),(INDEX(ALLCLASSDATA,MATCH("ClassDCExpert",CLASSFEATUREHEADERS,0),MATCH(($A589 &amp; "Points"),CLASSNAMEHEADERS,0))),(IF("13"=(INDEX(ALLCLASSDATA,MATCH("ClassDCTrained",CLASSFEATUREHEADERS,0),MATCH($A589,CLASSNAMEHEADERS,0))),(INDEX(ALLCLASSDATA,MATCH("ClassDCTrained",CLASSFEATUREHEADERS,0),MATCH(($A589 &amp; "Points"),CLASSNAMEHEADERS,0))),"")))))))))}</f>
        <v>CLASSDCL13</v>
      </c>
      <c r="T588" s="81"/>
      <c r="U588" s="81" t="str">
        <f t="array" ref="U588:U589">{"CLASSDCL15";((IF("15"=(INDEX(ALLCLASSDATA,MATCH("ClassDCLegendary",CLASSFEATUREHEADERS,0),MATCH($A589,CLASSNAMEHEADERS,0))),(INDEX(ALLCLASSDATA,MATCH("ClassDCLegendary",CLASSFEATUREHEADERS,0),MATCH(($A589 &amp; "Points"),CLASSNAMEHEADERS,0))),(IF("15"=(INDEX(ALLCLASSDATA,MATCH("ClassDCMaster",CLASSFEATUREHEADERS,0),MATCH($A589,CLASSNAMEHEADERS,0))),(INDEX(ALLCLASSDATA,MATCH("ClassDCMaster",CLASSFEATUREHEADERS,0),MATCH(($A589 &amp; "Points"),CLASSNAMEHEADERS,0))),(IF("15"=(INDEX(ALLCLASSDATA,MATCH("ClassDCExpert",CLASSFEATUREHEADERS,0),MATCH($A589,CLASSNAMEHEADERS,0))),(INDEX(ALLCLASSDATA,MATCH("ClassDCExpert",CLASSFEATUREHEADERS,0),MATCH(($A589 &amp; "Points"),CLASSNAMEHEADERS,0))),(IF("15"=(INDEX(ALLCLASSDATA,MATCH("ClassDCTrained",CLASSFEATUREHEADERS,0),MATCH($A589,CLASSNAMEHEADERS,0))),(INDEX(ALLCLASSDATA,MATCH("ClassDCTrained",CLASSFEATUREHEADERS,0),MATCH(($A589 &amp; "Points"),CLASSNAMEHEADERS,0))),"")))))))))}</f>
        <v>CLASSDCL15</v>
      </c>
      <c r="V588" s="81"/>
      <c r="W588" s="81" t="str">
        <f t="array" ref="W588:W589">{"CLASSDCL17";((IF("17"=(INDEX(ALLCLASSDATA,MATCH("ClassDCLegendary",CLASSFEATUREHEADERS,0),MATCH($A589,CLASSNAMEHEADERS,0))),(INDEX(ALLCLASSDATA,MATCH("ClassDCLegendary",CLASSFEATUREHEADERS,0),MATCH(($A589 &amp; "Points"),CLASSNAMEHEADERS,0))),(IF("17"=(INDEX(ALLCLASSDATA,MATCH("ClassDCMaster",CLASSFEATUREHEADERS,0),MATCH($A589,CLASSNAMEHEADERS,0))),(INDEX(ALLCLASSDATA,MATCH("ClassDCMaster",CLASSFEATUREHEADERS,0),MATCH(($A589 &amp; "Points"),CLASSNAMEHEADERS,0))),(IF("17"=(INDEX(ALLCLASSDATA,MATCH("ClassDCExpert",CLASSFEATUREHEADERS,0),MATCH($A589,CLASSNAMEHEADERS,0))),(INDEX(ALLCLASSDATA,MATCH("ClassDCExpert",CLASSFEATUREHEADERS,0),MATCH(($A589 &amp; "Points"),CLASSNAMEHEADERS,0))),(IF("17"=(INDEX(ALLCLASSDATA,MATCH("ClassDCTrained",CLASSFEATUREHEADERS,0),MATCH($A589,CLASSNAMEHEADERS,0))),(INDEX(ALLCLASSDATA,MATCH("ClassDCTrained",CLASSFEATUREHEADERS,0),MATCH(($A589 &amp; "Points"),CLASSNAMEHEADERS,0))),"")))))))))}</f>
        <v>CLASSDCL17</v>
      </c>
      <c r="X588" s="81"/>
      <c r="Y588" s="81" t="str">
        <f t="array" ref="Y588:Y589">{"CLASSDCL19";((IF("19"=(INDEX(ALLCLASSDATA,MATCH("ClassDCLegendary",CLASSFEATUREHEADERS,0),MATCH($A589,CLASSNAMEHEADERS,0))),(INDEX(ALLCLASSDATA,MATCH("ClassDCLegendary",CLASSFEATUREHEADERS,0),MATCH(($A589 &amp; "Points"),CLASSNAMEHEADERS,0))),(IF("19"=(INDEX(ALLCLASSDATA,MATCH("ClassDCMaster",CLASSFEATUREHEADERS,0),MATCH($A589,CLASSNAMEHEADERS,0))),(INDEX(ALLCLASSDATA,MATCH("ClassDCMaster",CLASSFEATUREHEADERS,0),MATCH(($A589 &amp; "Points"),CLASSNAMEHEADERS,0))),(IF("19"=(INDEX(ALLCLASSDATA,MATCH("ClassDCExpert",CLASSFEATUREHEADERS,0),MATCH($A589,CLASSNAMEHEADERS,0))),(INDEX(ALLCLASSDATA,MATCH("ClassDCExpert",CLASSFEATUREHEADERS,0),MATCH(($A589 &amp; "Points"),CLASSNAMEHEADERS,0))),(IF("19"=(INDEX(ALLCLASSDATA,MATCH("ClassDCTrained",CLASSFEATUREHEADERS,0),MATCH($A589,CLASSNAMEHEADERS,0))),(INDEX(ALLCLASSDATA,MATCH("ClassDCTrained",CLASSFEATUREHEADERS,0),MATCH(($A589 &amp; "Points"),CLASSNAMEHEADERS,0))),"")))))))))}</f>
        <v>CLASSDCL19</v>
      </c>
      <c r="Z588" s="81"/>
      <c r="AA588" s="76" t="str">
        <f t="array" ref="AA588:AA589">{"CLASSDC TOTAL";(IF(COUNTBLANK(F589:Z589)=17,"L",(IF(COUNTBLANK(F589:Z589)=18,"M",(IF(COUNTBLANK(F589:Z589)=19,"E",(IF(COUNTBLANK(F589:Z589)=20,"T",""))))))))}</f>
        <v>CLASSDC TOTAL</v>
      </c>
      <c r="AB588" s="76" t="str">
        <f t="array" ref="AB588:AB589">{"CLASSDC TOTAL";(sum(F589:Z589))}</f>
        <v>CLASSDC TOTAL</v>
      </c>
    </row>
    <row r="589">
      <c r="A589" s="48" t="s">
        <v>221</v>
      </c>
      <c r="B589" s="48" t="s">
        <v>418</v>
      </c>
      <c r="C589" s="48" t="s">
        <v>1465</v>
      </c>
      <c r="D589" s="48" t="s">
        <v>1466</v>
      </c>
      <c r="E589" s="5" t="s">
        <v>603</v>
      </c>
      <c r="F589" s="47" t="s">
        <v>603</v>
      </c>
      <c r="G589" s="5" t="s">
        <v>603</v>
      </c>
      <c r="H589" s="5"/>
      <c r="I589" s="5" t="s">
        <v>603</v>
      </c>
      <c r="J589" s="5"/>
      <c r="K589" s="5" t="s">
        <v>603</v>
      </c>
      <c r="L589" s="5"/>
      <c r="M589" s="5" t="s">
        <v>603</v>
      </c>
      <c r="N589" s="5"/>
      <c r="O589" s="5" t="s">
        <v>603</v>
      </c>
      <c r="P589" s="5"/>
      <c r="Q589" s="5" t="s">
        <v>603</v>
      </c>
      <c r="R589" s="5"/>
      <c r="S589" s="5" t="s">
        <v>603</v>
      </c>
      <c r="T589" s="5"/>
      <c r="U589" s="5" t="s">
        <v>603</v>
      </c>
      <c r="V589" s="5"/>
      <c r="W589" s="5" t="s">
        <v>603</v>
      </c>
      <c r="X589" s="5"/>
      <c r="Y589" s="5" t="s">
        <v>603</v>
      </c>
      <c r="Z589" s="5"/>
      <c r="AA589" s="5" t="s">
        <v>603</v>
      </c>
      <c r="AB589" s="47">
        <v>0.0</v>
      </c>
    </row>
    <row r="590" hidden="1">
      <c r="A590" s="222" t="str">
        <f t="array" ref="A590:A591">{"FormulaRow21";(INDEX(CLASSLIST,A549,1))}</f>
        <v>FormulaRow21</v>
      </c>
      <c r="B590" s="222" t="str">
        <f t="array" ref="B590:B591">{"CLASSTYPE";((INDEX(ALLCLASSDATA,MATCH("ClassType",CLASSFEATUREHEADERS,0),MATCH($A591,CLASSNAMEHEADERS,0))))}</f>
        <v>CLASSTYPE</v>
      </c>
      <c r="C590" s="222" t="str">
        <f t="array" ref="C590:C591">{"DC";"DC"}</f>
        <v>DC</v>
      </c>
      <c r="D590" s="222" t="str">
        <f t="array" ref="D590:D591">{"SPELLDC";"SpellDC"}</f>
        <v>SPELLDC</v>
      </c>
      <c r="E590" s="223" t="str">
        <f t="array" ref="E590:E591">{"SPELLDCINITIAL";((IF(G591=10,"T",(IF(G591=50,"E","")))))}</f>
        <v>SPELLDCINITIAL</v>
      </c>
      <c r="F590" s="223" t="str">
        <f t="array" ref="F590:F591">{"SPELLDCINITIALPTS";((IF("00"=(INDEX(ALLCLASSDATA,MATCH("SpellDCLegendary",CLASSFEATUREHEADERS,0),MATCH($A591,CLASSNAMEHEADERS,0))),(INDEX(ALLCLASSDATA,MATCH("SpellDCLegendary",CLASSFEATUREHEADERS,0),MATCH(($A591 &amp; "Points"),CLASSNAMEHEADERS,0))),(IF("00"=(INDEX(ALLCLASSDATA,MATCH("SpellDCMaster",CLASSFEATUREHEADERS,0),MATCH($A591,CLASSNAMEHEADERS,0))),(INDEX(ALLCLASSDATA,MATCH("SpellDCMaster",CLASSFEATUREHEADERS,0),MATCH(($A591 &amp; "Points"),CLASSNAMEHEADERS,0))),(IF("00"=(INDEX(ALLCLASSDATA,MATCH("SpellDCExpert",CLASSFEATUREHEADERS,0),MATCH($A591,CLASSNAMEHEADERS,0))),(INDEX(ALLCLASSDATA,MATCH("SpellDCExpert",CLASSFEATUREHEADERS,0),MATCH(($A591 &amp; "Points"),CLASSNAMEHEADERS,0))),(IF("00"=(INDEX(ALLCLASSDATA,MATCH("SpellDCTrained",CLASSFEATUREHEADERS,0),MATCH($A591,CLASSNAMEHEADERS,0))),(INDEX(ALLCLASSDATA,MATCH("SpellDCTrained",CLASSFEATUREHEADERS,0),MATCH(($A591 &amp; "Points"),CLASSNAMEHEADERS,0))),"")))))))))}</f>
        <v>SPELLDCINITIALPTS</v>
      </c>
      <c r="G590" s="223" t="str">
        <f t="array" ref="G590:G591">{"SPELLDCL01";((IF("01"=(INDEX(ALLCLASSDATA,MATCH("SpellDCLegendary",CLASSFEATUREHEADERS,0),MATCH($A591,CLASSNAMEHEADERS,0))),(INDEX(ALLCLASSDATA,MATCH("SpellDCLegendary",CLASSFEATUREHEADERS,0),MATCH(($A591 &amp; "Points"),CLASSNAMEHEADERS,0))),(IF("01"=(INDEX(ALLCLASSDATA,MATCH("SpellDCMaster",CLASSFEATUREHEADERS,0),MATCH($A591,CLASSNAMEHEADERS,0))),(INDEX(ALLCLASSDATA,MATCH("SpellDCMaster",CLASSFEATUREHEADERS,0),MATCH(($A591 &amp; "Points"),CLASSNAMEHEADERS,0))),(IF("01"=(INDEX(ALLCLASSDATA,MATCH("SpellDCExpert",CLASSFEATUREHEADERS,0),MATCH($A591,CLASSNAMEHEADERS,0))),(INDEX(ALLCLASSDATA,MATCH("SpellDCExpert",CLASSFEATUREHEADERS,0),MATCH(($A591 &amp; "Points"),CLASSNAMEHEADERS,0))),(IF("01"=(INDEX(ALLCLASSDATA,MATCH("SpellDCTrained",CLASSFEATUREHEADERS,0),MATCH($A591,CLASSNAMEHEADERS,0))),(INDEX(ALLCLASSDATA,MATCH("SpellDCTrained",CLASSFEATUREHEADERS,0),MATCH(($A591 &amp; "Points"),CLASSNAMEHEADERS,0))),"")))))))))}</f>
        <v>SPELLDCL01</v>
      </c>
      <c r="H590" s="223"/>
      <c r="I590" s="223" t="str">
        <f t="array" ref="I590:I591">{"SPELLDCL03";((IF("03"=(INDEX(ALLCLASSDATA,MATCH("SpellDCLegendary",CLASSFEATUREHEADERS,0),MATCH($A591,CLASSNAMEHEADERS,0))),(INDEX(ALLCLASSDATA,MATCH("SpellDCLegendary",CLASSFEATUREHEADERS,0),MATCH(($A591 &amp; "Points"),CLASSNAMEHEADERS,0))),(IF("03"=(INDEX(ALLCLASSDATA,MATCH("SpellDCMaster",CLASSFEATUREHEADERS,0),MATCH($A591,CLASSNAMEHEADERS,0))),(INDEX(ALLCLASSDATA,MATCH("SpellDCMaster",CLASSFEATUREHEADERS,0),MATCH(($A591 &amp; "Points"),CLASSNAMEHEADERS,0))),(IF("03"=(INDEX(ALLCLASSDATA,MATCH("SpellDCExpert",CLASSFEATUREHEADERS,0),MATCH($A591,CLASSNAMEHEADERS,0))),(INDEX(ALLCLASSDATA,MATCH("SpellDCExpert",CLASSFEATUREHEADERS,0),MATCH(($A591 &amp; "Points"),CLASSNAMEHEADERS,0))),(IF("03"=(INDEX(ALLCLASSDATA,MATCH("SpellDCTrained",CLASSFEATUREHEADERS,0),MATCH($A591,CLASSNAMEHEADERS,0))),(INDEX(ALLCLASSDATA,MATCH("SpellDCTrained",CLASSFEATUREHEADERS,0),MATCH(($A591 &amp; "Points"),CLASSNAMEHEADERS,0))),"")))))))))}</f>
        <v>SPELLDCL03</v>
      </c>
      <c r="J590" s="223"/>
      <c r="K590" s="223" t="str">
        <f t="array" ref="K590:K591">{"SPELLDCL05";((IF("05"=(INDEX(ALLCLASSDATA,MATCH("SpellDCLegendary",CLASSFEATUREHEADERS,0),MATCH($A591,CLASSNAMEHEADERS,0))),(INDEX(ALLCLASSDATA,MATCH("SpellDCLegendary",CLASSFEATUREHEADERS,0),MATCH(($A591 &amp; "Points"),CLASSNAMEHEADERS,0))),(IF("05"=(INDEX(ALLCLASSDATA,MATCH("SpellDCMaster",CLASSFEATUREHEADERS,0),MATCH($A591,CLASSNAMEHEADERS,0))),(INDEX(ALLCLASSDATA,MATCH("SpellDCMaster",CLASSFEATUREHEADERS,0),MATCH(($A591 &amp; "Points"),CLASSNAMEHEADERS,0))),(IF("05"=(INDEX(ALLCLASSDATA,MATCH("SpellDCExpert",CLASSFEATUREHEADERS,0),MATCH($A591,CLASSNAMEHEADERS,0))),(INDEX(ALLCLASSDATA,MATCH("SpellDCExpert",CLASSFEATUREHEADERS,0),MATCH(($A591 &amp; "Points"),CLASSNAMEHEADERS,0))),(IF("05"=(INDEX(ALLCLASSDATA,MATCH("SpellDCTrained",CLASSFEATUREHEADERS,0),MATCH($A591,CLASSNAMEHEADERS,0))),(INDEX(ALLCLASSDATA,MATCH("SpellDCTrained",CLASSFEATUREHEADERS,0),MATCH(($A591 &amp; "Points"),CLASSNAMEHEADERS,0))),"")))))))))}</f>
        <v>SPELLDCL05</v>
      </c>
      <c r="L590" s="223"/>
      <c r="M590" s="223" t="str">
        <f t="array" ref="M590:M591">{"SPELLDCL07";((IF("07"=(INDEX(ALLCLASSDATA,MATCH("SpellDCLegendary",CLASSFEATUREHEADERS,0),MATCH($A591,CLASSNAMEHEADERS,0))),(INDEX(ALLCLASSDATA,MATCH("SpellDCLegendary",CLASSFEATUREHEADERS,0),MATCH(($A591 &amp; "Points"),CLASSNAMEHEADERS,0))),(IF("07"=(INDEX(ALLCLASSDATA,MATCH("SpellDCMaster",CLASSFEATUREHEADERS,0),MATCH($A591,CLASSNAMEHEADERS,0))),(INDEX(ALLCLASSDATA,MATCH("SpellDCMaster",CLASSFEATUREHEADERS,0),MATCH(($A591 &amp; "Points"),CLASSNAMEHEADERS,0))),(IF("07"=(INDEX(ALLCLASSDATA,MATCH("SpellDCExpert",CLASSFEATUREHEADERS,0),MATCH($A591,CLASSNAMEHEADERS,0))),(INDEX(ALLCLASSDATA,MATCH("SpellDCExpert",CLASSFEATUREHEADERS,0),MATCH(($A591 &amp; "Points"),CLASSNAMEHEADERS,0))),(IF("07"=(INDEX(ALLCLASSDATA,MATCH("SpellDCTrained",CLASSFEATUREHEADERS,0),MATCH($A591,CLASSNAMEHEADERS,0))),(INDEX(ALLCLASSDATA,MATCH("SpellDCTrained",CLASSFEATUREHEADERS,0),MATCH(($A591 &amp; "Points"),CLASSNAMEHEADERS,0))),"")))))))))}</f>
        <v>SPELLDCL07</v>
      </c>
      <c r="N590" s="223"/>
      <c r="O590" s="223" t="str">
        <f t="array" ref="O590:O591">{"SPELLDCL09";((IF("09"=(INDEX(ALLCLASSDATA,MATCH("SpellDCLegendary",CLASSFEATUREHEADERS,0),MATCH($A591,CLASSNAMEHEADERS,0))),(INDEX(ALLCLASSDATA,MATCH("SpellDCLegendary",CLASSFEATUREHEADERS,0),MATCH(($A591 &amp; "Points"),CLASSNAMEHEADERS,0))),(IF("09"=(INDEX(ALLCLASSDATA,MATCH("SpellDCMaster",CLASSFEATUREHEADERS,0),MATCH($A591,CLASSNAMEHEADERS,0))),(INDEX(ALLCLASSDATA,MATCH("SpellDCMaster",CLASSFEATUREHEADERS,0),MATCH(($A591 &amp; "Points"),CLASSNAMEHEADERS,0))),(IF("09"=(INDEX(ALLCLASSDATA,MATCH("SpellDCExpert",CLASSFEATUREHEADERS,0),MATCH($A591,CLASSNAMEHEADERS,0))),(INDEX(ALLCLASSDATA,MATCH("SpellDCExpert",CLASSFEATUREHEADERS,0),MATCH(($A591 &amp; "Points"),CLASSNAMEHEADERS,0))),(IF("09"=(INDEX(ALLCLASSDATA,MATCH("SpellDCTrained",CLASSFEATUREHEADERS,0),MATCH($A591,CLASSNAMEHEADERS,0))),(INDEX(ALLCLASSDATA,MATCH("SpellDCTrained",CLASSFEATUREHEADERS,0),MATCH(($A591 &amp; "Points"),CLASSNAMEHEADERS,0))),"")))))))))}</f>
        <v>SPELLDCL09</v>
      </c>
      <c r="P590" s="223"/>
      <c r="Q590" s="223" t="str">
        <f t="array" ref="Q590:Q591">{"SPELLDCL11";((IF("11"=(INDEX(ALLCLASSDATA,MATCH("SpellDCLegendary",CLASSFEATUREHEADERS,0),MATCH($A591,CLASSNAMEHEADERS,0))),(INDEX(ALLCLASSDATA,MATCH("SpellDCLegendary",CLASSFEATUREHEADERS,0),MATCH(($A591 &amp; "Points"),CLASSNAMEHEADERS,0))),(IF("11"=(INDEX(ALLCLASSDATA,MATCH("SpellDCMaster",CLASSFEATUREHEADERS,0),MATCH($A591,CLASSNAMEHEADERS,0))),(INDEX(ALLCLASSDATA,MATCH("SpellDCMaster",CLASSFEATUREHEADERS,0),MATCH(($A591 &amp; "Points"),CLASSNAMEHEADERS,0))),(IF("11"=(INDEX(ALLCLASSDATA,MATCH("SpellDCExpert",CLASSFEATUREHEADERS,0),MATCH($A591,CLASSNAMEHEADERS,0))),(INDEX(ALLCLASSDATA,MATCH("SpellDCExpert",CLASSFEATUREHEADERS,0),MATCH(($A591 &amp; "Points"),CLASSNAMEHEADERS,0))),(IF("11"=(INDEX(ALLCLASSDATA,MATCH("SpellDCTrained",CLASSFEATUREHEADERS,0),MATCH($A591,CLASSNAMEHEADERS,0))),(INDEX(ALLCLASSDATA,MATCH("SpellDCTrained",CLASSFEATUREHEADERS,0),MATCH(($A591 &amp; "Points"),CLASSNAMEHEADERS,0))),"")))))))))}</f>
        <v>SPELLDCL11</v>
      </c>
      <c r="R590" s="223"/>
      <c r="S590" s="223" t="str">
        <f t="array" ref="S590:S591">{"SPELLDCL13";((IF("13"=(INDEX(ALLCLASSDATA,MATCH("SpellDCLegendary",CLASSFEATUREHEADERS,0),MATCH($A591,CLASSNAMEHEADERS,0))),(INDEX(ALLCLASSDATA,MATCH("SpellDCLegendary",CLASSFEATUREHEADERS,0),MATCH(($A591 &amp; "Points"),CLASSNAMEHEADERS,0))),(IF("13"=(INDEX(ALLCLASSDATA,MATCH("SpellDCMaster",CLASSFEATUREHEADERS,0),MATCH($A591,CLASSNAMEHEADERS,0))),(INDEX(ALLCLASSDATA,MATCH("SpellDCMaster",CLASSFEATUREHEADERS,0),MATCH(($A591 &amp; "Points"),CLASSNAMEHEADERS,0))),(IF("13"=(INDEX(ALLCLASSDATA,MATCH("SpellDCExpert",CLASSFEATUREHEADERS,0),MATCH($A591,CLASSNAMEHEADERS,0))),(INDEX(ALLCLASSDATA,MATCH("SpellDCExpert",CLASSFEATUREHEADERS,0),MATCH(($A591 &amp; "Points"),CLASSNAMEHEADERS,0))),(IF("13"=(INDEX(ALLCLASSDATA,MATCH("SpellDCTrained",CLASSFEATUREHEADERS,0),MATCH($A591,CLASSNAMEHEADERS,0))),(INDEX(ALLCLASSDATA,MATCH("SpellDCTrained",CLASSFEATUREHEADERS,0),MATCH(($A591 &amp; "Points"),CLASSNAMEHEADERS,0))),"")))))))))}</f>
        <v>SPELLDCL13</v>
      </c>
      <c r="T590" s="223"/>
      <c r="U590" s="223" t="str">
        <f t="array" ref="U590:U591">{"SPELLDCL15";((IF("15"=(INDEX(ALLCLASSDATA,MATCH("SpellDCLegendary",CLASSFEATUREHEADERS,0),MATCH($A591,CLASSNAMEHEADERS,0))),(INDEX(ALLCLASSDATA,MATCH("SpellDCLegendary",CLASSFEATUREHEADERS,0),MATCH(($A591 &amp; "Points"),CLASSNAMEHEADERS,0))),(IF("15"=(INDEX(ALLCLASSDATA,MATCH("SpellDCMaster",CLASSFEATUREHEADERS,0),MATCH($A591,CLASSNAMEHEADERS,0))),(INDEX(ALLCLASSDATA,MATCH("SpellDCMaster",CLASSFEATUREHEADERS,0),MATCH(($A591 &amp; "Points"),CLASSNAMEHEADERS,0))),(IF("15"=(INDEX(ALLCLASSDATA,MATCH("SpellDCExpert",CLASSFEATUREHEADERS,0),MATCH($A591,CLASSNAMEHEADERS,0))),(INDEX(ALLCLASSDATA,MATCH("SpellDCExpert",CLASSFEATUREHEADERS,0),MATCH(($A591 &amp; "Points"),CLASSNAMEHEADERS,0))),(IF("15"=(INDEX(ALLCLASSDATA,MATCH("SpellDCTrained",CLASSFEATUREHEADERS,0),MATCH($A591,CLASSNAMEHEADERS,0))),(INDEX(ALLCLASSDATA,MATCH("SpellDCTrained",CLASSFEATUREHEADERS,0),MATCH(($A591 &amp; "Points"),CLASSNAMEHEADERS,0))),"")))))))))}</f>
        <v>SPELLDCL15</v>
      </c>
      <c r="V590" s="223"/>
      <c r="W590" s="223" t="str">
        <f t="array" ref="W590:W591">{"SPELLDCL17";((IF("17"=(INDEX(ALLCLASSDATA,MATCH("SpellDCLegendary",CLASSFEATUREHEADERS,0),MATCH($A591,CLASSNAMEHEADERS,0))),(INDEX(ALLCLASSDATA,MATCH("SpellDCLegendary",CLASSFEATUREHEADERS,0),MATCH(($A591 &amp; "Points"),CLASSNAMEHEADERS,0))),(IF("17"=(INDEX(ALLCLASSDATA,MATCH("SpellDCMaster",CLASSFEATUREHEADERS,0),MATCH($A591,CLASSNAMEHEADERS,0))),(INDEX(ALLCLASSDATA,MATCH("SpellDCMaster",CLASSFEATUREHEADERS,0),MATCH(($A591 &amp; "Points"),CLASSNAMEHEADERS,0))),(IF("17"=(INDEX(ALLCLASSDATA,MATCH("SpellDCExpert",CLASSFEATUREHEADERS,0),MATCH($A591,CLASSNAMEHEADERS,0))),(INDEX(ALLCLASSDATA,MATCH("SpellDCExpert",CLASSFEATUREHEADERS,0),MATCH(($A591 &amp; "Points"),CLASSNAMEHEADERS,0))),(IF("17"=(INDEX(ALLCLASSDATA,MATCH("SpellDCTrained",CLASSFEATUREHEADERS,0),MATCH($A591,CLASSNAMEHEADERS,0))),(INDEX(ALLCLASSDATA,MATCH("SpellDCTrained",CLASSFEATUREHEADERS,0),MATCH(($A591 &amp; "Points"),CLASSNAMEHEADERS,0))),"")))))))))}</f>
        <v>SPELLDCL17</v>
      </c>
      <c r="X590" s="223"/>
      <c r="Y590" s="223" t="str">
        <f t="array" ref="Y590:Y591">{"SPELLDCL19";((IF("19"=(INDEX(ALLCLASSDATA,MATCH("SpellDCLegendary",CLASSFEATUREHEADERS,0),MATCH($A591,CLASSNAMEHEADERS,0))),(INDEX(ALLCLASSDATA,MATCH("SpellDCLegendary",CLASSFEATUREHEADERS,0),MATCH(($A591 &amp; "Points"),CLASSNAMEHEADERS,0))),(IF("19"=(INDEX(ALLCLASSDATA,MATCH("SpellDCMaster",CLASSFEATUREHEADERS,0),MATCH($A591,CLASSNAMEHEADERS,0))),(INDEX(ALLCLASSDATA,MATCH("SpellDCMaster",CLASSFEATUREHEADERS,0),MATCH(($A591 &amp; "Points"),CLASSNAMEHEADERS,0))),(IF("19"=(INDEX(ALLCLASSDATA,MATCH("SpellDCExpert",CLASSFEATUREHEADERS,0),MATCH($A591,CLASSNAMEHEADERS,0))),(INDEX(ALLCLASSDATA,MATCH("SpellDCExpert",CLASSFEATUREHEADERS,0),MATCH(($A591 &amp; "Points"),CLASSNAMEHEADERS,0))),(IF("19"=(INDEX(ALLCLASSDATA,MATCH("SpellDCTrained",CLASSFEATUREHEADERS,0),MATCH($A591,CLASSNAMEHEADERS,0))),(INDEX(ALLCLASSDATA,MATCH("SpellDCTrained",CLASSFEATUREHEADERS,0),MATCH(($A591 &amp; "Points"),CLASSNAMEHEADERS,0))),"")))))))))}</f>
        <v>SPELLDCL19</v>
      </c>
      <c r="Z590" s="223"/>
      <c r="AA590" s="76" t="str">
        <f t="array" ref="AA590:AA591">{"SPELLDC TOTAL";(IF(COUNTBLANK(F591:Z591)=17,"L",(IF(COUNTBLANK(F591:Z591)=18,"M",(IF(COUNTBLANK(F591:Z591)=19,"E",(IF(COUNTBLANK(F591:Z591)=20,"T",""))))))))}</f>
        <v>SPELLDC TOTAL</v>
      </c>
      <c r="AB590" s="76" t="str">
        <f t="array" ref="AB590:AB591">{"SPELLDC TOTAL";(sum(F591:Z591))}</f>
        <v>SPELLDC TOTAL</v>
      </c>
    </row>
    <row r="591">
      <c r="A591" s="48" t="s">
        <v>221</v>
      </c>
      <c r="B591" s="48" t="s">
        <v>418</v>
      </c>
      <c r="C591" s="97" t="s">
        <v>1465</v>
      </c>
      <c r="D591" s="97" t="s">
        <v>1485</v>
      </c>
      <c r="E591" s="98" t="s">
        <v>435</v>
      </c>
      <c r="F591" s="132" t="s">
        <v>603</v>
      </c>
      <c r="G591" s="98">
        <v>10.0</v>
      </c>
      <c r="H591" s="98"/>
      <c r="I591" s="98" t="s">
        <v>603</v>
      </c>
      <c r="J591" s="98"/>
      <c r="K591" s="98" t="s">
        <v>603</v>
      </c>
      <c r="L591" s="98"/>
      <c r="M591" s="98">
        <v>50.0</v>
      </c>
      <c r="N591" s="98"/>
      <c r="O591" s="98" t="s">
        <v>603</v>
      </c>
      <c r="P591" s="98"/>
      <c r="Q591" s="98" t="s">
        <v>603</v>
      </c>
      <c r="R591" s="98"/>
      <c r="S591" s="98" t="s">
        <v>603</v>
      </c>
      <c r="T591" s="98"/>
      <c r="U591" s="98">
        <v>110.0</v>
      </c>
      <c r="V591" s="98"/>
      <c r="W591" s="98" t="s">
        <v>603</v>
      </c>
      <c r="X591" s="98"/>
      <c r="Y591" s="98">
        <v>190.0</v>
      </c>
      <c r="Z591" s="98"/>
      <c r="AA591" s="5" t="s">
        <v>466</v>
      </c>
      <c r="AB591" s="47">
        <v>360.0</v>
      </c>
    </row>
    <row r="592" hidden="1">
      <c r="A592" s="222" t="str">
        <f t="array" ref="A592:A593">{"FormulaRow22";(INDEX(CLASSLIST,A549,1))}</f>
        <v>FormulaRow22</v>
      </c>
      <c r="B592" s="222" t="str">
        <f t="array" ref="B592:B593">{"CLASSTYPE";((INDEX(ALLCLASSDATA,MATCH("ClassType",CLASSFEATUREHEADERS,0),MATCH($A593,CLASSNAMEHEADERS,0))))}</f>
        <v>CLASSTYPE</v>
      </c>
      <c r="C592" s="228" t="str">
        <f t="shared" ref="C592:D592" si="7">{"PERCEPTION";"Perception"}</f>
        <v>PERCEPTION</v>
      </c>
      <c r="D592" s="228" t="str">
        <f t="shared" si="7"/>
        <v>PERCEPTION</v>
      </c>
      <c r="E592" s="230" t="str">
        <f t="array" ref="E592:E593">{"PERCEPTIONINITIAL";((IF(G593=10,"T",(IF(G593=50,"E","")))))}</f>
        <v>PERCEPTIONINITIAL</v>
      </c>
      <c r="F592" s="230" t="str">
        <f t="array" ref="F592:F593">{"PERCEPTIONINITIALPTS";((IF("00"=(INDEX(ALLCLASSDATA,MATCH("PerceptionLegendary",CLASSFEATUREHEADERS,0),MATCH($A593,CLASSNAMEHEADERS,0))),(INDEX(ALLCLASSDATA,MATCH("PerceptionLegendary",CLASSFEATUREHEADERS,0),MATCH(($A593 &amp; "Points"),CLASSNAMEHEADERS,0))),(IF("00"=(INDEX(ALLCLASSDATA,MATCH("PerceptionMaster",CLASSFEATUREHEADERS,0),MATCH($A593,CLASSNAMEHEADERS,0))),(INDEX(ALLCLASSDATA,MATCH("PerceptionMaster",CLASSFEATUREHEADERS,0),MATCH(($A593 &amp; "Points"),CLASSNAMEHEADERS,0))),(IF("00"=(INDEX(ALLCLASSDATA,MATCH("PerceptionExpert",CLASSFEATUREHEADERS,0),MATCH($A593,CLASSNAMEHEADERS,0))),(INDEX(ALLCLASSDATA,MATCH("PerceptionExpert",CLASSFEATUREHEADERS,0),MATCH(($A593 &amp; "Points"),CLASSNAMEHEADERS,0))),(IF("00"=(INDEX(ALLCLASSDATA,MATCH("PerceptionTrained",CLASSFEATUREHEADERS,0),MATCH($A593,CLASSNAMEHEADERS,0))),(INDEX(ALLCLASSDATA,MATCH("PerceptionTrained",CLASSFEATUREHEADERS,0),MATCH(($A593 &amp; "Points"),CLASSNAMEHEADERS,0))),"")))))))))}</f>
        <v>PERCEPTIONINITIALPTS</v>
      </c>
      <c r="G592" s="230" t="str">
        <f t="array" ref="G592:G593">{"PERCEPTIONL01";((IF("01"=(INDEX(ALLCLASSDATA,MATCH("PerceptionLegendary",CLASSFEATUREHEADERS,0),MATCH($A593,CLASSNAMEHEADERS,0))),(INDEX(ALLCLASSDATA,MATCH("PerceptionLegendary",CLASSFEATUREHEADERS,0),MATCH(($A593 &amp; "Points"),CLASSNAMEHEADERS,0))),(IF("01"=(INDEX(ALLCLASSDATA,MATCH("PerceptionMaster",CLASSFEATUREHEADERS,0),MATCH($A593,CLASSNAMEHEADERS,0))),(INDEX(ALLCLASSDATA,MATCH("PerceptionMaster",CLASSFEATUREHEADERS,0),MATCH(($A593 &amp; "Points"),CLASSNAMEHEADERS,0))),(IF("01"=(INDEX(ALLCLASSDATA,MATCH("PerceptionExpert",CLASSFEATUREHEADERS,0),MATCH($A593,CLASSNAMEHEADERS,0))),(INDEX(ALLCLASSDATA,MATCH("PerceptionExpert",CLASSFEATUREHEADERS,0),MATCH(($A593 &amp; "Points"),CLASSNAMEHEADERS,0))),(IF("01"=(INDEX(ALLCLASSDATA,MATCH("PerceptionTrained",CLASSFEATUREHEADERS,0),MATCH($A593,CLASSNAMEHEADERS,0))),(INDEX(ALLCLASSDATA,MATCH("PerceptionTrained",CLASSFEATUREHEADERS,0),MATCH(($A593 &amp; "Points"),CLASSNAMEHEADERS,0))),"")))))))))}</f>
        <v>PERCEPTIONL01</v>
      </c>
      <c r="H592" s="230"/>
      <c r="I592" s="230" t="str">
        <f t="array" ref="I592:I593">{"PERCEPTIONL03";((IF("03"=(INDEX(ALLCLASSDATA,MATCH("PerceptionLegendary",CLASSFEATUREHEADERS,0),MATCH($A593,CLASSNAMEHEADERS,0))),(INDEX(ALLCLASSDATA,MATCH("PerceptionLegendary",CLASSFEATUREHEADERS,0),MATCH(($A593 &amp; "Points"),CLASSNAMEHEADERS,0))),(IF("03"=(INDEX(ALLCLASSDATA,MATCH("PerceptionMaster",CLASSFEATUREHEADERS,0),MATCH($A593,CLASSNAMEHEADERS,0))),(INDEX(ALLCLASSDATA,MATCH("PerceptionMaster",CLASSFEATUREHEADERS,0),MATCH(($A593 &amp; "Points"),CLASSNAMEHEADERS,0))),(IF("03"=(INDEX(ALLCLASSDATA,MATCH("PerceptionExpert",CLASSFEATUREHEADERS,0),MATCH($A593,CLASSNAMEHEADERS,0))),(INDEX(ALLCLASSDATA,MATCH("PerceptionExpert",CLASSFEATUREHEADERS,0),MATCH(($A593 &amp; "Points"),CLASSNAMEHEADERS,0))),(IF("03"=(INDEX(ALLCLASSDATA,MATCH("PerceptionTrained",CLASSFEATUREHEADERS,0),MATCH($A593,CLASSNAMEHEADERS,0))),(INDEX(ALLCLASSDATA,MATCH("PerceptionTrained",CLASSFEATUREHEADERS,0),MATCH(($A593 &amp; "Points"),CLASSNAMEHEADERS,0))),"")))))))))}</f>
        <v>PERCEPTIONL03</v>
      </c>
      <c r="J592" s="230"/>
      <c r="K592" s="230" t="str">
        <f t="array" ref="K592:K593">{"PERCEPTIONL05";((IF("05"=(INDEX(ALLCLASSDATA,MATCH("PerceptionLegendary",CLASSFEATUREHEADERS,0),MATCH($A593,CLASSNAMEHEADERS,0))),(INDEX(ALLCLASSDATA,MATCH("PerceptionLegendary",CLASSFEATUREHEADERS,0),MATCH(($A593 &amp; "Points"),CLASSNAMEHEADERS,0))),(IF("05"=(INDEX(ALLCLASSDATA,MATCH("PerceptionMaster",CLASSFEATUREHEADERS,0),MATCH($A593,CLASSNAMEHEADERS,0))),(INDEX(ALLCLASSDATA,MATCH("PerceptionMaster",CLASSFEATUREHEADERS,0),MATCH(($A593 &amp; "Points"),CLASSNAMEHEADERS,0))),(IF("05"=(INDEX(ALLCLASSDATA,MATCH("PerceptionExpert",CLASSFEATUREHEADERS,0),MATCH($A593,CLASSNAMEHEADERS,0))),(INDEX(ALLCLASSDATA,MATCH("PerceptionExpert",CLASSFEATUREHEADERS,0),MATCH(($A593 &amp; "Points"),CLASSNAMEHEADERS,0))),(IF("05"=(INDEX(ALLCLASSDATA,MATCH("PerceptionTrained",CLASSFEATUREHEADERS,0),MATCH($A593,CLASSNAMEHEADERS,0))),(INDEX(ALLCLASSDATA,MATCH("PerceptionTrained",CLASSFEATUREHEADERS,0),MATCH(($A593 &amp; "Points"),CLASSNAMEHEADERS,0))),"")))))))))}</f>
        <v>PERCEPTIONL05</v>
      </c>
      <c r="L592" s="230"/>
      <c r="M592" s="230" t="str">
        <f t="array" ref="M592:M593">{"PERCEPTIONL07";((IF("07"=(INDEX(ALLCLASSDATA,MATCH("PerceptionLegendary",CLASSFEATUREHEADERS,0),MATCH($A593,CLASSNAMEHEADERS,0))),(INDEX(ALLCLASSDATA,MATCH("PerceptionLegendary",CLASSFEATUREHEADERS,0),MATCH(($A593 &amp; "Points"),CLASSNAMEHEADERS,0))),(IF("07"=(INDEX(ALLCLASSDATA,MATCH("PerceptionMaster",CLASSFEATUREHEADERS,0),MATCH($A593,CLASSNAMEHEADERS,0))),(INDEX(ALLCLASSDATA,MATCH("PerceptionMaster",CLASSFEATUREHEADERS,0),MATCH(($A593 &amp; "Points"),CLASSNAMEHEADERS,0))),(IF("07"=(INDEX(ALLCLASSDATA,MATCH("PerceptionExpert",CLASSFEATUREHEADERS,0),MATCH($A593,CLASSNAMEHEADERS,0))),(INDEX(ALLCLASSDATA,MATCH("PerceptionExpert",CLASSFEATUREHEADERS,0),MATCH(($A593 &amp; "Points"),CLASSNAMEHEADERS,0))),(IF("07"=(INDEX(ALLCLASSDATA,MATCH("PerceptionTrained",CLASSFEATUREHEADERS,0),MATCH($A593,CLASSNAMEHEADERS,0))),(INDEX(ALLCLASSDATA,MATCH("PerceptionTrained",CLASSFEATUREHEADERS,0),MATCH(($A593 &amp; "Points"),CLASSNAMEHEADERS,0))),"")))))))))}</f>
        <v>PERCEPTIONL07</v>
      </c>
      <c r="N592" s="230"/>
      <c r="O592" s="230" t="str">
        <f t="array" ref="O592:O593">{"PERCEPTIONL09";((IF("09"=(INDEX(ALLCLASSDATA,MATCH("PerceptionLegendary",CLASSFEATUREHEADERS,0),MATCH($A593,CLASSNAMEHEADERS,0))),(INDEX(ALLCLASSDATA,MATCH("PerceptionLegendary",CLASSFEATUREHEADERS,0),MATCH(($A593 &amp; "Points"),CLASSNAMEHEADERS,0))),(IF("09"=(INDEX(ALLCLASSDATA,MATCH("PerceptionMaster",CLASSFEATUREHEADERS,0),MATCH($A593,CLASSNAMEHEADERS,0))),(INDEX(ALLCLASSDATA,MATCH("PerceptionMaster",CLASSFEATUREHEADERS,0),MATCH(($A593 &amp; "Points"),CLASSNAMEHEADERS,0))),(IF("09"=(INDEX(ALLCLASSDATA,MATCH("PerceptionExpert",CLASSFEATUREHEADERS,0),MATCH($A593,CLASSNAMEHEADERS,0))),(INDEX(ALLCLASSDATA,MATCH("PerceptionExpert",CLASSFEATUREHEADERS,0),MATCH(($A593 &amp; "Points"),CLASSNAMEHEADERS,0))),(IF("09"=(INDEX(ALLCLASSDATA,MATCH("PerceptionTrained",CLASSFEATUREHEADERS,0),MATCH($A593,CLASSNAMEHEADERS,0))),(INDEX(ALLCLASSDATA,MATCH("PerceptionTrained",CLASSFEATUREHEADERS,0),MATCH(($A593 &amp; "Points"),CLASSNAMEHEADERS,0))),"")))))))))}</f>
        <v>PERCEPTIONL09</v>
      </c>
      <c r="P592" s="230"/>
      <c r="Q592" s="230" t="str">
        <f t="array" ref="Q592:Q593">{"PERCEPTIONL11";((IF("11"=(INDEX(ALLCLASSDATA,MATCH("PerceptionLegendary",CLASSFEATUREHEADERS,0),MATCH($A593,CLASSNAMEHEADERS,0))),(INDEX(ALLCLASSDATA,MATCH("PerceptionLegendary",CLASSFEATUREHEADERS,0),MATCH(($A593 &amp; "Points"),CLASSNAMEHEADERS,0))),(IF("11"=(INDEX(ALLCLASSDATA,MATCH("PerceptionMaster",CLASSFEATUREHEADERS,0),MATCH($A593,CLASSNAMEHEADERS,0))),(INDEX(ALLCLASSDATA,MATCH("PerceptionMaster",CLASSFEATUREHEADERS,0),MATCH(($A593 &amp; "Points"),CLASSNAMEHEADERS,0))),(IF("11"=(INDEX(ALLCLASSDATA,MATCH("PerceptionExpert",CLASSFEATUREHEADERS,0),MATCH($A593,CLASSNAMEHEADERS,0))),(INDEX(ALLCLASSDATA,MATCH("PerceptionExpert",CLASSFEATUREHEADERS,0),MATCH(($A593 &amp; "Points"),CLASSNAMEHEADERS,0))),(IF("11"=(INDEX(ALLCLASSDATA,MATCH("PerceptionTrained",CLASSFEATUREHEADERS,0),MATCH($A593,CLASSNAMEHEADERS,0))),(INDEX(ALLCLASSDATA,MATCH("PerceptionTrained",CLASSFEATUREHEADERS,0),MATCH(($A593 &amp; "Points"),CLASSNAMEHEADERS,0))),"")))))))))}</f>
        <v>PERCEPTIONL11</v>
      </c>
      <c r="R592" s="230"/>
      <c r="S592" s="230" t="str">
        <f t="array" ref="S592:S593">{"PERCEPTIONL13";((IF("13"=(INDEX(ALLCLASSDATA,MATCH("PerceptionLegendary",CLASSFEATUREHEADERS,0),MATCH($A593,CLASSNAMEHEADERS,0))),(INDEX(ALLCLASSDATA,MATCH("PerceptionLegendary",CLASSFEATUREHEADERS,0),MATCH(($A593 &amp; "Points"),CLASSNAMEHEADERS,0))),(IF("13"=(INDEX(ALLCLASSDATA,MATCH("PerceptionMaster",CLASSFEATUREHEADERS,0),MATCH($A593,CLASSNAMEHEADERS,0))),(INDEX(ALLCLASSDATA,MATCH("PerceptionMaster",CLASSFEATUREHEADERS,0),MATCH(($A593 &amp; "Points"),CLASSNAMEHEADERS,0))),(IF("13"=(INDEX(ALLCLASSDATA,MATCH("PerceptionExpert",CLASSFEATUREHEADERS,0),MATCH($A593,CLASSNAMEHEADERS,0))),(INDEX(ALLCLASSDATA,MATCH("PerceptionExpert",CLASSFEATUREHEADERS,0),MATCH(($A593 &amp; "Points"),CLASSNAMEHEADERS,0))),(IF("13"=(INDEX(ALLCLASSDATA,MATCH("PerceptionTrained",CLASSFEATUREHEADERS,0),MATCH($A593,CLASSNAMEHEADERS,0))),(INDEX(ALLCLASSDATA,MATCH("PerceptionTrained",CLASSFEATUREHEADERS,0),MATCH(($A593 &amp; "Points"),CLASSNAMEHEADERS,0))),"")))))))))}</f>
        <v>PERCEPTIONL13</v>
      </c>
      <c r="T592" s="230"/>
      <c r="U592" s="230" t="str">
        <f t="array" ref="U592:U593">{"PERCEPTIONL15";((IF("15"=(INDEX(ALLCLASSDATA,MATCH("PerceptionLegendary",CLASSFEATUREHEADERS,0),MATCH($A593,CLASSNAMEHEADERS,0))),(INDEX(ALLCLASSDATA,MATCH("PerceptionLegendary",CLASSFEATUREHEADERS,0),MATCH(($A593 &amp; "Points"),CLASSNAMEHEADERS,0))),(IF("15"=(INDEX(ALLCLASSDATA,MATCH("PerceptionMaster",CLASSFEATUREHEADERS,0),MATCH($A593,CLASSNAMEHEADERS,0))),(INDEX(ALLCLASSDATA,MATCH("PerceptionMaster",CLASSFEATUREHEADERS,0),MATCH(($A593 &amp; "Points"),CLASSNAMEHEADERS,0))),(IF("15"=(INDEX(ALLCLASSDATA,MATCH("PerceptionExpert",CLASSFEATUREHEADERS,0),MATCH($A593,CLASSNAMEHEADERS,0))),(INDEX(ALLCLASSDATA,MATCH("PerceptionExpert",CLASSFEATUREHEADERS,0),MATCH(($A593 &amp; "Points"),CLASSNAMEHEADERS,0))),(IF("15"=(INDEX(ALLCLASSDATA,MATCH("PerceptionTrained",CLASSFEATUREHEADERS,0),MATCH($A593,CLASSNAMEHEADERS,0))),(INDEX(ALLCLASSDATA,MATCH("PerceptionTrained",CLASSFEATUREHEADERS,0),MATCH(($A593 &amp; "Points"),CLASSNAMEHEADERS,0))),"")))))))))}</f>
        <v>PERCEPTIONL15</v>
      </c>
      <c r="V592" s="230"/>
      <c r="W592" s="230" t="str">
        <f t="array" ref="W592:W593">{"PERCEPTIONL17";((IF("17"=(INDEX(ALLCLASSDATA,MATCH("PerceptionLegendary",CLASSFEATUREHEADERS,0),MATCH($A593,CLASSNAMEHEADERS,0))),(INDEX(ALLCLASSDATA,MATCH("PerceptionLegendary",CLASSFEATUREHEADERS,0),MATCH(($A593 &amp; "Points"),CLASSNAMEHEADERS,0))),(IF("17"=(INDEX(ALLCLASSDATA,MATCH("PerceptionMaster",CLASSFEATUREHEADERS,0),MATCH($A593,CLASSNAMEHEADERS,0))),(INDEX(ALLCLASSDATA,MATCH("PerceptionMaster",CLASSFEATUREHEADERS,0),MATCH(($A593 &amp; "Points"),CLASSNAMEHEADERS,0))),(IF("17"=(INDEX(ALLCLASSDATA,MATCH("PerceptionExpert",CLASSFEATUREHEADERS,0),MATCH($A593,CLASSNAMEHEADERS,0))),(INDEX(ALLCLASSDATA,MATCH("PerceptionExpert",CLASSFEATUREHEADERS,0),MATCH(($A593 &amp; "Points"),CLASSNAMEHEADERS,0))),(IF("17"=(INDEX(ALLCLASSDATA,MATCH("PerceptionTrained",CLASSFEATUREHEADERS,0),MATCH($A593,CLASSNAMEHEADERS,0))),(INDEX(ALLCLASSDATA,MATCH("PerceptionTrained",CLASSFEATUREHEADERS,0),MATCH(($A593 &amp; "Points"),CLASSNAMEHEADERS,0))),"")))))))))}</f>
        <v>PERCEPTIONL17</v>
      </c>
      <c r="X592" s="230"/>
      <c r="Y592" s="230" t="str">
        <f t="array" ref="Y592:Y593">{"PERCEPTIONL19";((IF("19"=(INDEX(ALLCLASSDATA,MATCH("PerceptionLegendary",CLASSFEATUREHEADERS,0),MATCH($A593,CLASSNAMEHEADERS,0))),(INDEX(ALLCLASSDATA,MATCH("PerceptionLegendary",CLASSFEATUREHEADERS,0),MATCH(($A593 &amp; "Points"),CLASSNAMEHEADERS,0))),(IF("19"=(INDEX(ALLCLASSDATA,MATCH("PerceptionMaster",CLASSFEATUREHEADERS,0),MATCH($A593,CLASSNAMEHEADERS,0))),(INDEX(ALLCLASSDATA,MATCH("PerceptionMaster",CLASSFEATUREHEADERS,0),MATCH(($A593 &amp; "Points"),CLASSNAMEHEADERS,0))),(IF("19"=(INDEX(ALLCLASSDATA,MATCH("PerceptionExpert",CLASSFEATUREHEADERS,0),MATCH($A593,CLASSNAMEHEADERS,0))),(INDEX(ALLCLASSDATA,MATCH("PerceptionExpert",CLASSFEATUREHEADERS,0),MATCH(($A593 &amp; "Points"),CLASSNAMEHEADERS,0))),(IF("19"=(INDEX(ALLCLASSDATA,MATCH("PerceptionTrained",CLASSFEATUREHEADERS,0),MATCH($A593,CLASSNAMEHEADERS,0))),(INDEX(ALLCLASSDATA,MATCH("PerceptionTrained",CLASSFEATUREHEADERS,0),MATCH(($A593 &amp; "Points"),CLASSNAMEHEADERS,0))),"")))))))))}</f>
        <v>PERCEPTIONL19</v>
      </c>
      <c r="Z592" s="230"/>
      <c r="AA592" s="76" t="str">
        <f t="array" ref="AA592:AA593">{"PERCEPTION TOTAL";(IF(COUNTBLANK(F593:Z593)=17,"L",(IF(COUNTBLANK(F593:Z593)=18,"M",(IF(COUNTBLANK(F593:Z593)=19,"E",(IF(COUNTBLANK(F593:Z593)=20,"T",""))))))))}</f>
        <v>PERCEPTION TOTAL</v>
      </c>
      <c r="AB592" s="76" t="str">
        <f t="array" ref="AB592:AB593">{"PERCEPTION TOTAL";(sum(F593:Z593))}</f>
        <v>PERCEPTION TOTAL</v>
      </c>
    </row>
    <row r="593">
      <c r="A593" s="48" t="s">
        <v>221</v>
      </c>
      <c r="B593" s="48" t="s">
        <v>418</v>
      </c>
      <c r="C593" s="97" t="s">
        <v>637</v>
      </c>
      <c r="D593" s="97" t="s">
        <v>637</v>
      </c>
      <c r="E593" s="98" t="s">
        <v>436</v>
      </c>
      <c r="F593" s="132">
        <v>10.0</v>
      </c>
      <c r="G593" s="98">
        <v>50.0</v>
      </c>
      <c r="H593" s="98"/>
      <c r="I593" s="98" t="s">
        <v>603</v>
      </c>
      <c r="J593" s="98"/>
      <c r="K593" s="98" t="s">
        <v>603</v>
      </c>
      <c r="L593" s="98"/>
      <c r="M593" s="98" t="s">
        <v>603</v>
      </c>
      <c r="N593" s="98"/>
      <c r="O593" s="98" t="s">
        <v>603</v>
      </c>
      <c r="P593" s="98"/>
      <c r="Q593" s="98">
        <v>110.0</v>
      </c>
      <c r="R593" s="98"/>
      <c r="S593" s="98" t="s">
        <v>603</v>
      </c>
      <c r="T593" s="98"/>
      <c r="U593" s="98" t="s">
        <v>603</v>
      </c>
      <c r="V593" s="98"/>
      <c r="W593" s="98" t="s">
        <v>603</v>
      </c>
      <c r="X593" s="98"/>
      <c r="Y593" s="98" t="s">
        <v>603</v>
      </c>
      <c r="Z593" s="98"/>
      <c r="AA593" s="5" t="s">
        <v>437</v>
      </c>
      <c r="AB593" s="47">
        <v>170.0</v>
      </c>
    </row>
    <row r="594" hidden="1">
      <c r="A594" s="222" t="str">
        <f t="array" ref="A594:A595">{"FormulaRow23";(INDEX(CLASSLIST,A549,1))}</f>
        <v>FormulaRow23</v>
      </c>
      <c r="B594" s="222" t="str">
        <f t="array" ref="B594:B595">{"CLASSTYPE";((INDEX(ALLCLASSDATA,MATCH("ClassType",CLASSFEATUREHEADERS,0),MATCH($A595,CLASSNAMEHEADERS,0))))}</f>
        <v>CLASSTYPE</v>
      </c>
      <c r="C594" s="228" t="str">
        <f t="array" ref="C594:C595">{"SAVES";"Saves"}</f>
        <v>SAVES</v>
      </c>
      <c r="D594" s="228" t="str">
        <f t="array" ref="D594:D595">{"FORTITUDESAVE";"FortitudeSave"}</f>
        <v>FORTITUDESAVE</v>
      </c>
      <c r="E594" s="230" t="str">
        <f t="array" ref="E594:E595">{"FORTITUDEINITIAL";((IF(G595=10,"T",(IF(G595=50,"E","")))))}</f>
        <v>FORTITUDEINITIAL</v>
      </c>
      <c r="F594" s="230" t="str">
        <f t="array" ref="F594:F595">{"FORTITUDEINITIALPTS";((IF("00"=(INDEX(ALLCLASSDATA,MATCH("FortitudeSaveLegendary",CLASSFEATUREHEADERS,0),MATCH($A595,CLASSNAMEHEADERS,0))),(INDEX(ALLCLASSDATA,MATCH("FortitudeSaveLegendary",CLASSFEATUREHEADERS,0),MATCH(($A595 &amp; "Points"),CLASSNAMEHEADERS,0))),(IF("00"=(INDEX(ALLCLASSDATA,MATCH("FortitudeSaveMaster",CLASSFEATUREHEADERS,0),MATCH($A595,CLASSNAMEHEADERS,0))),(INDEX(ALLCLASSDATA,MATCH("FortitudeSaveMaster",CLASSFEATUREHEADERS,0),MATCH(($A595 &amp; "Points"),CLASSNAMEHEADERS,0))),(IF("00"=(INDEX(ALLCLASSDATA,MATCH("FortitudeSaveExpert",CLASSFEATUREHEADERS,0),MATCH($A595,CLASSNAMEHEADERS,0))),(INDEX(ALLCLASSDATA,MATCH("FortitudeSaveExpert",CLASSFEATUREHEADERS,0),MATCH(($A595 &amp; "Points"),CLASSNAMEHEADERS,0))),(IF("00"=(INDEX(ALLCLASSDATA,MATCH("FortitudeSaveTrained",CLASSFEATUREHEADERS,0),MATCH($A595,CLASSNAMEHEADERS,0))),(INDEX(ALLCLASSDATA,MATCH("FortitudeSaveTrained",CLASSFEATUREHEADERS,0),MATCH(($A595 &amp; "Points"),CLASSNAMEHEADERS,0))),"")))))))))}</f>
        <v>FORTITUDEINITIALPTS</v>
      </c>
      <c r="G594" s="230" t="str">
        <f t="array" ref="G594:G595">{"FORTITUDEL01";((IF("01"=(INDEX(ALLCLASSDATA,MATCH("FortitudeSaveLegendary",CLASSFEATUREHEADERS,0),MATCH($A595,CLASSNAMEHEADERS,0))),(INDEX(ALLCLASSDATA,MATCH("FortitudeSaveLegendary",CLASSFEATUREHEADERS,0),MATCH(($A595 &amp; "Points"),CLASSNAMEHEADERS,0))),(IF("01"=(INDEX(ALLCLASSDATA,MATCH("FortitudeSaveMaster",CLASSFEATUREHEADERS,0),MATCH($A595,CLASSNAMEHEADERS,0))),(INDEX(ALLCLASSDATA,MATCH("FortitudeSaveMaster",CLASSFEATUREHEADERS,0),MATCH(($A595 &amp; "Points"),CLASSNAMEHEADERS,0))),(IF("01"=(INDEX(ALLCLASSDATA,MATCH("FortitudeSaveExpert",CLASSFEATUREHEADERS,0),MATCH($A595,CLASSNAMEHEADERS,0))),(INDEX(ALLCLASSDATA,MATCH("FortitudeSaveExpert",CLASSFEATUREHEADERS,0),MATCH(($A595 &amp; "Points"),CLASSNAMEHEADERS,0))),(IF("01"=(INDEX(ALLCLASSDATA,MATCH("FortitudeSaveTrained",CLASSFEATUREHEADERS,0),MATCH($A595,CLASSNAMEHEADERS,0))),(INDEX(ALLCLASSDATA,MATCH("FortitudeSaveTrained",CLASSFEATUREHEADERS,0),MATCH(($A595 &amp; "Points"),CLASSNAMEHEADERS,0))),"")))))))))}</f>
        <v>FORTITUDEL01</v>
      </c>
      <c r="H594" s="230"/>
      <c r="I594" s="230" t="str">
        <f t="array" ref="I594:I595">{"FORTITUDEL03";((IF("03"=(INDEX(ALLCLASSDATA,MATCH("FortitudeSaveLegendary",CLASSFEATUREHEADERS,0),MATCH($A595,CLASSNAMEHEADERS,0))),(INDEX(ALLCLASSDATA,MATCH("FortitudeSaveLegendary",CLASSFEATUREHEADERS,0),MATCH(($A595 &amp; "Points"),CLASSNAMEHEADERS,0))),(IF("03"=(INDEX(ALLCLASSDATA,MATCH("FortitudeSaveMaster",CLASSFEATUREHEADERS,0),MATCH($A595,CLASSNAMEHEADERS,0))),(INDEX(ALLCLASSDATA,MATCH("FortitudeSaveMaster",CLASSFEATUREHEADERS,0),MATCH(($A595 &amp; "Points"),CLASSNAMEHEADERS,0))),(IF("03"=(INDEX(ALLCLASSDATA,MATCH("FortitudeSaveExpert",CLASSFEATUREHEADERS,0),MATCH($A595,CLASSNAMEHEADERS,0))),(INDEX(ALLCLASSDATA,MATCH("FortitudeSaveExpert",CLASSFEATUREHEADERS,0),MATCH(($A595 &amp; "Points"),CLASSNAMEHEADERS,0))),(IF("03"=(INDEX(ALLCLASSDATA,MATCH("FortitudeSaveTrained",CLASSFEATUREHEADERS,0),MATCH($A595,CLASSNAMEHEADERS,0))),(INDEX(ALLCLASSDATA,MATCH("FortitudeSaveTrained",CLASSFEATUREHEADERS,0),MATCH(($A595 &amp; "Points"),CLASSNAMEHEADERS,0))),"")))))))))}</f>
        <v>FORTITUDEL03</v>
      </c>
      <c r="J594" s="230"/>
      <c r="K594" s="230" t="str">
        <f t="array" ref="K594:K595">{"FORTITUDEL05";((IF("05"=(INDEX(ALLCLASSDATA,MATCH("FortitudeSaveLegendary",CLASSFEATUREHEADERS,0),MATCH($A595,CLASSNAMEHEADERS,0))),(INDEX(ALLCLASSDATA,MATCH("FortitudeSaveLegendary",CLASSFEATUREHEADERS,0),MATCH(($A595 &amp; "Points"),CLASSNAMEHEADERS,0))),(IF("05"=(INDEX(ALLCLASSDATA,MATCH("FortitudeSaveMaster",CLASSFEATUREHEADERS,0),MATCH($A595,CLASSNAMEHEADERS,0))),(INDEX(ALLCLASSDATA,MATCH("FortitudeSaveMaster",CLASSFEATUREHEADERS,0),MATCH(($A595 &amp; "Points"),CLASSNAMEHEADERS,0))),(IF("05"=(INDEX(ALLCLASSDATA,MATCH("FortitudeSaveExpert",CLASSFEATUREHEADERS,0),MATCH($A595,CLASSNAMEHEADERS,0))),(INDEX(ALLCLASSDATA,MATCH("FortitudeSaveExpert",CLASSFEATUREHEADERS,0),MATCH(($A595 &amp; "Points"),CLASSNAMEHEADERS,0))),(IF("05"=(INDEX(ALLCLASSDATA,MATCH("FortitudeSaveTrained",CLASSFEATUREHEADERS,0),MATCH($A595,CLASSNAMEHEADERS,0))),(INDEX(ALLCLASSDATA,MATCH("FortitudeSaveTrained",CLASSFEATUREHEADERS,0),MATCH(($A595 &amp; "Points"),CLASSNAMEHEADERS,0))),"")))))))))}</f>
        <v>FORTITUDEL05</v>
      </c>
      <c r="L594" s="230"/>
      <c r="M594" s="230" t="str">
        <f t="array" ref="M594:M595">{"FORTITUDEL07";((IF("07"=(INDEX(ALLCLASSDATA,MATCH("FortitudeSaveLegendary",CLASSFEATUREHEADERS,0),MATCH($A595,CLASSNAMEHEADERS,0))),(INDEX(ALLCLASSDATA,MATCH("FortitudeSaveLegendary",CLASSFEATUREHEADERS,0),MATCH(($A595 &amp; "Points"),CLASSNAMEHEADERS,0))),(IF("07"=(INDEX(ALLCLASSDATA,MATCH("FortitudeSaveMaster",CLASSFEATUREHEADERS,0),MATCH($A595,CLASSNAMEHEADERS,0))),(INDEX(ALLCLASSDATA,MATCH("FortitudeSaveMaster",CLASSFEATUREHEADERS,0),MATCH(($A595 &amp; "Points"),CLASSNAMEHEADERS,0))),(IF("07"=(INDEX(ALLCLASSDATA,MATCH("FortitudeSaveExpert",CLASSFEATUREHEADERS,0),MATCH($A595,CLASSNAMEHEADERS,0))),(INDEX(ALLCLASSDATA,MATCH("FortitudeSaveExpert",CLASSFEATUREHEADERS,0),MATCH(($A595 &amp; "Points"),CLASSNAMEHEADERS,0))),(IF("07"=(INDEX(ALLCLASSDATA,MATCH("FortitudeSaveTrained",CLASSFEATUREHEADERS,0),MATCH($A595,CLASSNAMEHEADERS,0))),(INDEX(ALLCLASSDATA,MATCH("FortitudeSaveTrained",CLASSFEATUREHEADERS,0),MATCH(($A595 &amp; "Points"),CLASSNAMEHEADERS,0))),"")))))))))}</f>
        <v>FORTITUDEL07</v>
      </c>
      <c r="N594" s="230"/>
      <c r="O594" s="230" t="str">
        <f t="array" ref="O594:O595">{"FORTITUDEL09";((IF("09"=(INDEX(ALLCLASSDATA,MATCH("FortitudeSaveLegendary",CLASSFEATUREHEADERS,0),MATCH($A595,CLASSNAMEHEADERS,0))),(INDEX(ALLCLASSDATA,MATCH("FortitudeSaveLegendary",CLASSFEATUREHEADERS,0),MATCH(($A595 &amp; "Points"),CLASSNAMEHEADERS,0))),(IF("09"=(INDEX(ALLCLASSDATA,MATCH("FortitudeSaveMaster",CLASSFEATUREHEADERS,0),MATCH($A595,CLASSNAMEHEADERS,0))),(INDEX(ALLCLASSDATA,MATCH("FortitudeSaveMaster",CLASSFEATUREHEADERS,0),MATCH(($A595 &amp; "Points"),CLASSNAMEHEADERS,0))),(IF("09"=(INDEX(ALLCLASSDATA,MATCH("FortitudeSaveExpert",CLASSFEATUREHEADERS,0),MATCH($A595,CLASSNAMEHEADERS,0))),(INDEX(ALLCLASSDATA,MATCH("FortitudeSaveExpert",CLASSFEATUREHEADERS,0),MATCH(($A595 &amp; "Points"),CLASSNAMEHEADERS,0))),(IF("09"=(INDEX(ALLCLASSDATA,MATCH("FortitudeSaveTrained",CLASSFEATUREHEADERS,0),MATCH($A595,CLASSNAMEHEADERS,0))),(INDEX(ALLCLASSDATA,MATCH("FortitudeSaveTrained",CLASSFEATUREHEADERS,0),MATCH(($A595 &amp; "Points"),CLASSNAMEHEADERS,0))),"")))))))))}</f>
        <v>FORTITUDEL09</v>
      </c>
      <c r="P594" s="230"/>
      <c r="Q594" s="230" t="str">
        <f t="array" ref="Q594:Q595">{"FORTITUDEL11";((IF("11"=(INDEX(ALLCLASSDATA,MATCH("FortitudeSaveLegendary",CLASSFEATUREHEADERS,0),MATCH($A595,CLASSNAMEHEADERS,0))),(INDEX(ALLCLASSDATA,MATCH("FortitudeSaveLegendary",CLASSFEATUREHEADERS,0),MATCH(($A595 &amp; "Points"),CLASSNAMEHEADERS,0))),(IF("11"=(INDEX(ALLCLASSDATA,MATCH("FortitudeSaveMaster",CLASSFEATUREHEADERS,0),MATCH($A595,CLASSNAMEHEADERS,0))),(INDEX(ALLCLASSDATA,MATCH("FortitudeSaveMaster",CLASSFEATUREHEADERS,0),MATCH(($A595 &amp; "Points"),CLASSNAMEHEADERS,0))),(IF("11"=(INDEX(ALLCLASSDATA,MATCH("FortitudeSaveExpert",CLASSFEATUREHEADERS,0),MATCH($A595,CLASSNAMEHEADERS,0))),(INDEX(ALLCLASSDATA,MATCH("FortitudeSaveExpert",CLASSFEATUREHEADERS,0),MATCH(($A595 &amp; "Points"),CLASSNAMEHEADERS,0))),(IF("11"=(INDEX(ALLCLASSDATA,MATCH("FortitudeSaveTrained",CLASSFEATUREHEADERS,0),MATCH($A595,CLASSNAMEHEADERS,0))),(INDEX(ALLCLASSDATA,MATCH("FortitudeSaveTrained",CLASSFEATUREHEADERS,0),MATCH(($A595 &amp; "Points"),CLASSNAMEHEADERS,0))),"")))))))))}</f>
        <v>FORTITUDEL11</v>
      </c>
      <c r="R594" s="230"/>
      <c r="S594" s="230" t="str">
        <f t="array" ref="S594:S595">{"FORTITUDEL13";((IF("13"=(INDEX(ALLCLASSDATA,MATCH("FortitudeSaveLegendary",CLASSFEATUREHEADERS,0),MATCH($A595,CLASSNAMEHEADERS,0))),(INDEX(ALLCLASSDATA,MATCH("FortitudeSaveLegendary",CLASSFEATUREHEADERS,0),MATCH(($A595 &amp; "Points"),CLASSNAMEHEADERS,0))),(IF("13"=(INDEX(ALLCLASSDATA,MATCH("FortitudeSaveMaster",CLASSFEATUREHEADERS,0),MATCH($A595,CLASSNAMEHEADERS,0))),(INDEX(ALLCLASSDATA,MATCH("FortitudeSaveMaster",CLASSFEATUREHEADERS,0),MATCH(($A595 &amp; "Points"),CLASSNAMEHEADERS,0))),(IF("13"=(INDEX(ALLCLASSDATA,MATCH("FortitudeSaveExpert",CLASSFEATUREHEADERS,0),MATCH($A595,CLASSNAMEHEADERS,0))),(INDEX(ALLCLASSDATA,MATCH("FortitudeSaveExpert",CLASSFEATUREHEADERS,0),MATCH(($A595 &amp; "Points"),CLASSNAMEHEADERS,0))),(IF("13"=(INDEX(ALLCLASSDATA,MATCH("FortitudeSaveTrained",CLASSFEATUREHEADERS,0),MATCH($A595,CLASSNAMEHEADERS,0))),(INDEX(ALLCLASSDATA,MATCH("FortitudeSaveTrained",CLASSFEATUREHEADERS,0),MATCH(($A595 &amp; "Points"),CLASSNAMEHEADERS,0))),"")))))))))}</f>
        <v>FORTITUDEL13</v>
      </c>
      <c r="T594" s="230"/>
      <c r="U594" s="230" t="str">
        <f t="array" ref="U594:U595">{"FORTITUDEL15";((IF("15"=(INDEX(ALLCLASSDATA,MATCH("FortitudeSaveLegendary",CLASSFEATUREHEADERS,0),MATCH($A595,CLASSNAMEHEADERS,0))),(INDEX(ALLCLASSDATA,MATCH("FortitudeSaveLegendary",CLASSFEATUREHEADERS,0),MATCH(($A595 &amp; "Points"),CLASSNAMEHEADERS,0))),(IF("15"=(INDEX(ALLCLASSDATA,MATCH("FortitudeSaveMaster",CLASSFEATUREHEADERS,0),MATCH($A595,CLASSNAMEHEADERS,0))),(INDEX(ALLCLASSDATA,MATCH("FortitudeSaveMaster",CLASSFEATUREHEADERS,0),MATCH(($A595 &amp; "Points"),CLASSNAMEHEADERS,0))),(IF("15"=(INDEX(ALLCLASSDATA,MATCH("FortitudeSaveExpert",CLASSFEATUREHEADERS,0),MATCH($A595,CLASSNAMEHEADERS,0))),(INDEX(ALLCLASSDATA,MATCH("FortitudeSaveExpert",CLASSFEATUREHEADERS,0),MATCH(($A595 &amp; "Points"),CLASSNAMEHEADERS,0))),(IF("15"=(INDEX(ALLCLASSDATA,MATCH("FortitudeSaveTrained",CLASSFEATUREHEADERS,0),MATCH($A595,CLASSNAMEHEADERS,0))),(INDEX(ALLCLASSDATA,MATCH("FortitudeSaveTrained",CLASSFEATUREHEADERS,0),MATCH(($A595 &amp; "Points"),CLASSNAMEHEADERS,0))),"")))))))))}</f>
        <v>FORTITUDEL15</v>
      </c>
      <c r="V594" s="230"/>
      <c r="W594" s="230" t="str">
        <f t="array" ref="W594:W595">{"FORTITUDEL17";((IF("17"=(INDEX(ALLCLASSDATA,MATCH("FortitudeSaveLegendary",CLASSFEATUREHEADERS,0),MATCH($A595,CLASSNAMEHEADERS,0))),(INDEX(ALLCLASSDATA,MATCH("FortitudeSaveLegendary",CLASSFEATUREHEADERS,0),MATCH(($A595 &amp; "Points"),CLASSNAMEHEADERS,0))),(IF("17"=(INDEX(ALLCLASSDATA,MATCH("FortitudeSaveMaster",CLASSFEATUREHEADERS,0),MATCH($A595,CLASSNAMEHEADERS,0))),(INDEX(ALLCLASSDATA,MATCH("FortitudeSaveMaster",CLASSFEATUREHEADERS,0),MATCH(($A595 &amp; "Points"),CLASSNAMEHEADERS,0))),(IF("17"=(INDEX(ALLCLASSDATA,MATCH("FortitudeSaveExpert",CLASSFEATUREHEADERS,0),MATCH($A595,CLASSNAMEHEADERS,0))),(INDEX(ALLCLASSDATA,MATCH("FortitudeSaveExpert",CLASSFEATUREHEADERS,0),MATCH(($A595 &amp; "Points"),CLASSNAMEHEADERS,0))),(IF("17"=(INDEX(ALLCLASSDATA,MATCH("FortitudeSaveTrained",CLASSFEATUREHEADERS,0),MATCH($A595,CLASSNAMEHEADERS,0))),(INDEX(ALLCLASSDATA,MATCH("FortitudeSaveTrained",CLASSFEATUREHEADERS,0),MATCH(($A595 &amp; "Points"),CLASSNAMEHEADERS,0))),"")))))))))}</f>
        <v>FORTITUDEL17</v>
      </c>
      <c r="X594" s="230"/>
      <c r="Y594" s="230" t="str">
        <f t="array" ref="Y594:Y595">{"FORTITUDEL19";((IF("19"=(INDEX(ALLCLASSDATA,MATCH("FortitudeSaveLegendary",CLASSFEATUREHEADERS,0),MATCH($A595,CLASSNAMEHEADERS,0))),(INDEX(ALLCLASSDATA,MATCH("FortitudeSaveLegendary",CLASSFEATUREHEADERS,0),MATCH(($A595 &amp; "Points"),CLASSNAMEHEADERS,0))),(IF("19"=(INDEX(ALLCLASSDATA,MATCH("FortitudeSaveMaster",CLASSFEATUREHEADERS,0),MATCH($A595,CLASSNAMEHEADERS,0))),(INDEX(ALLCLASSDATA,MATCH("FortitudeSaveMaster",CLASSFEATUREHEADERS,0),MATCH(($A595 &amp; "Points"),CLASSNAMEHEADERS,0))),(IF("19"=(INDEX(ALLCLASSDATA,MATCH("FortitudeSaveExpert",CLASSFEATUREHEADERS,0),MATCH($A595,CLASSNAMEHEADERS,0))),(INDEX(ALLCLASSDATA,MATCH("FortitudeSaveExpert",CLASSFEATUREHEADERS,0),MATCH(($A595 &amp; "Points"),CLASSNAMEHEADERS,0))),(IF("19"=(INDEX(ALLCLASSDATA,MATCH("FortitudeSaveTrained",CLASSFEATUREHEADERS,0),MATCH($A595,CLASSNAMEHEADERS,0))),(INDEX(ALLCLASSDATA,MATCH("FortitudeSaveTrained",CLASSFEATUREHEADERS,0),MATCH(($A595 &amp; "Points"),CLASSNAMEHEADERS,0))),"")))))))))}</f>
        <v>FORTITUDEL19</v>
      </c>
      <c r="Z594" s="230"/>
      <c r="AA594" s="76" t="str">
        <f t="array" ref="AA594:AA595">{"FORTITUDE TOTAL";(IF(COUNTBLANK(F595:Z595)=17,"L",(IF(COUNTBLANK(F595:Z595)=18,"M",(IF(COUNTBLANK(F595:Z595)=19,"E",(IF(COUNTBLANK(F595:Z595)=20,"T",""))))))))}</f>
        <v>FORTITUDE TOTAL</v>
      </c>
      <c r="AB594" s="76" t="str">
        <f t="array" ref="AB594:AB595">{"FORTITUDE TOTAL";(sum(F595:Z595))}</f>
        <v>FORTITUDE TOTAL</v>
      </c>
    </row>
    <row r="595">
      <c r="A595" s="48" t="s">
        <v>221</v>
      </c>
      <c r="B595" s="48" t="s">
        <v>418</v>
      </c>
      <c r="C595" s="48" t="s">
        <v>1549</v>
      </c>
      <c r="D595" s="48" t="s">
        <v>1550</v>
      </c>
      <c r="E595" s="5" t="s">
        <v>435</v>
      </c>
      <c r="F595" s="47" t="s">
        <v>603</v>
      </c>
      <c r="G595" s="5">
        <v>10.0</v>
      </c>
      <c r="H595" s="5"/>
      <c r="I595" s="5" t="s">
        <v>603</v>
      </c>
      <c r="J595" s="5"/>
      <c r="K595" s="5" t="s">
        <v>603</v>
      </c>
      <c r="L595" s="5"/>
      <c r="M595" s="5" t="s">
        <v>603</v>
      </c>
      <c r="N595" s="5"/>
      <c r="O595" s="5">
        <v>50.0</v>
      </c>
      <c r="P595" s="5"/>
      <c r="Q595" s="5" t="s">
        <v>603</v>
      </c>
      <c r="R595" s="5"/>
      <c r="S595" s="5" t="s">
        <v>603</v>
      </c>
      <c r="T595" s="5"/>
      <c r="U595" s="5" t="s">
        <v>603</v>
      </c>
      <c r="V595" s="5"/>
      <c r="W595" s="5" t="s">
        <v>603</v>
      </c>
      <c r="X595" s="5"/>
      <c r="Y595" s="5" t="s">
        <v>603</v>
      </c>
      <c r="Z595" s="5"/>
      <c r="AA595" s="5" t="s">
        <v>436</v>
      </c>
      <c r="AB595" s="47">
        <v>60.0</v>
      </c>
    </row>
    <row r="596" hidden="1">
      <c r="A596" s="222" t="str">
        <f t="array" ref="A596:A597">{"FormulaRow24";(INDEX(CLASSLIST,A549,1))}</f>
        <v>FormulaRow24</v>
      </c>
      <c r="B596" s="222" t="str">
        <f t="array" ref="B596:B597">{"CLASSTYPE";((INDEX(ALLCLASSDATA,MATCH("ClassType",CLASSFEATUREHEADERS,0),MATCH($A597,CLASSNAMEHEADERS,0))))}</f>
        <v>CLASSTYPE</v>
      </c>
      <c r="C596" s="222" t="str">
        <f t="array" ref="C596:C597">{"SAVES";"Saves"}</f>
        <v>SAVES</v>
      </c>
      <c r="D596" s="222" t="str">
        <f t="array" ref="D596:D597">{"REFLEXSAVE";"ReflexSave"}</f>
        <v>REFLEXSAVE</v>
      </c>
      <c r="E596" s="223" t="str">
        <f t="array" ref="E596:E597">{"REFLEXINITIAL";((IF(G597=10,"T",(IF(G597=50,"E","")))))}</f>
        <v>REFLEXINITIAL</v>
      </c>
      <c r="F596" s="223" t="str">
        <f t="array" ref="F596:F597">{"REFLEXINITIALPTS";((IF("00"=(INDEX(ALLCLASSDATA,MATCH("ReflexSaveLegendary",CLASSFEATUREHEADERS,0),MATCH($A597,CLASSNAMEHEADERS,0))),(INDEX(ALLCLASSDATA,MATCH("ReflexSaveLegendary",CLASSFEATUREHEADERS,0),MATCH(($A597 &amp; "Points"),CLASSNAMEHEADERS,0))),(IF("00"=(INDEX(ALLCLASSDATA,MATCH("ReflexSaveMaster",CLASSFEATUREHEADERS,0),MATCH($A597,CLASSNAMEHEADERS,0))),(INDEX(ALLCLASSDATA,MATCH("ReflexSaveMaster",CLASSFEATUREHEADERS,0),MATCH(($A597 &amp; "Points"),CLASSNAMEHEADERS,0))),(IF("00"=(INDEX(ALLCLASSDATA,MATCH("ReflexSaveExpert",CLASSFEATUREHEADERS,0),MATCH($A597,CLASSNAMEHEADERS,0))),(INDEX(ALLCLASSDATA,MATCH("ReflexSaveExpert",CLASSFEATUREHEADERS,0),MATCH(($A597 &amp; "Points"),CLASSNAMEHEADERS,0))),(IF("00"=(INDEX(ALLCLASSDATA,MATCH("ReflexSaveTrained",CLASSFEATUREHEADERS,0),MATCH($A597,CLASSNAMEHEADERS,0))),(INDEX(ALLCLASSDATA,MATCH("ReflexSaveTrained",CLASSFEATUREHEADERS,0),MATCH(($A597 &amp; "Points"),CLASSNAMEHEADERS,0))),"")))))))))}</f>
        <v>REFLEXINITIALPTS</v>
      </c>
      <c r="G596" s="223" t="str">
        <f t="array" ref="G596:G597">{"REFLEXL01";((IF("01"=(INDEX(ALLCLASSDATA,MATCH("ReflexSaveLegendary",CLASSFEATUREHEADERS,0),MATCH($A597,CLASSNAMEHEADERS,0))),(INDEX(ALLCLASSDATA,MATCH("ReflexSaveLegendary",CLASSFEATUREHEADERS,0),MATCH(($A597 &amp; "Points"),CLASSNAMEHEADERS,0))),(IF("01"=(INDEX(ALLCLASSDATA,MATCH("ReflexSaveMaster",CLASSFEATUREHEADERS,0),MATCH($A597,CLASSNAMEHEADERS,0))),(INDEX(ALLCLASSDATA,MATCH("ReflexSaveMaster",CLASSFEATUREHEADERS,0),MATCH(($A597 &amp; "Points"),CLASSNAMEHEADERS,0))),(IF("01"=(INDEX(ALLCLASSDATA,MATCH("ReflexSaveExpert",CLASSFEATUREHEADERS,0),MATCH($A597,CLASSNAMEHEADERS,0))),(INDEX(ALLCLASSDATA,MATCH("ReflexSaveExpert",CLASSFEATUREHEADERS,0),MATCH(($A597 &amp; "Points"),CLASSNAMEHEADERS,0))),(IF("01"=(INDEX(ALLCLASSDATA,MATCH("ReflexSaveTrained",CLASSFEATUREHEADERS,0),MATCH($A597,CLASSNAMEHEADERS,0))),(INDEX(ALLCLASSDATA,MATCH("ReflexSaveTrained",CLASSFEATUREHEADERS,0),MATCH(($A597 &amp; "Points"),CLASSNAMEHEADERS,0))),"")))))))))}</f>
        <v>REFLEXL01</v>
      </c>
      <c r="H596" s="223"/>
      <c r="I596" s="223" t="str">
        <f t="array" ref="I596:I597">{"REFLEXL03";((IF("03"=(INDEX(ALLCLASSDATA,MATCH("ReflexSaveLegendary",CLASSFEATUREHEADERS,0),MATCH($A597,CLASSNAMEHEADERS,0))),(INDEX(ALLCLASSDATA,MATCH("ReflexSaveLegendary",CLASSFEATUREHEADERS,0),MATCH(($A597 &amp; "Points"),CLASSNAMEHEADERS,0))),(IF("03"=(INDEX(ALLCLASSDATA,MATCH("ReflexSaveMaster",CLASSFEATUREHEADERS,0),MATCH($A597,CLASSNAMEHEADERS,0))),(INDEX(ALLCLASSDATA,MATCH("ReflexSaveMaster",CLASSFEATUREHEADERS,0),MATCH(($A597 &amp; "Points"),CLASSNAMEHEADERS,0))),(IF("03"=(INDEX(ALLCLASSDATA,MATCH("ReflexSaveExpert",CLASSFEATUREHEADERS,0),MATCH($A597,CLASSNAMEHEADERS,0))),(INDEX(ALLCLASSDATA,MATCH("ReflexSaveExpert",CLASSFEATUREHEADERS,0),MATCH(($A597 &amp; "Points"),CLASSNAMEHEADERS,0))),(IF("03"=(INDEX(ALLCLASSDATA,MATCH("ReflexSaveTrained",CLASSFEATUREHEADERS,0),MATCH($A597,CLASSNAMEHEADERS,0))),(INDEX(ALLCLASSDATA,MATCH("ReflexSaveTrained",CLASSFEATUREHEADERS,0),MATCH(($A597 &amp; "Points"),CLASSNAMEHEADERS,0))),"")))))))))}</f>
        <v>REFLEXL03</v>
      </c>
      <c r="J596" s="223"/>
      <c r="K596" s="223" t="str">
        <f t="array" ref="K596:K597">{"REFLEXL05";((IF("05"=(INDEX(ALLCLASSDATA,MATCH("ReflexSaveLegendary",CLASSFEATUREHEADERS,0),MATCH($A597,CLASSNAMEHEADERS,0))),(INDEX(ALLCLASSDATA,MATCH("ReflexSaveLegendary",CLASSFEATUREHEADERS,0),MATCH(($A597 &amp; "Points"),CLASSNAMEHEADERS,0))),(IF("05"=(INDEX(ALLCLASSDATA,MATCH("ReflexSaveMaster",CLASSFEATUREHEADERS,0),MATCH($A597,CLASSNAMEHEADERS,0))),(INDEX(ALLCLASSDATA,MATCH("ReflexSaveMaster",CLASSFEATUREHEADERS,0),MATCH(($A597 &amp; "Points"),CLASSNAMEHEADERS,0))),(IF("05"=(INDEX(ALLCLASSDATA,MATCH("ReflexSaveExpert",CLASSFEATUREHEADERS,0),MATCH($A597,CLASSNAMEHEADERS,0))),(INDEX(ALLCLASSDATA,MATCH("ReflexSaveExpert",CLASSFEATUREHEADERS,0),MATCH(($A597 &amp; "Points"),CLASSNAMEHEADERS,0))),(IF("05"=(INDEX(ALLCLASSDATA,MATCH("ReflexSaveTrained",CLASSFEATUREHEADERS,0),MATCH($A597,CLASSNAMEHEADERS,0))),(INDEX(ALLCLASSDATA,MATCH("ReflexSaveTrained",CLASSFEATUREHEADERS,0),MATCH(($A597 &amp; "Points"),CLASSNAMEHEADERS,0))),"")))))))))}</f>
        <v>REFLEXL05</v>
      </c>
      <c r="L596" s="223"/>
      <c r="M596" s="223" t="str">
        <f t="array" ref="M596:M597">{"REFLEXL07";((IF("07"=(INDEX(ALLCLASSDATA,MATCH("ReflexSaveLegendary",CLASSFEATUREHEADERS,0),MATCH($A597,CLASSNAMEHEADERS,0))),(INDEX(ALLCLASSDATA,MATCH("ReflexSaveLegendary",CLASSFEATUREHEADERS,0),MATCH(($A597 &amp; "Points"),CLASSNAMEHEADERS,0))),(IF("07"=(INDEX(ALLCLASSDATA,MATCH("ReflexSaveMaster",CLASSFEATUREHEADERS,0),MATCH($A597,CLASSNAMEHEADERS,0))),(INDEX(ALLCLASSDATA,MATCH("ReflexSaveMaster",CLASSFEATUREHEADERS,0),MATCH(($A597 &amp; "Points"),CLASSNAMEHEADERS,0))),(IF("07"=(INDEX(ALLCLASSDATA,MATCH("ReflexSaveExpert",CLASSFEATUREHEADERS,0),MATCH($A597,CLASSNAMEHEADERS,0))),(INDEX(ALLCLASSDATA,MATCH("ReflexSaveExpert",CLASSFEATUREHEADERS,0),MATCH(($A597 &amp; "Points"),CLASSNAMEHEADERS,0))),(IF("07"=(INDEX(ALLCLASSDATA,MATCH("ReflexSaveTrained",CLASSFEATUREHEADERS,0),MATCH($A597,CLASSNAMEHEADERS,0))),(INDEX(ALLCLASSDATA,MATCH("ReflexSaveTrained",CLASSFEATUREHEADERS,0),MATCH(($A597 &amp; "Points"),CLASSNAMEHEADERS,0))),"")))))))))}</f>
        <v>REFLEXL07</v>
      </c>
      <c r="N596" s="223"/>
      <c r="O596" s="223" t="str">
        <f t="array" ref="O596:O597">{"REFLEXL09";((IF("09"=(INDEX(ALLCLASSDATA,MATCH("ReflexSaveLegendary",CLASSFEATUREHEADERS,0),MATCH($A597,CLASSNAMEHEADERS,0))),(INDEX(ALLCLASSDATA,MATCH("ReflexSaveLegendary",CLASSFEATUREHEADERS,0),MATCH(($A597 &amp; "Points"),CLASSNAMEHEADERS,0))),(IF("09"=(INDEX(ALLCLASSDATA,MATCH("ReflexSaveMaster",CLASSFEATUREHEADERS,0),MATCH($A597,CLASSNAMEHEADERS,0))),(INDEX(ALLCLASSDATA,MATCH("ReflexSaveMaster",CLASSFEATUREHEADERS,0),MATCH(($A597 &amp; "Points"),CLASSNAMEHEADERS,0))),(IF("09"=(INDEX(ALLCLASSDATA,MATCH("ReflexSaveExpert",CLASSFEATUREHEADERS,0),MATCH($A597,CLASSNAMEHEADERS,0))),(INDEX(ALLCLASSDATA,MATCH("ReflexSaveExpert",CLASSFEATUREHEADERS,0),MATCH(($A597 &amp; "Points"),CLASSNAMEHEADERS,0))),(IF("09"=(INDEX(ALLCLASSDATA,MATCH("ReflexSaveTrained",CLASSFEATUREHEADERS,0),MATCH($A597,CLASSNAMEHEADERS,0))),(INDEX(ALLCLASSDATA,MATCH("ReflexSaveTrained",CLASSFEATUREHEADERS,0),MATCH(($A597 &amp; "Points"),CLASSNAMEHEADERS,0))),"")))))))))}</f>
        <v>REFLEXL09</v>
      </c>
      <c r="P596" s="223"/>
      <c r="Q596" s="223" t="str">
        <f t="array" ref="Q596:Q597">{"REFLEXL11";((IF("11"=(INDEX(ALLCLASSDATA,MATCH("ReflexSaveLegendary",CLASSFEATUREHEADERS,0),MATCH($A597,CLASSNAMEHEADERS,0))),(INDEX(ALLCLASSDATA,MATCH("ReflexSaveLegendary",CLASSFEATUREHEADERS,0),MATCH(($A597 &amp; "Points"),CLASSNAMEHEADERS,0))),(IF("11"=(INDEX(ALLCLASSDATA,MATCH("ReflexSaveMaster",CLASSFEATUREHEADERS,0),MATCH($A597,CLASSNAMEHEADERS,0))),(INDEX(ALLCLASSDATA,MATCH("ReflexSaveMaster",CLASSFEATUREHEADERS,0),MATCH(($A597 &amp; "Points"),CLASSNAMEHEADERS,0))),(IF("11"=(INDEX(ALLCLASSDATA,MATCH("ReflexSaveExpert",CLASSFEATUREHEADERS,0),MATCH($A597,CLASSNAMEHEADERS,0))),(INDEX(ALLCLASSDATA,MATCH("ReflexSaveExpert",CLASSFEATUREHEADERS,0),MATCH(($A597 &amp; "Points"),CLASSNAMEHEADERS,0))),(IF("11"=(INDEX(ALLCLASSDATA,MATCH("ReflexSaveTrained",CLASSFEATUREHEADERS,0),MATCH($A597,CLASSNAMEHEADERS,0))),(INDEX(ALLCLASSDATA,MATCH("ReflexSaveTrained",CLASSFEATUREHEADERS,0),MATCH(($A597 &amp; "Points"),CLASSNAMEHEADERS,0))),"")))))))))}</f>
        <v>REFLEXL11</v>
      </c>
      <c r="R596" s="223"/>
      <c r="S596" s="223" t="str">
        <f t="array" ref="S596:S597">{"REFLEXL13";((IF("13"=(INDEX(ALLCLASSDATA,MATCH("ReflexSaveLegendary",CLASSFEATUREHEADERS,0),MATCH($A597,CLASSNAMEHEADERS,0))),(INDEX(ALLCLASSDATA,MATCH("ReflexSaveLegendary",CLASSFEATUREHEADERS,0),MATCH(($A597 &amp; "Points"),CLASSNAMEHEADERS,0))),(IF("13"=(INDEX(ALLCLASSDATA,MATCH("ReflexSaveMaster",CLASSFEATUREHEADERS,0),MATCH($A597,CLASSNAMEHEADERS,0))),(INDEX(ALLCLASSDATA,MATCH("ReflexSaveMaster",CLASSFEATUREHEADERS,0),MATCH(($A597 &amp; "Points"),CLASSNAMEHEADERS,0))),(IF("13"=(INDEX(ALLCLASSDATA,MATCH("ReflexSaveExpert",CLASSFEATUREHEADERS,0),MATCH($A597,CLASSNAMEHEADERS,0))),(INDEX(ALLCLASSDATA,MATCH("ReflexSaveExpert",CLASSFEATUREHEADERS,0),MATCH(($A597 &amp; "Points"),CLASSNAMEHEADERS,0))),(IF("13"=(INDEX(ALLCLASSDATA,MATCH("ReflexSaveTrained",CLASSFEATUREHEADERS,0),MATCH($A597,CLASSNAMEHEADERS,0))),(INDEX(ALLCLASSDATA,MATCH("ReflexSaveTrained",CLASSFEATUREHEADERS,0),MATCH(($A597 &amp; "Points"),CLASSNAMEHEADERS,0))),"")))))))))}</f>
        <v>REFLEXL13</v>
      </c>
      <c r="T596" s="223"/>
      <c r="U596" s="223" t="str">
        <f t="array" ref="U596:U597">{"REFLEXL15";((IF("15"=(INDEX(ALLCLASSDATA,MATCH("ReflexSaveLegendary",CLASSFEATUREHEADERS,0),MATCH($A597,CLASSNAMEHEADERS,0))),(INDEX(ALLCLASSDATA,MATCH("ReflexSaveLegendary",CLASSFEATUREHEADERS,0),MATCH(($A597 &amp; "Points"),CLASSNAMEHEADERS,0))),(IF("15"=(INDEX(ALLCLASSDATA,MATCH("ReflexSaveMaster",CLASSFEATUREHEADERS,0),MATCH($A597,CLASSNAMEHEADERS,0))),(INDEX(ALLCLASSDATA,MATCH("ReflexSaveMaster",CLASSFEATUREHEADERS,0),MATCH(($A597 &amp; "Points"),CLASSNAMEHEADERS,0))),(IF("15"=(INDEX(ALLCLASSDATA,MATCH("ReflexSaveExpert",CLASSFEATUREHEADERS,0),MATCH($A597,CLASSNAMEHEADERS,0))),(INDEX(ALLCLASSDATA,MATCH("ReflexSaveExpert",CLASSFEATUREHEADERS,0),MATCH(($A597 &amp; "Points"),CLASSNAMEHEADERS,0))),(IF("15"=(INDEX(ALLCLASSDATA,MATCH("ReflexSaveTrained",CLASSFEATUREHEADERS,0),MATCH($A597,CLASSNAMEHEADERS,0))),(INDEX(ALLCLASSDATA,MATCH("ReflexSaveTrained",CLASSFEATUREHEADERS,0),MATCH(($A597 &amp; "Points"),CLASSNAMEHEADERS,0))),"")))))))))}</f>
        <v>REFLEXL15</v>
      </c>
      <c r="V596" s="223"/>
      <c r="W596" s="223" t="str">
        <f t="array" ref="W596:W597">{"REFLEXL17";((IF("17"=(INDEX(ALLCLASSDATA,MATCH("ReflexSaveLegendary",CLASSFEATUREHEADERS,0),MATCH($A597,CLASSNAMEHEADERS,0))),(INDEX(ALLCLASSDATA,MATCH("ReflexSaveLegendary",CLASSFEATUREHEADERS,0),MATCH(($A597 &amp; "Points"),CLASSNAMEHEADERS,0))),(IF("17"=(INDEX(ALLCLASSDATA,MATCH("ReflexSaveMaster",CLASSFEATUREHEADERS,0),MATCH($A597,CLASSNAMEHEADERS,0))),(INDEX(ALLCLASSDATA,MATCH("ReflexSaveMaster",CLASSFEATUREHEADERS,0),MATCH(($A597 &amp; "Points"),CLASSNAMEHEADERS,0))),(IF("17"=(INDEX(ALLCLASSDATA,MATCH("ReflexSaveExpert",CLASSFEATUREHEADERS,0),MATCH($A597,CLASSNAMEHEADERS,0))),(INDEX(ALLCLASSDATA,MATCH("ReflexSaveExpert",CLASSFEATUREHEADERS,0),MATCH(($A597 &amp; "Points"),CLASSNAMEHEADERS,0))),(IF("17"=(INDEX(ALLCLASSDATA,MATCH("ReflexSaveTrained",CLASSFEATUREHEADERS,0),MATCH($A597,CLASSNAMEHEADERS,0))),(INDEX(ALLCLASSDATA,MATCH("ReflexSaveTrained",CLASSFEATUREHEADERS,0),MATCH(($A597 &amp; "Points"),CLASSNAMEHEADERS,0))),"")))))))))}</f>
        <v>REFLEXL17</v>
      </c>
      <c r="X596" s="223"/>
      <c r="Y596" s="223" t="str">
        <f t="array" ref="Y596:Y597">{"REFLEXL19";((IF("19"=(INDEX(ALLCLASSDATA,MATCH("ReflexSaveLegendary",CLASSFEATUREHEADERS,0),MATCH($A597,CLASSNAMEHEADERS,0))),(INDEX(ALLCLASSDATA,MATCH("ReflexSaveLegendary",CLASSFEATUREHEADERS,0),MATCH(($A597 &amp; "Points"),CLASSNAMEHEADERS,0))),(IF("19"=(INDEX(ALLCLASSDATA,MATCH("ReflexSaveMaster",CLASSFEATUREHEADERS,0),MATCH($A597,CLASSNAMEHEADERS,0))),(INDEX(ALLCLASSDATA,MATCH("ReflexSaveMaster",CLASSFEATUREHEADERS,0),MATCH(($A597 &amp; "Points"),CLASSNAMEHEADERS,0))),(IF("19"=(INDEX(ALLCLASSDATA,MATCH("ReflexSaveExpert",CLASSFEATUREHEADERS,0),MATCH($A597,CLASSNAMEHEADERS,0))),(INDEX(ALLCLASSDATA,MATCH("ReflexSaveExpert",CLASSFEATUREHEADERS,0),MATCH(($A597 &amp; "Points"),CLASSNAMEHEADERS,0))),(IF("19"=(INDEX(ALLCLASSDATA,MATCH("ReflexSaveTrained",CLASSFEATUREHEADERS,0),MATCH($A597,CLASSNAMEHEADERS,0))),(INDEX(ALLCLASSDATA,MATCH("ReflexSaveTrained",CLASSFEATUREHEADERS,0),MATCH(($A597 &amp; "Points"),CLASSNAMEHEADERS,0))),"")))))))))}</f>
        <v>REFLEXL19</v>
      </c>
      <c r="Z596" s="223"/>
      <c r="AA596" s="76" t="str">
        <f t="array" ref="AA596:AA597">{"REFLEX TOTAL";(IF(COUNTBLANK(F597:Z597)=17,"L",(IF(COUNTBLANK(F597:Z597)=18,"M",(IF(COUNTBLANK(F597:Z597)=19,"E",(IF(COUNTBLANK(F597:Z597)=20,"T",""))))))))}</f>
        <v>REFLEX TOTAL</v>
      </c>
      <c r="AB596" s="76" t="str">
        <f t="array" ref="AB596:AB597">{"REFLEX TOTAL";(sum(F597:Z597))}</f>
        <v>REFLEX TOTAL</v>
      </c>
    </row>
    <row r="597">
      <c r="A597" s="48" t="s">
        <v>221</v>
      </c>
      <c r="B597" s="48" t="s">
        <v>418</v>
      </c>
      <c r="C597" s="48" t="s">
        <v>1549</v>
      </c>
      <c r="D597" s="48" t="s">
        <v>1572</v>
      </c>
      <c r="E597" s="5" t="s">
        <v>435</v>
      </c>
      <c r="F597" s="47" t="s">
        <v>603</v>
      </c>
      <c r="G597" s="5">
        <v>10.0</v>
      </c>
      <c r="H597" s="5"/>
      <c r="I597" s="5">
        <v>50.0</v>
      </c>
      <c r="J597" s="5"/>
      <c r="K597" s="5" t="s">
        <v>603</v>
      </c>
      <c r="L597" s="5"/>
      <c r="M597" s="5" t="s">
        <v>603</v>
      </c>
      <c r="N597" s="5"/>
      <c r="O597" s="5" t="s">
        <v>603</v>
      </c>
      <c r="P597" s="5"/>
      <c r="Q597" s="5" t="s">
        <v>603</v>
      </c>
      <c r="R597" s="5"/>
      <c r="S597" s="5" t="s">
        <v>603</v>
      </c>
      <c r="T597" s="5"/>
      <c r="U597" s="5" t="s">
        <v>603</v>
      </c>
      <c r="V597" s="5"/>
      <c r="W597" s="5" t="s">
        <v>603</v>
      </c>
      <c r="X597" s="5"/>
      <c r="Y597" s="5" t="s">
        <v>603</v>
      </c>
      <c r="Z597" s="5"/>
      <c r="AA597" s="5" t="s">
        <v>436</v>
      </c>
      <c r="AB597" s="47">
        <v>60.0</v>
      </c>
    </row>
    <row r="598" hidden="1">
      <c r="A598" s="222" t="str">
        <f t="array" ref="A598:A599">{"FormulaRow25";(INDEX(CLASSLIST,A549,1))}</f>
        <v>FormulaRow25</v>
      </c>
      <c r="B598" s="222" t="str">
        <f t="array" ref="B598:B599">{"CLASSTYPE";((INDEX(ALLCLASSDATA,MATCH("ClassType",CLASSFEATUREHEADERS,0),MATCH($A599,CLASSNAMEHEADERS,0))))}</f>
        <v>CLASSTYPE</v>
      </c>
      <c r="C598" s="222" t="str">
        <f t="array" ref="C598:C599">{"SAVES";"Saves"}</f>
        <v>SAVES</v>
      </c>
      <c r="D598" s="222" t="str">
        <f t="array" ref="D598:D599">{"WILLSAVE";"WillSave"}</f>
        <v>WILLSAVE</v>
      </c>
      <c r="E598" s="223" t="str">
        <f t="array" ref="E598:E599">{"WILLINITIAL";((IF(G599=10,"T",(IF(G599=50,"E","")))))}</f>
        <v>WILLINITIAL</v>
      </c>
      <c r="F598" s="223" t="str">
        <f t="array" ref="F598:F599">{"WILLINITIALPTS";((IF("00"=(INDEX(ALLCLASSDATA,MATCH("WillSaveLegendary",CLASSFEATUREHEADERS,0),MATCH($A599,CLASSNAMEHEADERS,0))),(INDEX(ALLCLASSDATA,MATCH("WillSaveLegendary",CLASSFEATUREHEADERS,0),MATCH(($A599 &amp; "Points"),CLASSNAMEHEADERS,0))),(IF("00"=(INDEX(ALLCLASSDATA,MATCH("WillSaveMaster",CLASSFEATUREHEADERS,0),MATCH($A599,CLASSNAMEHEADERS,0))),(INDEX(ALLCLASSDATA,MATCH("WillSaveMaster",CLASSFEATUREHEADERS,0),MATCH(($A599 &amp; "Points"),CLASSNAMEHEADERS,0))),(IF("00"=(INDEX(ALLCLASSDATA,MATCH("WillSaveExpert",CLASSFEATUREHEADERS,0),MATCH($A599,CLASSNAMEHEADERS,0))),(INDEX(ALLCLASSDATA,MATCH("WillSaveExpert",CLASSFEATUREHEADERS,0),MATCH(($A599 &amp; "Points"),CLASSNAMEHEADERS,0))),(IF("00"=(INDEX(ALLCLASSDATA,MATCH("WillSaveTrained",CLASSFEATUREHEADERS,0),MATCH($A599,CLASSNAMEHEADERS,0))),(INDEX(ALLCLASSDATA,MATCH("WillSaveTrained",CLASSFEATUREHEADERS,0),MATCH(($A599 &amp; "Points"),CLASSNAMEHEADERS,0))),"")))))))))}</f>
        <v>WILLINITIALPTS</v>
      </c>
      <c r="G598" s="223" t="str">
        <f t="array" ref="G598:G599">{"WILLL01";((IF("01"=(INDEX(ALLCLASSDATA,MATCH("WillSaveLegendary",CLASSFEATUREHEADERS,0),MATCH($A599,CLASSNAMEHEADERS,0))),(INDEX(ALLCLASSDATA,MATCH("WillSaveLegendary",CLASSFEATUREHEADERS,0),MATCH(($A599 &amp; "Points"),CLASSNAMEHEADERS,0))),(IF("01"=(INDEX(ALLCLASSDATA,MATCH("WillSaveMaster",CLASSFEATUREHEADERS,0),MATCH($A599,CLASSNAMEHEADERS,0))),(INDEX(ALLCLASSDATA,MATCH("WillSaveMaster",CLASSFEATUREHEADERS,0),MATCH(($A599 &amp; "Points"),CLASSNAMEHEADERS,0))),(IF("01"=(INDEX(ALLCLASSDATA,MATCH("WillSaveExpert",CLASSFEATUREHEADERS,0),MATCH($A599,CLASSNAMEHEADERS,0))),(INDEX(ALLCLASSDATA,MATCH("WillSaveExpert",CLASSFEATUREHEADERS,0),MATCH(($A599 &amp; "Points"),CLASSNAMEHEADERS,0))),(IF("01"=(INDEX(ALLCLASSDATA,MATCH("WillSaveTrained",CLASSFEATUREHEADERS,0),MATCH($A599,CLASSNAMEHEADERS,0))),(INDEX(ALLCLASSDATA,MATCH("WillSaveTrained",CLASSFEATUREHEADERS,0),MATCH(($A599 &amp; "Points"),CLASSNAMEHEADERS,0))),"")))))))))}</f>
        <v>WILLL01</v>
      </c>
      <c r="H598" s="223"/>
      <c r="I598" s="223" t="str">
        <f t="array" ref="I598:I599">{"WILLL03";((IF("03"=(INDEX(ALLCLASSDATA,MATCH("WillSaveLegendary",CLASSFEATUREHEADERS,0),MATCH($A599,CLASSNAMEHEADERS,0))),(INDEX(ALLCLASSDATA,MATCH("WillSaveLegendary",CLASSFEATUREHEADERS,0),MATCH(($A599 &amp; "Points"),CLASSNAMEHEADERS,0))),(IF("03"=(INDEX(ALLCLASSDATA,MATCH("WillSaveMaster",CLASSFEATUREHEADERS,0),MATCH($A599,CLASSNAMEHEADERS,0))),(INDEX(ALLCLASSDATA,MATCH("WillSaveMaster",CLASSFEATUREHEADERS,0),MATCH(($A599 &amp; "Points"),CLASSNAMEHEADERS,0))),(IF("03"=(INDEX(ALLCLASSDATA,MATCH("WillSaveExpert",CLASSFEATUREHEADERS,0),MATCH($A599,CLASSNAMEHEADERS,0))),(INDEX(ALLCLASSDATA,MATCH("WillSaveExpert",CLASSFEATUREHEADERS,0),MATCH(($A599 &amp; "Points"),CLASSNAMEHEADERS,0))),(IF("03"=(INDEX(ALLCLASSDATA,MATCH("WillSaveTrained",CLASSFEATUREHEADERS,0),MATCH($A599,CLASSNAMEHEADERS,0))),(INDEX(ALLCLASSDATA,MATCH("WillSaveTrained",CLASSFEATUREHEADERS,0),MATCH(($A599 &amp; "Points"),CLASSNAMEHEADERS,0))),"")))))))))}</f>
        <v>WILLL03</v>
      </c>
      <c r="J598" s="223"/>
      <c r="K598" s="223" t="str">
        <f t="array" ref="K598:K599">{"WILLL05";((IF("05"=(INDEX(ALLCLASSDATA,MATCH("WillSaveLegendary",CLASSFEATUREHEADERS,0),MATCH($A599,CLASSNAMEHEADERS,0))),(INDEX(ALLCLASSDATA,MATCH("WillSaveLegendary",CLASSFEATUREHEADERS,0),MATCH(($A599 &amp; "Points"),CLASSNAMEHEADERS,0))),(IF("05"=(INDEX(ALLCLASSDATA,MATCH("WillSaveMaster",CLASSFEATUREHEADERS,0),MATCH($A599,CLASSNAMEHEADERS,0))),(INDEX(ALLCLASSDATA,MATCH("WillSaveMaster",CLASSFEATUREHEADERS,0),MATCH(($A599 &amp; "Points"),CLASSNAMEHEADERS,0))),(IF("05"=(INDEX(ALLCLASSDATA,MATCH("WillSaveExpert",CLASSFEATUREHEADERS,0),MATCH($A599,CLASSNAMEHEADERS,0))),(INDEX(ALLCLASSDATA,MATCH("WillSaveExpert",CLASSFEATUREHEADERS,0),MATCH(($A599 &amp; "Points"),CLASSNAMEHEADERS,0))),(IF("05"=(INDEX(ALLCLASSDATA,MATCH("WillSaveTrained",CLASSFEATUREHEADERS,0),MATCH($A599,CLASSNAMEHEADERS,0))),(INDEX(ALLCLASSDATA,MATCH("WillSaveTrained",CLASSFEATUREHEADERS,0),MATCH(($A599 &amp; "Points"),CLASSNAMEHEADERS,0))),"")))))))))}</f>
        <v>WILLL05</v>
      </c>
      <c r="L598" s="223"/>
      <c r="M598" s="223" t="str">
        <f t="array" ref="M598:M599">{"WILLL07";((IF("07"=(INDEX(ALLCLASSDATA,MATCH("WillSaveLegendary",CLASSFEATUREHEADERS,0),MATCH($A599,CLASSNAMEHEADERS,0))),(INDEX(ALLCLASSDATA,MATCH("WillSaveLegendary",CLASSFEATUREHEADERS,0),MATCH(($A599 &amp; "Points"),CLASSNAMEHEADERS,0))),(IF("07"=(INDEX(ALLCLASSDATA,MATCH("WillSaveMaster",CLASSFEATUREHEADERS,0),MATCH($A599,CLASSNAMEHEADERS,0))),(INDEX(ALLCLASSDATA,MATCH("WillSaveMaster",CLASSFEATUREHEADERS,0),MATCH(($A599 &amp; "Points"),CLASSNAMEHEADERS,0))),(IF("07"=(INDEX(ALLCLASSDATA,MATCH("WillSaveExpert",CLASSFEATUREHEADERS,0),MATCH($A599,CLASSNAMEHEADERS,0))),(INDEX(ALLCLASSDATA,MATCH("WillSaveExpert",CLASSFEATUREHEADERS,0),MATCH(($A599 &amp; "Points"),CLASSNAMEHEADERS,0))),(IF("07"=(INDEX(ALLCLASSDATA,MATCH("WillSaveTrained",CLASSFEATUREHEADERS,0),MATCH($A599,CLASSNAMEHEADERS,0))),(INDEX(ALLCLASSDATA,MATCH("WillSaveTrained",CLASSFEATUREHEADERS,0),MATCH(($A599 &amp; "Points"),CLASSNAMEHEADERS,0))),"")))))))))}</f>
        <v>WILLL07</v>
      </c>
      <c r="N598" s="223"/>
      <c r="O598" s="223" t="str">
        <f t="array" ref="O598:O599">{"WILLL09";((IF("09"=(INDEX(ALLCLASSDATA,MATCH("WillSaveLegendary",CLASSFEATUREHEADERS,0),MATCH($A599,CLASSNAMEHEADERS,0))),(INDEX(ALLCLASSDATA,MATCH("WillSaveLegendary",CLASSFEATUREHEADERS,0),MATCH(($A599 &amp; "Points"),CLASSNAMEHEADERS,0))),(IF("09"=(INDEX(ALLCLASSDATA,MATCH("WillSaveMaster",CLASSFEATUREHEADERS,0),MATCH($A599,CLASSNAMEHEADERS,0))),(INDEX(ALLCLASSDATA,MATCH("WillSaveMaster",CLASSFEATUREHEADERS,0),MATCH(($A599 &amp; "Points"),CLASSNAMEHEADERS,0))),(IF("09"=(INDEX(ALLCLASSDATA,MATCH("WillSaveExpert",CLASSFEATUREHEADERS,0),MATCH($A599,CLASSNAMEHEADERS,0))),(INDEX(ALLCLASSDATA,MATCH("WillSaveExpert",CLASSFEATUREHEADERS,0),MATCH(($A599 &amp; "Points"),CLASSNAMEHEADERS,0))),(IF("09"=(INDEX(ALLCLASSDATA,MATCH("WillSaveTrained",CLASSFEATUREHEADERS,0),MATCH($A599,CLASSNAMEHEADERS,0))),(INDEX(ALLCLASSDATA,MATCH("WillSaveTrained",CLASSFEATUREHEADERS,0),MATCH(($A599 &amp; "Points"),CLASSNAMEHEADERS,0))),"")))))))))}</f>
        <v>WILLL09</v>
      </c>
      <c r="P598" s="223"/>
      <c r="Q598" s="223" t="str">
        <f t="array" ref="Q598:Q599">{"WILLL11";((IF("11"=(INDEX(ALLCLASSDATA,MATCH("WillSaveLegendary",CLASSFEATUREHEADERS,0),MATCH($A599,CLASSNAMEHEADERS,0))),(INDEX(ALLCLASSDATA,MATCH("WillSaveLegendary",CLASSFEATUREHEADERS,0),MATCH(($A599 &amp; "Points"),CLASSNAMEHEADERS,0))),(IF("11"=(INDEX(ALLCLASSDATA,MATCH("WillSaveMaster",CLASSFEATUREHEADERS,0),MATCH($A599,CLASSNAMEHEADERS,0))),(INDEX(ALLCLASSDATA,MATCH("WillSaveMaster",CLASSFEATUREHEADERS,0),MATCH(($A599 &amp; "Points"),CLASSNAMEHEADERS,0))),(IF("11"=(INDEX(ALLCLASSDATA,MATCH("WillSaveExpert",CLASSFEATUREHEADERS,0),MATCH($A599,CLASSNAMEHEADERS,0))),(INDEX(ALLCLASSDATA,MATCH("WillSaveExpert",CLASSFEATUREHEADERS,0),MATCH(($A599 &amp; "Points"),CLASSNAMEHEADERS,0))),(IF("11"=(INDEX(ALLCLASSDATA,MATCH("WillSaveTrained",CLASSFEATUREHEADERS,0),MATCH($A599,CLASSNAMEHEADERS,0))),(INDEX(ALLCLASSDATA,MATCH("WillSaveTrained",CLASSFEATUREHEADERS,0),MATCH(($A599 &amp; "Points"),CLASSNAMEHEADERS,0))),"")))))))))}</f>
        <v>WILLL11</v>
      </c>
      <c r="R598" s="223"/>
      <c r="S598" s="223" t="str">
        <f t="array" ref="S598:S599">{"WILLL13";((IF("13"=(INDEX(ALLCLASSDATA,MATCH("WillSaveLegendary",CLASSFEATUREHEADERS,0),MATCH($A599,CLASSNAMEHEADERS,0))),(INDEX(ALLCLASSDATA,MATCH("WillSaveLegendary",CLASSFEATUREHEADERS,0),MATCH(($A599 &amp; "Points"),CLASSNAMEHEADERS,0))),(IF("13"=(INDEX(ALLCLASSDATA,MATCH("WillSaveMaster",CLASSFEATUREHEADERS,0),MATCH($A599,CLASSNAMEHEADERS,0))),(INDEX(ALLCLASSDATA,MATCH("WillSaveMaster",CLASSFEATUREHEADERS,0),MATCH(($A599 &amp; "Points"),CLASSNAMEHEADERS,0))),(IF("13"=(INDEX(ALLCLASSDATA,MATCH("WillSaveExpert",CLASSFEATUREHEADERS,0),MATCH($A599,CLASSNAMEHEADERS,0))),(INDEX(ALLCLASSDATA,MATCH("WillSaveExpert",CLASSFEATUREHEADERS,0),MATCH(($A599 &amp; "Points"),CLASSNAMEHEADERS,0))),(IF("13"=(INDEX(ALLCLASSDATA,MATCH("WillSaveTrained",CLASSFEATUREHEADERS,0),MATCH($A599,CLASSNAMEHEADERS,0))),(INDEX(ALLCLASSDATA,MATCH("WillSaveTrained",CLASSFEATUREHEADERS,0),MATCH(($A599 &amp; "Points"),CLASSNAMEHEADERS,0))),"")))))))))}</f>
        <v>WILLL13</v>
      </c>
      <c r="T598" s="223"/>
      <c r="U598" s="223" t="str">
        <f t="array" ref="U598:U599">{"WILLL15";((IF("15"=(INDEX(ALLCLASSDATA,MATCH("WillSaveLegendary",CLASSFEATUREHEADERS,0),MATCH($A599,CLASSNAMEHEADERS,0))),(INDEX(ALLCLASSDATA,MATCH("WillSaveLegendary",CLASSFEATUREHEADERS,0),MATCH(($A599 &amp; "Points"),CLASSNAMEHEADERS,0))),(IF("15"=(INDEX(ALLCLASSDATA,MATCH("WillSaveMaster",CLASSFEATUREHEADERS,0),MATCH($A599,CLASSNAMEHEADERS,0))),(INDEX(ALLCLASSDATA,MATCH("WillSaveMaster",CLASSFEATUREHEADERS,0),MATCH(($A599 &amp; "Points"),CLASSNAMEHEADERS,0))),(IF("15"=(INDEX(ALLCLASSDATA,MATCH("WillSaveExpert",CLASSFEATUREHEADERS,0),MATCH($A599,CLASSNAMEHEADERS,0))),(INDEX(ALLCLASSDATA,MATCH("WillSaveExpert",CLASSFEATUREHEADERS,0),MATCH(($A599 &amp; "Points"),CLASSNAMEHEADERS,0))),(IF("15"=(INDEX(ALLCLASSDATA,MATCH("WillSaveTrained",CLASSFEATUREHEADERS,0),MATCH($A599,CLASSNAMEHEADERS,0))),(INDEX(ALLCLASSDATA,MATCH("WillSaveTrained",CLASSFEATUREHEADERS,0),MATCH(($A599 &amp; "Points"),CLASSNAMEHEADERS,0))),"")))))))))}</f>
        <v>WILLL15</v>
      </c>
      <c r="V598" s="223"/>
      <c r="W598" s="223" t="str">
        <f t="array" ref="W598:W599">{"WILLL17";((IF("17"=(INDEX(ALLCLASSDATA,MATCH("WillSaveLegendary",CLASSFEATUREHEADERS,0),MATCH($A599,CLASSNAMEHEADERS,0))),(INDEX(ALLCLASSDATA,MATCH("WillSaveLegendary",CLASSFEATUREHEADERS,0),MATCH(($A599 &amp; "Points"),CLASSNAMEHEADERS,0))),(IF("17"=(INDEX(ALLCLASSDATA,MATCH("WillSaveMaster",CLASSFEATUREHEADERS,0),MATCH($A599,CLASSNAMEHEADERS,0))),(INDEX(ALLCLASSDATA,MATCH("WillSaveMaster",CLASSFEATUREHEADERS,0),MATCH(($A599 &amp; "Points"),CLASSNAMEHEADERS,0))),(IF("17"=(INDEX(ALLCLASSDATA,MATCH("WillSaveExpert",CLASSFEATUREHEADERS,0),MATCH($A599,CLASSNAMEHEADERS,0))),(INDEX(ALLCLASSDATA,MATCH("WillSaveExpert",CLASSFEATUREHEADERS,0),MATCH(($A599 &amp; "Points"),CLASSNAMEHEADERS,0))),(IF("17"=(INDEX(ALLCLASSDATA,MATCH("WillSaveTrained",CLASSFEATUREHEADERS,0),MATCH($A599,CLASSNAMEHEADERS,0))),(INDEX(ALLCLASSDATA,MATCH("WillSaveTrained",CLASSFEATUREHEADERS,0),MATCH(($A599 &amp; "Points"),CLASSNAMEHEADERS,0))),"")))))))))}</f>
        <v>WILLL17</v>
      </c>
      <c r="X598" s="223"/>
      <c r="Y598" s="223" t="str">
        <f t="array" ref="Y598:Y599">{"WILLL19";((IF("19"=(INDEX(ALLCLASSDATA,MATCH("WillSaveLegendary",CLASSFEATUREHEADERS,0),MATCH($A599,CLASSNAMEHEADERS,0))),(INDEX(ALLCLASSDATA,MATCH("WillSaveLegendary",CLASSFEATUREHEADERS,0),MATCH(($A599 &amp; "Points"),CLASSNAMEHEADERS,0))),(IF("19"=(INDEX(ALLCLASSDATA,MATCH("WillSaveMaster",CLASSFEATUREHEADERS,0),MATCH($A599,CLASSNAMEHEADERS,0))),(INDEX(ALLCLASSDATA,MATCH("WillSaveMaster",CLASSFEATUREHEADERS,0),MATCH(($A599 &amp; "Points"),CLASSNAMEHEADERS,0))),(IF("19"=(INDEX(ALLCLASSDATA,MATCH("WillSaveExpert",CLASSFEATUREHEADERS,0),MATCH($A599,CLASSNAMEHEADERS,0))),(INDEX(ALLCLASSDATA,MATCH("WillSaveExpert",CLASSFEATUREHEADERS,0),MATCH(($A599 &amp; "Points"),CLASSNAMEHEADERS,0))),(IF("19"=(INDEX(ALLCLASSDATA,MATCH("WillSaveTrained",CLASSFEATUREHEADERS,0),MATCH($A599,CLASSNAMEHEADERS,0))),(INDEX(ALLCLASSDATA,MATCH("WillSaveTrained",CLASSFEATUREHEADERS,0),MATCH(($A599 &amp; "Points"),CLASSNAMEHEADERS,0))),"")))))))))}</f>
        <v>WILLL19</v>
      </c>
      <c r="Z598" s="223"/>
      <c r="AA598" s="76" t="str">
        <f t="array" ref="AA598:AA599">{"WILL TOTAL";(IF(COUNTBLANK(F599:Z599)=17,"L",(IF(COUNTBLANK(F599:Z599)=18,"M",(IF(COUNTBLANK(F599:Z599)=19,"E",(IF(COUNTBLANK(F599:Z599)=20,"T",""))))))))}</f>
        <v>WILL TOTAL</v>
      </c>
      <c r="AB598" s="76" t="str">
        <f t="array" ref="AB598:AB599">{"WILL TOTAL";(sum(F599:Z599))}</f>
        <v>WILL TOTAL</v>
      </c>
    </row>
    <row r="599">
      <c r="A599" s="48" t="s">
        <v>221</v>
      </c>
      <c r="B599" s="48" t="s">
        <v>418</v>
      </c>
      <c r="C599" s="97" t="s">
        <v>1549</v>
      </c>
      <c r="D599" s="97" t="s">
        <v>1591</v>
      </c>
      <c r="E599" s="98" t="s">
        <v>436</v>
      </c>
      <c r="F599" s="132">
        <v>10.0</v>
      </c>
      <c r="G599" s="98">
        <v>50.0</v>
      </c>
      <c r="H599" s="98"/>
      <c r="I599" s="98" t="s">
        <v>603</v>
      </c>
      <c r="J599" s="98"/>
      <c r="K599" s="98" t="s">
        <v>603</v>
      </c>
      <c r="L599" s="97"/>
      <c r="M599" s="98" t="s">
        <v>603</v>
      </c>
      <c r="N599" s="98"/>
      <c r="O599" s="98">
        <v>110.0</v>
      </c>
      <c r="P599" s="97"/>
      <c r="Q599" s="98" t="s">
        <v>603</v>
      </c>
      <c r="R599" s="98"/>
      <c r="S599" s="98" t="s">
        <v>603</v>
      </c>
      <c r="T599" s="98"/>
      <c r="U599" s="98" t="s">
        <v>603</v>
      </c>
      <c r="V599" s="98"/>
      <c r="W599" s="98">
        <v>190.0</v>
      </c>
      <c r="X599" s="98"/>
      <c r="Y599" s="98" t="s">
        <v>603</v>
      </c>
      <c r="Z599" s="98"/>
      <c r="AA599" s="5" t="s">
        <v>466</v>
      </c>
      <c r="AB599" s="47">
        <v>360.0</v>
      </c>
    </row>
    <row r="600" hidden="1">
      <c r="A600" s="222" t="str">
        <f t="array" ref="A600:A601">{"FormulaRow26";(INDEX(CLASSLIST,A549,1))}</f>
        <v>FormulaRow26</v>
      </c>
      <c r="B600" s="222" t="str">
        <f t="array" ref="B600:B601">{"CLASSTYPE";((INDEX(ALLCLASSDATA,MATCH("ClassType",CLASSFEATUREHEADERS,0),MATCH($A601,CLASSNAMEHEADERS,0))))}</f>
        <v>CLASSTYPE</v>
      </c>
      <c r="C600" s="228" t="str">
        <f t="array" ref="C600:C601">{"ATTACK";"Attack"}</f>
        <v>ATTACK</v>
      </c>
      <c r="D600" s="228" t="str">
        <f t="array" ref="D600:D601">{"WEAPONSPECIAL";"WeaponCS/WS/GWS"}</f>
        <v>WEAPONSPECIAL</v>
      </c>
      <c r="E600" s="230"/>
      <c r="F600" s="230"/>
      <c r="G600" s="230" t="str">
        <f t="array" ref="G600:G601">{"WEAPONSPECIALL01";((IF("01"=INDEX(ALLCLASSDATA,MATCH("WeaponGreaterSpecialization",CLASSFEATUREHEADERS,0),MATCH($A601,CLASSNAMEHEADERS,0)),WeaponGWS,(IF("01"=INDEX(ALLCLASSDATA,MATCH("WeaponSpecialization",CLASSFEATUREHEADERS,0),MATCH($A601,CLASSNAMEHEADERS,0)),WeaponWS,(IF("01"=INDEX(ALLCLASSDATA,MATCH("WeaponCriticalSpecialization",CLASSFEATUREHEADERS,0),MATCH($A601,CLASSNAMEHEADERS,0)),WeaponCS,"")))))))}</f>
        <v>WEAPONSPECIALL01</v>
      </c>
      <c r="H600" s="230"/>
      <c r="I600" s="230" t="str">
        <f t="array" ref="I600:I601">{"WEAPONSPECIALL03";((IF("03"=INDEX(ALLCLASSDATA,MATCH("WeaponGreaterSpecialization",CLASSFEATUREHEADERS,0),MATCH($A601,CLASSNAMEHEADERS,0)),WeaponGWS,(IF("03"=INDEX(ALLCLASSDATA,MATCH("WeaponSpecialization",CLASSFEATUREHEADERS,0),MATCH($A601,CLASSNAMEHEADERS,0)),WeaponWS,(IF("03"=INDEX(ALLCLASSDATA,MATCH("WeaponCriticalSpecialization",CLASSFEATUREHEADERS,0),MATCH($A601,CLASSNAMEHEADERS,0)),WeaponCS,"")))))))}</f>
        <v>WEAPONSPECIALL03</v>
      </c>
      <c r="J600" s="230"/>
      <c r="K600" s="230" t="str">
        <f t="array" ref="K600:K601">{"WEAPONSPECIALL05";((IF("05"=INDEX(ALLCLASSDATA,MATCH("WeaponGreaterSpecialization",CLASSFEATUREHEADERS,0),MATCH($A601,CLASSNAMEHEADERS,0)),WeaponGWS,(IF("05"=INDEX(ALLCLASSDATA,MATCH("WeaponSpecialization",CLASSFEATUREHEADERS,0),MATCH($A601,CLASSNAMEHEADERS,0)),WeaponWS,(IF("05"=INDEX(ALLCLASSDATA,MATCH("WeaponCriticalSpecialization",CLASSFEATUREHEADERS,0),MATCH($A601,CLASSNAMEHEADERS,0)),WeaponCS,"")))))))}</f>
        <v>WEAPONSPECIALL05</v>
      </c>
      <c r="L600" s="230"/>
      <c r="M600" s="230" t="str">
        <f t="array" ref="M600:M601">{"WEAPONSPECIALL07";((IF("07"=INDEX(ALLCLASSDATA,MATCH("WeaponGreaterSpecialization",CLASSFEATUREHEADERS,0),MATCH($A601,CLASSNAMEHEADERS,0)),WeaponGWS,(IF("07"=INDEX(ALLCLASSDATA,MATCH("WeaponSpecialization",CLASSFEATUREHEADERS,0),MATCH($A601,CLASSNAMEHEADERS,0)),WeaponWS,(IF("07"=INDEX(ALLCLASSDATA,MATCH("WeaponCriticalSpecialization",CLASSFEATUREHEADERS,0),MATCH($A601,CLASSNAMEHEADERS,0)),WeaponCS,"")))))))}</f>
        <v>WEAPONSPECIALL07</v>
      </c>
      <c r="N600" s="230"/>
      <c r="O600" s="230" t="str">
        <f t="array" ref="O600:O601">{"WEAPONSPECIALL09";((IF("09"=INDEX(ALLCLASSDATA,MATCH("WeaponGreaterSpecialization",CLASSFEATUREHEADERS,0),MATCH($A601,CLASSNAMEHEADERS,0)),WeaponGWS,(IF("09"=INDEX(ALLCLASSDATA,MATCH("WeaponSpecialization",CLASSFEATUREHEADERS,0),MATCH($A601,CLASSNAMEHEADERS,0)),WeaponWS,(IF("09"=INDEX(ALLCLASSDATA,MATCH("WeaponCriticalSpecialization",CLASSFEATUREHEADERS,0),MATCH($A601,CLASSNAMEHEADERS,0)),WeaponCS,"")))))))}</f>
        <v>WEAPONSPECIALL09</v>
      </c>
      <c r="P600" s="230"/>
      <c r="Q600" s="230" t="str">
        <f t="array" ref="Q600:Q601">{"WEAPONSPECIALL11";((IF("11"=INDEX(ALLCLASSDATA,MATCH("WeaponGreaterSpecialization",CLASSFEATUREHEADERS,0),MATCH($A601,CLASSNAMEHEADERS,0)),WeaponGWS,(IF("11"=INDEX(ALLCLASSDATA,MATCH("WeaponSpecialization",CLASSFEATUREHEADERS,0),MATCH($A601,CLASSNAMEHEADERS,0)),WeaponWS,(IF("11"=INDEX(ALLCLASSDATA,MATCH("WeaponCriticalSpecialization",CLASSFEATUREHEADERS,0),MATCH($A601,CLASSNAMEHEADERS,0)),WeaponCS,"")))))))}</f>
        <v>WEAPONSPECIALL11</v>
      </c>
      <c r="R600" s="230"/>
      <c r="S600" s="230" t="str">
        <f t="array" ref="S600:S601">{"WEAPONSPECIALL13";((IF("13"=INDEX(ALLCLASSDATA,MATCH("WeaponGreaterSpecialization",CLASSFEATUREHEADERS,0),MATCH($A601,CLASSNAMEHEADERS,0)),WeaponGWS,(IF("13"=INDEX(ALLCLASSDATA,MATCH("WeaponSpecialization",CLASSFEATUREHEADERS,0),MATCH($A601,CLASSNAMEHEADERS,0)),WeaponWS,(IF("13"=INDEX(ALLCLASSDATA,MATCH("WeaponCriticalSpecialization",CLASSFEATUREHEADERS,0),MATCH($A601,CLASSNAMEHEADERS,0)),WeaponCS,"")))))))}</f>
        <v>WEAPONSPECIALL13</v>
      </c>
      <c r="T600" s="230"/>
      <c r="U600" s="230" t="str">
        <f t="array" ref="U600:U601">{"WEAPONSPECIALL15";((IF("15"=INDEX(ALLCLASSDATA,MATCH("WeaponGreaterSpecialization",CLASSFEATUREHEADERS,0),MATCH($A601,CLASSNAMEHEADERS,0)),WeaponGWS,(IF("15"=INDEX(ALLCLASSDATA,MATCH("WeaponSpecialization",CLASSFEATUREHEADERS,0),MATCH($A601,CLASSNAMEHEADERS,0)),WeaponWS,(IF("15"=INDEX(ALLCLASSDATA,MATCH("WeaponCriticalSpecialization",CLASSFEATUREHEADERS,0),MATCH($A601,CLASSNAMEHEADERS,0)),WeaponCS,"")))))))}</f>
        <v>WEAPONSPECIALL15</v>
      </c>
      <c r="V600" s="230"/>
      <c r="W600" s="230" t="str">
        <f t="array" ref="W600:W601">{"WEAPONSPECIALL17";((IF("17"=INDEX(ALLCLASSDATA,MATCH("WeaponGreaterSpecialization",CLASSFEATUREHEADERS,0),MATCH($A601,CLASSNAMEHEADERS,0)),WeaponGWS,(IF("17"=INDEX(ALLCLASSDATA,MATCH("WeaponSpecialization",CLASSFEATUREHEADERS,0),MATCH($A601,CLASSNAMEHEADERS,0)),WeaponWS,(IF("17"=INDEX(ALLCLASSDATA,MATCH("WeaponCriticalSpecialization",CLASSFEATUREHEADERS,0),MATCH($A601,CLASSNAMEHEADERS,0)),WeaponCS,"")))))))}</f>
        <v>WEAPONSPECIALL17</v>
      </c>
      <c r="X600" s="230"/>
      <c r="Y600" s="230" t="str">
        <f t="array" ref="Y600:Y601">{"WEAPONSPECIALL19";((IF("19"=INDEX(ALLCLASSDATA,MATCH("WeaponGreaterSpecialization",CLASSFEATUREHEADERS,0),MATCH($A601,CLASSNAMEHEADERS,0)),WeaponGWS,(IF("19"=INDEX(ALLCLASSDATA,MATCH("WeaponSpecialization",CLASSFEATUREHEADERS,0),MATCH($A601,CLASSNAMEHEADERS,0)),WeaponWS,(IF("19"=INDEX(ALLCLASSDATA,MATCH("WeaponCriticalSpecialization",CLASSFEATUREHEADERS,0),MATCH($A601,CLASSNAMEHEADERS,0)),WeaponCS,"")))))))}</f>
        <v>WEAPONSPECIALL19</v>
      </c>
      <c r="Z600" s="230"/>
      <c r="AA600" s="76"/>
      <c r="AB600" s="76" t="str">
        <f t="array" ref="AB600:AB601">{"WEAPONSPECIAL TOTAL";(sum(F601:Z601))}</f>
        <v>WEAPONSPECIAL TOTAL</v>
      </c>
    </row>
    <row r="601">
      <c r="A601" s="48" t="s">
        <v>221</v>
      </c>
      <c r="B601" s="48" t="s">
        <v>418</v>
      </c>
      <c r="C601" s="48" t="s">
        <v>1634</v>
      </c>
      <c r="D601" s="48" t="s">
        <v>1635</v>
      </c>
      <c r="E601" s="5"/>
      <c r="F601" s="47"/>
      <c r="G601" s="5" t="s">
        <v>603</v>
      </c>
      <c r="H601" s="5"/>
      <c r="I601" s="5" t="s">
        <v>603</v>
      </c>
      <c r="J601" s="5"/>
      <c r="K601" s="5" t="s">
        <v>603</v>
      </c>
      <c r="L601" s="5"/>
      <c r="M601" s="5" t="s">
        <v>603</v>
      </c>
      <c r="N601" s="5"/>
      <c r="O601" s="5" t="s">
        <v>603</v>
      </c>
      <c r="P601" s="5"/>
      <c r="Q601" s="5">
        <v>50.0</v>
      </c>
      <c r="R601" s="5"/>
      <c r="S601" s="5">
        <v>70.0</v>
      </c>
      <c r="T601" s="5"/>
      <c r="U601" s="5" t="s">
        <v>603</v>
      </c>
      <c r="V601" s="5"/>
      <c r="W601" s="5" t="s">
        <v>603</v>
      </c>
      <c r="X601" s="5"/>
      <c r="Y601" s="5" t="s">
        <v>603</v>
      </c>
      <c r="Z601" s="5"/>
      <c r="AA601" s="5"/>
      <c r="AB601" s="47">
        <v>120.0</v>
      </c>
    </row>
    <row r="602" hidden="1">
      <c r="A602" s="222" t="str">
        <f t="array" ref="A602:A603">{"FormulaRow27";(INDEX(CLASSLIST,A549,1))}</f>
        <v>FormulaRow27</v>
      </c>
      <c r="B602" s="222" t="str">
        <f t="array" ref="B602:B603">{"CLASSTYPE";((INDEX(ALLCLASSDATA,MATCH("ClassType",CLASSFEATUREHEADERS,0),MATCH($A603,CLASSNAMEHEADERS,0))))}</f>
        <v>CLASSTYPE</v>
      </c>
      <c r="C602" s="222" t="str">
        <f t="array" ref="C602:C603">{"ATTACK";"Attack"}</f>
        <v>ATTACK</v>
      </c>
      <c r="D602" s="222" t="str">
        <f t="array" ref="D602:D603">{"UNARMED";"Unarmed"}</f>
        <v>UNARMED</v>
      </c>
      <c r="E602" s="223" t="str">
        <f t="array" ref="E602:E603">{"UNARMEDINITIAL";((IF(G603=10,"T",(IF(G603=50,"E","")))))}</f>
        <v>UNARMEDINITIAL</v>
      </c>
      <c r="F602" s="223" t="str">
        <f t="array" ref="F602:F603">{"UNARMEDINITIALPTS";((IF("00"=(INDEX(ALLCLASSDATA,MATCH("UnarmedLegendary",CLASSFEATUREHEADERS,0),MATCH($A603,CLASSNAMEHEADERS,0))),(INDEX(ALLCLASSDATA,MATCH("UnarmedLegendary",CLASSFEATUREHEADERS,0),MATCH(($A603 &amp; "Points"),CLASSNAMEHEADERS,0))),(IF("00"=(INDEX(ALLCLASSDATA,MATCH("UnarmedMaster",CLASSFEATUREHEADERS,0),MATCH($A603,CLASSNAMEHEADERS,0))),(INDEX(ALLCLASSDATA,MATCH("UnarmedMaster",CLASSFEATUREHEADERS,0),MATCH(($A603 &amp; "Points"),CLASSNAMEHEADERS,0))),(IF("00"=(INDEX(ALLCLASSDATA,MATCH("UnarmedExpert",CLASSFEATUREHEADERS,0),MATCH($A603,CLASSNAMEHEADERS,0))),(INDEX(ALLCLASSDATA,MATCH("UnarmedExpert",CLASSFEATUREHEADERS,0),MATCH(($A603 &amp; "Points"),CLASSNAMEHEADERS,0))),(IF("00"=(INDEX(ALLCLASSDATA,MATCH("UnarmedTrained",CLASSFEATUREHEADERS,0),MATCH($A603,CLASSNAMEHEADERS,0))),(INDEX(ALLCLASSDATA,MATCH("UnarmedTrained",CLASSFEATUREHEADERS,0),MATCH(($A603 &amp; "Points"),CLASSNAMEHEADERS,0))),"")))))))))}</f>
        <v>UNARMEDINITIALPTS</v>
      </c>
      <c r="G602" s="223" t="str">
        <f t="array" ref="G602:G603">{"UNARMEDL01";((IF("01"=(INDEX(ALLCLASSDATA,MATCH("UnarmedLegendary",CLASSFEATUREHEADERS,0),MATCH($A603,CLASSNAMEHEADERS,0))),(INDEX(ALLCLASSDATA,MATCH("UnarmedLegendary",CLASSFEATUREHEADERS,0),MATCH(($A603 &amp; "Points"),CLASSNAMEHEADERS,0))),(IF("01"=(INDEX(ALLCLASSDATA,MATCH("UnarmedMaster",CLASSFEATUREHEADERS,0),MATCH($A603,CLASSNAMEHEADERS,0))),(INDEX(ALLCLASSDATA,MATCH("UnarmedMaster",CLASSFEATUREHEADERS,0),MATCH(($A603 &amp; "Points"),CLASSNAMEHEADERS,0))),(IF("01"=(INDEX(ALLCLASSDATA,MATCH("UnarmedExpert",CLASSFEATUREHEADERS,0),MATCH($A603,CLASSNAMEHEADERS,0))),(INDEX(ALLCLASSDATA,MATCH("UnarmedExpert",CLASSFEATUREHEADERS,0),MATCH(($A603 &amp; "Points"),CLASSNAMEHEADERS,0))),(IF("01"=(INDEX(ALLCLASSDATA,MATCH("UnarmedTrained",CLASSFEATUREHEADERS,0),MATCH($A603,CLASSNAMEHEADERS,0))),(INDEX(ALLCLASSDATA,MATCH("UnarmedTrained",CLASSFEATUREHEADERS,0),MATCH(($A603 &amp; "Points"),CLASSNAMEHEADERS,0))),"")))))))))}</f>
        <v>UNARMEDL01</v>
      </c>
      <c r="H602" s="223"/>
      <c r="I602" s="223" t="str">
        <f t="array" ref="I602:I603">{"UNARMEDL03";((IF("03"=(INDEX(ALLCLASSDATA,MATCH("UnarmedLegendary",CLASSFEATUREHEADERS,0),MATCH($A603,CLASSNAMEHEADERS,0))),(INDEX(ALLCLASSDATA,MATCH("UnarmedLegendary",CLASSFEATUREHEADERS,0),MATCH(($A603 &amp; "Points"),CLASSNAMEHEADERS,0))),(IF("03"=(INDEX(ALLCLASSDATA,MATCH("UnarmedMaster",CLASSFEATUREHEADERS,0),MATCH($A603,CLASSNAMEHEADERS,0))),(INDEX(ALLCLASSDATA,MATCH("UnarmedMaster",CLASSFEATUREHEADERS,0),MATCH(($A603 &amp; "Points"),CLASSNAMEHEADERS,0))),(IF("03"=(INDEX(ALLCLASSDATA,MATCH("UnarmedExpert",CLASSFEATUREHEADERS,0),MATCH($A603,CLASSNAMEHEADERS,0))),(INDEX(ALLCLASSDATA,MATCH("UnarmedExpert",CLASSFEATUREHEADERS,0),MATCH(($A603 &amp; "Points"),CLASSNAMEHEADERS,0))),(IF("03"=(INDEX(ALLCLASSDATA,MATCH("UnarmedTrained",CLASSFEATUREHEADERS,0),MATCH($A603,CLASSNAMEHEADERS,0))),(INDEX(ALLCLASSDATA,MATCH("UnarmedTrained",CLASSFEATUREHEADERS,0),MATCH(($A603 &amp; "Points"),CLASSNAMEHEADERS,0))),"")))))))))}</f>
        <v>UNARMEDL03</v>
      </c>
      <c r="J602" s="223"/>
      <c r="K602" s="223" t="str">
        <f t="array" ref="K602:K603">{"UNARMEDL05";((IF("05"=(INDEX(ALLCLASSDATA,MATCH("UnarmedLegendary",CLASSFEATUREHEADERS,0),MATCH($A603,CLASSNAMEHEADERS,0))),(INDEX(ALLCLASSDATA,MATCH("UnarmedLegendary",CLASSFEATUREHEADERS,0),MATCH(($A603 &amp; "Points"),CLASSNAMEHEADERS,0))),(IF("05"=(INDEX(ALLCLASSDATA,MATCH("UnarmedMaster",CLASSFEATUREHEADERS,0),MATCH($A603,CLASSNAMEHEADERS,0))),(INDEX(ALLCLASSDATA,MATCH("UnarmedMaster",CLASSFEATUREHEADERS,0),MATCH(($A603 &amp; "Points"),CLASSNAMEHEADERS,0))),(IF("05"=(INDEX(ALLCLASSDATA,MATCH("UnarmedExpert",CLASSFEATUREHEADERS,0),MATCH($A603,CLASSNAMEHEADERS,0))),(INDEX(ALLCLASSDATA,MATCH("UnarmedExpert",CLASSFEATUREHEADERS,0),MATCH(($A603 &amp; "Points"),CLASSNAMEHEADERS,0))),(IF("05"=(INDEX(ALLCLASSDATA,MATCH("UnarmedTrained",CLASSFEATUREHEADERS,0),MATCH($A603,CLASSNAMEHEADERS,0))),(INDEX(ALLCLASSDATA,MATCH("UnarmedTrained",CLASSFEATUREHEADERS,0),MATCH(($A603 &amp; "Points"),CLASSNAMEHEADERS,0))),"")))))))))}</f>
        <v>UNARMEDL05</v>
      </c>
      <c r="L602" s="223"/>
      <c r="M602" s="223" t="str">
        <f t="array" ref="M602:M603">{"UNARMEDL07";((IF("07"=(INDEX(ALLCLASSDATA,MATCH("UnarmedLegendary",CLASSFEATUREHEADERS,0),MATCH($A603,CLASSNAMEHEADERS,0))),(INDEX(ALLCLASSDATA,MATCH("UnarmedLegendary",CLASSFEATUREHEADERS,0),MATCH(($A603 &amp; "Points"),CLASSNAMEHEADERS,0))),(IF("07"=(INDEX(ALLCLASSDATA,MATCH("UnarmedMaster",CLASSFEATUREHEADERS,0),MATCH($A603,CLASSNAMEHEADERS,0))),(INDEX(ALLCLASSDATA,MATCH("UnarmedMaster",CLASSFEATUREHEADERS,0),MATCH(($A603 &amp; "Points"),CLASSNAMEHEADERS,0))),(IF("07"=(INDEX(ALLCLASSDATA,MATCH("UnarmedExpert",CLASSFEATUREHEADERS,0),MATCH($A603,CLASSNAMEHEADERS,0))),(INDEX(ALLCLASSDATA,MATCH("UnarmedExpert",CLASSFEATUREHEADERS,0),MATCH(($A603 &amp; "Points"),CLASSNAMEHEADERS,0))),(IF("07"=(INDEX(ALLCLASSDATA,MATCH("UnarmedTrained",CLASSFEATUREHEADERS,0),MATCH($A603,CLASSNAMEHEADERS,0))),(INDEX(ALLCLASSDATA,MATCH("UnarmedTrained",CLASSFEATUREHEADERS,0),MATCH(($A603 &amp; "Points"),CLASSNAMEHEADERS,0))),"")))))))))}</f>
        <v>UNARMEDL07</v>
      </c>
      <c r="N602" s="223"/>
      <c r="O602" s="223" t="str">
        <f t="array" ref="O602:O603">{"UNARMEDL09";((IF("09"=(INDEX(ALLCLASSDATA,MATCH("UnarmedLegendary",CLASSFEATUREHEADERS,0),MATCH($A603,CLASSNAMEHEADERS,0))),(INDEX(ALLCLASSDATA,MATCH("UnarmedLegendary",CLASSFEATUREHEADERS,0),MATCH(($A603 &amp; "Points"),CLASSNAMEHEADERS,0))),(IF("09"=(INDEX(ALLCLASSDATA,MATCH("UnarmedMaster",CLASSFEATUREHEADERS,0),MATCH($A603,CLASSNAMEHEADERS,0))),(INDEX(ALLCLASSDATA,MATCH("UnarmedMaster",CLASSFEATUREHEADERS,0),MATCH(($A603 &amp; "Points"),CLASSNAMEHEADERS,0))),(IF("09"=(INDEX(ALLCLASSDATA,MATCH("UnarmedExpert",CLASSFEATUREHEADERS,0),MATCH($A603,CLASSNAMEHEADERS,0))),(INDEX(ALLCLASSDATA,MATCH("UnarmedExpert",CLASSFEATUREHEADERS,0),MATCH(($A603 &amp; "Points"),CLASSNAMEHEADERS,0))),(IF("09"=(INDEX(ALLCLASSDATA,MATCH("UnarmedTrained",CLASSFEATUREHEADERS,0),MATCH($A603,CLASSNAMEHEADERS,0))),(INDEX(ALLCLASSDATA,MATCH("UnarmedTrained",CLASSFEATUREHEADERS,0),MATCH(($A603 &amp; "Points"),CLASSNAMEHEADERS,0))),"")))))))))}</f>
        <v>UNARMEDL09</v>
      </c>
      <c r="P602" s="223"/>
      <c r="Q602" s="223" t="str">
        <f t="array" ref="Q602:Q603">{"UNARMEDL11";((IF("11"=(INDEX(ALLCLASSDATA,MATCH("UnarmedLegendary",CLASSFEATUREHEADERS,0),MATCH($A603,CLASSNAMEHEADERS,0))),(INDEX(ALLCLASSDATA,MATCH("UnarmedLegendary",CLASSFEATUREHEADERS,0),MATCH(($A603 &amp; "Points"),CLASSNAMEHEADERS,0))),(IF("11"=(INDEX(ALLCLASSDATA,MATCH("UnarmedMaster",CLASSFEATUREHEADERS,0),MATCH($A603,CLASSNAMEHEADERS,0))),(INDEX(ALLCLASSDATA,MATCH("UnarmedMaster",CLASSFEATUREHEADERS,0),MATCH(($A603 &amp; "Points"),CLASSNAMEHEADERS,0))),(IF("11"=(INDEX(ALLCLASSDATA,MATCH("UnarmedExpert",CLASSFEATUREHEADERS,0),MATCH($A603,CLASSNAMEHEADERS,0))),(INDEX(ALLCLASSDATA,MATCH("UnarmedExpert",CLASSFEATUREHEADERS,0),MATCH(($A603 &amp; "Points"),CLASSNAMEHEADERS,0))),(IF("11"=(INDEX(ALLCLASSDATA,MATCH("UnarmedTrained",CLASSFEATUREHEADERS,0),MATCH($A603,CLASSNAMEHEADERS,0))),(INDEX(ALLCLASSDATA,MATCH("UnarmedTrained",CLASSFEATUREHEADERS,0),MATCH(($A603 &amp; "Points"),CLASSNAMEHEADERS,0))),"")))))))))}</f>
        <v>UNARMEDL11</v>
      </c>
      <c r="R602" s="223"/>
      <c r="S602" s="223" t="str">
        <f t="array" ref="S602:S603">{"UNARMEDL13";((IF("13"=(INDEX(ALLCLASSDATA,MATCH("UnarmedLegendary",CLASSFEATUREHEADERS,0),MATCH($A603,CLASSNAMEHEADERS,0))),(INDEX(ALLCLASSDATA,MATCH("UnarmedLegendary",CLASSFEATUREHEADERS,0),MATCH(($A603 &amp; "Points"),CLASSNAMEHEADERS,0))),(IF("13"=(INDEX(ALLCLASSDATA,MATCH("UnarmedMaster",CLASSFEATUREHEADERS,0),MATCH($A603,CLASSNAMEHEADERS,0))),(INDEX(ALLCLASSDATA,MATCH("UnarmedMaster",CLASSFEATUREHEADERS,0),MATCH(($A603 &amp; "Points"),CLASSNAMEHEADERS,0))),(IF("13"=(INDEX(ALLCLASSDATA,MATCH("UnarmedExpert",CLASSFEATUREHEADERS,0),MATCH($A603,CLASSNAMEHEADERS,0))),(INDEX(ALLCLASSDATA,MATCH("UnarmedExpert",CLASSFEATUREHEADERS,0),MATCH(($A603 &amp; "Points"),CLASSNAMEHEADERS,0))),(IF("13"=(INDEX(ALLCLASSDATA,MATCH("UnarmedTrained",CLASSFEATUREHEADERS,0),MATCH($A603,CLASSNAMEHEADERS,0))),(INDEX(ALLCLASSDATA,MATCH("UnarmedTrained",CLASSFEATUREHEADERS,0),MATCH(($A603 &amp; "Points"),CLASSNAMEHEADERS,0))),"")))))))))}</f>
        <v>UNARMEDL13</v>
      </c>
      <c r="T602" s="223"/>
      <c r="U602" s="223" t="str">
        <f t="array" ref="U602:U603">{"UNARMEDL15";((IF("15"=(INDEX(ALLCLASSDATA,MATCH("UnarmedLegendary",CLASSFEATUREHEADERS,0),MATCH($A603,CLASSNAMEHEADERS,0))),(INDEX(ALLCLASSDATA,MATCH("UnarmedLegendary",CLASSFEATUREHEADERS,0),MATCH(($A603 &amp; "Points"),CLASSNAMEHEADERS,0))),(IF("15"=(INDEX(ALLCLASSDATA,MATCH("UnarmedMaster",CLASSFEATUREHEADERS,0),MATCH($A603,CLASSNAMEHEADERS,0))),(INDEX(ALLCLASSDATA,MATCH("UnarmedMaster",CLASSFEATUREHEADERS,0),MATCH(($A603 &amp; "Points"),CLASSNAMEHEADERS,0))),(IF("15"=(INDEX(ALLCLASSDATA,MATCH("UnarmedExpert",CLASSFEATUREHEADERS,0),MATCH($A603,CLASSNAMEHEADERS,0))),(INDEX(ALLCLASSDATA,MATCH("UnarmedExpert",CLASSFEATUREHEADERS,0),MATCH(($A603 &amp; "Points"),CLASSNAMEHEADERS,0))),(IF("15"=(INDEX(ALLCLASSDATA,MATCH("UnarmedTrained",CLASSFEATUREHEADERS,0),MATCH($A603,CLASSNAMEHEADERS,0))),(INDEX(ALLCLASSDATA,MATCH("UnarmedTrained",CLASSFEATUREHEADERS,0),MATCH(($A603 &amp; "Points"),CLASSNAMEHEADERS,0))),"")))))))))}</f>
        <v>UNARMEDL15</v>
      </c>
      <c r="V602" s="223"/>
      <c r="W602" s="223" t="str">
        <f t="array" ref="W602:W603">{"UNARMEDL17";((IF("17"=(INDEX(ALLCLASSDATA,MATCH("UnarmedLegendary",CLASSFEATUREHEADERS,0),MATCH($A603,CLASSNAMEHEADERS,0))),(INDEX(ALLCLASSDATA,MATCH("UnarmedLegendary",CLASSFEATUREHEADERS,0),MATCH(($A603 &amp; "Points"),CLASSNAMEHEADERS,0))),(IF("17"=(INDEX(ALLCLASSDATA,MATCH("UnarmedMaster",CLASSFEATUREHEADERS,0),MATCH($A603,CLASSNAMEHEADERS,0))),(INDEX(ALLCLASSDATA,MATCH("UnarmedMaster",CLASSFEATUREHEADERS,0),MATCH(($A603 &amp; "Points"),CLASSNAMEHEADERS,0))),(IF("17"=(INDEX(ALLCLASSDATA,MATCH("UnarmedExpert",CLASSFEATUREHEADERS,0),MATCH($A603,CLASSNAMEHEADERS,0))),(INDEX(ALLCLASSDATA,MATCH("UnarmedExpert",CLASSFEATUREHEADERS,0),MATCH(($A603 &amp; "Points"),CLASSNAMEHEADERS,0))),(IF("17"=(INDEX(ALLCLASSDATA,MATCH("UnarmedTrained",CLASSFEATUREHEADERS,0),MATCH($A603,CLASSNAMEHEADERS,0))),(INDEX(ALLCLASSDATA,MATCH("UnarmedTrained",CLASSFEATUREHEADERS,0),MATCH(($A603 &amp; "Points"),CLASSNAMEHEADERS,0))),"")))))))))}</f>
        <v>UNARMEDL17</v>
      </c>
      <c r="X602" s="223"/>
      <c r="Y602" s="223" t="str">
        <f t="array" ref="Y602:Y603">{"UNARMEDL19";((IF("19"=(INDEX(ALLCLASSDATA,MATCH("UnarmedLegendary",CLASSFEATUREHEADERS,0),MATCH($A603,CLASSNAMEHEADERS,0))),(INDEX(ALLCLASSDATA,MATCH("UnarmedLegendary",CLASSFEATUREHEADERS,0),MATCH(($A603 &amp; "Points"),CLASSNAMEHEADERS,0))),(IF("19"=(INDEX(ALLCLASSDATA,MATCH("UnarmedMaster",CLASSFEATUREHEADERS,0),MATCH($A603,CLASSNAMEHEADERS,0))),(INDEX(ALLCLASSDATA,MATCH("UnarmedMaster",CLASSFEATUREHEADERS,0),MATCH(($A603 &amp; "Points"),CLASSNAMEHEADERS,0))),(IF("19"=(INDEX(ALLCLASSDATA,MATCH("UnarmedExpert",CLASSFEATUREHEADERS,0),MATCH($A603,CLASSNAMEHEADERS,0))),(INDEX(ALLCLASSDATA,MATCH("UnarmedExpert",CLASSFEATUREHEADERS,0),MATCH(($A603 &amp; "Points"),CLASSNAMEHEADERS,0))),(IF("19"=(INDEX(ALLCLASSDATA,MATCH("UnarmedTrained",CLASSFEATUREHEADERS,0),MATCH($A603,CLASSNAMEHEADERS,0))),(INDEX(ALLCLASSDATA,MATCH("UnarmedTrained",CLASSFEATUREHEADERS,0),MATCH(($A603 &amp; "Points"),CLASSNAMEHEADERS,0))),"")))))))))}</f>
        <v>UNARMEDL19</v>
      </c>
      <c r="Z602" s="223"/>
      <c r="AA602" s="76" t="str">
        <f t="array" ref="AA602:AA603">{"UNARMED TOTAL";(IF(COUNTBLANK(F603:Z603)=17,"L",(IF(COUNTBLANK(F603:Z603)=18,"M",(IF(COUNTBLANK(F603:Z603)=19,"E",(IF(COUNTBLANK(F603:Z603)=20,"T",""))))))))}</f>
        <v>UNARMED TOTAL</v>
      </c>
      <c r="AB602" s="76" t="str">
        <f t="array" ref="AB602:AB603">{"UNARMED TOTAL";(sum(F603:Z603))}</f>
        <v>UNARMED TOTAL</v>
      </c>
    </row>
    <row r="603">
      <c r="A603" s="48" t="s">
        <v>221</v>
      </c>
      <c r="B603" s="48" t="s">
        <v>418</v>
      </c>
      <c r="C603" s="48" t="s">
        <v>1634</v>
      </c>
      <c r="D603" s="48" t="s">
        <v>257</v>
      </c>
      <c r="E603" s="5" t="s">
        <v>435</v>
      </c>
      <c r="F603" s="47" t="s">
        <v>603</v>
      </c>
      <c r="G603" s="5">
        <v>10.0</v>
      </c>
      <c r="H603" s="5"/>
      <c r="I603" s="5" t="s">
        <v>603</v>
      </c>
      <c r="J603" s="5"/>
      <c r="K603" s="5" t="s">
        <v>603</v>
      </c>
      <c r="L603" s="5"/>
      <c r="M603" s="5" t="s">
        <v>603</v>
      </c>
      <c r="N603" s="5"/>
      <c r="O603" s="5" t="s">
        <v>603</v>
      </c>
      <c r="P603" s="5"/>
      <c r="Q603" s="5" t="s">
        <v>436</v>
      </c>
      <c r="R603" s="5"/>
      <c r="S603" s="5" t="s">
        <v>603</v>
      </c>
      <c r="T603" s="5"/>
      <c r="U603" s="5" t="s">
        <v>603</v>
      </c>
      <c r="V603" s="5"/>
      <c r="W603" s="5" t="s">
        <v>603</v>
      </c>
      <c r="X603" s="5"/>
      <c r="Y603" s="5" t="s">
        <v>603</v>
      </c>
      <c r="Z603" s="5"/>
      <c r="AA603" s="5" t="s">
        <v>436</v>
      </c>
      <c r="AB603" s="47">
        <v>10.0</v>
      </c>
    </row>
    <row r="604" hidden="1">
      <c r="A604" s="222" t="str">
        <f t="array" ref="A604:A605">{"FormulaRow28";(INDEX(CLASSLIST,A549,1))}</f>
        <v>FormulaRow28</v>
      </c>
      <c r="B604" s="222" t="str">
        <f t="array" ref="B604:B605">{"CLASSTYPE";((INDEX(ALLCLASSDATA,MATCH("ClassType",CLASSFEATUREHEADERS,0),MATCH($A605,CLASSNAMEHEADERS,0))))}</f>
        <v>CLASSTYPE</v>
      </c>
      <c r="C604" s="222" t="str">
        <f t="array" ref="C604:C605">{"ATTACK";"Attack"}</f>
        <v>ATTACK</v>
      </c>
      <c r="D604" s="222" t="str">
        <f t="array" ref="D604:D605">{"SIMPLELIMITED";"SimpleLimited"}</f>
        <v>SIMPLELIMITED</v>
      </c>
      <c r="E604" s="223" t="str">
        <f t="array" ref="E604:E605">{"SIMPLELIMITEDINITIAL";((IF(G605=10,"T",(IF(G605=50,"E","")))))}</f>
        <v>SIMPLELIMITEDINITIAL</v>
      </c>
      <c r="F604" s="223" t="str">
        <f t="array" ref="F604:F605">{"SIMPLELIMITEDINITIALPTS";((IF("00"=(INDEX(ALLCLASSDATA,MATCH("SimpleLimitedLegendary",CLASSFEATUREHEADERS,0),MATCH($A605,CLASSNAMEHEADERS,0))),(INDEX(ALLCLASSDATA,MATCH("SimpleLimitedLegendary",CLASSFEATUREHEADERS,0),MATCH(($A605 &amp; "Points"),CLASSNAMEHEADERS,0))),(IF("00"=(INDEX(ALLCLASSDATA,MATCH("SimpleLimitedMaster",CLASSFEATUREHEADERS,0),MATCH($A605,CLASSNAMEHEADERS,0))),(INDEX(ALLCLASSDATA,MATCH("SimpleLimitedMaster",CLASSFEATUREHEADERS,0),MATCH(($A605 &amp; "Points"),CLASSNAMEHEADERS,0))),(IF("00"=(INDEX(ALLCLASSDATA,MATCH("SimpleLimitedExpert",CLASSFEATUREHEADERS,0),MATCH($A605,CLASSNAMEHEADERS,0))),(INDEX(ALLCLASSDATA,MATCH("SimpleLimitedExpert",CLASSFEATUREHEADERS,0),MATCH(($A605 &amp; "Points"),CLASSNAMEHEADERS,0))),(IF("00"=(INDEX(ALLCLASSDATA,MATCH("SimpleLimitedTrained",CLASSFEATUREHEADERS,0),MATCH($A605,CLASSNAMEHEADERS,0))),(INDEX(ALLCLASSDATA,MATCH("SimpleLimitedTrained",CLASSFEATUREHEADERS,0),MATCH(($A605 &amp; "Points"),CLASSNAMEHEADERS,0))),"")))))))))}</f>
        <v>SIMPLELIMITEDINITIALPTS</v>
      </c>
      <c r="G604" s="223" t="str">
        <f t="array" ref="G604:G605">{"SIMPLELIMITEDL01";((IF("01"=(INDEX(ALLCLASSDATA,MATCH("SimpleLimitedLegendary",CLASSFEATUREHEADERS,0),MATCH($A605,CLASSNAMEHEADERS,0))),(INDEX(ALLCLASSDATA,MATCH("SimpleLimitedLegendary",CLASSFEATUREHEADERS,0),MATCH(($A605 &amp; "Points"),CLASSNAMEHEADERS,0))),(IF("01"=(INDEX(ALLCLASSDATA,MATCH("SimpleLimitedMaster",CLASSFEATUREHEADERS,0),MATCH($A605,CLASSNAMEHEADERS,0))),(INDEX(ALLCLASSDATA,MATCH("SimpleLimitedMaster",CLASSFEATUREHEADERS,0),MATCH(($A605 &amp; "Points"),CLASSNAMEHEADERS,0))),(IF("01"=(INDEX(ALLCLASSDATA,MATCH("SimpleLimitedExpert",CLASSFEATUREHEADERS,0),MATCH($A605,CLASSNAMEHEADERS,0))),(INDEX(ALLCLASSDATA,MATCH("SimpleLimitedExpert",CLASSFEATUREHEADERS,0),MATCH(($A605 &amp; "Points"),CLASSNAMEHEADERS,0))),(IF("01"=(INDEX(ALLCLASSDATA,MATCH("SimpleLimitedTrained",CLASSFEATUREHEADERS,0),MATCH($A605,CLASSNAMEHEADERS,0))),(INDEX(ALLCLASSDATA,MATCH("SimpleLimitedTrained",CLASSFEATUREHEADERS,0),MATCH(($A605 &amp; "Points"),CLASSNAMEHEADERS,0))),"")))))))))}</f>
        <v>SIMPLELIMITEDL01</v>
      </c>
      <c r="H604" s="223"/>
      <c r="I604" s="223" t="str">
        <f t="array" ref="I604:I605">{"SIMPLELIMITEDL03";((IF("03"=(INDEX(ALLCLASSDATA,MATCH("SimpleLimitedLegendary",CLASSFEATUREHEADERS,0),MATCH($A605,CLASSNAMEHEADERS,0))),(INDEX(ALLCLASSDATA,MATCH("SimpleLimitedLegendary",CLASSFEATUREHEADERS,0),MATCH(($A605 &amp; "Points"),CLASSNAMEHEADERS,0))),(IF("03"=(INDEX(ALLCLASSDATA,MATCH("SimpleLimitedMaster",CLASSFEATUREHEADERS,0),MATCH($A605,CLASSNAMEHEADERS,0))),(INDEX(ALLCLASSDATA,MATCH("SimpleLimitedMaster",CLASSFEATUREHEADERS,0),MATCH(($A605 &amp; "Points"),CLASSNAMEHEADERS,0))),(IF("03"=(INDEX(ALLCLASSDATA,MATCH("SimpleLimitedExpert",CLASSFEATUREHEADERS,0),MATCH($A605,CLASSNAMEHEADERS,0))),(INDEX(ALLCLASSDATA,MATCH("SimpleLimitedExpert",CLASSFEATUREHEADERS,0),MATCH(($A605 &amp; "Points"),CLASSNAMEHEADERS,0))),(IF("03"=(INDEX(ALLCLASSDATA,MATCH("SimpleLimitedTrained",CLASSFEATUREHEADERS,0),MATCH($A605,CLASSNAMEHEADERS,0))),(INDEX(ALLCLASSDATA,MATCH("SimpleLimitedTrained",CLASSFEATUREHEADERS,0),MATCH(($A605 &amp; "Points"),CLASSNAMEHEADERS,0))),"")))))))))}</f>
        <v>SIMPLELIMITEDL03</v>
      </c>
      <c r="J604" s="223"/>
      <c r="K604" s="223" t="str">
        <f t="array" ref="K604:K605">{"SIMPLELIMITEDL05";((IF("05"=(INDEX(ALLCLASSDATA,MATCH("SimpleLimitedLegendary",CLASSFEATUREHEADERS,0),MATCH($A605,CLASSNAMEHEADERS,0))),(INDEX(ALLCLASSDATA,MATCH("SimpleLimitedLegendary",CLASSFEATUREHEADERS,0),MATCH(($A605 &amp; "Points"),CLASSNAMEHEADERS,0))),(IF("05"=(INDEX(ALLCLASSDATA,MATCH("SimpleLimitedMaster",CLASSFEATUREHEADERS,0),MATCH($A605,CLASSNAMEHEADERS,0))),(INDEX(ALLCLASSDATA,MATCH("SimpleLimitedMaster",CLASSFEATUREHEADERS,0),MATCH(($A605 &amp; "Points"),CLASSNAMEHEADERS,0))),(IF("05"=(INDEX(ALLCLASSDATA,MATCH("SimpleLimitedExpert",CLASSFEATUREHEADERS,0),MATCH($A605,CLASSNAMEHEADERS,0))),(INDEX(ALLCLASSDATA,MATCH("SimpleLimitedExpert",CLASSFEATUREHEADERS,0),MATCH(($A605 &amp; "Points"),CLASSNAMEHEADERS,0))),(IF("05"=(INDEX(ALLCLASSDATA,MATCH("SimpleLimitedTrained",CLASSFEATUREHEADERS,0),MATCH($A605,CLASSNAMEHEADERS,0))),(INDEX(ALLCLASSDATA,MATCH("SimpleLimitedTrained",CLASSFEATUREHEADERS,0),MATCH(($A605 &amp; "Points"),CLASSNAMEHEADERS,0))),"")))))))))}</f>
        <v>SIMPLELIMITEDL05</v>
      </c>
      <c r="L604" s="223"/>
      <c r="M604" s="223" t="str">
        <f t="array" ref="M604:M605">{"SIMPLELIMITEDL07";((IF("07"=(INDEX(ALLCLASSDATA,MATCH("SimpleLimitedLegendary",CLASSFEATUREHEADERS,0),MATCH($A605,CLASSNAMEHEADERS,0))),(INDEX(ALLCLASSDATA,MATCH("SimpleLimitedLegendary",CLASSFEATUREHEADERS,0),MATCH(($A605 &amp; "Points"),CLASSNAMEHEADERS,0))),(IF("07"=(INDEX(ALLCLASSDATA,MATCH("SimpleLimitedMaster",CLASSFEATUREHEADERS,0),MATCH($A605,CLASSNAMEHEADERS,0))),(INDEX(ALLCLASSDATA,MATCH("SimpleLimitedMaster",CLASSFEATUREHEADERS,0),MATCH(($A605 &amp; "Points"),CLASSNAMEHEADERS,0))),(IF("07"=(INDEX(ALLCLASSDATA,MATCH("SimpleLimitedExpert",CLASSFEATUREHEADERS,0),MATCH($A605,CLASSNAMEHEADERS,0))),(INDEX(ALLCLASSDATA,MATCH("SimpleLimitedExpert",CLASSFEATUREHEADERS,0),MATCH(($A605 &amp; "Points"),CLASSNAMEHEADERS,0))),(IF("07"=(INDEX(ALLCLASSDATA,MATCH("SimpleLimitedTrained",CLASSFEATUREHEADERS,0),MATCH($A605,CLASSNAMEHEADERS,0))),(INDEX(ALLCLASSDATA,MATCH("SimpleLimitedTrained",CLASSFEATUREHEADERS,0),MATCH(($A605 &amp; "Points"),CLASSNAMEHEADERS,0))),"")))))))))}</f>
        <v>SIMPLELIMITEDL07</v>
      </c>
      <c r="N604" s="223"/>
      <c r="O604" s="223" t="str">
        <f t="array" ref="O604:O605">{"SIMPLELIMITEDL09";((IF("09"=(INDEX(ALLCLASSDATA,MATCH("SimpleLimitedLegendary",CLASSFEATUREHEADERS,0),MATCH($A605,CLASSNAMEHEADERS,0))),(INDEX(ALLCLASSDATA,MATCH("SimpleLimitedLegendary",CLASSFEATUREHEADERS,0),MATCH(($A605 &amp; "Points"),CLASSNAMEHEADERS,0))),(IF("09"=(INDEX(ALLCLASSDATA,MATCH("SimpleLimitedMaster",CLASSFEATUREHEADERS,0),MATCH($A605,CLASSNAMEHEADERS,0))),(INDEX(ALLCLASSDATA,MATCH("SimpleLimitedMaster",CLASSFEATUREHEADERS,0),MATCH(($A605 &amp; "Points"),CLASSNAMEHEADERS,0))),(IF("09"=(INDEX(ALLCLASSDATA,MATCH("SimpleLimitedExpert",CLASSFEATUREHEADERS,0),MATCH($A605,CLASSNAMEHEADERS,0))),(INDEX(ALLCLASSDATA,MATCH("SimpleLimitedExpert",CLASSFEATUREHEADERS,0),MATCH(($A605 &amp; "Points"),CLASSNAMEHEADERS,0))),(IF("09"=(INDEX(ALLCLASSDATA,MATCH("SimpleLimitedTrained",CLASSFEATUREHEADERS,0),MATCH($A605,CLASSNAMEHEADERS,0))),(INDEX(ALLCLASSDATA,MATCH("SimpleLimitedTrained",CLASSFEATUREHEADERS,0),MATCH(($A605 &amp; "Points"),CLASSNAMEHEADERS,0))),"")))))))))}</f>
        <v>SIMPLELIMITEDL09</v>
      </c>
      <c r="P604" s="223"/>
      <c r="Q604" s="223" t="str">
        <f t="array" ref="Q604:Q605">{"SIMPLELIMITEDL11";((IF("11"=(INDEX(ALLCLASSDATA,MATCH("SimpleLimitedLegendary",CLASSFEATUREHEADERS,0),MATCH($A605,CLASSNAMEHEADERS,0))),(INDEX(ALLCLASSDATA,MATCH("SimpleLimitedLegendary",CLASSFEATUREHEADERS,0),MATCH(($A605 &amp; "Points"),CLASSNAMEHEADERS,0))),(IF("11"=(INDEX(ALLCLASSDATA,MATCH("SimpleLimitedMaster",CLASSFEATUREHEADERS,0),MATCH($A605,CLASSNAMEHEADERS,0))),(INDEX(ALLCLASSDATA,MATCH("SimpleLimitedMaster",CLASSFEATUREHEADERS,0),MATCH(($A605 &amp; "Points"),CLASSNAMEHEADERS,0))),(IF("11"=(INDEX(ALLCLASSDATA,MATCH("SimpleLimitedExpert",CLASSFEATUREHEADERS,0),MATCH($A605,CLASSNAMEHEADERS,0))),(INDEX(ALLCLASSDATA,MATCH("SimpleLimitedExpert",CLASSFEATUREHEADERS,0),MATCH(($A605 &amp; "Points"),CLASSNAMEHEADERS,0))),(IF("11"=(INDEX(ALLCLASSDATA,MATCH("SimpleLimitedTrained",CLASSFEATUREHEADERS,0),MATCH($A605,CLASSNAMEHEADERS,0))),(INDEX(ALLCLASSDATA,MATCH("SimpleLimitedTrained",CLASSFEATUREHEADERS,0),MATCH(($A605 &amp; "Points"),CLASSNAMEHEADERS,0))),"")))))))))}</f>
        <v>SIMPLELIMITEDL11</v>
      </c>
      <c r="R604" s="223"/>
      <c r="S604" s="223" t="str">
        <f t="array" ref="S604:S605">{"SIMPLELIMITEDL13";((IF("13"=(INDEX(ALLCLASSDATA,MATCH("SimpleLimitedLegendary",CLASSFEATUREHEADERS,0),MATCH($A605,CLASSNAMEHEADERS,0))),(INDEX(ALLCLASSDATA,MATCH("SimpleLimitedLegendary",CLASSFEATUREHEADERS,0),MATCH(($A605 &amp; "Points"),CLASSNAMEHEADERS,0))),(IF("13"=(INDEX(ALLCLASSDATA,MATCH("SimpleLimitedMaster",CLASSFEATUREHEADERS,0),MATCH($A605,CLASSNAMEHEADERS,0))),(INDEX(ALLCLASSDATA,MATCH("SimpleLimitedMaster",CLASSFEATUREHEADERS,0),MATCH(($A605 &amp; "Points"),CLASSNAMEHEADERS,0))),(IF("13"=(INDEX(ALLCLASSDATA,MATCH("SimpleLimitedExpert",CLASSFEATUREHEADERS,0),MATCH($A605,CLASSNAMEHEADERS,0))),(INDEX(ALLCLASSDATA,MATCH("SimpleLimitedExpert",CLASSFEATUREHEADERS,0),MATCH(($A605 &amp; "Points"),CLASSNAMEHEADERS,0))),(IF("13"=(INDEX(ALLCLASSDATA,MATCH("SimpleLimitedTrained",CLASSFEATUREHEADERS,0),MATCH($A605,CLASSNAMEHEADERS,0))),(INDEX(ALLCLASSDATA,MATCH("SimpleLimitedTrained",CLASSFEATUREHEADERS,0),MATCH(($A605 &amp; "Points"),CLASSNAMEHEADERS,0))),"")))))))))}</f>
        <v>SIMPLELIMITEDL13</v>
      </c>
      <c r="T604" s="223"/>
      <c r="U604" s="223" t="str">
        <f t="array" ref="U604:U605">{"SIMPLELIMITEDL15";((IF("15"=(INDEX(ALLCLASSDATA,MATCH("SimpleLimitedLegendary",CLASSFEATUREHEADERS,0),MATCH($A605,CLASSNAMEHEADERS,0))),(INDEX(ALLCLASSDATA,MATCH("SimpleLimitedLegendary",CLASSFEATUREHEADERS,0),MATCH(($A605 &amp; "Points"),CLASSNAMEHEADERS,0))),(IF("15"=(INDEX(ALLCLASSDATA,MATCH("SimpleLimitedMaster",CLASSFEATUREHEADERS,0),MATCH($A605,CLASSNAMEHEADERS,0))),(INDEX(ALLCLASSDATA,MATCH("SimpleLimitedMaster",CLASSFEATUREHEADERS,0),MATCH(($A605 &amp; "Points"),CLASSNAMEHEADERS,0))),(IF("15"=(INDEX(ALLCLASSDATA,MATCH("SimpleLimitedExpert",CLASSFEATUREHEADERS,0),MATCH($A605,CLASSNAMEHEADERS,0))),(INDEX(ALLCLASSDATA,MATCH("SimpleLimitedExpert",CLASSFEATUREHEADERS,0),MATCH(($A605 &amp; "Points"),CLASSNAMEHEADERS,0))),(IF("15"=(INDEX(ALLCLASSDATA,MATCH("SimpleLimitedTrained",CLASSFEATUREHEADERS,0),MATCH($A605,CLASSNAMEHEADERS,0))),(INDEX(ALLCLASSDATA,MATCH("SimpleLimitedTrained",CLASSFEATUREHEADERS,0),MATCH(($A605 &amp; "Points"),CLASSNAMEHEADERS,0))),"")))))))))}</f>
        <v>SIMPLELIMITEDL15</v>
      </c>
      <c r="V604" s="223"/>
      <c r="W604" s="223" t="str">
        <f t="array" ref="W604:W605">{"SIMPLELIMITEDL17";((IF("17"=(INDEX(ALLCLASSDATA,MATCH("SimpleLimitedLegendary",CLASSFEATUREHEADERS,0),MATCH($A605,CLASSNAMEHEADERS,0))),(INDEX(ALLCLASSDATA,MATCH("SimpleLimitedLegendary",CLASSFEATUREHEADERS,0),MATCH(($A605 &amp; "Points"),CLASSNAMEHEADERS,0))),(IF("17"=(INDEX(ALLCLASSDATA,MATCH("SimpleLimitedMaster",CLASSFEATUREHEADERS,0),MATCH($A605,CLASSNAMEHEADERS,0))),(INDEX(ALLCLASSDATA,MATCH("SimpleLimitedMaster",CLASSFEATUREHEADERS,0),MATCH(($A605 &amp; "Points"),CLASSNAMEHEADERS,0))),(IF("17"=(INDEX(ALLCLASSDATA,MATCH("SimpleLimitedExpert",CLASSFEATUREHEADERS,0),MATCH($A605,CLASSNAMEHEADERS,0))),(INDEX(ALLCLASSDATA,MATCH("SimpleLimitedExpert",CLASSFEATUREHEADERS,0),MATCH(($A605 &amp; "Points"),CLASSNAMEHEADERS,0))),(IF("17"=(INDEX(ALLCLASSDATA,MATCH("SimpleLimitedTrained",CLASSFEATUREHEADERS,0),MATCH($A605,CLASSNAMEHEADERS,0))),(INDEX(ALLCLASSDATA,MATCH("SimpleLimitedTrained",CLASSFEATUREHEADERS,0),MATCH(($A605 &amp; "Points"),CLASSNAMEHEADERS,0))),"")))))))))}</f>
        <v>SIMPLELIMITEDL17</v>
      </c>
      <c r="X604" s="223"/>
      <c r="Y604" s="223" t="str">
        <f t="array" ref="Y604:Y605">{"SIMPLELIMITEDL19";((IF("19"=(INDEX(ALLCLASSDATA,MATCH("SimpleLimitedLegendary",CLASSFEATUREHEADERS,0),MATCH($A605,CLASSNAMEHEADERS,0))),(INDEX(ALLCLASSDATA,MATCH("SimpleLimitedLegendary",CLASSFEATUREHEADERS,0),MATCH(($A605 &amp; "Points"),CLASSNAMEHEADERS,0))),(IF("19"=(INDEX(ALLCLASSDATA,MATCH("SimpleLimitedMaster",CLASSFEATUREHEADERS,0),MATCH($A605,CLASSNAMEHEADERS,0))),(INDEX(ALLCLASSDATA,MATCH("SimpleLimitedMaster",CLASSFEATUREHEADERS,0),MATCH(($A605 &amp; "Points"),CLASSNAMEHEADERS,0))),(IF("19"=(INDEX(ALLCLASSDATA,MATCH("SimpleLimitedExpert",CLASSFEATUREHEADERS,0),MATCH($A605,CLASSNAMEHEADERS,0))),(INDEX(ALLCLASSDATA,MATCH("SimpleLimitedExpert",CLASSFEATUREHEADERS,0),MATCH(($A605 &amp; "Points"),CLASSNAMEHEADERS,0))),(IF("19"=(INDEX(ALLCLASSDATA,MATCH("SimpleLimitedTrained",CLASSFEATUREHEADERS,0),MATCH($A605,CLASSNAMEHEADERS,0))),(INDEX(ALLCLASSDATA,MATCH("SimpleLimitedTrained",CLASSFEATUREHEADERS,0),MATCH(($A605 &amp; "Points"),CLASSNAMEHEADERS,0))),"")))))))))}</f>
        <v>SIMPLELIMITEDL19</v>
      </c>
      <c r="Z604" s="223"/>
      <c r="AA604" s="76" t="str">
        <f t="array" ref="AA604:AA605">{"SIMPLELIMITED TOTAL";(IF(COUNTBLANK(F605:Z605)=17,"L",(IF(COUNTBLANK(F605:Z605)=18,"M",(IF(COUNTBLANK(F605:Z605)=19,"E",(IF(COUNTBLANK(F605:Z605)=20,"T",""))))))))}</f>
        <v>SIMPLELIMITED TOTAL</v>
      </c>
      <c r="AB604" s="76" t="str">
        <f t="array" ref="AB604:AB605">{"SIMPLELIMITED TOTAL";(sum(F605:Z605))}</f>
        <v>SIMPLELIMITED TOTAL</v>
      </c>
    </row>
    <row r="605">
      <c r="A605" s="48" t="s">
        <v>221</v>
      </c>
      <c r="B605" s="48" t="s">
        <v>418</v>
      </c>
      <c r="C605" s="48" t="s">
        <v>1634</v>
      </c>
      <c r="D605" s="48" t="s">
        <v>599</v>
      </c>
      <c r="E605" s="5" t="s">
        <v>603</v>
      </c>
      <c r="F605" s="47" t="s">
        <v>603</v>
      </c>
      <c r="G605" s="5" t="s">
        <v>603</v>
      </c>
      <c r="H605" s="5"/>
      <c r="I605" s="5" t="s">
        <v>603</v>
      </c>
      <c r="J605" s="5"/>
      <c r="K605" s="5" t="s">
        <v>603</v>
      </c>
      <c r="L605" s="5"/>
      <c r="M605" s="5" t="s">
        <v>603</v>
      </c>
      <c r="N605" s="5"/>
      <c r="O605" s="5" t="s">
        <v>603</v>
      </c>
      <c r="P605" s="5"/>
      <c r="Q605" s="5" t="s">
        <v>603</v>
      </c>
      <c r="R605" s="5"/>
      <c r="S605" s="5" t="s">
        <v>603</v>
      </c>
      <c r="T605" s="5"/>
      <c r="U605" s="5" t="s">
        <v>603</v>
      </c>
      <c r="V605" s="5"/>
      <c r="W605" s="5" t="s">
        <v>603</v>
      </c>
      <c r="X605" s="5"/>
      <c r="Y605" s="5" t="s">
        <v>603</v>
      </c>
      <c r="Z605" s="5"/>
      <c r="AA605" s="5" t="s">
        <v>603</v>
      </c>
      <c r="AB605" s="47">
        <v>0.0</v>
      </c>
    </row>
    <row r="606" hidden="1">
      <c r="A606" s="222" t="str">
        <f t="array" ref="A606:A607">{"FormulaRow29";(INDEX(CLASSLIST,A549,1))}</f>
        <v>FormulaRow29</v>
      </c>
      <c r="B606" s="222" t="str">
        <f t="array" ref="B606:B607">{"CLASSTYPE";((INDEX(ALLCLASSDATA,MATCH("ClassType",CLASSFEATUREHEADERS,0),MATCH($A607,CLASSNAMEHEADERS,0))))}</f>
        <v>CLASSTYPE</v>
      </c>
      <c r="C606" s="222" t="str">
        <f t="array" ref="C606:C607">{"ATTACK";"Attack"}</f>
        <v>ATTACK</v>
      </c>
      <c r="D606" s="222" t="str">
        <f t="array" ref="D606:D607">{"SIMPLE";"Simple"}</f>
        <v>SIMPLE</v>
      </c>
      <c r="E606" s="223" t="str">
        <f t="array" ref="E606:E607">{"SIMPLEINITIAL";((IF(G607=10,"T",(IF(G607=50,"E","")))))}</f>
        <v>SIMPLEINITIAL</v>
      </c>
      <c r="F606" s="223" t="str">
        <f t="array" ref="F606:F607">{"SIMPLEINITIALPTS";((IF("00"=(INDEX(ALLCLASSDATA,MATCH("SimpleLegendary",CLASSFEATUREHEADERS,0),MATCH($A607,CLASSNAMEHEADERS,0))),(INDEX(ALLCLASSDATA,MATCH("SimpleLegendary",CLASSFEATUREHEADERS,0),MATCH(($A607 &amp; "Points"),CLASSNAMEHEADERS,0))),(IF("00"=(INDEX(ALLCLASSDATA,MATCH("SimpleMaster",CLASSFEATUREHEADERS,0),MATCH($A607,CLASSNAMEHEADERS,0))),(INDEX(ALLCLASSDATA,MATCH("SimpleMaster",CLASSFEATUREHEADERS,0),MATCH(($A607 &amp; "Points"),CLASSNAMEHEADERS,0))),(IF("00"=(INDEX(ALLCLASSDATA,MATCH("SimpleExpert",CLASSFEATUREHEADERS,0),MATCH($A607,CLASSNAMEHEADERS,0))),(INDEX(ALLCLASSDATA,MATCH("SimpleExpert",CLASSFEATUREHEADERS,0),MATCH(($A607 &amp; "Points"),CLASSNAMEHEADERS,0))),(IF("00"=(INDEX(ALLCLASSDATA,MATCH("SimpleTrained",CLASSFEATUREHEADERS,0),MATCH($A607,CLASSNAMEHEADERS,0))),(INDEX(ALLCLASSDATA,MATCH("SimpleTrained",CLASSFEATUREHEADERS,0),MATCH(($A607 &amp; "Points"),CLASSNAMEHEADERS,0))),"")))))))))}</f>
        <v>SIMPLEINITIALPTS</v>
      </c>
      <c r="G606" s="223" t="str">
        <f t="array" ref="G606:G607">{"SIMPLEL01";((IF("01"=(INDEX(ALLCLASSDATA,MATCH("SimpleLegendary",CLASSFEATUREHEADERS,0),MATCH($A607,CLASSNAMEHEADERS,0))),(INDEX(ALLCLASSDATA,MATCH("SimpleLegendary",CLASSFEATUREHEADERS,0),MATCH(($A607 &amp; "Points"),CLASSNAMEHEADERS,0))),(IF("01"=(INDEX(ALLCLASSDATA,MATCH("SimpleMaster",CLASSFEATUREHEADERS,0),MATCH($A607,CLASSNAMEHEADERS,0))),(INDEX(ALLCLASSDATA,MATCH("SimpleMaster",CLASSFEATUREHEADERS,0),MATCH(($A607 &amp; "Points"),CLASSNAMEHEADERS,0))),(IF("01"=(INDEX(ALLCLASSDATA,MATCH("SimpleExpert",CLASSFEATUREHEADERS,0),MATCH($A607,CLASSNAMEHEADERS,0))),(INDEX(ALLCLASSDATA,MATCH("SimpleExpert",CLASSFEATUREHEADERS,0),MATCH(($A607 &amp; "Points"),CLASSNAMEHEADERS,0))),(IF("01"=(INDEX(ALLCLASSDATA,MATCH("SimpleTrained",CLASSFEATUREHEADERS,0),MATCH($A607,CLASSNAMEHEADERS,0))),(INDEX(ALLCLASSDATA,MATCH("SimpleTrained",CLASSFEATUREHEADERS,0),MATCH(($A607 &amp; "Points"),CLASSNAMEHEADERS,0))),"")))))))))}</f>
        <v>SIMPLEL01</v>
      </c>
      <c r="H606" s="223"/>
      <c r="I606" s="223" t="str">
        <f t="array" ref="I606:I607">{"SIMPLEL03";((IF("03"=(INDEX(ALLCLASSDATA,MATCH("SimpleLegendary",CLASSFEATUREHEADERS,0),MATCH($A607,CLASSNAMEHEADERS,0))),(INDEX(ALLCLASSDATA,MATCH("SimpleLegendary",CLASSFEATUREHEADERS,0),MATCH(($A607 &amp; "Points"),CLASSNAMEHEADERS,0))),(IF("03"=(INDEX(ALLCLASSDATA,MATCH("SimpleMaster",CLASSFEATUREHEADERS,0),MATCH($A607,CLASSNAMEHEADERS,0))),(INDEX(ALLCLASSDATA,MATCH("SimpleMaster",CLASSFEATUREHEADERS,0),MATCH(($A607 &amp; "Points"),CLASSNAMEHEADERS,0))),(IF("03"=(INDEX(ALLCLASSDATA,MATCH("SimpleExpert",CLASSFEATUREHEADERS,0),MATCH($A607,CLASSNAMEHEADERS,0))),(INDEX(ALLCLASSDATA,MATCH("SimpleExpert",CLASSFEATUREHEADERS,0),MATCH(($A607 &amp; "Points"),CLASSNAMEHEADERS,0))),(IF("03"=(INDEX(ALLCLASSDATA,MATCH("SimpleTrained",CLASSFEATUREHEADERS,0),MATCH($A607,CLASSNAMEHEADERS,0))),(INDEX(ALLCLASSDATA,MATCH("SimpleTrained",CLASSFEATUREHEADERS,0),MATCH(($A607 &amp; "Points"),CLASSNAMEHEADERS,0))),"")))))))))}</f>
        <v>SIMPLEL03</v>
      </c>
      <c r="J606" s="223"/>
      <c r="K606" s="223" t="str">
        <f t="array" ref="K606:K607">{"SIMPLEL05";((IF("05"=(INDEX(ALLCLASSDATA,MATCH("SimpleLegendary",CLASSFEATUREHEADERS,0),MATCH($A607,CLASSNAMEHEADERS,0))),(INDEX(ALLCLASSDATA,MATCH("SimpleLegendary",CLASSFEATUREHEADERS,0),MATCH(($A607 &amp; "Points"),CLASSNAMEHEADERS,0))),(IF("05"=(INDEX(ALLCLASSDATA,MATCH("SimpleMaster",CLASSFEATUREHEADERS,0),MATCH($A607,CLASSNAMEHEADERS,0))),(INDEX(ALLCLASSDATA,MATCH("SimpleMaster",CLASSFEATUREHEADERS,0),MATCH(($A607 &amp; "Points"),CLASSNAMEHEADERS,0))),(IF("05"=(INDEX(ALLCLASSDATA,MATCH("SimpleExpert",CLASSFEATUREHEADERS,0),MATCH($A607,CLASSNAMEHEADERS,0))),(INDEX(ALLCLASSDATA,MATCH("SimpleExpert",CLASSFEATUREHEADERS,0),MATCH(($A607 &amp; "Points"),CLASSNAMEHEADERS,0))),(IF("05"=(INDEX(ALLCLASSDATA,MATCH("SimpleTrained",CLASSFEATUREHEADERS,0),MATCH($A607,CLASSNAMEHEADERS,0))),(INDEX(ALLCLASSDATA,MATCH("SimpleTrained",CLASSFEATUREHEADERS,0),MATCH(($A607 &amp; "Points"),CLASSNAMEHEADERS,0))),"")))))))))}</f>
        <v>SIMPLEL05</v>
      </c>
      <c r="L606" s="223"/>
      <c r="M606" s="223" t="str">
        <f t="array" ref="M606:M607">{"SIMPLEL07";((IF("07"=(INDEX(ALLCLASSDATA,MATCH("SimpleLegendary",CLASSFEATUREHEADERS,0),MATCH($A607,CLASSNAMEHEADERS,0))),(INDEX(ALLCLASSDATA,MATCH("SimpleLegendary",CLASSFEATUREHEADERS,0),MATCH(($A607 &amp; "Points"),CLASSNAMEHEADERS,0))),(IF("07"=(INDEX(ALLCLASSDATA,MATCH("SimpleMaster",CLASSFEATUREHEADERS,0),MATCH($A607,CLASSNAMEHEADERS,0))),(INDEX(ALLCLASSDATA,MATCH("SimpleMaster",CLASSFEATUREHEADERS,0),MATCH(($A607 &amp; "Points"),CLASSNAMEHEADERS,0))),(IF("07"=(INDEX(ALLCLASSDATA,MATCH("SimpleExpert",CLASSFEATUREHEADERS,0),MATCH($A607,CLASSNAMEHEADERS,0))),(INDEX(ALLCLASSDATA,MATCH("SimpleExpert",CLASSFEATUREHEADERS,0),MATCH(($A607 &amp; "Points"),CLASSNAMEHEADERS,0))),(IF("07"=(INDEX(ALLCLASSDATA,MATCH("SimpleTrained",CLASSFEATUREHEADERS,0),MATCH($A607,CLASSNAMEHEADERS,0))),(INDEX(ALLCLASSDATA,MATCH("SimpleTrained",CLASSFEATUREHEADERS,0),MATCH(($A607 &amp; "Points"),CLASSNAMEHEADERS,0))),"")))))))))}</f>
        <v>SIMPLEL07</v>
      </c>
      <c r="N606" s="223"/>
      <c r="O606" s="223" t="str">
        <f t="array" ref="O606:O607">{"SIMPLEL09";((IF("09"=(INDEX(ALLCLASSDATA,MATCH("SimpleLegendary",CLASSFEATUREHEADERS,0),MATCH($A607,CLASSNAMEHEADERS,0))),(INDEX(ALLCLASSDATA,MATCH("SimpleLegendary",CLASSFEATUREHEADERS,0),MATCH(($A607 &amp; "Points"),CLASSNAMEHEADERS,0))),(IF("09"=(INDEX(ALLCLASSDATA,MATCH("SimpleMaster",CLASSFEATUREHEADERS,0),MATCH($A607,CLASSNAMEHEADERS,0))),(INDEX(ALLCLASSDATA,MATCH("SimpleMaster",CLASSFEATUREHEADERS,0),MATCH(($A607 &amp; "Points"),CLASSNAMEHEADERS,0))),(IF("09"=(INDEX(ALLCLASSDATA,MATCH("SimpleExpert",CLASSFEATUREHEADERS,0),MATCH($A607,CLASSNAMEHEADERS,0))),(INDEX(ALLCLASSDATA,MATCH("SimpleExpert",CLASSFEATUREHEADERS,0),MATCH(($A607 &amp; "Points"),CLASSNAMEHEADERS,0))),(IF("09"=(INDEX(ALLCLASSDATA,MATCH("SimpleTrained",CLASSFEATUREHEADERS,0),MATCH($A607,CLASSNAMEHEADERS,0))),(INDEX(ALLCLASSDATA,MATCH("SimpleTrained",CLASSFEATUREHEADERS,0),MATCH(($A607 &amp; "Points"),CLASSNAMEHEADERS,0))),"")))))))))}</f>
        <v>SIMPLEL09</v>
      </c>
      <c r="P606" s="223"/>
      <c r="Q606" s="223" t="str">
        <f t="array" ref="Q606:Q607">{"SIMPLEL11";((IF("11"=(INDEX(ALLCLASSDATA,MATCH("SimpleLegendary",CLASSFEATUREHEADERS,0),MATCH($A607,CLASSNAMEHEADERS,0))),(INDEX(ALLCLASSDATA,MATCH("SimpleLegendary",CLASSFEATUREHEADERS,0),MATCH(($A607 &amp; "Points"),CLASSNAMEHEADERS,0))),(IF("11"=(INDEX(ALLCLASSDATA,MATCH("SimpleMaster",CLASSFEATUREHEADERS,0),MATCH($A607,CLASSNAMEHEADERS,0))),(INDEX(ALLCLASSDATA,MATCH("SimpleMaster",CLASSFEATUREHEADERS,0),MATCH(($A607 &amp; "Points"),CLASSNAMEHEADERS,0))),(IF("11"=(INDEX(ALLCLASSDATA,MATCH("SimpleExpert",CLASSFEATUREHEADERS,0),MATCH($A607,CLASSNAMEHEADERS,0))),(INDEX(ALLCLASSDATA,MATCH("SimpleExpert",CLASSFEATUREHEADERS,0),MATCH(($A607 &amp; "Points"),CLASSNAMEHEADERS,0))),(IF("11"=(INDEX(ALLCLASSDATA,MATCH("SimpleTrained",CLASSFEATUREHEADERS,0),MATCH($A607,CLASSNAMEHEADERS,0))),(INDEX(ALLCLASSDATA,MATCH("SimpleTrained",CLASSFEATUREHEADERS,0),MATCH(($A607 &amp; "Points"),CLASSNAMEHEADERS,0))),"")))))))))}</f>
        <v>SIMPLEL11</v>
      </c>
      <c r="R606" s="223"/>
      <c r="S606" s="223" t="str">
        <f t="array" ref="S606:S607">{"SIMPLEL13";((IF("13"=(INDEX(ALLCLASSDATA,MATCH("SimpleLegendary",CLASSFEATUREHEADERS,0),MATCH($A607,CLASSNAMEHEADERS,0))),(INDEX(ALLCLASSDATA,MATCH("SimpleLegendary",CLASSFEATUREHEADERS,0),MATCH(($A607 &amp; "Points"),CLASSNAMEHEADERS,0))),(IF("13"=(INDEX(ALLCLASSDATA,MATCH("SimpleMaster",CLASSFEATUREHEADERS,0),MATCH($A607,CLASSNAMEHEADERS,0))),(INDEX(ALLCLASSDATA,MATCH("SimpleMaster",CLASSFEATUREHEADERS,0),MATCH(($A607 &amp; "Points"),CLASSNAMEHEADERS,0))),(IF("13"=(INDEX(ALLCLASSDATA,MATCH("SimpleExpert",CLASSFEATUREHEADERS,0),MATCH($A607,CLASSNAMEHEADERS,0))),(INDEX(ALLCLASSDATA,MATCH("SimpleExpert",CLASSFEATUREHEADERS,0),MATCH(($A607 &amp; "Points"),CLASSNAMEHEADERS,0))),(IF("13"=(INDEX(ALLCLASSDATA,MATCH("SimpleTrained",CLASSFEATUREHEADERS,0),MATCH($A607,CLASSNAMEHEADERS,0))),(INDEX(ALLCLASSDATA,MATCH("SimpleTrained",CLASSFEATUREHEADERS,0),MATCH(($A607 &amp; "Points"),CLASSNAMEHEADERS,0))),"")))))))))}</f>
        <v>SIMPLEL13</v>
      </c>
      <c r="T606" s="223"/>
      <c r="U606" s="223" t="str">
        <f t="array" ref="U606:U607">{"SIMPLEL15";((IF("15"=(INDEX(ALLCLASSDATA,MATCH("SimpleLegendary",CLASSFEATUREHEADERS,0),MATCH($A607,CLASSNAMEHEADERS,0))),(INDEX(ALLCLASSDATA,MATCH("SimpleLegendary",CLASSFEATUREHEADERS,0),MATCH(($A607 &amp; "Points"),CLASSNAMEHEADERS,0))),(IF("15"=(INDEX(ALLCLASSDATA,MATCH("SimpleMaster",CLASSFEATUREHEADERS,0),MATCH($A607,CLASSNAMEHEADERS,0))),(INDEX(ALLCLASSDATA,MATCH("SimpleMaster",CLASSFEATUREHEADERS,0),MATCH(($A607 &amp; "Points"),CLASSNAMEHEADERS,0))),(IF("15"=(INDEX(ALLCLASSDATA,MATCH("SimpleExpert",CLASSFEATUREHEADERS,0),MATCH($A607,CLASSNAMEHEADERS,0))),(INDEX(ALLCLASSDATA,MATCH("SimpleExpert",CLASSFEATUREHEADERS,0),MATCH(($A607 &amp; "Points"),CLASSNAMEHEADERS,0))),(IF("15"=(INDEX(ALLCLASSDATA,MATCH("SimpleTrained",CLASSFEATUREHEADERS,0),MATCH($A607,CLASSNAMEHEADERS,0))),(INDEX(ALLCLASSDATA,MATCH("SimpleTrained",CLASSFEATUREHEADERS,0),MATCH(($A607 &amp; "Points"),CLASSNAMEHEADERS,0))),"")))))))))}</f>
        <v>SIMPLEL15</v>
      </c>
      <c r="V606" s="223"/>
      <c r="W606" s="223" t="str">
        <f t="array" ref="W606:W607">{"SIMPLEL17";((IF("17"=(INDEX(ALLCLASSDATA,MATCH("SimpleLegendary",CLASSFEATUREHEADERS,0),MATCH($A607,CLASSNAMEHEADERS,0))),(INDEX(ALLCLASSDATA,MATCH("SimpleLegendary",CLASSFEATUREHEADERS,0),MATCH(($A607 &amp; "Points"),CLASSNAMEHEADERS,0))),(IF("17"=(INDEX(ALLCLASSDATA,MATCH("SimpleMaster",CLASSFEATUREHEADERS,0),MATCH($A607,CLASSNAMEHEADERS,0))),(INDEX(ALLCLASSDATA,MATCH("SimpleMaster",CLASSFEATUREHEADERS,0),MATCH(($A607 &amp; "Points"),CLASSNAMEHEADERS,0))),(IF("17"=(INDEX(ALLCLASSDATA,MATCH("SimpleExpert",CLASSFEATUREHEADERS,0),MATCH($A607,CLASSNAMEHEADERS,0))),(INDEX(ALLCLASSDATA,MATCH("SimpleExpert",CLASSFEATUREHEADERS,0),MATCH(($A607 &amp; "Points"),CLASSNAMEHEADERS,0))),(IF("17"=(INDEX(ALLCLASSDATA,MATCH("SimpleTrained",CLASSFEATUREHEADERS,0),MATCH($A607,CLASSNAMEHEADERS,0))),(INDEX(ALLCLASSDATA,MATCH("SimpleTrained",CLASSFEATUREHEADERS,0),MATCH(($A607 &amp; "Points"),CLASSNAMEHEADERS,0))),"")))))))))}</f>
        <v>SIMPLEL17</v>
      </c>
      <c r="X606" s="223"/>
      <c r="Y606" s="223" t="str">
        <f t="array" ref="Y606:Y607">{"SIMPLEL19";((IF("19"=(INDEX(ALLCLASSDATA,MATCH("SimpleLegendary",CLASSFEATUREHEADERS,0),MATCH($A607,CLASSNAMEHEADERS,0))),(INDEX(ALLCLASSDATA,MATCH("SimpleLegendary",CLASSFEATUREHEADERS,0),MATCH(($A607 &amp; "Points"),CLASSNAMEHEADERS,0))),(IF("19"=(INDEX(ALLCLASSDATA,MATCH("SimpleMaster",CLASSFEATUREHEADERS,0),MATCH($A607,CLASSNAMEHEADERS,0))),(INDEX(ALLCLASSDATA,MATCH("SimpleMaster",CLASSFEATUREHEADERS,0),MATCH(($A607 &amp; "Points"),CLASSNAMEHEADERS,0))),(IF("19"=(INDEX(ALLCLASSDATA,MATCH("SimpleExpert",CLASSFEATUREHEADERS,0),MATCH($A607,CLASSNAMEHEADERS,0))),(INDEX(ALLCLASSDATA,MATCH("SimpleExpert",CLASSFEATUREHEADERS,0),MATCH(($A607 &amp; "Points"),CLASSNAMEHEADERS,0))),(IF("19"=(INDEX(ALLCLASSDATA,MATCH("SimpleTrained",CLASSFEATUREHEADERS,0),MATCH($A607,CLASSNAMEHEADERS,0))),(INDEX(ALLCLASSDATA,MATCH("SimpleTrained",CLASSFEATUREHEADERS,0),MATCH(($A607 &amp; "Points"),CLASSNAMEHEADERS,0))),"")))))))))}</f>
        <v>SIMPLEL19</v>
      </c>
      <c r="Z606" s="223"/>
      <c r="AA606" s="76" t="str">
        <f t="array" ref="AA606:AA607">{"SIMPLE TOTAL";(IF(COUNTBLANK(F607:Z607)=17,"L",(IF(COUNTBLANK(F607:Z607)=18,"M",(IF(COUNTBLANK(F607:Z607)=19,"E",(IF(COUNTBLANK(F607:Z607)=20,"T",""))))))))}</f>
        <v>SIMPLE TOTAL</v>
      </c>
      <c r="AB606" s="76" t="str">
        <f t="array" ref="AB606:AB607">{"SIMPLE TOTAL";(sum(F607:Z607))}</f>
        <v>SIMPLE TOTAL</v>
      </c>
    </row>
    <row r="607">
      <c r="A607" s="48" t="s">
        <v>221</v>
      </c>
      <c r="B607" s="48" t="s">
        <v>418</v>
      </c>
      <c r="C607" s="48" t="s">
        <v>1634</v>
      </c>
      <c r="D607" s="48" t="s">
        <v>68</v>
      </c>
      <c r="E607" s="5" t="s">
        <v>435</v>
      </c>
      <c r="F607" s="47" t="s">
        <v>603</v>
      </c>
      <c r="G607" s="5">
        <v>10.0</v>
      </c>
      <c r="H607" s="5"/>
      <c r="I607" s="5" t="s">
        <v>603</v>
      </c>
      <c r="J607" s="5"/>
      <c r="K607" s="5" t="s">
        <v>603</v>
      </c>
      <c r="L607" s="5"/>
      <c r="M607" s="5" t="s">
        <v>603</v>
      </c>
      <c r="N607" s="5"/>
      <c r="O607" s="5" t="s">
        <v>603</v>
      </c>
      <c r="P607" s="5"/>
      <c r="Q607" s="5" t="s">
        <v>436</v>
      </c>
      <c r="R607" s="5"/>
      <c r="S607" s="5" t="s">
        <v>603</v>
      </c>
      <c r="T607" s="5"/>
      <c r="U607" s="5" t="s">
        <v>603</v>
      </c>
      <c r="V607" s="5"/>
      <c r="W607" s="5" t="s">
        <v>603</v>
      </c>
      <c r="X607" s="5"/>
      <c r="Y607" s="5" t="s">
        <v>603</v>
      </c>
      <c r="Z607" s="5"/>
      <c r="AA607" s="5" t="s">
        <v>436</v>
      </c>
      <c r="AB607" s="47">
        <v>10.0</v>
      </c>
    </row>
    <row r="608" hidden="1">
      <c r="A608" s="222" t="str">
        <f t="array" ref="A608:A609">{"FormulaRow30";(INDEX(CLASSLIST,A549,1))}</f>
        <v>FormulaRow30</v>
      </c>
      <c r="B608" s="222" t="str">
        <f t="array" ref="B608:B609">{"CLASSTYPE";((INDEX(ALLCLASSDATA,MATCH("ClassType",CLASSFEATUREHEADERS,0),MATCH($A609,CLASSNAMEHEADERS,0))))}</f>
        <v>CLASSTYPE</v>
      </c>
      <c r="C608" s="222" t="str">
        <f t="array" ref="C608:C609">{"ATTACK";"Attack"}</f>
        <v>ATTACK</v>
      </c>
      <c r="D608" s="222" t="str">
        <f t="array" ref="D608:D609">{"MARTIALLIMITED";"MartialLimited"}</f>
        <v>MARTIALLIMITED</v>
      </c>
      <c r="E608" s="223" t="str">
        <f t="array" ref="E608:E609">{"MARTIALLIMITEDINITIAL";((IF(G609=10,"T",(IF(G609=50,"E","")))))}</f>
        <v>MARTIALLIMITEDINITIAL</v>
      </c>
      <c r="F608" s="223" t="str">
        <f t="array" ref="F608:F609">{"MARTIALLIMITEDINITIALPTS";((IF("00"=(INDEX(ALLCLASSDATA,MATCH("MartialLimitedLegendary",CLASSFEATUREHEADERS,0),MATCH($A609,CLASSNAMEHEADERS,0))),(INDEX(ALLCLASSDATA,MATCH("MartialLimitedLegendary",CLASSFEATUREHEADERS,0),MATCH(($A609 &amp; "Points"),CLASSNAMEHEADERS,0))),(IF("00"=(INDEX(ALLCLASSDATA,MATCH("MartialLimitedMaster",CLASSFEATUREHEADERS,0),MATCH($A609,CLASSNAMEHEADERS,0))),(INDEX(ALLCLASSDATA,MATCH("MartialLimitedMaster",CLASSFEATUREHEADERS,0),MATCH(($A609 &amp; "Points"),CLASSNAMEHEADERS,0))),(IF("00"=(INDEX(ALLCLASSDATA,MATCH("MartialLimitedExpert",CLASSFEATUREHEADERS,0),MATCH($A609,CLASSNAMEHEADERS,0))),(INDEX(ALLCLASSDATA,MATCH("MartialLimitedExpert",CLASSFEATUREHEADERS,0),MATCH(($A609 &amp; "Points"),CLASSNAMEHEADERS,0))),(IF("00"=(INDEX(ALLCLASSDATA,MATCH("MartialLimitedTrained",CLASSFEATUREHEADERS,0),MATCH($A609,CLASSNAMEHEADERS,0))),(INDEX(ALLCLASSDATA,MATCH("MartialLimitedTrained",CLASSFEATUREHEADERS,0),MATCH(($A609 &amp; "Points"),CLASSNAMEHEADERS,0))),"")))))))))}</f>
        <v>MARTIALLIMITEDINITIALPTS</v>
      </c>
      <c r="G608" s="223" t="str">
        <f t="array" ref="G608:G609">{"MARTIALLIMITEDL01";((IF("01"=(INDEX(ALLCLASSDATA,MATCH("MartialLimitedLegendary",CLASSFEATUREHEADERS,0),MATCH($A609,CLASSNAMEHEADERS,0))),(INDEX(ALLCLASSDATA,MATCH("MartialLimitedLegendary",CLASSFEATUREHEADERS,0),MATCH(($A609 &amp; "Points"),CLASSNAMEHEADERS,0))),(IF("01"=(INDEX(ALLCLASSDATA,MATCH("MartialLimitedMaster",CLASSFEATUREHEADERS,0),MATCH($A609,CLASSNAMEHEADERS,0))),(INDEX(ALLCLASSDATA,MATCH("MartialLimitedMaster",CLASSFEATUREHEADERS,0),MATCH(($A609 &amp; "Points"),CLASSNAMEHEADERS,0))),(IF("01"=(INDEX(ALLCLASSDATA,MATCH("MartialLimitedExpert",CLASSFEATUREHEADERS,0),MATCH($A609,CLASSNAMEHEADERS,0))),(INDEX(ALLCLASSDATA,MATCH("MartialLimitedExpert",CLASSFEATUREHEADERS,0),MATCH(($A609 &amp; "Points"),CLASSNAMEHEADERS,0))),(IF("01"=(INDEX(ALLCLASSDATA,MATCH("MartialLimitedTrained",CLASSFEATUREHEADERS,0),MATCH($A609,CLASSNAMEHEADERS,0))),(INDEX(ALLCLASSDATA,MATCH("MartialLimitedTrained",CLASSFEATUREHEADERS,0),MATCH(($A609 &amp; "Points"),CLASSNAMEHEADERS,0))),"")))))))))}</f>
        <v>MARTIALLIMITEDL01</v>
      </c>
      <c r="H608" s="223"/>
      <c r="I608" s="223" t="str">
        <f t="array" ref="I608:I609">{"MARTIALLIMITEDL03";((IF("03"=(INDEX(ALLCLASSDATA,MATCH("MartialLimitedLegendary",CLASSFEATUREHEADERS,0),MATCH($A609,CLASSNAMEHEADERS,0))),(INDEX(ALLCLASSDATA,MATCH("MartialLimitedLegendary",CLASSFEATUREHEADERS,0),MATCH(($A609 &amp; "Points"),CLASSNAMEHEADERS,0))),(IF("03"=(INDEX(ALLCLASSDATA,MATCH("MartialLimitedMaster",CLASSFEATUREHEADERS,0),MATCH($A609,CLASSNAMEHEADERS,0))),(INDEX(ALLCLASSDATA,MATCH("MartialLimitedMaster",CLASSFEATUREHEADERS,0),MATCH(($A609 &amp; "Points"),CLASSNAMEHEADERS,0))),(IF("03"=(INDEX(ALLCLASSDATA,MATCH("MartialLimitedExpert",CLASSFEATUREHEADERS,0),MATCH($A609,CLASSNAMEHEADERS,0))),(INDEX(ALLCLASSDATA,MATCH("MartialLimitedExpert",CLASSFEATUREHEADERS,0),MATCH(($A609 &amp; "Points"),CLASSNAMEHEADERS,0))),(IF("03"=(INDEX(ALLCLASSDATA,MATCH("MartialLimitedTrained",CLASSFEATUREHEADERS,0),MATCH($A609,CLASSNAMEHEADERS,0))),(INDEX(ALLCLASSDATA,MATCH("MartialLimitedTrained",CLASSFEATUREHEADERS,0),MATCH(($A609 &amp; "Points"),CLASSNAMEHEADERS,0))),"")))))))))}</f>
        <v>MARTIALLIMITEDL03</v>
      </c>
      <c r="J608" s="223"/>
      <c r="K608" s="223" t="str">
        <f t="array" ref="K608:K609">{"MARTIALLIMITEDL05";((IF("05"=(INDEX(ALLCLASSDATA,MATCH("MartialLimitedLegendary",CLASSFEATUREHEADERS,0),MATCH($A609,CLASSNAMEHEADERS,0))),(INDEX(ALLCLASSDATA,MATCH("MartialLimitedLegendary",CLASSFEATUREHEADERS,0),MATCH(($A609 &amp; "Points"),CLASSNAMEHEADERS,0))),(IF("05"=(INDEX(ALLCLASSDATA,MATCH("MartialLimitedMaster",CLASSFEATUREHEADERS,0),MATCH($A609,CLASSNAMEHEADERS,0))),(INDEX(ALLCLASSDATA,MATCH("MartialLimitedMaster",CLASSFEATUREHEADERS,0),MATCH(($A609 &amp; "Points"),CLASSNAMEHEADERS,0))),(IF("05"=(INDEX(ALLCLASSDATA,MATCH("MartialLimitedExpert",CLASSFEATUREHEADERS,0),MATCH($A609,CLASSNAMEHEADERS,0))),(INDEX(ALLCLASSDATA,MATCH("MartialLimitedExpert",CLASSFEATUREHEADERS,0),MATCH(($A609 &amp; "Points"),CLASSNAMEHEADERS,0))),(IF("05"=(INDEX(ALLCLASSDATA,MATCH("MartialLimitedTrained",CLASSFEATUREHEADERS,0),MATCH($A609,CLASSNAMEHEADERS,0))),(INDEX(ALLCLASSDATA,MATCH("MartialLimitedTrained",CLASSFEATUREHEADERS,0),MATCH(($A609 &amp; "Points"),CLASSNAMEHEADERS,0))),"")))))))))}</f>
        <v>MARTIALLIMITEDL05</v>
      </c>
      <c r="L608" s="223"/>
      <c r="M608" s="223" t="str">
        <f t="array" ref="M608:M609">{"MARTIALLIMITEDL07";((IF("07"=(INDEX(ALLCLASSDATA,MATCH("MartialLimitedLegendary",CLASSFEATUREHEADERS,0),MATCH($A609,CLASSNAMEHEADERS,0))),(INDEX(ALLCLASSDATA,MATCH("MartialLimitedLegendary",CLASSFEATUREHEADERS,0),MATCH(($A609 &amp; "Points"),CLASSNAMEHEADERS,0))),(IF("07"=(INDEX(ALLCLASSDATA,MATCH("MartialLimitedMaster",CLASSFEATUREHEADERS,0),MATCH($A609,CLASSNAMEHEADERS,0))),(INDEX(ALLCLASSDATA,MATCH("MartialLimitedMaster",CLASSFEATUREHEADERS,0),MATCH(($A609 &amp; "Points"),CLASSNAMEHEADERS,0))),(IF("07"=(INDEX(ALLCLASSDATA,MATCH("MartialLimitedExpert",CLASSFEATUREHEADERS,0),MATCH($A609,CLASSNAMEHEADERS,0))),(INDEX(ALLCLASSDATA,MATCH("MartialLimitedExpert",CLASSFEATUREHEADERS,0),MATCH(($A609 &amp; "Points"),CLASSNAMEHEADERS,0))),(IF("07"=(INDEX(ALLCLASSDATA,MATCH("MartialLimitedTrained",CLASSFEATUREHEADERS,0),MATCH($A609,CLASSNAMEHEADERS,0))),(INDEX(ALLCLASSDATA,MATCH("MartialLimitedTrained",CLASSFEATUREHEADERS,0),MATCH(($A609 &amp; "Points"),CLASSNAMEHEADERS,0))),"")))))))))}</f>
        <v>MARTIALLIMITEDL07</v>
      </c>
      <c r="N608" s="223"/>
      <c r="O608" s="223" t="str">
        <f t="array" ref="O608:O609">{"MARTIALLIMITEDL09";((IF("09"=(INDEX(ALLCLASSDATA,MATCH("MartialLimitedLegendary",CLASSFEATUREHEADERS,0),MATCH($A609,CLASSNAMEHEADERS,0))),(INDEX(ALLCLASSDATA,MATCH("MartialLimitedLegendary",CLASSFEATUREHEADERS,0),MATCH(($A609 &amp; "Points"),CLASSNAMEHEADERS,0))),(IF("09"=(INDEX(ALLCLASSDATA,MATCH("MartialLimitedMaster",CLASSFEATUREHEADERS,0),MATCH($A609,CLASSNAMEHEADERS,0))),(INDEX(ALLCLASSDATA,MATCH("MartialLimitedMaster",CLASSFEATUREHEADERS,0),MATCH(($A609 &amp; "Points"),CLASSNAMEHEADERS,0))),(IF("09"=(INDEX(ALLCLASSDATA,MATCH("MartialLimitedExpert",CLASSFEATUREHEADERS,0),MATCH($A609,CLASSNAMEHEADERS,0))),(INDEX(ALLCLASSDATA,MATCH("MartialLimitedExpert",CLASSFEATUREHEADERS,0),MATCH(($A609 &amp; "Points"),CLASSNAMEHEADERS,0))),(IF("09"=(INDEX(ALLCLASSDATA,MATCH("MartialLimitedTrained",CLASSFEATUREHEADERS,0),MATCH($A609,CLASSNAMEHEADERS,0))),(INDEX(ALLCLASSDATA,MATCH("MartialLimitedTrained",CLASSFEATUREHEADERS,0),MATCH(($A609 &amp; "Points"),CLASSNAMEHEADERS,0))),"")))))))))}</f>
        <v>MARTIALLIMITEDL09</v>
      </c>
      <c r="P608" s="223"/>
      <c r="Q608" s="223" t="str">
        <f t="array" ref="Q608:Q609">{"MARTIALLIMITEDL11";((IF("11"=(INDEX(ALLCLASSDATA,MATCH("MartialLimitedLegendary",CLASSFEATUREHEADERS,0),MATCH($A609,CLASSNAMEHEADERS,0))),(INDEX(ALLCLASSDATA,MATCH("MartialLimitedLegendary",CLASSFEATUREHEADERS,0),MATCH(($A609 &amp; "Points"),CLASSNAMEHEADERS,0))),(IF("11"=(INDEX(ALLCLASSDATA,MATCH("MartialLimitedMaster",CLASSFEATUREHEADERS,0),MATCH($A609,CLASSNAMEHEADERS,0))),(INDEX(ALLCLASSDATA,MATCH("MartialLimitedMaster",CLASSFEATUREHEADERS,0),MATCH(($A609 &amp; "Points"),CLASSNAMEHEADERS,0))),(IF("11"=(INDEX(ALLCLASSDATA,MATCH("MartialLimitedExpert",CLASSFEATUREHEADERS,0),MATCH($A609,CLASSNAMEHEADERS,0))),(INDEX(ALLCLASSDATA,MATCH("MartialLimitedExpert",CLASSFEATUREHEADERS,0),MATCH(($A609 &amp; "Points"),CLASSNAMEHEADERS,0))),(IF("11"=(INDEX(ALLCLASSDATA,MATCH("MartialLimitedTrained",CLASSFEATUREHEADERS,0),MATCH($A609,CLASSNAMEHEADERS,0))),(INDEX(ALLCLASSDATA,MATCH("MartialLimitedTrained",CLASSFEATUREHEADERS,0),MATCH(($A609 &amp; "Points"),CLASSNAMEHEADERS,0))),"")))))))))}</f>
        <v>MARTIALLIMITEDL11</v>
      </c>
      <c r="R608" s="223"/>
      <c r="S608" s="223" t="str">
        <f t="array" ref="S608:S609">{"MARTIALLIMITEDL13";((IF("13"=(INDEX(ALLCLASSDATA,MATCH("MartialLimitedLegendary",CLASSFEATUREHEADERS,0),MATCH($A609,CLASSNAMEHEADERS,0))),(INDEX(ALLCLASSDATA,MATCH("MartialLimitedLegendary",CLASSFEATUREHEADERS,0),MATCH(($A609 &amp; "Points"),CLASSNAMEHEADERS,0))),(IF("13"=(INDEX(ALLCLASSDATA,MATCH("MartialLimitedMaster",CLASSFEATUREHEADERS,0),MATCH($A609,CLASSNAMEHEADERS,0))),(INDEX(ALLCLASSDATA,MATCH("MartialLimitedMaster",CLASSFEATUREHEADERS,0),MATCH(($A609 &amp; "Points"),CLASSNAMEHEADERS,0))),(IF("13"=(INDEX(ALLCLASSDATA,MATCH("MartialLimitedExpert",CLASSFEATUREHEADERS,0),MATCH($A609,CLASSNAMEHEADERS,0))),(INDEX(ALLCLASSDATA,MATCH("MartialLimitedExpert",CLASSFEATUREHEADERS,0),MATCH(($A609 &amp; "Points"),CLASSNAMEHEADERS,0))),(IF("13"=(INDEX(ALLCLASSDATA,MATCH("MartialLimitedTrained",CLASSFEATUREHEADERS,0),MATCH($A609,CLASSNAMEHEADERS,0))),(INDEX(ALLCLASSDATA,MATCH("MartialLimitedTrained",CLASSFEATUREHEADERS,0),MATCH(($A609 &amp; "Points"),CLASSNAMEHEADERS,0))),"")))))))))}</f>
        <v>MARTIALLIMITEDL13</v>
      </c>
      <c r="T608" s="223"/>
      <c r="U608" s="223" t="str">
        <f t="array" ref="U608:U609">{"MARTIALLIMITEDL15";((IF("15"=(INDEX(ALLCLASSDATA,MATCH("MartialLimitedLegendary",CLASSFEATUREHEADERS,0),MATCH($A609,CLASSNAMEHEADERS,0))),(INDEX(ALLCLASSDATA,MATCH("MartialLimitedLegendary",CLASSFEATUREHEADERS,0),MATCH(($A609 &amp; "Points"),CLASSNAMEHEADERS,0))),(IF("15"=(INDEX(ALLCLASSDATA,MATCH("MartialLimitedMaster",CLASSFEATUREHEADERS,0),MATCH($A609,CLASSNAMEHEADERS,0))),(INDEX(ALLCLASSDATA,MATCH("MartialLimitedMaster",CLASSFEATUREHEADERS,0),MATCH(($A609 &amp; "Points"),CLASSNAMEHEADERS,0))),(IF("15"=(INDEX(ALLCLASSDATA,MATCH("MartialLimitedExpert",CLASSFEATUREHEADERS,0),MATCH($A609,CLASSNAMEHEADERS,0))),(INDEX(ALLCLASSDATA,MATCH("MartialLimitedExpert",CLASSFEATUREHEADERS,0),MATCH(($A609 &amp; "Points"),CLASSNAMEHEADERS,0))),(IF("15"=(INDEX(ALLCLASSDATA,MATCH("MartialLimitedTrained",CLASSFEATUREHEADERS,0),MATCH($A609,CLASSNAMEHEADERS,0))),(INDEX(ALLCLASSDATA,MATCH("MartialLimitedTrained",CLASSFEATUREHEADERS,0),MATCH(($A609 &amp; "Points"),CLASSNAMEHEADERS,0))),"")))))))))}</f>
        <v>MARTIALLIMITEDL15</v>
      </c>
      <c r="V608" s="223"/>
      <c r="W608" s="223" t="str">
        <f t="array" ref="W608:W609">{"MARTIALLIMITEDL17";((IF("17"=(INDEX(ALLCLASSDATA,MATCH("MartialLimitedLegendary",CLASSFEATUREHEADERS,0),MATCH($A609,CLASSNAMEHEADERS,0))),(INDEX(ALLCLASSDATA,MATCH("MartialLimitedLegendary",CLASSFEATUREHEADERS,0),MATCH(($A609 &amp; "Points"),CLASSNAMEHEADERS,0))),(IF("17"=(INDEX(ALLCLASSDATA,MATCH("MartialLimitedMaster",CLASSFEATUREHEADERS,0),MATCH($A609,CLASSNAMEHEADERS,0))),(INDEX(ALLCLASSDATA,MATCH("MartialLimitedMaster",CLASSFEATUREHEADERS,0),MATCH(($A609 &amp; "Points"),CLASSNAMEHEADERS,0))),(IF("17"=(INDEX(ALLCLASSDATA,MATCH("MartialLimitedExpert",CLASSFEATUREHEADERS,0),MATCH($A609,CLASSNAMEHEADERS,0))),(INDEX(ALLCLASSDATA,MATCH("MartialLimitedExpert",CLASSFEATUREHEADERS,0),MATCH(($A609 &amp; "Points"),CLASSNAMEHEADERS,0))),(IF("17"=(INDEX(ALLCLASSDATA,MATCH("MartialLimitedTrained",CLASSFEATUREHEADERS,0),MATCH($A609,CLASSNAMEHEADERS,0))),(INDEX(ALLCLASSDATA,MATCH("MartialLimitedTrained",CLASSFEATUREHEADERS,0),MATCH(($A609 &amp; "Points"),CLASSNAMEHEADERS,0))),"")))))))))}</f>
        <v>MARTIALLIMITEDL17</v>
      </c>
      <c r="X608" s="223"/>
      <c r="Y608" s="223" t="str">
        <f t="array" ref="Y608:Y609">{"MARTIALLIMITEDL19";((IF("19"=(INDEX(ALLCLASSDATA,MATCH("MartialLimitedLegendary",CLASSFEATUREHEADERS,0),MATCH($A609,CLASSNAMEHEADERS,0))),(INDEX(ALLCLASSDATA,MATCH("MartialLimitedLegendary",CLASSFEATUREHEADERS,0),MATCH(($A609 &amp; "Points"),CLASSNAMEHEADERS,0))),(IF("19"=(INDEX(ALLCLASSDATA,MATCH("MartialLimitedMaster",CLASSFEATUREHEADERS,0),MATCH($A609,CLASSNAMEHEADERS,0))),(INDEX(ALLCLASSDATA,MATCH("MartialLimitedMaster",CLASSFEATUREHEADERS,0),MATCH(($A609 &amp; "Points"),CLASSNAMEHEADERS,0))),(IF("19"=(INDEX(ALLCLASSDATA,MATCH("MartialLimitedExpert",CLASSFEATUREHEADERS,0),MATCH($A609,CLASSNAMEHEADERS,0))),(INDEX(ALLCLASSDATA,MATCH("MartialLimitedExpert",CLASSFEATUREHEADERS,0),MATCH(($A609 &amp; "Points"),CLASSNAMEHEADERS,0))),(IF("19"=(INDEX(ALLCLASSDATA,MATCH("MartialLimitedTrained",CLASSFEATUREHEADERS,0),MATCH($A609,CLASSNAMEHEADERS,0))),(INDEX(ALLCLASSDATA,MATCH("MartialLimitedTrained",CLASSFEATUREHEADERS,0),MATCH(($A609 &amp; "Points"),CLASSNAMEHEADERS,0))),"")))))))))}</f>
        <v>MARTIALLIMITEDL19</v>
      </c>
      <c r="Z608" s="223"/>
      <c r="AA608" s="76" t="str">
        <f t="array" ref="AA608:AA609">{"MARTIALLIMITED TOTAL";(IF(COUNTBLANK(F609:Z609)=17,"L",(IF(COUNTBLANK(F609:Z609)=18,"M",(IF(COUNTBLANK(F609:Z609)=19,"E",(IF(COUNTBLANK(F609:Z609)=20,"T",""))))))))}</f>
        <v>MARTIALLIMITED TOTAL</v>
      </c>
      <c r="AB608" s="76" t="str">
        <f t="array" ref="AB608:AB609">{"MARTIALLIMITED TOTAL";(sum(F609:Z609))}</f>
        <v>MARTIALLIMITED TOTAL</v>
      </c>
    </row>
    <row r="609">
      <c r="A609" s="48" t="s">
        <v>221</v>
      </c>
      <c r="B609" s="48" t="s">
        <v>418</v>
      </c>
      <c r="C609" s="48" t="s">
        <v>1634</v>
      </c>
      <c r="D609" s="48" t="s">
        <v>600</v>
      </c>
      <c r="E609" s="5" t="s">
        <v>435</v>
      </c>
      <c r="F609" s="47" t="s">
        <v>603</v>
      </c>
      <c r="G609" s="5">
        <v>10.0</v>
      </c>
      <c r="H609" s="5"/>
      <c r="I609" s="5" t="s">
        <v>603</v>
      </c>
      <c r="J609" s="5"/>
      <c r="K609" s="5" t="s">
        <v>603</v>
      </c>
      <c r="L609" s="5"/>
      <c r="M609" s="5" t="s">
        <v>603</v>
      </c>
      <c r="N609" s="5"/>
      <c r="O609" s="5" t="s">
        <v>603</v>
      </c>
      <c r="P609" s="5"/>
      <c r="Q609" s="5">
        <v>50.0</v>
      </c>
      <c r="R609" s="5"/>
      <c r="S609" s="5" t="s">
        <v>603</v>
      </c>
      <c r="T609" s="5"/>
      <c r="U609" s="5" t="s">
        <v>603</v>
      </c>
      <c r="V609" s="5"/>
      <c r="W609" s="5" t="s">
        <v>603</v>
      </c>
      <c r="X609" s="5"/>
      <c r="Y609" s="5" t="s">
        <v>603</v>
      </c>
      <c r="Z609" s="5"/>
      <c r="AA609" s="5" t="s">
        <v>436</v>
      </c>
      <c r="AB609" s="47">
        <v>60.0</v>
      </c>
    </row>
    <row r="610" hidden="1">
      <c r="A610" s="222" t="str">
        <f t="array" ref="A610:A611">{"FormulaRow31";(INDEX(CLASSLIST,A549,1))}</f>
        <v>FormulaRow31</v>
      </c>
      <c r="B610" s="222" t="str">
        <f t="array" ref="B610:B611">{"CLASSTYPE";((INDEX(ALLCLASSDATA,MATCH("ClassType",CLASSFEATUREHEADERS,0),MATCH($A611,CLASSNAMEHEADERS,0))))}</f>
        <v>CLASSTYPE</v>
      </c>
      <c r="C610" s="222" t="str">
        <f t="array" ref="C610:C611">{"ATTACK";"Attack"}</f>
        <v>ATTACK</v>
      </c>
      <c r="D610" s="222" t="str">
        <f t="array" ref="D610:D611">{"MARTIAL";"Martial"}</f>
        <v>MARTIAL</v>
      </c>
      <c r="E610" s="223" t="str">
        <f t="array" ref="E610:E611">{"MARTIALINITIAL";((IF(G611=10,"T",(IF(G611=50,"E","")))))}</f>
        <v>MARTIALINITIAL</v>
      </c>
      <c r="F610" s="223" t="str">
        <f t="array" ref="F610:F611">{"MARTIALINITIALPTS";((IF("00"=(INDEX(ALLCLASSDATA,MATCH("MartialLegendary",CLASSFEATUREHEADERS,0),MATCH($A611,CLASSNAMEHEADERS,0))),(INDEX(ALLCLASSDATA,MATCH("MartialLegendary",CLASSFEATUREHEADERS,0),MATCH(($A611 &amp; "Points"),CLASSNAMEHEADERS,0))),(IF("00"=(INDEX(ALLCLASSDATA,MATCH("MartialMaster",CLASSFEATUREHEADERS,0),MATCH($A611,CLASSNAMEHEADERS,0))),(INDEX(ALLCLASSDATA,MATCH("MartialMaster",CLASSFEATUREHEADERS,0),MATCH(($A611 &amp; "Points"),CLASSNAMEHEADERS,0))),(IF("00"=(INDEX(ALLCLASSDATA,MATCH("MartialExpert",CLASSFEATUREHEADERS,0),MATCH($A611,CLASSNAMEHEADERS,0))),(INDEX(ALLCLASSDATA,MATCH("MartialExpert",CLASSFEATUREHEADERS,0),MATCH(($A611 &amp; "Points"),CLASSNAMEHEADERS,0))),(IF("00"=(INDEX(ALLCLASSDATA,MATCH("MartialTrained",CLASSFEATUREHEADERS,0),MATCH($A611,CLASSNAMEHEADERS,0))),(INDEX(ALLCLASSDATA,MATCH("MartialTrained",CLASSFEATUREHEADERS,0),MATCH(($A611 &amp; "Points"),CLASSNAMEHEADERS,0))),"")))))))))}</f>
        <v>MARTIALINITIALPTS</v>
      </c>
      <c r="G610" s="223" t="str">
        <f t="array" ref="G610:G611">{"MARTIALL01";((IF("01"=(INDEX(ALLCLASSDATA,MATCH("MartialLegendary",CLASSFEATUREHEADERS,0),MATCH($A611,CLASSNAMEHEADERS,0))),(INDEX(ALLCLASSDATA,MATCH("MartialLegendary",CLASSFEATUREHEADERS,0),MATCH(($A611 &amp; "Points"),CLASSNAMEHEADERS,0))),(IF("01"=(INDEX(ALLCLASSDATA,MATCH("MartialMaster",CLASSFEATUREHEADERS,0),MATCH($A611,CLASSNAMEHEADERS,0))),(INDEX(ALLCLASSDATA,MATCH("MartialMaster",CLASSFEATUREHEADERS,0),MATCH(($A611 &amp; "Points"),CLASSNAMEHEADERS,0))),(IF("01"=(INDEX(ALLCLASSDATA,MATCH("MartialExpert",CLASSFEATUREHEADERS,0),MATCH($A611,CLASSNAMEHEADERS,0))),(INDEX(ALLCLASSDATA,MATCH("MartialExpert",CLASSFEATUREHEADERS,0),MATCH(($A611 &amp; "Points"),CLASSNAMEHEADERS,0))),(IF("01"=(INDEX(ALLCLASSDATA,MATCH("MartialTrained",CLASSFEATUREHEADERS,0),MATCH($A611,CLASSNAMEHEADERS,0))),(INDEX(ALLCLASSDATA,MATCH("MartialTrained",CLASSFEATUREHEADERS,0),MATCH(($A611 &amp; "Points"),CLASSNAMEHEADERS,0))),"")))))))))}</f>
        <v>MARTIALL01</v>
      </c>
      <c r="H610" s="223"/>
      <c r="I610" s="223" t="str">
        <f t="array" ref="I610:I611">{"MARTIALL03";((IF("03"=(INDEX(ALLCLASSDATA,MATCH("MartialLegendary",CLASSFEATUREHEADERS,0),MATCH($A611,CLASSNAMEHEADERS,0))),(INDEX(ALLCLASSDATA,MATCH("MartialLegendary",CLASSFEATUREHEADERS,0),MATCH(($A611 &amp; "Points"),CLASSNAMEHEADERS,0))),(IF("03"=(INDEX(ALLCLASSDATA,MATCH("MartialMaster",CLASSFEATUREHEADERS,0),MATCH($A611,CLASSNAMEHEADERS,0))),(INDEX(ALLCLASSDATA,MATCH("MartialMaster",CLASSFEATUREHEADERS,0),MATCH(($A611 &amp; "Points"),CLASSNAMEHEADERS,0))),(IF("03"=(INDEX(ALLCLASSDATA,MATCH("MartialExpert",CLASSFEATUREHEADERS,0),MATCH($A611,CLASSNAMEHEADERS,0))),(INDEX(ALLCLASSDATA,MATCH("MartialExpert",CLASSFEATUREHEADERS,0),MATCH(($A611 &amp; "Points"),CLASSNAMEHEADERS,0))),(IF("03"=(INDEX(ALLCLASSDATA,MATCH("MartialTrained",CLASSFEATUREHEADERS,0),MATCH($A611,CLASSNAMEHEADERS,0))),(INDEX(ALLCLASSDATA,MATCH("MartialTrained",CLASSFEATUREHEADERS,0),MATCH(($A611 &amp; "Points"),CLASSNAMEHEADERS,0))),"")))))))))}</f>
        <v>MARTIALL03</v>
      </c>
      <c r="J610" s="223"/>
      <c r="K610" s="223" t="str">
        <f t="array" ref="K610:K611">{"MARTIALL05";((IF("05"=(INDEX(ALLCLASSDATA,MATCH("MartialLegendary",CLASSFEATUREHEADERS,0),MATCH($A611,CLASSNAMEHEADERS,0))),(INDEX(ALLCLASSDATA,MATCH("MartialLegendary",CLASSFEATUREHEADERS,0),MATCH(($A611 &amp; "Points"),CLASSNAMEHEADERS,0))),(IF("05"=(INDEX(ALLCLASSDATA,MATCH("MartialMaster",CLASSFEATUREHEADERS,0),MATCH($A611,CLASSNAMEHEADERS,0))),(INDEX(ALLCLASSDATA,MATCH("MartialMaster",CLASSFEATUREHEADERS,0),MATCH(($A611 &amp; "Points"),CLASSNAMEHEADERS,0))),(IF("05"=(INDEX(ALLCLASSDATA,MATCH("MartialExpert",CLASSFEATUREHEADERS,0),MATCH($A611,CLASSNAMEHEADERS,0))),(INDEX(ALLCLASSDATA,MATCH("MartialExpert",CLASSFEATUREHEADERS,0),MATCH(($A611 &amp; "Points"),CLASSNAMEHEADERS,0))),(IF("05"=(INDEX(ALLCLASSDATA,MATCH("MartialTrained",CLASSFEATUREHEADERS,0),MATCH($A611,CLASSNAMEHEADERS,0))),(INDEX(ALLCLASSDATA,MATCH("MartialTrained",CLASSFEATUREHEADERS,0),MATCH(($A611 &amp; "Points"),CLASSNAMEHEADERS,0))),"")))))))))}</f>
        <v>MARTIALL05</v>
      </c>
      <c r="L610" s="223"/>
      <c r="M610" s="223" t="str">
        <f t="array" ref="M610:M611">{"MARTIALL07";((IF("07"=(INDEX(ALLCLASSDATA,MATCH("MartialLegendary",CLASSFEATUREHEADERS,0),MATCH($A611,CLASSNAMEHEADERS,0))),(INDEX(ALLCLASSDATA,MATCH("MartialLegendary",CLASSFEATUREHEADERS,0),MATCH(($A611 &amp; "Points"),CLASSNAMEHEADERS,0))),(IF("07"=(INDEX(ALLCLASSDATA,MATCH("MartialMaster",CLASSFEATUREHEADERS,0),MATCH($A611,CLASSNAMEHEADERS,0))),(INDEX(ALLCLASSDATA,MATCH("MartialMaster",CLASSFEATUREHEADERS,0),MATCH(($A611 &amp; "Points"),CLASSNAMEHEADERS,0))),(IF("07"=(INDEX(ALLCLASSDATA,MATCH("MartialExpert",CLASSFEATUREHEADERS,0),MATCH($A611,CLASSNAMEHEADERS,0))),(INDEX(ALLCLASSDATA,MATCH("MartialExpert",CLASSFEATUREHEADERS,0),MATCH(($A611 &amp; "Points"),CLASSNAMEHEADERS,0))),(IF("07"=(INDEX(ALLCLASSDATA,MATCH("MartialTrained",CLASSFEATUREHEADERS,0),MATCH($A611,CLASSNAMEHEADERS,0))),(INDEX(ALLCLASSDATA,MATCH("MartialTrained",CLASSFEATUREHEADERS,0),MATCH(($A611 &amp; "Points"),CLASSNAMEHEADERS,0))),"")))))))))}</f>
        <v>MARTIALL07</v>
      </c>
      <c r="N610" s="223"/>
      <c r="O610" s="223" t="str">
        <f t="array" ref="O610:O611">{"MARTIALL09";((IF("09"=(INDEX(ALLCLASSDATA,MATCH("MartialLegendary",CLASSFEATUREHEADERS,0),MATCH($A611,CLASSNAMEHEADERS,0))),(INDEX(ALLCLASSDATA,MATCH("MartialLegendary",CLASSFEATUREHEADERS,0),MATCH(($A611 &amp; "Points"),CLASSNAMEHEADERS,0))),(IF("09"=(INDEX(ALLCLASSDATA,MATCH("MartialMaster",CLASSFEATUREHEADERS,0),MATCH($A611,CLASSNAMEHEADERS,0))),(INDEX(ALLCLASSDATA,MATCH("MartialMaster",CLASSFEATUREHEADERS,0),MATCH(($A611 &amp; "Points"),CLASSNAMEHEADERS,0))),(IF("09"=(INDEX(ALLCLASSDATA,MATCH("MartialExpert",CLASSFEATUREHEADERS,0),MATCH($A611,CLASSNAMEHEADERS,0))),(INDEX(ALLCLASSDATA,MATCH("MartialExpert",CLASSFEATUREHEADERS,0),MATCH(($A611 &amp; "Points"),CLASSNAMEHEADERS,0))),(IF("09"=(INDEX(ALLCLASSDATA,MATCH("MartialTrained",CLASSFEATUREHEADERS,0),MATCH($A611,CLASSNAMEHEADERS,0))),(INDEX(ALLCLASSDATA,MATCH("MartialTrained",CLASSFEATUREHEADERS,0),MATCH(($A611 &amp; "Points"),CLASSNAMEHEADERS,0))),"")))))))))}</f>
        <v>MARTIALL09</v>
      </c>
      <c r="P610" s="223"/>
      <c r="Q610" s="223" t="str">
        <f t="array" ref="Q610:Q611">{"MARTIALL11";((IF("11"=(INDEX(ALLCLASSDATA,MATCH("MartialLegendary",CLASSFEATUREHEADERS,0),MATCH($A611,CLASSNAMEHEADERS,0))),(INDEX(ALLCLASSDATA,MATCH("MartialLegendary",CLASSFEATUREHEADERS,0),MATCH(($A611 &amp; "Points"),CLASSNAMEHEADERS,0))),(IF("11"=(INDEX(ALLCLASSDATA,MATCH("MartialMaster",CLASSFEATUREHEADERS,0),MATCH($A611,CLASSNAMEHEADERS,0))),(INDEX(ALLCLASSDATA,MATCH("MartialMaster",CLASSFEATUREHEADERS,0),MATCH(($A611 &amp; "Points"),CLASSNAMEHEADERS,0))),(IF("11"=(INDEX(ALLCLASSDATA,MATCH("MartialExpert",CLASSFEATUREHEADERS,0),MATCH($A611,CLASSNAMEHEADERS,0))),(INDEX(ALLCLASSDATA,MATCH("MartialExpert",CLASSFEATUREHEADERS,0),MATCH(($A611 &amp; "Points"),CLASSNAMEHEADERS,0))),(IF("11"=(INDEX(ALLCLASSDATA,MATCH("MartialTrained",CLASSFEATUREHEADERS,0),MATCH($A611,CLASSNAMEHEADERS,0))),(INDEX(ALLCLASSDATA,MATCH("MartialTrained",CLASSFEATUREHEADERS,0),MATCH(($A611 &amp; "Points"),CLASSNAMEHEADERS,0))),"")))))))))}</f>
        <v>MARTIALL11</v>
      </c>
      <c r="R610" s="223"/>
      <c r="S610" s="223" t="str">
        <f t="array" ref="S610:S611">{"MARTIALL13";((IF("13"=(INDEX(ALLCLASSDATA,MATCH("MartialLegendary",CLASSFEATUREHEADERS,0),MATCH($A611,CLASSNAMEHEADERS,0))),(INDEX(ALLCLASSDATA,MATCH("MartialLegendary",CLASSFEATUREHEADERS,0),MATCH(($A611 &amp; "Points"),CLASSNAMEHEADERS,0))),(IF("13"=(INDEX(ALLCLASSDATA,MATCH("MartialMaster",CLASSFEATUREHEADERS,0),MATCH($A611,CLASSNAMEHEADERS,0))),(INDEX(ALLCLASSDATA,MATCH("MartialMaster",CLASSFEATUREHEADERS,0),MATCH(($A611 &amp; "Points"),CLASSNAMEHEADERS,0))),(IF("13"=(INDEX(ALLCLASSDATA,MATCH("MartialExpert",CLASSFEATUREHEADERS,0),MATCH($A611,CLASSNAMEHEADERS,0))),(INDEX(ALLCLASSDATA,MATCH("MartialExpert",CLASSFEATUREHEADERS,0),MATCH(($A611 &amp; "Points"),CLASSNAMEHEADERS,0))),(IF("13"=(INDEX(ALLCLASSDATA,MATCH("MartialTrained",CLASSFEATUREHEADERS,0),MATCH($A611,CLASSNAMEHEADERS,0))),(INDEX(ALLCLASSDATA,MATCH("MartialTrained",CLASSFEATUREHEADERS,0),MATCH(($A611 &amp; "Points"),CLASSNAMEHEADERS,0))),"")))))))))}</f>
        <v>MARTIALL13</v>
      </c>
      <c r="T610" s="223"/>
      <c r="U610" s="223" t="str">
        <f t="array" ref="U610:U611">{"MARTIALL15";((IF("15"=(INDEX(ALLCLASSDATA,MATCH("MartialLegendary",CLASSFEATUREHEADERS,0),MATCH($A611,CLASSNAMEHEADERS,0))),(INDEX(ALLCLASSDATA,MATCH("MartialLegendary",CLASSFEATUREHEADERS,0),MATCH(($A611 &amp; "Points"),CLASSNAMEHEADERS,0))),(IF("15"=(INDEX(ALLCLASSDATA,MATCH("MartialMaster",CLASSFEATUREHEADERS,0),MATCH($A611,CLASSNAMEHEADERS,0))),(INDEX(ALLCLASSDATA,MATCH("MartialMaster",CLASSFEATUREHEADERS,0),MATCH(($A611 &amp; "Points"),CLASSNAMEHEADERS,0))),(IF("15"=(INDEX(ALLCLASSDATA,MATCH("MartialExpert",CLASSFEATUREHEADERS,0),MATCH($A611,CLASSNAMEHEADERS,0))),(INDEX(ALLCLASSDATA,MATCH("MartialExpert",CLASSFEATUREHEADERS,0),MATCH(($A611 &amp; "Points"),CLASSNAMEHEADERS,0))),(IF("15"=(INDEX(ALLCLASSDATA,MATCH("MartialTrained",CLASSFEATUREHEADERS,0),MATCH($A611,CLASSNAMEHEADERS,0))),(INDEX(ALLCLASSDATA,MATCH("MartialTrained",CLASSFEATUREHEADERS,0),MATCH(($A611 &amp; "Points"),CLASSNAMEHEADERS,0))),"")))))))))}</f>
        <v>MARTIALL15</v>
      </c>
      <c r="V610" s="223"/>
      <c r="W610" s="223" t="str">
        <f t="array" ref="W610:W611">{"MARTIALL17";((IF("17"=(INDEX(ALLCLASSDATA,MATCH("MartialLegendary",CLASSFEATUREHEADERS,0),MATCH($A611,CLASSNAMEHEADERS,0))),(INDEX(ALLCLASSDATA,MATCH("MartialLegendary",CLASSFEATUREHEADERS,0),MATCH(($A611 &amp; "Points"),CLASSNAMEHEADERS,0))),(IF("17"=(INDEX(ALLCLASSDATA,MATCH("MartialMaster",CLASSFEATUREHEADERS,0),MATCH($A611,CLASSNAMEHEADERS,0))),(INDEX(ALLCLASSDATA,MATCH("MartialMaster",CLASSFEATUREHEADERS,0),MATCH(($A611 &amp; "Points"),CLASSNAMEHEADERS,0))),(IF("17"=(INDEX(ALLCLASSDATA,MATCH("MartialExpert",CLASSFEATUREHEADERS,0),MATCH($A611,CLASSNAMEHEADERS,0))),(INDEX(ALLCLASSDATA,MATCH("MartialExpert",CLASSFEATUREHEADERS,0),MATCH(($A611 &amp; "Points"),CLASSNAMEHEADERS,0))),(IF("17"=(INDEX(ALLCLASSDATA,MATCH("MartialTrained",CLASSFEATUREHEADERS,0),MATCH($A611,CLASSNAMEHEADERS,0))),(INDEX(ALLCLASSDATA,MATCH("MartialTrained",CLASSFEATUREHEADERS,0),MATCH(($A611 &amp; "Points"),CLASSNAMEHEADERS,0))),"")))))))))}</f>
        <v>MARTIALL17</v>
      </c>
      <c r="X610" s="223"/>
      <c r="Y610" s="223" t="str">
        <f t="array" ref="Y610:Y611">{"MARTIALL19";((IF("19"=(INDEX(ALLCLASSDATA,MATCH("MartialLegendary",CLASSFEATUREHEADERS,0),MATCH($A611,CLASSNAMEHEADERS,0))),(INDEX(ALLCLASSDATA,MATCH("MartialLegendary",CLASSFEATUREHEADERS,0),MATCH(($A611 &amp; "Points"),CLASSNAMEHEADERS,0))),(IF("19"=(INDEX(ALLCLASSDATA,MATCH("MartialMaster",CLASSFEATUREHEADERS,0),MATCH($A611,CLASSNAMEHEADERS,0))),(INDEX(ALLCLASSDATA,MATCH("MartialMaster",CLASSFEATUREHEADERS,0),MATCH(($A611 &amp; "Points"),CLASSNAMEHEADERS,0))),(IF("19"=(INDEX(ALLCLASSDATA,MATCH("MartialExpert",CLASSFEATUREHEADERS,0),MATCH($A611,CLASSNAMEHEADERS,0))),(INDEX(ALLCLASSDATA,MATCH("MartialExpert",CLASSFEATUREHEADERS,0),MATCH(($A611 &amp; "Points"),CLASSNAMEHEADERS,0))),(IF("19"=(INDEX(ALLCLASSDATA,MATCH("MartialTrained",CLASSFEATUREHEADERS,0),MATCH($A611,CLASSNAMEHEADERS,0))),(INDEX(ALLCLASSDATA,MATCH("MartialTrained",CLASSFEATUREHEADERS,0),MATCH(($A611 &amp; "Points"),CLASSNAMEHEADERS,0))),"")))))))))}</f>
        <v>MARTIALL19</v>
      </c>
      <c r="Z610" s="223"/>
      <c r="AA610" s="76" t="str">
        <f t="array" ref="AA610:AA611">{"MARTIAL TOTAL";(IF(COUNTBLANK(F611:Z611)=17,"L",(IF(COUNTBLANK(F611:Z611)=18,"M",(IF(COUNTBLANK(F611:Z611)=19,"E",(IF(COUNTBLANK(F611:Z611)=20,"T",""))))))))}</f>
        <v>MARTIAL TOTAL</v>
      </c>
      <c r="AB610" s="76" t="str">
        <f t="array" ref="AB610:AB611">{"MARTIAL TOTAL";(sum(F611:Z611))}</f>
        <v>MARTIAL TOTAL</v>
      </c>
    </row>
    <row r="611">
      <c r="A611" s="48" t="s">
        <v>221</v>
      </c>
      <c r="B611" s="48" t="s">
        <v>418</v>
      </c>
      <c r="C611" s="48" t="s">
        <v>1634</v>
      </c>
      <c r="D611" s="48" t="s">
        <v>6</v>
      </c>
      <c r="E611" s="5" t="s">
        <v>603</v>
      </c>
      <c r="F611" s="47" t="s">
        <v>603</v>
      </c>
      <c r="G611" s="5" t="s">
        <v>603</v>
      </c>
      <c r="H611" s="5"/>
      <c r="I611" s="5" t="s">
        <v>603</v>
      </c>
      <c r="J611" s="5"/>
      <c r="K611" s="5" t="s">
        <v>603</v>
      </c>
      <c r="L611" s="5"/>
      <c r="M611" s="5" t="s">
        <v>603</v>
      </c>
      <c r="N611" s="5"/>
      <c r="O611" s="5" t="s">
        <v>603</v>
      </c>
      <c r="P611" s="48"/>
      <c r="Q611" s="5" t="s">
        <v>603</v>
      </c>
      <c r="R611" s="5"/>
      <c r="S611" s="5" t="s">
        <v>603</v>
      </c>
      <c r="T611" s="5"/>
      <c r="U611" s="5" t="s">
        <v>603</v>
      </c>
      <c r="V611" s="5"/>
      <c r="W611" s="5" t="s">
        <v>603</v>
      </c>
      <c r="X611" s="5"/>
      <c r="Y611" s="5" t="s">
        <v>603</v>
      </c>
      <c r="Z611" s="5"/>
      <c r="AA611" s="5" t="s">
        <v>603</v>
      </c>
      <c r="AB611" s="47">
        <v>0.0</v>
      </c>
    </row>
    <row r="612" hidden="1">
      <c r="A612" s="222" t="str">
        <f t="array" ref="A612:A613">{"FormulaRow32";(INDEX(CLASSLIST,A549,1))}</f>
        <v>FormulaRow32</v>
      </c>
      <c r="B612" s="222" t="str">
        <f t="array" ref="B612:B613">{"CLASSTYPE";((INDEX(ALLCLASSDATA,MATCH("ClassType",CLASSFEATUREHEADERS,0),MATCH($A613,CLASSNAMEHEADERS,0))))}</f>
        <v>CLASSTYPE</v>
      </c>
      <c r="C612" s="222" t="str">
        <f t="array" ref="C612:C613">{"ATTACK";"Attack"}</f>
        <v>ATTACK</v>
      </c>
      <c r="D612" s="222" t="str">
        <f t="array" ref="D612:D613">{"ADVANCEDGROUP";"AdvancedGroup"}</f>
        <v>ADVANCEDGROUP</v>
      </c>
      <c r="E612" s="223" t="str">
        <f t="array" ref="E612:E613">{"ADVANCEDGROUPINITIAL";((IF(G613=10,"T",(IF(G613=50,"E","")))))}</f>
        <v>ADVANCEDGROUPINITIAL</v>
      </c>
      <c r="F612" s="223" t="str">
        <f t="array" ref="F612:F613">{"ADVANCEDGROUPINITIALPTS";((IF("00"=(INDEX(ALLCLASSDATA,MATCH("AdvancedGroupLegendary",CLASSFEATUREHEADERS,0),MATCH($A613,CLASSNAMEHEADERS,0))),(INDEX(ALLCLASSDATA,MATCH("AdvancedGroupLegendary",CLASSFEATUREHEADERS,0),MATCH(($A613 &amp; "Points"),CLASSNAMEHEADERS,0))),(IF("00"=(INDEX(ALLCLASSDATA,MATCH("AdvancedGroupMaster",CLASSFEATUREHEADERS,0),MATCH($A613,CLASSNAMEHEADERS,0))),(INDEX(ALLCLASSDATA,MATCH("AdvancedGroupMaster",CLASSFEATUREHEADERS,0),MATCH(($A613 &amp; "Points"),CLASSNAMEHEADERS,0))),(IF("00"=(INDEX(ALLCLASSDATA,MATCH("AdvancedGroupExpert",CLASSFEATUREHEADERS,0),MATCH($A613,CLASSNAMEHEADERS,0))),(INDEX(ALLCLASSDATA,MATCH("AdvancedGroupExpert",CLASSFEATUREHEADERS,0),MATCH(($A613 &amp; "Points"),CLASSNAMEHEADERS,0))),(IF("00"=(INDEX(ALLCLASSDATA,MATCH("AdvancedGroupTrained",CLASSFEATUREHEADERS,0),MATCH($A613,CLASSNAMEHEADERS,0))),(INDEX(ALLCLASSDATA,MATCH("AdvancedGroupTrained",CLASSFEATUREHEADERS,0),MATCH(($A613 &amp; "Points"),CLASSNAMEHEADERS,0))),"")))))))))}</f>
        <v>ADVANCEDGROUPINITIALPTS</v>
      </c>
      <c r="G612" s="223" t="str">
        <f t="array" ref="G612:G613">{"ADVANCEDGROUPL01";((IF("01"=(INDEX(ALLCLASSDATA,MATCH("AdvancedGroupLegendary",CLASSFEATUREHEADERS,0),MATCH($A613,CLASSNAMEHEADERS,0))),(INDEX(ALLCLASSDATA,MATCH("AdvancedGroupLegendary",CLASSFEATUREHEADERS,0),MATCH(($A613 &amp; "Points"),CLASSNAMEHEADERS,0))),(IF("01"=(INDEX(ALLCLASSDATA,MATCH("AdvancedGroupMaster",CLASSFEATUREHEADERS,0),MATCH($A613,CLASSNAMEHEADERS,0))),(INDEX(ALLCLASSDATA,MATCH("AdvancedGroupMaster",CLASSFEATUREHEADERS,0),MATCH(($A613 &amp; "Points"),CLASSNAMEHEADERS,0))),(IF("01"=(INDEX(ALLCLASSDATA,MATCH("AdvancedGroupExpert",CLASSFEATUREHEADERS,0),MATCH($A613,CLASSNAMEHEADERS,0))),(INDEX(ALLCLASSDATA,MATCH("AdvancedGroupExpert",CLASSFEATUREHEADERS,0),MATCH(($A613 &amp; "Points"),CLASSNAMEHEADERS,0))),(IF("01"=(INDEX(ALLCLASSDATA,MATCH("AdvancedGroupTrained",CLASSFEATUREHEADERS,0),MATCH($A613,CLASSNAMEHEADERS,0))),(INDEX(ALLCLASSDATA,MATCH("AdvancedGroupTrained",CLASSFEATUREHEADERS,0),MATCH(($A613 &amp; "Points"),CLASSNAMEHEADERS,0))),"")))))))))}</f>
        <v>ADVANCEDGROUPL01</v>
      </c>
      <c r="H612" s="223"/>
      <c r="I612" s="223" t="str">
        <f t="array" ref="I612:I613">{"ADVANCEDGROUPL03";((IF("03"=(INDEX(ALLCLASSDATA,MATCH("AdvancedGroupLegendary",CLASSFEATUREHEADERS,0),MATCH($A613,CLASSNAMEHEADERS,0))),(INDEX(ALLCLASSDATA,MATCH("AdvancedGroupLegendary",CLASSFEATUREHEADERS,0),MATCH(($A613 &amp; "Points"),CLASSNAMEHEADERS,0))),(IF("03"=(INDEX(ALLCLASSDATA,MATCH("AdvancedGroupMaster",CLASSFEATUREHEADERS,0),MATCH($A613,CLASSNAMEHEADERS,0))),(INDEX(ALLCLASSDATA,MATCH("AdvancedGroupMaster",CLASSFEATUREHEADERS,0),MATCH(($A613 &amp; "Points"),CLASSNAMEHEADERS,0))),(IF("03"=(INDEX(ALLCLASSDATA,MATCH("AdvancedGroupExpert",CLASSFEATUREHEADERS,0),MATCH($A613,CLASSNAMEHEADERS,0))),(INDEX(ALLCLASSDATA,MATCH("AdvancedGroupExpert",CLASSFEATUREHEADERS,0),MATCH(($A613 &amp; "Points"),CLASSNAMEHEADERS,0))),(IF("03"=(INDEX(ALLCLASSDATA,MATCH("AdvancedGroupTrained",CLASSFEATUREHEADERS,0),MATCH($A613,CLASSNAMEHEADERS,0))),(INDEX(ALLCLASSDATA,MATCH("AdvancedGroupTrained",CLASSFEATUREHEADERS,0),MATCH(($A613 &amp; "Points"),CLASSNAMEHEADERS,0))),"")))))))))}</f>
        <v>ADVANCEDGROUPL03</v>
      </c>
      <c r="J612" s="223"/>
      <c r="K612" s="223" t="str">
        <f t="array" ref="K612:K613">{"ADVANCEDGROUPL05";((IF("05"=(INDEX(ALLCLASSDATA,MATCH("AdvancedGroupLegendary",CLASSFEATUREHEADERS,0),MATCH($A613,CLASSNAMEHEADERS,0))),(INDEX(ALLCLASSDATA,MATCH("AdvancedGroupLegendary",CLASSFEATUREHEADERS,0),MATCH(($A613 &amp; "Points"),CLASSNAMEHEADERS,0))),(IF("05"=(INDEX(ALLCLASSDATA,MATCH("AdvancedGroupMaster",CLASSFEATUREHEADERS,0),MATCH($A613,CLASSNAMEHEADERS,0))),(INDEX(ALLCLASSDATA,MATCH("AdvancedGroupMaster",CLASSFEATUREHEADERS,0),MATCH(($A613 &amp; "Points"),CLASSNAMEHEADERS,0))),(IF("05"=(INDEX(ALLCLASSDATA,MATCH("AdvancedGroupExpert",CLASSFEATUREHEADERS,0),MATCH($A613,CLASSNAMEHEADERS,0))),(INDEX(ALLCLASSDATA,MATCH("AdvancedGroupExpert",CLASSFEATUREHEADERS,0),MATCH(($A613 &amp; "Points"),CLASSNAMEHEADERS,0))),(IF("05"=(INDEX(ALLCLASSDATA,MATCH("AdvancedGroupTrained",CLASSFEATUREHEADERS,0),MATCH($A613,CLASSNAMEHEADERS,0))),(INDEX(ALLCLASSDATA,MATCH("AdvancedGroupTrained",CLASSFEATUREHEADERS,0),MATCH(($A613 &amp; "Points"),CLASSNAMEHEADERS,0))),"")))))))))}</f>
        <v>ADVANCEDGROUPL05</v>
      </c>
      <c r="L612" s="223"/>
      <c r="M612" s="223" t="str">
        <f t="array" ref="M612:M613">{"ADVANCEDGROUPL07";((IF("07"=(INDEX(ALLCLASSDATA,MATCH("AdvancedGroupLegendary",CLASSFEATUREHEADERS,0),MATCH($A613,CLASSNAMEHEADERS,0))),(INDEX(ALLCLASSDATA,MATCH("AdvancedGroupLegendary",CLASSFEATUREHEADERS,0),MATCH(($A613 &amp; "Points"),CLASSNAMEHEADERS,0))),(IF("07"=(INDEX(ALLCLASSDATA,MATCH("AdvancedGroupMaster",CLASSFEATUREHEADERS,0),MATCH($A613,CLASSNAMEHEADERS,0))),(INDEX(ALLCLASSDATA,MATCH("AdvancedGroupMaster",CLASSFEATUREHEADERS,0),MATCH(($A613 &amp; "Points"),CLASSNAMEHEADERS,0))),(IF("07"=(INDEX(ALLCLASSDATA,MATCH("AdvancedGroupExpert",CLASSFEATUREHEADERS,0),MATCH($A613,CLASSNAMEHEADERS,0))),(INDEX(ALLCLASSDATA,MATCH("AdvancedGroupExpert",CLASSFEATUREHEADERS,0),MATCH(($A613 &amp; "Points"),CLASSNAMEHEADERS,0))),(IF("07"=(INDEX(ALLCLASSDATA,MATCH("AdvancedGroupTrained",CLASSFEATUREHEADERS,0),MATCH($A613,CLASSNAMEHEADERS,0))),(INDEX(ALLCLASSDATA,MATCH("AdvancedGroupTrained",CLASSFEATUREHEADERS,0),MATCH(($A613 &amp; "Points"),CLASSNAMEHEADERS,0))),"")))))))))}</f>
        <v>ADVANCEDGROUPL07</v>
      </c>
      <c r="N612" s="223"/>
      <c r="O612" s="223" t="str">
        <f t="array" ref="O612:O613">{"ADVANCEDGROUPL09";((IF("09"=(INDEX(ALLCLASSDATA,MATCH("AdvancedGroupLegendary",CLASSFEATUREHEADERS,0),MATCH($A613,CLASSNAMEHEADERS,0))),(INDEX(ALLCLASSDATA,MATCH("AdvancedGroupLegendary",CLASSFEATUREHEADERS,0),MATCH(($A613 &amp; "Points"),CLASSNAMEHEADERS,0))),(IF("09"=(INDEX(ALLCLASSDATA,MATCH("AdvancedGroupMaster",CLASSFEATUREHEADERS,0),MATCH($A613,CLASSNAMEHEADERS,0))),(INDEX(ALLCLASSDATA,MATCH("AdvancedGroupMaster",CLASSFEATUREHEADERS,0),MATCH(($A613 &amp; "Points"),CLASSNAMEHEADERS,0))),(IF("09"=(INDEX(ALLCLASSDATA,MATCH("AdvancedGroupExpert",CLASSFEATUREHEADERS,0),MATCH($A613,CLASSNAMEHEADERS,0))),(INDEX(ALLCLASSDATA,MATCH("AdvancedGroupExpert",CLASSFEATUREHEADERS,0),MATCH(($A613 &amp; "Points"),CLASSNAMEHEADERS,0))),(IF("09"=(INDEX(ALLCLASSDATA,MATCH("AdvancedGroupTrained",CLASSFEATUREHEADERS,0),MATCH($A613,CLASSNAMEHEADERS,0))),(INDEX(ALLCLASSDATA,MATCH("AdvancedGroupTrained",CLASSFEATUREHEADERS,0),MATCH(($A613 &amp; "Points"),CLASSNAMEHEADERS,0))),"")))))))))}</f>
        <v>ADVANCEDGROUPL09</v>
      </c>
      <c r="P612" s="223"/>
      <c r="Q612" s="223" t="str">
        <f t="array" ref="Q612:Q613">{"ADVANCEDGROUPL11";((IF("11"=(INDEX(ALLCLASSDATA,MATCH("AdvancedGroupLegendary",CLASSFEATUREHEADERS,0),MATCH($A613,CLASSNAMEHEADERS,0))),(INDEX(ALLCLASSDATA,MATCH("AdvancedGroupLegendary",CLASSFEATUREHEADERS,0),MATCH(($A613 &amp; "Points"),CLASSNAMEHEADERS,0))),(IF("11"=(INDEX(ALLCLASSDATA,MATCH("AdvancedGroupMaster",CLASSFEATUREHEADERS,0),MATCH($A613,CLASSNAMEHEADERS,0))),(INDEX(ALLCLASSDATA,MATCH("AdvancedGroupMaster",CLASSFEATUREHEADERS,0),MATCH(($A613 &amp; "Points"),CLASSNAMEHEADERS,0))),(IF("11"=(INDEX(ALLCLASSDATA,MATCH("AdvancedGroupExpert",CLASSFEATUREHEADERS,0),MATCH($A613,CLASSNAMEHEADERS,0))),(INDEX(ALLCLASSDATA,MATCH("AdvancedGroupExpert",CLASSFEATUREHEADERS,0),MATCH(($A613 &amp; "Points"),CLASSNAMEHEADERS,0))),(IF("11"=(INDEX(ALLCLASSDATA,MATCH("AdvancedGroupTrained",CLASSFEATUREHEADERS,0),MATCH($A613,CLASSNAMEHEADERS,0))),(INDEX(ALLCLASSDATA,MATCH("AdvancedGroupTrained",CLASSFEATUREHEADERS,0),MATCH(($A613 &amp; "Points"),CLASSNAMEHEADERS,0))),"")))))))))}</f>
        <v>ADVANCEDGROUPL11</v>
      </c>
      <c r="R612" s="223"/>
      <c r="S612" s="223" t="str">
        <f t="array" ref="S612:S613">{"ADVANCEDGROUPL13";((IF("13"=(INDEX(ALLCLASSDATA,MATCH("AdvancedGroupLegendary",CLASSFEATUREHEADERS,0),MATCH($A613,CLASSNAMEHEADERS,0))),(INDEX(ALLCLASSDATA,MATCH("AdvancedGroupLegendary",CLASSFEATUREHEADERS,0),MATCH(($A613 &amp; "Points"),CLASSNAMEHEADERS,0))),(IF("13"=(INDEX(ALLCLASSDATA,MATCH("AdvancedGroupMaster",CLASSFEATUREHEADERS,0),MATCH($A613,CLASSNAMEHEADERS,0))),(INDEX(ALLCLASSDATA,MATCH("AdvancedGroupMaster",CLASSFEATUREHEADERS,0),MATCH(($A613 &amp; "Points"),CLASSNAMEHEADERS,0))),(IF("13"=(INDEX(ALLCLASSDATA,MATCH("AdvancedGroupExpert",CLASSFEATUREHEADERS,0),MATCH($A613,CLASSNAMEHEADERS,0))),(INDEX(ALLCLASSDATA,MATCH("AdvancedGroupExpert",CLASSFEATUREHEADERS,0),MATCH(($A613 &amp; "Points"),CLASSNAMEHEADERS,0))),(IF("13"=(INDEX(ALLCLASSDATA,MATCH("AdvancedGroupTrained",CLASSFEATUREHEADERS,0),MATCH($A613,CLASSNAMEHEADERS,0))),(INDEX(ALLCLASSDATA,MATCH("AdvancedGroupTrained",CLASSFEATUREHEADERS,0),MATCH(($A613 &amp; "Points"),CLASSNAMEHEADERS,0))),"")))))))))}</f>
        <v>ADVANCEDGROUPL13</v>
      </c>
      <c r="T612" s="223"/>
      <c r="U612" s="223" t="str">
        <f t="array" ref="U612:U613">{"ADVANCEDGROUPL15";((IF("15"=(INDEX(ALLCLASSDATA,MATCH("AdvancedGroupLegendary",CLASSFEATUREHEADERS,0),MATCH($A613,CLASSNAMEHEADERS,0))),(INDEX(ALLCLASSDATA,MATCH("AdvancedGroupLegendary",CLASSFEATUREHEADERS,0),MATCH(($A613 &amp; "Points"),CLASSNAMEHEADERS,0))),(IF("15"=(INDEX(ALLCLASSDATA,MATCH("AdvancedGroupMaster",CLASSFEATUREHEADERS,0),MATCH($A613,CLASSNAMEHEADERS,0))),(INDEX(ALLCLASSDATA,MATCH("AdvancedGroupMaster",CLASSFEATUREHEADERS,0),MATCH(($A613 &amp; "Points"),CLASSNAMEHEADERS,0))),(IF("15"=(INDEX(ALLCLASSDATA,MATCH("AdvancedGroupExpert",CLASSFEATUREHEADERS,0),MATCH($A613,CLASSNAMEHEADERS,0))),(INDEX(ALLCLASSDATA,MATCH("AdvancedGroupExpert",CLASSFEATUREHEADERS,0),MATCH(($A613 &amp; "Points"),CLASSNAMEHEADERS,0))),(IF("15"=(INDEX(ALLCLASSDATA,MATCH("AdvancedGroupTrained",CLASSFEATUREHEADERS,0),MATCH($A613,CLASSNAMEHEADERS,0))),(INDEX(ALLCLASSDATA,MATCH("AdvancedGroupTrained",CLASSFEATUREHEADERS,0),MATCH(($A613 &amp; "Points"),CLASSNAMEHEADERS,0))),"")))))))))}</f>
        <v>ADVANCEDGROUPL15</v>
      </c>
      <c r="V612" s="223"/>
      <c r="W612" s="223" t="str">
        <f t="array" ref="W612:W613">{"ADVANCEDGROUPL17";((IF("17"=(INDEX(ALLCLASSDATA,MATCH("AdvancedGroupLegendary",CLASSFEATUREHEADERS,0),MATCH($A613,CLASSNAMEHEADERS,0))),(INDEX(ALLCLASSDATA,MATCH("AdvancedGroupLegendary",CLASSFEATUREHEADERS,0),MATCH(($A613 &amp; "Points"),CLASSNAMEHEADERS,0))),(IF("17"=(INDEX(ALLCLASSDATA,MATCH("AdvancedGroupMaster",CLASSFEATUREHEADERS,0),MATCH($A613,CLASSNAMEHEADERS,0))),(INDEX(ALLCLASSDATA,MATCH("AdvancedGroupMaster",CLASSFEATUREHEADERS,0),MATCH(($A613 &amp; "Points"),CLASSNAMEHEADERS,0))),(IF("17"=(INDEX(ALLCLASSDATA,MATCH("AdvancedGroupExpert",CLASSFEATUREHEADERS,0),MATCH($A613,CLASSNAMEHEADERS,0))),(INDEX(ALLCLASSDATA,MATCH("AdvancedGroupExpert",CLASSFEATUREHEADERS,0),MATCH(($A613 &amp; "Points"),CLASSNAMEHEADERS,0))),(IF("17"=(INDEX(ALLCLASSDATA,MATCH("AdvancedGroupTrained",CLASSFEATUREHEADERS,0),MATCH($A613,CLASSNAMEHEADERS,0))),(INDEX(ALLCLASSDATA,MATCH("AdvancedGroupTrained",CLASSFEATUREHEADERS,0),MATCH(($A613 &amp; "Points"),CLASSNAMEHEADERS,0))),"")))))))))}</f>
        <v>ADVANCEDGROUPL17</v>
      </c>
      <c r="X612" s="223"/>
      <c r="Y612" s="223" t="str">
        <f t="array" ref="Y612:Y613">{"ADVANCEDGROUPL19";((IF("19"=(INDEX(ALLCLASSDATA,MATCH("AdvancedGroupLegendary",CLASSFEATUREHEADERS,0),MATCH($A613,CLASSNAMEHEADERS,0))),(INDEX(ALLCLASSDATA,MATCH("AdvancedGroupLegendary",CLASSFEATUREHEADERS,0),MATCH(($A613 &amp; "Points"),CLASSNAMEHEADERS,0))),(IF("19"=(INDEX(ALLCLASSDATA,MATCH("AdvancedGroupMaster",CLASSFEATUREHEADERS,0),MATCH($A613,CLASSNAMEHEADERS,0))),(INDEX(ALLCLASSDATA,MATCH("AdvancedGroupMaster",CLASSFEATUREHEADERS,0),MATCH(($A613 &amp; "Points"),CLASSNAMEHEADERS,0))),(IF("19"=(INDEX(ALLCLASSDATA,MATCH("AdvancedGroupExpert",CLASSFEATUREHEADERS,0),MATCH($A613,CLASSNAMEHEADERS,0))),(INDEX(ALLCLASSDATA,MATCH("AdvancedGroupExpert",CLASSFEATUREHEADERS,0),MATCH(($A613 &amp; "Points"),CLASSNAMEHEADERS,0))),(IF("19"=(INDEX(ALLCLASSDATA,MATCH("AdvancedGroupTrained",CLASSFEATUREHEADERS,0),MATCH($A613,CLASSNAMEHEADERS,0))),(INDEX(ALLCLASSDATA,MATCH("AdvancedGroupTrained",CLASSFEATUREHEADERS,0),MATCH(($A613 &amp; "Points"),CLASSNAMEHEADERS,0))),"")))))))))}</f>
        <v>ADVANCEDGROUPL19</v>
      </c>
      <c r="Z612" s="223"/>
      <c r="AA612" s="76" t="str">
        <f t="array" ref="AA612:AA613">{"ADVANCEDGROUP TOTAL";(IF(COUNTBLANK(F613:Z613)=17,"L",(IF(COUNTBLANK(F613:Z613)=18,"M",(IF(COUNTBLANK(F613:Z613)=19,"E",(IF(COUNTBLANK(F613:Z613)=20,"T",""))))))))}</f>
        <v>ADVANCEDGROUP TOTAL</v>
      </c>
      <c r="AB612" s="76" t="str">
        <f t="array" ref="AB612:AB613">{"ADVANCEDGROUP TOTAL";(sum(F613:Z613))}</f>
        <v>ADVANCEDGROUP TOTAL</v>
      </c>
    </row>
    <row r="613">
      <c r="A613" s="48" t="s">
        <v>221</v>
      </c>
      <c r="B613" s="48" t="s">
        <v>418</v>
      </c>
      <c r="C613" s="48" t="s">
        <v>1634</v>
      </c>
      <c r="D613" s="48" t="s">
        <v>601</v>
      </c>
      <c r="E613" s="5" t="s">
        <v>603</v>
      </c>
      <c r="F613" s="47" t="s">
        <v>603</v>
      </c>
      <c r="G613" s="5" t="s">
        <v>603</v>
      </c>
      <c r="H613" s="5"/>
      <c r="I613" s="5" t="s">
        <v>603</v>
      </c>
      <c r="J613" s="5"/>
      <c r="K613" s="5" t="s">
        <v>603</v>
      </c>
      <c r="L613" s="5"/>
      <c r="M613" s="5" t="s">
        <v>603</v>
      </c>
      <c r="N613" s="5"/>
      <c r="O613" s="5" t="s">
        <v>603</v>
      </c>
      <c r="P613" s="5"/>
      <c r="Q613" s="5" t="s">
        <v>603</v>
      </c>
      <c r="R613" s="5"/>
      <c r="S613" s="5" t="s">
        <v>603</v>
      </c>
      <c r="T613" s="5"/>
      <c r="U613" s="5" t="s">
        <v>603</v>
      </c>
      <c r="V613" s="5"/>
      <c r="W613" s="5" t="s">
        <v>603</v>
      </c>
      <c r="X613" s="5"/>
      <c r="Y613" s="5" t="s">
        <v>603</v>
      </c>
      <c r="Z613" s="5"/>
      <c r="AA613" s="5" t="s">
        <v>603</v>
      </c>
      <c r="AB613" s="47">
        <v>0.0</v>
      </c>
    </row>
    <row r="614" hidden="1">
      <c r="A614" s="222" t="str">
        <f t="array" ref="A614:A615">{"FormulaRow33";(INDEX(CLASSLIST,A549,1))}</f>
        <v>FormulaRow33</v>
      </c>
      <c r="B614" s="222" t="str">
        <f t="array" ref="B614:B615">{"CLASSTYPE";((INDEX(ALLCLASSDATA,MATCH("ClassType",CLASSFEATUREHEADERS,0),MATCH($A615,CLASSNAMEHEADERS,0))))}</f>
        <v>CLASSTYPE</v>
      </c>
      <c r="C614" s="222" t="str">
        <f t="array" ref="C614:C615">{"ATTACK";"Attack"}</f>
        <v>ATTACK</v>
      </c>
      <c r="D614" s="222" t="str">
        <f t="array" ref="D614:D615">{"ADVANCED";"Advanced"}</f>
        <v>ADVANCED</v>
      </c>
      <c r="E614" s="223" t="str">
        <f t="array" ref="E614:E615">{"ADVANCEDINITIAL";((IF(G615=10,"T",(IF(G615=50,"E","")))))}</f>
        <v>ADVANCEDINITIAL</v>
      </c>
      <c r="F614" s="223" t="str">
        <f t="array" ref="F614:F615">{"ADVANCEDINITIALPTS";((IF("00"=(INDEX(ALLCLASSDATA,MATCH("AdvancedLegendary",CLASSFEATUREHEADERS,0),MATCH($A615,CLASSNAMEHEADERS,0))),(INDEX(ALLCLASSDATA,MATCH("AdvancedLegendary",CLASSFEATUREHEADERS,0),MATCH(($A615 &amp; "Points"),CLASSNAMEHEADERS,0))),(IF("00"=(INDEX(ALLCLASSDATA,MATCH("AdvancedMaster",CLASSFEATUREHEADERS,0),MATCH($A615,CLASSNAMEHEADERS,0))),(INDEX(ALLCLASSDATA,MATCH("AdvancedMaster",CLASSFEATUREHEADERS,0),MATCH(($A615 &amp; "Points"),CLASSNAMEHEADERS,0))),(IF("00"=(INDEX(ALLCLASSDATA,MATCH("AdvancedExpert",CLASSFEATUREHEADERS,0),MATCH($A615,CLASSNAMEHEADERS,0))),(INDEX(ALLCLASSDATA,MATCH("AdvancedExpert",CLASSFEATUREHEADERS,0),MATCH(($A615 &amp; "Points"),CLASSNAMEHEADERS,0))),(IF("00"=(INDEX(ALLCLASSDATA,MATCH("AdvancedTrained",CLASSFEATUREHEADERS,0),MATCH($A615,CLASSNAMEHEADERS,0))),(INDEX(ALLCLASSDATA,MATCH("AdvancedTrained",CLASSFEATUREHEADERS,0),MATCH(($A615 &amp; "Points"),CLASSNAMEHEADERS,0))),"")))))))))}</f>
        <v>ADVANCEDINITIALPTS</v>
      </c>
      <c r="G614" s="223" t="str">
        <f t="array" ref="G614:G615">{"ADVANCEDL01";((IF("01"=(INDEX(ALLCLASSDATA,MATCH("AdvancedLegendary",CLASSFEATUREHEADERS,0),MATCH($A615,CLASSNAMEHEADERS,0))),(INDEX(ALLCLASSDATA,MATCH("AdvancedLegendary",CLASSFEATUREHEADERS,0),MATCH(($A615 &amp; "Points"),CLASSNAMEHEADERS,0))),(IF("01"=(INDEX(ALLCLASSDATA,MATCH("AdvancedMaster",CLASSFEATUREHEADERS,0),MATCH($A615,CLASSNAMEHEADERS,0))),(INDEX(ALLCLASSDATA,MATCH("AdvancedMaster",CLASSFEATUREHEADERS,0),MATCH(($A615 &amp; "Points"),CLASSNAMEHEADERS,0))),(IF("01"=(INDEX(ALLCLASSDATA,MATCH("AdvancedExpert",CLASSFEATUREHEADERS,0),MATCH($A615,CLASSNAMEHEADERS,0))),(INDEX(ALLCLASSDATA,MATCH("AdvancedExpert",CLASSFEATUREHEADERS,0),MATCH(($A615 &amp; "Points"),CLASSNAMEHEADERS,0))),(IF("01"=(INDEX(ALLCLASSDATA,MATCH("AdvancedTrained",CLASSFEATUREHEADERS,0),MATCH($A615,CLASSNAMEHEADERS,0))),(INDEX(ALLCLASSDATA,MATCH("AdvancedTrained",CLASSFEATUREHEADERS,0),MATCH(($A615 &amp; "Points"),CLASSNAMEHEADERS,0))),"")))))))))}</f>
        <v>ADVANCEDL01</v>
      </c>
      <c r="H614" s="223"/>
      <c r="I614" s="223" t="str">
        <f t="array" ref="I614:I615">{"ADVANCEDL03";((IF("03"=(INDEX(ALLCLASSDATA,MATCH("AdvancedLegendary",CLASSFEATUREHEADERS,0),MATCH($A615,CLASSNAMEHEADERS,0))),(INDEX(ALLCLASSDATA,MATCH("AdvancedLegendary",CLASSFEATUREHEADERS,0),MATCH(($A615 &amp; "Points"),CLASSNAMEHEADERS,0))),(IF("03"=(INDEX(ALLCLASSDATA,MATCH("AdvancedMaster",CLASSFEATUREHEADERS,0),MATCH($A615,CLASSNAMEHEADERS,0))),(INDEX(ALLCLASSDATA,MATCH("AdvancedMaster",CLASSFEATUREHEADERS,0),MATCH(($A615 &amp; "Points"),CLASSNAMEHEADERS,0))),(IF("03"=(INDEX(ALLCLASSDATA,MATCH("AdvancedExpert",CLASSFEATUREHEADERS,0),MATCH($A615,CLASSNAMEHEADERS,0))),(INDEX(ALLCLASSDATA,MATCH("AdvancedExpert",CLASSFEATUREHEADERS,0),MATCH(($A615 &amp; "Points"),CLASSNAMEHEADERS,0))),(IF("03"=(INDEX(ALLCLASSDATA,MATCH("AdvancedTrained",CLASSFEATUREHEADERS,0),MATCH($A615,CLASSNAMEHEADERS,0))),(INDEX(ALLCLASSDATA,MATCH("AdvancedTrained",CLASSFEATUREHEADERS,0),MATCH(($A615 &amp; "Points"),CLASSNAMEHEADERS,0))),"")))))))))}</f>
        <v>ADVANCEDL03</v>
      </c>
      <c r="J614" s="223"/>
      <c r="K614" s="223" t="str">
        <f t="array" ref="K614:K615">{"ADVANCEDL05";((IF("05"=(INDEX(ALLCLASSDATA,MATCH("AdvancedLegendary",CLASSFEATUREHEADERS,0),MATCH($A615,CLASSNAMEHEADERS,0))),(INDEX(ALLCLASSDATA,MATCH("AdvancedLegendary",CLASSFEATUREHEADERS,0),MATCH(($A615 &amp; "Points"),CLASSNAMEHEADERS,0))),(IF("05"=(INDEX(ALLCLASSDATA,MATCH("AdvancedMaster",CLASSFEATUREHEADERS,0),MATCH($A615,CLASSNAMEHEADERS,0))),(INDEX(ALLCLASSDATA,MATCH("AdvancedMaster",CLASSFEATUREHEADERS,0),MATCH(($A615 &amp; "Points"),CLASSNAMEHEADERS,0))),(IF("05"=(INDEX(ALLCLASSDATA,MATCH("AdvancedExpert",CLASSFEATUREHEADERS,0),MATCH($A615,CLASSNAMEHEADERS,0))),(INDEX(ALLCLASSDATA,MATCH("AdvancedExpert",CLASSFEATUREHEADERS,0),MATCH(($A615 &amp; "Points"),CLASSNAMEHEADERS,0))),(IF("05"=(INDEX(ALLCLASSDATA,MATCH("AdvancedTrained",CLASSFEATUREHEADERS,0),MATCH($A615,CLASSNAMEHEADERS,0))),(INDEX(ALLCLASSDATA,MATCH("AdvancedTrained",CLASSFEATUREHEADERS,0),MATCH(($A615 &amp; "Points"),CLASSNAMEHEADERS,0))),"")))))))))}</f>
        <v>ADVANCEDL05</v>
      </c>
      <c r="L614" s="223"/>
      <c r="M614" s="223" t="str">
        <f t="array" ref="M614:M615">{"ADVANCEDL07";((IF("07"=(INDEX(ALLCLASSDATA,MATCH("AdvancedLegendary",CLASSFEATUREHEADERS,0),MATCH($A615,CLASSNAMEHEADERS,0))),(INDEX(ALLCLASSDATA,MATCH("AdvancedLegendary",CLASSFEATUREHEADERS,0),MATCH(($A615 &amp; "Points"),CLASSNAMEHEADERS,0))),(IF("07"=(INDEX(ALLCLASSDATA,MATCH("AdvancedMaster",CLASSFEATUREHEADERS,0),MATCH($A615,CLASSNAMEHEADERS,0))),(INDEX(ALLCLASSDATA,MATCH("AdvancedMaster",CLASSFEATUREHEADERS,0),MATCH(($A615 &amp; "Points"),CLASSNAMEHEADERS,0))),(IF("07"=(INDEX(ALLCLASSDATA,MATCH("AdvancedExpert",CLASSFEATUREHEADERS,0),MATCH($A615,CLASSNAMEHEADERS,0))),(INDEX(ALLCLASSDATA,MATCH("AdvancedExpert",CLASSFEATUREHEADERS,0),MATCH(($A615 &amp; "Points"),CLASSNAMEHEADERS,0))),(IF("07"=(INDEX(ALLCLASSDATA,MATCH("AdvancedTrained",CLASSFEATUREHEADERS,0),MATCH($A615,CLASSNAMEHEADERS,0))),(INDEX(ALLCLASSDATA,MATCH("AdvancedTrained",CLASSFEATUREHEADERS,0),MATCH(($A615 &amp; "Points"),CLASSNAMEHEADERS,0))),"")))))))))}</f>
        <v>ADVANCEDL07</v>
      </c>
      <c r="N614" s="223"/>
      <c r="O614" s="223" t="str">
        <f t="array" ref="O614:O615">{"ADVANCEDL09";((IF("09"=(INDEX(ALLCLASSDATA,MATCH("AdvancedLegendary",CLASSFEATUREHEADERS,0),MATCH($A615,CLASSNAMEHEADERS,0))),(INDEX(ALLCLASSDATA,MATCH("AdvancedLegendary",CLASSFEATUREHEADERS,0),MATCH(($A615 &amp; "Points"),CLASSNAMEHEADERS,0))),(IF("09"=(INDEX(ALLCLASSDATA,MATCH("AdvancedMaster",CLASSFEATUREHEADERS,0),MATCH($A615,CLASSNAMEHEADERS,0))),(INDEX(ALLCLASSDATA,MATCH("AdvancedMaster",CLASSFEATUREHEADERS,0),MATCH(($A615 &amp; "Points"),CLASSNAMEHEADERS,0))),(IF("09"=(INDEX(ALLCLASSDATA,MATCH("AdvancedExpert",CLASSFEATUREHEADERS,0),MATCH($A615,CLASSNAMEHEADERS,0))),(INDEX(ALLCLASSDATA,MATCH("AdvancedExpert",CLASSFEATUREHEADERS,0),MATCH(($A615 &amp; "Points"),CLASSNAMEHEADERS,0))),(IF("09"=(INDEX(ALLCLASSDATA,MATCH("AdvancedTrained",CLASSFEATUREHEADERS,0),MATCH($A615,CLASSNAMEHEADERS,0))),(INDEX(ALLCLASSDATA,MATCH("AdvancedTrained",CLASSFEATUREHEADERS,0),MATCH(($A615 &amp; "Points"),CLASSNAMEHEADERS,0))),"")))))))))}</f>
        <v>ADVANCEDL09</v>
      </c>
      <c r="P614" s="223"/>
      <c r="Q614" s="223" t="str">
        <f t="array" ref="Q614:Q615">{"ADVANCEDL11";((IF("11"=(INDEX(ALLCLASSDATA,MATCH("AdvancedLegendary",CLASSFEATUREHEADERS,0),MATCH($A615,CLASSNAMEHEADERS,0))),(INDEX(ALLCLASSDATA,MATCH("AdvancedLegendary",CLASSFEATUREHEADERS,0),MATCH(($A615 &amp; "Points"),CLASSNAMEHEADERS,0))),(IF("11"=(INDEX(ALLCLASSDATA,MATCH("AdvancedMaster",CLASSFEATUREHEADERS,0),MATCH($A615,CLASSNAMEHEADERS,0))),(INDEX(ALLCLASSDATA,MATCH("AdvancedMaster",CLASSFEATUREHEADERS,0),MATCH(($A615 &amp; "Points"),CLASSNAMEHEADERS,0))),(IF("11"=(INDEX(ALLCLASSDATA,MATCH("AdvancedExpert",CLASSFEATUREHEADERS,0),MATCH($A615,CLASSNAMEHEADERS,0))),(INDEX(ALLCLASSDATA,MATCH("AdvancedExpert",CLASSFEATUREHEADERS,0),MATCH(($A615 &amp; "Points"),CLASSNAMEHEADERS,0))),(IF("11"=(INDEX(ALLCLASSDATA,MATCH("AdvancedTrained",CLASSFEATUREHEADERS,0),MATCH($A615,CLASSNAMEHEADERS,0))),(INDEX(ALLCLASSDATA,MATCH("AdvancedTrained",CLASSFEATUREHEADERS,0),MATCH(($A615 &amp; "Points"),CLASSNAMEHEADERS,0))),"")))))))))}</f>
        <v>ADVANCEDL11</v>
      </c>
      <c r="R614" s="223"/>
      <c r="S614" s="223" t="str">
        <f t="array" ref="S614:S615">{"ADVANCEDL13";((IF("13"=(INDEX(ALLCLASSDATA,MATCH("AdvancedLegendary",CLASSFEATUREHEADERS,0),MATCH($A615,CLASSNAMEHEADERS,0))),(INDEX(ALLCLASSDATA,MATCH("AdvancedLegendary",CLASSFEATUREHEADERS,0),MATCH(($A615 &amp; "Points"),CLASSNAMEHEADERS,0))),(IF("13"=(INDEX(ALLCLASSDATA,MATCH("AdvancedMaster",CLASSFEATUREHEADERS,0),MATCH($A615,CLASSNAMEHEADERS,0))),(INDEX(ALLCLASSDATA,MATCH("AdvancedMaster",CLASSFEATUREHEADERS,0),MATCH(($A615 &amp; "Points"),CLASSNAMEHEADERS,0))),(IF("13"=(INDEX(ALLCLASSDATA,MATCH("AdvancedExpert",CLASSFEATUREHEADERS,0),MATCH($A615,CLASSNAMEHEADERS,0))),(INDEX(ALLCLASSDATA,MATCH("AdvancedExpert",CLASSFEATUREHEADERS,0),MATCH(($A615 &amp; "Points"),CLASSNAMEHEADERS,0))),(IF("13"=(INDEX(ALLCLASSDATA,MATCH("AdvancedTrained",CLASSFEATUREHEADERS,0),MATCH($A615,CLASSNAMEHEADERS,0))),(INDEX(ALLCLASSDATA,MATCH("AdvancedTrained",CLASSFEATUREHEADERS,0),MATCH(($A615 &amp; "Points"),CLASSNAMEHEADERS,0))),"")))))))))}</f>
        <v>ADVANCEDL13</v>
      </c>
      <c r="T614" s="223"/>
      <c r="U614" s="223" t="str">
        <f t="array" ref="U614:U615">{"ADVANCEDL15";((IF("15"=(INDEX(ALLCLASSDATA,MATCH("AdvancedLegendary",CLASSFEATUREHEADERS,0),MATCH($A615,CLASSNAMEHEADERS,0))),(INDEX(ALLCLASSDATA,MATCH("AdvancedLegendary",CLASSFEATUREHEADERS,0),MATCH(($A615 &amp; "Points"),CLASSNAMEHEADERS,0))),(IF("15"=(INDEX(ALLCLASSDATA,MATCH("AdvancedMaster",CLASSFEATUREHEADERS,0),MATCH($A615,CLASSNAMEHEADERS,0))),(INDEX(ALLCLASSDATA,MATCH("AdvancedMaster",CLASSFEATUREHEADERS,0),MATCH(($A615 &amp; "Points"),CLASSNAMEHEADERS,0))),(IF("15"=(INDEX(ALLCLASSDATA,MATCH("AdvancedExpert",CLASSFEATUREHEADERS,0),MATCH($A615,CLASSNAMEHEADERS,0))),(INDEX(ALLCLASSDATA,MATCH("AdvancedExpert",CLASSFEATUREHEADERS,0),MATCH(($A615 &amp; "Points"),CLASSNAMEHEADERS,0))),(IF("15"=(INDEX(ALLCLASSDATA,MATCH("AdvancedTrained",CLASSFEATUREHEADERS,0),MATCH($A615,CLASSNAMEHEADERS,0))),(INDEX(ALLCLASSDATA,MATCH("AdvancedTrained",CLASSFEATUREHEADERS,0),MATCH(($A615 &amp; "Points"),CLASSNAMEHEADERS,0))),"")))))))))}</f>
        <v>ADVANCEDL15</v>
      </c>
      <c r="V614" s="223"/>
      <c r="W614" s="223" t="str">
        <f t="array" ref="W614:W615">{"ADVANCEDL17";((IF("17"=(INDEX(ALLCLASSDATA,MATCH("AdvancedLegendary",CLASSFEATUREHEADERS,0),MATCH($A615,CLASSNAMEHEADERS,0))),(INDEX(ALLCLASSDATA,MATCH("AdvancedLegendary",CLASSFEATUREHEADERS,0),MATCH(($A615 &amp; "Points"),CLASSNAMEHEADERS,0))),(IF("17"=(INDEX(ALLCLASSDATA,MATCH("AdvancedMaster",CLASSFEATUREHEADERS,0),MATCH($A615,CLASSNAMEHEADERS,0))),(INDEX(ALLCLASSDATA,MATCH("AdvancedMaster",CLASSFEATUREHEADERS,0),MATCH(($A615 &amp; "Points"),CLASSNAMEHEADERS,0))),(IF("17"=(INDEX(ALLCLASSDATA,MATCH("AdvancedExpert",CLASSFEATUREHEADERS,0),MATCH($A615,CLASSNAMEHEADERS,0))),(INDEX(ALLCLASSDATA,MATCH("AdvancedExpert",CLASSFEATUREHEADERS,0),MATCH(($A615 &amp; "Points"),CLASSNAMEHEADERS,0))),(IF("17"=(INDEX(ALLCLASSDATA,MATCH("AdvancedTrained",CLASSFEATUREHEADERS,0),MATCH($A615,CLASSNAMEHEADERS,0))),(INDEX(ALLCLASSDATA,MATCH("AdvancedTrained",CLASSFEATUREHEADERS,0),MATCH(($A615 &amp; "Points"),CLASSNAMEHEADERS,0))),"")))))))))}</f>
        <v>ADVANCEDL17</v>
      </c>
      <c r="X614" s="223"/>
      <c r="Y614" s="223" t="str">
        <f t="array" ref="Y614:Y615">{"ADVANCEDL19";((IF("19"=(INDEX(ALLCLASSDATA,MATCH("AdvancedLegendary",CLASSFEATUREHEADERS,0),MATCH($A615,CLASSNAMEHEADERS,0))),(INDEX(ALLCLASSDATA,MATCH("AdvancedLegendary",CLASSFEATUREHEADERS,0),MATCH(($A615 &amp; "Points"),CLASSNAMEHEADERS,0))),(IF("19"=(INDEX(ALLCLASSDATA,MATCH("AdvancedMaster",CLASSFEATUREHEADERS,0),MATCH($A615,CLASSNAMEHEADERS,0))),(INDEX(ALLCLASSDATA,MATCH("AdvancedMaster",CLASSFEATUREHEADERS,0),MATCH(($A615 &amp; "Points"),CLASSNAMEHEADERS,0))),(IF("19"=(INDEX(ALLCLASSDATA,MATCH("AdvancedExpert",CLASSFEATUREHEADERS,0),MATCH($A615,CLASSNAMEHEADERS,0))),(INDEX(ALLCLASSDATA,MATCH("AdvancedExpert",CLASSFEATUREHEADERS,0),MATCH(($A615 &amp; "Points"),CLASSNAMEHEADERS,0))),(IF("19"=(INDEX(ALLCLASSDATA,MATCH("AdvancedTrained",CLASSFEATUREHEADERS,0),MATCH($A615,CLASSNAMEHEADERS,0))),(INDEX(ALLCLASSDATA,MATCH("AdvancedTrained",CLASSFEATUREHEADERS,0),MATCH(($A615 &amp; "Points"),CLASSNAMEHEADERS,0))),"")))))))))}</f>
        <v>ADVANCEDL19</v>
      </c>
      <c r="Z614" s="223"/>
      <c r="AA614" s="76" t="str">
        <f t="array" ref="AA614:AA615">{"ADVANCED TOTAL";(IF(COUNTBLANK(F615:Z615)=17,"L",(IF(COUNTBLANK(F615:Z615)=18,"M",(IF(COUNTBLANK(F615:Z615)=19,"E",(IF(COUNTBLANK(F615:Z615)=20,"T",""))))))))}</f>
        <v>ADVANCED TOTAL</v>
      </c>
      <c r="AB614" s="76" t="str">
        <f t="array" ref="AB614:AB615">{"ADVANCED TOTAL";(sum(F615:Z615))}</f>
        <v>ADVANCED TOTAL</v>
      </c>
    </row>
    <row r="615">
      <c r="A615" s="48" t="s">
        <v>221</v>
      </c>
      <c r="B615" s="48" t="s">
        <v>418</v>
      </c>
      <c r="C615" s="97" t="s">
        <v>1634</v>
      </c>
      <c r="D615" s="97" t="s">
        <v>602</v>
      </c>
      <c r="E615" s="98" t="s">
        <v>603</v>
      </c>
      <c r="F615" s="132" t="s">
        <v>603</v>
      </c>
      <c r="G615" s="98" t="s">
        <v>603</v>
      </c>
      <c r="H615" s="98"/>
      <c r="I615" s="98" t="s">
        <v>603</v>
      </c>
      <c r="J615" s="98"/>
      <c r="K615" s="98" t="s">
        <v>603</v>
      </c>
      <c r="L615" s="98"/>
      <c r="M615" s="98" t="s">
        <v>603</v>
      </c>
      <c r="N615" s="98"/>
      <c r="O615" s="98" t="s">
        <v>603</v>
      </c>
      <c r="P615" s="98"/>
      <c r="Q615" s="98" t="s">
        <v>603</v>
      </c>
      <c r="R615" s="98"/>
      <c r="S615" s="98" t="s">
        <v>603</v>
      </c>
      <c r="T615" s="98"/>
      <c r="U615" s="98" t="s">
        <v>603</v>
      </c>
      <c r="V615" s="98"/>
      <c r="W615" s="98" t="s">
        <v>603</v>
      </c>
      <c r="X615" s="98"/>
      <c r="Y615" s="98" t="s">
        <v>603</v>
      </c>
      <c r="Z615" s="98"/>
      <c r="AA615" s="5" t="s">
        <v>603</v>
      </c>
      <c r="AB615" s="47">
        <v>0.0</v>
      </c>
    </row>
    <row r="616" hidden="1">
      <c r="A616" s="222" t="str">
        <f t="array" ref="A616:A617">{"FormulaRow34";(INDEX(CLASSLIST,A549,1))}</f>
        <v>FormulaRow34</v>
      </c>
      <c r="B616" s="222" t="str">
        <f t="array" ref="B616:B617">{"CLASSTYPE";((INDEX(ALLCLASSDATA,MATCH("ClassType",CLASSFEATUREHEADERS,0),MATCH($A617,CLASSNAMEHEADERS,0))))}</f>
        <v>CLASSTYPE</v>
      </c>
      <c r="C616" s="222" t="str">
        <f t="array" ref="C616:C617">{"DEFENSE";"Defense"}</f>
        <v>DEFENSE</v>
      </c>
      <c r="D616" s="222" t="str">
        <f t="array" ref="D616:D617">{"ARMORSPECIAL";"ArmorAS"}</f>
        <v>ARMORSPECIAL</v>
      </c>
      <c r="E616" s="223"/>
      <c r="F616" s="223"/>
      <c r="G616" s="223" t="str">
        <f t="array" ref="G616:G617">{"ARMORSPECIALL01";((IF("01"=INDEX(ALLCLASSDATA,MATCH("ArmorSpecialization",CLASSFEATUREHEADERS,0),MATCH($A617,CLASSNAMEHEADERS,0)),ArmorAS,"")))}</f>
        <v>ARMORSPECIALL01</v>
      </c>
      <c r="H616" s="223"/>
      <c r="I616" s="223" t="str">
        <f t="array" ref="I616:I617">{"ARMORSPECIALL03";((IF("03"=INDEX(ALLCLASSDATA,MATCH("ArmorSpecialization",CLASSFEATUREHEADERS,0),MATCH($A617,CLASSNAMEHEADERS,0)),ArmorAS,"")))}</f>
        <v>ARMORSPECIALL03</v>
      </c>
      <c r="J616" s="223"/>
      <c r="K616" s="223" t="str">
        <f t="array" ref="K616:K617">{"ARMORSPECIALL05";((IF("05"=INDEX(ALLCLASSDATA,MATCH("ArmorSpecialization",CLASSFEATUREHEADERS,0),MATCH($A617,CLASSNAMEHEADERS,0)),ArmorAS,"")))}</f>
        <v>ARMORSPECIALL05</v>
      </c>
      <c r="L616" s="223"/>
      <c r="M616" s="223" t="str">
        <f t="array" ref="M616:M617">{"ARMORSPECIALL07";((IF("07"=INDEX(ALLCLASSDATA,MATCH("ArmorSpecialization",CLASSFEATUREHEADERS,0),MATCH($A617,CLASSNAMEHEADERS,0)),ArmorAS,"")))}</f>
        <v>ARMORSPECIALL07</v>
      </c>
      <c r="N616" s="223"/>
      <c r="O616" s="223" t="str">
        <f t="array" ref="O616:O617">{"ARMORSPECIALL09";((IF("09"=INDEX(ALLCLASSDATA,MATCH("ArmorSpecialization",CLASSFEATUREHEADERS,0),MATCH($A617,CLASSNAMEHEADERS,0)),ArmorAS,"")))}</f>
        <v>ARMORSPECIALL09</v>
      </c>
      <c r="P616" s="223"/>
      <c r="Q616" s="223" t="str">
        <f t="array" ref="Q616:Q617">{"ARMORSPECIALL11";((IF("11"=INDEX(ALLCLASSDATA,MATCH("ArmorSpecialization",CLASSFEATUREHEADERS,0),MATCH($A617,CLASSNAMEHEADERS,0)),ArmorAS,"")))}</f>
        <v>ARMORSPECIALL11</v>
      </c>
      <c r="R616" s="223"/>
      <c r="S616" s="223" t="str">
        <f t="array" ref="S616:S617">{"ARMORSPECIALL13";((IF("13"=INDEX(ALLCLASSDATA,MATCH("ArmorSpecialization",CLASSFEATUREHEADERS,0),MATCH($A617,CLASSNAMEHEADERS,0)),ArmorAS,"")))}</f>
        <v>ARMORSPECIALL13</v>
      </c>
      <c r="T616" s="223"/>
      <c r="U616" s="223" t="str">
        <f t="array" ref="U616:U617">{"ARMORSPECIALL15";((IF("15"=INDEX(ALLCLASSDATA,MATCH("ArmorSpecialization",CLASSFEATUREHEADERS,0),MATCH($A617,CLASSNAMEHEADERS,0)),ArmorAS,"")))}</f>
        <v>ARMORSPECIALL15</v>
      </c>
      <c r="V616" s="223"/>
      <c r="W616" s="223" t="str">
        <f t="array" ref="W616:W617">{"ARMORSPECIALL17";((IF("17"=INDEX(ALLCLASSDATA,MATCH("ArmorSpecialization",CLASSFEATUREHEADERS,0),MATCH($A617,CLASSNAMEHEADERS,0)),ArmorAS,"")))}</f>
        <v>ARMORSPECIALL17</v>
      </c>
      <c r="X616" s="223"/>
      <c r="Y616" s="223" t="str">
        <f t="array" ref="Y616:Y617">{"ARMORSPECIALL19";((IF("19"=INDEX(ALLCLASSDATA,MATCH("ArmorSpecialization",CLASSFEATUREHEADERS,0),MATCH($A617,CLASSNAMEHEADERS,0)),ArmorAS,"")))}</f>
        <v>ARMORSPECIALL19</v>
      </c>
      <c r="Z616" s="223"/>
      <c r="AA616" s="76"/>
      <c r="AB616" s="76" t="str">
        <f t="array" ref="AB616:AB617">{"ARMORSPECIAL TOTAL";(sum(F617:Z617))}</f>
        <v>ARMORSPECIAL TOTAL</v>
      </c>
    </row>
    <row r="617">
      <c r="A617" s="48" t="s">
        <v>221</v>
      </c>
      <c r="B617" s="48" t="s">
        <v>418</v>
      </c>
      <c r="C617" s="48" t="s">
        <v>1900</v>
      </c>
      <c r="D617" s="48" t="s">
        <v>51</v>
      </c>
      <c r="E617" s="5"/>
      <c r="F617" s="47"/>
      <c r="G617" s="5" t="s">
        <v>603</v>
      </c>
      <c r="H617" s="5"/>
      <c r="I617" s="5" t="s">
        <v>603</v>
      </c>
      <c r="J617" s="5"/>
      <c r="K617" s="5" t="s">
        <v>603</v>
      </c>
      <c r="L617" s="5"/>
      <c r="M617" s="5" t="s">
        <v>603</v>
      </c>
      <c r="N617" s="5"/>
      <c r="O617" s="5" t="s">
        <v>603</v>
      </c>
      <c r="P617" s="5"/>
      <c r="Q617" s="5" t="s">
        <v>603</v>
      </c>
      <c r="R617" s="5"/>
      <c r="S617" s="5" t="s">
        <v>603</v>
      </c>
      <c r="T617" s="5"/>
      <c r="U617" s="5" t="s">
        <v>603</v>
      </c>
      <c r="V617" s="5"/>
      <c r="W617" s="5" t="s">
        <v>603</v>
      </c>
      <c r="X617" s="5"/>
      <c r="Y617" s="5" t="s">
        <v>603</v>
      </c>
      <c r="Z617" s="5"/>
      <c r="AA617" s="5"/>
      <c r="AB617" s="47">
        <v>0.0</v>
      </c>
    </row>
    <row r="618" hidden="1">
      <c r="A618" s="222" t="str">
        <f t="array" ref="A618:A619">{"FormulaRow35";(INDEX(CLASSLIST,A549,1))}</f>
        <v>FormulaRow35</v>
      </c>
      <c r="B618" s="222" t="str">
        <f t="array" ref="B618:B619">{"CLASSTYPE";((INDEX(ALLCLASSDATA,MATCH("ClassType",CLASSFEATUREHEADERS,0),MATCH($A619,CLASSNAMEHEADERS,0))))}</f>
        <v>CLASSTYPE</v>
      </c>
      <c r="C618" s="222" t="str">
        <f t="array" ref="C618:C619">{"DEFENSE";"Defense"}</f>
        <v>DEFENSE</v>
      </c>
      <c r="D618" s="222" t="str">
        <f t="array" ref="D618:D619">{"UNARMORED";"Unarmored"}</f>
        <v>UNARMORED</v>
      </c>
      <c r="E618" s="223" t="str">
        <f t="array" ref="E618:E619">{"UNARMOREDINITIAL";((IF(G619=10,"T",(IF(G619=50,"E","")))))}</f>
        <v>UNARMOREDINITIAL</v>
      </c>
      <c r="F618" s="223" t="str">
        <f t="array" ref="F618:F619">{"UNARMOREDINITIALPTS";((IF("00"=(INDEX(ALLCLASSDATA,MATCH("UnarmoredLegendary",CLASSFEATUREHEADERS,0),MATCH($A619,CLASSNAMEHEADERS,0))),(INDEX(ALLCLASSDATA,MATCH("UnarmoredLegendary",CLASSFEATUREHEADERS,0),MATCH(($A619 &amp; "Points"),CLASSNAMEHEADERS,0))),(IF("00"=(INDEX(ALLCLASSDATA,MATCH("UnarmoredMaster",CLASSFEATUREHEADERS,0),MATCH($A619,CLASSNAMEHEADERS,0))),(INDEX(ALLCLASSDATA,MATCH("UnarmoredMaster",CLASSFEATUREHEADERS,0),MATCH(($A619 &amp; "Points"),CLASSNAMEHEADERS,0))),(IF("00"=(INDEX(ALLCLASSDATA,MATCH("UnarmoredExpert",CLASSFEATUREHEADERS,0),MATCH($A619,CLASSNAMEHEADERS,0))),(INDEX(ALLCLASSDATA,MATCH("UnarmoredExpert",CLASSFEATUREHEADERS,0),MATCH(($A619 &amp; "Points"),CLASSNAMEHEADERS,0))),(IF("00"=(INDEX(ALLCLASSDATA,MATCH("UnarmoredTrained",CLASSFEATUREHEADERS,0),MATCH($A619,CLASSNAMEHEADERS,0))),(INDEX(ALLCLASSDATA,MATCH("UnarmoredTrained",CLASSFEATUREHEADERS,0),MATCH(($A619 &amp; "Points"),CLASSNAMEHEADERS,0))),"")))))))))}</f>
        <v>UNARMOREDINITIALPTS</v>
      </c>
      <c r="G618" s="223" t="str">
        <f t="array" ref="G618:G619">{"UNARMOREDL01";((IF("01"=(INDEX(ALLCLASSDATA,MATCH("UnarmoredLegendary",CLASSFEATUREHEADERS,0),MATCH($A619,CLASSNAMEHEADERS,0))),(INDEX(ALLCLASSDATA,MATCH("UnarmoredLegendary",CLASSFEATUREHEADERS,0),MATCH(($A619 &amp; "Points"),CLASSNAMEHEADERS,0))),(IF("01"=(INDEX(ALLCLASSDATA,MATCH("UnarmoredMaster",CLASSFEATUREHEADERS,0),MATCH($A619,CLASSNAMEHEADERS,0))),(INDEX(ALLCLASSDATA,MATCH("UnarmoredMaster",CLASSFEATUREHEADERS,0),MATCH(($A619 &amp; "Points"),CLASSNAMEHEADERS,0))),(IF("01"=(INDEX(ALLCLASSDATA,MATCH("UnarmoredExpert",CLASSFEATUREHEADERS,0),MATCH($A619,CLASSNAMEHEADERS,0))),(INDEX(ALLCLASSDATA,MATCH("UnarmoredExpert",CLASSFEATUREHEADERS,0),MATCH(($A619 &amp; "Points"),CLASSNAMEHEADERS,0))),(IF("01"=(INDEX(ALLCLASSDATA,MATCH("UnarmoredTrained",CLASSFEATUREHEADERS,0),MATCH($A619,CLASSNAMEHEADERS,0))),(INDEX(ALLCLASSDATA,MATCH("UnarmoredTrained",CLASSFEATUREHEADERS,0),MATCH(($A619 &amp; "Points"),CLASSNAMEHEADERS,0))),"")))))))))}</f>
        <v>UNARMOREDL01</v>
      </c>
      <c r="H618" s="223"/>
      <c r="I618" s="223" t="str">
        <f t="array" ref="I618:I619">{"UNARMOREDL03";((IF("03"=(INDEX(ALLCLASSDATA,MATCH("UnarmoredLegendary",CLASSFEATUREHEADERS,0),MATCH($A619,CLASSNAMEHEADERS,0))),(INDEX(ALLCLASSDATA,MATCH("UnarmoredLegendary",CLASSFEATUREHEADERS,0),MATCH(($A619 &amp; "Points"),CLASSNAMEHEADERS,0))),(IF("03"=(INDEX(ALLCLASSDATA,MATCH("UnarmoredMaster",CLASSFEATUREHEADERS,0),MATCH($A619,CLASSNAMEHEADERS,0))),(INDEX(ALLCLASSDATA,MATCH("UnarmoredMaster",CLASSFEATUREHEADERS,0),MATCH(($A619 &amp; "Points"),CLASSNAMEHEADERS,0))),(IF("03"=(INDEX(ALLCLASSDATA,MATCH("UnarmoredExpert",CLASSFEATUREHEADERS,0),MATCH($A619,CLASSNAMEHEADERS,0))),(INDEX(ALLCLASSDATA,MATCH("UnarmoredExpert",CLASSFEATUREHEADERS,0),MATCH(($A619 &amp; "Points"),CLASSNAMEHEADERS,0))),(IF("03"=(INDEX(ALLCLASSDATA,MATCH("UnarmoredTrained",CLASSFEATUREHEADERS,0),MATCH($A619,CLASSNAMEHEADERS,0))),(INDEX(ALLCLASSDATA,MATCH("UnarmoredTrained",CLASSFEATUREHEADERS,0),MATCH(($A619 &amp; "Points"),CLASSNAMEHEADERS,0))),"")))))))))}</f>
        <v>UNARMOREDL03</v>
      </c>
      <c r="J618" s="223"/>
      <c r="K618" s="223" t="str">
        <f t="array" ref="K618:K619">{"UNARMOREDL05";((IF("05"=(INDEX(ALLCLASSDATA,MATCH("UnarmoredLegendary",CLASSFEATUREHEADERS,0),MATCH($A619,CLASSNAMEHEADERS,0))),(INDEX(ALLCLASSDATA,MATCH("UnarmoredLegendary",CLASSFEATUREHEADERS,0),MATCH(($A619 &amp; "Points"),CLASSNAMEHEADERS,0))),(IF("05"=(INDEX(ALLCLASSDATA,MATCH("UnarmoredMaster",CLASSFEATUREHEADERS,0),MATCH($A619,CLASSNAMEHEADERS,0))),(INDEX(ALLCLASSDATA,MATCH("UnarmoredMaster",CLASSFEATUREHEADERS,0),MATCH(($A619 &amp; "Points"),CLASSNAMEHEADERS,0))),(IF("05"=(INDEX(ALLCLASSDATA,MATCH("UnarmoredExpert",CLASSFEATUREHEADERS,0),MATCH($A619,CLASSNAMEHEADERS,0))),(INDEX(ALLCLASSDATA,MATCH("UnarmoredExpert",CLASSFEATUREHEADERS,0),MATCH(($A619 &amp; "Points"),CLASSNAMEHEADERS,0))),(IF("05"=(INDEX(ALLCLASSDATA,MATCH("UnarmoredTrained",CLASSFEATUREHEADERS,0),MATCH($A619,CLASSNAMEHEADERS,0))),(INDEX(ALLCLASSDATA,MATCH("UnarmoredTrained",CLASSFEATUREHEADERS,0),MATCH(($A619 &amp; "Points"),CLASSNAMEHEADERS,0))),"")))))))))}</f>
        <v>UNARMOREDL05</v>
      </c>
      <c r="L618" s="223"/>
      <c r="M618" s="223" t="str">
        <f t="array" ref="M618:M619">{"UNARMOREDL07";((IF("07"=(INDEX(ALLCLASSDATA,MATCH("UnarmoredLegendary",CLASSFEATUREHEADERS,0),MATCH($A619,CLASSNAMEHEADERS,0))),(INDEX(ALLCLASSDATA,MATCH("UnarmoredLegendary",CLASSFEATUREHEADERS,0),MATCH(($A619 &amp; "Points"),CLASSNAMEHEADERS,0))),(IF("07"=(INDEX(ALLCLASSDATA,MATCH("UnarmoredMaster",CLASSFEATUREHEADERS,0),MATCH($A619,CLASSNAMEHEADERS,0))),(INDEX(ALLCLASSDATA,MATCH("UnarmoredMaster",CLASSFEATUREHEADERS,0),MATCH(($A619 &amp; "Points"),CLASSNAMEHEADERS,0))),(IF("07"=(INDEX(ALLCLASSDATA,MATCH("UnarmoredExpert",CLASSFEATUREHEADERS,0),MATCH($A619,CLASSNAMEHEADERS,0))),(INDEX(ALLCLASSDATA,MATCH("UnarmoredExpert",CLASSFEATUREHEADERS,0),MATCH(($A619 &amp; "Points"),CLASSNAMEHEADERS,0))),(IF("07"=(INDEX(ALLCLASSDATA,MATCH("UnarmoredTrained",CLASSFEATUREHEADERS,0),MATCH($A619,CLASSNAMEHEADERS,0))),(INDEX(ALLCLASSDATA,MATCH("UnarmoredTrained",CLASSFEATUREHEADERS,0),MATCH(($A619 &amp; "Points"),CLASSNAMEHEADERS,0))),"")))))))))}</f>
        <v>UNARMOREDL07</v>
      </c>
      <c r="N618" s="223"/>
      <c r="O618" s="223" t="str">
        <f t="array" ref="O618:O619">{"UNARMOREDL09";((IF("09"=(INDEX(ALLCLASSDATA,MATCH("UnarmoredLegendary",CLASSFEATUREHEADERS,0),MATCH($A619,CLASSNAMEHEADERS,0))),(INDEX(ALLCLASSDATA,MATCH("UnarmoredLegendary",CLASSFEATUREHEADERS,0),MATCH(($A619 &amp; "Points"),CLASSNAMEHEADERS,0))),(IF("09"=(INDEX(ALLCLASSDATA,MATCH("UnarmoredMaster",CLASSFEATUREHEADERS,0),MATCH($A619,CLASSNAMEHEADERS,0))),(INDEX(ALLCLASSDATA,MATCH("UnarmoredMaster",CLASSFEATUREHEADERS,0),MATCH(($A619 &amp; "Points"),CLASSNAMEHEADERS,0))),(IF("09"=(INDEX(ALLCLASSDATA,MATCH("UnarmoredExpert",CLASSFEATUREHEADERS,0),MATCH($A619,CLASSNAMEHEADERS,0))),(INDEX(ALLCLASSDATA,MATCH("UnarmoredExpert",CLASSFEATUREHEADERS,0),MATCH(($A619 &amp; "Points"),CLASSNAMEHEADERS,0))),(IF("09"=(INDEX(ALLCLASSDATA,MATCH("UnarmoredTrained",CLASSFEATUREHEADERS,0),MATCH($A619,CLASSNAMEHEADERS,0))),(INDEX(ALLCLASSDATA,MATCH("UnarmoredTrained",CLASSFEATUREHEADERS,0),MATCH(($A619 &amp; "Points"),CLASSNAMEHEADERS,0))),"")))))))))}</f>
        <v>UNARMOREDL09</v>
      </c>
      <c r="P618" s="223"/>
      <c r="Q618" s="223" t="str">
        <f t="array" ref="Q618:Q619">{"UNARMOREDL11";((IF("11"=(INDEX(ALLCLASSDATA,MATCH("UnarmoredLegendary",CLASSFEATUREHEADERS,0),MATCH($A619,CLASSNAMEHEADERS,0))),(INDEX(ALLCLASSDATA,MATCH("UnarmoredLegendary",CLASSFEATUREHEADERS,0),MATCH(($A619 &amp; "Points"),CLASSNAMEHEADERS,0))),(IF("11"=(INDEX(ALLCLASSDATA,MATCH("UnarmoredMaster",CLASSFEATUREHEADERS,0),MATCH($A619,CLASSNAMEHEADERS,0))),(INDEX(ALLCLASSDATA,MATCH("UnarmoredMaster",CLASSFEATUREHEADERS,0),MATCH(($A619 &amp; "Points"),CLASSNAMEHEADERS,0))),(IF("11"=(INDEX(ALLCLASSDATA,MATCH("UnarmoredExpert",CLASSFEATUREHEADERS,0),MATCH($A619,CLASSNAMEHEADERS,0))),(INDEX(ALLCLASSDATA,MATCH("UnarmoredExpert",CLASSFEATUREHEADERS,0),MATCH(($A619 &amp; "Points"),CLASSNAMEHEADERS,0))),(IF("11"=(INDEX(ALLCLASSDATA,MATCH("UnarmoredTrained",CLASSFEATUREHEADERS,0),MATCH($A619,CLASSNAMEHEADERS,0))),(INDEX(ALLCLASSDATA,MATCH("UnarmoredTrained",CLASSFEATUREHEADERS,0),MATCH(($A619 &amp; "Points"),CLASSNAMEHEADERS,0))),"")))))))))}</f>
        <v>UNARMOREDL11</v>
      </c>
      <c r="R618" s="223"/>
      <c r="S618" s="223" t="str">
        <f t="array" ref="S618:S619">{"UNARMOREDL13";((IF("13"=(INDEX(ALLCLASSDATA,MATCH("UnarmoredLegendary",CLASSFEATUREHEADERS,0),MATCH($A619,CLASSNAMEHEADERS,0))),(INDEX(ALLCLASSDATA,MATCH("UnarmoredLegendary",CLASSFEATUREHEADERS,0),MATCH(($A619 &amp; "Points"),CLASSNAMEHEADERS,0))),(IF("13"=(INDEX(ALLCLASSDATA,MATCH("UnarmoredMaster",CLASSFEATUREHEADERS,0),MATCH($A619,CLASSNAMEHEADERS,0))),(INDEX(ALLCLASSDATA,MATCH("UnarmoredMaster",CLASSFEATUREHEADERS,0),MATCH(($A619 &amp; "Points"),CLASSNAMEHEADERS,0))),(IF("13"=(INDEX(ALLCLASSDATA,MATCH("UnarmoredExpert",CLASSFEATUREHEADERS,0),MATCH($A619,CLASSNAMEHEADERS,0))),(INDEX(ALLCLASSDATA,MATCH("UnarmoredExpert",CLASSFEATUREHEADERS,0),MATCH(($A619 &amp; "Points"),CLASSNAMEHEADERS,0))),(IF("13"=(INDEX(ALLCLASSDATA,MATCH("UnarmoredTrained",CLASSFEATUREHEADERS,0),MATCH($A619,CLASSNAMEHEADERS,0))),(INDEX(ALLCLASSDATA,MATCH("UnarmoredTrained",CLASSFEATUREHEADERS,0),MATCH(($A619 &amp; "Points"),CLASSNAMEHEADERS,0))),"")))))))))}</f>
        <v>UNARMOREDL13</v>
      </c>
      <c r="T618" s="223"/>
      <c r="U618" s="223" t="str">
        <f t="array" ref="U618:U619">{"UNARMOREDL15";((IF("15"=(INDEX(ALLCLASSDATA,MATCH("UnarmoredLegendary",CLASSFEATUREHEADERS,0),MATCH($A619,CLASSNAMEHEADERS,0))),(INDEX(ALLCLASSDATA,MATCH("UnarmoredLegendary",CLASSFEATUREHEADERS,0),MATCH(($A619 &amp; "Points"),CLASSNAMEHEADERS,0))),(IF("15"=(INDEX(ALLCLASSDATA,MATCH("UnarmoredMaster",CLASSFEATUREHEADERS,0),MATCH($A619,CLASSNAMEHEADERS,0))),(INDEX(ALLCLASSDATA,MATCH("UnarmoredMaster",CLASSFEATUREHEADERS,0),MATCH(($A619 &amp; "Points"),CLASSNAMEHEADERS,0))),(IF("15"=(INDEX(ALLCLASSDATA,MATCH("UnarmoredExpert",CLASSFEATUREHEADERS,0),MATCH($A619,CLASSNAMEHEADERS,0))),(INDEX(ALLCLASSDATA,MATCH("UnarmoredExpert",CLASSFEATUREHEADERS,0),MATCH(($A619 &amp; "Points"),CLASSNAMEHEADERS,0))),(IF("15"=(INDEX(ALLCLASSDATA,MATCH("UnarmoredTrained",CLASSFEATUREHEADERS,0),MATCH($A619,CLASSNAMEHEADERS,0))),(INDEX(ALLCLASSDATA,MATCH("UnarmoredTrained",CLASSFEATUREHEADERS,0),MATCH(($A619 &amp; "Points"),CLASSNAMEHEADERS,0))),"")))))))))}</f>
        <v>UNARMOREDL15</v>
      </c>
      <c r="V618" s="223"/>
      <c r="W618" s="223" t="str">
        <f t="array" ref="W618:W619">{"UNARMOREDL17";((IF("17"=(INDEX(ALLCLASSDATA,MATCH("UnarmoredLegendary",CLASSFEATUREHEADERS,0),MATCH($A619,CLASSNAMEHEADERS,0))),(INDEX(ALLCLASSDATA,MATCH("UnarmoredLegendary",CLASSFEATUREHEADERS,0),MATCH(($A619 &amp; "Points"),CLASSNAMEHEADERS,0))),(IF("17"=(INDEX(ALLCLASSDATA,MATCH("UnarmoredMaster",CLASSFEATUREHEADERS,0),MATCH($A619,CLASSNAMEHEADERS,0))),(INDEX(ALLCLASSDATA,MATCH("UnarmoredMaster",CLASSFEATUREHEADERS,0),MATCH(($A619 &amp; "Points"),CLASSNAMEHEADERS,0))),(IF("17"=(INDEX(ALLCLASSDATA,MATCH("UnarmoredExpert",CLASSFEATUREHEADERS,0),MATCH($A619,CLASSNAMEHEADERS,0))),(INDEX(ALLCLASSDATA,MATCH("UnarmoredExpert",CLASSFEATUREHEADERS,0),MATCH(($A619 &amp; "Points"),CLASSNAMEHEADERS,0))),(IF("17"=(INDEX(ALLCLASSDATA,MATCH("UnarmoredTrained",CLASSFEATUREHEADERS,0),MATCH($A619,CLASSNAMEHEADERS,0))),(INDEX(ALLCLASSDATA,MATCH("UnarmoredTrained",CLASSFEATUREHEADERS,0),MATCH(($A619 &amp; "Points"),CLASSNAMEHEADERS,0))),"")))))))))}</f>
        <v>UNARMOREDL17</v>
      </c>
      <c r="X618" s="223"/>
      <c r="Y618" s="223" t="str">
        <f t="array" ref="Y618:Y619">{"UNARMOREDL19";((IF("19"=(INDEX(ALLCLASSDATA,MATCH("UnarmoredLegendary",CLASSFEATUREHEADERS,0),MATCH($A619,CLASSNAMEHEADERS,0))),(INDEX(ALLCLASSDATA,MATCH("UnarmoredLegendary",CLASSFEATUREHEADERS,0),MATCH(($A619 &amp; "Points"),CLASSNAMEHEADERS,0))),(IF("19"=(INDEX(ALLCLASSDATA,MATCH("UnarmoredMaster",CLASSFEATUREHEADERS,0),MATCH($A619,CLASSNAMEHEADERS,0))),(INDEX(ALLCLASSDATA,MATCH("UnarmoredMaster",CLASSFEATUREHEADERS,0),MATCH(($A619 &amp; "Points"),CLASSNAMEHEADERS,0))),(IF("19"=(INDEX(ALLCLASSDATA,MATCH("UnarmoredExpert",CLASSFEATUREHEADERS,0),MATCH($A619,CLASSNAMEHEADERS,0))),(INDEX(ALLCLASSDATA,MATCH("UnarmoredExpert",CLASSFEATUREHEADERS,0),MATCH(($A619 &amp; "Points"),CLASSNAMEHEADERS,0))),(IF("19"=(INDEX(ALLCLASSDATA,MATCH("UnarmoredTrained",CLASSFEATUREHEADERS,0),MATCH($A619,CLASSNAMEHEADERS,0))),(INDEX(ALLCLASSDATA,MATCH("UnarmoredTrained",CLASSFEATUREHEADERS,0),MATCH(($A619 &amp; "Points"),CLASSNAMEHEADERS,0))),"")))))))))}</f>
        <v>UNARMOREDL19</v>
      </c>
      <c r="Z618" s="223"/>
      <c r="AA618" s="76" t="str">
        <f t="array" ref="AA618:AA619">{"UNARMORED TOTAL";(IF(COUNTBLANK(F619:Z619)=17,"L",(IF(COUNTBLANK(F619:Z619)=18,"M",(IF(COUNTBLANK(F619:Z619)=19,"E",(IF(COUNTBLANK(F619:Z619)=20,"T",""))))))))}</f>
        <v>UNARMORED TOTAL</v>
      </c>
      <c r="AB618" s="76" t="str">
        <f t="array" ref="AB618:AB619">{"UNARMORED TOTAL";(sum(F619:Z619))}</f>
        <v>UNARMORED TOTAL</v>
      </c>
    </row>
    <row r="619">
      <c r="A619" s="48" t="s">
        <v>221</v>
      </c>
      <c r="B619" s="48" t="s">
        <v>418</v>
      </c>
      <c r="C619" s="48" t="s">
        <v>1900</v>
      </c>
      <c r="D619" s="48" t="s">
        <v>78</v>
      </c>
      <c r="E619" s="5" t="s">
        <v>435</v>
      </c>
      <c r="F619" s="47" t="s">
        <v>603</v>
      </c>
      <c r="G619" s="5">
        <v>10.0</v>
      </c>
      <c r="H619" s="5"/>
      <c r="I619" s="5" t="s">
        <v>603</v>
      </c>
      <c r="J619" s="5"/>
      <c r="K619" s="5" t="s">
        <v>603</v>
      </c>
      <c r="L619" s="5"/>
      <c r="M619" s="5" t="s">
        <v>603</v>
      </c>
      <c r="N619" s="5"/>
      <c r="O619" s="5" t="s">
        <v>603</v>
      </c>
      <c r="P619" s="5"/>
      <c r="Q619" s="5" t="s">
        <v>603</v>
      </c>
      <c r="R619" s="5"/>
      <c r="S619" s="5" t="s">
        <v>436</v>
      </c>
      <c r="T619" s="5"/>
      <c r="U619" s="5" t="s">
        <v>603</v>
      </c>
      <c r="V619" s="5"/>
      <c r="W619" s="5" t="s">
        <v>603</v>
      </c>
      <c r="X619" s="5"/>
      <c r="Y619" s="5" t="s">
        <v>603</v>
      </c>
      <c r="Z619" s="5"/>
      <c r="AA619" s="5" t="s">
        <v>436</v>
      </c>
      <c r="AB619" s="47">
        <v>10.0</v>
      </c>
    </row>
    <row r="620" hidden="1">
      <c r="A620" s="222" t="str">
        <f t="array" ref="A620:A621">{"FormulaRow36";(INDEX(CLASSLIST,A549,1))}</f>
        <v>FormulaRow36</v>
      </c>
      <c r="B620" s="222" t="str">
        <f t="array" ref="B620:B621">{"CLASSTYPE";((INDEX(ALLCLASSDATA,MATCH("ClassType",CLASSFEATUREHEADERS,0),MATCH($A621,CLASSNAMEHEADERS,0))))}</f>
        <v>CLASSTYPE</v>
      </c>
      <c r="C620" s="222" t="str">
        <f t="array" ref="C620:C621">{"DEFENSE";"Defense"}</f>
        <v>DEFENSE</v>
      </c>
      <c r="D620" s="222" t="str">
        <f t="array" ref="D620:D621">{"LIGHT";"Light"}</f>
        <v>LIGHT</v>
      </c>
      <c r="E620" s="223" t="str">
        <f t="array" ref="E620:E621">{"LIGHTINITIAL";((IF(G621=10,"T",(IF(G621=50,"E","")))))}</f>
        <v>LIGHTINITIAL</v>
      </c>
      <c r="F620" s="223" t="str">
        <f t="array" ref="F620:F621">{"LIGHTINITIALPTS";((IF("00"=(INDEX(ALLCLASSDATA,MATCH("LightLegendary",CLASSFEATUREHEADERS,0),MATCH($A621,CLASSNAMEHEADERS,0))),(INDEX(ALLCLASSDATA,MATCH("LightLegendary",CLASSFEATUREHEADERS,0),MATCH(($A621 &amp; "Points"),CLASSNAMEHEADERS,0))),(IF("00"=(INDEX(ALLCLASSDATA,MATCH("LightMaster",CLASSFEATUREHEADERS,0),MATCH($A621,CLASSNAMEHEADERS,0))),(INDEX(ALLCLASSDATA,MATCH("LightMaster",CLASSFEATUREHEADERS,0),MATCH(($A621 &amp; "Points"),CLASSNAMEHEADERS,0))),(IF("00"=(INDEX(ALLCLASSDATA,MATCH("LightExpert",CLASSFEATUREHEADERS,0),MATCH($A621,CLASSNAMEHEADERS,0))),(INDEX(ALLCLASSDATA,MATCH("LightExpert",CLASSFEATUREHEADERS,0),MATCH(($A621 &amp; "Points"),CLASSNAMEHEADERS,0))),(IF("00"=(INDEX(ALLCLASSDATA,MATCH("LightTrained",CLASSFEATUREHEADERS,0),MATCH($A621,CLASSNAMEHEADERS,0))),(INDEX(ALLCLASSDATA,MATCH("LightTrained",CLASSFEATUREHEADERS,0),MATCH(($A621 &amp; "Points"),CLASSNAMEHEADERS,0))),"")))))))))}</f>
        <v>LIGHTINITIALPTS</v>
      </c>
      <c r="G620" s="223" t="str">
        <f t="array" ref="G620:G621">{"LIGHTL01";((IF("01"=(INDEX(ALLCLASSDATA,MATCH("LightLegendary",CLASSFEATUREHEADERS,0),MATCH($A621,CLASSNAMEHEADERS,0))),(INDEX(ALLCLASSDATA,MATCH("LightLegendary",CLASSFEATUREHEADERS,0),MATCH(($A621 &amp; "Points"),CLASSNAMEHEADERS,0))),(IF("01"=(INDEX(ALLCLASSDATA,MATCH("LightMaster",CLASSFEATUREHEADERS,0),MATCH($A621,CLASSNAMEHEADERS,0))),(INDEX(ALLCLASSDATA,MATCH("LightMaster",CLASSFEATUREHEADERS,0),MATCH(($A621 &amp; "Points"),CLASSNAMEHEADERS,0))),(IF("01"=(INDEX(ALLCLASSDATA,MATCH("LightExpert",CLASSFEATUREHEADERS,0),MATCH($A621,CLASSNAMEHEADERS,0))),(INDEX(ALLCLASSDATA,MATCH("LightExpert",CLASSFEATUREHEADERS,0),MATCH(($A621 &amp; "Points"),CLASSNAMEHEADERS,0))),(IF("01"=(INDEX(ALLCLASSDATA,MATCH("LightTrained",CLASSFEATUREHEADERS,0),MATCH($A621,CLASSNAMEHEADERS,0))),(INDEX(ALLCLASSDATA,MATCH("LightTrained",CLASSFEATUREHEADERS,0),MATCH(($A621 &amp; "Points"),CLASSNAMEHEADERS,0))),"")))))))))}</f>
        <v>LIGHTL01</v>
      </c>
      <c r="H620" s="223"/>
      <c r="I620" s="223" t="str">
        <f t="array" ref="I620:I621">{"LIGHTL03";((IF("03"=(INDEX(ALLCLASSDATA,MATCH("LightLegendary",CLASSFEATUREHEADERS,0),MATCH($A621,CLASSNAMEHEADERS,0))),(INDEX(ALLCLASSDATA,MATCH("LightLegendary",CLASSFEATUREHEADERS,0),MATCH(($A621 &amp; "Points"),CLASSNAMEHEADERS,0))),(IF("03"=(INDEX(ALLCLASSDATA,MATCH("LightMaster",CLASSFEATUREHEADERS,0),MATCH($A621,CLASSNAMEHEADERS,0))),(INDEX(ALLCLASSDATA,MATCH("LightMaster",CLASSFEATUREHEADERS,0),MATCH(($A621 &amp; "Points"),CLASSNAMEHEADERS,0))),(IF("03"=(INDEX(ALLCLASSDATA,MATCH("LightExpert",CLASSFEATUREHEADERS,0),MATCH($A621,CLASSNAMEHEADERS,0))),(INDEX(ALLCLASSDATA,MATCH("LightExpert",CLASSFEATUREHEADERS,0),MATCH(($A621 &amp; "Points"),CLASSNAMEHEADERS,0))),(IF("03"=(INDEX(ALLCLASSDATA,MATCH("LightTrained",CLASSFEATUREHEADERS,0),MATCH($A621,CLASSNAMEHEADERS,0))),(INDEX(ALLCLASSDATA,MATCH("LightTrained",CLASSFEATUREHEADERS,0),MATCH(($A621 &amp; "Points"),CLASSNAMEHEADERS,0))),"")))))))))}</f>
        <v>LIGHTL03</v>
      </c>
      <c r="J620" s="223"/>
      <c r="K620" s="223" t="str">
        <f t="array" ref="K620:K621">{"LIGHTL05";((IF("05"=(INDEX(ALLCLASSDATA,MATCH("LightLegendary",CLASSFEATUREHEADERS,0),MATCH($A621,CLASSNAMEHEADERS,0))),(INDEX(ALLCLASSDATA,MATCH("LightLegendary",CLASSFEATUREHEADERS,0),MATCH(($A621 &amp; "Points"),CLASSNAMEHEADERS,0))),(IF("05"=(INDEX(ALLCLASSDATA,MATCH("LightMaster",CLASSFEATUREHEADERS,0),MATCH($A621,CLASSNAMEHEADERS,0))),(INDEX(ALLCLASSDATA,MATCH("LightMaster",CLASSFEATUREHEADERS,0),MATCH(($A621 &amp; "Points"),CLASSNAMEHEADERS,0))),(IF("05"=(INDEX(ALLCLASSDATA,MATCH("LightExpert",CLASSFEATUREHEADERS,0),MATCH($A621,CLASSNAMEHEADERS,0))),(INDEX(ALLCLASSDATA,MATCH("LightExpert",CLASSFEATUREHEADERS,0),MATCH(($A621 &amp; "Points"),CLASSNAMEHEADERS,0))),(IF("05"=(INDEX(ALLCLASSDATA,MATCH("LightTrained",CLASSFEATUREHEADERS,0),MATCH($A621,CLASSNAMEHEADERS,0))),(INDEX(ALLCLASSDATA,MATCH("LightTrained",CLASSFEATUREHEADERS,0),MATCH(($A621 &amp; "Points"),CLASSNAMEHEADERS,0))),"")))))))))}</f>
        <v>LIGHTL05</v>
      </c>
      <c r="L620" s="223"/>
      <c r="M620" s="223" t="str">
        <f t="array" ref="M620:M621">{"LIGHTL07";((IF("07"=(INDEX(ALLCLASSDATA,MATCH("LightLegendary",CLASSFEATUREHEADERS,0),MATCH($A621,CLASSNAMEHEADERS,0))),(INDEX(ALLCLASSDATA,MATCH("LightLegendary",CLASSFEATUREHEADERS,0),MATCH(($A621 &amp; "Points"),CLASSNAMEHEADERS,0))),(IF("07"=(INDEX(ALLCLASSDATA,MATCH("LightMaster",CLASSFEATUREHEADERS,0),MATCH($A621,CLASSNAMEHEADERS,0))),(INDEX(ALLCLASSDATA,MATCH("LightMaster",CLASSFEATUREHEADERS,0),MATCH(($A621 &amp; "Points"),CLASSNAMEHEADERS,0))),(IF("07"=(INDEX(ALLCLASSDATA,MATCH("LightExpert",CLASSFEATUREHEADERS,0),MATCH($A621,CLASSNAMEHEADERS,0))),(INDEX(ALLCLASSDATA,MATCH("LightExpert",CLASSFEATUREHEADERS,0),MATCH(($A621 &amp; "Points"),CLASSNAMEHEADERS,0))),(IF("07"=(INDEX(ALLCLASSDATA,MATCH("LightTrained",CLASSFEATUREHEADERS,0),MATCH($A621,CLASSNAMEHEADERS,0))),(INDEX(ALLCLASSDATA,MATCH("LightTrained",CLASSFEATUREHEADERS,0),MATCH(($A621 &amp; "Points"),CLASSNAMEHEADERS,0))),"")))))))))}</f>
        <v>LIGHTL07</v>
      </c>
      <c r="N620" s="223"/>
      <c r="O620" s="223" t="str">
        <f t="array" ref="O620:O621">{"LIGHTL09";((IF("09"=(INDEX(ALLCLASSDATA,MATCH("LightLegendary",CLASSFEATUREHEADERS,0),MATCH($A621,CLASSNAMEHEADERS,0))),(INDEX(ALLCLASSDATA,MATCH("LightLegendary",CLASSFEATUREHEADERS,0),MATCH(($A621 &amp; "Points"),CLASSNAMEHEADERS,0))),(IF("09"=(INDEX(ALLCLASSDATA,MATCH("LightMaster",CLASSFEATUREHEADERS,0),MATCH($A621,CLASSNAMEHEADERS,0))),(INDEX(ALLCLASSDATA,MATCH("LightMaster",CLASSFEATUREHEADERS,0),MATCH(($A621 &amp; "Points"),CLASSNAMEHEADERS,0))),(IF("09"=(INDEX(ALLCLASSDATA,MATCH("LightExpert",CLASSFEATUREHEADERS,0),MATCH($A621,CLASSNAMEHEADERS,0))),(INDEX(ALLCLASSDATA,MATCH("LightExpert",CLASSFEATUREHEADERS,0),MATCH(($A621 &amp; "Points"),CLASSNAMEHEADERS,0))),(IF("09"=(INDEX(ALLCLASSDATA,MATCH("LightTrained",CLASSFEATUREHEADERS,0),MATCH($A621,CLASSNAMEHEADERS,0))),(INDEX(ALLCLASSDATA,MATCH("LightTrained",CLASSFEATUREHEADERS,0),MATCH(($A621 &amp; "Points"),CLASSNAMEHEADERS,0))),"")))))))))}</f>
        <v>LIGHTL09</v>
      </c>
      <c r="P620" s="223"/>
      <c r="Q620" s="223" t="str">
        <f t="array" ref="Q620:Q621">{"LIGHTL11";((IF("11"=(INDEX(ALLCLASSDATA,MATCH("LightLegendary",CLASSFEATUREHEADERS,0),MATCH($A621,CLASSNAMEHEADERS,0))),(INDEX(ALLCLASSDATA,MATCH("LightLegendary",CLASSFEATUREHEADERS,0),MATCH(($A621 &amp; "Points"),CLASSNAMEHEADERS,0))),(IF("11"=(INDEX(ALLCLASSDATA,MATCH("LightMaster",CLASSFEATUREHEADERS,0),MATCH($A621,CLASSNAMEHEADERS,0))),(INDEX(ALLCLASSDATA,MATCH("LightMaster",CLASSFEATUREHEADERS,0),MATCH(($A621 &amp; "Points"),CLASSNAMEHEADERS,0))),(IF("11"=(INDEX(ALLCLASSDATA,MATCH("LightExpert",CLASSFEATUREHEADERS,0),MATCH($A621,CLASSNAMEHEADERS,0))),(INDEX(ALLCLASSDATA,MATCH("LightExpert",CLASSFEATUREHEADERS,0),MATCH(($A621 &amp; "Points"),CLASSNAMEHEADERS,0))),(IF("11"=(INDEX(ALLCLASSDATA,MATCH("LightTrained",CLASSFEATUREHEADERS,0),MATCH($A621,CLASSNAMEHEADERS,0))),(INDEX(ALLCLASSDATA,MATCH("LightTrained",CLASSFEATUREHEADERS,0),MATCH(($A621 &amp; "Points"),CLASSNAMEHEADERS,0))),"")))))))))}</f>
        <v>LIGHTL11</v>
      </c>
      <c r="R620" s="223"/>
      <c r="S620" s="223" t="str">
        <f t="array" ref="S620:S621">{"LIGHTL13";((IF("13"=(INDEX(ALLCLASSDATA,MATCH("LightLegendary",CLASSFEATUREHEADERS,0),MATCH($A621,CLASSNAMEHEADERS,0))),(INDEX(ALLCLASSDATA,MATCH("LightLegendary",CLASSFEATUREHEADERS,0),MATCH(($A621 &amp; "Points"),CLASSNAMEHEADERS,0))),(IF("13"=(INDEX(ALLCLASSDATA,MATCH("LightMaster",CLASSFEATUREHEADERS,0),MATCH($A621,CLASSNAMEHEADERS,0))),(INDEX(ALLCLASSDATA,MATCH("LightMaster",CLASSFEATUREHEADERS,0),MATCH(($A621 &amp; "Points"),CLASSNAMEHEADERS,0))),(IF("13"=(INDEX(ALLCLASSDATA,MATCH("LightExpert",CLASSFEATUREHEADERS,0),MATCH($A621,CLASSNAMEHEADERS,0))),(INDEX(ALLCLASSDATA,MATCH("LightExpert",CLASSFEATUREHEADERS,0),MATCH(($A621 &amp; "Points"),CLASSNAMEHEADERS,0))),(IF("13"=(INDEX(ALLCLASSDATA,MATCH("LightTrained",CLASSFEATUREHEADERS,0),MATCH($A621,CLASSNAMEHEADERS,0))),(INDEX(ALLCLASSDATA,MATCH("LightTrained",CLASSFEATUREHEADERS,0),MATCH(($A621 &amp; "Points"),CLASSNAMEHEADERS,0))),"")))))))))}</f>
        <v>LIGHTL13</v>
      </c>
      <c r="T620" s="223"/>
      <c r="U620" s="223" t="str">
        <f t="array" ref="U620:U621">{"LIGHTL15";((IF("15"=(INDEX(ALLCLASSDATA,MATCH("LightLegendary",CLASSFEATUREHEADERS,0),MATCH($A621,CLASSNAMEHEADERS,0))),(INDEX(ALLCLASSDATA,MATCH("LightLegendary",CLASSFEATUREHEADERS,0),MATCH(($A621 &amp; "Points"),CLASSNAMEHEADERS,0))),(IF("15"=(INDEX(ALLCLASSDATA,MATCH("LightMaster",CLASSFEATUREHEADERS,0),MATCH($A621,CLASSNAMEHEADERS,0))),(INDEX(ALLCLASSDATA,MATCH("LightMaster",CLASSFEATUREHEADERS,0),MATCH(($A621 &amp; "Points"),CLASSNAMEHEADERS,0))),(IF("15"=(INDEX(ALLCLASSDATA,MATCH("LightExpert",CLASSFEATUREHEADERS,0),MATCH($A621,CLASSNAMEHEADERS,0))),(INDEX(ALLCLASSDATA,MATCH("LightExpert",CLASSFEATUREHEADERS,0),MATCH(($A621 &amp; "Points"),CLASSNAMEHEADERS,0))),(IF("15"=(INDEX(ALLCLASSDATA,MATCH("LightTrained",CLASSFEATUREHEADERS,0),MATCH($A621,CLASSNAMEHEADERS,0))),(INDEX(ALLCLASSDATA,MATCH("LightTrained",CLASSFEATUREHEADERS,0),MATCH(($A621 &amp; "Points"),CLASSNAMEHEADERS,0))),"")))))))))}</f>
        <v>LIGHTL15</v>
      </c>
      <c r="V620" s="223"/>
      <c r="W620" s="223" t="str">
        <f t="array" ref="W620:W621">{"LIGHTL17";((IF("17"=(INDEX(ALLCLASSDATA,MATCH("LightLegendary",CLASSFEATUREHEADERS,0),MATCH($A621,CLASSNAMEHEADERS,0))),(INDEX(ALLCLASSDATA,MATCH("LightLegendary",CLASSFEATUREHEADERS,0),MATCH(($A621 &amp; "Points"),CLASSNAMEHEADERS,0))),(IF("17"=(INDEX(ALLCLASSDATA,MATCH("LightMaster",CLASSFEATUREHEADERS,0),MATCH($A621,CLASSNAMEHEADERS,0))),(INDEX(ALLCLASSDATA,MATCH("LightMaster",CLASSFEATUREHEADERS,0),MATCH(($A621 &amp; "Points"),CLASSNAMEHEADERS,0))),(IF("17"=(INDEX(ALLCLASSDATA,MATCH("LightExpert",CLASSFEATUREHEADERS,0),MATCH($A621,CLASSNAMEHEADERS,0))),(INDEX(ALLCLASSDATA,MATCH("LightExpert",CLASSFEATUREHEADERS,0),MATCH(($A621 &amp; "Points"),CLASSNAMEHEADERS,0))),(IF("17"=(INDEX(ALLCLASSDATA,MATCH("LightTrained",CLASSFEATUREHEADERS,0),MATCH($A621,CLASSNAMEHEADERS,0))),(INDEX(ALLCLASSDATA,MATCH("LightTrained",CLASSFEATUREHEADERS,0),MATCH(($A621 &amp; "Points"),CLASSNAMEHEADERS,0))),"")))))))))}</f>
        <v>LIGHTL17</v>
      </c>
      <c r="X620" s="223"/>
      <c r="Y620" s="223" t="str">
        <f t="array" ref="Y620:Y621">{"LIGHTL19";((IF("19"=(INDEX(ALLCLASSDATA,MATCH("LightLegendary",CLASSFEATUREHEADERS,0),MATCH($A621,CLASSNAMEHEADERS,0))),(INDEX(ALLCLASSDATA,MATCH("LightLegendary",CLASSFEATUREHEADERS,0),MATCH(($A621 &amp; "Points"),CLASSNAMEHEADERS,0))),(IF("19"=(INDEX(ALLCLASSDATA,MATCH("LightMaster",CLASSFEATUREHEADERS,0),MATCH($A621,CLASSNAMEHEADERS,0))),(INDEX(ALLCLASSDATA,MATCH("LightMaster",CLASSFEATUREHEADERS,0),MATCH(($A621 &amp; "Points"),CLASSNAMEHEADERS,0))),(IF("19"=(INDEX(ALLCLASSDATA,MATCH("LightExpert",CLASSFEATUREHEADERS,0),MATCH($A621,CLASSNAMEHEADERS,0))),(INDEX(ALLCLASSDATA,MATCH("LightExpert",CLASSFEATUREHEADERS,0),MATCH(($A621 &amp; "Points"),CLASSNAMEHEADERS,0))),(IF("19"=(INDEX(ALLCLASSDATA,MATCH("LightTrained",CLASSFEATUREHEADERS,0),MATCH($A621,CLASSNAMEHEADERS,0))),(INDEX(ALLCLASSDATA,MATCH("LightTrained",CLASSFEATUREHEADERS,0),MATCH(($A621 &amp; "Points"),CLASSNAMEHEADERS,0))),"")))))))))}</f>
        <v>LIGHTL19</v>
      </c>
      <c r="Z620" s="223"/>
      <c r="AA620" s="76" t="str">
        <f t="array" ref="AA620:AA621">{"LIGHT TOTAL";(IF(COUNTBLANK(F621:Z621)=17,"L",(IF(COUNTBLANK(F621:Z621)=18,"M",(IF(COUNTBLANK(F621:Z621)=19,"E",(IF(COUNTBLANK(F621:Z621)=20,"T",""))))))))}</f>
        <v>LIGHT TOTAL</v>
      </c>
      <c r="AB620" s="76" t="str">
        <f t="array" ref="AB620:AB621">{"LIGHT TOTAL";(sum(F621:Z621))}</f>
        <v>LIGHT TOTAL</v>
      </c>
    </row>
    <row r="621">
      <c r="A621" s="48" t="s">
        <v>221</v>
      </c>
      <c r="B621" s="48" t="s">
        <v>418</v>
      </c>
      <c r="C621" s="48" t="s">
        <v>1900</v>
      </c>
      <c r="D621" s="48" t="s">
        <v>77</v>
      </c>
      <c r="E621" s="5" t="s">
        <v>435</v>
      </c>
      <c r="F621" s="47" t="s">
        <v>603</v>
      </c>
      <c r="G621" s="5">
        <v>10.0</v>
      </c>
      <c r="H621" s="5"/>
      <c r="I621" s="5" t="s">
        <v>603</v>
      </c>
      <c r="J621" s="5"/>
      <c r="K621" s="5" t="s">
        <v>603</v>
      </c>
      <c r="L621" s="5"/>
      <c r="M621" s="5" t="s">
        <v>603</v>
      </c>
      <c r="N621" s="5"/>
      <c r="O621" s="5" t="s">
        <v>603</v>
      </c>
      <c r="P621" s="5"/>
      <c r="Q621" s="5" t="s">
        <v>603</v>
      </c>
      <c r="R621" s="5"/>
      <c r="S621" s="5">
        <v>50.0</v>
      </c>
      <c r="T621" s="5"/>
      <c r="U621" s="5" t="s">
        <v>603</v>
      </c>
      <c r="V621" s="5"/>
      <c r="W621" s="5" t="s">
        <v>603</v>
      </c>
      <c r="X621" s="5"/>
      <c r="Y621" s="5" t="s">
        <v>603</v>
      </c>
      <c r="Z621" s="5"/>
      <c r="AA621" s="5" t="s">
        <v>436</v>
      </c>
      <c r="AB621" s="47">
        <v>60.0</v>
      </c>
    </row>
    <row r="622" hidden="1">
      <c r="A622" s="222" t="str">
        <f t="array" ref="A622:A623">{"FormulaRow37";(INDEX(CLASSLIST,A549,1))}</f>
        <v>FormulaRow37</v>
      </c>
      <c r="B622" s="222" t="str">
        <f t="array" ref="B622:B623">{"CLASSTYPE";((INDEX(ALLCLASSDATA,MATCH("ClassType",CLASSFEATUREHEADERS,0),MATCH($A623,CLASSNAMEHEADERS,0))))}</f>
        <v>CLASSTYPE</v>
      </c>
      <c r="C622" s="222" t="str">
        <f t="array" ref="C622:C623">{"DEFENSE";"Defense"}</f>
        <v>DEFENSE</v>
      </c>
      <c r="D622" s="222" t="str">
        <f t="array" ref="D622:D623">{"MEDIUM";"Medium"}</f>
        <v>MEDIUM</v>
      </c>
      <c r="E622" s="223" t="str">
        <f t="array" ref="E622:E623">{"MEDIUMINITIAL";((IF(G623=10,"T",(IF(G623=50,"E","")))))}</f>
        <v>MEDIUMINITIAL</v>
      </c>
      <c r="F622" s="223" t="str">
        <f t="array" ref="F622:F623">{"MEDIUMINITIALPTS";((IF("00"=(INDEX(ALLCLASSDATA,MATCH("MediumLegendary",CLASSFEATUREHEADERS,0),MATCH($A623,CLASSNAMEHEADERS,0))),(INDEX(ALLCLASSDATA,MATCH("MediumLegendary",CLASSFEATUREHEADERS,0),MATCH(($A623 &amp; "Points"),CLASSNAMEHEADERS,0))),(IF("00"=(INDEX(ALLCLASSDATA,MATCH("MediumMaster",CLASSFEATUREHEADERS,0),MATCH($A623,CLASSNAMEHEADERS,0))),(INDEX(ALLCLASSDATA,MATCH("MediumMaster",CLASSFEATUREHEADERS,0),MATCH(($A623 &amp; "Points"),CLASSNAMEHEADERS,0))),(IF("00"=(INDEX(ALLCLASSDATA,MATCH("MediumExpert",CLASSFEATUREHEADERS,0),MATCH($A623,CLASSNAMEHEADERS,0))),(INDEX(ALLCLASSDATA,MATCH("MediumExpert",CLASSFEATUREHEADERS,0),MATCH(($A623 &amp; "Points"),CLASSNAMEHEADERS,0))),(IF("00"=(INDEX(ALLCLASSDATA,MATCH("MediumTrained",CLASSFEATUREHEADERS,0),MATCH($A623,CLASSNAMEHEADERS,0))),(INDEX(ALLCLASSDATA,MATCH("MediumTrained",CLASSFEATUREHEADERS,0),MATCH(($A623 &amp; "Points"),CLASSNAMEHEADERS,0))),"")))))))))}</f>
        <v>MEDIUMINITIALPTS</v>
      </c>
      <c r="G622" s="223" t="str">
        <f t="array" ref="G622:G623">{"MEDIUML01";((IF("01"=(INDEX(ALLCLASSDATA,MATCH("MediumLegendary",CLASSFEATUREHEADERS,0),MATCH($A623,CLASSNAMEHEADERS,0))),(INDEX(ALLCLASSDATA,MATCH("MediumLegendary",CLASSFEATUREHEADERS,0),MATCH(($A623 &amp; "Points"),CLASSNAMEHEADERS,0))),(IF("01"=(INDEX(ALLCLASSDATA,MATCH("MediumMaster",CLASSFEATUREHEADERS,0),MATCH($A623,CLASSNAMEHEADERS,0))),(INDEX(ALLCLASSDATA,MATCH("MediumMaster",CLASSFEATUREHEADERS,0),MATCH(($A623 &amp; "Points"),CLASSNAMEHEADERS,0))),(IF("01"=(INDEX(ALLCLASSDATA,MATCH("MediumExpert",CLASSFEATUREHEADERS,0),MATCH($A623,CLASSNAMEHEADERS,0))),(INDEX(ALLCLASSDATA,MATCH("MediumExpert",CLASSFEATUREHEADERS,0),MATCH(($A623 &amp; "Points"),CLASSNAMEHEADERS,0))),(IF("01"=(INDEX(ALLCLASSDATA,MATCH("MediumTrained",CLASSFEATUREHEADERS,0),MATCH($A623,CLASSNAMEHEADERS,0))),(INDEX(ALLCLASSDATA,MATCH("MediumTrained",CLASSFEATUREHEADERS,0),MATCH(($A623 &amp; "Points"),CLASSNAMEHEADERS,0))),"")))))))))}</f>
        <v>MEDIUML01</v>
      </c>
      <c r="H622" s="223"/>
      <c r="I622" s="223" t="str">
        <f t="array" ref="I622:I623">{"MEDIUML03";((IF("03"=(INDEX(ALLCLASSDATA,MATCH("MediumLegendary",CLASSFEATUREHEADERS,0),MATCH($A623,CLASSNAMEHEADERS,0))),(INDEX(ALLCLASSDATA,MATCH("MediumLegendary",CLASSFEATUREHEADERS,0),MATCH(($A623 &amp; "Points"),CLASSNAMEHEADERS,0))),(IF("03"=(INDEX(ALLCLASSDATA,MATCH("MediumMaster",CLASSFEATUREHEADERS,0),MATCH($A623,CLASSNAMEHEADERS,0))),(INDEX(ALLCLASSDATA,MATCH("MediumMaster",CLASSFEATUREHEADERS,0),MATCH(($A623 &amp; "Points"),CLASSNAMEHEADERS,0))),(IF("03"=(INDEX(ALLCLASSDATA,MATCH("MediumExpert",CLASSFEATUREHEADERS,0),MATCH($A623,CLASSNAMEHEADERS,0))),(INDEX(ALLCLASSDATA,MATCH("MediumExpert",CLASSFEATUREHEADERS,0),MATCH(($A623 &amp; "Points"),CLASSNAMEHEADERS,0))),(IF("03"=(INDEX(ALLCLASSDATA,MATCH("MediumTrained",CLASSFEATUREHEADERS,0),MATCH($A623,CLASSNAMEHEADERS,0))),(INDEX(ALLCLASSDATA,MATCH("MediumTrained",CLASSFEATUREHEADERS,0),MATCH(($A623 &amp; "Points"),CLASSNAMEHEADERS,0))),"")))))))))}</f>
        <v>MEDIUML03</v>
      </c>
      <c r="J622" s="223"/>
      <c r="K622" s="223" t="str">
        <f t="array" ref="K622:K623">{"MEDIUML05";((IF("05"=(INDEX(ALLCLASSDATA,MATCH("MediumLegendary",CLASSFEATUREHEADERS,0),MATCH($A623,CLASSNAMEHEADERS,0))),(INDEX(ALLCLASSDATA,MATCH("MediumLegendary",CLASSFEATUREHEADERS,0),MATCH(($A623 &amp; "Points"),CLASSNAMEHEADERS,0))),(IF("05"=(INDEX(ALLCLASSDATA,MATCH("MediumMaster",CLASSFEATUREHEADERS,0),MATCH($A623,CLASSNAMEHEADERS,0))),(INDEX(ALLCLASSDATA,MATCH("MediumMaster",CLASSFEATUREHEADERS,0),MATCH(($A623 &amp; "Points"),CLASSNAMEHEADERS,0))),(IF("05"=(INDEX(ALLCLASSDATA,MATCH("MediumExpert",CLASSFEATUREHEADERS,0),MATCH($A623,CLASSNAMEHEADERS,0))),(INDEX(ALLCLASSDATA,MATCH("MediumExpert",CLASSFEATUREHEADERS,0),MATCH(($A623 &amp; "Points"),CLASSNAMEHEADERS,0))),(IF("05"=(INDEX(ALLCLASSDATA,MATCH("MediumTrained",CLASSFEATUREHEADERS,0),MATCH($A623,CLASSNAMEHEADERS,0))),(INDEX(ALLCLASSDATA,MATCH("MediumTrained",CLASSFEATUREHEADERS,0),MATCH(($A623 &amp; "Points"),CLASSNAMEHEADERS,0))),"")))))))))}</f>
        <v>MEDIUML05</v>
      </c>
      <c r="L622" s="223"/>
      <c r="M622" s="223" t="str">
        <f t="array" ref="M622:M623">{"MEDIUML07";((IF("07"=(INDEX(ALLCLASSDATA,MATCH("MediumLegendary",CLASSFEATUREHEADERS,0),MATCH($A623,CLASSNAMEHEADERS,0))),(INDEX(ALLCLASSDATA,MATCH("MediumLegendary",CLASSFEATUREHEADERS,0),MATCH(($A623 &amp; "Points"),CLASSNAMEHEADERS,0))),(IF("07"=(INDEX(ALLCLASSDATA,MATCH("MediumMaster",CLASSFEATUREHEADERS,0),MATCH($A623,CLASSNAMEHEADERS,0))),(INDEX(ALLCLASSDATA,MATCH("MediumMaster",CLASSFEATUREHEADERS,0),MATCH(($A623 &amp; "Points"),CLASSNAMEHEADERS,0))),(IF("07"=(INDEX(ALLCLASSDATA,MATCH("MediumExpert",CLASSFEATUREHEADERS,0),MATCH($A623,CLASSNAMEHEADERS,0))),(INDEX(ALLCLASSDATA,MATCH("MediumExpert",CLASSFEATUREHEADERS,0),MATCH(($A623 &amp; "Points"),CLASSNAMEHEADERS,0))),(IF("07"=(INDEX(ALLCLASSDATA,MATCH("MediumTrained",CLASSFEATUREHEADERS,0),MATCH($A623,CLASSNAMEHEADERS,0))),(INDEX(ALLCLASSDATA,MATCH("MediumTrained",CLASSFEATUREHEADERS,0),MATCH(($A623 &amp; "Points"),CLASSNAMEHEADERS,0))),"")))))))))}</f>
        <v>MEDIUML07</v>
      </c>
      <c r="N622" s="223"/>
      <c r="O622" s="223" t="str">
        <f t="array" ref="O622:O623">{"MEDIUML09";((IF("09"=(INDEX(ALLCLASSDATA,MATCH("MediumLegendary",CLASSFEATUREHEADERS,0),MATCH($A623,CLASSNAMEHEADERS,0))),(INDEX(ALLCLASSDATA,MATCH("MediumLegendary",CLASSFEATUREHEADERS,0),MATCH(($A623 &amp; "Points"),CLASSNAMEHEADERS,0))),(IF("09"=(INDEX(ALLCLASSDATA,MATCH("MediumMaster",CLASSFEATUREHEADERS,0),MATCH($A623,CLASSNAMEHEADERS,0))),(INDEX(ALLCLASSDATA,MATCH("MediumMaster",CLASSFEATUREHEADERS,0),MATCH(($A623 &amp; "Points"),CLASSNAMEHEADERS,0))),(IF("09"=(INDEX(ALLCLASSDATA,MATCH("MediumExpert",CLASSFEATUREHEADERS,0),MATCH($A623,CLASSNAMEHEADERS,0))),(INDEX(ALLCLASSDATA,MATCH("MediumExpert",CLASSFEATUREHEADERS,0),MATCH(($A623 &amp; "Points"),CLASSNAMEHEADERS,0))),(IF("09"=(INDEX(ALLCLASSDATA,MATCH("MediumTrained",CLASSFEATUREHEADERS,0),MATCH($A623,CLASSNAMEHEADERS,0))),(INDEX(ALLCLASSDATA,MATCH("MediumTrained",CLASSFEATUREHEADERS,0),MATCH(($A623 &amp; "Points"),CLASSNAMEHEADERS,0))),"")))))))))}</f>
        <v>MEDIUML09</v>
      </c>
      <c r="P622" s="223"/>
      <c r="Q622" s="223" t="str">
        <f t="array" ref="Q622:Q623">{"MEDIUML11";((IF("11"=(INDEX(ALLCLASSDATA,MATCH("MediumLegendary",CLASSFEATUREHEADERS,0),MATCH($A623,CLASSNAMEHEADERS,0))),(INDEX(ALLCLASSDATA,MATCH("MediumLegendary",CLASSFEATUREHEADERS,0),MATCH(($A623 &amp; "Points"),CLASSNAMEHEADERS,0))),(IF("11"=(INDEX(ALLCLASSDATA,MATCH("MediumMaster",CLASSFEATUREHEADERS,0),MATCH($A623,CLASSNAMEHEADERS,0))),(INDEX(ALLCLASSDATA,MATCH("MediumMaster",CLASSFEATUREHEADERS,0),MATCH(($A623 &amp; "Points"),CLASSNAMEHEADERS,0))),(IF("11"=(INDEX(ALLCLASSDATA,MATCH("MediumExpert",CLASSFEATUREHEADERS,0),MATCH($A623,CLASSNAMEHEADERS,0))),(INDEX(ALLCLASSDATA,MATCH("MediumExpert",CLASSFEATUREHEADERS,0),MATCH(($A623 &amp; "Points"),CLASSNAMEHEADERS,0))),(IF("11"=(INDEX(ALLCLASSDATA,MATCH("MediumTrained",CLASSFEATUREHEADERS,0),MATCH($A623,CLASSNAMEHEADERS,0))),(INDEX(ALLCLASSDATA,MATCH("MediumTrained",CLASSFEATUREHEADERS,0),MATCH(($A623 &amp; "Points"),CLASSNAMEHEADERS,0))),"")))))))))}</f>
        <v>MEDIUML11</v>
      </c>
      <c r="R622" s="223"/>
      <c r="S622" s="223" t="str">
        <f t="array" ref="S622:S623">{"MEDIUML13";((IF("13"=(INDEX(ALLCLASSDATA,MATCH("MediumLegendary",CLASSFEATUREHEADERS,0),MATCH($A623,CLASSNAMEHEADERS,0))),(INDEX(ALLCLASSDATA,MATCH("MediumLegendary",CLASSFEATUREHEADERS,0),MATCH(($A623 &amp; "Points"),CLASSNAMEHEADERS,0))),(IF("13"=(INDEX(ALLCLASSDATA,MATCH("MediumMaster",CLASSFEATUREHEADERS,0),MATCH($A623,CLASSNAMEHEADERS,0))),(INDEX(ALLCLASSDATA,MATCH("MediumMaster",CLASSFEATUREHEADERS,0),MATCH(($A623 &amp; "Points"),CLASSNAMEHEADERS,0))),(IF("13"=(INDEX(ALLCLASSDATA,MATCH("MediumExpert",CLASSFEATUREHEADERS,0),MATCH($A623,CLASSNAMEHEADERS,0))),(INDEX(ALLCLASSDATA,MATCH("MediumExpert",CLASSFEATUREHEADERS,0),MATCH(($A623 &amp; "Points"),CLASSNAMEHEADERS,0))),(IF("13"=(INDEX(ALLCLASSDATA,MATCH("MediumTrained",CLASSFEATUREHEADERS,0),MATCH($A623,CLASSNAMEHEADERS,0))),(INDEX(ALLCLASSDATA,MATCH("MediumTrained",CLASSFEATUREHEADERS,0),MATCH(($A623 &amp; "Points"),CLASSNAMEHEADERS,0))),"")))))))))}</f>
        <v>MEDIUML13</v>
      </c>
      <c r="T622" s="223"/>
      <c r="U622" s="223" t="str">
        <f t="array" ref="U622:U623">{"MEDIUML15";((IF("15"=(INDEX(ALLCLASSDATA,MATCH("MediumLegendary",CLASSFEATUREHEADERS,0),MATCH($A623,CLASSNAMEHEADERS,0))),(INDEX(ALLCLASSDATA,MATCH("MediumLegendary",CLASSFEATUREHEADERS,0),MATCH(($A623 &amp; "Points"),CLASSNAMEHEADERS,0))),(IF("15"=(INDEX(ALLCLASSDATA,MATCH("MediumMaster",CLASSFEATUREHEADERS,0),MATCH($A623,CLASSNAMEHEADERS,0))),(INDEX(ALLCLASSDATA,MATCH("MediumMaster",CLASSFEATUREHEADERS,0),MATCH(($A623 &amp; "Points"),CLASSNAMEHEADERS,0))),(IF("15"=(INDEX(ALLCLASSDATA,MATCH("MediumExpert",CLASSFEATUREHEADERS,0),MATCH($A623,CLASSNAMEHEADERS,0))),(INDEX(ALLCLASSDATA,MATCH("MediumExpert",CLASSFEATUREHEADERS,0),MATCH(($A623 &amp; "Points"),CLASSNAMEHEADERS,0))),(IF("15"=(INDEX(ALLCLASSDATA,MATCH("MediumTrained",CLASSFEATUREHEADERS,0),MATCH($A623,CLASSNAMEHEADERS,0))),(INDEX(ALLCLASSDATA,MATCH("MediumTrained",CLASSFEATUREHEADERS,0),MATCH(($A623 &amp; "Points"),CLASSNAMEHEADERS,0))),"")))))))))}</f>
        <v>MEDIUML15</v>
      </c>
      <c r="V622" s="223"/>
      <c r="W622" s="223" t="str">
        <f t="array" ref="W622:W623">{"MEDIUML17";((IF("17"=(INDEX(ALLCLASSDATA,MATCH("MediumLegendary",CLASSFEATUREHEADERS,0),MATCH($A623,CLASSNAMEHEADERS,0))),(INDEX(ALLCLASSDATA,MATCH("MediumLegendary",CLASSFEATUREHEADERS,0),MATCH(($A623 &amp; "Points"),CLASSNAMEHEADERS,0))),(IF("17"=(INDEX(ALLCLASSDATA,MATCH("MediumMaster",CLASSFEATUREHEADERS,0),MATCH($A623,CLASSNAMEHEADERS,0))),(INDEX(ALLCLASSDATA,MATCH("MediumMaster",CLASSFEATUREHEADERS,0),MATCH(($A623 &amp; "Points"),CLASSNAMEHEADERS,0))),(IF("17"=(INDEX(ALLCLASSDATA,MATCH("MediumExpert",CLASSFEATUREHEADERS,0),MATCH($A623,CLASSNAMEHEADERS,0))),(INDEX(ALLCLASSDATA,MATCH("MediumExpert",CLASSFEATUREHEADERS,0),MATCH(($A623 &amp; "Points"),CLASSNAMEHEADERS,0))),(IF("17"=(INDEX(ALLCLASSDATA,MATCH("MediumTrained",CLASSFEATUREHEADERS,0),MATCH($A623,CLASSNAMEHEADERS,0))),(INDEX(ALLCLASSDATA,MATCH("MediumTrained",CLASSFEATUREHEADERS,0),MATCH(($A623 &amp; "Points"),CLASSNAMEHEADERS,0))),"")))))))))}</f>
        <v>MEDIUML17</v>
      </c>
      <c r="X622" s="223"/>
      <c r="Y622" s="223" t="str">
        <f t="array" ref="Y622:Y623">{"MEDIUML19";((IF("19"=(INDEX(ALLCLASSDATA,MATCH("MediumLegendary",CLASSFEATUREHEADERS,0),MATCH($A623,CLASSNAMEHEADERS,0))),(INDEX(ALLCLASSDATA,MATCH("MediumLegendary",CLASSFEATUREHEADERS,0),MATCH(($A623 &amp; "Points"),CLASSNAMEHEADERS,0))),(IF("19"=(INDEX(ALLCLASSDATA,MATCH("MediumMaster",CLASSFEATUREHEADERS,0),MATCH($A623,CLASSNAMEHEADERS,0))),(INDEX(ALLCLASSDATA,MATCH("MediumMaster",CLASSFEATUREHEADERS,0),MATCH(($A623 &amp; "Points"),CLASSNAMEHEADERS,0))),(IF("19"=(INDEX(ALLCLASSDATA,MATCH("MediumExpert",CLASSFEATUREHEADERS,0),MATCH($A623,CLASSNAMEHEADERS,0))),(INDEX(ALLCLASSDATA,MATCH("MediumExpert",CLASSFEATUREHEADERS,0),MATCH(($A623 &amp; "Points"),CLASSNAMEHEADERS,0))),(IF("19"=(INDEX(ALLCLASSDATA,MATCH("MediumTrained",CLASSFEATUREHEADERS,0),MATCH($A623,CLASSNAMEHEADERS,0))),(INDEX(ALLCLASSDATA,MATCH("MediumTrained",CLASSFEATUREHEADERS,0),MATCH(($A623 &amp; "Points"),CLASSNAMEHEADERS,0))),"")))))))))}</f>
        <v>MEDIUML19</v>
      </c>
      <c r="Z622" s="223"/>
      <c r="AA622" s="76" t="str">
        <f t="array" ref="AA622:AA623">{"MEDIUM TOTAL";(IF(COUNTBLANK(F623:Z623)=17,"L",(IF(COUNTBLANK(F623:Z623)=18,"M",(IF(COUNTBLANK(F623:Z623)=19,"E",(IF(COUNTBLANK(F623:Z623)=20,"T",""))))))))}</f>
        <v>MEDIUM TOTAL</v>
      </c>
      <c r="AB622" s="76" t="str">
        <f t="array" ref="AB622:AB623">{"MEDIUM TOTAL";(sum(F623:Z623))}</f>
        <v>MEDIUM TOTAL</v>
      </c>
    </row>
    <row r="623">
      <c r="A623" s="48" t="s">
        <v>221</v>
      </c>
      <c r="B623" s="48" t="s">
        <v>418</v>
      </c>
      <c r="C623" s="48" t="s">
        <v>1900</v>
      </c>
      <c r="D623" s="48" t="s">
        <v>76</v>
      </c>
      <c r="E623" s="5" t="s">
        <v>603</v>
      </c>
      <c r="F623" s="47" t="s">
        <v>603</v>
      </c>
      <c r="G623" s="5" t="s">
        <v>603</v>
      </c>
      <c r="H623" s="5"/>
      <c r="I623" s="5" t="s">
        <v>603</v>
      </c>
      <c r="J623" s="5"/>
      <c r="K623" s="5" t="s">
        <v>603</v>
      </c>
      <c r="L623" s="5"/>
      <c r="M623" s="5" t="s">
        <v>603</v>
      </c>
      <c r="N623" s="5"/>
      <c r="O623" s="5" t="s">
        <v>603</v>
      </c>
      <c r="P623" s="5"/>
      <c r="Q623" s="5" t="s">
        <v>603</v>
      </c>
      <c r="R623" s="5"/>
      <c r="S623" s="5" t="s">
        <v>603</v>
      </c>
      <c r="T623" s="5"/>
      <c r="U623" s="5" t="s">
        <v>603</v>
      </c>
      <c r="V623" s="5"/>
      <c r="W623" s="5" t="s">
        <v>603</v>
      </c>
      <c r="X623" s="5"/>
      <c r="Y623" s="5" t="s">
        <v>603</v>
      </c>
      <c r="Z623" s="5"/>
      <c r="AA623" s="5" t="s">
        <v>603</v>
      </c>
      <c r="AB623" s="47">
        <v>0.0</v>
      </c>
    </row>
    <row r="624" hidden="1">
      <c r="A624" s="222" t="str">
        <f t="array" ref="A624:A625">{"FormulaRow38";(INDEX(CLASSLIST,A549,1))}</f>
        <v>FormulaRow38</v>
      </c>
      <c r="B624" s="222" t="str">
        <f t="array" ref="B624:B625">{"CLASSTYPE";((INDEX(ALLCLASSDATA,MATCH("ClassType",CLASSFEATUREHEADERS,0),MATCH($A625,CLASSNAMEHEADERS,0))))}</f>
        <v>CLASSTYPE</v>
      </c>
      <c r="C624" s="222" t="str">
        <f t="array" ref="C624:C625">{"DEFENSE";"Defense"}</f>
        <v>DEFENSE</v>
      </c>
      <c r="D624" s="222" t="str">
        <f t="array" ref="D624:D625">{"HEAVY";"Heavy"}</f>
        <v>HEAVY</v>
      </c>
      <c r="E624" s="223" t="str">
        <f t="array" ref="E624:E625">{"HEAVYINITIAL";((IF(G625=10,"T",(IF(G625=50,"E","")))))}</f>
        <v>HEAVYINITIAL</v>
      </c>
      <c r="F624" s="223" t="str">
        <f t="array" ref="F624:F625">{"HEAVYINITIALPTS";((IF("00"=(INDEX(ALLCLASSDATA,MATCH("HeavyLegendary",CLASSFEATUREHEADERS,0),MATCH($A625,CLASSNAMEHEADERS,0))),(INDEX(ALLCLASSDATA,MATCH("HeavyLegendary",CLASSFEATUREHEADERS,0),MATCH(($A625 &amp; "Points"),CLASSNAMEHEADERS,0))),(IF("00"=(INDEX(ALLCLASSDATA,MATCH("HeavyMaster",CLASSFEATUREHEADERS,0),MATCH($A625,CLASSNAMEHEADERS,0))),(INDEX(ALLCLASSDATA,MATCH("HeavyMaster",CLASSFEATUREHEADERS,0),MATCH(($A625 &amp; "Points"),CLASSNAMEHEADERS,0))),(IF("00"=(INDEX(ALLCLASSDATA,MATCH("HeavyExpert",CLASSFEATUREHEADERS,0),MATCH($A625,CLASSNAMEHEADERS,0))),(INDEX(ALLCLASSDATA,MATCH("HeavyExpert",CLASSFEATUREHEADERS,0),MATCH(($A625 &amp; "Points"),CLASSNAMEHEADERS,0))),(IF("00"=(INDEX(ALLCLASSDATA,MATCH("HeavyTrained",CLASSFEATUREHEADERS,0),MATCH($A625,CLASSNAMEHEADERS,0))),(INDEX(ALLCLASSDATA,MATCH("HeavyTrained",CLASSFEATUREHEADERS,0),MATCH(($A625 &amp; "Points"),CLASSNAMEHEADERS,0))),"")))))))))}</f>
        <v>HEAVYINITIALPTS</v>
      </c>
      <c r="G624" s="223" t="str">
        <f t="array" ref="G624:G625">{"HEAVYL01";((IF("01"=(INDEX(ALLCLASSDATA,MATCH("HeavyLegendary",CLASSFEATUREHEADERS,0),MATCH($A625,CLASSNAMEHEADERS,0))),(INDEX(ALLCLASSDATA,MATCH("HeavyLegendary",CLASSFEATUREHEADERS,0),MATCH(($A625 &amp; "Points"),CLASSNAMEHEADERS,0))),(IF("01"=(INDEX(ALLCLASSDATA,MATCH("HeavyMaster",CLASSFEATUREHEADERS,0),MATCH($A625,CLASSNAMEHEADERS,0))),(INDEX(ALLCLASSDATA,MATCH("HeavyMaster",CLASSFEATUREHEADERS,0),MATCH(($A625 &amp; "Points"),CLASSNAMEHEADERS,0))),(IF("01"=(INDEX(ALLCLASSDATA,MATCH("HeavyExpert",CLASSFEATUREHEADERS,0),MATCH($A625,CLASSNAMEHEADERS,0))),(INDEX(ALLCLASSDATA,MATCH("HeavyExpert",CLASSFEATUREHEADERS,0),MATCH(($A625 &amp; "Points"),CLASSNAMEHEADERS,0))),(IF("01"=(INDEX(ALLCLASSDATA,MATCH("HeavyTrained",CLASSFEATUREHEADERS,0),MATCH($A625,CLASSNAMEHEADERS,0))),(INDEX(ALLCLASSDATA,MATCH("HeavyTrained",CLASSFEATUREHEADERS,0),MATCH(($A625 &amp; "Points"),CLASSNAMEHEADERS,0))),"")))))))))}</f>
        <v>HEAVYL01</v>
      </c>
      <c r="H624" s="223"/>
      <c r="I624" s="223" t="str">
        <f t="array" ref="I624:I625">{"HEAVYL03";((IF("03"=(INDEX(ALLCLASSDATA,MATCH("HeavyLegendary",CLASSFEATUREHEADERS,0),MATCH($A625,CLASSNAMEHEADERS,0))),(INDEX(ALLCLASSDATA,MATCH("HeavyLegendary",CLASSFEATUREHEADERS,0),MATCH(($A625 &amp; "Points"),CLASSNAMEHEADERS,0))),(IF("03"=(INDEX(ALLCLASSDATA,MATCH("HeavyMaster",CLASSFEATUREHEADERS,0),MATCH($A625,CLASSNAMEHEADERS,0))),(INDEX(ALLCLASSDATA,MATCH("HeavyMaster",CLASSFEATUREHEADERS,0),MATCH(($A625 &amp; "Points"),CLASSNAMEHEADERS,0))),(IF("03"=(INDEX(ALLCLASSDATA,MATCH("HeavyExpert",CLASSFEATUREHEADERS,0),MATCH($A625,CLASSNAMEHEADERS,0))),(INDEX(ALLCLASSDATA,MATCH("HeavyExpert",CLASSFEATUREHEADERS,0),MATCH(($A625 &amp; "Points"),CLASSNAMEHEADERS,0))),(IF("03"=(INDEX(ALLCLASSDATA,MATCH("HeavyTrained",CLASSFEATUREHEADERS,0),MATCH($A625,CLASSNAMEHEADERS,0))),(INDEX(ALLCLASSDATA,MATCH("HeavyTrained",CLASSFEATUREHEADERS,0),MATCH(($A625 &amp; "Points"),CLASSNAMEHEADERS,0))),"")))))))))}</f>
        <v>HEAVYL03</v>
      </c>
      <c r="J624" s="223"/>
      <c r="K624" s="223" t="str">
        <f t="array" ref="K624:K625">{"HEAVYL05";((IF("05"=(INDEX(ALLCLASSDATA,MATCH("HeavyLegendary",CLASSFEATUREHEADERS,0),MATCH($A625,CLASSNAMEHEADERS,0))),(INDEX(ALLCLASSDATA,MATCH("HeavyLegendary",CLASSFEATUREHEADERS,0),MATCH(($A625 &amp; "Points"),CLASSNAMEHEADERS,0))),(IF("05"=(INDEX(ALLCLASSDATA,MATCH("HeavyMaster",CLASSFEATUREHEADERS,0),MATCH($A625,CLASSNAMEHEADERS,0))),(INDEX(ALLCLASSDATA,MATCH("HeavyMaster",CLASSFEATUREHEADERS,0),MATCH(($A625 &amp; "Points"),CLASSNAMEHEADERS,0))),(IF("05"=(INDEX(ALLCLASSDATA,MATCH("HeavyExpert",CLASSFEATUREHEADERS,0),MATCH($A625,CLASSNAMEHEADERS,0))),(INDEX(ALLCLASSDATA,MATCH("HeavyExpert",CLASSFEATUREHEADERS,0),MATCH(($A625 &amp; "Points"),CLASSNAMEHEADERS,0))),(IF("05"=(INDEX(ALLCLASSDATA,MATCH("HeavyTrained",CLASSFEATUREHEADERS,0),MATCH($A625,CLASSNAMEHEADERS,0))),(INDEX(ALLCLASSDATA,MATCH("HeavyTrained",CLASSFEATUREHEADERS,0),MATCH(($A625 &amp; "Points"),CLASSNAMEHEADERS,0))),"")))))))))}</f>
        <v>HEAVYL05</v>
      </c>
      <c r="L624" s="223"/>
      <c r="M624" s="223" t="str">
        <f t="array" ref="M624:M625">{"HEAVYL07";((IF("07"=(INDEX(ALLCLASSDATA,MATCH("HeavyLegendary",CLASSFEATUREHEADERS,0),MATCH($A625,CLASSNAMEHEADERS,0))),(INDEX(ALLCLASSDATA,MATCH("HeavyLegendary",CLASSFEATUREHEADERS,0),MATCH(($A625 &amp; "Points"),CLASSNAMEHEADERS,0))),(IF("07"=(INDEX(ALLCLASSDATA,MATCH("HeavyMaster",CLASSFEATUREHEADERS,0),MATCH($A625,CLASSNAMEHEADERS,0))),(INDEX(ALLCLASSDATA,MATCH("HeavyMaster",CLASSFEATUREHEADERS,0),MATCH(($A625 &amp; "Points"),CLASSNAMEHEADERS,0))),(IF("07"=(INDEX(ALLCLASSDATA,MATCH("HeavyExpert",CLASSFEATUREHEADERS,0),MATCH($A625,CLASSNAMEHEADERS,0))),(INDEX(ALLCLASSDATA,MATCH("HeavyExpert",CLASSFEATUREHEADERS,0),MATCH(($A625 &amp; "Points"),CLASSNAMEHEADERS,0))),(IF("07"=(INDEX(ALLCLASSDATA,MATCH("HeavyTrained",CLASSFEATUREHEADERS,0),MATCH($A625,CLASSNAMEHEADERS,0))),(INDEX(ALLCLASSDATA,MATCH("HeavyTrained",CLASSFEATUREHEADERS,0),MATCH(($A625 &amp; "Points"),CLASSNAMEHEADERS,0))),"")))))))))}</f>
        <v>HEAVYL07</v>
      </c>
      <c r="N624" s="223"/>
      <c r="O624" s="223" t="str">
        <f t="array" ref="O624:O625">{"HEAVYL09";((IF("09"=(INDEX(ALLCLASSDATA,MATCH("HeavyLegendary",CLASSFEATUREHEADERS,0),MATCH($A625,CLASSNAMEHEADERS,0))),(INDEX(ALLCLASSDATA,MATCH("HeavyLegendary",CLASSFEATUREHEADERS,0),MATCH(($A625 &amp; "Points"),CLASSNAMEHEADERS,0))),(IF("09"=(INDEX(ALLCLASSDATA,MATCH("HeavyMaster",CLASSFEATUREHEADERS,0),MATCH($A625,CLASSNAMEHEADERS,0))),(INDEX(ALLCLASSDATA,MATCH("HeavyMaster",CLASSFEATUREHEADERS,0),MATCH(($A625 &amp; "Points"),CLASSNAMEHEADERS,0))),(IF("09"=(INDEX(ALLCLASSDATA,MATCH("HeavyExpert",CLASSFEATUREHEADERS,0),MATCH($A625,CLASSNAMEHEADERS,0))),(INDEX(ALLCLASSDATA,MATCH("HeavyExpert",CLASSFEATUREHEADERS,0),MATCH(($A625 &amp; "Points"),CLASSNAMEHEADERS,0))),(IF("09"=(INDEX(ALLCLASSDATA,MATCH("HeavyTrained",CLASSFEATUREHEADERS,0),MATCH($A625,CLASSNAMEHEADERS,0))),(INDEX(ALLCLASSDATA,MATCH("HeavyTrained",CLASSFEATUREHEADERS,0),MATCH(($A625 &amp; "Points"),CLASSNAMEHEADERS,0))),"")))))))))}</f>
        <v>HEAVYL09</v>
      </c>
      <c r="P624" s="223"/>
      <c r="Q624" s="223" t="str">
        <f t="array" ref="Q624:Q625">{"HEAVYL11";((IF("11"=(INDEX(ALLCLASSDATA,MATCH("HeavyLegendary",CLASSFEATUREHEADERS,0),MATCH($A625,CLASSNAMEHEADERS,0))),(INDEX(ALLCLASSDATA,MATCH("HeavyLegendary",CLASSFEATUREHEADERS,0),MATCH(($A625 &amp; "Points"),CLASSNAMEHEADERS,0))),(IF("11"=(INDEX(ALLCLASSDATA,MATCH("HeavyMaster",CLASSFEATUREHEADERS,0),MATCH($A625,CLASSNAMEHEADERS,0))),(INDEX(ALLCLASSDATA,MATCH("HeavyMaster",CLASSFEATUREHEADERS,0),MATCH(($A625 &amp; "Points"),CLASSNAMEHEADERS,0))),(IF("11"=(INDEX(ALLCLASSDATA,MATCH("HeavyExpert",CLASSFEATUREHEADERS,0),MATCH($A625,CLASSNAMEHEADERS,0))),(INDEX(ALLCLASSDATA,MATCH("HeavyExpert",CLASSFEATUREHEADERS,0),MATCH(($A625 &amp; "Points"),CLASSNAMEHEADERS,0))),(IF("11"=(INDEX(ALLCLASSDATA,MATCH("HeavyTrained",CLASSFEATUREHEADERS,0),MATCH($A625,CLASSNAMEHEADERS,0))),(INDEX(ALLCLASSDATA,MATCH("HeavyTrained",CLASSFEATUREHEADERS,0),MATCH(($A625 &amp; "Points"),CLASSNAMEHEADERS,0))),"")))))))))}</f>
        <v>HEAVYL11</v>
      </c>
      <c r="R624" s="223"/>
      <c r="S624" s="223" t="str">
        <f t="array" ref="S624:S625">{"HEAVYL13";((IF("13"=(INDEX(ALLCLASSDATA,MATCH("HeavyLegendary",CLASSFEATUREHEADERS,0),MATCH($A625,CLASSNAMEHEADERS,0))),(INDEX(ALLCLASSDATA,MATCH("HeavyLegendary",CLASSFEATUREHEADERS,0),MATCH(($A625 &amp; "Points"),CLASSNAMEHEADERS,0))),(IF("13"=(INDEX(ALLCLASSDATA,MATCH("HeavyMaster",CLASSFEATUREHEADERS,0),MATCH($A625,CLASSNAMEHEADERS,0))),(INDEX(ALLCLASSDATA,MATCH("HeavyMaster",CLASSFEATUREHEADERS,0),MATCH(($A625 &amp; "Points"),CLASSNAMEHEADERS,0))),(IF("13"=(INDEX(ALLCLASSDATA,MATCH("HeavyExpert",CLASSFEATUREHEADERS,0),MATCH($A625,CLASSNAMEHEADERS,0))),(INDEX(ALLCLASSDATA,MATCH("HeavyExpert",CLASSFEATUREHEADERS,0),MATCH(($A625 &amp; "Points"),CLASSNAMEHEADERS,0))),(IF("13"=(INDEX(ALLCLASSDATA,MATCH("HeavyTrained",CLASSFEATUREHEADERS,0),MATCH($A625,CLASSNAMEHEADERS,0))),(INDEX(ALLCLASSDATA,MATCH("HeavyTrained",CLASSFEATUREHEADERS,0),MATCH(($A625 &amp; "Points"),CLASSNAMEHEADERS,0))),"")))))))))}</f>
        <v>HEAVYL13</v>
      </c>
      <c r="T624" s="223"/>
      <c r="U624" s="223" t="str">
        <f t="array" ref="U624:U625">{"HEAVYL15";((IF("15"=(INDEX(ALLCLASSDATA,MATCH("HeavyLegendary",CLASSFEATUREHEADERS,0),MATCH($A625,CLASSNAMEHEADERS,0))),(INDEX(ALLCLASSDATA,MATCH("HeavyLegendary",CLASSFEATUREHEADERS,0),MATCH(($A625 &amp; "Points"),CLASSNAMEHEADERS,0))),(IF("15"=(INDEX(ALLCLASSDATA,MATCH("HeavyMaster",CLASSFEATUREHEADERS,0),MATCH($A625,CLASSNAMEHEADERS,0))),(INDEX(ALLCLASSDATA,MATCH("HeavyMaster",CLASSFEATUREHEADERS,0),MATCH(($A625 &amp; "Points"),CLASSNAMEHEADERS,0))),(IF("15"=(INDEX(ALLCLASSDATA,MATCH("HeavyExpert",CLASSFEATUREHEADERS,0),MATCH($A625,CLASSNAMEHEADERS,0))),(INDEX(ALLCLASSDATA,MATCH("HeavyExpert",CLASSFEATUREHEADERS,0),MATCH(($A625 &amp; "Points"),CLASSNAMEHEADERS,0))),(IF("15"=(INDEX(ALLCLASSDATA,MATCH("HeavyTrained",CLASSFEATUREHEADERS,0),MATCH($A625,CLASSNAMEHEADERS,0))),(INDEX(ALLCLASSDATA,MATCH("HeavyTrained",CLASSFEATUREHEADERS,0),MATCH(($A625 &amp; "Points"),CLASSNAMEHEADERS,0))),"")))))))))}</f>
        <v>HEAVYL15</v>
      </c>
      <c r="V624" s="223"/>
      <c r="W624" s="223" t="str">
        <f t="array" ref="W624:W625">{"HEAVYL17";((IF("17"=(INDEX(ALLCLASSDATA,MATCH("HeavyLegendary",CLASSFEATUREHEADERS,0),MATCH($A625,CLASSNAMEHEADERS,0))),(INDEX(ALLCLASSDATA,MATCH("HeavyLegendary",CLASSFEATUREHEADERS,0),MATCH(($A625 &amp; "Points"),CLASSNAMEHEADERS,0))),(IF("17"=(INDEX(ALLCLASSDATA,MATCH("HeavyMaster",CLASSFEATUREHEADERS,0),MATCH($A625,CLASSNAMEHEADERS,0))),(INDEX(ALLCLASSDATA,MATCH("HeavyMaster",CLASSFEATUREHEADERS,0),MATCH(($A625 &amp; "Points"),CLASSNAMEHEADERS,0))),(IF("17"=(INDEX(ALLCLASSDATA,MATCH("HeavyExpert",CLASSFEATUREHEADERS,0),MATCH($A625,CLASSNAMEHEADERS,0))),(INDEX(ALLCLASSDATA,MATCH("HeavyExpert",CLASSFEATUREHEADERS,0),MATCH(($A625 &amp; "Points"),CLASSNAMEHEADERS,0))),(IF("17"=(INDEX(ALLCLASSDATA,MATCH("HeavyTrained",CLASSFEATUREHEADERS,0),MATCH($A625,CLASSNAMEHEADERS,0))),(INDEX(ALLCLASSDATA,MATCH("HeavyTrained",CLASSFEATUREHEADERS,0),MATCH(($A625 &amp; "Points"),CLASSNAMEHEADERS,0))),"")))))))))}</f>
        <v>HEAVYL17</v>
      </c>
      <c r="X624" s="223"/>
      <c r="Y624" s="223" t="str">
        <f t="array" ref="Y624:Y625">{"HEAVYL19";((IF("19"=(INDEX(ALLCLASSDATA,MATCH("HeavyLegendary",CLASSFEATUREHEADERS,0),MATCH($A625,CLASSNAMEHEADERS,0))),(INDEX(ALLCLASSDATA,MATCH("HeavyLegendary",CLASSFEATUREHEADERS,0),MATCH(($A625 &amp; "Points"),CLASSNAMEHEADERS,0))),(IF("19"=(INDEX(ALLCLASSDATA,MATCH("HeavyMaster",CLASSFEATUREHEADERS,0),MATCH($A625,CLASSNAMEHEADERS,0))),(INDEX(ALLCLASSDATA,MATCH("HeavyMaster",CLASSFEATUREHEADERS,0),MATCH(($A625 &amp; "Points"),CLASSNAMEHEADERS,0))),(IF("19"=(INDEX(ALLCLASSDATA,MATCH("HeavyExpert",CLASSFEATUREHEADERS,0),MATCH($A625,CLASSNAMEHEADERS,0))),(INDEX(ALLCLASSDATA,MATCH("HeavyExpert",CLASSFEATUREHEADERS,0),MATCH(($A625 &amp; "Points"),CLASSNAMEHEADERS,0))),(IF("19"=(INDEX(ALLCLASSDATA,MATCH("HeavyTrained",CLASSFEATUREHEADERS,0),MATCH($A625,CLASSNAMEHEADERS,0))),(INDEX(ALLCLASSDATA,MATCH("HeavyTrained",CLASSFEATUREHEADERS,0),MATCH(($A625 &amp; "Points"),CLASSNAMEHEADERS,0))),"")))))))))}</f>
        <v>HEAVYL19</v>
      </c>
      <c r="Z624" s="223"/>
      <c r="AA624" s="76" t="str">
        <f t="array" ref="AA624:AA625">{"HEAVY TOTAL";(IF(COUNTBLANK(F625:Z625)=17,"L",(IF(COUNTBLANK(F625:Z625)=18,"M",(IF(COUNTBLANK(F625:Z625)=19,"E",(IF(COUNTBLANK(F625:Z625)=20,"T",""))))))))}</f>
        <v>HEAVY TOTAL</v>
      </c>
      <c r="AB624" s="76" t="str">
        <f t="array" ref="AB624:AB625">{"HEAVY TOTAL";(sum(F625:Z625))}</f>
        <v>HEAVY TOTAL</v>
      </c>
    </row>
    <row r="625">
      <c r="A625" s="48" t="s">
        <v>221</v>
      </c>
      <c r="B625" s="48" t="s">
        <v>418</v>
      </c>
      <c r="C625" s="97" t="s">
        <v>1900</v>
      </c>
      <c r="D625" s="97" t="s">
        <v>533</v>
      </c>
      <c r="E625" s="98" t="s">
        <v>603</v>
      </c>
      <c r="F625" s="132" t="s">
        <v>603</v>
      </c>
      <c r="G625" s="98" t="s">
        <v>603</v>
      </c>
      <c r="H625" s="98"/>
      <c r="I625" s="98" t="s">
        <v>603</v>
      </c>
      <c r="J625" s="98"/>
      <c r="K625" s="98" t="s">
        <v>603</v>
      </c>
      <c r="L625" s="98"/>
      <c r="M625" s="98" t="s">
        <v>603</v>
      </c>
      <c r="N625" s="98"/>
      <c r="O625" s="98" t="s">
        <v>603</v>
      </c>
      <c r="P625" s="98"/>
      <c r="Q625" s="98" t="s">
        <v>603</v>
      </c>
      <c r="R625" s="98"/>
      <c r="S625" s="98" t="s">
        <v>603</v>
      </c>
      <c r="T625" s="98"/>
      <c r="U625" s="98" t="s">
        <v>603</v>
      </c>
      <c r="V625" s="98"/>
      <c r="W625" s="98" t="s">
        <v>603</v>
      </c>
      <c r="X625" s="98"/>
      <c r="Y625" s="98" t="s">
        <v>603</v>
      </c>
      <c r="Z625" s="98"/>
      <c r="AA625" s="5" t="s">
        <v>603</v>
      </c>
      <c r="AB625" s="47">
        <v>0.0</v>
      </c>
    </row>
    <row r="626" hidden="1">
      <c r="A626" s="222" t="str">
        <f t="array" ref="A626:A627">{"FormulaRow39";(INDEX(CLASSLIST,A549,1))}</f>
        <v>FormulaRow39</v>
      </c>
      <c r="B626" s="222" t="str">
        <f t="array" ref="B626:B627">{"CLASSTYPE";((INDEX(ALLCLASSDATA,MATCH("ClassType",CLASSFEATUREHEADERS,0),MATCH($A627,CLASSNAMEHEADERS,0))))}</f>
        <v>CLASSTYPE</v>
      </c>
      <c r="C626" s="222" t="str">
        <f t="array" ref="C626:C627">{"SPELL/ALCHEMY";((IF(INDEX(ALLCLASSDATA,MATCH("CasterType",CLASSFEATUREHEADERS,0),MATCH(($A627),CLASSNAMEHEADERS,0))="","",(IF(INDEX(ALLCLASSDATA,MATCH("CasterType",CLASSFEATUREHEADERS,0),MATCH(($A627),CLASSNAMEHEADERS,0))="Alchemy","Alchemy","Spells")))))}</f>
        <v>SPELL/ALCHEMY</v>
      </c>
      <c r="D626" s="222" t="str">
        <f t="array" ref="D626:D627">{"SPELLLIST";(IF(C627="Spells",((INDEX(ALLCLASSDATA,MATCH("CasterType",CLASSFEATUREHEADERS,0),MATCH(($A627),CLASSNAMEHEADERS,0))) &amp; ":" &amp; (INDEX(ALLCLASSDATA,MATCH("SpellList",CLASSFEATUREHEADERS,0),MATCH(($A627),CLASSNAMEHEADERS,0)))),""))}</f>
        <v>SPELLLIST</v>
      </c>
      <c r="E626" s="223" t="str">
        <f t="array" ref="E626:E627">{"SPL";(IF(C627="Spells","SPL:",""))}</f>
        <v>SPL</v>
      </c>
      <c r="F626" s="223" t="str">
        <f t="array" ref="F626:F627">{"CANTRIP/ALC";(IF(C627="Spells","C",(IF(C627="Alchemy","ALC:",""))))}</f>
        <v>CANTRIP/ALC</v>
      </c>
      <c r="G626" s="223" t="str">
        <f t="array" ref="G626:G627">{"SPELL/ALC L01";(IF(C627="Alchemy","L01",(IF(C627="Spells","S01",""))))}</f>
        <v>SPELL/ALC L01</v>
      </c>
      <c r="H626" s="223" t="str">
        <f t="array" ref="H626:H627">{"SPELL/ALC L02";(IF(C627="Alchemy","L02",(IF(C627="Spells","S01",""))))}</f>
        <v>SPELL/ALC L02</v>
      </c>
      <c r="I626" s="223" t="str">
        <f t="array" ref="I626:I627">{"SPELL/ALC L03";(IF(C627="Alchemy","L03",(IF(C627="Spells","S02",""))))}</f>
        <v>SPELL/ALC L03</v>
      </c>
      <c r="J626" s="223" t="str">
        <f t="array" ref="J626:J627">{"SPELL/ALC L04";(IF(C627="Alchemy","L04",(IF(C627="Spells","S02",""))))}</f>
        <v>SPELL/ALC L04</v>
      </c>
      <c r="K626" s="223" t="str">
        <f t="array" ref="K626:K627">{"SPELL/ALC L05";(IF(C627="Alchemy","L05",(IF(C627="Spells","S03",""))))}</f>
        <v>SPELL/ALC L05</v>
      </c>
      <c r="L626" s="223" t="str">
        <f t="array" ref="L626:L627">{"SPELL/ALC L06";(IF(C627="Alchemy","L06",(IF(C627="Spells","S03",""))))}</f>
        <v>SPELL/ALC L06</v>
      </c>
      <c r="M626" s="223" t="str">
        <f t="array" ref="M626:M627">{"SPELL/ALC L07";(IF(C627="Alchemy","L07",(IF(C627="Spells","S04",""))))}</f>
        <v>SPELL/ALC L07</v>
      </c>
      <c r="N626" s="223" t="str">
        <f t="array" ref="N626:N627">{"SPELL/ALC L08";(IF(C627="Alchemy","L08",(IF(C627="Spells","S04",""))))}</f>
        <v>SPELL/ALC L08</v>
      </c>
      <c r="O626" s="223" t="str">
        <f t="array" ref="O626:O627">{"SPELL/ALC L09";(IF(C627="Alchemy","L09",(IF(C627="Spells","S05",""))))}</f>
        <v>SPELL/ALC L09</v>
      </c>
      <c r="P626" s="223" t="str">
        <f t="array" ref="P626:P627">{"SPELL/ALC L10";(IF(C627="Alchemy","L10",(IF(C627="Spells","S05",""))))}</f>
        <v>SPELL/ALC L10</v>
      </c>
      <c r="Q626" s="223" t="str">
        <f t="array" ref="Q626:Q627">{"SPELL/ALC L11";(IF(C627="Alchemy","L11",(IF(C627="Spells","S06",""))))}</f>
        <v>SPELL/ALC L11</v>
      </c>
      <c r="R626" s="223" t="str">
        <f t="array" ref="R626:R627">{"SPELL/ALC L12";(IF(C627="Alchemy","L12",(IF(C627="Spells","S06",""))))}</f>
        <v>SPELL/ALC L12</v>
      </c>
      <c r="S626" s="223" t="str">
        <f t="array" ref="S626:S627">{"SPELL/ALC L13";(IF(C627="Alchemy","L13",(IF(C627="Spells","S07",""))))}</f>
        <v>SPELL/ALC L13</v>
      </c>
      <c r="T626" s="223" t="str">
        <f t="array" ref="T626:T627">{"SPELL/ALC L14";(IF(C627="Alchemy","L14",(IF(C627="Spells","S07",""))))}</f>
        <v>SPELL/ALC L14</v>
      </c>
      <c r="U626" s="223" t="str">
        <f t="array" ref="U626:U627">{"SPELL/ALC L15";(IF(C627="Alchemy","L15",(IF(C627="Spells","S08",""))))}</f>
        <v>SPELL/ALC L15</v>
      </c>
      <c r="V626" s="223" t="str">
        <f t="array" ref="V626:V627">{"SPELL/ALC L16";(IF(C627="Alchemy","L16",(IF(C627="Spells","S08",""))))}</f>
        <v>SPELL/ALC L16</v>
      </c>
      <c r="W626" s="223" t="str">
        <f t="array" ref="W626:W627">{"SPELL/ALC L17";(IF(C627="Alchemy","L17",(IF(C627="Spells","S09",""))))}</f>
        <v>SPELL/ALC L17</v>
      </c>
      <c r="X626" s="223" t="str">
        <f t="array" ref="X626:X627">{"SPELL/ALC L18";(IF(C627="Alchemy","L18",(IF(C627="Spells","S09",""))))}</f>
        <v>SPELL/ALC L18</v>
      </c>
      <c r="Y626" s="223" t="str">
        <f t="array" ref="Y626:Y627">{"SPELL/ALC L19";(IF(C627="Alchemy","L19",(IF(C627="Spells","S10",""))))}</f>
        <v>SPELL/ALC L19</v>
      </c>
      <c r="Z626" s="223" t="str">
        <f t="array" ref="Z626:Z627">{"SPELL/ALC L20";(IF(C627="Alchemy","L20",(IF(C627="Spells","S10",""))))}</f>
        <v>SPELL/ALC L20</v>
      </c>
      <c r="AA626" s="76"/>
      <c r="AB626" s="76"/>
    </row>
    <row r="627">
      <c r="A627" s="48" t="s">
        <v>221</v>
      </c>
      <c r="B627" s="48" t="s">
        <v>418</v>
      </c>
      <c r="C627" s="48" t="s">
        <v>1901</v>
      </c>
      <c r="D627" s="48" t="s">
        <v>1931</v>
      </c>
      <c r="E627" s="278" t="s">
        <v>1903</v>
      </c>
      <c r="F627" s="114" t="s">
        <v>653</v>
      </c>
      <c r="G627" s="279" t="s">
        <v>1536</v>
      </c>
      <c r="H627" s="28" t="s">
        <v>1536</v>
      </c>
      <c r="I627" s="28" t="s">
        <v>1542</v>
      </c>
      <c r="J627" s="28" t="s">
        <v>1542</v>
      </c>
      <c r="K627" s="28" t="s">
        <v>1545</v>
      </c>
      <c r="L627" s="28" t="s">
        <v>1545</v>
      </c>
      <c r="M627" s="28" t="s">
        <v>1548</v>
      </c>
      <c r="N627" s="28" t="s">
        <v>1548</v>
      </c>
      <c r="O627" s="28" t="s">
        <v>1553</v>
      </c>
      <c r="P627" s="28" t="s">
        <v>1553</v>
      </c>
      <c r="Q627" s="28" t="s">
        <v>1556</v>
      </c>
      <c r="R627" s="28" t="s">
        <v>1556</v>
      </c>
      <c r="S627" s="28" t="s">
        <v>1559</v>
      </c>
      <c r="T627" s="28" t="s">
        <v>1559</v>
      </c>
      <c r="U627" s="28" t="s">
        <v>1562</v>
      </c>
      <c r="V627" s="28" t="s">
        <v>1562</v>
      </c>
      <c r="W627" s="28" t="s">
        <v>1565</v>
      </c>
      <c r="X627" s="28" t="s">
        <v>1565</v>
      </c>
      <c r="Y627" s="28" t="s">
        <v>1568</v>
      </c>
      <c r="Z627" s="28" t="s">
        <v>1568</v>
      </c>
      <c r="AA627" s="5"/>
      <c r="AB627" s="47"/>
    </row>
    <row r="628" hidden="1">
      <c r="A628" s="222" t="str">
        <f t="array" ref="A628:A629">{"FormulaRow40";(INDEX(CLASSLIST,A549,1))}</f>
        <v>FormulaRow40</v>
      </c>
      <c r="B628" s="222" t="str">
        <f t="array" ref="B628:B629">{"CLASSTYPE";((INDEX(ALLCLASSDATA,MATCH("ClassType",CLASSFEATUREHEADERS,0),MATCH($A629,CLASSNAMEHEADERS,0))))}</f>
        <v>CLASSTYPE</v>
      </c>
      <c r="C628" s="222" t="str">
        <f t="array" ref="C628:C629">{"SPELL/ALCHEMY";((IF(INDEX(ALLCLASSDATA,MATCH("CasterType",CLASSFEATUREHEADERS,0),MATCH(($A629),CLASSNAMEHEADERS,0))="","",(IF(INDEX(ALLCLASSDATA,MATCH("CasterType",CLASSFEATUREHEADERS,0),MATCH(($A629),CLASSNAMEHEADERS,0))="Alchemy","","Spells")))))}</f>
        <v>SPELL/ALCHEMY</v>
      </c>
      <c r="D628" s="222" t="str">
        <f t="array" ref="D628:D629">{"SPELLLIST";(IF(C629="Spells",((INDEX(ALLCLASSDATA,MATCH("CasterType",CLASSFEATUREHEADERS,0),MATCH(($A629),CLASSNAMEHEADERS,0))) &amp; ":" &amp; (INDEX(ALLCLASSDATA,MATCH("SpellList",CLASSFEATUREHEADERS,0),MATCH(($A629),CLASSNAMEHEADERS,0)))),""))}</f>
        <v>SPELLLIST</v>
      </c>
      <c r="E628" s="222" t="str">
        <f t="array" ref="E628:E629">{"SLOTCOST";(IF(C629="Spells","SlotCost:",""))}</f>
        <v>SLOTCOST</v>
      </c>
      <c r="F628" s="222" t="str">
        <f t="array" ref="F628:F629">{"SLOTCOST CANTRIP";(INDEX(ALLCLASSDATA,MATCH("CantripSlots-L00",CLASSFEATUREHEADERS,0),MATCH(($A629 &amp; "Points"),CLASSNAMEHEADERS,0)))}</f>
        <v>SLOTCOST CANTRIP</v>
      </c>
      <c r="G628" s="222" t="str">
        <f t="array" ref="G628:G629">{"SLOTCOST L01";(INDEX(ALLCLASSDATA,MATCH("SPL01-L01",CLASSFEATUREHEADERS,0),MATCH(($A629 &amp; "Points"),CLASSNAMEHEADERS,0)))}</f>
        <v>SLOTCOST L01</v>
      </c>
      <c r="H628" s="222" t="str">
        <f t="array" ref="H628:H629">{"SLOTCOST L02";(INDEX(ALLCLASSDATA,MATCH("SPL01-L02",CLASSFEATUREHEADERS,0),MATCH(($A629 &amp; "Points"),CLASSNAMEHEADERS,0)))}</f>
        <v>#REF!</v>
      </c>
      <c r="I628" s="222" t="str">
        <f t="array" ref="I628:I629">{"SLOTCOST L03";(INDEX(ALLCLASSDATA,MATCH("SPL02-L03",CLASSFEATUREHEADERS,0),MATCH(($A629 &amp; "Points"),CLASSNAMEHEADERS,0)))}</f>
        <v>SLOTCOST L03</v>
      </c>
      <c r="J628" s="222" t="str">
        <f t="array" ref="J628:J629">{"SLOTCOST L04";(INDEX(ALLCLASSDATA,MATCH("SPL02-L04",CLASSFEATUREHEADERS,0),MATCH(($A629 &amp; "Points"),CLASSNAMEHEADERS,0)))}</f>
        <v>#REF!</v>
      </c>
      <c r="K628" s="222" t="str">
        <f t="array" ref="K628:K629">{"SLOTCOST L05";(INDEX(ALLCLASSDATA,MATCH("SPL03-L05",CLASSFEATUREHEADERS,0),MATCH(($A629 &amp; "Points"),CLASSNAMEHEADERS,0)))}</f>
        <v>SLOTCOST L05</v>
      </c>
      <c r="L628" s="222" t="str">
        <f t="array" ref="L628:L629">{"SLOTCOST L06";(INDEX(ALLCLASSDATA,MATCH("SPL03-L06",CLASSFEATUREHEADERS,0),MATCH(($A629 &amp; "Points"),CLASSNAMEHEADERS,0)))}</f>
        <v>#REF!</v>
      </c>
      <c r="M628" s="222" t="str">
        <f t="array" ref="M628:M629">{"SLOTCOST L07";(INDEX(ALLCLASSDATA,MATCH("SPL04-L07",CLASSFEATUREHEADERS,0),MATCH(($A629 &amp; "Points"),CLASSNAMEHEADERS,0)))}</f>
        <v>SLOTCOST L07</v>
      </c>
      <c r="N628" s="222" t="str">
        <f t="array" ref="N628:N629">{"SLOTCOST L08";(INDEX(ALLCLASSDATA,MATCH("SPL04-L08",CLASSFEATUREHEADERS,0),MATCH(($A629 &amp; "Points"),CLASSNAMEHEADERS,0)))}</f>
        <v>#REF!</v>
      </c>
      <c r="O628" s="222" t="str">
        <f t="array" ref="O628:O629">{"SLOTCOST L09";(INDEX(ALLCLASSDATA,MATCH("SPL05-L09",CLASSFEATUREHEADERS,0),MATCH(($A629 &amp; "Points"),CLASSNAMEHEADERS,0)))}</f>
        <v>SLOTCOST L09</v>
      </c>
      <c r="P628" s="222" t="str">
        <f t="array" ref="P628:P629">{"SLOTCOST L10";(INDEX(ALLCLASSDATA,MATCH("SPL05-L10",CLASSFEATUREHEADERS,0),MATCH(($A629 &amp; "Points"),CLASSNAMEHEADERS,0)))}</f>
        <v>#REF!</v>
      </c>
      <c r="Q628" s="222" t="str">
        <f t="array" ref="Q628:Q629">{"SLOTCOST L11";(INDEX(ALLCLASSDATA,MATCH("SPL06-L11",CLASSFEATUREHEADERS,0),MATCH(($A629 &amp; "Points"),CLASSNAMEHEADERS,0)))}</f>
        <v>SLOTCOST L11</v>
      </c>
      <c r="R628" s="222" t="str">
        <f t="array" ref="R628:R629">{"SLOTCOST L12";(INDEX(ALLCLASSDATA,MATCH("SPL06-L12",CLASSFEATUREHEADERS,0),MATCH(($A629 &amp; "Points"),CLASSNAMEHEADERS,0)))}</f>
        <v>#REF!</v>
      </c>
      <c r="S628" s="222" t="str">
        <f t="array" ref="S628:S629">{"SLOTCOST L13";(INDEX(ALLCLASSDATA,MATCH("SPL07-L13",CLASSFEATUREHEADERS,0),MATCH(($A629 &amp; "Points"),CLASSNAMEHEADERS,0)))}</f>
        <v>SLOTCOST L13</v>
      </c>
      <c r="T628" s="222" t="str">
        <f t="array" ref="T628:T629">{"SLOTCOST L14";(INDEX(ALLCLASSDATA,MATCH("SPL07-L14",CLASSFEATUREHEADERS,0),MATCH(($A629 &amp; "Points"),CLASSNAMEHEADERS,0)))}</f>
        <v>#REF!</v>
      </c>
      <c r="U628" s="222" t="str">
        <f t="array" ref="U628:U629">{"SLOTCOST L15";(INDEX(ALLCLASSDATA,MATCH("SPL08-L15",CLASSFEATUREHEADERS,0),MATCH(($A629 &amp; "Points"),CLASSNAMEHEADERS,0)))}</f>
        <v>SLOTCOST L15</v>
      </c>
      <c r="V628" s="222" t="str">
        <f t="array" ref="V628:V629">{"SLOTCOST L16";(INDEX(ALLCLASSDATA,MATCH("SPL08-L16",CLASSFEATUREHEADERS,0),MATCH(($A629 &amp; "Points"),CLASSNAMEHEADERS,0)))}</f>
        <v>#REF!</v>
      </c>
      <c r="W628" s="222" t="str">
        <f t="array" ref="W628:W629">{"SLOTCOST L17";(INDEX(ALLCLASSDATA,MATCH("SPL09-L17",CLASSFEATUREHEADERS,0),MATCH(($A629 &amp; "Points"),CLASSNAMEHEADERS,0)))}</f>
        <v>SLOTCOST L17</v>
      </c>
      <c r="X628" s="222" t="str">
        <f t="array" ref="X628:X629">{"SLOTCOST L18";(INDEX(ALLCLASSDATA,MATCH("SPL09-L18",CLASSFEATUREHEADERS,0),MATCH(($A629 &amp; "Points"),CLASSNAMEHEADERS,0)))}</f>
        <v>#REF!</v>
      </c>
      <c r="Y628" s="222" t="str">
        <f t="array" ref="Y628:Y629">{"SLOTCOST L19";(INDEX(ALLCLASSDATA,MATCH("SPL10-L19",CLASSFEATUREHEADERS,0),MATCH(($A629 &amp; "Points"),CLASSNAMEHEADERS,0)))}</f>
        <v>SLOTCOST L19</v>
      </c>
      <c r="Z628" s="222" t="str">
        <f t="array" ref="Z628:Z629">{"SLOTCOST L20";(INDEX(ALLCLASSDATA,MATCH("SPL10-L20",CLASSFEATUREHEADERS,0),MATCH(($A629 &amp; "Points"),CLASSNAMEHEADERS,0)))}</f>
        <v>SLOTCOST L20</v>
      </c>
      <c r="AA628" s="76"/>
      <c r="AB628" s="76" t="str">
        <f t="array" ref="AB628:AB629">{"SLOT TOTAL";(sum(F629:Z629))}</f>
        <v>SLOT TOTAL</v>
      </c>
    </row>
    <row r="629">
      <c r="A629" s="48" t="s">
        <v>221</v>
      </c>
      <c r="B629" s="48" t="s">
        <v>418</v>
      </c>
      <c r="C629" s="48" t="s">
        <v>1901</v>
      </c>
      <c r="D629" s="48" t="s">
        <v>1931</v>
      </c>
      <c r="E629" s="278" t="s">
        <v>1904</v>
      </c>
      <c r="F629" s="47"/>
      <c r="G629" s="5">
        <v>20.0</v>
      </c>
      <c r="H629" s="48" t="s">
        <v>1905</v>
      </c>
      <c r="I629" s="5">
        <v>20.0</v>
      </c>
      <c r="J629" s="48" t="s">
        <v>1905</v>
      </c>
      <c r="K629" s="5">
        <v>20.0</v>
      </c>
      <c r="L629" s="48" t="s">
        <v>1905</v>
      </c>
      <c r="M629" s="5">
        <v>20.0</v>
      </c>
      <c r="N629" s="48" t="s">
        <v>1905</v>
      </c>
      <c r="O629" s="5">
        <v>20.0</v>
      </c>
      <c r="P629" s="48" t="s">
        <v>1905</v>
      </c>
      <c r="Q629" s="5">
        <v>20.0</v>
      </c>
      <c r="R629" s="48" t="s">
        <v>1905</v>
      </c>
      <c r="S629" s="5">
        <v>20.0</v>
      </c>
      <c r="T629" s="48" t="s">
        <v>1905</v>
      </c>
      <c r="U629" s="5">
        <v>20.0</v>
      </c>
      <c r="V629" s="48" t="s">
        <v>1905</v>
      </c>
      <c r="W629" s="5">
        <v>20.0</v>
      </c>
      <c r="X629" s="48" t="s">
        <v>1905</v>
      </c>
      <c r="Y629" s="5">
        <v>190.0</v>
      </c>
      <c r="Z629" s="5" t="s">
        <v>603</v>
      </c>
      <c r="AA629" s="5"/>
      <c r="AB629" s="47">
        <v>370.0</v>
      </c>
    </row>
    <row r="630" hidden="1">
      <c r="A630" s="222" t="str">
        <f t="array" ref="A630:A631">{"FormulaRow41";(INDEX(CLASSLIST,A549,1))}</f>
        <v>FormulaRow41</v>
      </c>
      <c r="B630" s="222" t="str">
        <f t="array" ref="B630:B631">{"CLASSTYPE";((INDEX(ALLCLASSDATA,MATCH("ClassType",CLASSFEATUREHEADERS,0),MATCH($A631,CLASSNAMEHEADERS,0))))}</f>
        <v>CLASSTYPE</v>
      </c>
      <c r="C630" s="222" t="str">
        <f t="array" ref="C630:C631">{"SPELL/ALCHEMY";((IF(INDEX(ALLCLASSDATA,MATCH("CasterType",CLASSFEATUREHEADERS,0),MATCH(($A631),CLASSNAMEHEADERS,0))="","",(IF(INDEX(ALLCLASSDATA,MATCH("CasterType",CLASSFEATUREHEADERS,0),MATCH(($A631),CLASSNAMEHEADERS,0))="Alchemy","Alchemy","Spells")))))}</f>
        <v>SPELL/ALCHEMY</v>
      </c>
      <c r="D630" s="222" t="str">
        <f t="array" ref="D630:D631">{"SPELLLIST";(IF(C631="Spells",((INDEX(ALLCLASSDATA,MATCH("CasterType",CLASSFEATUREHEADERS,0),MATCH(($A631),CLASSNAMEHEADERS,0))) &amp; ":" &amp; (INDEX(ALLCLASSDATA,MATCH("SpellList",CLASSFEATUREHEADERS,0),MATCH(($A631),CLASSNAMEHEADERS,0)))),""))}</f>
        <v>SPELLLIST</v>
      </c>
      <c r="E630" s="223" t="str">
        <f t="array" ref="E630:E631">{"LEARNEDCOST";(IF(C631="","","LearnCost:"))}</f>
        <v>LEARNEDCOST</v>
      </c>
      <c r="F630" s="223" t="str">
        <f t="array" ref="F630:F631">{"LEARNED CANTRIPS";(INDEX(ALLCLASSDATA,MATCH("CantripsLearned-L00",CLASSFEATUREHEADERS,0),MATCH(($A631 &amp; "Points"),CLASSNAMEHEADERS,0)))}</f>
        <v>LEARNED CANTRIPS</v>
      </c>
      <c r="G630" s="223" t="str">
        <f t="array" ref="G630:G631">{"LEARNED L01";(INDEX(ALLCLASSDATA,MATCH("Learned-L01",CLASSFEATUREHEADERS,0),MATCH(($A631 &amp; "Points"),CLASSNAMEHEADERS,0)))}</f>
        <v>LEARNED L01</v>
      </c>
      <c r="H630" s="223" t="str">
        <f t="array" ref="H630:H631">{"LEARNED L02";(INDEX(ALLCLASSDATA,MATCH("Learned-L02",CLASSFEATUREHEADERS,0),MATCH(($A631 &amp; "Points"),CLASSNAMEHEADERS,0)))}</f>
        <v>#REF!</v>
      </c>
      <c r="I630" s="223" t="str">
        <f t="array" ref="I630:I631">{"LEARNED L03";(INDEX(ALLCLASSDATA,MATCH("Learned-L03",CLASSFEATUREHEADERS,0),MATCH(($A631 &amp; "Points"),CLASSNAMEHEADERS,0)))}</f>
        <v>LEARNED L03</v>
      </c>
      <c r="J630" s="223" t="str">
        <f t="array" ref="J630:J631">{"LEARNED L04";(INDEX(ALLCLASSDATA,MATCH("Learned-L04",CLASSFEATUREHEADERS,0),MATCH(($A631 &amp; "Points"),CLASSNAMEHEADERS,0)))}</f>
        <v>#REF!</v>
      </c>
      <c r="K630" s="223" t="str">
        <f t="array" ref="K630:K631">{"LEARNED L05";(INDEX(ALLCLASSDATA,MATCH("Learned-L05",CLASSFEATUREHEADERS,0),MATCH(($A631 &amp; "Points"),CLASSNAMEHEADERS,0)))}</f>
        <v>LEARNED L05</v>
      </c>
      <c r="L630" s="223" t="str">
        <f t="array" ref="L630:L631">{"LEARNED L06";(INDEX(ALLCLASSDATA,MATCH("Learned-L06",CLASSFEATUREHEADERS,0),MATCH(($A631 &amp; "Points"),CLASSNAMEHEADERS,0)))}</f>
        <v>#REF!</v>
      </c>
      <c r="M630" s="223" t="str">
        <f t="array" ref="M630:M631">{"LEARNED L07";(INDEX(ALLCLASSDATA,MATCH("Learned-L07",CLASSFEATUREHEADERS,0),MATCH(($A631 &amp; "Points"),CLASSNAMEHEADERS,0)))}</f>
        <v>LEARNED L07</v>
      </c>
      <c r="N630" s="223" t="str">
        <f t="array" ref="N630:N631">{"LEARNED L08";(INDEX(ALLCLASSDATA,MATCH("Learned-L08",CLASSFEATUREHEADERS,0),MATCH(($A631 &amp; "Points"),CLASSNAMEHEADERS,0)))}</f>
        <v>#REF!</v>
      </c>
      <c r="O630" s="223" t="str">
        <f t="array" ref="O630:O631">{"LEARNED L09";(INDEX(ALLCLASSDATA,MATCH("Learned-L09",CLASSFEATUREHEADERS,0),MATCH(($A631 &amp; "Points"),CLASSNAMEHEADERS,0)))}</f>
        <v>LEARNED L09</v>
      </c>
      <c r="P630" s="223" t="str">
        <f t="array" ref="P630:P631">{"LEARNED L10";(INDEX(ALLCLASSDATA,MATCH("Learned-L10",CLASSFEATUREHEADERS,0),MATCH(($A631 &amp; "Points"),CLASSNAMEHEADERS,0)))}</f>
        <v>#REF!</v>
      </c>
      <c r="Q630" s="223" t="str">
        <f t="array" ref="Q630:Q631">{"LEARNED L11";(INDEX(ALLCLASSDATA,MATCH("Learned-L11",CLASSFEATUREHEADERS,0),MATCH(($A631 &amp; "Points"),CLASSNAMEHEADERS,0)))}</f>
        <v>LEARNED L11</v>
      </c>
      <c r="R630" s="223" t="str">
        <f t="array" ref="R630:R631">{"LEARNED L12";(INDEX(ALLCLASSDATA,MATCH("Learned-L12",CLASSFEATUREHEADERS,0),MATCH(($A631 &amp; "Points"),CLASSNAMEHEADERS,0)))}</f>
        <v>#REF!</v>
      </c>
      <c r="S630" s="223" t="str">
        <f t="array" ref="S630:S631">{"LEARNED L13";(INDEX(ALLCLASSDATA,MATCH("Learned-L13",CLASSFEATUREHEADERS,0),MATCH(($A631 &amp; "Points"),CLASSNAMEHEADERS,0)))}</f>
        <v>LEARNED L13</v>
      </c>
      <c r="T630" s="223" t="str">
        <f t="array" ref="T630:T631">{"LEARNED L14";(INDEX(ALLCLASSDATA,MATCH("Learned-L14",CLASSFEATUREHEADERS,0),MATCH(($A631 &amp; "Points"),CLASSNAMEHEADERS,0)))}</f>
        <v>#REF!</v>
      </c>
      <c r="U630" s="223" t="str">
        <f t="array" ref="U630:U631">{"LEARNED L15";(INDEX(ALLCLASSDATA,MATCH("Learned-L15",CLASSFEATUREHEADERS,0),MATCH(($A631 &amp; "Points"),CLASSNAMEHEADERS,0)))}</f>
        <v>LEARNED L15</v>
      </c>
      <c r="V630" s="223" t="str">
        <f t="array" ref="V630:V631">{"LEARNED L16";(INDEX(ALLCLASSDATA,MATCH("Learned-L16",CLASSFEATUREHEADERS,0),MATCH(($A631 &amp; "Points"),CLASSNAMEHEADERS,0)))}</f>
        <v>#REF!</v>
      </c>
      <c r="W630" s="223" t="str">
        <f t="array" ref="W630:W631">{"LEARNED L17";(INDEX(ALLCLASSDATA,MATCH("Learned-L17",CLASSFEATUREHEADERS,0),MATCH(($A631 &amp; "Points"),CLASSNAMEHEADERS,0)))}</f>
        <v>LEARNED L17</v>
      </c>
      <c r="X630" s="223" t="str">
        <f t="array" ref="X630:X631">{"LEARNED L18";(INDEX(ALLCLASSDATA,MATCH("Learned-L18",CLASSFEATUREHEADERS,0),MATCH(($A631 &amp; "Points"),CLASSNAMEHEADERS,0)))}</f>
        <v>#REF!</v>
      </c>
      <c r="Y630" s="223" t="str">
        <f t="array" ref="Y630:Y631">{"LEARNED L19";(INDEX(ALLCLASSDATA,MATCH("Learned-L19",CLASSFEATUREHEADERS,0),MATCH(($A631 &amp; "Points"),CLASSNAMEHEADERS,0)))}</f>
        <v>LEARNED L19</v>
      </c>
      <c r="Z630" s="223" t="str">
        <f t="array" ref="Z630:Z631">{"LEARNED L20";(INDEX(ALLCLASSDATA,MATCH("Learned-L20",CLASSFEATUREHEADERS,0),MATCH(($A631 &amp; "Points"),CLASSNAMEHEADERS,0)))}</f>
        <v>LEARNED L20</v>
      </c>
      <c r="AA630" s="76"/>
      <c r="AB630" s="76" t="str">
        <f t="array" ref="AB630:AB631">{"LEARNED TOTAL";(sum(F631:Z631))}</f>
        <v>LEARNED TOTAL</v>
      </c>
    </row>
    <row r="631">
      <c r="A631" s="48" t="s">
        <v>221</v>
      </c>
      <c r="B631" s="48" t="s">
        <v>418</v>
      </c>
      <c r="C631" s="48" t="s">
        <v>1901</v>
      </c>
      <c r="D631" s="48" t="s">
        <v>1931</v>
      </c>
      <c r="E631" s="278" t="s">
        <v>1906</v>
      </c>
      <c r="F631" s="47">
        <v>0.0</v>
      </c>
      <c r="G631" s="5">
        <v>30.0</v>
      </c>
      <c r="H631" s="48" t="s">
        <v>1905</v>
      </c>
      <c r="I631" s="5">
        <v>20.0</v>
      </c>
      <c r="J631" s="48" t="s">
        <v>1905</v>
      </c>
      <c r="K631" s="5">
        <v>20.0</v>
      </c>
      <c r="L631" s="48" t="s">
        <v>1905</v>
      </c>
      <c r="M631" s="48">
        <v>20.0</v>
      </c>
      <c r="N631" s="48" t="s">
        <v>1905</v>
      </c>
      <c r="O631" s="5">
        <v>20.0</v>
      </c>
      <c r="P631" s="48" t="s">
        <v>1905</v>
      </c>
      <c r="Q631" s="5">
        <v>20.0</v>
      </c>
      <c r="R631" s="48" t="s">
        <v>1905</v>
      </c>
      <c r="S631" s="5">
        <v>20.0</v>
      </c>
      <c r="T631" s="48" t="s">
        <v>1905</v>
      </c>
      <c r="U631" s="5">
        <v>20.0</v>
      </c>
      <c r="V631" s="48" t="s">
        <v>1905</v>
      </c>
      <c r="W631" s="5">
        <v>20.0</v>
      </c>
      <c r="X631" s="48" t="s">
        <v>1905</v>
      </c>
      <c r="Y631" s="5">
        <v>0.0</v>
      </c>
      <c r="Z631" s="5" t="s">
        <v>603</v>
      </c>
      <c r="AA631" s="5"/>
      <c r="AB631" s="47">
        <v>190.0</v>
      </c>
    </row>
    <row r="632" hidden="1">
      <c r="A632" s="222" t="str">
        <f t="array" ref="A632:A633">{"FormulaRow42";(INDEX(CLASSLIST,A549,1))}</f>
        <v>FormulaRow42</v>
      </c>
      <c r="B632" s="222" t="str">
        <f t="array" ref="B632:B633">{"CLASSTYPE";((INDEX(ALLCLASSDATA,MATCH("ClassType",CLASSFEATUREHEADERS,0),MATCH($A633,CLASSNAMEHEADERS,0))))}</f>
        <v>CLASSTYPE</v>
      </c>
      <c r="C632" s="222" t="str">
        <f t="array" ref="C632:C633">{"SPELL/ALCHEMY";((IF(INDEX(ALLCLASSDATA,MATCH("CasterType",CLASSFEATUREHEADERS,0),MATCH(($A633),CLASSNAMEHEADERS,0))="","",(IF(INDEX(ALLCLASSDATA,MATCH("CasterType",CLASSFEATUREHEADERS,0),MATCH(($A633),CLASSNAMEHEADERS,0))="Alchemy","","Spells")))))}</f>
        <v>SPELL/ALCHEMY</v>
      </c>
      <c r="D632" s="222" t="str">
        <f t="array" ref="D632:D633">{"SPELLLIST";(IF(C633="Spells",((INDEX(ALLCLASSDATA,MATCH("CasterType",CLASSFEATUREHEADERS,0),MATCH(($A633),CLASSNAMEHEADERS,0))) &amp; ":" &amp; (INDEX(ALLCLASSDATA,MATCH("SpellList",CLASSFEATUREHEADERS,0),MATCH(($A633),CLASSNAMEHEADERS,0)))),""))}</f>
        <v>SPELLLIST</v>
      </c>
      <c r="E632" s="223" t="str">
        <f t="array" ref="E632:E633">{"SLOT/LVL";(IF(C627="Spells","Slot/LVL:",""))}</f>
        <v>SLOT/LVL</v>
      </c>
      <c r="F632" s="223" t="str">
        <f t="array" ref="F632:F633">{"CANTRIPSLOTS";(INDEX(ALLCLASSDATA,MATCH("CantripSlots-L00",CLASSFEATUREHEADERS,0),MATCH($A633,CLASSNAMEHEADERS,0)))}</f>
        <v>#REF!</v>
      </c>
      <c r="G632" s="223" t="str">
        <f t="array" ref="G632:G633">{"SPL01-L01";(INDEX(ALLCLASSDATA,MATCH("SPL01-L01",CLASSFEATUREHEADERS,0),MATCH($A633,CLASSNAMEHEADERS,0)))}</f>
        <v>SPL01-L01</v>
      </c>
      <c r="H632" s="223" t="str">
        <f t="array" ref="H632:H633">{"SPL01-L02";(INDEX(ALLCLASSDATA,MATCH("SPL01-L02",CLASSFEATUREHEADERS,0),MATCH($A633,CLASSNAMEHEADERS,0)))}</f>
        <v>#REF!</v>
      </c>
      <c r="I632" s="223" t="str">
        <f t="array" ref="I632:I633">{"SPL02-L03";(INDEX(ALLCLASSDATA,MATCH("SPL02-L03",CLASSFEATUREHEADERS,0),MATCH($A633,CLASSNAMEHEADERS,0)))}</f>
        <v>SPL02-L03</v>
      </c>
      <c r="J632" s="223" t="str">
        <f t="array" ref="J632:J633">{"SPL02-L04";(INDEX(ALLCLASSDATA,MATCH("SPL02-L04",CLASSFEATUREHEADERS,0),MATCH($A633,CLASSNAMEHEADERS,0)))}</f>
        <v>#REF!</v>
      </c>
      <c r="K632" s="223" t="str">
        <f t="array" ref="K632:K633">{"SPL03-L05";(INDEX(ALLCLASSDATA,MATCH("SPL03-L05",CLASSFEATUREHEADERS,0),MATCH($A633,CLASSNAMEHEADERS,0)))}</f>
        <v>SPL03-L05</v>
      </c>
      <c r="L632" s="223" t="str">
        <f t="array" ref="L632:L633">{"SPL03-L06";(INDEX(ALLCLASSDATA,MATCH("SPL03-L06",CLASSFEATUREHEADERS,0),MATCH($A633,CLASSNAMEHEADERS,0)))}</f>
        <v>#REF!</v>
      </c>
      <c r="M632" s="223" t="str">
        <f t="array" ref="M632:M633">{"SPL04-L07";(INDEX(ALLCLASSDATA,MATCH("SPL04-L07",CLASSFEATUREHEADERS,0),MATCH($A633,CLASSNAMEHEADERS,0)))}</f>
        <v>SPL04-L07</v>
      </c>
      <c r="N632" s="223" t="str">
        <f t="array" ref="N632:N633">{"SPL04-L08";(INDEX(ALLCLASSDATA,MATCH("SPL04-L08",CLASSFEATUREHEADERS,0),MATCH($A633,CLASSNAMEHEADERS,0)))}</f>
        <v>#REF!</v>
      </c>
      <c r="O632" s="223" t="str">
        <f t="array" ref="O632:O633">{"SPL05-L09";(INDEX(ALLCLASSDATA,MATCH("SPL05-L09",CLASSFEATUREHEADERS,0),MATCH($A633,CLASSNAMEHEADERS,0)))}</f>
        <v>SPL05-L09</v>
      </c>
      <c r="P632" s="223" t="str">
        <f t="array" ref="P632:P633">{"SPL05-L10";(INDEX(ALLCLASSDATA,MATCH("SPL05-L10",CLASSFEATUREHEADERS,0),MATCH($A633,CLASSNAMEHEADERS,0)))}</f>
        <v>#REF!</v>
      </c>
      <c r="Q632" s="223" t="str">
        <f t="array" ref="Q632:Q633">{"SPL06-L11";(INDEX(ALLCLASSDATA,MATCH("SPL06-L11",CLASSFEATUREHEADERS,0),MATCH($A633,CLASSNAMEHEADERS,0)))}</f>
        <v>SPL06-L11</v>
      </c>
      <c r="R632" s="223" t="str">
        <f t="array" ref="R632:R633">{"SPL06-L12";(INDEX(ALLCLASSDATA,MATCH("SPL06-L12",CLASSFEATUREHEADERS,0),MATCH($A633,CLASSNAMEHEADERS,0)))}</f>
        <v>#REF!</v>
      </c>
      <c r="S632" s="223" t="str">
        <f t="array" ref="S632:S633">{"SPL07-L13";(INDEX(ALLCLASSDATA,MATCH("SPL07-L13",CLASSFEATUREHEADERS,0),MATCH($A633,CLASSNAMEHEADERS,0)))}</f>
        <v>SPL07-L13</v>
      </c>
      <c r="T632" s="223" t="str">
        <f t="array" ref="T632:T633">{"SPL07-L14";(INDEX(ALLCLASSDATA,MATCH("SPL07-L14",CLASSFEATUREHEADERS,0),MATCH($A633,CLASSNAMEHEADERS,0)))}</f>
        <v>#REF!</v>
      </c>
      <c r="U632" s="223" t="str">
        <f t="array" ref="U632:U633">{"SPL08-L15";(INDEX(ALLCLASSDATA,MATCH("SPL08-L15",CLASSFEATUREHEADERS,0),MATCH($A633,CLASSNAMEHEADERS,0)))}</f>
        <v>SPL08-L15</v>
      </c>
      <c r="V632" s="223" t="str">
        <f t="array" ref="V632:V633">{"SPL08-L16";(INDEX(ALLCLASSDATA,MATCH("SPL08-L16",CLASSFEATUREHEADERS,0),MATCH($A633,CLASSNAMEHEADERS,0)))}</f>
        <v>#REF!</v>
      </c>
      <c r="W632" s="223" t="str">
        <f t="array" ref="W632:W633">{"SPL09-L17";(INDEX(ALLCLASSDATA,MATCH("SPL09-L17",CLASSFEATUREHEADERS,0),MATCH($A633,CLASSNAMEHEADERS,0)))}</f>
        <v>SPL09-L17</v>
      </c>
      <c r="X632" s="223" t="str">
        <f t="array" ref="X632:X633">{"SPL09-L18";(INDEX(ALLCLASSDATA,MATCH("SPL09-L18",CLASSFEATUREHEADERS,0),MATCH($A633,CLASSNAMEHEADERS,0)))}</f>
        <v>#REF!</v>
      </c>
      <c r="Y632" s="223" t="str">
        <f t="array" ref="Y632:Y633">{"SPL10-L19";(INDEX(ALLCLASSDATA,MATCH("SPL10-L19",CLASSFEATUREHEADERS,0),MATCH($A633,CLASSNAMEHEADERS,0)))}</f>
        <v>SPL10-L19</v>
      </c>
      <c r="Z632" s="223" t="str">
        <f t="array" ref="Z632:Z633">{"SPL10-L20";(INDEX(ALLCLASSDATA,MATCH("SPL10-L20",CLASSFEATUREHEADERS,0),MATCH($A633,CLASSNAMEHEADERS,0)))}</f>
        <v>SPL10-L20</v>
      </c>
      <c r="AA632" s="76"/>
      <c r="AB632" s="76"/>
    </row>
    <row r="633">
      <c r="A633" s="48" t="s">
        <v>221</v>
      </c>
      <c r="B633" s="48" t="s">
        <v>418</v>
      </c>
      <c r="C633" s="48" t="s">
        <v>1901</v>
      </c>
      <c r="D633" s="48" t="s">
        <v>1931</v>
      </c>
      <c r="E633" s="278" t="s">
        <v>1907</v>
      </c>
      <c r="F633" s="114">
        <v>4.0</v>
      </c>
      <c r="G633" s="50" t="s">
        <v>1538</v>
      </c>
      <c r="H633" s="50" t="s">
        <v>1908</v>
      </c>
      <c r="I633" s="50" t="s">
        <v>1538</v>
      </c>
      <c r="J633" s="50" t="s">
        <v>1908</v>
      </c>
      <c r="K633" s="50" t="s">
        <v>1538</v>
      </c>
      <c r="L633" s="50" t="s">
        <v>1908</v>
      </c>
      <c r="M633" s="50" t="s">
        <v>1538</v>
      </c>
      <c r="N633" s="50" t="s">
        <v>1908</v>
      </c>
      <c r="O633" s="50" t="s">
        <v>1538</v>
      </c>
      <c r="P633" s="50" t="s">
        <v>1908</v>
      </c>
      <c r="Q633" s="50" t="s">
        <v>1538</v>
      </c>
      <c r="R633" s="50" t="s">
        <v>1908</v>
      </c>
      <c r="S633" s="50" t="s">
        <v>1538</v>
      </c>
      <c r="T633" s="50" t="s">
        <v>1908</v>
      </c>
      <c r="U633" s="50" t="s">
        <v>1538</v>
      </c>
      <c r="V633" s="50" t="s">
        <v>1908</v>
      </c>
      <c r="W633" s="50" t="s">
        <v>1538</v>
      </c>
      <c r="X633" s="50" t="s">
        <v>1908</v>
      </c>
      <c r="Y633" s="50" t="s">
        <v>1537</v>
      </c>
      <c r="Z633" s="50"/>
      <c r="AA633" s="278"/>
      <c r="AB633" s="47"/>
    </row>
    <row r="634" hidden="1">
      <c r="A634" s="222" t="str">
        <f t="array" ref="A634:A635">{"FormulaRow43";(INDEX(CLASSLIST,A549,1))}</f>
        <v>FormulaRow43</v>
      </c>
      <c r="B634" s="222" t="str">
        <f t="array" ref="B634:B635">{"CLASSTYPE";((INDEX(ALLCLASSDATA,MATCH("ClassType",CLASSFEATUREHEADERS,0),MATCH($A635,CLASSNAMEHEADERS,0))))}</f>
        <v>CLASSTYPE</v>
      </c>
      <c r="C634" s="222" t="str">
        <f t="array" ref="C634:C635">{"SPELL/ALCHEMY";((IF(INDEX(ALLCLASSDATA,MATCH("CasterType",CLASSFEATUREHEADERS,0),MATCH(($A635),CLASSNAMEHEADERS,0))="","",(IF(INDEX(ALLCLASSDATA,MATCH("CasterType",CLASSFEATUREHEADERS,0),MATCH(($A635),CLASSNAMEHEADERS,0))="Alchemy","Alchemy","Spells")))))}</f>
        <v>SPELL/ALCHEMY</v>
      </c>
      <c r="D634" s="222" t="str">
        <f t="array" ref="D634:D635">{"SPELLLIST";(IF(C635="Spells",((INDEX(ALLCLASSDATA,MATCH("CasterType",CLASSFEATUREHEADERS,0),MATCH(($A635),CLASSNAMEHEADERS,0))) &amp; ":" &amp; (INDEX(ALLCLASSDATA,MATCH("SpellList",CLASSFEATUREHEADERS,0),MATCH(($A635),CLASSNAMEHEADERS,0)))),""))}</f>
        <v>SPELLLIST</v>
      </c>
      <c r="E634" s="223" t="str">
        <f t="array" ref="E634:E635">{"LEARNED/LVL";(IF(C635="","","Learn/LVL:"))}</f>
        <v>LEARNED/LVL</v>
      </c>
      <c r="F634" s="223" t="str">
        <f t="array" ref="F634:F635">{"LEARNEDCANTRIPS";(INDEX(ALLCLASSDATA,MATCH("CantripsLearned-L00",CLASSFEATUREHEADERS,0),MATCH($A635,CLASSNAMEHEADERS,0)))}</f>
        <v>LEARNEDCANTRIPS</v>
      </c>
      <c r="G634" s="223" t="str">
        <f t="array" ref="G634:G635">{"LEARNED L01";(INDEX(ALLCLASSDATA,MATCH("Learned-L01",CLASSFEATUREHEADERS,0),MATCH($A635,CLASSNAMEHEADERS,0)))}</f>
        <v>LEARNED L01</v>
      </c>
      <c r="H634" s="223" t="str">
        <f t="array" ref="H634:H635">{"LEARNED L02";(INDEX(ALLCLASSDATA,MATCH("Learned-L02",CLASSFEATUREHEADERS,0),MATCH($A635,CLASSNAMEHEADERS,0)))}</f>
        <v>#REF!</v>
      </c>
      <c r="I634" s="223" t="str">
        <f t="array" ref="I634:I635">{"LEARNED L03";(INDEX(ALLCLASSDATA,MATCH("Learned-L03",CLASSFEATUREHEADERS,0),MATCH($A635,CLASSNAMEHEADERS,0)))}</f>
        <v>LEARNED L03</v>
      </c>
      <c r="J634" s="223" t="str">
        <f t="array" ref="J634:J635">{"LEARNED L04";(INDEX(ALLCLASSDATA,MATCH("Learned-L04",CLASSFEATUREHEADERS,0),MATCH($A635,CLASSNAMEHEADERS,0)))}</f>
        <v>#REF!</v>
      </c>
      <c r="K634" s="223" t="str">
        <f t="array" ref="K634:K635">{"LEARNED L05";(INDEX(ALLCLASSDATA,MATCH("Learned-L05",CLASSFEATUREHEADERS,0),MATCH($A635,CLASSNAMEHEADERS,0)))}</f>
        <v>LEARNED L05</v>
      </c>
      <c r="L634" s="223" t="str">
        <f t="array" ref="L634:L635">{"LEARNED L06";(INDEX(ALLCLASSDATA,MATCH("Learned-L06",CLASSFEATUREHEADERS,0),MATCH($A635,CLASSNAMEHEADERS,0)))}</f>
        <v>#REF!</v>
      </c>
      <c r="M634" s="223" t="str">
        <f t="array" ref="M634:M635">{"LEARNED L07";(INDEX(ALLCLASSDATA,MATCH("Learned-L07",CLASSFEATUREHEADERS,0),MATCH($A635,CLASSNAMEHEADERS,0)))}</f>
        <v>LEARNED L07</v>
      </c>
      <c r="N634" s="223" t="str">
        <f t="array" ref="N634:N635">{"LEARNED L08";(INDEX(ALLCLASSDATA,MATCH("Learned-L08",CLASSFEATUREHEADERS,0),MATCH($A635,CLASSNAMEHEADERS,0)))}</f>
        <v>#REF!</v>
      </c>
      <c r="O634" s="223" t="str">
        <f t="array" ref="O634:O635">{"LEARNED L09";(INDEX(ALLCLASSDATA,MATCH("Learned-L09",CLASSFEATUREHEADERS,0),MATCH($A635,CLASSNAMEHEADERS,0)))}</f>
        <v>LEARNED L09</v>
      </c>
      <c r="P634" s="223" t="str">
        <f t="array" ref="P634:P635">{"LEARNED L10";(INDEX(ALLCLASSDATA,MATCH("Learned-L10",CLASSFEATUREHEADERS,0),MATCH($A635,CLASSNAMEHEADERS,0)))}</f>
        <v>#REF!</v>
      </c>
      <c r="Q634" s="223" t="str">
        <f t="array" ref="Q634:Q635">{"LEARNED L11";(INDEX(ALLCLASSDATA,MATCH("Learned-L11",CLASSFEATUREHEADERS,0),MATCH($A635,CLASSNAMEHEADERS,0)))}</f>
        <v>LEARNED L11</v>
      </c>
      <c r="R634" s="223" t="str">
        <f t="array" ref="R634:R635">{"LEARNED L12";(INDEX(ALLCLASSDATA,MATCH("Learned-L12",CLASSFEATUREHEADERS,0),MATCH($A635,CLASSNAMEHEADERS,0)))}</f>
        <v>#REF!</v>
      </c>
      <c r="S634" s="223" t="str">
        <f t="array" ref="S634:S635">{"LEARNED L13";(INDEX(ALLCLASSDATA,MATCH("Learned-L13",CLASSFEATUREHEADERS,0),MATCH($A635,CLASSNAMEHEADERS,0)))}</f>
        <v>LEARNED L13</v>
      </c>
      <c r="T634" s="223" t="str">
        <f t="array" ref="T634:T635">{"LEARNED L14";(INDEX(ALLCLASSDATA,MATCH("Learned-L14",CLASSFEATUREHEADERS,0),MATCH($A635,CLASSNAMEHEADERS,0)))}</f>
        <v>#REF!</v>
      </c>
      <c r="U634" s="223" t="str">
        <f t="array" ref="U634:U635">{"LEARNED L15";(INDEX(ALLCLASSDATA,MATCH("Learned-L15",CLASSFEATUREHEADERS,0),MATCH($A635,CLASSNAMEHEADERS,0)))}</f>
        <v>LEARNED L15</v>
      </c>
      <c r="V634" s="223" t="str">
        <f t="array" ref="V634:V635">{"LEARNED L16";(INDEX(ALLCLASSDATA,MATCH("Learned-L16",CLASSFEATUREHEADERS,0),MATCH($A635,CLASSNAMEHEADERS,0)))}</f>
        <v>#REF!</v>
      </c>
      <c r="W634" s="223" t="str">
        <f t="array" ref="W634:W635">{"LEARNED L17";(INDEX(ALLCLASSDATA,MATCH("Learned-L17",CLASSFEATUREHEADERS,0),MATCH($A635,CLASSNAMEHEADERS,0)))}</f>
        <v>LEARNED L17</v>
      </c>
      <c r="X634" s="223" t="str">
        <f t="array" ref="X634:X635">{"LEARNED L18";(INDEX(ALLCLASSDATA,MATCH("Learned-L18",CLASSFEATUREHEADERS,0),MATCH($A635,CLASSNAMEHEADERS,0)))}</f>
        <v>#REF!</v>
      </c>
      <c r="Y634" s="223" t="str">
        <f t="array" ref="Y634:Y635">{"LEARNED L19";(INDEX(ALLCLASSDATA,MATCH("Learned-L19",CLASSFEATUREHEADERS,0),MATCH($A635,CLASSNAMEHEADERS,0)))}</f>
        <v>LEARNED L19</v>
      </c>
      <c r="Z634" s="223" t="str">
        <f t="array" ref="Z634:Z635">{"LEARNED L20";(INDEX(ALLCLASSDATA,MATCH("Learned-L20",CLASSFEATUREHEADERS,0),MATCH($A635,CLASSNAMEHEADERS,0)))}</f>
        <v>LEARNED L20</v>
      </c>
      <c r="AA634" s="76"/>
      <c r="AB634" s="76"/>
    </row>
    <row r="635">
      <c r="A635" s="48" t="s">
        <v>221</v>
      </c>
      <c r="B635" s="48" t="s">
        <v>418</v>
      </c>
      <c r="C635" s="48" t="s">
        <v>1901</v>
      </c>
      <c r="D635" s="48" t="s">
        <v>1931</v>
      </c>
      <c r="E635" s="278" t="s">
        <v>1909</v>
      </c>
      <c r="F635" s="280" t="s">
        <v>1530</v>
      </c>
      <c r="G635" s="278" t="s">
        <v>1539</v>
      </c>
      <c r="H635" s="50" t="s">
        <v>1908</v>
      </c>
      <c r="I635" s="278" t="s">
        <v>1538</v>
      </c>
      <c r="J635" s="50" t="s">
        <v>1908</v>
      </c>
      <c r="K635" s="278" t="s">
        <v>1538</v>
      </c>
      <c r="L635" s="50" t="s">
        <v>1908</v>
      </c>
      <c r="M635" s="278" t="s">
        <v>1538</v>
      </c>
      <c r="N635" s="50" t="s">
        <v>1908</v>
      </c>
      <c r="O635" s="278" t="s">
        <v>1538</v>
      </c>
      <c r="P635" s="50" t="s">
        <v>1908</v>
      </c>
      <c r="Q635" s="278" t="s">
        <v>1538</v>
      </c>
      <c r="R635" s="50" t="s">
        <v>1908</v>
      </c>
      <c r="S635" s="278" t="s">
        <v>1538</v>
      </c>
      <c r="T635" s="50" t="s">
        <v>1908</v>
      </c>
      <c r="U635" s="278" t="s">
        <v>1538</v>
      </c>
      <c r="V635" s="50" t="s">
        <v>1908</v>
      </c>
      <c r="W635" s="278" t="s">
        <v>1538</v>
      </c>
      <c r="X635" s="50" t="s">
        <v>1908</v>
      </c>
      <c r="Y635" s="278" t="s">
        <v>1538</v>
      </c>
      <c r="Z635" s="278"/>
      <c r="AA635" s="278"/>
      <c r="AB635" s="47"/>
    </row>
    <row r="636" hidden="1">
      <c r="A636" s="222" t="str">
        <f t="array" ref="A636:A637">{"FormulaRow44";(INDEX(CLASSLIST,A549,1))}</f>
        <v>FormulaRow44</v>
      </c>
      <c r="B636" s="222" t="str">
        <f t="array" ref="B636:B637">{"CLASSTYPE";((INDEX(ALLCLASSDATA,MATCH("ClassType",CLASSFEATUREHEADERS,0),MATCH($A637,CLASSNAMEHEADERS,0))))}</f>
        <v>CLASSTYPE</v>
      </c>
      <c r="C636" s="222" t="str">
        <f t="array" ref="C636:C637">{"SPELL/ALCHEMY";((IF(INDEX(ALLCLASSDATA,MATCH("CasterType",CLASSFEATUREHEADERS,0),MATCH(($A637),CLASSNAMEHEADERS,0))="","",(IF(INDEX(ALLCLASSDATA,MATCH("CasterType",CLASSFEATUREHEADERS,0),MATCH(($A637),CLASSNAMEHEADERS,0))="Alchemy","","Spells")))))}</f>
        <v>SPELL/ALCHEMY</v>
      </c>
      <c r="D636" s="222" t="str">
        <f t="array" ref="D636:D637">{"SPELLLIST";(IF(C637="Spells",((INDEX(ALLCLASSDATA,MATCH("CasterType",CLASSFEATUREHEADERS,0),MATCH(($A637),CLASSNAMEHEADERS,0))) &amp; ":" &amp; (INDEX(ALLCLASSDATA,MATCH("SpellList",CLASSFEATUREHEADERS,0),MATCH(($A637),CLASSNAMEHEADERS,0)))),""))}</f>
        <v>SPELLLIST</v>
      </c>
      <c r="E636" s="223" t="str">
        <f t="array" ref="E636:E637">{"TOTALSLOTS";(IF(C637="","","TotalSlots:"))}</f>
        <v>TOTALSLOTS</v>
      </c>
      <c r="F636" s="223" t="str">
        <f t="array" ref="F636:F637">{"TOTALCANTRIPSLOTS";(F633)}</f>
        <v>TOTALCANTRIPSLOTS</v>
      </c>
      <c r="G636" s="223" t="str">
        <f t="array" ref="G636:G637">{"TOTALSLOTS L01";(G633)}</f>
        <v>TOTALSLOTS L01</v>
      </c>
      <c r="H636" s="223" t="str">
        <f t="array" ref="H636:H637">{"TOTALSLOTS L02";(G637+H633)}</f>
        <v>TOTALSLOTS L02</v>
      </c>
      <c r="I636" s="223" t="str">
        <f t="array" ref="I636:I637">{"TOTALSLOTS L03";(H637+I633)}</f>
        <v>TOTALSLOTS L03</v>
      </c>
      <c r="J636" s="223" t="str">
        <f t="array" ref="J636:J637">{"TOTALSLOTS L04";(I637+J633)}</f>
        <v>TOTALSLOTS L04</v>
      </c>
      <c r="K636" s="223" t="str">
        <f t="array" ref="K636:K637">{"TOTALSLOTS L05";(J637+K633)}</f>
        <v>TOTALSLOTS L05</v>
      </c>
      <c r="L636" s="223" t="str">
        <f t="array" ref="L636:L637">{"TOTALSLOTS L06";(K637+L633)}</f>
        <v>TOTALSLOTS L06</v>
      </c>
      <c r="M636" s="223" t="str">
        <f t="array" ref="M636:M637">{"TOTALSLOTS L07";(L637+M633)}</f>
        <v>TOTALSLOTS L07</v>
      </c>
      <c r="N636" s="223" t="str">
        <f t="array" ref="N636:N637">{"TOTALSLOTS L08";(M637+N633)}</f>
        <v>TOTALSLOTS L08</v>
      </c>
      <c r="O636" s="223" t="str">
        <f t="array" ref="O636:O637">{"TOTALSLOTS L09";(N637+O633)}</f>
        <v>TOTALSLOTS L09</v>
      </c>
      <c r="P636" s="223" t="str">
        <f t="array" ref="P636:P637">{"TOTALSLOTS L10";(O637+P633)}</f>
        <v>TOTALSLOTS L10</v>
      </c>
      <c r="Q636" s="223" t="str">
        <f t="array" ref="Q636:Q637">{"TOTALSLOTS L11";(P637+Q633)}</f>
        <v>TOTALSLOTS L11</v>
      </c>
      <c r="R636" s="223" t="str">
        <f t="array" ref="R636:R637">{"TOTALSLOTS L12";(Q637+R633)}</f>
        <v>TOTALSLOTS L12</v>
      </c>
      <c r="S636" s="223" t="str">
        <f t="array" ref="S636:S637">{"TOTALSLOTS L13";(R637+S633)}</f>
        <v>TOTALSLOTS L13</v>
      </c>
      <c r="T636" s="223" t="str">
        <f t="array" ref="T636:T637">{"TOTALSLOTS L14";(S637+T633)}</f>
        <v>TOTALSLOTS L14</v>
      </c>
      <c r="U636" s="223" t="str">
        <f t="array" ref="U636:U637">{"TOTALSLOTS L15";(T637+U633)}</f>
        <v>TOTALSLOTS L15</v>
      </c>
      <c r="V636" s="223" t="str">
        <f t="array" ref="V636:V637">{"TOTALSLOTS L16";(U637+V633)}</f>
        <v>TOTALSLOTS L16</v>
      </c>
      <c r="W636" s="223" t="str">
        <f t="array" ref="W636:W637">{"TOTALSLOTS L17";(V637+W633)}</f>
        <v>TOTALSLOTS L17</v>
      </c>
      <c r="X636" s="223" t="str">
        <f t="array" ref="X636:X637">{"TOTALSLOTS L18";(W637+X633)}</f>
        <v>TOTALSLOTS L18</v>
      </c>
      <c r="Y636" s="223" t="str">
        <f t="array" ref="Y636:Y637">{"TOTALSLOTS L19";(X637+Y633)}</f>
        <v>TOTALSLOTS L19</v>
      </c>
      <c r="Z636" s="223" t="str">
        <f t="array" ref="Z636:Z637">{"TOTALSLOTS L20";(Y637+Z633)}</f>
        <v>TOTALSLOTS L20</v>
      </c>
      <c r="AA636" s="76"/>
      <c r="AB636" s="76"/>
    </row>
    <row r="637">
      <c r="A637" s="48" t="s">
        <v>221</v>
      </c>
      <c r="B637" s="48" t="s">
        <v>418</v>
      </c>
      <c r="C637" s="48" t="s">
        <v>1901</v>
      </c>
      <c r="D637" s="48" t="s">
        <v>1931</v>
      </c>
      <c r="E637" s="278" t="s">
        <v>1910</v>
      </c>
      <c r="F637" s="47">
        <v>4.0</v>
      </c>
      <c r="G637" s="278" t="s">
        <v>1538</v>
      </c>
      <c r="H637" s="278">
        <v>2.0</v>
      </c>
      <c r="I637" s="278">
        <v>4.0</v>
      </c>
      <c r="J637" s="278">
        <v>4.0</v>
      </c>
      <c r="K637" s="278">
        <v>6.0</v>
      </c>
      <c r="L637" s="278">
        <v>6.0</v>
      </c>
      <c r="M637" s="278">
        <v>8.0</v>
      </c>
      <c r="N637" s="278">
        <v>8.0</v>
      </c>
      <c r="O637" s="278">
        <v>10.0</v>
      </c>
      <c r="P637" s="278">
        <v>10.0</v>
      </c>
      <c r="Q637" s="278">
        <v>12.0</v>
      </c>
      <c r="R637" s="278">
        <v>12.0</v>
      </c>
      <c r="S637" s="278">
        <v>14.0</v>
      </c>
      <c r="T637" s="278">
        <v>14.0</v>
      </c>
      <c r="U637" s="278">
        <v>16.0</v>
      </c>
      <c r="V637" s="278">
        <v>16.0</v>
      </c>
      <c r="W637" s="278">
        <v>18.0</v>
      </c>
      <c r="X637" s="278">
        <v>18.0</v>
      </c>
      <c r="Y637" s="278">
        <v>19.0</v>
      </c>
      <c r="Z637" s="278">
        <v>19.0</v>
      </c>
      <c r="AA637" s="5"/>
      <c r="AB637" s="47"/>
    </row>
    <row r="638" hidden="1">
      <c r="A638" s="222" t="str">
        <f t="array" ref="A638:A639">{"FormulaRow45";(INDEX(CLASSLIST,A549,1))}</f>
        <v>FormulaRow45</v>
      </c>
      <c r="B638" s="222" t="str">
        <f t="array" ref="B638:B639">{"CLASSTYPE";((INDEX(ALLCLASSDATA,MATCH("ClassType",CLASSFEATUREHEADERS,0),MATCH($A639,CLASSNAMEHEADERS,0))))}</f>
        <v>CLASSTYPE</v>
      </c>
      <c r="C638" s="222" t="str">
        <f t="array" ref="C638:C639">{"SPELL/ALCHEMY";((IF(INDEX(ALLCLASSDATA,MATCH("CasterType",CLASSFEATUREHEADERS,0),MATCH(($A639),CLASSNAMEHEADERS,0))="","",(IF(INDEX(ALLCLASSDATA,MATCH("CasterType",CLASSFEATUREHEADERS,0),MATCH(($A639),CLASSNAMEHEADERS,0))="Alchemy","Alchemy","Spells")))))}</f>
        <v>SPELL/ALCHEMY</v>
      </c>
      <c r="D638" s="222" t="str">
        <f t="array" ref="D638:D639">{"SPELLLIST";(IF(C639="Spells",((INDEX(ALLCLASSDATA,MATCH("CasterType",CLASSFEATUREHEADERS,0),MATCH(($A639),CLASSNAMEHEADERS,0))) &amp; ":" &amp; (INDEX(ALLCLASSDATA,MATCH("SpellList",CLASSFEATUREHEADERS,0),MATCH(($A639),CLASSNAMEHEADERS,0)))),""))}</f>
        <v>SPELLLIST</v>
      </c>
      <c r="E638" s="223" t="str">
        <f t="array" ref="E638:E639">{"TOTALLEARNED";(IF(C639="","","TotalLearned:"))}</f>
        <v>TOTALLEARNED</v>
      </c>
      <c r="F638" s="223" t="str">
        <f t="array" ref="F638:F639">{"TOTALCANTRIPSLEARNED";(F635)}</f>
        <v>TOTALCANTRIPSLEARNED</v>
      </c>
      <c r="G638" s="223" t="str">
        <f t="array" ref="G638:G639">{"TOTALLEARNED L01";(G635)}</f>
        <v>TOTALLEARNED L01</v>
      </c>
      <c r="H638" s="223" t="str">
        <f t="array" ref="H638:H639">{"TOTALLEARNED L02";(G639+H635)}</f>
        <v>TOTALLEARNED L02</v>
      </c>
      <c r="I638" s="223" t="str">
        <f t="array" ref="I638:I639">{"TOTALLEARNED L03";(H639+I635)}</f>
        <v>TOTALLEARNED L03</v>
      </c>
      <c r="J638" s="223" t="str">
        <f t="array" ref="J638:J639">{"TOTALLEARNED L04";(I639+J635)}</f>
        <v>TOTALLEARNED L04</v>
      </c>
      <c r="K638" s="223" t="str">
        <f t="array" ref="K638:K639">{"TOTALLEARNED L05";(J639+K635)}</f>
        <v>TOTALLEARNED L05</v>
      </c>
      <c r="L638" s="223" t="str">
        <f t="array" ref="L638:L639">{"TOTALLEARNED L06";(K639+L635)}</f>
        <v>TOTALLEARNED L06</v>
      </c>
      <c r="M638" s="223" t="str">
        <f t="array" ref="M638:M639">{"TOTALLEARNED L07";(L639+M635)}</f>
        <v>TOTALLEARNED L07</v>
      </c>
      <c r="N638" s="223" t="str">
        <f t="array" ref="N638:N639">{"TOTALLEARNED L08";(M639+N635)}</f>
        <v>TOTALLEARNED L08</v>
      </c>
      <c r="O638" s="223" t="str">
        <f t="array" ref="O638:O639">{"TOTALLEARNED L09";(N639+O635)}</f>
        <v>TOTALLEARNED L09</v>
      </c>
      <c r="P638" s="223" t="str">
        <f t="array" ref="P638:P639">{"TOTALLEARNED L10";(O639+P635)}</f>
        <v>TOTALLEARNED L10</v>
      </c>
      <c r="Q638" s="223" t="str">
        <f t="array" ref="Q638:Q639">{"TOTALLEARNED L11";(P639+Q635)}</f>
        <v>TOTALLEARNED L11</v>
      </c>
      <c r="R638" s="223" t="str">
        <f t="array" ref="R638:R639">{"TOTALLEARNED L12";(Q639+R635)}</f>
        <v>TOTALLEARNED L12</v>
      </c>
      <c r="S638" s="223" t="str">
        <f t="array" ref="S638:S639">{"TOTALLEARNED L13";(R639+S635)}</f>
        <v>TOTALLEARNED L13</v>
      </c>
      <c r="T638" s="223" t="str">
        <f t="array" ref="T638:T639">{"TOTALLEARNED L14";(S639+T635)}</f>
        <v>TOTALLEARNED L14</v>
      </c>
      <c r="U638" s="223" t="str">
        <f t="array" ref="U638:U639">{"TOTALLEARNED L15";(T639+U635)}</f>
        <v>TOTALLEARNED L15</v>
      </c>
      <c r="V638" s="223" t="str">
        <f t="array" ref="V638:V639">{"TOTALLEARNED L16";(U639+V635)}</f>
        <v>TOTALLEARNED L16</v>
      </c>
      <c r="W638" s="223" t="str">
        <f t="array" ref="W638:W639">{"TOTALLEARNED L17";(V639+W635)}</f>
        <v>TOTALLEARNED L17</v>
      </c>
      <c r="X638" s="223" t="str">
        <f t="array" ref="X638:X639">{"TOTALLEARNED L18";(W639+X635)}</f>
        <v>TOTALLEARNED L18</v>
      </c>
      <c r="Y638" s="223" t="str">
        <f t="array" ref="Y638:Y639">{"TOTALLEARNED L19";(X639+Y635)}</f>
        <v>TOTALLEARNED L19</v>
      </c>
      <c r="Z638" s="223" t="str">
        <f t="array" ref="Z638:Z639">{"TOTALLEARNED L20";(Y639+Z635)}</f>
        <v>TOTALLEARNED L20</v>
      </c>
      <c r="AA638" s="76"/>
      <c r="AB638" s="76"/>
    </row>
    <row r="639">
      <c r="A639" s="97" t="s">
        <v>221</v>
      </c>
      <c r="B639" s="97" t="s">
        <v>418</v>
      </c>
      <c r="C639" s="97" t="s">
        <v>1901</v>
      </c>
      <c r="D639" s="97" t="s">
        <v>1931</v>
      </c>
      <c r="E639" s="281" t="s">
        <v>1911</v>
      </c>
      <c r="F639" s="282" t="s">
        <v>1530</v>
      </c>
      <c r="G639" s="278" t="s">
        <v>1539</v>
      </c>
      <c r="H639" s="278">
        <v>3.0</v>
      </c>
      <c r="I639" s="278">
        <v>5.0</v>
      </c>
      <c r="J639" s="278">
        <v>5.0</v>
      </c>
      <c r="K639" s="278">
        <v>7.0</v>
      </c>
      <c r="L639" s="278">
        <v>7.0</v>
      </c>
      <c r="M639" s="278">
        <v>9.0</v>
      </c>
      <c r="N639" s="278">
        <v>9.0</v>
      </c>
      <c r="O639" s="278">
        <v>11.0</v>
      </c>
      <c r="P639" s="278">
        <v>11.0</v>
      </c>
      <c r="Q639" s="278">
        <v>13.0</v>
      </c>
      <c r="R639" s="278">
        <v>13.0</v>
      </c>
      <c r="S639" s="278">
        <v>15.0</v>
      </c>
      <c r="T639" s="278">
        <v>15.0</v>
      </c>
      <c r="U639" s="278">
        <v>17.0</v>
      </c>
      <c r="V639" s="278">
        <v>17.0</v>
      </c>
      <c r="W639" s="278">
        <v>19.0</v>
      </c>
      <c r="X639" s="278">
        <v>19.0</v>
      </c>
      <c r="Y639" s="278">
        <v>21.0</v>
      </c>
      <c r="Z639" s="278">
        <v>21.0</v>
      </c>
      <c r="AA639" s="5"/>
      <c r="AB639" s="47"/>
    </row>
    <row r="640">
      <c r="A640" s="55">
        <v>18.0</v>
      </c>
      <c r="B640" s="79" t="s">
        <v>1932</v>
      </c>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71"/>
      <c r="AB640" s="73"/>
    </row>
    <row r="641" hidden="1">
      <c r="A641" s="76" t="str">
        <f t="array" ref="A641:A642">{"FormulaRow01";(INDEX(CLASSLIST,A640,1))}</f>
        <v>FormulaRow01</v>
      </c>
      <c r="B641" s="76" t="str">
        <f t="array" ref="B641:B642">{"CLASSTYPE";(INDEX(ALLCLASSDATA,MATCH("ClassType",CLASSFEATUREHEADERS,0),MATCH($A642,CLASSNAMEHEADERS,0)))}</f>
        <v>CLASSTYPE</v>
      </c>
      <c r="C641" s="81" t="str">
        <f t="array" ref="C641:C642">{"TOTAL";("Total: " &amp; G642+I642+K642+M642+O642+Q642+S642+U642+W642+Y642)}</f>
        <v>TOTAL</v>
      </c>
      <c r="D641" s="81" t="str">
        <f t="array" ref="D641:D642">{"BALANCE";(IF((G642+I642+K642+M642+O642+Q642+S642+U642+W642+Y642)=2100,"(balanced)",(IF((G642+I642+K642+M642+O642+Q642+S642+U642+W642+Y642)&gt;2100,"OVERBUDGET: ","UNDERBUDGET: ")) &amp; (G642+I642+K642+M642+O642+Q642+S642+U642+W642+Y642-2100)))}</f>
        <v>BALANCE</v>
      </c>
      <c r="E641" s="81"/>
      <c r="F641" s="81"/>
      <c r="G641" s="81" t="str">
        <f t="array" ref="G641:G642">{"SUM LVL0/1/2";((SUMIF(E643:H722,"&lt;&gt;#REF!")+(SUMIF(I643:Z650,"&lt;&gt;#REF!"))))}</f>
        <v>SUM LVL0/1/2</v>
      </c>
      <c r="H641" s="81"/>
      <c r="I641" s="81" t="str">
        <f t="array" ref="I641:I642">{"SUM LVL3/4";(SUMIF(I651:J722,"&lt;&gt;#REF!"))}</f>
        <v>SUM LVL3/4</v>
      </c>
      <c r="J641" s="81"/>
      <c r="K641" s="81" t="str">
        <f t="array" ref="K641:K642">{"SUM LVL5/6";(SUMIF(K651:L722,"&lt;&gt;#REF!"))}</f>
        <v>SUM LVL5/6</v>
      </c>
      <c r="L641" s="81"/>
      <c r="M641" s="81" t="str">
        <f t="array" ref="M641:M642">{"SUM LVL7/8";(SUMIF(M651:N722,"&lt;&gt;#REF!"))}</f>
        <v>SUM LVL7/8</v>
      </c>
      <c r="N641" s="81"/>
      <c r="O641" s="81" t="str">
        <f t="array" ref="O641:O642">{"SUM LVL9/10";(SUMIF(O651:P722,"&lt;&gt;#REF!"))}</f>
        <v>SUM LVL9/10</v>
      </c>
      <c r="P641" s="81"/>
      <c r="Q641" s="81" t="str">
        <f t="array" ref="Q641:Q642">{"SUM LVL11/12";(SUMIF(Q651:R722,"&lt;&gt;#REF!"))}</f>
        <v>SUM LVL11/12</v>
      </c>
      <c r="R641" s="81"/>
      <c r="S641" s="81" t="str">
        <f t="array" ref="S641:S642">{"SUM LVL13/14";(SUMIF(S651:T722,"&lt;&gt;#REF!"))}</f>
        <v>SUM LVL13/14</v>
      </c>
      <c r="T641" s="81"/>
      <c r="U641" s="81" t="str">
        <f t="array" ref="U641:U642">{"SUM LVL15/16";(SUMIF(U651:V722,"&lt;&gt;#REF!"))}</f>
        <v>SUM LVL15/16</v>
      </c>
      <c r="V641" s="81"/>
      <c r="W641" s="81" t="str">
        <f t="array" ref="W641:W642">{"SUM LVL17/18";(SUMIF(W651:X722,"&lt;&gt;#REF!"))}</f>
        <v>SUM LVL17/18</v>
      </c>
      <c r="X641" s="81"/>
      <c r="Y641" s="81" t="str">
        <f t="array" ref="Y641:Y642">{"SUM LVL19/20";(SUMIF(Y651:Z722,"&lt;&gt;#REF!"))}</f>
        <v>SUM LVL19/20</v>
      </c>
      <c r="Z641" s="81"/>
      <c r="AA641" s="76"/>
      <c r="AB641" s="76" t="str">
        <f t="array" ref="AB641:AB642">{"SUM ROWTOTALS";(SUMIF(AB644:AB730,"&lt;&gt;#REF!"))}</f>
        <v>SUM ROWTOTALS</v>
      </c>
    </row>
    <row r="642">
      <c r="A642" s="48" t="s">
        <v>223</v>
      </c>
      <c r="B642" s="48" t="s">
        <v>418</v>
      </c>
      <c r="C642" s="97" t="s">
        <v>1929</v>
      </c>
      <c r="D642" s="98" t="s">
        <v>1930</v>
      </c>
      <c r="E642" s="97"/>
      <c r="F642" s="99"/>
      <c r="G642" s="98">
        <v>410.0</v>
      </c>
      <c r="H642" s="98"/>
      <c r="I642" s="98">
        <v>70.0</v>
      </c>
      <c r="J642" s="98"/>
      <c r="K642" s="98">
        <v>40.0</v>
      </c>
      <c r="L642" s="98"/>
      <c r="M642" s="98">
        <v>200.0</v>
      </c>
      <c r="N642" s="98"/>
      <c r="O642" s="98">
        <v>90.0</v>
      </c>
      <c r="P642" s="98"/>
      <c r="Q642" s="98">
        <v>140.0</v>
      </c>
      <c r="R642" s="98"/>
      <c r="S642" s="98">
        <v>210.0</v>
      </c>
      <c r="T642" s="98"/>
      <c r="U642" s="98">
        <v>150.0</v>
      </c>
      <c r="V642" s="98"/>
      <c r="W642" s="98">
        <v>230.0</v>
      </c>
      <c r="X642" s="98"/>
      <c r="Y642" s="98">
        <v>380.0</v>
      </c>
      <c r="Z642" s="98"/>
      <c r="AA642" s="5"/>
      <c r="AB642" s="47">
        <v>1920.0</v>
      </c>
    </row>
    <row r="643" hidden="1">
      <c r="A643" s="76" t="str">
        <f t="array" ref="A643:A644">{"FormulaRow02";(INDEX(CLASSLIST,A640,1))}</f>
        <v>FormulaRow02</v>
      </c>
      <c r="B643" s="76" t="str">
        <f t="array" ref="B643:B644">{"CLASSTYPE";((INDEX(ALLCLASSDATA,MATCH("ClassType",CLASSFEATUREHEADERS,0),MATCH($A644,CLASSNAMEHEADERS,0))))}</f>
        <v>CLASSTYPE</v>
      </c>
      <c r="C643" s="81" t="str">
        <f t="array" ref="C643:C644">{"FEATURES";"Features"}</f>
        <v>FEATURES</v>
      </c>
      <c r="D643" s="81" t="str">
        <f t="array" ref="D643:D644">{"INITIALFEATURES";"Initial Features"}</f>
        <v>INITIALFEATURES</v>
      </c>
      <c r="E643" s="81" t="str">
        <f t="array" ref="E643:E644">{"KEY";"Key"}</f>
        <v>KEY</v>
      </c>
      <c r="F643" s="81" t="str">
        <f t="array" ref="F643:F644">{"HP";"HP"}</f>
        <v>HP</v>
      </c>
      <c r="G643" s="81" t="str">
        <f t="array" ref="G643:G644">{"CLASSFEATL01";"ClassFeatL01"}</f>
        <v>CLASSFEATL01</v>
      </c>
      <c r="H643" s="81" t="str">
        <f t="array" ref="H643:H644">{"SHIELDBLOCKL01";"ShieldBlockL01"}</f>
        <v>SHIELDBLOCKL01</v>
      </c>
      <c r="I643" s="81" t="str">
        <f t="array" ref="I643:I644">{"INITIALSKILLS";"InitialSkills"}</f>
        <v>INITIALSKILLS</v>
      </c>
      <c r="J643" s="81" t="str">
        <f t="array" ref="J643:J644">{"SUBCLASSSKILLS";"SubclassSkills"}</f>
        <v>SUBCLASSSKILLS</v>
      </c>
      <c r="K643" s="81" t="str">
        <f t="array" ref="K643:K644">{"GRANTEDSKILLS";"GrantedSkills"}</f>
        <v>GRANTEDSKILLS</v>
      </c>
      <c r="L643" s="81"/>
      <c r="M643" s="81"/>
      <c r="N643" s="81"/>
      <c r="O643" s="81" t="str">
        <f t="array" ref="O643:O644">{"FOCUSSPELLS";"FocusSpells:"}</f>
        <v>FOCUSSPELLS</v>
      </c>
      <c r="P643" s="81" t="str">
        <f t="array" ref="P643:P644">{"FOCUSSPELL1-L00";((INDEX(ALLCLASSDATA,MATCH("FocusSpell1-L00",CLASSFEATUREHEADERS,0),MATCH(($A644),CLASSNAMEHEADERS,0))))}</f>
        <v>FOCUSSPELL1-L00</v>
      </c>
      <c r="Q643" s="81" t="str">
        <f t="array" ref="Q643:Q644">{"FOCUSSPELL2-L00";((INDEX(ALLCLASSDATA,MATCH("FocusSpell2-L00",CLASSFEATUREHEADERS,0),MATCH(($A644),CLASSNAMEHEADERS,0))))}</f>
        <v>FOCUSSPELL2-L00</v>
      </c>
      <c r="R643" s="81" t="str">
        <f t="array" ref="R643:R644">{"FOCUSSPELL3-L00";((INDEX(ALLCLASSDATA,MATCH("FocusSpell3-L00",CLASSFEATUREHEADERS,0),MATCH(($A644),CLASSNAMEHEADERS,0))))}</f>
        <v>FOCUSSPELL3-L00</v>
      </c>
      <c r="S643" s="81" t="str">
        <f t="array" ref="S643:S644">{"FOCUSSPELL4-L00";((INDEX(ALLCLASSDATA,MATCH("FocusSpell4-L00",CLASSFEATUREHEADERS,0),MATCH(($A644),CLASSNAMEHEADERS,0))))}</f>
        <v>FOCUSSPELL4-L00</v>
      </c>
      <c r="T643" s="81" t="str">
        <f t="array" ref="T643:T644">{"FOCUSSPELL5-L00";((INDEX(ALLCLASSDATA,MATCH("FocusSpell5-L00",CLASSFEATUREHEADERS,0),MATCH(($A644),CLASSNAMEHEADERS,0))))}</f>
        <v>FOCUSSPELL5-L00</v>
      </c>
      <c r="U643" s="81"/>
      <c r="V643" s="81"/>
      <c r="W643" s="81"/>
      <c r="X643" s="81"/>
      <c r="Y643" s="81"/>
      <c r="Z643" s="81"/>
      <c r="AA643" s="76"/>
      <c r="AB643" s="76"/>
    </row>
    <row r="644">
      <c r="A644" s="48" t="s">
        <v>223</v>
      </c>
      <c r="B644" s="48" t="s">
        <v>418</v>
      </c>
      <c r="C644" s="48" t="s">
        <v>467</v>
      </c>
      <c r="D644" s="48" t="s">
        <v>468</v>
      </c>
      <c r="E644" s="48" t="s">
        <v>469</v>
      </c>
      <c r="F644" s="114" t="s">
        <v>15</v>
      </c>
      <c r="G644" s="8" t="s">
        <v>451</v>
      </c>
      <c r="H644" s="8" t="s">
        <v>463</v>
      </c>
      <c r="I644" s="8" t="s">
        <v>473</v>
      </c>
      <c r="J644" s="8" t="s">
        <v>474</v>
      </c>
      <c r="K644" s="8" t="s">
        <v>475</v>
      </c>
      <c r="L644" s="8"/>
      <c r="M644" s="8"/>
      <c r="N644" s="8"/>
      <c r="O644" s="8" t="s">
        <v>476</v>
      </c>
      <c r="P644" s="8" t="s">
        <v>1599</v>
      </c>
      <c r="Q644" s="8" t="s">
        <v>1608</v>
      </c>
      <c r="R644" s="116"/>
      <c r="S644" s="116"/>
      <c r="T644" s="116"/>
      <c r="U644" s="8"/>
      <c r="V644" s="8"/>
      <c r="W644" s="8"/>
      <c r="X644" s="8"/>
      <c r="Y644" s="5"/>
      <c r="Z644" s="5"/>
      <c r="AA644" s="5"/>
      <c r="AB644" s="47"/>
    </row>
    <row r="645" hidden="1">
      <c r="A645" s="76" t="str">
        <f t="array" ref="A645:A646">{"FormulaRow03";(INDEX(CLASSLIST,A640,1))}</f>
        <v>FormulaRow03</v>
      </c>
      <c r="B645" s="76" t="str">
        <f t="array" ref="B645:B646">{"CLASSTYPE";((INDEX(ALLCLASSDATA,MATCH("ClassType",CLASSFEATUREHEADERS,0),MATCH($A646,CLASSNAMEHEADERS,0))))}</f>
        <v>CLASSTYPE</v>
      </c>
      <c r="C645" s="76" t="str">
        <f t="array" ref="C645:C646">{"FEATUREPTS";"FeaturesPts"}</f>
        <v>FEATUREPTS</v>
      </c>
      <c r="D645" s="76" t="str">
        <f t="array" ref="D645:D646">{"INITIALFEATURES";"Initial Features"}</f>
        <v>INITIALFEATURES</v>
      </c>
      <c r="E645" s="76" t="str">
        <f t="array" ref="E645:E646">{"KEYABILITY";((INDEX(ALLCLASSDATA,MATCH("KEYABILITY",CLASSFEATUREHEADERS,0),MATCH($A646,CLASSNAMEHEADERS,0))))}</f>
        <v>KEYABILITY</v>
      </c>
      <c r="F645" s="76" t="str">
        <f t="array" ref="F645:F646">{"HP";((INDEX(ALLCLASSDATA,MATCH("HP",CLASSFEATUREHEADERS,0),MATCH(($A646 &amp; "Points"),CLASSNAMEHEADERS,0))))}</f>
        <v>HP</v>
      </c>
      <c r="G645" s="76" t="str">
        <f t="array" ref="G645:G646">{"CLASSFEATL01";((INDEX(ALLCLASSDATA,MATCH("ClassFeatL01",CLASSFEATUREHEADERS,0),MATCH(($A646 &amp; "Points"),CLASSNAMEHEADERS,0))))}</f>
        <v>CLASSFEATL01</v>
      </c>
      <c r="H645" s="76" t="str">
        <f t="array" ref="H645:H646">{"SHIELDBLOCKL01";((INDEX(ALLCLASSDATA,MATCH("ShieldBlockL01",CLASSFEATUREHEADERS,0),MATCH(($A646 &amp; "Points"),CLASSNAMEHEADERS,0))))}</f>
        <v>SHIELDBLOCKL01</v>
      </c>
      <c r="I645" s="76" t="str">
        <f t="array" ref="I645:I646">{"INITIALSKILLINCREASES";((INDEX(ALLCLASSDATA,MATCH("InitialSkillIncreases",CLASSFEATUREHEADERS,0),MATCH(($A646 &amp; "Points"),CLASSNAMEHEADERS,0))))}</f>
        <v>INITIALSKILLINCREASES</v>
      </c>
      <c r="J645" s="76" t="str">
        <f t="array" ref="J645:J646">{"SUBCLASSSKILLINCREASES";((INDEX(ALLCLASSDATA,MATCH("SubclassSkillIncreases",CLASSFEATUREHEADERS,0),MATCH(($A646 &amp; "Points"),CLASSNAMEHEADERS,0))))}</f>
        <v>SUBCLASSSKILLINCREASES</v>
      </c>
      <c r="K645" s="76" t="str">
        <f t="array" ref="K645:K646">{"GRANTEDSKILLS";(((INDEX(ALLCLASSDATA,MATCH("SkillsGrantedTotal",CLASSFEATUREHEADERS,0),MATCH(($A646 &amp; "Points"),CLASSNAMEHEADERS,0)))-(INDEX(ALLCLASSDATA,MATCH("InitialSkillIncreases",CLASSFEATUREHEADERS,0),MATCH(($A646 &amp; "Points"),CLASSNAMEHEADERS,0)))-(INDEX(ALLCLASSDATA,MATCH("SubclassSkillIncreases",CLASSFEATUREHEADERS,0),MATCH(($A646 &amp; "Points"),CLASSNAMEHEADERS,0)))))}</f>
        <v>GRANTEDSKILLS</v>
      </c>
      <c r="L645" s="76"/>
      <c r="M645" s="76"/>
      <c r="N645" s="76"/>
      <c r="O645" s="76"/>
      <c r="P645" s="76" t="str">
        <f t="array" ref="P645:P646">{"FOCUSSPELL1-L00";((INDEX(ALLCLASSDATA,MATCH("FocusSpell1-L00",CLASSFEATUREHEADERS,0),MATCH(($A646 &amp; "Points"),CLASSNAMEHEADERS,0))))}</f>
        <v>FOCUSSPELL1-L00</v>
      </c>
      <c r="Q645" s="76" t="str">
        <f t="array" ref="Q645:Q646">{"FOCUSSPELL2-L00";((INDEX(ALLCLASSDATA,MATCH("FocusSpell2-L00",CLASSFEATUREHEADERS,0),MATCH(($A646 &amp; "Points"),CLASSNAMEHEADERS,0))))}</f>
        <v>FOCUSSPELL2-L00</v>
      </c>
      <c r="R645" s="76" t="str">
        <f t="array" ref="R645:R646">{"FOCUSSPELL3-L00";((INDEX(ALLCLASSDATA,MATCH("FocusSpell3-L00",CLASSFEATUREHEADERS,0),MATCH(($A646 &amp; "Points"),CLASSNAMEHEADERS,0))))}</f>
        <v>FOCUSSPELL3-L00</v>
      </c>
      <c r="S645" s="76" t="str">
        <f t="array" ref="S645:S646">{"FOCUSSPELL4-L00";((INDEX(ALLCLASSDATA,MATCH("FocusSpell4-L00",CLASSFEATUREHEADERS,0),MATCH(($A646 &amp; "Points"),CLASSNAMEHEADERS,0))))}</f>
        <v>FOCUSSPELL4-L00</v>
      </c>
      <c r="T645" s="76" t="str">
        <f t="array" ref="T645:T646">{"FOCUSSPELL5-L00";((INDEX(ALLCLASSDATA,MATCH("FocusSpell5-L00",CLASSFEATUREHEADERS,0),MATCH(($A646 &amp; "Points"),CLASSNAMEHEADERS,0))))}</f>
        <v>FOCUSSPELL5-L00</v>
      </c>
      <c r="U645" s="76"/>
      <c r="V645" s="76"/>
      <c r="W645" s="76"/>
      <c r="X645" s="76"/>
      <c r="Y645" s="76"/>
      <c r="Z645" s="76"/>
      <c r="AA645" s="76"/>
      <c r="AB645" s="76" t="str">
        <f t="array" ref="AB645:AB646">{"FEATUREPTS TOTAL";(sum(F646:Z646))}</f>
        <v>FEATUREPTS TOTAL</v>
      </c>
    </row>
    <row r="646">
      <c r="A646" s="48" t="s">
        <v>223</v>
      </c>
      <c r="B646" s="48" t="s">
        <v>418</v>
      </c>
      <c r="C646" s="97" t="s">
        <v>559</v>
      </c>
      <c r="D646" s="97" t="s">
        <v>468</v>
      </c>
      <c r="E646" s="97" t="s">
        <v>264</v>
      </c>
      <c r="F646" s="132">
        <v>80.0</v>
      </c>
      <c r="G646" s="98" t="s">
        <v>603</v>
      </c>
      <c r="H646" s="98" t="s">
        <v>603</v>
      </c>
      <c r="I646" s="98">
        <v>15.0</v>
      </c>
      <c r="J646" s="98">
        <v>5.0</v>
      </c>
      <c r="K646" s="98">
        <v>5.0</v>
      </c>
      <c r="L646" s="98"/>
      <c r="M646" s="98"/>
      <c r="N646" s="98"/>
      <c r="O646" s="98"/>
      <c r="P646" s="98">
        <v>10.0</v>
      </c>
      <c r="Q646" s="98">
        <v>10.0</v>
      </c>
      <c r="R646" s="98"/>
      <c r="S646" s="98"/>
      <c r="T646" s="98"/>
      <c r="U646" s="98"/>
      <c r="V646" s="98"/>
      <c r="W646" s="98"/>
      <c r="X646" s="98"/>
      <c r="Y646" s="98"/>
      <c r="Z646" s="98"/>
      <c r="AA646" s="5"/>
      <c r="AB646" s="47">
        <v>125.0</v>
      </c>
    </row>
    <row r="647" hidden="1">
      <c r="A647" s="76" t="str">
        <f t="array" ref="A647:A648">{"FormulaRow04";(INDEX(CLASSLIST,A640,1))}</f>
        <v>FormulaRow04</v>
      </c>
      <c r="B647" s="76" t="str">
        <f t="array" ref="B647:B648">{"CLASSTYPE";((INDEX(ALLCLASSDATA,MATCH("ClassType",CLASSFEATUREHEADERS,0),MATCH($A648,CLASSNAMEHEADERS,0))))}</f>
        <v>CLASSTYPE</v>
      </c>
      <c r="C647" s="81" t="str">
        <f t="array" ref="C647:C648">{"INITIALFEATURES";"InitialFeatures"}</f>
        <v>INITIALFEATURES</v>
      </c>
      <c r="D647" s="81" t="str">
        <f t="array" ref="D647:D648">{"CLASS/SUBCLASSFEATURES";"Class/Subclass Features"}</f>
        <v>CLASS/SUBCLASSFEATURES</v>
      </c>
      <c r="E647" s="81"/>
      <c r="F647" s="136"/>
      <c r="G647" s="81" t="str">
        <f t="array" ref="G647:G648">{"CLASSINITIALABILITY1-L00";((INDEX(ALLCLASSDATA,MATCH("ClassInitialAbility1-L00",CLASSFEATUREHEADERS,0),MATCH(($A648),CLASSNAMEHEADERS,0))))}</f>
        <v>CLASSINITIALABILITY1-L00</v>
      </c>
      <c r="H647" s="81" t="str">
        <f t="array" ref="H647:H648">{"CLASSINITIALABILITY2-L00";((INDEX(ALLCLASSDATA,MATCH("ClassInitialAbility2-L00",CLASSFEATUREHEADERS,0),MATCH(($A648),CLASSNAMEHEADERS,0))))}</f>
        <v>CLASSINITIALABILITY2-L00</v>
      </c>
      <c r="I647" s="81" t="str">
        <f t="array" ref="I647:I648">{"CLASSINITIALABILITY3-L00";((INDEX(ALLCLASSDATA,MATCH("ClassInitialAbility3-L00",CLASSFEATUREHEADERS,0),MATCH(($A648),CLASSNAMEHEADERS,0))))}</f>
        <v>CLASSINITIALABILITY3-L00</v>
      </c>
      <c r="J647" s="81" t="str">
        <f t="array" ref="J647:J648">{"CLASSINITIALABILITY4-L00";((INDEX(ALLCLASSDATA,MATCH("ClassInitialAbility4-L00",CLASSFEATUREHEADERS,0),MATCH(($A648),CLASSNAMEHEADERS,0))))}</f>
        <v>#REF!</v>
      </c>
      <c r="K647" s="81" t="str">
        <f t="array" ref="K647:K648">{"CLASSINITIALABILITY5-L00";((INDEX(ALLCLASSDATA,MATCH("ClassInitialAbility5-L00",CLASSFEATUREHEADERS,0),MATCH(($A648),CLASSNAMEHEADERS,0))))}</f>
        <v>CLASSINITIALABILITY5-L00</v>
      </c>
      <c r="L647" s="81" t="str">
        <f t="array" ref="L647:L648">{"CLASSINITIALABILITY6-L00";((INDEX(ALLCLASSDATA,MATCH("ClassInitialAbility6-L00",CLASSFEATUREHEADERS,0),MATCH(($A648),CLASSNAMEHEADERS,0))))}</f>
        <v>CLASSINITIALABILITY6-L00</v>
      </c>
      <c r="M647" s="81" t="str">
        <f t="array" ref="M647:M648">{"CLASSINITIALABILITY7-L00";((INDEX(ALLCLASSDATA,MATCH("ClassInitialAbility7-L00",CLASSFEATUREHEADERS,0),MATCH(($A648),CLASSNAMEHEADERS,0))))}</f>
        <v>CLASSINITIALABILITY7-L00</v>
      </c>
      <c r="N647" s="81" t="str">
        <f t="array" ref="N647:N648">{"CLASSINITIALABILITY8-L00";((INDEX(ALLCLASSDATA,MATCH("ClassInitialAbility8-L00",CLASSFEATUREHEADERS,0),MATCH(($A648),CLASSNAMEHEADERS,0))))}</f>
        <v>CLASSINITIALABILITY8-L00</v>
      </c>
      <c r="O647" s="81" t="str">
        <f t="array" ref="O647:O648">{"CLASSINITIALABILITY9-L00";((INDEX(ALLCLASSDATA,MATCH("ClassInitialAbility9-L00",CLASSFEATUREHEADERS,0),MATCH(($A648),CLASSNAMEHEADERS,0))))}</f>
        <v>CLASSINITIALABILITY9-L00</v>
      </c>
      <c r="P647" s="81" t="str">
        <f t="array" ref="P647:P648">{"CLASSINITIALABILITY10-L00";((INDEX(ALLCLASSDATA,MATCH("ClassInitialAbility10-L00",CLASSFEATUREHEADERS,0),MATCH(($A648),CLASSNAMEHEADERS,0))))}</f>
        <v>CLASSINITIALABILITY10-L00</v>
      </c>
      <c r="Q647" s="81" t="str">
        <f t="array" ref="Q647:Q648">{"SUBCLASSINITIAL1-L00";((INDEX(ALLCLASSDATA,MATCH("SubclassInitial1-L00",CLASSFEATUREHEADERS,0),MATCH(($A648),CLASSNAMEHEADERS,0))))}</f>
        <v>SUBCLASSINITIAL1-L00</v>
      </c>
      <c r="R647" s="81" t="str">
        <f t="array" ref="R647:R648">{"SUBCLASSINITIAL2-L00";((INDEX(ALLCLASSDATA,MATCH("SubclassInitial2-L00",CLASSFEATUREHEADERS,0),MATCH(($A648),CLASSNAMEHEADERS,0))))}</f>
        <v>SUBCLASSINITIAL2-L00</v>
      </c>
      <c r="S647" s="81" t="str">
        <f t="array" ref="S647:S648">{"SUBCLASSINITIAL3-L00";((INDEX(ALLCLASSDATA,MATCH("SubclassInitial3-L00",CLASSFEATUREHEADERS,0),MATCH(($A648),CLASSNAMEHEADERS,0))))}</f>
        <v>SUBCLASSINITIAL3-L00</v>
      </c>
      <c r="T647" s="81" t="str">
        <f t="array" ref="T647:T648">{"SUBCLASSINITIAL4-L00";((INDEX(ALLCLASSDATA,MATCH("SubclassInitial4-L00",CLASSFEATUREHEADERS,0),MATCH(($A648),CLASSNAMEHEADERS,0))))}</f>
        <v>SUBCLASSINITIAL4-L00</v>
      </c>
      <c r="U647" s="81" t="str">
        <f t="array" ref="U647:U648">{"SUBCLASSINITIAL5-L00";((INDEX(ALLCLASSDATA,MATCH("SubclassInitial5-L00",CLASSFEATUREHEADERS,0),MATCH(($A648),CLASSNAMEHEADERS,0))))}</f>
        <v>SUBCLASSINITIAL5-L00</v>
      </c>
      <c r="V647" s="81" t="str">
        <f t="array" ref="V647:V648">{"SUBCLASSINITIAL6-L00";((INDEX(ALLCLASSDATA,MATCH("SubclassInitial6-L00",CLASSFEATUREHEADERS,0),MATCH(($A648),CLASSNAMEHEADERS,0))))}</f>
        <v>SUBCLASSINITIAL6-L00</v>
      </c>
      <c r="W647" s="81" t="str">
        <f t="array" ref="W647:W648">{"SUBCLASSINITIAL7-L00";((INDEX(ALLCLASSDATA,MATCH("SubclassInitial7-L00",CLASSFEATUREHEADERS,0),MATCH(($A648),CLASSNAMEHEADERS,0))))}</f>
        <v>SUBCLASSINITIAL7-L00</v>
      </c>
      <c r="X647" s="81" t="str">
        <f t="array" ref="X647:X648">{"SUBCLASSINITIAL8-L00";((INDEX(ALLCLASSDATA,MATCH("SubclassInitial8-L00",CLASSFEATUREHEADERS,0),MATCH(($A648),CLASSNAMEHEADERS,0))))}</f>
        <v>SUBCLASSINITIAL8-L00</v>
      </c>
      <c r="Y647" s="81" t="str">
        <f t="array" ref="Y647:Y648">{"SUBCLASSINITIAL9-L00";((INDEX(ALLCLASSDATA,MATCH("SubclassInitial9-L00",CLASSFEATUREHEADERS,0),MATCH(($A648),CLASSNAMEHEADERS,0))))}</f>
        <v>SUBCLASSINITIAL9-L00</v>
      </c>
      <c r="Z647" s="81" t="str">
        <f t="array" ref="Z647:Z648">{"SUBCLASSINITIAL10-L00";((INDEX(ALLCLASSDATA,MATCH("SubclassInitial10-L00",CLASSFEATUREHEADERS,0),MATCH(($A648),CLASSNAMEHEADERS,0))))}</f>
        <v>SUBCLASSINITIAL10-L00</v>
      </c>
      <c r="AA647" s="76"/>
      <c r="AB647" s="76"/>
    </row>
    <row r="648">
      <c r="A648" s="48" t="s">
        <v>223</v>
      </c>
      <c r="B648" s="48" t="s">
        <v>418</v>
      </c>
      <c r="C648" s="48" t="s">
        <v>614</v>
      </c>
      <c r="D648" s="48" t="s">
        <v>616</v>
      </c>
      <c r="E648" s="48"/>
      <c r="F648" s="47"/>
      <c r="G648" s="5" t="s">
        <v>642</v>
      </c>
      <c r="H648" s="5" t="s">
        <v>1638</v>
      </c>
      <c r="I648" s="5" t="s">
        <v>1650</v>
      </c>
      <c r="J648" s="48" t="s">
        <v>1926</v>
      </c>
      <c r="K648" s="5"/>
      <c r="L648" s="5"/>
      <c r="M648" s="5"/>
      <c r="N648" s="5"/>
      <c r="O648" s="5"/>
      <c r="P648" s="5"/>
      <c r="Q648" s="5" t="s">
        <v>1822</v>
      </c>
      <c r="R648" s="5" t="s">
        <v>1834</v>
      </c>
      <c r="S648" s="5" t="s">
        <v>1840</v>
      </c>
      <c r="T648" s="5"/>
      <c r="U648" s="5"/>
      <c r="V648" s="5"/>
      <c r="W648" s="5"/>
      <c r="X648" s="5"/>
      <c r="Y648" s="5"/>
      <c r="Z648" s="5"/>
      <c r="AA648" s="5"/>
      <c r="AB648" s="47"/>
    </row>
    <row r="649" hidden="1">
      <c r="A649" s="76" t="str">
        <f t="array" ref="A649:A650">{"FormulaRow05";(INDEX(CLASSLIST,A640,1))}</f>
        <v>FormulaRow05</v>
      </c>
      <c r="B649" s="76" t="str">
        <f t="array" ref="B649:B650">{"CLASSTYPE";((INDEX(ALLCLASSDATA,MATCH("ClassType",CLASSFEATUREHEADERS,0),MATCH($A650,CLASSNAMEHEADERS,0))))}</f>
        <v>CLASSTYPE</v>
      </c>
      <c r="C649" s="76" t="str">
        <f t="array" ref="C649:C650">{"INITIALFEATURESPTS";"InitialFeaturesPts"}</f>
        <v>INITIALFEATURESPTS</v>
      </c>
      <c r="D649" s="76" t="str">
        <f t="array" ref="D649:D650">{"CLASS/SUBCLASSFEATURES";"Class/Subclass Features"}</f>
        <v>CLASS/SUBCLASSFEATURES</v>
      </c>
      <c r="E649" s="76"/>
      <c r="F649" s="76"/>
      <c r="G649" s="76" t="str">
        <f t="array" ref="G649:G650">{"CLASSINITIALABILITY1-L00PTS";((INDEX(ALLCLASSDATA,MATCH("ClassInitialAbility1-L00",CLASSFEATUREHEADERS,0),MATCH(($A650 &amp; "Points"),CLASSNAMEHEADERS,0))))}</f>
        <v>CLASSINITIALABILITY1-L00PTS</v>
      </c>
      <c r="H649" s="76" t="str">
        <f t="array" ref="H649:H650">{"CLASSINITIALABILITY2-L00PTS";((INDEX(ALLCLASSDATA,MATCH("ClassInitialAbility2-L00",CLASSFEATUREHEADERS,0),MATCH(($A650 &amp; "Points"),CLASSNAMEHEADERS,0))))}</f>
        <v>CLASSINITIALABILITY2-L00PTS</v>
      </c>
      <c r="I649" s="76" t="str">
        <f t="array" ref="I649:I650">{"CLASSINITIALABILITY3-L00PTS";((INDEX(ALLCLASSDATA,MATCH("ClassInitialAbility3-L00",CLASSFEATUREHEADERS,0),MATCH(($A650 &amp; "Points"),CLASSNAMEHEADERS,0))))}</f>
        <v>CLASSINITIALABILITY3-L00PTS</v>
      </c>
      <c r="J649" s="76" t="str">
        <f t="array" ref="J649:J650">{"CLASSINITIALABILITY4-L00PTS";((INDEX(ALLCLASSDATA,MATCH("ClassInitialAbility4-L00",CLASSFEATUREHEADERS,0),MATCH(($A650 &amp; "Points"),CLASSNAMEHEADERS,0))))}</f>
        <v>CLASSINITIALABILITY4-L00PTS</v>
      </c>
      <c r="K649" s="76" t="str">
        <f t="array" ref="K649:K650">{"CLASSINITIALABILITY5-L00PTS";((INDEX(ALLCLASSDATA,MATCH("ClassInitialAbility5-L00",CLASSFEATUREHEADERS,0),MATCH(($A650 &amp; "Points"),CLASSNAMEHEADERS,0))))}</f>
        <v>CLASSINITIALABILITY5-L00PTS</v>
      </c>
      <c r="L649" s="76" t="str">
        <f t="array" ref="L649:L650">{"CLASSINITIALABILITY6-L00PTS";((INDEX(ALLCLASSDATA,MATCH("ClassInitialAbility6-L00",CLASSFEATUREHEADERS,0),MATCH(($A650 &amp; "Points"),CLASSNAMEHEADERS,0))))}</f>
        <v>CLASSINITIALABILITY6-L00PTS</v>
      </c>
      <c r="M649" s="76" t="str">
        <f t="array" ref="M649:M650">{"CLASSINITIALABILITY7-L00PTS";((INDEX(ALLCLASSDATA,MATCH("ClassInitialAbility7-L00",CLASSFEATUREHEADERS,0),MATCH(($A650 &amp; "Points"),CLASSNAMEHEADERS,0))))}</f>
        <v>CLASSINITIALABILITY7-L00PTS</v>
      </c>
      <c r="N649" s="76" t="str">
        <f t="array" ref="N649:N650">{"CLASSINITIALABILITY8-L00PTS";((INDEX(ALLCLASSDATA,MATCH("ClassInitialAbility8-L00",CLASSFEATUREHEADERS,0),MATCH(($A650 &amp; "Points"),CLASSNAMEHEADERS,0))))}</f>
        <v>CLASSINITIALABILITY8-L00PTS</v>
      </c>
      <c r="O649" s="76" t="str">
        <f t="array" ref="O649:O650">{"CLASSINITIALABILITY9-L00PTS";((INDEX(ALLCLASSDATA,MATCH("ClassInitialAbility9-L00",CLASSFEATUREHEADERS,0),MATCH(($A650 &amp; "Points"),CLASSNAMEHEADERS,0))))}</f>
        <v>CLASSINITIALABILITY9-L00PTS</v>
      </c>
      <c r="P649" s="76" t="str">
        <f t="array" ref="P649:P650">{"CLASSINITIALABILITY10-L00PTS";((INDEX(ALLCLASSDATA,MATCH("ClassInitialAbility10-L00",CLASSFEATUREHEADERS,0),MATCH(($A650 &amp; "Points"),CLASSNAMEHEADERS,0))))}</f>
        <v>CLASSINITIALABILITY10-L00PTS</v>
      </c>
      <c r="Q649" s="76" t="str">
        <f t="array" ref="Q649:Q650">{"SUBCLASSINITIAL1-L00PTS";((INDEX(ALLCLASSDATA,MATCH("SubclassInitial1-L00",CLASSFEATUREHEADERS,0),MATCH(($A650 &amp; "Points"),CLASSNAMEHEADERS,0))))}</f>
        <v>SUBCLASSINITIAL1-L00PTS</v>
      </c>
      <c r="R649" s="76" t="str">
        <f t="array" ref="R649:R650">{"SUBCLASSINITIAL2-L00PTS";((INDEX(ALLCLASSDATA,MATCH("SubclassInitial2-L00",CLASSFEATUREHEADERS,0),MATCH(($A650 &amp; "Points"),CLASSNAMEHEADERS,0))))}</f>
        <v>SUBCLASSINITIAL2-L00PTS</v>
      </c>
      <c r="S649" s="76" t="str">
        <f t="array" ref="S649:S650">{"SUBCLASSINITIAL3-L00PTS";((INDEX(ALLCLASSDATA,MATCH("SubclassInitial3-L00",CLASSFEATUREHEADERS,0),MATCH(($A650 &amp; "Points"),CLASSNAMEHEADERS,0))))}</f>
        <v>SUBCLASSINITIAL3-L00PTS</v>
      </c>
      <c r="T649" s="76" t="str">
        <f t="array" ref="T649:T650">{"SUBCLASSINITIAL4-L00PTS";((INDEX(ALLCLASSDATA,MATCH("SubclassInitial4-L00",CLASSFEATUREHEADERS,0),MATCH(($A650 &amp; "Points"),CLASSNAMEHEADERS,0))))}</f>
        <v>SUBCLASSINITIAL4-L00PTS</v>
      </c>
      <c r="U649" s="76" t="str">
        <f t="array" ref="U649:U650">{"SUBCLASSINITIAL5-L00PTS";((INDEX(ALLCLASSDATA,MATCH("SubclassInitial5-L00",CLASSFEATUREHEADERS,0),MATCH(($A650 &amp; "Points"),CLASSNAMEHEADERS,0))))}</f>
        <v>SUBCLASSINITIAL5-L00PTS</v>
      </c>
      <c r="V649" s="76" t="str">
        <f t="array" ref="V649:V650">{"SUBCLASSINITIAL6-L00PTS";((INDEX(ALLCLASSDATA,MATCH("SubclassInitial6-L00",CLASSFEATUREHEADERS,0),MATCH(($A650 &amp; "Points"),CLASSNAMEHEADERS,0))))}</f>
        <v>SUBCLASSINITIAL6-L00PTS</v>
      </c>
      <c r="W649" s="76" t="str">
        <f t="array" ref="W649:W650">{"SUBCLASSINITIAL7-L00PTS";((INDEX(ALLCLASSDATA,MATCH("SubclassInitial7-L00",CLASSFEATUREHEADERS,0),MATCH(($A650 &amp; "Points"),CLASSNAMEHEADERS,0))))}</f>
        <v>SUBCLASSINITIAL7-L00PTS</v>
      </c>
      <c r="X649" s="76" t="str">
        <f t="array" ref="X649:X650">{"SUBCLASSINITIAL8-L00PTS";((INDEX(ALLCLASSDATA,MATCH("SubclassInitial8-L00",CLASSFEATUREHEADERS,0),MATCH(($A650 &amp; "Points"),CLASSNAMEHEADERS,0))))}</f>
        <v>SUBCLASSINITIAL8-L00PTS</v>
      </c>
      <c r="Y649" s="76" t="str">
        <f t="array" ref="Y649:Y650">{"SUBCLASSINITIAL9-L00PTS";((INDEX(ALLCLASSDATA,MATCH("SubclassInitial9-L00",CLASSFEATUREHEADERS,0),MATCH(($A650 &amp; "Points"),CLASSNAMEHEADERS,0))))}</f>
        <v>SUBCLASSINITIAL9-L00PTS</v>
      </c>
      <c r="Z649" s="76" t="str">
        <f t="array" ref="Z649:Z650">{"SUBCLASSINITIAL10-L00PTS";((INDEX(ALLCLASSDATA,MATCH("SubclassInitial10-L00",CLASSFEATUREHEADERS,0),MATCH(($A650 &amp; "Points"),CLASSNAMEHEADERS,0))))}</f>
        <v>SUBCLASSINITIAL10-L00PTS</v>
      </c>
      <c r="AA649" s="76"/>
      <c r="AB649" s="76" t="str">
        <f t="array" ref="AB649:AB650">{"INITIALFEATUREPTS TOTAL";(sum(F650:Z650))}</f>
        <v>INITIALFEATUREPTS TOTAL</v>
      </c>
    </row>
    <row r="650">
      <c r="A650" s="48" t="s">
        <v>223</v>
      </c>
      <c r="B650" s="48" t="s">
        <v>418</v>
      </c>
      <c r="C650" s="97" t="s">
        <v>651</v>
      </c>
      <c r="D650" s="97" t="s">
        <v>616</v>
      </c>
      <c r="E650" s="97"/>
      <c r="F650" s="132"/>
      <c r="G650" s="98">
        <v>10.0</v>
      </c>
      <c r="H650" s="98"/>
      <c r="I650" s="97"/>
      <c r="J650" s="98"/>
      <c r="K650" s="97"/>
      <c r="L650" s="98"/>
      <c r="M650" s="98"/>
      <c r="N650" s="98"/>
      <c r="O650" s="98"/>
      <c r="P650" s="98"/>
      <c r="Q650" s="98"/>
      <c r="R650" s="98">
        <v>90.0</v>
      </c>
      <c r="S650" s="98"/>
      <c r="T650" s="98"/>
      <c r="U650" s="98"/>
      <c r="V650" s="98"/>
      <c r="W650" s="98"/>
      <c r="X650" s="98"/>
      <c r="Y650" s="98"/>
      <c r="Z650" s="98"/>
      <c r="AA650" s="5"/>
      <c r="AB650" s="47">
        <v>100.0</v>
      </c>
    </row>
    <row r="651" hidden="1">
      <c r="A651" s="76" t="str">
        <f t="array" ref="A651:A652">{"FormulaRow06";(INDEX(CLASSLIST,A640,1))}</f>
        <v>FormulaRow06</v>
      </c>
      <c r="B651" s="76" t="str">
        <f t="array" ref="B651:B652">{"CLASSTYPE";((INDEX(ALLCLASSDATA,MATCH("ClassType",CLASSFEATUREHEADERS,0),MATCH($A652,CLASSNAMEHEADERS,0))))}</f>
        <v>CLASSTYPE</v>
      </c>
      <c r="C651" s="81" t="str">
        <f t="array" ref="C651:C652">{"SKILLS";"Skills"}</f>
        <v>SKILLS</v>
      </c>
      <c r="D651" s="81" t="str">
        <f t="array" ref="D651:D652">{"EXTRASKILLINCREASES";"Extra Skill Increases"}</f>
        <v>EXTRASKILLINCREASES</v>
      </c>
      <c r="E651" s="81"/>
      <c r="F651" s="81"/>
      <c r="G651" s="81"/>
      <c r="H651" s="81" t="str">
        <f t="array" ref="H651:H652">{"SKILLINCREASEEXTRA-L02";((INDEX(ALLCLASSDATA,MATCH("SkillIncreaseExtra-L02",CLASSFEATUREHEADERS,0),MATCH(($A652 &amp; "Points"),CLASSNAMEHEADERS,0))))}</f>
        <v>SKILLINCREASEEXTRA-L02</v>
      </c>
      <c r="I651" s="81" t="str">
        <f t="array" ref="I651:I652">{"SKILLINCREASEEXTRA-L03";((INDEX(ALLCLASSDATA,MATCH("SkillIncreaseExtra-L03",CLASSFEATUREHEADERS,0),MATCH(($A652 &amp; "Points"),CLASSNAMEHEADERS,0))))}</f>
        <v>SKILLINCREASEEXTRA-L03</v>
      </c>
      <c r="J651" s="81" t="str">
        <f t="array" ref="J651:J652">{"SKILLINCREASEEXTRA-L04";((INDEX(ALLCLASSDATA,MATCH("SkillIncreaseExtra-L04",CLASSFEATUREHEADERS,0),MATCH(($A652 &amp; "Points"),CLASSNAMEHEADERS,0))))}</f>
        <v>SKILLINCREASEEXTRA-L04</v>
      </c>
      <c r="K651" s="81" t="str">
        <f t="array" ref="K651:K652">{"SKILLINCREASEEXTRA-L05";((INDEX(ALLCLASSDATA,MATCH("SkillIncreaseExtra-L05",CLASSFEATUREHEADERS,0),MATCH(($A652 &amp; "Points"),CLASSNAMEHEADERS,0))))}</f>
        <v>SKILLINCREASEEXTRA-L05</v>
      </c>
      <c r="L651" s="81" t="str">
        <f t="array" ref="L651:L652">{"SKILLINCREASEEXTRA-L06";((INDEX(ALLCLASSDATA,MATCH("SkillIncreaseExtra-L06",CLASSFEATUREHEADERS,0),MATCH(($A652 &amp; "Points"),CLASSNAMEHEADERS,0))))}</f>
        <v>SKILLINCREASEEXTRA-L06</v>
      </c>
      <c r="M651" s="81" t="str">
        <f t="array" ref="M651:M652">{"SKILLINCREASEEXTRA-L07";((INDEX(ALLCLASSDATA,MATCH("SkillIncreaseExtra-L07",CLASSFEATUREHEADERS,0),MATCH(($A652 &amp; "Points"),CLASSNAMEHEADERS,0))))}</f>
        <v>SKILLINCREASEEXTRA-L07</v>
      </c>
      <c r="N651" s="81" t="str">
        <f t="array" ref="N651:N652">{"SKILLINCREASEEXTRA-L08";((INDEX(ALLCLASSDATA,MATCH("SkillIncreaseExtra-L08",CLASSFEATUREHEADERS,0),MATCH(($A652 &amp; "Points"),CLASSNAMEHEADERS,0))))}</f>
        <v>SKILLINCREASEEXTRA-L08</v>
      </c>
      <c r="O651" s="81" t="str">
        <f t="array" ref="O651:O652">{"SKILLINCREASEEXTRA-L09";((INDEX(ALLCLASSDATA,MATCH("SkillIncreaseExtra-L09",CLASSFEATUREHEADERS,0),MATCH(($A652 &amp; "Points"),CLASSNAMEHEADERS,0))))}</f>
        <v>SKILLINCREASEEXTRA-L09</v>
      </c>
      <c r="P651" s="81" t="str">
        <f t="array" ref="P651:P652">{"SKILLINCREASEEXTRA-L10";((INDEX(ALLCLASSDATA,MATCH("SkillIncreaseExtra-L10",CLASSFEATUREHEADERS,0),MATCH(($A652 &amp; "Points"),CLASSNAMEHEADERS,0))))}</f>
        <v>SKILLINCREASEEXTRA-L10</v>
      </c>
      <c r="Q651" s="81" t="str">
        <f t="array" ref="Q651:Q652">{"SKILLINCREASEEXTRA-L11";((INDEX(ALLCLASSDATA,MATCH("SkillIncreaseExtra-L11",CLASSFEATUREHEADERS,0),MATCH(($A652 &amp; "Points"),CLASSNAMEHEADERS,0))))}</f>
        <v>SKILLINCREASEEXTRA-L11</v>
      </c>
      <c r="R651" s="81" t="str">
        <f t="array" ref="R651:R652">{"SKILLINCREASEEXTRA-L12";((INDEX(ALLCLASSDATA,MATCH("SkillIncreaseExtra-L12",CLASSFEATUREHEADERS,0),MATCH(($A652 &amp; "Points"),CLASSNAMEHEADERS,0))))}</f>
        <v>SKILLINCREASEEXTRA-L12</v>
      </c>
      <c r="S651" s="81" t="str">
        <f t="array" ref="S651:S652">{"SKILLINCREASEEXTRA-L13";((INDEX(ALLCLASSDATA,MATCH("SkillIncreaseExtra-L13",CLASSFEATUREHEADERS,0),MATCH(($A652 &amp; "Points"),CLASSNAMEHEADERS,0))))}</f>
        <v>SKILLINCREASEEXTRA-L13</v>
      </c>
      <c r="T651" s="81" t="str">
        <f t="array" ref="T651:T652">{"SKILLINCREASEEXTRA-L14";((INDEX(ALLCLASSDATA,MATCH("SkillIncreaseExtra-L14",CLASSFEATUREHEADERS,0),MATCH(($A652 &amp; "Points"),CLASSNAMEHEADERS,0))))}</f>
        <v>SKILLINCREASEEXTRA-L14</v>
      </c>
      <c r="U651" s="81" t="str">
        <f t="array" ref="U651:U652">{"SKILLINCREASEEXTRA-L15";((INDEX(ALLCLASSDATA,MATCH("SkillIncreaseExtra-L15",CLASSFEATUREHEADERS,0),MATCH(($A652 &amp; "Points"),CLASSNAMEHEADERS,0))))}</f>
        <v>SKILLINCREASEEXTRA-L15</v>
      </c>
      <c r="V651" s="81" t="str">
        <f t="array" ref="V651:V652">{"SKILLINCREASEEXTRA-L16";((INDEX(ALLCLASSDATA,MATCH("SkillIncreaseExtra-L16",CLASSFEATUREHEADERS,0),MATCH(($A652 &amp; "Points"),CLASSNAMEHEADERS,0))))}</f>
        <v>SKILLINCREASEEXTRA-L16</v>
      </c>
      <c r="W651" s="81" t="str">
        <f t="array" ref="W651:W652">{"SKILLINCREASEEXTRA-L17";((INDEX(ALLCLASSDATA,MATCH("SkillIncreaseExtra-L17",CLASSFEATUREHEADERS,0),MATCH(($A652 &amp; "Points"),CLASSNAMEHEADERS,0))))}</f>
        <v>SKILLINCREASEEXTRA-L17</v>
      </c>
      <c r="X651" s="81" t="str">
        <f t="array" ref="X651:X652">{"SKILLINCREASEEXTRA-L18";((INDEX(ALLCLASSDATA,MATCH("SkillIncreaseExtra-L18",CLASSFEATUREHEADERS,0),MATCH(($A652 &amp; "Points"),CLASSNAMEHEADERS,0))))}</f>
        <v>SKILLINCREASEEXTRA-L18</v>
      </c>
      <c r="Y651" s="81" t="str">
        <f t="array" ref="Y651:Y652">{"SKILLINCREASEEXTRA-L19";((INDEX(ALLCLASSDATA,MATCH("SkillIncreaseExtra-L19",CLASSFEATUREHEADERS,0),MATCH(($A652 &amp; "Points"),CLASSNAMEHEADERS,0))))}</f>
        <v>SKILLINCREASEEXTRA-L19</v>
      </c>
      <c r="Z651" s="81" t="str">
        <f t="array" ref="Z651:Z652">{"SKILLINCREASEEXTRA-L20";((INDEX(ALLCLASSDATA,MATCH("SkillIncreaseExtra-L20",CLASSFEATUREHEADERS,0),MATCH(($A652 &amp; "Points"),CLASSNAMEHEADERS,0))))}</f>
        <v>SKILLINCREASEEXTRA-L20</v>
      </c>
      <c r="AA651" s="76"/>
      <c r="AB651" s="76" t="str">
        <f t="array" ref="AB651:AB652">{"SKILLINCREASE TOTAL";(sum(F652:Z652))}</f>
        <v>SKILLINCREASE TOTAL</v>
      </c>
    </row>
    <row r="652">
      <c r="A652" s="48" t="s">
        <v>223</v>
      </c>
      <c r="B652" s="48" t="s">
        <v>418</v>
      </c>
      <c r="C652" s="48" t="s">
        <v>659</v>
      </c>
      <c r="D652" s="48" t="s">
        <v>661</v>
      </c>
      <c r="E652" s="48"/>
      <c r="F652" s="47"/>
      <c r="G652" s="5"/>
      <c r="H652" s="5" t="s">
        <v>603</v>
      </c>
      <c r="I652" s="5" t="s">
        <v>603</v>
      </c>
      <c r="J652" s="5" t="s">
        <v>603</v>
      </c>
      <c r="K652" s="48" t="s">
        <v>603</v>
      </c>
      <c r="L652" s="5" t="s">
        <v>603</v>
      </c>
      <c r="M652" s="5" t="s">
        <v>603</v>
      </c>
      <c r="N652" s="5" t="s">
        <v>603</v>
      </c>
      <c r="O652" s="5" t="s">
        <v>603</v>
      </c>
      <c r="P652" s="5" t="s">
        <v>603</v>
      </c>
      <c r="Q652" s="5" t="s">
        <v>603</v>
      </c>
      <c r="R652" s="5" t="s">
        <v>603</v>
      </c>
      <c r="S652" s="5" t="s">
        <v>603</v>
      </c>
      <c r="T652" s="5" t="s">
        <v>603</v>
      </c>
      <c r="U652" s="5" t="s">
        <v>603</v>
      </c>
      <c r="V652" s="5" t="s">
        <v>603</v>
      </c>
      <c r="W652" s="5" t="s">
        <v>603</v>
      </c>
      <c r="X652" s="5" t="s">
        <v>603</v>
      </c>
      <c r="Y652" s="5" t="s">
        <v>603</v>
      </c>
      <c r="Z652" s="5" t="s">
        <v>603</v>
      </c>
      <c r="AA652" s="5"/>
      <c r="AB652" s="47">
        <v>0.0</v>
      </c>
    </row>
    <row r="653" hidden="1">
      <c r="A653" s="76" t="str">
        <f t="array" ref="A653:A654">{"FormulaRow07";(INDEX(CLASSLIST,A640,1))}</f>
        <v>FormulaRow07</v>
      </c>
      <c r="B653" s="76" t="str">
        <f t="array" ref="B653:B654">{"CLASSTYPE";((INDEX(ALLCLASSDATA,MATCH("ClassType",CLASSFEATUREHEADERS,0),MATCH($A654,CLASSNAMEHEADERS,0))))}</f>
        <v>CLASSTYPE</v>
      </c>
      <c r="C653" s="76" t="str">
        <f t="array" ref="C653:C654">{"SKILLS";"Skills"}</f>
        <v>SKILLS</v>
      </c>
      <c r="D653" s="76" t="str">
        <f t="array" ref="D653:D654">{"EXTRASKILLFEATS";"Extra Skill Feats"}</f>
        <v>EXTRASKILLFEATS</v>
      </c>
      <c r="E653" s="76"/>
      <c r="F653" s="76"/>
      <c r="G653" s="76" t="str">
        <f t="array" ref="G653:G654">{"SKILLFEATEXTRA-L01";((INDEX(ALLCLASSDATA,MATCH("SkillFeatExtra-L01",CLASSFEATUREHEADERS,0),MATCH(($A654 &amp; "Points"),CLASSNAMEHEADERS,0))))}</f>
        <v>SKILLFEATEXTRA-L01</v>
      </c>
      <c r="H653" s="76" t="str">
        <f t="array" ref="H653:H654">{"SKILLFEATEXTRA-L02";((INDEX(ALLCLASSDATA,MATCH("SkillFeatExtra-L02",CLASSFEATUREHEADERS,0),MATCH(($A654 &amp; "Points"),CLASSNAMEHEADERS,0))))}</f>
        <v>SKILLFEATEXTRA-L02</v>
      </c>
      <c r="I653" s="76" t="str">
        <f t="array" ref="I653:I654">{"SKILLFEATEXTRA-L03";((INDEX(ALLCLASSDATA,MATCH("SkillFeatExtra-L03",CLASSFEATUREHEADERS,0),MATCH(($A654 &amp; "Points"),CLASSNAMEHEADERS,0))))}</f>
        <v>SKILLFEATEXTRA-L03</v>
      </c>
      <c r="J653" s="76" t="str">
        <f t="array" ref="J653:J654">{"SKILLFEATEXTRA-L04";((INDEX(ALLCLASSDATA,MATCH("SkillFeatExtra-L04",CLASSFEATUREHEADERS,0),MATCH(($A654 &amp; "Points"),CLASSNAMEHEADERS,0))))}</f>
        <v>SKILLFEATEXTRA-L04</v>
      </c>
      <c r="K653" s="76" t="str">
        <f t="array" ref="K653:K654">{"SKILLFEATEXTRA-L05";((INDEX(ALLCLASSDATA,MATCH("SkillFeatExtra-L05",CLASSFEATUREHEADERS,0),MATCH(($A654 &amp; "Points"),CLASSNAMEHEADERS,0))))}</f>
        <v>SKILLFEATEXTRA-L05</v>
      </c>
      <c r="L653" s="76" t="str">
        <f t="array" ref="L653:L654">{"SKILLFEATEXTRA-L06";((INDEX(ALLCLASSDATA,MATCH("SkillFeatExtra-L06",CLASSFEATUREHEADERS,0),MATCH(($A654 &amp; "Points"),CLASSNAMEHEADERS,0))))}</f>
        <v>SKILLFEATEXTRA-L06</v>
      </c>
      <c r="M653" s="76" t="str">
        <f t="array" ref="M653:M654">{"SKILLFEATEXTRA-L07";((INDEX(ALLCLASSDATA,MATCH("SkillFeatExtra-L07",CLASSFEATUREHEADERS,0),MATCH(($A654 &amp; "Points"),CLASSNAMEHEADERS,0))))}</f>
        <v>SKILLFEATEXTRA-L07</v>
      </c>
      <c r="N653" s="76" t="str">
        <f t="array" ref="N653:N654">{"SKILLFEATEXTRA-L08";((INDEX(ALLCLASSDATA,MATCH("SkillFeatExtra-L08",CLASSFEATUREHEADERS,0),MATCH(($A654 &amp; "Points"),CLASSNAMEHEADERS,0))))}</f>
        <v>SKILLFEATEXTRA-L08</v>
      </c>
      <c r="O653" s="76" t="str">
        <f t="array" ref="O653:O654">{"SKILLFEATEXTRA-L09";((INDEX(ALLCLASSDATA,MATCH("SkillFeatExtra-L09",CLASSFEATUREHEADERS,0),MATCH(($A654 &amp; "Points"),CLASSNAMEHEADERS,0))))}</f>
        <v>SKILLFEATEXTRA-L09</v>
      </c>
      <c r="P653" s="76" t="str">
        <f t="array" ref="P653:P654">{"SKILLFEATEXTRA-L10";((INDEX(ALLCLASSDATA,MATCH("SkillFeatExtra-L10",CLASSFEATUREHEADERS,0),MATCH(($A654 &amp; "Points"),CLASSNAMEHEADERS,0))))}</f>
        <v>SKILLFEATEXTRA-L10</v>
      </c>
      <c r="Q653" s="76" t="str">
        <f t="array" ref="Q653:Q654">{"SKILLFEATEXTRA-L11";((INDEX(ALLCLASSDATA,MATCH("SkillFeatExtra-L11",CLASSFEATUREHEADERS,0),MATCH(($A654 &amp; "Points"),CLASSNAMEHEADERS,0))))}</f>
        <v>SKILLFEATEXTRA-L11</v>
      </c>
      <c r="R653" s="76" t="str">
        <f t="array" ref="R653:R654">{"SKILLFEATEXTRA-L12";((INDEX(ALLCLASSDATA,MATCH("SkillFeatExtra-L12",CLASSFEATUREHEADERS,0),MATCH(($A654 &amp; "Points"),CLASSNAMEHEADERS,0))))}</f>
        <v>SKILLFEATEXTRA-L12</v>
      </c>
      <c r="S653" s="76" t="str">
        <f t="array" ref="S653:S654">{"SKILLFEATEXTRA-L13";((INDEX(ALLCLASSDATA,MATCH("SkillFeatExtra-L13",CLASSFEATUREHEADERS,0),MATCH(($A654 &amp; "Points"),CLASSNAMEHEADERS,0))))}</f>
        <v>SKILLFEATEXTRA-L13</v>
      </c>
      <c r="T653" s="76" t="str">
        <f t="array" ref="T653:T654">{"SKILLFEATEXTRA-L14";((INDEX(ALLCLASSDATA,MATCH("SkillFeatExtra-L14",CLASSFEATUREHEADERS,0),MATCH(($A654 &amp; "Points"),CLASSNAMEHEADERS,0))))}</f>
        <v>SKILLFEATEXTRA-L14</v>
      </c>
      <c r="U653" s="76" t="str">
        <f t="array" ref="U653:U654">{"SKILLFEATEXTRA-L15";((INDEX(ALLCLASSDATA,MATCH("SkillFeatExtra-L15",CLASSFEATUREHEADERS,0),MATCH(($A654 &amp; "Points"),CLASSNAMEHEADERS,0))))}</f>
        <v>SKILLFEATEXTRA-L15</v>
      </c>
      <c r="V653" s="76" t="str">
        <f t="array" ref="V653:V654">{"SKILLFEATEXTRA-L16";((INDEX(ALLCLASSDATA,MATCH("SkillFeatExtra-L16",CLASSFEATUREHEADERS,0),MATCH(($A654 &amp; "Points"),CLASSNAMEHEADERS,0))))}</f>
        <v>SKILLFEATEXTRA-L16</v>
      </c>
      <c r="W653" s="76" t="str">
        <f t="array" ref="W653:W654">{"SKILLFEATEXTRA-L17";((INDEX(ALLCLASSDATA,MATCH("SkillFeatExtra-L17",CLASSFEATUREHEADERS,0),MATCH(($A654 &amp; "Points"),CLASSNAMEHEADERS,0))))}</f>
        <v>SKILLFEATEXTRA-L17</v>
      </c>
      <c r="X653" s="76" t="str">
        <f t="array" ref="X653:X654">{"SKILLFEATEXTRA-L18";((INDEX(ALLCLASSDATA,MATCH("SkillFeatExtra-L18",CLASSFEATUREHEADERS,0),MATCH(($A654 &amp; "Points"),CLASSNAMEHEADERS,0))))}</f>
        <v>SKILLFEATEXTRA-L18</v>
      </c>
      <c r="Y653" s="76" t="str">
        <f t="array" ref="Y653:Y654">{"SKILLFEATEXTRA-L19";((INDEX(ALLCLASSDATA,MATCH("SkillFeatExtra-L19",CLASSFEATUREHEADERS,0),MATCH(($A654 &amp; "Points"),CLASSNAMEHEADERS,0))))}</f>
        <v>SKILLFEATEXTRA-L19</v>
      </c>
      <c r="Z653" s="76" t="str">
        <f t="array" ref="Z653:Z654">{"SKILLFEATEXTRA-L20";((INDEX(ALLCLASSDATA,MATCH("SkillFeatExtra-L20",CLASSFEATUREHEADERS,0),MATCH(($A654 &amp; "Points"),CLASSNAMEHEADERS,0))))}</f>
        <v>SKILLFEATEXTRA-L20</v>
      </c>
      <c r="AA653" s="76"/>
      <c r="AB653" s="76" t="str">
        <f t="array" ref="AB653:AB654">{"SKILLFEAT TOTAL";(sum(F654:Z654))}</f>
        <v>SKILLFEAT TOTAL</v>
      </c>
    </row>
    <row r="654">
      <c r="A654" s="48" t="s">
        <v>223</v>
      </c>
      <c r="B654" s="48" t="s">
        <v>418</v>
      </c>
      <c r="C654" s="97" t="s">
        <v>659</v>
      </c>
      <c r="D654" s="97" t="s">
        <v>722</v>
      </c>
      <c r="E654" s="97"/>
      <c r="F654" s="132"/>
      <c r="G654" s="98" t="s">
        <v>603</v>
      </c>
      <c r="H654" s="98" t="s">
        <v>603</v>
      </c>
      <c r="I654" s="97" t="s">
        <v>603</v>
      </c>
      <c r="J654" s="98" t="s">
        <v>603</v>
      </c>
      <c r="K654" s="97" t="s">
        <v>603</v>
      </c>
      <c r="L654" s="98" t="s">
        <v>603</v>
      </c>
      <c r="M654" s="98" t="s">
        <v>603</v>
      </c>
      <c r="N654" s="98" t="s">
        <v>603</v>
      </c>
      <c r="O654" s="98" t="s">
        <v>603</v>
      </c>
      <c r="P654" s="98" t="s">
        <v>603</v>
      </c>
      <c r="Q654" s="98" t="s">
        <v>603</v>
      </c>
      <c r="R654" s="98" t="s">
        <v>603</v>
      </c>
      <c r="S654" s="98" t="s">
        <v>603</v>
      </c>
      <c r="T654" s="98" t="s">
        <v>603</v>
      </c>
      <c r="U654" s="98" t="s">
        <v>603</v>
      </c>
      <c r="V654" s="98" t="s">
        <v>603</v>
      </c>
      <c r="W654" s="98" t="s">
        <v>603</v>
      </c>
      <c r="X654" s="98" t="s">
        <v>603</v>
      </c>
      <c r="Y654" s="98" t="s">
        <v>603</v>
      </c>
      <c r="Z654" s="98" t="s">
        <v>603</v>
      </c>
      <c r="AA654" s="5"/>
      <c r="AB654" s="47">
        <v>0.0</v>
      </c>
    </row>
    <row r="655" hidden="1">
      <c r="A655" s="76" t="str">
        <f t="array" ref="A655:A656">{"FormulaRow08";(INDEX(CLASSLIST,A640,1))}</f>
        <v>FormulaRow08</v>
      </c>
      <c r="B655" s="76" t="str">
        <f t="array" ref="B655:B656">{"CLASSTYPE";((INDEX(ALLCLASSDATA,MATCH("ClassType",CLASSFEATUREHEADERS,0),MATCH($A656,CLASSNAMEHEADERS,0))))}</f>
        <v>CLASSTYPE</v>
      </c>
      <c r="C655" s="81" t="str">
        <f t="array" ref="C655:C656">{"CLASSABILITY";"ClassAbility"}</f>
        <v>CLASSABILITY</v>
      </c>
      <c r="D655" s="81" t="str">
        <f t="array" ref="D655:D656">{"CLASSABILITY1";"ClassAbility1"}</f>
        <v>CLASSABILITY1</v>
      </c>
      <c r="E655" s="81"/>
      <c r="F655" s="81"/>
      <c r="G655" s="81"/>
      <c r="H655" s="81"/>
      <c r="I655" s="81" t="str">
        <f t="array" ref="I655:I656">{"CLASSABILITY1-L03";((INDEX(ALLCLASSDATA,MATCH("ClassAbility1-L03",CLASSFEATUREHEADERS,0),MATCH(($A656),CLASSNAMEHEADERS,0))))}</f>
        <v>CLASSABILITY1-L03</v>
      </c>
      <c r="J655" s="81"/>
      <c r="K655" s="81" t="str">
        <f t="array" ref="K655:K656">{"CLASSABILITY1-L05";((INDEX(ALLCLASSDATA,MATCH("ClassAbility1-L05",CLASSFEATUREHEADERS,0),MATCH(($A656),CLASSNAMEHEADERS,0))))}</f>
        <v>CLASSABILITY1-L05</v>
      </c>
      <c r="L655" s="81"/>
      <c r="M655" s="81" t="str">
        <f t="array" ref="M655:M656">{"CLASSABILITY1-L07";((INDEX(ALLCLASSDATA,MATCH("ClassAbility1-L07",CLASSFEATUREHEADERS,0),MATCH(($A656),CLASSNAMEHEADERS,0))))}</f>
        <v>CLASSABILITY1-L07</v>
      </c>
      <c r="N655" s="81"/>
      <c r="O655" s="81" t="str">
        <f t="array" ref="O655:O656">{"CLASSABILITY1-L09";((INDEX(ALLCLASSDATA,MATCH("ClassAbility1-L09",CLASSFEATUREHEADERS,0),MATCH(($A656),CLASSNAMEHEADERS,0))))}</f>
        <v>CLASSABILITY1-L09</v>
      </c>
      <c r="P655" s="81"/>
      <c r="Q655" s="81" t="str">
        <f t="array" ref="Q655:Q656">{"CLASSABILITY1-L11";((INDEX(ALLCLASSDATA,MATCH("ClassAbility1-L11",CLASSFEATUREHEADERS,0),MATCH(($A656),CLASSNAMEHEADERS,0))))}</f>
        <v>CLASSABILITY1-L11</v>
      </c>
      <c r="R655" s="81"/>
      <c r="S655" s="81" t="str">
        <f t="array" ref="S655:S656">{"CLASSABILITY1-L13";((INDEX(ALLCLASSDATA,MATCH("ClassAbility1-L13",CLASSFEATUREHEADERS,0),MATCH(($A656),CLASSNAMEHEADERS,0))))}</f>
        <v>CLASSABILITY1-L13</v>
      </c>
      <c r="T655" s="81"/>
      <c r="U655" s="81" t="str">
        <f t="array" ref="U655:U656">{"CLASSABILITY1-L15";((INDEX(ALLCLASSDATA,MATCH("ClassAbility1-L15",CLASSFEATUREHEADERS,0),MATCH(($A656),CLASSNAMEHEADERS,0))))}</f>
        <v>CLASSABILITY1-L15</v>
      </c>
      <c r="V655" s="81"/>
      <c r="W655" s="81" t="str">
        <f t="array" ref="W655:W656">{"CLASSABILITY1-L17";((INDEX(ALLCLASSDATA,MATCH("ClassAbility1-L17",CLASSFEATUREHEADERS,0),MATCH(($A656),CLASSNAMEHEADERS,0))))}</f>
        <v>CLASSABILITY1-L17</v>
      </c>
      <c r="X655" s="81"/>
      <c r="Y655" s="81" t="str">
        <f t="array" ref="Y655:Y656">{"CLASSABILITY1-L19";((INDEX(ALLCLASSDATA,MATCH("ClassAbility1-L19",CLASSFEATUREHEADERS,0),MATCH(($A656),CLASSNAMEHEADERS,0))))}</f>
        <v>CLASSABILITY1-L19</v>
      </c>
      <c r="Z655" s="81"/>
      <c r="AA655" s="76"/>
      <c r="AB655" s="76"/>
    </row>
    <row r="656">
      <c r="A656" s="48" t="s">
        <v>223</v>
      </c>
      <c r="B656" s="48" t="s">
        <v>418</v>
      </c>
      <c r="C656" s="48" t="s">
        <v>825</v>
      </c>
      <c r="D656" s="48" t="s">
        <v>826</v>
      </c>
      <c r="E656" s="5"/>
      <c r="F656" s="47"/>
      <c r="G656" s="5"/>
      <c r="H656" s="5"/>
      <c r="I656" s="5" t="s">
        <v>1251</v>
      </c>
      <c r="J656" s="5"/>
      <c r="K656" s="5"/>
      <c r="L656" s="5"/>
      <c r="M656" s="5" t="s">
        <v>350</v>
      </c>
      <c r="N656" s="5"/>
      <c r="O656" s="5" t="s">
        <v>1698</v>
      </c>
      <c r="P656" s="5"/>
      <c r="Q656" s="5" t="s">
        <v>359</v>
      </c>
      <c r="R656" s="5"/>
      <c r="S656" s="5" t="s">
        <v>369</v>
      </c>
      <c r="T656" s="5"/>
      <c r="U656" s="5" t="s">
        <v>353</v>
      </c>
      <c r="V656" s="5"/>
      <c r="W656" s="5" t="s">
        <v>338</v>
      </c>
      <c r="X656" s="5"/>
      <c r="Y656" s="5" t="s">
        <v>1271</v>
      </c>
      <c r="Z656" s="5"/>
      <c r="AA656" s="5"/>
      <c r="AB656" s="47"/>
    </row>
    <row r="657" hidden="1">
      <c r="A657" s="76" t="str">
        <f t="array" ref="A657:A658">{"FormulaRow09";(INDEX(CLASSLIST,A640,1))}</f>
        <v>FormulaRow09</v>
      </c>
      <c r="B657" s="76" t="str">
        <f t="array" ref="B657:B658">{"CLASSTYPE";((INDEX(ALLCLASSDATA,MATCH("ClassType",CLASSFEATUREHEADERS,0),MATCH($A658,CLASSNAMEHEADERS,0))))}</f>
        <v>CLASSTYPE</v>
      </c>
      <c r="C657" s="76" t="str">
        <f t="array" ref="C657:C658">{"CLASSABILITYPTS";"ClassAbilityPts"}</f>
        <v>CLASSABILITYPTS</v>
      </c>
      <c r="D657" s="76" t="str">
        <f t="array" ref="D657:D658">{"CLASSABILITY1";"ClassAbility1"}</f>
        <v>CLASSABILITY1</v>
      </c>
      <c r="E657" s="76"/>
      <c r="F657" s="76"/>
      <c r="G657" s="76"/>
      <c r="H657" s="76"/>
      <c r="I657" s="76" t="str">
        <f t="array" ref="I657:I658">{"CLASSABILITY1-L03PTS";((INDEX(ALLCLASSDATA,MATCH("ClassAbility1-L03",CLASSFEATUREHEADERS,0),MATCH(($A658 &amp; "Points"),CLASSNAMEHEADERS,0))))}</f>
        <v>CLASSABILITY1-L03PTS</v>
      </c>
      <c r="J657" s="76"/>
      <c r="K657" s="76" t="str">
        <f t="array" ref="K657:K658">{"CLASSABILITY1-L05PTS";((INDEX(ALLCLASSDATA,MATCH("ClassAbility1-L05",CLASSFEATUREHEADERS,0),MATCH(($A658 &amp; "Points"),CLASSNAMEHEADERS,0))))}</f>
        <v>CLASSABILITY1-L05PTS</v>
      </c>
      <c r="L657" s="76"/>
      <c r="M657" s="76" t="str">
        <f t="array" ref="M657:M658">{"CLASSABILITY1-L07PTS";((INDEX(ALLCLASSDATA,MATCH("ClassAbility1-L07",CLASSFEATUREHEADERS,0),MATCH(($A658 &amp; "Points"),CLASSNAMEHEADERS,0))))}</f>
        <v>CLASSABILITY1-L07PTS</v>
      </c>
      <c r="N657" s="76"/>
      <c r="O657" s="76" t="str">
        <f t="array" ref="O657:O658">{"CLASSABILITY1-L09PTS";((INDEX(ALLCLASSDATA,MATCH("ClassAbility1-L09",CLASSFEATUREHEADERS,0),MATCH(($A658 &amp; "Points"),CLASSNAMEHEADERS,0))))}</f>
        <v>CLASSABILITY1-L09PTS</v>
      </c>
      <c r="P657" s="76"/>
      <c r="Q657" s="76" t="str">
        <f t="array" ref="Q657:Q658">{"CLASSABILITY1-L11PTS";((INDEX(ALLCLASSDATA,MATCH("ClassAbility1-L11",CLASSFEATUREHEADERS,0),MATCH(($A658 &amp; "Points"),CLASSNAMEHEADERS,0))))}</f>
        <v>CLASSABILITY1-L11PTS</v>
      </c>
      <c r="R657" s="76"/>
      <c r="S657" s="76" t="str">
        <f t="array" ref="S657:S658">{"CLASSABILITY1-L13PTS";((INDEX(ALLCLASSDATA,MATCH("ClassAbility1-L13",CLASSFEATUREHEADERS,0),MATCH(($A658 &amp; "Points"),CLASSNAMEHEADERS,0))))}</f>
        <v>CLASSABILITY1-L13PTS</v>
      </c>
      <c r="T657" s="76"/>
      <c r="U657" s="76" t="str">
        <f t="array" ref="U657:U658">{"CLASSABILITY1-L15PTS";((INDEX(ALLCLASSDATA,MATCH("ClassAbility1-L15",CLASSFEATUREHEADERS,0),MATCH(($A658 &amp; "Points"),CLASSNAMEHEADERS,0))))}</f>
        <v>CLASSABILITY1-L15PTS</v>
      </c>
      <c r="V657" s="76"/>
      <c r="W657" s="76" t="str">
        <f t="array" ref="W657:W658">{"CLASSABILITY1-L17PTS";((INDEX(ALLCLASSDATA,MATCH("ClassAbility1-L17",CLASSFEATUREHEADERS,0),MATCH(($A658 &amp; "Points"),CLASSNAMEHEADERS,0))))}</f>
        <v>CLASSABILITY1-L17PTS</v>
      </c>
      <c r="X657" s="76"/>
      <c r="Y657" s="76" t="str">
        <f t="array" ref="Y657:Y658">{"CLASSABILITY1-L19PTS";((INDEX(ALLCLASSDATA,MATCH("ClassAbility1-L19",CLASSFEATUREHEADERS,0),MATCH(($A658 &amp; "Points"),CLASSNAMEHEADERS,0))))}</f>
        <v>CLASSABILITY1-L19PTS</v>
      </c>
      <c r="Z657" s="76"/>
      <c r="AA657" s="76"/>
      <c r="AB657" s="76" t="str">
        <f t="array" ref="AB657:AB658">{"CLASSABILITY1 TOTAL";(sum(F658:Z658))}</f>
        <v>CLASSABILITY1 TOTAL</v>
      </c>
    </row>
    <row r="658">
      <c r="A658" s="48" t="s">
        <v>223</v>
      </c>
      <c r="B658" s="48" t="s">
        <v>418</v>
      </c>
      <c r="C658" s="48" t="s">
        <v>930</v>
      </c>
      <c r="D658" s="48" t="s">
        <v>826</v>
      </c>
      <c r="E658" s="5"/>
      <c r="F658" s="5"/>
      <c r="G658" s="5"/>
      <c r="H658" s="5"/>
      <c r="I658" s="48">
        <v>30.0</v>
      </c>
      <c r="J658" s="5"/>
      <c r="K658" s="5"/>
      <c r="L658" s="5"/>
      <c r="M658" s="5"/>
      <c r="N658" s="5"/>
      <c r="O658" s="5"/>
      <c r="P658" s="5"/>
      <c r="Q658" s="5"/>
      <c r="R658" s="5"/>
      <c r="S658" s="5"/>
      <c r="T658" s="5"/>
      <c r="U658" s="5"/>
      <c r="V658" s="5"/>
      <c r="W658" s="5"/>
      <c r="X658" s="5"/>
      <c r="Y658" s="5"/>
      <c r="Z658" s="5"/>
      <c r="AA658" s="5"/>
      <c r="AB658" s="47">
        <v>30.0</v>
      </c>
    </row>
    <row r="659" hidden="1">
      <c r="A659" s="76" t="str">
        <f t="array" ref="A659:A660">{"FormulaRow10";(INDEX(CLASSLIST,A640,1))}</f>
        <v>FormulaRow10</v>
      </c>
      <c r="B659" s="76" t="str">
        <f t="array" ref="B659:B660">{"CLASSTYPE";((INDEX(ALLCLASSDATA,MATCH("ClassType",CLASSFEATUREHEADERS,0),MATCH($A660,CLASSNAMEHEADERS,0))))}</f>
        <v>CLASSTYPE</v>
      </c>
      <c r="C659" s="76" t="str">
        <f t="array" ref="C659:C660">{"CLASSABILITY";"ClassAbility"}</f>
        <v>CLASSABILITY</v>
      </c>
      <c r="D659" s="76" t="str">
        <f t="array" ref="D659:D660">{"CLASSABILITY2";"ClassAbility2"}</f>
        <v>CLASSABILITY2</v>
      </c>
      <c r="E659" s="76"/>
      <c r="F659" s="76"/>
      <c r="G659" s="76"/>
      <c r="H659" s="76"/>
      <c r="I659" s="76" t="str">
        <f t="array" ref="I659:I660">{"CLASSABILITY2-L03";((INDEX(ALLCLASSDATA,MATCH("ClassAbility2-L03",CLASSFEATUREHEADERS,0),MATCH(($A660),CLASSNAMEHEADERS,0))))}</f>
        <v>CLASSABILITY2-L03</v>
      </c>
      <c r="J659" s="76"/>
      <c r="K659" s="76" t="str">
        <f t="array" ref="K659:K660">{"CLASSABILITY2-L05";((INDEX(ALLCLASSDATA,MATCH("ClassAbility2-L05",CLASSFEATUREHEADERS,0),MATCH(($A660),CLASSNAMEHEADERS,0))))}</f>
        <v>CLASSABILITY2-L05</v>
      </c>
      <c r="L659" s="76"/>
      <c r="M659" s="76" t="str">
        <f t="array" ref="M659:M660">{"CLASSABILITY2-L07";((INDEX(ALLCLASSDATA,MATCH("ClassAbility2-L07",CLASSFEATUREHEADERS,0),MATCH(($A660),CLASSNAMEHEADERS,0))))}</f>
        <v>CLASSABILITY2-L07</v>
      </c>
      <c r="N659" s="76"/>
      <c r="O659" s="76" t="str">
        <f t="array" ref="O659:O660">{"CLASSABILITY2-L09";((INDEX(ALLCLASSDATA,MATCH("ClassAbility2-L09",CLASSFEATUREHEADERS,0),MATCH(($A660),CLASSNAMEHEADERS,0))))}</f>
        <v>CLASSABILITY2-L09</v>
      </c>
      <c r="P659" s="76"/>
      <c r="Q659" s="76" t="str">
        <f t="array" ref="Q659:Q660">{"CLASSABILITY2-L11";((INDEX(ALLCLASSDATA,MATCH("ClassAbility2-L11",CLASSFEATUREHEADERS,0),MATCH(($A660),CLASSNAMEHEADERS,0))))}</f>
        <v>CLASSABILITY2-L11</v>
      </c>
      <c r="R659" s="76"/>
      <c r="S659" s="76" t="str">
        <f t="array" ref="S659:S660">{"CLASSABILITY2-L13";((INDEX(ALLCLASSDATA,MATCH("ClassAbility2-L13",CLASSFEATUREHEADERS,0),MATCH(($A660),CLASSNAMEHEADERS,0))))}</f>
        <v>CLASSABILITY2-L13</v>
      </c>
      <c r="T659" s="76"/>
      <c r="U659" s="76" t="str">
        <f t="array" ref="U659:U660">{"CLASSABILITY2-L15";((INDEX(ALLCLASSDATA,MATCH("ClassAbility2-L15",CLASSFEATUREHEADERS,0),MATCH(($A660),CLASSNAMEHEADERS,0))))}</f>
        <v>CLASSABILITY2-L15</v>
      </c>
      <c r="V659" s="76"/>
      <c r="W659" s="76" t="str">
        <f t="array" ref="W659:W660">{"CLASSABILITY2-L17";((INDEX(ALLCLASSDATA,MATCH("ClassAbility2-L17",CLASSFEATUREHEADERS,0),MATCH(($A660),CLASSNAMEHEADERS,0))))}</f>
        <v>CLASSABILITY2-L17</v>
      </c>
      <c r="X659" s="76"/>
      <c r="Y659" s="76" t="str">
        <f t="array" ref="Y659:Y660">{"CLASSABILITY2-L19";((INDEX(ALLCLASSDATA,MATCH("ClassAbility2-L19",CLASSFEATUREHEADERS,0),MATCH(($A660),CLASSNAMEHEADERS,0))))}</f>
        <v>CLASSABILITY2-L19</v>
      </c>
      <c r="Z659" s="76"/>
      <c r="AA659" s="76"/>
      <c r="AB659" s="76"/>
    </row>
    <row r="660">
      <c r="A660" s="48" t="s">
        <v>223</v>
      </c>
      <c r="B660" s="48" t="s">
        <v>418</v>
      </c>
      <c r="C660" s="48" t="s">
        <v>825</v>
      </c>
      <c r="D660" s="48" t="s">
        <v>1007</v>
      </c>
      <c r="E660" s="48"/>
      <c r="F660" s="47"/>
      <c r="G660" s="5"/>
      <c r="H660" s="5"/>
      <c r="I660" s="5"/>
      <c r="J660" s="5"/>
      <c r="K660" s="5"/>
      <c r="L660" s="5"/>
      <c r="M660" s="5" t="s">
        <v>335</v>
      </c>
      <c r="N660" s="5"/>
      <c r="O660" s="5"/>
      <c r="P660" s="5"/>
      <c r="Q660" s="5" t="s">
        <v>305</v>
      </c>
      <c r="R660" s="5"/>
      <c r="S660" s="5" t="s">
        <v>1755</v>
      </c>
      <c r="T660" s="5"/>
      <c r="U660" s="5"/>
      <c r="V660" s="5"/>
      <c r="W660" s="5"/>
      <c r="X660" s="5"/>
      <c r="Y660" s="5" t="s">
        <v>356</v>
      </c>
      <c r="Z660" s="5"/>
      <c r="AA660" s="5"/>
      <c r="AB660" s="47"/>
    </row>
    <row r="661" hidden="1">
      <c r="A661" s="76" t="str">
        <f t="array" ref="A661:A662">{"FormulaRow11";(INDEX(CLASSLIST,A640,1))}</f>
        <v>FormulaRow11</v>
      </c>
      <c r="B661" s="76" t="str">
        <f t="array" ref="B661:B662">{"CLASSTYPE";((INDEX(ALLCLASSDATA,MATCH("ClassType",CLASSFEATUREHEADERS,0),MATCH($A662,CLASSNAMEHEADERS,0))))}</f>
        <v>CLASSTYPE</v>
      </c>
      <c r="C661" s="76" t="str">
        <f t="array" ref="C661:C662">{"CLASSABILITYPTS";"ClassAbilityPts"}</f>
        <v>CLASSABILITYPTS</v>
      </c>
      <c r="D661" s="76" t="str">
        <f t="array" ref="D661:D662">{"CLASSABILITY2";"ClassAbility2"}</f>
        <v>CLASSABILITY2</v>
      </c>
      <c r="E661" s="76"/>
      <c r="F661" s="76"/>
      <c r="G661" s="76"/>
      <c r="H661" s="76"/>
      <c r="I661" s="76" t="str">
        <f t="array" ref="I661:I662">{"CLASSABILITY2-L03PTS";((INDEX(ALLCLASSDATA,MATCH("ClassAbility2-L03",CLASSFEATUREHEADERS,0),MATCH(($A662 &amp; "Points"),CLASSNAMEHEADERS,0))))}</f>
        <v>CLASSABILITY2-L03PTS</v>
      </c>
      <c r="J661" s="76"/>
      <c r="K661" s="76" t="str">
        <f t="array" ref="K661:K662">{"CLASSABILITY2-L05PTS";((INDEX(ALLCLASSDATA,MATCH("ClassAbility2-L05",CLASSFEATUREHEADERS,0),MATCH(($A662 &amp; "Points"),CLASSNAMEHEADERS,0))))}</f>
        <v>CLASSABILITY2-L05PTS</v>
      </c>
      <c r="L661" s="76"/>
      <c r="M661" s="76" t="str">
        <f t="array" ref="M661:M662">{"CLASSABILITY2-L07PTS";((INDEX(ALLCLASSDATA,MATCH("ClassAbility2-L07",CLASSFEATUREHEADERS,0),MATCH(($A662 &amp; "Points"),CLASSNAMEHEADERS,0))))}</f>
        <v>CLASSABILITY2-L07PTS</v>
      </c>
      <c r="N661" s="76"/>
      <c r="O661" s="76" t="str">
        <f t="array" ref="O661:O662">{"CLASSABILITY2-L09PTS";((INDEX(ALLCLASSDATA,MATCH("ClassAbility2-L09",CLASSFEATUREHEADERS,0),MATCH(($A662 &amp; "Points"),CLASSNAMEHEADERS,0))))}</f>
        <v>CLASSABILITY2-L09PTS</v>
      </c>
      <c r="P661" s="76"/>
      <c r="Q661" s="76" t="str">
        <f t="array" ref="Q661:Q662">{"CLASSABILITY2-L11PTS";((INDEX(ALLCLASSDATA,MATCH("ClassAbility2-L11",CLASSFEATUREHEADERS,0),MATCH(($A662 &amp; "Points"),CLASSNAMEHEADERS,0))))}</f>
        <v>CLASSABILITY2-L11PTS</v>
      </c>
      <c r="R661" s="76"/>
      <c r="S661" s="76" t="str">
        <f t="array" ref="S661:S662">{"CLASSABILITY2-L13PTS";((INDEX(ALLCLASSDATA,MATCH("ClassAbility2-L13",CLASSFEATUREHEADERS,0),MATCH(($A662 &amp; "Points"),CLASSNAMEHEADERS,0))))}</f>
        <v>CLASSABILITY2-L13PTS</v>
      </c>
      <c r="T661" s="76"/>
      <c r="U661" s="76" t="str">
        <f t="array" ref="U661:U662">{"CLASSABILITY2-L15PTS";((INDEX(ALLCLASSDATA,MATCH("ClassAbility2-L15",CLASSFEATUREHEADERS,0),MATCH(($A662 &amp; "Points"),CLASSNAMEHEADERS,0))))}</f>
        <v>CLASSABILITY2-L15PTS</v>
      </c>
      <c r="V661" s="76"/>
      <c r="W661" s="76" t="str">
        <f t="array" ref="W661:W662">{"CLASSABILITY2-L17PTS";((INDEX(ALLCLASSDATA,MATCH("ClassAbility2-L17",CLASSFEATUREHEADERS,0),MATCH(($A662 &amp; "Points"),CLASSNAMEHEADERS,0))))}</f>
        <v>CLASSABILITY2-L17PTS</v>
      </c>
      <c r="X661" s="76"/>
      <c r="Y661" s="76" t="str">
        <f t="array" ref="Y661:Y662">{"CLASSABILITY2-L19PTS";((INDEX(ALLCLASSDATA,MATCH("ClassAbility2-L19",CLASSFEATUREHEADERS,0),MATCH(($A662 &amp; "Points"),CLASSNAMEHEADERS,0))))}</f>
        <v>CLASSABILITY2-L19PTS</v>
      </c>
      <c r="Z661" s="76"/>
      <c r="AA661" s="76"/>
      <c r="AB661" s="76" t="str">
        <f t="array" ref="AB661:AB662">{"CLASSABILITY2 TOTAL";(sum(F662:Z662))}</f>
        <v>CLASSABILITY2 TOTAL</v>
      </c>
    </row>
    <row r="662">
      <c r="A662" s="48" t="s">
        <v>223</v>
      </c>
      <c r="B662" s="48" t="s">
        <v>418</v>
      </c>
      <c r="C662" s="48" t="s">
        <v>930</v>
      </c>
      <c r="D662" s="48" t="s">
        <v>1007</v>
      </c>
      <c r="E662" s="48"/>
      <c r="F662" s="47"/>
      <c r="G662" s="5"/>
      <c r="H662" s="5"/>
      <c r="I662" s="5"/>
      <c r="J662" s="5"/>
      <c r="K662" s="5"/>
      <c r="L662" s="5"/>
      <c r="M662" s="5"/>
      <c r="N662" s="5"/>
      <c r="O662" s="5"/>
      <c r="P662" s="5"/>
      <c r="Q662" s="5"/>
      <c r="R662" s="5"/>
      <c r="S662" s="5"/>
      <c r="T662" s="5"/>
      <c r="U662" s="5"/>
      <c r="V662" s="5"/>
      <c r="W662" s="5"/>
      <c r="X662" s="5"/>
      <c r="Y662" s="5"/>
      <c r="Z662" s="5"/>
      <c r="AA662" s="5"/>
      <c r="AB662" s="47">
        <v>0.0</v>
      </c>
    </row>
    <row r="663" hidden="1">
      <c r="A663" s="76" t="str">
        <f t="array" ref="A663:A664">{"FormulaRow12";(INDEX(CLASSLIST,A640,1))}</f>
        <v>FormulaRow12</v>
      </c>
      <c r="B663" s="76" t="str">
        <f t="array" ref="B663:B664">{"CLASSTYPE";((INDEX(ALLCLASSDATA,MATCH("ClassType",CLASSFEATUREHEADERS,0),MATCH($A664,CLASSNAMEHEADERS,0))))}</f>
        <v>CLASSTYPE</v>
      </c>
      <c r="C663" s="76" t="str">
        <f t="array" ref="C663:C664">{"CLASSABILITY";"ClassAbility"}</f>
        <v>CLASSABILITY</v>
      </c>
      <c r="D663" s="76" t="str">
        <f t="array" ref="D663:D664">{"CLASSABILITY3";"ClassAbility3"}</f>
        <v>CLASSABILITY3</v>
      </c>
      <c r="E663" s="76"/>
      <c r="F663" s="76"/>
      <c r="G663" s="76"/>
      <c r="H663" s="76"/>
      <c r="I663" s="76" t="str">
        <f t="array" ref="I663:I664">{"CLASSABILITY3-L03";((INDEX(ALLCLASSDATA,MATCH("ClassAbility3-L03",CLASSFEATUREHEADERS,0),MATCH(($A664),CLASSNAMEHEADERS,0))))}</f>
        <v>CLASSABILITY3-L03</v>
      </c>
      <c r="J663" s="76"/>
      <c r="K663" s="76" t="str">
        <f t="array" ref="K663:K664">{"CLASSABILITY3-L05";((INDEX(ALLCLASSDATA,MATCH("ClassAbility3-L05",CLASSFEATUREHEADERS,0),MATCH(($A664),CLASSNAMEHEADERS,0))))}</f>
        <v>CLASSABILITY3-L05</v>
      </c>
      <c r="L663" s="76"/>
      <c r="M663" s="76" t="str">
        <f t="array" ref="M663:M664">{"CLASSABILITY3-L07";((INDEX(ALLCLASSDATA,MATCH("ClassAbility3-L07",CLASSFEATUREHEADERS,0),MATCH(($A664),CLASSNAMEHEADERS,0))))}</f>
        <v>CLASSABILITY3-L07</v>
      </c>
      <c r="N663" s="76"/>
      <c r="O663" s="76" t="str">
        <f t="array" ref="O663:O664">{"CLASSABILITY3-L09";((INDEX(ALLCLASSDATA,MATCH("ClassAbility3-L09",CLASSFEATUREHEADERS,0),MATCH(($A664),CLASSNAMEHEADERS,0))))}</f>
        <v>CLASSABILITY3-L09</v>
      </c>
      <c r="P663" s="76"/>
      <c r="Q663" s="76" t="str">
        <f t="array" ref="Q663:Q664">{"CLASSABILITY3-L11";((INDEX(ALLCLASSDATA,MATCH("ClassAbility3-L11",CLASSFEATUREHEADERS,0),MATCH(($A664),CLASSNAMEHEADERS,0))))}</f>
        <v>CLASSABILITY3-L11</v>
      </c>
      <c r="R663" s="76"/>
      <c r="S663" s="76" t="str">
        <f t="array" ref="S663:S664">{"CLASSABILITY3-L13";((INDEX(ALLCLASSDATA,MATCH("ClassAbility3-L13",CLASSFEATUREHEADERS,0),MATCH(($A664),CLASSNAMEHEADERS,0))))}</f>
        <v>CLASSABILITY3-L13</v>
      </c>
      <c r="T663" s="76"/>
      <c r="U663" s="76" t="str">
        <f t="array" ref="U663:U664">{"CLASSABILITY3-L15";((INDEX(ALLCLASSDATA,MATCH("ClassAbility3-L15",CLASSFEATUREHEADERS,0),MATCH(($A664),CLASSNAMEHEADERS,0))))}</f>
        <v>CLASSABILITY3-L15</v>
      </c>
      <c r="V663" s="76"/>
      <c r="W663" s="76" t="str">
        <f t="array" ref="W663:W664">{"CLASSABILITY3-L17";((INDEX(ALLCLASSDATA,MATCH("ClassAbility3-L17",CLASSFEATUREHEADERS,0),MATCH(($A664),CLASSNAMEHEADERS,0))))}</f>
        <v>CLASSABILITY3-L17</v>
      </c>
      <c r="X663" s="76"/>
      <c r="Y663" s="76" t="str">
        <f t="array" ref="Y663:Y664">{"CLASSABILITY3-L19";((INDEX(ALLCLASSDATA,MATCH("ClassAbility3-L19",CLASSFEATUREHEADERS,0),MATCH(($A664),CLASSNAMEHEADERS,0))))}</f>
        <v>CLASSABILITY3-L19</v>
      </c>
      <c r="Z663" s="76"/>
      <c r="AA663" s="76"/>
      <c r="AB663" s="76"/>
    </row>
    <row r="664">
      <c r="A664" s="48" t="s">
        <v>223</v>
      </c>
      <c r="B664" s="48" t="s">
        <v>418</v>
      </c>
      <c r="C664" s="48" t="s">
        <v>825</v>
      </c>
      <c r="D664" s="48" t="s">
        <v>1144</v>
      </c>
      <c r="E664" s="48"/>
      <c r="F664" s="47"/>
      <c r="G664" s="5"/>
      <c r="H664" s="5"/>
      <c r="I664" s="5"/>
      <c r="J664" s="5"/>
      <c r="K664" s="5"/>
      <c r="L664" s="5"/>
      <c r="M664" s="5"/>
      <c r="N664" s="5"/>
      <c r="O664" s="5"/>
      <c r="P664" s="5"/>
      <c r="Q664" s="5"/>
      <c r="R664" s="5"/>
      <c r="S664" s="5" t="s">
        <v>323</v>
      </c>
      <c r="T664" s="5"/>
      <c r="U664" s="5"/>
      <c r="V664" s="5"/>
      <c r="W664" s="5"/>
      <c r="X664" s="5"/>
      <c r="Y664" s="5"/>
      <c r="Z664" s="5"/>
      <c r="AA664" s="5"/>
      <c r="AB664" s="47"/>
    </row>
    <row r="665" hidden="1">
      <c r="A665" s="76" t="str">
        <f t="array" ref="A665:A666">{"FormulaRow13";(INDEX(CLASSLIST,A640,1))}</f>
        <v>FormulaRow13</v>
      </c>
      <c r="B665" s="76" t="str">
        <f t="array" ref="B665:B666">{"CLASSTYPE";((INDEX(ALLCLASSDATA,MATCH("ClassType",CLASSFEATUREHEADERS,0),MATCH($A666,CLASSNAMEHEADERS,0))))}</f>
        <v>CLASSTYPE</v>
      </c>
      <c r="C665" s="76" t="str">
        <f t="array" ref="C665:C666">{"CLASSABILITYPTS";"ClassAbilityPts"}</f>
        <v>CLASSABILITYPTS</v>
      </c>
      <c r="D665" s="76" t="str">
        <f t="array" ref="D665:D666">{"CLASSABILITY3";"ClassAbility3"}</f>
        <v>CLASSABILITY3</v>
      </c>
      <c r="E665" s="76"/>
      <c r="F665" s="76"/>
      <c r="G665" s="76"/>
      <c r="H665" s="76"/>
      <c r="I665" s="76" t="str">
        <f t="array" ref="I665:I666">{"CLASSABILITY3-L03PTS";((INDEX(ALLCLASSDATA,MATCH("ClassAbility3-L03",CLASSFEATUREHEADERS,0),MATCH(($A666 &amp; "Points"),CLASSNAMEHEADERS,0))))}</f>
        <v>CLASSABILITY3-L03PTS</v>
      </c>
      <c r="J665" s="76"/>
      <c r="K665" s="76" t="str">
        <f t="array" ref="K665:K666">{"CLASSABILITY3-L05PTS";((INDEX(ALLCLASSDATA,MATCH("ClassAbility3-L05",CLASSFEATUREHEADERS,0),MATCH(($A666 &amp; "Points"),CLASSNAMEHEADERS,0))))}</f>
        <v>CLASSABILITY3-L05PTS</v>
      </c>
      <c r="L665" s="76"/>
      <c r="M665" s="76" t="str">
        <f t="array" ref="M665:M666">{"CLASSABILITY3-L07PTS";((INDEX(ALLCLASSDATA,MATCH("ClassAbility3-L07",CLASSFEATUREHEADERS,0),MATCH(($A666 &amp; "Points"),CLASSNAMEHEADERS,0))))}</f>
        <v>CLASSABILITY3-L07PTS</v>
      </c>
      <c r="N665" s="76"/>
      <c r="O665" s="76" t="str">
        <f t="array" ref="O665:O666">{"CLASSABILITY3-L09PTS";((INDEX(ALLCLASSDATA,MATCH("ClassAbility3-L09",CLASSFEATUREHEADERS,0),MATCH(($A666 &amp; "Points"),CLASSNAMEHEADERS,0))))}</f>
        <v>CLASSABILITY3-L09PTS</v>
      </c>
      <c r="P665" s="76"/>
      <c r="Q665" s="76" t="str">
        <f t="array" ref="Q665:Q666">{"CLASSABILITY3-L11PTS";((INDEX(ALLCLASSDATA,MATCH("ClassAbility3-L11",CLASSFEATUREHEADERS,0),MATCH(($A666 &amp; "Points"),CLASSNAMEHEADERS,0))))}</f>
        <v>CLASSABILITY3-L11PTS</v>
      </c>
      <c r="R665" s="76"/>
      <c r="S665" s="76" t="str">
        <f t="array" ref="S665:S666">{"CLASSABILITY3-L13PTS";((INDEX(ALLCLASSDATA,MATCH("ClassAbility3-L13",CLASSFEATUREHEADERS,0),MATCH(($A666 &amp; "Points"),CLASSNAMEHEADERS,0))))}</f>
        <v>CLASSABILITY3-L13PTS</v>
      </c>
      <c r="T665" s="76"/>
      <c r="U665" s="76" t="str">
        <f t="array" ref="U665:U666">{"CLASSABILITY3-L15PTS";((INDEX(ALLCLASSDATA,MATCH("ClassAbility3-L15",CLASSFEATUREHEADERS,0),MATCH(($A666 &amp; "Points"),CLASSNAMEHEADERS,0))))}</f>
        <v>CLASSABILITY3-L15PTS</v>
      </c>
      <c r="V665" s="76"/>
      <c r="W665" s="76" t="str">
        <f t="array" ref="W665:W666">{"CLASSABILITY3-L17PTS";((INDEX(ALLCLASSDATA,MATCH("ClassAbility3-L17",CLASSFEATUREHEADERS,0),MATCH(($A666 &amp; "Points"),CLASSNAMEHEADERS,0))))}</f>
        <v>CLASSABILITY3-L17PTS</v>
      </c>
      <c r="X665" s="76"/>
      <c r="Y665" s="76" t="str">
        <f t="array" ref="Y665:Y666">{"CLASSABILITY3-L19PTS";((INDEX(ALLCLASSDATA,MATCH("ClassAbility3-L19",CLASSFEATUREHEADERS,0),MATCH(($A666 &amp; "Points"),CLASSNAMEHEADERS,0))))}</f>
        <v>CLASSABILITY3-L19PTS</v>
      </c>
      <c r="Z665" s="76"/>
      <c r="AA665" s="76"/>
      <c r="AB665" s="76" t="str">
        <f t="array" ref="AB665:AB666">{"CLASSABILITY3 TOTAL";(sum(F666:Z666))}</f>
        <v>CLASSABILITY3 TOTAL</v>
      </c>
    </row>
    <row r="666">
      <c r="A666" s="48" t="s">
        <v>223</v>
      </c>
      <c r="B666" s="48" t="s">
        <v>418</v>
      </c>
      <c r="C666" s="48" t="s">
        <v>930</v>
      </c>
      <c r="D666" s="48" t="s">
        <v>1144</v>
      </c>
      <c r="E666" s="48"/>
      <c r="F666" s="47"/>
      <c r="G666" s="5"/>
      <c r="H666" s="5"/>
      <c r="I666" s="5"/>
      <c r="J666" s="5"/>
      <c r="K666" s="5"/>
      <c r="L666" s="5"/>
      <c r="M666" s="5"/>
      <c r="N666" s="5"/>
      <c r="O666" s="5"/>
      <c r="P666" s="5"/>
      <c r="Q666" s="5"/>
      <c r="R666" s="5"/>
      <c r="S666" s="5"/>
      <c r="T666" s="5"/>
      <c r="U666" s="5"/>
      <c r="V666" s="5"/>
      <c r="W666" s="5"/>
      <c r="X666" s="5"/>
      <c r="Y666" s="5"/>
      <c r="Z666" s="5"/>
      <c r="AA666" s="5"/>
      <c r="AB666" s="47">
        <v>0.0</v>
      </c>
    </row>
    <row r="667" hidden="1">
      <c r="A667" s="76" t="str">
        <f t="array" ref="A667:A668">{"FormulaRow14";(INDEX(CLASSLIST,A640,1))}</f>
        <v>FormulaRow14</v>
      </c>
      <c r="B667" s="76" t="str">
        <f t="array" ref="B667:B668">{"CLASSTYPE";((INDEX(ALLCLASSDATA,MATCH("ClassType",CLASSFEATUREHEADERS,0),MATCH($A668,CLASSNAMEHEADERS,0))))}</f>
        <v>CLASSTYPE</v>
      </c>
      <c r="C667" s="76" t="str">
        <f t="array" ref="C667:C668">{"CLASSABILITY";"ClassAbility"}</f>
        <v>CLASSABILITY</v>
      </c>
      <c r="D667" s="76" t="str">
        <f t="array" ref="D667:D668">{"CLASSABILITY4";"ClassAbility4"}</f>
        <v>CLASSABILITY4</v>
      </c>
      <c r="E667" s="76"/>
      <c r="F667" s="76"/>
      <c r="G667" s="76"/>
      <c r="H667" s="76"/>
      <c r="I667" s="76" t="str">
        <f t="array" ref="I667:I668">{"CLASSABILITY4-L03";((INDEX(ALLCLASSDATA,MATCH("ClassAbility4-L03",CLASSFEATUREHEADERS,0),MATCH(($A668),CLASSNAMEHEADERS,0))))}</f>
        <v>CLASSABILITY4-L03</v>
      </c>
      <c r="J667" s="76"/>
      <c r="K667" s="76" t="str">
        <f t="array" ref="K667:K668">{"CLASSABILITY4-L05";((INDEX(ALLCLASSDATA,MATCH("ClassAbility4-L05",CLASSFEATUREHEADERS,0),MATCH(($A668),CLASSNAMEHEADERS,0))))}</f>
        <v>CLASSABILITY4-L05</v>
      </c>
      <c r="L667" s="76"/>
      <c r="M667" s="76" t="str">
        <f t="array" ref="M667:M668">{"CLASSABILITY4-L07";((INDEX(ALLCLASSDATA,MATCH("ClassAbility4-L07",CLASSFEATUREHEADERS,0),MATCH(($A668),CLASSNAMEHEADERS,0))))}</f>
        <v>CLASSABILITY4-L07</v>
      </c>
      <c r="N667" s="76"/>
      <c r="O667" s="76" t="str">
        <f t="array" ref="O667:O668">{"CLASSABILITY4-L09";((INDEX(ALLCLASSDATA,MATCH("ClassAbility4-L09",CLASSFEATUREHEADERS,0),MATCH(($A668),CLASSNAMEHEADERS,0))))}</f>
        <v>CLASSABILITY4-L09</v>
      </c>
      <c r="P667" s="76"/>
      <c r="Q667" s="76" t="str">
        <f t="array" ref="Q667:Q668">{"CLASSABILITY4-L11";((INDEX(ALLCLASSDATA,MATCH("ClassAbility4-L11",CLASSFEATUREHEADERS,0),MATCH(($A668),CLASSNAMEHEADERS,0))))}</f>
        <v>CLASSABILITY4-L11</v>
      </c>
      <c r="R667" s="76"/>
      <c r="S667" s="76" t="str">
        <f t="array" ref="S667:S668">{"CLASSABILITY4-L13";((INDEX(ALLCLASSDATA,MATCH("ClassAbility4-L13",CLASSFEATUREHEADERS,0),MATCH(($A668),CLASSNAMEHEADERS,0))))}</f>
        <v>CLASSABILITY4-L13</v>
      </c>
      <c r="T667" s="76"/>
      <c r="U667" s="76" t="str">
        <f t="array" ref="U667:U668">{"CLASSABILITY4-L15";((INDEX(ALLCLASSDATA,MATCH("ClassAbility4-L15",CLASSFEATUREHEADERS,0),MATCH(($A668),CLASSNAMEHEADERS,0))))}</f>
        <v>CLASSABILITY4-L15</v>
      </c>
      <c r="V667" s="76"/>
      <c r="W667" s="76" t="str">
        <f t="array" ref="W667:W668">{"CLASSABILITY4-L17";((INDEX(ALLCLASSDATA,MATCH("ClassAbility4-L17",CLASSFEATUREHEADERS,0),MATCH(($A668),CLASSNAMEHEADERS,0))))}</f>
        <v>CLASSABILITY4-L17</v>
      </c>
      <c r="X667" s="76"/>
      <c r="Y667" s="76" t="str">
        <f t="array" ref="Y667:Y668">{"CLASSABILITY4-L19";((INDEX(ALLCLASSDATA,MATCH("ClassAbility4-L19",CLASSFEATUREHEADERS,0),MATCH(($A668),CLASSNAMEHEADERS,0))))}</f>
        <v>CLASSABILITY4-L19</v>
      </c>
      <c r="Z667" s="76"/>
      <c r="AA667" s="76"/>
      <c r="AB667" s="76"/>
    </row>
    <row r="668">
      <c r="A668" s="48" t="s">
        <v>223</v>
      </c>
      <c r="B668" s="48" t="s">
        <v>418</v>
      </c>
      <c r="C668" s="48" t="s">
        <v>825</v>
      </c>
      <c r="D668" s="48" t="s">
        <v>1273</v>
      </c>
      <c r="E668" s="48"/>
      <c r="F668" s="47"/>
      <c r="G668" s="5"/>
      <c r="H668" s="5"/>
      <c r="I668" s="5"/>
      <c r="J668" s="5"/>
      <c r="K668" s="5"/>
      <c r="L668" s="5"/>
      <c r="M668" s="5"/>
      <c r="N668" s="5"/>
      <c r="O668" s="5"/>
      <c r="P668" s="5"/>
      <c r="Q668" s="5"/>
      <c r="R668" s="5"/>
      <c r="S668" s="5"/>
      <c r="T668" s="5"/>
      <c r="U668" s="5"/>
      <c r="V668" s="5"/>
      <c r="W668" s="5"/>
      <c r="X668" s="5"/>
      <c r="Y668" s="5"/>
      <c r="Z668" s="5"/>
      <c r="AA668" s="5"/>
      <c r="AB668" s="47"/>
    </row>
    <row r="669" hidden="1">
      <c r="A669" s="76" t="str">
        <f t="array" ref="A669:A670">{"FormulaRow15";(INDEX(CLASSLIST,A640,1))}</f>
        <v>FormulaRow15</v>
      </c>
      <c r="B669" s="76" t="str">
        <f t="array" ref="B669:B670">{"CLASSTYPE";((INDEX(ALLCLASSDATA,MATCH("ClassType",CLASSFEATUREHEADERS,0),MATCH($A670,CLASSNAMEHEADERS,0))))}</f>
        <v>CLASSTYPE</v>
      </c>
      <c r="C669" s="76" t="str">
        <f t="array" ref="C669:C670">{"CLASSABILITYPTS";"ClassAbilityPts"}</f>
        <v>CLASSABILITYPTS</v>
      </c>
      <c r="D669" s="76" t="str">
        <f t="array" ref="D669:D670">{"CLASSABILITY4";"ClassAbility4"}</f>
        <v>CLASSABILITY4</v>
      </c>
      <c r="E669" s="76"/>
      <c r="F669" s="76"/>
      <c r="G669" s="76"/>
      <c r="H669" s="76"/>
      <c r="I669" s="76" t="str">
        <f t="array" ref="I669:I670">{"CLASSABILITY4-L03PTS";((INDEX(ALLCLASSDATA,MATCH("ClassAbility4-L03",CLASSFEATUREHEADERS,0),MATCH(($A670 &amp; "Points"),CLASSNAMEHEADERS,0))))}</f>
        <v>CLASSABILITY4-L03PTS</v>
      </c>
      <c r="J669" s="76"/>
      <c r="K669" s="76" t="str">
        <f t="array" ref="K669:K670">{"CLASSABILITY4-L05PTS";((INDEX(ALLCLASSDATA,MATCH("ClassAbility4-L05",CLASSFEATUREHEADERS,0),MATCH(($A670 &amp; "Points"),CLASSNAMEHEADERS,0))))}</f>
        <v>CLASSABILITY4-L05PTS</v>
      </c>
      <c r="L669" s="76"/>
      <c r="M669" s="76" t="str">
        <f t="array" ref="M669:M670">{"CLASSABILITY4-L07PTS";((INDEX(ALLCLASSDATA,MATCH("ClassAbility4-L07",CLASSFEATUREHEADERS,0),MATCH(($A670 &amp; "Points"),CLASSNAMEHEADERS,0))))}</f>
        <v>CLASSABILITY4-L07PTS</v>
      </c>
      <c r="N669" s="76"/>
      <c r="O669" s="76" t="str">
        <f t="array" ref="O669:O670">{"CLASSABILITY4-L09PTS";((INDEX(ALLCLASSDATA,MATCH("ClassAbility4-L09",CLASSFEATUREHEADERS,0),MATCH(($A670 &amp; "Points"),CLASSNAMEHEADERS,0))))}</f>
        <v>CLASSABILITY4-L09PTS</v>
      </c>
      <c r="P669" s="76"/>
      <c r="Q669" s="76" t="str">
        <f t="array" ref="Q669:Q670">{"CLASSABILITY4-L11PTS";((INDEX(ALLCLASSDATA,MATCH("ClassAbility4-L11",CLASSFEATUREHEADERS,0),MATCH(($A670 &amp; "Points"),CLASSNAMEHEADERS,0))))}</f>
        <v>CLASSABILITY4-L11PTS</v>
      </c>
      <c r="R669" s="76"/>
      <c r="S669" s="76" t="str">
        <f t="array" ref="S669:S670">{"CLASSABILITY4-L13PTS";((INDEX(ALLCLASSDATA,MATCH("ClassAbility4-L13",CLASSFEATUREHEADERS,0),MATCH(($A670 &amp; "Points"),CLASSNAMEHEADERS,0))))}</f>
        <v>CLASSABILITY4-L13PTS</v>
      </c>
      <c r="T669" s="76"/>
      <c r="U669" s="76" t="str">
        <f t="array" ref="U669:U670">{"CLASSABILITY4-L15PTS";((INDEX(ALLCLASSDATA,MATCH("ClassAbility4-L15",CLASSFEATUREHEADERS,0),MATCH(($A670 &amp; "Points"),CLASSNAMEHEADERS,0))))}</f>
        <v>CLASSABILITY4-L15PTS</v>
      </c>
      <c r="V669" s="76"/>
      <c r="W669" s="76" t="str">
        <f t="array" ref="W669:W670">{"CLASSABILITY4-L17PTS";((INDEX(ALLCLASSDATA,MATCH("ClassAbility4-L17",CLASSFEATUREHEADERS,0),MATCH(($A670 &amp; "Points"),CLASSNAMEHEADERS,0))))}</f>
        <v>CLASSABILITY4-L17PTS</v>
      </c>
      <c r="X669" s="76"/>
      <c r="Y669" s="76" t="str">
        <f t="array" ref="Y669:Y670">{"CLASSABILITY4-L19PTS";((INDEX(ALLCLASSDATA,MATCH("ClassAbility4-L19",CLASSFEATUREHEADERS,0),MATCH(($A670 &amp; "Points"),CLASSNAMEHEADERS,0))))}</f>
        <v>CLASSABILITY4-L19PTS</v>
      </c>
      <c r="Z669" s="76"/>
      <c r="AA669" s="76"/>
      <c r="AB669" s="76" t="str">
        <f t="array" ref="AB669:AB670">{"CLASSABILITY4 TOTAL";(sum(F670:Z670))}</f>
        <v>CLASSABILITY4 TOTAL</v>
      </c>
    </row>
    <row r="670">
      <c r="A670" s="48" t="s">
        <v>223</v>
      </c>
      <c r="B670" s="48" t="s">
        <v>418</v>
      </c>
      <c r="C670" s="48" t="s">
        <v>930</v>
      </c>
      <c r="D670" s="48" t="s">
        <v>1273</v>
      </c>
      <c r="E670" s="48"/>
      <c r="F670" s="47"/>
      <c r="G670" s="5"/>
      <c r="H670" s="5"/>
      <c r="I670" s="5"/>
      <c r="J670" s="5"/>
      <c r="K670" s="5"/>
      <c r="L670" s="5"/>
      <c r="M670" s="5"/>
      <c r="N670" s="5"/>
      <c r="O670" s="5"/>
      <c r="P670" s="5"/>
      <c r="Q670" s="5"/>
      <c r="R670" s="5"/>
      <c r="S670" s="5"/>
      <c r="T670" s="5"/>
      <c r="U670" s="5"/>
      <c r="V670" s="5"/>
      <c r="W670" s="5"/>
      <c r="X670" s="5"/>
      <c r="Y670" s="5"/>
      <c r="Z670" s="5"/>
      <c r="AA670" s="5"/>
      <c r="AB670" s="47">
        <v>0.0</v>
      </c>
    </row>
    <row r="671" hidden="1">
      <c r="A671" s="76" t="str">
        <f t="array" ref="A671:A672">{"FormulaRow16";(INDEX(CLASSLIST,A640,1))}</f>
        <v>FormulaRow16</v>
      </c>
      <c r="B671" s="76" t="str">
        <f t="array" ref="B671:B672">{"CLASSTYPE";((INDEX(ALLCLASSDATA,MATCH("ClassType",CLASSFEATUREHEADERS,0),MATCH($A672,CLASSNAMEHEADERS,0))))}</f>
        <v>CLASSTYPE</v>
      </c>
      <c r="C671" s="76" t="str">
        <f t="array" ref="C671:C672">{"CLASSABILITY";"ClassAbility"}</f>
        <v>CLASSABILITY</v>
      </c>
      <c r="D671" s="76" t="str">
        <f t="array" ref="D671:D672">{"SUBCLASSABILITY1";"SubclassAbility1"}</f>
        <v>SUBCLASSABILITY1</v>
      </c>
      <c r="E671" s="76"/>
      <c r="F671" s="76"/>
      <c r="G671" s="76"/>
      <c r="H671" s="76"/>
      <c r="I671" s="76" t="str">
        <f t="array" ref="I671:I672">{"SUBCLASSABILITY1-L03";((INDEX(ALLCLASSDATA,MATCH("SubclassAbility1-L03",CLASSFEATUREHEADERS,0),MATCH(($A672),CLASSNAMEHEADERS,0))))}</f>
        <v>SUBCLASSABILITY1-L03</v>
      </c>
      <c r="J671" s="76"/>
      <c r="K671" s="76" t="str">
        <f t="array" ref="K671:K672">{"SUBCLASSABILITY1-L05";((INDEX(ALLCLASSDATA,MATCH("SubclassAbility1-L05",CLASSFEATUREHEADERS,0),MATCH(($A672),CLASSNAMEHEADERS,0))))}</f>
        <v>SUBCLASSABILITY1-L05</v>
      </c>
      <c r="L671" s="76"/>
      <c r="M671" s="76" t="str">
        <f t="array" ref="M671:M672">{"SUBCLASSABILITY1-L07";((INDEX(ALLCLASSDATA,MATCH("SubclassAbility1-L07",CLASSFEATUREHEADERS,0),MATCH(($A672),CLASSNAMEHEADERS,0))))}</f>
        <v>SUBCLASSABILITY1-L07</v>
      </c>
      <c r="N671" s="76"/>
      <c r="O671" s="76" t="str">
        <f t="array" ref="O671:O672">{"SUBCLASSABILITY1-L09";((INDEX(ALLCLASSDATA,MATCH("SubclassAbility1-L09",CLASSFEATUREHEADERS,0),MATCH(($A672),CLASSNAMEHEADERS,0))))}</f>
        <v>SUBCLASSABILITY1-L09</v>
      </c>
      <c r="P671" s="76"/>
      <c r="Q671" s="76" t="str">
        <f t="array" ref="Q671:Q672">{"SUBCLASSABILITY1-L11";((INDEX(ALLCLASSDATA,MATCH("SubclassAbility1-L11",CLASSFEATUREHEADERS,0),MATCH(($A672),CLASSNAMEHEADERS,0))))}</f>
        <v>SUBCLASSABILITY1-L11</v>
      </c>
      <c r="R671" s="76"/>
      <c r="S671" s="76" t="str">
        <f t="array" ref="S671:S672">{"SUBCLASSABILITY1-L13";((INDEX(ALLCLASSDATA,MATCH("SubclassAbility1-L13",CLASSFEATUREHEADERS,0),MATCH(($A672),CLASSNAMEHEADERS,0))))}</f>
        <v>SUBCLASSABILITY1-L13</v>
      </c>
      <c r="T671" s="76"/>
      <c r="U671" s="76" t="str">
        <f t="array" ref="U671:U672">{"SUBCLASSABILITY1-L15";((INDEX(ALLCLASSDATA,MATCH("SubclassAbility1-L15",CLASSFEATUREHEADERS,0),MATCH(($A672),CLASSNAMEHEADERS,0))))}</f>
        <v>SUBCLASSABILITY1-L15</v>
      </c>
      <c r="V671" s="76"/>
      <c r="W671" s="76" t="str">
        <f t="array" ref="W671:W672">{"SUBCLASSABILITY1-L17";((INDEX(ALLCLASSDATA,MATCH("SubclassAbility1-L17",CLASSFEATUREHEADERS,0),MATCH(($A672),CLASSNAMEHEADERS,0))))}</f>
        <v>SUBCLASSABILITY1-L17</v>
      </c>
      <c r="X671" s="76"/>
      <c r="Y671" s="76" t="str">
        <f t="array" ref="Y671:Y672">{"SUBCLASSABILITY1-L19";((INDEX(ALLCLASSDATA,MATCH("SubclassAbility1-L19",CLASSFEATUREHEADERS,0),MATCH(($A672),CLASSNAMEHEADERS,0))))}</f>
        <v>SUBCLASSABILITY1-L19</v>
      </c>
      <c r="Z671" s="76"/>
      <c r="AA671" s="76"/>
      <c r="AB671" s="76"/>
    </row>
    <row r="672">
      <c r="A672" s="48" t="s">
        <v>223</v>
      </c>
      <c r="B672" s="48" t="s">
        <v>418</v>
      </c>
      <c r="C672" s="48" t="s">
        <v>825</v>
      </c>
      <c r="D672" s="28" t="s">
        <v>1355</v>
      </c>
      <c r="E672" s="5"/>
      <c r="F672" s="47"/>
      <c r="G672" s="5"/>
      <c r="H672" s="5"/>
      <c r="I672" s="5"/>
      <c r="J672" s="5"/>
      <c r="K672" s="5"/>
      <c r="L672" s="5"/>
      <c r="M672" s="5"/>
      <c r="N672" s="5"/>
      <c r="O672" s="5"/>
      <c r="P672" s="5"/>
      <c r="Q672" s="5" t="s">
        <v>1269</v>
      </c>
      <c r="R672" s="5"/>
      <c r="S672" s="5"/>
      <c r="T672" s="5"/>
      <c r="U672" s="5"/>
      <c r="V672" s="5"/>
      <c r="W672" s="5" t="s">
        <v>1888</v>
      </c>
      <c r="X672" s="5"/>
      <c r="Y672" s="5"/>
      <c r="Z672" s="5"/>
      <c r="AA672" s="5"/>
      <c r="AB672" s="47"/>
    </row>
    <row r="673" hidden="1">
      <c r="A673" s="76" t="str">
        <f t="array" ref="A673:A674">{"FormulaRow17";(INDEX(CLASSLIST,A640,1))}</f>
        <v>FormulaRow17</v>
      </c>
      <c r="B673" s="76" t="str">
        <f t="array" ref="B673:B674">{"CLASSTYPE";((INDEX(ALLCLASSDATA,MATCH("ClassType",CLASSFEATUREHEADERS,0),MATCH($A674,CLASSNAMEHEADERS,0))))}</f>
        <v>CLASSTYPE</v>
      </c>
      <c r="C673" s="76" t="str">
        <f t="array" ref="C673:C674">{"CLASSABILITYPTS";"ClassAbilityPts"}</f>
        <v>CLASSABILITYPTS</v>
      </c>
      <c r="D673" s="76" t="str">
        <f t="array" ref="D673:D674">{"SUBCLASSABILITY1";"SubclassAbility1"}</f>
        <v>SUBCLASSABILITY1</v>
      </c>
      <c r="E673" s="76"/>
      <c r="F673" s="76"/>
      <c r="G673" s="76"/>
      <c r="H673" s="76"/>
      <c r="I673" s="76" t="str">
        <f t="array" ref="I673:I674">{"SUBCLASSABILITY1-L03PTS";((INDEX(ALLCLASSDATA,MATCH("SubclassAbility1-L03",CLASSFEATUREHEADERS,0),MATCH(($A674 &amp; "Points"),CLASSNAMEHEADERS,0))))}</f>
        <v>SUBCLASSABILITY1-L03PTS</v>
      </c>
      <c r="J673" s="76"/>
      <c r="K673" s="76" t="str">
        <f t="array" ref="K673:K674">{"SUBCLASSABILITY1-L05PTS";((INDEX(ALLCLASSDATA,MATCH("SubclassAbility1-L05",CLASSFEATUREHEADERS,0),MATCH(($A674 &amp; "Points"),CLASSNAMEHEADERS,0))))}</f>
        <v>SUBCLASSABILITY1-L05PTS</v>
      </c>
      <c r="L673" s="76"/>
      <c r="M673" s="76" t="str">
        <f t="array" ref="M673:M674">{"SUBCLASSABILITY1-L07PTS";((INDEX(ALLCLASSDATA,MATCH("SubclassAbility1-L07",CLASSFEATUREHEADERS,0),MATCH(($A674 &amp; "Points"),CLASSNAMEHEADERS,0))))}</f>
        <v>SUBCLASSABILITY1-L07PTS</v>
      </c>
      <c r="N673" s="76"/>
      <c r="O673" s="76" t="str">
        <f t="array" ref="O673:O674">{"SUBCLASSABILITY1-L09PTS";((INDEX(ALLCLASSDATA,MATCH("SubclassAbility1-L09",CLASSFEATUREHEADERS,0),MATCH(($A674 &amp; "Points"),CLASSNAMEHEADERS,0))))}</f>
        <v>SUBCLASSABILITY1-L09PTS</v>
      </c>
      <c r="P673" s="76"/>
      <c r="Q673" s="76" t="str">
        <f t="array" ref="Q673:Q674">{"SUBCLASSABILITY1-L11PTS";((INDEX(ALLCLASSDATA,MATCH("SubclassAbility1-L11",CLASSFEATUREHEADERS,0),MATCH(($A674 &amp; "Points"),CLASSNAMEHEADERS,0))))}</f>
        <v>SUBCLASSABILITY1-L11PTS</v>
      </c>
      <c r="R673" s="76"/>
      <c r="S673" s="76" t="str">
        <f t="array" ref="S673:S674">{"SUBCLASSABILITY1-L13PTS";((INDEX(ALLCLASSDATA,MATCH("SubclassAbility1-L13",CLASSFEATUREHEADERS,0),MATCH(($A674 &amp; "Points"),CLASSNAMEHEADERS,0))))}</f>
        <v>SUBCLASSABILITY1-L13PTS</v>
      </c>
      <c r="T673" s="76"/>
      <c r="U673" s="76" t="str">
        <f t="array" ref="U673:U674">{"SUBCLASSABILITY1-L15PTS";((INDEX(ALLCLASSDATA,MATCH("SubclassAbility1-L15",CLASSFEATUREHEADERS,0),MATCH(($A674 &amp; "Points"),CLASSNAMEHEADERS,0))))}</f>
        <v>SUBCLASSABILITY1-L15PTS</v>
      </c>
      <c r="V673" s="76"/>
      <c r="W673" s="76" t="str">
        <f t="array" ref="W673:W674">{"SUBCLASSABILITY1-L17PTS";((INDEX(ALLCLASSDATA,MATCH("SubclassAbility1-L17",CLASSFEATUREHEADERS,0),MATCH(($A674 &amp; "Points"),CLASSNAMEHEADERS,0))))}</f>
        <v>SUBCLASSABILITY1-L17PTS</v>
      </c>
      <c r="X673" s="76"/>
      <c r="Y673" s="76" t="str">
        <f t="array" ref="Y673:Y674">{"SUBCLASSABILITY1-L19PTS";((INDEX(ALLCLASSDATA,MATCH("SubclassAbility1-L19",CLASSFEATUREHEADERS,0),MATCH(($A674 &amp; "Points"),CLASSNAMEHEADERS,0))))}</f>
        <v>SUBCLASSABILITY1-L19PTS</v>
      </c>
      <c r="Z673" s="76"/>
      <c r="AA673" s="76"/>
      <c r="AB673" s="76" t="str">
        <f t="array" ref="AB673:AB674">{"SUBCLASSABILITY1 TOTAL";(sum(F674:Z674))}</f>
        <v>SUBCLASSABILITY1 TOTAL</v>
      </c>
    </row>
    <row r="674">
      <c r="A674" s="48" t="s">
        <v>223</v>
      </c>
      <c r="B674" s="48" t="s">
        <v>418</v>
      </c>
      <c r="C674" s="48" t="s">
        <v>930</v>
      </c>
      <c r="D674" s="28" t="s">
        <v>1355</v>
      </c>
      <c r="E674" s="5"/>
      <c r="F674" s="47"/>
      <c r="G674" s="5"/>
      <c r="H674" s="5"/>
      <c r="I674" s="5"/>
      <c r="J674" s="5"/>
      <c r="K674" s="5"/>
      <c r="L674" s="5"/>
      <c r="M674" s="5"/>
      <c r="N674" s="5"/>
      <c r="O674" s="5"/>
      <c r="P674" s="5"/>
      <c r="Q674" s="5"/>
      <c r="R674" s="5"/>
      <c r="S674" s="5"/>
      <c r="T674" s="5"/>
      <c r="U674" s="5"/>
      <c r="V674" s="5"/>
      <c r="W674" s="5"/>
      <c r="X674" s="5"/>
      <c r="Y674" s="5"/>
      <c r="Z674" s="5"/>
      <c r="AA674" s="5"/>
      <c r="AB674" s="47">
        <v>0.0</v>
      </c>
    </row>
    <row r="675" hidden="1">
      <c r="A675" s="76" t="str">
        <f t="array" ref="A675:A676">{"FormulaRow18";(INDEX(CLASSLIST,A640,1))}</f>
        <v>FormulaRow18</v>
      </c>
      <c r="B675" s="76" t="str">
        <f t="array" ref="B675:B676">{"CLASSTYPE";((INDEX(ALLCLASSDATA,MATCH("ClassType",CLASSFEATUREHEADERS,0),MATCH($A676,CLASSNAMEHEADERS,0))))}</f>
        <v>CLASSTYPE</v>
      </c>
      <c r="C675" s="76" t="str">
        <f t="array" ref="C675:C676">{"CLASSABILITY";"ClassAbility"}</f>
        <v>CLASSABILITY</v>
      </c>
      <c r="D675" s="76" t="str">
        <f t="array" ref="D675:D676">{"SUBCLASSABILITY2";"SubclassAbility2"}</f>
        <v>SUBCLASSABILITY2</v>
      </c>
      <c r="E675" s="76"/>
      <c r="F675" s="76"/>
      <c r="G675" s="76"/>
      <c r="H675" s="76"/>
      <c r="I675" s="76" t="str">
        <f t="array" ref="I675:I676">{"SUBCLASSABILITY2-L03";((INDEX(ALLCLASSDATA,MATCH("SubclassAbility2-L03",CLASSFEATUREHEADERS,0),MATCH(($A676),CLASSNAMEHEADERS,0))))}</f>
        <v>SUBCLASSABILITY2-L03</v>
      </c>
      <c r="J675" s="76"/>
      <c r="K675" s="76" t="str">
        <f t="array" ref="K675:K676">{"SUBCLASSABILITY2-L05";((INDEX(ALLCLASSDATA,MATCH("SubclassAbility2-L05",CLASSFEATUREHEADERS,0),MATCH(($A676),CLASSNAMEHEADERS,0))))}</f>
        <v>SUBCLASSABILITY2-L05</v>
      </c>
      <c r="L675" s="76"/>
      <c r="M675" s="76" t="str">
        <f t="array" ref="M675:M676">{"SUBCLASSABILITY2-L07";((INDEX(ALLCLASSDATA,MATCH("SubclassAbility2-L07",CLASSFEATUREHEADERS,0),MATCH(($A676),CLASSNAMEHEADERS,0))))}</f>
        <v>SUBCLASSABILITY2-L07</v>
      </c>
      <c r="N675" s="76"/>
      <c r="O675" s="76" t="str">
        <f t="array" ref="O675:O676">{"SUBCLASSABILITY2-L09";((INDEX(ALLCLASSDATA,MATCH("SubclassAbility2-L09",CLASSFEATUREHEADERS,0),MATCH(($A676),CLASSNAMEHEADERS,0))))}</f>
        <v>SUBCLASSABILITY2-L09</v>
      </c>
      <c r="P675" s="76"/>
      <c r="Q675" s="76" t="str">
        <f t="array" ref="Q675:Q676">{"SUBCLASSABILITY2-L11";((INDEX(ALLCLASSDATA,MATCH("SubclassAbility2-L11",CLASSFEATUREHEADERS,0),MATCH(($A676),CLASSNAMEHEADERS,0))))}</f>
        <v>SUBCLASSABILITY2-L11</v>
      </c>
      <c r="R675" s="76"/>
      <c r="S675" s="76" t="str">
        <f t="array" ref="S675:S676">{"SUBCLASSABILITY2-L13";((INDEX(ALLCLASSDATA,MATCH("SubclassAbility2-L13",CLASSFEATUREHEADERS,0),MATCH(($A676),CLASSNAMEHEADERS,0))))}</f>
        <v>SUBCLASSABILITY2-L13</v>
      </c>
      <c r="T675" s="76"/>
      <c r="U675" s="76" t="str">
        <f t="array" ref="U675:U676">{"SUBCLASSABILITY2-L15";((INDEX(ALLCLASSDATA,MATCH("SubclassAbility2-L15",CLASSFEATUREHEADERS,0),MATCH(($A676),CLASSNAMEHEADERS,0))))}</f>
        <v>SUBCLASSABILITY2-L15</v>
      </c>
      <c r="V675" s="76"/>
      <c r="W675" s="76" t="str">
        <f t="array" ref="W675:W676">{"SUBCLASSABILITY2-L17";((INDEX(ALLCLASSDATA,MATCH("SubclassAbility2-L17",CLASSFEATUREHEADERS,0),MATCH(($A676),CLASSNAMEHEADERS,0))))}</f>
        <v>SUBCLASSABILITY2-L17</v>
      </c>
      <c r="X675" s="76"/>
      <c r="Y675" s="76" t="str">
        <f t="array" ref="Y675:Y676">{"SUBCLASSABILITY2-L19";((INDEX(ALLCLASSDATA,MATCH("SubclassAbility2-L19",CLASSFEATUREHEADERS,0),MATCH(($A676),CLASSNAMEHEADERS,0))))}</f>
        <v>SUBCLASSABILITY2-L19</v>
      </c>
      <c r="Z675" s="76"/>
      <c r="AA675" s="76"/>
      <c r="AB675" s="76"/>
    </row>
    <row r="676">
      <c r="A676" s="48" t="s">
        <v>223</v>
      </c>
      <c r="B676" s="48" t="s">
        <v>418</v>
      </c>
      <c r="C676" s="48" t="s">
        <v>825</v>
      </c>
      <c r="D676" s="28" t="s">
        <v>1370</v>
      </c>
      <c r="E676" s="5"/>
      <c r="F676" s="47"/>
      <c r="G676" s="5"/>
      <c r="H676" s="5"/>
      <c r="I676" s="5"/>
      <c r="J676" s="5"/>
      <c r="K676" s="5"/>
      <c r="L676" s="5"/>
      <c r="M676" s="5"/>
      <c r="N676" s="5"/>
      <c r="O676" s="5"/>
      <c r="P676" s="5"/>
      <c r="Q676" s="5"/>
      <c r="R676" s="5"/>
      <c r="S676" s="5"/>
      <c r="T676" s="5"/>
      <c r="U676" s="5"/>
      <c r="V676" s="5"/>
      <c r="W676" s="5"/>
      <c r="X676" s="5"/>
      <c r="Y676" s="5"/>
      <c r="Z676" s="5"/>
      <c r="AA676" s="5"/>
      <c r="AB676" s="47"/>
    </row>
    <row r="677" hidden="1">
      <c r="A677" s="76" t="str">
        <f t="array" ref="A677:A678">{"FormulaRow19";(INDEX(CLASSLIST,A640,1))}</f>
        <v>FormulaRow19</v>
      </c>
      <c r="B677" s="76" t="str">
        <f t="array" ref="B677:B678">{"CLASSTYPE";((INDEX(ALLCLASSDATA,MATCH("ClassType",CLASSFEATUREHEADERS,0),MATCH($A678,CLASSNAMEHEADERS,0))))}</f>
        <v>CLASSTYPE</v>
      </c>
      <c r="C677" s="76" t="str">
        <f t="array" ref="C677:C678">{"CLASSABILITYPTS";"ClassAbilityPts"}</f>
        <v>CLASSABILITYPTS</v>
      </c>
      <c r="D677" s="76" t="str">
        <f t="array" ref="D677:D678">{"SUBCLASSABILITY2";"SubclassAbility2"}</f>
        <v>SUBCLASSABILITY2</v>
      </c>
      <c r="E677" s="76"/>
      <c r="F677" s="76"/>
      <c r="G677" s="76"/>
      <c r="H677" s="76"/>
      <c r="I677" s="76" t="str">
        <f t="array" ref="I677:I678">{"SUBCLASSABILITY2-L03PTS";((INDEX(ALLCLASSDATA,MATCH("SubclassAbility2-L03",CLASSFEATUREHEADERS,0),MATCH(($A678 &amp; "Points"),CLASSNAMEHEADERS,0))))}</f>
        <v>SUBCLASSABILITY2-L03PTS</v>
      </c>
      <c r="J677" s="76"/>
      <c r="K677" s="76" t="str">
        <f t="array" ref="K677:K678">{"SUBCLASSABILITY2-L05PTS";((INDEX(ALLCLASSDATA,MATCH("SubclassAbility2-L05",CLASSFEATUREHEADERS,0),MATCH(($A678 &amp; "Points"),CLASSNAMEHEADERS,0))))}</f>
        <v>SUBCLASSABILITY2-L05PTS</v>
      </c>
      <c r="L677" s="76"/>
      <c r="M677" s="76" t="str">
        <f t="array" ref="M677:M678">{"SUBCLASSABILITY2-L07PTS";((INDEX(ALLCLASSDATA,MATCH("SubclassAbility2-L07",CLASSFEATUREHEADERS,0),MATCH(($A678 &amp; "Points"),CLASSNAMEHEADERS,0))))}</f>
        <v>SUBCLASSABILITY2-L07PTS</v>
      </c>
      <c r="N677" s="76"/>
      <c r="O677" s="76" t="str">
        <f t="array" ref="O677:O678">{"SUBCLASSABILITY2-L09PTS";((INDEX(ALLCLASSDATA,MATCH("SubclassAbility2-L09",CLASSFEATUREHEADERS,0),MATCH(($A678 &amp; "Points"),CLASSNAMEHEADERS,0))))}</f>
        <v>SUBCLASSABILITY2-L09PTS</v>
      </c>
      <c r="P677" s="76"/>
      <c r="Q677" s="76" t="str">
        <f t="array" ref="Q677:Q678">{"SUBCLASSABILITY2-L11PTS";((INDEX(ALLCLASSDATA,MATCH("SubclassAbility2-L11",CLASSFEATUREHEADERS,0),MATCH(($A678 &amp; "Points"),CLASSNAMEHEADERS,0))))}</f>
        <v>SUBCLASSABILITY2-L11PTS</v>
      </c>
      <c r="R677" s="76"/>
      <c r="S677" s="76" t="str">
        <f t="array" ref="S677:S678">{"SUBCLASSABILITY2-L13PTS";((INDEX(ALLCLASSDATA,MATCH("SubclassAbility2-L13",CLASSFEATUREHEADERS,0),MATCH(($A678 &amp; "Points"),CLASSNAMEHEADERS,0))))}</f>
        <v>SUBCLASSABILITY2-L13PTS</v>
      </c>
      <c r="T677" s="76"/>
      <c r="U677" s="76" t="str">
        <f t="array" ref="U677:U678">{"SUBCLASSABILITY2-L15PTS";((INDEX(ALLCLASSDATA,MATCH("SubclassAbility2-L15",CLASSFEATUREHEADERS,0),MATCH(($A678 &amp; "Points"),CLASSNAMEHEADERS,0))))}</f>
        <v>SUBCLASSABILITY2-L15PTS</v>
      </c>
      <c r="V677" s="76"/>
      <c r="W677" s="76" t="str">
        <f t="array" ref="W677:W678">{"SUBCLASSABILITY2-L17PTS";((INDEX(ALLCLASSDATA,MATCH("SubclassAbility2-L17",CLASSFEATUREHEADERS,0),MATCH(($A678 &amp; "Points"),CLASSNAMEHEADERS,0))))}</f>
        <v>SUBCLASSABILITY2-L17PTS</v>
      </c>
      <c r="X677" s="76"/>
      <c r="Y677" s="76" t="str">
        <f t="array" ref="Y677:Y678">{"SUBCLASSABILITY2-L19PTS";((INDEX(ALLCLASSDATA,MATCH("SubclassAbility2-L19",CLASSFEATUREHEADERS,0),MATCH(($A678 &amp; "Points"),CLASSNAMEHEADERS,0))))}</f>
        <v>SUBCLASSABILITY2-L19PTS</v>
      </c>
      <c r="Z677" s="76"/>
      <c r="AA677" s="76"/>
      <c r="AB677" s="76" t="str">
        <f t="array" ref="AB677:AB678">{"SUBCLASSABILITY2 TOTAL";(sum(F678:Z678))}</f>
        <v>SUBCLASSABILITY2 TOTAL</v>
      </c>
    </row>
    <row r="678">
      <c r="A678" s="48" t="s">
        <v>223</v>
      </c>
      <c r="B678" s="48" t="s">
        <v>418</v>
      </c>
      <c r="C678" s="97" t="s">
        <v>930</v>
      </c>
      <c r="D678" s="215" t="s">
        <v>1370</v>
      </c>
      <c r="E678" s="98"/>
      <c r="F678" s="132"/>
      <c r="G678" s="98"/>
      <c r="H678" s="98"/>
      <c r="I678" s="98"/>
      <c r="J678" s="98"/>
      <c r="K678" s="98"/>
      <c r="L678" s="98"/>
      <c r="M678" s="98"/>
      <c r="N678" s="98"/>
      <c r="O678" s="98"/>
      <c r="P678" s="98"/>
      <c r="Q678" s="98"/>
      <c r="R678" s="98"/>
      <c r="S678" s="98"/>
      <c r="T678" s="98"/>
      <c r="U678" s="98"/>
      <c r="V678" s="98"/>
      <c r="W678" s="98"/>
      <c r="X678" s="98"/>
      <c r="Y678" s="98"/>
      <c r="Z678" s="98"/>
      <c r="AA678" s="5"/>
      <c r="AB678" s="47">
        <v>0.0</v>
      </c>
    </row>
    <row r="679" hidden="1">
      <c r="A679" s="76" t="str">
        <f t="array" ref="A679:A680">{"FormulaRow20";(INDEX(CLASSLIST,A640,1))}</f>
        <v>FormulaRow20</v>
      </c>
      <c r="B679" s="76" t="str">
        <f t="array" ref="B679:B680">{"CLASSTYPE";((INDEX(ALLCLASSDATA,MATCH("ClassType",CLASSFEATUREHEADERS,0),MATCH($A680,CLASSNAMEHEADERS,0))))}</f>
        <v>CLASSTYPE</v>
      </c>
      <c r="C679" s="81" t="str">
        <f t="array" ref="C679:C680">{"DC";"DC"}</f>
        <v>DC</v>
      </c>
      <c r="D679" s="81" t="str">
        <f t="array" ref="D679:D680">{"CLASSDC";"ClassDC"}</f>
        <v>CLASSDC</v>
      </c>
      <c r="E679" s="81" t="str">
        <f t="array" ref="E679:E680">{"CLASSDCINITIAL";((IF(G680=10,"T",(IF(G680=50,"E","")))))}</f>
        <v>CLASSDCINITIAL</v>
      </c>
      <c r="F679" s="81" t="str">
        <f t="array" ref="F679:F680">{"CLASSDCINITIALPTS";((IF("00"=(INDEX(ALLCLASSDATA,MATCH("ClassDCLegendary",CLASSFEATUREHEADERS,0),MATCH($A680,CLASSNAMEHEADERS,0))),(INDEX(ALLCLASSDATA,MATCH("ClassDCLegendary",CLASSFEATUREHEADERS,0),MATCH(($A680 &amp; "Points"),CLASSNAMEHEADERS,0))),(IF("00"=(INDEX(ALLCLASSDATA,MATCH("ClassDCMaster",CLASSFEATUREHEADERS,0),MATCH($A680,CLASSNAMEHEADERS,0))),(INDEX(ALLCLASSDATA,MATCH("ClassDCMaster",CLASSFEATUREHEADERS,0),MATCH(($A680 &amp; "Points"),CLASSNAMEHEADERS,0))),(IF("00"=(INDEX(ALLCLASSDATA,MATCH("ClassDCExpert",CLASSFEATUREHEADERS,0),MATCH($A680,CLASSNAMEHEADERS,0))),(INDEX(ALLCLASSDATA,MATCH("ClassDCExpert",CLASSFEATUREHEADERS,0),MATCH(($A680 &amp; "Points"),CLASSNAMEHEADERS,0))),(IF("00"=(INDEX(ALLCLASSDATA,MATCH("ClassDCTrained",CLASSFEATUREHEADERS,0),MATCH($A680,CLASSNAMEHEADERS,0))),(INDEX(ALLCLASSDATA,MATCH("ClassDCTrained",CLASSFEATUREHEADERS,0),MATCH(($A680 &amp; "Points"),CLASSNAMEHEADERS,0))),"")))))))))}</f>
        <v>CLASSDCINITIALPTS</v>
      </c>
      <c r="G679" s="81" t="str">
        <f t="array" ref="G679:G680">{"CLASSDCL01";((IF("01"=(INDEX(ALLCLASSDATA,MATCH("ClassDCLegendary",CLASSFEATUREHEADERS,0),MATCH($A680,CLASSNAMEHEADERS,0))),(INDEX(ALLCLASSDATA,MATCH("ClassDCLegendary",CLASSFEATUREHEADERS,0),MATCH(($A680 &amp; "Points"),CLASSNAMEHEADERS,0))),(IF("01"=(INDEX(ALLCLASSDATA,MATCH("ClassDCMaster",CLASSFEATUREHEADERS,0),MATCH($A680,CLASSNAMEHEADERS,0))),(INDEX(ALLCLASSDATA,MATCH("ClassDCMaster",CLASSFEATUREHEADERS,0),MATCH(($A680 &amp; "Points"),CLASSNAMEHEADERS,0))),(IF("01"=(INDEX(ALLCLASSDATA,MATCH("ClassDCExpert",CLASSFEATUREHEADERS,0),MATCH($A680,CLASSNAMEHEADERS,0))),(INDEX(ALLCLASSDATA,MATCH("ClassDCExpert",CLASSFEATUREHEADERS,0),MATCH(($A680 &amp; "Points"),CLASSNAMEHEADERS,0))),(IF("01"=(INDEX(ALLCLASSDATA,MATCH("ClassDCTrained",CLASSFEATUREHEADERS,0),MATCH($A680,CLASSNAMEHEADERS,0))),(INDEX(ALLCLASSDATA,MATCH("ClassDCTrained",CLASSFEATUREHEADERS,0),MATCH(($A680 &amp; "Points"),CLASSNAMEHEADERS,0))),"")))))))))}</f>
        <v>CLASSDCL01</v>
      </c>
      <c r="H679" s="81"/>
      <c r="I679" s="81" t="str">
        <f t="array" ref="I679:I680">{"CLASSDCL03";((IF("03"=(INDEX(ALLCLASSDATA,MATCH("ClassDCLegendary",CLASSFEATUREHEADERS,0),MATCH($A680,CLASSNAMEHEADERS,0))),(INDEX(ALLCLASSDATA,MATCH("ClassDCLegendary",CLASSFEATUREHEADERS,0),MATCH(($A680 &amp; "Points"),CLASSNAMEHEADERS,0))),(IF("03"=(INDEX(ALLCLASSDATA,MATCH("ClassDCMaster",CLASSFEATUREHEADERS,0),MATCH($A680,CLASSNAMEHEADERS,0))),(INDEX(ALLCLASSDATA,MATCH("ClassDCMaster",CLASSFEATUREHEADERS,0),MATCH(($A680 &amp; "Points"),CLASSNAMEHEADERS,0))),(IF("03"=(INDEX(ALLCLASSDATA,MATCH("ClassDCExpert",CLASSFEATUREHEADERS,0),MATCH($A680,CLASSNAMEHEADERS,0))),(INDEX(ALLCLASSDATA,MATCH("ClassDCExpert",CLASSFEATUREHEADERS,0),MATCH(($A680 &amp; "Points"),CLASSNAMEHEADERS,0))),(IF("03"=(INDEX(ALLCLASSDATA,MATCH("ClassDCTrained",CLASSFEATUREHEADERS,0),MATCH($A680,CLASSNAMEHEADERS,0))),(INDEX(ALLCLASSDATA,MATCH("ClassDCTrained",CLASSFEATUREHEADERS,0),MATCH(($A680 &amp; "Points"),CLASSNAMEHEADERS,0))),"")))))))))}</f>
        <v>CLASSDCL03</v>
      </c>
      <c r="J679" s="81"/>
      <c r="K679" s="81" t="str">
        <f t="array" ref="K679:K680">{"CLASSDCL05";((IF("05"=(INDEX(ALLCLASSDATA,MATCH("ClassDCLegendary",CLASSFEATUREHEADERS,0),MATCH($A680,CLASSNAMEHEADERS,0))),(INDEX(ALLCLASSDATA,MATCH("ClassDCLegendary",CLASSFEATUREHEADERS,0),MATCH(($A680 &amp; "Points"),CLASSNAMEHEADERS,0))),(IF("05"=(INDEX(ALLCLASSDATA,MATCH("ClassDCMaster",CLASSFEATUREHEADERS,0),MATCH($A680,CLASSNAMEHEADERS,0))),(INDEX(ALLCLASSDATA,MATCH("ClassDCMaster",CLASSFEATUREHEADERS,0),MATCH(($A680 &amp; "Points"),CLASSNAMEHEADERS,0))),(IF("05"=(INDEX(ALLCLASSDATA,MATCH("ClassDCExpert",CLASSFEATUREHEADERS,0),MATCH($A680,CLASSNAMEHEADERS,0))),(INDEX(ALLCLASSDATA,MATCH("ClassDCExpert",CLASSFEATUREHEADERS,0),MATCH(($A680 &amp; "Points"),CLASSNAMEHEADERS,0))),(IF("05"=(INDEX(ALLCLASSDATA,MATCH("ClassDCTrained",CLASSFEATUREHEADERS,0),MATCH($A680,CLASSNAMEHEADERS,0))),(INDEX(ALLCLASSDATA,MATCH("ClassDCTrained",CLASSFEATUREHEADERS,0),MATCH(($A680 &amp; "Points"),CLASSNAMEHEADERS,0))),"")))))))))}</f>
        <v>CLASSDCL05</v>
      </c>
      <c r="L679" s="81"/>
      <c r="M679" s="81" t="str">
        <f t="array" ref="M679:M680">{"CLASSDCL07";((IF("07"=(INDEX(ALLCLASSDATA,MATCH("ClassDCLegendary",CLASSFEATUREHEADERS,0),MATCH($A680,CLASSNAMEHEADERS,0))),(INDEX(ALLCLASSDATA,MATCH("ClassDCLegendary",CLASSFEATUREHEADERS,0),MATCH(($A680 &amp; "Points"),CLASSNAMEHEADERS,0))),(IF("07"=(INDEX(ALLCLASSDATA,MATCH("ClassDCMaster",CLASSFEATUREHEADERS,0),MATCH($A680,CLASSNAMEHEADERS,0))),(INDEX(ALLCLASSDATA,MATCH("ClassDCMaster",CLASSFEATUREHEADERS,0),MATCH(($A680 &amp; "Points"),CLASSNAMEHEADERS,0))),(IF("07"=(INDEX(ALLCLASSDATA,MATCH("ClassDCExpert",CLASSFEATUREHEADERS,0),MATCH($A680,CLASSNAMEHEADERS,0))),(INDEX(ALLCLASSDATA,MATCH("ClassDCExpert",CLASSFEATUREHEADERS,0),MATCH(($A680 &amp; "Points"),CLASSNAMEHEADERS,0))),(IF("07"=(INDEX(ALLCLASSDATA,MATCH("ClassDCTrained",CLASSFEATUREHEADERS,0),MATCH($A680,CLASSNAMEHEADERS,0))),(INDEX(ALLCLASSDATA,MATCH("ClassDCTrained",CLASSFEATUREHEADERS,0),MATCH(($A680 &amp; "Points"),CLASSNAMEHEADERS,0))),"")))))))))}</f>
        <v>CLASSDCL07</v>
      </c>
      <c r="N679" s="81"/>
      <c r="O679" s="81" t="str">
        <f t="array" ref="O679:O680">{"CLASSDCL09";((IF("09"=(INDEX(ALLCLASSDATA,MATCH("ClassDCLegendary",CLASSFEATUREHEADERS,0),MATCH($A680,CLASSNAMEHEADERS,0))),(INDEX(ALLCLASSDATA,MATCH("ClassDCLegendary",CLASSFEATUREHEADERS,0),MATCH(($A680 &amp; "Points"),CLASSNAMEHEADERS,0))),(IF("09"=(INDEX(ALLCLASSDATA,MATCH("ClassDCMaster",CLASSFEATUREHEADERS,0),MATCH($A680,CLASSNAMEHEADERS,0))),(INDEX(ALLCLASSDATA,MATCH("ClassDCMaster",CLASSFEATUREHEADERS,0),MATCH(($A680 &amp; "Points"),CLASSNAMEHEADERS,0))),(IF("09"=(INDEX(ALLCLASSDATA,MATCH("ClassDCExpert",CLASSFEATUREHEADERS,0),MATCH($A680,CLASSNAMEHEADERS,0))),(INDEX(ALLCLASSDATA,MATCH("ClassDCExpert",CLASSFEATUREHEADERS,0),MATCH(($A680 &amp; "Points"),CLASSNAMEHEADERS,0))),(IF("09"=(INDEX(ALLCLASSDATA,MATCH("ClassDCTrained",CLASSFEATUREHEADERS,0),MATCH($A680,CLASSNAMEHEADERS,0))),(INDEX(ALLCLASSDATA,MATCH("ClassDCTrained",CLASSFEATUREHEADERS,0),MATCH(($A680 &amp; "Points"),CLASSNAMEHEADERS,0))),"")))))))))}</f>
        <v>CLASSDCL09</v>
      </c>
      <c r="P679" s="81"/>
      <c r="Q679" s="81" t="str">
        <f t="array" ref="Q679:Q680">{"CLASSDCL11";((IF("11"=(INDEX(ALLCLASSDATA,MATCH("ClassDCLegendary",CLASSFEATUREHEADERS,0),MATCH($A680,CLASSNAMEHEADERS,0))),(INDEX(ALLCLASSDATA,MATCH("ClassDCLegendary",CLASSFEATUREHEADERS,0),MATCH(($A680 &amp; "Points"),CLASSNAMEHEADERS,0))),(IF("11"=(INDEX(ALLCLASSDATA,MATCH("ClassDCMaster",CLASSFEATUREHEADERS,0),MATCH($A680,CLASSNAMEHEADERS,0))),(INDEX(ALLCLASSDATA,MATCH("ClassDCMaster",CLASSFEATUREHEADERS,0),MATCH(($A680 &amp; "Points"),CLASSNAMEHEADERS,0))),(IF("11"=(INDEX(ALLCLASSDATA,MATCH("ClassDCExpert",CLASSFEATUREHEADERS,0),MATCH($A680,CLASSNAMEHEADERS,0))),(INDEX(ALLCLASSDATA,MATCH("ClassDCExpert",CLASSFEATUREHEADERS,0),MATCH(($A680 &amp; "Points"),CLASSNAMEHEADERS,0))),(IF("11"=(INDEX(ALLCLASSDATA,MATCH("ClassDCTrained",CLASSFEATUREHEADERS,0),MATCH($A680,CLASSNAMEHEADERS,0))),(INDEX(ALLCLASSDATA,MATCH("ClassDCTrained",CLASSFEATUREHEADERS,0),MATCH(($A680 &amp; "Points"),CLASSNAMEHEADERS,0))),"")))))))))}</f>
        <v>CLASSDCL11</v>
      </c>
      <c r="R679" s="81"/>
      <c r="S679" s="81" t="str">
        <f t="array" ref="S679:S680">{"CLASSDCL13";((IF("13"=(INDEX(ALLCLASSDATA,MATCH("ClassDCLegendary",CLASSFEATUREHEADERS,0),MATCH($A680,CLASSNAMEHEADERS,0))),(INDEX(ALLCLASSDATA,MATCH("ClassDCLegendary",CLASSFEATUREHEADERS,0),MATCH(($A680 &amp; "Points"),CLASSNAMEHEADERS,0))),(IF("13"=(INDEX(ALLCLASSDATA,MATCH("ClassDCMaster",CLASSFEATUREHEADERS,0),MATCH($A680,CLASSNAMEHEADERS,0))),(INDEX(ALLCLASSDATA,MATCH("ClassDCMaster",CLASSFEATUREHEADERS,0),MATCH(($A680 &amp; "Points"),CLASSNAMEHEADERS,0))),(IF("13"=(INDEX(ALLCLASSDATA,MATCH("ClassDCExpert",CLASSFEATUREHEADERS,0),MATCH($A680,CLASSNAMEHEADERS,0))),(INDEX(ALLCLASSDATA,MATCH("ClassDCExpert",CLASSFEATUREHEADERS,0),MATCH(($A680 &amp; "Points"),CLASSNAMEHEADERS,0))),(IF("13"=(INDEX(ALLCLASSDATA,MATCH("ClassDCTrained",CLASSFEATUREHEADERS,0),MATCH($A680,CLASSNAMEHEADERS,0))),(INDEX(ALLCLASSDATA,MATCH("ClassDCTrained",CLASSFEATUREHEADERS,0),MATCH(($A680 &amp; "Points"),CLASSNAMEHEADERS,0))),"")))))))))}</f>
        <v>CLASSDCL13</v>
      </c>
      <c r="T679" s="81"/>
      <c r="U679" s="81" t="str">
        <f t="array" ref="U679:U680">{"CLASSDCL15";((IF("15"=(INDEX(ALLCLASSDATA,MATCH("ClassDCLegendary",CLASSFEATUREHEADERS,0),MATCH($A680,CLASSNAMEHEADERS,0))),(INDEX(ALLCLASSDATA,MATCH("ClassDCLegendary",CLASSFEATUREHEADERS,0),MATCH(($A680 &amp; "Points"),CLASSNAMEHEADERS,0))),(IF("15"=(INDEX(ALLCLASSDATA,MATCH("ClassDCMaster",CLASSFEATUREHEADERS,0),MATCH($A680,CLASSNAMEHEADERS,0))),(INDEX(ALLCLASSDATA,MATCH("ClassDCMaster",CLASSFEATUREHEADERS,0),MATCH(($A680 &amp; "Points"),CLASSNAMEHEADERS,0))),(IF("15"=(INDEX(ALLCLASSDATA,MATCH("ClassDCExpert",CLASSFEATUREHEADERS,0),MATCH($A680,CLASSNAMEHEADERS,0))),(INDEX(ALLCLASSDATA,MATCH("ClassDCExpert",CLASSFEATUREHEADERS,0),MATCH(($A680 &amp; "Points"),CLASSNAMEHEADERS,0))),(IF("15"=(INDEX(ALLCLASSDATA,MATCH("ClassDCTrained",CLASSFEATUREHEADERS,0),MATCH($A680,CLASSNAMEHEADERS,0))),(INDEX(ALLCLASSDATA,MATCH("ClassDCTrained",CLASSFEATUREHEADERS,0),MATCH(($A680 &amp; "Points"),CLASSNAMEHEADERS,0))),"")))))))))}</f>
        <v>CLASSDCL15</v>
      </c>
      <c r="V679" s="81"/>
      <c r="W679" s="81" t="str">
        <f t="array" ref="W679:W680">{"CLASSDCL17";((IF("17"=(INDEX(ALLCLASSDATA,MATCH("ClassDCLegendary",CLASSFEATUREHEADERS,0),MATCH($A680,CLASSNAMEHEADERS,0))),(INDEX(ALLCLASSDATA,MATCH("ClassDCLegendary",CLASSFEATUREHEADERS,0),MATCH(($A680 &amp; "Points"),CLASSNAMEHEADERS,0))),(IF("17"=(INDEX(ALLCLASSDATA,MATCH("ClassDCMaster",CLASSFEATUREHEADERS,0),MATCH($A680,CLASSNAMEHEADERS,0))),(INDEX(ALLCLASSDATA,MATCH("ClassDCMaster",CLASSFEATUREHEADERS,0),MATCH(($A680 &amp; "Points"),CLASSNAMEHEADERS,0))),(IF("17"=(INDEX(ALLCLASSDATA,MATCH("ClassDCExpert",CLASSFEATUREHEADERS,0),MATCH($A680,CLASSNAMEHEADERS,0))),(INDEX(ALLCLASSDATA,MATCH("ClassDCExpert",CLASSFEATUREHEADERS,0),MATCH(($A680 &amp; "Points"),CLASSNAMEHEADERS,0))),(IF("17"=(INDEX(ALLCLASSDATA,MATCH("ClassDCTrained",CLASSFEATUREHEADERS,0),MATCH($A680,CLASSNAMEHEADERS,0))),(INDEX(ALLCLASSDATA,MATCH("ClassDCTrained",CLASSFEATUREHEADERS,0),MATCH(($A680 &amp; "Points"),CLASSNAMEHEADERS,0))),"")))))))))}</f>
        <v>CLASSDCL17</v>
      </c>
      <c r="X679" s="81"/>
      <c r="Y679" s="81" t="str">
        <f t="array" ref="Y679:Y680">{"CLASSDCL19";((IF("19"=(INDEX(ALLCLASSDATA,MATCH("ClassDCLegendary",CLASSFEATUREHEADERS,0),MATCH($A680,CLASSNAMEHEADERS,0))),(INDEX(ALLCLASSDATA,MATCH("ClassDCLegendary",CLASSFEATUREHEADERS,0),MATCH(($A680 &amp; "Points"),CLASSNAMEHEADERS,0))),(IF("19"=(INDEX(ALLCLASSDATA,MATCH("ClassDCMaster",CLASSFEATUREHEADERS,0),MATCH($A680,CLASSNAMEHEADERS,0))),(INDEX(ALLCLASSDATA,MATCH("ClassDCMaster",CLASSFEATUREHEADERS,0),MATCH(($A680 &amp; "Points"),CLASSNAMEHEADERS,0))),(IF("19"=(INDEX(ALLCLASSDATA,MATCH("ClassDCExpert",CLASSFEATUREHEADERS,0),MATCH($A680,CLASSNAMEHEADERS,0))),(INDEX(ALLCLASSDATA,MATCH("ClassDCExpert",CLASSFEATUREHEADERS,0),MATCH(($A680 &amp; "Points"),CLASSNAMEHEADERS,0))),(IF("19"=(INDEX(ALLCLASSDATA,MATCH("ClassDCTrained",CLASSFEATUREHEADERS,0),MATCH($A680,CLASSNAMEHEADERS,0))),(INDEX(ALLCLASSDATA,MATCH("ClassDCTrained",CLASSFEATUREHEADERS,0),MATCH(($A680 &amp; "Points"),CLASSNAMEHEADERS,0))),"")))))))))}</f>
        <v>CLASSDCL19</v>
      </c>
      <c r="Z679" s="81"/>
      <c r="AA679" s="76" t="str">
        <f t="array" ref="AA679:AA680">{"CLASSDC TOTAL";(IF(COUNTBLANK(F680:Z680)=17,"L",(IF(COUNTBLANK(F680:Z680)=18,"M",(IF(COUNTBLANK(F680:Z680)=19,"E",(IF(COUNTBLANK(F680:Z680)=20,"T",""))))))))}</f>
        <v>CLASSDC TOTAL</v>
      </c>
      <c r="AB679" s="76" t="str">
        <f t="array" ref="AB679:AB680">{"CLASSDC TOTAL";(sum(F680:Z680))}</f>
        <v>CLASSDC TOTAL</v>
      </c>
    </row>
    <row r="680">
      <c r="A680" s="48" t="s">
        <v>223</v>
      </c>
      <c r="B680" s="48" t="s">
        <v>418</v>
      </c>
      <c r="C680" s="48" t="s">
        <v>1465</v>
      </c>
      <c r="D680" s="48" t="s">
        <v>1466</v>
      </c>
      <c r="E680" s="5" t="s">
        <v>603</v>
      </c>
      <c r="F680" s="47" t="s">
        <v>603</v>
      </c>
      <c r="G680" s="5" t="s">
        <v>603</v>
      </c>
      <c r="H680" s="5"/>
      <c r="I680" s="5" t="s">
        <v>603</v>
      </c>
      <c r="J680" s="5"/>
      <c r="K680" s="5" t="s">
        <v>603</v>
      </c>
      <c r="L680" s="5"/>
      <c r="M680" s="5" t="s">
        <v>603</v>
      </c>
      <c r="N680" s="5"/>
      <c r="O680" s="5" t="s">
        <v>603</v>
      </c>
      <c r="P680" s="5"/>
      <c r="Q680" s="5" t="s">
        <v>603</v>
      </c>
      <c r="R680" s="5"/>
      <c r="S680" s="5" t="s">
        <v>603</v>
      </c>
      <c r="T680" s="5"/>
      <c r="U680" s="5" t="s">
        <v>603</v>
      </c>
      <c r="V680" s="5"/>
      <c r="W680" s="5" t="s">
        <v>603</v>
      </c>
      <c r="X680" s="5"/>
      <c r="Y680" s="5" t="s">
        <v>603</v>
      </c>
      <c r="Z680" s="5"/>
      <c r="AA680" s="5" t="s">
        <v>603</v>
      </c>
      <c r="AB680" s="47">
        <v>0.0</v>
      </c>
    </row>
    <row r="681" hidden="1">
      <c r="A681" s="222" t="str">
        <f t="array" ref="A681:A682">{"FormulaRow21";(INDEX(CLASSLIST,A640,1))}</f>
        <v>FormulaRow21</v>
      </c>
      <c r="B681" s="222" t="str">
        <f t="array" ref="B681:B682">{"CLASSTYPE";((INDEX(ALLCLASSDATA,MATCH("ClassType",CLASSFEATUREHEADERS,0),MATCH($A682,CLASSNAMEHEADERS,0))))}</f>
        <v>CLASSTYPE</v>
      </c>
      <c r="C681" s="222" t="str">
        <f t="array" ref="C681:C682">{"DC";"DC"}</f>
        <v>DC</v>
      </c>
      <c r="D681" s="222" t="str">
        <f t="array" ref="D681:D682">{"SPELLDC";"SpellDC"}</f>
        <v>SPELLDC</v>
      </c>
      <c r="E681" s="223" t="str">
        <f t="array" ref="E681:E682">{"SPELLDCINITIAL";((IF(G682=10,"T",(IF(G682=50,"E","")))))}</f>
        <v>SPELLDCINITIAL</v>
      </c>
      <c r="F681" s="223" t="str">
        <f t="array" ref="F681:F682">{"SPELLDCINITIALPTS";((IF("00"=(INDEX(ALLCLASSDATA,MATCH("SpellDCLegendary",CLASSFEATUREHEADERS,0),MATCH($A682,CLASSNAMEHEADERS,0))),(INDEX(ALLCLASSDATA,MATCH("SpellDCLegendary",CLASSFEATUREHEADERS,0),MATCH(($A682 &amp; "Points"),CLASSNAMEHEADERS,0))),(IF("00"=(INDEX(ALLCLASSDATA,MATCH("SpellDCMaster",CLASSFEATUREHEADERS,0),MATCH($A682,CLASSNAMEHEADERS,0))),(INDEX(ALLCLASSDATA,MATCH("SpellDCMaster",CLASSFEATUREHEADERS,0),MATCH(($A682 &amp; "Points"),CLASSNAMEHEADERS,0))),(IF("00"=(INDEX(ALLCLASSDATA,MATCH("SpellDCExpert",CLASSFEATUREHEADERS,0),MATCH($A682,CLASSNAMEHEADERS,0))),(INDEX(ALLCLASSDATA,MATCH("SpellDCExpert",CLASSFEATUREHEADERS,0),MATCH(($A682 &amp; "Points"),CLASSNAMEHEADERS,0))),(IF("00"=(INDEX(ALLCLASSDATA,MATCH("SpellDCTrained",CLASSFEATUREHEADERS,0),MATCH($A682,CLASSNAMEHEADERS,0))),(INDEX(ALLCLASSDATA,MATCH("SpellDCTrained",CLASSFEATUREHEADERS,0),MATCH(($A682 &amp; "Points"),CLASSNAMEHEADERS,0))),"")))))))))}</f>
        <v>SPELLDCINITIALPTS</v>
      </c>
      <c r="G681" s="223" t="str">
        <f t="array" ref="G681:G682">{"SPELLDCL01";((IF("01"=(INDEX(ALLCLASSDATA,MATCH("SpellDCLegendary",CLASSFEATUREHEADERS,0),MATCH($A682,CLASSNAMEHEADERS,0))),(INDEX(ALLCLASSDATA,MATCH("SpellDCLegendary",CLASSFEATUREHEADERS,0),MATCH(($A682 &amp; "Points"),CLASSNAMEHEADERS,0))),(IF("01"=(INDEX(ALLCLASSDATA,MATCH("SpellDCMaster",CLASSFEATUREHEADERS,0),MATCH($A682,CLASSNAMEHEADERS,0))),(INDEX(ALLCLASSDATA,MATCH("SpellDCMaster",CLASSFEATUREHEADERS,0),MATCH(($A682 &amp; "Points"),CLASSNAMEHEADERS,0))),(IF("01"=(INDEX(ALLCLASSDATA,MATCH("SpellDCExpert",CLASSFEATUREHEADERS,0),MATCH($A682,CLASSNAMEHEADERS,0))),(INDEX(ALLCLASSDATA,MATCH("SpellDCExpert",CLASSFEATUREHEADERS,0),MATCH(($A682 &amp; "Points"),CLASSNAMEHEADERS,0))),(IF("01"=(INDEX(ALLCLASSDATA,MATCH("SpellDCTrained",CLASSFEATUREHEADERS,0),MATCH($A682,CLASSNAMEHEADERS,0))),(INDEX(ALLCLASSDATA,MATCH("SpellDCTrained",CLASSFEATUREHEADERS,0),MATCH(($A682 &amp; "Points"),CLASSNAMEHEADERS,0))),"")))))))))}</f>
        <v>SPELLDCL01</v>
      </c>
      <c r="H681" s="223"/>
      <c r="I681" s="223" t="str">
        <f t="array" ref="I681:I682">{"SPELLDCL03";((IF("03"=(INDEX(ALLCLASSDATA,MATCH("SpellDCLegendary",CLASSFEATUREHEADERS,0),MATCH($A682,CLASSNAMEHEADERS,0))),(INDEX(ALLCLASSDATA,MATCH("SpellDCLegendary",CLASSFEATUREHEADERS,0),MATCH(($A682 &amp; "Points"),CLASSNAMEHEADERS,0))),(IF("03"=(INDEX(ALLCLASSDATA,MATCH("SpellDCMaster",CLASSFEATUREHEADERS,0),MATCH($A682,CLASSNAMEHEADERS,0))),(INDEX(ALLCLASSDATA,MATCH("SpellDCMaster",CLASSFEATUREHEADERS,0),MATCH(($A682 &amp; "Points"),CLASSNAMEHEADERS,0))),(IF("03"=(INDEX(ALLCLASSDATA,MATCH("SpellDCExpert",CLASSFEATUREHEADERS,0),MATCH($A682,CLASSNAMEHEADERS,0))),(INDEX(ALLCLASSDATA,MATCH("SpellDCExpert",CLASSFEATUREHEADERS,0),MATCH(($A682 &amp; "Points"),CLASSNAMEHEADERS,0))),(IF("03"=(INDEX(ALLCLASSDATA,MATCH("SpellDCTrained",CLASSFEATUREHEADERS,0),MATCH($A682,CLASSNAMEHEADERS,0))),(INDEX(ALLCLASSDATA,MATCH("SpellDCTrained",CLASSFEATUREHEADERS,0),MATCH(($A682 &amp; "Points"),CLASSNAMEHEADERS,0))),"")))))))))}</f>
        <v>SPELLDCL03</v>
      </c>
      <c r="J681" s="223"/>
      <c r="K681" s="223" t="str">
        <f t="array" ref="K681:K682">{"SPELLDCL05";((IF("05"=(INDEX(ALLCLASSDATA,MATCH("SpellDCLegendary",CLASSFEATUREHEADERS,0),MATCH($A682,CLASSNAMEHEADERS,0))),(INDEX(ALLCLASSDATA,MATCH("SpellDCLegendary",CLASSFEATUREHEADERS,0),MATCH(($A682 &amp; "Points"),CLASSNAMEHEADERS,0))),(IF("05"=(INDEX(ALLCLASSDATA,MATCH("SpellDCMaster",CLASSFEATUREHEADERS,0),MATCH($A682,CLASSNAMEHEADERS,0))),(INDEX(ALLCLASSDATA,MATCH("SpellDCMaster",CLASSFEATUREHEADERS,0),MATCH(($A682 &amp; "Points"),CLASSNAMEHEADERS,0))),(IF("05"=(INDEX(ALLCLASSDATA,MATCH("SpellDCExpert",CLASSFEATUREHEADERS,0),MATCH($A682,CLASSNAMEHEADERS,0))),(INDEX(ALLCLASSDATA,MATCH("SpellDCExpert",CLASSFEATUREHEADERS,0),MATCH(($A682 &amp; "Points"),CLASSNAMEHEADERS,0))),(IF("05"=(INDEX(ALLCLASSDATA,MATCH("SpellDCTrained",CLASSFEATUREHEADERS,0),MATCH($A682,CLASSNAMEHEADERS,0))),(INDEX(ALLCLASSDATA,MATCH("SpellDCTrained",CLASSFEATUREHEADERS,0),MATCH(($A682 &amp; "Points"),CLASSNAMEHEADERS,0))),"")))))))))}</f>
        <v>SPELLDCL05</v>
      </c>
      <c r="L681" s="223"/>
      <c r="M681" s="223" t="str">
        <f t="array" ref="M681:M682">{"SPELLDCL07";((IF("07"=(INDEX(ALLCLASSDATA,MATCH("SpellDCLegendary",CLASSFEATUREHEADERS,0),MATCH($A682,CLASSNAMEHEADERS,0))),(INDEX(ALLCLASSDATA,MATCH("SpellDCLegendary",CLASSFEATUREHEADERS,0),MATCH(($A682 &amp; "Points"),CLASSNAMEHEADERS,0))),(IF("07"=(INDEX(ALLCLASSDATA,MATCH("SpellDCMaster",CLASSFEATUREHEADERS,0),MATCH($A682,CLASSNAMEHEADERS,0))),(INDEX(ALLCLASSDATA,MATCH("SpellDCMaster",CLASSFEATUREHEADERS,0),MATCH(($A682 &amp; "Points"),CLASSNAMEHEADERS,0))),(IF("07"=(INDEX(ALLCLASSDATA,MATCH("SpellDCExpert",CLASSFEATUREHEADERS,0),MATCH($A682,CLASSNAMEHEADERS,0))),(INDEX(ALLCLASSDATA,MATCH("SpellDCExpert",CLASSFEATUREHEADERS,0),MATCH(($A682 &amp; "Points"),CLASSNAMEHEADERS,0))),(IF("07"=(INDEX(ALLCLASSDATA,MATCH("SpellDCTrained",CLASSFEATUREHEADERS,0),MATCH($A682,CLASSNAMEHEADERS,0))),(INDEX(ALLCLASSDATA,MATCH("SpellDCTrained",CLASSFEATUREHEADERS,0),MATCH(($A682 &amp; "Points"),CLASSNAMEHEADERS,0))),"")))))))))}</f>
        <v>SPELLDCL07</v>
      </c>
      <c r="N681" s="223"/>
      <c r="O681" s="223" t="str">
        <f t="array" ref="O681:O682">{"SPELLDCL09";((IF("09"=(INDEX(ALLCLASSDATA,MATCH("SpellDCLegendary",CLASSFEATUREHEADERS,0),MATCH($A682,CLASSNAMEHEADERS,0))),(INDEX(ALLCLASSDATA,MATCH("SpellDCLegendary",CLASSFEATUREHEADERS,0),MATCH(($A682 &amp; "Points"),CLASSNAMEHEADERS,0))),(IF("09"=(INDEX(ALLCLASSDATA,MATCH("SpellDCMaster",CLASSFEATUREHEADERS,0),MATCH($A682,CLASSNAMEHEADERS,0))),(INDEX(ALLCLASSDATA,MATCH("SpellDCMaster",CLASSFEATUREHEADERS,0),MATCH(($A682 &amp; "Points"),CLASSNAMEHEADERS,0))),(IF("09"=(INDEX(ALLCLASSDATA,MATCH("SpellDCExpert",CLASSFEATUREHEADERS,0),MATCH($A682,CLASSNAMEHEADERS,0))),(INDEX(ALLCLASSDATA,MATCH("SpellDCExpert",CLASSFEATUREHEADERS,0),MATCH(($A682 &amp; "Points"),CLASSNAMEHEADERS,0))),(IF("09"=(INDEX(ALLCLASSDATA,MATCH("SpellDCTrained",CLASSFEATUREHEADERS,0),MATCH($A682,CLASSNAMEHEADERS,0))),(INDEX(ALLCLASSDATA,MATCH("SpellDCTrained",CLASSFEATUREHEADERS,0),MATCH(($A682 &amp; "Points"),CLASSNAMEHEADERS,0))),"")))))))))}</f>
        <v>SPELLDCL09</v>
      </c>
      <c r="P681" s="223"/>
      <c r="Q681" s="223" t="str">
        <f t="array" ref="Q681:Q682">{"SPELLDCL11";((IF("11"=(INDEX(ALLCLASSDATA,MATCH("SpellDCLegendary",CLASSFEATUREHEADERS,0),MATCH($A682,CLASSNAMEHEADERS,0))),(INDEX(ALLCLASSDATA,MATCH("SpellDCLegendary",CLASSFEATUREHEADERS,0),MATCH(($A682 &amp; "Points"),CLASSNAMEHEADERS,0))),(IF("11"=(INDEX(ALLCLASSDATA,MATCH("SpellDCMaster",CLASSFEATUREHEADERS,0),MATCH($A682,CLASSNAMEHEADERS,0))),(INDEX(ALLCLASSDATA,MATCH("SpellDCMaster",CLASSFEATUREHEADERS,0),MATCH(($A682 &amp; "Points"),CLASSNAMEHEADERS,0))),(IF("11"=(INDEX(ALLCLASSDATA,MATCH("SpellDCExpert",CLASSFEATUREHEADERS,0),MATCH($A682,CLASSNAMEHEADERS,0))),(INDEX(ALLCLASSDATA,MATCH("SpellDCExpert",CLASSFEATUREHEADERS,0),MATCH(($A682 &amp; "Points"),CLASSNAMEHEADERS,0))),(IF("11"=(INDEX(ALLCLASSDATA,MATCH("SpellDCTrained",CLASSFEATUREHEADERS,0),MATCH($A682,CLASSNAMEHEADERS,0))),(INDEX(ALLCLASSDATA,MATCH("SpellDCTrained",CLASSFEATUREHEADERS,0),MATCH(($A682 &amp; "Points"),CLASSNAMEHEADERS,0))),"")))))))))}</f>
        <v>SPELLDCL11</v>
      </c>
      <c r="R681" s="223"/>
      <c r="S681" s="223" t="str">
        <f t="array" ref="S681:S682">{"SPELLDCL13";((IF("13"=(INDEX(ALLCLASSDATA,MATCH("SpellDCLegendary",CLASSFEATUREHEADERS,0),MATCH($A682,CLASSNAMEHEADERS,0))),(INDEX(ALLCLASSDATA,MATCH("SpellDCLegendary",CLASSFEATUREHEADERS,0),MATCH(($A682 &amp; "Points"),CLASSNAMEHEADERS,0))),(IF("13"=(INDEX(ALLCLASSDATA,MATCH("SpellDCMaster",CLASSFEATUREHEADERS,0),MATCH($A682,CLASSNAMEHEADERS,0))),(INDEX(ALLCLASSDATA,MATCH("SpellDCMaster",CLASSFEATUREHEADERS,0),MATCH(($A682 &amp; "Points"),CLASSNAMEHEADERS,0))),(IF("13"=(INDEX(ALLCLASSDATA,MATCH("SpellDCExpert",CLASSFEATUREHEADERS,0),MATCH($A682,CLASSNAMEHEADERS,0))),(INDEX(ALLCLASSDATA,MATCH("SpellDCExpert",CLASSFEATUREHEADERS,0),MATCH(($A682 &amp; "Points"),CLASSNAMEHEADERS,0))),(IF("13"=(INDEX(ALLCLASSDATA,MATCH("SpellDCTrained",CLASSFEATUREHEADERS,0),MATCH($A682,CLASSNAMEHEADERS,0))),(INDEX(ALLCLASSDATA,MATCH("SpellDCTrained",CLASSFEATUREHEADERS,0),MATCH(($A682 &amp; "Points"),CLASSNAMEHEADERS,0))),"")))))))))}</f>
        <v>SPELLDCL13</v>
      </c>
      <c r="T681" s="223"/>
      <c r="U681" s="223" t="str">
        <f t="array" ref="U681:U682">{"SPELLDCL15";((IF("15"=(INDEX(ALLCLASSDATA,MATCH("SpellDCLegendary",CLASSFEATUREHEADERS,0),MATCH($A682,CLASSNAMEHEADERS,0))),(INDEX(ALLCLASSDATA,MATCH("SpellDCLegendary",CLASSFEATUREHEADERS,0),MATCH(($A682 &amp; "Points"),CLASSNAMEHEADERS,0))),(IF("15"=(INDEX(ALLCLASSDATA,MATCH("SpellDCMaster",CLASSFEATUREHEADERS,0),MATCH($A682,CLASSNAMEHEADERS,0))),(INDEX(ALLCLASSDATA,MATCH("SpellDCMaster",CLASSFEATUREHEADERS,0),MATCH(($A682 &amp; "Points"),CLASSNAMEHEADERS,0))),(IF("15"=(INDEX(ALLCLASSDATA,MATCH("SpellDCExpert",CLASSFEATUREHEADERS,0),MATCH($A682,CLASSNAMEHEADERS,0))),(INDEX(ALLCLASSDATA,MATCH("SpellDCExpert",CLASSFEATUREHEADERS,0),MATCH(($A682 &amp; "Points"),CLASSNAMEHEADERS,0))),(IF("15"=(INDEX(ALLCLASSDATA,MATCH("SpellDCTrained",CLASSFEATUREHEADERS,0),MATCH($A682,CLASSNAMEHEADERS,0))),(INDEX(ALLCLASSDATA,MATCH("SpellDCTrained",CLASSFEATUREHEADERS,0),MATCH(($A682 &amp; "Points"),CLASSNAMEHEADERS,0))),"")))))))))}</f>
        <v>SPELLDCL15</v>
      </c>
      <c r="V681" s="223"/>
      <c r="W681" s="223" t="str">
        <f t="array" ref="W681:W682">{"SPELLDCL17";((IF("17"=(INDEX(ALLCLASSDATA,MATCH("SpellDCLegendary",CLASSFEATUREHEADERS,0),MATCH($A682,CLASSNAMEHEADERS,0))),(INDEX(ALLCLASSDATA,MATCH("SpellDCLegendary",CLASSFEATUREHEADERS,0),MATCH(($A682 &amp; "Points"),CLASSNAMEHEADERS,0))),(IF("17"=(INDEX(ALLCLASSDATA,MATCH("SpellDCMaster",CLASSFEATUREHEADERS,0),MATCH($A682,CLASSNAMEHEADERS,0))),(INDEX(ALLCLASSDATA,MATCH("SpellDCMaster",CLASSFEATUREHEADERS,0),MATCH(($A682 &amp; "Points"),CLASSNAMEHEADERS,0))),(IF("17"=(INDEX(ALLCLASSDATA,MATCH("SpellDCExpert",CLASSFEATUREHEADERS,0),MATCH($A682,CLASSNAMEHEADERS,0))),(INDEX(ALLCLASSDATA,MATCH("SpellDCExpert",CLASSFEATUREHEADERS,0),MATCH(($A682 &amp; "Points"),CLASSNAMEHEADERS,0))),(IF("17"=(INDEX(ALLCLASSDATA,MATCH("SpellDCTrained",CLASSFEATUREHEADERS,0),MATCH($A682,CLASSNAMEHEADERS,0))),(INDEX(ALLCLASSDATA,MATCH("SpellDCTrained",CLASSFEATUREHEADERS,0),MATCH(($A682 &amp; "Points"),CLASSNAMEHEADERS,0))),"")))))))))}</f>
        <v>SPELLDCL17</v>
      </c>
      <c r="X681" s="223"/>
      <c r="Y681" s="223" t="str">
        <f t="array" ref="Y681:Y682">{"SPELLDCL19";((IF("19"=(INDEX(ALLCLASSDATA,MATCH("SpellDCLegendary",CLASSFEATUREHEADERS,0),MATCH($A682,CLASSNAMEHEADERS,0))),(INDEX(ALLCLASSDATA,MATCH("SpellDCLegendary",CLASSFEATUREHEADERS,0),MATCH(($A682 &amp; "Points"),CLASSNAMEHEADERS,0))),(IF("19"=(INDEX(ALLCLASSDATA,MATCH("SpellDCMaster",CLASSFEATUREHEADERS,0),MATCH($A682,CLASSNAMEHEADERS,0))),(INDEX(ALLCLASSDATA,MATCH("SpellDCMaster",CLASSFEATUREHEADERS,0),MATCH(($A682 &amp; "Points"),CLASSNAMEHEADERS,0))),(IF("19"=(INDEX(ALLCLASSDATA,MATCH("SpellDCExpert",CLASSFEATUREHEADERS,0),MATCH($A682,CLASSNAMEHEADERS,0))),(INDEX(ALLCLASSDATA,MATCH("SpellDCExpert",CLASSFEATUREHEADERS,0),MATCH(($A682 &amp; "Points"),CLASSNAMEHEADERS,0))),(IF("19"=(INDEX(ALLCLASSDATA,MATCH("SpellDCTrained",CLASSFEATUREHEADERS,0),MATCH($A682,CLASSNAMEHEADERS,0))),(INDEX(ALLCLASSDATA,MATCH("SpellDCTrained",CLASSFEATUREHEADERS,0),MATCH(($A682 &amp; "Points"),CLASSNAMEHEADERS,0))),"")))))))))}</f>
        <v>SPELLDCL19</v>
      </c>
      <c r="Z681" s="223"/>
      <c r="AA681" s="76" t="str">
        <f t="array" ref="AA681:AA682">{"SPELLDC TOTAL";(IF(COUNTBLANK(F682:Z682)=17,"L",(IF(COUNTBLANK(F682:Z682)=18,"M",(IF(COUNTBLANK(F682:Z682)=19,"E",(IF(COUNTBLANK(F682:Z682)=20,"T",""))))))))}</f>
        <v>SPELLDC TOTAL</v>
      </c>
      <c r="AB681" s="76" t="str">
        <f t="array" ref="AB681:AB682">{"SPELLDC TOTAL";(sum(F682:Z682))}</f>
        <v>SPELLDC TOTAL</v>
      </c>
    </row>
    <row r="682">
      <c r="A682" s="48" t="s">
        <v>223</v>
      </c>
      <c r="B682" s="48" t="s">
        <v>418</v>
      </c>
      <c r="C682" s="97" t="s">
        <v>1465</v>
      </c>
      <c r="D682" s="97" t="s">
        <v>1485</v>
      </c>
      <c r="E682" s="98" t="s">
        <v>435</v>
      </c>
      <c r="F682" s="132" t="s">
        <v>603</v>
      </c>
      <c r="G682" s="98">
        <v>10.0</v>
      </c>
      <c r="H682" s="98"/>
      <c r="I682" s="98" t="s">
        <v>603</v>
      </c>
      <c r="J682" s="98"/>
      <c r="K682" s="98" t="s">
        <v>603</v>
      </c>
      <c r="L682" s="98"/>
      <c r="M682" s="98">
        <v>50.0</v>
      </c>
      <c r="N682" s="98"/>
      <c r="O682" s="98" t="s">
        <v>603</v>
      </c>
      <c r="P682" s="98"/>
      <c r="Q682" s="98" t="s">
        <v>603</v>
      </c>
      <c r="R682" s="98"/>
      <c r="S682" s="98" t="s">
        <v>603</v>
      </c>
      <c r="T682" s="98"/>
      <c r="U682" s="98">
        <v>110.0</v>
      </c>
      <c r="V682" s="98"/>
      <c r="W682" s="98" t="s">
        <v>603</v>
      </c>
      <c r="X682" s="98"/>
      <c r="Y682" s="98">
        <v>190.0</v>
      </c>
      <c r="Z682" s="98"/>
      <c r="AA682" s="5" t="s">
        <v>466</v>
      </c>
      <c r="AB682" s="47">
        <v>360.0</v>
      </c>
    </row>
    <row r="683" hidden="1">
      <c r="A683" s="222" t="str">
        <f t="array" ref="A683:A684">{"FormulaRow22";(INDEX(CLASSLIST,A640,1))}</f>
        <v>FormulaRow22</v>
      </c>
      <c r="B683" s="222" t="str">
        <f t="array" ref="B683:B684">{"CLASSTYPE";((INDEX(ALLCLASSDATA,MATCH("ClassType",CLASSFEATUREHEADERS,0),MATCH($A684,CLASSNAMEHEADERS,0))))}</f>
        <v>CLASSTYPE</v>
      </c>
      <c r="C683" s="228" t="str">
        <f t="shared" ref="C683:D683" si="8">{"PERCEPTION";"Perception"}</f>
        <v>PERCEPTION</v>
      </c>
      <c r="D683" s="228" t="str">
        <f t="shared" si="8"/>
        <v>PERCEPTION</v>
      </c>
      <c r="E683" s="230" t="str">
        <f t="array" ref="E683:E684">{"PERCEPTIONINITIAL";((IF(G684=10,"T",(IF(G684=50,"E","")))))}</f>
        <v>PERCEPTIONINITIAL</v>
      </c>
      <c r="F683" s="230" t="str">
        <f t="array" ref="F683:F684">{"PERCEPTIONINITIALPTS";((IF("00"=(INDEX(ALLCLASSDATA,MATCH("PerceptionLegendary",CLASSFEATUREHEADERS,0),MATCH($A684,CLASSNAMEHEADERS,0))),(INDEX(ALLCLASSDATA,MATCH("PerceptionLegendary",CLASSFEATUREHEADERS,0),MATCH(($A684 &amp; "Points"),CLASSNAMEHEADERS,0))),(IF("00"=(INDEX(ALLCLASSDATA,MATCH("PerceptionMaster",CLASSFEATUREHEADERS,0),MATCH($A684,CLASSNAMEHEADERS,0))),(INDEX(ALLCLASSDATA,MATCH("PerceptionMaster",CLASSFEATUREHEADERS,0),MATCH(($A684 &amp; "Points"),CLASSNAMEHEADERS,0))),(IF("00"=(INDEX(ALLCLASSDATA,MATCH("PerceptionExpert",CLASSFEATUREHEADERS,0),MATCH($A684,CLASSNAMEHEADERS,0))),(INDEX(ALLCLASSDATA,MATCH("PerceptionExpert",CLASSFEATUREHEADERS,0),MATCH(($A684 &amp; "Points"),CLASSNAMEHEADERS,0))),(IF("00"=(INDEX(ALLCLASSDATA,MATCH("PerceptionTrained",CLASSFEATUREHEADERS,0),MATCH($A684,CLASSNAMEHEADERS,0))),(INDEX(ALLCLASSDATA,MATCH("PerceptionTrained",CLASSFEATUREHEADERS,0),MATCH(($A684 &amp; "Points"),CLASSNAMEHEADERS,0))),"")))))))))}</f>
        <v>PERCEPTIONINITIALPTS</v>
      </c>
      <c r="G683" s="230" t="str">
        <f t="array" ref="G683:G684">{"PERCEPTIONL01";((IF("01"=(INDEX(ALLCLASSDATA,MATCH("PerceptionLegendary",CLASSFEATUREHEADERS,0),MATCH($A684,CLASSNAMEHEADERS,0))),(INDEX(ALLCLASSDATA,MATCH("PerceptionLegendary",CLASSFEATUREHEADERS,0),MATCH(($A684 &amp; "Points"),CLASSNAMEHEADERS,0))),(IF("01"=(INDEX(ALLCLASSDATA,MATCH("PerceptionMaster",CLASSFEATUREHEADERS,0),MATCH($A684,CLASSNAMEHEADERS,0))),(INDEX(ALLCLASSDATA,MATCH("PerceptionMaster",CLASSFEATUREHEADERS,0),MATCH(($A684 &amp; "Points"),CLASSNAMEHEADERS,0))),(IF("01"=(INDEX(ALLCLASSDATA,MATCH("PerceptionExpert",CLASSFEATUREHEADERS,0),MATCH($A684,CLASSNAMEHEADERS,0))),(INDEX(ALLCLASSDATA,MATCH("PerceptionExpert",CLASSFEATUREHEADERS,0),MATCH(($A684 &amp; "Points"),CLASSNAMEHEADERS,0))),(IF("01"=(INDEX(ALLCLASSDATA,MATCH("PerceptionTrained",CLASSFEATUREHEADERS,0),MATCH($A684,CLASSNAMEHEADERS,0))),(INDEX(ALLCLASSDATA,MATCH("PerceptionTrained",CLASSFEATUREHEADERS,0),MATCH(($A684 &amp; "Points"),CLASSNAMEHEADERS,0))),"")))))))))}</f>
        <v>PERCEPTIONL01</v>
      </c>
      <c r="H683" s="230"/>
      <c r="I683" s="230" t="str">
        <f t="array" ref="I683:I684">{"PERCEPTIONL03";((IF("03"=(INDEX(ALLCLASSDATA,MATCH("PerceptionLegendary",CLASSFEATUREHEADERS,0),MATCH($A684,CLASSNAMEHEADERS,0))),(INDEX(ALLCLASSDATA,MATCH("PerceptionLegendary",CLASSFEATUREHEADERS,0),MATCH(($A684 &amp; "Points"),CLASSNAMEHEADERS,0))),(IF("03"=(INDEX(ALLCLASSDATA,MATCH("PerceptionMaster",CLASSFEATUREHEADERS,0),MATCH($A684,CLASSNAMEHEADERS,0))),(INDEX(ALLCLASSDATA,MATCH("PerceptionMaster",CLASSFEATUREHEADERS,0),MATCH(($A684 &amp; "Points"),CLASSNAMEHEADERS,0))),(IF("03"=(INDEX(ALLCLASSDATA,MATCH("PerceptionExpert",CLASSFEATUREHEADERS,0),MATCH($A684,CLASSNAMEHEADERS,0))),(INDEX(ALLCLASSDATA,MATCH("PerceptionExpert",CLASSFEATUREHEADERS,0),MATCH(($A684 &amp; "Points"),CLASSNAMEHEADERS,0))),(IF("03"=(INDEX(ALLCLASSDATA,MATCH("PerceptionTrained",CLASSFEATUREHEADERS,0),MATCH($A684,CLASSNAMEHEADERS,0))),(INDEX(ALLCLASSDATA,MATCH("PerceptionTrained",CLASSFEATUREHEADERS,0),MATCH(($A684 &amp; "Points"),CLASSNAMEHEADERS,0))),"")))))))))}</f>
        <v>PERCEPTIONL03</v>
      </c>
      <c r="J683" s="230"/>
      <c r="K683" s="230" t="str">
        <f t="array" ref="K683:K684">{"PERCEPTIONL05";((IF("05"=(INDEX(ALLCLASSDATA,MATCH("PerceptionLegendary",CLASSFEATUREHEADERS,0),MATCH($A684,CLASSNAMEHEADERS,0))),(INDEX(ALLCLASSDATA,MATCH("PerceptionLegendary",CLASSFEATUREHEADERS,0),MATCH(($A684 &amp; "Points"),CLASSNAMEHEADERS,0))),(IF("05"=(INDEX(ALLCLASSDATA,MATCH("PerceptionMaster",CLASSFEATUREHEADERS,0),MATCH($A684,CLASSNAMEHEADERS,0))),(INDEX(ALLCLASSDATA,MATCH("PerceptionMaster",CLASSFEATUREHEADERS,0),MATCH(($A684 &amp; "Points"),CLASSNAMEHEADERS,0))),(IF("05"=(INDEX(ALLCLASSDATA,MATCH("PerceptionExpert",CLASSFEATUREHEADERS,0),MATCH($A684,CLASSNAMEHEADERS,0))),(INDEX(ALLCLASSDATA,MATCH("PerceptionExpert",CLASSFEATUREHEADERS,0),MATCH(($A684 &amp; "Points"),CLASSNAMEHEADERS,0))),(IF("05"=(INDEX(ALLCLASSDATA,MATCH("PerceptionTrained",CLASSFEATUREHEADERS,0),MATCH($A684,CLASSNAMEHEADERS,0))),(INDEX(ALLCLASSDATA,MATCH("PerceptionTrained",CLASSFEATUREHEADERS,0),MATCH(($A684 &amp; "Points"),CLASSNAMEHEADERS,0))),"")))))))))}</f>
        <v>PERCEPTIONL05</v>
      </c>
      <c r="L683" s="230"/>
      <c r="M683" s="230" t="str">
        <f t="array" ref="M683:M684">{"PERCEPTIONL07";((IF("07"=(INDEX(ALLCLASSDATA,MATCH("PerceptionLegendary",CLASSFEATUREHEADERS,0),MATCH($A684,CLASSNAMEHEADERS,0))),(INDEX(ALLCLASSDATA,MATCH("PerceptionLegendary",CLASSFEATUREHEADERS,0),MATCH(($A684 &amp; "Points"),CLASSNAMEHEADERS,0))),(IF("07"=(INDEX(ALLCLASSDATA,MATCH("PerceptionMaster",CLASSFEATUREHEADERS,0),MATCH($A684,CLASSNAMEHEADERS,0))),(INDEX(ALLCLASSDATA,MATCH("PerceptionMaster",CLASSFEATUREHEADERS,0),MATCH(($A684 &amp; "Points"),CLASSNAMEHEADERS,0))),(IF("07"=(INDEX(ALLCLASSDATA,MATCH("PerceptionExpert",CLASSFEATUREHEADERS,0),MATCH($A684,CLASSNAMEHEADERS,0))),(INDEX(ALLCLASSDATA,MATCH("PerceptionExpert",CLASSFEATUREHEADERS,0),MATCH(($A684 &amp; "Points"),CLASSNAMEHEADERS,0))),(IF("07"=(INDEX(ALLCLASSDATA,MATCH("PerceptionTrained",CLASSFEATUREHEADERS,0),MATCH($A684,CLASSNAMEHEADERS,0))),(INDEX(ALLCLASSDATA,MATCH("PerceptionTrained",CLASSFEATUREHEADERS,0),MATCH(($A684 &amp; "Points"),CLASSNAMEHEADERS,0))),"")))))))))}</f>
        <v>PERCEPTIONL07</v>
      </c>
      <c r="N683" s="230"/>
      <c r="O683" s="230" t="str">
        <f t="array" ref="O683:O684">{"PERCEPTIONL09";((IF("09"=(INDEX(ALLCLASSDATA,MATCH("PerceptionLegendary",CLASSFEATUREHEADERS,0),MATCH($A684,CLASSNAMEHEADERS,0))),(INDEX(ALLCLASSDATA,MATCH("PerceptionLegendary",CLASSFEATUREHEADERS,0),MATCH(($A684 &amp; "Points"),CLASSNAMEHEADERS,0))),(IF("09"=(INDEX(ALLCLASSDATA,MATCH("PerceptionMaster",CLASSFEATUREHEADERS,0),MATCH($A684,CLASSNAMEHEADERS,0))),(INDEX(ALLCLASSDATA,MATCH("PerceptionMaster",CLASSFEATUREHEADERS,0),MATCH(($A684 &amp; "Points"),CLASSNAMEHEADERS,0))),(IF("09"=(INDEX(ALLCLASSDATA,MATCH("PerceptionExpert",CLASSFEATUREHEADERS,0),MATCH($A684,CLASSNAMEHEADERS,0))),(INDEX(ALLCLASSDATA,MATCH("PerceptionExpert",CLASSFEATUREHEADERS,0),MATCH(($A684 &amp; "Points"),CLASSNAMEHEADERS,0))),(IF("09"=(INDEX(ALLCLASSDATA,MATCH("PerceptionTrained",CLASSFEATUREHEADERS,0),MATCH($A684,CLASSNAMEHEADERS,0))),(INDEX(ALLCLASSDATA,MATCH("PerceptionTrained",CLASSFEATUREHEADERS,0),MATCH(($A684 &amp; "Points"),CLASSNAMEHEADERS,0))),"")))))))))}</f>
        <v>PERCEPTIONL09</v>
      </c>
      <c r="P683" s="230"/>
      <c r="Q683" s="230" t="str">
        <f t="array" ref="Q683:Q684">{"PERCEPTIONL11";((IF("11"=(INDEX(ALLCLASSDATA,MATCH("PerceptionLegendary",CLASSFEATUREHEADERS,0),MATCH($A684,CLASSNAMEHEADERS,0))),(INDEX(ALLCLASSDATA,MATCH("PerceptionLegendary",CLASSFEATUREHEADERS,0),MATCH(($A684 &amp; "Points"),CLASSNAMEHEADERS,0))),(IF("11"=(INDEX(ALLCLASSDATA,MATCH("PerceptionMaster",CLASSFEATUREHEADERS,0),MATCH($A684,CLASSNAMEHEADERS,0))),(INDEX(ALLCLASSDATA,MATCH("PerceptionMaster",CLASSFEATUREHEADERS,0),MATCH(($A684 &amp; "Points"),CLASSNAMEHEADERS,0))),(IF("11"=(INDEX(ALLCLASSDATA,MATCH("PerceptionExpert",CLASSFEATUREHEADERS,0),MATCH($A684,CLASSNAMEHEADERS,0))),(INDEX(ALLCLASSDATA,MATCH("PerceptionExpert",CLASSFEATUREHEADERS,0),MATCH(($A684 &amp; "Points"),CLASSNAMEHEADERS,0))),(IF("11"=(INDEX(ALLCLASSDATA,MATCH("PerceptionTrained",CLASSFEATUREHEADERS,0),MATCH($A684,CLASSNAMEHEADERS,0))),(INDEX(ALLCLASSDATA,MATCH("PerceptionTrained",CLASSFEATUREHEADERS,0),MATCH(($A684 &amp; "Points"),CLASSNAMEHEADERS,0))),"")))))))))}</f>
        <v>PERCEPTIONL11</v>
      </c>
      <c r="R683" s="230"/>
      <c r="S683" s="230" t="str">
        <f t="array" ref="S683:S684">{"PERCEPTIONL13";((IF("13"=(INDEX(ALLCLASSDATA,MATCH("PerceptionLegendary",CLASSFEATUREHEADERS,0),MATCH($A684,CLASSNAMEHEADERS,0))),(INDEX(ALLCLASSDATA,MATCH("PerceptionLegendary",CLASSFEATUREHEADERS,0),MATCH(($A684 &amp; "Points"),CLASSNAMEHEADERS,0))),(IF("13"=(INDEX(ALLCLASSDATA,MATCH("PerceptionMaster",CLASSFEATUREHEADERS,0),MATCH($A684,CLASSNAMEHEADERS,0))),(INDEX(ALLCLASSDATA,MATCH("PerceptionMaster",CLASSFEATUREHEADERS,0),MATCH(($A684 &amp; "Points"),CLASSNAMEHEADERS,0))),(IF("13"=(INDEX(ALLCLASSDATA,MATCH("PerceptionExpert",CLASSFEATUREHEADERS,0),MATCH($A684,CLASSNAMEHEADERS,0))),(INDEX(ALLCLASSDATA,MATCH("PerceptionExpert",CLASSFEATUREHEADERS,0),MATCH(($A684 &amp; "Points"),CLASSNAMEHEADERS,0))),(IF("13"=(INDEX(ALLCLASSDATA,MATCH("PerceptionTrained",CLASSFEATUREHEADERS,0),MATCH($A684,CLASSNAMEHEADERS,0))),(INDEX(ALLCLASSDATA,MATCH("PerceptionTrained",CLASSFEATUREHEADERS,0),MATCH(($A684 &amp; "Points"),CLASSNAMEHEADERS,0))),"")))))))))}</f>
        <v>PERCEPTIONL13</v>
      </c>
      <c r="T683" s="230"/>
      <c r="U683" s="230" t="str">
        <f t="array" ref="U683:U684">{"PERCEPTIONL15";((IF("15"=(INDEX(ALLCLASSDATA,MATCH("PerceptionLegendary",CLASSFEATUREHEADERS,0),MATCH($A684,CLASSNAMEHEADERS,0))),(INDEX(ALLCLASSDATA,MATCH("PerceptionLegendary",CLASSFEATUREHEADERS,0),MATCH(($A684 &amp; "Points"),CLASSNAMEHEADERS,0))),(IF("15"=(INDEX(ALLCLASSDATA,MATCH("PerceptionMaster",CLASSFEATUREHEADERS,0),MATCH($A684,CLASSNAMEHEADERS,0))),(INDEX(ALLCLASSDATA,MATCH("PerceptionMaster",CLASSFEATUREHEADERS,0),MATCH(($A684 &amp; "Points"),CLASSNAMEHEADERS,0))),(IF("15"=(INDEX(ALLCLASSDATA,MATCH("PerceptionExpert",CLASSFEATUREHEADERS,0),MATCH($A684,CLASSNAMEHEADERS,0))),(INDEX(ALLCLASSDATA,MATCH("PerceptionExpert",CLASSFEATUREHEADERS,0),MATCH(($A684 &amp; "Points"),CLASSNAMEHEADERS,0))),(IF("15"=(INDEX(ALLCLASSDATA,MATCH("PerceptionTrained",CLASSFEATUREHEADERS,0),MATCH($A684,CLASSNAMEHEADERS,0))),(INDEX(ALLCLASSDATA,MATCH("PerceptionTrained",CLASSFEATUREHEADERS,0),MATCH(($A684 &amp; "Points"),CLASSNAMEHEADERS,0))),"")))))))))}</f>
        <v>PERCEPTIONL15</v>
      </c>
      <c r="V683" s="230"/>
      <c r="W683" s="230" t="str">
        <f t="array" ref="W683:W684">{"PERCEPTIONL17";((IF("17"=(INDEX(ALLCLASSDATA,MATCH("PerceptionLegendary",CLASSFEATUREHEADERS,0),MATCH($A684,CLASSNAMEHEADERS,0))),(INDEX(ALLCLASSDATA,MATCH("PerceptionLegendary",CLASSFEATUREHEADERS,0),MATCH(($A684 &amp; "Points"),CLASSNAMEHEADERS,0))),(IF("17"=(INDEX(ALLCLASSDATA,MATCH("PerceptionMaster",CLASSFEATUREHEADERS,0),MATCH($A684,CLASSNAMEHEADERS,0))),(INDEX(ALLCLASSDATA,MATCH("PerceptionMaster",CLASSFEATUREHEADERS,0),MATCH(($A684 &amp; "Points"),CLASSNAMEHEADERS,0))),(IF("17"=(INDEX(ALLCLASSDATA,MATCH("PerceptionExpert",CLASSFEATUREHEADERS,0),MATCH($A684,CLASSNAMEHEADERS,0))),(INDEX(ALLCLASSDATA,MATCH("PerceptionExpert",CLASSFEATUREHEADERS,0),MATCH(($A684 &amp; "Points"),CLASSNAMEHEADERS,0))),(IF("17"=(INDEX(ALLCLASSDATA,MATCH("PerceptionTrained",CLASSFEATUREHEADERS,0),MATCH($A684,CLASSNAMEHEADERS,0))),(INDEX(ALLCLASSDATA,MATCH("PerceptionTrained",CLASSFEATUREHEADERS,0),MATCH(($A684 &amp; "Points"),CLASSNAMEHEADERS,0))),"")))))))))}</f>
        <v>PERCEPTIONL17</v>
      </c>
      <c r="X683" s="230"/>
      <c r="Y683" s="230" t="str">
        <f t="array" ref="Y683:Y684">{"PERCEPTIONL19";((IF("19"=(INDEX(ALLCLASSDATA,MATCH("PerceptionLegendary",CLASSFEATUREHEADERS,0),MATCH($A684,CLASSNAMEHEADERS,0))),(INDEX(ALLCLASSDATA,MATCH("PerceptionLegendary",CLASSFEATUREHEADERS,0),MATCH(($A684 &amp; "Points"),CLASSNAMEHEADERS,0))),(IF("19"=(INDEX(ALLCLASSDATA,MATCH("PerceptionMaster",CLASSFEATUREHEADERS,0),MATCH($A684,CLASSNAMEHEADERS,0))),(INDEX(ALLCLASSDATA,MATCH("PerceptionMaster",CLASSFEATUREHEADERS,0),MATCH(($A684 &amp; "Points"),CLASSNAMEHEADERS,0))),(IF("19"=(INDEX(ALLCLASSDATA,MATCH("PerceptionExpert",CLASSFEATUREHEADERS,0),MATCH($A684,CLASSNAMEHEADERS,0))),(INDEX(ALLCLASSDATA,MATCH("PerceptionExpert",CLASSFEATUREHEADERS,0),MATCH(($A684 &amp; "Points"),CLASSNAMEHEADERS,0))),(IF("19"=(INDEX(ALLCLASSDATA,MATCH("PerceptionTrained",CLASSFEATUREHEADERS,0),MATCH($A684,CLASSNAMEHEADERS,0))),(INDEX(ALLCLASSDATA,MATCH("PerceptionTrained",CLASSFEATUREHEADERS,0),MATCH(($A684 &amp; "Points"),CLASSNAMEHEADERS,0))),"")))))))))}</f>
        <v>PERCEPTIONL19</v>
      </c>
      <c r="Z683" s="230"/>
      <c r="AA683" s="76" t="str">
        <f t="array" ref="AA683:AA684">{"PERCEPTION TOTAL";(IF(COUNTBLANK(F684:Z684)=17,"L",(IF(COUNTBLANK(F684:Z684)=18,"M",(IF(COUNTBLANK(F684:Z684)=19,"E",(IF(COUNTBLANK(F684:Z684)=20,"T",""))))))))}</f>
        <v>PERCEPTION TOTAL</v>
      </c>
      <c r="AB683" s="76" t="str">
        <f t="array" ref="AB683:AB684">{"PERCEPTION TOTAL";(sum(F684:Z684))}</f>
        <v>PERCEPTION TOTAL</v>
      </c>
    </row>
    <row r="684">
      <c r="A684" s="48" t="s">
        <v>223</v>
      </c>
      <c r="B684" s="48" t="s">
        <v>418</v>
      </c>
      <c r="C684" s="97" t="s">
        <v>637</v>
      </c>
      <c r="D684" s="97" t="s">
        <v>637</v>
      </c>
      <c r="E684" s="98" t="s">
        <v>435</v>
      </c>
      <c r="F684" s="132" t="s">
        <v>603</v>
      </c>
      <c r="G684" s="98">
        <v>10.0</v>
      </c>
      <c r="H684" s="98"/>
      <c r="I684" s="98" t="s">
        <v>603</v>
      </c>
      <c r="J684" s="98"/>
      <c r="K684" s="98" t="s">
        <v>603</v>
      </c>
      <c r="L684" s="98"/>
      <c r="M684" s="98" t="s">
        <v>603</v>
      </c>
      <c r="N684" s="98"/>
      <c r="O684" s="98" t="s">
        <v>603</v>
      </c>
      <c r="P684" s="98"/>
      <c r="Q684" s="98">
        <v>50.0</v>
      </c>
      <c r="R684" s="98"/>
      <c r="S684" s="98" t="s">
        <v>603</v>
      </c>
      <c r="T684" s="98"/>
      <c r="U684" s="98" t="s">
        <v>603</v>
      </c>
      <c r="V684" s="98"/>
      <c r="W684" s="98" t="s">
        <v>603</v>
      </c>
      <c r="X684" s="98"/>
      <c r="Y684" s="98" t="s">
        <v>603</v>
      </c>
      <c r="Z684" s="98"/>
      <c r="AA684" s="5" t="s">
        <v>436</v>
      </c>
      <c r="AB684" s="47">
        <v>60.0</v>
      </c>
    </row>
    <row r="685" hidden="1">
      <c r="A685" s="222" t="str">
        <f t="array" ref="A685:A686">{"FormulaRow23";(INDEX(CLASSLIST,A640,1))}</f>
        <v>FormulaRow23</v>
      </c>
      <c r="B685" s="222" t="str">
        <f t="array" ref="B685:B686">{"CLASSTYPE";((INDEX(ALLCLASSDATA,MATCH("ClassType",CLASSFEATUREHEADERS,0),MATCH($A686,CLASSNAMEHEADERS,0))))}</f>
        <v>CLASSTYPE</v>
      </c>
      <c r="C685" s="228" t="str">
        <f t="array" ref="C685:C686">{"SAVES";"Saves"}</f>
        <v>SAVES</v>
      </c>
      <c r="D685" s="228" t="str">
        <f t="array" ref="D685:D686">{"FORTITUDESAVE";"FortitudeSave"}</f>
        <v>FORTITUDESAVE</v>
      </c>
      <c r="E685" s="230" t="str">
        <f t="array" ref="E685:E686">{"FORTITUDEINITIAL";((IF(G686=10,"T",(IF(G686=50,"E","")))))}</f>
        <v>FORTITUDEINITIAL</v>
      </c>
      <c r="F685" s="230" t="str">
        <f t="array" ref="F685:F686">{"FORTITUDEINITIALPTS";((IF("00"=(INDEX(ALLCLASSDATA,MATCH("FortitudeSaveLegendary",CLASSFEATUREHEADERS,0),MATCH($A686,CLASSNAMEHEADERS,0))),(INDEX(ALLCLASSDATA,MATCH("FortitudeSaveLegendary",CLASSFEATUREHEADERS,0),MATCH(($A686 &amp; "Points"),CLASSNAMEHEADERS,0))),(IF("00"=(INDEX(ALLCLASSDATA,MATCH("FortitudeSaveMaster",CLASSFEATUREHEADERS,0),MATCH($A686,CLASSNAMEHEADERS,0))),(INDEX(ALLCLASSDATA,MATCH("FortitudeSaveMaster",CLASSFEATUREHEADERS,0),MATCH(($A686 &amp; "Points"),CLASSNAMEHEADERS,0))),(IF("00"=(INDEX(ALLCLASSDATA,MATCH("FortitudeSaveExpert",CLASSFEATUREHEADERS,0),MATCH($A686,CLASSNAMEHEADERS,0))),(INDEX(ALLCLASSDATA,MATCH("FortitudeSaveExpert",CLASSFEATUREHEADERS,0),MATCH(($A686 &amp; "Points"),CLASSNAMEHEADERS,0))),(IF("00"=(INDEX(ALLCLASSDATA,MATCH("FortitudeSaveTrained",CLASSFEATUREHEADERS,0),MATCH($A686,CLASSNAMEHEADERS,0))),(INDEX(ALLCLASSDATA,MATCH("FortitudeSaveTrained",CLASSFEATUREHEADERS,0),MATCH(($A686 &amp; "Points"),CLASSNAMEHEADERS,0))),"")))))))))}</f>
        <v>FORTITUDEINITIALPTS</v>
      </c>
      <c r="G685" s="230" t="str">
        <f t="array" ref="G685:G686">{"FORTITUDEL01";((IF("01"=(INDEX(ALLCLASSDATA,MATCH("FortitudeSaveLegendary",CLASSFEATUREHEADERS,0),MATCH($A686,CLASSNAMEHEADERS,0))),(INDEX(ALLCLASSDATA,MATCH("FortitudeSaveLegendary",CLASSFEATUREHEADERS,0),MATCH(($A686 &amp; "Points"),CLASSNAMEHEADERS,0))),(IF("01"=(INDEX(ALLCLASSDATA,MATCH("FortitudeSaveMaster",CLASSFEATUREHEADERS,0),MATCH($A686,CLASSNAMEHEADERS,0))),(INDEX(ALLCLASSDATA,MATCH("FortitudeSaveMaster",CLASSFEATUREHEADERS,0),MATCH(($A686 &amp; "Points"),CLASSNAMEHEADERS,0))),(IF("01"=(INDEX(ALLCLASSDATA,MATCH("FortitudeSaveExpert",CLASSFEATUREHEADERS,0),MATCH($A686,CLASSNAMEHEADERS,0))),(INDEX(ALLCLASSDATA,MATCH("FortitudeSaveExpert",CLASSFEATUREHEADERS,0),MATCH(($A686 &amp; "Points"),CLASSNAMEHEADERS,0))),(IF("01"=(INDEX(ALLCLASSDATA,MATCH("FortitudeSaveTrained",CLASSFEATUREHEADERS,0),MATCH($A686,CLASSNAMEHEADERS,0))),(INDEX(ALLCLASSDATA,MATCH("FortitudeSaveTrained",CLASSFEATUREHEADERS,0),MATCH(($A686 &amp; "Points"),CLASSNAMEHEADERS,0))),"")))))))))}</f>
        <v>FORTITUDEL01</v>
      </c>
      <c r="H685" s="230"/>
      <c r="I685" s="230" t="str">
        <f t="array" ref="I685:I686">{"FORTITUDEL03";((IF("03"=(INDEX(ALLCLASSDATA,MATCH("FortitudeSaveLegendary",CLASSFEATUREHEADERS,0),MATCH($A686,CLASSNAMEHEADERS,0))),(INDEX(ALLCLASSDATA,MATCH("FortitudeSaveLegendary",CLASSFEATUREHEADERS,0),MATCH(($A686 &amp; "Points"),CLASSNAMEHEADERS,0))),(IF("03"=(INDEX(ALLCLASSDATA,MATCH("FortitudeSaveMaster",CLASSFEATUREHEADERS,0),MATCH($A686,CLASSNAMEHEADERS,0))),(INDEX(ALLCLASSDATA,MATCH("FortitudeSaveMaster",CLASSFEATUREHEADERS,0),MATCH(($A686 &amp; "Points"),CLASSNAMEHEADERS,0))),(IF("03"=(INDEX(ALLCLASSDATA,MATCH("FortitudeSaveExpert",CLASSFEATUREHEADERS,0),MATCH($A686,CLASSNAMEHEADERS,0))),(INDEX(ALLCLASSDATA,MATCH("FortitudeSaveExpert",CLASSFEATUREHEADERS,0),MATCH(($A686 &amp; "Points"),CLASSNAMEHEADERS,0))),(IF("03"=(INDEX(ALLCLASSDATA,MATCH("FortitudeSaveTrained",CLASSFEATUREHEADERS,0),MATCH($A686,CLASSNAMEHEADERS,0))),(INDEX(ALLCLASSDATA,MATCH("FortitudeSaveTrained",CLASSFEATUREHEADERS,0),MATCH(($A686 &amp; "Points"),CLASSNAMEHEADERS,0))),"")))))))))}</f>
        <v>FORTITUDEL03</v>
      </c>
      <c r="J685" s="230"/>
      <c r="K685" s="230" t="str">
        <f t="array" ref="K685:K686">{"FORTITUDEL05";((IF("05"=(INDEX(ALLCLASSDATA,MATCH("FortitudeSaveLegendary",CLASSFEATUREHEADERS,0),MATCH($A686,CLASSNAMEHEADERS,0))),(INDEX(ALLCLASSDATA,MATCH("FortitudeSaveLegendary",CLASSFEATUREHEADERS,0),MATCH(($A686 &amp; "Points"),CLASSNAMEHEADERS,0))),(IF("05"=(INDEX(ALLCLASSDATA,MATCH("FortitudeSaveMaster",CLASSFEATUREHEADERS,0),MATCH($A686,CLASSNAMEHEADERS,0))),(INDEX(ALLCLASSDATA,MATCH("FortitudeSaveMaster",CLASSFEATUREHEADERS,0),MATCH(($A686 &amp; "Points"),CLASSNAMEHEADERS,0))),(IF("05"=(INDEX(ALLCLASSDATA,MATCH("FortitudeSaveExpert",CLASSFEATUREHEADERS,0),MATCH($A686,CLASSNAMEHEADERS,0))),(INDEX(ALLCLASSDATA,MATCH("FortitudeSaveExpert",CLASSFEATUREHEADERS,0),MATCH(($A686 &amp; "Points"),CLASSNAMEHEADERS,0))),(IF("05"=(INDEX(ALLCLASSDATA,MATCH("FortitudeSaveTrained",CLASSFEATUREHEADERS,0),MATCH($A686,CLASSNAMEHEADERS,0))),(INDEX(ALLCLASSDATA,MATCH("FortitudeSaveTrained",CLASSFEATUREHEADERS,0),MATCH(($A686 &amp; "Points"),CLASSNAMEHEADERS,0))),"")))))))))}</f>
        <v>FORTITUDEL05</v>
      </c>
      <c r="L685" s="230"/>
      <c r="M685" s="230" t="str">
        <f t="array" ref="M685:M686">{"FORTITUDEL07";((IF("07"=(INDEX(ALLCLASSDATA,MATCH("FortitudeSaveLegendary",CLASSFEATUREHEADERS,0),MATCH($A686,CLASSNAMEHEADERS,0))),(INDEX(ALLCLASSDATA,MATCH("FortitudeSaveLegendary",CLASSFEATUREHEADERS,0),MATCH(($A686 &amp; "Points"),CLASSNAMEHEADERS,0))),(IF("07"=(INDEX(ALLCLASSDATA,MATCH("FortitudeSaveMaster",CLASSFEATUREHEADERS,0),MATCH($A686,CLASSNAMEHEADERS,0))),(INDEX(ALLCLASSDATA,MATCH("FortitudeSaveMaster",CLASSFEATUREHEADERS,0),MATCH(($A686 &amp; "Points"),CLASSNAMEHEADERS,0))),(IF("07"=(INDEX(ALLCLASSDATA,MATCH("FortitudeSaveExpert",CLASSFEATUREHEADERS,0),MATCH($A686,CLASSNAMEHEADERS,0))),(INDEX(ALLCLASSDATA,MATCH("FortitudeSaveExpert",CLASSFEATUREHEADERS,0),MATCH(($A686 &amp; "Points"),CLASSNAMEHEADERS,0))),(IF("07"=(INDEX(ALLCLASSDATA,MATCH("FortitudeSaveTrained",CLASSFEATUREHEADERS,0),MATCH($A686,CLASSNAMEHEADERS,0))),(INDEX(ALLCLASSDATA,MATCH("FortitudeSaveTrained",CLASSFEATUREHEADERS,0),MATCH(($A686 &amp; "Points"),CLASSNAMEHEADERS,0))),"")))))))))}</f>
        <v>FORTITUDEL07</v>
      </c>
      <c r="N685" s="230"/>
      <c r="O685" s="230" t="str">
        <f t="array" ref="O685:O686">{"FORTITUDEL09";((IF("09"=(INDEX(ALLCLASSDATA,MATCH("FortitudeSaveLegendary",CLASSFEATUREHEADERS,0),MATCH($A686,CLASSNAMEHEADERS,0))),(INDEX(ALLCLASSDATA,MATCH("FortitudeSaveLegendary",CLASSFEATUREHEADERS,0),MATCH(($A686 &amp; "Points"),CLASSNAMEHEADERS,0))),(IF("09"=(INDEX(ALLCLASSDATA,MATCH("FortitudeSaveMaster",CLASSFEATUREHEADERS,0),MATCH($A686,CLASSNAMEHEADERS,0))),(INDEX(ALLCLASSDATA,MATCH("FortitudeSaveMaster",CLASSFEATUREHEADERS,0),MATCH(($A686 &amp; "Points"),CLASSNAMEHEADERS,0))),(IF("09"=(INDEX(ALLCLASSDATA,MATCH("FortitudeSaveExpert",CLASSFEATUREHEADERS,0),MATCH($A686,CLASSNAMEHEADERS,0))),(INDEX(ALLCLASSDATA,MATCH("FortitudeSaveExpert",CLASSFEATUREHEADERS,0),MATCH(($A686 &amp; "Points"),CLASSNAMEHEADERS,0))),(IF("09"=(INDEX(ALLCLASSDATA,MATCH("FortitudeSaveTrained",CLASSFEATUREHEADERS,0),MATCH($A686,CLASSNAMEHEADERS,0))),(INDEX(ALLCLASSDATA,MATCH("FortitudeSaveTrained",CLASSFEATUREHEADERS,0),MATCH(($A686 &amp; "Points"),CLASSNAMEHEADERS,0))),"")))))))))}</f>
        <v>FORTITUDEL09</v>
      </c>
      <c r="P685" s="230"/>
      <c r="Q685" s="230" t="str">
        <f t="array" ref="Q685:Q686">{"FORTITUDEL11";((IF("11"=(INDEX(ALLCLASSDATA,MATCH("FortitudeSaveLegendary",CLASSFEATUREHEADERS,0),MATCH($A686,CLASSNAMEHEADERS,0))),(INDEX(ALLCLASSDATA,MATCH("FortitudeSaveLegendary",CLASSFEATUREHEADERS,0),MATCH(($A686 &amp; "Points"),CLASSNAMEHEADERS,0))),(IF("11"=(INDEX(ALLCLASSDATA,MATCH("FortitudeSaveMaster",CLASSFEATUREHEADERS,0),MATCH($A686,CLASSNAMEHEADERS,0))),(INDEX(ALLCLASSDATA,MATCH("FortitudeSaveMaster",CLASSFEATUREHEADERS,0),MATCH(($A686 &amp; "Points"),CLASSNAMEHEADERS,0))),(IF("11"=(INDEX(ALLCLASSDATA,MATCH("FortitudeSaveExpert",CLASSFEATUREHEADERS,0),MATCH($A686,CLASSNAMEHEADERS,0))),(INDEX(ALLCLASSDATA,MATCH("FortitudeSaveExpert",CLASSFEATUREHEADERS,0),MATCH(($A686 &amp; "Points"),CLASSNAMEHEADERS,0))),(IF("11"=(INDEX(ALLCLASSDATA,MATCH("FortitudeSaveTrained",CLASSFEATUREHEADERS,0),MATCH($A686,CLASSNAMEHEADERS,0))),(INDEX(ALLCLASSDATA,MATCH("FortitudeSaveTrained",CLASSFEATUREHEADERS,0),MATCH(($A686 &amp; "Points"),CLASSNAMEHEADERS,0))),"")))))))))}</f>
        <v>FORTITUDEL11</v>
      </c>
      <c r="R685" s="230"/>
      <c r="S685" s="230" t="str">
        <f t="array" ref="S685:S686">{"FORTITUDEL13";((IF("13"=(INDEX(ALLCLASSDATA,MATCH("FortitudeSaveLegendary",CLASSFEATUREHEADERS,0),MATCH($A686,CLASSNAMEHEADERS,0))),(INDEX(ALLCLASSDATA,MATCH("FortitudeSaveLegendary",CLASSFEATUREHEADERS,0),MATCH(($A686 &amp; "Points"),CLASSNAMEHEADERS,0))),(IF("13"=(INDEX(ALLCLASSDATA,MATCH("FortitudeSaveMaster",CLASSFEATUREHEADERS,0),MATCH($A686,CLASSNAMEHEADERS,0))),(INDEX(ALLCLASSDATA,MATCH("FortitudeSaveMaster",CLASSFEATUREHEADERS,0),MATCH(($A686 &amp; "Points"),CLASSNAMEHEADERS,0))),(IF("13"=(INDEX(ALLCLASSDATA,MATCH("FortitudeSaveExpert",CLASSFEATUREHEADERS,0),MATCH($A686,CLASSNAMEHEADERS,0))),(INDEX(ALLCLASSDATA,MATCH("FortitudeSaveExpert",CLASSFEATUREHEADERS,0),MATCH(($A686 &amp; "Points"),CLASSNAMEHEADERS,0))),(IF("13"=(INDEX(ALLCLASSDATA,MATCH("FortitudeSaveTrained",CLASSFEATUREHEADERS,0),MATCH($A686,CLASSNAMEHEADERS,0))),(INDEX(ALLCLASSDATA,MATCH("FortitudeSaveTrained",CLASSFEATUREHEADERS,0),MATCH(($A686 &amp; "Points"),CLASSNAMEHEADERS,0))),"")))))))))}</f>
        <v>FORTITUDEL13</v>
      </c>
      <c r="T685" s="230"/>
      <c r="U685" s="230" t="str">
        <f t="array" ref="U685:U686">{"FORTITUDEL15";((IF("15"=(INDEX(ALLCLASSDATA,MATCH("FortitudeSaveLegendary",CLASSFEATUREHEADERS,0),MATCH($A686,CLASSNAMEHEADERS,0))),(INDEX(ALLCLASSDATA,MATCH("FortitudeSaveLegendary",CLASSFEATUREHEADERS,0),MATCH(($A686 &amp; "Points"),CLASSNAMEHEADERS,0))),(IF("15"=(INDEX(ALLCLASSDATA,MATCH("FortitudeSaveMaster",CLASSFEATUREHEADERS,0),MATCH($A686,CLASSNAMEHEADERS,0))),(INDEX(ALLCLASSDATA,MATCH("FortitudeSaveMaster",CLASSFEATUREHEADERS,0),MATCH(($A686 &amp; "Points"),CLASSNAMEHEADERS,0))),(IF("15"=(INDEX(ALLCLASSDATA,MATCH("FortitudeSaveExpert",CLASSFEATUREHEADERS,0),MATCH($A686,CLASSNAMEHEADERS,0))),(INDEX(ALLCLASSDATA,MATCH("FortitudeSaveExpert",CLASSFEATUREHEADERS,0),MATCH(($A686 &amp; "Points"),CLASSNAMEHEADERS,0))),(IF("15"=(INDEX(ALLCLASSDATA,MATCH("FortitudeSaveTrained",CLASSFEATUREHEADERS,0),MATCH($A686,CLASSNAMEHEADERS,0))),(INDEX(ALLCLASSDATA,MATCH("FortitudeSaveTrained",CLASSFEATUREHEADERS,0),MATCH(($A686 &amp; "Points"),CLASSNAMEHEADERS,0))),"")))))))))}</f>
        <v>FORTITUDEL15</v>
      </c>
      <c r="V685" s="230"/>
      <c r="W685" s="230" t="str">
        <f t="array" ref="W685:W686">{"FORTITUDEL17";((IF("17"=(INDEX(ALLCLASSDATA,MATCH("FortitudeSaveLegendary",CLASSFEATUREHEADERS,0),MATCH($A686,CLASSNAMEHEADERS,0))),(INDEX(ALLCLASSDATA,MATCH("FortitudeSaveLegendary",CLASSFEATUREHEADERS,0),MATCH(($A686 &amp; "Points"),CLASSNAMEHEADERS,0))),(IF("17"=(INDEX(ALLCLASSDATA,MATCH("FortitudeSaveMaster",CLASSFEATUREHEADERS,0),MATCH($A686,CLASSNAMEHEADERS,0))),(INDEX(ALLCLASSDATA,MATCH("FortitudeSaveMaster",CLASSFEATUREHEADERS,0),MATCH(($A686 &amp; "Points"),CLASSNAMEHEADERS,0))),(IF("17"=(INDEX(ALLCLASSDATA,MATCH("FortitudeSaveExpert",CLASSFEATUREHEADERS,0),MATCH($A686,CLASSNAMEHEADERS,0))),(INDEX(ALLCLASSDATA,MATCH("FortitudeSaveExpert",CLASSFEATUREHEADERS,0),MATCH(($A686 &amp; "Points"),CLASSNAMEHEADERS,0))),(IF("17"=(INDEX(ALLCLASSDATA,MATCH("FortitudeSaveTrained",CLASSFEATUREHEADERS,0),MATCH($A686,CLASSNAMEHEADERS,0))),(INDEX(ALLCLASSDATA,MATCH("FortitudeSaveTrained",CLASSFEATUREHEADERS,0),MATCH(($A686 &amp; "Points"),CLASSNAMEHEADERS,0))),"")))))))))}</f>
        <v>FORTITUDEL17</v>
      </c>
      <c r="X685" s="230"/>
      <c r="Y685" s="230" t="str">
        <f t="array" ref="Y685:Y686">{"FORTITUDEL19";((IF("19"=(INDEX(ALLCLASSDATA,MATCH("FortitudeSaveLegendary",CLASSFEATUREHEADERS,0),MATCH($A686,CLASSNAMEHEADERS,0))),(INDEX(ALLCLASSDATA,MATCH("FortitudeSaveLegendary",CLASSFEATUREHEADERS,0),MATCH(($A686 &amp; "Points"),CLASSNAMEHEADERS,0))),(IF("19"=(INDEX(ALLCLASSDATA,MATCH("FortitudeSaveMaster",CLASSFEATUREHEADERS,0),MATCH($A686,CLASSNAMEHEADERS,0))),(INDEX(ALLCLASSDATA,MATCH("FortitudeSaveMaster",CLASSFEATUREHEADERS,0),MATCH(($A686 &amp; "Points"),CLASSNAMEHEADERS,0))),(IF("19"=(INDEX(ALLCLASSDATA,MATCH("FortitudeSaveExpert",CLASSFEATUREHEADERS,0),MATCH($A686,CLASSNAMEHEADERS,0))),(INDEX(ALLCLASSDATA,MATCH("FortitudeSaveExpert",CLASSFEATUREHEADERS,0),MATCH(($A686 &amp; "Points"),CLASSNAMEHEADERS,0))),(IF("19"=(INDEX(ALLCLASSDATA,MATCH("FortitudeSaveTrained",CLASSFEATUREHEADERS,0),MATCH($A686,CLASSNAMEHEADERS,0))),(INDEX(ALLCLASSDATA,MATCH("FortitudeSaveTrained",CLASSFEATUREHEADERS,0),MATCH(($A686 &amp; "Points"),CLASSNAMEHEADERS,0))),"")))))))))}</f>
        <v>FORTITUDEL19</v>
      </c>
      <c r="Z685" s="230"/>
      <c r="AA685" s="76" t="str">
        <f t="array" ref="AA685:AA686">{"FORTITUDE TOTAL";(IF(COUNTBLANK(F686:Z686)=17,"L",(IF(COUNTBLANK(F686:Z686)=18,"M",(IF(COUNTBLANK(F686:Z686)=19,"E",(IF(COUNTBLANK(F686:Z686)=20,"T",""))))))))}</f>
        <v>FORTITUDE TOTAL</v>
      </c>
      <c r="AB685" s="76" t="str">
        <f t="array" ref="AB685:AB686">{"FORTITUDE TOTAL";(sum(F686:Z686))}</f>
        <v>FORTITUDE TOTAL</v>
      </c>
    </row>
    <row r="686">
      <c r="A686" s="48" t="s">
        <v>223</v>
      </c>
      <c r="B686" s="48" t="s">
        <v>418</v>
      </c>
      <c r="C686" s="48" t="s">
        <v>1549</v>
      </c>
      <c r="D686" s="48" t="s">
        <v>1550</v>
      </c>
      <c r="E686" s="5" t="s">
        <v>435</v>
      </c>
      <c r="F686" s="47" t="s">
        <v>603</v>
      </c>
      <c r="G686" s="5">
        <v>10.0</v>
      </c>
      <c r="H686" s="5"/>
      <c r="I686" s="5" t="s">
        <v>603</v>
      </c>
      <c r="J686" s="5"/>
      <c r="K686" s="5" t="s">
        <v>603</v>
      </c>
      <c r="L686" s="5"/>
      <c r="M686" s="5" t="s">
        <v>603</v>
      </c>
      <c r="N686" s="5"/>
      <c r="O686" s="5">
        <v>50.0</v>
      </c>
      <c r="P686" s="5"/>
      <c r="Q686" s="5" t="s">
        <v>603</v>
      </c>
      <c r="R686" s="5"/>
      <c r="S686" s="5" t="s">
        <v>603</v>
      </c>
      <c r="T686" s="5"/>
      <c r="U686" s="5" t="s">
        <v>603</v>
      </c>
      <c r="V686" s="5"/>
      <c r="W686" s="5" t="s">
        <v>603</v>
      </c>
      <c r="X686" s="5"/>
      <c r="Y686" s="5" t="s">
        <v>603</v>
      </c>
      <c r="Z686" s="5"/>
      <c r="AA686" s="5" t="s">
        <v>436</v>
      </c>
      <c r="AB686" s="47">
        <v>60.0</v>
      </c>
    </row>
    <row r="687" hidden="1">
      <c r="A687" s="222" t="str">
        <f t="array" ref="A687:A688">{"FormulaRow24";(INDEX(CLASSLIST,A640,1))}</f>
        <v>FormulaRow24</v>
      </c>
      <c r="B687" s="222" t="str">
        <f t="array" ref="B687:B688">{"CLASSTYPE";((INDEX(ALLCLASSDATA,MATCH("ClassType",CLASSFEATUREHEADERS,0),MATCH($A688,CLASSNAMEHEADERS,0))))}</f>
        <v>CLASSTYPE</v>
      </c>
      <c r="C687" s="222" t="str">
        <f t="array" ref="C687:C688">{"SAVES";"Saves"}</f>
        <v>SAVES</v>
      </c>
      <c r="D687" s="222" t="str">
        <f t="array" ref="D687:D688">{"REFLEXSAVE";"ReflexSave"}</f>
        <v>REFLEXSAVE</v>
      </c>
      <c r="E687" s="223" t="str">
        <f t="array" ref="E687:E688">{"REFLEXINITIAL";((IF(G688=10,"T",(IF(G688=50,"E","")))))}</f>
        <v>REFLEXINITIAL</v>
      </c>
      <c r="F687" s="223" t="str">
        <f t="array" ref="F687:F688">{"REFLEXINITIALPTS";((IF("00"=(INDEX(ALLCLASSDATA,MATCH("ReflexSaveLegendary",CLASSFEATUREHEADERS,0),MATCH($A688,CLASSNAMEHEADERS,0))),(INDEX(ALLCLASSDATA,MATCH("ReflexSaveLegendary",CLASSFEATUREHEADERS,0),MATCH(($A688 &amp; "Points"),CLASSNAMEHEADERS,0))),(IF("00"=(INDEX(ALLCLASSDATA,MATCH("ReflexSaveMaster",CLASSFEATUREHEADERS,0),MATCH($A688,CLASSNAMEHEADERS,0))),(INDEX(ALLCLASSDATA,MATCH("ReflexSaveMaster",CLASSFEATUREHEADERS,0),MATCH(($A688 &amp; "Points"),CLASSNAMEHEADERS,0))),(IF("00"=(INDEX(ALLCLASSDATA,MATCH("ReflexSaveExpert",CLASSFEATUREHEADERS,0),MATCH($A688,CLASSNAMEHEADERS,0))),(INDEX(ALLCLASSDATA,MATCH("ReflexSaveExpert",CLASSFEATUREHEADERS,0),MATCH(($A688 &amp; "Points"),CLASSNAMEHEADERS,0))),(IF("00"=(INDEX(ALLCLASSDATA,MATCH("ReflexSaveTrained",CLASSFEATUREHEADERS,0),MATCH($A688,CLASSNAMEHEADERS,0))),(INDEX(ALLCLASSDATA,MATCH("ReflexSaveTrained",CLASSFEATUREHEADERS,0),MATCH(($A688 &amp; "Points"),CLASSNAMEHEADERS,0))),"")))))))))}</f>
        <v>REFLEXINITIALPTS</v>
      </c>
      <c r="G687" s="223" t="str">
        <f t="array" ref="G687:G688">{"REFLEXL01";((IF("01"=(INDEX(ALLCLASSDATA,MATCH("ReflexSaveLegendary",CLASSFEATUREHEADERS,0),MATCH($A688,CLASSNAMEHEADERS,0))),(INDEX(ALLCLASSDATA,MATCH("ReflexSaveLegendary",CLASSFEATUREHEADERS,0),MATCH(($A688 &amp; "Points"),CLASSNAMEHEADERS,0))),(IF("01"=(INDEX(ALLCLASSDATA,MATCH("ReflexSaveMaster",CLASSFEATUREHEADERS,0),MATCH($A688,CLASSNAMEHEADERS,0))),(INDEX(ALLCLASSDATA,MATCH("ReflexSaveMaster",CLASSFEATUREHEADERS,0),MATCH(($A688 &amp; "Points"),CLASSNAMEHEADERS,0))),(IF("01"=(INDEX(ALLCLASSDATA,MATCH("ReflexSaveExpert",CLASSFEATUREHEADERS,0),MATCH($A688,CLASSNAMEHEADERS,0))),(INDEX(ALLCLASSDATA,MATCH("ReflexSaveExpert",CLASSFEATUREHEADERS,0),MATCH(($A688 &amp; "Points"),CLASSNAMEHEADERS,0))),(IF("01"=(INDEX(ALLCLASSDATA,MATCH("ReflexSaveTrained",CLASSFEATUREHEADERS,0),MATCH($A688,CLASSNAMEHEADERS,0))),(INDEX(ALLCLASSDATA,MATCH("ReflexSaveTrained",CLASSFEATUREHEADERS,0),MATCH(($A688 &amp; "Points"),CLASSNAMEHEADERS,0))),"")))))))))}</f>
        <v>REFLEXL01</v>
      </c>
      <c r="H687" s="223"/>
      <c r="I687" s="223" t="str">
        <f t="array" ref="I687:I688">{"REFLEXL03";((IF("03"=(INDEX(ALLCLASSDATA,MATCH("ReflexSaveLegendary",CLASSFEATUREHEADERS,0),MATCH($A688,CLASSNAMEHEADERS,0))),(INDEX(ALLCLASSDATA,MATCH("ReflexSaveLegendary",CLASSFEATUREHEADERS,0),MATCH(($A688 &amp; "Points"),CLASSNAMEHEADERS,0))),(IF("03"=(INDEX(ALLCLASSDATA,MATCH("ReflexSaveMaster",CLASSFEATUREHEADERS,0),MATCH($A688,CLASSNAMEHEADERS,0))),(INDEX(ALLCLASSDATA,MATCH("ReflexSaveMaster",CLASSFEATUREHEADERS,0),MATCH(($A688 &amp; "Points"),CLASSNAMEHEADERS,0))),(IF("03"=(INDEX(ALLCLASSDATA,MATCH("ReflexSaveExpert",CLASSFEATUREHEADERS,0),MATCH($A688,CLASSNAMEHEADERS,0))),(INDEX(ALLCLASSDATA,MATCH("ReflexSaveExpert",CLASSFEATUREHEADERS,0),MATCH(($A688 &amp; "Points"),CLASSNAMEHEADERS,0))),(IF("03"=(INDEX(ALLCLASSDATA,MATCH("ReflexSaveTrained",CLASSFEATUREHEADERS,0),MATCH($A688,CLASSNAMEHEADERS,0))),(INDEX(ALLCLASSDATA,MATCH("ReflexSaveTrained",CLASSFEATUREHEADERS,0),MATCH(($A688 &amp; "Points"),CLASSNAMEHEADERS,0))),"")))))))))}</f>
        <v>REFLEXL03</v>
      </c>
      <c r="J687" s="223"/>
      <c r="K687" s="223" t="str">
        <f t="array" ref="K687:K688">{"REFLEXL05";((IF("05"=(INDEX(ALLCLASSDATA,MATCH("ReflexSaveLegendary",CLASSFEATUREHEADERS,0),MATCH($A688,CLASSNAMEHEADERS,0))),(INDEX(ALLCLASSDATA,MATCH("ReflexSaveLegendary",CLASSFEATUREHEADERS,0),MATCH(($A688 &amp; "Points"),CLASSNAMEHEADERS,0))),(IF("05"=(INDEX(ALLCLASSDATA,MATCH("ReflexSaveMaster",CLASSFEATUREHEADERS,0),MATCH($A688,CLASSNAMEHEADERS,0))),(INDEX(ALLCLASSDATA,MATCH("ReflexSaveMaster",CLASSFEATUREHEADERS,0),MATCH(($A688 &amp; "Points"),CLASSNAMEHEADERS,0))),(IF("05"=(INDEX(ALLCLASSDATA,MATCH("ReflexSaveExpert",CLASSFEATUREHEADERS,0),MATCH($A688,CLASSNAMEHEADERS,0))),(INDEX(ALLCLASSDATA,MATCH("ReflexSaveExpert",CLASSFEATUREHEADERS,0),MATCH(($A688 &amp; "Points"),CLASSNAMEHEADERS,0))),(IF("05"=(INDEX(ALLCLASSDATA,MATCH("ReflexSaveTrained",CLASSFEATUREHEADERS,0),MATCH($A688,CLASSNAMEHEADERS,0))),(INDEX(ALLCLASSDATA,MATCH("ReflexSaveTrained",CLASSFEATUREHEADERS,0),MATCH(($A688 &amp; "Points"),CLASSNAMEHEADERS,0))),"")))))))))}</f>
        <v>REFLEXL05</v>
      </c>
      <c r="L687" s="223"/>
      <c r="M687" s="223" t="str">
        <f t="array" ref="M687:M688">{"REFLEXL07";((IF("07"=(INDEX(ALLCLASSDATA,MATCH("ReflexSaveLegendary",CLASSFEATUREHEADERS,0),MATCH($A688,CLASSNAMEHEADERS,0))),(INDEX(ALLCLASSDATA,MATCH("ReflexSaveLegendary",CLASSFEATUREHEADERS,0),MATCH(($A688 &amp; "Points"),CLASSNAMEHEADERS,0))),(IF("07"=(INDEX(ALLCLASSDATA,MATCH("ReflexSaveMaster",CLASSFEATUREHEADERS,0),MATCH($A688,CLASSNAMEHEADERS,0))),(INDEX(ALLCLASSDATA,MATCH("ReflexSaveMaster",CLASSFEATUREHEADERS,0),MATCH(($A688 &amp; "Points"),CLASSNAMEHEADERS,0))),(IF("07"=(INDEX(ALLCLASSDATA,MATCH("ReflexSaveExpert",CLASSFEATUREHEADERS,0),MATCH($A688,CLASSNAMEHEADERS,0))),(INDEX(ALLCLASSDATA,MATCH("ReflexSaveExpert",CLASSFEATUREHEADERS,0),MATCH(($A688 &amp; "Points"),CLASSNAMEHEADERS,0))),(IF("07"=(INDEX(ALLCLASSDATA,MATCH("ReflexSaveTrained",CLASSFEATUREHEADERS,0),MATCH($A688,CLASSNAMEHEADERS,0))),(INDEX(ALLCLASSDATA,MATCH("ReflexSaveTrained",CLASSFEATUREHEADERS,0),MATCH(($A688 &amp; "Points"),CLASSNAMEHEADERS,0))),"")))))))))}</f>
        <v>REFLEXL07</v>
      </c>
      <c r="N687" s="223"/>
      <c r="O687" s="223" t="str">
        <f t="array" ref="O687:O688">{"REFLEXL09";((IF("09"=(INDEX(ALLCLASSDATA,MATCH("ReflexSaveLegendary",CLASSFEATUREHEADERS,0),MATCH($A688,CLASSNAMEHEADERS,0))),(INDEX(ALLCLASSDATA,MATCH("ReflexSaveLegendary",CLASSFEATUREHEADERS,0),MATCH(($A688 &amp; "Points"),CLASSNAMEHEADERS,0))),(IF("09"=(INDEX(ALLCLASSDATA,MATCH("ReflexSaveMaster",CLASSFEATUREHEADERS,0),MATCH($A688,CLASSNAMEHEADERS,0))),(INDEX(ALLCLASSDATA,MATCH("ReflexSaveMaster",CLASSFEATUREHEADERS,0),MATCH(($A688 &amp; "Points"),CLASSNAMEHEADERS,0))),(IF("09"=(INDEX(ALLCLASSDATA,MATCH("ReflexSaveExpert",CLASSFEATUREHEADERS,0),MATCH($A688,CLASSNAMEHEADERS,0))),(INDEX(ALLCLASSDATA,MATCH("ReflexSaveExpert",CLASSFEATUREHEADERS,0),MATCH(($A688 &amp; "Points"),CLASSNAMEHEADERS,0))),(IF("09"=(INDEX(ALLCLASSDATA,MATCH("ReflexSaveTrained",CLASSFEATUREHEADERS,0),MATCH($A688,CLASSNAMEHEADERS,0))),(INDEX(ALLCLASSDATA,MATCH("ReflexSaveTrained",CLASSFEATUREHEADERS,0),MATCH(($A688 &amp; "Points"),CLASSNAMEHEADERS,0))),"")))))))))}</f>
        <v>REFLEXL09</v>
      </c>
      <c r="P687" s="223"/>
      <c r="Q687" s="223" t="str">
        <f t="array" ref="Q687:Q688">{"REFLEXL11";((IF("11"=(INDEX(ALLCLASSDATA,MATCH("ReflexSaveLegendary",CLASSFEATUREHEADERS,0),MATCH($A688,CLASSNAMEHEADERS,0))),(INDEX(ALLCLASSDATA,MATCH("ReflexSaveLegendary",CLASSFEATUREHEADERS,0),MATCH(($A688 &amp; "Points"),CLASSNAMEHEADERS,0))),(IF("11"=(INDEX(ALLCLASSDATA,MATCH("ReflexSaveMaster",CLASSFEATUREHEADERS,0),MATCH($A688,CLASSNAMEHEADERS,0))),(INDEX(ALLCLASSDATA,MATCH("ReflexSaveMaster",CLASSFEATUREHEADERS,0),MATCH(($A688 &amp; "Points"),CLASSNAMEHEADERS,0))),(IF("11"=(INDEX(ALLCLASSDATA,MATCH("ReflexSaveExpert",CLASSFEATUREHEADERS,0),MATCH($A688,CLASSNAMEHEADERS,0))),(INDEX(ALLCLASSDATA,MATCH("ReflexSaveExpert",CLASSFEATUREHEADERS,0),MATCH(($A688 &amp; "Points"),CLASSNAMEHEADERS,0))),(IF("11"=(INDEX(ALLCLASSDATA,MATCH("ReflexSaveTrained",CLASSFEATUREHEADERS,0),MATCH($A688,CLASSNAMEHEADERS,0))),(INDEX(ALLCLASSDATA,MATCH("ReflexSaveTrained",CLASSFEATUREHEADERS,0),MATCH(($A688 &amp; "Points"),CLASSNAMEHEADERS,0))),"")))))))))}</f>
        <v>REFLEXL11</v>
      </c>
      <c r="R687" s="223"/>
      <c r="S687" s="223" t="str">
        <f t="array" ref="S687:S688">{"REFLEXL13";((IF("13"=(INDEX(ALLCLASSDATA,MATCH("ReflexSaveLegendary",CLASSFEATUREHEADERS,0),MATCH($A688,CLASSNAMEHEADERS,0))),(INDEX(ALLCLASSDATA,MATCH("ReflexSaveLegendary",CLASSFEATUREHEADERS,0),MATCH(($A688 &amp; "Points"),CLASSNAMEHEADERS,0))),(IF("13"=(INDEX(ALLCLASSDATA,MATCH("ReflexSaveMaster",CLASSFEATUREHEADERS,0),MATCH($A688,CLASSNAMEHEADERS,0))),(INDEX(ALLCLASSDATA,MATCH("ReflexSaveMaster",CLASSFEATUREHEADERS,0),MATCH(($A688 &amp; "Points"),CLASSNAMEHEADERS,0))),(IF("13"=(INDEX(ALLCLASSDATA,MATCH("ReflexSaveExpert",CLASSFEATUREHEADERS,0),MATCH($A688,CLASSNAMEHEADERS,0))),(INDEX(ALLCLASSDATA,MATCH("ReflexSaveExpert",CLASSFEATUREHEADERS,0),MATCH(($A688 &amp; "Points"),CLASSNAMEHEADERS,0))),(IF("13"=(INDEX(ALLCLASSDATA,MATCH("ReflexSaveTrained",CLASSFEATUREHEADERS,0),MATCH($A688,CLASSNAMEHEADERS,0))),(INDEX(ALLCLASSDATA,MATCH("ReflexSaveTrained",CLASSFEATUREHEADERS,0),MATCH(($A688 &amp; "Points"),CLASSNAMEHEADERS,0))),"")))))))))}</f>
        <v>REFLEXL13</v>
      </c>
      <c r="T687" s="223"/>
      <c r="U687" s="223" t="str">
        <f t="array" ref="U687:U688">{"REFLEXL15";((IF("15"=(INDEX(ALLCLASSDATA,MATCH("ReflexSaveLegendary",CLASSFEATUREHEADERS,0),MATCH($A688,CLASSNAMEHEADERS,0))),(INDEX(ALLCLASSDATA,MATCH("ReflexSaveLegendary",CLASSFEATUREHEADERS,0),MATCH(($A688 &amp; "Points"),CLASSNAMEHEADERS,0))),(IF("15"=(INDEX(ALLCLASSDATA,MATCH("ReflexSaveMaster",CLASSFEATUREHEADERS,0),MATCH($A688,CLASSNAMEHEADERS,0))),(INDEX(ALLCLASSDATA,MATCH("ReflexSaveMaster",CLASSFEATUREHEADERS,0),MATCH(($A688 &amp; "Points"),CLASSNAMEHEADERS,0))),(IF("15"=(INDEX(ALLCLASSDATA,MATCH("ReflexSaveExpert",CLASSFEATUREHEADERS,0),MATCH($A688,CLASSNAMEHEADERS,0))),(INDEX(ALLCLASSDATA,MATCH("ReflexSaveExpert",CLASSFEATUREHEADERS,0),MATCH(($A688 &amp; "Points"),CLASSNAMEHEADERS,0))),(IF("15"=(INDEX(ALLCLASSDATA,MATCH("ReflexSaveTrained",CLASSFEATUREHEADERS,0),MATCH($A688,CLASSNAMEHEADERS,0))),(INDEX(ALLCLASSDATA,MATCH("ReflexSaveTrained",CLASSFEATUREHEADERS,0),MATCH(($A688 &amp; "Points"),CLASSNAMEHEADERS,0))),"")))))))))}</f>
        <v>REFLEXL15</v>
      </c>
      <c r="V687" s="223"/>
      <c r="W687" s="223" t="str">
        <f t="array" ref="W687:W688">{"REFLEXL17";((IF("17"=(INDEX(ALLCLASSDATA,MATCH("ReflexSaveLegendary",CLASSFEATUREHEADERS,0),MATCH($A688,CLASSNAMEHEADERS,0))),(INDEX(ALLCLASSDATA,MATCH("ReflexSaveLegendary",CLASSFEATUREHEADERS,0),MATCH(($A688 &amp; "Points"),CLASSNAMEHEADERS,0))),(IF("17"=(INDEX(ALLCLASSDATA,MATCH("ReflexSaveMaster",CLASSFEATUREHEADERS,0),MATCH($A688,CLASSNAMEHEADERS,0))),(INDEX(ALLCLASSDATA,MATCH("ReflexSaveMaster",CLASSFEATUREHEADERS,0),MATCH(($A688 &amp; "Points"),CLASSNAMEHEADERS,0))),(IF("17"=(INDEX(ALLCLASSDATA,MATCH("ReflexSaveExpert",CLASSFEATUREHEADERS,0),MATCH($A688,CLASSNAMEHEADERS,0))),(INDEX(ALLCLASSDATA,MATCH("ReflexSaveExpert",CLASSFEATUREHEADERS,0),MATCH(($A688 &amp; "Points"),CLASSNAMEHEADERS,0))),(IF("17"=(INDEX(ALLCLASSDATA,MATCH("ReflexSaveTrained",CLASSFEATUREHEADERS,0),MATCH($A688,CLASSNAMEHEADERS,0))),(INDEX(ALLCLASSDATA,MATCH("ReflexSaveTrained",CLASSFEATUREHEADERS,0),MATCH(($A688 &amp; "Points"),CLASSNAMEHEADERS,0))),"")))))))))}</f>
        <v>REFLEXL17</v>
      </c>
      <c r="X687" s="223"/>
      <c r="Y687" s="223" t="str">
        <f t="array" ref="Y687:Y688">{"REFLEXL19";((IF("19"=(INDEX(ALLCLASSDATA,MATCH("ReflexSaveLegendary",CLASSFEATUREHEADERS,0),MATCH($A688,CLASSNAMEHEADERS,0))),(INDEX(ALLCLASSDATA,MATCH("ReflexSaveLegendary",CLASSFEATUREHEADERS,0),MATCH(($A688 &amp; "Points"),CLASSNAMEHEADERS,0))),(IF("19"=(INDEX(ALLCLASSDATA,MATCH("ReflexSaveMaster",CLASSFEATUREHEADERS,0),MATCH($A688,CLASSNAMEHEADERS,0))),(INDEX(ALLCLASSDATA,MATCH("ReflexSaveMaster",CLASSFEATUREHEADERS,0),MATCH(($A688 &amp; "Points"),CLASSNAMEHEADERS,0))),(IF("19"=(INDEX(ALLCLASSDATA,MATCH("ReflexSaveExpert",CLASSFEATUREHEADERS,0),MATCH($A688,CLASSNAMEHEADERS,0))),(INDEX(ALLCLASSDATA,MATCH("ReflexSaveExpert",CLASSFEATUREHEADERS,0),MATCH(($A688 &amp; "Points"),CLASSNAMEHEADERS,0))),(IF("19"=(INDEX(ALLCLASSDATA,MATCH("ReflexSaveTrained",CLASSFEATUREHEADERS,0),MATCH($A688,CLASSNAMEHEADERS,0))),(INDEX(ALLCLASSDATA,MATCH("ReflexSaveTrained",CLASSFEATUREHEADERS,0),MATCH(($A688 &amp; "Points"),CLASSNAMEHEADERS,0))),"")))))))))}</f>
        <v>REFLEXL19</v>
      </c>
      <c r="Z687" s="223"/>
      <c r="AA687" s="76" t="str">
        <f t="array" ref="AA687:AA688">{"REFLEX TOTAL";(IF(COUNTBLANK(F688:Z688)=17,"L",(IF(COUNTBLANK(F688:Z688)=18,"M",(IF(COUNTBLANK(F688:Z688)=19,"E",(IF(COUNTBLANK(F688:Z688)=20,"T",""))))))))}</f>
        <v>REFLEX TOTAL</v>
      </c>
      <c r="AB687" s="76" t="str">
        <f t="array" ref="AB687:AB688">{"REFLEX TOTAL";(sum(F688:Z688))}</f>
        <v>REFLEX TOTAL</v>
      </c>
    </row>
    <row r="688">
      <c r="A688" s="48" t="s">
        <v>223</v>
      </c>
      <c r="B688" s="48" t="s">
        <v>418</v>
      </c>
      <c r="C688" s="48" t="s">
        <v>1549</v>
      </c>
      <c r="D688" s="48" t="s">
        <v>1572</v>
      </c>
      <c r="E688" s="5" t="s">
        <v>435</v>
      </c>
      <c r="F688" s="47" t="s">
        <v>603</v>
      </c>
      <c r="G688" s="5">
        <v>10.0</v>
      </c>
      <c r="H688" s="5"/>
      <c r="I688" s="5" t="s">
        <v>603</v>
      </c>
      <c r="J688" s="5"/>
      <c r="K688" s="5" t="s">
        <v>603</v>
      </c>
      <c r="L688" s="5"/>
      <c r="M688" s="5" t="s">
        <v>603</v>
      </c>
      <c r="N688" s="5"/>
      <c r="O688" s="5" t="s">
        <v>603</v>
      </c>
      <c r="P688" s="5"/>
      <c r="Q688" s="5" t="s">
        <v>603</v>
      </c>
      <c r="R688" s="5"/>
      <c r="S688" s="5">
        <v>50.0</v>
      </c>
      <c r="T688" s="5"/>
      <c r="U688" s="5" t="s">
        <v>603</v>
      </c>
      <c r="V688" s="5"/>
      <c r="W688" s="5" t="s">
        <v>603</v>
      </c>
      <c r="X688" s="5"/>
      <c r="Y688" s="5" t="s">
        <v>603</v>
      </c>
      <c r="Z688" s="5"/>
      <c r="AA688" s="5" t="s">
        <v>436</v>
      </c>
      <c r="AB688" s="47">
        <v>60.0</v>
      </c>
    </row>
    <row r="689" hidden="1">
      <c r="A689" s="222" t="str">
        <f t="array" ref="A689:A690">{"FormulaRow25";(INDEX(CLASSLIST,A640,1))}</f>
        <v>FormulaRow25</v>
      </c>
      <c r="B689" s="222" t="str">
        <f t="array" ref="B689:B690">{"CLASSTYPE";((INDEX(ALLCLASSDATA,MATCH("ClassType",CLASSFEATUREHEADERS,0),MATCH($A690,CLASSNAMEHEADERS,0))))}</f>
        <v>CLASSTYPE</v>
      </c>
      <c r="C689" s="222" t="str">
        <f t="array" ref="C689:C690">{"SAVES";"Saves"}</f>
        <v>SAVES</v>
      </c>
      <c r="D689" s="222" t="str">
        <f t="array" ref="D689:D690">{"WILLSAVE";"WillSave"}</f>
        <v>WILLSAVE</v>
      </c>
      <c r="E689" s="223" t="str">
        <f t="array" ref="E689:E690">{"WILLINITIAL";((IF(G690=10,"T",(IF(G690=50,"E","")))))}</f>
        <v>WILLINITIAL</v>
      </c>
      <c r="F689" s="223" t="str">
        <f t="array" ref="F689:F690">{"WILLINITIALPTS";((IF("00"=(INDEX(ALLCLASSDATA,MATCH("WillSaveLegendary",CLASSFEATUREHEADERS,0),MATCH($A690,CLASSNAMEHEADERS,0))),(INDEX(ALLCLASSDATA,MATCH("WillSaveLegendary",CLASSFEATUREHEADERS,0),MATCH(($A690 &amp; "Points"),CLASSNAMEHEADERS,0))),(IF("00"=(INDEX(ALLCLASSDATA,MATCH("WillSaveMaster",CLASSFEATUREHEADERS,0),MATCH($A690,CLASSNAMEHEADERS,0))),(INDEX(ALLCLASSDATA,MATCH("WillSaveMaster",CLASSFEATUREHEADERS,0),MATCH(($A690 &amp; "Points"),CLASSNAMEHEADERS,0))),(IF("00"=(INDEX(ALLCLASSDATA,MATCH("WillSaveExpert",CLASSFEATUREHEADERS,0),MATCH($A690,CLASSNAMEHEADERS,0))),(INDEX(ALLCLASSDATA,MATCH("WillSaveExpert",CLASSFEATUREHEADERS,0),MATCH(($A690 &amp; "Points"),CLASSNAMEHEADERS,0))),(IF("00"=(INDEX(ALLCLASSDATA,MATCH("WillSaveTrained",CLASSFEATUREHEADERS,0),MATCH($A690,CLASSNAMEHEADERS,0))),(INDEX(ALLCLASSDATA,MATCH("WillSaveTrained",CLASSFEATUREHEADERS,0),MATCH(($A690 &amp; "Points"),CLASSNAMEHEADERS,0))),"")))))))))}</f>
        <v>WILLINITIALPTS</v>
      </c>
      <c r="G689" s="223" t="str">
        <f t="array" ref="G689:G690">{"WILLL01";((IF("01"=(INDEX(ALLCLASSDATA,MATCH("WillSaveLegendary",CLASSFEATUREHEADERS,0),MATCH($A690,CLASSNAMEHEADERS,0))),(INDEX(ALLCLASSDATA,MATCH("WillSaveLegendary",CLASSFEATUREHEADERS,0),MATCH(($A690 &amp; "Points"),CLASSNAMEHEADERS,0))),(IF("01"=(INDEX(ALLCLASSDATA,MATCH("WillSaveMaster",CLASSFEATUREHEADERS,0),MATCH($A690,CLASSNAMEHEADERS,0))),(INDEX(ALLCLASSDATA,MATCH("WillSaveMaster",CLASSFEATUREHEADERS,0),MATCH(($A690 &amp; "Points"),CLASSNAMEHEADERS,0))),(IF("01"=(INDEX(ALLCLASSDATA,MATCH("WillSaveExpert",CLASSFEATUREHEADERS,0),MATCH($A690,CLASSNAMEHEADERS,0))),(INDEX(ALLCLASSDATA,MATCH("WillSaveExpert",CLASSFEATUREHEADERS,0),MATCH(($A690 &amp; "Points"),CLASSNAMEHEADERS,0))),(IF("01"=(INDEX(ALLCLASSDATA,MATCH("WillSaveTrained",CLASSFEATUREHEADERS,0),MATCH($A690,CLASSNAMEHEADERS,0))),(INDEX(ALLCLASSDATA,MATCH("WillSaveTrained",CLASSFEATUREHEADERS,0),MATCH(($A690 &amp; "Points"),CLASSNAMEHEADERS,0))),"")))))))))}</f>
        <v>WILLL01</v>
      </c>
      <c r="H689" s="223"/>
      <c r="I689" s="223" t="str">
        <f t="array" ref="I689:I690">{"WILLL03";((IF("03"=(INDEX(ALLCLASSDATA,MATCH("WillSaveLegendary",CLASSFEATUREHEADERS,0),MATCH($A690,CLASSNAMEHEADERS,0))),(INDEX(ALLCLASSDATA,MATCH("WillSaveLegendary",CLASSFEATUREHEADERS,0),MATCH(($A690 &amp; "Points"),CLASSNAMEHEADERS,0))),(IF("03"=(INDEX(ALLCLASSDATA,MATCH("WillSaveMaster",CLASSFEATUREHEADERS,0),MATCH($A690,CLASSNAMEHEADERS,0))),(INDEX(ALLCLASSDATA,MATCH("WillSaveMaster",CLASSFEATUREHEADERS,0),MATCH(($A690 &amp; "Points"),CLASSNAMEHEADERS,0))),(IF("03"=(INDEX(ALLCLASSDATA,MATCH("WillSaveExpert",CLASSFEATUREHEADERS,0),MATCH($A690,CLASSNAMEHEADERS,0))),(INDEX(ALLCLASSDATA,MATCH("WillSaveExpert",CLASSFEATUREHEADERS,0),MATCH(($A690 &amp; "Points"),CLASSNAMEHEADERS,0))),(IF("03"=(INDEX(ALLCLASSDATA,MATCH("WillSaveTrained",CLASSFEATUREHEADERS,0),MATCH($A690,CLASSNAMEHEADERS,0))),(INDEX(ALLCLASSDATA,MATCH("WillSaveTrained",CLASSFEATUREHEADERS,0),MATCH(($A690 &amp; "Points"),CLASSNAMEHEADERS,0))),"")))))))))}</f>
        <v>WILLL03</v>
      </c>
      <c r="J689" s="223"/>
      <c r="K689" s="223" t="str">
        <f t="array" ref="K689:K690">{"WILLL05";((IF("05"=(INDEX(ALLCLASSDATA,MATCH("WillSaveLegendary",CLASSFEATUREHEADERS,0),MATCH($A690,CLASSNAMEHEADERS,0))),(INDEX(ALLCLASSDATA,MATCH("WillSaveLegendary",CLASSFEATUREHEADERS,0),MATCH(($A690 &amp; "Points"),CLASSNAMEHEADERS,0))),(IF("05"=(INDEX(ALLCLASSDATA,MATCH("WillSaveMaster",CLASSFEATUREHEADERS,0),MATCH($A690,CLASSNAMEHEADERS,0))),(INDEX(ALLCLASSDATA,MATCH("WillSaveMaster",CLASSFEATUREHEADERS,0),MATCH(($A690 &amp; "Points"),CLASSNAMEHEADERS,0))),(IF("05"=(INDEX(ALLCLASSDATA,MATCH("WillSaveExpert",CLASSFEATUREHEADERS,0),MATCH($A690,CLASSNAMEHEADERS,0))),(INDEX(ALLCLASSDATA,MATCH("WillSaveExpert",CLASSFEATUREHEADERS,0),MATCH(($A690 &amp; "Points"),CLASSNAMEHEADERS,0))),(IF("05"=(INDEX(ALLCLASSDATA,MATCH("WillSaveTrained",CLASSFEATUREHEADERS,0),MATCH($A690,CLASSNAMEHEADERS,0))),(INDEX(ALLCLASSDATA,MATCH("WillSaveTrained",CLASSFEATUREHEADERS,0),MATCH(($A690 &amp; "Points"),CLASSNAMEHEADERS,0))),"")))))))))}</f>
        <v>WILLL05</v>
      </c>
      <c r="L689" s="223"/>
      <c r="M689" s="223" t="str">
        <f t="array" ref="M689:M690">{"WILLL07";((IF("07"=(INDEX(ALLCLASSDATA,MATCH("WillSaveLegendary",CLASSFEATUREHEADERS,0),MATCH($A690,CLASSNAMEHEADERS,0))),(INDEX(ALLCLASSDATA,MATCH("WillSaveLegendary",CLASSFEATUREHEADERS,0),MATCH(($A690 &amp; "Points"),CLASSNAMEHEADERS,0))),(IF("07"=(INDEX(ALLCLASSDATA,MATCH("WillSaveMaster",CLASSFEATUREHEADERS,0),MATCH($A690,CLASSNAMEHEADERS,0))),(INDEX(ALLCLASSDATA,MATCH("WillSaveMaster",CLASSFEATUREHEADERS,0),MATCH(($A690 &amp; "Points"),CLASSNAMEHEADERS,0))),(IF("07"=(INDEX(ALLCLASSDATA,MATCH("WillSaveExpert",CLASSFEATUREHEADERS,0),MATCH($A690,CLASSNAMEHEADERS,0))),(INDEX(ALLCLASSDATA,MATCH("WillSaveExpert",CLASSFEATUREHEADERS,0),MATCH(($A690 &amp; "Points"),CLASSNAMEHEADERS,0))),(IF("07"=(INDEX(ALLCLASSDATA,MATCH("WillSaveTrained",CLASSFEATUREHEADERS,0),MATCH($A690,CLASSNAMEHEADERS,0))),(INDEX(ALLCLASSDATA,MATCH("WillSaveTrained",CLASSFEATUREHEADERS,0),MATCH(($A690 &amp; "Points"),CLASSNAMEHEADERS,0))),"")))))))))}</f>
        <v>WILLL07</v>
      </c>
      <c r="N689" s="223"/>
      <c r="O689" s="223" t="str">
        <f t="array" ref="O689:O690">{"WILLL09";((IF("09"=(INDEX(ALLCLASSDATA,MATCH("WillSaveLegendary",CLASSFEATUREHEADERS,0),MATCH($A690,CLASSNAMEHEADERS,0))),(INDEX(ALLCLASSDATA,MATCH("WillSaveLegendary",CLASSFEATUREHEADERS,0),MATCH(($A690 &amp; "Points"),CLASSNAMEHEADERS,0))),(IF("09"=(INDEX(ALLCLASSDATA,MATCH("WillSaveMaster",CLASSFEATUREHEADERS,0),MATCH($A690,CLASSNAMEHEADERS,0))),(INDEX(ALLCLASSDATA,MATCH("WillSaveMaster",CLASSFEATUREHEADERS,0),MATCH(($A690 &amp; "Points"),CLASSNAMEHEADERS,0))),(IF("09"=(INDEX(ALLCLASSDATA,MATCH("WillSaveExpert",CLASSFEATUREHEADERS,0),MATCH($A690,CLASSNAMEHEADERS,0))),(INDEX(ALLCLASSDATA,MATCH("WillSaveExpert",CLASSFEATUREHEADERS,0),MATCH(($A690 &amp; "Points"),CLASSNAMEHEADERS,0))),(IF("09"=(INDEX(ALLCLASSDATA,MATCH("WillSaveTrained",CLASSFEATUREHEADERS,0),MATCH($A690,CLASSNAMEHEADERS,0))),(INDEX(ALLCLASSDATA,MATCH("WillSaveTrained",CLASSFEATUREHEADERS,0),MATCH(($A690 &amp; "Points"),CLASSNAMEHEADERS,0))),"")))))))))}</f>
        <v>WILLL09</v>
      </c>
      <c r="P689" s="223"/>
      <c r="Q689" s="223" t="str">
        <f t="array" ref="Q689:Q690">{"WILLL11";((IF("11"=(INDEX(ALLCLASSDATA,MATCH("WillSaveLegendary",CLASSFEATUREHEADERS,0),MATCH($A690,CLASSNAMEHEADERS,0))),(INDEX(ALLCLASSDATA,MATCH("WillSaveLegendary",CLASSFEATUREHEADERS,0),MATCH(($A690 &amp; "Points"),CLASSNAMEHEADERS,0))),(IF("11"=(INDEX(ALLCLASSDATA,MATCH("WillSaveMaster",CLASSFEATUREHEADERS,0),MATCH($A690,CLASSNAMEHEADERS,0))),(INDEX(ALLCLASSDATA,MATCH("WillSaveMaster",CLASSFEATUREHEADERS,0),MATCH(($A690 &amp; "Points"),CLASSNAMEHEADERS,0))),(IF("11"=(INDEX(ALLCLASSDATA,MATCH("WillSaveExpert",CLASSFEATUREHEADERS,0),MATCH($A690,CLASSNAMEHEADERS,0))),(INDEX(ALLCLASSDATA,MATCH("WillSaveExpert",CLASSFEATUREHEADERS,0),MATCH(($A690 &amp; "Points"),CLASSNAMEHEADERS,0))),(IF("11"=(INDEX(ALLCLASSDATA,MATCH("WillSaveTrained",CLASSFEATUREHEADERS,0),MATCH($A690,CLASSNAMEHEADERS,0))),(INDEX(ALLCLASSDATA,MATCH("WillSaveTrained",CLASSFEATUREHEADERS,0),MATCH(($A690 &amp; "Points"),CLASSNAMEHEADERS,0))),"")))))))))}</f>
        <v>WILLL11</v>
      </c>
      <c r="R689" s="223"/>
      <c r="S689" s="223" t="str">
        <f t="array" ref="S689:S690">{"WILLL13";((IF("13"=(INDEX(ALLCLASSDATA,MATCH("WillSaveLegendary",CLASSFEATUREHEADERS,0),MATCH($A690,CLASSNAMEHEADERS,0))),(INDEX(ALLCLASSDATA,MATCH("WillSaveLegendary",CLASSFEATUREHEADERS,0),MATCH(($A690 &amp; "Points"),CLASSNAMEHEADERS,0))),(IF("13"=(INDEX(ALLCLASSDATA,MATCH("WillSaveMaster",CLASSFEATUREHEADERS,0),MATCH($A690,CLASSNAMEHEADERS,0))),(INDEX(ALLCLASSDATA,MATCH("WillSaveMaster",CLASSFEATUREHEADERS,0),MATCH(($A690 &amp; "Points"),CLASSNAMEHEADERS,0))),(IF("13"=(INDEX(ALLCLASSDATA,MATCH("WillSaveExpert",CLASSFEATUREHEADERS,0),MATCH($A690,CLASSNAMEHEADERS,0))),(INDEX(ALLCLASSDATA,MATCH("WillSaveExpert",CLASSFEATUREHEADERS,0),MATCH(($A690 &amp; "Points"),CLASSNAMEHEADERS,0))),(IF("13"=(INDEX(ALLCLASSDATA,MATCH("WillSaveTrained",CLASSFEATUREHEADERS,0),MATCH($A690,CLASSNAMEHEADERS,0))),(INDEX(ALLCLASSDATA,MATCH("WillSaveTrained",CLASSFEATUREHEADERS,0),MATCH(($A690 &amp; "Points"),CLASSNAMEHEADERS,0))),"")))))))))}</f>
        <v>WILLL13</v>
      </c>
      <c r="T689" s="223"/>
      <c r="U689" s="223" t="str">
        <f t="array" ref="U689:U690">{"WILLL15";((IF("15"=(INDEX(ALLCLASSDATA,MATCH("WillSaveLegendary",CLASSFEATUREHEADERS,0),MATCH($A690,CLASSNAMEHEADERS,0))),(INDEX(ALLCLASSDATA,MATCH("WillSaveLegendary",CLASSFEATUREHEADERS,0),MATCH(($A690 &amp; "Points"),CLASSNAMEHEADERS,0))),(IF("15"=(INDEX(ALLCLASSDATA,MATCH("WillSaveMaster",CLASSFEATUREHEADERS,0),MATCH($A690,CLASSNAMEHEADERS,0))),(INDEX(ALLCLASSDATA,MATCH("WillSaveMaster",CLASSFEATUREHEADERS,0),MATCH(($A690 &amp; "Points"),CLASSNAMEHEADERS,0))),(IF("15"=(INDEX(ALLCLASSDATA,MATCH("WillSaveExpert",CLASSFEATUREHEADERS,0),MATCH($A690,CLASSNAMEHEADERS,0))),(INDEX(ALLCLASSDATA,MATCH("WillSaveExpert",CLASSFEATUREHEADERS,0),MATCH(($A690 &amp; "Points"),CLASSNAMEHEADERS,0))),(IF("15"=(INDEX(ALLCLASSDATA,MATCH("WillSaveTrained",CLASSFEATUREHEADERS,0),MATCH($A690,CLASSNAMEHEADERS,0))),(INDEX(ALLCLASSDATA,MATCH("WillSaveTrained",CLASSFEATUREHEADERS,0),MATCH(($A690 &amp; "Points"),CLASSNAMEHEADERS,0))),"")))))))))}</f>
        <v>WILLL15</v>
      </c>
      <c r="V689" s="223"/>
      <c r="W689" s="223" t="str">
        <f t="array" ref="W689:W690">{"WILLL17";((IF("17"=(INDEX(ALLCLASSDATA,MATCH("WillSaveLegendary",CLASSFEATUREHEADERS,0),MATCH($A690,CLASSNAMEHEADERS,0))),(INDEX(ALLCLASSDATA,MATCH("WillSaveLegendary",CLASSFEATUREHEADERS,0),MATCH(($A690 &amp; "Points"),CLASSNAMEHEADERS,0))),(IF("17"=(INDEX(ALLCLASSDATA,MATCH("WillSaveMaster",CLASSFEATUREHEADERS,0),MATCH($A690,CLASSNAMEHEADERS,0))),(INDEX(ALLCLASSDATA,MATCH("WillSaveMaster",CLASSFEATUREHEADERS,0),MATCH(($A690 &amp; "Points"),CLASSNAMEHEADERS,0))),(IF("17"=(INDEX(ALLCLASSDATA,MATCH("WillSaveExpert",CLASSFEATUREHEADERS,0),MATCH($A690,CLASSNAMEHEADERS,0))),(INDEX(ALLCLASSDATA,MATCH("WillSaveExpert",CLASSFEATUREHEADERS,0),MATCH(($A690 &amp; "Points"),CLASSNAMEHEADERS,0))),(IF("17"=(INDEX(ALLCLASSDATA,MATCH("WillSaveTrained",CLASSFEATUREHEADERS,0),MATCH($A690,CLASSNAMEHEADERS,0))),(INDEX(ALLCLASSDATA,MATCH("WillSaveTrained",CLASSFEATUREHEADERS,0),MATCH(($A690 &amp; "Points"),CLASSNAMEHEADERS,0))),"")))))))))}</f>
        <v>WILLL17</v>
      </c>
      <c r="X689" s="223"/>
      <c r="Y689" s="223" t="str">
        <f t="array" ref="Y689:Y690">{"WILLL19";((IF("19"=(INDEX(ALLCLASSDATA,MATCH("WillSaveLegendary",CLASSFEATUREHEADERS,0),MATCH($A690,CLASSNAMEHEADERS,0))),(INDEX(ALLCLASSDATA,MATCH("WillSaveLegendary",CLASSFEATUREHEADERS,0),MATCH(($A690 &amp; "Points"),CLASSNAMEHEADERS,0))),(IF("19"=(INDEX(ALLCLASSDATA,MATCH("WillSaveMaster",CLASSFEATUREHEADERS,0),MATCH($A690,CLASSNAMEHEADERS,0))),(INDEX(ALLCLASSDATA,MATCH("WillSaveMaster",CLASSFEATUREHEADERS,0),MATCH(($A690 &amp; "Points"),CLASSNAMEHEADERS,0))),(IF("19"=(INDEX(ALLCLASSDATA,MATCH("WillSaveExpert",CLASSFEATUREHEADERS,0),MATCH($A690,CLASSNAMEHEADERS,0))),(INDEX(ALLCLASSDATA,MATCH("WillSaveExpert",CLASSFEATUREHEADERS,0),MATCH(($A690 &amp; "Points"),CLASSNAMEHEADERS,0))),(IF("19"=(INDEX(ALLCLASSDATA,MATCH("WillSaveTrained",CLASSFEATUREHEADERS,0),MATCH($A690,CLASSNAMEHEADERS,0))),(INDEX(ALLCLASSDATA,MATCH("WillSaveTrained",CLASSFEATUREHEADERS,0),MATCH(($A690 &amp; "Points"),CLASSNAMEHEADERS,0))),"")))))))))}</f>
        <v>WILLL19</v>
      </c>
      <c r="Z689" s="223"/>
      <c r="AA689" s="76" t="str">
        <f t="array" ref="AA689:AA690">{"WILL TOTAL";(IF(COUNTBLANK(F690:Z690)=17,"L",(IF(COUNTBLANK(F690:Z690)=18,"M",(IF(COUNTBLANK(F690:Z690)=19,"E",(IF(COUNTBLANK(F690:Z690)=20,"T",""))))))))}</f>
        <v>WILL TOTAL</v>
      </c>
      <c r="AB689" s="76" t="str">
        <f t="array" ref="AB689:AB690">{"WILL TOTAL";(sum(F690:Z690))}</f>
        <v>WILL TOTAL</v>
      </c>
    </row>
    <row r="690">
      <c r="A690" s="48" t="s">
        <v>223</v>
      </c>
      <c r="B690" s="48" t="s">
        <v>418</v>
      </c>
      <c r="C690" s="97" t="s">
        <v>1549</v>
      </c>
      <c r="D690" s="97" t="s">
        <v>1591</v>
      </c>
      <c r="E690" s="98" t="s">
        <v>436</v>
      </c>
      <c r="F690" s="132">
        <v>10.0</v>
      </c>
      <c r="G690" s="98">
        <v>50.0</v>
      </c>
      <c r="H690" s="98"/>
      <c r="I690" s="98" t="s">
        <v>603</v>
      </c>
      <c r="J690" s="98"/>
      <c r="K690" s="98" t="s">
        <v>603</v>
      </c>
      <c r="L690" s="97"/>
      <c r="M690" s="98">
        <v>110.0</v>
      </c>
      <c r="N690" s="98"/>
      <c r="O690" s="98" t="s">
        <v>603</v>
      </c>
      <c r="P690" s="97"/>
      <c r="Q690" s="98" t="s">
        <v>603</v>
      </c>
      <c r="R690" s="98"/>
      <c r="S690" s="98" t="s">
        <v>603</v>
      </c>
      <c r="T690" s="98"/>
      <c r="U690" s="98" t="s">
        <v>603</v>
      </c>
      <c r="V690" s="98"/>
      <c r="W690" s="98">
        <v>190.0</v>
      </c>
      <c r="X690" s="98"/>
      <c r="Y690" s="98" t="s">
        <v>603</v>
      </c>
      <c r="Z690" s="98"/>
      <c r="AA690" s="5" t="s">
        <v>466</v>
      </c>
      <c r="AB690" s="47">
        <v>360.0</v>
      </c>
    </row>
    <row r="691" hidden="1">
      <c r="A691" s="222" t="str">
        <f t="array" ref="A691:A692">{"FormulaRow26";(INDEX(CLASSLIST,A640,1))}</f>
        <v>FormulaRow26</v>
      </c>
      <c r="B691" s="222" t="str">
        <f t="array" ref="B691:B692">{"CLASSTYPE";((INDEX(ALLCLASSDATA,MATCH("ClassType",CLASSFEATUREHEADERS,0),MATCH($A692,CLASSNAMEHEADERS,0))))}</f>
        <v>CLASSTYPE</v>
      </c>
      <c r="C691" s="228" t="str">
        <f t="array" ref="C691:C692">{"ATTACK";"Attack"}</f>
        <v>ATTACK</v>
      </c>
      <c r="D691" s="228" t="str">
        <f t="array" ref="D691:D692">{"WEAPONSPECIAL";"WeaponCS/WS/GWS"}</f>
        <v>WEAPONSPECIAL</v>
      </c>
      <c r="E691" s="230"/>
      <c r="F691" s="230"/>
      <c r="G691" s="230" t="str">
        <f t="array" ref="G691:G692">{"WEAPONSPECIALL01";((IF("01"=INDEX(ALLCLASSDATA,MATCH("WeaponGreaterSpecialization",CLASSFEATUREHEADERS,0),MATCH($A692,CLASSNAMEHEADERS,0)),WeaponGWS,(IF("01"=INDEX(ALLCLASSDATA,MATCH("WeaponSpecialization",CLASSFEATUREHEADERS,0),MATCH($A692,CLASSNAMEHEADERS,0)),WeaponWS,(IF("01"=INDEX(ALLCLASSDATA,MATCH("WeaponCriticalSpecialization",CLASSFEATUREHEADERS,0),MATCH($A692,CLASSNAMEHEADERS,0)),WeaponCS,"")))))))}</f>
        <v>WEAPONSPECIALL01</v>
      </c>
      <c r="H691" s="230"/>
      <c r="I691" s="230" t="str">
        <f t="array" ref="I691:I692">{"WEAPONSPECIALL03";((IF("03"=INDEX(ALLCLASSDATA,MATCH("WeaponGreaterSpecialization",CLASSFEATUREHEADERS,0),MATCH($A692,CLASSNAMEHEADERS,0)),WeaponGWS,(IF("03"=INDEX(ALLCLASSDATA,MATCH("WeaponSpecialization",CLASSFEATUREHEADERS,0),MATCH($A692,CLASSNAMEHEADERS,0)),WeaponWS,(IF("03"=INDEX(ALLCLASSDATA,MATCH("WeaponCriticalSpecialization",CLASSFEATUREHEADERS,0),MATCH($A692,CLASSNAMEHEADERS,0)),WeaponCS,"")))))))}</f>
        <v>WEAPONSPECIALL03</v>
      </c>
      <c r="J691" s="230"/>
      <c r="K691" s="230" t="str">
        <f t="array" ref="K691:K692">{"WEAPONSPECIALL05";((IF("05"=INDEX(ALLCLASSDATA,MATCH("WeaponGreaterSpecialization",CLASSFEATUREHEADERS,0),MATCH($A692,CLASSNAMEHEADERS,0)),WeaponGWS,(IF("05"=INDEX(ALLCLASSDATA,MATCH("WeaponSpecialization",CLASSFEATUREHEADERS,0),MATCH($A692,CLASSNAMEHEADERS,0)),WeaponWS,(IF("05"=INDEX(ALLCLASSDATA,MATCH("WeaponCriticalSpecialization",CLASSFEATUREHEADERS,0),MATCH($A692,CLASSNAMEHEADERS,0)),WeaponCS,"")))))))}</f>
        <v>WEAPONSPECIALL05</v>
      </c>
      <c r="L691" s="230"/>
      <c r="M691" s="230" t="str">
        <f t="array" ref="M691:M692">{"WEAPONSPECIALL07";((IF("07"=INDEX(ALLCLASSDATA,MATCH("WeaponGreaterSpecialization",CLASSFEATUREHEADERS,0),MATCH($A692,CLASSNAMEHEADERS,0)),WeaponGWS,(IF("07"=INDEX(ALLCLASSDATA,MATCH("WeaponSpecialization",CLASSFEATUREHEADERS,0),MATCH($A692,CLASSNAMEHEADERS,0)),WeaponWS,(IF("07"=INDEX(ALLCLASSDATA,MATCH("WeaponCriticalSpecialization",CLASSFEATUREHEADERS,0),MATCH($A692,CLASSNAMEHEADERS,0)),WeaponCS,"")))))))}</f>
        <v>WEAPONSPECIALL07</v>
      </c>
      <c r="N691" s="230"/>
      <c r="O691" s="230" t="str">
        <f t="array" ref="O691:O692">{"WEAPONSPECIALL09";((IF("09"=INDEX(ALLCLASSDATA,MATCH("WeaponGreaterSpecialization",CLASSFEATUREHEADERS,0),MATCH($A692,CLASSNAMEHEADERS,0)),WeaponGWS,(IF("09"=INDEX(ALLCLASSDATA,MATCH("WeaponSpecialization",CLASSFEATUREHEADERS,0),MATCH($A692,CLASSNAMEHEADERS,0)),WeaponWS,(IF("09"=INDEX(ALLCLASSDATA,MATCH("WeaponCriticalSpecialization",CLASSFEATUREHEADERS,0),MATCH($A692,CLASSNAMEHEADERS,0)),WeaponCS,"")))))))}</f>
        <v>WEAPONSPECIALL09</v>
      </c>
      <c r="P691" s="230"/>
      <c r="Q691" s="230" t="str">
        <f t="array" ref="Q691:Q692">{"WEAPONSPECIALL11";((IF("11"=INDEX(ALLCLASSDATA,MATCH("WeaponGreaterSpecialization",CLASSFEATUREHEADERS,0),MATCH($A692,CLASSNAMEHEADERS,0)),WeaponGWS,(IF("11"=INDEX(ALLCLASSDATA,MATCH("WeaponSpecialization",CLASSFEATUREHEADERS,0),MATCH($A692,CLASSNAMEHEADERS,0)),WeaponWS,(IF("11"=INDEX(ALLCLASSDATA,MATCH("WeaponCriticalSpecialization",CLASSFEATUREHEADERS,0),MATCH($A692,CLASSNAMEHEADERS,0)),WeaponCS,"")))))))}</f>
        <v>WEAPONSPECIALL11</v>
      </c>
      <c r="R691" s="230"/>
      <c r="S691" s="230" t="str">
        <f t="array" ref="S691:S692">{"WEAPONSPECIALL13";((IF("13"=INDEX(ALLCLASSDATA,MATCH("WeaponGreaterSpecialization",CLASSFEATUREHEADERS,0),MATCH($A692,CLASSNAMEHEADERS,0)),WeaponGWS,(IF("13"=INDEX(ALLCLASSDATA,MATCH("WeaponSpecialization",CLASSFEATUREHEADERS,0),MATCH($A692,CLASSNAMEHEADERS,0)),WeaponWS,(IF("13"=INDEX(ALLCLASSDATA,MATCH("WeaponCriticalSpecialization",CLASSFEATUREHEADERS,0),MATCH($A692,CLASSNAMEHEADERS,0)),WeaponCS,"")))))))}</f>
        <v>WEAPONSPECIALL13</v>
      </c>
      <c r="T691" s="230"/>
      <c r="U691" s="230" t="str">
        <f t="array" ref="U691:U692">{"WEAPONSPECIALL15";((IF("15"=INDEX(ALLCLASSDATA,MATCH("WeaponGreaterSpecialization",CLASSFEATUREHEADERS,0),MATCH($A692,CLASSNAMEHEADERS,0)),WeaponGWS,(IF("15"=INDEX(ALLCLASSDATA,MATCH("WeaponSpecialization",CLASSFEATUREHEADERS,0),MATCH($A692,CLASSNAMEHEADERS,0)),WeaponWS,(IF("15"=INDEX(ALLCLASSDATA,MATCH("WeaponCriticalSpecialization",CLASSFEATUREHEADERS,0),MATCH($A692,CLASSNAMEHEADERS,0)),WeaponCS,"")))))))}</f>
        <v>WEAPONSPECIALL15</v>
      </c>
      <c r="V691" s="230"/>
      <c r="W691" s="230" t="str">
        <f t="array" ref="W691:W692">{"WEAPONSPECIALL17";((IF("17"=INDEX(ALLCLASSDATA,MATCH("WeaponGreaterSpecialization",CLASSFEATUREHEADERS,0),MATCH($A692,CLASSNAMEHEADERS,0)),WeaponGWS,(IF("17"=INDEX(ALLCLASSDATA,MATCH("WeaponSpecialization",CLASSFEATUREHEADERS,0),MATCH($A692,CLASSNAMEHEADERS,0)),WeaponWS,(IF("17"=INDEX(ALLCLASSDATA,MATCH("WeaponCriticalSpecialization",CLASSFEATUREHEADERS,0),MATCH($A692,CLASSNAMEHEADERS,0)),WeaponCS,"")))))))}</f>
        <v>WEAPONSPECIALL17</v>
      </c>
      <c r="X691" s="230"/>
      <c r="Y691" s="230" t="str">
        <f t="array" ref="Y691:Y692">{"WEAPONSPECIALL19";((IF("19"=INDEX(ALLCLASSDATA,MATCH("WeaponGreaterSpecialization",CLASSFEATUREHEADERS,0),MATCH($A692,CLASSNAMEHEADERS,0)),WeaponGWS,(IF("19"=INDEX(ALLCLASSDATA,MATCH("WeaponSpecialization",CLASSFEATUREHEADERS,0),MATCH($A692,CLASSNAMEHEADERS,0)),WeaponWS,(IF("19"=INDEX(ALLCLASSDATA,MATCH("WeaponCriticalSpecialization",CLASSFEATUREHEADERS,0),MATCH($A692,CLASSNAMEHEADERS,0)),WeaponCS,"")))))))}</f>
        <v>WEAPONSPECIALL19</v>
      </c>
      <c r="Z691" s="230"/>
      <c r="AA691" s="76"/>
      <c r="AB691" s="76" t="str">
        <f t="array" ref="AB691:AB692">{"WEAPONSPECIAL TOTAL";(sum(F692:Z692))}</f>
        <v>WEAPONSPECIAL TOTAL</v>
      </c>
    </row>
    <row r="692">
      <c r="A692" s="48" t="s">
        <v>223</v>
      </c>
      <c r="B692" s="48" t="s">
        <v>418</v>
      </c>
      <c r="C692" s="48" t="s">
        <v>1634</v>
      </c>
      <c r="D692" s="48" t="s">
        <v>1635</v>
      </c>
      <c r="E692" s="5"/>
      <c r="F692" s="47"/>
      <c r="G692" s="5" t="s">
        <v>603</v>
      </c>
      <c r="H692" s="5"/>
      <c r="I692" s="5" t="s">
        <v>603</v>
      </c>
      <c r="J692" s="5"/>
      <c r="K692" s="5" t="s">
        <v>603</v>
      </c>
      <c r="L692" s="5"/>
      <c r="M692" s="5" t="s">
        <v>603</v>
      </c>
      <c r="N692" s="5"/>
      <c r="O692" s="5" t="s">
        <v>603</v>
      </c>
      <c r="P692" s="5"/>
      <c r="Q692" s="5" t="s">
        <v>603</v>
      </c>
      <c r="R692" s="5"/>
      <c r="S692" s="5">
        <v>70.0</v>
      </c>
      <c r="T692" s="5"/>
      <c r="U692" s="5" t="s">
        <v>603</v>
      </c>
      <c r="V692" s="5"/>
      <c r="W692" s="5" t="s">
        <v>603</v>
      </c>
      <c r="X692" s="5"/>
      <c r="Y692" s="5" t="s">
        <v>603</v>
      </c>
      <c r="Z692" s="5"/>
      <c r="AA692" s="5"/>
      <c r="AB692" s="47">
        <v>70.0</v>
      </c>
    </row>
    <row r="693" hidden="1">
      <c r="A693" s="222" t="str">
        <f t="array" ref="A693:A694">{"FormulaRow27";(INDEX(CLASSLIST,A640,1))}</f>
        <v>FormulaRow27</v>
      </c>
      <c r="B693" s="222" t="str">
        <f t="array" ref="B693:B694">{"CLASSTYPE";((INDEX(ALLCLASSDATA,MATCH("ClassType",CLASSFEATUREHEADERS,0),MATCH($A694,CLASSNAMEHEADERS,0))))}</f>
        <v>CLASSTYPE</v>
      </c>
      <c r="C693" s="222" t="str">
        <f t="array" ref="C693:C694">{"ATTACK";"Attack"}</f>
        <v>ATTACK</v>
      </c>
      <c r="D693" s="222" t="str">
        <f t="array" ref="D693:D694">{"UNARMED";"Unarmed"}</f>
        <v>UNARMED</v>
      </c>
      <c r="E693" s="223" t="str">
        <f t="array" ref="E693:E694">{"UNARMEDINITIAL";((IF(G694=10,"T",(IF(G694=50,"E","")))))}</f>
        <v>UNARMEDINITIAL</v>
      </c>
      <c r="F693" s="223" t="str">
        <f t="array" ref="F693:F694">{"UNARMEDINITIALPTS";((IF("00"=(INDEX(ALLCLASSDATA,MATCH("UnarmedLegendary",CLASSFEATUREHEADERS,0),MATCH($A694,CLASSNAMEHEADERS,0))),(INDEX(ALLCLASSDATA,MATCH("UnarmedLegendary",CLASSFEATUREHEADERS,0),MATCH(($A694 &amp; "Points"),CLASSNAMEHEADERS,0))),(IF("00"=(INDEX(ALLCLASSDATA,MATCH("UnarmedMaster",CLASSFEATUREHEADERS,0),MATCH($A694,CLASSNAMEHEADERS,0))),(INDEX(ALLCLASSDATA,MATCH("UnarmedMaster",CLASSFEATUREHEADERS,0),MATCH(($A694 &amp; "Points"),CLASSNAMEHEADERS,0))),(IF("00"=(INDEX(ALLCLASSDATA,MATCH("UnarmedExpert",CLASSFEATUREHEADERS,0),MATCH($A694,CLASSNAMEHEADERS,0))),(INDEX(ALLCLASSDATA,MATCH("UnarmedExpert",CLASSFEATUREHEADERS,0),MATCH(($A694 &amp; "Points"),CLASSNAMEHEADERS,0))),(IF("00"=(INDEX(ALLCLASSDATA,MATCH("UnarmedTrained",CLASSFEATUREHEADERS,0),MATCH($A694,CLASSNAMEHEADERS,0))),(INDEX(ALLCLASSDATA,MATCH("UnarmedTrained",CLASSFEATUREHEADERS,0),MATCH(($A694 &amp; "Points"),CLASSNAMEHEADERS,0))),"")))))))))}</f>
        <v>UNARMEDINITIALPTS</v>
      </c>
      <c r="G693" s="223" t="str">
        <f t="array" ref="G693:G694">{"UNARMEDL01";((IF("01"=(INDEX(ALLCLASSDATA,MATCH("UnarmedLegendary",CLASSFEATUREHEADERS,0),MATCH($A694,CLASSNAMEHEADERS,0))),(INDEX(ALLCLASSDATA,MATCH("UnarmedLegendary",CLASSFEATUREHEADERS,0),MATCH(($A694 &amp; "Points"),CLASSNAMEHEADERS,0))),(IF("01"=(INDEX(ALLCLASSDATA,MATCH("UnarmedMaster",CLASSFEATUREHEADERS,0),MATCH($A694,CLASSNAMEHEADERS,0))),(INDEX(ALLCLASSDATA,MATCH("UnarmedMaster",CLASSFEATUREHEADERS,0),MATCH(($A694 &amp; "Points"),CLASSNAMEHEADERS,0))),(IF("01"=(INDEX(ALLCLASSDATA,MATCH("UnarmedExpert",CLASSFEATUREHEADERS,0),MATCH($A694,CLASSNAMEHEADERS,0))),(INDEX(ALLCLASSDATA,MATCH("UnarmedExpert",CLASSFEATUREHEADERS,0),MATCH(($A694 &amp; "Points"),CLASSNAMEHEADERS,0))),(IF("01"=(INDEX(ALLCLASSDATA,MATCH("UnarmedTrained",CLASSFEATUREHEADERS,0),MATCH($A694,CLASSNAMEHEADERS,0))),(INDEX(ALLCLASSDATA,MATCH("UnarmedTrained",CLASSFEATUREHEADERS,0),MATCH(($A694 &amp; "Points"),CLASSNAMEHEADERS,0))),"")))))))))}</f>
        <v>UNARMEDL01</v>
      </c>
      <c r="H693" s="223"/>
      <c r="I693" s="223" t="str">
        <f t="array" ref="I693:I694">{"UNARMEDL03";((IF("03"=(INDEX(ALLCLASSDATA,MATCH("UnarmedLegendary",CLASSFEATUREHEADERS,0),MATCH($A694,CLASSNAMEHEADERS,0))),(INDEX(ALLCLASSDATA,MATCH("UnarmedLegendary",CLASSFEATUREHEADERS,0),MATCH(($A694 &amp; "Points"),CLASSNAMEHEADERS,0))),(IF("03"=(INDEX(ALLCLASSDATA,MATCH("UnarmedMaster",CLASSFEATUREHEADERS,0),MATCH($A694,CLASSNAMEHEADERS,0))),(INDEX(ALLCLASSDATA,MATCH("UnarmedMaster",CLASSFEATUREHEADERS,0),MATCH(($A694 &amp; "Points"),CLASSNAMEHEADERS,0))),(IF("03"=(INDEX(ALLCLASSDATA,MATCH("UnarmedExpert",CLASSFEATUREHEADERS,0),MATCH($A694,CLASSNAMEHEADERS,0))),(INDEX(ALLCLASSDATA,MATCH("UnarmedExpert",CLASSFEATUREHEADERS,0),MATCH(($A694 &amp; "Points"),CLASSNAMEHEADERS,0))),(IF("03"=(INDEX(ALLCLASSDATA,MATCH("UnarmedTrained",CLASSFEATUREHEADERS,0),MATCH($A694,CLASSNAMEHEADERS,0))),(INDEX(ALLCLASSDATA,MATCH("UnarmedTrained",CLASSFEATUREHEADERS,0),MATCH(($A694 &amp; "Points"),CLASSNAMEHEADERS,0))),"")))))))))}</f>
        <v>UNARMEDL03</v>
      </c>
      <c r="J693" s="223"/>
      <c r="K693" s="223" t="str">
        <f t="array" ref="K693:K694">{"UNARMEDL05";((IF("05"=(INDEX(ALLCLASSDATA,MATCH("UnarmedLegendary",CLASSFEATUREHEADERS,0),MATCH($A694,CLASSNAMEHEADERS,0))),(INDEX(ALLCLASSDATA,MATCH("UnarmedLegendary",CLASSFEATUREHEADERS,0),MATCH(($A694 &amp; "Points"),CLASSNAMEHEADERS,0))),(IF("05"=(INDEX(ALLCLASSDATA,MATCH("UnarmedMaster",CLASSFEATUREHEADERS,0),MATCH($A694,CLASSNAMEHEADERS,0))),(INDEX(ALLCLASSDATA,MATCH("UnarmedMaster",CLASSFEATUREHEADERS,0),MATCH(($A694 &amp; "Points"),CLASSNAMEHEADERS,0))),(IF("05"=(INDEX(ALLCLASSDATA,MATCH("UnarmedExpert",CLASSFEATUREHEADERS,0),MATCH($A694,CLASSNAMEHEADERS,0))),(INDEX(ALLCLASSDATA,MATCH("UnarmedExpert",CLASSFEATUREHEADERS,0),MATCH(($A694 &amp; "Points"),CLASSNAMEHEADERS,0))),(IF("05"=(INDEX(ALLCLASSDATA,MATCH("UnarmedTrained",CLASSFEATUREHEADERS,0),MATCH($A694,CLASSNAMEHEADERS,0))),(INDEX(ALLCLASSDATA,MATCH("UnarmedTrained",CLASSFEATUREHEADERS,0),MATCH(($A694 &amp; "Points"),CLASSNAMEHEADERS,0))),"")))))))))}</f>
        <v>UNARMEDL05</v>
      </c>
      <c r="L693" s="223"/>
      <c r="M693" s="223" t="str">
        <f t="array" ref="M693:M694">{"UNARMEDL07";((IF("07"=(INDEX(ALLCLASSDATA,MATCH("UnarmedLegendary",CLASSFEATUREHEADERS,0),MATCH($A694,CLASSNAMEHEADERS,0))),(INDEX(ALLCLASSDATA,MATCH("UnarmedLegendary",CLASSFEATUREHEADERS,0),MATCH(($A694 &amp; "Points"),CLASSNAMEHEADERS,0))),(IF("07"=(INDEX(ALLCLASSDATA,MATCH("UnarmedMaster",CLASSFEATUREHEADERS,0),MATCH($A694,CLASSNAMEHEADERS,0))),(INDEX(ALLCLASSDATA,MATCH("UnarmedMaster",CLASSFEATUREHEADERS,0),MATCH(($A694 &amp; "Points"),CLASSNAMEHEADERS,0))),(IF("07"=(INDEX(ALLCLASSDATA,MATCH("UnarmedExpert",CLASSFEATUREHEADERS,0),MATCH($A694,CLASSNAMEHEADERS,0))),(INDEX(ALLCLASSDATA,MATCH("UnarmedExpert",CLASSFEATUREHEADERS,0),MATCH(($A694 &amp; "Points"),CLASSNAMEHEADERS,0))),(IF("07"=(INDEX(ALLCLASSDATA,MATCH("UnarmedTrained",CLASSFEATUREHEADERS,0),MATCH($A694,CLASSNAMEHEADERS,0))),(INDEX(ALLCLASSDATA,MATCH("UnarmedTrained",CLASSFEATUREHEADERS,0),MATCH(($A694 &amp; "Points"),CLASSNAMEHEADERS,0))),"")))))))))}</f>
        <v>UNARMEDL07</v>
      </c>
      <c r="N693" s="223"/>
      <c r="O693" s="223" t="str">
        <f t="array" ref="O693:O694">{"UNARMEDL09";((IF("09"=(INDEX(ALLCLASSDATA,MATCH("UnarmedLegendary",CLASSFEATUREHEADERS,0),MATCH($A694,CLASSNAMEHEADERS,0))),(INDEX(ALLCLASSDATA,MATCH("UnarmedLegendary",CLASSFEATUREHEADERS,0),MATCH(($A694 &amp; "Points"),CLASSNAMEHEADERS,0))),(IF("09"=(INDEX(ALLCLASSDATA,MATCH("UnarmedMaster",CLASSFEATUREHEADERS,0),MATCH($A694,CLASSNAMEHEADERS,0))),(INDEX(ALLCLASSDATA,MATCH("UnarmedMaster",CLASSFEATUREHEADERS,0),MATCH(($A694 &amp; "Points"),CLASSNAMEHEADERS,0))),(IF("09"=(INDEX(ALLCLASSDATA,MATCH("UnarmedExpert",CLASSFEATUREHEADERS,0),MATCH($A694,CLASSNAMEHEADERS,0))),(INDEX(ALLCLASSDATA,MATCH("UnarmedExpert",CLASSFEATUREHEADERS,0),MATCH(($A694 &amp; "Points"),CLASSNAMEHEADERS,0))),(IF("09"=(INDEX(ALLCLASSDATA,MATCH("UnarmedTrained",CLASSFEATUREHEADERS,0),MATCH($A694,CLASSNAMEHEADERS,0))),(INDEX(ALLCLASSDATA,MATCH("UnarmedTrained",CLASSFEATUREHEADERS,0),MATCH(($A694 &amp; "Points"),CLASSNAMEHEADERS,0))),"")))))))))}</f>
        <v>UNARMEDL09</v>
      </c>
      <c r="P693" s="223"/>
      <c r="Q693" s="223" t="str">
        <f t="array" ref="Q693:Q694">{"UNARMEDL11";((IF("11"=(INDEX(ALLCLASSDATA,MATCH("UnarmedLegendary",CLASSFEATUREHEADERS,0),MATCH($A694,CLASSNAMEHEADERS,0))),(INDEX(ALLCLASSDATA,MATCH("UnarmedLegendary",CLASSFEATUREHEADERS,0),MATCH(($A694 &amp; "Points"),CLASSNAMEHEADERS,0))),(IF("11"=(INDEX(ALLCLASSDATA,MATCH("UnarmedMaster",CLASSFEATUREHEADERS,0),MATCH($A694,CLASSNAMEHEADERS,0))),(INDEX(ALLCLASSDATA,MATCH("UnarmedMaster",CLASSFEATUREHEADERS,0),MATCH(($A694 &amp; "Points"),CLASSNAMEHEADERS,0))),(IF("11"=(INDEX(ALLCLASSDATA,MATCH("UnarmedExpert",CLASSFEATUREHEADERS,0),MATCH($A694,CLASSNAMEHEADERS,0))),(INDEX(ALLCLASSDATA,MATCH("UnarmedExpert",CLASSFEATUREHEADERS,0),MATCH(($A694 &amp; "Points"),CLASSNAMEHEADERS,0))),(IF("11"=(INDEX(ALLCLASSDATA,MATCH("UnarmedTrained",CLASSFEATUREHEADERS,0),MATCH($A694,CLASSNAMEHEADERS,0))),(INDEX(ALLCLASSDATA,MATCH("UnarmedTrained",CLASSFEATUREHEADERS,0),MATCH(($A694 &amp; "Points"),CLASSNAMEHEADERS,0))),"")))))))))}</f>
        <v>UNARMEDL11</v>
      </c>
      <c r="R693" s="223"/>
      <c r="S693" s="223" t="str">
        <f t="array" ref="S693:S694">{"UNARMEDL13";((IF("13"=(INDEX(ALLCLASSDATA,MATCH("UnarmedLegendary",CLASSFEATUREHEADERS,0),MATCH($A694,CLASSNAMEHEADERS,0))),(INDEX(ALLCLASSDATA,MATCH("UnarmedLegendary",CLASSFEATUREHEADERS,0),MATCH(($A694 &amp; "Points"),CLASSNAMEHEADERS,0))),(IF("13"=(INDEX(ALLCLASSDATA,MATCH("UnarmedMaster",CLASSFEATUREHEADERS,0),MATCH($A694,CLASSNAMEHEADERS,0))),(INDEX(ALLCLASSDATA,MATCH("UnarmedMaster",CLASSFEATUREHEADERS,0),MATCH(($A694 &amp; "Points"),CLASSNAMEHEADERS,0))),(IF("13"=(INDEX(ALLCLASSDATA,MATCH("UnarmedExpert",CLASSFEATUREHEADERS,0),MATCH($A694,CLASSNAMEHEADERS,0))),(INDEX(ALLCLASSDATA,MATCH("UnarmedExpert",CLASSFEATUREHEADERS,0),MATCH(($A694 &amp; "Points"),CLASSNAMEHEADERS,0))),(IF("13"=(INDEX(ALLCLASSDATA,MATCH("UnarmedTrained",CLASSFEATUREHEADERS,0),MATCH($A694,CLASSNAMEHEADERS,0))),(INDEX(ALLCLASSDATA,MATCH("UnarmedTrained",CLASSFEATUREHEADERS,0),MATCH(($A694 &amp; "Points"),CLASSNAMEHEADERS,0))),"")))))))))}</f>
        <v>UNARMEDL13</v>
      </c>
      <c r="T693" s="223"/>
      <c r="U693" s="223" t="str">
        <f t="array" ref="U693:U694">{"UNARMEDL15";((IF("15"=(INDEX(ALLCLASSDATA,MATCH("UnarmedLegendary",CLASSFEATUREHEADERS,0),MATCH($A694,CLASSNAMEHEADERS,0))),(INDEX(ALLCLASSDATA,MATCH("UnarmedLegendary",CLASSFEATUREHEADERS,0),MATCH(($A694 &amp; "Points"),CLASSNAMEHEADERS,0))),(IF("15"=(INDEX(ALLCLASSDATA,MATCH("UnarmedMaster",CLASSFEATUREHEADERS,0),MATCH($A694,CLASSNAMEHEADERS,0))),(INDEX(ALLCLASSDATA,MATCH("UnarmedMaster",CLASSFEATUREHEADERS,0),MATCH(($A694 &amp; "Points"),CLASSNAMEHEADERS,0))),(IF("15"=(INDEX(ALLCLASSDATA,MATCH("UnarmedExpert",CLASSFEATUREHEADERS,0),MATCH($A694,CLASSNAMEHEADERS,0))),(INDEX(ALLCLASSDATA,MATCH("UnarmedExpert",CLASSFEATUREHEADERS,0),MATCH(($A694 &amp; "Points"),CLASSNAMEHEADERS,0))),(IF("15"=(INDEX(ALLCLASSDATA,MATCH("UnarmedTrained",CLASSFEATUREHEADERS,0),MATCH($A694,CLASSNAMEHEADERS,0))),(INDEX(ALLCLASSDATA,MATCH("UnarmedTrained",CLASSFEATUREHEADERS,0),MATCH(($A694 &amp; "Points"),CLASSNAMEHEADERS,0))),"")))))))))}</f>
        <v>UNARMEDL15</v>
      </c>
      <c r="V693" s="223"/>
      <c r="W693" s="223" t="str">
        <f t="array" ref="W693:W694">{"UNARMEDL17";((IF("17"=(INDEX(ALLCLASSDATA,MATCH("UnarmedLegendary",CLASSFEATUREHEADERS,0),MATCH($A694,CLASSNAMEHEADERS,0))),(INDEX(ALLCLASSDATA,MATCH("UnarmedLegendary",CLASSFEATUREHEADERS,0),MATCH(($A694 &amp; "Points"),CLASSNAMEHEADERS,0))),(IF("17"=(INDEX(ALLCLASSDATA,MATCH("UnarmedMaster",CLASSFEATUREHEADERS,0),MATCH($A694,CLASSNAMEHEADERS,0))),(INDEX(ALLCLASSDATA,MATCH("UnarmedMaster",CLASSFEATUREHEADERS,0),MATCH(($A694 &amp; "Points"),CLASSNAMEHEADERS,0))),(IF("17"=(INDEX(ALLCLASSDATA,MATCH("UnarmedExpert",CLASSFEATUREHEADERS,0),MATCH($A694,CLASSNAMEHEADERS,0))),(INDEX(ALLCLASSDATA,MATCH("UnarmedExpert",CLASSFEATUREHEADERS,0),MATCH(($A694 &amp; "Points"),CLASSNAMEHEADERS,0))),(IF("17"=(INDEX(ALLCLASSDATA,MATCH("UnarmedTrained",CLASSFEATUREHEADERS,0),MATCH($A694,CLASSNAMEHEADERS,0))),(INDEX(ALLCLASSDATA,MATCH("UnarmedTrained",CLASSFEATUREHEADERS,0),MATCH(($A694 &amp; "Points"),CLASSNAMEHEADERS,0))),"")))))))))}</f>
        <v>UNARMEDL17</v>
      </c>
      <c r="X693" s="223"/>
      <c r="Y693" s="223" t="str">
        <f t="array" ref="Y693:Y694">{"UNARMEDL19";((IF("19"=(INDEX(ALLCLASSDATA,MATCH("UnarmedLegendary",CLASSFEATUREHEADERS,0),MATCH($A694,CLASSNAMEHEADERS,0))),(INDEX(ALLCLASSDATA,MATCH("UnarmedLegendary",CLASSFEATUREHEADERS,0),MATCH(($A694 &amp; "Points"),CLASSNAMEHEADERS,0))),(IF("19"=(INDEX(ALLCLASSDATA,MATCH("UnarmedMaster",CLASSFEATUREHEADERS,0),MATCH($A694,CLASSNAMEHEADERS,0))),(INDEX(ALLCLASSDATA,MATCH("UnarmedMaster",CLASSFEATUREHEADERS,0),MATCH(($A694 &amp; "Points"),CLASSNAMEHEADERS,0))),(IF("19"=(INDEX(ALLCLASSDATA,MATCH("UnarmedExpert",CLASSFEATUREHEADERS,0),MATCH($A694,CLASSNAMEHEADERS,0))),(INDEX(ALLCLASSDATA,MATCH("UnarmedExpert",CLASSFEATUREHEADERS,0),MATCH(($A694 &amp; "Points"),CLASSNAMEHEADERS,0))),(IF("19"=(INDEX(ALLCLASSDATA,MATCH("UnarmedTrained",CLASSFEATUREHEADERS,0),MATCH($A694,CLASSNAMEHEADERS,0))),(INDEX(ALLCLASSDATA,MATCH("UnarmedTrained",CLASSFEATUREHEADERS,0),MATCH(($A694 &amp; "Points"),CLASSNAMEHEADERS,0))),"")))))))))}</f>
        <v>UNARMEDL19</v>
      </c>
      <c r="Z693" s="223"/>
      <c r="AA693" s="76" t="str">
        <f t="array" ref="AA693:AA694">{"UNARMED TOTAL";(IF(COUNTBLANK(F694:Z694)=17,"L",(IF(COUNTBLANK(F694:Z694)=18,"M",(IF(COUNTBLANK(F694:Z694)=19,"E",(IF(COUNTBLANK(F694:Z694)=20,"T",""))))))))}</f>
        <v>UNARMED TOTAL</v>
      </c>
      <c r="AB693" s="76" t="str">
        <f t="array" ref="AB693:AB694">{"UNARMED TOTAL";(sum(F694:Z694))}</f>
        <v>UNARMED TOTAL</v>
      </c>
    </row>
    <row r="694">
      <c r="A694" s="48" t="s">
        <v>223</v>
      </c>
      <c r="B694" s="48" t="s">
        <v>418</v>
      </c>
      <c r="C694" s="48" t="s">
        <v>1634</v>
      </c>
      <c r="D694" s="48" t="s">
        <v>257</v>
      </c>
      <c r="E694" s="5" t="s">
        <v>435</v>
      </c>
      <c r="F694" s="47" t="s">
        <v>603</v>
      </c>
      <c r="G694" s="5">
        <v>10.0</v>
      </c>
      <c r="H694" s="5"/>
      <c r="I694" s="5" t="s">
        <v>603</v>
      </c>
      <c r="J694" s="5"/>
      <c r="K694" s="5" t="s">
        <v>603</v>
      </c>
      <c r="L694" s="5"/>
      <c r="M694" s="5" t="s">
        <v>603</v>
      </c>
      <c r="N694" s="5"/>
      <c r="O694" s="5" t="s">
        <v>603</v>
      </c>
      <c r="P694" s="5"/>
      <c r="Q694" s="5" t="s">
        <v>436</v>
      </c>
      <c r="R694" s="5"/>
      <c r="S694" s="5" t="s">
        <v>603</v>
      </c>
      <c r="T694" s="5"/>
      <c r="U694" s="5" t="s">
        <v>603</v>
      </c>
      <c r="V694" s="5"/>
      <c r="W694" s="5" t="s">
        <v>603</v>
      </c>
      <c r="X694" s="5"/>
      <c r="Y694" s="5" t="s">
        <v>603</v>
      </c>
      <c r="Z694" s="5"/>
      <c r="AA694" s="5" t="s">
        <v>436</v>
      </c>
      <c r="AB694" s="47">
        <v>10.0</v>
      </c>
    </row>
    <row r="695" hidden="1">
      <c r="A695" s="222" t="str">
        <f t="array" ref="A695:A696">{"FormulaRow28";(INDEX(CLASSLIST,A640,1))}</f>
        <v>FormulaRow28</v>
      </c>
      <c r="B695" s="222" t="str">
        <f t="array" ref="B695:B696">{"CLASSTYPE";((INDEX(ALLCLASSDATA,MATCH("ClassType",CLASSFEATUREHEADERS,0),MATCH($A696,CLASSNAMEHEADERS,0))))}</f>
        <v>CLASSTYPE</v>
      </c>
      <c r="C695" s="222" t="str">
        <f t="array" ref="C695:C696">{"ATTACK";"Attack"}</f>
        <v>ATTACK</v>
      </c>
      <c r="D695" s="222" t="str">
        <f t="array" ref="D695:D696">{"SIMPLELIMITED";"SimpleLimited"}</f>
        <v>SIMPLELIMITED</v>
      </c>
      <c r="E695" s="223" t="str">
        <f t="array" ref="E695:E696">{"SIMPLELIMITEDINITIAL";((IF(G696=10,"T",(IF(G696=50,"E","")))))}</f>
        <v>SIMPLELIMITEDINITIAL</v>
      </c>
      <c r="F695" s="223" t="str">
        <f t="array" ref="F695:F696">{"SIMPLELIMITEDINITIALPTS";((IF("00"=(INDEX(ALLCLASSDATA,MATCH("SimpleLimitedLegendary",CLASSFEATUREHEADERS,0),MATCH($A696,CLASSNAMEHEADERS,0))),(INDEX(ALLCLASSDATA,MATCH("SimpleLimitedLegendary",CLASSFEATUREHEADERS,0),MATCH(($A696 &amp; "Points"),CLASSNAMEHEADERS,0))),(IF("00"=(INDEX(ALLCLASSDATA,MATCH("SimpleLimitedMaster",CLASSFEATUREHEADERS,0),MATCH($A696,CLASSNAMEHEADERS,0))),(INDEX(ALLCLASSDATA,MATCH("SimpleLimitedMaster",CLASSFEATUREHEADERS,0),MATCH(($A696 &amp; "Points"),CLASSNAMEHEADERS,0))),(IF("00"=(INDEX(ALLCLASSDATA,MATCH("SimpleLimitedExpert",CLASSFEATUREHEADERS,0),MATCH($A696,CLASSNAMEHEADERS,0))),(INDEX(ALLCLASSDATA,MATCH("SimpleLimitedExpert",CLASSFEATUREHEADERS,0),MATCH(($A696 &amp; "Points"),CLASSNAMEHEADERS,0))),(IF("00"=(INDEX(ALLCLASSDATA,MATCH("SimpleLimitedTrained",CLASSFEATUREHEADERS,0),MATCH($A696,CLASSNAMEHEADERS,0))),(INDEX(ALLCLASSDATA,MATCH("SimpleLimitedTrained",CLASSFEATUREHEADERS,0),MATCH(($A696 &amp; "Points"),CLASSNAMEHEADERS,0))),"")))))))))}</f>
        <v>SIMPLELIMITEDINITIALPTS</v>
      </c>
      <c r="G695" s="223" t="str">
        <f t="array" ref="G695:G696">{"SIMPLELIMITEDL01";((IF("01"=(INDEX(ALLCLASSDATA,MATCH("SimpleLimitedLegendary",CLASSFEATUREHEADERS,0),MATCH($A696,CLASSNAMEHEADERS,0))),(INDEX(ALLCLASSDATA,MATCH("SimpleLimitedLegendary",CLASSFEATUREHEADERS,0),MATCH(($A696 &amp; "Points"),CLASSNAMEHEADERS,0))),(IF("01"=(INDEX(ALLCLASSDATA,MATCH("SimpleLimitedMaster",CLASSFEATUREHEADERS,0),MATCH($A696,CLASSNAMEHEADERS,0))),(INDEX(ALLCLASSDATA,MATCH("SimpleLimitedMaster",CLASSFEATUREHEADERS,0),MATCH(($A696 &amp; "Points"),CLASSNAMEHEADERS,0))),(IF("01"=(INDEX(ALLCLASSDATA,MATCH("SimpleLimitedExpert",CLASSFEATUREHEADERS,0),MATCH($A696,CLASSNAMEHEADERS,0))),(INDEX(ALLCLASSDATA,MATCH("SimpleLimitedExpert",CLASSFEATUREHEADERS,0),MATCH(($A696 &amp; "Points"),CLASSNAMEHEADERS,0))),(IF("01"=(INDEX(ALLCLASSDATA,MATCH("SimpleLimitedTrained",CLASSFEATUREHEADERS,0),MATCH($A696,CLASSNAMEHEADERS,0))),(INDEX(ALLCLASSDATA,MATCH("SimpleLimitedTrained",CLASSFEATUREHEADERS,0),MATCH(($A696 &amp; "Points"),CLASSNAMEHEADERS,0))),"")))))))))}</f>
        <v>SIMPLELIMITEDL01</v>
      </c>
      <c r="H695" s="223"/>
      <c r="I695" s="223" t="str">
        <f t="array" ref="I695:I696">{"SIMPLELIMITEDL03";((IF("03"=(INDEX(ALLCLASSDATA,MATCH("SimpleLimitedLegendary",CLASSFEATUREHEADERS,0),MATCH($A696,CLASSNAMEHEADERS,0))),(INDEX(ALLCLASSDATA,MATCH("SimpleLimitedLegendary",CLASSFEATUREHEADERS,0),MATCH(($A696 &amp; "Points"),CLASSNAMEHEADERS,0))),(IF("03"=(INDEX(ALLCLASSDATA,MATCH("SimpleLimitedMaster",CLASSFEATUREHEADERS,0),MATCH($A696,CLASSNAMEHEADERS,0))),(INDEX(ALLCLASSDATA,MATCH("SimpleLimitedMaster",CLASSFEATUREHEADERS,0),MATCH(($A696 &amp; "Points"),CLASSNAMEHEADERS,0))),(IF("03"=(INDEX(ALLCLASSDATA,MATCH("SimpleLimitedExpert",CLASSFEATUREHEADERS,0),MATCH($A696,CLASSNAMEHEADERS,0))),(INDEX(ALLCLASSDATA,MATCH("SimpleLimitedExpert",CLASSFEATUREHEADERS,0),MATCH(($A696 &amp; "Points"),CLASSNAMEHEADERS,0))),(IF("03"=(INDEX(ALLCLASSDATA,MATCH("SimpleLimitedTrained",CLASSFEATUREHEADERS,0),MATCH($A696,CLASSNAMEHEADERS,0))),(INDEX(ALLCLASSDATA,MATCH("SimpleLimitedTrained",CLASSFEATUREHEADERS,0),MATCH(($A696 &amp; "Points"),CLASSNAMEHEADERS,0))),"")))))))))}</f>
        <v>SIMPLELIMITEDL03</v>
      </c>
      <c r="J695" s="223"/>
      <c r="K695" s="223" t="str">
        <f t="array" ref="K695:K696">{"SIMPLELIMITEDL05";((IF("05"=(INDEX(ALLCLASSDATA,MATCH("SimpleLimitedLegendary",CLASSFEATUREHEADERS,0),MATCH($A696,CLASSNAMEHEADERS,0))),(INDEX(ALLCLASSDATA,MATCH("SimpleLimitedLegendary",CLASSFEATUREHEADERS,0),MATCH(($A696 &amp; "Points"),CLASSNAMEHEADERS,0))),(IF("05"=(INDEX(ALLCLASSDATA,MATCH("SimpleLimitedMaster",CLASSFEATUREHEADERS,0),MATCH($A696,CLASSNAMEHEADERS,0))),(INDEX(ALLCLASSDATA,MATCH("SimpleLimitedMaster",CLASSFEATUREHEADERS,0),MATCH(($A696 &amp; "Points"),CLASSNAMEHEADERS,0))),(IF("05"=(INDEX(ALLCLASSDATA,MATCH("SimpleLimitedExpert",CLASSFEATUREHEADERS,0),MATCH($A696,CLASSNAMEHEADERS,0))),(INDEX(ALLCLASSDATA,MATCH("SimpleLimitedExpert",CLASSFEATUREHEADERS,0),MATCH(($A696 &amp; "Points"),CLASSNAMEHEADERS,0))),(IF("05"=(INDEX(ALLCLASSDATA,MATCH("SimpleLimitedTrained",CLASSFEATUREHEADERS,0),MATCH($A696,CLASSNAMEHEADERS,0))),(INDEX(ALLCLASSDATA,MATCH("SimpleLimitedTrained",CLASSFEATUREHEADERS,0),MATCH(($A696 &amp; "Points"),CLASSNAMEHEADERS,0))),"")))))))))}</f>
        <v>SIMPLELIMITEDL05</v>
      </c>
      <c r="L695" s="223"/>
      <c r="M695" s="223" t="str">
        <f t="array" ref="M695:M696">{"SIMPLELIMITEDL07";((IF("07"=(INDEX(ALLCLASSDATA,MATCH("SimpleLimitedLegendary",CLASSFEATUREHEADERS,0),MATCH($A696,CLASSNAMEHEADERS,0))),(INDEX(ALLCLASSDATA,MATCH("SimpleLimitedLegendary",CLASSFEATUREHEADERS,0),MATCH(($A696 &amp; "Points"),CLASSNAMEHEADERS,0))),(IF("07"=(INDEX(ALLCLASSDATA,MATCH("SimpleLimitedMaster",CLASSFEATUREHEADERS,0),MATCH($A696,CLASSNAMEHEADERS,0))),(INDEX(ALLCLASSDATA,MATCH("SimpleLimitedMaster",CLASSFEATUREHEADERS,0),MATCH(($A696 &amp; "Points"),CLASSNAMEHEADERS,0))),(IF("07"=(INDEX(ALLCLASSDATA,MATCH("SimpleLimitedExpert",CLASSFEATUREHEADERS,0),MATCH($A696,CLASSNAMEHEADERS,0))),(INDEX(ALLCLASSDATA,MATCH("SimpleLimitedExpert",CLASSFEATUREHEADERS,0),MATCH(($A696 &amp; "Points"),CLASSNAMEHEADERS,0))),(IF("07"=(INDEX(ALLCLASSDATA,MATCH("SimpleLimitedTrained",CLASSFEATUREHEADERS,0),MATCH($A696,CLASSNAMEHEADERS,0))),(INDEX(ALLCLASSDATA,MATCH("SimpleLimitedTrained",CLASSFEATUREHEADERS,0),MATCH(($A696 &amp; "Points"),CLASSNAMEHEADERS,0))),"")))))))))}</f>
        <v>SIMPLELIMITEDL07</v>
      </c>
      <c r="N695" s="223"/>
      <c r="O695" s="223" t="str">
        <f t="array" ref="O695:O696">{"SIMPLELIMITEDL09";((IF("09"=(INDEX(ALLCLASSDATA,MATCH("SimpleLimitedLegendary",CLASSFEATUREHEADERS,0),MATCH($A696,CLASSNAMEHEADERS,0))),(INDEX(ALLCLASSDATA,MATCH("SimpleLimitedLegendary",CLASSFEATUREHEADERS,0),MATCH(($A696 &amp; "Points"),CLASSNAMEHEADERS,0))),(IF("09"=(INDEX(ALLCLASSDATA,MATCH("SimpleLimitedMaster",CLASSFEATUREHEADERS,0),MATCH($A696,CLASSNAMEHEADERS,0))),(INDEX(ALLCLASSDATA,MATCH("SimpleLimitedMaster",CLASSFEATUREHEADERS,0),MATCH(($A696 &amp; "Points"),CLASSNAMEHEADERS,0))),(IF("09"=(INDEX(ALLCLASSDATA,MATCH("SimpleLimitedExpert",CLASSFEATUREHEADERS,0),MATCH($A696,CLASSNAMEHEADERS,0))),(INDEX(ALLCLASSDATA,MATCH("SimpleLimitedExpert",CLASSFEATUREHEADERS,0),MATCH(($A696 &amp; "Points"),CLASSNAMEHEADERS,0))),(IF("09"=(INDEX(ALLCLASSDATA,MATCH("SimpleLimitedTrained",CLASSFEATUREHEADERS,0),MATCH($A696,CLASSNAMEHEADERS,0))),(INDEX(ALLCLASSDATA,MATCH("SimpleLimitedTrained",CLASSFEATUREHEADERS,0),MATCH(($A696 &amp; "Points"),CLASSNAMEHEADERS,0))),"")))))))))}</f>
        <v>SIMPLELIMITEDL09</v>
      </c>
      <c r="P695" s="223"/>
      <c r="Q695" s="223" t="str">
        <f t="array" ref="Q695:Q696">{"SIMPLELIMITEDL11";((IF("11"=(INDEX(ALLCLASSDATA,MATCH("SimpleLimitedLegendary",CLASSFEATUREHEADERS,0),MATCH($A696,CLASSNAMEHEADERS,0))),(INDEX(ALLCLASSDATA,MATCH("SimpleLimitedLegendary",CLASSFEATUREHEADERS,0),MATCH(($A696 &amp; "Points"),CLASSNAMEHEADERS,0))),(IF("11"=(INDEX(ALLCLASSDATA,MATCH("SimpleLimitedMaster",CLASSFEATUREHEADERS,0),MATCH($A696,CLASSNAMEHEADERS,0))),(INDEX(ALLCLASSDATA,MATCH("SimpleLimitedMaster",CLASSFEATUREHEADERS,0),MATCH(($A696 &amp; "Points"),CLASSNAMEHEADERS,0))),(IF("11"=(INDEX(ALLCLASSDATA,MATCH("SimpleLimitedExpert",CLASSFEATUREHEADERS,0),MATCH($A696,CLASSNAMEHEADERS,0))),(INDEX(ALLCLASSDATA,MATCH("SimpleLimitedExpert",CLASSFEATUREHEADERS,0),MATCH(($A696 &amp; "Points"),CLASSNAMEHEADERS,0))),(IF("11"=(INDEX(ALLCLASSDATA,MATCH("SimpleLimitedTrained",CLASSFEATUREHEADERS,0),MATCH($A696,CLASSNAMEHEADERS,0))),(INDEX(ALLCLASSDATA,MATCH("SimpleLimitedTrained",CLASSFEATUREHEADERS,0),MATCH(($A696 &amp; "Points"),CLASSNAMEHEADERS,0))),"")))))))))}</f>
        <v>SIMPLELIMITEDL11</v>
      </c>
      <c r="R695" s="223"/>
      <c r="S695" s="223" t="str">
        <f t="array" ref="S695:S696">{"SIMPLELIMITEDL13";((IF("13"=(INDEX(ALLCLASSDATA,MATCH("SimpleLimitedLegendary",CLASSFEATUREHEADERS,0),MATCH($A696,CLASSNAMEHEADERS,0))),(INDEX(ALLCLASSDATA,MATCH("SimpleLimitedLegendary",CLASSFEATUREHEADERS,0),MATCH(($A696 &amp; "Points"),CLASSNAMEHEADERS,0))),(IF("13"=(INDEX(ALLCLASSDATA,MATCH("SimpleLimitedMaster",CLASSFEATUREHEADERS,0),MATCH($A696,CLASSNAMEHEADERS,0))),(INDEX(ALLCLASSDATA,MATCH("SimpleLimitedMaster",CLASSFEATUREHEADERS,0),MATCH(($A696 &amp; "Points"),CLASSNAMEHEADERS,0))),(IF("13"=(INDEX(ALLCLASSDATA,MATCH("SimpleLimitedExpert",CLASSFEATUREHEADERS,0),MATCH($A696,CLASSNAMEHEADERS,0))),(INDEX(ALLCLASSDATA,MATCH("SimpleLimitedExpert",CLASSFEATUREHEADERS,0),MATCH(($A696 &amp; "Points"),CLASSNAMEHEADERS,0))),(IF("13"=(INDEX(ALLCLASSDATA,MATCH("SimpleLimitedTrained",CLASSFEATUREHEADERS,0),MATCH($A696,CLASSNAMEHEADERS,0))),(INDEX(ALLCLASSDATA,MATCH("SimpleLimitedTrained",CLASSFEATUREHEADERS,0),MATCH(($A696 &amp; "Points"),CLASSNAMEHEADERS,0))),"")))))))))}</f>
        <v>SIMPLELIMITEDL13</v>
      </c>
      <c r="T695" s="223"/>
      <c r="U695" s="223" t="str">
        <f t="array" ref="U695:U696">{"SIMPLELIMITEDL15";((IF("15"=(INDEX(ALLCLASSDATA,MATCH("SimpleLimitedLegendary",CLASSFEATUREHEADERS,0),MATCH($A696,CLASSNAMEHEADERS,0))),(INDEX(ALLCLASSDATA,MATCH("SimpleLimitedLegendary",CLASSFEATUREHEADERS,0),MATCH(($A696 &amp; "Points"),CLASSNAMEHEADERS,0))),(IF("15"=(INDEX(ALLCLASSDATA,MATCH("SimpleLimitedMaster",CLASSFEATUREHEADERS,0),MATCH($A696,CLASSNAMEHEADERS,0))),(INDEX(ALLCLASSDATA,MATCH("SimpleLimitedMaster",CLASSFEATUREHEADERS,0),MATCH(($A696 &amp; "Points"),CLASSNAMEHEADERS,0))),(IF("15"=(INDEX(ALLCLASSDATA,MATCH("SimpleLimitedExpert",CLASSFEATUREHEADERS,0),MATCH($A696,CLASSNAMEHEADERS,0))),(INDEX(ALLCLASSDATA,MATCH("SimpleLimitedExpert",CLASSFEATUREHEADERS,0),MATCH(($A696 &amp; "Points"),CLASSNAMEHEADERS,0))),(IF("15"=(INDEX(ALLCLASSDATA,MATCH("SimpleLimitedTrained",CLASSFEATUREHEADERS,0),MATCH($A696,CLASSNAMEHEADERS,0))),(INDEX(ALLCLASSDATA,MATCH("SimpleLimitedTrained",CLASSFEATUREHEADERS,0),MATCH(($A696 &amp; "Points"),CLASSNAMEHEADERS,0))),"")))))))))}</f>
        <v>SIMPLELIMITEDL15</v>
      </c>
      <c r="V695" s="223"/>
      <c r="W695" s="223" t="str">
        <f t="array" ref="W695:W696">{"SIMPLELIMITEDL17";((IF("17"=(INDEX(ALLCLASSDATA,MATCH("SimpleLimitedLegendary",CLASSFEATUREHEADERS,0),MATCH($A696,CLASSNAMEHEADERS,0))),(INDEX(ALLCLASSDATA,MATCH("SimpleLimitedLegendary",CLASSFEATUREHEADERS,0),MATCH(($A696 &amp; "Points"),CLASSNAMEHEADERS,0))),(IF("17"=(INDEX(ALLCLASSDATA,MATCH("SimpleLimitedMaster",CLASSFEATUREHEADERS,0),MATCH($A696,CLASSNAMEHEADERS,0))),(INDEX(ALLCLASSDATA,MATCH("SimpleLimitedMaster",CLASSFEATUREHEADERS,0),MATCH(($A696 &amp; "Points"),CLASSNAMEHEADERS,0))),(IF("17"=(INDEX(ALLCLASSDATA,MATCH("SimpleLimitedExpert",CLASSFEATUREHEADERS,0),MATCH($A696,CLASSNAMEHEADERS,0))),(INDEX(ALLCLASSDATA,MATCH("SimpleLimitedExpert",CLASSFEATUREHEADERS,0),MATCH(($A696 &amp; "Points"),CLASSNAMEHEADERS,0))),(IF("17"=(INDEX(ALLCLASSDATA,MATCH("SimpleLimitedTrained",CLASSFEATUREHEADERS,0),MATCH($A696,CLASSNAMEHEADERS,0))),(INDEX(ALLCLASSDATA,MATCH("SimpleLimitedTrained",CLASSFEATUREHEADERS,0),MATCH(($A696 &amp; "Points"),CLASSNAMEHEADERS,0))),"")))))))))}</f>
        <v>SIMPLELIMITEDL17</v>
      </c>
      <c r="X695" s="223"/>
      <c r="Y695" s="223" t="str">
        <f t="array" ref="Y695:Y696">{"SIMPLELIMITEDL19";((IF("19"=(INDEX(ALLCLASSDATA,MATCH("SimpleLimitedLegendary",CLASSFEATUREHEADERS,0),MATCH($A696,CLASSNAMEHEADERS,0))),(INDEX(ALLCLASSDATA,MATCH("SimpleLimitedLegendary",CLASSFEATUREHEADERS,0),MATCH(($A696 &amp; "Points"),CLASSNAMEHEADERS,0))),(IF("19"=(INDEX(ALLCLASSDATA,MATCH("SimpleLimitedMaster",CLASSFEATUREHEADERS,0),MATCH($A696,CLASSNAMEHEADERS,0))),(INDEX(ALLCLASSDATA,MATCH("SimpleLimitedMaster",CLASSFEATUREHEADERS,0),MATCH(($A696 &amp; "Points"),CLASSNAMEHEADERS,0))),(IF("19"=(INDEX(ALLCLASSDATA,MATCH("SimpleLimitedExpert",CLASSFEATUREHEADERS,0),MATCH($A696,CLASSNAMEHEADERS,0))),(INDEX(ALLCLASSDATA,MATCH("SimpleLimitedExpert",CLASSFEATUREHEADERS,0),MATCH(($A696 &amp; "Points"),CLASSNAMEHEADERS,0))),(IF("19"=(INDEX(ALLCLASSDATA,MATCH("SimpleLimitedTrained",CLASSFEATUREHEADERS,0),MATCH($A696,CLASSNAMEHEADERS,0))),(INDEX(ALLCLASSDATA,MATCH("SimpleLimitedTrained",CLASSFEATUREHEADERS,0),MATCH(($A696 &amp; "Points"),CLASSNAMEHEADERS,0))),"")))))))))}</f>
        <v>SIMPLELIMITEDL19</v>
      </c>
      <c r="Z695" s="223"/>
      <c r="AA695" s="76" t="str">
        <f t="array" ref="AA695:AA696">{"SIMPLELIMITED TOTAL";(IF(COUNTBLANK(F696:Z696)=17,"L",(IF(COUNTBLANK(F696:Z696)=18,"M",(IF(COUNTBLANK(F696:Z696)=19,"E",(IF(COUNTBLANK(F696:Z696)=20,"T",""))))))))}</f>
        <v>SIMPLELIMITED TOTAL</v>
      </c>
      <c r="AB695" s="76" t="str">
        <f t="array" ref="AB695:AB696">{"SIMPLELIMITED TOTAL";(sum(F696:Z696))}</f>
        <v>SIMPLELIMITED TOTAL</v>
      </c>
    </row>
    <row r="696">
      <c r="A696" s="48" t="s">
        <v>223</v>
      </c>
      <c r="B696" s="48" t="s">
        <v>418</v>
      </c>
      <c r="C696" s="48" t="s">
        <v>1634</v>
      </c>
      <c r="D696" s="48" t="s">
        <v>599</v>
      </c>
      <c r="E696" s="5" t="s">
        <v>603</v>
      </c>
      <c r="F696" s="47" t="s">
        <v>603</v>
      </c>
      <c r="G696" s="5" t="s">
        <v>603</v>
      </c>
      <c r="H696" s="5"/>
      <c r="I696" s="5" t="s">
        <v>603</v>
      </c>
      <c r="J696" s="5"/>
      <c r="K696" s="5" t="s">
        <v>603</v>
      </c>
      <c r="L696" s="5"/>
      <c r="M696" s="5" t="s">
        <v>603</v>
      </c>
      <c r="N696" s="5"/>
      <c r="O696" s="5" t="s">
        <v>603</v>
      </c>
      <c r="P696" s="5"/>
      <c r="Q696" s="5" t="s">
        <v>603</v>
      </c>
      <c r="R696" s="5"/>
      <c r="S696" s="5" t="s">
        <v>603</v>
      </c>
      <c r="T696" s="5"/>
      <c r="U696" s="5" t="s">
        <v>603</v>
      </c>
      <c r="V696" s="5"/>
      <c r="W696" s="5" t="s">
        <v>603</v>
      </c>
      <c r="X696" s="5"/>
      <c r="Y696" s="5" t="s">
        <v>603</v>
      </c>
      <c r="Z696" s="5"/>
      <c r="AA696" s="5" t="s">
        <v>603</v>
      </c>
      <c r="AB696" s="47">
        <v>0.0</v>
      </c>
    </row>
    <row r="697" hidden="1">
      <c r="A697" s="222" t="str">
        <f t="array" ref="A697:A698">{"FormulaRow29";(INDEX(CLASSLIST,A640,1))}</f>
        <v>FormulaRow29</v>
      </c>
      <c r="B697" s="222" t="str">
        <f t="array" ref="B697:B698">{"CLASSTYPE";((INDEX(ALLCLASSDATA,MATCH("ClassType",CLASSFEATUREHEADERS,0),MATCH($A698,CLASSNAMEHEADERS,0))))}</f>
        <v>CLASSTYPE</v>
      </c>
      <c r="C697" s="222" t="str">
        <f t="array" ref="C697:C698">{"ATTACK";"Attack"}</f>
        <v>ATTACK</v>
      </c>
      <c r="D697" s="222" t="str">
        <f t="array" ref="D697:D698">{"SIMPLE";"Simple"}</f>
        <v>SIMPLE</v>
      </c>
      <c r="E697" s="223" t="str">
        <f t="array" ref="E697:E698">{"SIMPLEINITIAL";((IF(G698=10,"T",(IF(G698=50,"E","")))))}</f>
        <v>SIMPLEINITIAL</v>
      </c>
      <c r="F697" s="223" t="str">
        <f t="array" ref="F697:F698">{"SIMPLEINITIALPTS";((IF("00"=(INDEX(ALLCLASSDATA,MATCH("SimpleLegendary",CLASSFEATUREHEADERS,0),MATCH($A698,CLASSNAMEHEADERS,0))),(INDEX(ALLCLASSDATA,MATCH("SimpleLegendary",CLASSFEATUREHEADERS,0),MATCH(($A698 &amp; "Points"),CLASSNAMEHEADERS,0))),(IF("00"=(INDEX(ALLCLASSDATA,MATCH("SimpleMaster",CLASSFEATUREHEADERS,0),MATCH($A698,CLASSNAMEHEADERS,0))),(INDEX(ALLCLASSDATA,MATCH("SimpleMaster",CLASSFEATUREHEADERS,0),MATCH(($A698 &amp; "Points"),CLASSNAMEHEADERS,0))),(IF("00"=(INDEX(ALLCLASSDATA,MATCH("SimpleExpert",CLASSFEATUREHEADERS,0),MATCH($A698,CLASSNAMEHEADERS,0))),(INDEX(ALLCLASSDATA,MATCH("SimpleExpert",CLASSFEATUREHEADERS,0),MATCH(($A698 &amp; "Points"),CLASSNAMEHEADERS,0))),(IF("00"=(INDEX(ALLCLASSDATA,MATCH("SimpleTrained",CLASSFEATUREHEADERS,0),MATCH($A698,CLASSNAMEHEADERS,0))),(INDEX(ALLCLASSDATA,MATCH("SimpleTrained",CLASSFEATUREHEADERS,0),MATCH(($A698 &amp; "Points"),CLASSNAMEHEADERS,0))),"")))))))))}</f>
        <v>SIMPLEINITIALPTS</v>
      </c>
      <c r="G697" s="223" t="str">
        <f t="array" ref="G697:G698">{"SIMPLEL01";((IF("01"=(INDEX(ALLCLASSDATA,MATCH("SimpleLegendary",CLASSFEATUREHEADERS,0),MATCH($A698,CLASSNAMEHEADERS,0))),(INDEX(ALLCLASSDATA,MATCH("SimpleLegendary",CLASSFEATUREHEADERS,0),MATCH(($A698 &amp; "Points"),CLASSNAMEHEADERS,0))),(IF("01"=(INDEX(ALLCLASSDATA,MATCH("SimpleMaster",CLASSFEATUREHEADERS,0),MATCH($A698,CLASSNAMEHEADERS,0))),(INDEX(ALLCLASSDATA,MATCH("SimpleMaster",CLASSFEATUREHEADERS,0),MATCH(($A698 &amp; "Points"),CLASSNAMEHEADERS,0))),(IF("01"=(INDEX(ALLCLASSDATA,MATCH("SimpleExpert",CLASSFEATUREHEADERS,0),MATCH($A698,CLASSNAMEHEADERS,0))),(INDEX(ALLCLASSDATA,MATCH("SimpleExpert",CLASSFEATUREHEADERS,0),MATCH(($A698 &amp; "Points"),CLASSNAMEHEADERS,0))),(IF("01"=(INDEX(ALLCLASSDATA,MATCH("SimpleTrained",CLASSFEATUREHEADERS,0),MATCH($A698,CLASSNAMEHEADERS,0))),(INDEX(ALLCLASSDATA,MATCH("SimpleTrained",CLASSFEATUREHEADERS,0),MATCH(($A698 &amp; "Points"),CLASSNAMEHEADERS,0))),"")))))))))}</f>
        <v>SIMPLEL01</v>
      </c>
      <c r="H697" s="223"/>
      <c r="I697" s="223" t="str">
        <f t="array" ref="I697:I698">{"SIMPLEL03";((IF("03"=(INDEX(ALLCLASSDATA,MATCH("SimpleLegendary",CLASSFEATUREHEADERS,0),MATCH($A698,CLASSNAMEHEADERS,0))),(INDEX(ALLCLASSDATA,MATCH("SimpleLegendary",CLASSFEATUREHEADERS,0),MATCH(($A698 &amp; "Points"),CLASSNAMEHEADERS,0))),(IF("03"=(INDEX(ALLCLASSDATA,MATCH("SimpleMaster",CLASSFEATUREHEADERS,0),MATCH($A698,CLASSNAMEHEADERS,0))),(INDEX(ALLCLASSDATA,MATCH("SimpleMaster",CLASSFEATUREHEADERS,0),MATCH(($A698 &amp; "Points"),CLASSNAMEHEADERS,0))),(IF("03"=(INDEX(ALLCLASSDATA,MATCH("SimpleExpert",CLASSFEATUREHEADERS,0),MATCH($A698,CLASSNAMEHEADERS,0))),(INDEX(ALLCLASSDATA,MATCH("SimpleExpert",CLASSFEATUREHEADERS,0),MATCH(($A698 &amp; "Points"),CLASSNAMEHEADERS,0))),(IF("03"=(INDEX(ALLCLASSDATA,MATCH("SimpleTrained",CLASSFEATUREHEADERS,0),MATCH($A698,CLASSNAMEHEADERS,0))),(INDEX(ALLCLASSDATA,MATCH("SimpleTrained",CLASSFEATUREHEADERS,0),MATCH(($A698 &amp; "Points"),CLASSNAMEHEADERS,0))),"")))))))))}</f>
        <v>SIMPLEL03</v>
      </c>
      <c r="J697" s="223"/>
      <c r="K697" s="223" t="str">
        <f t="array" ref="K697:K698">{"SIMPLEL05";((IF("05"=(INDEX(ALLCLASSDATA,MATCH("SimpleLegendary",CLASSFEATUREHEADERS,0),MATCH($A698,CLASSNAMEHEADERS,0))),(INDEX(ALLCLASSDATA,MATCH("SimpleLegendary",CLASSFEATUREHEADERS,0),MATCH(($A698 &amp; "Points"),CLASSNAMEHEADERS,0))),(IF("05"=(INDEX(ALLCLASSDATA,MATCH("SimpleMaster",CLASSFEATUREHEADERS,0),MATCH($A698,CLASSNAMEHEADERS,0))),(INDEX(ALLCLASSDATA,MATCH("SimpleMaster",CLASSFEATUREHEADERS,0),MATCH(($A698 &amp; "Points"),CLASSNAMEHEADERS,0))),(IF("05"=(INDEX(ALLCLASSDATA,MATCH("SimpleExpert",CLASSFEATUREHEADERS,0),MATCH($A698,CLASSNAMEHEADERS,0))),(INDEX(ALLCLASSDATA,MATCH("SimpleExpert",CLASSFEATUREHEADERS,0),MATCH(($A698 &amp; "Points"),CLASSNAMEHEADERS,0))),(IF("05"=(INDEX(ALLCLASSDATA,MATCH("SimpleTrained",CLASSFEATUREHEADERS,0),MATCH($A698,CLASSNAMEHEADERS,0))),(INDEX(ALLCLASSDATA,MATCH("SimpleTrained",CLASSFEATUREHEADERS,0),MATCH(($A698 &amp; "Points"),CLASSNAMEHEADERS,0))),"")))))))))}</f>
        <v>SIMPLEL05</v>
      </c>
      <c r="L697" s="223"/>
      <c r="M697" s="223" t="str">
        <f t="array" ref="M697:M698">{"SIMPLEL07";((IF("07"=(INDEX(ALLCLASSDATA,MATCH("SimpleLegendary",CLASSFEATUREHEADERS,0),MATCH($A698,CLASSNAMEHEADERS,0))),(INDEX(ALLCLASSDATA,MATCH("SimpleLegendary",CLASSFEATUREHEADERS,0),MATCH(($A698 &amp; "Points"),CLASSNAMEHEADERS,0))),(IF("07"=(INDEX(ALLCLASSDATA,MATCH("SimpleMaster",CLASSFEATUREHEADERS,0),MATCH($A698,CLASSNAMEHEADERS,0))),(INDEX(ALLCLASSDATA,MATCH("SimpleMaster",CLASSFEATUREHEADERS,0),MATCH(($A698 &amp; "Points"),CLASSNAMEHEADERS,0))),(IF("07"=(INDEX(ALLCLASSDATA,MATCH("SimpleExpert",CLASSFEATUREHEADERS,0),MATCH($A698,CLASSNAMEHEADERS,0))),(INDEX(ALLCLASSDATA,MATCH("SimpleExpert",CLASSFEATUREHEADERS,0),MATCH(($A698 &amp; "Points"),CLASSNAMEHEADERS,0))),(IF("07"=(INDEX(ALLCLASSDATA,MATCH("SimpleTrained",CLASSFEATUREHEADERS,0),MATCH($A698,CLASSNAMEHEADERS,0))),(INDEX(ALLCLASSDATA,MATCH("SimpleTrained",CLASSFEATUREHEADERS,0),MATCH(($A698 &amp; "Points"),CLASSNAMEHEADERS,0))),"")))))))))}</f>
        <v>SIMPLEL07</v>
      </c>
      <c r="N697" s="223"/>
      <c r="O697" s="223" t="str">
        <f t="array" ref="O697:O698">{"SIMPLEL09";((IF("09"=(INDEX(ALLCLASSDATA,MATCH("SimpleLegendary",CLASSFEATUREHEADERS,0),MATCH($A698,CLASSNAMEHEADERS,0))),(INDEX(ALLCLASSDATA,MATCH("SimpleLegendary",CLASSFEATUREHEADERS,0),MATCH(($A698 &amp; "Points"),CLASSNAMEHEADERS,0))),(IF("09"=(INDEX(ALLCLASSDATA,MATCH("SimpleMaster",CLASSFEATUREHEADERS,0),MATCH($A698,CLASSNAMEHEADERS,0))),(INDEX(ALLCLASSDATA,MATCH("SimpleMaster",CLASSFEATUREHEADERS,0),MATCH(($A698 &amp; "Points"),CLASSNAMEHEADERS,0))),(IF("09"=(INDEX(ALLCLASSDATA,MATCH("SimpleExpert",CLASSFEATUREHEADERS,0),MATCH($A698,CLASSNAMEHEADERS,0))),(INDEX(ALLCLASSDATA,MATCH("SimpleExpert",CLASSFEATUREHEADERS,0),MATCH(($A698 &amp; "Points"),CLASSNAMEHEADERS,0))),(IF("09"=(INDEX(ALLCLASSDATA,MATCH("SimpleTrained",CLASSFEATUREHEADERS,0),MATCH($A698,CLASSNAMEHEADERS,0))),(INDEX(ALLCLASSDATA,MATCH("SimpleTrained",CLASSFEATUREHEADERS,0),MATCH(($A698 &amp; "Points"),CLASSNAMEHEADERS,0))),"")))))))))}</f>
        <v>SIMPLEL09</v>
      </c>
      <c r="P697" s="223"/>
      <c r="Q697" s="223" t="str">
        <f t="array" ref="Q697:Q698">{"SIMPLEL11";((IF("11"=(INDEX(ALLCLASSDATA,MATCH("SimpleLegendary",CLASSFEATUREHEADERS,0),MATCH($A698,CLASSNAMEHEADERS,0))),(INDEX(ALLCLASSDATA,MATCH("SimpleLegendary",CLASSFEATUREHEADERS,0),MATCH(($A698 &amp; "Points"),CLASSNAMEHEADERS,0))),(IF("11"=(INDEX(ALLCLASSDATA,MATCH("SimpleMaster",CLASSFEATUREHEADERS,0),MATCH($A698,CLASSNAMEHEADERS,0))),(INDEX(ALLCLASSDATA,MATCH("SimpleMaster",CLASSFEATUREHEADERS,0),MATCH(($A698 &amp; "Points"),CLASSNAMEHEADERS,0))),(IF("11"=(INDEX(ALLCLASSDATA,MATCH("SimpleExpert",CLASSFEATUREHEADERS,0),MATCH($A698,CLASSNAMEHEADERS,0))),(INDEX(ALLCLASSDATA,MATCH("SimpleExpert",CLASSFEATUREHEADERS,0),MATCH(($A698 &amp; "Points"),CLASSNAMEHEADERS,0))),(IF("11"=(INDEX(ALLCLASSDATA,MATCH("SimpleTrained",CLASSFEATUREHEADERS,0),MATCH($A698,CLASSNAMEHEADERS,0))),(INDEX(ALLCLASSDATA,MATCH("SimpleTrained",CLASSFEATUREHEADERS,0),MATCH(($A698 &amp; "Points"),CLASSNAMEHEADERS,0))),"")))))))))}</f>
        <v>SIMPLEL11</v>
      </c>
      <c r="R697" s="223"/>
      <c r="S697" s="223" t="str">
        <f t="array" ref="S697:S698">{"SIMPLEL13";((IF("13"=(INDEX(ALLCLASSDATA,MATCH("SimpleLegendary",CLASSFEATUREHEADERS,0),MATCH($A698,CLASSNAMEHEADERS,0))),(INDEX(ALLCLASSDATA,MATCH("SimpleLegendary",CLASSFEATUREHEADERS,0),MATCH(($A698 &amp; "Points"),CLASSNAMEHEADERS,0))),(IF("13"=(INDEX(ALLCLASSDATA,MATCH("SimpleMaster",CLASSFEATUREHEADERS,0),MATCH($A698,CLASSNAMEHEADERS,0))),(INDEX(ALLCLASSDATA,MATCH("SimpleMaster",CLASSFEATUREHEADERS,0),MATCH(($A698 &amp; "Points"),CLASSNAMEHEADERS,0))),(IF("13"=(INDEX(ALLCLASSDATA,MATCH("SimpleExpert",CLASSFEATUREHEADERS,0),MATCH($A698,CLASSNAMEHEADERS,0))),(INDEX(ALLCLASSDATA,MATCH("SimpleExpert",CLASSFEATUREHEADERS,0),MATCH(($A698 &amp; "Points"),CLASSNAMEHEADERS,0))),(IF("13"=(INDEX(ALLCLASSDATA,MATCH("SimpleTrained",CLASSFEATUREHEADERS,0),MATCH($A698,CLASSNAMEHEADERS,0))),(INDEX(ALLCLASSDATA,MATCH("SimpleTrained",CLASSFEATUREHEADERS,0),MATCH(($A698 &amp; "Points"),CLASSNAMEHEADERS,0))),"")))))))))}</f>
        <v>SIMPLEL13</v>
      </c>
      <c r="T697" s="223"/>
      <c r="U697" s="223" t="str">
        <f t="array" ref="U697:U698">{"SIMPLEL15";((IF("15"=(INDEX(ALLCLASSDATA,MATCH("SimpleLegendary",CLASSFEATUREHEADERS,0),MATCH($A698,CLASSNAMEHEADERS,0))),(INDEX(ALLCLASSDATA,MATCH("SimpleLegendary",CLASSFEATUREHEADERS,0),MATCH(($A698 &amp; "Points"),CLASSNAMEHEADERS,0))),(IF("15"=(INDEX(ALLCLASSDATA,MATCH("SimpleMaster",CLASSFEATUREHEADERS,0),MATCH($A698,CLASSNAMEHEADERS,0))),(INDEX(ALLCLASSDATA,MATCH("SimpleMaster",CLASSFEATUREHEADERS,0),MATCH(($A698 &amp; "Points"),CLASSNAMEHEADERS,0))),(IF("15"=(INDEX(ALLCLASSDATA,MATCH("SimpleExpert",CLASSFEATUREHEADERS,0),MATCH($A698,CLASSNAMEHEADERS,0))),(INDEX(ALLCLASSDATA,MATCH("SimpleExpert",CLASSFEATUREHEADERS,0),MATCH(($A698 &amp; "Points"),CLASSNAMEHEADERS,0))),(IF("15"=(INDEX(ALLCLASSDATA,MATCH("SimpleTrained",CLASSFEATUREHEADERS,0),MATCH($A698,CLASSNAMEHEADERS,0))),(INDEX(ALLCLASSDATA,MATCH("SimpleTrained",CLASSFEATUREHEADERS,0),MATCH(($A698 &amp; "Points"),CLASSNAMEHEADERS,0))),"")))))))))}</f>
        <v>SIMPLEL15</v>
      </c>
      <c r="V697" s="223"/>
      <c r="W697" s="223" t="str">
        <f t="array" ref="W697:W698">{"SIMPLEL17";((IF("17"=(INDEX(ALLCLASSDATA,MATCH("SimpleLegendary",CLASSFEATUREHEADERS,0),MATCH($A698,CLASSNAMEHEADERS,0))),(INDEX(ALLCLASSDATA,MATCH("SimpleLegendary",CLASSFEATUREHEADERS,0),MATCH(($A698 &amp; "Points"),CLASSNAMEHEADERS,0))),(IF("17"=(INDEX(ALLCLASSDATA,MATCH("SimpleMaster",CLASSFEATUREHEADERS,0),MATCH($A698,CLASSNAMEHEADERS,0))),(INDEX(ALLCLASSDATA,MATCH("SimpleMaster",CLASSFEATUREHEADERS,0),MATCH(($A698 &amp; "Points"),CLASSNAMEHEADERS,0))),(IF("17"=(INDEX(ALLCLASSDATA,MATCH("SimpleExpert",CLASSFEATUREHEADERS,0),MATCH($A698,CLASSNAMEHEADERS,0))),(INDEX(ALLCLASSDATA,MATCH("SimpleExpert",CLASSFEATUREHEADERS,0),MATCH(($A698 &amp; "Points"),CLASSNAMEHEADERS,0))),(IF("17"=(INDEX(ALLCLASSDATA,MATCH("SimpleTrained",CLASSFEATUREHEADERS,0),MATCH($A698,CLASSNAMEHEADERS,0))),(INDEX(ALLCLASSDATA,MATCH("SimpleTrained",CLASSFEATUREHEADERS,0),MATCH(($A698 &amp; "Points"),CLASSNAMEHEADERS,0))),"")))))))))}</f>
        <v>SIMPLEL17</v>
      </c>
      <c r="X697" s="223"/>
      <c r="Y697" s="223" t="str">
        <f t="array" ref="Y697:Y698">{"SIMPLEL19";((IF("19"=(INDEX(ALLCLASSDATA,MATCH("SimpleLegendary",CLASSFEATUREHEADERS,0),MATCH($A698,CLASSNAMEHEADERS,0))),(INDEX(ALLCLASSDATA,MATCH("SimpleLegendary",CLASSFEATUREHEADERS,0),MATCH(($A698 &amp; "Points"),CLASSNAMEHEADERS,0))),(IF("19"=(INDEX(ALLCLASSDATA,MATCH("SimpleMaster",CLASSFEATUREHEADERS,0),MATCH($A698,CLASSNAMEHEADERS,0))),(INDEX(ALLCLASSDATA,MATCH("SimpleMaster",CLASSFEATUREHEADERS,0),MATCH(($A698 &amp; "Points"),CLASSNAMEHEADERS,0))),(IF("19"=(INDEX(ALLCLASSDATA,MATCH("SimpleExpert",CLASSFEATUREHEADERS,0),MATCH($A698,CLASSNAMEHEADERS,0))),(INDEX(ALLCLASSDATA,MATCH("SimpleExpert",CLASSFEATUREHEADERS,0),MATCH(($A698 &amp; "Points"),CLASSNAMEHEADERS,0))),(IF("19"=(INDEX(ALLCLASSDATA,MATCH("SimpleTrained",CLASSFEATUREHEADERS,0),MATCH($A698,CLASSNAMEHEADERS,0))),(INDEX(ALLCLASSDATA,MATCH("SimpleTrained",CLASSFEATUREHEADERS,0),MATCH(($A698 &amp; "Points"),CLASSNAMEHEADERS,0))),"")))))))))}</f>
        <v>SIMPLEL19</v>
      </c>
      <c r="Z697" s="223"/>
      <c r="AA697" s="76" t="str">
        <f t="array" ref="AA697:AA698">{"SIMPLE TOTAL";(IF(COUNTBLANK(F698:Z698)=17,"L",(IF(COUNTBLANK(F698:Z698)=18,"M",(IF(COUNTBLANK(F698:Z698)=19,"E",(IF(COUNTBLANK(F698:Z698)=20,"T",""))))))))}</f>
        <v>SIMPLE TOTAL</v>
      </c>
      <c r="AB697" s="76" t="str">
        <f t="array" ref="AB697:AB698">{"SIMPLE TOTAL";(sum(F698:Z698))}</f>
        <v>SIMPLE TOTAL</v>
      </c>
    </row>
    <row r="698">
      <c r="A698" s="48" t="s">
        <v>223</v>
      </c>
      <c r="B698" s="48" t="s">
        <v>418</v>
      </c>
      <c r="C698" s="48" t="s">
        <v>1634</v>
      </c>
      <c r="D698" s="48" t="s">
        <v>68</v>
      </c>
      <c r="E698" s="5" t="s">
        <v>435</v>
      </c>
      <c r="F698" s="47" t="s">
        <v>603</v>
      </c>
      <c r="G698" s="5">
        <v>10.0</v>
      </c>
      <c r="H698" s="5"/>
      <c r="I698" s="5" t="s">
        <v>603</v>
      </c>
      <c r="J698" s="5"/>
      <c r="K698" s="5" t="s">
        <v>603</v>
      </c>
      <c r="L698" s="5"/>
      <c r="M698" s="5" t="s">
        <v>603</v>
      </c>
      <c r="N698" s="5"/>
      <c r="O698" s="5" t="s">
        <v>603</v>
      </c>
      <c r="P698" s="5"/>
      <c r="Q698" s="5">
        <v>50.0</v>
      </c>
      <c r="R698" s="5"/>
      <c r="S698" s="5" t="s">
        <v>603</v>
      </c>
      <c r="T698" s="5"/>
      <c r="U698" s="5" t="s">
        <v>603</v>
      </c>
      <c r="V698" s="5"/>
      <c r="W698" s="5" t="s">
        <v>603</v>
      </c>
      <c r="X698" s="5"/>
      <c r="Y698" s="5" t="s">
        <v>603</v>
      </c>
      <c r="Z698" s="5"/>
      <c r="AA698" s="5" t="s">
        <v>436</v>
      </c>
      <c r="AB698" s="47">
        <v>60.0</v>
      </c>
    </row>
    <row r="699" hidden="1">
      <c r="A699" s="222" t="str">
        <f t="array" ref="A699:A700">{"FormulaRow30";(INDEX(CLASSLIST,A640,1))}</f>
        <v>FormulaRow30</v>
      </c>
      <c r="B699" s="222" t="str">
        <f t="array" ref="B699:B700">{"CLASSTYPE";((INDEX(ALLCLASSDATA,MATCH("ClassType",CLASSFEATUREHEADERS,0),MATCH($A700,CLASSNAMEHEADERS,0))))}</f>
        <v>CLASSTYPE</v>
      </c>
      <c r="C699" s="222" t="str">
        <f t="array" ref="C699:C700">{"ATTACK";"Attack"}</f>
        <v>ATTACK</v>
      </c>
      <c r="D699" s="222" t="str">
        <f t="array" ref="D699:D700">{"MARTIALLIMITED";"MartialLimited"}</f>
        <v>MARTIALLIMITED</v>
      </c>
      <c r="E699" s="223" t="str">
        <f t="array" ref="E699:E700">{"MARTIALLIMITEDINITIAL";((IF(G700=10,"T",(IF(G700=50,"E","")))))}</f>
        <v>MARTIALLIMITEDINITIAL</v>
      </c>
      <c r="F699" s="223" t="str">
        <f t="array" ref="F699:F700">{"MARTIALLIMITEDINITIALPTS";((IF("00"=(INDEX(ALLCLASSDATA,MATCH("MartialLimitedLegendary",CLASSFEATUREHEADERS,0),MATCH($A700,CLASSNAMEHEADERS,0))),(INDEX(ALLCLASSDATA,MATCH("MartialLimitedLegendary",CLASSFEATUREHEADERS,0),MATCH(($A700 &amp; "Points"),CLASSNAMEHEADERS,0))),(IF("00"=(INDEX(ALLCLASSDATA,MATCH("MartialLimitedMaster",CLASSFEATUREHEADERS,0),MATCH($A700,CLASSNAMEHEADERS,0))),(INDEX(ALLCLASSDATA,MATCH("MartialLimitedMaster",CLASSFEATUREHEADERS,0),MATCH(($A700 &amp; "Points"),CLASSNAMEHEADERS,0))),(IF("00"=(INDEX(ALLCLASSDATA,MATCH("MartialLimitedExpert",CLASSFEATUREHEADERS,0),MATCH($A700,CLASSNAMEHEADERS,0))),(INDEX(ALLCLASSDATA,MATCH("MartialLimitedExpert",CLASSFEATUREHEADERS,0),MATCH(($A700 &amp; "Points"),CLASSNAMEHEADERS,0))),(IF("00"=(INDEX(ALLCLASSDATA,MATCH("MartialLimitedTrained",CLASSFEATUREHEADERS,0),MATCH($A700,CLASSNAMEHEADERS,0))),(INDEX(ALLCLASSDATA,MATCH("MartialLimitedTrained",CLASSFEATUREHEADERS,0),MATCH(($A700 &amp; "Points"),CLASSNAMEHEADERS,0))),"")))))))))}</f>
        <v>MARTIALLIMITEDINITIALPTS</v>
      </c>
      <c r="G699" s="223" t="str">
        <f t="array" ref="G699:G700">{"MARTIALLIMITEDL01";((IF("01"=(INDEX(ALLCLASSDATA,MATCH("MartialLimitedLegendary",CLASSFEATUREHEADERS,0),MATCH($A700,CLASSNAMEHEADERS,0))),(INDEX(ALLCLASSDATA,MATCH("MartialLimitedLegendary",CLASSFEATUREHEADERS,0),MATCH(($A700 &amp; "Points"),CLASSNAMEHEADERS,0))),(IF("01"=(INDEX(ALLCLASSDATA,MATCH("MartialLimitedMaster",CLASSFEATUREHEADERS,0),MATCH($A700,CLASSNAMEHEADERS,0))),(INDEX(ALLCLASSDATA,MATCH("MartialLimitedMaster",CLASSFEATUREHEADERS,0),MATCH(($A700 &amp; "Points"),CLASSNAMEHEADERS,0))),(IF("01"=(INDEX(ALLCLASSDATA,MATCH("MartialLimitedExpert",CLASSFEATUREHEADERS,0),MATCH($A700,CLASSNAMEHEADERS,0))),(INDEX(ALLCLASSDATA,MATCH("MartialLimitedExpert",CLASSFEATUREHEADERS,0),MATCH(($A700 &amp; "Points"),CLASSNAMEHEADERS,0))),(IF("01"=(INDEX(ALLCLASSDATA,MATCH("MartialLimitedTrained",CLASSFEATUREHEADERS,0),MATCH($A700,CLASSNAMEHEADERS,0))),(INDEX(ALLCLASSDATA,MATCH("MartialLimitedTrained",CLASSFEATUREHEADERS,0),MATCH(($A700 &amp; "Points"),CLASSNAMEHEADERS,0))),"")))))))))}</f>
        <v>MARTIALLIMITEDL01</v>
      </c>
      <c r="H699" s="223"/>
      <c r="I699" s="223" t="str">
        <f t="array" ref="I699:I700">{"MARTIALLIMITEDL03";((IF("03"=(INDEX(ALLCLASSDATA,MATCH("MartialLimitedLegendary",CLASSFEATUREHEADERS,0),MATCH($A700,CLASSNAMEHEADERS,0))),(INDEX(ALLCLASSDATA,MATCH("MartialLimitedLegendary",CLASSFEATUREHEADERS,0),MATCH(($A700 &amp; "Points"),CLASSNAMEHEADERS,0))),(IF("03"=(INDEX(ALLCLASSDATA,MATCH("MartialLimitedMaster",CLASSFEATUREHEADERS,0),MATCH($A700,CLASSNAMEHEADERS,0))),(INDEX(ALLCLASSDATA,MATCH("MartialLimitedMaster",CLASSFEATUREHEADERS,0),MATCH(($A700 &amp; "Points"),CLASSNAMEHEADERS,0))),(IF("03"=(INDEX(ALLCLASSDATA,MATCH("MartialLimitedExpert",CLASSFEATUREHEADERS,0),MATCH($A700,CLASSNAMEHEADERS,0))),(INDEX(ALLCLASSDATA,MATCH("MartialLimitedExpert",CLASSFEATUREHEADERS,0),MATCH(($A700 &amp; "Points"),CLASSNAMEHEADERS,0))),(IF("03"=(INDEX(ALLCLASSDATA,MATCH("MartialLimitedTrained",CLASSFEATUREHEADERS,0),MATCH($A700,CLASSNAMEHEADERS,0))),(INDEX(ALLCLASSDATA,MATCH("MartialLimitedTrained",CLASSFEATUREHEADERS,0),MATCH(($A700 &amp; "Points"),CLASSNAMEHEADERS,0))),"")))))))))}</f>
        <v>MARTIALLIMITEDL03</v>
      </c>
      <c r="J699" s="223"/>
      <c r="K699" s="223" t="str">
        <f t="array" ref="K699:K700">{"MARTIALLIMITEDL05";((IF("05"=(INDEX(ALLCLASSDATA,MATCH("MartialLimitedLegendary",CLASSFEATUREHEADERS,0),MATCH($A700,CLASSNAMEHEADERS,0))),(INDEX(ALLCLASSDATA,MATCH("MartialLimitedLegendary",CLASSFEATUREHEADERS,0),MATCH(($A700 &amp; "Points"),CLASSNAMEHEADERS,0))),(IF("05"=(INDEX(ALLCLASSDATA,MATCH("MartialLimitedMaster",CLASSFEATUREHEADERS,0),MATCH($A700,CLASSNAMEHEADERS,0))),(INDEX(ALLCLASSDATA,MATCH("MartialLimitedMaster",CLASSFEATUREHEADERS,0),MATCH(($A700 &amp; "Points"),CLASSNAMEHEADERS,0))),(IF("05"=(INDEX(ALLCLASSDATA,MATCH("MartialLimitedExpert",CLASSFEATUREHEADERS,0),MATCH($A700,CLASSNAMEHEADERS,0))),(INDEX(ALLCLASSDATA,MATCH("MartialLimitedExpert",CLASSFEATUREHEADERS,0),MATCH(($A700 &amp; "Points"),CLASSNAMEHEADERS,0))),(IF("05"=(INDEX(ALLCLASSDATA,MATCH("MartialLimitedTrained",CLASSFEATUREHEADERS,0),MATCH($A700,CLASSNAMEHEADERS,0))),(INDEX(ALLCLASSDATA,MATCH("MartialLimitedTrained",CLASSFEATUREHEADERS,0),MATCH(($A700 &amp; "Points"),CLASSNAMEHEADERS,0))),"")))))))))}</f>
        <v>MARTIALLIMITEDL05</v>
      </c>
      <c r="L699" s="223"/>
      <c r="M699" s="223" t="str">
        <f t="array" ref="M699:M700">{"MARTIALLIMITEDL07";((IF("07"=(INDEX(ALLCLASSDATA,MATCH("MartialLimitedLegendary",CLASSFEATUREHEADERS,0),MATCH($A700,CLASSNAMEHEADERS,0))),(INDEX(ALLCLASSDATA,MATCH("MartialLimitedLegendary",CLASSFEATUREHEADERS,0),MATCH(($A700 &amp; "Points"),CLASSNAMEHEADERS,0))),(IF("07"=(INDEX(ALLCLASSDATA,MATCH("MartialLimitedMaster",CLASSFEATUREHEADERS,0),MATCH($A700,CLASSNAMEHEADERS,0))),(INDEX(ALLCLASSDATA,MATCH("MartialLimitedMaster",CLASSFEATUREHEADERS,0),MATCH(($A700 &amp; "Points"),CLASSNAMEHEADERS,0))),(IF("07"=(INDEX(ALLCLASSDATA,MATCH("MartialLimitedExpert",CLASSFEATUREHEADERS,0),MATCH($A700,CLASSNAMEHEADERS,0))),(INDEX(ALLCLASSDATA,MATCH("MartialLimitedExpert",CLASSFEATUREHEADERS,0),MATCH(($A700 &amp; "Points"),CLASSNAMEHEADERS,0))),(IF("07"=(INDEX(ALLCLASSDATA,MATCH("MartialLimitedTrained",CLASSFEATUREHEADERS,0),MATCH($A700,CLASSNAMEHEADERS,0))),(INDEX(ALLCLASSDATA,MATCH("MartialLimitedTrained",CLASSFEATUREHEADERS,0),MATCH(($A700 &amp; "Points"),CLASSNAMEHEADERS,0))),"")))))))))}</f>
        <v>MARTIALLIMITEDL07</v>
      </c>
      <c r="N699" s="223"/>
      <c r="O699" s="223" t="str">
        <f t="array" ref="O699:O700">{"MARTIALLIMITEDL09";((IF("09"=(INDEX(ALLCLASSDATA,MATCH("MartialLimitedLegendary",CLASSFEATUREHEADERS,0),MATCH($A700,CLASSNAMEHEADERS,0))),(INDEX(ALLCLASSDATA,MATCH("MartialLimitedLegendary",CLASSFEATUREHEADERS,0),MATCH(($A700 &amp; "Points"),CLASSNAMEHEADERS,0))),(IF("09"=(INDEX(ALLCLASSDATA,MATCH("MartialLimitedMaster",CLASSFEATUREHEADERS,0),MATCH($A700,CLASSNAMEHEADERS,0))),(INDEX(ALLCLASSDATA,MATCH("MartialLimitedMaster",CLASSFEATUREHEADERS,0),MATCH(($A700 &amp; "Points"),CLASSNAMEHEADERS,0))),(IF("09"=(INDEX(ALLCLASSDATA,MATCH("MartialLimitedExpert",CLASSFEATUREHEADERS,0),MATCH($A700,CLASSNAMEHEADERS,0))),(INDEX(ALLCLASSDATA,MATCH("MartialLimitedExpert",CLASSFEATUREHEADERS,0),MATCH(($A700 &amp; "Points"),CLASSNAMEHEADERS,0))),(IF("09"=(INDEX(ALLCLASSDATA,MATCH("MartialLimitedTrained",CLASSFEATUREHEADERS,0),MATCH($A700,CLASSNAMEHEADERS,0))),(INDEX(ALLCLASSDATA,MATCH("MartialLimitedTrained",CLASSFEATUREHEADERS,0),MATCH(($A700 &amp; "Points"),CLASSNAMEHEADERS,0))),"")))))))))}</f>
        <v>MARTIALLIMITEDL09</v>
      </c>
      <c r="P699" s="223"/>
      <c r="Q699" s="223" t="str">
        <f t="array" ref="Q699:Q700">{"MARTIALLIMITEDL11";((IF("11"=(INDEX(ALLCLASSDATA,MATCH("MartialLimitedLegendary",CLASSFEATUREHEADERS,0),MATCH($A700,CLASSNAMEHEADERS,0))),(INDEX(ALLCLASSDATA,MATCH("MartialLimitedLegendary",CLASSFEATUREHEADERS,0),MATCH(($A700 &amp; "Points"),CLASSNAMEHEADERS,0))),(IF("11"=(INDEX(ALLCLASSDATA,MATCH("MartialLimitedMaster",CLASSFEATUREHEADERS,0),MATCH($A700,CLASSNAMEHEADERS,0))),(INDEX(ALLCLASSDATA,MATCH("MartialLimitedMaster",CLASSFEATUREHEADERS,0),MATCH(($A700 &amp; "Points"),CLASSNAMEHEADERS,0))),(IF("11"=(INDEX(ALLCLASSDATA,MATCH("MartialLimitedExpert",CLASSFEATUREHEADERS,0),MATCH($A700,CLASSNAMEHEADERS,0))),(INDEX(ALLCLASSDATA,MATCH("MartialLimitedExpert",CLASSFEATUREHEADERS,0),MATCH(($A700 &amp; "Points"),CLASSNAMEHEADERS,0))),(IF("11"=(INDEX(ALLCLASSDATA,MATCH("MartialLimitedTrained",CLASSFEATUREHEADERS,0),MATCH($A700,CLASSNAMEHEADERS,0))),(INDEX(ALLCLASSDATA,MATCH("MartialLimitedTrained",CLASSFEATUREHEADERS,0),MATCH(($A700 &amp; "Points"),CLASSNAMEHEADERS,0))),"")))))))))}</f>
        <v>MARTIALLIMITEDL11</v>
      </c>
      <c r="R699" s="223"/>
      <c r="S699" s="223" t="str">
        <f t="array" ref="S699:S700">{"MARTIALLIMITEDL13";((IF("13"=(INDEX(ALLCLASSDATA,MATCH("MartialLimitedLegendary",CLASSFEATUREHEADERS,0),MATCH($A700,CLASSNAMEHEADERS,0))),(INDEX(ALLCLASSDATA,MATCH("MartialLimitedLegendary",CLASSFEATUREHEADERS,0),MATCH(($A700 &amp; "Points"),CLASSNAMEHEADERS,0))),(IF("13"=(INDEX(ALLCLASSDATA,MATCH("MartialLimitedMaster",CLASSFEATUREHEADERS,0),MATCH($A700,CLASSNAMEHEADERS,0))),(INDEX(ALLCLASSDATA,MATCH("MartialLimitedMaster",CLASSFEATUREHEADERS,0),MATCH(($A700 &amp; "Points"),CLASSNAMEHEADERS,0))),(IF("13"=(INDEX(ALLCLASSDATA,MATCH("MartialLimitedExpert",CLASSFEATUREHEADERS,0),MATCH($A700,CLASSNAMEHEADERS,0))),(INDEX(ALLCLASSDATA,MATCH("MartialLimitedExpert",CLASSFEATUREHEADERS,0),MATCH(($A700 &amp; "Points"),CLASSNAMEHEADERS,0))),(IF("13"=(INDEX(ALLCLASSDATA,MATCH("MartialLimitedTrained",CLASSFEATUREHEADERS,0),MATCH($A700,CLASSNAMEHEADERS,0))),(INDEX(ALLCLASSDATA,MATCH("MartialLimitedTrained",CLASSFEATUREHEADERS,0),MATCH(($A700 &amp; "Points"),CLASSNAMEHEADERS,0))),"")))))))))}</f>
        <v>MARTIALLIMITEDL13</v>
      </c>
      <c r="T699" s="223"/>
      <c r="U699" s="223" t="str">
        <f t="array" ref="U699:U700">{"MARTIALLIMITEDL15";((IF("15"=(INDEX(ALLCLASSDATA,MATCH("MartialLimitedLegendary",CLASSFEATUREHEADERS,0),MATCH($A700,CLASSNAMEHEADERS,0))),(INDEX(ALLCLASSDATA,MATCH("MartialLimitedLegendary",CLASSFEATUREHEADERS,0),MATCH(($A700 &amp; "Points"),CLASSNAMEHEADERS,0))),(IF("15"=(INDEX(ALLCLASSDATA,MATCH("MartialLimitedMaster",CLASSFEATUREHEADERS,0),MATCH($A700,CLASSNAMEHEADERS,0))),(INDEX(ALLCLASSDATA,MATCH("MartialLimitedMaster",CLASSFEATUREHEADERS,0),MATCH(($A700 &amp; "Points"),CLASSNAMEHEADERS,0))),(IF("15"=(INDEX(ALLCLASSDATA,MATCH("MartialLimitedExpert",CLASSFEATUREHEADERS,0),MATCH($A700,CLASSNAMEHEADERS,0))),(INDEX(ALLCLASSDATA,MATCH("MartialLimitedExpert",CLASSFEATUREHEADERS,0),MATCH(($A700 &amp; "Points"),CLASSNAMEHEADERS,0))),(IF("15"=(INDEX(ALLCLASSDATA,MATCH("MartialLimitedTrained",CLASSFEATUREHEADERS,0),MATCH($A700,CLASSNAMEHEADERS,0))),(INDEX(ALLCLASSDATA,MATCH("MartialLimitedTrained",CLASSFEATUREHEADERS,0),MATCH(($A700 &amp; "Points"),CLASSNAMEHEADERS,0))),"")))))))))}</f>
        <v>MARTIALLIMITEDL15</v>
      </c>
      <c r="V699" s="223"/>
      <c r="W699" s="223" t="str">
        <f t="array" ref="W699:W700">{"MARTIALLIMITEDL17";((IF("17"=(INDEX(ALLCLASSDATA,MATCH("MartialLimitedLegendary",CLASSFEATUREHEADERS,0),MATCH($A700,CLASSNAMEHEADERS,0))),(INDEX(ALLCLASSDATA,MATCH("MartialLimitedLegendary",CLASSFEATUREHEADERS,0),MATCH(($A700 &amp; "Points"),CLASSNAMEHEADERS,0))),(IF("17"=(INDEX(ALLCLASSDATA,MATCH("MartialLimitedMaster",CLASSFEATUREHEADERS,0),MATCH($A700,CLASSNAMEHEADERS,0))),(INDEX(ALLCLASSDATA,MATCH("MartialLimitedMaster",CLASSFEATUREHEADERS,0),MATCH(($A700 &amp; "Points"),CLASSNAMEHEADERS,0))),(IF("17"=(INDEX(ALLCLASSDATA,MATCH("MartialLimitedExpert",CLASSFEATUREHEADERS,0),MATCH($A700,CLASSNAMEHEADERS,0))),(INDEX(ALLCLASSDATA,MATCH("MartialLimitedExpert",CLASSFEATUREHEADERS,0),MATCH(($A700 &amp; "Points"),CLASSNAMEHEADERS,0))),(IF("17"=(INDEX(ALLCLASSDATA,MATCH("MartialLimitedTrained",CLASSFEATUREHEADERS,0),MATCH($A700,CLASSNAMEHEADERS,0))),(INDEX(ALLCLASSDATA,MATCH("MartialLimitedTrained",CLASSFEATUREHEADERS,0),MATCH(($A700 &amp; "Points"),CLASSNAMEHEADERS,0))),"")))))))))}</f>
        <v>MARTIALLIMITEDL17</v>
      </c>
      <c r="X699" s="223"/>
      <c r="Y699" s="223" t="str">
        <f t="array" ref="Y699:Y700">{"MARTIALLIMITEDL19";((IF("19"=(INDEX(ALLCLASSDATA,MATCH("MartialLimitedLegendary",CLASSFEATUREHEADERS,0),MATCH($A700,CLASSNAMEHEADERS,0))),(INDEX(ALLCLASSDATA,MATCH("MartialLimitedLegendary",CLASSFEATUREHEADERS,0),MATCH(($A700 &amp; "Points"),CLASSNAMEHEADERS,0))),(IF("19"=(INDEX(ALLCLASSDATA,MATCH("MartialLimitedMaster",CLASSFEATUREHEADERS,0),MATCH($A700,CLASSNAMEHEADERS,0))),(INDEX(ALLCLASSDATA,MATCH("MartialLimitedMaster",CLASSFEATUREHEADERS,0),MATCH(($A700 &amp; "Points"),CLASSNAMEHEADERS,0))),(IF("19"=(INDEX(ALLCLASSDATA,MATCH("MartialLimitedExpert",CLASSFEATUREHEADERS,0),MATCH($A700,CLASSNAMEHEADERS,0))),(INDEX(ALLCLASSDATA,MATCH("MartialLimitedExpert",CLASSFEATUREHEADERS,0),MATCH(($A700 &amp; "Points"),CLASSNAMEHEADERS,0))),(IF("19"=(INDEX(ALLCLASSDATA,MATCH("MartialLimitedTrained",CLASSFEATUREHEADERS,0),MATCH($A700,CLASSNAMEHEADERS,0))),(INDEX(ALLCLASSDATA,MATCH("MartialLimitedTrained",CLASSFEATUREHEADERS,0),MATCH(($A700 &amp; "Points"),CLASSNAMEHEADERS,0))),"")))))))))}</f>
        <v>MARTIALLIMITEDL19</v>
      </c>
      <c r="Z699" s="223"/>
      <c r="AA699" s="76" t="str">
        <f t="array" ref="AA699:AA700">{"MARTIALLIMITED TOTAL";(IF(COUNTBLANK(F700:Z700)=17,"L",(IF(COUNTBLANK(F700:Z700)=18,"M",(IF(COUNTBLANK(F700:Z700)=19,"E",(IF(COUNTBLANK(F700:Z700)=20,"T",""))))))))}</f>
        <v>MARTIALLIMITED TOTAL</v>
      </c>
      <c r="AB699" s="76" t="str">
        <f t="array" ref="AB699:AB700">{"MARTIALLIMITED TOTAL";(sum(F700:Z700))}</f>
        <v>MARTIALLIMITED TOTAL</v>
      </c>
    </row>
    <row r="700">
      <c r="A700" s="48" t="s">
        <v>223</v>
      </c>
      <c r="B700" s="48" t="s">
        <v>418</v>
      </c>
      <c r="C700" s="48" t="s">
        <v>1634</v>
      </c>
      <c r="D700" s="48" t="s">
        <v>600</v>
      </c>
      <c r="E700" s="5" t="s">
        <v>603</v>
      </c>
      <c r="F700" s="47" t="s">
        <v>603</v>
      </c>
      <c r="G700" s="5" t="s">
        <v>603</v>
      </c>
      <c r="H700" s="5"/>
      <c r="I700" s="5" t="s">
        <v>603</v>
      </c>
      <c r="J700" s="5"/>
      <c r="K700" s="5" t="s">
        <v>603</v>
      </c>
      <c r="L700" s="5"/>
      <c r="M700" s="5" t="s">
        <v>603</v>
      </c>
      <c r="N700" s="5"/>
      <c r="O700" s="5" t="s">
        <v>603</v>
      </c>
      <c r="P700" s="5"/>
      <c r="Q700" s="5" t="s">
        <v>603</v>
      </c>
      <c r="R700" s="5"/>
      <c r="S700" s="5" t="s">
        <v>603</v>
      </c>
      <c r="T700" s="5"/>
      <c r="U700" s="5" t="s">
        <v>603</v>
      </c>
      <c r="V700" s="5"/>
      <c r="W700" s="5" t="s">
        <v>603</v>
      </c>
      <c r="X700" s="5"/>
      <c r="Y700" s="5" t="s">
        <v>603</v>
      </c>
      <c r="Z700" s="5"/>
      <c r="AA700" s="5" t="s">
        <v>603</v>
      </c>
      <c r="AB700" s="47">
        <v>0.0</v>
      </c>
    </row>
    <row r="701" hidden="1">
      <c r="A701" s="222" t="str">
        <f t="array" ref="A701:A702">{"FormulaRow31";(INDEX(CLASSLIST,A640,1))}</f>
        <v>FormulaRow31</v>
      </c>
      <c r="B701" s="222" t="str">
        <f t="array" ref="B701:B702">{"CLASSTYPE";((INDEX(ALLCLASSDATA,MATCH("ClassType",CLASSFEATUREHEADERS,0),MATCH($A702,CLASSNAMEHEADERS,0))))}</f>
        <v>CLASSTYPE</v>
      </c>
      <c r="C701" s="222" t="str">
        <f t="array" ref="C701:C702">{"ATTACK";"Attack"}</f>
        <v>ATTACK</v>
      </c>
      <c r="D701" s="222" t="str">
        <f t="array" ref="D701:D702">{"MARTIAL";"Martial"}</f>
        <v>MARTIAL</v>
      </c>
      <c r="E701" s="223" t="str">
        <f t="array" ref="E701:E702">{"MARTIALINITIAL";((IF(G702=10,"T",(IF(G702=50,"E","")))))}</f>
        <v>MARTIALINITIAL</v>
      </c>
      <c r="F701" s="223" t="str">
        <f t="array" ref="F701:F702">{"MARTIALINITIALPTS";((IF("00"=(INDEX(ALLCLASSDATA,MATCH("MartialLegendary",CLASSFEATUREHEADERS,0),MATCH($A702,CLASSNAMEHEADERS,0))),(INDEX(ALLCLASSDATA,MATCH("MartialLegendary",CLASSFEATUREHEADERS,0),MATCH(($A702 &amp; "Points"),CLASSNAMEHEADERS,0))),(IF("00"=(INDEX(ALLCLASSDATA,MATCH("MartialMaster",CLASSFEATUREHEADERS,0),MATCH($A702,CLASSNAMEHEADERS,0))),(INDEX(ALLCLASSDATA,MATCH("MartialMaster",CLASSFEATUREHEADERS,0),MATCH(($A702 &amp; "Points"),CLASSNAMEHEADERS,0))),(IF("00"=(INDEX(ALLCLASSDATA,MATCH("MartialExpert",CLASSFEATUREHEADERS,0),MATCH($A702,CLASSNAMEHEADERS,0))),(INDEX(ALLCLASSDATA,MATCH("MartialExpert",CLASSFEATUREHEADERS,0),MATCH(($A702 &amp; "Points"),CLASSNAMEHEADERS,0))),(IF("00"=(INDEX(ALLCLASSDATA,MATCH("MartialTrained",CLASSFEATUREHEADERS,0),MATCH($A702,CLASSNAMEHEADERS,0))),(INDEX(ALLCLASSDATA,MATCH("MartialTrained",CLASSFEATUREHEADERS,0),MATCH(($A702 &amp; "Points"),CLASSNAMEHEADERS,0))),"")))))))))}</f>
        <v>MARTIALINITIALPTS</v>
      </c>
      <c r="G701" s="223" t="str">
        <f t="array" ref="G701:G702">{"MARTIALL01";((IF("01"=(INDEX(ALLCLASSDATA,MATCH("MartialLegendary",CLASSFEATUREHEADERS,0),MATCH($A702,CLASSNAMEHEADERS,0))),(INDEX(ALLCLASSDATA,MATCH("MartialLegendary",CLASSFEATUREHEADERS,0),MATCH(($A702 &amp; "Points"),CLASSNAMEHEADERS,0))),(IF("01"=(INDEX(ALLCLASSDATA,MATCH("MartialMaster",CLASSFEATUREHEADERS,0),MATCH($A702,CLASSNAMEHEADERS,0))),(INDEX(ALLCLASSDATA,MATCH("MartialMaster",CLASSFEATUREHEADERS,0),MATCH(($A702 &amp; "Points"),CLASSNAMEHEADERS,0))),(IF("01"=(INDEX(ALLCLASSDATA,MATCH("MartialExpert",CLASSFEATUREHEADERS,0),MATCH($A702,CLASSNAMEHEADERS,0))),(INDEX(ALLCLASSDATA,MATCH("MartialExpert",CLASSFEATUREHEADERS,0),MATCH(($A702 &amp; "Points"),CLASSNAMEHEADERS,0))),(IF("01"=(INDEX(ALLCLASSDATA,MATCH("MartialTrained",CLASSFEATUREHEADERS,0),MATCH($A702,CLASSNAMEHEADERS,0))),(INDEX(ALLCLASSDATA,MATCH("MartialTrained",CLASSFEATUREHEADERS,0),MATCH(($A702 &amp; "Points"),CLASSNAMEHEADERS,0))),"")))))))))}</f>
        <v>MARTIALL01</v>
      </c>
      <c r="H701" s="223"/>
      <c r="I701" s="223" t="str">
        <f t="array" ref="I701:I702">{"MARTIALL03";((IF("03"=(INDEX(ALLCLASSDATA,MATCH("MartialLegendary",CLASSFEATUREHEADERS,0),MATCH($A702,CLASSNAMEHEADERS,0))),(INDEX(ALLCLASSDATA,MATCH("MartialLegendary",CLASSFEATUREHEADERS,0),MATCH(($A702 &amp; "Points"),CLASSNAMEHEADERS,0))),(IF("03"=(INDEX(ALLCLASSDATA,MATCH("MartialMaster",CLASSFEATUREHEADERS,0),MATCH($A702,CLASSNAMEHEADERS,0))),(INDEX(ALLCLASSDATA,MATCH("MartialMaster",CLASSFEATUREHEADERS,0),MATCH(($A702 &amp; "Points"),CLASSNAMEHEADERS,0))),(IF("03"=(INDEX(ALLCLASSDATA,MATCH("MartialExpert",CLASSFEATUREHEADERS,0),MATCH($A702,CLASSNAMEHEADERS,0))),(INDEX(ALLCLASSDATA,MATCH("MartialExpert",CLASSFEATUREHEADERS,0),MATCH(($A702 &amp; "Points"),CLASSNAMEHEADERS,0))),(IF("03"=(INDEX(ALLCLASSDATA,MATCH("MartialTrained",CLASSFEATUREHEADERS,0),MATCH($A702,CLASSNAMEHEADERS,0))),(INDEX(ALLCLASSDATA,MATCH("MartialTrained",CLASSFEATUREHEADERS,0),MATCH(($A702 &amp; "Points"),CLASSNAMEHEADERS,0))),"")))))))))}</f>
        <v>MARTIALL03</v>
      </c>
      <c r="J701" s="223"/>
      <c r="K701" s="223" t="str">
        <f t="array" ref="K701:K702">{"MARTIALL05";((IF("05"=(INDEX(ALLCLASSDATA,MATCH("MartialLegendary",CLASSFEATUREHEADERS,0),MATCH($A702,CLASSNAMEHEADERS,0))),(INDEX(ALLCLASSDATA,MATCH("MartialLegendary",CLASSFEATUREHEADERS,0),MATCH(($A702 &amp; "Points"),CLASSNAMEHEADERS,0))),(IF("05"=(INDEX(ALLCLASSDATA,MATCH("MartialMaster",CLASSFEATUREHEADERS,0),MATCH($A702,CLASSNAMEHEADERS,0))),(INDEX(ALLCLASSDATA,MATCH("MartialMaster",CLASSFEATUREHEADERS,0),MATCH(($A702 &amp; "Points"),CLASSNAMEHEADERS,0))),(IF("05"=(INDEX(ALLCLASSDATA,MATCH("MartialExpert",CLASSFEATUREHEADERS,0),MATCH($A702,CLASSNAMEHEADERS,0))),(INDEX(ALLCLASSDATA,MATCH("MartialExpert",CLASSFEATUREHEADERS,0),MATCH(($A702 &amp; "Points"),CLASSNAMEHEADERS,0))),(IF("05"=(INDEX(ALLCLASSDATA,MATCH("MartialTrained",CLASSFEATUREHEADERS,0),MATCH($A702,CLASSNAMEHEADERS,0))),(INDEX(ALLCLASSDATA,MATCH("MartialTrained",CLASSFEATUREHEADERS,0),MATCH(($A702 &amp; "Points"),CLASSNAMEHEADERS,0))),"")))))))))}</f>
        <v>MARTIALL05</v>
      </c>
      <c r="L701" s="223"/>
      <c r="M701" s="223" t="str">
        <f t="array" ref="M701:M702">{"MARTIALL07";((IF("07"=(INDEX(ALLCLASSDATA,MATCH("MartialLegendary",CLASSFEATUREHEADERS,0),MATCH($A702,CLASSNAMEHEADERS,0))),(INDEX(ALLCLASSDATA,MATCH("MartialLegendary",CLASSFEATUREHEADERS,0),MATCH(($A702 &amp; "Points"),CLASSNAMEHEADERS,0))),(IF("07"=(INDEX(ALLCLASSDATA,MATCH("MartialMaster",CLASSFEATUREHEADERS,0),MATCH($A702,CLASSNAMEHEADERS,0))),(INDEX(ALLCLASSDATA,MATCH("MartialMaster",CLASSFEATUREHEADERS,0),MATCH(($A702 &amp; "Points"),CLASSNAMEHEADERS,0))),(IF("07"=(INDEX(ALLCLASSDATA,MATCH("MartialExpert",CLASSFEATUREHEADERS,0),MATCH($A702,CLASSNAMEHEADERS,0))),(INDEX(ALLCLASSDATA,MATCH("MartialExpert",CLASSFEATUREHEADERS,0),MATCH(($A702 &amp; "Points"),CLASSNAMEHEADERS,0))),(IF("07"=(INDEX(ALLCLASSDATA,MATCH("MartialTrained",CLASSFEATUREHEADERS,0),MATCH($A702,CLASSNAMEHEADERS,0))),(INDEX(ALLCLASSDATA,MATCH("MartialTrained",CLASSFEATUREHEADERS,0),MATCH(($A702 &amp; "Points"),CLASSNAMEHEADERS,0))),"")))))))))}</f>
        <v>MARTIALL07</v>
      </c>
      <c r="N701" s="223"/>
      <c r="O701" s="223" t="str">
        <f t="array" ref="O701:O702">{"MARTIALL09";((IF("09"=(INDEX(ALLCLASSDATA,MATCH("MartialLegendary",CLASSFEATUREHEADERS,0),MATCH($A702,CLASSNAMEHEADERS,0))),(INDEX(ALLCLASSDATA,MATCH("MartialLegendary",CLASSFEATUREHEADERS,0),MATCH(($A702 &amp; "Points"),CLASSNAMEHEADERS,0))),(IF("09"=(INDEX(ALLCLASSDATA,MATCH("MartialMaster",CLASSFEATUREHEADERS,0),MATCH($A702,CLASSNAMEHEADERS,0))),(INDEX(ALLCLASSDATA,MATCH("MartialMaster",CLASSFEATUREHEADERS,0),MATCH(($A702 &amp; "Points"),CLASSNAMEHEADERS,0))),(IF("09"=(INDEX(ALLCLASSDATA,MATCH("MartialExpert",CLASSFEATUREHEADERS,0),MATCH($A702,CLASSNAMEHEADERS,0))),(INDEX(ALLCLASSDATA,MATCH("MartialExpert",CLASSFEATUREHEADERS,0),MATCH(($A702 &amp; "Points"),CLASSNAMEHEADERS,0))),(IF("09"=(INDEX(ALLCLASSDATA,MATCH("MartialTrained",CLASSFEATUREHEADERS,0),MATCH($A702,CLASSNAMEHEADERS,0))),(INDEX(ALLCLASSDATA,MATCH("MartialTrained",CLASSFEATUREHEADERS,0),MATCH(($A702 &amp; "Points"),CLASSNAMEHEADERS,0))),"")))))))))}</f>
        <v>MARTIALL09</v>
      </c>
      <c r="P701" s="223"/>
      <c r="Q701" s="223" t="str">
        <f t="array" ref="Q701:Q702">{"MARTIALL11";((IF("11"=(INDEX(ALLCLASSDATA,MATCH("MartialLegendary",CLASSFEATUREHEADERS,0),MATCH($A702,CLASSNAMEHEADERS,0))),(INDEX(ALLCLASSDATA,MATCH("MartialLegendary",CLASSFEATUREHEADERS,0),MATCH(($A702 &amp; "Points"),CLASSNAMEHEADERS,0))),(IF("11"=(INDEX(ALLCLASSDATA,MATCH("MartialMaster",CLASSFEATUREHEADERS,0),MATCH($A702,CLASSNAMEHEADERS,0))),(INDEX(ALLCLASSDATA,MATCH("MartialMaster",CLASSFEATUREHEADERS,0),MATCH(($A702 &amp; "Points"),CLASSNAMEHEADERS,0))),(IF("11"=(INDEX(ALLCLASSDATA,MATCH("MartialExpert",CLASSFEATUREHEADERS,0),MATCH($A702,CLASSNAMEHEADERS,0))),(INDEX(ALLCLASSDATA,MATCH("MartialExpert",CLASSFEATUREHEADERS,0),MATCH(($A702 &amp; "Points"),CLASSNAMEHEADERS,0))),(IF("11"=(INDEX(ALLCLASSDATA,MATCH("MartialTrained",CLASSFEATUREHEADERS,0),MATCH($A702,CLASSNAMEHEADERS,0))),(INDEX(ALLCLASSDATA,MATCH("MartialTrained",CLASSFEATUREHEADERS,0),MATCH(($A702 &amp; "Points"),CLASSNAMEHEADERS,0))),"")))))))))}</f>
        <v>MARTIALL11</v>
      </c>
      <c r="R701" s="223"/>
      <c r="S701" s="223" t="str">
        <f t="array" ref="S701:S702">{"MARTIALL13";((IF("13"=(INDEX(ALLCLASSDATA,MATCH("MartialLegendary",CLASSFEATUREHEADERS,0),MATCH($A702,CLASSNAMEHEADERS,0))),(INDEX(ALLCLASSDATA,MATCH("MartialLegendary",CLASSFEATUREHEADERS,0),MATCH(($A702 &amp; "Points"),CLASSNAMEHEADERS,0))),(IF("13"=(INDEX(ALLCLASSDATA,MATCH("MartialMaster",CLASSFEATUREHEADERS,0),MATCH($A702,CLASSNAMEHEADERS,0))),(INDEX(ALLCLASSDATA,MATCH("MartialMaster",CLASSFEATUREHEADERS,0),MATCH(($A702 &amp; "Points"),CLASSNAMEHEADERS,0))),(IF("13"=(INDEX(ALLCLASSDATA,MATCH("MartialExpert",CLASSFEATUREHEADERS,0),MATCH($A702,CLASSNAMEHEADERS,0))),(INDEX(ALLCLASSDATA,MATCH("MartialExpert",CLASSFEATUREHEADERS,0),MATCH(($A702 &amp; "Points"),CLASSNAMEHEADERS,0))),(IF("13"=(INDEX(ALLCLASSDATA,MATCH("MartialTrained",CLASSFEATUREHEADERS,0),MATCH($A702,CLASSNAMEHEADERS,0))),(INDEX(ALLCLASSDATA,MATCH("MartialTrained",CLASSFEATUREHEADERS,0),MATCH(($A702 &amp; "Points"),CLASSNAMEHEADERS,0))),"")))))))))}</f>
        <v>MARTIALL13</v>
      </c>
      <c r="T701" s="223"/>
      <c r="U701" s="223" t="str">
        <f t="array" ref="U701:U702">{"MARTIALL15";((IF("15"=(INDEX(ALLCLASSDATA,MATCH("MartialLegendary",CLASSFEATUREHEADERS,0),MATCH($A702,CLASSNAMEHEADERS,0))),(INDEX(ALLCLASSDATA,MATCH("MartialLegendary",CLASSFEATUREHEADERS,0),MATCH(($A702 &amp; "Points"),CLASSNAMEHEADERS,0))),(IF("15"=(INDEX(ALLCLASSDATA,MATCH("MartialMaster",CLASSFEATUREHEADERS,0),MATCH($A702,CLASSNAMEHEADERS,0))),(INDEX(ALLCLASSDATA,MATCH("MartialMaster",CLASSFEATUREHEADERS,0),MATCH(($A702 &amp; "Points"),CLASSNAMEHEADERS,0))),(IF("15"=(INDEX(ALLCLASSDATA,MATCH("MartialExpert",CLASSFEATUREHEADERS,0),MATCH($A702,CLASSNAMEHEADERS,0))),(INDEX(ALLCLASSDATA,MATCH("MartialExpert",CLASSFEATUREHEADERS,0),MATCH(($A702 &amp; "Points"),CLASSNAMEHEADERS,0))),(IF("15"=(INDEX(ALLCLASSDATA,MATCH("MartialTrained",CLASSFEATUREHEADERS,0),MATCH($A702,CLASSNAMEHEADERS,0))),(INDEX(ALLCLASSDATA,MATCH("MartialTrained",CLASSFEATUREHEADERS,0),MATCH(($A702 &amp; "Points"),CLASSNAMEHEADERS,0))),"")))))))))}</f>
        <v>MARTIALL15</v>
      </c>
      <c r="V701" s="223"/>
      <c r="W701" s="223" t="str">
        <f t="array" ref="W701:W702">{"MARTIALL17";((IF("17"=(INDEX(ALLCLASSDATA,MATCH("MartialLegendary",CLASSFEATUREHEADERS,0),MATCH($A702,CLASSNAMEHEADERS,0))),(INDEX(ALLCLASSDATA,MATCH("MartialLegendary",CLASSFEATUREHEADERS,0),MATCH(($A702 &amp; "Points"),CLASSNAMEHEADERS,0))),(IF("17"=(INDEX(ALLCLASSDATA,MATCH("MartialMaster",CLASSFEATUREHEADERS,0),MATCH($A702,CLASSNAMEHEADERS,0))),(INDEX(ALLCLASSDATA,MATCH("MartialMaster",CLASSFEATUREHEADERS,0),MATCH(($A702 &amp; "Points"),CLASSNAMEHEADERS,0))),(IF("17"=(INDEX(ALLCLASSDATA,MATCH("MartialExpert",CLASSFEATUREHEADERS,0),MATCH($A702,CLASSNAMEHEADERS,0))),(INDEX(ALLCLASSDATA,MATCH("MartialExpert",CLASSFEATUREHEADERS,0),MATCH(($A702 &amp; "Points"),CLASSNAMEHEADERS,0))),(IF("17"=(INDEX(ALLCLASSDATA,MATCH("MartialTrained",CLASSFEATUREHEADERS,0),MATCH($A702,CLASSNAMEHEADERS,0))),(INDEX(ALLCLASSDATA,MATCH("MartialTrained",CLASSFEATUREHEADERS,0),MATCH(($A702 &amp; "Points"),CLASSNAMEHEADERS,0))),"")))))))))}</f>
        <v>MARTIALL17</v>
      </c>
      <c r="X701" s="223"/>
      <c r="Y701" s="223" t="str">
        <f t="array" ref="Y701:Y702">{"MARTIALL19";((IF("19"=(INDEX(ALLCLASSDATA,MATCH("MartialLegendary",CLASSFEATUREHEADERS,0),MATCH($A702,CLASSNAMEHEADERS,0))),(INDEX(ALLCLASSDATA,MATCH("MartialLegendary",CLASSFEATUREHEADERS,0),MATCH(($A702 &amp; "Points"),CLASSNAMEHEADERS,0))),(IF("19"=(INDEX(ALLCLASSDATA,MATCH("MartialMaster",CLASSFEATUREHEADERS,0),MATCH($A702,CLASSNAMEHEADERS,0))),(INDEX(ALLCLASSDATA,MATCH("MartialMaster",CLASSFEATUREHEADERS,0),MATCH(($A702 &amp; "Points"),CLASSNAMEHEADERS,0))),(IF("19"=(INDEX(ALLCLASSDATA,MATCH("MartialExpert",CLASSFEATUREHEADERS,0),MATCH($A702,CLASSNAMEHEADERS,0))),(INDEX(ALLCLASSDATA,MATCH("MartialExpert",CLASSFEATUREHEADERS,0),MATCH(($A702 &amp; "Points"),CLASSNAMEHEADERS,0))),(IF("19"=(INDEX(ALLCLASSDATA,MATCH("MartialTrained",CLASSFEATUREHEADERS,0),MATCH($A702,CLASSNAMEHEADERS,0))),(INDEX(ALLCLASSDATA,MATCH("MartialTrained",CLASSFEATUREHEADERS,0),MATCH(($A702 &amp; "Points"),CLASSNAMEHEADERS,0))),"")))))))))}</f>
        <v>MARTIALL19</v>
      </c>
      <c r="Z701" s="223"/>
      <c r="AA701" s="76" t="str">
        <f t="array" ref="AA701:AA702">{"MARTIAL TOTAL";(IF(COUNTBLANK(F702:Z702)=17,"L",(IF(COUNTBLANK(F702:Z702)=18,"M",(IF(COUNTBLANK(F702:Z702)=19,"E",(IF(COUNTBLANK(F702:Z702)=20,"T",""))))))))}</f>
        <v>MARTIAL TOTAL</v>
      </c>
      <c r="AB701" s="76" t="str">
        <f t="array" ref="AB701:AB702">{"MARTIAL TOTAL";(sum(F702:Z702))}</f>
        <v>MARTIAL TOTAL</v>
      </c>
    </row>
    <row r="702">
      <c r="A702" s="48" t="s">
        <v>223</v>
      </c>
      <c r="B702" s="48" t="s">
        <v>418</v>
      </c>
      <c r="C702" s="48" t="s">
        <v>1634</v>
      </c>
      <c r="D702" s="48" t="s">
        <v>6</v>
      </c>
      <c r="E702" s="5" t="s">
        <v>603</v>
      </c>
      <c r="F702" s="47" t="s">
        <v>603</v>
      </c>
      <c r="G702" s="5" t="s">
        <v>603</v>
      </c>
      <c r="H702" s="5"/>
      <c r="I702" s="5" t="s">
        <v>603</v>
      </c>
      <c r="J702" s="5"/>
      <c r="K702" s="5" t="s">
        <v>603</v>
      </c>
      <c r="L702" s="5"/>
      <c r="M702" s="5" t="s">
        <v>603</v>
      </c>
      <c r="N702" s="5"/>
      <c r="O702" s="5" t="s">
        <v>603</v>
      </c>
      <c r="P702" s="48"/>
      <c r="Q702" s="5" t="s">
        <v>603</v>
      </c>
      <c r="R702" s="5"/>
      <c r="S702" s="5" t="s">
        <v>603</v>
      </c>
      <c r="T702" s="5"/>
      <c r="U702" s="5" t="s">
        <v>603</v>
      </c>
      <c r="V702" s="5"/>
      <c r="W702" s="5" t="s">
        <v>603</v>
      </c>
      <c r="X702" s="5"/>
      <c r="Y702" s="5" t="s">
        <v>603</v>
      </c>
      <c r="Z702" s="5"/>
      <c r="AA702" s="5" t="s">
        <v>603</v>
      </c>
      <c r="AB702" s="47">
        <v>0.0</v>
      </c>
    </row>
    <row r="703" hidden="1">
      <c r="A703" s="222" t="str">
        <f t="array" ref="A703:A704">{"FormulaRow32";(INDEX(CLASSLIST,A640,1))}</f>
        <v>FormulaRow32</v>
      </c>
      <c r="B703" s="222" t="str">
        <f t="array" ref="B703:B704">{"CLASSTYPE";((INDEX(ALLCLASSDATA,MATCH("ClassType",CLASSFEATUREHEADERS,0),MATCH($A704,CLASSNAMEHEADERS,0))))}</f>
        <v>CLASSTYPE</v>
      </c>
      <c r="C703" s="222" t="str">
        <f t="array" ref="C703:C704">{"ATTACK";"Attack"}</f>
        <v>ATTACK</v>
      </c>
      <c r="D703" s="222" t="str">
        <f t="array" ref="D703:D704">{"ADVANCEDGROUP";"AdvancedGroup"}</f>
        <v>ADVANCEDGROUP</v>
      </c>
      <c r="E703" s="223" t="str">
        <f t="array" ref="E703:E704">{"ADVANCEDGROUPINITIAL";((IF(G704=10,"T",(IF(G704=50,"E","")))))}</f>
        <v>ADVANCEDGROUPINITIAL</v>
      </c>
      <c r="F703" s="223" t="str">
        <f t="array" ref="F703:F704">{"ADVANCEDGROUPINITIALPTS";((IF("00"=(INDEX(ALLCLASSDATA,MATCH("AdvancedGroupLegendary",CLASSFEATUREHEADERS,0),MATCH($A704,CLASSNAMEHEADERS,0))),(INDEX(ALLCLASSDATA,MATCH("AdvancedGroupLegendary",CLASSFEATUREHEADERS,0),MATCH(($A704 &amp; "Points"),CLASSNAMEHEADERS,0))),(IF("00"=(INDEX(ALLCLASSDATA,MATCH("AdvancedGroupMaster",CLASSFEATUREHEADERS,0),MATCH($A704,CLASSNAMEHEADERS,0))),(INDEX(ALLCLASSDATA,MATCH("AdvancedGroupMaster",CLASSFEATUREHEADERS,0),MATCH(($A704 &amp; "Points"),CLASSNAMEHEADERS,0))),(IF("00"=(INDEX(ALLCLASSDATA,MATCH("AdvancedGroupExpert",CLASSFEATUREHEADERS,0),MATCH($A704,CLASSNAMEHEADERS,0))),(INDEX(ALLCLASSDATA,MATCH("AdvancedGroupExpert",CLASSFEATUREHEADERS,0),MATCH(($A704 &amp; "Points"),CLASSNAMEHEADERS,0))),(IF("00"=(INDEX(ALLCLASSDATA,MATCH("AdvancedGroupTrained",CLASSFEATUREHEADERS,0),MATCH($A704,CLASSNAMEHEADERS,0))),(INDEX(ALLCLASSDATA,MATCH("AdvancedGroupTrained",CLASSFEATUREHEADERS,0),MATCH(($A704 &amp; "Points"),CLASSNAMEHEADERS,0))),"")))))))))}</f>
        <v>ADVANCEDGROUPINITIALPTS</v>
      </c>
      <c r="G703" s="223" t="str">
        <f t="array" ref="G703:G704">{"ADVANCEDGROUPL01";((IF("01"=(INDEX(ALLCLASSDATA,MATCH("AdvancedGroupLegendary",CLASSFEATUREHEADERS,0),MATCH($A704,CLASSNAMEHEADERS,0))),(INDEX(ALLCLASSDATA,MATCH("AdvancedGroupLegendary",CLASSFEATUREHEADERS,0),MATCH(($A704 &amp; "Points"),CLASSNAMEHEADERS,0))),(IF("01"=(INDEX(ALLCLASSDATA,MATCH("AdvancedGroupMaster",CLASSFEATUREHEADERS,0),MATCH($A704,CLASSNAMEHEADERS,0))),(INDEX(ALLCLASSDATA,MATCH("AdvancedGroupMaster",CLASSFEATUREHEADERS,0),MATCH(($A704 &amp; "Points"),CLASSNAMEHEADERS,0))),(IF("01"=(INDEX(ALLCLASSDATA,MATCH("AdvancedGroupExpert",CLASSFEATUREHEADERS,0),MATCH($A704,CLASSNAMEHEADERS,0))),(INDEX(ALLCLASSDATA,MATCH("AdvancedGroupExpert",CLASSFEATUREHEADERS,0),MATCH(($A704 &amp; "Points"),CLASSNAMEHEADERS,0))),(IF("01"=(INDEX(ALLCLASSDATA,MATCH("AdvancedGroupTrained",CLASSFEATUREHEADERS,0),MATCH($A704,CLASSNAMEHEADERS,0))),(INDEX(ALLCLASSDATA,MATCH("AdvancedGroupTrained",CLASSFEATUREHEADERS,0),MATCH(($A704 &amp; "Points"),CLASSNAMEHEADERS,0))),"")))))))))}</f>
        <v>ADVANCEDGROUPL01</v>
      </c>
      <c r="H703" s="223"/>
      <c r="I703" s="223" t="str">
        <f t="array" ref="I703:I704">{"ADVANCEDGROUPL03";((IF("03"=(INDEX(ALLCLASSDATA,MATCH("AdvancedGroupLegendary",CLASSFEATUREHEADERS,0),MATCH($A704,CLASSNAMEHEADERS,0))),(INDEX(ALLCLASSDATA,MATCH("AdvancedGroupLegendary",CLASSFEATUREHEADERS,0),MATCH(($A704 &amp; "Points"),CLASSNAMEHEADERS,0))),(IF("03"=(INDEX(ALLCLASSDATA,MATCH("AdvancedGroupMaster",CLASSFEATUREHEADERS,0),MATCH($A704,CLASSNAMEHEADERS,0))),(INDEX(ALLCLASSDATA,MATCH("AdvancedGroupMaster",CLASSFEATUREHEADERS,0),MATCH(($A704 &amp; "Points"),CLASSNAMEHEADERS,0))),(IF("03"=(INDEX(ALLCLASSDATA,MATCH("AdvancedGroupExpert",CLASSFEATUREHEADERS,0),MATCH($A704,CLASSNAMEHEADERS,0))),(INDEX(ALLCLASSDATA,MATCH("AdvancedGroupExpert",CLASSFEATUREHEADERS,0),MATCH(($A704 &amp; "Points"),CLASSNAMEHEADERS,0))),(IF("03"=(INDEX(ALLCLASSDATA,MATCH("AdvancedGroupTrained",CLASSFEATUREHEADERS,0),MATCH($A704,CLASSNAMEHEADERS,0))),(INDEX(ALLCLASSDATA,MATCH("AdvancedGroupTrained",CLASSFEATUREHEADERS,0),MATCH(($A704 &amp; "Points"),CLASSNAMEHEADERS,0))),"")))))))))}</f>
        <v>ADVANCEDGROUPL03</v>
      </c>
      <c r="J703" s="223"/>
      <c r="K703" s="223" t="str">
        <f t="array" ref="K703:K704">{"ADVANCEDGROUPL05";((IF("05"=(INDEX(ALLCLASSDATA,MATCH("AdvancedGroupLegendary",CLASSFEATUREHEADERS,0),MATCH($A704,CLASSNAMEHEADERS,0))),(INDEX(ALLCLASSDATA,MATCH("AdvancedGroupLegendary",CLASSFEATUREHEADERS,0),MATCH(($A704 &amp; "Points"),CLASSNAMEHEADERS,0))),(IF("05"=(INDEX(ALLCLASSDATA,MATCH("AdvancedGroupMaster",CLASSFEATUREHEADERS,0),MATCH($A704,CLASSNAMEHEADERS,0))),(INDEX(ALLCLASSDATA,MATCH("AdvancedGroupMaster",CLASSFEATUREHEADERS,0),MATCH(($A704 &amp; "Points"),CLASSNAMEHEADERS,0))),(IF("05"=(INDEX(ALLCLASSDATA,MATCH("AdvancedGroupExpert",CLASSFEATUREHEADERS,0),MATCH($A704,CLASSNAMEHEADERS,0))),(INDEX(ALLCLASSDATA,MATCH("AdvancedGroupExpert",CLASSFEATUREHEADERS,0),MATCH(($A704 &amp; "Points"),CLASSNAMEHEADERS,0))),(IF("05"=(INDEX(ALLCLASSDATA,MATCH("AdvancedGroupTrained",CLASSFEATUREHEADERS,0),MATCH($A704,CLASSNAMEHEADERS,0))),(INDEX(ALLCLASSDATA,MATCH("AdvancedGroupTrained",CLASSFEATUREHEADERS,0),MATCH(($A704 &amp; "Points"),CLASSNAMEHEADERS,0))),"")))))))))}</f>
        <v>ADVANCEDGROUPL05</v>
      </c>
      <c r="L703" s="223"/>
      <c r="M703" s="223" t="str">
        <f t="array" ref="M703:M704">{"ADVANCEDGROUPL07";((IF("07"=(INDEX(ALLCLASSDATA,MATCH("AdvancedGroupLegendary",CLASSFEATUREHEADERS,0),MATCH($A704,CLASSNAMEHEADERS,0))),(INDEX(ALLCLASSDATA,MATCH("AdvancedGroupLegendary",CLASSFEATUREHEADERS,0),MATCH(($A704 &amp; "Points"),CLASSNAMEHEADERS,0))),(IF("07"=(INDEX(ALLCLASSDATA,MATCH("AdvancedGroupMaster",CLASSFEATUREHEADERS,0),MATCH($A704,CLASSNAMEHEADERS,0))),(INDEX(ALLCLASSDATA,MATCH("AdvancedGroupMaster",CLASSFEATUREHEADERS,0),MATCH(($A704 &amp; "Points"),CLASSNAMEHEADERS,0))),(IF("07"=(INDEX(ALLCLASSDATA,MATCH("AdvancedGroupExpert",CLASSFEATUREHEADERS,0),MATCH($A704,CLASSNAMEHEADERS,0))),(INDEX(ALLCLASSDATA,MATCH("AdvancedGroupExpert",CLASSFEATUREHEADERS,0),MATCH(($A704 &amp; "Points"),CLASSNAMEHEADERS,0))),(IF("07"=(INDEX(ALLCLASSDATA,MATCH("AdvancedGroupTrained",CLASSFEATUREHEADERS,0),MATCH($A704,CLASSNAMEHEADERS,0))),(INDEX(ALLCLASSDATA,MATCH("AdvancedGroupTrained",CLASSFEATUREHEADERS,0),MATCH(($A704 &amp; "Points"),CLASSNAMEHEADERS,0))),"")))))))))}</f>
        <v>ADVANCEDGROUPL07</v>
      </c>
      <c r="N703" s="223"/>
      <c r="O703" s="223" t="str">
        <f t="array" ref="O703:O704">{"ADVANCEDGROUPL09";((IF("09"=(INDEX(ALLCLASSDATA,MATCH("AdvancedGroupLegendary",CLASSFEATUREHEADERS,0),MATCH($A704,CLASSNAMEHEADERS,0))),(INDEX(ALLCLASSDATA,MATCH("AdvancedGroupLegendary",CLASSFEATUREHEADERS,0),MATCH(($A704 &amp; "Points"),CLASSNAMEHEADERS,0))),(IF("09"=(INDEX(ALLCLASSDATA,MATCH("AdvancedGroupMaster",CLASSFEATUREHEADERS,0),MATCH($A704,CLASSNAMEHEADERS,0))),(INDEX(ALLCLASSDATA,MATCH("AdvancedGroupMaster",CLASSFEATUREHEADERS,0),MATCH(($A704 &amp; "Points"),CLASSNAMEHEADERS,0))),(IF("09"=(INDEX(ALLCLASSDATA,MATCH("AdvancedGroupExpert",CLASSFEATUREHEADERS,0),MATCH($A704,CLASSNAMEHEADERS,0))),(INDEX(ALLCLASSDATA,MATCH("AdvancedGroupExpert",CLASSFEATUREHEADERS,0),MATCH(($A704 &amp; "Points"),CLASSNAMEHEADERS,0))),(IF("09"=(INDEX(ALLCLASSDATA,MATCH("AdvancedGroupTrained",CLASSFEATUREHEADERS,0),MATCH($A704,CLASSNAMEHEADERS,0))),(INDEX(ALLCLASSDATA,MATCH("AdvancedGroupTrained",CLASSFEATUREHEADERS,0),MATCH(($A704 &amp; "Points"),CLASSNAMEHEADERS,0))),"")))))))))}</f>
        <v>ADVANCEDGROUPL09</v>
      </c>
      <c r="P703" s="223"/>
      <c r="Q703" s="223" t="str">
        <f t="array" ref="Q703:Q704">{"ADVANCEDGROUPL11";((IF("11"=(INDEX(ALLCLASSDATA,MATCH("AdvancedGroupLegendary",CLASSFEATUREHEADERS,0),MATCH($A704,CLASSNAMEHEADERS,0))),(INDEX(ALLCLASSDATA,MATCH("AdvancedGroupLegendary",CLASSFEATUREHEADERS,0),MATCH(($A704 &amp; "Points"),CLASSNAMEHEADERS,0))),(IF("11"=(INDEX(ALLCLASSDATA,MATCH("AdvancedGroupMaster",CLASSFEATUREHEADERS,0),MATCH($A704,CLASSNAMEHEADERS,0))),(INDEX(ALLCLASSDATA,MATCH("AdvancedGroupMaster",CLASSFEATUREHEADERS,0),MATCH(($A704 &amp; "Points"),CLASSNAMEHEADERS,0))),(IF("11"=(INDEX(ALLCLASSDATA,MATCH("AdvancedGroupExpert",CLASSFEATUREHEADERS,0),MATCH($A704,CLASSNAMEHEADERS,0))),(INDEX(ALLCLASSDATA,MATCH("AdvancedGroupExpert",CLASSFEATUREHEADERS,0),MATCH(($A704 &amp; "Points"),CLASSNAMEHEADERS,0))),(IF("11"=(INDEX(ALLCLASSDATA,MATCH("AdvancedGroupTrained",CLASSFEATUREHEADERS,0),MATCH($A704,CLASSNAMEHEADERS,0))),(INDEX(ALLCLASSDATA,MATCH("AdvancedGroupTrained",CLASSFEATUREHEADERS,0),MATCH(($A704 &amp; "Points"),CLASSNAMEHEADERS,0))),"")))))))))}</f>
        <v>ADVANCEDGROUPL11</v>
      </c>
      <c r="R703" s="223"/>
      <c r="S703" s="223" t="str">
        <f t="array" ref="S703:S704">{"ADVANCEDGROUPL13";((IF("13"=(INDEX(ALLCLASSDATA,MATCH("AdvancedGroupLegendary",CLASSFEATUREHEADERS,0),MATCH($A704,CLASSNAMEHEADERS,0))),(INDEX(ALLCLASSDATA,MATCH("AdvancedGroupLegendary",CLASSFEATUREHEADERS,0),MATCH(($A704 &amp; "Points"),CLASSNAMEHEADERS,0))),(IF("13"=(INDEX(ALLCLASSDATA,MATCH("AdvancedGroupMaster",CLASSFEATUREHEADERS,0),MATCH($A704,CLASSNAMEHEADERS,0))),(INDEX(ALLCLASSDATA,MATCH("AdvancedGroupMaster",CLASSFEATUREHEADERS,0),MATCH(($A704 &amp; "Points"),CLASSNAMEHEADERS,0))),(IF("13"=(INDEX(ALLCLASSDATA,MATCH("AdvancedGroupExpert",CLASSFEATUREHEADERS,0),MATCH($A704,CLASSNAMEHEADERS,0))),(INDEX(ALLCLASSDATA,MATCH("AdvancedGroupExpert",CLASSFEATUREHEADERS,0),MATCH(($A704 &amp; "Points"),CLASSNAMEHEADERS,0))),(IF("13"=(INDEX(ALLCLASSDATA,MATCH("AdvancedGroupTrained",CLASSFEATUREHEADERS,0),MATCH($A704,CLASSNAMEHEADERS,0))),(INDEX(ALLCLASSDATA,MATCH("AdvancedGroupTrained",CLASSFEATUREHEADERS,0),MATCH(($A704 &amp; "Points"),CLASSNAMEHEADERS,0))),"")))))))))}</f>
        <v>ADVANCEDGROUPL13</v>
      </c>
      <c r="T703" s="223"/>
      <c r="U703" s="223" t="str">
        <f t="array" ref="U703:U704">{"ADVANCEDGROUPL15";((IF("15"=(INDEX(ALLCLASSDATA,MATCH("AdvancedGroupLegendary",CLASSFEATUREHEADERS,0),MATCH($A704,CLASSNAMEHEADERS,0))),(INDEX(ALLCLASSDATA,MATCH("AdvancedGroupLegendary",CLASSFEATUREHEADERS,0),MATCH(($A704 &amp; "Points"),CLASSNAMEHEADERS,0))),(IF("15"=(INDEX(ALLCLASSDATA,MATCH("AdvancedGroupMaster",CLASSFEATUREHEADERS,0),MATCH($A704,CLASSNAMEHEADERS,0))),(INDEX(ALLCLASSDATA,MATCH("AdvancedGroupMaster",CLASSFEATUREHEADERS,0),MATCH(($A704 &amp; "Points"),CLASSNAMEHEADERS,0))),(IF("15"=(INDEX(ALLCLASSDATA,MATCH("AdvancedGroupExpert",CLASSFEATUREHEADERS,0),MATCH($A704,CLASSNAMEHEADERS,0))),(INDEX(ALLCLASSDATA,MATCH("AdvancedGroupExpert",CLASSFEATUREHEADERS,0),MATCH(($A704 &amp; "Points"),CLASSNAMEHEADERS,0))),(IF("15"=(INDEX(ALLCLASSDATA,MATCH("AdvancedGroupTrained",CLASSFEATUREHEADERS,0),MATCH($A704,CLASSNAMEHEADERS,0))),(INDEX(ALLCLASSDATA,MATCH("AdvancedGroupTrained",CLASSFEATUREHEADERS,0),MATCH(($A704 &amp; "Points"),CLASSNAMEHEADERS,0))),"")))))))))}</f>
        <v>ADVANCEDGROUPL15</v>
      </c>
      <c r="V703" s="223"/>
      <c r="W703" s="223" t="str">
        <f t="array" ref="W703:W704">{"ADVANCEDGROUPL17";((IF("17"=(INDEX(ALLCLASSDATA,MATCH("AdvancedGroupLegendary",CLASSFEATUREHEADERS,0),MATCH($A704,CLASSNAMEHEADERS,0))),(INDEX(ALLCLASSDATA,MATCH("AdvancedGroupLegendary",CLASSFEATUREHEADERS,0),MATCH(($A704 &amp; "Points"),CLASSNAMEHEADERS,0))),(IF("17"=(INDEX(ALLCLASSDATA,MATCH("AdvancedGroupMaster",CLASSFEATUREHEADERS,0),MATCH($A704,CLASSNAMEHEADERS,0))),(INDEX(ALLCLASSDATA,MATCH("AdvancedGroupMaster",CLASSFEATUREHEADERS,0),MATCH(($A704 &amp; "Points"),CLASSNAMEHEADERS,0))),(IF("17"=(INDEX(ALLCLASSDATA,MATCH("AdvancedGroupExpert",CLASSFEATUREHEADERS,0),MATCH($A704,CLASSNAMEHEADERS,0))),(INDEX(ALLCLASSDATA,MATCH("AdvancedGroupExpert",CLASSFEATUREHEADERS,0),MATCH(($A704 &amp; "Points"),CLASSNAMEHEADERS,0))),(IF("17"=(INDEX(ALLCLASSDATA,MATCH("AdvancedGroupTrained",CLASSFEATUREHEADERS,0),MATCH($A704,CLASSNAMEHEADERS,0))),(INDEX(ALLCLASSDATA,MATCH("AdvancedGroupTrained",CLASSFEATUREHEADERS,0),MATCH(($A704 &amp; "Points"),CLASSNAMEHEADERS,0))),"")))))))))}</f>
        <v>ADVANCEDGROUPL17</v>
      </c>
      <c r="X703" s="223"/>
      <c r="Y703" s="223" t="str">
        <f t="array" ref="Y703:Y704">{"ADVANCEDGROUPL19";((IF("19"=(INDEX(ALLCLASSDATA,MATCH("AdvancedGroupLegendary",CLASSFEATUREHEADERS,0),MATCH($A704,CLASSNAMEHEADERS,0))),(INDEX(ALLCLASSDATA,MATCH("AdvancedGroupLegendary",CLASSFEATUREHEADERS,0),MATCH(($A704 &amp; "Points"),CLASSNAMEHEADERS,0))),(IF("19"=(INDEX(ALLCLASSDATA,MATCH("AdvancedGroupMaster",CLASSFEATUREHEADERS,0),MATCH($A704,CLASSNAMEHEADERS,0))),(INDEX(ALLCLASSDATA,MATCH("AdvancedGroupMaster",CLASSFEATUREHEADERS,0),MATCH(($A704 &amp; "Points"),CLASSNAMEHEADERS,0))),(IF("19"=(INDEX(ALLCLASSDATA,MATCH("AdvancedGroupExpert",CLASSFEATUREHEADERS,0),MATCH($A704,CLASSNAMEHEADERS,0))),(INDEX(ALLCLASSDATA,MATCH("AdvancedGroupExpert",CLASSFEATUREHEADERS,0),MATCH(($A704 &amp; "Points"),CLASSNAMEHEADERS,0))),(IF("19"=(INDEX(ALLCLASSDATA,MATCH("AdvancedGroupTrained",CLASSFEATUREHEADERS,0),MATCH($A704,CLASSNAMEHEADERS,0))),(INDEX(ALLCLASSDATA,MATCH("AdvancedGroupTrained",CLASSFEATUREHEADERS,0),MATCH(($A704 &amp; "Points"),CLASSNAMEHEADERS,0))),"")))))))))}</f>
        <v>ADVANCEDGROUPL19</v>
      </c>
      <c r="Z703" s="223"/>
      <c r="AA703" s="76" t="str">
        <f t="array" ref="AA703:AA704">{"ADVANCEDGROUP TOTAL";(IF(COUNTBLANK(F704:Z704)=17,"L",(IF(COUNTBLANK(F704:Z704)=18,"M",(IF(COUNTBLANK(F704:Z704)=19,"E",(IF(COUNTBLANK(F704:Z704)=20,"T",""))))))))}</f>
        <v>ADVANCEDGROUP TOTAL</v>
      </c>
      <c r="AB703" s="76" t="str">
        <f t="array" ref="AB703:AB704">{"ADVANCEDGROUP TOTAL";(sum(F704:Z704))}</f>
        <v>ADVANCEDGROUP TOTAL</v>
      </c>
    </row>
    <row r="704">
      <c r="A704" s="48" t="s">
        <v>223</v>
      </c>
      <c r="B704" s="48" t="s">
        <v>418</v>
      </c>
      <c r="C704" s="48" t="s">
        <v>1634</v>
      </c>
      <c r="D704" s="48" t="s">
        <v>601</v>
      </c>
      <c r="E704" s="5" t="s">
        <v>603</v>
      </c>
      <c r="F704" s="47" t="s">
        <v>603</v>
      </c>
      <c r="G704" s="5" t="s">
        <v>603</v>
      </c>
      <c r="H704" s="5"/>
      <c r="I704" s="5" t="s">
        <v>603</v>
      </c>
      <c r="J704" s="5"/>
      <c r="K704" s="5" t="s">
        <v>603</v>
      </c>
      <c r="L704" s="5"/>
      <c r="M704" s="5" t="s">
        <v>603</v>
      </c>
      <c r="N704" s="5"/>
      <c r="O704" s="5" t="s">
        <v>603</v>
      </c>
      <c r="P704" s="5"/>
      <c r="Q704" s="5" t="s">
        <v>603</v>
      </c>
      <c r="R704" s="5"/>
      <c r="S704" s="5" t="s">
        <v>603</v>
      </c>
      <c r="T704" s="5"/>
      <c r="U704" s="5" t="s">
        <v>603</v>
      </c>
      <c r="V704" s="5"/>
      <c r="W704" s="5" t="s">
        <v>603</v>
      </c>
      <c r="X704" s="5"/>
      <c r="Y704" s="5" t="s">
        <v>603</v>
      </c>
      <c r="Z704" s="5"/>
      <c r="AA704" s="5" t="s">
        <v>603</v>
      </c>
      <c r="AB704" s="47">
        <v>0.0</v>
      </c>
    </row>
    <row r="705" hidden="1">
      <c r="A705" s="222" t="str">
        <f t="array" ref="A705:A706">{"FormulaRow33";(INDEX(CLASSLIST,A640,1))}</f>
        <v>FormulaRow33</v>
      </c>
      <c r="B705" s="222" t="str">
        <f t="array" ref="B705:B706">{"CLASSTYPE";((INDEX(ALLCLASSDATA,MATCH("ClassType",CLASSFEATUREHEADERS,0),MATCH($A706,CLASSNAMEHEADERS,0))))}</f>
        <v>CLASSTYPE</v>
      </c>
      <c r="C705" s="222" t="str">
        <f t="array" ref="C705:C706">{"ATTACK";"Attack"}</f>
        <v>ATTACK</v>
      </c>
      <c r="D705" s="222" t="str">
        <f t="array" ref="D705:D706">{"ADVANCED";"Advanced"}</f>
        <v>ADVANCED</v>
      </c>
      <c r="E705" s="223" t="str">
        <f t="array" ref="E705:E706">{"ADVANCEDINITIAL";((IF(G706=10,"T",(IF(G706=50,"E","")))))}</f>
        <v>ADVANCEDINITIAL</v>
      </c>
      <c r="F705" s="223" t="str">
        <f t="array" ref="F705:F706">{"ADVANCEDINITIALPTS";((IF("00"=(INDEX(ALLCLASSDATA,MATCH("AdvancedLegendary",CLASSFEATUREHEADERS,0),MATCH($A706,CLASSNAMEHEADERS,0))),(INDEX(ALLCLASSDATA,MATCH("AdvancedLegendary",CLASSFEATUREHEADERS,0),MATCH(($A706 &amp; "Points"),CLASSNAMEHEADERS,0))),(IF("00"=(INDEX(ALLCLASSDATA,MATCH("AdvancedMaster",CLASSFEATUREHEADERS,0),MATCH($A706,CLASSNAMEHEADERS,0))),(INDEX(ALLCLASSDATA,MATCH("AdvancedMaster",CLASSFEATUREHEADERS,0),MATCH(($A706 &amp; "Points"),CLASSNAMEHEADERS,0))),(IF("00"=(INDEX(ALLCLASSDATA,MATCH("AdvancedExpert",CLASSFEATUREHEADERS,0),MATCH($A706,CLASSNAMEHEADERS,0))),(INDEX(ALLCLASSDATA,MATCH("AdvancedExpert",CLASSFEATUREHEADERS,0),MATCH(($A706 &amp; "Points"),CLASSNAMEHEADERS,0))),(IF("00"=(INDEX(ALLCLASSDATA,MATCH("AdvancedTrained",CLASSFEATUREHEADERS,0),MATCH($A706,CLASSNAMEHEADERS,0))),(INDEX(ALLCLASSDATA,MATCH("AdvancedTrained",CLASSFEATUREHEADERS,0),MATCH(($A706 &amp; "Points"),CLASSNAMEHEADERS,0))),"")))))))))}</f>
        <v>ADVANCEDINITIALPTS</v>
      </c>
      <c r="G705" s="223" t="str">
        <f t="array" ref="G705:G706">{"ADVANCEDL01";((IF("01"=(INDEX(ALLCLASSDATA,MATCH("AdvancedLegendary",CLASSFEATUREHEADERS,0),MATCH($A706,CLASSNAMEHEADERS,0))),(INDEX(ALLCLASSDATA,MATCH("AdvancedLegendary",CLASSFEATUREHEADERS,0),MATCH(($A706 &amp; "Points"),CLASSNAMEHEADERS,0))),(IF("01"=(INDEX(ALLCLASSDATA,MATCH("AdvancedMaster",CLASSFEATUREHEADERS,0),MATCH($A706,CLASSNAMEHEADERS,0))),(INDEX(ALLCLASSDATA,MATCH("AdvancedMaster",CLASSFEATUREHEADERS,0),MATCH(($A706 &amp; "Points"),CLASSNAMEHEADERS,0))),(IF("01"=(INDEX(ALLCLASSDATA,MATCH("AdvancedExpert",CLASSFEATUREHEADERS,0),MATCH($A706,CLASSNAMEHEADERS,0))),(INDEX(ALLCLASSDATA,MATCH("AdvancedExpert",CLASSFEATUREHEADERS,0),MATCH(($A706 &amp; "Points"),CLASSNAMEHEADERS,0))),(IF("01"=(INDEX(ALLCLASSDATA,MATCH("AdvancedTrained",CLASSFEATUREHEADERS,0),MATCH($A706,CLASSNAMEHEADERS,0))),(INDEX(ALLCLASSDATA,MATCH("AdvancedTrained",CLASSFEATUREHEADERS,0),MATCH(($A706 &amp; "Points"),CLASSNAMEHEADERS,0))),"")))))))))}</f>
        <v>ADVANCEDL01</v>
      </c>
      <c r="H705" s="223"/>
      <c r="I705" s="223" t="str">
        <f t="array" ref="I705:I706">{"ADVANCEDL03";((IF("03"=(INDEX(ALLCLASSDATA,MATCH("AdvancedLegendary",CLASSFEATUREHEADERS,0),MATCH($A706,CLASSNAMEHEADERS,0))),(INDEX(ALLCLASSDATA,MATCH("AdvancedLegendary",CLASSFEATUREHEADERS,0),MATCH(($A706 &amp; "Points"),CLASSNAMEHEADERS,0))),(IF("03"=(INDEX(ALLCLASSDATA,MATCH("AdvancedMaster",CLASSFEATUREHEADERS,0),MATCH($A706,CLASSNAMEHEADERS,0))),(INDEX(ALLCLASSDATA,MATCH("AdvancedMaster",CLASSFEATUREHEADERS,0),MATCH(($A706 &amp; "Points"),CLASSNAMEHEADERS,0))),(IF("03"=(INDEX(ALLCLASSDATA,MATCH("AdvancedExpert",CLASSFEATUREHEADERS,0),MATCH($A706,CLASSNAMEHEADERS,0))),(INDEX(ALLCLASSDATA,MATCH("AdvancedExpert",CLASSFEATUREHEADERS,0),MATCH(($A706 &amp; "Points"),CLASSNAMEHEADERS,0))),(IF("03"=(INDEX(ALLCLASSDATA,MATCH("AdvancedTrained",CLASSFEATUREHEADERS,0),MATCH($A706,CLASSNAMEHEADERS,0))),(INDEX(ALLCLASSDATA,MATCH("AdvancedTrained",CLASSFEATUREHEADERS,0),MATCH(($A706 &amp; "Points"),CLASSNAMEHEADERS,0))),"")))))))))}</f>
        <v>ADVANCEDL03</v>
      </c>
      <c r="J705" s="223"/>
      <c r="K705" s="223" t="str">
        <f t="array" ref="K705:K706">{"ADVANCEDL05";((IF("05"=(INDEX(ALLCLASSDATA,MATCH("AdvancedLegendary",CLASSFEATUREHEADERS,0),MATCH($A706,CLASSNAMEHEADERS,0))),(INDEX(ALLCLASSDATA,MATCH("AdvancedLegendary",CLASSFEATUREHEADERS,0),MATCH(($A706 &amp; "Points"),CLASSNAMEHEADERS,0))),(IF("05"=(INDEX(ALLCLASSDATA,MATCH("AdvancedMaster",CLASSFEATUREHEADERS,0),MATCH($A706,CLASSNAMEHEADERS,0))),(INDEX(ALLCLASSDATA,MATCH("AdvancedMaster",CLASSFEATUREHEADERS,0),MATCH(($A706 &amp; "Points"),CLASSNAMEHEADERS,0))),(IF("05"=(INDEX(ALLCLASSDATA,MATCH("AdvancedExpert",CLASSFEATUREHEADERS,0),MATCH($A706,CLASSNAMEHEADERS,0))),(INDEX(ALLCLASSDATA,MATCH("AdvancedExpert",CLASSFEATUREHEADERS,0),MATCH(($A706 &amp; "Points"),CLASSNAMEHEADERS,0))),(IF("05"=(INDEX(ALLCLASSDATA,MATCH("AdvancedTrained",CLASSFEATUREHEADERS,0),MATCH($A706,CLASSNAMEHEADERS,0))),(INDEX(ALLCLASSDATA,MATCH("AdvancedTrained",CLASSFEATUREHEADERS,0),MATCH(($A706 &amp; "Points"),CLASSNAMEHEADERS,0))),"")))))))))}</f>
        <v>ADVANCEDL05</v>
      </c>
      <c r="L705" s="223"/>
      <c r="M705" s="223" t="str">
        <f t="array" ref="M705:M706">{"ADVANCEDL07";((IF("07"=(INDEX(ALLCLASSDATA,MATCH("AdvancedLegendary",CLASSFEATUREHEADERS,0),MATCH($A706,CLASSNAMEHEADERS,0))),(INDEX(ALLCLASSDATA,MATCH("AdvancedLegendary",CLASSFEATUREHEADERS,0),MATCH(($A706 &amp; "Points"),CLASSNAMEHEADERS,0))),(IF("07"=(INDEX(ALLCLASSDATA,MATCH("AdvancedMaster",CLASSFEATUREHEADERS,0),MATCH($A706,CLASSNAMEHEADERS,0))),(INDEX(ALLCLASSDATA,MATCH("AdvancedMaster",CLASSFEATUREHEADERS,0),MATCH(($A706 &amp; "Points"),CLASSNAMEHEADERS,0))),(IF("07"=(INDEX(ALLCLASSDATA,MATCH("AdvancedExpert",CLASSFEATUREHEADERS,0),MATCH($A706,CLASSNAMEHEADERS,0))),(INDEX(ALLCLASSDATA,MATCH("AdvancedExpert",CLASSFEATUREHEADERS,0),MATCH(($A706 &amp; "Points"),CLASSNAMEHEADERS,0))),(IF("07"=(INDEX(ALLCLASSDATA,MATCH("AdvancedTrained",CLASSFEATUREHEADERS,0),MATCH($A706,CLASSNAMEHEADERS,0))),(INDEX(ALLCLASSDATA,MATCH("AdvancedTrained",CLASSFEATUREHEADERS,0),MATCH(($A706 &amp; "Points"),CLASSNAMEHEADERS,0))),"")))))))))}</f>
        <v>ADVANCEDL07</v>
      </c>
      <c r="N705" s="223"/>
      <c r="O705" s="223" t="str">
        <f t="array" ref="O705:O706">{"ADVANCEDL09";((IF("09"=(INDEX(ALLCLASSDATA,MATCH("AdvancedLegendary",CLASSFEATUREHEADERS,0),MATCH($A706,CLASSNAMEHEADERS,0))),(INDEX(ALLCLASSDATA,MATCH("AdvancedLegendary",CLASSFEATUREHEADERS,0),MATCH(($A706 &amp; "Points"),CLASSNAMEHEADERS,0))),(IF("09"=(INDEX(ALLCLASSDATA,MATCH("AdvancedMaster",CLASSFEATUREHEADERS,0),MATCH($A706,CLASSNAMEHEADERS,0))),(INDEX(ALLCLASSDATA,MATCH("AdvancedMaster",CLASSFEATUREHEADERS,0),MATCH(($A706 &amp; "Points"),CLASSNAMEHEADERS,0))),(IF("09"=(INDEX(ALLCLASSDATA,MATCH("AdvancedExpert",CLASSFEATUREHEADERS,0),MATCH($A706,CLASSNAMEHEADERS,0))),(INDEX(ALLCLASSDATA,MATCH("AdvancedExpert",CLASSFEATUREHEADERS,0),MATCH(($A706 &amp; "Points"),CLASSNAMEHEADERS,0))),(IF("09"=(INDEX(ALLCLASSDATA,MATCH("AdvancedTrained",CLASSFEATUREHEADERS,0),MATCH($A706,CLASSNAMEHEADERS,0))),(INDEX(ALLCLASSDATA,MATCH("AdvancedTrained",CLASSFEATUREHEADERS,0),MATCH(($A706 &amp; "Points"),CLASSNAMEHEADERS,0))),"")))))))))}</f>
        <v>ADVANCEDL09</v>
      </c>
      <c r="P705" s="223"/>
      <c r="Q705" s="223" t="str">
        <f t="array" ref="Q705:Q706">{"ADVANCEDL11";((IF("11"=(INDEX(ALLCLASSDATA,MATCH("AdvancedLegendary",CLASSFEATUREHEADERS,0),MATCH($A706,CLASSNAMEHEADERS,0))),(INDEX(ALLCLASSDATA,MATCH("AdvancedLegendary",CLASSFEATUREHEADERS,0),MATCH(($A706 &amp; "Points"),CLASSNAMEHEADERS,0))),(IF("11"=(INDEX(ALLCLASSDATA,MATCH("AdvancedMaster",CLASSFEATUREHEADERS,0),MATCH($A706,CLASSNAMEHEADERS,0))),(INDEX(ALLCLASSDATA,MATCH("AdvancedMaster",CLASSFEATUREHEADERS,0),MATCH(($A706 &amp; "Points"),CLASSNAMEHEADERS,0))),(IF("11"=(INDEX(ALLCLASSDATA,MATCH("AdvancedExpert",CLASSFEATUREHEADERS,0),MATCH($A706,CLASSNAMEHEADERS,0))),(INDEX(ALLCLASSDATA,MATCH("AdvancedExpert",CLASSFEATUREHEADERS,0),MATCH(($A706 &amp; "Points"),CLASSNAMEHEADERS,0))),(IF("11"=(INDEX(ALLCLASSDATA,MATCH("AdvancedTrained",CLASSFEATUREHEADERS,0),MATCH($A706,CLASSNAMEHEADERS,0))),(INDEX(ALLCLASSDATA,MATCH("AdvancedTrained",CLASSFEATUREHEADERS,0),MATCH(($A706 &amp; "Points"),CLASSNAMEHEADERS,0))),"")))))))))}</f>
        <v>ADVANCEDL11</v>
      </c>
      <c r="R705" s="223"/>
      <c r="S705" s="223" t="str">
        <f t="array" ref="S705:S706">{"ADVANCEDL13";((IF("13"=(INDEX(ALLCLASSDATA,MATCH("AdvancedLegendary",CLASSFEATUREHEADERS,0),MATCH($A706,CLASSNAMEHEADERS,0))),(INDEX(ALLCLASSDATA,MATCH("AdvancedLegendary",CLASSFEATUREHEADERS,0),MATCH(($A706 &amp; "Points"),CLASSNAMEHEADERS,0))),(IF("13"=(INDEX(ALLCLASSDATA,MATCH("AdvancedMaster",CLASSFEATUREHEADERS,0),MATCH($A706,CLASSNAMEHEADERS,0))),(INDEX(ALLCLASSDATA,MATCH("AdvancedMaster",CLASSFEATUREHEADERS,0),MATCH(($A706 &amp; "Points"),CLASSNAMEHEADERS,0))),(IF("13"=(INDEX(ALLCLASSDATA,MATCH("AdvancedExpert",CLASSFEATUREHEADERS,0),MATCH($A706,CLASSNAMEHEADERS,0))),(INDEX(ALLCLASSDATA,MATCH("AdvancedExpert",CLASSFEATUREHEADERS,0),MATCH(($A706 &amp; "Points"),CLASSNAMEHEADERS,0))),(IF("13"=(INDEX(ALLCLASSDATA,MATCH("AdvancedTrained",CLASSFEATUREHEADERS,0),MATCH($A706,CLASSNAMEHEADERS,0))),(INDEX(ALLCLASSDATA,MATCH("AdvancedTrained",CLASSFEATUREHEADERS,0),MATCH(($A706 &amp; "Points"),CLASSNAMEHEADERS,0))),"")))))))))}</f>
        <v>ADVANCEDL13</v>
      </c>
      <c r="T705" s="223"/>
      <c r="U705" s="223" t="str">
        <f t="array" ref="U705:U706">{"ADVANCEDL15";((IF("15"=(INDEX(ALLCLASSDATA,MATCH("AdvancedLegendary",CLASSFEATUREHEADERS,0),MATCH($A706,CLASSNAMEHEADERS,0))),(INDEX(ALLCLASSDATA,MATCH("AdvancedLegendary",CLASSFEATUREHEADERS,0),MATCH(($A706 &amp; "Points"),CLASSNAMEHEADERS,0))),(IF("15"=(INDEX(ALLCLASSDATA,MATCH("AdvancedMaster",CLASSFEATUREHEADERS,0),MATCH($A706,CLASSNAMEHEADERS,0))),(INDEX(ALLCLASSDATA,MATCH("AdvancedMaster",CLASSFEATUREHEADERS,0),MATCH(($A706 &amp; "Points"),CLASSNAMEHEADERS,0))),(IF("15"=(INDEX(ALLCLASSDATA,MATCH("AdvancedExpert",CLASSFEATUREHEADERS,0),MATCH($A706,CLASSNAMEHEADERS,0))),(INDEX(ALLCLASSDATA,MATCH("AdvancedExpert",CLASSFEATUREHEADERS,0),MATCH(($A706 &amp; "Points"),CLASSNAMEHEADERS,0))),(IF("15"=(INDEX(ALLCLASSDATA,MATCH("AdvancedTrained",CLASSFEATUREHEADERS,0),MATCH($A706,CLASSNAMEHEADERS,0))),(INDEX(ALLCLASSDATA,MATCH("AdvancedTrained",CLASSFEATUREHEADERS,0),MATCH(($A706 &amp; "Points"),CLASSNAMEHEADERS,0))),"")))))))))}</f>
        <v>ADVANCEDL15</v>
      </c>
      <c r="V705" s="223"/>
      <c r="W705" s="223" t="str">
        <f t="array" ref="W705:W706">{"ADVANCEDL17";((IF("17"=(INDEX(ALLCLASSDATA,MATCH("AdvancedLegendary",CLASSFEATUREHEADERS,0),MATCH($A706,CLASSNAMEHEADERS,0))),(INDEX(ALLCLASSDATA,MATCH("AdvancedLegendary",CLASSFEATUREHEADERS,0),MATCH(($A706 &amp; "Points"),CLASSNAMEHEADERS,0))),(IF("17"=(INDEX(ALLCLASSDATA,MATCH("AdvancedMaster",CLASSFEATUREHEADERS,0),MATCH($A706,CLASSNAMEHEADERS,0))),(INDEX(ALLCLASSDATA,MATCH("AdvancedMaster",CLASSFEATUREHEADERS,0),MATCH(($A706 &amp; "Points"),CLASSNAMEHEADERS,0))),(IF("17"=(INDEX(ALLCLASSDATA,MATCH("AdvancedExpert",CLASSFEATUREHEADERS,0),MATCH($A706,CLASSNAMEHEADERS,0))),(INDEX(ALLCLASSDATA,MATCH("AdvancedExpert",CLASSFEATUREHEADERS,0),MATCH(($A706 &amp; "Points"),CLASSNAMEHEADERS,0))),(IF("17"=(INDEX(ALLCLASSDATA,MATCH("AdvancedTrained",CLASSFEATUREHEADERS,0),MATCH($A706,CLASSNAMEHEADERS,0))),(INDEX(ALLCLASSDATA,MATCH("AdvancedTrained",CLASSFEATUREHEADERS,0),MATCH(($A706 &amp; "Points"),CLASSNAMEHEADERS,0))),"")))))))))}</f>
        <v>ADVANCEDL17</v>
      </c>
      <c r="X705" s="223"/>
      <c r="Y705" s="223" t="str">
        <f t="array" ref="Y705:Y706">{"ADVANCEDL19";((IF("19"=(INDEX(ALLCLASSDATA,MATCH("AdvancedLegendary",CLASSFEATUREHEADERS,0),MATCH($A706,CLASSNAMEHEADERS,0))),(INDEX(ALLCLASSDATA,MATCH("AdvancedLegendary",CLASSFEATUREHEADERS,0),MATCH(($A706 &amp; "Points"),CLASSNAMEHEADERS,0))),(IF("19"=(INDEX(ALLCLASSDATA,MATCH("AdvancedMaster",CLASSFEATUREHEADERS,0),MATCH($A706,CLASSNAMEHEADERS,0))),(INDEX(ALLCLASSDATA,MATCH("AdvancedMaster",CLASSFEATUREHEADERS,0),MATCH(($A706 &amp; "Points"),CLASSNAMEHEADERS,0))),(IF("19"=(INDEX(ALLCLASSDATA,MATCH("AdvancedExpert",CLASSFEATUREHEADERS,0),MATCH($A706,CLASSNAMEHEADERS,0))),(INDEX(ALLCLASSDATA,MATCH("AdvancedExpert",CLASSFEATUREHEADERS,0),MATCH(($A706 &amp; "Points"),CLASSNAMEHEADERS,0))),(IF("19"=(INDEX(ALLCLASSDATA,MATCH("AdvancedTrained",CLASSFEATUREHEADERS,0),MATCH($A706,CLASSNAMEHEADERS,0))),(INDEX(ALLCLASSDATA,MATCH("AdvancedTrained",CLASSFEATUREHEADERS,0),MATCH(($A706 &amp; "Points"),CLASSNAMEHEADERS,0))),"")))))))))}</f>
        <v>ADVANCEDL19</v>
      </c>
      <c r="Z705" s="223"/>
      <c r="AA705" s="76" t="str">
        <f t="array" ref="AA705:AA706">{"ADVANCED TOTAL";(IF(COUNTBLANK(F706:Z706)=17,"L",(IF(COUNTBLANK(F706:Z706)=18,"M",(IF(COUNTBLANK(F706:Z706)=19,"E",(IF(COUNTBLANK(F706:Z706)=20,"T",""))))))))}</f>
        <v>ADVANCED TOTAL</v>
      </c>
      <c r="AB705" s="76" t="str">
        <f t="array" ref="AB705:AB706">{"ADVANCED TOTAL";(sum(F706:Z706))}</f>
        <v>ADVANCED TOTAL</v>
      </c>
    </row>
    <row r="706">
      <c r="A706" s="48" t="s">
        <v>223</v>
      </c>
      <c r="B706" s="48" t="s">
        <v>418</v>
      </c>
      <c r="C706" s="97" t="s">
        <v>1634</v>
      </c>
      <c r="D706" s="97" t="s">
        <v>602</v>
      </c>
      <c r="E706" s="98" t="s">
        <v>603</v>
      </c>
      <c r="F706" s="132" t="s">
        <v>603</v>
      </c>
      <c r="G706" s="98" t="s">
        <v>603</v>
      </c>
      <c r="H706" s="98"/>
      <c r="I706" s="98" t="s">
        <v>603</v>
      </c>
      <c r="J706" s="98"/>
      <c r="K706" s="98" t="s">
        <v>603</v>
      </c>
      <c r="L706" s="98"/>
      <c r="M706" s="98" t="s">
        <v>603</v>
      </c>
      <c r="N706" s="98"/>
      <c r="O706" s="98" t="s">
        <v>603</v>
      </c>
      <c r="P706" s="98"/>
      <c r="Q706" s="98" t="s">
        <v>603</v>
      </c>
      <c r="R706" s="98"/>
      <c r="S706" s="98" t="s">
        <v>603</v>
      </c>
      <c r="T706" s="98"/>
      <c r="U706" s="98" t="s">
        <v>603</v>
      </c>
      <c r="V706" s="98"/>
      <c r="W706" s="98" t="s">
        <v>603</v>
      </c>
      <c r="X706" s="98"/>
      <c r="Y706" s="98" t="s">
        <v>603</v>
      </c>
      <c r="Z706" s="98"/>
      <c r="AA706" s="5" t="s">
        <v>603</v>
      </c>
      <c r="AB706" s="47">
        <v>0.0</v>
      </c>
    </row>
    <row r="707" hidden="1">
      <c r="A707" s="222" t="str">
        <f t="array" ref="A707:A708">{"FormulaRow34";(INDEX(CLASSLIST,A640,1))}</f>
        <v>FormulaRow34</v>
      </c>
      <c r="B707" s="222" t="str">
        <f t="array" ref="B707:B708">{"CLASSTYPE";((INDEX(ALLCLASSDATA,MATCH("ClassType",CLASSFEATUREHEADERS,0),MATCH($A708,CLASSNAMEHEADERS,0))))}</f>
        <v>CLASSTYPE</v>
      </c>
      <c r="C707" s="222" t="str">
        <f t="array" ref="C707:C708">{"DEFENSE";"Defense"}</f>
        <v>DEFENSE</v>
      </c>
      <c r="D707" s="222" t="str">
        <f t="array" ref="D707:D708">{"ARMORSPECIAL";"ArmorAS"}</f>
        <v>ARMORSPECIAL</v>
      </c>
      <c r="E707" s="223"/>
      <c r="F707" s="223"/>
      <c r="G707" s="223" t="str">
        <f t="array" ref="G707:G708">{"ARMORSPECIALL01";((IF("01"=INDEX(ALLCLASSDATA,MATCH("ArmorSpecialization",CLASSFEATUREHEADERS,0),MATCH($A708,CLASSNAMEHEADERS,0)),ArmorAS,"")))}</f>
        <v>ARMORSPECIALL01</v>
      </c>
      <c r="H707" s="223"/>
      <c r="I707" s="223" t="str">
        <f t="array" ref="I707:I708">{"ARMORSPECIALL03";((IF("03"=INDEX(ALLCLASSDATA,MATCH("ArmorSpecialization",CLASSFEATUREHEADERS,0),MATCH($A708,CLASSNAMEHEADERS,0)),ArmorAS,"")))}</f>
        <v>ARMORSPECIALL03</v>
      </c>
      <c r="J707" s="223"/>
      <c r="K707" s="223" t="str">
        <f t="array" ref="K707:K708">{"ARMORSPECIALL05";((IF("05"=INDEX(ALLCLASSDATA,MATCH("ArmorSpecialization",CLASSFEATUREHEADERS,0),MATCH($A708,CLASSNAMEHEADERS,0)),ArmorAS,"")))}</f>
        <v>ARMORSPECIALL05</v>
      </c>
      <c r="L707" s="223"/>
      <c r="M707" s="223" t="str">
        <f t="array" ref="M707:M708">{"ARMORSPECIALL07";((IF("07"=INDEX(ALLCLASSDATA,MATCH("ArmorSpecialization",CLASSFEATUREHEADERS,0),MATCH($A708,CLASSNAMEHEADERS,0)),ArmorAS,"")))}</f>
        <v>ARMORSPECIALL07</v>
      </c>
      <c r="N707" s="223"/>
      <c r="O707" s="223" t="str">
        <f t="array" ref="O707:O708">{"ARMORSPECIALL09";((IF("09"=INDEX(ALLCLASSDATA,MATCH("ArmorSpecialization",CLASSFEATUREHEADERS,0),MATCH($A708,CLASSNAMEHEADERS,0)),ArmorAS,"")))}</f>
        <v>ARMORSPECIALL09</v>
      </c>
      <c r="P707" s="223"/>
      <c r="Q707" s="223" t="str">
        <f t="array" ref="Q707:Q708">{"ARMORSPECIALL11";((IF("11"=INDEX(ALLCLASSDATA,MATCH("ArmorSpecialization",CLASSFEATUREHEADERS,0),MATCH($A708,CLASSNAMEHEADERS,0)),ArmorAS,"")))}</f>
        <v>ARMORSPECIALL11</v>
      </c>
      <c r="R707" s="223"/>
      <c r="S707" s="223" t="str">
        <f t="array" ref="S707:S708">{"ARMORSPECIALL13";((IF("13"=INDEX(ALLCLASSDATA,MATCH("ArmorSpecialization",CLASSFEATUREHEADERS,0),MATCH($A708,CLASSNAMEHEADERS,0)),ArmorAS,"")))}</f>
        <v>ARMORSPECIALL13</v>
      </c>
      <c r="T707" s="223"/>
      <c r="U707" s="223" t="str">
        <f t="array" ref="U707:U708">{"ARMORSPECIALL15";((IF("15"=INDEX(ALLCLASSDATA,MATCH("ArmorSpecialization",CLASSFEATUREHEADERS,0),MATCH($A708,CLASSNAMEHEADERS,0)),ArmorAS,"")))}</f>
        <v>ARMORSPECIALL15</v>
      </c>
      <c r="V707" s="223"/>
      <c r="W707" s="223" t="str">
        <f t="array" ref="W707:W708">{"ARMORSPECIALL17";((IF("17"=INDEX(ALLCLASSDATA,MATCH("ArmorSpecialization",CLASSFEATUREHEADERS,0),MATCH($A708,CLASSNAMEHEADERS,0)),ArmorAS,"")))}</f>
        <v>ARMORSPECIALL17</v>
      </c>
      <c r="X707" s="223"/>
      <c r="Y707" s="223" t="str">
        <f t="array" ref="Y707:Y708">{"ARMORSPECIALL19";((IF("19"=INDEX(ALLCLASSDATA,MATCH("ArmorSpecialization",CLASSFEATUREHEADERS,0),MATCH($A708,CLASSNAMEHEADERS,0)),ArmorAS,"")))}</f>
        <v>ARMORSPECIALL19</v>
      </c>
      <c r="Z707" s="223"/>
      <c r="AA707" s="76"/>
      <c r="AB707" s="76" t="str">
        <f t="array" ref="AB707:AB708">{"ARMORSPECIAL TOTAL";(sum(F708:Z708))}</f>
        <v>ARMORSPECIAL TOTAL</v>
      </c>
    </row>
    <row r="708">
      <c r="A708" s="48" t="s">
        <v>223</v>
      </c>
      <c r="B708" s="48" t="s">
        <v>418</v>
      </c>
      <c r="C708" s="48" t="s">
        <v>1900</v>
      </c>
      <c r="D708" s="48" t="s">
        <v>51</v>
      </c>
      <c r="E708" s="5"/>
      <c r="F708" s="47"/>
      <c r="G708" s="5" t="s">
        <v>603</v>
      </c>
      <c r="H708" s="5"/>
      <c r="I708" s="5" t="s">
        <v>603</v>
      </c>
      <c r="J708" s="5"/>
      <c r="K708" s="5" t="s">
        <v>603</v>
      </c>
      <c r="L708" s="5"/>
      <c r="M708" s="5" t="s">
        <v>603</v>
      </c>
      <c r="N708" s="5"/>
      <c r="O708" s="5" t="s">
        <v>603</v>
      </c>
      <c r="P708" s="5"/>
      <c r="Q708" s="5" t="s">
        <v>603</v>
      </c>
      <c r="R708" s="5"/>
      <c r="S708" s="5" t="s">
        <v>603</v>
      </c>
      <c r="T708" s="5"/>
      <c r="U708" s="5" t="s">
        <v>603</v>
      </c>
      <c r="V708" s="5"/>
      <c r="W708" s="5" t="s">
        <v>603</v>
      </c>
      <c r="X708" s="5"/>
      <c r="Y708" s="5" t="s">
        <v>603</v>
      </c>
      <c r="Z708" s="5"/>
      <c r="AA708" s="5"/>
      <c r="AB708" s="47">
        <v>0.0</v>
      </c>
    </row>
    <row r="709" hidden="1">
      <c r="A709" s="222" t="str">
        <f t="array" ref="A709:A710">{"FormulaRow35";(INDEX(CLASSLIST,A640,1))}</f>
        <v>FormulaRow35</v>
      </c>
      <c r="B709" s="222" t="str">
        <f t="array" ref="B709:B710">{"CLASSTYPE";((INDEX(ALLCLASSDATA,MATCH("ClassType",CLASSFEATUREHEADERS,0),MATCH($A710,CLASSNAMEHEADERS,0))))}</f>
        <v>CLASSTYPE</v>
      </c>
      <c r="C709" s="222" t="str">
        <f t="array" ref="C709:C710">{"DEFENSE";"Defense"}</f>
        <v>DEFENSE</v>
      </c>
      <c r="D709" s="222" t="str">
        <f t="array" ref="D709:D710">{"UNARMORED";"Unarmored"}</f>
        <v>UNARMORED</v>
      </c>
      <c r="E709" s="223" t="str">
        <f t="array" ref="E709:E710">{"UNARMOREDINITIAL";((IF(G710=10,"T",(IF(G710=50,"E","")))))}</f>
        <v>UNARMOREDINITIAL</v>
      </c>
      <c r="F709" s="223" t="str">
        <f t="array" ref="F709:F710">{"UNARMOREDINITIALPTS";((IF("00"=(INDEX(ALLCLASSDATA,MATCH("UnarmoredLegendary",CLASSFEATUREHEADERS,0),MATCH($A710,CLASSNAMEHEADERS,0))),(INDEX(ALLCLASSDATA,MATCH("UnarmoredLegendary",CLASSFEATUREHEADERS,0),MATCH(($A710 &amp; "Points"),CLASSNAMEHEADERS,0))),(IF("00"=(INDEX(ALLCLASSDATA,MATCH("UnarmoredMaster",CLASSFEATUREHEADERS,0),MATCH($A710,CLASSNAMEHEADERS,0))),(INDEX(ALLCLASSDATA,MATCH("UnarmoredMaster",CLASSFEATUREHEADERS,0),MATCH(($A710 &amp; "Points"),CLASSNAMEHEADERS,0))),(IF("00"=(INDEX(ALLCLASSDATA,MATCH("UnarmoredExpert",CLASSFEATUREHEADERS,0),MATCH($A710,CLASSNAMEHEADERS,0))),(INDEX(ALLCLASSDATA,MATCH("UnarmoredExpert",CLASSFEATUREHEADERS,0),MATCH(($A710 &amp; "Points"),CLASSNAMEHEADERS,0))),(IF("00"=(INDEX(ALLCLASSDATA,MATCH("UnarmoredTrained",CLASSFEATUREHEADERS,0),MATCH($A710,CLASSNAMEHEADERS,0))),(INDEX(ALLCLASSDATA,MATCH("UnarmoredTrained",CLASSFEATUREHEADERS,0),MATCH(($A710 &amp; "Points"),CLASSNAMEHEADERS,0))),"")))))))))}</f>
        <v>UNARMOREDINITIALPTS</v>
      </c>
      <c r="G709" s="223" t="str">
        <f t="array" ref="G709:G710">{"UNARMOREDL01";((IF("01"=(INDEX(ALLCLASSDATA,MATCH("UnarmoredLegendary",CLASSFEATUREHEADERS,0),MATCH($A710,CLASSNAMEHEADERS,0))),(INDEX(ALLCLASSDATA,MATCH("UnarmoredLegendary",CLASSFEATUREHEADERS,0),MATCH(($A710 &amp; "Points"),CLASSNAMEHEADERS,0))),(IF("01"=(INDEX(ALLCLASSDATA,MATCH("UnarmoredMaster",CLASSFEATUREHEADERS,0),MATCH($A710,CLASSNAMEHEADERS,0))),(INDEX(ALLCLASSDATA,MATCH("UnarmoredMaster",CLASSFEATUREHEADERS,0),MATCH(($A710 &amp; "Points"),CLASSNAMEHEADERS,0))),(IF("01"=(INDEX(ALLCLASSDATA,MATCH("UnarmoredExpert",CLASSFEATUREHEADERS,0),MATCH($A710,CLASSNAMEHEADERS,0))),(INDEX(ALLCLASSDATA,MATCH("UnarmoredExpert",CLASSFEATUREHEADERS,0),MATCH(($A710 &amp; "Points"),CLASSNAMEHEADERS,0))),(IF("01"=(INDEX(ALLCLASSDATA,MATCH("UnarmoredTrained",CLASSFEATUREHEADERS,0),MATCH($A710,CLASSNAMEHEADERS,0))),(INDEX(ALLCLASSDATA,MATCH("UnarmoredTrained",CLASSFEATUREHEADERS,0),MATCH(($A710 &amp; "Points"),CLASSNAMEHEADERS,0))),"")))))))))}</f>
        <v>UNARMOREDL01</v>
      </c>
      <c r="H709" s="223"/>
      <c r="I709" s="223" t="str">
        <f t="array" ref="I709:I710">{"UNARMOREDL03";((IF("03"=(INDEX(ALLCLASSDATA,MATCH("UnarmoredLegendary",CLASSFEATUREHEADERS,0),MATCH($A710,CLASSNAMEHEADERS,0))),(INDEX(ALLCLASSDATA,MATCH("UnarmoredLegendary",CLASSFEATUREHEADERS,0),MATCH(($A710 &amp; "Points"),CLASSNAMEHEADERS,0))),(IF("03"=(INDEX(ALLCLASSDATA,MATCH("UnarmoredMaster",CLASSFEATUREHEADERS,0),MATCH($A710,CLASSNAMEHEADERS,0))),(INDEX(ALLCLASSDATA,MATCH("UnarmoredMaster",CLASSFEATUREHEADERS,0),MATCH(($A710 &amp; "Points"),CLASSNAMEHEADERS,0))),(IF("03"=(INDEX(ALLCLASSDATA,MATCH("UnarmoredExpert",CLASSFEATUREHEADERS,0),MATCH($A710,CLASSNAMEHEADERS,0))),(INDEX(ALLCLASSDATA,MATCH("UnarmoredExpert",CLASSFEATUREHEADERS,0),MATCH(($A710 &amp; "Points"),CLASSNAMEHEADERS,0))),(IF("03"=(INDEX(ALLCLASSDATA,MATCH("UnarmoredTrained",CLASSFEATUREHEADERS,0),MATCH($A710,CLASSNAMEHEADERS,0))),(INDEX(ALLCLASSDATA,MATCH("UnarmoredTrained",CLASSFEATUREHEADERS,0),MATCH(($A710 &amp; "Points"),CLASSNAMEHEADERS,0))),"")))))))))}</f>
        <v>UNARMOREDL03</v>
      </c>
      <c r="J709" s="223"/>
      <c r="K709" s="223" t="str">
        <f t="array" ref="K709:K710">{"UNARMOREDL05";((IF("05"=(INDEX(ALLCLASSDATA,MATCH("UnarmoredLegendary",CLASSFEATUREHEADERS,0),MATCH($A710,CLASSNAMEHEADERS,0))),(INDEX(ALLCLASSDATA,MATCH("UnarmoredLegendary",CLASSFEATUREHEADERS,0),MATCH(($A710 &amp; "Points"),CLASSNAMEHEADERS,0))),(IF("05"=(INDEX(ALLCLASSDATA,MATCH("UnarmoredMaster",CLASSFEATUREHEADERS,0),MATCH($A710,CLASSNAMEHEADERS,0))),(INDEX(ALLCLASSDATA,MATCH("UnarmoredMaster",CLASSFEATUREHEADERS,0),MATCH(($A710 &amp; "Points"),CLASSNAMEHEADERS,0))),(IF("05"=(INDEX(ALLCLASSDATA,MATCH("UnarmoredExpert",CLASSFEATUREHEADERS,0),MATCH($A710,CLASSNAMEHEADERS,0))),(INDEX(ALLCLASSDATA,MATCH("UnarmoredExpert",CLASSFEATUREHEADERS,0),MATCH(($A710 &amp; "Points"),CLASSNAMEHEADERS,0))),(IF("05"=(INDEX(ALLCLASSDATA,MATCH("UnarmoredTrained",CLASSFEATUREHEADERS,0),MATCH($A710,CLASSNAMEHEADERS,0))),(INDEX(ALLCLASSDATA,MATCH("UnarmoredTrained",CLASSFEATUREHEADERS,0),MATCH(($A710 &amp; "Points"),CLASSNAMEHEADERS,0))),"")))))))))}</f>
        <v>UNARMOREDL05</v>
      </c>
      <c r="L709" s="223"/>
      <c r="M709" s="223" t="str">
        <f t="array" ref="M709:M710">{"UNARMOREDL07";((IF("07"=(INDEX(ALLCLASSDATA,MATCH("UnarmoredLegendary",CLASSFEATUREHEADERS,0),MATCH($A710,CLASSNAMEHEADERS,0))),(INDEX(ALLCLASSDATA,MATCH("UnarmoredLegendary",CLASSFEATUREHEADERS,0),MATCH(($A710 &amp; "Points"),CLASSNAMEHEADERS,0))),(IF("07"=(INDEX(ALLCLASSDATA,MATCH("UnarmoredMaster",CLASSFEATUREHEADERS,0),MATCH($A710,CLASSNAMEHEADERS,0))),(INDEX(ALLCLASSDATA,MATCH("UnarmoredMaster",CLASSFEATUREHEADERS,0),MATCH(($A710 &amp; "Points"),CLASSNAMEHEADERS,0))),(IF("07"=(INDEX(ALLCLASSDATA,MATCH("UnarmoredExpert",CLASSFEATUREHEADERS,0),MATCH($A710,CLASSNAMEHEADERS,0))),(INDEX(ALLCLASSDATA,MATCH("UnarmoredExpert",CLASSFEATUREHEADERS,0),MATCH(($A710 &amp; "Points"),CLASSNAMEHEADERS,0))),(IF("07"=(INDEX(ALLCLASSDATA,MATCH("UnarmoredTrained",CLASSFEATUREHEADERS,0),MATCH($A710,CLASSNAMEHEADERS,0))),(INDEX(ALLCLASSDATA,MATCH("UnarmoredTrained",CLASSFEATUREHEADERS,0),MATCH(($A710 &amp; "Points"),CLASSNAMEHEADERS,0))),"")))))))))}</f>
        <v>UNARMOREDL07</v>
      </c>
      <c r="N709" s="223"/>
      <c r="O709" s="223" t="str">
        <f t="array" ref="O709:O710">{"UNARMOREDL09";((IF("09"=(INDEX(ALLCLASSDATA,MATCH("UnarmoredLegendary",CLASSFEATUREHEADERS,0),MATCH($A710,CLASSNAMEHEADERS,0))),(INDEX(ALLCLASSDATA,MATCH("UnarmoredLegendary",CLASSFEATUREHEADERS,0),MATCH(($A710 &amp; "Points"),CLASSNAMEHEADERS,0))),(IF("09"=(INDEX(ALLCLASSDATA,MATCH("UnarmoredMaster",CLASSFEATUREHEADERS,0),MATCH($A710,CLASSNAMEHEADERS,0))),(INDEX(ALLCLASSDATA,MATCH("UnarmoredMaster",CLASSFEATUREHEADERS,0),MATCH(($A710 &amp; "Points"),CLASSNAMEHEADERS,0))),(IF("09"=(INDEX(ALLCLASSDATA,MATCH("UnarmoredExpert",CLASSFEATUREHEADERS,0),MATCH($A710,CLASSNAMEHEADERS,0))),(INDEX(ALLCLASSDATA,MATCH("UnarmoredExpert",CLASSFEATUREHEADERS,0),MATCH(($A710 &amp; "Points"),CLASSNAMEHEADERS,0))),(IF("09"=(INDEX(ALLCLASSDATA,MATCH("UnarmoredTrained",CLASSFEATUREHEADERS,0),MATCH($A710,CLASSNAMEHEADERS,0))),(INDEX(ALLCLASSDATA,MATCH("UnarmoredTrained",CLASSFEATUREHEADERS,0),MATCH(($A710 &amp; "Points"),CLASSNAMEHEADERS,0))),"")))))))))}</f>
        <v>UNARMOREDL09</v>
      </c>
      <c r="P709" s="223"/>
      <c r="Q709" s="223" t="str">
        <f t="array" ref="Q709:Q710">{"UNARMOREDL11";((IF("11"=(INDEX(ALLCLASSDATA,MATCH("UnarmoredLegendary",CLASSFEATUREHEADERS,0),MATCH($A710,CLASSNAMEHEADERS,0))),(INDEX(ALLCLASSDATA,MATCH("UnarmoredLegendary",CLASSFEATUREHEADERS,0),MATCH(($A710 &amp; "Points"),CLASSNAMEHEADERS,0))),(IF("11"=(INDEX(ALLCLASSDATA,MATCH("UnarmoredMaster",CLASSFEATUREHEADERS,0),MATCH($A710,CLASSNAMEHEADERS,0))),(INDEX(ALLCLASSDATA,MATCH("UnarmoredMaster",CLASSFEATUREHEADERS,0),MATCH(($A710 &amp; "Points"),CLASSNAMEHEADERS,0))),(IF("11"=(INDEX(ALLCLASSDATA,MATCH("UnarmoredExpert",CLASSFEATUREHEADERS,0),MATCH($A710,CLASSNAMEHEADERS,0))),(INDEX(ALLCLASSDATA,MATCH("UnarmoredExpert",CLASSFEATUREHEADERS,0),MATCH(($A710 &amp; "Points"),CLASSNAMEHEADERS,0))),(IF("11"=(INDEX(ALLCLASSDATA,MATCH("UnarmoredTrained",CLASSFEATUREHEADERS,0),MATCH($A710,CLASSNAMEHEADERS,0))),(INDEX(ALLCLASSDATA,MATCH("UnarmoredTrained",CLASSFEATUREHEADERS,0),MATCH(($A710 &amp; "Points"),CLASSNAMEHEADERS,0))),"")))))))))}</f>
        <v>UNARMOREDL11</v>
      </c>
      <c r="R709" s="223"/>
      <c r="S709" s="223" t="str">
        <f t="array" ref="S709:S710">{"UNARMOREDL13";((IF("13"=(INDEX(ALLCLASSDATA,MATCH("UnarmoredLegendary",CLASSFEATUREHEADERS,0),MATCH($A710,CLASSNAMEHEADERS,0))),(INDEX(ALLCLASSDATA,MATCH("UnarmoredLegendary",CLASSFEATUREHEADERS,0),MATCH(($A710 &amp; "Points"),CLASSNAMEHEADERS,0))),(IF("13"=(INDEX(ALLCLASSDATA,MATCH("UnarmoredMaster",CLASSFEATUREHEADERS,0),MATCH($A710,CLASSNAMEHEADERS,0))),(INDEX(ALLCLASSDATA,MATCH("UnarmoredMaster",CLASSFEATUREHEADERS,0),MATCH(($A710 &amp; "Points"),CLASSNAMEHEADERS,0))),(IF("13"=(INDEX(ALLCLASSDATA,MATCH("UnarmoredExpert",CLASSFEATUREHEADERS,0),MATCH($A710,CLASSNAMEHEADERS,0))),(INDEX(ALLCLASSDATA,MATCH("UnarmoredExpert",CLASSFEATUREHEADERS,0),MATCH(($A710 &amp; "Points"),CLASSNAMEHEADERS,0))),(IF("13"=(INDEX(ALLCLASSDATA,MATCH("UnarmoredTrained",CLASSFEATUREHEADERS,0),MATCH($A710,CLASSNAMEHEADERS,0))),(INDEX(ALLCLASSDATA,MATCH("UnarmoredTrained",CLASSFEATUREHEADERS,0),MATCH(($A710 &amp; "Points"),CLASSNAMEHEADERS,0))),"")))))))))}</f>
        <v>UNARMOREDL13</v>
      </c>
      <c r="T709" s="223"/>
      <c r="U709" s="223" t="str">
        <f t="array" ref="U709:U710">{"UNARMOREDL15";((IF("15"=(INDEX(ALLCLASSDATA,MATCH("UnarmoredLegendary",CLASSFEATUREHEADERS,0),MATCH($A710,CLASSNAMEHEADERS,0))),(INDEX(ALLCLASSDATA,MATCH("UnarmoredLegendary",CLASSFEATUREHEADERS,0),MATCH(($A710 &amp; "Points"),CLASSNAMEHEADERS,0))),(IF("15"=(INDEX(ALLCLASSDATA,MATCH("UnarmoredMaster",CLASSFEATUREHEADERS,0),MATCH($A710,CLASSNAMEHEADERS,0))),(INDEX(ALLCLASSDATA,MATCH("UnarmoredMaster",CLASSFEATUREHEADERS,0),MATCH(($A710 &amp; "Points"),CLASSNAMEHEADERS,0))),(IF("15"=(INDEX(ALLCLASSDATA,MATCH("UnarmoredExpert",CLASSFEATUREHEADERS,0),MATCH($A710,CLASSNAMEHEADERS,0))),(INDEX(ALLCLASSDATA,MATCH("UnarmoredExpert",CLASSFEATUREHEADERS,0),MATCH(($A710 &amp; "Points"),CLASSNAMEHEADERS,0))),(IF("15"=(INDEX(ALLCLASSDATA,MATCH("UnarmoredTrained",CLASSFEATUREHEADERS,0),MATCH($A710,CLASSNAMEHEADERS,0))),(INDEX(ALLCLASSDATA,MATCH("UnarmoredTrained",CLASSFEATUREHEADERS,0),MATCH(($A710 &amp; "Points"),CLASSNAMEHEADERS,0))),"")))))))))}</f>
        <v>UNARMOREDL15</v>
      </c>
      <c r="V709" s="223"/>
      <c r="W709" s="223" t="str">
        <f t="array" ref="W709:W710">{"UNARMOREDL17";((IF("17"=(INDEX(ALLCLASSDATA,MATCH("UnarmoredLegendary",CLASSFEATUREHEADERS,0),MATCH($A710,CLASSNAMEHEADERS,0))),(INDEX(ALLCLASSDATA,MATCH("UnarmoredLegendary",CLASSFEATUREHEADERS,0),MATCH(($A710 &amp; "Points"),CLASSNAMEHEADERS,0))),(IF("17"=(INDEX(ALLCLASSDATA,MATCH("UnarmoredMaster",CLASSFEATUREHEADERS,0),MATCH($A710,CLASSNAMEHEADERS,0))),(INDEX(ALLCLASSDATA,MATCH("UnarmoredMaster",CLASSFEATUREHEADERS,0),MATCH(($A710 &amp; "Points"),CLASSNAMEHEADERS,0))),(IF("17"=(INDEX(ALLCLASSDATA,MATCH("UnarmoredExpert",CLASSFEATUREHEADERS,0),MATCH($A710,CLASSNAMEHEADERS,0))),(INDEX(ALLCLASSDATA,MATCH("UnarmoredExpert",CLASSFEATUREHEADERS,0),MATCH(($A710 &amp; "Points"),CLASSNAMEHEADERS,0))),(IF("17"=(INDEX(ALLCLASSDATA,MATCH("UnarmoredTrained",CLASSFEATUREHEADERS,0),MATCH($A710,CLASSNAMEHEADERS,0))),(INDEX(ALLCLASSDATA,MATCH("UnarmoredTrained",CLASSFEATUREHEADERS,0),MATCH(($A710 &amp; "Points"),CLASSNAMEHEADERS,0))),"")))))))))}</f>
        <v>UNARMOREDL17</v>
      </c>
      <c r="X709" s="223"/>
      <c r="Y709" s="223" t="str">
        <f t="array" ref="Y709:Y710">{"UNARMOREDL19";((IF("19"=(INDEX(ALLCLASSDATA,MATCH("UnarmoredLegendary",CLASSFEATUREHEADERS,0),MATCH($A710,CLASSNAMEHEADERS,0))),(INDEX(ALLCLASSDATA,MATCH("UnarmoredLegendary",CLASSFEATUREHEADERS,0),MATCH(($A710 &amp; "Points"),CLASSNAMEHEADERS,0))),(IF("19"=(INDEX(ALLCLASSDATA,MATCH("UnarmoredMaster",CLASSFEATUREHEADERS,0),MATCH($A710,CLASSNAMEHEADERS,0))),(INDEX(ALLCLASSDATA,MATCH("UnarmoredMaster",CLASSFEATUREHEADERS,0),MATCH(($A710 &amp; "Points"),CLASSNAMEHEADERS,0))),(IF("19"=(INDEX(ALLCLASSDATA,MATCH("UnarmoredExpert",CLASSFEATUREHEADERS,0),MATCH($A710,CLASSNAMEHEADERS,0))),(INDEX(ALLCLASSDATA,MATCH("UnarmoredExpert",CLASSFEATUREHEADERS,0),MATCH(($A710 &amp; "Points"),CLASSNAMEHEADERS,0))),(IF("19"=(INDEX(ALLCLASSDATA,MATCH("UnarmoredTrained",CLASSFEATUREHEADERS,0),MATCH($A710,CLASSNAMEHEADERS,0))),(INDEX(ALLCLASSDATA,MATCH("UnarmoredTrained",CLASSFEATUREHEADERS,0),MATCH(($A710 &amp; "Points"),CLASSNAMEHEADERS,0))),"")))))))))}</f>
        <v>UNARMOREDL19</v>
      </c>
      <c r="Z709" s="223"/>
      <c r="AA709" s="76" t="str">
        <f t="array" ref="AA709:AA710">{"UNARMORED TOTAL";(IF(COUNTBLANK(F710:Z710)=17,"L",(IF(COUNTBLANK(F710:Z710)=18,"M",(IF(COUNTBLANK(F710:Z710)=19,"E",(IF(COUNTBLANK(F710:Z710)=20,"T",""))))))))}</f>
        <v>UNARMORED TOTAL</v>
      </c>
      <c r="AB709" s="76" t="str">
        <f t="array" ref="AB709:AB710">{"UNARMORED TOTAL";(sum(F710:Z710))}</f>
        <v>UNARMORED TOTAL</v>
      </c>
    </row>
    <row r="710">
      <c r="A710" s="48" t="s">
        <v>223</v>
      </c>
      <c r="B710" s="48" t="s">
        <v>418</v>
      </c>
      <c r="C710" s="48" t="s">
        <v>1900</v>
      </c>
      <c r="D710" s="48" t="s">
        <v>78</v>
      </c>
      <c r="E710" s="5" t="s">
        <v>435</v>
      </c>
      <c r="F710" s="47" t="s">
        <v>603</v>
      </c>
      <c r="G710" s="5">
        <v>10.0</v>
      </c>
      <c r="H710" s="5"/>
      <c r="I710" s="5" t="s">
        <v>603</v>
      </c>
      <c r="J710" s="5"/>
      <c r="K710" s="5" t="s">
        <v>603</v>
      </c>
      <c r="L710" s="5"/>
      <c r="M710" s="5" t="s">
        <v>603</v>
      </c>
      <c r="N710" s="5"/>
      <c r="O710" s="5" t="s">
        <v>603</v>
      </c>
      <c r="P710" s="5"/>
      <c r="Q710" s="5" t="s">
        <v>603</v>
      </c>
      <c r="R710" s="5"/>
      <c r="S710" s="5" t="s">
        <v>436</v>
      </c>
      <c r="T710" s="5"/>
      <c r="U710" s="5" t="s">
        <v>603</v>
      </c>
      <c r="V710" s="5"/>
      <c r="W710" s="5" t="s">
        <v>603</v>
      </c>
      <c r="X710" s="5"/>
      <c r="Y710" s="5" t="s">
        <v>603</v>
      </c>
      <c r="Z710" s="5"/>
      <c r="AA710" s="5" t="s">
        <v>436</v>
      </c>
      <c r="AB710" s="47">
        <v>10.0</v>
      </c>
    </row>
    <row r="711" hidden="1">
      <c r="A711" s="222" t="str">
        <f t="array" ref="A711:A712">{"FormulaRow36";(INDEX(CLASSLIST,A640,1))}</f>
        <v>FormulaRow36</v>
      </c>
      <c r="B711" s="222" t="str">
        <f t="array" ref="B711:B712">{"CLASSTYPE";((INDEX(ALLCLASSDATA,MATCH("ClassType",CLASSFEATUREHEADERS,0),MATCH($A712,CLASSNAMEHEADERS,0))))}</f>
        <v>CLASSTYPE</v>
      </c>
      <c r="C711" s="222" t="str">
        <f t="array" ref="C711:C712">{"DEFENSE";"Defense"}</f>
        <v>DEFENSE</v>
      </c>
      <c r="D711" s="222" t="str">
        <f t="array" ref="D711:D712">{"LIGHT";"Light"}</f>
        <v>LIGHT</v>
      </c>
      <c r="E711" s="223" t="str">
        <f t="array" ref="E711:E712">{"LIGHTINITIAL";((IF(G712=10,"T",(IF(G712=50,"E","")))))}</f>
        <v>LIGHTINITIAL</v>
      </c>
      <c r="F711" s="223" t="str">
        <f t="array" ref="F711:F712">{"LIGHTINITIALPTS";((IF("00"=(INDEX(ALLCLASSDATA,MATCH("LightLegendary",CLASSFEATUREHEADERS,0),MATCH($A712,CLASSNAMEHEADERS,0))),(INDEX(ALLCLASSDATA,MATCH("LightLegendary",CLASSFEATUREHEADERS,0),MATCH(($A712 &amp; "Points"),CLASSNAMEHEADERS,0))),(IF("00"=(INDEX(ALLCLASSDATA,MATCH("LightMaster",CLASSFEATUREHEADERS,0),MATCH($A712,CLASSNAMEHEADERS,0))),(INDEX(ALLCLASSDATA,MATCH("LightMaster",CLASSFEATUREHEADERS,0),MATCH(($A712 &amp; "Points"),CLASSNAMEHEADERS,0))),(IF("00"=(INDEX(ALLCLASSDATA,MATCH("LightExpert",CLASSFEATUREHEADERS,0),MATCH($A712,CLASSNAMEHEADERS,0))),(INDEX(ALLCLASSDATA,MATCH("LightExpert",CLASSFEATUREHEADERS,0),MATCH(($A712 &amp; "Points"),CLASSNAMEHEADERS,0))),(IF("00"=(INDEX(ALLCLASSDATA,MATCH("LightTrained",CLASSFEATUREHEADERS,0),MATCH($A712,CLASSNAMEHEADERS,0))),(INDEX(ALLCLASSDATA,MATCH("LightTrained",CLASSFEATUREHEADERS,0),MATCH(($A712 &amp; "Points"),CLASSNAMEHEADERS,0))),"")))))))))}</f>
        <v>LIGHTINITIALPTS</v>
      </c>
      <c r="G711" s="223" t="str">
        <f t="array" ref="G711:G712">{"LIGHTL01";((IF("01"=(INDEX(ALLCLASSDATA,MATCH("LightLegendary",CLASSFEATUREHEADERS,0),MATCH($A712,CLASSNAMEHEADERS,0))),(INDEX(ALLCLASSDATA,MATCH("LightLegendary",CLASSFEATUREHEADERS,0),MATCH(($A712 &amp; "Points"),CLASSNAMEHEADERS,0))),(IF("01"=(INDEX(ALLCLASSDATA,MATCH("LightMaster",CLASSFEATUREHEADERS,0),MATCH($A712,CLASSNAMEHEADERS,0))),(INDEX(ALLCLASSDATA,MATCH("LightMaster",CLASSFEATUREHEADERS,0),MATCH(($A712 &amp; "Points"),CLASSNAMEHEADERS,0))),(IF("01"=(INDEX(ALLCLASSDATA,MATCH("LightExpert",CLASSFEATUREHEADERS,0),MATCH($A712,CLASSNAMEHEADERS,0))),(INDEX(ALLCLASSDATA,MATCH("LightExpert",CLASSFEATUREHEADERS,0),MATCH(($A712 &amp; "Points"),CLASSNAMEHEADERS,0))),(IF("01"=(INDEX(ALLCLASSDATA,MATCH("LightTrained",CLASSFEATUREHEADERS,0),MATCH($A712,CLASSNAMEHEADERS,0))),(INDEX(ALLCLASSDATA,MATCH("LightTrained",CLASSFEATUREHEADERS,0),MATCH(($A712 &amp; "Points"),CLASSNAMEHEADERS,0))),"")))))))))}</f>
        <v>LIGHTL01</v>
      </c>
      <c r="H711" s="223"/>
      <c r="I711" s="223" t="str">
        <f t="array" ref="I711:I712">{"LIGHTL03";((IF("03"=(INDEX(ALLCLASSDATA,MATCH("LightLegendary",CLASSFEATUREHEADERS,0),MATCH($A712,CLASSNAMEHEADERS,0))),(INDEX(ALLCLASSDATA,MATCH("LightLegendary",CLASSFEATUREHEADERS,0),MATCH(($A712 &amp; "Points"),CLASSNAMEHEADERS,0))),(IF("03"=(INDEX(ALLCLASSDATA,MATCH("LightMaster",CLASSFEATUREHEADERS,0),MATCH($A712,CLASSNAMEHEADERS,0))),(INDEX(ALLCLASSDATA,MATCH("LightMaster",CLASSFEATUREHEADERS,0),MATCH(($A712 &amp; "Points"),CLASSNAMEHEADERS,0))),(IF("03"=(INDEX(ALLCLASSDATA,MATCH("LightExpert",CLASSFEATUREHEADERS,0),MATCH($A712,CLASSNAMEHEADERS,0))),(INDEX(ALLCLASSDATA,MATCH("LightExpert",CLASSFEATUREHEADERS,0),MATCH(($A712 &amp; "Points"),CLASSNAMEHEADERS,0))),(IF("03"=(INDEX(ALLCLASSDATA,MATCH("LightTrained",CLASSFEATUREHEADERS,0),MATCH($A712,CLASSNAMEHEADERS,0))),(INDEX(ALLCLASSDATA,MATCH("LightTrained",CLASSFEATUREHEADERS,0),MATCH(($A712 &amp; "Points"),CLASSNAMEHEADERS,0))),"")))))))))}</f>
        <v>LIGHTL03</v>
      </c>
      <c r="J711" s="223"/>
      <c r="K711" s="223" t="str">
        <f t="array" ref="K711:K712">{"LIGHTL05";((IF("05"=(INDEX(ALLCLASSDATA,MATCH("LightLegendary",CLASSFEATUREHEADERS,0),MATCH($A712,CLASSNAMEHEADERS,0))),(INDEX(ALLCLASSDATA,MATCH("LightLegendary",CLASSFEATUREHEADERS,0),MATCH(($A712 &amp; "Points"),CLASSNAMEHEADERS,0))),(IF("05"=(INDEX(ALLCLASSDATA,MATCH("LightMaster",CLASSFEATUREHEADERS,0),MATCH($A712,CLASSNAMEHEADERS,0))),(INDEX(ALLCLASSDATA,MATCH("LightMaster",CLASSFEATUREHEADERS,0),MATCH(($A712 &amp; "Points"),CLASSNAMEHEADERS,0))),(IF("05"=(INDEX(ALLCLASSDATA,MATCH("LightExpert",CLASSFEATUREHEADERS,0),MATCH($A712,CLASSNAMEHEADERS,0))),(INDEX(ALLCLASSDATA,MATCH("LightExpert",CLASSFEATUREHEADERS,0),MATCH(($A712 &amp; "Points"),CLASSNAMEHEADERS,0))),(IF("05"=(INDEX(ALLCLASSDATA,MATCH("LightTrained",CLASSFEATUREHEADERS,0),MATCH($A712,CLASSNAMEHEADERS,0))),(INDEX(ALLCLASSDATA,MATCH("LightTrained",CLASSFEATUREHEADERS,0),MATCH(($A712 &amp; "Points"),CLASSNAMEHEADERS,0))),"")))))))))}</f>
        <v>LIGHTL05</v>
      </c>
      <c r="L711" s="223"/>
      <c r="M711" s="223" t="str">
        <f t="array" ref="M711:M712">{"LIGHTL07";((IF("07"=(INDEX(ALLCLASSDATA,MATCH("LightLegendary",CLASSFEATUREHEADERS,0),MATCH($A712,CLASSNAMEHEADERS,0))),(INDEX(ALLCLASSDATA,MATCH("LightLegendary",CLASSFEATUREHEADERS,0),MATCH(($A712 &amp; "Points"),CLASSNAMEHEADERS,0))),(IF("07"=(INDEX(ALLCLASSDATA,MATCH("LightMaster",CLASSFEATUREHEADERS,0),MATCH($A712,CLASSNAMEHEADERS,0))),(INDEX(ALLCLASSDATA,MATCH("LightMaster",CLASSFEATUREHEADERS,0),MATCH(($A712 &amp; "Points"),CLASSNAMEHEADERS,0))),(IF("07"=(INDEX(ALLCLASSDATA,MATCH("LightExpert",CLASSFEATUREHEADERS,0),MATCH($A712,CLASSNAMEHEADERS,0))),(INDEX(ALLCLASSDATA,MATCH("LightExpert",CLASSFEATUREHEADERS,0),MATCH(($A712 &amp; "Points"),CLASSNAMEHEADERS,0))),(IF("07"=(INDEX(ALLCLASSDATA,MATCH("LightTrained",CLASSFEATUREHEADERS,0),MATCH($A712,CLASSNAMEHEADERS,0))),(INDEX(ALLCLASSDATA,MATCH("LightTrained",CLASSFEATUREHEADERS,0),MATCH(($A712 &amp; "Points"),CLASSNAMEHEADERS,0))),"")))))))))}</f>
        <v>LIGHTL07</v>
      </c>
      <c r="N711" s="223"/>
      <c r="O711" s="223" t="str">
        <f t="array" ref="O711:O712">{"LIGHTL09";((IF("09"=(INDEX(ALLCLASSDATA,MATCH("LightLegendary",CLASSFEATUREHEADERS,0),MATCH($A712,CLASSNAMEHEADERS,0))),(INDEX(ALLCLASSDATA,MATCH("LightLegendary",CLASSFEATUREHEADERS,0),MATCH(($A712 &amp; "Points"),CLASSNAMEHEADERS,0))),(IF("09"=(INDEX(ALLCLASSDATA,MATCH("LightMaster",CLASSFEATUREHEADERS,0),MATCH($A712,CLASSNAMEHEADERS,0))),(INDEX(ALLCLASSDATA,MATCH("LightMaster",CLASSFEATUREHEADERS,0),MATCH(($A712 &amp; "Points"),CLASSNAMEHEADERS,0))),(IF("09"=(INDEX(ALLCLASSDATA,MATCH("LightExpert",CLASSFEATUREHEADERS,0),MATCH($A712,CLASSNAMEHEADERS,0))),(INDEX(ALLCLASSDATA,MATCH("LightExpert",CLASSFEATUREHEADERS,0),MATCH(($A712 &amp; "Points"),CLASSNAMEHEADERS,0))),(IF("09"=(INDEX(ALLCLASSDATA,MATCH("LightTrained",CLASSFEATUREHEADERS,0),MATCH($A712,CLASSNAMEHEADERS,0))),(INDEX(ALLCLASSDATA,MATCH("LightTrained",CLASSFEATUREHEADERS,0),MATCH(($A712 &amp; "Points"),CLASSNAMEHEADERS,0))),"")))))))))}</f>
        <v>LIGHTL09</v>
      </c>
      <c r="P711" s="223"/>
      <c r="Q711" s="223" t="str">
        <f t="array" ref="Q711:Q712">{"LIGHTL11";((IF("11"=(INDEX(ALLCLASSDATA,MATCH("LightLegendary",CLASSFEATUREHEADERS,0),MATCH($A712,CLASSNAMEHEADERS,0))),(INDEX(ALLCLASSDATA,MATCH("LightLegendary",CLASSFEATUREHEADERS,0),MATCH(($A712 &amp; "Points"),CLASSNAMEHEADERS,0))),(IF("11"=(INDEX(ALLCLASSDATA,MATCH("LightMaster",CLASSFEATUREHEADERS,0),MATCH($A712,CLASSNAMEHEADERS,0))),(INDEX(ALLCLASSDATA,MATCH("LightMaster",CLASSFEATUREHEADERS,0),MATCH(($A712 &amp; "Points"),CLASSNAMEHEADERS,0))),(IF("11"=(INDEX(ALLCLASSDATA,MATCH("LightExpert",CLASSFEATUREHEADERS,0),MATCH($A712,CLASSNAMEHEADERS,0))),(INDEX(ALLCLASSDATA,MATCH("LightExpert",CLASSFEATUREHEADERS,0),MATCH(($A712 &amp; "Points"),CLASSNAMEHEADERS,0))),(IF("11"=(INDEX(ALLCLASSDATA,MATCH("LightTrained",CLASSFEATUREHEADERS,0),MATCH($A712,CLASSNAMEHEADERS,0))),(INDEX(ALLCLASSDATA,MATCH("LightTrained",CLASSFEATUREHEADERS,0),MATCH(($A712 &amp; "Points"),CLASSNAMEHEADERS,0))),"")))))))))}</f>
        <v>LIGHTL11</v>
      </c>
      <c r="R711" s="223"/>
      <c r="S711" s="223" t="str">
        <f t="array" ref="S711:S712">{"LIGHTL13";((IF("13"=(INDEX(ALLCLASSDATA,MATCH("LightLegendary",CLASSFEATUREHEADERS,0),MATCH($A712,CLASSNAMEHEADERS,0))),(INDEX(ALLCLASSDATA,MATCH("LightLegendary",CLASSFEATUREHEADERS,0),MATCH(($A712 &amp; "Points"),CLASSNAMEHEADERS,0))),(IF("13"=(INDEX(ALLCLASSDATA,MATCH("LightMaster",CLASSFEATUREHEADERS,0),MATCH($A712,CLASSNAMEHEADERS,0))),(INDEX(ALLCLASSDATA,MATCH("LightMaster",CLASSFEATUREHEADERS,0),MATCH(($A712 &amp; "Points"),CLASSNAMEHEADERS,0))),(IF("13"=(INDEX(ALLCLASSDATA,MATCH("LightExpert",CLASSFEATUREHEADERS,0),MATCH($A712,CLASSNAMEHEADERS,0))),(INDEX(ALLCLASSDATA,MATCH("LightExpert",CLASSFEATUREHEADERS,0),MATCH(($A712 &amp; "Points"),CLASSNAMEHEADERS,0))),(IF("13"=(INDEX(ALLCLASSDATA,MATCH("LightTrained",CLASSFEATUREHEADERS,0),MATCH($A712,CLASSNAMEHEADERS,0))),(INDEX(ALLCLASSDATA,MATCH("LightTrained",CLASSFEATUREHEADERS,0),MATCH(($A712 &amp; "Points"),CLASSNAMEHEADERS,0))),"")))))))))}</f>
        <v>LIGHTL13</v>
      </c>
      <c r="T711" s="223"/>
      <c r="U711" s="223" t="str">
        <f t="array" ref="U711:U712">{"LIGHTL15";((IF("15"=(INDEX(ALLCLASSDATA,MATCH("LightLegendary",CLASSFEATUREHEADERS,0),MATCH($A712,CLASSNAMEHEADERS,0))),(INDEX(ALLCLASSDATA,MATCH("LightLegendary",CLASSFEATUREHEADERS,0),MATCH(($A712 &amp; "Points"),CLASSNAMEHEADERS,0))),(IF("15"=(INDEX(ALLCLASSDATA,MATCH("LightMaster",CLASSFEATUREHEADERS,0),MATCH($A712,CLASSNAMEHEADERS,0))),(INDEX(ALLCLASSDATA,MATCH("LightMaster",CLASSFEATUREHEADERS,0),MATCH(($A712 &amp; "Points"),CLASSNAMEHEADERS,0))),(IF("15"=(INDEX(ALLCLASSDATA,MATCH("LightExpert",CLASSFEATUREHEADERS,0),MATCH($A712,CLASSNAMEHEADERS,0))),(INDEX(ALLCLASSDATA,MATCH("LightExpert",CLASSFEATUREHEADERS,0),MATCH(($A712 &amp; "Points"),CLASSNAMEHEADERS,0))),(IF("15"=(INDEX(ALLCLASSDATA,MATCH("LightTrained",CLASSFEATUREHEADERS,0),MATCH($A712,CLASSNAMEHEADERS,0))),(INDEX(ALLCLASSDATA,MATCH("LightTrained",CLASSFEATUREHEADERS,0),MATCH(($A712 &amp; "Points"),CLASSNAMEHEADERS,0))),"")))))))))}</f>
        <v>LIGHTL15</v>
      </c>
      <c r="V711" s="223"/>
      <c r="W711" s="223" t="str">
        <f t="array" ref="W711:W712">{"LIGHTL17";((IF("17"=(INDEX(ALLCLASSDATA,MATCH("LightLegendary",CLASSFEATUREHEADERS,0),MATCH($A712,CLASSNAMEHEADERS,0))),(INDEX(ALLCLASSDATA,MATCH("LightLegendary",CLASSFEATUREHEADERS,0),MATCH(($A712 &amp; "Points"),CLASSNAMEHEADERS,0))),(IF("17"=(INDEX(ALLCLASSDATA,MATCH("LightMaster",CLASSFEATUREHEADERS,0),MATCH($A712,CLASSNAMEHEADERS,0))),(INDEX(ALLCLASSDATA,MATCH("LightMaster",CLASSFEATUREHEADERS,0),MATCH(($A712 &amp; "Points"),CLASSNAMEHEADERS,0))),(IF("17"=(INDEX(ALLCLASSDATA,MATCH("LightExpert",CLASSFEATUREHEADERS,0),MATCH($A712,CLASSNAMEHEADERS,0))),(INDEX(ALLCLASSDATA,MATCH("LightExpert",CLASSFEATUREHEADERS,0),MATCH(($A712 &amp; "Points"),CLASSNAMEHEADERS,0))),(IF("17"=(INDEX(ALLCLASSDATA,MATCH("LightTrained",CLASSFEATUREHEADERS,0),MATCH($A712,CLASSNAMEHEADERS,0))),(INDEX(ALLCLASSDATA,MATCH("LightTrained",CLASSFEATUREHEADERS,0),MATCH(($A712 &amp; "Points"),CLASSNAMEHEADERS,0))),"")))))))))}</f>
        <v>LIGHTL17</v>
      </c>
      <c r="X711" s="223"/>
      <c r="Y711" s="223" t="str">
        <f t="array" ref="Y711:Y712">{"LIGHTL19";((IF("19"=(INDEX(ALLCLASSDATA,MATCH("LightLegendary",CLASSFEATUREHEADERS,0),MATCH($A712,CLASSNAMEHEADERS,0))),(INDEX(ALLCLASSDATA,MATCH("LightLegendary",CLASSFEATUREHEADERS,0),MATCH(($A712 &amp; "Points"),CLASSNAMEHEADERS,0))),(IF("19"=(INDEX(ALLCLASSDATA,MATCH("LightMaster",CLASSFEATUREHEADERS,0),MATCH($A712,CLASSNAMEHEADERS,0))),(INDEX(ALLCLASSDATA,MATCH("LightMaster",CLASSFEATUREHEADERS,0),MATCH(($A712 &amp; "Points"),CLASSNAMEHEADERS,0))),(IF("19"=(INDEX(ALLCLASSDATA,MATCH("LightExpert",CLASSFEATUREHEADERS,0),MATCH($A712,CLASSNAMEHEADERS,0))),(INDEX(ALLCLASSDATA,MATCH("LightExpert",CLASSFEATUREHEADERS,0),MATCH(($A712 &amp; "Points"),CLASSNAMEHEADERS,0))),(IF("19"=(INDEX(ALLCLASSDATA,MATCH("LightTrained",CLASSFEATUREHEADERS,0),MATCH($A712,CLASSNAMEHEADERS,0))),(INDEX(ALLCLASSDATA,MATCH("LightTrained",CLASSFEATUREHEADERS,0),MATCH(($A712 &amp; "Points"),CLASSNAMEHEADERS,0))),"")))))))))}</f>
        <v>LIGHTL19</v>
      </c>
      <c r="Z711" s="223"/>
      <c r="AA711" s="76" t="str">
        <f t="array" ref="AA711:AA712">{"LIGHT TOTAL";(IF(COUNTBLANK(F712:Z712)=17,"L",(IF(COUNTBLANK(F712:Z712)=18,"M",(IF(COUNTBLANK(F712:Z712)=19,"E",(IF(COUNTBLANK(F712:Z712)=20,"T",""))))))))}</f>
        <v>LIGHT TOTAL</v>
      </c>
      <c r="AB711" s="76" t="str">
        <f t="array" ref="AB711:AB712">{"LIGHT TOTAL";(sum(F712:Z712))}</f>
        <v>LIGHT TOTAL</v>
      </c>
    </row>
    <row r="712">
      <c r="A712" s="48" t="s">
        <v>223</v>
      </c>
      <c r="B712" s="48" t="s">
        <v>418</v>
      </c>
      <c r="C712" s="48" t="s">
        <v>1900</v>
      </c>
      <c r="D712" s="48" t="s">
        <v>77</v>
      </c>
      <c r="E712" s="5" t="s">
        <v>435</v>
      </c>
      <c r="F712" s="47" t="s">
        <v>603</v>
      </c>
      <c r="G712" s="5">
        <v>10.0</v>
      </c>
      <c r="H712" s="5"/>
      <c r="I712" s="5" t="s">
        <v>603</v>
      </c>
      <c r="J712" s="5"/>
      <c r="K712" s="5" t="s">
        <v>603</v>
      </c>
      <c r="L712" s="5"/>
      <c r="M712" s="5" t="s">
        <v>603</v>
      </c>
      <c r="N712" s="5"/>
      <c r="O712" s="5" t="s">
        <v>603</v>
      </c>
      <c r="P712" s="5"/>
      <c r="Q712" s="5" t="s">
        <v>603</v>
      </c>
      <c r="R712" s="5"/>
      <c r="S712" s="5">
        <v>50.0</v>
      </c>
      <c r="T712" s="5"/>
      <c r="U712" s="5" t="s">
        <v>603</v>
      </c>
      <c r="V712" s="5"/>
      <c r="W712" s="5" t="s">
        <v>603</v>
      </c>
      <c r="X712" s="5"/>
      <c r="Y712" s="5" t="s">
        <v>603</v>
      </c>
      <c r="Z712" s="5"/>
      <c r="AA712" s="5" t="s">
        <v>436</v>
      </c>
      <c r="AB712" s="47">
        <v>60.0</v>
      </c>
    </row>
    <row r="713" hidden="1">
      <c r="A713" s="222" t="str">
        <f t="array" ref="A713:A714">{"FormulaRow37";(INDEX(CLASSLIST,A640,1))}</f>
        <v>FormulaRow37</v>
      </c>
      <c r="B713" s="222" t="str">
        <f t="array" ref="B713:B714">{"CLASSTYPE";((INDEX(ALLCLASSDATA,MATCH("ClassType",CLASSFEATUREHEADERS,0),MATCH($A714,CLASSNAMEHEADERS,0))))}</f>
        <v>CLASSTYPE</v>
      </c>
      <c r="C713" s="222" t="str">
        <f t="array" ref="C713:C714">{"DEFENSE";"Defense"}</f>
        <v>DEFENSE</v>
      </c>
      <c r="D713" s="222" t="str">
        <f t="array" ref="D713:D714">{"MEDIUM";"Medium"}</f>
        <v>MEDIUM</v>
      </c>
      <c r="E713" s="223" t="str">
        <f t="array" ref="E713:E714">{"MEDIUMINITIAL";((IF(G714=10,"T",(IF(G714=50,"E","")))))}</f>
        <v>MEDIUMINITIAL</v>
      </c>
      <c r="F713" s="223" t="str">
        <f t="array" ref="F713:F714">{"MEDIUMINITIALPTS";((IF("00"=(INDEX(ALLCLASSDATA,MATCH("MediumLegendary",CLASSFEATUREHEADERS,0),MATCH($A714,CLASSNAMEHEADERS,0))),(INDEX(ALLCLASSDATA,MATCH("MediumLegendary",CLASSFEATUREHEADERS,0),MATCH(($A714 &amp; "Points"),CLASSNAMEHEADERS,0))),(IF("00"=(INDEX(ALLCLASSDATA,MATCH("MediumMaster",CLASSFEATUREHEADERS,0),MATCH($A714,CLASSNAMEHEADERS,0))),(INDEX(ALLCLASSDATA,MATCH("MediumMaster",CLASSFEATUREHEADERS,0),MATCH(($A714 &amp; "Points"),CLASSNAMEHEADERS,0))),(IF("00"=(INDEX(ALLCLASSDATA,MATCH("MediumExpert",CLASSFEATUREHEADERS,0),MATCH($A714,CLASSNAMEHEADERS,0))),(INDEX(ALLCLASSDATA,MATCH("MediumExpert",CLASSFEATUREHEADERS,0),MATCH(($A714 &amp; "Points"),CLASSNAMEHEADERS,0))),(IF("00"=(INDEX(ALLCLASSDATA,MATCH("MediumTrained",CLASSFEATUREHEADERS,0),MATCH($A714,CLASSNAMEHEADERS,0))),(INDEX(ALLCLASSDATA,MATCH("MediumTrained",CLASSFEATUREHEADERS,0),MATCH(($A714 &amp; "Points"),CLASSNAMEHEADERS,0))),"")))))))))}</f>
        <v>MEDIUMINITIALPTS</v>
      </c>
      <c r="G713" s="223" t="str">
        <f t="array" ref="G713:G714">{"MEDIUML01";((IF("01"=(INDEX(ALLCLASSDATA,MATCH("MediumLegendary",CLASSFEATUREHEADERS,0),MATCH($A714,CLASSNAMEHEADERS,0))),(INDEX(ALLCLASSDATA,MATCH("MediumLegendary",CLASSFEATUREHEADERS,0),MATCH(($A714 &amp; "Points"),CLASSNAMEHEADERS,0))),(IF("01"=(INDEX(ALLCLASSDATA,MATCH("MediumMaster",CLASSFEATUREHEADERS,0),MATCH($A714,CLASSNAMEHEADERS,0))),(INDEX(ALLCLASSDATA,MATCH("MediumMaster",CLASSFEATUREHEADERS,0),MATCH(($A714 &amp; "Points"),CLASSNAMEHEADERS,0))),(IF("01"=(INDEX(ALLCLASSDATA,MATCH("MediumExpert",CLASSFEATUREHEADERS,0),MATCH($A714,CLASSNAMEHEADERS,0))),(INDEX(ALLCLASSDATA,MATCH("MediumExpert",CLASSFEATUREHEADERS,0),MATCH(($A714 &amp; "Points"),CLASSNAMEHEADERS,0))),(IF("01"=(INDEX(ALLCLASSDATA,MATCH("MediumTrained",CLASSFEATUREHEADERS,0),MATCH($A714,CLASSNAMEHEADERS,0))),(INDEX(ALLCLASSDATA,MATCH("MediumTrained",CLASSFEATUREHEADERS,0),MATCH(($A714 &amp; "Points"),CLASSNAMEHEADERS,0))),"")))))))))}</f>
        <v>MEDIUML01</v>
      </c>
      <c r="H713" s="223"/>
      <c r="I713" s="223" t="str">
        <f t="array" ref="I713:I714">{"MEDIUML03";((IF("03"=(INDEX(ALLCLASSDATA,MATCH("MediumLegendary",CLASSFEATUREHEADERS,0),MATCH($A714,CLASSNAMEHEADERS,0))),(INDEX(ALLCLASSDATA,MATCH("MediumLegendary",CLASSFEATUREHEADERS,0),MATCH(($A714 &amp; "Points"),CLASSNAMEHEADERS,0))),(IF("03"=(INDEX(ALLCLASSDATA,MATCH("MediumMaster",CLASSFEATUREHEADERS,0),MATCH($A714,CLASSNAMEHEADERS,0))),(INDEX(ALLCLASSDATA,MATCH("MediumMaster",CLASSFEATUREHEADERS,0),MATCH(($A714 &amp; "Points"),CLASSNAMEHEADERS,0))),(IF("03"=(INDEX(ALLCLASSDATA,MATCH("MediumExpert",CLASSFEATUREHEADERS,0),MATCH($A714,CLASSNAMEHEADERS,0))),(INDEX(ALLCLASSDATA,MATCH("MediumExpert",CLASSFEATUREHEADERS,0),MATCH(($A714 &amp; "Points"),CLASSNAMEHEADERS,0))),(IF("03"=(INDEX(ALLCLASSDATA,MATCH("MediumTrained",CLASSFEATUREHEADERS,0),MATCH($A714,CLASSNAMEHEADERS,0))),(INDEX(ALLCLASSDATA,MATCH("MediumTrained",CLASSFEATUREHEADERS,0),MATCH(($A714 &amp; "Points"),CLASSNAMEHEADERS,0))),"")))))))))}</f>
        <v>MEDIUML03</v>
      </c>
      <c r="J713" s="223"/>
      <c r="K713" s="223" t="str">
        <f t="array" ref="K713:K714">{"MEDIUML05";((IF("05"=(INDEX(ALLCLASSDATA,MATCH("MediumLegendary",CLASSFEATUREHEADERS,0),MATCH($A714,CLASSNAMEHEADERS,0))),(INDEX(ALLCLASSDATA,MATCH("MediumLegendary",CLASSFEATUREHEADERS,0),MATCH(($A714 &amp; "Points"),CLASSNAMEHEADERS,0))),(IF("05"=(INDEX(ALLCLASSDATA,MATCH("MediumMaster",CLASSFEATUREHEADERS,0),MATCH($A714,CLASSNAMEHEADERS,0))),(INDEX(ALLCLASSDATA,MATCH("MediumMaster",CLASSFEATUREHEADERS,0),MATCH(($A714 &amp; "Points"),CLASSNAMEHEADERS,0))),(IF("05"=(INDEX(ALLCLASSDATA,MATCH("MediumExpert",CLASSFEATUREHEADERS,0),MATCH($A714,CLASSNAMEHEADERS,0))),(INDEX(ALLCLASSDATA,MATCH("MediumExpert",CLASSFEATUREHEADERS,0),MATCH(($A714 &amp; "Points"),CLASSNAMEHEADERS,0))),(IF("05"=(INDEX(ALLCLASSDATA,MATCH("MediumTrained",CLASSFEATUREHEADERS,0),MATCH($A714,CLASSNAMEHEADERS,0))),(INDEX(ALLCLASSDATA,MATCH("MediumTrained",CLASSFEATUREHEADERS,0),MATCH(($A714 &amp; "Points"),CLASSNAMEHEADERS,0))),"")))))))))}</f>
        <v>MEDIUML05</v>
      </c>
      <c r="L713" s="223"/>
      <c r="M713" s="223" t="str">
        <f t="array" ref="M713:M714">{"MEDIUML07";((IF("07"=(INDEX(ALLCLASSDATA,MATCH("MediumLegendary",CLASSFEATUREHEADERS,0),MATCH($A714,CLASSNAMEHEADERS,0))),(INDEX(ALLCLASSDATA,MATCH("MediumLegendary",CLASSFEATUREHEADERS,0),MATCH(($A714 &amp; "Points"),CLASSNAMEHEADERS,0))),(IF("07"=(INDEX(ALLCLASSDATA,MATCH("MediumMaster",CLASSFEATUREHEADERS,0),MATCH($A714,CLASSNAMEHEADERS,0))),(INDEX(ALLCLASSDATA,MATCH("MediumMaster",CLASSFEATUREHEADERS,0),MATCH(($A714 &amp; "Points"),CLASSNAMEHEADERS,0))),(IF("07"=(INDEX(ALLCLASSDATA,MATCH("MediumExpert",CLASSFEATUREHEADERS,0),MATCH($A714,CLASSNAMEHEADERS,0))),(INDEX(ALLCLASSDATA,MATCH("MediumExpert",CLASSFEATUREHEADERS,0),MATCH(($A714 &amp; "Points"),CLASSNAMEHEADERS,0))),(IF("07"=(INDEX(ALLCLASSDATA,MATCH("MediumTrained",CLASSFEATUREHEADERS,0),MATCH($A714,CLASSNAMEHEADERS,0))),(INDEX(ALLCLASSDATA,MATCH("MediumTrained",CLASSFEATUREHEADERS,0),MATCH(($A714 &amp; "Points"),CLASSNAMEHEADERS,0))),"")))))))))}</f>
        <v>MEDIUML07</v>
      </c>
      <c r="N713" s="223"/>
      <c r="O713" s="223" t="str">
        <f t="array" ref="O713:O714">{"MEDIUML09";((IF("09"=(INDEX(ALLCLASSDATA,MATCH("MediumLegendary",CLASSFEATUREHEADERS,0),MATCH($A714,CLASSNAMEHEADERS,0))),(INDEX(ALLCLASSDATA,MATCH("MediumLegendary",CLASSFEATUREHEADERS,0),MATCH(($A714 &amp; "Points"),CLASSNAMEHEADERS,0))),(IF("09"=(INDEX(ALLCLASSDATA,MATCH("MediumMaster",CLASSFEATUREHEADERS,0),MATCH($A714,CLASSNAMEHEADERS,0))),(INDEX(ALLCLASSDATA,MATCH("MediumMaster",CLASSFEATUREHEADERS,0),MATCH(($A714 &amp; "Points"),CLASSNAMEHEADERS,0))),(IF("09"=(INDEX(ALLCLASSDATA,MATCH("MediumExpert",CLASSFEATUREHEADERS,0),MATCH($A714,CLASSNAMEHEADERS,0))),(INDEX(ALLCLASSDATA,MATCH("MediumExpert",CLASSFEATUREHEADERS,0),MATCH(($A714 &amp; "Points"),CLASSNAMEHEADERS,0))),(IF("09"=(INDEX(ALLCLASSDATA,MATCH("MediumTrained",CLASSFEATUREHEADERS,0),MATCH($A714,CLASSNAMEHEADERS,0))),(INDEX(ALLCLASSDATA,MATCH("MediumTrained",CLASSFEATUREHEADERS,0),MATCH(($A714 &amp; "Points"),CLASSNAMEHEADERS,0))),"")))))))))}</f>
        <v>MEDIUML09</v>
      </c>
      <c r="P713" s="223"/>
      <c r="Q713" s="223" t="str">
        <f t="array" ref="Q713:Q714">{"MEDIUML11";((IF("11"=(INDEX(ALLCLASSDATA,MATCH("MediumLegendary",CLASSFEATUREHEADERS,0),MATCH($A714,CLASSNAMEHEADERS,0))),(INDEX(ALLCLASSDATA,MATCH("MediumLegendary",CLASSFEATUREHEADERS,0),MATCH(($A714 &amp; "Points"),CLASSNAMEHEADERS,0))),(IF("11"=(INDEX(ALLCLASSDATA,MATCH("MediumMaster",CLASSFEATUREHEADERS,0),MATCH($A714,CLASSNAMEHEADERS,0))),(INDEX(ALLCLASSDATA,MATCH("MediumMaster",CLASSFEATUREHEADERS,0),MATCH(($A714 &amp; "Points"),CLASSNAMEHEADERS,0))),(IF("11"=(INDEX(ALLCLASSDATA,MATCH("MediumExpert",CLASSFEATUREHEADERS,0),MATCH($A714,CLASSNAMEHEADERS,0))),(INDEX(ALLCLASSDATA,MATCH("MediumExpert",CLASSFEATUREHEADERS,0),MATCH(($A714 &amp; "Points"),CLASSNAMEHEADERS,0))),(IF("11"=(INDEX(ALLCLASSDATA,MATCH("MediumTrained",CLASSFEATUREHEADERS,0),MATCH($A714,CLASSNAMEHEADERS,0))),(INDEX(ALLCLASSDATA,MATCH("MediumTrained",CLASSFEATUREHEADERS,0),MATCH(($A714 &amp; "Points"),CLASSNAMEHEADERS,0))),"")))))))))}</f>
        <v>MEDIUML11</v>
      </c>
      <c r="R713" s="223"/>
      <c r="S713" s="223" t="str">
        <f t="array" ref="S713:S714">{"MEDIUML13";((IF("13"=(INDEX(ALLCLASSDATA,MATCH("MediumLegendary",CLASSFEATUREHEADERS,0),MATCH($A714,CLASSNAMEHEADERS,0))),(INDEX(ALLCLASSDATA,MATCH("MediumLegendary",CLASSFEATUREHEADERS,0),MATCH(($A714 &amp; "Points"),CLASSNAMEHEADERS,0))),(IF("13"=(INDEX(ALLCLASSDATA,MATCH("MediumMaster",CLASSFEATUREHEADERS,0),MATCH($A714,CLASSNAMEHEADERS,0))),(INDEX(ALLCLASSDATA,MATCH("MediumMaster",CLASSFEATUREHEADERS,0),MATCH(($A714 &amp; "Points"),CLASSNAMEHEADERS,0))),(IF("13"=(INDEX(ALLCLASSDATA,MATCH("MediumExpert",CLASSFEATUREHEADERS,0),MATCH($A714,CLASSNAMEHEADERS,0))),(INDEX(ALLCLASSDATA,MATCH("MediumExpert",CLASSFEATUREHEADERS,0),MATCH(($A714 &amp; "Points"),CLASSNAMEHEADERS,0))),(IF("13"=(INDEX(ALLCLASSDATA,MATCH("MediumTrained",CLASSFEATUREHEADERS,0),MATCH($A714,CLASSNAMEHEADERS,0))),(INDEX(ALLCLASSDATA,MATCH("MediumTrained",CLASSFEATUREHEADERS,0),MATCH(($A714 &amp; "Points"),CLASSNAMEHEADERS,0))),"")))))))))}</f>
        <v>MEDIUML13</v>
      </c>
      <c r="T713" s="223"/>
      <c r="U713" s="223" t="str">
        <f t="array" ref="U713:U714">{"MEDIUML15";((IF("15"=(INDEX(ALLCLASSDATA,MATCH("MediumLegendary",CLASSFEATUREHEADERS,0),MATCH($A714,CLASSNAMEHEADERS,0))),(INDEX(ALLCLASSDATA,MATCH("MediumLegendary",CLASSFEATUREHEADERS,0),MATCH(($A714 &amp; "Points"),CLASSNAMEHEADERS,0))),(IF("15"=(INDEX(ALLCLASSDATA,MATCH("MediumMaster",CLASSFEATUREHEADERS,0),MATCH($A714,CLASSNAMEHEADERS,0))),(INDEX(ALLCLASSDATA,MATCH("MediumMaster",CLASSFEATUREHEADERS,0),MATCH(($A714 &amp; "Points"),CLASSNAMEHEADERS,0))),(IF("15"=(INDEX(ALLCLASSDATA,MATCH("MediumExpert",CLASSFEATUREHEADERS,0),MATCH($A714,CLASSNAMEHEADERS,0))),(INDEX(ALLCLASSDATA,MATCH("MediumExpert",CLASSFEATUREHEADERS,0),MATCH(($A714 &amp; "Points"),CLASSNAMEHEADERS,0))),(IF("15"=(INDEX(ALLCLASSDATA,MATCH("MediumTrained",CLASSFEATUREHEADERS,0),MATCH($A714,CLASSNAMEHEADERS,0))),(INDEX(ALLCLASSDATA,MATCH("MediumTrained",CLASSFEATUREHEADERS,0),MATCH(($A714 &amp; "Points"),CLASSNAMEHEADERS,0))),"")))))))))}</f>
        <v>MEDIUML15</v>
      </c>
      <c r="V713" s="223"/>
      <c r="W713" s="223" t="str">
        <f t="array" ref="W713:W714">{"MEDIUML17";((IF("17"=(INDEX(ALLCLASSDATA,MATCH("MediumLegendary",CLASSFEATUREHEADERS,0),MATCH($A714,CLASSNAMEHEADERS,0))),(INDEX(ALLCLASSDATA,MATCH("MediumLegendary",CLASSFEATUREHEADERS,0),MATCH(($A714 &amp; "Points"),CLASSNAMEHEADERS,0))),(IF("17"=(INDEX(ALLCLASSDATA,MATCH("MediumMaster",CLASSFEATUREHEADERS,0),MATCH($A714,CLASSNAMEHEADERS,0))),(INDEX(ALLCLASSDATA,MATCH("MediumMaster",CLASSFEATUREHEADERS,0),MATCH(($A714 &amp; "Points"),CLASSNAMEHEADERS,0))),(IF("17"=(INDEX(ALLCLASSDATA,MATCH("MediumExpert",CLASSFEATUREHEADERS,0),MATCH($A714,CLASSNAMEHEADERS,0))),(INDEX(ALLCLASSDATA,MATCH("MediumExpert",CLASSFEATUREHEADERS,0),MATCH(($A714 &amp; "Points"),CLASSNAMEHEADERS,0))),(IF("17"=(INDEX(ALLCLASSDATA,MATCH("MediumTrained",CLASSFEATUREHEADERS,0),MATCH($A714,CLASSNAMEHEADERS,0))),(INDEX(ALLCLASSDATA,MATCH("MediumTrained",CLASSFEATUREHEADERS,0),MATCH(($A714 &amp; "Points"),CLASSNAMEHEADERS,0))),"")))))))))}</f>
        <v>MEDIUML17</v>
      </c>
      <c r="X713" s="223"/>
      <c r="Y713" s="223" t="str">
        <f t="array" ref="Y713:Y714">{"MEDIUML19";((IF("19"=(INDEX(ALLCLASSDATA,MATCH("MediumLegendary",CLASSFEATUREHEADERS,0),MATCH($A714,CLASSNAMEHEADERS,0))),(INDEX(ALLCLASSDATA,MATCH("MediumLegendary",CLASSFEATUREHEADERS,0),MATCH(($A714 &amp; "Points"),CLASSNAMEHEADERS,0))),(IF("19"=(INDEX(ALLCLASSDATA,MATCH("MediumMaster",CLASSFEATUREHEADERS,0),MATCH($A714,CLASSNAMEHEADERS,0))),(INDEX(ALLCLASSDATA,MATCH("MediumMaster",CLASSFEATUREHEADERS,0),MATCH(($A714 &amp; "Points"),CLASSNAMEHEADERS,0))),(IF("19"=(INDEX(ALLCLASSDATA,MATCH("MediumExpert",CLASSFEATUREHEADERS,0),MATCH($A714,CLASSNAMEHEADERS,0))),(INDEX(ALLCLASSDATA,MATCH("MediumExpert",CLASSFEATUREHEADERS,0),MATCH(($A714 &amp; "Points"),CLASSNAMEHEADERS,0))),(IF("19"=(INDEX(ALLCLASSDATA,MATCH("MediumTrained",CLASSFEATUREHEADERS,0),MATCH($A714,CLASSNAMEHEADERS,0))),(INDEX(ALLCLASSDATA,MATCH("MediumTrained",CLASSFEATUREHEADERS,0),MATCH(($A714 &amp; "Points"),CLASSNAMEHEADERS,0))),"")))))))))}</f>
        <v>MEDIUML19</v>
      </c>
      <c r="Z713" s="223"/>
      <c r="AA713" s="76" t="str">
        <f t="array" ref="AA713:AA714">{"MEDIUM TOTAL";(IF(COUNTBLANK(F714:Z714)=17,"L",(IF(COUNTBLANK(F714:Z714)=18,"M",(IF(COUNTBLANK(F714:Z714)=19,"E",(IF(COUNTBLANK(F714:Z714)=20,"T",""))))))))}</f>
        <v>MEDIUM TOTAL</v>
      </c>
      <c r="AB713" s="76" t="str">
        <f t="array" ref="AB713:AB714">{"MEDIUM TOTAL";(sum(F714:Z714))}</f>
        <v>MEDIUM TOTAL</v>
      </c>
    </row>
    <row r="714">
      <c r="A714" s="48" t="s">
        <v>223</v>
      </c>
      <c r="B714" s="48" t="s">
        <v>418</v>
      </c>
      <c r="C714" s="48" t="s">
        <v>1900</v>
      </c>
      <c r="D714" s="48" t="s">
        <v>76</v>
      </c>
      <c r="E714" s="5" t="s">
        <v>603</v>
      </c>
      <c r="F714" s="47" t="s">
        <v>603</v>
      </c>
      <c r="G714" s="5" t="s">
        <v>603</v>
      </c>
      <c r="H714" s="5"/>
      <c r="I714" s="5" t="s">
        <v>603</v>
      </c>
      <c r="J714" s="5"/>
      <c r="K714" s="5" t="s">
        <v>603</v>
      </c>
      <c r="L714" s="5"/>
      <c r="M714" s="5" t="s">
        <v>603</v>
      </c>
      <c r="N714" s="5"/>
      <c r="O714" s="5" t="s">
        <v>603</v>
      </c>
      <c r="P714" s="5"/>
      <c r="Q714" s="5" t="s">
        <v>603</v>
      </c>
      <c r="R714" s="5"/>
      <c r="S714" s="5" t="s">
        <v>603</v>
      </c>
      <c r="T714" s="5"/>
      <c r="U714" s="5" t="s">
        <v>603</v>
      </c>
      <c r="V714" s="5"/>
      <c r="W714" s="5" t="s">
        <v>603</v>
      </c>
      <c r="X714" s="5"/>
      <c r="Y714" s="5" t="s">
        <v>603</v>
      </c>
      <c r="Z714" s="5"/>
      <c r="AA714" s="5" t="s">
        <v>603</v>
      </c>
      <c r="AB714" s="47">
        <v>0.0</v>
      </c>
    </row>
    <row r="715" hidden="1">
      <c r="A715" s="222" t="str">
        <f t="array" ref="A715:A716">{"FormulaRow38";(INDEX(CLASSLIST,A640,1))}</f>
        <v>FormulaRow38</v>
      </c>
      <c r="B715" s="222" t="str">
        <f t="array" ref="B715:B716">{"CLASSTYPE";((INDEX(ALLCLASSDATA,MATCH("ClassType",CLASSFEATUREHEADERS,0),MATCH($A716,CLASSNAMEHEADERS,0))))}</f>
        <v>CLASSTYPE</v>
      </c>
      <c r="C715" s="222" t="str">
        <f t="array" ref="C715:C716">{"DEFENSE";"Defense"}</f>
        <v>DEFENSE</v>
      </c>
      <c r="D715" s="222" t="str">
        <f t="array" ref="D715:D716">{"HEAVY";"Heavy"}</f>
        <v>HEAVY</v>
      </c>
      <c r="E715" s="223" t="str">
        <f t="array" ref="E715:E716">{"HEAVYINITIAL";((IF(G716=10,"T",(IF(G716=50,"E","")))))}</f>
        <v>HEAVYINITIAL</v>
      </c>
      <c r="F715" s="223" t="str">
        <f t="array" ref="F715:F716">{"HEAVYINITIALPTS";((IF("00"=(INDEX(ALLCLASSDATA,MATCH("HeavyLegendary",CLASSFEATUREHEADERS,0),MATCH($A716,CLASSNAMEHEADERS,0))),(INDEX(ALLCLASSDATA,MATCH("HeavyLegendary",CLASSFEATUREHEADERS,0),MATCH(($A716 &amp; "Points"),CLASSNAMEHEADERS,0))),(IF("00"=(INDEX(ALLCLASSDATA,MATCH("HeavyMaster",CLASSFEATUREHEADERS,0),MATCH($A716,CLASSNAMEHEADERS,0))),(INDEX(ALLCLASSDATA,MATCH("HeavyMaster",CLASSFEATUREHEADERS,0),MATCH(($A716 &amp; "Points"),CLASSNAMEHEADERS,0))),(IF("00"=(INDEX(ALLCLASSDATA,MATCH("HeavyExpert",CLASSFEATUREHEADERS,0),MATCH($A716,CLASSNAMEHEADERS,0))),(INDEX(ALLCLASSDATA,MATCH("HeavyExpert",CLASSFEATUREHEADERS,0),MATCH(($A716 &amp; "Points"),CLASSNAMEHEADERS,0))),(IF("00"=(INDEX(ALLCLASSDATA,MATCH("HeavyTrained",CLASSFEATUREHEADERS,0),MATCH($A716,CLASSNAMEHEADERS,0))),(INDEX(ALLCLASSDATA,MATCH("HeavyTrained",CLASSFEATUREHEADERS,0),MATCH(($A716 &amp; "Points"),CLASSNAMEHEADERS,0))),"")))))))))}</f>
        <v>HEAVYINITIALPTS</v>
      </c>
      <c r="G715" s="223" t="str">
        <f t="array" ref="G715:G716">{"HEAVYL01";((IF("01"=(INDEX(ALLCLASSDATA,MATCH("HeavyLegendary",CLASSFEATUREHEADERS,0),MATCH($A716,CLASSNAMEHEADERS,0))),(INDEX(ALLCLASSDATA,MATCH("HeavyLegendary",CLASSFEATUREHEADERS,0),MATCH(($A716 &amp; "Points"),CLASSNAMEHEADERS,0))),(IF("01"=(INDEX(ALLCLASSDATA,MATCH("HeavyMaster",CLASSFEATUREHEADERS,0),MATCH($A716,CLASSNAMEHEADERS,0))),(INDEX(ALLCLASSDATA,MATCH("HeavyMaster",CLASSFEATUREHEADERS,0),MATCH(($A716 &amp; "Points"),CLASSNAMEHEADERS,0))),(IF("01"=(INDEX(ALLCLASSDATA,MATCH("HeavyExpert",CLASSFEATUREHEADERS,0),MATCH($A716,CLASSNAMEHEADERS,0))),(INDEX(ALLCLASSDATA,MATCH("HeavyExpert",CLASSFEATUREHEADERS,0),MATCH(($A716 &amp; "Points"),CLASSNAMEHEADERS,0))),(IF("01"=(INDEX(ALLCLASSDATA,MATCH("HeavyTrained",CLASSFEATUREHEADERS,0),MATCH($A716,CLASSNAMEHEADERS,0))),(INDEX(ALLCLASSDATA,MATCH("HeavyTrained",CLASSFEATUREHEADERS,0),MATCH(($A716 &amp; "Points"),CLASSNAMEHEADERS,0))),"")))))))))}</f>
        <v>HEAVYL01</v>
      </c>
      <c r="H715" s="223"/>
      <c r="I715" s="223" t="str">
        <f t="array" ref="I715:I716">{"HEAVYL03";((IF("03"=(INDEX(ALLCLASSDATA,MATCH("HeavyLegendary",CLASSFEATUREHEADERS,0),MATCH($A716,CLASSNAMEHEADERS,0))),(INDEX(ALLCLASSDATA,MATCH("HeavyLegendary",CLASSFEATUREHEADERS,0),MATCH(($A716 &amp; "Points"),CLASSNAMEHEADERS,0))),(IF("03"=(INDEX(ALLCLASSDATA,MATCH("HeavyMaster",CLASSFEATUREHEADERS,0),MATCH($A716,CLASSNAMEHEADERS,0))),(INDEX(ALLCLASSDATA,MATCH("HeavyMaster",CLASSFEATUREHEADERS,0),MATCH(($A716 &amp; "Points"),CLASSNAMEHEADERS,0))),(IF("03"=(INDEX(ALLCLASSDATA,MATCH("HeavyExpert",CLASSFEATUREHEADERS,0),MATCH($A716,CLASSNAMEHEADERS,0))),(INDEX(ALLCLASSDATA,MATCH("HeavyExpert",CLASSFEATUREHEADERS,0),MATCH(($A716 &amp; "Points"),CLASSNAMEHEADERS,0))),(IF("03"=(INDEX(ALLCLASSDATA,MATCH("HeavyTrained",CLASSFEATUREHEADERS,0),MATCH($A716,CLASSNAMEHEADERS,0))),(INDEX(ALLCLASSDATA,MATCH("HeavyTrained",CLASSFEATUREHEADERS,0),MATCH(($A716 &amp; "Points"),CLASSNAMEHEADERS,0))),"")))))))))}</f>
        <v>HEAVYL03</v>
      </c>
      <c r="J715" s="223"/>
      <c r="K715" s="223" t="str">
        <f t="array" ref="K715:K716">{"HEAVYL05";((IF("05"=(INDEX(ALLCLASSDATA,MATCH("HeavyLegendary",CLASSFEATUREHEADERS,0),MATCH($A716,CLASSNAMEHEADERS,0))),(INDEX(ALLCLASSDATA,MATCH("HeavyLegendary",CLASSFEATUREHEADERS,0),MATCH(($A716 &amp; "Points"),CLASSNAMEHEADERS,0))),(IF("05"=(INDEX(ALLCLASSDATA,MATCH("HeavyMaster",CLASSFEATUREHEADERS,0),MATCH($A716,CLASSNAMEHEADERS,0))),(INDEX(ALLCLASSDATA,MATCH("HeavyMaster",CLASSFEATUREHEADERS,0),MATCH(($A716 &amp; "Points"),CLASSNAMEHEADERS,0))),(IF("05"=(INDEX(ALLCLASSDATA,MATCH("HeavyExpert",CLASSFEATUREHEADERS,0),MATCH($A716,CLASSNAMEHEADERS,0))),(INDEX(ALLCLASSDATA,MATCH("HeavyExpert",CLASSFEATUREHEADERS,0),MATCH(($A716 &amp; "Points"),CLASSNAMEHEADERS,0))),(IF("05"=(INDEX(ALLCLASSDATA,MATCH("HeavyTrained",CLASSFEATUREHEADERS,0),MATCH($A716,CLASSNAMEHEADERS,0))),(INDEX(ALLCLASSDATA,MATCH("HeavyTrained",CLASSFEATUREHEADERS,0),MATCH(($A716 &amp; "Points"),CLASSNAMEHEADERS,0))),"")))))))))}</f>
        <v>HEAVYL05</v>
      </c>
      <c r="L715" s="223"/>
      <c r="M715" s="223" t="str">
        <f t="array" ref="M715:M716">{"HEAVYL07";((IF("07"=(INDEX(ALLCLASSDATA,MATCH("HeavyLegendary",CLASSFEATUREHEADERS,0),MATCH($A716,CLASSNAMEHEADERS,0))),(INDEX(ALLCLASSDATA,MATCH("HeavyLegendary",CLASSFEATUREHEADERS,0),MATCH(($A716 &amp; "Points"),CLASSNAMEHEADERS,0))),(IF("07"=(INDEX(ALLCLASSDATA,MATCH("HeavyMaster",CLASSFEATUREHEADERS,0),MATCH($A716,CLASSNAMEHEADERS,0))),(INDEX(ALLCLASSDATA,MATCH("HeavyMaster",CLASSFEATUREHEADERS,0),MATCH(($A716 &amp; "Points"),CLASSNAMEHEADERS,0))),(IF("07"=(INDEX(ALLCLASSDATA,MATCH("HeavyExpert",CLASSFEATUREHEADERS,0),MATCH($A716,CLASSNAMEHEADERS,0))),(INDEX(ALLCLASSDATA,MATCH("HeavyExpert",CLASSFEATUREHEADERS,0),MATCH(($A716 &amp; "Points"),CLASSNAMEHEADERS,0))),(IF("07"=(INDEX(ALLCLASSDATA,MATCH("HeavyTrained",CLASSFEATUREHEADERS,0),MATCH($A716,CLASSNAMEHEADERS,0))),(INDEX(ALLCLASSDATA,MATCH("HeavyTrained",CLASSFEATUREHEADERS,0),MATCH(($A716 &amp; "Points"),CLASSNAMEHEADERS,0))),"")))))))))}</f>
        <v>HEAVYL07</v>
      </c>
      <c r="N715" s="223"/>
      <c r="O715" s="223" t="str">
        <f t="array" ref="O715:O716">{"HEAVYL09";((IF("09"=(INDEX(ALLCLASSDATA,MATCH("HeavyLegendary",CLASSFEATUREHEADERS,0),MATCH($A716,CLASSNAMEHEADERS,0))),(INDEX(ALLCLASSDATA,MATCH("HeavyLegendary",CLASSFEATUREHEADERS,0),MATCH(($A716 &amp; "Points"),CLASSNAMEHEADERS,0))),(IF("09"=(INDEX(ALLCLASSDATA,MATCH("HeavyMaster",CLASSFEATUREHEADERS,0),MATCH($A716,CLASSNAMEHEADERS,0))),(INDEX(ALLCLASSDATA,MATCH("HeavyMaster",CLASSFEATUREHEADERS,0),MATCH(($A716 &amp; "Points"),CLASSNAMEHEADERS,0))),(IF("09"=(INDEX(ALLCLASSDATA,MATCH("HeavyExpert",CLASSFEATUREHEADERS,0),MATCH($A716,CLASSNAMEHEADERS,0))),(INDEX(ALLCLASSDATA,MATCH("HeavyExpert",CLASSFEATUREHEADERS,0),MATCH(($A716 &amp; "Points"),CLASSNAMEHEADERS,0))),(IF("09"=(INDEX(ALLCLASSDATA,MATCH("HeavyTrained",CLASSFEATUREHEADERS,0),MATCH($A716,CLASSNAMEHEADERS,0))),(INDEX(ALLCLASSDATA,MATCH("HeavyTrained",CLASSFEATUREHEADERS,0),MATCH(($A716 &amp; "Points"),CLASSNAMEHEADERS,0))),"")))))))))}</f>
        <v>HEAVYL09</v>
      </c>
      <c r="P715" s="223"/>
      <c r="Q715" s="223" t="str">
        <f t="array" ref="Q715:Q716">{"HEAVYL11";((IF("11"=(INDEX(ALLCLASSDATA,MATCH("HeavyLegendary",CLASSFEATUREHEADERS,0),MATCH($A716,CLASSNAMEHEADERS,0))),(INDEX(ALLCLASSDATA,MATCH("HeavyLegendary",CLASSFEATUREHEADERS,0),MATCH(($A716 &amp; "Points"),CLASSNAMEHEADERS,0))),(IF("11"=(INDEX(ALLCLASSDATA,MATCH("HeavyMaster",CLASSFEATUREHEADERS,0),MATCH($A716,CLASSNAMEHEADERS,0))),(INDEX(ALLCLASSDATA,MATCH("HeavyMaster",CLASSFEATUREHEADERS,0),MATCH(($A716 &amp; "Points"),CLASSNAMEHEADERS,0))),(IF("11"=(INDEX(ALLCLASSDATA,MATCH("HeavyExpert",CLASSFEATUREHEADERS,0),MATCH($A716,CLASSNAMEHEADERS,0))),(INDEX(ALLCLASSDATA,MATCH("HeavyExpert",CLASSFEATUREHEADERS,0),MATCH(($A716 &amp; "Points"),CLASSNAMEHEADERS,0))),(IF("11"=(INDEX(ALLCLASSDATA,MATCH("HeavyTrained",CLASSFEATUREHEADERS,0),MATCH($A716,CLASSNAMEHEADERS,0))),(INDEX(ALLCLASSDATA,MATCH("HeavyTrained",CLASSFEATUREHEADERS,0),MATCH(($A716 &amp; "Points"),CLASSNAMEHEADERS,0))),"")))))))))}</f>
        <v>HEAVYL11</v>
      </c>
      <c r="R715" s="223"/>
      <c r="S715" s="223" t="str">
        <f t="array" ref="S715:S716">{"HEAVYL13";((IF("13"=(INDEX(ALLCLASSDATA,MATCH("HeavyLegendary",CLASSFEATUREHEADERS,0),MATCH($A716,CLASSNAMEHEADERS,0))),(INDEX(ALLCLASSDATA,MATCH("HeavyLegendary",CLASSFEATUREHEADERS,0),MATCH(($A716 &amp; "Points"),CLASSNAMEHEADERS,0))),(IF("13"=(INDEX(ALLCLASSDATA,MATCH("HeavyMaster",CLASSFEATUREHEADERS,0),MATCH($A716,CLASSNAMEHEADERS,0))),(INDEX(ALLCLASSDATA,MATCH("HeavyMaster",CLASSFEATUREHEADERS,0),MATCH(($A716 &amp; "Points"),CLASSNAMEHEADERS,0))),(IF("13"=(INDEX(ALLCLASSDATA,MATCH("HeavyExpert",CLASSFEATUREHEADERS,0),MATCH($A716,CLASSNAMEHEADERS,0))),(INDEX(ALLCLASSDATA,MATCH("HeavyExpert",CLASSFEATUREHEADERS,0),MATCH(($A716 &amp; "Points"),CLASSNAMEHEADERS,0))),(IF("13"=(INDEX(ALLCLASSDATA,MATCH("HeavyTrained",CLASSFEATUREHEADERS,0),MATCH($A716,CLASSNAMEHEADERS,0))),(INDEX(ALLCLASSDATA,MATCH("HeavyTrained",CLASSFEATUREHEADERS,0),MATCH(($A716 &amp; "Points"),CLASSNAMEHEADERS,0))),"")))))))))}</f>
        <v>HEAVYL13</v>
      </c>
      <c r="T715" s="223"/>
      <c r="U715" s="223" t="str">
        <f t="array" ref="U715:U716">{"HEAVYL15";((IF("15"=(INDEX(ALLCLASSDATA,MATCH("HeavyLegendary",CLASSFEATUREHEADERS,0),MATCH($A716,CLASSNAMEHEADERS,0))),(INDEX(ALLCLASSDATA,MATCH("HeavyLegendary",CLASSFEATUREHEADERS,0),MATCH(($A716 &amp; "Points"),CLASSNAMEHEADERS,0))),(IF("15"=(INDEX(ALLCLASSDATA,MATCH("HeavyMaster",CLASSFEATUREHEADERS,0),MATCH($A716,CLASSNAMEHEADERS,0))),(INDEX(ALLCLASSDATA,MATCH("HeavyMaster",CLASSFEATUREHEADERS,0),MATCH(($A716 &amp; "Points"),CLASSNAMEHEADERS,0))),(IF("15"=(INDEX(ALLCLASSDATA,MATCH("HeavyExpert",CLASSFEATUREHEADERS,0),MATCH($A716,CLASSNAMEHEADERS,0))),(INDEX(ALLCLASSDATA,MATCH("HeavyExpert",CLASSFEATUREHEADERS,0),MATCH(($A716 &amp; "Points"),CLASSNAMEHEADERS,0))),(IF("15"=(INDEX(ALLCLASSDATA,MATCH("HeavyTrained",CLASSFEATUREHEADERS,0),MATCH($A716,CLASSNAMEHEADERS,0))),(INDEX(ALLCLASSDATA,MATCH("HeavyTrained",CLASSFEATUREHEADERS,0),MATCH(($A716 &amp; "Points"),CLASSNAMEHEADERS,0))),"")))))))))}</f>
        <v>HEAVYL15</v>
      </c>
      <c r="V715" s="223"/>
      <c r="W715" s="223" t="str">
        <f t="array" ref="W715:W716">{"HEAVYL17";((IF("17"=(INDEX(ALLCLASSDATA,MATCH("HeavyLegendary",CLASSFEATUREHEADERS,0),MATCH($A716,CLASSNAMEHEADERS,0))),(INDEX(ALLCLASSDATA,MATCH("HeavyLegendary",CLASSFEATUREHEADERS,0),MATCH(($A716 &amp; "Points"),CLASSNAMEHEADERS,0))),(IF("17"=(INDEX(ALLCLASSDATA,MATCH("HeavyMaster",CLASSFEATUREHEADERS,0),MATCH($A716,CLASSNAMEHEADERS,0))),(INDEX(ALLCLASSDATA,MATCH("HeavyMaster",CLASSFEATUREHEADERS,0),MATCH(($A716 &amp; "Points"),CLASSNAMEHEADERS,0))),(IF("17"=(INDEX(ALLCLASSDATA,MATCH("HeavyExpert",CLASSFEATUREHEADERS,0),MATCH($A716,CLASSNAMEHEADERS,0))),(INDEX(ALLCLASSDATA,MATCH("HeavyExpert",CLASSFEATUREHEADERS,0),MATCH(($A716 &amp; "Points"),CLASSNAMEHEADERS,0))),(IF("17"=(INDEX(ALLCLASSDATA,MATCH("HeavyTrained",CLASSFEATUREHEADERS,0),MATCH($A716,CLASSNAMEHEADERS,0))),(INDEX(ALLCLASSDATA,MATCH("HeavyTrained",CLASSFEATUREHEADERS,0),MATCH(($A716 &amp; "Points"),CLASSNAMEHEADERS,0))),"")))))))))}</f>
        <v>HEAVYL17</v>
      </c>
      <c r="X715" s="223"/>
      <c r="Y715" s="223" t="str">
        <f t="array" ref="Y715:Y716">{"HEAVYL19";((IF("19"=(INDEX(ALLCLASSDATA,MATCH("HeavyLegendary",CLASSFEATUREHEADERS,0),MATCH($A716,CLASSNAMEHEADERS,0))),(INDEX(ALLCLASSDATA,MATCH("HeavyLegendary",CLASSFEATUREHEADERS,0),MATCH(($A716 &amp; "Points"),CLASSNAMEHEADERS,0))),(IF("19"=(INDEX(ALLCLASSDATA,MATCH("HeavyMaster",CLASSFEATUREHEADERS,0),MATCH($A716,CLASSNAMEHEADERS,0))),(INDEX(ALLCLASSDATA,MATCH("HeavyMaster",CLASSFEATUREHEADERS,0),MATCH(($A716 &amp; "Points"),CLASSNAMEHEADERS,0))),(IF("19"=(INDEX(ALLCLASSDATA,MATCH("HeavyExpert",CLASSFEATUREHEADERS,0),MATCH($A716,CLASSNAMEHEADERS,0))),(INDEX(ALLCLASSDATA,MATCH("HeavyExpert",CLASSFEATUREHEADERS,0),MATCH(($A716 &amp; "Points"),CLASSNAMEHEADERS,0))),(IF("19"=(INDEX(ALLCLASSDATA,MATCH("HeavyTrained",CLASSFEATUREHEADERS,0),MATCH($A716,CLASSNAMEHEADERS,0))),(INDEX(ALLCLASSDATA,MATCH("HeavyTrained",CLASSFEATUREHEADERS,0),MATCH(($A716 &amp; "Points"),CLASSNAMEHEADERS,0))),"")))))))))}</f>
        <v>HEAVYL19</v>
      </c>
      <c r="Z715" s="223"/>
      <c r="AA715" s="76" t="str">
        <f t="array" ref="AA715:AA716">{"HEAVY TOTAL";(IF(COUNTBLANK(F716:Z716)=17,"L",(IF(COUNTBLANK(F716:Z716)=18,"M",(IF(COUNTBLANK(F716:Z716)=19,"E",(IF(COUNTBLANK(F716:Z716)=20,"T",""))))))))}</f>
        <v>HEAVY TOTAL</v>
      </c>
      <c r="AB715" s="76" t="str">
        <f t="array" ref="AB715:AB716">{"HEAVY TOTAL";(sum(F716:Z716))}</f>
        <v>HEAVY TOTAL</v>
      </c>
    </row>
    <row r="716">
      <c r="A716" s="48" t="s">
        <v>223</v>
      </c>
      <c r="B716" s="48" t="s">
        <v>418</v>
      </c>
      <c r="C716" s="97" t="s">
        <v>1900</v>
      </c>
      <c r="D716" s="97" t="s">
        <v>533</v>
      </c>
      <c r="E716" s="98" t="s">
        <v>603</v>
      </c>
      <c r="F716" s="132" t="s">
        <v>603</v>
      </c>
      <c r="G716" s="98" t="s">
        <v>603</v>
      </c>
      <c r="H716" s="98"/>
      <c r="I716" s="98" t="s">
        <v>603</v>
      </c>
      <c r="J716" s="98"/>
      <c r="K716" s="98" t="s">
        <v>603</v>
      </c>
      <c r="L716" s="98"/>
      <c r="M716" s="98" t="s">
        <v>603</v>
      </c>
      <c r="N716" s="98"/>
      <c r="O716" s="98" t="s">
        <v>603</v>
      </c>
      <c r="P716" s="98"/>
      <c r="Q716" s="98" t="s">
        <v>603</v>
      </c>
      <c r="R716" s="98"/>
      <c r="S716" s="98" t="s">
        <v>603</v>
      </c>
      <c r="T716" s="98"/>
      <c r="U716" s="98" t="s">
        <v>603</v>
      </c>
      <c r="V716" s="98"/>
      <c r="W716" s="98" t="s">
        <v>603</v>
      </c>
      <c r="X716" s="98"/>
      <c r="Y716" s="98" t="s">
        <v>603</v>
      </c>
      <c r="Z716" s="98"/>
      <c r="AA716" s="5" t="s">
        <v>603</v>
      </c>
      <c r="AB716" s="47">
        <v>0.0</v>
      </c>
    </row>
    <row r="717" hidden="1">
      <c r="A717" s="222" t="str">
        <f t="array" ref="A717:A718">{"FormulaRow39";(INDEX(CLASSLIST,A640,1))}</f>
        <v>FormulaRow39</v>
      </c>
      <c r="B717" s="222" t="str">
        <f t="array" ref="B717:B718">{"CLASSTYPE";((INDEX(ALLCLASSDATA,MATCH("ClassType",CLASSFEATUREHEADERS,0),MATCH($A718,CLASSNAMEHEADERS,0))))}</f>
        <v>CLASSTYPE</v>
      </c>
      <c r="C717" s="222" t="str">
        <f t="array" ref="C717:C718">{"SPELL/ALCHEMY";((IF(INDEX(ALLCLASSDATA,MATCH("CasterType",CLASSFEATUREHEADERS,0),MATCH(($A718),CLASSNAMEHEADERS,0))="","",(IF(INDEX(ALLCLASSDATA,MATCH("CasterType",CLASSFEATUREHEADERS,0),MATCH(($A718),CLASSNAMEHEADERS,0))="Alchemy","Alchemy","Spells")))))}</f>
        <v>SPELL/ALCHEMY</v>
      </c>
      <c r="D717" s="222" t="str">
        <f t="array" ref="D717:D718">{"SPELLLIST";(IF(C718="Spells",((INDEX(ALLCLASSDATA,MATCH("CasterType",CLASSFEATUREHEADERS,0),MATCH(($A718),CLASSNAMEHEADERS,0))) &amp; ":" &amp; (INDEX(ALLCLASSDATA,MATCH("SpellList",CLASSFEATUREHEADERS,0),MATCH(($A718),CLASSNAMEHEADERS,0)))),""))}</f>
        <v>SPELLLIST</v>
      </c>
      <c r="E717" s="223" t="str">
        <f t="array" ref="E717:E718">{"SPL";(IF(C718="Spells","SPL:",""))}</f>
        <v>SPL</v>
      </c>
      <c r="F717" s="223" t="str">
        <f t="array" ref="F717:F718">{"CANTRIP/ALC";(IF(C718="Spells","C",(IF(C718="Alchemy","ALC:",""))))}</f>
        <v>CANTRIP/ALC</v>
      </c>
      <c r="G717" s="223" t="str">
        <f t="array" ref="G717:G718">{"SPELL/ALC L01";(IF(C718="Alchemy","L01",(IF(C718="Spells","S01",""))))}</f>
        <v>SPELL/ALC L01</v>
      </c>
      <c r="H717" s="223" t="str">
        <f t="array" ref="H717:H718">{"SPELL/ALC L02";(IF(C718="Alchemy","L02",(IF(C718="Spells","S01",""))))}</f>
        <v>SPELL/ALC L02</v>
      </c>
      <c r="I717" s="223" t="str">
        <f t="array" ref="I717:I718">{"SPELL/ALC L03";(IF(C718="Alchemy","L03",(IF(C718="Spells","S02",""))))}</f>
        <v>SPELL/ALC L03</v>
      </c>
      <c r="J717" s="223" t="str">
        <f t="array" ref="J717:J718">{"SPELL/ALC L04";(IF(C718="Alchemy","L04",(IF(C718="Spells","S02",""))))}</f>
        <v>SPELL/ALC L04</v>
      </c>
      <c r="K717" s="223" t="str">
        <f t="array" ref="K717:K718">{"SPELL/ALC L05";(IF(C718="Alchemy","L05",(IF(C718="Spells","S03",""))))}</f>
        <v>SPELL/ALC L05</v>
      </c>
      <c r="L717" s="223" t="str">
        <f t="array" ref="L717:L718">{"SPELL/ALC L06";(IF(C718="Alchemy","L06",(IF(C718="Spells","S03",""))))}</f>
        <v>SPELL/ALC L06</v>
      </c>
      <c r="M717" s="223" t="str">
        <f t="array" ref="M717:M718">{"SPELL/ALC L07";(IF(C718="Alchemy","L07",(IF(C718="Spells","S04",""))))}</f>
        <v>SPELL/ALC L07</v>
      </c>
      <c r="N717" s="223" t="str">
        <f t="array" ref="N717:N718">{"SPELL/ALC L08";(IF(C718="Alchemy","L08",(IF(C718="Spells","S04",""))))}</f>
        <v>SPELL/ALC L08</v>
      </c>
      <c r="O717" s="223" t="str">
        <f t="array" ref="O717:O718">{"SPELL/ALC L09";(IF(C718="Alchemy","L09",(IF(C718="Spells","S05",""))))}</f>
        <v>SPELL/ALC L09</v>
      </c>
      <c r="P717" s="223" t="str">
        <f t="array" ref="P717:P718">{"SPELL/ALC L10";(IF(C718="Alchemy","L10",(IF(C718="Spells","S05",""))))}</f>
        <v>SPELL/ALC L10</v>
      </c>
      <c r="Q717" s="223" t="str">
        <f t="array" ref="Q717:Q718">{"SPELL/ALC L11";(IF(C718="Alchemy","L11",(IF(C718="Spells","S06",""))))}</f>
        <v>SPELL/ALC L11</v>
      </c>
      <c r="R717" s="223" t="str">
        <f t="array" ref="R717:R718">{"SPELL/ALC L12";(IF(C718="Alchemy","L12",(IF(C718="Spells","S06",""))))}</f>
        <v>SPELL/ALC L12</v>
      </c>
      <c r="S717" s="223" t="str">
        <f t="array" ref="S717:S718">{"SPELL/ALC L13";(IF(C718="Alchemy","L13",(IF(C718="Spells","S07",""))))}</f>
        <v>SPELL/ALC L13</v>
      </c>
      <c r="T717" s="223" t="str">
        <f t="array" ref="T717:T718">{"SPELL/ALC L14";(IF(C718="Alchemy","L14",(IF(C718="Spells","S07",""))))}</f>
        <v>SPELL/ALC L14</v>
      </c>
      <c r="U717" s="223" t="str">
        <f t="array" ref="U717:U718">{"SPELL/ALC L15";(IF(C718="Alchemy","L15",(IF(C718="Spells","S08",""))))}</f>
        <v>SPELL/ALC L15</v>
      </c>
      <c r="V717" s="223" t="str">
        <f t="array" ref="V717:V718">{"SPELL/ALC L16";(IF(C718="Alchemy","L16",(IF(C718="Spells","S08",""))))}</f>
        <v>SPELL/ALC L16</v>
      </c>
      <c r="W717" s="223" t="str">
        <f t="array" ref="W717:W718">{"SPELL/ALC L17";(IF(C718="Alchemy","L17",(IF(C718="Spells","S09",""))))}</f>
        <v>SPELL/ALC L17</v>
      </c>
      <c r="X717" s="223" t="str">
        <f t="array" ref="X717:X718">{"SPELL/ALC L18";(IF(C718="Alchemy","L18",(IF(C718="Spells","S09",""))))}</f>
        <v>SPELL/ALC L18</v>
      </c>
      <c r="Y717" s="223" t="str">
        <f t="array" ref="Y717:Y718">{"SPELL/ALC L19";(IF(C718="Alchemy","L19",(IF(C718="Spells","S10",""))))}</f>
        <v>SPELL/ALC L19</v>
      </c>
      <c r="Z717" s="223" t="str">
        <f t="array" ref="Z717:Z718">{"SPELL/ALC L20";(IF(C718="Alchemy","L20",(IF(C718="Spells","S10",""))))}</f>
        <v>SPELL/ALC L20</v>
      </c>
      <c r="AA717" s="76"/>
      <c r="AB717" s="76"/>
    </row>
    <row r="718">
      <c r="A718" s="48" t="s">
        <v>223</v>
      </c>
      <c r="B718" s="48" t="s">
        <v>418</v>
      </c>
      <c r="C718" s="48" t="s">
        <v>1901</v>
      </c>
      <c r="D718" s="48" t="s">
        <v>1933</v>
      </c>
      <c r="E718" s="278" t="s">
        <v>1903</v>
      </c>
      <c r="F718" s="114" t="s">
        <v>653</v>
      </c>
      <c r="G718" s="279" t="s">
        <v>1536</v>
      </c>
      <c r="H718" s="28" t="s">
        <v>1536</v>
      </c>
      <c r="I718" s="28" t="s">
        <v>1542</v>
      </c>
      <c r="J718" s="28" t="s">
        <v>1542</v>
      </c>
      <c r="K718" s="28" t="s">
        <v>1545</v>
      </c>
      <c r="L718" s="28" t="s">
        <v>1545</v>
      </c>
      <c r="M718" s="28" t="s">
        <v>1548</v>
      </c>
      <c r="N718" s="28" t="s">
        <v>1548</v>
      </c>
      <c r="O718" s="28" t="s">
        <v>1553</v>
      </c>
      <c r="P718" s="28" t="s">
        <v>1553</v>
      </c>
      <c r="Q718" s="28" t="s">
        <v>1556</v>
      </c>
      <c r="R718" s="28" t="s">
        <v>1556</v>
      </c>
      <c r="S718" s="28" t="s">
        <v>1559</v>
      </c>
      <c r="T718" s="28" t="s">
        <v>1559</v>
      </c>
      <c r="U718" s="28" t="s">
        <v>1562</v>
      </c>
      <c r="V718" s="28" t="s">
        <v>1562</v>
      </c>
      <c r="W718" s="28" t="s">
        <v>1565</v>
      </c>
      <c r="X718" s="28" t="s">
        <v>1565</v>
      </c>
      <c r="Y718" s="28" t="s">
        <v>1568</v>
      </c>
      <c r="Z718" s="28" t="s">
        <v>1568</v>
      </c>
      <c r="AA718" s="5"/>
      <c r="AB718" s="47"/>
    </row>
    <row r="719" hidden="1">
      <c r="A719" s="222" t="str">
        <f t="array" ref="A719:A720">{"FormulaRow40";(INDEX(CLASSLIST,A640,1))}</f>
        <v>FormulaRow40</v>
      </c>
      <c r="B719" s="222" t="str">
        <f t="array" ref="B719:B720">{"CLASSTYPE";((INDEX(ALLCLASSDATA,MATCH("ClassType",CLASSFEATUREHEADERS,0),MATCH($A720,CLASSNAMEHEADERS,0))))}</f>
        <v>CLASSTYPE</v>
      </c>
      <c r="C719" s="222" t="str">
        <f t="array" ref="C719:C720">{"SPELL/ALCHEMY";((IF(INDEX(ALLCLASSDATA,MATCH("CasterType",CLASSFEATUREHEADERS,0),MATCH(($A720),CLASSNAMEHEADERS,0))="","",(IF(INDEX(ALLCLASSDATA,MATCH("CasterType",CLASSFEATUREHEADERS,0),MATCH(($A720),CLASSNAMEHEADERS,0))="Alchemy","","Spells")))))}</f>
        <v>SPELL/ALCHEMY</v>
      </c>
      <c r="D719" s="222" t="str">
        <f t="array" ref="D719:D720">{"SPELLLIST";(IF(C720="Spells",((INDEX(ALLCLASSDATA,MATCH("CasterType",CLASSFEATUREHEADERS,0),MATCH(($A720),CLASSNAMEHEADERS,0))) &amp; ":" &amp; (INDEX(ALLCLASSDATA,MATCH("SpellList",CLASSFEATUREHEADERS,0),MATCH(($A720),CLASSNAMEHEADERS,0)))),""))}</f>
        <v>SPELLLIST</v>
      </c>
      <c r="E719" s="222" t="str">
        <f t="array" ref="E719:E720">{"SLOTCOST";(IF(C720="Spells","SlotCost:",""))}</f>
        <v>SLOTCOST</v>
      </c>
      <c r="F719" s="222" t="str">
        <f t="array" ref="F719:F720">{"SLOTCOST CANTRIP";(INDEX(ALLCLASSDATA,MATCH("CantripSlots-L00",CLASSFEATUREHEADERS,0),MATCH(($A720 &amp; "Points"),CLASSNAMEHEADERS,0)))}</f>
        <v>SLOTCOST CANTRIP</v>
      </c>
      <c r="G719" s="222" t="str">
        <f t="array" ref="G719:G720">{"SLOTCOST L01";(INDEX(ALLCLASSDATA,MATCH("SPL01-L01",CLASSFEATUREHEADERS,0),MATCH(($A720 &amp; "Points"),CLASSNAMEHEADERS,0)))}</f>
        <v>SLOTCOST L01</v>
      </c>
      <c r="H719" s="222" t="str">
        <f t="array" ref="H719:H720">{"SLOTCOST L02";(INDEX(ALLCLASSDATA,MATCH("SPL01-L02",CLASSFEATUREHEADERS,0),MATCH(($A720 &amp; "Points"),CLASSNAMEHEADERS,0)))}</f>
        <v>#REF!</v>
      </c>
      <c r="I719" s="222" t="str">
        <f t="array" ref="I719:I720">{"SLOTCOST L03";(INDEX(ALLCLASSDATA,MATCH("SPL02-L03",CLASSFEATUREHEADERS,0),MATCH(($A720 &amp; "Points"),CLASSNAMEHEADERS,0)))}</f>
        <v>SLOTCOST L03</v>
      </c>
      <c r="J719" s="222" t="str">
        <f t="array" ref="J719:J720">{"SLOTCOST L04";(INDEX(ALLCLASSDATA,MATCH("SPL02-L04",CLASSFEATUREHEADERS,0),MATCH(($A720 &amp; "Points"),CLASSNAMEHEADERS,0)))}</f>
        <v>#REF!</v>
      </c>
      <c r="K719" s="222" t="str">
        <f t="array" ref="K719:K720">{"SLOTCOST L05";(INDEX(ALLCLASSDATA,MATCH("SPL03-L05",CLASSFEATUREHEADERS,0),MATCH(($A720 &amp; "Points"),CLASSNAMEHEADERS,0)))}</f>
        <v>SLOTCOST L05</v>
      </c>
      <c r="L719" s="222" t="str">
        <f t="array" ref="L719:L720">{"SLOTCOST L06";(INDEX(ALLCLASSDATA,MATCH("SPL03-L06",CLASSFEATUREHEADERS,0),MATCH(($A720 &amp; "Points"),CLASSNAMEHEADERS,0)))}</f>
        <v>#REF!</v>
      </c>
      <c r="M719" s="222" t="str">
        <f t="array" ref="M719:M720">{"SLOTCOST L07";(INDEX(ALLCLASSDATA,MATCH("SPL04-L07",CLASSFEATUREHEADERS,0),MATCH(($A720 &amp; "Points"),CLASSNAMEHEADERS,0)))}</f>
        <v>SLOTCOST L07</v>
      </c>
      <c r="N719" s="222" t="str">
        <f t="array" ref="N719:N720">{"SLOTCOST L08";(INDEX(ALLCLASSDATA,MATCH("SPL04-L08",CLASSFEATUREHEADERS,0),MATCH(($A720 &amp; "Points"),CLASSNAMEHEADERS,0)))}</f>
        <v>#REF!</v>
      </c>
      <c r="O719" s="222" t="str">
        <f t="array" ref="O719:O720">{"SLOTCOST L09";(INDEX(ALLCLASSDATA,MATCH("SPL05-L09",CLASSFEATUREHEADERS,0),MATCH(($A720 &amp; "Points"),CLASSNAMEHEADERS,0)))}</f>
        <v>SLOTCOST L09</v>
      </c>
      <c r="P719" s="222" t="str">
        <f t="array" ref="P719:P720">{"SLOTCOST L10";(INDEX(ALLCLASSDATA,MATCH("SPL05-L10",CLASSFEATUREHEADERS,0),MATCH(($A720 &amp; "Points"),CLASSNAMEHEADERS,0)))}</f>
        <v>#REF!</v>
      </c>
      <c r="Q719" s="222" t="str">
        <f t="array" ref="Q719:Q720">{"SLOTCOST L11";(INDEX(ALLCLASSDATA,MATCH("SPL06-L11",CLASSFEATUREHEADERS,0),MATCH(($A720 &amp; "Points"),CLASSNAMEHEADERS,0)))}</f>
        <v>SLOTCOST L11</v>
      </c>
      <c r="R719" s="222" t="str">
        <f t="array" ref="R719:R720">{"SLOTCOST L12";(INDEX(ALLCLASSDATA,MATCH("SPL06-L12",CLASSFEATUREHEADERS,0),MATCH(($A720 &amp; "Points"),CLASSNAMEHEADERS,0)))}</f>
        <v>#REF!</v>
      </c>
      <c r="S719" s="222" t="str">
        <f t="array" ref="S719:S720">{"SLOTCOST L13";(INDEX(ALLCLASSDATA,MATCH("SPL07-L13",CLASSFEATUREHEADERS,0),MATCH(($A720 &amp; "Points"),CLASSNAMEHEADERS,0)))}</f>
        <v>SLOTCOST L13</v>
      </c>
      <c r="T719" s="222" t="str">
        <f t="array" ref="T719:T720">{"SLOTCOST L14";(INDEX(ALLCLASSDATA,MATCH("SPL07-L14",CLASSFEATUREHEADERS,0),MATCH(($A720 &amp; "Points"),CLASSNAMEHEADERS,0)))}</f>
        <v>#REF!</v>
      </c>
      <c r="U719" s="222" t="str">
        <f t="array" ref="U719:U720">{"SLOTCOST L15";(INDEX(ALLCLASSDATA,MATCH("SPL08-L15",CLASSFEATUREHEADERS,0),MATCH(($A720 &amp; "Points"),CLASSNAMEHEADERS,0)))}</f>
        <v>SLOTCOST L15</v>
      </c>
      <c r="V719" s="222" t="str">
        <f t="array" ref="V719:V720">{"SLOTCOST L16";(INDEX(ALLCLASSDATA,MATCH("SPL08-L16",CLASSFEATUREHEADERS,0),MATCH(($A720 &amp; "Points"),CLASSNAMEHEADERS,0)))}</f>
        <v>#REF!</v>
      </c>
      <c r="W719" s="222" t="str">
        <f t="array" ref="W719:W720">{"SLOTCOST L17";(INDEX(ALLCLASSDATA,MATCH("SPL09-L17",CLASSFEATUREHEADERS,0),MATCH(($A720 &amp; "Points"),CLASSNAMEHEADERS,0)))}</f>
        <v>SLOTCOST L17</v>
      </c>
      <c r="X719" s="222" t="str">
        <f t="array" ref="X719:X720">{"SLOTCOST L18";(INDEX(ALLCLASSDATA,MATCH("SPL09-L18",CLASSFEATUREHEADERS,0),MATCH(($A720 &amp; "Points"),CLASSNAMEHEADERS,0)))}</f>
        <v>#REF!</v>
      </c>
      <c r="Y719" s="222" t="str">
        <f t="array" ref="Y719:Y720">{"SLOTCOST L19";(INDEX(ALLCLASSDATA,MATCH("SPL10-L19",CLASSFEATUREHEADERS,0),MATCH(($A720 &amp; "Points"),CLASSNAMEHEADERS,0)))}</f>
        <v>SLOTCOST L19</v>
      </c>
      <c r="Z719" s="222" t="str">
        <f t="array" ref="Z719:Z720">{"SLOTCOST L20";(INDEX(ALLCLASSDATA,MATCH("SPL10-L20",CLASSFEATUREHEADERS,0),MATCH(($A720 &amp; "Points"),CLASSNAMEHEADERS,0)))}</f>
        <v>SLOTCOST L20</v>
      </c>
      <c r="AA719" s="76"/>
      <c r="AB719" s="76" t="str">
        <f t="array" ref="AB719:AB720">{"SLOT TOTAL";(sum(F720:Z720))}</f>
        <v>SLOT TOTAL</v>
      </c>
    </row>
    <row r="720">
      <c r="A720" s="48" t="s">
        <v>223</v>
      </c>
      <c r="B720" s="48" t="s">
        <v>418</v>
      </c>
      <c r="C720" s="48" t="s">
        <v>1901</v>
      </c>
      <c r="D720" s="48" t="s">
        <v>1933</v>
      </c>
      <c r="E720" s="278" t="s">
        <v>1904</v>
      </c>
      <c r="F720" s="47"/>
      <c r="G720" s="5">
        <v>20.0</v>
      </c>
      <c r="H720" s="48" t="s">
        <v>1905</v>
      </c>
      <c r="I720" s="5">
        <v>20.0</v>
      </c>
      <c r="J720" s="48" t="s">
        <v>1905</v>
      </c>
      <c r="K720" s="5">
        <v>20.0</v>
      </c>
      <c r="L720" s="48" t="s">
        <v>1905</v>
      </c>
      <c r="M720" s="5">
        <v>20.0</v>
      </c>
      <c r="N720" s="48" t="s">
        <v>1905</v>
      </c>
      <c r="O720" s="5">
        <v>20.0</v>
      </c>
      <c r="P720" s="48" t="s">
        <v>1905</v>
      </c>
      <c r="Q720" s="5">
        <v>20.0</v>
      </c>
      <c r="R720" s="48" t="s">
        <v>1905</v>
      </c>
      <c r="S720" s="5">
        <v>20.0</v>
      </c>
      <c r="T720" s="48" t="s">
        <v>1905</v>
      </c>
      <c r="U720" s="5">
        <v>20.0</v>
      </c>
      <c r="V720" s="48" t="s">
        <v>1905</v>
      </c>
      <c r="W720" s="5">
        <v>20.0</v>
      </c>
      <c r="X720" s="48" t="s">
        <v>1905</v>
      </c>
      <c r="Y720" s="5">
        <v>190.0</v>
      </c>
      <c r="Z720" s="5" t="s">
        <v>603</v>
      </c>
      <c r="AA720" s="5"/>
      <c r="AB720" s="47">
        <v>370.0</v>
      </c>
    </row>
    <row r="721" hidden="1">
      <c r="A721" s="222" t="str">
        <f t="array" ref="A721:A722">{"FormulaRow41";(INDEX(CLASSLIST,A640,1))}</f>
        <v>FormulaRow41</v>
      </c>
      <c r="B721" s="222" t="str">
        <f t="array" ref="B721:B722">{"CLASSTYPE";((INDEX(ALLCLASSDATA,MATCH("ClassType",CLASSFEATUREHEADERS,0),MATCH($A722,CLASSNAMEHEADERS,0))))}</f>
        <v>CLASSTYPE</v>
      </c>
      <c r="C721" s="222" t="str">
        <f t="array" ref="C721:C722">{"SPELL/ALCHEMY";((IF(INDEX(ALLCLASSDATA,MATCH("CasterType",CLASSFEATUREHEADERS,0),MATCH(($A722),CLASSNAMEHEADERS,0))="","",(IF(INDEX(ALLCLASSDATA,MATCH("CasterType",CLASSFEATUREHEADERS,0),MATCH(($A722),CLASSNAMEHEADERS,0))="Alchemy","Alchemy","Spells")))))}</f>
        <v>SPELL/ALCHEMY</v>
      </c>
      <c r="D721" s="222" t="str">
        <f t="array" ref="D721:D722">{"SPELLLIST";(IF(C722="Spells",((INDEX(ALLCLASSDATA,MATCH("CasterType",CLASSFEATUREHEADERS,0),MATCH(($A722),CLASSNAMEHEADERS,0))) &amp; ":" &amp; (INDEX(ALLCLASSDATA,MATCH("SpellList",CLASSFEATUREHEADERS,0),MATCH(($A722),CLASSNAMEHEADERS,0)))),""))}</f>
        <v>SPELLLIST</v>
      </c>
      <c r="E721" s="223" t="str">
        <f t="array" ref="E721:E722">{"LEARNEDCOST";(IF(C722="","","LearnCost:"))}</f>
        <v>LEARNEDCOST</v>
      </c>
      <c r="F721" s="223" t="str">
        <f t="array" ref="F721:F722">{"LEARNED CANTRIPS";(INDEX(ALLCLASSDATA,MATCH("CantripsLearned-L00",CLASSFEATUREHEADERS,0),MATCH(($A722 &amp; "Points"),CLASSNAMEHEADERS,0)))}</f>
        <v>LEARNED CANTRIPS</v>
      </c>
      <c r="G721" s="223" t="str">
        <f t="array" ref="G721:G722">{"LEARNED L01";(INDEX(ALLCLASSDATA,MATCH("Learned-L01",CLASSFEATUREHEADERS,0),MATCH(($A722 &amp; "Points"),CLASSNAMEHEADERS,0)))}</f>
        <v>LEARNED L01</v>
      </c>
      <c r="H721" s="223" t="str">
        <f t="array" ref="H721:H722">{"LEARNED L02";(INDEX(ALLCLASSDATA,MATCH("Learned-L02",CLASSFEATUREHEADERS,0),MATCH(($A722 &amp; "Points"),CLASSNAMEHEADERS,0)))}</f>
        <v>#REF!</v>
      </c>
      <c r="I721" s="223" t="str">
        <f t="array" ref="I721:I722">{"LEARNED L03";(INDEX(ALLCLASSDATA,MATCH("Learned-L03",CLASSFEATUREHEADERS,0),MATCH(($A722 &amp; "Points"),CLASSNAMEHEADERS,0)))}</f>
        <v>LEARNED L03</v>
      </c>
      <c r="J721" s="223" t="str">
        <f t="array" ref="J721:J722">{"LEARNED L04";(INDEX(ALLCLASSDATA,MATCH("Learned-L04",CLASSFEATUREHEADERS,0),MATCH(($A722 &amp; "Points"),CLASSNAMEHEADERS,0)))}</f>
        <v>#REF!</v>
      </c>
      <c r="K721" s="223" t="str">
        <f t="array" ref="K721:K722">{"LEARNED L05";(INDEX(ALLCLASSDATA,MATCH("Learned-L05",CLASSFEATUREHEADERS,0),MATCH(($A722 &amp; "Points"),CLASSNAMEHEADERS,0)))}</f>
        <v>LEARNED L05</v>
      </c>
      <c r="L721" s="223" t="str">
        <f t="array" ref="L721:L722">{"LEARNED L06";(INDEX(ALLCLASSDATA,MATCH("Learned-L06",CLASSFEATUREHEADERS,0),MATCH(($A722 &amp; "Points"),CLASSNAMEHEADERS,0)))}</f>
        <v>#REF!</v>
      </c>
      <c r="M721" s="223" t="str">
        <f t="array" ref="M721:M722">{"LEARNED L07";(INDEX(ALLCLASSDATA,MATCH("Learned-L07",CLASSFEATUREHEADERS,0),MATCH(($A722 &amp; "Points"),CLASSNAMEHEADERS,0)))}</f>
        <v>LEARNED L07</v>
      </c>
      <c r="N721" s="223" t="str">
        <f t="array" ref="N721:N722">{"LEARNED L08";(INDEX(ALLCLASSDATA,MATCH("Learned-L08",CLASSFEATUREHEADERS,0),MATCH(($A722 &amp; "Points"),CLASSNAMEHEADERS,0)))}</f>
        <v>#REF!</v>
      </c>
      <c r="O721" s="223" t="str">
        <f t="array" ref="O721:O722">{"LEARNED L09";(INDEX(ALLCLASSDATA,MATCH("Learned-L09",CLASSFEATUREHEADERS,0),MATCH(($A722 &amp; "Points"),CLASSNAMEHEADERS,0)))}</f>
        <v>LEARNED L09</v>
      </c>
      <c r="P721" s="223" t="str">
        <f t="array" ref="P721:P722">{"LEARNED L10";(INDEX(ALLCLASSDATA,MATCH("Learned-L10",CLASSFEATUREHEADERS,0),MATCH(($A722 &amp; "Points"),CLASSNAMEHEADERS,0)))}</f>
        <v>#REF!</v>
      </c>
      <c r="Q721" s="223" t="str">
        <f t="array" ref="Q721:Q722">{"LEARNED L11";(INDEX(ALLCLASSDATA,MATCH("Learned-L11",CLASSFEATUREHEADERS,0),MATCH(($A722 &amp; "Points"),CLASSNAMEHEADERS,0)))}</f>
        <v>LEARNED L11</v>
      </c>
      <c r="R721" s="223" t="str">
        <f t="array" ref="R721:R722">{"LEARNED L12";(INDEX(ALLCLASSDATA,MATCH("Learned-L12",CLASSFEATUREHEADERS,0),MATCH(($A722 &amp; "Points"),CLASSNAMEHEADERS,0)))}</f>
        <v>#REF!</v>
      </c>
      <c r="S721" s="223" t="str">
        <f t="array" ref="S721:S722">{"LEARNED L13";(INDEX(ALLCLASSDATA,MATCH("Learned-L13",CLASSFEATUREHEADERS,0),MATCH(($A722 &amp; "Points"),CLASSNAMEHEADERS,0)))}</f>
        <v>LEARNED L13</v>
      </c>
      <c r="T721" s="223" t="str">
        <f t="array" ref="T721:T722">{"LEARNED L14";(INDEX(ALLCLASSDATA,MATCH("Learned-L14",CLASSFEATUREHEADERS,0),MATCH(($A722 &amp; "Points"),CLASSNAMEHEADERS,0)))}</f>
        <v>#REF!</v>
      </c>
      <c r="U721" s="223" t="str">
        <f t="array" ref="U721:U722">{"LEARNED L15";(INDEX(ALLCLASSDATA,MATCH("Learned-L15",CLASSFEATUREHEADERS,0),MATCH(($A722 &amp; "Points"),CLASSNAMEHEADERS,0)))}</f>
        <v>LEARNED L15</v>
      </c>
      <c r="V721" s="223" t="str">
        <f t="array" ref="V721:V722">{"LEARNED L16";(INDEX(ALLCLASSDATA,MATCH("Learned-L16",CLASSFEATUREHEADERS,0),MATCH(($A722 &amp; "Points"),CLASSNAMEHEADERS,0)))}</f>
        <v>#REF!</v>
      </c>
      <c r="W721" s="223" t="str">
        <f t="array" ref="W721:W722">{"LEARNED L17";(INDEX(ALLCLASSDATA,MATCH("Learned-L17",CLASSFEATUREHEADERS,0),MATCH(($A722 &amp; "Points"),CLASSNAMEHEADERS,0)))}</f>
        <v>LEARNED L17</v>
      </c>
      <c r="X721" s="223" t="str">
        <f t="array" ref="X721:X722">{"LEARNED L18";(INDEX(ALLCLASSDATA,MATCH("Learned-L18",CLASSFEATUREHEADERS,0),MATCH(($A722 &amp; "Points"),CLASSNAMEHEADERS,0)))}</f>
        <v>#REF!</v>
      </c>
      <c r="Y721" s="223" t="str">
        <f t="array" ref="Y721:Y722">{"LEARNED L19";(INDEX(ALLCLASSDATA,MATCH("Learned-L19",CLASSFEATUREHEADERS,0),MATCH(($A722 &amp; "Points"),CLASSNAMEHEADERS,0)))}</f>
        <v>LEARNED L19</v>
      </c>
      <c r="Z721" s="223" t="str">
        <f t="array" ref="Z721:Z722">{"LEARNED L20";(INDEX(ALLCLASSDATA,MATCH("Learned-L20",CLASSFEATUREHEADERS,0),MATCH(($A722 &amp; "Points"),CLASSNAMEHEADERS,0)))}</f>
        <v>LEARNED L20</v>
      </c>
      <c r="AA721" s="76"/>
      <c r="AB721" s="76" t="str">
        <f t="array" ref="AB721:AB722">{"LEARNED TOTAL";(sum(F722:Z722))}</f>
        <v>LEARNED TOTAL</v>
      </c>
    </row>
    <row r="722">
      <c r="A722" s="48" t="s">
        <v>223</v>
      </c>
      <c r="B722" s="48" t="s">
        <v>418</v>
      </c>
      <c r="C722" s="48" t="s">
        <v>1901</v>
      </c>
      <c r="D722" s="48" t="s">
        <v>1933</v>
      </c>
      <c r="E722" s="278" t="s">
        <v>1906</v>
      </c>
      <c r="F722" s="47">
        <v>5.0</v>
      </c>
      <c r="G722" s="5">
        <v>20.0</v>
      </c>
      <c r="H722" s="48" t="s">
        <v>1905</v>
      </c>
      <c r="I722" s="5">
        <v>20.0</v>
      </c>
      <c r="J722" s="48" t="s">
        <v>1905</v>
      </c>
      <c r="K722" s="5">
        <v>20.0</v>
      </c>
      <c r="L722" s="48" t="s">
        <v>1905</v>
      </c>
      <c r="M722" s="48">
        <v>20.0</v>
      </c>
      <c r="N722" s="48" t="s">
        <v>1905</v>
      </c>
      <c r="O722" s="5">
        <v>20.0</v>
      </c>
      <c r="P722" s="48" t="s">
        <v>1905</v>
      </c>
      <c r="Q722" s="5">
        <v>20.0</v>
      </c>
      <c r="R722" s="48" t="s">
        <v>1905</v>
      </c>
      <c r="S722" s="5">
        <v>20.0</v>
      </c>
      <c r="T722" s="48" t="s">
        <v>1905</v>
      </c>
      <c r="U722" s="5">
        <v>20.0</v>
      </c>
      <c r="V722" s="48" t="s">
        <v>1905</v>
      </c>
      <c r="W722" s="5">
        <v>20.0</v>
      </c>
      <c r="X722" s="48" t="s">
        <v>1905</v>
      </c>
      <c r="Y722" s="5">
        <v>0.0</v>
      </c>
      <c r="Z722" s="5" t="s">
        <v>603</v>
      </c>
      <c r="AA722" s="5"/>
      <c r="AB722" s="47">
        <v>185.0</v>
      </c>
    </row>
    <row r="723" hidden="1">
      <c r="A723" s="222" t="str">
        <f t="array" ref="A723:A724">{"FormulaRow42";(INDEX(CLASSLIST,A640,1))}</f>
        <v>FormulaRow42</v>
      </c>
      <c r="B723" s="222" t="str">
        <f t="array" ref="B723:B724">{"CLASSTYPE";((INDEX(ALLCLASSDATA,MATCH("ClassType",CLASSFEATUREHEADERS,0),MATCH($A724,CLASSNAMEHEADERS,0))))}</f>
        <v>CLASSTYPE</v>
      </c>
      <c r="C723" s="222" t="str">
        <f t="array" ref="C723:C724">{"SPELL/ALCHEMY";((IF(INDEX(ALLCLASSDATA,MATCH("CasterType",CLASSFEATUREHEADERS,0),MATCH(($A724),CLASSNAMEHEADERS,0))="","",(IF(INDEX(ALLCLASSDATA,MATCH("CasterType",CLASSFEATUREHEADERS,0),MATCH(($A724),CLASSNAMEHEADERS,0))="Alchemy","","Spells")))))}</f>
        <v>SPELL/ALCHEMY</v>
      </c>
      <c r="D723" s="222" t="str">
        <f t="array" ref="D723:D724">{"SPELLLIST";(IF(C724="Spells",((INDEX(ALLCLASSDATA,MATCH("CasterType",CLASSFEATUREHEADERS,0),MATCH(($A724),CLASSNAMEHEADERS,0))) &amp; ":" &amp; (INDEX(ALLCLASSDATA,MATCH("SpellList",CLASSFEATUREHEADERS,0),MATCH(($A724),CLASSNAMEHEADERS,0)))),""))}</f>
        <v>SPELLLIST</v>
      </c>
      <c r="E723" s="223" t="str">
        <f t="array" ref="E723:E724">{"SLOT/LVL";(IF(C718="Spells","Slot/LVL:",""))}</f>
        <v>SLOT/LVL</v>
      </c>
      <c r="F723" s="223" t="str">
        <f t="array" ref="F723:F724">{"CANTRIPSLOTS";(INDEX(ALLCLASSDATA,MATCH("CantripSlots-L00",CLASSFEATUREHEADERS,0),MATCH($A724,CLASSNAMEHEADERS,0)))}</f>
        <v>#REF!</v>
      </c>
      <c r="G723" s="223" t="str">
        <f t="array" ref="G723:G724">{"SPL01-L01";(INDEX(ALLCLASSDATA,MATCH("SPL01-L01",CLASSFEATUREHEADERS,0),MATCH($A724,CLASSNAMEHEADERS,0)))}</f>
        <v>SPL01-L01</v>
      </c>
      <c r="H723" s="223" t="str">
        <f t="array" ref="H723:H724">{"SPL01-L02";(INDEX(ALLCLASSDATA,MATCH("SPL01-L02",CLASSFEATUREHEADERS,0),MATCH($A724,CLASSNAMEHEADERS,0)))}</f>
        <v>#REF!</v>
      </c>
      <c r="I723" s="223" t="str">
        <f t="array" ref="I723:I724">{"SPL02-L03";(INDEX(ALLCLASSDATA,MATCH("SPL02-L03",CLASSFEATUREHEADERS,0),MATCH($A724,CLASSNAMEHEADERS,0)))}</f>
        <v>SPL02-L03</v>
      </c>
      <c r="J723" s="223" t="str">
        <f t="array" ref="J723:J724">{"SPL02-L04";(INDEX(ALLCLASSDATA,MATCH("SPL02-L04",CLASSFEATUREHEADERS,0),MATCH($A724,CLASSNAMEHEADERS,0)))}</f>
        <v>#REF!</v>
      </c>
      <c r="K723" s="223" t="str">
        <f t="array" ref="K723:K724">{"SPL03-L05";(INDEX(ALLCLASSDATA,MATCH("SPL03-L05",CLASSFEATUREHEADERS,0),MATCH($A724,CLASSNAMEHEADERS,0)))}</f>
        <v>SPL03-L05</v>
      </c>
      <c r="L723" s="223" t="str">
        <f t="array" ref="L723:L724">{"SPL03-L06";(INDEX(ALLCLASSDATA,MATCH("SPL03-L06",CLASSFEATUREHEADERS,0),MATCH($A724,CLASSNAMEHEADERS,0)))}</f>
        <v>#REF!</v>
      </c>
      <c r="M723" s="223" t="str">
        <f t="array" ref="M723:M724">{"SPL04-L07";(INDEX(ALLCLASSDATA,MATCH("SPL04-L07",CLASSFEATUREHEADERS,0),MATCH($A724,CLASSNAMEHEADERS,0)))}</f>
        <v>SPL04-L07</v>
      </c>
      <c r="N723" s="223" t="str">
        <f t="array" ref="N723:N724">{"SPL04-L08";(INDEX(ALLCLASSDATA,MATCH("SPL04-L08",CLASSFEATUREHEADERS,0),MATCH($A724,CLASSNAMEHEADERS,0)))}</f>
        <v>#REF!</v>
      </c>
      <c r="O723" s="223" t="str">
        <f t="array" ref="O723:O724">{"SPL05-L09";(INDEX(ALLCLASSDATA,MATCH("SPL05-L09",CLASSFEATUREHEADERS,0),MATCH($A724,CLASSNAMEHEADERS,0)))}</f>
        <v>SPL05-L09</v>
      </c>
      <c r="P723" s="223" t="str">
        <f t="array" ref="P723:P724">{"SPL05-L10";(INDEX(ALLCLASSDATA,MATCH("SPL05-L10",CLASSFEATUREHEADERS,0),MATCH($A724,CLASSNAMEHEADERS,0)))}</f>
        <v>#REF!</v>
      </c>
      <c r="Q723" s="223" t="str">
        <f t="array" ref="Q723:Q724">{"SPL06-L11";(INDEX(ALLCLASSDATA,MATCH("SPL06-L11",CLASSFEATUREHEADERS,0),MATCH($A724,CLASSNAMEHEADERS,0)))}</f>
        <v>SPL06-L11</v>
      </c>
      <c r="R723" s="223" t="str">
        <f t="array" ref="R723:R724">{"SPL06-L12";(INDEX(ALLCLASSDATA,MATCH("SPL06-L12",CLASSFEATUREHEADERS,0),MATCH($A724,CLASSNAMEHEADERS,0)))}</f>
        <v>#REF!</v>
      </c>
      <c r="S723" s="223" t="str">
        <f t="array" ref="S723:S724">{"SPL07-L13";(INDEX(ALLCLASSDATA,MATCH("SPL07-L13",CLASSFEATUREHEADERS,0),MATCH($A724,CLASSNAMEHEADERS,0)))}</f>
        <v>SPL07-L13</v>
      </c>
      <c r="T723" s="223" t="str">
        <f t="array" ref="T723:T724">{"SPL07-L14";(INDEX(ALLCLASSDATA,MATCH("SPL07-L14",CLASSFEATUREHEADERS,0),MATCH($A724,CLASSNAMEHEADERS,0)))}</f>
        <v>#REF!</v>
      </c>
      <c r="U723" s="223" t="str">
        <f t="array" ref="U723:U724">{"SPL08-L15";(INDEX(ALLCLASSDATA,MATCH("SPL08-L15",CLASSFEATUREHEADERS,0),MATCH($A724,CLASSNAMEHEADERS,0)))}</f>
        <v>SPL08-L15</v>
      </c>
      <c r="V723" s="223" t="str">
        <f t="array" ref="V723:V724">{"SPL08-L16";(INDEX(ALLCLASSDATA,MATCH("SPL08-L16",CLASSFEATUREHEADERS,0),MATCH($A724,CLASSNAMEHEADERS,0)))}</f>
        <v>#REF!</v>
      </c>
      <c r="W723" s="223" t="str">
        <f t="array" ref="W723:W724">{"SPL09-L17";(INDEX(ALLCLASSDATA,MATCH("SPL09-L17",CLASSFEATUREHEADERS,0),MATCH($A724,CLASSNAMEHEADERS,0)))}</f>
        <v>SPL09-L17</v>
      </c>
      <c r="X723" s="223" t="str">
        <f t="array" ref="X723:X724">{"SPL09-L18";(INDEX(ALLCLASSDATA,MATCH("SPL09-L18",CLASSFEATUREHEADERS,0),MATCH($A724,CLASSNAMEHEADERS,0)))}</f>
        <v>#REF!</v>
      </c>
      <c r="Y723" s="223" t="str">
        <f t="array" ref="Y723:Y724">{"SPL10-L19";(INDEX(ALLCLASSDATA,MATCH("SPL10-L19",CLASSFEATUREHEADERS,0),MATCH($A724,CLASSNAMEHEADERS,0)))}</f>
        <v>SPL10-L19</v>
      </c>
      <c r="Z723" s="223" t="str">
        <f t="array" ref="Z723:Z724">{"SPL10-L20";(INDEX(ALLCLASSDATA,MATCH("SPL10-L20",CLASSFEATUREHEADERS,0),MATCH($A724,CLASSNAMEHEADERS,0)))}</f>
        <v>SPL10-L20</v>
      </c>
      <c r="AA723" s="76"/>
      <c r="AB723" s="76"/>
    </row>
    <row r="724">
      <c r="A724" s="48" t="s">
        <v>223</v>
      </c>
      <c r="B724" s="48" t="s">
        <v>418</v>
      </c>
      <c r="C724" s="48" t="s">
        <v>1901</v>
      </c>
      <c r="D724" s="48" t="s">
        <v>1933</v>
      </c>
      <c r="E724" s="278" t="s">
        <v>1907</v>
      </c>
      <c r="F724" s="114">
        <v>4.0</v>
      </c>
      <c r="G724" s="50" t="s">
        <v>1538</v>
      </c>
      <c r="H724" s="50" t="s">
        <v>1908</v>
      </c>
      <c r="I724" s="50" t="s">
        <v>1538</v>
      </c>
      <c r="J724" s="50" t="s">
        <v>1908</v>
      </c>
      <c r="K724" s="50" t="s">
        <v>1538</v>
      </c>
      <c r="L724" s="50" t="s">
        <v>1908</v>
      </c>
      <c r="M724" s="50" t="s">
        <v>1538</v>
      </c>
      <c r="N724" s="50" t="s">
        <v>1908</v>
      </c>
      <c r="O724" s="50" t="s">
        <v>1538</v>
      </c>
      <c r="P724" s="50" t="s">
        <v>1908</v>
      </c>
      <c r="Q724" s="50" t="s">
        <v>1538</v>
      </c>
      <c r="R724" s="50" t="s">
        <v>1908</v>
      </c>
      <c r="S724" s="50" t="s">
        <v>1538</v>
      </c>
      <c r="T724" s="50" t="s">
        <v>1908</v>
      </c>
      <c r="U724" s="50" t="s">
        <v>1538</v>
      </c>
      <c r="V724" s="50" t="s">
        <v>1908</v>
      </c>
      <c r="W724" s="50" t="s">
        <v>1538</v>
      </c>
      <c r="X724" s="50" t="s">
        <v>1908</v>
      </c>
      <c r="Y724" s="50" t="s">
        <v>1537</v>
      </c>
      <c r="Z724" s="50"/>
      <c r="AA724" s="278"/>
      <c r="AB724" s="47"/>
    </row>
    <row r="725" hidden="1">
      <c r="A725" s="222" t="str">
        <f t="array" ref="A725:A726">{"FormulaRow43";(INDEX(CLASSLIST,A640,1))}</f>
        <v>FormulaRow43</v>
      </c>
      <c r="B725" s="222" t="str">
        <f t="array" ref="B725:B726">{"CLASSTYPE";((INDEX(ALLCLASSDATA,MATCH("ClassType",CLASSFEATUREHEADERS,0),MATCH($A726,CLASSNAMEHEADERS,0))))}</f>
        <v>CLASSTYPE</v>
      </c>
      <c r="C725" s="222" t="str">
        <f t="array" ref="C725:C726">{"SPELL/ALCHEMY";((IF(INDEX(ALLCLASSDATA,MATCH("CasterType",CLASSFEATUREHEADERS,0),MATCH(($A726),CLASSNAMEHEADERS,0))="","",(IF(INDEX(ALLCLASSDATA,MATCH("CasterType",CLASSFEATUREHEADERS,0),MATCH(($A726),CLASSNAMEHEADERS,0))="Alchemy","Alchemy","Spells")))))}</f>
        <v>SPELL/ALCHEMY</v>
      </c>
      <c r="D725" s="222" t="str">
        <f t="array" ref="D725:D726">{"SPELLLIST";(IF(C726="Spells",((INDEX(ALLCLASSDATA,MATCH("CasterType",CLASSFEATUREHEADERS,0),MATCH(($A726),CLASSNAMEHEADERS,0))) &amp; ":" &amp; (INDEX(ALLCLASSDATA,MATCH("SpellList",CLASSFEATUREHEADERS,0),MATCH(($A726),CLASSNAMEHEADERS,0)))),""))}</f>
        <v>SPELLLIST</v>
      </c>
      <c r="E725" s="223" t="str">
        <f t="array" ref="E725:E726">{"LEARNED/LVL";(IF(C726="","","Learn/LVL:"))}</f>
        <v>LEARNED/LVL</v>
      </c>
      <c r="F725" s="223" t="str">
        <f t="array" ref="F725:F726">{"LEARNEDCANTRIPS";(INDEX(ALLCLASSDATA,MATCH("CantripsLearned-L00",CLASSFEATUREHEADERS,0),MATCH($A726,CLASSNAMEHEADERS,0)))}</f>
        <v>LEARNEDCANTRIPS</v>
      </c>
      <c r="G725" s="223" t="str">
        <f t="array" ref="G725:G726">{"LEARNED L01";(INDEX(ALLCLASSDATA,MATCH("Learned-L01",CLASSFEATUREHEADERS,0),MATCH($A726,CLASSNAMEHEADERS,0)))}</f>
        <v>LEARNED L01</v>
      </c>
      <c r="H725" s="223" t="str">
        <f t="array" ref="H725:H726">{"LEARNED L02";(INDEX(ALLCLASSDATA,MATCH("Learned-L02",CLASSFEATUREHEADERS,0),MATCH($A726,CLASSNAMEHEADERS,0)))}</f>
        <v>#REF!</v>
      </c>
      <c r="I725" s="223" t="str">
        <f t="array" ref="I725:I726">{"LEARNED L03";(INDEX(ALLCLASSDATA,MATCH("Learned-L03",CLASSFEATUREHEADERS,0),MATCH($A726,CLASSNAMEHEADERS,0)))}</f>
        <v>LEARNED L03</v>
      </c>
      <c r="J725" s="223" t="str">
        <f t="array" ref="J725:J726">{"LEARNED L04";(INDEX(ALLCLASSDATA,MATCH("Learned-L04",CLASSFEATUREHEADERS,0),MATCH($A726,CLASSNAMEHEADERS,0)))}</f>
        <v>#REF!</v>
      </c>
      <c r="K725" s="223" t="str">
        <f t="array" ref="K725:K726">{"LEARNED L05";(INDEX(ALLCLASSDATA,MATCH("Learned-L05",CLASSFEATUREHEADERS,0),MATCH($A726,CLASSNAMEHEADERS,0)))}</f>
        <v>LEARNED L05</v>
      </c>
      <c r="L725" s="223" t="str">
        <f t="array" ref="L725:L726">{"LEARNED L06";(INDEX(ALLCLASSDATA,MATCH("Learned-L06",CLASSFEATUREHEADERS,0),MATCH($A726,CLASSNAMEHEADERS,0)))}</f>
        <v>#REF!</v>
      </c>
      <c r="M725" s="223" t="str">
        <f t="array" ref="M725:M726">{"LEARNED L07";(INDEX(ALLCLASSDATA,MATCH("Learned-L07",CLASSFEATUREHEADERS,0),MATCH($A726,CLASSNAMEHEADERS,0)))}</f>
        <v>LEARNED L07</v>
      </c>
      <c r="N725" s="223" t="str">
        <f t="array" ref="N725:N726">{"LEARNED L08";(INDEX(ALLCLASSDATA,MATCH("Learned-L08",CLASSFEATUREHEADERS,0),MATCH($A726,CLASSNAMEHEADERS,0)))}</f>
        <v>#REF!</v>
      </c>
      <c r="O725" s="223" t="str">
        <f t="array" ref="O725:O726">{"LEARNED L09";(INDEX(ALLCLASSDATA,MATCH("Learned-L09",CLASSFEATUREHEADERS,0),MATCH($A726,CLASSNAMEHEADERS,0)))}</f>
        <v>LEARNED L09</v>
      </c>
      <c r="P725" s="223" t="str">
        <f t="array" ref="P725:P726">{"LEARNED L10";(INDEX(ALLCLASSDATA,MATCH("Learned-L10",CLASSFEATUREHEADERS,0),MATCH($A726,CLASSNAMEHEADERS,0)))}</f>
        <v>#REF!</v>
      </c>
      <c r="Q725" s="223" t="str">
        <f t="array" ref="Q725:Q726">{"LEARNED L11";(INDEX(ALLCLASSDATA,MATCH("Learned-L11",CLASSFEATUREHEADERS,0),MATCH($A726,CLASSNAMEHEADERS,0)))}</f>
        <v>LEARNED L11</v>
      </c>
      <c r="R725" s="223" t="str">
        <f t="array" ref="R725:R726">{"LEARNED L12";(INDEX(ALLCLASSDATA,MATCH("Learned-L12",CLASSFEATUREHEADERS,0),MATCH($A726,CLASSNAMEHEADERS,0)))}</f>
        <v>#REF!</v>
      </c>
      <c r="S725" s="223" t="str">
        <f t="array" ref="S725:S726">{"LEARNED L13";(INDEX(ALLCLASSDATA,MATCH("Learned-L13",CLASSFEATUREHEADERS,0),MATCH($A726,CLASSNAMEHEADERS,0)))}</f>
        <v>LEARNED L13</v>
      </c>
      <c r="T725" s="223" t="str">
        <f t="array" ref="T725:T726">{"LEARNED L14";(INDEX(ALLCLASSDATA,MATCH("Learned-L14",CLASSFEATUREHEADERS,0),MATCH($A726,CLASSNAMEHEADERS,0)))}</f>
        <v>#REF!</v>
      </c>
      <c r="U725" s="223" t="str">
        <f t="array" ref="U725:U726">{"LEARNED L15";(INDEX(ALLCLASSDATA,MATCH("Learned-L15",CLASSFEATUREHEADERS,0),MATCH($A726,CLASSNAMEHEADERS,0)))}</f>
        <v>LEARNED L15</v>
      </c>
      <c r="V725" s="223" t="str">
        <f t="array" ref="V725:V726">{"LEARNED L16";(INDEX(ALLCLASSDATA,MATCH("Learned-L16",CLASSFEATUREHEADERS,0),MATCH($A726,CLASSNAMEHEADERS,0)))}</f>
        <v>#REF!</v>
      </c>
      <c r="W725" s="223" t="str">
        <f t="array" ref="W725:W726">{"LEARNED L17";(INDEX(ALLCLASSDATA,MATCH("Learned-L17",CLASSFEATUREHEADERS,0),MATCH($A726,CLASSNAMEHEADERS,0)))}</f>
        <v>LEARNED L17</v>
      </c>
      <c r="X725" s="223" t="str">
        <f t="array" ref="X725:X726">{"LEARNED L18";(INDEX(ALLCLASSDATA,MATCH("Learned-L18",CLASSFEATUREHEADERS,0),MATCH($A726,CLASSNAMEHEADERS,0)))}</f>
        <v>#REF!</v>
      </c>
      <c r="Y725" s="223" t="str">
        <f t="array" ref="Y725:Y726">{"LEARNED L19";(INDEX(ALLCLASSDATA,MATCH("Learned-L19",CLASSFEATUREHEADERS,0),MATCH($A726,CLASSNAMEHEADERS,0)))}</f>
        <v>LEARNED L19</v>
      </c>
      <c r="Z725" s="223" t="str">
        <f t="array" ref="Z725:Z726">{"LEARNED L20";(INDEX(ALLCLASSDATA,MATCH("Learned-L20",CLASSFEATUREHEADERS,0),MATCH($A726,CLASSNAMEHEADERS,0)))}</f>
        <v>LEARNED L20</v>
      </c>
      <c r="AA725" s="76"/>
      <c r="AB725" s="76"/>
    </row>
    <row r="726">
      <c r="A726" s="48" t="s">
        <v>223</v>
      </c>
      <c r="B726" s="48" t="s">
        <v>418</v>
      </c>
      <c r="C726" s="48" t="s">
        <v>1901</v>
      </c>
      <c r="D726" s="48" t="s">
        <v>1933</v>
      </c>
      <c r="E726" s="278" t="s">
        <v>1909</v>
      </c>
      <c r="F726" s="280" t="s">
        <v>1533</v>
      </c>
      <c r="G726" s="278" t="s">
        <v>1538</v>
      </c>
      <c r="H726" s="50" t="s">
        <v>1908</v>
      </c>
      <c r="I726" s="278" t="s">
        <v>1538</v>
      </c>
      <c r="J726" s="50" t="s">
        <v>1908</v>
      </c>
      <c r="K726" s="278" t="s">
        <v>1538</v>
      </c>
      <c r="L726" s="50" t="s">
        <v>1908</v>
      </c>
      <c r="M726" s="278" t="s">
        <v>1538</v>
      </c>
      <c r="N726" s="50" t="s">
        <v>1908</v>
      </c>
      <c r="O726" s="278" t="s">
        <v>1538</v>
      </c>
      <c r="P726" s="50" t="s">
        <v>1908</v>
      </c>
      <c r="Q726" s="278" t="s">
        <v>1538</v>
      </c>
      <c r="R726" s="50" t="s">
        <v>1908</v>
      </c>
      <c r="S726" s="278" t="s">
        <v>1538</v>
      </c>
      <c r="T726" s="50" t="s">
        <v>1908</v>
      </c>
      <c r="U726" s="50" t="s">
        <v>1538</v>
      </c>
      <c r="V726" s="50" t="s">
        <v>1908</v>
      </c>
      <c r="W726" s="278" t="s">
        <v>1538</v>
      </c>
      <c r="X726" s="50" t="s">
        <v>1908</v>
      </c>
      <c r="Y726" s="278" t="s">
        <v>1538</v>
      </c>
      <c r="Z726" s="278"/>
      <c r="AA726" s="278"/>
      <c r="AB726" s="47"/>
    </row>
    <row r="727" hidden="1">
      <c r="A727" s="222" t="str">
        <f t="array" ref="A727:A728">{"FormulaRow44";(INDEX(CLASSLIST,A640,1))}</f>
        <v>FormulaRow44</v>
      </c>
      <c r="B727" s="222" t="str">
        <f t="array" ref="B727:B728">{"CLASSTYPE";((INDEX(ALLCLASSDATA,MATCH("ClassType",CLASSFEATUREHEADERS,0),MATCH($A728,CLASSNAMEHEADERS,0))))}</f>
        <v>CLASSTYPE</v>
      </c>
      <c r="C727" s="222" t="str">
        <f t="array" ref="C727:C728">{"SPELL/ALCHEMY";((IF(INDEX(ALLCLASSDATA,MATCH("CasterType",CLASSFEATUREHEADERS,0),MATCH(($A728),CLASSNAMEHEADERS,0))="","",(IF(INDEX(ALLCLASSDATA,MATCH("CasterType",CLASSFEATUREHEADERS,0),MATCH(($A728),CLASSNAMEHEADERS,0))="Alchemy","","Spells")))))}</f>
        <v>SPELL/ALCHEMY</v>
      </c>
      <c r="D727" s="222" t="str">
        <f t="array" ref="D727:D728">{"SPELLLIST";(IF(C728="Spells",((INDEX(ALLCLASSDATA,MATCH("CasterType",CLASSFEATUREHEADERS,0),MATCH(($A728),CLASSNAMEHEADERS,0))) &amp; ":" &amp; (INDEX(ALLCLASSDATA,MATCH("SpellList",CLASSFEATUREHEADERS,0),MATCH(($A728),CLASSNAMEHEADERS,0)))),""))}</f>
        <v>SPELLLIST</v>
      </c>
      <c r="E727" s="223" t="str">
        <f t="array" ref="E727:E728">{"TOTALSLOTS";(IF(C728="","","TotalSlots:"))}</f>
        <v>TOTALSLOTS</v>
      </c>
      <c r="F727" s="223" t="str">
        <f t="array" ref="F727:F728">{"TOTALCANTRIPSLOTS";(F724)}</f>
        <v>TOTALCANTRIPSLOTS</v>
      </c>
      <c r="G727" s="223" t="str">
        <f t="array" ref="G727:G728">{"TOTALSLOTS L01";(G724)}</f>
        <v>TOTALSLOTS L01</v>
      </c>
      <c r="H727" s="223" t="str">
        <f t="array" ref="H727:H728">{"TOTALSLOTS L02";(G728+H724)}</f>
        <v>TOTALSLOTS L02</v>
      </c>
      <c r="I727" s="223" t="str">
        <f t="array" ref="I727:I728">{"TOTALSLOTS L03";(H728+I724)}</f>
        <v>TOTALSLOTS L03</v>
      </c>
      <c r="J727" s="223" t="str">
        <f t="array" ref="J727:J728">{"TOTALSLOTS L04";(I728+J724)}</f>
        <v>TOTALSLOTS L04</v>
      </c>
      <c r="K727" s="223" t="str">
        <f t="array" ref="K727:K728">{"TOTALSLOTS L05";(J728+K724)}</f>
        <v>TOTALSLOTS L05</v>
      </c>
      <c r="L727" s="223" t="str">
        <f t="array" ref="L727:L728">{"TOTALSLOTS L06";(K728+L724)}</f>
        <v>TOTALSLOTS L06</v>
      </c>
      <c r="M727" s="223" t="str">
        <f t="array" ref="M727:M728">{"TOTALSLOTS L07";(L728+M724)}</f>
        <v>TOTALSLOTS L07</v>
      </c>
      <c r="N727" s="223" t="str">
        <f t="array" ref="N727:N728">{"TOTALSLOTS L08";(M728+N724)}</f>
        <v>TOTALSLOTS L08</v>
      </c>
      <c r="O727" s="223" t="str">
        <f t="array" ref="O727:O728">{"TOTALSLOTS L09";(N728+O724)}</f>
        <v>TOTALSLOTS L09</v>
      </c>
      <c r="P727" s="223" t="str">
        <f t="array" ref="P727:P728">{"TOTALSLOTS L10";(O728+P724)}</f>
        <v>TOTALSLOTS L10</v>
      </c>
      <c r="Q727" s="223" t="str">
        <f t="array" ref="Q727:Q728">{"TOTALSLOTS L11";(P728+Q724)}</f>
        <v>TOTALSLOTS L11</v>
      </c>
      <c r="R727" s="223" t="str">
        <f t="array" ref="R727:R728">{"TOTALSLOTS L12";(Q728+R724)}</f>
        <v>TOTALSLOTS L12</v>
      </c>
      <c r="S727" s="223" t="str">
        <f t="array" ref="S727:S728">{"TOTALSLOTS L13";(R728+S724)}</f>
        <v>TOTALSLOTS L13</v>
      </c>
      <c r="T727" s="223" t="str">
        <f t="array" ref="T727:T728">{"TOTALSLOTS L14";(S728+T724)}</f>
        <v>TOTALSLOTS L14</v>
      </c>
      <c r="U727" s="223" t="str">
        <f t="array" ref="U727:U728">{"TOTALSLOTS L15";(T728+U724)}</f>
        <v>TOTALSLOTS L15</v>
      </c>
      <c r="V727" s="223" t="str">
        <f t="array" ref="V727:V728">{"TOTALSLOTS L16";(U728+V724)}</f>
        <v>TOTALSLOTS L16</v>
      </c>
      <c r="W727" s="223" t="str">
        <f t="array" ref="W727:W728">{"TOTALSLOTS L17";(V728+W724)}</f>
        <v>TOTALSLOTS L17</v>
      </c>
      <c r="X727" s="223" t="str">
        <f t="array" ref="X727:X728">{"TOTALSLOTS L18";(W728+X724)}</f>
        <v>TOTALSLOTS L18</v>
      </c>
      <c r="Y727" s="223" t="str">
        <f t="array" ref="Y727:Y728">{"TOTALSLOTS L19";(X728+Y724)}</f>
        <v>TOTALSLOTS L19</v>
      </c>
      <c r="Z727" s="223" t="str">
        <f t="array" ref="Z727:Z728">{"TOTALSLOTS L20";(Y728+Z724)}</f>
        <v>TOTALSLOTS L20</v>
      </c>
      <c r="AA727" s="76"/>
      <c r="AB727" s="76"/>
    </row>
    <row r="728">
      <c r="A728" s="48" t="s">
        <v>223</v>
      </c>
      <c r="B728" s="48" t="s">
        <v>418</v>
      </c>
      <c r="C728" s="48" t="s">
        <v>1901</v>
      </c>
      <c r="D728" s="48" t="s">
        <v>1933</v>
      </c>
      <c r="E728" s="278" t="s">
        <v>1910</v>
      </c>
      <c r="F728" s="47">
        <v>4.0</v>
      </c>
      <c r="G728" s="278" t="s">
        <v>1538</v>
      </c>
      <c r="H728" s="278">
        <v>2.0</v>
      </c>
      <c r="I728" s="278">
        <v>4.0</v>
      </c>
      <c r="J728" s="278">
        <v>4.0</v>
      </c>
      <c r="K728" s="278">
        <v>6.0</v>
      </c>
      <c r="L728" s="278">
        <v>6.0</v>
      </c>
      <c r="M728" s="278">
        <v>8.0</v>
      </c>
      <c r="N728" s="278">
        <v>8.0</v>
      </c>
      <c r="O728" s="278">
        <v>10.0</v>
      </c>
      <c r="P728" s="278">
        <v>10.0</v>
      </c>
      <c r="Q728" s="278">
        <v>12.0</v>
      </c>
      <c r="R728" s="278">
        <v>12.0</v>
      </c>
      <c r="S728" s="278">
        <v>14.0</v>
      </c>
      <c r="T728" s="278">
        <v>14.0</v>
      </c>
      <c r="U728" s="278">
        <v>16.0</v>
      </c>
      <c r="V728" s="278">
        <v>16.0</v>
      </c>
      <c r="W728" s="278">
        <v>18.0</v>
      </c>
      <c r="X728" s="278">
        <v>18.0</v>
      </c>
      <c r="Y728" s="278">
        <v>19.0</v>
      </c>
      <c r="Z728" s="278">
        <v>19.0</v>
      </c>
      <c r="AA728" s="5"/>
      <c r="AB728" s="47"/>
    </row>
    <row r="729" hidden="1">
      <c r="A729" s="222" t="str">
        <f t="array" ref="A729:A730">{"FormulaRow45";(INDEX(CLASSLIST,A640,1))}</f>
        <v>FormulaRow45</v>
      </c>
      <c r="B729" s="222" t="str">
        <f t="array" ref="B729:B730">{"CLASSTYPE";((INDEX(ALLCLASSDATA,MATCH("ClassType",CLASSFEATUREHEADERS,0),MATCH($A730,CLASSNAMEHEADERS,0))))}</f>
        <v>CLASSTYPE</v>
      </c>
      <c r="C729" s="222" t="str">
        <f t="array" ref="C729:C730">{"SPELL/ALCHEMY";((IF(INDEX(ALLCLASSDATA,MATCH("CasterType",CLASSFEATUREHEADERS,0),MATCH(($A730),CLASSNAMEHEADERS,0))="","",(IF(INDEX(ALLCLASSDATA,MATCH("CasterType",CLASSFEATUREHEADERS,0),MATCH(($A730),CLASSNAMEHEADERS,0))="Alchemy","Alchemy","Spells")))))}</f>
        <v>SPELL/ALCHEMY</v>
      </c>
      <c r="D729" s="222" t="str">
        <f t="array" ref="D729:D730">{"SPELLLIST";(IF(C730="Spells",((INDEX(ALLCLASSDATA,MATCH("CasterType",CLASSFEATUREHEADERS,0),MATCH(($A730),CLASSNAMEHEADERS,0))) &amp; ":" &amp; (INDEX(ALLCLASSDATA,MATCH("SpellList",CLASSFEATUREHEADERS,0),MATCH(($A730),CLASSNAMEHEADERS,0)))),""))}</f>
        <v>SPELLLIST</v>
      </c>
      <c r="E729" s="223" t="str">
        <f t="array" ref="E729:E730">{"TOTALLEARNED";(IF(C730="","","TotalLearned:"))}</f>
        <v>TOTALLEARNED</v>
      </c>
      <c r="F729" s="223" t="str">
        <f t="array" ref="F729:F730">{"TOTALCANTRIPSLEARNED";(F726)}</f>
        <v>TOTALCANTRIPSLEARNED</v>
      </c>
      <c r="G729" s="223" t="str">
        <f t="array" ref="G729:G730">{"TOTALLEARNED L01";(G726)}</f>
        <v>TOTALLEARNED L01</v>
      </c>
      <c r="H729" s="223" t="str">
        <f t="array" ref="H729:H730">{"TOTALLEARNED L02";(G730+H726)}</f>
        <v>TOTALLEARNED L02</v>
      </c>
      <c r="I729" s="223" t="str">
        <f t="array" ref="I729:I730">{"TOTALLEARNED L03";(H730+I726)}</f>
        <v>TOTALLEARNED L03</v>
      </c>
      <c r="J729" s="223" t="str">
        <f t="array" ref="J729:J730">{"TOTALLEARNED L04";(I730+J726)}</f>
        <v>TOTALLEARNED L04</v>
      </c>
      <c r="K729" s="223" t="str">
        <f t="array" ref="K729:K730">{"TOTALLEARNED L05";(J730+K726)}</f>
        <v>TOTALLEARNED L05</v>
      </c>
      <c r="L729" s="223" t="str">
        <f t="array" ref="L729:L730">{"TOTALLEARNED L06";(K730+L726)}</f>
        <v>TOTALLEARNED L06</v>
      </c>
      <c r="M729" s="223" t="str">
        <f t="array" ref="M729:M730">{"TOTALLEARNED L07";(L730+M726)}</f>
        <v>TOTALLEARNED L07</v>
      </c>
      <c r="N729" s="223" t="str">
        <f t="array" ref="N729:N730">{"TOTALLEARNED L08";(M730+N726)}</f>
        <v>TOTALLEARNED L08</v>
      </c>
      <c r="O729" s="223" t="str">
        <f t="array" ref="O729:O730">{"TOTALLEARNED L09";(N730+O726)}</f>
        <v>TOTALLEARNED L09</v>
      </c>
      <c r="P729" s="223" t="str">
        <f t="array" ref="P729:P730">{"TOTALLEARNED L10";(O730+P726)}</f>
        <v>TOTALLEARNED L10</v>
      </c>
      <c r="Q729" s="223" t="str">
        <f t="array" ref="Q729:Q730">{"TOTALLEARNED L11";(P730+Q726)}</f>
        <v>TOTALLEARNED L11</v>
      </c>
      <c r="R729" s="223" t="str">
        <f t="array" ref="R729:R730">{"TOTALLEARNED L12";(Q730+R726)}</f>
        <v>TOTALLEARNED L12</v>
      </c>
      <c r="S729" s="223" t="str">
        <f t="array" ref="S729:S730">{"TOTALLEARNED L13";(R730+S726)}</f>
        <v>TOTALLEARNED L13</v>
      </c>
      <c r="T729" s="223" t="str">
        <f t="array" ref="T729:T730">{"TOTALLEARNED L14";(S730+T726)}</f>
        <v>TOTALLEARNED L14</v>
      </c>
      <c r="U729" s="223" t="str">
        <f t="array" ref="U729:U730">{"TOTALLEARNED L15";(T730+U726)}</f>
        <v>TOTALLEARNED L15</v>
      </c>
      <c r="V729" s="223" t="str">
        <f t="array" ref="V729:V730">{"TOTALLEARNED L16";(U730+V726)}</f>
        <v>TOTALLEARNED L16</v>
      </c>
      <c r="W729" s="223" t="str">
        <f t="array" ref="W729:W730">{"TOTALLEARNED L17";(V730+W726)}</f>
        <v>TOTALLEARNED L17</v>
      </c>
      <c r="X729" s="223" t="str">
        <f t="array" ref="X729:X730">{"TOTALLEARNED L18";(W730+X726)}</f>
        <v>TOTALLEARNED L18</v>
      </c>
      <c r="Y729" s="223" t="str">
        <f t="array" ref="Y729:Y730">{"TOTALLEARNED L19";(X730+Y726)}</f>
        <v>TOTALLEARNED L19</v>
      </c>
      <c r="Z729" s="223" t="str">
        <f t="array" ref="Z729:Z730">{"TOTALLEARNED L20";(Y730+Z726)}</f>
        <v>TOTALLEARNED L20</v>
      </c>
      <c r="AA729" s="76"/>
      <c r="AB729" s="76"/>
    </row>
    <row r="730">
      <c r="A730" s="97" t="s">
        <v>223</v>
      </c>
      <c r="B730" s="97" t="s">
        <v>418</v>
      </c>
      <c r="C730" s="97" t="s">
        <v>1901</v>
      </c>
      <c r="D730" s="97" t="s">
        <v>1933</v>
      </c>
      <c r="E730" s="281" t="s">
        <v>1911</v>
      </c>
      <c r="F730" s="282" t="s">
        <v>1533</v>
      </c>
      <c r="G730" s="278" t="s">
        <v>1538</v>
      </c>
      <c r="H730" s="278">
        <v>2.0</v>
      </c>
      <c r="I730" s="278">
        <v>4.0</v>
      </c>
      <c r="J730" s="278">
        <v>4.0</v>
      </c>
      <c r="K730" s="278">
        <v>6.0</v>
      </c>
      <c r="L730" s="278">
        <v>6.0</v>
      </c>
      <c r="M730" s="278">
        <v>8.0</v>
      </c>
      <c r="N730" s="278">
        <v>8.0</v>
      </c>
      <c r="O730" s="278">
        <v>10.0</v>
      </c>
      <c r="P730" s="278">
        <v>10.0</v>
      </c>
      <c r="Q730" s="278">
        <v>12.0</v>
      </c>
      <c r="R730" s="278">
        <v>12.0</v>
      </c>
      <c r="S730" s="278">
        <v>14.0</v>
      </c>
      <c r="T730" s="278">
        <v>14.0</v>
      </c>
      <c r="U730" s="278">
        <v>16.0</v>
      </c>
      <c r="V730" s="278">
        <v>16.0</v>
      </c>
      <c r="W730" s="278">
        <v>18.0</v>
      </c>
      <c r="X730" s="278">
        <v>18.0</v>
      </c>
      <c r="Y730" s="278">
        <v>20.0</v>
      </c>
      <c r="Z730" s="278">
        <v>20.0</v>
      </c>
      <c r="AA730" s="5"/>
      <c r="AB730" s="47"/>
    </row>
    <row r="731">
      <c r="A731" s="55">
        <v>23.0</v>
      </c>
      <c r="B731" s="79" t="s">
        <v>1934</v>
      </c>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c r="AA731" s="71"/>
      <c r="AB731" s="73"/>
    </row>
    <row r="732" hidden="1">
      <c r="A732" s="76" t="str">
        <f t="array" ref="A732:A733">{"FormulaRow01";(INDEX(CLASSLIST,A731,1))}</f>
        <v>FormulaRow01</v>
      </c>
      <c r="B732" s="76" t="str">
        <f t="array" ref="B732:B733">{"CLASSTYPE";(INDEX(ALLCLASSDATA,MATCH("ClassType",CLASSFEATUREHEADERS,0),MATCH($A733,CLASSNAMEHEADERS,0)))}</f>
        <v>CLASSTYPE</v>
      </c>
      <c r="C732" s="81" t="str">
        <f t="array" ref="C732:C733">{"TOTAL";("Total: " &amp; G733+I733+K733+M733+O733+Q733+S733+U733+W733+Y733)}</f>
        <v>TOTAL</v>
      </c>
      <c r="D732" s="81" t="str">
        <f t="array" ref="D732:D733">{"BALANCE";(IF((G733+I733+K733+M733+O733+Q733+S733+U733+W733+Y733)=2100,"(balanced)",(IF((G733+I733+K733+M733+O733+Q733+S733+U733+W733+Y733)&gt;2100,"OVERBUDGET: ","UNDERBUDGET: ")) &amp; (G733+I733+K733+M733+O733+Q733+S733+U733+W733+Y733-2100)))}</f>
        <v>BALANCE</v>
      </c>
      <c r="E732" s="81"/>
      <c r="F732" s="81"/>
      <c r="G732" s="81" t="str">
        <f t="array" ref="G732:G733">{"SUM LVL0/1/2";((SUMIF(E734:H813,"&lt;&gt;#REF!")+(SUMIF(I734:Z741,"&lt;&gt;#REF!"))))}</f>
        <v>SUM LVL0/1/2</v>
      </c>
      <c r="H732" s="81"/>
      <c r="I732" s="81" t="str">
        <f t="array" ref="I732:I733">{"SUM LVL3/4";(SUMIF(I742:J813,"&lt;&gt;#REF!"))}</f>
        <v>SUM LVL3/4</v>
      </c>
      <c r="J732" s="81"/>
      <c r="K732" s="81" t="str">
        <f t="array" ref="K732:K733">{"SUM LVL5/6";(SUMIF(K742:L813,"&lt;&gt;#REF!"))}</f>
        <v>SUM LVL5/6</v>
      </c>
      <c r="L732" s="81"/>
      <c r="M732" s="81" t="str">
        <f t="array" ref="M732:M733">{"SUM LVL7/8";(SUMIF(M742:N813,"&lt;&gt;#REF!"))}</f>
        <v>SUM LVL7/8</v>
      </c>
      <c r="N732" s="81"/>
      <c r="O732" s="81" t="str">
        <f t="array" ref="O732:O733">{"SUM LVL9/10";(SUMIF(O742:P813,"&lt;&gt;#REF!"))}</f>
        <v>SUM LVL9/10</v>
      </c>
      <c r="P732" s="81"/>
      <c r="Q732" s="81" t="str">
        <f t="array" ref="Q732:Q733">{"SUM LVL11/12";(SUMIF(Q742:R813,"&lt;&gt;#REF!"))}</f>
        <v>SUM LVL11/12</v>
      </c>
      <c r="R732" s="81"/>
      <c r="S732" s="81" t="str">
        <f t="array" ref="S732:S733">{"SUM LVL13/14";(SUMIF(S742:T813,"&lt;&gt;#REF!"))}</f>
        <v>SUM LVL13/14</v>
      </c>
      <c r="T732" s="81"/>
      <c r="U732" s="81" t="str">
        <f t="array" ref="U732:U733">{"SUM LVL15/16";(SUMIF(U742:V813,"&lt;&gt;#REF!"))}</f>
        <v>SUM LVL15/16</v>
      </c>
      <c r="V732" s="81"/>
      <c r="W732" s="81" t="str">
        <f t="array" ref="W732:W733">{"SUM LVL17/18";(SUMIF(W742:X813,"&lt;&gt;#REF!"))}</f>
        <v>SUM LVL17/18</v>
      </c>
      <c r="X732" s="81"/>
      <c r="Y732" s="81" t="str">
        <f t="array" ref="Y732:Y733">{"SUM LVL19/20";(SUMIF(Y742:Z813,"&lt;&gt;#REF!"))}</f>
        <v>SUM LVL19/20</v>
      </c>
      <c r="Z732" s="81"/>
      <c r="AA732" s="76"/>
      <c r="AB732" s="76" t="str">
        <f t="array" ref="AB732:AB733">{"SUM ROWTOTALS";(SUMIF(AB735:AB821,"&lt;&gt;#REF!"))}</f>
        <v>SUM ROWTOTALS</v>
      </c>
    </row>
    <row r="733">
      <c r="A733" s="48" t="s">
        <v>233</v>
      </c>
      <c r="B733" s="48" t="s">
        <v>418</v>
      </c>
      <c r="C733" s="97" t="s">
        <v>1929</v>
      </c>
      <c r="D733" s="98" t="s">
        <v>1930</v>
      </c>
      <c r="E733" s="97"/>
      <c r="F733" s="99"/>
      <c r="G733" s="98">
        <v>440.0</v>
      </c>
      <c r="H733" s="98"/>
      <c r="I733" s="98">
        <v>90.0</v>
      </c>
      <c r="J733" s="98"/>
      <c r="K733" s="98">
        <v>110.0</v>
      </c>
      <c r="L733" s="98"/>
      <c r="M733" s="98">
        <v>110.0</v>
      </c>
      <c r="N733" s="98"/>
      <c r="O733" s="98">
        <v>110.0</v>
      </c>
      <c r="P733" s="98"/>
      <c r="Q733" s="98">
        <v>160.0</v>
      </c>
      <c r="R733" s="98"/>
      <c r="S733" s="98">
        <v>180.0</v>
      </c>
      <c r="T733" s="98"/>
      <c r="U733" s="98">
        <v>170.0</v>
      </c>
      <c r="V733" s="98"/>
      <c r="W733" s="98">
        <v>170.0</v>
      </c>
      <c r="X733" s="98"/>
      <c r="Y733" s="98">
        <v>380.0</v>
      </c>
      <c r="Z733" s="98"/>
      <c r="AA733" s="5"/>
      <c r="AB733" s="47">
        <v>1920.0</v>
      </c>
    </row>
    <row r="734" hidden="1">
      <c r="A734" s="76" t="str">
        <f t="array" ref="A734:A735">{"FormulaRow02";(INDEX(CLASSLIST,A731,1))}</f>
        <v>FormulaRow02</v>
      </c>
      <c r="B734" s="76" t="str">
        <f t="array" ref="B734:B735">{"CLASSTYPE";((INDEX(ALLCLASSDATA,MATCH("ClassType",CLASSFEATUREHEADERS,0),MATCH($A735,CLASSNAMEHEADERS,0))))}</f>
        <v>CLASSTYPE</v>
      </c>
      <c r="C734" s="81" t="str">
        <f t="array" ref="C734:C735">{"FEATURES";"Features"}</f>
        <v>FEATURES</v>
      </c>
      <c r="D734" s="81" t="str">
        <f t="array" ref="D734:D735">{"INITIALFEATURES";"Initial Features"}</f>
        <v>INITIALFEATURES</v>
      </c>
      <c r="E734" s="81" t="str">
        <f t="array" ref="E734:E735">{"KEY";"Key"}</f>
        <v>KEY</v>
      </c>
      <c r="F734" s="81" t="str">
        <f t="array" ref="F734:F735">{"HP";"HP"}</f>
        <v>HP</v>
      </c>
      <c r="G734" s="81" t="str">
        <f t="array" ref="G734:G735">{"CLASSFEATL01";"ClassFeatL01"}</f>
        <v>CLASSFEATL01</v>
      </c>
      <c r="H734" s="81" t="str">
        <f t="array" ref="H734:H735">{"SHIELDBLOCKL01";"ShieldBlockL01"}</f>
        <v>SHIELDBLOCKL01</v>
      </c>
      <c r="I734" s="81" t="str">
        <f t="array" ref="I734:I735">{"INITIALSKILLS";"InitialSkills"}</f>
        <v>INITIALSKILLS</v>
      </c>
      <c r="J734" s="81" t="str">
        <f t="array" ref="J734:J735">{"SUBCLASSSKILLS";"SubclassSkills"}</f>
        <v>SUBCLASSSKILLS</v>
      </c>
      <c r="K734" s="81" t="str">
        <f t="array" ref="K734:K735">{"GRANTEDSKILLS";"GrantedSkills"}</f>
        <v>GRANTEDSKILLS</v>
      </c>
      <c r="L734" s="81"/>
      <c r="M734" s="81"/>
      <c r="N734" s="81"/>
      <c r="O734" s="81" t="str">
        <f t="array" ref="O734:O735">{"FOCUSSPELLS";"FocusSpells:"}</f>
        <v>FOCUSSPELLS</v>
      </c>
      <c r="P734" s="81" t="str">
        <f t="array" ref="P734:P735">{"FOCUSSPELL1-L00";((INDEX(ALLCLASSDATA,MATCH("FocusSpell1-L00",CLASSFEATUREHEADERS,0),MATCH(($A735),CLASSNAMEHEADERS,0))))}</f>
        <v>FOCUSSPELL1-L00</v>
      </c>
      <c r="Q734" s="81" t="str">
        <f t="array" ref="Q734:Q735">{"FOCUSSPELL2-L00";((INDEX(ALLCLASSDATA,MATCH("FocusSpell2-L00",CLASSFEATUREHEADERS,0),MATCH(($A735),CLASSNAMEHEADERS,0))))}</f>
        <v>FOCUSSPELL2-L00</v>
      </c>
      <c r="R734" s="81" t="str">
        <f t="array" ref="R734:R735">{"FOCUSSPELL3-L00";((INDEX(ALLCLASSDATA,MATCH("FocusSpell3-L00",CLASSFEATUREHEADERS,0),MATCH(($A735),CLASSNAMEHEADERS,0))))}</f>
        <v>FOCUSSPELL3-L00</v>
      </c>
      <c r="S734" s="81" t="str">
        <f t="array" ref="S734:S735">{"FOCUSSPELL4-L00";((INDEX(ALLCLASSDATA,MATCH("FocusSpell4-L00",CLASSFEATUREHEADERS,0),MATCH(($A735),CLASSNAMEHEADERS,0))))}</f>
        <v>FOCUSSPELL4-L00</v>
      </c>
      <c r="T734" s="81" t="str">
        <f t="array" ref="T734:T735">{"FOCUSSPELL5-L00";((INDEX(ALLCLASSDATA,MATCH("FocusSpell5-L00",CLASSFEATUREHEADERS,0),MATCH(($A735),CLASSNAMEHEADERS,0))))}</f>
        <v>FOCUSSPELL5-L00</v>
      </c>
      <c r="U734" s="81"/>
      <c r="V734" s="81"/>
      <c r="W734" s="81"/>
      <c r="X734" s="81"/>
      <c r="Y734" s="81"/>
      <c r="Z734" s="81"/>
      <c r="AA734" s="76"/>
      <c r="AB734" s="76"/>
    </row>
    <row r="735">
      <c r="A735" s="48" t="s">
        <v>233</v>
      </c>
      <c r="B735" s="48" t="s">
        <v>418</v>
      </c>
      <c r="C735" s="48" t="s">
        <v>467</v>
      </c>
      <c r="D735" s="48" t="s">
        <v>468</v>
      </c>
      <c r="E735" s="48" t="s">
        <v>469</v>
      </c>
      <c r="F735" s="114" t="s">
        <v>15</v>
      </c>
      <c r="G735" s="8" t="s">
        <v>451</v>
      </c>
      <c r="H735" s="8" t="s">
        <v>463</v>
      </c>
      <c r="I735" s="8" t="s">
        <v>473</v>
      </c>
      <c r="J735" s="8" t="s">
        <v>474</v>
      </c>
      <c r="K735" s="8" t="s">
        <v>475</v>
      </c>
      <c r="L735" s="8"/>
      <c r="M735" s="8"/>
      <c r="N735" s="8"/>
      <c r="O735" s="8" t="s">
        <v>476</v>
      </c>
      <c r="P735" s="116" t="s">
        <v>1604</v>
      </c>
      <c r="Q735" s="116"/>
      <c r="R735" s="116"/>
      <c r="S735" s="116"/>
      <c r="T735" s="116"/>
      <c r="U735" s="8"/>
      <c r="V735" s="8"/>
      <c r="W735" s="8"/>
      <c r="X735" s="8"/>
      <c r="Y735" s="5"/>
      <c r="Z735" s="5"/>
      <c r="AA735" s="5"/>
      <c r="AB735" s="47"/>
    </row>
    <row r="736" hidden="1">
      <c r="A736" s="76" t="str">
        <f t="array" ref="A736:A737">{"FormulaRow03";(INDEX(CLASSLIST,A731,1))}</f>
        <v>FormulaRow03</v>
      </c>
      <c r="B736" s="76" t="str">
        <f t="array" ref="B736:B737">{"CLASSTYPE";((INDEX(ALLCLASSDATA,MATCH("ClassType",CLASSFEATUREHEADERS,0),MATCH($A737,CLASSNAMEHEADERS,0))))}</f>
        <v>CLASSTYPE</v>
      </c>
      <c r="C736" s="76" t="str">
        <f t="array" ref="C736:C737">{"FEATUREPTS";"FeaturesPts"}</f>
        <v>FEATUREPTS</v>
      </c>
      <c r="D736" s="76" t="str">
        <f t="array" ref="D736:D737">{"INITIALFEATURES";"Initial Features"}</f>
        <v>INITIALFEATURES</v>
      </c>
      <c r="E736" s="76" t="str">
        <f t="array" ref="E736:E737">{"KEYABILITY";((INDEX(ALLCLASSDATA,MATCH("KEYABILITY",CLASSFEATUREHEADERS,0),MATCH($A737,CLASSNAMEHEADERS,0))))}</f>
        <v>KEYABILITY</v>
      </c>
      <c r="F736" s="76" t="str">
        <f t="array" ref="F736:F737">{"HP";((INDEX(ALLCLASSDATA,MATCH("HP",CLASSFEATUREHEADERS,0),MATCH(($A737 &amp; "Points"),CLASSNAMEHEADERS,0))))}</f>
        <v>HP</v>
      </c>
      <c r="G736" s="76" t="str">
        <f t="array" ref="G736:G737">{"CLASSFEATL01";((INDEX(ALLCLASSDATA,MATCH("ClassFeatL01",CLASSFEATUREHEADERS,0),MATCH(($A737 &amp; "Points"),CLASSNAMEHEADERS,0))))}</f>
        <v>CLASSFEATL01</v>
      </c>
      <c r="H736" s="76" t="str">
        <f t="array" ref="H736:H737">{"SHIELDBLOCKL01";((INDEX(ALLCLASSDATA,MATCH("ShieldBlockL01",CLASSFEATUREHEADERS,0),MATCH(($A737 &amp; "Points"),CLASSNAMEHEADERS,0))))}</f>
        <v>SHIELDBLOCKL01</v>
      </c>
      <c r="I736" s="76" t="str">
        <f t="array" ref="I736:I737">{"INITIALSKILLINCREASES";((INDEX(ALLCLASSDATA,MATCH("InitialSkillIncreases",CLASSFEATUREHEADERS,0),MATCH(($A737 &amp; "Points"),CLASSNAMEHEADERS,0))))}</f>
        <v>INITIALSKILLINCREASES</v>
      </c>
      <c r="J736" s="76" t="str">
        <f t="array" ref="J736:J737">{"SUBCLASSSKILLINCREASES";((INDEX(ALLCLASSDATA,MATCH("SubclassSkillIncreases",CLASSFEATUREHEADERS,0),MATCH(($A737 &amp; "Points"),CLASSNAMEHEADERS,0))))}</f>
        <v>SUBCLASSSKILLINCREASES</v>
      </c>
      <c r="K736" s="76" t="str">
        <f t="array" ref="K736:K737">{"GRANTEDSKILLS";(((INDEX(ALLCLASSDATA,MATCH("SkillsGrantedTotal",CLASSFEATUREHEADERS,0),MATCH(($A737 &amp; "Points"),CLASSNAMEHEADERS,0)))-(INDEX(ALLCLASSDATA,MATCH("InitialSkillIncreases",CLASSFEATUREHEADERS,0),MATCH(($A737 &amp; "Points"),CLASSNAMEHEADERS,0)))-(INDEX(ALLCLASSDATA,MATCH("SubclassSkillIncreases",CLASSFEATUREHEADERS,0),MATCH(($A737 &amp; "Points"),CLASSNAMEHEADERS,0)))))}</f>
        <v>GRANTEDSKILLS</v>
      </c>
      <c r="L736" s="76"/>
      <c r="M736" s="76"/>
      <c r="N736" s="76"/>
      <c r="O736" s="76"/>
      <c r="P736" s="76" t="str">
        <f t="array" ref="P736:P737">{"FOCUSSPELL1-L00";((INDEX(ALLCLASSDATA,MATCH("FocusSpell1-L00",CLASSFEATUREHEADERS,0),MATCH(($A737 &amp; "Points"),CLASSNAMEHEADERS,0))))}</f>
        <v>FOCUSSPELL1-L00</v>
      </c>
      <c r="Q736" s="76" t="str">
        <f t="array" ref="Q736:Q737">{"FOCUSSPELL2-L00";((INDEX(ALLCLASSDATA,MATCH("FocusSpell2-L00",CLASSFEATUREHEADERS,0),MATCH(($A737 &amp; "Points"),CLASSNAMEHEADERS,0))))}</f>
        <v>FOCUSSPELL2-L00</v>
      </c>
      <c r="R736" s="76" t="str">
        <f t="array" ref="R736:R737">{"FOCUSSPELL3-L00";((INDEX(ALLCLASSDATA,MATCH("FocusSpell3-L00",CLASSFEATUREHEADERS,0),MATCH(($A737 &amp; "Points"),CLASSNAMEHEADERS,0))))}</f>
        <v>FOCUSSPELL3-L00</v>
      </c>
      <c r="S736" s="76" t="str">
        <f t="array" ref="S736:S737">{"FOCUSSPELL4-L00";((INDEX(ALLCLASSDATA,MATCH("FocusSpell4-L00",CLASSFEATUREHEADERS,0),MATCH(($A737 &amp; "Points"),CLASSNAMEHEADERS,0))))}</f>
        <v>FOCUSSPELL4-L00</v>
      </c>
      <c r="T736" s="76" t="str">
        <f t="array" ref="T736:T737">{"FOCUSSPELL5-L00";((INDEX(ALLCLASSDATA,MATCH("FocusSpell5-L00",CLASSFEATUREHEADERS,0),MATCH(($A737 &amp; "Points"),CLASSNAMEHEADERS,0))))}</f>
        <v>FOCUSSPELL5-L00</v>
      </c>
      <c r="U736" s="76"/>
      <c r="V736" s="76"/>
      <c r="W736" s="76"/>
      <c r="X736" s="76"/>
      <c r="Y736" s="76"/>
      <c r="Z736" s="76"/>
      <c r="AA736" s="76"/>
      <c r="AB736" s="76" t="str">
        <f t="array" ref="AB736:AB737">{"FEATUREPTS TOTAL";(sum(F737:Z737))}</f>
        <v>FEATUREPTS TOTAL</v>
      </c>
    </row>
    <row r="737">
      <c r="A737" s="48" t="s">
        <v>233</v>
      </c>
      <c r="B737" s="48" t="s">
        <v>418</v>
      </c>
      <c r="C737" s="97" t="s">
        <v>559</v>
      </c>
      <c r="D737" s="97" t="s">
        <v>468</v>
      </c>
      <c r="E737" s="97" t="s">
        <v>264</v>
      </c>
      <c r="F737" s="132">
        <v>60.0</v>
      </c>
      <c r="G737" s="98" t="s">
        <v>603</v>
      </c>
      <c r="H737" s="98" t="s">
        <v>603</v>
      </c>
      <c r="I737" s="98">
        <v>10.0</v>
      </c>
      <c r="J737" s="98">
        <v>10.0</v>
      </c>
      <c r="K737" s="98">
        <v>0.0</v>
      </c>
      <c r="L737" s="98"/>
      <c r="M737" s="98"/>
      <c r="N737" s="98"/>
      <c r="O737" s="98"/>
      <c r="P737" s="98">
        <v>10.0</v>
      </c>
      <c r="Q737" s="98"/>
      <c r="R737" s="98"/>
      <c r="S737" s="98"/>
      <c r="T737" s="98"/>
      <c r="U737" s="98"/>
      <c r="V737" s="98"/>
      <c r="W737" s="98"/>
      <c r="X737" s="98"/>
      <c r="Y737" s="98"/>
      <c r="Z737" s="98"/>
      <c r="AA737" s="5"/>
      <c r="AB737" s="47">
        <v>90.0</v>
      </c>
    </row>
    <row r="738" hidden="1">
      <c r="A738" s="76" t="str">
        <f t="array" ref="A738:A739">{"FormulaRow04";(INDEX(CLASSLIST,A731,1))}</f>
        <v>FormulaRow04</v>
      </c>
      <c r="B738" s="76" t="str">
        <f t="array" ref="B738:B739">{"CLASSTYPE";((INDEX(ALLCLASSDATA,MATCH("ClassType",CLASSFEATUREHEADERS,0),MATCH($A739,CLASSNAMEHEADERS,0))))}</f>
        <v>CLASSTYPE</v>
      </c>
      <c r="C738" s="81" t="str">
        <f t="array" ref="C738:C739">{"INITIALFEATURES";"InitialFeatures"}</f>
        <v>INITIALFEATURES</v>
      </c>
      <c r="D738" s="81" t="str">
        <f t="array" ref="D738:D739">{"CLASS/SUBCLASSFEATURES";"Class/Subclass Features"}</f>
        <v>CLASS/SUBCLASSFEATURES</v>
      </c>
      <c r="E738" s="81"/>
      <c r="F738" s="136"/>
      <c r="G738" s="81" t="str">
        <f t="array" ref="G738:G739">{"CLASSINITIALABILITY1-L00";((INDEX(ALLCLASSDATA,MATCH("ClassInitialAbility1-L00",CLASSFEATUREHEADERS,0),MATCH(($A739),CLASSNAMEHEADERS,0))))}</f>
        <v>CLASSINITIALABILITY1-L00</v>
      </c>
      <c r="H738" s="81" t="str">
        <f t="array" ref="H738:H739">{"CLASSINITIALABILITY2-L00";((INDEX(ALLCLASSDATA,MATCH("ClassInitialAbility2-L00",CLASSFEATUREHEADERS,0),MATCH(($A739),CLASSNAMEHEADERS,0))))}</f>
        <v>CLASSINITIALABILITY2-L00</v>
      </c>
      <c r="I738" s="81" t="str">
        <f t="array" ref="I738:I739">{"CLASSINITIALABILITY3-L00";((INDEX(ALLCLASSDATA,MATCH("ClassInitialAbility3-L00",CLASSFEATUREHEADERS,0),MATCH(($A739),CLASSNAMEHEADERS,0))))}</f>
        <v>CLASSINITIALABILITY3-L00</v>
      </c>
      <c r="J738" s="81" t="str">
        <f t="array" ref="J738:J739">{"CLASSINITIALABILITY4-L00";((INDEX(ALLCLASSDATA,MATCH("ClassInitialAbility4-L00",CLASSFEATUREHEADERS,0),MATCH(($A739),CLASSNAMEHEADERS,0))))}</f>
        <v>#REF!</v>
      </c>
      <c r="K738" s="81" t="str">
        <f t="array" ref="K738:K739">{"CLASSINITIALABILITY5-L00";((INDEX(ALLCLASSDATA,MATCH("ClassInitialAbility5-L00",CLASSFEATUREHEADERS,0),MATCH(($A739),CLASSNAMEHEADERS,0))))}</f>
        <v>CLASSINITIALABILITY5-L00</v>
      </c>
      <c r="L738" s="81" t="str">
        <f t="array" ref="L738:L739">{"CLASSINITIALABILITY6-L00";((INDEX(ALLCLASSDATA,MATCH("ClassInitialAbility6-L00",CLASSFEATUREHEADERS,0),MATCH(($A739),CLASSNAMEHEADERS,0))))}</f>
        <v>CLASSINITIALABILITY6-L00</v>
      </c>
      <c r="M738" s="81" t="str">
        <f t="array" ref="M738:M739">{"CLASSINITIALABILITY7-L00";((INDEX(ALLCLASSDATA,MATCH("ClassInitialAbility7-L00",CLASSFEATUREHEADERS,0),MATCH(($A739),CLASSNAMEHEADERS,0))))}</f>
        <v>CLASSINITIALABILITY7-L00</v>
      </c>
      <c r="N738" s="81" t="str">
        <f t="array" ref="N738:N739">{"CLASSINITIALABILITY8-L00";((INDEX(ALLCLASSDATA,MATCH("ClassInitialAbility8-L00",CLASSFEATUREHEADERS,0),MATCH(($A739),CLASSNAMEHEADERS,0))))}</f>
        <v>CLASSINITIALABILITY8-L00</v>
      </c>
      <c r="O738" s="81" t="str">
        <f t="array" ref="O738:O739">{"CLASSINITIALABILITY9-L00";((INDEX(ALLCLASSDATA,MATCH("ClassInitialAbility9-L00",CLASSFEATUREHEADERS,0),MATCH(($A739),CLASSNAMEHEADERS,0))))}</f>
        <v>CLASSINITIALABILITY9-L00</v>
      </c>
      <c r="P738" s="81" t="str">
        <f t="array" ref="P738:P739">{"CLASSINITIALABILITY10-L00";((INDEX(ALLCLASSDATA,MATCH("ClassInitialAbility10-L00",CLASSFEATUREHEADERS,0),MATCH(($A739),CLASSNAMEHEADERS,0))))}</f>
        <v>CLASSINITIALABILITY10-L00</v>
      </c>
      <c r="Q738" s="81" t="str">
        <f t="array" ref="Q738:Q739">{"SUBCLASSINITIAL1-L00";((INDEX(ALLCLASSDATA,MATCH("SubclassInitial1-L00",CLASSFEATUREHEADERS,0),MATCH(($A739),CLASSNAMEHEADERS,0))))}</f>
        <v>SUBCLASSINITIAL1-L00</v>
      </c>
      <c r="R738" s="81" t="str">
        <f t="array" ref="R738:R739">{"SUBCLASSINITIAL2-L00";((INDEX(ALLCLASSDATA,MATCH("SubclassInitial2-L00",CLASSFEATUREHEADERS,0),MATCH(($A739),CLASSNAMEHEADERS,0))))}</f>
        <v>SUBCLASSINITIAL2-L00</v>
      </c>
      <c r="S738" s="81" t="str">
        <f t="array" ref="S738:S739">{"SUBCLASSINITIAL3-L00";((INDEX(ALLCLASSDATA,MATCH("SubclassInitial3-L00",CLASSFEATUREHEADERS,0),MATCH(($A739),CLASSNAMEHEADERS,0))))}</f>
        <v>SUBCLASSINITIAL3-L00</v>
      </c>
      <c r="T738" s="81" t="str">
        <f t="array" ref="T738:T739">{"SUBCLASSINITIAL4-L00";((INDEX(ALLCLASSDATA,MATCH("SubclassInitial4-L00",CLASSFEATUREHEADERS,0),MATCH(($A739),CLASSNAMEHEADERS,0))))}</f>
        <v>SUBCLASSINITIAL4-L00</v>
      </c>
      <c r="U738" s="81" t="str">
        <f t="array" ref="U738:U739">{"SUBCLASSINITIAL5-L00";((INDEX(ALLCLASSDATA,MATCH("SubclassInitial5-L00",CLASSFEATUREHEADERS,0),MATCH(($A739),CLASSNAMEHEADERS,0))))}</f>
        <v>SUBCLASSINITIAL5-L00</v>
      </c>
      <c r="V738" s="81" t="str">
        <f t="array" ref="V738:V739">{"SUBCLASSINITIAL6-L00";((INDEX(ALLCLASSDATA,MATCH("SubclassInitial6-L00",CLASSFEATUREHEADERS,0),MATCH(($A739),CLASSNAMEHEADERS,0))))}</f>
        <v>SUBCLASSINITIAL6-L00</v>
      </c>
      <c r="W738" s="81" t="str">
        <f t="array" ref="W738:W739">{"SUBCLASSINITIAL7-L00";((INDEX(ALLCLASSDATA,MATCH("SubclassInitial7-L00",CLASSFEATUREHEADERS,0),MATCH(($A739),CLASSNAMEHEADERS,0))))}</f>
        <v>SUBCLASSINITIAL7-L00</v>
      </c>
      <c r="X738" s="81" t="str">
        <f t="array" ref="X738:X739">{"SUBCLASSINITIAL8-L00";((INDEX(ALLCLASSDATA,MATCH("SubclassInitial8-L00",CLASSFEATUREHEADERS,0),MATCH(($A739),CLASSNAMEHEADERS,0))))}</f>
        <v>SUBCLASSINITIAL8-L00</v>
      </c>
      <c r="Y738" s="81" t="str">
        <f t="array" ref="Y738:Y739">{"SUBCLASSINITIAL9-L00";((INDEX(ALLCLASSDATA,MATCH("SubclassInitial9-L00",CLASSFEATUREHEADERS,0),MATCH(($A739),CLASSNAMEHEADERS,0))))}</f>
        <v>SUBCLASSINITIAL9-L00</v>
      </c>
      <c r="Z738" s="81" t="str">
        <f t="array" ref="Z738:Z739">{"SUBCLASSINITIAL10-L00";((INDEX(ALLCLASSDATA,MATCH("SubclassInitial10-L00",CLASSFEATUREHEADERS,0),MATCH(($A739),CLASSNAMEHEADERS,0))))}</f>
        <v>SUBCLASSINITIAL10-L00</v>
      </c>
      <c r="AA738" s="76"/>
      <c r="AB738" s="76"/>
    </row>
    <row r="739">
      <c r="A739" s="48" t="s">
        <v>233</v>
      </c>
      <c r="B739" s="48" t="s">
        <v>418</v>
      </c>
      <c r="C739" s="48" t="s">
        <v>614</v>
      </c>
      <c r="D739" s="48" t="s">
        <v>616</v>
      </c>
      <c r="E739" s="48"/>
      <c r="F739" s="47"/>
      <c r="G739" s="5" t="s">
        <v>1628</v>
      </c>
      <c r="H739" s="5" t="s">
        <v>1638</v>
      </c>
      <c r="I739" s="5"/>
      <c r="J739" s="48" t="s">
        <v>1926</v>
      </c>
      <c r="K739" s="5"/>
      <c r="L739" s="5"/>
      <c r="M739" s="5"/>
      <c r="N739" s="5"/>
      <c r="O739" s="5"/>
      <c r="P739" s="5"/>
      <c r="Q739" s="5" t="s">
        <v>1827</v>
      </c>
      <c r="R739" s="5"/>
      <c r="S739" s="5"/>
      <c r="T739" s="5"/>
      <c r="U739" s="5"/>
      <c r="V739" s="5"/>
      <c r="W739" s="5"/>
      <c r="X739" s="5"/>
      <c r="Y739" s="5"/>
      <c r="Z739" s="5"/>
      <c r="AA739" s="5"/>
      <c r="AB739" s="47"/>
    </row>
    <row r="740" hidden="1">
      <c r="A740" s="76" t="str">
        <f t="array" ref="A740:A741">{"FormulaRow05";(INDEX(CLASSLIST,A731,1))}</f>
        <v>FormulaRow05</v>
      </c>
      <c r="B740" s="76" t="str">
        <f t="array" ref="B740:B741">{"CLASSTYPE";((INDEX(ALLCLASSDATA,MATCH("ClassType",CLASSFEATUREHEADERS,0),MATCH($A741,CLASSNAMEHEADERS,0))))}</f>
        <v>CLASSTYPE</v>
      </c>
      <c r="C740" s="76" t="str">
        <f t="array" ref="C740:C741">{"INITIALFEATURESPTS";"InitialFeaturesPts"}</f>
        <v>INITIALFEATURESPTS</v>
      </c>
      <c r="D740" s="76" t="str">
        <f t="array" ref="D740:D741">{"CLASS/SUBCLASSFEATURES";"Class/Subclass Features"}</f>
        <v>CLASS/SUBCLASSFEATURES</v>
      </c>
      <c r="E740" s="76"/>
      <c r="F740" s="76"/>
      <c r="G740" s="76" t="str">
        <f t="array" ref="G740:G741">{"CLASSINITIALABILITY1-L00PTS";((INDEX(ALLCLASSDATA,MATCH("ClassInitialAbility1-L00",CLASSFEATUREHEADERS,0),MATCH(($A741 &amp; "Points"),CLASSNAMEHEADERS,0))))}</f>
        <v>CLASSINITIALABILITY1-L00PTS</v>
      </c>
      <c r="H740" s="76" t="str">
        <f t="array" ref="H740:H741">{"CLASSINITIALABILITY2-L00PTS";((INDEX(ALLCLASSDATA,MATCH("ClassInitialAbility2-L00",CLASSFEATUREHEADERS,0),MATCH(($A741 &amp; "Points"),CLASSNAMEHEADERS,0))))}</f>
        <v>CLASSINITIALABILITY2-L00PTS</v>
      </c>
      <c r="I740" s="76" t="str">
        <f t="array" ref="I740:I741">{"CLASSINITIALABILITY3-L00PTS";((INDEX(ALLCLASSDATA,MATCH("ClassInitialAbility3-L00",CLASSFEATUREHEADERS,0),MATCH(($A741 &amp; "Points"),CLASSNAMEHEADERS,0))))}</f>
        <v>CLASSINITIALABILITY3-L00PTS</v>
      </c>
      <c r="J740" s="76" t="str">
        <f t="array" ref="J740:J741">{"CLASSINITIALABILITY4-L00PTS";((INDEX(ALLCLASSDATA,MATCH("ClassInitialAbility4-L00",CLASSFEATUREHEADERS,0),MATCH(($A741 &amp; "Points"),CLASSNAMEHEADERS,0))))}</f>
        <v>CLASSINITIALABILITY4-L00PTS</v>
      </c>
      <c r="K740" s="76" t="str">
        <f t="array" ref="K740:K741">{"CLASSINITIALABILITY5-L00PTS";((INDEX(ALLCLASSDATA,MATCH("ClassInitialAbility5-L00",CLASSFEATUREHEADERS,0),MATCH(($A741 &amp; "Points"),CLASSNAMEHEADERS,0))))}</f>
        <v>CLASSINITIALABILITY5-L00PTS</v>
      </c>
      <c r="L740" s="76" t="str">
        <f t="array" ref="L740:L741">{"CLASSINITIALABILITY6-L00PTS";((INDEX(ALLCLASSDATA,MATCH("ClassInitialAbility6-L00",CLASSFEATUREHEADERS,0),MATCH(($A741 &amp; "Points"),CLASSNAMEHEADERS,0))))}</f>
        <v>CLASSINITIALABILITY6-L00PTS</v>
      </c>
      <c r="M740" s="76" t="str">
        <f t="array" ref="M740:M741">{"CLASSINITIALABILITY7-L00PTS";((INDEX(ALLCLASSDATA,MATCH("ClassInitialAbility7-L00",CLASSFEATUREHEADERS,0),MATCH(($A741 &amp; "Points"),CLASSNAMEHEADERS,0))))}</f>
        <v>CLASSINITIALABILITY7-L00PTS</v>
      </c>
      <c r="N740" s="76" t="str">
        <f t="array" ref="N740:N741">{"CLASSINITIALABILITY8-L00PTS";((INDEX(ALLCLASSDATA,MATCH("ClassInitialAbility8-L00",CLASSFEATUREHEADERS,0),MATCH(($A741 &amp; "Points"),CLASSNAMEHEADERS,0))))}</f>
        <v>CLASSINITIALABILITY8-L00PTS</v>
      </c>
      <c r="O740" s="76" t="str">
        <f t="array" ref="O740:O741">{"CLASSINITIALABILITY9-L00PTS";((INDEX(ALLCLASSDATA,MATCH("ClassInitialAbility9-L00",CLASSFEATUREHEADERS,0),MATCH(($A741 &amp; "Points"),CLASSNAMEHEADERS,0))))}</f>
        <v>CLASSINITIALABILITY9-L00PTS</v>
      </c>
      <c r="P740" s="76" t="str">
        <f t="array" ref="P740:P741">{"CLASSINITIALABILITY10-L00PTS";((INDEX(ALLCLASSDATA,MATCH("ClassInitialAbility10-L00",CLASSFEATUREHEADERS,0),MATCH(($A741 &amp; "Points"),CLASSNAMEHEADERS,0))))}</f>
        <v>CLASSINITIALABILITY10-L00PTS</v>
      </c>
      <c r="Q740" s="76" t="str">
        <f t="array" ref="Q740:Q741">{"SUBCLASSINITIAL1-L00PTS";((INDEX(ALLCLASSDATA,MATCH("SubclassInitial1-L00",CLASSFEATUREHEADERS,0),MATCH(($A741 &amp; "Points"),CLASSNAMEHEADERS,0))))}</f>
        <v>SUBCLASSINITIAL1-L00PTS</v>
      </c>
      <c r="R740" s="76" t="str">
        <f t="array" ref="R740:R741">{"SUBCLASSINITIAL2-L00PTS";((INDEX(ALLCLASSDATA,MATCH("SubclassInitial2-L00",CLASSFEATUREHEADERS,0),MATCH(($A741 &amp; "Points"),CLASSNAMEHEADERS,0))))}</f>
        <v>SUBCLASSINITIAL2-L00PTS</v>
      </c>
      <c r="S740" s="76" t="str">
        <f t="array" ref="S740:S741">{"SUBCLASSINITIAL3-L00PTS";((INDEX(ALLCLASSDATA,MATCH("SubclassInitial3-L00",CLASSFEATUREHEADERS,0),MATCH(($A741 &amp; "Points"),CLASSNAMEHEADERS,0))))}</f>
        <v>SUBCLASSINITIAL3-L00PTS</v>
      </c>
      <c r="T740" s="76" t="str">
        <f t="array" ref="T740:T741">{"SUBCLASSINITIAL4-L00PTS";((INDEX(ALLCLASSDATA,MATCH("SubclassInitial4-L00",CLASSFEATUREHEADERS,0),MATCH(($A741 &amp; "Points"),CLASSNAMEHEADERS,0))))}</f>
        <v>SUBCLASSINITIAL4-L00PTS</v>
      </c>
      <c r="U740" s="76" t="str">
        <f t="array" ref="U740:U741">{"SUBCLASSINITIAL5-L00PTS";((INDEX(ALLCLASSDATA,MATCH("SubclassInitial5-L00",CLASSFEATUREHEADERS,0),MATCH(($A741 &amp; "Points"),CLASSNAMEHEADERS,0))))}</f>
        <v>SUBCLASSINITIAL5-L00PTS</v>
      </c>
      <c r="V740" s="76" t="str">
        <f t="array" ref="V740:V741">{"SUBCLASSINITIAL6-L00PTS";((INDEX(ALLCLASSDATA,MATCH("SubclassInitial6-L00",CLASSFEATUREHEADERS,0),MATCH(($A741 &amp; "Points"),CLASSNAMEHEADERS,0))))}</f>
        <v>SUBCLASSINITIAL6-L00PTS</v>
      </c>
      <c r="W740" s="76" t="str">
        <f t="array" ref="W740:W741">{"SUBCLASSINITIAL7-L00PTS";((INDEX(ALLCLASSDATA,MATCH("SubclassInitial7-L00",CLASSFEATUREHEADERS,0),MATCH(($A741 &amp; "Points"),CLASSNAMEHEADERS,0))))}</f>
        <v>SUBCLASSINITIAL7-L00PTS</v>
      </c>
      <c r="X740" s="76" t="str">
        <f t="array" ref="X740:X741">{"SUBCLASSINITIAL8-L00PTS";((INDEX(ALLCLASSDATA,MATCH("SubclassInitial8-L00",CLASSFEATUREHEADERS,0),MATCH(($A741 &amp; "Points"),CLASSNAMEHEADERS,0))))}</f>
        <v>SUBCLASSINITIAL8-L00PTS</v>
      </c>
      <c r="Y740" s="76" t="str">
        <f t="array" ref="Y740:Y741">{"SUBCLASSINITIAL9-L00PTS";((INDEX(ALLCLASSDATA,MATCH("SubclassInitial9-L00",CLASSFEATUREHEADERS,0),MATCH(($A741 &amp; "Points"),CLASSNAMEHEADERS,0))))}</f>
        <v>SUBCLASSINITIAL9-L00PTS</v>
      </c>
      <c r="Z740" s="76" t="str">
        <f t="array" ref="Z740:Z741">{"SUBCLASSINITIAL10-L00PTS";((INDEX(ALLCLASSDATA,MATCH("SubclassInitial10-L00",CLASSFEATUREHEADERS,0),MATCH(($A741 &amp; "Points"),CLASSNAMEHEADERS,0))))}</f>
        <v>SUBCLASSINITIAL10-L00PTS</v>
      </c>
      <c r="AA740" s="76"/>
      <c r="AB740" s="76" t="str">
        <f t="array" ref="AB740:AB741">{"INITIALFEATUREPTS TOTAL";(sum(F741:Z741))}</f>
        <v>INITIALFEATUREPTS TOTAL</v>
      </c>
    </row>
    <row r="741">
      <c r="A741" s="48" t="s">
        <v>233</v>
      </c>
      <c r="B741" s="48" t="s">
        <v>418</v>
      </c>
      <c r="C741" s="97" t="s">
        <v>651</v>
      </c>
      <c r="D741" s="97" t="s">
        <v>616</v>
      </c>
      <c r="E741" s="97"/>
      <c r="F741" s="132"/>
      <c r="G741" s="98">
        <v>10.0</v>
      </c>
      <c r="H741" s="98"/>
      <c r="I741" s="97"/>
      <c r="J741" s="98"/>
      <c r="K741" s="97"/>
      <c r="L741" s="98"/>
      <c r="M741" s="98"/>
      <c r="N741" s="98"/>
      <c r="O741" s="98"/>
      <c r="P741" s="98"/>
      <c r="Q741" s="98">
        <v>150.0</v>
      </c>
      <c r="R741" s="98"/>
      <c r="S741" s="98"/>
      <c r="T741" s="98"/>
      <c r="U741" s="98"/>
      <c r="V741" s="98"/>
      <c r="W741" s="98"/>
      <c r="X741" s="98"/>
      <c r="Y741" s="98"/>
      <c r="Z741" s="98"/>
      <c r="AA741" s="5"/>
      <c r="AB741" s="47">
        <v>160.0</v>
      </c>
    </row>
    <row r="742" hidden="1">
      <c r="A742" s="76" t="str">
        <f t="array" ref="A742:A743">{"FormulaRow06";(INDEX(CLASSLIST,A731,1))}</f>
        <v>FormulaRow06</v>
      </c>
      <c r="B742" s="76" t="str">
        <f t="array" ref="B742:B743">{"CLASSTYPE";((INDEX(ALLCLASSDATA,MATCH("ClassType",CLASSFEATUREHEADERS,0),MATCH($A743,CLASSNAMEHEADERS,0))))}</f>
        <v>CLASSTYPE</v>
      </c>
      <c r="C742" s="81" t="str">
        <f t="array" ref="C742:C743">{"SKILLS";"Skills"}</f>
        <v>SKILLS</v>
      </c>
      <c r="D742" s="81" t="str">
        <f t="array" ref="D742:D743">{"EXTRASKILLINCREASES";"Extra Skill Increases"}</f>
        <v>EXTRASKILLINCREASES</v>
      </c>
      <c r="E742" s="81"/>
      <c r="F742" s="81"/>
      <c r="G742" s="81"/>
      <c r="H742" s="81" t="str">
        <f t="array" ref="H742:H743">{"SKILLINCREASEEXTRA-L02";((INDEX(ALLCLASSDATA,MATCH("SkillIncreaseExtra-L02",CLASSFEATUREHEADERS,0),MATCH(($A743 &amp; "Points"),CLASSNAMEHEADERS,0))))}</f>
        <v>SKILLINCREASEEXTRA-L02</v>
      </c>
      <c r="I742" s="81" t="str">
        <f t="array" ref="I742:I743">{"SKILLINCREASEEXTRA-L03";((INDEX(ALLCLASSDATA,MATCH("SkillIncreaseExtra-L03",CLASSFEATUREHEADERS,0),MATCH(($A743 &amp; "Points"),CLASSNAMEHEADERS,0))))}</f>
        <v>SKILLINCREASEEXTRA-L03</v>
      </c>
      <c r="J742" s="81" t="str">
        <f t="array" ref="J742:J743">{"SKILLINCREASEEXTRA-L04";((INDEX(ALLCLASSDATA,MATCH("SkillIncreaseExtra-L04",CLASSFEATUREHEADERS,0),MATCH(($A743 &amp; "Points"),CLASSNAMEHEADERS,0))))}</f>
        <v>SKILLINCREASEEXTRA-L04</v>
      </c>
      <c r="K742" s="81" t="str">
        <f t="array" ref="K742:K743">{"SKILLINCREASEEXTRA-L05";((INDEX(ALLCLASSDATA,MATCH("SkillIncreaseExtra-L05",CLASSFEATUREHEADERS,0),MATCH(($A743 &amp; "Points"),CLASSNAMEHEADERS,0))))}</f>
        <v>SKILLINCREASEEXTRA-L05</v>
      </c>
      <c r="L742" s="81" t="str">
        <f t="array" ref="L742:L743">{"SKILLINCREASEEXTRA-L06";((INDEX(ALLCLASSDATA,MATCH("SkillIncreaseExtra-L06",CLASSFEATUREHEADERS,0),MATCH(($A743 &amp; "Points"),CLASSNAMEHEADERS,0))))}</f>
        <v>SKILLINCREASEEXTRA-L06</v>
      </c>
      <c r="M742" s="81" t="str">
        <f t="array" ref="M742:M743">{"SKILLINCREASEEXTRA-L07";((INDEX(ALLCLASSDATA,MATCH("SkillIncreaseExtra-L07",CLASSFEATUREHEADERS,0),MATCH(($A743 &amp; "Points"),CLASSNAMEHEADERS,0))))}</f>
        <v>SKILLINCREASEEXTRA-L07</v>
      </c>
      <c r="N742" s="81" t="str">
        <f t="array" ref="N742:N743">{"SKILLINCREASEEXTRA-L08";((INDEX(ALLCLASSDATA,MATCH("SkillIncreaseExtra-L08",CLASSFEATUREHEADERS,0),MATCH(($A743 &amp; "Points"),CLASSNAMEHEADERS,0))))}</f>
        <v>SKILLINCREASEEXTRA-L08</v>
      </c>
      <c r="O742" s="81" t="str">
        <f t="array" ref="O742:O743">{"SKILLINCREASEEXTRA-L09";((INDEX(ALLCLASSDATA,MATCH("SkillIncreaseExtra-L09",CLASSFEATUREHEADERS,0),MATCH(($A743 &amp; "Points"),CLASSNAMEHEADERS,0))))}</f>
        <v>SKILLINCREASEEXTRA-L09</v>
      </c>
      <c r="P742" s="81" t="str">
        <f t="array" ref="P742:P743">{"SKILLINCREASEEXTRA-L10";((INDEX(ALLCLASSDATA,MATCH("SkillIncreaseExtra-L10",CLASSFEATUREHEADERS,0),MATCH(($A743 &amp; "Points"),CLASSNAMEHEADERS,0))))}</f>
        <v>SKILLINCREASEEXTRA-L10</v>
      </c>
      <c r="Q742" s="81" t="str">
        <f t="array" ref="Q742:Q743">{"SKILLINCREASEEXTRA-L11";((INDEX(ALLCLASSDATA,MATCH("SkillIncreaseExtra-L11",CLASSFEATUREHEADERS,0),MATCH(($A743 &amp; "Points"),CLASSNAMEHEADERS,0))))}</f>
        <v>SKILLINCREASEEXTRA-L11</v>
      </c>
      <c r="R742" s="81" t="str">
        <f t="array" ref="R742:R743">{"SKILLINCREASEEXTRA-L12";((INDEX(ALLCLASSDATA,MATCH("SkillIncreaseExtra-L12",CLASSFEATUREHEADERS,0),MATCH(($A743 &amp; "Points"),CLASSNAMEHEADERS,0))))}</f>
        <v>SKILLINCREASEEXTRA-L12</v>
      </c>
      <c r="S742" s="81" t="str">
        <f t="array" ref="S742:S743">{"SKILLINCREASEEXTRA-L13";((INDEX(ALLCLASSDATA,MATCH("SkillIncreaseExtra-L13",CLASSFEATUREHEADERS,0),MATCH(($A743 &amp; "Points"),CLASSNAMEHEADERS,0))))}</f>
        <v>SKILLINCREASEEXTRA-L13</v>
      </c>
      <c r="T742" s="81" t="str">
        <f t="array" ref="T742:T743">{"SKILLINCREASEEXTRA-L14";((INDEX(ALLCLASSDATA,MATCH("SkillIncreaseExtra-L14",CLASSFEATUREHEADERS,0),MATCH(($A743 &amp; "Points"),CLASSNAMEHEADERS,0))))}</f>
        <v>SKILLINCREASEEXTRA-L14</v>
      </c>
      <c r="U742" s="81" t="str">
        <f t="array" ref="U742:U743">{"SKILLINCREASEEXTRA-L15";((INDEX(ALLCLASSDATA,MATCH("SkillIncreaseExtra-L15",CLASSFEATUREHEADERS,0),MATCH(($A743 &amp; "Points"),CLASSNAMEHEADERS,0))))}</f>
        <v>SKILLINCREASEEXTRA-L15</v>
      </c>
      <c r="V742" s="81" t="str">
        <f t="array" ref="V742:V743">{"SKILLINCREASEEXTRA-L16";((INDEX(ALLCLASSDATA,MATCH("SkillIncreaseExtra-L16",CLASSFEATUREHEADERS,0),MATCH(($A743 &amp; "Points"),CLASSNAMEHEADERS,0))))}</f>
        <v>SKILLINCREASEEXTRA-L16</v>
      </c>
      <c r="W742" s="81" t="str">
        <f t="array" ref="W742:W743">{"SKILLINCREASEEXTRA-L17";((INDEX(ALLCLASSDATA,MATCH("SkillIncreaseExtra-L17",CLASSFEATUREHEADERS,0),MATCH(($A743 &amp; "Points"),CLASSNAMEHEADERS,0))))}</f>
        <v>SKILLINCREASEEXTRA-L17</v>
      </c>
      <c r="X742" s="81" t="str">
        <f t="array" ref="X742:X743">{"SKILLINCREASEEXTRA-L18";((INDEX(ALLCLASSDATA,MATCH("SkillIncreaseExtra-L18",CLASSFEATUREHEADERS,0),MATCH(($A743 &amp; "Points"),CLASSNAMEHEADERS,0))))}</f>
        <v>SKILLINCREASEEXTRA-L18</v>
      </c>
      <c r="Y742" s="81" t="str">
        <f t="array" ref="Y742:Y743">{"SKILLINCREASEEXTRA-L19";((INDEX(ALLCLASSDATA,MATCH("SkillIncreaseExtra-L19",CLASSFEATUREHEADERS,0),MATCH(($A743 &amp; "Points"),CLASSNAMEHEADERS,0))))}</f>
        <v>SKILLINCREASEEXTRA-L19</v>
      </c>
      <c r="Z742" s="81" t="str">
        <f t="array" ref="Z742:Z743">{"SKILLINCREASEEXTRA-L20";((INDEX(ALLCLASSDATA,MATCH("SkillIncreaseExtra-L20",CLASSFEATUREHEADERS,0),MATCH(($A743 &amp; "Points"),CLASSNAMEHEADERS,0))))}</f>
        <v>SKILLINCREASEEXTRA-L20</v>
      </c>
      <c r="AA742" s="76"/>
      <c r="AB742" s="76" t="str">
        <f t="array" ref="AB742:AB743">{"SKILLINCREASE TOTAL";(sum(F743:Z743))}</f>
        <v>SKILLINCREASE TOTAL</v>
      </c>
    </row>
    <row r="743">
      <c r="A743" s="48" t="s">
        <v>233</v>
      </c>
      <c r="B743" s="48" t="s">
        <v>418</v>
      </c>
      <c r="C743" s="48" t="s">
        <v>659</v>
      </c>
      <c r="D743" s="48" t="s">
        <v>661</v>
      </c>
      <c r="E743" s="48"/>
      <c r="F743" s="47"/>
      <c r="G743" s="5"/>
      <c r="H743" s="5" t="s">
        <v>603</v>
      </c>
      <c r="I743" s="5" t="s">
        <v>603</v>
      </c>
      <c r="J743" s="5" t="s">
        <v>603</v>
      </c>
      <c r="K743" s="48" t="s">
        <v>603</v>
      </c>
      <c r="L743" s="5" t="s">
        <v>603</v>
      </c>
      <c r="M743" s="5" t="s">
        <v>603</v>
      </c>
      <c r="N743" s="5" t="s">
        <v>603</v>
      </c>
      <c r="O743" s="5" t="s">
        <v>603</v>
      </c>
      <c r="P743" s="5" t="s">
        <v>603</v>
      </c>
      <c r="Q743" s="5" t="s">
        <v>603</v>
      </c>
      <c r="R743" s="5" t="s">
        <v>603</v>
      </c>
      <c r="S743" s="5" t="s">
        <v>603</v>
      </c>
      <c r="T743" s="5" t="s">
        <v>603</v>
      </c>
      <c r="U743" s="5" t="s">
        <v>603</v>
      </c>
      <c r="V743" s="5" t="s">
        <v>603</v>
      </c>
      <c r="W743" s="5" t="s">
        <v>603</v>
      </c>
      <c r="X743" s="5" t="s">
        <v>603</v>
      </c>
      <c r="Y743" s="5" t="s">
        <v>603</v>
      </c>
      <c r="Z743" s="5" t="s">
        <v>603</v>
      </c>
      <c r="AA743" s="5"/>
      <c r="AB743" s="47">
        <v>0.0</v>
      </c>
    </row>
    <row r="744" hidden="1">
      <c r="A744" s="76" t="str">
        <f t="array" ref="A744:A745">{"FormulaRow07";(INDEX(CLASSLIST,A731,1))}</f>
        <v>FormulaRow07</v>
      </c>
      <c r="B744" s="76" t="str">
        <f t="array" ref="B744:B745">{"CLASSTYPE";((INDEX(ALLCLASSDATA,MATCH("ClassType",CLASSFEATUREHEADERS,0),MATCH($A745,CLASSNAMEHEADERS,0))))}</f>
        <v>CLASSTYPE</v>
      </c>
      <c r="C744" s="76" t="str">
        <f t="array" ref="C744:C745">{"SKILLS";"Skills"}</f>
        <v>SKILLS</v>
      </c>
      <c r="D744" s="76" t="str">
        <f t="array" ref="D744:D745">{"EXTRASKILLFEATS";"Extra Skill Feats"}</f>
        <v>EXTRASKILLFEATS</v>
      </c>
      <c r="E744" s="76"/>
      <c r="F744" s="76"/>
      <c r="G744" s="76" t="str">
        <f t="array" ref="G744:G745">{"SKILLFEATEXTRA-L01";((INDEX(ALLCLASSDATA,MATCH("SkillFeatExtra-L01",CLASSFEATUREHEADERS,0),MATCH(($A745 &amp; "Points"),CLASSNAMEHEADERS,0))))}</f>
        <v>SKILLFEATEXTRA-L01</v>
      </c>
      <c r="H744" s="76" t="str">
        <f t="array" ref="H744:H745">{"SKILLFEATEXTRA-L02";((INDEX(ALLCLASSDATA,MATCH("SkillFeatExtra-L02",CLASSFEATUREHEADERS,0),MATCH(($A745 &amp; "Points"),CLASSNAMEHEADERS,0))))}</f>
        <v>SKILLFEATEXTRA-L02</v>
      </c>
      <c r="I744" s="76" t="str">
        <f t="array" ref="I744:I745">{"SKILLFEATEXTRA-L03";((INDEX(ALLCLASSDATA,MATCH("SkillFeatExtra-L03",CLASSFEATUREHEADERS,0),MATCH(($A745 &amp; "Points"),CLASSNAMEHEADERS,0))))}</f>
        <v>SKILLFEATEXTRA-L03</v>
      </c>
      <c r="J744" s="76" t="str">
        <f t="array" ref="J744:J745">{"SKILLFEATEXTRA-L04";((INDEX(ALLCLASSDATA,MATCH("SkillFeatExtra-L04",CLASSFEATUREHEADERS,0),MATCH(($A745 &amp; "Points"),CLASSNAMEHEADERS,0))))}</f>
        <v>SKILLFEATEXTRA-L04</v>
      </c>
      <c r="K744" s="76" t="str">
        <f t="array" ref="K744:K745">{"SKILLFEATEXTRA-L05";((INDEX(ALLCLASSDATA,MATCH("SkillFeatExtra-L05",CLASSFEATUREHEADERS,0),MATCH(($A745 &amp; "Points"),CLASSNAMEHEADERS,0))))}</f>
        <v>SKILLFEATEXTRA-L05</v>
      </c>
      <c r="L744" s="76" t="str">
        <f t="array" ref="L744:L745">{"SKILLFEATEXTRA-L06";((INDEX(ALLCLASSDATA,MATCH("SkillFeatExtra-L06",CLASSFEATUREHEADERS,0),MATCH(($A745 &amp; "Points"),CLASSNAMEHEADERS,0))))}</f>
        <v>SKILLFEATEXTRA-L06</v>
      </c>
      <c r="M744" s="76" t="str">
        <f t="array" ref="M744:M745">{"SKILLFEATEXTRA-L07";((INDEX(ALLCLASSDATA,MATCH("SkillFeatExtra-L07",CLASSFEATUREHEADERS,0),MATCH(($A745 &amp; "Points"),CLASSNAMEHEADERS,0))))}</f>
        <v>SKILLFEATEXTRA-L07</v>
      </c>
      <c r="N744" s="76" t="str">
        <f t="array" ref="N744:N745">{"SKILLFEATEXTRA-L08";((INDEX(ALLCLASSDATA,MATCH("SkillFeatExtra-L08",CLASSFEATUREHEADERS,0),MATCH(($A745 &amp; "Points"),CLASSNAMEHEADERS,0))))}</f>
        <v>SKILLFEATEXTRA-L08</v>
      </c>
      <c r="O744" s="76" t="str">
        <f t="array" ref="O744:O745">{"SKILLFEATEXTRA-L09";((INDEX(ALLCLASSDATA,MATCH("SkillFeatExtra-L09",CLASSFEATUREHEADERS,0),MATCH(($A745 &amp; "Points"),CLASSNAMEHEADERS,0))))}</f>
        <v>SKILLFEATEXTRA-L09</v>
      </c>
      <c r="P744" s="76" t="str">
        <f t="array" ref="P744:P745">{"SKILLFEATEXTRA-L10";((INDEX(ALLCLASSDATA,MATCH("SkillFeatExtra-L10",CLASSFEATUREHEADERS,0),MATCH(($A745 &amp; "Points"),CLASSNAMEHEADERS,0))))}</f>
        <v>SKILLFEATEXTRA-L10</v>
      </c>
      <c r="Q744" s="76" t="str">
        <f t="array" ref="Q744:Q745">{"SKILLFEATEXTRA-L11";((INDEX(ALLCLASSDATA,MATCH("SkillFeatExtra-L11",CLASSFEATUREHEADERS,0),MATCH(($A745 &amp; "Points"),CLASSNAMEHEADERS,0))))}</f>
        <v>SKILLFEATEXTRA-L11</v>
      </c>
      <c r="R744" s="76" t="str">
        <f t="array" ref="R744:R745">{"SKILLFEATEXTRA-L12";((INDEX(ALLCLASSDATA,MATCH("SkillFeatExtra-L12",CLASSFEATUREHEADERS,0),MATCH(($A745 &amp; "Points"),CLASSNAMEHEADERS,0))))}</f>
        <v>SKILLFEATEXTRA-L12</v>
      </c>
      <c r="S744" s="76" t="str">
        <f t="array" ref="S744:S745">{"SKILLFEATEXTRA-L13";((INDEX(ALLCLASSDATA,MATCH("SkillFeatExtra-L13",CLASSFEATUREHEADERS,0),MATCH(($A745 &amp; "Points"),CLASSNAMEHEADERS,0))))}</f>
        <v>SKILLFEATEXTRA-L13</v>
      </c>
      <c r="T744" s="76" t="str">
        <f t="array" ref="T744:T745">{"SKILLFEATEXTRA-L14";((INDEX(ALLCLASSDATA,MATCH("SkillFeatExtra-L14",CLASSFEATUREHEADERS,0),MATCH(($A745 &amp; "Points"),CLASSNAMEHEADERS,0))))}</f>
        <v>SKILLFEATEXTRA-L14</v>
      </c>
      <c r="U744" s="76" t="str">
        <f t="array" ref="U744:U745">{"SKILLFEATEXTRA-L15";((INDEX(ALLCLASSDATA,MATCH("SkillFeatExtra-L15",CLASSFEATUREHEADERS,0),MATCH(($A745 &amp; "Points"),CLASSNAMEHEADERS,0))))}</f>
        <v>SKILLFEATEXTRA-L15</v>
      </c>
      <c r="V744" s="76" t="str">
        <f t="array" ref="V744:V745">{"SKILLFEATEXTRA-L16";((INDEX(ALLCLASSDATA,MATCH("SkillFeatExtra-L16",CLASSFEATUREHEADERS,0),MATCH(($A745 &amp; "Points"),CLASSNAMEHEADERS,0))))}</f>
        <v>SKILLFEATEXTRA-L16</v>
      </c>
      <c r="W744" s="76" t="str">
        <f t="array" ref="W744:W745">{"SKILLFEATEXTRA-L17";((INDEX(ALLCLASSDATA,MATCH("SkillFeatExtra-L17",CLASSFEATUREHEADERS,0),MATCH(($A745 &amp; "Points"),CLASSNAMEHEADERS,0))))}</f>
        <v>SKILLFEATEXTRA-L17</v>
      </c>
      <c r="X744" s="76" t="str">
        <f t="array" ref="X744:X745">{"SKILLFEATEXTRA-L18";((INDEX(ALLCLASSDATA,MATCH("SkillFeatExtra-L18",CLASSFEATUREHEADERS,0),MATCH(($A745 &amp; "Points"),CLASSNAMEHEADERS,0))))}</f>
        <v>SKILLFEATEXTRA-L18</v>
      </c>
      <c r="Y744" s="76" t="str">
        <f t="array" ref="Y744:Y745">{"SKILLFEATEXTRA-L19";((INDEX(ALLCLASSDATA,MATCH("SkillFeatExtra-L19",CLASSFEATUREHEADERS,0),MATCH(($A745 &amp; "Points"),CLASSNAMEHEADERS,0))))}</f>
        <v>SKILLFEATEXTRA-L19</v>
      </c>
      <c r="Z744" s="76" t="str">
        <f t="array" ref="Z744:Z745">{"SKILLFEATEXTRA-L20";((INDEX(ALLCLASSDATA,MATCH("SkillFeatExtra-L20",CLASSFEATUREHEADERS,0),MATCH(($A745 &amp; "Points"),CLASSNAMEHEADERS,0))))}</f>
        <v>SKILLFEATEXTRA-L20</v>
      </c>
      <c r="AA744" s="76"/>
      <c r="AB744" s="76" t="str">
        <f t="array" ref="AB744:AB745">{"SKILLFEAT TOTAL";(sum(F745:Z745))}</f>
        <v>SKILLFEAT TOTAL</v>
      </c>
    </row>
    <row r="745">
      <c r="A745" s="48" t="s">
        <v>233</v>
      </c>
      <c r="B745" s="48" t="s">
        <v>418</v>
      </c>
      <c r="C745" s="97" t="s">
        <v>659</v>
      </c>
      <c r="D745" s="97" t="s">
        <v>722</v>
      </c>
      <c r="E745" s="97"/>
      <c r="F745" s="132"/>
      <c r="G745" s="98" t="s">
        <v>603</v>
      </c>
      <c r="H745" s="98" t="s">
        <v>603</v>
      </c>
      <c r="I745" s="97" t="s">
        <v>603</v>
      </c>
      <c r="J745" s="98" t="s">
        <v>603</v>
      </c>
      <c r="K745" s="97" t="s">
        <v>603</v>
      </c>
      <c r="L745" s="98" t="s">
        <v>603</v>
      </c>
      <c r="M745" s="98" t="s">
        <v>603</v>
      </c>
      <c r="N745" s="98" t="s">
        <v>603</v>
      </c>
      <c r="O745" s="98" t="s">
        <v>603</v>
      </c>
      <c r="P745" s="98" t="s">
        <v>603</v>
      </c>
      <c r="Q745" s="98" t="s">
        <v>603</v>
      </c>
      <c r="R745" s="98" t="s">
        <v>603</v>
      </c>
      <c r="S745" s="98" t="s">
        <v>603</v>
      </c>
      <c r="T745" s="98" t="s">
        <v>603</v>
      </c>
      <c r="U745" s="98" t="s">
        <v>603</v>
      </c>
      <c r="V745" s="98" t="s">
        <v>603</v>
      </c>
      <c r="W745" s="98" t="s">
        <v>603</v>
      </c>
      <c r="X745" s="98" t="s">
        <v>603</v>
      </c>
      <c r="Y745" s="98" t="s">
        <v>603</v>
      </c>
      <c r="Z745" s="98" t="s">
        <v>603</v>
      </c>
      <c r="AA745" s="5"/>
      <c r="AB745" s="47">
        <v>0.0</v>
      </c>
    </row>
    <row r="746" hidden="1">
      <c r="A746" s="76" t="str">
        <f t="array" ref="A746:A747">{"FormulaRow08";(INDEX(CLASSLIST,A731,1))}</f>
        <v>FormulaRow08</v>
      </c>
      <c r="B746" s="76" t="str">
        <f t="array" ref="B746:B747">{"CLASSTYPE";((INDEX(ALLCLASSDATA,MATCH("ClassType",CLASSFEATUREHEADERS,0),MATCH($A747,CLASSNAMEHEADERS,0))))}</f>
        <v>CLASSTYPE</v>
      </c>
      <c r="C746" s="81" t="str">
        <f t="array" ref="C746:C747">{"CLASSABILITY";"ClassAbility"}</f>
        <v>CLASSABILITY</v>
      </c>
      <c r="D746" s="81" t="str">
        <f t="array" ref="D746:D747">{"CLASSABILITY1";"ClassAbility1"}</f>
        <v>CLASSABILITY1</v>
      </c>
      <c r="E746" s="81"/>
      <c r="F746" s="81"/>
      <c r="G746" s="81"/>
      <c r="H746" s="81"/>
      <c r="I746" s="81" t="str">
        <f t="array" ref="I746:I747">{"CLASSABILITY1-L03";((INDEX(ALLCLASSDATA,MATCH("ClassAbility1-L03",CLASSFEATUREHEADERS,0),MATCH(($A747),CLASSNAMEHEADERS,0))))}</f>
        <v>CLASSABILITY1-L03</v>
      </c>
      <c r="J746" s="81"/>
      <c r="K746" s="81" t="str">
        <f t="array" ref="K746:K747">{"CLASSABILITY1-L05";((INDEX(ALLCLASSDATA,MATCH("ClassAbility1-L05",CLASSFEATUREHEADERS,0),MATCH(($A747),CLASSNAMEHEADERS,0))))}</f>
        <v>CLASSABILITY1-L05</v>
      </c>
      <c r="L746" s="81"/>
      <c r="M746" s="81" t="str">
        <f t="array" ref="M746:M747">{"CLASSABILITY1-L07";((INDEX(ALLCLASSDATA,MATCH("ClassAbility1-L07",CLASSFEATUREHEADERS,0),MATCH(($A747),CLASSNAMEHEADERS,0))))}</f>
        <v>CLASSABILITY1-L07</v>
      </c>
      <c r="N746" s="81"/>
      <c r="O746" s="81" t="str">
        <f t="array" ref="O746:O747">{"CLASSABILITY1-L09";((INDEX(ALLCLASSDATA,MATCH("ClassAbility1-L09",CLASSFEATUREHEADERS,0),MATCH(($A747),CLASSNAMEHEADERS,0))))}</f>
        <v>CLASSABILITY1-L09</v>
      </c>
      <c r="P746" s="81"/>
      <c r="Q746" s="81" t="str">
        <f t="array" ref="Q746:Q747">{"CLASSABILITY1-L11";((INDEX(ALLCLASSDATA,MATCH("ClassAbility1-L11",CLASSFEATUREHEADERS,0),MATCH(($A747),CLASSNAMEHEADERS,0))))}</f>
        <v>CLASSABILITY1-L11</v>
      </c>
      <c r="R746" s="81"/>
      <c r="S746" s="81" t="str">
        <f t="array" ref="S746:S747">{"CLASSABILITY1-L13";((INDEX(ALLCLASSDATA,MATCH("ClassAbility1-L13",CLASSFEATUREHEADERS,0),MATCH(($A747),CLASSNAMEHEADERS,0))))}</f>
        <v>CLASSABILITY1-L13</v>
      </c>
      <c r="T746" s="81"/>
      <c r="U746" s="81" t="str">
        <f t="array" ref="U746:U747">{"CLASSABILITY1-L15";((INDEX(ALLCLASSDATA,MATCH("ClassAbility1-L15",CLASSFEATUREHEADERS,0),MATCH(($A747),CLASSNAMEHEADERS,0))))}</f>
        <v>CLASSABILITY1-L15</v>
      </c>
      <c r="V746" s="81"/>
      <c r="W746" s="81" t="str">
        <f t="array" ref="W746:W747">{"CLASSABILITY1-L17";((INDEX(ALLCLASSDATA,MATCH("ClassAbility1-L17",CLASSFEATUREHEADERS,0),MATCH(($A747),CLASSNAMEHEADERS,0))))}</f>
        <v>CLASSABILITY1-L17</v>
      </c>
      <c r="X746" s="81"/>
      <c r="Y746" s="81" t="str">
        <f t="array" ref="Y746:Y747">{"CLASSABILITY1-L19";((INDEX(ALLCLASSDATA,MATCH("ClassAbility1-L19",CLASSFEATUREHEADERS,0),MATCH(($A747),CLASSNAMEHEADERS,0))))}</f>
        <v>CLASSABILITY1-L19</v>
      </c>
      <c r="Z746" s="81"/>
      <c r="AA746" s="76"/>
      <c r="AB746" s="76"/>
    </row>
    <row r="747">
      <c r="A747" s="48" t="s">
        <v>233</v>
      </c>
      <c r="B747" s="48" t="s">
        <v>418</v>
      </c>
      <c r="C747" s="48" t="s">
        <v>825</v>
      </c>
      <c r="D747" s="48" t="s">
        <v>826</v>
      </c>
      <c r="E747" s="5"/>
      <c r="F747" s="47"/>
      <c r="G747" s="5"/>
      <c r="H747" s="5"/>
      <c r="I747" s="5" t="s">
        <v>1251</v>
      </c>
      <c r="J747" s="5"/>
      <c r="K747" s="5" t="s">
        <v>1698</v>
      </c>
      <c r="L747" s="5"/>
      <c r="M747" s="5" t="s">
        <v>350</v>
      </c>
      <c r="N747" s="5"/>
      <c r="O747" s="5" t="s">
        <v>323</v>
      </c>
      <c r="P747" s="5"/>
      <c r="Q747" s="5" t="s">
        <v>359</v>
      </c>
      <c r="R747" s="5"/>
      <c r="S747" s="5" t="s">
        <v>369</v>
      </c>
      <c r="T747" s="5"/>
      <c r="U747" s="5" t="s">
        <v>353</v>
      </c>
      <c r="V747" s="5"/>
      <c r="W747" s="5" t="s">
        <v>1779</v>
      </c>
      <c r="X747" s="5"/>
      <c r="Y747" s="5" t="s">
        <v>1287</v>
      </c>
      <c r="Z747" s="5"/>
      <c r="AA747" s="5"/>
      <c r="AB747" s="47"/>
    </row>
    <row r="748" hidden="1">
      <c r="A748" s="76" t="str">
        <f t="array" ref="A748:A749">{"FormulaRow09";(INDEX(CLASSLIST,A731,1))}</f>
        <v>FormulaRow09</v>
      </c>
      <c r="B748" s="76" t="str">
        <f t="array" ref="B748:B749">{"CLASSTYPE";((INDEX(ALLCLASSDATA,MATCH("ClassType",CLASSFEATUREHEADERS,0),MATCH($A749,CLASSNAMEHEADERS,0))))}</f>
        <v>CLASSTYPE</v>
      </c>
      <c r="C748" s="76" t="str">
        <f t="array" ref="C748:C749">{"CLASSABILITYPTS";"ClassAbilityPts"}</f>
        <v>CLASSABILITYPTS</v>
      </c>
      <c r="D748" s="76" t="str">
        <f t="array" ref="D748:D749">{"CLASSABILITY1";"ClassAbility1"}</f>
        <v>CLASSABILITY1</v>
      </c>
      <c r="E748" s="76"/>
      <c r="F748" s="76"/>
      <c r="G748" s="76"/>
      <c r="H748" s="76"/>
      <c r="I748" s="76" t="str">
        <f t="array" ref="I748:I749">{"CLASSABILITY1-L03PTS";((INDEX(ALLCLASSDATA,MATCH("ClassAbility1-L03",CLASSFEATUREHEADERS,0),MATCH(($A749 &amp; "Points"),CLASSNAMEHEADERS,0))))}</f>
        <v>CLASSABILITY1-L03PTS</v>
      </c>
      <c r="J748" s="76"/>
      <c r="K748" s="76" t="str">
        <f t="array" ref="K748:K749">{"CLASSABILITY1-L05PTS";((INDEX(ALLCLASSDATA,MATCH("ClassAbility1-L05",CLASSFEATUREHEADERS,0),MATCH(($A749 &amp; "Points"),CLASSNAMEHEADERS,0))))}</f>
        <v>CLASSABILITY1-L05PTS</v>
      </c>
      <c r="L748" s="76"/>
      <c r="M748" s="76" t="str">
        <f t="array" ref="M748:M749">{"CLASSABILITY1-L07PTS";((INDEX(ALLCLASSDATA,MATCH("ClassAbility1-L07",CLASSFEATUREHEADERS,0),MATCH(($A749 &amp; "Points"),CLASSNAMEHEADERS,0))))}</f>
        <v>CLASSABILITY1-L07PTS</v>
      </c>
      <c r="N748" s="76"/>
      <c r="O748" s="76" t="str">
        <f t="array" ref="O748:O749">{"CLASSABILITY1-L09PTS";((INDEX(ALLCLASSDATA,MATCH("ClassAbility1-L09",CLASSFEATUREHEADERS,0),MATCH(($A749 &amp; "Points"),CLASSNAMEHEADERS,0))))}</f>
        <v>CLASSABILITY1-L09PTS</v>
      </c>
      <c r="P748" s="76"/>
      <c r="Q748" s="76" t="str">
        <f t="array" ref="Q748:Q749">{"CLASSABILITY1-L11PTS";((INDEX(ALLCLASSDATA,MATCH("ClassAbility1-L11",CLASSFEATUREHEADERS,0),MATCH(($A749 &amp; "Points"),CLASSNAMEHEADERS,0))))}</f>
        <v>CLASSABILITY1-L11PTS</v>
      </c>
      <c r="R748" s="76"/>
      <c r="S748" s="76" t="str">
        <f t="array" ref="S748:S749">{"CLASSABILITY1-L13PTS";((INDEX(ALLCLASSDATA,MATCH("ClassAbility1-L13",CLASSFEATUREHEADERS,0),MATCH(($A749 &amp; "Points"),CLASSNAMEHEADERS,0))))}</f>
        <v>CLASSABILITY1-L13PTS</v>
      </c>
      <c r="T748" s="76"/>
      <c r="U748" s="76" t="str">
        <f t="array" ref="U748:U749">{"CLASSABILITY1-L15PTS";((INDEX(ALLCLASSDATA,MATCH("ClassAbility1-L15",CLASSFEATUREHEADERS,0),MATCH(($A749 &amp; "Points"),CLASSNAMEHEADERS,0))))}</f>
        <v>CLASSABILITY1-L15PTS</v>
      </c>
      <c r="V748" s="76"/>
      <c r="W748" s="76" t="str">
        <f t="array" ref="W748:W749">{"CLASSABILITY1-L17PTS";((INDEX(ALLCLASSDATA,MATCH("ClassAbility1-L17",CLASSFEATUREHEADERS,0),MATCH(($A749 &amp; "Points"),CLASSNAMEHEADERS,0))))}</f>
        <v>CLASSABILITY1-L17PTS</v>
      </c>
      <c r="X748" s="76"/>
      <c r="Y748" s="76" t="str">
        <f t="array" ref="Y748:Y749">{"CLASSABILITY1-L19PTS";((INDEX(ALLCLASSDATA,MATCH("ClassAbility1-L19",CLASSFEATUREHEADERS,0),MATCH(($A749 &amp; "Points"),CLASSNAMEHEADERS,0))))}</f>
        <v>CLASSABILITY1-L19PTS</v>
      </c>
      <c r="Z748" s="76"/>
      <c r="AA748" s="76"/>
      <c r="AB748" s="76" t="str">
        <f t="array" ref="AB748:AB749">{"CLASSABILITY1 TOTAL";(sum(F749:Z749))}</f>
        <v>CLASSABILITY1 TOTAL</v>
      </c>
    </row>
    <row r="749">
      <c r="A749" s="48" t="s">
        <v>233</v>
      </c>
      <c r="B749" s="48" t="s">
        <v>418</v>
      </c>
      <c r="C749" s="48" t="s">
        <v>930</v>
      </c>
      <c r="D749" s="48" t="s">
        <v>826</v>
      </c>
      <c r="E749" s="5"/>
      <c r="F749" s="5"/>
      <c r="G749" s="5"/>
      <c r="H749" s="5"/>
      <c r="I749" s="48">
        <v>30.0</v>
      </c>
      <c r="J749" s="5"/>
      <c r="K749" s="5"/>
      <c r="L749" s="5"/>
      <c r="M749" s="5"/>
      <c r="N749" s="5"/>
      <c r="O749" s="5"/>
      <c r="P749" s="5"/>
      <c r="Q749" s="5"/>
      <c r="R749" s="5"/>
      <c r="S749" s="5"/>
      <c r="T749" s="5"/>
      <c r="U749" s="5"/>
      <c r="V749" s="5"/>
      <c r="W749" s="5"/>
      <c r="X749" s="5"/>
      <c r="Y749" s="5"/>
      <c r="Z749" s="5"/>
      <c r="AA749" s="5"/>
      <c r="AB749" s="47">
        <v>30.0</v>
      </c>
    </row>
    <row r="750" hidden="1">
      <c r="A750" s="76" t="str">
        <f t="array" ref="A750:A751">{"FormulaRow10";(INDEX(CLASSLIST,A731,1))}</f>
        <v>FormulaRow10</v>
      </c>
      <c r="B750" s="76" t="str">
        <f t="array" ref="B750:B751">{"CLASSTYPE";((INDEX(ALLCLASSDATA,MATCH("ClassType",CLASSFEATUREHEADERS,0),MATCH($A751,CLASSNAMEHEADERS,0))))}</f>
        <v>CLASSTYPE</v>
      </c>
      <c r="C750" s="76" t="str">
        <f t="array" ref="C750:C751">{"CLASSABILITY";"ClassAbility"}</f>
        <v>CLASSABILITY</v>
      </c>
      <c r="D750" s="76" t="str">
        <f t="array" ref="D750:D751">{"CLASSABILITY2";"ClassAbility2"}</f>
        <v>CLASSABILITY2</v>
      </c>
      <c r="E750" s="76"/>
      <c r="F750" s="76"/>
      <c r="G750" s="76"/>
      <c r="H750" s="76"/>
      <c r="I750" s="76" t="str">
        <f t="array" ref="I750:I751">{"CLASSABILITY2-L03";((INDEX(ALLCLASSDATA,MATCH("ClassAbility2-L03",CLASSFEATUREHEADERS,0),MATCH(($A751),CLASSNAMEHEADERS,0))))}</f>
        <v>CLASSABILITY2-L03</v>
      </c>
      <c r="J750" s="76"/>
      <c r="K750" s="76" t="str">
        <f t="array" ref="K750:K751">{"CLASSABILITY2-L05";((INDEX(ALLCLASSDATA,MATCH("ClassAbility2-L05",CLASSFEATUREHEADERS,0),MATCH(($A751),CLASSNAMEHEADERS,0))))}</f>
        <v>CLASSABILITY2-L05</v>
      </c>
      <c r="L750" s="76"/>
      <c r="M750" s="76" t="str">
        <f t="array" ref="M750:M751">{"CLASSABILITY2-L07";((INDEX(ALLCLASSDATA,MATCH("ClassAbility2-L07",CLASSFEATUREHEADERS,0),MATCH(($A751),CLASSNAMEHEADERS,0))))}</f>
        <v>CLASSABILITY2-L07</v>
      </c>
      <c r="N750" s="76"/>
      <c r="O750" s="76" t="str">
        <f t="array" ref="O750:O751">{"CLASSABILITY2-L09";((INDEX(ALLCLASSDATA,MATCH("ClassAbility2-L09",CLASSFEATUREHEADERS,0),MATCH(($A751),CLASSNAMEHEADERS,0))))}</f>
        <v>CLASSABILITY2-L09</v>
      </c>
      <c r="P750" s="76"/>
      <c r="Q750" s="76" t="str">
        <f t="array" ref="Q750:Q751">{"CLASSABILITY2-L11";((INDEX(ALLCLASSDATA,MATCH("ClassAbility2-L11",CLASSFEATUREHEADERS,0),MATCH(($A751),CLASSNAMEHEADERS,0))))}</f>
        <v>CLASSABILITY2-L11</v>
      </c>
      <c r="R750" s="76"/>
      <c r="S750" s="76" t="str">
        <f t="array" ref="S750:S751">{"CLASSABILITY2-L13";((INDEX(ALLCLASSDATA,MATCH("ClassAbility2-L13",CLASSFEATUREHEADERS,0),MATCH(($A751),CLASSNAMEHEADERS,0))))}</f>
        <v>CLASSABILITY2-L13</v>
      </c>
      <c r="T750" s="76"/>
      <c r="U750" s="76" t="str">
        <f t="array" ref="U750:U751">{"CLASSABILITY2-L15";((INDEX(ALLCLASSDATA,MATCH("ClassAbility2-L15",CLASSFEATUREHEADERS,0),MATCH(($A751),CLASSNAMEHEADERS,0))))}</f>
        <v>CLASSABILITY2-L15</v>
      </c>
      <c r="V750" s="76"/>
      <c r="W750" s="76" t="str">
        <f t="array" ref="W750:W751">{"CLASSABILITY2-L17";((INDEX(ALLCLASSDATA,MATCH("ClassAbility2-L17",CLASSFEATUREHEADERS,0),MATCH(($A751),CLASSNAMEHEADERS,0))))}</f>
        <v>CLASSABILITY2-L17</v>
      </c>
      <c r="X750" s="76"/>
      <c r="Y750" s="76" t="str">
        <f t="array" ref="Y750:Y751">{"CLASSABILITY2-L19";((INDEX(ALLCLASSDATA,MATCH("ClassAbility2-L19",CLASSFEATUREHEADERS,0),MATCH(($A751),CLASSNAMEHEADERS,0))))}</f>
        <v>CLASSABILITY2-L19</v>
      </c>
      <c r="Z750" s="76"/>
      <c r="AA750" s="76"/>
      <c r="AB750" s="76"/>
    </row>
    <row r="751">
      <c r="A751" s="48" t="s">
        <v>233</v>
      </c>
      <c r="B751" s="48" t="s">
        <v>418</v>
      </c>
      <c r="C751" s="48" t="s">
        <v>825</v>
      </c>
      <c r="D751" s="48" t="s">
        <v>1007</v>
      </c>
      <c r="E751" s="48"/>
      <c r="F751" s="47"/>
      <c r="G751" s="5"/>
      <c r="H751" s="5"/>
      <c r="I751" s="5"/>
      <c r="J751" s="5"/>
      <c r="K751" s="5"/>
      <c r="L751" s="5"/>
      <c r="M751" s="5"/>
      <c r="N751" s="5"/>
      <c r="O751" s="5"/>
      <c r="P751" s="5"/>
      <c r="Q751" s="5" t="s">
        <v>305</v>
      </c>
      <c r="R751" s="5"/>
      <c r="S751" s="5" t="s">
        <v>1756</v>
      </c>
      <c r="T751" s="5"/>
      <c r="U751" s="5"/>
      <c r="V751" s="5"/>
      <c r="W751" s="5"/>
      <c r="X751" s="5"/>
      <c r="Y751" s="5" t="s">
        <v>356</v>
      </c>
      <c r="Z751" s="5"/>
      <c r="AA751" s="5"/>
      <c r="AB751" s="47"/>
    </row>
    <row r="752" hidden="1">
      <c r="A752" s="76" t="str">
        <f t="array" ref="A752:A753">{"FormulaRow11";(INDEX(CLASSLIST,A731,1))}</f>
        <v>FormulaRow11</v>
      </c>
      <c r="B752" s="76" t="str">
        <f t="array" ref="B752:B753">{"CLASSTYPE";((INDEX(ALLCLASSDATA,MATCH("ClassType",CLASSFEATUREHEADERS,0),MATCH($A753,CLASSNAMEHEADERS,0))))}</f>
        <v>CLASSTYPE</v>
      </c>
      <c r="C752" s="76" t="str">
        <f t="array" ref="C752:C753">{"CLASSABILITYPTS";"ClassAbilityPts"}</f>
        <v>CLASSABILITYPTS</v>
      </c>
      <c r="D752" s="76" t="str">
        <f t="array" ref="D752:D753">{"CLASSABILITY2";"ClassAbility2"}</f>
        <v>CLASSABILITY2</v>
      </c>
      <c r="E752" s="76"/>
      <c r="F752" s="76"/>
      <c r="G752" s="76"/>
      <c r="H752" s="76"/>
      <c r="I752" s="76" t="str">
        <f t="array" ref="I752:I753">{"CLASSABILITY2-L03PTS";((INDEX(ALLCLASSDATA,MATCH("ClassAbility2-L03",CLASSFEATUREHEADERS,0),MATCH(($A753 &amp; "Points"),CLASSNAMEHEADERS,0))))}</f>
        <v>CLASSABILITY2-L03PTS</v>
      </c>
      <c r="J752" s="76"/>
      <c r="K752" s="76" t="str">
        <f t="array" ref="K752:K753">{"CLASSABILITY2-L05PTS";((INDEX(ALLCLASSDATA,MATCH("ClassAbility2-L05",CLASSFEATUREHEADERS,0),MATCH(($A753 &amp; "Points"),CLASSNAMEHEADERS,0))))}</f>
        <v>CLASSABILITY2-L05PTS</v>
      </c>
      <c r="L752" s="76"/>
      <c r="M752" s="76" t="str">
        <f t="array" ref="M752:M753">{"CLASSABILITY2-L07PTS";((INDEX(ALLCLASSDATA,MATCH("ClassAbility2-L07",CLASSFEATUREHEADERS,0),MATCH(($A753 &amp; "Points"),CLASSNAMEHEADERS,0))))}</f>
        <v>CLASSABILITY2-L07PTS</v>
      </c>
      <c r="N752" s="76"/>
      <c r="O752" s="76" t="str">
        <f t="array" ref="O752:O753">{"CLASSABILITY2-L09PTS";((INDEX(ALLCLASSDATA,MATCH("ClassAbility2-L09",CLASSFEATUREHEADERS,0),MATCH(($A753 &amp; "Points"),CLASSNAMEHEADERS,0))))}</f>
        <v>CLASSABILITY2-L09PTS</v>
      </c>
      <c r="P752" s="76"/>
      <c r="Q752" s="76" t="str">
        <f t="array" ref="Q752:Q753">{"CLASSABILITY2-L11PTS";((INDEX(ALLCLASSDATA,MATCH("ClassAbility2-L11",CLASSFEATUREHEADERS,0),MATCH(($A753 &amp; "Points"),CLASSNAMEHEADERS,0))))}</f>
        <v>CLASSABILITY2-L11PTS</v>
      </c>
      <c r="R752" s="76"/>
      <c r="S752" s="76" t="str">
        <f t="array" ref="S752:S753">{"CLASSABILITY2-L13PTS";((INDEX(ALLCLASSDATA,MATCH("ClassAbility2-L13",CLASSFEATUREHEADERS,0),MATCH(($A753 &amp; "Points"),CLASSNAMEHEADERS,0))))}</f>
        <v>CLASSABILITY2-L13PTS</v>
      </c>
      <c r="T752" s="76"/>
      <c r="U752" s="76" t="str">
        <f t="array" ref="U752:U753">{"CLASSABILITY2-L15PTS";((INDEX(ALLCLASSDATA,MATCH("ClassAbility2-L15",CLASSFEATUREHEADERS,0),MATCH(($A753 &amp; "Points"),CLASSNAMEHEADERS,0))))}</f>
        <v>CLASSABILITY2-L15PTS</v>
      </c>
      <c r="V752" s="76"/>
      <c r="W752" s="76" t="str">
        <f t="array" ref="W752:W753">{"CLASSABILITY2-L17PTS";((INDEX(ALLCLASSDATA,MATCH("ClassAbility2-L17",CLASSFEATUREHEADERS,0),MATCH(($A753 &amp; "Points"),CLASSNAMEHEADERS,0))))}</f>
        <v>CLASSABILITY2-L17PTS</v>
      </c>
      <c r="X752" s="76"/>
      <c r="Y752" s="76" t="str">
        <f t="array" ref="Y752:Y753">{"CLASSABILITY2-L19PTS";((INDEX(ALLCLASSDATA,MATCH("ClassAbility2-L19",CLASSFEATUREHEADERS,0),MATCH(($A753 &amp; "Points"),CLASSNAMEHEADERS,0))))}</f>
        <v>CLASSABILITY2-L19PTS</v>
      </c>
      <c r="Z752" s="76"/>
      <c r="AA752" s="76"/>
      <c r="AB752" s="76" t="str">
        <f t="array" ref="AB752:AB753">{"CLASSABILITY2 TOTAL";(sum(F753:Z753))}</f>
        <v>CLASSABILITY2 TOTAL</v>
      </c>
    </row>
    <row r="753">
      <c r="A753" s="48" t="s">
        <v>233</v>
      </c>
      <c r="B753" s="48" t="s">
        <v>418</v>
      </c>
      <c r="C753" s="48" t="s">
        <v>930</v>
      </c>
      <c r="D753" s="48" t="s">
        <v>1007</v>
      </c>
      <c r="E753" s="48"/>
      <c r="F753" s="47"/>
      <c r="G753" s="5"/>
      <c r="H753" s="5"/>
      <c r="I753" s="5"/>
      <c r="J753" s="5"/>
      <c r="K753" s="5"/>
      <c r="L753" s="5"/>
      <c r="M753" s="5"/>
      <c r="N753" s="5"/>
      <c r="O753" s="5"/>
      <c r="P753" s="5"/>
      <c r="Q753" s="5"/>
      <c r="R753" s="5"/>
      <c r="S753" s="5"/>
      <c r="T753" s="5"/>
      <c r="U753" s="5"/>
      <c r="V753" s="5"/>
      <c r="W753" s="5"/>
      <c r="X753" s="5"/>
      <c r="Y753" s="5"/>
      <c r="Z753" s="5"/>
      <c r="AA753" s="5"/>
      <c r="AB753" s="47">
        <v>0.0</v>
      </c>
    </row>
    <row r="754" hidden="1">
      <c r="A754" s="76" t="str">
        <f t="array" ref="A754:A755">{"FormulaRow12";(INDEX(CLASSLIST,A731,1))}</f>
        <v>FormulaRow12</v>
      </c>
      <c r="B754" s="76" t="str">
        <f t="array" ref="B754:B755">{"CLASSTYPE";((INDEX(ALLCLASSDATA,MATCH("ClassType",CLASSFEATUREHEADERS,0),MATCH($A755,CLASSNAMEHEADERS,0))))}</f>
        <v>CLASSTYPE</v>
      </c>
      <c r="C754" s="76" t="str">
        <f t="array" ref="C754:C755">{"CLASSABILITY";"ClassAbility"}</f>
        <v>CLASSABILITY</v>
      </c>
      <c r="D754" s="76" t="str">
        <f t="array" ref="D754:D755">{"CLASSABILITY3";"ClassAbility3"}</f>
        <v>CLASSABILITY3</v>
      </c>
      <c r="E754" s="76"/>
      <c r="F754" s="76"/>
      <c r="G754" s="76"/>
      <c r="H754" s="76"/>
      <c r="I754" s="76" t="str">
        <f t="array" ref="I754:I755">{"CLASSABILITY3-L03";((INDEX(ALLCLASSDATA,MATCH("ClassAbility3-L03",CLASSFEATUREHEADERS,0),MATCH(($A755),CLASSNAMEHEADERS,0))))}</f>
        <v>CLASSABILITY3-L03</v>
      </c>
      <c r="J754" s="76"/>
      <c r="K754" s="76" t="str">
        <f t="array" ref="K754:K755">{"CLASSABILITY3-L05";((INDEX(ALLCLASSDATA,MATCH("ClassAbility3-L05",CLASSFEATUREHEADERS,0),MATCH(($A755),CLASSNAMEHEADERS,0))))}</f>
        <v>CLASSABILITY3-L05</v>
      </c>
      <c r="L754" s="76"/>
      <c r="M754" s="76" t="str">
        <f t="array" ref="M754:M755">{"CLASSABILITY3-L07";((INDEX(ALLCLASSDATA,MATCH("ClassAbility3-L07",CLASSFEATUREHEADERS,0),MATCH(($A755),CLASSNAMEHEADERS,0))))}</f>
        <v>CLASSABILITY3-L07</v>
      </c>
      <c r="N754" s="76"/>
      <c r="O754" s="76" t="str">
        <f t="array" ref="O754:O755">{"CLASSABILITY3-L09";((INDEX(ALLCLASSDATA,MATCH("ClassAbility3-L09",CLASSFEATUREHEADERS,0),MATCH(($A755),CLASSNAMEHEADERS,0))))}</f>
        <v>CLASSABILITY3-L09</v>
      </c>
      <c r="P754" s="76"/>
      <c r="Q754" s="76" t="str">
        <f t="array" ref="Q754:Q755">{"CLASSABILITY3-L11";((INDEX(ALLCLASSDATA,MATCH("ClassAbility3-L11",CLASSFEATUREHEADERS,0),MATCH(($A755),CLASSNAMEHEADERS,0))))}</f>
        <v>CLASSABILITY3-L11</v>
      </c>
      <c r="R754" s="76"/>
      <c r="S754" s="76" t="str">
        <f t="array" ref="S754:S755">{"CLASSABILITY3-L13";((INDEX(ALLCLASSDATA,MATCH("ClassAbility3-L13",CLASSFEATUREHEADERS,0),MATCH(($A755),CLASSNAMEHEADERS,0))))}</f>
        <v>CLASSABILITY3-L13</v>
      </c>
      <c r="T754" s="76"/>
      <c r="U754" s="76" t="str">
        <f t="array" ref="U754:U755">{"CLASSABILITY3-L15";((INDEX(ALLCLASSDATA,MATCH("ClassAbility3-L15",CLASSFEATUREHEADERS,0),MATCH(($A755),CLASSNAMEHEADERS,0))))}</f>
        <v>CLASSABILITY3-L15</v>
      </c>
      <c r="V754" s="76"/>
      <c r="W754" s="76" t="str">
        <f t="array" ref="W754:W755">{"CLASSABILITY3-L17";((INDEX(ALLCLASSDATA,MATCH("ClassAbility3-L17",CLASSFEATUREHEADERS,0),MATCH(($A755),CLASSNAMEHEADERS,0))))}</f>
        <v>CLASSABILITY3-L17</v>
      </c>
      <c r="X754" s="76"/>
      <c r="Y754" s="76" t="str">
        <f t="array" ref="Y754:Y755">{"CLASSABILITY3-L19";((INDEX(ALLCLASSDATA,MATCH("ClassAbility3-L19",CLASSFEATUREHEADERS,0),MATCH(($A755),CLASSNAMEHEADERS,0))))}</f>
        <v>CLASSABILITY3-L19</v>
      </c>
      <c r="Z754" s="76"/>
      <c r="AA754" s="76"/>
      <c r="AB754" s="76"/>
    </row>
    <row r="755">
      <c r="A755" s="48" t="s">
        <v>233</v>
      </c>
      <c r="B755" s="48" t="s">
        <v>418</v>
      </c>
      <c r="C755" s="48" t="s">
        <v>825</v>
      </c>
      <c r="D755" s="48" t="s">
        <v>1144</v>
      </c>
      <c r="E755" s="48"/>
      <c r="F755" s="47"/>
      <c r="G755" s="5"/>
      <c r="H755" s="5"/>
      <c r="I755" s="5"/>
      <c r="J755" s="5"/>
      <c r="K755" s="5"/>
      <c r="L755" s="5"/>
      <c r="M755" s="5"/>
      <c r="N755" s="5"/>
      <c r="O755" s="5"/>
      <c r="P755" s="5"/>
      <c r="Q755" s="5"/>
      <c r="R755" s="5"/>
      <c r="S755" s="5"/>
      <c r="T755" s="5"/>
      <c r="U755" s="5"/>
      <c r="V755" s="5"/>
      <c r="W755" s="5"/>
      <c r="X755" s="5"/>
      <c r="Y755" s="5"/>
      <c r="Z755" s="5"/>
      <c r="AA755" s="5"/>
      <c r="AB755" s="47"/>
    </row>
    <row r="756" hidden="1">
      <c r="A756" s="76" t="str">
        <f t="array" ref="A756:A757">{"FormulaRow13";(INDEX(CLASSLIST,A731,1))}</f>
        <v>FormulaRow13</v>
      </c>
      <c r="B756" s="76" t="str">
        <f t="array" ref="B756:B757">{"CLASSTYPE";((INDEX(ALLCLASSDATA,MATCH("ClassType",CLASSFEATUREHEADERS,0),MATCH($A757,CLASSNAMEHEADERS,0))))}</f>
        <v>CLASSTYPE</v>
      </c>
      <c r="C756" s="76" t="str">
        <f t="array" ref="C756:C757">{"CLASSABILITYPTS";"ClassAbilityPts"}</f>
        <v>CLASSABILITYPTS</v>
      </c>
      <c r="D756" s="76" t="str">
        <f t="array" ref="D756:D757">{"CLASSABILITY3";"ClassAbility3"}</f>
        <v>CLASSABILITY3</v>
      </c>
      <c r="E756" s="76"/>
      <c r="F756" s="76"/>
      <c r="G756" s="76"/>
      <c r="H756" s="76"/>
      <c r="I756" s="76" t="str">
        <f t="array" ref="I756:I757">{"CLASSABILITY3-L03PTS";((INDEX(ALLCLASSDATA,MATCH("ClassAbility3-L03",CLASSFEATUREHEADERS,0),MATCH(($A757 &amp; "Points"),CLASSNAMEHEADERS,0))))}</f>
        <v>CLASSABILITY3-L03PTS</v>
      </c>
      <c r="J756" s="76"/>
      <c r="K756" s="76" t="str">
        <f t="array" ref="K756:K757">{"CLASSABILITY3-L05PTS";((INDEX(ALLCLASSDATA,MATCH("ClassAbility3-L05",CLASSFEATUREHEADERS,0),MATCH(($A757 &amp; "Points"),CLASSNAMEHEADERS,0))))}</f>
        <v>CLASSABILITY3-L05PTS</v>
      </c>
      <c r="L756" s="76"/>
      <c r="M756" s="76" t="str">
        <f t="array" ref="M756:M757">{"CLASSABILITY3-L07PTS";((INDEX(ALLCLASSDATA,MATCH("ClassAbility3-L07",CLASSFEATUREHEADERS,0),MATCH(($A757 &amp; "Points"),CLASSNAMEHEADERS,0))))}</f>
        <v>CLASSABILITY3-L07PTS</v>
      </c>
      <c r="N756" s="76"/>
      <c r="O756" s="76" t="str">
        <f t="array" ref="O756:O757">{"CLASSABILITY3-L09PTS";((INDEX(ALLCLASSDATA,MATCH("ClassAbility3-L09",CLASSFEATUREHEADERS,0),MATCH(($A757 &amp; "Points"),CLASSNAMEHEADERS,0))))}</f>
        <v>CLASSABILITY3-L09PTS</v>
      </c>
      <c r="P756" s="76"/>
      <c r="Q756" s="76" t="str">
        <f t="array" ref="Q756:Q757">{"CLASSABILITY3-L11PTS";((INDEX(ALLCLASSDATA,MATCH("ClassAbility3-L11",CLASSFEATUREHEADERS,0),MATCH(($A757 &amp; "Points"),CLASSNAMEHEADERS,0))))}</f>
        <v>CLASSABILITY3-L11PTS</v>
      </c>
      <c r="R756" s="76"/>
      <c r="S756" s="76" t="str">
        <f t="array" ref="S756:S757">{"CLASSABILITY3-L13PTS";((INDEX(ALLCLASSDATA,MATCH("ClassAbility3-L13",CLASSFEATUREHEADERS,0),MATCH(($A757 &amp; "Points"),CLASSNAMEHEADERS,0))))}</f>
        <v>CLASSABILITY3-L13PTS</v>
      </c>
      <c r="T756" s="76"/>
      <c r="U756" s="76" t="str">
        <f t="array" ref="U756:U757">{"CLASSABILITY3-L15PTS";((INDEX(ALLCLASSDATA,MATCH("ClassAbility3-L15",CLASSFEATUREHEADERS,0),MATCH(($A757 &amp; "Points"),CLASSNAMEHEADERS,0))))}</f>
        <v>CLASSABILITY3-L15PTS</v>
      </c>
      <c r="V756" s="76"/>
      <c r="W756" s="76" t="str">
        <f t="array" ref="W756:W757">{"CLASSABILITY3-L17PTS";((INDEX(ALLCLASSDATA,MATCH("ClassAbility3-L17",CLASSFEATUREHEADERS,0),MATCH(($A757 &amp; "Points"),CLASSNAMEHEADERS,0))))}</f>
        <v>CLASSABILITY3-L17PTS</v>
      </c>
      <c r="X756" s="76"/>
      <c r="Y756" s="76" t="str">
        <f t="array" ref="Y756:Y757">{"CLASSABILITY3-L19PTS";((INDEX(ALLCLASSDATA,MATCH("ClassAbility3-L19",CLASSFEATUREHEADERS,0),MATCH(($A757 &amp; "Points"),CLASSNAMEHEADERS,0))))}</f>
        <v>CLASSABILITY3-L19PTS</v>
      </c>
      <c r="Z756" s="76"/>
      <c r="AA756" s="76"/>
      <c r="AB756" s="76" t="str">
        <f t="array" ref="AB756:AB757">{"CLASSABILITY3 TOTAL";(sum(F757:Z757))}</f>
        <v>CLASSABILITY3 TOTAL</v>
      </c>
    </row>
    <row r="757">
      <c r="A757" s="48" t="s">
        <v>233</v>
      </c>
      <c r="B757" s="48" t="s">
        <v>418</v>
      </c>
      <c r="C757" s="48" t="s">
        <v>930</v>
      </c>
      <c r="D757" s="48" t="s">
        <v>1144</v>
      </c>
      <c r="E757" s="48"/>
      <c r="F757" s="47"/>
      <c r="G757" s="5"/>
      <c r="H757" s="5"/>
      <c r="I757" s="5"/>
      <c r="J757" s="5"/>
      <c r="K757" s="5"/>
      <c r="L757" s="5"/>
      <c r="M757" s="5"/>
      <c r="N757" s="5"/>
      <c r="O757" s="5"/>
      <c r="P757" s="5"/>
      <c r="Q757" s="5"/>
      <c r="R757" s="5"/>
      <c r="S757" s="5"/>
      <c r="T757" s="5"/>
      <c r="U757" s="5"/>
      <c r="V757" s="5"/>
      <c r="W757" s="5"/>
      <c r="X757" s="5"/>
      <c r="Y757" s="5"/>
      <c r="Z757" s="5"/>
      <c r="AA757" s="5"/>
      <c r="AB757" s="47">
        <v>0.0</v>
      </c>
    </row>
    <row r="758" hidden="1">
      <c r="A758" s="76" t="str">
        <f t="array" ref="A758:A759">{"FormulaRow14";(INDEX(CLASSLIST,A731,1))}</f>
        <v>FormulaRow14</v>
      </c>
      <c r="B758" s="76" t="str">
        <f t="array" ref="B758:B759">{"CLASSTYPE";((INDEX(ALLCLASSDATA,MATCH("ClassType",CLASSFEATUREHEADERS,0),MATCH($A759,CLASSNAMEHEADERS,0))))}</f>
        <v>CLASSTYPE</v>
      </c>
      <c r="C758" s="76" t="str">
        <f t="array" ref="C758:C759">{"CLASSABILITY";"ClassAbility"}</f>
        <v>CLASSABILITY</v>
      </c>
      <c r="D758" s="76" t="str">
        <f t="array" ref="D758:D759">{"CLASSABILITY4";"ClassAbility4"}</f>
        <v>CLASSABILITY4</v>
      </c>
      <c r="E758" s="76"/>
      <c r="F758" s="76"/>
      <c r="G758" s="76"/>
      <c r="H758" s="76"/>
      <c r="I758" s="76" t="str">
        <f t="array" ref="I758:I759">{"CLASSABILITY4-L03";((INDEX(ALLCLASSDATA,MATCH("ClassAbility4-L03",CLASSFEATUREHEADERS,0),MATCH(($A759),CLASSNAMEHEADERS,0))))}</f>
        <v>CLASSABILITY4-L03</v>
      </c>
      <c r="J758" s="76"/>
      <c r="K758" s="76" t="str">
        <f t="array" ref="K758:K759">{"CLASSABILITY4-L05";((INDEX(ALLCLASSDATA,MATCH("ClassAbility4-L05",CLASSFEATUREHEADERS,0),MATCH(($A759),CLASSNAMEHEADERS,0))))}</f>
        <v>CLASSABILITY4-L05</v>
      </c>
      <c r="L758" s="76"/>
      <c r="M758" s="76" t="str">
        <f t="array" ref="M758:M759">{"CLASSABILITY4-L07";((INDEX(ALLCLASSDATA,MATCH("ClassAbility4-L07",CLASSFEATUREHEADERS,0),MATCH(($A759),CLASSNAMEHEADERS,0))))}</f>
        <v>CLASSABILITY4-L07</v>
      </c>
      <c r="N758" s="76"/>
      <c r="O758" s="76" t="str">
        <f t="array" ref="O758:O759">{"CLASSABILITY4-L09";((INDEX(ALLCLASSDATA,MATCH("ClassAbility4-L09",CLASSFEATUREHEADERS,0),MATCH(($A759),CLASSNAMEHEADERS,0))))}</f>
        <v>CLASSABILITY4-L09</v>
      </c>
      <c r="P758" s="76"/>
      <c r="Q758" s="76" t="str">
        <f t="array" ref="Q758:Q759">{"CLASSABILITY4-L11";((INDEX(ALLCLASSDATA,MATCH("ClassAbility4-L11",CLASSFEATUREHEADERS,0),MATCH(($A759),CLASSNAMEHEADERS,0))))}</f>
        <v>CLASSABILITY4-L11</v>
      </c>
      <c r="R758" s="76"/>
      <c r="S758" s="76" t="str">
        <f t="array" ref="S758:S759">{"CLASSABILITY4-L13";((INDEX(ALLCLASSDATA,MATCH("ClassAbility4-L13",CLASSFEATUREHEADERS,0),MATCH(($A759),CLASSNAMEHEADERS,0))))}</f>
        <v>CLASSABILITY4-L13</v>
      </c>
      <c r="T758" s="76"/>
      <c r="U758" s="76" t="str">
        <f t="array" ref="U758:U759">{"CLASSABILITY4-L15";((INDEX(ALLCLASSDATA,MATCH("ClassAbility4-L15",CLASSFEATUREHEADERS,0),MATCH(($A759),CLASSNAMEHEADERS,0))))}</f>
        <v>CLASSABILITY4-L15</v>
      </c>
      <c r="V758" s="76"/>
      <c r="W758" s="76" t="str">
        <f t="array" ref="W758:W759">{"CLASSABILITY4-L17";((INDEX(ALLCLASSDATA,MATCH("ClassAbility4-L17",CLASSFEATUREHEADERS,0),MATCH(($A759),CLASSNAMEHEADERS,0))))}</f>
        <v>CLASSABILITY4-L17</v>
      </c>
      <c r="X758" s="76"/>
      <c r="Y758" s="76" t="str">
        <f t="array" ref="Y758:Y759">{"CLASSABILITY4-L19";((INDEX(ALLCLASSDATA,MATCH("ClassAbility4-L19",CLASSFEATUREHEADERS,0),MATCH(($A759),CLASSNAMEHEADERS,0))))}</f>
        <v>CLASSABILITY4-L19</v>
      </c>
      <c r="Z758" s="76"/>
      <c r="AA758" s="76"/>
      <c r="AB758" s="76"/>
    </row>
    <row r="759">
      <c r="A759" s="48" t="s">
        <v>233</v>
      </c>
      <c r="B759" s="48" t="s">
        <v>418</v>
      </c>
      <c r="C759" s="48" t="s">
        <v>825</v>
      </c>
      <c r="D759" s="48" t="s">
        <v>1273</v>
      </c>
      <c r="E759" s="48"/>
      <c r="F759" s="47"/>
      <c r="G759" s="5"/>
      <c r="H759" s="5"/>
      <c r="I759" s="5"/>
      <c r="J759" s="5"/>
      <c r="K759" s="5"/>
      <c r="L759" s="5"/>
      <c r="M759" s="5"/>
      <c r="N759" s="5"/>
      <c r="O759" s="5"/>
      <c r="P759" s="5"/>
      <c r="Q759" s="5"/>
      <c r="R759" s="5"/>
      <c r="S759" s="5"/>
      <c r="T759" s="5"/>
      <c r="U759" s="5"/>
      <c r="V759" s="5"/>
      <c r="W759" s="5"/>
      <c r="X759" s="5"/>
      <c r="Y759" s="5"/>
      <c r="Z759" s="5"/>
      <c r="AA759" s="5"/>
      <c r="AB759" s="47"/>
    </row>
    <row r="760" hidden="1">
      <c r="A760" s="76" t="str">
        <f t="array" ref="A760:A761">{"FormulaRow15";(INDEX(CLASSLIST,A731,1))}</f>
        <v>FormulaRow15</v>
      </c>
      <c r="B760" s="76" t="str">
        <f t="array" ref="B760:B761">{"CLASSTYPE";((INDEX(ALLCLASSDATA,MATCH("ClassType",CLASSFEATUREHEADERS,0),MATCH($A761,CLASSNAMEHEADERS,0))))}</f>
        <v>CLASSTYPE</v>
      </c>
      <c r="C760" s="76" t="str">
        <f t="array" ref="C760:C761">{"CLASSABILITYPTS";"ClassAbilityPts"}</f>
        <v>CLASSABILITYPTS</v>
      </c>
      <c r="D760" s="76" t="str">
        <f t="array" ref="D760:D761">{"CLASSABILITY4";"ClassAbility4"}</f>
        <v>CLASSABILITY4</v>
      </c>
      <c r="E760" s="76"/>
      <c r="F760" s="76"/>
      <c r="G760" s="76"/>
      <c r="H760" s="76"/>
      <c r="I760" s="76" t="str">
        <f t="array" ref="I760:I761">{"CLASSABILITY4-L03PTS";((INDEX(ALLCLASSDATA,MATCH("ClassAbility4-L03",CLASSFEATUREHEADERS,0),MATCH(($A761 &amp; "Points"),CLASSNAMEHEADERS,0))))}</f>
        <v>CLASSABILITY4-L03PTS</v>
      </c>
      <c r="J760" s="76"/>
      <c r="K760" s="76" t="str">
        <f t="array" ref="K760:K761">{"CLASSABILITY4-L05PTS";((INDEX(ALLCLASSDATA,MATCH("ClassAbility4-L05",CLASSFEATUREHEADERS,0),MATCH(($A761 &amp; "Points"),CLASSNAMEHEADERS,0))))}</f>
        <v>CLASSABILITY4-L05PTS</v>
      </c>
      <c r="L760" s="76"/>
      <c r="M760" s="76" t="str">
        <f t="array" ref="M760:M761">{"CLASSABILITY4-L07PTS";((INDEX(ALLCLASSDATA,MATCH("ClassAbility4-L07",CLASSFEATUREHEADERS,0),MATCH(($A761 &amp; "Points"),CLASSNAMEHEADERS,0))))}</f>
        <v>CLASSABILITY4-L07PTS</v>
      </c>
      <c r="N760" s="76"/>
      <c r="O760" s="76" t="str">
        <f t="array" ref="O760:O761">{"CLASSABILITY4-L09PTS";((INDEX(ALLCLASSDATA,MATCH("ClassAbility4-L09",CLASSFEATUREHEADERS,0),MATCH(($A761 &amp; "Points"),CLASSNAMEHEADERS,0))))}</f>
        <v>CLASSABILITY4-L09PTS</v>
      </c>
      <c r="P760" s="76"/>
      <c r="Q760" s="76" t="str">
        <f t="array" ref="Q760:Q761">{"CLASSABILITY4-L11PTS";((INDEX(ALLCLASSDATA,MATCH("ClassAbility4-L11",CLASSFEATUREHEADERS,0),MATCH(($A761 &amp; "Points"),CLASSNAMEHEADERS,0))))}</f>
        <v>CLASSABILITY4-L11PTS</v>
      </c>
      <c r="R760" s="76"/>
      <c r="S760" s="76" t="str">
        <f t="array" ref="S760:S761">{"CLASSABILITY4-L13PTS";((INDEX(ALLCLASSDATA,MATCH("ClassAbility4-L13",CLASSFEATUREHEADERS,0),MATCH(($A761 &amp; "Points"),CLASSNAMEHEADERS,0))))}</f>
        <v>CLASSABILITY4-L13PTS</v>
      </c>
      <c r="T760" s="76"/>
      <c r="U760" s="76" t="str">
        <f t="array" ref="U760:U761">{"CLASSABILITY4-L15PTS";((INDEX(ALLCLASSDATA,MATCH("ClassAbility4-L15",CLASSFEATUREHEADERS,0),MATCH(($A761 &amp; "Points"),CLASSNAMEHEADERS,0))))}</f>
        <v>CLASSABILITY4-L15PTS</v>
      </c>
      <c r="V760" s="76"/>
      <c r="W760" s="76" t="str">
        <f t="array" ref="W760:W761">{"CLASSABILITY4-L17PTS";((INDEX(ALLCLASSDATA,MATCH("ClassAbility4-L17",CLASSFEATUREHEADERS,0),MATCH(($A761 &amp; "Points"),CLASSNAMEHEADERS,0))))}</f>
        <v>CLASSABILITY4-L17PTS</v>
      </c>
      <c r="X760" s="76"/>
      <c r="Y760" s="76" t="str">
        <f t="array" ref="Y760:Y761">{"CLASSABILITY4-L19PTS";((INDEX(ALLCLASSDATA,MATCH("ClassAbility4-L19",CLASSFEATUREHEADERS,0),MATCH(($A761 &amp; "Points"),CLASSNAMEHEADERS,0))))}</f>
        <v>CLASSABILITY4-L19PTS</v>
      </c>
      <c r="Z760" s="76"/>
      <c r="AA760" s="76"/>
      <c r="AB760" s="76" t="str">
        <f t="array" ref="AB760:AB761">{"CLASSABILITY4 TOTAL";(sum(F761:Z761))}</f>
        <v>CLASSABILITY4 TOTAL</v>
      </c>
    </row>
    <row r="761">
      <c r="A761" s="48" t="s">
        <v>233</v>
      </c>
      <c r="B761" s="48" t="s">
        <v>418</v>
      </c>
      <c r="C761" s="48" t="s">
        <v>930</v>
      </c>
      <c r="D761" s="48" t="s">
        <v>1273</v>
      </c>
      <c r="E761" s="48"/>
      <c r="F761" s="47"/>
      <c r="G761" s="5"/>
      <c r="H761" s="5"/>
      <c r="I761" s="5"/>
      <c r="J761" s="5"/>
      <c r="K761" s="5"/>
      <c r="L761" s="5"/>
      <c r="M761" s="5"/>
      <c r="N761" s="5"/>
      <c r="O761" s="5"/>
      <c r="P761" s="5"/>
      <c r="Q761" s="5"/>
      <c r="R761" s="5"/>
      <c r="S761" s="5"/>
      <c r="T761" s="5"/>
      <c r="U761" s="5"/>
      <c r="V761" s="5"/>
      <c r="W761" s="5"/>
      <c r="X761" s="5"/>
      <c r="Y761" s="5"/>
      <c r="Z761" s="5"/>
      <c r="AA761" s="5"/>
      <c r="AB761" s="47">
        <v>0.0</v>
      </c>
    </row>
    <row r="762" hidden="1">
      <c r="A762" s="76" t="str">
        <f t="array" ref="A762:A763">{"FormulaRow16";(INDEX(CLASSLIST,A731,1))}</f>
        <v>FormulaRow16</v>
      </c>
      <c r="B762" s="76" t="str">
        <f t="array" ref="B762:B763">{"CLASSTYPE";((INDEX(ALLCLASSDATA,MATCH("ClassType",CLASSFEATUREHEADERS,0),MATCH($A763,CLASSNAMEHEADERS,0))))}</f>
        <v>CLASSTYPE</v>
      </c>
      <c r="C762" s="76" t="str">
        <f t="array" ref="C762:C763">{"CLASSABILITY";"ClassAbility"}</f>
        <v>CLASSABILITY</v>
      </c>
      <c r="D762" s="76" t="str">
        <f t="array" ref="D762:D763">{"SUBCLASSABILITY1";"SubclassAbility1"}</f>
        <v>SUBCLASSABILITY1</v>
      </c>
      <c r="E762" s="76"/>
      <c r="F762" s="76"/>
      <c r="G762" s="76"/>
      <c r="H762" s="76"/>
      <c r="I762" s="76" t="str">
        <f t="array" ref="I762:I763">{"SUBCLASSABILITY1-L03";((INDEX(ALLCLASSDATA,MATCH("SubclassAbility1-L03",CLASSFEATUREHEADERS,0),MATCH(($A763),CLASSNAMEHEADERS,0))))}</f>
        <v>SUBCLASSABILITY1-L03</v>
      </c>
      <c r="J762" s="76"/>
      <c r="K762" s="76" t="str">
        <f t="array" ref="K762:K763">{"SUBCLASSABILITY1-L05";((INDEX(ALLCLASSDATA,MATCH("SubclassAbility1-L05",CLASSFEATUREHEADERS,0),MATCH(($A763),CLASSNAMEHEADERS,0))))}</f>
        <v>SUBCLASSABILITY1-L05</v>
      </c>
      <c r="L762" s="76"/>
      <c r="M762" s="76" t="str">
        <f t="array" ref="M762:M763">{"SUBCLASSABILITY1-L07";((INDEX(ALLCLASSDATA,MATCH("SubclassAbility1-L07",CLASSFEATUREHEADERS,0),MATCH(($A763),CLASSNAMEHEADERS,0))))}</f>
        <v>SUBCLASSABILITY1-L07</v>
      </c>
      <c r="N762" s="76"/>
      <c r="O762" s="76" t="str">
        <f t="array" ref="O762:O763">{"SUBCLASSABILITY1-L09";((INDEX(ALLCLASSDATA,MATCH("SubclassAbility1-L09",CLASSFEATUREHEADERS,0),MATCH(($A763),CLASSNAMEHEADERS,0))))}</f>
        <v>SUBCLASSABILITY1-L09</v>
      </c>
      <c r="P762" s="76"/>
      <c r="Q762" s="76" t="str">
        <f t="array" ref="Q762:Q763">{"SUBCLASSABILITY1-L11";((INDEX(ALLCLASSDATA,MATCH("SubclassAbility1-L11",CLASSFEATUREHEADERS,0),MATCH(($A763),CLASSNAMEHEADERS,0))))}</f>
        <v>SUBCLASSABILITY1-L11</v>
      </c>
      <c r="R762" s="76"/>
      <c r="S762" s="76" t="str">
        <f t="array" ref="S762:S763">{"SUBCLASSABILITY1-L13";((INDEX(ALLCLASSDATA,MATCH("SubclassAbility1-L13",CLASSFEATUREHEADERS,0),MATCH(($A763),CLASSNAMEHEADERS,0))))}</f>
        <v>SUBCLASSABILITY1-L13</v>
      </c>
      <c r="T762" s="76"/>
      <c r="U762" s="76" t="str">
        <f t="array" ref="U762:U763">{"SUBCLASSABILITY1-L15";((INDEX(ALLCLASSDATA,MATCH("SubclassAbility1-L15",CLASSFEATUREHEADERS,0),MATCH(($A763),CLASSNAMEHEADERS,0))))}</f>
        <v>SUBCLASSABILITY1-L15</v>
      </c>
      <c r="V762" s="76"/>
      <c r="W762" s="76" t="str">
        <f t="array" ref="W762:W763">{"SUBCLASSABILITY1-L17";((INDEX(ALLCLASSDATA,MATCH("SubclassAbility1-L17",CLASSFEATUREHEADERS,0),MATCH(($A763),CLASSNAMEHEADERS,0))))}</f>
        <v>SUBCLASSABILITY1-L17</v>
      </c>
      <c r="X762" s="76"/>
      <c r="Y762" s="76" t="str">
        <f t="array" ref="Y762:Y763">{"SUBCLASSABILITY1-L19";((INDEX(ALLCLASSDATA,MATCH("SubclassAbility1-L19",CLASSFEATUREHEADERS,0),MATCH(($A763),CLASSNAMEHEADERS,0))))}</f>
        <v>SUBCLASSABILITY1-L19</v>
      </c>
      <c r="Z762" s="76"/>
      <c r="AA762" s="76"/>
      <c r="AB762" s="76"/>
    </row>
    <row r="763">
      <c r="A763" s="48" t="s">
        <v>233</v>
      </c>
      <c r="B763" s="48" t="s">
        <v>418</v>
      </c>
      <c r="C763" s="48" t="s">
        <v>825</v>
      </c>
      <c r="D763" s="28" t="s">
        <v>1355</v>
      </c>
      <c r="E763" s="5"/>
      <c r="F763" s="47"/>
      <c r="G763" s="5"/>
      <c r="H763" s="5"/>
      <c r="I763" s="5"/>
      <c r="J763" s="5"/>
      <c r="K763" s="5"/>
      <c r="L763" s="5"/>
      <c r="M763" s="5"/>
      <c r="N763" s="5"/>
      <c r="O763" s="5"/>
      <c r="P763" s="5"/>
      <c r="Q763" s="5"/>
      <c r="R763" s="5"/>
      <c r="S763" s="5"/>
      <c r="T763" s="5"/>
      <c r="U763" s="5"/>
      <c r="V763" s="5"/>
      <c r="W763" s="5"/>
      <c r="X763" s="5"/>
      <c r="Y763" s="5"/>
      <c r="Z763" s="5"/>
      <c r="AA763" s="5"/>
      <c r="AB763" s="47"/>
    </row>
    <row r="764" hidden="1">
      <c r="A764" s="76" t="str">
        <f t="array" ref="A764:A765">{"FormulaRow17";(INDEX(CLASSLIST,A731,1))}</f>
        <v>FormulaRow17</v>
      </c>
      <c r="B764" s="76" t="str">
        <f t="array" ref="B764:B765">{"CLASSTYPE";((INDEX(ALLCLASSDATA,MATCH("ClassType",CLASSFEATUREHEADERS,0),MATCH($A765,CLASSNAMEHEADERS,0))))}</f>
        <v>CLASSTYPE</v>
      </c>
      <c r="C764" s="76" t="str">
        <f t="array" ref="C764:C765">{"CLASSABILITYPTS";"ClassAbilityPts"}</f>
        <v>CLASSABILITYPTS</v>
      </c>
      <c r="D764" s="76" t="str">
        <f t="array" ref="D764:D765">{"SUBCLASSABILITY1";"SubclassAbility1"}</f>
        <v>SUBCLASSABILITY1</v>
      </c>
      <c r="E764" s="76"/>
      <c r="F764" s="76"/>
      <c r="G764" s="76"/>
      <c r="H764" s="76"/>
      <c r="I764" s="76" t="str">
        <f t="array" ref="I764:I765">{"SUBCLASSABILITY1-L03PTS";((INDEX(ALLCLASSDATA,MATCH("SubclassAbility1-L03",CLASSFEATUREHEADERS,0),MATCH(($A765 &amp; "Points"),CLASSNAMEHEADERS,0))))}</f>
        <v>SUBCLASSABILITY1-L03PTS</v>
      </c>
      <c r="J764" s="76"/>
      <c r="K764" s="76" t="str">
        <f t="array" ref="K764:K765">{"SUBCLASSABILITY1-L05PTS";((INDEX(ALLCLASSDATA,MATCH("SubclassAbility1-L05",CLASSFEATUREHEADERS,0),MATCH(($A765 &amp; "Points"),CLASSNAMEHEADERS,0))))}</f>
        <v>SUBCLASSABILITY1-L05PTS</v>
      </c>
      <c r="L764" s="76"/>
      <c r="M764" s="76" t="str">
        <f t="array" ref="M764:M765">{"SUBCLASSABILITY1-L07PTS";((INDEX(ALLCLASSDATA,MATCH("SubclassAbility1-L07",CLASSFEATUREHEADERS,0),MATCH(($A765 &amp; "Points"),CLASSNAMEHEADERS,0))))}</f>
        <v>SUBCLASSABILITY1-L07PTS</v>
      </c>
      <c r="N764" s="76"/>
      <c r="O764" s="76" t="str">
        <f t="array" ref="O764:O765">{"SUBCLASSABILITY1-L09PTS";((INDEX(ALLCLASSDATA,MATCH("SubclassAbility1-L09",CLASSFEATUREHEADERS,0),MATCH(($A765 &amp; "Points"),CLASSNAMEHEADERS,0))))}</f>
        <v>SUBCLASSABILITY1-L09PTS</v>
      </c>
      <c r="P764" s="76"/>
      <c r="Q764" s="76" t="str">
        <f t="array" ref="Q764:Q765">{"SUBCLASSABILITY1-L11PTS";((INDEX(ALLCLASSDATA,MATCH("SubclassAbility1-L11",CLASSFEATUREHEADERS,0),MATCH(($A765 &amp; "Points"),CLASSNAMEHEADERS,0))))}</f>
        <v>SUBCLASSABILITY1-L11PTS</v>
      </c>
      <c r="R764" s="76"/>
      <c r="S764" s="76" t="str">
        <f t="array" ref="S764:S765">{"SUBCLASSABILITY1-L13PTS";((INDEX(ALLCLASSDATA,MATCH("SubclassAbility1-L13",CLASSFEATUREHEADERS,0),MATCH(($A765 &amp; "Points"),CLASSNAMEHEADERS,0))))}</f>
        <v>SUBCLASSABILITY1-L13PTS</v>
      </c>
      <c r="T764" s="76"/>
      <c r="U764" s="76" t="str">
        <f t="array" ref="U764:U765">{"SUBCLASSABILITY1-L15PTS";((INDEX(ALLCLASSDATA,MATCH("SubclassAbility1-L15",CLASSFEATUREHEADERS,0),MATCH(($A765 &amp; "Points"),CLASSNAMEHEADERS,0))))}</f>
        <v>SUBCLASSABILITY1-L15PTS</v>
      </c>
      <c r="V764" s="76"/>
      <c r="W764" s="76" t="str">
        <f t="array" ref="W764:W765">{"SUBCLASSABILITY1-L17PTS";((INDEX(ALLCLASSDATA,MATCH("SubclassAbility1-L17",CLASSFEATUREHEADERS,0),MATCH(($A765 &amp; "Points"),CLASSNAMEHEADERS,0))))}</f>
        <v>SUBCLASSABILITY1-L17PTS</v>
      </c>
      <c r="X764" s="76"/>
      <c r="Y764" s="76" t="str">
        <f t="array" ref="Y764:Y765">{"SUBCLASSABILITY1-L19PTS";((INDEX(ALLCLASSDATA,MATCH("SubclassAbility1-L19",CLASSFEATUREHEADERS,0),MATCH(($A765 &amp; "Points"),CLASSNAMEHEADERS,0))))}</f>
        <v>SUBCLASSABILITY1-L19PTS</v>
      </c>
      <c r="Z764" s="76"/>
      <c r="AA764" s="76"/>
      <c r="AB764" s="76" t="str">
        <f t="array" ref="AB764:AB765">{"SUBCLASSABILITY1 TOTAL";(sum(F765:Z765))}</f>
        <v>SUBCLASSABILITY1 TOTAL</v>
      </c>
    </row>
    <row r="765">
      <c r="A765" s="48" t="s">
        <v>233</v>
      </c>
      <c r="B765" s="48" t="s">
        <v>418</v>
      </c>
      <c r="C765" s="48" t="s">
        <v>930</v>
      </c>
      <c r="D765" s="28" t="s">
        <v>1355</v>
      </c>
      <c r="E765" s="5"/>
      <c r="F765" s="47"/>
      <c r="G765" s="5"/>
      <c r="H765" s="5"/>
      <c r="I765" s="5"/>
      <c r="J765" s="5"/>
      <c r="K765" s="5"/>
      <c r="L765" s="5"/>
      <c r="M765" s="5"/>
      <c r="N765" s="5"/>
      <c r="O765" s="5"/>
      <c r="P765" s="5"/>
      <c r="Q765" s="5"/>
      <c r="R765" s="5"/>
      <c r="S765" s="5"/>
      <c r="T765" s="5"/>
      <c r="U765" s="5"/>
      <c r="V765" s="5"/>
      <c r="W765" s="5"/>
      <c r="X765" s="5"/>
      <c r="Y765" s="5"/>
      <c r="Z765" s="5"/>
      <c r="AA765" s="5"/>
      <c r="AB765" s="47">
        <v>0.0</v>
      </c>
    </row>
    <row r="766" hidden="1">
      <c r="A766" s="76" t="str">
        <f t="array" ref="A766:A767">{"FormulaRow18";(INDEX(CLASSLIST,A731,1))}</f>
        <v>FormulaRow18</v>
      </c>
      <c r="B766" s="76" t="str">
        <f t="array" ref="B766:B767">{"CLASSTYPE";((INDEX(ALLCLASSDATA,MATCH("ClassType",CLASSFEATUREHEADERS,0),MATCH($A767,CLASSNAMEHEADERS,0))))}</f>
        <v>CLASSTYPE</v>
      </c>
      <c r="C766" s="76" t="str">
        <f t="array" ref="C766:C767">{"CLASSABILITY";"ClassAbility"}</f>
        <v>CLASSABILITY</v>
      </c>
      <c r="D766" s="76" t="str">
        <f t="array" ref="D766:D767">{"SUBCLASSABILITY2";"SubclassAbility2"}</f>
        <v>SUBCLASSABILITY2</v>
      </c>
      <c r="E766" s="76"/>
      <c r="F766" s="76"/>
      <c r="G766" s="76"/>
      <c r="H766" s="76"/>
      <c r="I766" s="76" t="str">
        <f t="array" ref="I766:I767">{"SUBCLASSABILITY2-L03";((INDEX(ALLCLASSDATA,MATCH("SubclassAbility2-L03",CLASSFEATUREHEADERS,0),MATCH(($A767),CLASSNAMEHEADERS,0))))}</f>
        <v>SUBCLASSABILITY2-L03</v>
      </c>
      <c r="J766" s="76"/>
      <c r="K766" s="76" t="str">
        <f t="array" ref="K766:K767">{"SUBCLASSABILITY2-L05";((INDEX(ALLCLASSDATA,MATCH("SubclassAbility2-L05",CLASSFEATUREHEADERS,0),MATCH(($A767),CLASSNAMEHEADERS,0))))}</f>
        <v>SUBCLASSABILITY2-L05</v>
      </c>
      <c r="L766" s="76"/>
      <c r="M766" s="76" t="str">
        <f t="array" ref="M766:M767">{"SUBCLASSABILITY2-L07";((INDEX(ALLCLASSDATA,MATCH("SubclassAbility2-L07",CLASSFEATUREHEADERS,0),MATCH(($A767),CLASSNAMEHEADERS,0))))}</f>
        <v>SUBCLASSABILITY2-L07</v>
      </c>
      <c r="N766" s="76"/>
      <c r="O766" s="76" t="str">
        <f t="array" ref="O766:O767">{"SUBCLASSABILITY2-L09";((INDEX(ALLCLASSDATA,MATCH("SubclassAbility2-L09",CLASSFEATUREHEADERS,0),MATCH(($A767),CLASSNAMEHEADERS,0))))}</f>
        <v>SUBCLASSABILITY2-L09</v>
      </c>
      <c r="P766" s="76"/>
      <c r="Q766" s="76" t="str">
        <f t="array" ref="Q766:Q767">{"SUBCLASSABILITY2-L11";((INDEX(ALLCLASSDATA,MATCH("SubclassAbility2-L11",CLASSFEATUREHEADERS,0),MATCH(($A767),CLASSNAMEHEADERS,0))))}</f>
        <v>SUBCLASSABILITY2-L11</v>
      </c>
      <c r="R766" s="76"/>
      <c r="S766" s="76" t="str">
        <f t="array" ref="S766:S767">{"SUBCLASSABILITY2-L13";((INDEX(ALLCLASSDATA,MATCH("SubclassAbility2-L13",CLASSFEATUREHEADERS,0),MATCH(($A767),CLASSNAMEHEADERS,0))))}</f>
        <v>SUBCLASSABILITY2-L13</v>
      </c>
      <c r="T766" s="76"/>
      <c r="U766" s="76" t="str">
        <f t="array" ref="U766:U767">{"SUBCLASSABILITY2-L15";((INDEX(ALLCLASSDATA,MATCH("SubclassAbility2-L15",CLASSFEATUREHEADERS,0),MATCH(($A767),CLASSNAMEHEADERS,0))))}</f>
        <v>SUBCLASSABILITY2-L15</v>
      </c>
      <c r="V766" s="76"/>
      <c r="W766" s="76" t="str">
        <f t="array" ref="W766:W767">{"SUBCLASSABILITY2-L17";((INDEX(ALLCLASSDATA,MATCH("SubclassAbility2-L17",CLASSFEATUREHEADERS,0),MATCH(($A767),CLASSNAMEHEADERS,0))))}</f>
        <v>SUBCLASSABILITY2-L17</v>
      </c>
      <c r="X766" s="76"/>
      <c r="Y766" s="76" t="str">
        <f t="array" ref="Y766:Y767">{"SUBCLASSABILITY2-L19";((INDEX(ALLCLASSDATA,MATCH("SubclassAbility2-L19",CLASSFEATUREHEADERS,0),MATCH(($A767),CLASSNAMEHEADERS,0))))}</f>
        <v>SUBCLASSABILITY2-L19</v>
      </c>
      <c r="Z766" s="76"/>
      <c r="AA766" s="76"/>
      <c r="AB766" s="76"/>
    </row>
    <row r="767">
      <c r="A767" s="48" t="s">
        <v>233</v>
      </c>
      <c r="B767" s="48" t="s">
        <v>418</v>
      </c>
      <c r="C767" s="48" t="s">
        <v>825</v>
      </c>
      <c r="D767" s="28" t="s">
        <v>1370</v>
      </c>
      <c r="E767" s="5"/>
      <c r="F767" s="47"/>
      <c r="G767" s="5"/>
      <c r="H767" s="5"/>
      <c r="I767" s="5"/>
      <c r="J767" s="5"/>
      <c r="K767" s="5"/>
      <c r="L767" s="5"/>
      <c r="M767" s="5"/>
      <c r="N767" s="5"/>
      <c r="O767" s="5"/>
      <c r="P767" s="5"/>
      <c r="Q767" s="5"/>
      <c r="R767" s="5"/>
      <c r="S767" s="5"/>
      <c r="T767" s="5"/>
      <c r="U767" s="5"/>
      <c r="V767" s="5"/>
      <c r="W767" s="5"/>
      <c r="X767" s="5"/>
      <c r="Y767" s="5"/>
      <c r="Z767" s="5"/>
      <c r="AA767" s="5"/>
      <c r="AB767" s="47"/>
    </row>
    <row r="768" hidden="1">
      <c r="A768" s="76" t="str">
        <f t="array" ref="A768:A769">{"FormulaRow19";(INDEX(CLASSLIST,A731,1))}</f>
        <v>FormulaRow19</v>
      </c>
      <c r="B768" s="76" t="str">
        <f t="array" ref="B768:B769">{"CLASSTYPE";((INDEX(ALLCLASSDATA,MATCH("ClassType",CLASSFEATUREHEADERS,0),MATCH($A769,CLASSNAMEHEADERS,0))))}</f>
        <v>CLASSTYPE</v>
      </c>
      <c r="C768" s="76" t="str">
        <f t="array" ref="C768:C769">{"CLASSABILITYPTS";"ClassAbilityPts"}</f>
        <v>CLASSABILITYPTS</v>
      </c>
      <c r="D768" s="76" t="str">
        <f t="array" ref="D768:D769">{"SUBCLASSABILITY2";"SubclassAbility2"}</f>
        <v>SUBCLASSABILITY2</v>
      </c>
      <c r="E768" s="76"/>
      <c r="F768" s="76"/>
      <c r="G768" s="76"/>
      <c r="H768" s="76"/>
      <c r="I768" s="76" t="str">
        <f t="array" ref="I768:I769">{"SUBCLASSABILITY2-L03PTS";((INDEX(ALLCLASSDATA,MATCH("SubclassAbility2-L03",CLASSFEATUREHEADERS,0),MATCH(($A769 &amp; "Points"),CLASSNAMEHEADERS,0))))}</f>
        <v>SUBCLASSABILITY2-L03PTS</v>
      </c>
      <c r="J768" s="76"/>
      <c r="K768" s="76" t="str">
        <f t="array" ref="K768:K769">{"SUBCLASSABILITY2-L05PTS";((INDEX(ALLCLASSDATA,MATCH("SubclassAbility2-L05",CLASSFEATUREHEADERS,0),MATCH(($A769 &amp; "Points"),CLASSNAMEHEADERS,0))))}</f>
        <v>SUBCLASSABILITY2-L05PTS</v>
      </c>
      <c r="L768" s="76"/>
      <c r="M768" s="76" t="str">
        <f t="array" ref="M768:M769">{"SUBCLASSABILITY2-L07PTS";((INDEX(ALLCLASSDATA,MATCH("SubclassAbility2-L07",CLASSFEATUREHEADERS,0),MATCH(($A769 &amp; "Points"),CLASSNAMEHEADERS,0))))}</f>
        <v>SUBCLASSABILITY2-L07PTS</v>
      </c>
      <c r="N768" s="76"/>
      <c r="O768" s="76" t="str">
        <f t="array" ref="O768:O769">{"SUBCLASSABILITY2-L09PTS";((INDEX(ALLCLASSDATA,MATCH("SubclassAbility2-L09",CLASSFEATUREHEADERS,0),MATCH(($A769 &amp; "Points"),CLASSNAMEHEADERS,0))))}</f>
        <v>SUBCLASSABILITY2-L09PTS</v>
      </c>
      <c r="P768" s="76"/>
      <c r="Q768" s="76" t="str">
        <f t="array" ref="Q768:Q769">{"SUBCLASSABILITY2-L11PTS";((INDEX(ALLCLASSDATA,MATCH("SubclassAbility2-L11",CLASSFEATUREHEADERS,0),MATCH(($A769 &amp; "Points"),CLASSNAMEHEADERS,0))))}</f>
        <v>SUBCLASSABILITY2-L11PTS</v>
      </c>
      <c r="R768" s="76"/>
      <c r="S768" s="76" t="str">
        <f t="array" ref="S768:S769">{"SUBCLASSABILITY2-L13PTS";((INDEX(ALLCLASSDATA,MATCH("SubclassAbility2-L13",CLASSFEATUREHEADERS,0),MATCH(($A769 &amp; "Points"),CLASSNAMEHEADERS,0))))}</f>
        <v>SUBCLASSABILITY2-L13PTS</v>
      </c>
      <c r="T768" s="76"/>
      <c r="U768" s="76" t="str">
        <f t="array" ref="U768:U769">{"SUBCLASSABILITY2-L15PTS";((INDEX(ALLCLASSDATA,MATCH("SubclassAbility2-L15",CLASSFEATUREHEADERS,0),MATCH(($A769 &amp; "Points"),CLASSNAMEHEADERS,0))))}</f>
        <v>SUBCLASSABILITY2-L15PTS</v>
      </c>
      <c r="V768" s="76"/>
      <c r="W768" s="76" t="str">
        <f t="array" ref="W768:W769">{"SUBCLASSABILITY2-L17PTS";((INDEX(ALLCLASSDATA,MATCH("SubclassAbility2-L17",CLASSFEATUREHEADERS,0),MATCH(($A769 &amp; "Points"),CLASSNAMEHEADERS,0))))}</f>
        <v>SUBCLASSABILITY2-L17PTS</v>
      </c>
      <c r="X768" s="76"/>
      <c r="Y768" s="76" t="str">
        <f t="array" ref="Y768:Y769">{"SUBCLASSABILITY2-L19PTS";((INDEX(ALLCLASSDATA,MATCH("SubclassAbility2-L19",CLASSFEATUREHEADERS,0),MATCH(($A769 &amp; "Points"),CLASSNAMEHEADERS,0))))}</f>
        <v>SUBCLASSABILITY2-L19PTS</v>
      </c>
      <c r="Z768" s="76"/>
      <c r="AA768" s="76"/>
      <c r="AB768" s="76" t="str">
        <f t="array" ref="AB768:AB769">{"SUBCLASSABILITY2 TOTAL";(sum(F769:Z769))}</f>
        <v>SUBCLASSABILITY2 TOTAL</v>
      </c>
    </row>
    <row r="769">
      <c r="A769" s="48" t="s">
        <v>233</v>
      </c>
      <c r="B769" s="48" t="s">
        <v>418</v>
      </c>
      <c r="C769" s="97" t="s">
        <v>930</v>
      </c>
      <c r="D769" s="215" t="s">
        <v>1370</v>
      </c>
      <c r="E769" s="98"/>
      <c r="F769" s="132"/>
      <c r="G769" s="98"/>
      <c r="H769" s="98"/>
      <c r="I769" s="98"/>
      <c r="J769" s="98"/>
      <c r="K769" s="98"/>
      <c r="L769" s="98"/>
      <c r="M769" s="98"/>
      <c r="N769" s="98"/>
      <c r="O769" s="98"/>
      <c r="P769" s="98"/>
      <c r="Q769" s="98"/>
      <c r="R769" s="98"/>
      <c r="S769" s="98"/>
      <c r="T769" s="98"/>
      <c r="U769" s="98"/>
      <c r="V769" s="98"/>
      <c r="W769" s="98"/>
      <c r="X769" s="98"/>
      <c r="Y769" s="98"/>
      <c r="Z769" s="98"/>
      <c r="AA769" s="5"/>
      <c r="AB769" s="47">
        <v>0.0</v>
      </c>
    </row>
    <row r="770" hidden="1">
      <c r="A770" s="76" t="str">
        <f t="array" ref="A770:A771">{"FormulaRow20";(INDEX(CLASSLIST,A731,1))}</f>
        <v>FormulaRow20</v>
      </c>
      <c r="B770" s="76" t="str">
        <f t="array" ref="B770:B771">{"CLASSTYPE";((INDEX(ALLCLASSDATA,MATCH("ClassType",CLASSFEATUREHEADERS,0),MATCH($A771,CLASSNAMEHEADERS,0))))}</f>
        <v>CLASSTYPE</v>
      </c>
      <c r="C770" s="81" t="str">
        <f t="array" ref="C770:C771">{"DC";"DC"}</f>
        <v>DC</v>
      </c>
      <c r="D770" s="81" t="str">
        <f t="array" ref="D770:D771">{"CLASSDC";"ClassDC"}</f>
        <v>CLASSDC</v>
      </c>
      <c r="E770" s="81" t="str">
        <f t="array" ref="E770:E771">{"CLASSDCINITIAL";((IF(G771=10,"T",(IF(G771=50,"E","")))))}</f>
        <v>CLASSDCINITIAL</v>
      </c>
      <c r="F770" s="81" t="str">
        <f t="array" ref="F770:F771">{"CLASSDCINITIALPTS";((IF("00"=(INDEX(ALLCLASSDATA,MATCH("ClassDCLegendary",CLASSFEATUREHEADERS,0),MATCH($A771,CLASSNAMEHEADERS,0))),(INDEX(ALLCLASSDATA,MATCH("ClassDCLegendary",CLASSFEATUREHEADERS,0),MATCH(($A771 &amp; "Points"),CLASSNAMEHEADERS,0))),(IF("00"=(INDEX(ALLCLASSDATA,MATCH("ClassDCMaster",CLASSFEATUREHEADERS,0),MATCH($A771,CLASSNAMEHEADERS,0))),(INDEX(ALLCLASSDATA,MATCH("ClassDCMaster",CLASSFEATUREHEADERS,0),MATCH(($A771 &amp; "Points"),CLASSNAMEHEADERS,0))),(IF("00"=(INDEX(ALLCLASSDATA,MATCH("ClassDCExpert",CLASSFEATUREHEADERS,0),MATCH($A771,CLASSNAMEHEADERS,0))),(INDEX(ALLCLASSDATA,MATCH("ClassDCExpert",CLASSFEATUREHEADERS,0),MATCH(($A771 &amp; "Points"),CLASSNAMEHEADERS,0))),(IF("00"=(INDEX(ALLCLASSDATA,MATCH("ClassDCTrained",CLASSFEATUREHEADERS,0),MATCH($A771,CLASSNAMEHEADERS,0))),(INDEX(ALLCLASSDATA,MATCH("ClassDCTrained",CLASSFEATUREHEADERS,0),MATCH(($A771 &amp; "Points"),CLASSNAMEHEADERS,0))),"")))))))))}</f>
        <v>CLASSDCINITIALPTS</v>
      </c>
      <c r="G770" s="81" t="str">
        <f t="array" ref="G770:G771">{"CLASSDCL01";((IF("01"=(INDEX(ALLCLASSDATA,MATCH("ClassDCLegendary",CLASSFEATUREHEADERS,0),MATCH($A771,CLASSNAMEHEADERS,0))),(INDEX(ALLCLASSDATA,MATCH("ClassDCLegendary",CLASSFEATUREHEADERS,0),MATCH(($A771 &amp; "Points"),CLASSNAMEHEADERS,0))),(IF("01"=(INDEX(ALLCLASSDATA,MATCH("ClassDCMaster",CLASSFEATUREHEADERS,0),MATCH($A771,CLASSNAMEHEADERS,0))),(INDEX(ALLCLASSDATA,MATCH("ClassDCMaster",CLASSFEATUREHEADERS,0),MATCH(($A771 &amp; "Points"),CLASSNAMEHEADERS,0))),(IF("01"=(INDEX(ALLCLASSDATA,MATCH("ClassDCExpert",CLASSFEATUREHEADERS,0),MATCH($A771,CLASSNAMEHEADERS,0))),(INDEX(ALLCLASSDATA,MATCH("ClassDCExpert",CLASSFEATUREHEADERS,0),MATCH(($A771 &amp; "Points"),CLASSNAMEHEADERS,0))),(IF("01"=(INDEX(ALLCLASSDATA,MATCH("ClassDCTrained",CLASSFEATUREHEADERS,0),MATCH($A771,CLASSNAMEHEADERS,0))),(INDEX(ALLCLASSDATA,MATCH("ClassDCTrained",CLASSFEATUREHEADERS,0),MATCH(($A771 &amp; "Points"),CLASSNAMEHEADERS,0))),"")))))))))}</f>
        <v>CLASSDCL01</v>
      </c>
      <c r="H770" s="81"/>
      <c r="I770" s="81" t="str">
        <f t="array" ref="I770:I771">{"CLASSDCL03";((IF("03"=(INDEX(ALLCLASSDATA,MATCH("ClassDCLegendary",CLASSFEATUREHEADERS,0),MATCH($A771,CLASSNAMEHEADERS,0))),(INDEX(ALLCLASSDATA,MATCH("ClassDCLegendary",CLASSFEATUREHEADERS,0),MATCH(($A771 &amp; "Points"),CLASSNAMEHEADERS,0))),(IF("03"=(INDEX(ALLCLASSDATA,MATCH("ClassDCMaster",CLASSFEATUREHEADERS,0),MATCH($A771,CLASSNAMEHEADERS,0))),(INDEX(ALLCLASSDATA,MATCH("ClassDCMaster",CLASSFEATUREHEADERS,0),MATCH(($A771 &amp; "Points"),CLASSNAMEHEADERS,0))),(IF("03"=(INDEX(ALLCLASSDATA,MATCH("ClassDCExpert",CLASSFEATUREHEADERS,0),MATCH($A771,CLASSNAMEHEADERS,0))),(INDEX(ALLCLASSDATA,MATCH("ClassDCExpert",CLASSFEATUREHEADERS,0),MATCH(($A771 &amp; "Points"),CLASSNAMEHEADERS,0))),(IF("03"=(INDEX(ALLCLASSDATA,MATCH("ClassDCTrained",CLASSFEATUREHEADERS,0),MATCH($A771,CLASSNAMEHEADERS,0))),(INDEX(ALLCLASSDATA,MATCH("ClassDCTrained",CLASSFEATUREHEADERS,0),MATCH(($A771 &amp; "Points"),CLASSNAMEHEADERS,0))),"")))))))))}</f>
        <v>CLASSDCL03</v>
      </c>
      <c r="J770" s="81"/>
      <c r="K770" s="81" t="str">
        <f t="array" ref="K770:K771">{"CLASSDCL05";((IF("05"=(INDEX(ALLCLASSDATA,MATCH("ClassDCLegendary",CLASSFEATUREHEADERS,0),MATCH($A771,CLASSNAMEHEADERS,0))),(INDEX(ALLCLASSDATA,MATCH("ClassDCLegendary",CLASSFEATUREHEADERS,0),MATCH(($A771 &amp; "Points"),CLASSNAMEHEADERS,0))),(IF("05"=(INDEX(ALLCLASSDATA,MATCH("ClassDCMaster",CLASSFEATUREHEADERS,0),MATCH($A771,CLASSNAMEHEADERS,0))),(INDEX(ALLCLASSDATA,MATCH("ClassDCMaster",CLASSFEATUREHEADERS,0),MATCH(($A771 &amp; "Points"),CLASSNAMEHEADERS,0))),(IF("05"=(INDEX(ALLCLASSDATA,MATCH("ClassDCExpert",CLASSFEATUREHEADERS,0),MATCH($A771,CLASSNAMEHEADERS,0))),(INDEX(ALLCLASSDATA,MATCH("ClassDCExpert",CLASSFEATUREHEADERS,0),MATCH(($A771 &amp; "Points"),CLASSNAMEHEADERS,0))),(IF("05"=(INDEX(ALLCLASSDATA,MATCH("ClassDCTrained",CLASSFEATUREHEADERS,0),MATCH($A771,CLASSNAMEHEADERS,0))),(INDEX(ALLCLASSDATA,MATCH("ClassDCTrained",CLASSFEATUREHEADERS,0),MATCH(($A771 &amp; "Points"),CLASSNAMEHEADERS,0))),"")))))))))}</f>
        <v>CLASSDCL05</v>
      </c>
      <c r="L770" s="81"/>
      <c r="M770" s="81" t="str">
        <f t="array" ref="M770:M771">{"CLASSDCL07";((IF("07"=(INDEX(ALLCLASSDATA,MATCH("ClassDCLegendary",CLASSFEATUREHEADERS,0),MATCH($A771,CLASSNAMEHEADERS,0))),(INDEX(ALLCLASSDATA,MATCH("ClassDCLegendary",CLASSFEATUREHEADERS,0),MATCH(($A771 &amp; "Points"),CLASSNAMEHEADERS,0))),(IF("07"=(INDEX(ALLCLASSDATA,MATCH("ClassDCMaster",CLASSFEATUREHEADERS,0),MATCH($A771,CLASSNAMEHEADERS,0))),(INDEX(ALLCLASSDATA,MATCH("ClassDCMaster",CLASSFEATUREHEADERS,0),MATCH(($A771 &amp; "Points"),CLASSNAMEHEADERS,0))),(IF("07"=(INDEX(ALLCLASSDATA,MATCH("ClassDCExpert",CLASSFEATUREHEADERS,0),MATCH($A771,CLASSNAMEHEADERS,0))),(INDEX(ALLCLASSDATA,MATCH("ClassDCExpert",CLASSFEATUREHEADERS,0),MATCH(($A771 &amp; "Points"),CLASSNAMEHEADERS,0))),(IF("07"=(INDEX(ALLCLASSDATA,MATCH("ClassDCTrained",CLASSFEATUREHEADERS,0),MATCH($A771,CLASSNAMEHEADERS,0))),(INDEX(ALLCLASSDATA,MATCH("ClassDCTrained",CLASSFEATUREHEADERS,0),MATCH(($A771 &amp; "Points"),CLASSNAMEHEADERS,0))),"")))))))))}</f>
        <v>CLASSDCL07</v>
      </c>
      <c r="N770" s="81"/>
      <c r="O770" s="81" t="str">
        <f t="array" ref="O770:O771">{"CLASSDCL09";((IF("09"=(INDEX(ALLCLASSDATA,MATCH("ClassDCLegendary",CLASSFEATUREHEADERS,0),MATCH($A771,CLASSNAMEHEADERS,0))),(INDEX(ALLCLASSDATA,MATCH("ClassDCLegendary",CLASSFEATUREHEADERS,0),MATCH(($A771 &amp; "Points"),CLASSNAMEHEADERS,0))),(IF("09"=(INDEX(ALLCLASSDATA,MATCH("ClassDCMaster",CLASSFEATUREHEADERS,0),MATCH($A771,CLASSNAMEHEADERS,0))),(INDEX(ALLCLASSDATA,MATCH("ClassDCMaster",CLASSFEATUREHEADERS,0),MATCH(($A771 &amp; "Points"),CLASSNAMEHEADERS,0))),(IF("09"=(INDEX(ALLCLASSDATA,MATCH("ClassDCExpert",CLASSFEATUREHEADERS,0),MATCH($A771,CLASSNAMEHEADERS,0))),(INDEX(ALLCLASSDATA,MATCH("ClassDCExpert",CLASSFEATUREHEADERS,0),MATCH(($A771 &amp; "Points"),CLASSNAMEHEADERS,0))),(IF("09"=(INDEX(ALLCLASSDATA,MATCH("ClassDCTrained",CLASSFEATUREHEADERS,0),MATCH($A771,CLASSNAMEHEADERS,0))),(INDEX(ALLCLASSDATA,MATCH("ClassDCTrained",CLASSFEATUREHEADERS,0),MATCH(($A771 &amp; "Points"),CLASSNAMEHEADERS,0))),"")))))))))}</f>
        <v>CLASSDCL09</v>
      </c>
      <c r="P770" s="81"/>
      <c r="Q770" s="81" t="str">
        <f t="array" ref="Q770:Q771">{"CLASSDCL11";((IF("11"=(INDEX(ALLCLASSDATA,MATCH("ClassDCLegendary",CLASSFEATUREHEADERS,0),MATCH($A771,CLASSNAMEHEADERS,0))),(INDEX(ALLCLASSDATA,MATCH("ClassDCLegendary",CLASSFEATUREHEADERS,0),MATCH(($A771 &amp; "Points"),CLASSNAMEHEADERS,0))),(IF("11"=(INDEX(ALLCLASSDATA,MATCH("ClassDCMaster",CLASSFEATUREHEADERS,0),MATCH($A771,CLASSNAMEHEADERS,0))),(INDEX(ALLCLASSDATA,MATCH("ClassDCMaster",CLASSFEATUREHEADERS,0),MATCH(($A771 &amp; "Points"),CLASSNAMEHEADERS,0))),(IF("11"=(INDEX(ALLCLASSDATA,MATCH("ClassDCExpert",CLASSFEATUREHEADERS,0),MATCH($A771,CLASSNAMEHEADERS,0))),(INDEX(ALLCLASSDATA,MATCH("ClassDCExpert",CLASSFEATUREHEADERS,0),MATCH(($A771 &amp; "Points"),CLASSNAMEHEADERS,0))),(IF("11"=(INDEX(ALLCLASSDATA,MATCH("ClassDCTrained",CLASSFEATUREHEADERS,0),MATCH($A771,CLASSNAMEHEADERS,0))),(INDEX(ALLCLASSDATA,MATCH("ClassDCTrained",CLASSFEATUREHEADERS,0),MATCH(($A771 &amp; "Points"),CLASSNAMEHEADERS,0))),"")))))))))}</f>
        <v>CLASSDCL11</v>
      </c>
      <c r="R770" s="81"/>
      <c r="S770" s="81" t="str">
        <f t="array" ref="S770:S771">{"CLASSDCL13";((IF("13"=(INDEX(ALLCLASSDATA,MATCH("ClassDCLegendary",CLASSFEATUREHEADERS,0),MATCH($A771,CLASSNAMEHEADERS,0))),(INDEX(ALLCLASSDATA,MATCH("ClassDCLegendary",CLASSFEATUREHEADERS,0),MATCH(($A771 &amp; "Points"),CLASSNAMEHEADERS,0))),(IF("13"=(INDEX(ALLCLASSDATA,MATCH("ClassDCMaster",CLASSFEATUREHEADERS,0),MATCH($A771,CLASSNAMEHEADERS,0))),(INDEX(ALLCLASSDATA,MATCH("ClassDCMaster",CLASSFEATUREHEADERS,0),MATCH(($A771 &amp; "Points"),CLASSNAMEHEADERS,0))),(IF("13"=(INDEX(ALLCLASSDATA,MATCH("ClassDCExpert",CLASSFEATUREHEADERS,0),MATCH($A771,CLASSNAMEHEADERS,0))),(INDEX(ALLCLASSDATA,MATCH("ClassDCExpert",CLASSFEATUREHEADERS,0),MATCH(($A771 &amp; "Points"),CLASSNAMEHEADERS,0))),(IF("13"=(INDEX(ALLCLASSDATA,MATCH("ClassDCTrained",CLASSFEATUREHEADERS,0),MATCH($A771,CLASSNAMEHEADERS,0))),(INDEX(ALLCLASSDATA,MATCH("ClassDCTrained",CLASSFEATUREHEADERS,0),MATCH(($A771 &amp; "Points"),CLASSNAMEHEADERS,0))),"")))))))))}</f>
        <v>CLASSDCL13</v>
      </c>
      <c r="T770" s="81"/>
      <c r="U770" s="81" t="str">
        <f t="array" ref="U770:U771">{"CLASSDCL15";((IF("15"=(INDEX(ALLCLASSDATA,MATCH("ClassDCLegendary",CLASSFEATUREHEADERS,0),MATCH($A771,CLASSNAMEHEADERS,0))),(INDEX(ALLCLASSDATA,MATCH("ClassDCLegendary",CLASSFEATUREHEADERS,0),MATCH(($A771 &amp; "Points"),CLASSNAMEHEADERS,0))),(IF("15"=(INDEX(ALLCLASSDATA,MATCH("ClassDCMaster",CLASSFEATUREHEADERS,0),MATCH($A771,CLASSNAMEHEADERS,0))),(INDEX(ALLCLASSDATA,MATCH("ClassDCMaster",CLASSFEATUREHEADERS,0),MATCH(($A771 &amp; "Points"),CLASSNAMEHEADERS,0))),(IF("15"=(INDEX(ALLCLASSDATA,MATCH("ClassDCExpert",CLASSFEATUREHEADERS,0),MATCH($A771,CLASSNAMEHEADERS,0))),(INDEX(ALLCLASSDATA,MATCH("ClassDCExpert",CLASSFEATUREHEADERS,0),MATCH(($A771 &amp; "Points"),CLASSNAMEHEADERS,0))),(IF("15"=(INDEX(ALLCLASSDATA,MATCH("ClassDCTrained",CLASSFEATUREHEADERS,0),MATCH($A771,CLASSNAMEHEADERS,0))),(INDEX(ALLCLASSDATA,MATCH("ClassDCTrained",CLASSFEATUREHEADERS,0),MATCH(($A771 &amp; "Points"),CLASSNAMEHEADERS,0))),"")))))))))}</f>
        <v>CLASSDCL15</v>
      </c>
      <c r="V770" s="81"/>
      <c r="W770" s="81" t="str">
        <f t="array" ref="W770:W771">{"CLASSDCL17";((IF("17"=(INDEX(ALLCLASSDATA,MATCH("ClassDCLegendary",CLASSFEATUREHEADERS,0),MATCH($A771,CLASSNAMEHEADERS,0))),(INDEX(ALLCLASSDATA,MATCH("ClassDCLegendary",CLASSFEATUREHEADERS,0),MATCH(($A771 &amp; "Points"),CLASSNAMEHEADERS,0))),(IF("17"=(INDEX(ALLCLASSDATA,MATCH("ClassDCMaster",CLASSFEATUREHEADERS,0),MATCH($A771,CLASSNAMEHEADERS,0))),(INDEX(ALLCLASSDATA,MATCH("ClassDCMaster",CLASSFEATUREHEADERS,0),MATCH(($A771 &amp; "Points"),CLASSNAMEHEADERS,0))),(IF("17"=(INDEX(ALLCLASSDATA,MATCH("ClassDCExpert",CLASSFEATUREHEADERS,0),MATCH($A771,CLASSNAMEHEADERS,0))),(INDEX(ALLCLASSDATA,MATCH("ClassDCExpert",CLASSFEATUREHEADERS,0),MATCH(($A771 &amp; "Points"),CLASSNAMEHEADERS,0))),(IF("17"=(INDEX(ALLCLASSDATA,MATCH("ClassDCTrained",CLASSFEATUREHEADERS,0),MATCH($A771,CLASSNAMEHEADERS,0))),(INDEX(ALLCLASSDATA,MATCH("ClassDCTrained",CLASSFEATUREHEADERS,0),MATCH(($A771 &amp; "Points"),CLASSNAMEHEADERS,0))),"")))))))))}</f>
        <v>CLASSDCL17</v>
      </c>
      <c r="X770" s="81"/>
      <c r="Y770" s="81" t="str">
        <f t="array" ref="Y770:Y771">{"CLASSDCL19";((IF("19"=(INDEX(ALLCLASSDATA,MATCH("ClassDCLegendary",CLASSFEATUREHEADERS,0),MATCH($A771,CLASSNAMEHEADERS,0))),(INDEX(ALLCLASSDATA,MATCH("ClassDCLegendary",CLASSFEATUREHEADERS,0),MATCH(($A771 &amp; "Points"),CLASSNAMEHEADERS,0))),(IF("19"=(INDEX(ALLCLASSDATA,MATCH("ClassDCMaster",CLASSFEATUREHEADERS,0),MATCH($A771,CLASSNAMEHEADERS,0))),(INDEX(ALLCLASSDATA,MATCH("ClassDCMaster",CLASSFEATUREHEADERS,0),MATCH(($A771 &amp; "Points"),CLASSNAMEHEADERS,0))),(IF("19"=(INDEX(ALLCLASSDATA,MATCH("ClassDCExpert",CLASSFEATUREHEADERS,0),MATCH($A771,CLASSNAMEHEADERS,0))),(INDEX(ALLCLASSDATA,MATCH("ClassDCExpert",CLASSFEATUREHEADERS,0),MATCH(($A771 &amp; "Points"),CLASSNAMEHEADERS,0))),(IF("19"=(INDEX(ALLCLASSDATA,MATCH("ClassDCTrained",CLASSFEATUREHEADERS,0),MATCH($A771,CLASSNAMEHEADERS,0))),(INDEX(ALLCLASSDATA,MATCH("ClassDCTrained",CLASSFEATUREHEADERS,0),MATCH(($A771 &amp; "Points"),CLASSNAMEHEADERS,0))),"")))))))))}</f>
        <v>CLASSDCL19</v>
      </c>
      <c r="Z770" s="81"/>
      <c r="AA770" s="76" t="str">
        <f t="array" ref="AA770:AA771">{"CLASSDC TOTAL";(IF(COUNTBLANK(F771:Z771)=17,"L",(IF(COUNTBLANK(F771:Z771)=18,"M",(IF(COUNTBLANK(F771:Z771)=19,"E",(IF(COUNTBLANK(F771:Z771)=20,"T",""))))))))}</f>
        <v>CLASSDC TOTAL</v>
      </c>
      <c r="AB770" s="76" t="str">
        <f t="array" ref="AB770:AB771">{"CLASSDC TOTAL";(sum(F771:Z771))}</f>
        <v>CLASSDC TOTAL</v>
      </c>
    </row>
    <row r="771">
      <c r="A771" s="48" t="s">
        <v>233</v>
      </c>
      <c r="B771" s="48" t="s">
        <v>418</v>
      </c>
      <c r="C771" s="48" t="s">
        <v>1465</v>
      </c>
      <c r="D771" s="48" t="s">
        <v>1466</v>
      </c>
      <c r="E771" s="5" t="s">
        <v>603</v>
      </c>
      <c r="F771" s="47" t="s">
        <v>603</v>
      </c>
      <c r="G771" s="5" t="s">
        <v>603</v>
      </c>
      <c r="H771" s="5"/>
      <c r="I771" s="5" t="s">
        <v>603</v>
      </c>
      <c r="J771" s="5"/>
      <c r="K771" s="5" t="s">
        <v>603</v>
      </c>
      <c r="L771" s="5"/>
      <c r="M771" s="5" t="s">
        <v>603</v>
      </c>
      <c r="N771" s="5"/>
      <c r="O771" s="5" t="s">
        <v>603</v>
      </c>
      <c r="P771" s="5"/>
      <c r="Q771" s="5" t="s">
        <v>603</v>
      </c>
      <c r="R771" s="5"/>
      <c r="S771" s="5" t="s">
        <v>603</v>
      </c>
      <c r="T771" s="5"/>
      <c r="U771" s="5" t="s">
        <v>603</v>
      </c>
      <c r="V771" s="5"/>
      <c r="W771" s="5" t="s">
        <v>603</v>
      </c>
      <c r="X771" s="5"/>
      <c r="Y771" s="5" t="s">
        <v>603</v>
      </c>
      <c r="Z771" s="5"/>
      <c r="AA771" s="5" t="s">
        <v>603</v>
      </c>
      <c r="AB771" s="47">
        <v>0.0</v>
      </c>
    </row>
    <row r="772" hidden="1">
      <c r="A772" s="222" t="str">
        <f t="array" ref="A772:A773">{"FormulaRow21";(INDEX(CLASSLIST,A731,1))}</f>
        <v>FormulaRow21</v>
      </c>
      <c r="B772" s="222" t="str">
        <f t="array" ref="B772:B773">{"CLASSTYPE";((INDEX(ALLCLASSDATA,MATCH("ClassType",CLASSFEATUREHEADERS,0),MATCH($A773,CLASSNAMEHEADERS,0))))}</f>
        <v>CLASSTYPE</v>
      </c>
      <c r="C772" s="222" t="str">
        <f t="array" ref="C772:C773">{"DC";"DC"}</f>
        <v>DC</v>
      </c>
      <c r="D772" s="222" t="str">
        <f t="array" ref="D772:D773">{"SPELLDC";"SpellDC"}</f>
        <v>SPELLDC</v>
      </c>
      <c r="E772" s="223" t="str">
        <f t="array" ref="E772:E773">{"SPELLDCINITIAL";((IF(G773=10,"T",(IF(G773=50,"E","")))))}</f>
        <v>SPELLDCINITIAL</v>
      </c>
      <c r="F772" s="223" t="str">
        <f t="array" ref="F772:F773">{"SPELLDCINITIALPTS";((IF("00"=(INDEX(ALLCLASSDATA,MATCH("SpellDCLegendary",CLASSFEATUREHEADERS,0),MATCH($A773,CLASSNAMEHEADERS,0))),(INDEX(ALLCLASSDATA,MATCH("SpellDCLegendary",CLASSFEATUREHEADERS,0),MATCH(($A773 &amp; "Points"),CLASSNAMEHEADERS,0))),(IF("00"=(INDEX(ALLCLASSDATA,MATCH("SpellDCMaster",CLASSFEATUREHEADERS,0),MATCH($A773,CLASSNAMEHEADERS,0))),(INDEX(ALLCLASSDATA,MATCH("SpellDCMaster",CLASSFEATUREHEADERS,0),MATCH(($A773 &amp; "Points"),CLASSNAMEHEADERS,0))),(IF("00"=(INDEX(ALLCLASSDATA,MATCH("SpellDCExpert",CLASSFEATUREHEADERS,0),MATCH($A773,CLASSNAMEHEADERS,0))),(INDEX(ALLCLASSDATA,MATCH("SpellDCExpert",CLASSFEATUREHEADERS,0),MATCH(($A773 &amp; "Points"),CLASSNAMEHEADERS,0))),(IF("00"=(INDEX(ALLCLASSDATA,MATCH("SpellDCTrained",CLASSFEATUREHEADERS,0),MATCH($A773,CLASSNAMEHEADERS,0))),(INDEX(ALLCLASSDATA,MATCH("SpellDCTrained",CLASSFEATUREHEADERS,0),MATCH(($A773 &amp; "Points"),CLASSNAMEHEADERS,0))),"")))))))))}</f>
        <v>SPELLDCINITIALPTS</v>
      </c>
      <c r="G772" s="223" t="str">
        <f t="array" ref="G772:G773">{"SPELLDCL01";((IF("01"=(INDEX(ALLCLASSDATA,MATCH("SpellDCLegendary",CLASSFEATUREHEADERS,0),MATCH($A773,CLASSNAMEHEADERS,0))),(INDEX(ALLCLASSDATA,MATCH("SpellDCLegendary",CLASSFEATUREHEADERS,0),MATCH(($A773 &amp; "Points"),CLASSNAMEHEADERS,0))),(IF("01"=(INDEX(ALLCLASSDATA,MATCH("SpellDCMaster",CLASSFEATUREHEADERS,0),MATCH($A773,CLASSNAMEHEADERS,0))),(INDEX(ALLCLASSDATA,MATCH("SpellDCMaster",CLASSFEATUREHEADERS,0),MATCH(($A773 &amp; "Points"),CLASSNAMEHEADERS,0))),(IF("01"=(INDEX(ALLCLASSDATA,MATCH("SpellDCExpert",CLASSFEATUREHEADERS,0),MATCH($A773,CLASSNAMEHEADERS,0))),(INDEX(ALLCLASSDATA,MATCH("SpellDCExpert",CLASSFEATUREHEADERS,0),MATCH(($A773 &amp; "Points"),CLASSNAMEHEADERS,0))),(IF("01"=(INDEX(ALLCLASSDATA,MATCH("SpellDCTrained",CLASSFEATUREHEADERS,0),MATCH($A773,CLASSNAMEHEADERS,0))),(INDEX(ALLCLASSDATA,MATCH("SpellDCTrained",CLASSFEATUREHEADERS,0),MATCH(($A773 &amp; "Points"),CLASSNAMEHEADERS,0))),"")))))))))}</f>
        <v>SPELLDCL01</v>
      </c>
      <c r="H772" s="223"/>
      <c r="I772" s="223" t="str">
        <f t="array" ref="I772:I773">{"SPELLDCL03";((IF("03"=(INDEX(ALLCLASSDATA,MATCH("SpellDCLegendary",CLASSFEATUREHEADERS,0),MATCH($A773,CLASSNAMEHEADERS,0))),(INDEX(ALLCLASSDATA,MATCH("SpellDCLegendary",CLASSFEATUREHEADERS,0),MATCH(($A773 &amp; "Points"),CLASSNAMEHEADERS,0))),(IF("03"=(INDEX(ALLCLASSDATA,MATCH("SpellDCMaster",CLASSFEATUREHEADERS,0),MATCH($A773,CLASSNAMEHEADERS,0))),(INDEX(ALLCLASSDATA,MATCH("SpellDCMaster",CLASSFEATUREHEADERS,0),MATCH(($A773 &amp; "Points"),CLASSNAMEHEADERS,0))),(IF("03"=(INDEX(ALLCLASSDATA,MATCH("SpellDCExpert",CLASSFEATUREHEADERS,0),MATCH($A773,CLASSNAMEHEADERS,0))),(INDEX(ALLCLASSDATA,MATCH("SpellDCExpert",CLASSFEATUREHEADERS,0),MATCH(($A773 &amp; "Points"),CLASSNAMEHEADERS,0))),(IF("03"=(INDEX(ALLCLASSDATA,MATCH("SpellDCTrained",CLASSFEATUREHEADERS,0),MATCH($A773,CLASSNAMEHEADERS,0))),(INDEX(ALLCLASSDATA,MATCH("SpellDCTrained",CLASSFEATUREHEADERS,0),MATCH(($A773 &amp; "Points"),CLASSNAMEHEADERS,0))),"")))))))))}</f>
        <v>SPELLDCL03</v>
      </c>
      <c r="J772" s="223"/>
      <c r="K772" s="223" t="str">
        <f t="array" ref="K772:K773">{"SPELLDCL05";((IF("05"=(INDEX(ALLCLASSDATA,MATCH("SpellDCLegendary",CLASSFEATUREHEADERS,0),MATCH($A773,CLASSNAMEHEADERS,0))),(INDEX(ALLCLASSDATA,MATCH("SpellDCLegendary",CLASSFEATUREHEADERS,0),MATCH(($A773 &amp; "Points"),CLASSNAMEHEADERS,0))),(IF("05"=(INDEX(ALLCLASSDATA,MATCH("SpellDCMaster",CLASSFEATUREHEADERS,0),MATCH($A773,CLASSNAMEHEADERS,0))),(INDEX(ALLCLASSDATA,MATCH("SpellDCMaster",CLASSFEATUREHEADERS,0),MATCH(($A773 &amp; "Points"),CLASSNAMEHEADERS,0))),(IF("05"=(INDEX(ALLCLASSDATA,MATCH("SpellDCExpert",CLASSFEATUREHEADERS,0),MATCH($A773,CLASSNAMEHEADERS,0))),(INDEX(ALLCLASSDATA,MATCH("SpellDCExpert",CLASSFEATUREHEADERS,0),MATCH(($A773 &amp; "Points"),CLASSNAMEHEADERS,0))),(IF("05"=(INDEX(ALLCLASSDATA,MATCH("SpellDCTrained",CLASSFEATUREHEADERS,0),MATCH($A773,CLASSNAMEHEADERS,0))),(INDEX(ALLCLASSDATA,MATCH("SpellDCTrained",CLASSFEATUREHEADERS,0),MATCH(($A773 &amp; "Points"),CLASSNAMEHEADERS,0))),"")))))))))}</f>
        <v>SPELLDCL05</v>
      </c>
      <c r="L772" s="223"/>
      <c r="M772" s="223" t="str">
        <f t="array" ref="M772:M773">{"SPELLDCL07";((IF("07"=(INDEX(ALLCLASSDATA,MATCH("SpellDCLegendary",CLASSFEATUREHEADERS,0),MATCH($A773,CLASSNAMEHEADERS,0))),(INDEX(ALLCLASSDATA,MATCH("SpellDCLegendary",CLASSFEATUREHEADERS,0),MATCH(($A773 &amp; "Points"),CLASSNAMEHEADERS,0))),(IF("07"=(INDEX(ALLCLASSDATA,MATCH("SpellDCMaster",CLASSFEATUREHEADERS,0),MATCH($A773,CLASSNAMEHEADERS,0))),(INDEX(ALLCLASSDATA,MATCH("SpellDCMaster",CLASSFEATUREHEADERS,0),MATCH(($A773 &amp; "Points"),CLASSNAMEHEADERS,0))),(IF("07"=(INDEX(ALLCLASSDATA,MATCH("SpellDCExpert",CLASSFEATUREHEADERS,0),MATCH($A773,CLASSNAMEHEADERS,0))),(INDEX(ALLCLASSDATA,MATCH("SpellDCExpert",CLASSFEATUREHEADERS,0),MATCH(($A773 &amp; "Points"),CLASSNAMEHEADERS,0))),(IF("07"=(INDEX(ALLCLASSDATA,MATCH("SpellDCTrained",CLASSFEATUREHEADERS,0),MATCH($A773,CLASSNAMEHEADERS,0))),(INDEX(ALLCLASSDATA,MATCH("SpellDCTrained",CLASSFEATUREHEADERS,0),MATCH(($A773 &amp; "Points"),CLASSNAMEHEADERS,0))),"")))))))))}</f>
        <v>SPELLDCL07</v>
      </c>
      <c r="N772" s="223"/>
      <c r="O772" s="223" t="str">
        <f t="array" ref="O772:O773">{"SPELLDCL09";((IF("09"=(INDEX(ALLCLASSDATA,MATCH("SpellDCLegendary",CLASSFEATUREHEADERS,0),MATCH($A773,CLASSNAMEHEADERS,0))),(INDEX(ALLCLASSDATA,MATCH("SpellDCLegendary",CLASSFEATUREHEADERS,0),MATCH(($A773 &amp; "Points"),CLASSNAMEHEADERS,0))),(IF("09"=(INDEX(ALLCLASSDATA,MATCH("SpellDCMaster",CLASSFEATUREHEADERS,0),MATCH($A773,CLASSNAMEHEADERS,0))),(INDEX(ALLCLASSDATA,MATCH("SpellDCMaster",CLASSFEATUREHEADERS,0),MATCH(($A773 &amp; "Points"),CLASSNAMEHEADERS,0))),(IF("09"=(INDEX(ALLCLASSDATA,MATCH("SpellDCExpert",CLASSFEATUREHEADERS,0),MATCH($A773,CLASSNAMEHEADERS,0))),(INDEX(ALLCLASSDATA,MATCH("SpellDCExpert",CLASSFEATUREHEADERS,0),MATCH(($A773 &amp; "Points"),CLASSNAMEHEADERS,0))),(IF("09"=(INDEX(ALLCLASSDATA,MATCH("SpellDCTrained",CLASSFEATUREHEADERS,0),MATCH($A773,CLASSNAMEHEADERS,0))),(INDEX(ALLCLASSDATA,MATCH("SpellDCTrained",CLASSFEATUREHEADERS,0),MATCH(($A773 &amp; "Points"),CLASSNAMEHEADERS,0))),"")))))))))}</f>
        <v>SPELLDCL09</v>
      </c>
      <c r="P772" s="223"/>
      <c r="Q772" s="223" t="str">
        <f t="array" ref="Q772:Q773">{"SPELLDCL11";((IF("11"=(INDEX(ALLCLASSDATA,MATCH("SpellDCLegendary",CLASSFEATUREHEADERS,0),MATCH($A773,CLASSNAMEHEADERS,0))),(INDEX(ALLCLASSDATA,MATCH("SpellDCLegendary",CLASSFEATUREHEADERS,0),MATCH(($A773 &amp; "Points"),CLASSNAMEHEADERS,0))),(IF("11"=(INDEX(ALLCLASSDATA,MATCH("SpellDCMaster",CLASSFEATUREHEADERS,0),MATCH($A773,CLASSNAMEHEADERS,0))),(INDEX(ALLCLASSDATA,MATCH("SpellDCMaster",CLASSFEATUREHEADERS,0),MATCH(($A773 &amp; "Points"),CLASSNAMEHEADERS,0))),(IF("11"=(INDEX(ALLCLASSDATA,MATCH("SpellDCExpert",CLASSFEATUREHEADERS,0),MATCH($A773,CLASSNAMEHEADERS,0))),(INDEX(ALLCLASSDATA,MATCH("SpellDCExpert",CLASSFEATUREHEADERS,0),MATCH(($A773 &amp; "Points"),CLASSNAMEHEADERS,0))),(IF("11"=(INDEX(ALLCLASSDATA,MATCH("SpellDCTrained",CLASSFEATUREHEADERS,0),MATCH($A773,CLASSNAMEHEADERS,0))),(INDEX(ALLCLASSDATA,MATCH("SpellDCTrained",CLASSFEATUREHEADERS,0),MATCH(($A773 &amp; "Points"),CLASSNAMEHEADERS,0))),"")))))))))}</f>
        <v>SPELLDCL11</v>
      </c>
      <c r="R772" s="223"/>
      <c r="S772" s="223" t="str">
        <f t="array" ref="S772:S773">{"SPELLDCL13";((IF("13"=(INDEX(ALLCLASSDATA,MATCH("SpellDCLegendary",CLASSFEATUREHEADERS,0),MATCH($A773,CLASSNAMEHEADERS,0))),(INDEX(ALLCLASSDATA,MATCH("SpellDCLegendary",CLASSFEATUREHEADERS,0),MATCH(($A773 &amp; "Points"),CLASSNAMEHEADERS,0))),(IF("13"=(INDEX(ALLCLASSDATA,MATCH("SpellDCMaster",CLASSFEATUREHEADERS,0),MATCH($A773,CLASSNAMEHEADERS,0))),(INDEX(ALLCLASSDATA,MATCH("SpellDCMaster",CLASSFEATUREHEADERS,0),MATCH(($A773 &amp; "Points"),CLASSNAMEHEADERS,0))),(IF("13"=(INDEX(ALLCLASSDATA,MATCH("SpellDCExpert",CLASSFEATUREHEADERS,0),MATCH($A773,CLASSNAMEHEADERS,0))),(INDEX(ALLCLASSDATA,MATCH("SpellDCExpert",CLASSFEATUREHEADERS,0),MATCH(($A773 &amp; "Points"),CLASSNAMEHEADERS,0))),(IF("13"=(INDEX(ALLCLASSDATA,MATCH("SpellDCTrained",CLASSFEATUREHEADERS,0),MATCH($A773,CLASSNAMEHEADERS,0))),(INDEX(ALLCLASSDATA,MATCH("SpellDCTrained",CLASSFEATUREHEADERS,0),MATCH(($A773 &amp; "Points"),CLASSNAMEHEADERS,0))),"")))))))))}</f>
        <v>SPELLDCL13</v>
      </c>
      <c r="T772" s="223"/>
      <c r="U772" s="223" t="str">
        <f t="array" ref="U772:U773">{"SPELLDCL15";((IF("15"=(INDEX(ALLCLASSDATA,MATCH("SpellDCLegendary",CLASSFEATUREHEADERS,0),MATCH($A773,CLASSNAMEHEADERS,0))),(INDEX(ALLCLASSDATA,MATCH("SpellDCLegendary",CLASSFEATUREHEADERS,0),MATCH(($A773 &amp; "Points"),CLASSNAMEHEADERS,0))),(IF("15"=(INDEX(ALLCLASSDATA,MATCH("SpellDCMaster",CLASSFEATUREHEADERS,0),MATCH($A773,CLASSNAMEHEADERS,0))),(INDEX(ALLCLASSDATA,MATCH("SpellDCMaster",CLASSFEATUREHEADERS,0),MATCH(($A773 &amp; "Points"),CLASSNAMEHEADERS,0))),(IF("15"=(INDEX(ALLCLASSDATA,MATCH("SpellDCExpert",CLASSFEATUREHEADERS,0),MATCH($A773,CLASSNAMEHEADERS,0))),(INDEX(ALLCLASSDATA,MATCH("SpellDCExpert",CLASSFEATUREHEADERS,0),MATCH(($A773 &amp; "Points"),CLASSNAMEHEADERS,0))),(IF("15"=(INDEX(ALLCLASSDATA,MATCH("SpellDCTrained",CLASSFEATUREHEADERS,0),MATCH($A773,CLASSNAMEHEADERS,0))),(INDEX(ALLCLASSDATA,MATCH("SpellDCTrained",CLASSFEATUREHEADERS,0),MATCH(($A773 &amp; "Points"),CLASSNAMEHEADERS,0))),"")))))))))}</f>
        <v>SPELLDCL15</v>
      </c>
      <c r="V772" s="223"/>
      <c r="W772" s="223" t="str">
        <f t="array" ref="W772:W773">{"SPELLDCL17";((IF("17"=(INDEX(ALLCLASSDATA,MATCH("SpellDCLegendary",CLASSFEATUREHEADERS,0),MATCH($A773,CLASSNAMEHEADERS,0))),(INDEX(ALLCLASSDATA,MATCH("SpellDCLegendary",CLASSFEATUREHEADERS,0),MATCH(($A773 &amp; "Points"),CLASSNAMEHEADERS,0))),(IF("17"=(INDEX(ALLCLASSDATA,MATCH("SpellDCMaster",CLASSFEATUREHEADERS,0),MATCH($A773,CLASSNAMEHEADERS,0))),(INDEX(ALLCLASSDATA,MATCH("SpellDCMaster",CLASSFEATUREHEADERS,0),MATCH(($A773 &amp; "Points"),CLASSNAMEHEADERS,0))),(IF("17"=(INDEX(ALLCLASSDATA,MATCH("SpellDCExpert",CLASSFEATUREHEADERS,0),MATCH($A773,CLASSNAMEHEADERS,0))),(INDEX(ALLCLASSDATA,MATCH("SpellDCExpert",CLASSFEATUREHEADERS,0),MATCH(($A773 &amp; "Points"),CLASSNAMEHEADERS,0))),(IF("17"=(INDEX(ALLCLASSDATA,MATCH("SpellDCTrained",CLASSFEATUREHEADERS,0),MATCH($A773,CLASSNAMEHEADERS,0))),(INDEX(ALLCLASSDATA,MATCH("SpellDCTrained",CLASSFEATUREHEADERS,0),MATCH(($A773 &amp; "Points"),CLASSNAMEHEADERS,0))),"")))))))))}</f>
        <v>SPELLDCL17</v>
      </c>
      <c r="X772" s="223"/>
      <c r="Y772" s="223" t="str">
        <f t="array" ref="Y772:Y773">{"SPELLDCL19";((IF("19"=(INDEX(ALLCLASSDATA,MATCH("SpellDCLegendary",CLASSFEATUREHEADERS,0),MATCH($A773,CLASSNAMEHEADERS,0))),(INDEX(ALLCLASSDATA,MATCH("SpellDCLegendary",CLASSFEATUREHEADERS,0),MATCH(($A773 &amp; "Points"),CLASSNAMEHEADERS,0))),(IF("19"=(INDEX(ALLCLASSDATA,MATCH("SpellDCMaster",CLASSFEATUREHEADERS,0),MATCH($A773,CLASSNAMEHEADERS,0))),(INDEX(ALLCLASSDATA,MATCH("SpellDCMaster",CLASSFEATUREHEADERS,0),MATCH(($A773 &amp; "Points"),CLASSNAMEHEADERS,0))),(IF("19"=(INDEX(ALLCLASSDATA,MATCH("SpellDCExpert",CLASSFEATUREHEADERS,0),MATCH($A773,CLASSNAMEHEADERS,0))),(INDEX(ALLCLASSDATA,MATCH("SpellDCExpert",CLASSFEATUREHEADERS,0),MATCH(($A773 &amp; "Points"),CLASSNAMEHEADERS,0))),(IF("19"=(INDEX(ALLCLASSDATA,MATCH("SpellDCTrained",CLASSFEATUREHEADERS,0),MATCH($A773,CLASSNAMEHEADERS,0))),(INDEX(ALLCLASSDATA,MATCH("SpellDCTrained",CLASSFEATUREHEADERS,0),MATCH(($A773 &amp; "Points"),CLASSNAMEHEADERS,0))),"")))))))))}</f>
        <v>SPELLDCL19</v>
      </c>
      <c r="Z772" s="223"/>
      <c r="AA772" s="76" t="str">
        <f t="array" ref="AA772:AA773">{"SPELLDC TOTAL";(IF(COUNTBLANK(F773:Z773)=17,"L",(IF(COUNTBLANK(F773:Z773)=18,"M",(IF(COUNTBLANK(F773:Z773)=19,"E",(IF(COUNTBLANK(F773:Z773)=20,"T",""))))))))}</f>
        <v>SPELLDC TOTAL</v>
      </c>
      <c r="AB772" s="76" t="str">
        <f t="array" ref="AB772:AB773">{"SPELLDC TOTAL";(sum(F773:Z773))}</f>
        <v>SPELLDC TOTAL</v>
      </c>
    </row>
    <row r="773">
      <c r="A773" s="48" t="s">
        <v>233</v>
      </c>
      <c r="B773" s="48" t="s">
        <v>418</v>
      </c>
      <c r="C773" s="97" t="s">
        <v>1465</v>
      </c>
      <c r="D773" s="97" t="s">
        <v>1485</v>
      </c>
      <c r="E773" s="98" t="s">
        <v>435</v>
      </c>
      <c r="F773" s="132" t="s">
        <v>603</v>
      </c>
      <c r="G773" s="98">
        <v>10.0</v>
      </c>
      <c r="H773" s="98"/>
      <c r="I773" s="98" t="s">
        <v>603</v>
      </c>
      <c r="J773" s="98"/>
      <c r="K773" s="98" t="s">
        <v>603</v>
      </c>
      <c r="L773" s="98"/>
      <c r="M773" s="98">
        <v>50.0</v>
      </c>
      <c r="N773" s="98"/>
      <c r="O773" s="98" t="s">
        <v>603</v>
      </c>
      <c r="P773" s="98"/>
      <c r="Q773" s="98" t="s">
        <v>603</v>
      </c>
      <c r="R773" s="98"/>
      <c r="S773" s="98" t="s">
        <v>603</v>
      </c>
      <c r="T773" s="98"/>
      <c r="U773" s="98">
        <v>110.0</v>
      </c>
      <c r="V773" s="98"/>
      <c r="W773" s="98" t="s">
        <v>603</v>
      </c>
      <c r="X773" s="98"/>
      <c r="Y773" s="98">
        <v>190.0</v>
      </c>
      <c r="Z773" s="98"/>
      <c r="AA773" s="5" t="s">
        <v>466</v>
      </c>
      <c r="AB773" s="47">
        <v>360.0</v>
      </c>
    </row>
    <row r="774" hidden="1">
      <c r="A774" s="222" t="str">
        <f t="array" ref="A774:A775">{"FormulaRow22";(INDEX(CLASSLIST,A731,1))}</f>
        <v>FormulaRow22</v>
      </c>
      <c r="B774" s="222" t="str">
        <f t="array" ref="B774:B775">{"CLASSTYPE";((INDEX(ALLCLASSDATA,MATCH("ClassType",CLASSFEATUREHEADERS,0),MATCH($A775,CLASSNAMEHEADERS,0))))}</f>
        <v>CLASSTYPE</v>
      </c>
      <c r="C774" s="228" t="str">
        <f t="shared" ref="C774:D774" si="9">{"PERCEPTION";"Perception"}</f>
        <v>PERCEPTION</v>
      </c>
      <c r="D774" s="228" t="str">
        <f t="shared" si="9"/>
        <v>PERCEPTION</v>
      </c>
      <c r="E774" s="230" t="str">
        <f t="array" ref="E774:E775">{"PERCEPTIONINITIAL";((IF(G775=10,"T",(IF(G775=50,"E","")))))}</f>
        <v>PERCEPTIONINITIAL</v>
      </c>
      <c r="F774" s="230" t="str">
        <f t="array" ref="F774:F775">{"PERCEPTIONINITIALPTS";((IF("00"=(INDEX(ALLCLASSDATA,MATCH("PerceptionLegendary",CLASSFEATUREHEADERS,0),MATCH($A775,CLASSNAMEHEADERS,0))),(INDEX(ALLCLASSDATA,MATCH("PerceptionLegendary",CLASSFEATUREHEADERS,0),MATCH(($A775 &amp; "Points"),CLASSNAMEHEADERS,0))),(IF("00"=(INDEX(ALLCLASSDATA,MATCH("PerceptionMaster",CLASSFEATUREHEADERS,0),MATCH($A775,CLASSNAMEHEADERS,0))),(INDEX(ALLCLASSDATA,MATCH("PerceptionMaster",CLASSFEATUREHEADERS,0),MATCH(($A775 &amp; "Points"),CLASSNAMEHEADERS,0))),(IF("00"=(INDEX(ALLCLASSDATA,MATCH("PerceptionExpert",CLASSFEATUREHEADERS,0),MATCH($A775,CLASSNAMEHEADERS,0))),(INDEX(ALLCLASSDATA,MATCH("PerceptionExpert",CLASSFEATUREHEADERS,0),MATCH(($A775 &amp; "Points"),CLASSNAMEHEADERS,0))),(IF("00"=(INDEX(ALLCLASSDATA,MATCH("PerceptionTrained",CLASSFEATUREHEADERS,0),MATCH($A775,CLASSNAMEHEADERS,0))),(INDEX(ALLCLASSDATA,MATCH("PerceptionTrained",CLASSFEATUREHEADERS,0),MATCH(($A775 &amp; "Points"),CLASSNAMEHEADERS,0))),"")))))))))}</f>
        <v>PERCEPTIONINITIALPTS</v>
      </c>
      <c r="G774" s="230" t="str">
        <f t="array" ref="G774:G775">{"PERCEPTIONL01";((IF("01"=(INDEX(ALLCLASSDATA,MATCH("PerceptionLegendary",CLASSFEATUREHEADERS,0),MATCH($A775,CLASSNAMEHEADERS,0))),(INDEX(ALLCLASSDATA,MATCH("PerceptionLegendary",CLASSFEATUREHEADERS,0),MATCH(($A775 &amp; "Points"),CLASSNAMEHEADERS,0))),(IF("01"=(INDEX(ALLCLASSDATA,MATCH("PerceptionMaster",CLASSFEATUREHEADERS,0),MATCH($A775,CLASSNAMEHEADERS,0))),(INDEX(ALLCLASSDATA,MATCH("PerceptionMaster",CLASSFEATUREHEADERS,0),MATCH(($A775 &amp; "Points"),CLASSNAMEHEADERS,0))),(IF("01"=(INDEX(ALLCLASSDATA,MATCH("PerceptionExpert",CLASSFEATUREHEADERS,0),MATCH($A775,CLASSNAMEHEADERS,0))),(INDEX(ALLCLASSDATA,MATCH("PerceptionExpert",CLASSFEATUREHEADERS,0),MATCH(($A775 &amp; "Points"),CLASSNAMEHEADERS,0))),(IF("01"=(INDEX(ALLCLASSDATA,MATCH("PerceptionTrained",CLASSFEATUREHEADERS,0),MATCH($A775,CLASSNAMEHEADERS,0))),(INDEX(ALLCLASSDATA,MATCH("PerceptionTrained",CLASSFEATUREHEADERS,0),MATCH(($A775 &amp; "Points"),CLASSNAMEHEADERS,0))),"")))))))))}</f>
        <v>PERCEPTIONL01</v>
      </c>
      <c r="H774" s="230"/>
      <c r="I774" s="230" t="str">
        <f t="array" ref="I774:I775">{"PERCEPTIONL03";((IF("03"=(INDEX(ALLCLASSDATA,MATCH("PerceptionLegendary",CLASSFEATUREHEADERS,0),MATCH($A775,CLASSNAMEHEADERS,0))),(INDEX(ALLCLASSDATA,MATCH("PerceptionLegendary",CLASSFEATUREHEADERS,0),MATCH(($A775 &amp; "Points"),CLASSNAMEHEADERS,0))),(IF("03"=(INDEX(ALLCLASSDATA,MATCH("PerceptionMaster",CLASSFEATUREHEADERS,0),MATCH($A775,CLASSNAMEHEADERS,0))),(INDEX(ALLCLASSDATA,MATCH("PerceptionMaster",CLASSFEATUREHEADERS,0),MATCH(($A775 &amp; "Points"),CLASSNAMEHEADERS,0))),(IF("03"=(INDEX(ALLCLASSDATA,MATCH("PerceptionExpert",CLASSFEATUREHEADERS,0),MATCH($A775,CLASSNAMEHEADERS,0))),(INDEX(ALLCLASSDATA,MATCH("PerceptionExpert",CLASSFEATUREHEADERS,0),MATCH(($A775 &amp; "Points"),CLASSNAMEHEADERS,0))),(IF("03"=(INDEX(ALLCLASSDATA,MATCH("PerceptionTrained",CLASSFEATUREHEADERS,0),MATCH($A775,CLASSNAMEHEADERS,0))),(INDEX(ALLCLASSDATA,MATCH("PerceptionTrained",CLASSFEATUREHEADERS,0),MATCH(($A775 &amp; "Points"),CLASSNAMEHEADERS,0))),"")))))))))}</f>
        <v>PERCEPTIONL03</v>
      </c>
      <c r="J774" s="230"/>
      <c r="K774" s="230" t="str">
        <f t="array" ref="K774:K775">{"PERCEPTIONL05";((IF("05"=(INDEX(ALLCLASSDATA,MATCH("PerceptionLegendary",CLASSFEATUREHEADERS,0),MATCH($A775,CLASSNAMEHEADERS,0))),(INDEX(ALLCLASSDATA,MATCH("PerceptionLegendary",CLASSFEATUREHEADERS,0),MATCH(($A775 &amp; "Points"),CLASSNAMEHEADERS,0))),(IF("05"=(INDEX(ALLCLASSDATA,MATCH("PerceptionMaster",CLASSFEATUREHEADERS,0),MATCH($A775,CLASSNAMEHEADERS,0))),(INDEX(ALLCLASSDATA,MATCH("PerceptionMaster",CLASSFEATUREHEADERS,0),MATCH(($A775 &amp; "Points"),CLASSNAMEHEADERS,0))),(IF("05"=(INDEX(ALLCLASSDATA,MATCH("PerceptionExpert",CLASSFEATUREHEADERS,0),MATCH($A775,CLASSNAMEHEADERS,0))),(INDEX(ALLCLASSDATA,MATCH("PerceptionExpert",CLASSFEATUREHEADERS,0),MATCH(($A775 &amp; "Points"),CLASSNAMEHEADERS,0))),(IF("05"=(INDEX(ALLCLASSDATA,MATCH("PerceptionTrained",CLASSFEATUREHEADERS,0),MATCH($A775,CLASSNAMEHEADERS,0))),(INDEX(ALLCLASSDATA,MATCH("PerceptionTrained",CLASSFEATUREHEADERS,0),MATCH(($A775 &amp; "Points"),CLASSNAMEHEADERS,0))),"")))))))))}</f>
        <v>PERCEPTIONL05</v>
      </c>
      <c r="L774" s="230"/>
      <c r="M774" s="230" t="str">
        <f t="array" ref="M774:M775">{"PERCEPTIONL07";((IF("07"=(INDEX(ALLCLASSDATA,MATCH("PerceptionLegendary",CLASSFEATUREHEADERS,0),MATCH($A775,CLASSNAMEHEADERS,0))),(INDEX(ALLCLASSDATA,MATCH("PerceptionLegendary",CLASSFEATUREHEADERS,0),MATCH(($A775 &amp; "Points"),CLASSNAMEHEADERS,0))),(IF("07"=(INDEX(ALLCLASSDATA,MATCH("PerceptionMaster",CLASSFEATUREHEADERS,0),MATCH($A775,CLASSNAMEHEADERS,0))),(INDEX(ALLCLASSDATA,MATCH("PerceptionMaster",CLASSFEATUREHEADERS,0),MATCH(($A775 &amp; "Points"),CLASSNAMEHEADERS,0))),(IF("07"=(INDEX(ALLCLASSDATA,MATCH("PerceptionExpert",CLASSFEATUREHEADERS,0),MATCH($A775,CLASSNAMEHEADERS,0))),(INDEX(ALLCLASSDATA,MATCH("PerceptionExpert",CLASSFEATUREHEADERS,0),MATCH(($A775 &amp; "Points"),CLASSNAMEHEADERS,0))),(IF("07"=(INDEX(ALLCLASSDATA,MATCH("PerceptionTrained",CLASSFEATUREHEADERS,0),MATCH($A775,CLASSNAMEHEADERS,0))),(INDEX(ALLCLASSDATA,MATCH("PerceptionTrained",CLASSFEATUREHEADERS,0),MATCH(($A775 &amp; "Points"),CLASSNAMEHEADERS,0))),"")))))))))}</f>
        <v>PERCEPTIONL07</v>
      </c>
      <c r="N774" s="230"/>
      <c r="O774" s="230" t="str">
        <f t="array" ref="O774:O775">{"PERCEPTIONL09";((IF("09"=(INDEX(ALLCLASSDATA,MATCH("PerceptionLegendary",CLASSFEATUREHEADERS,0),MATCH($A775,CLASSNAMEHEADERS,0))),(INDEX(ALLCLASSDATA,MATCH("PerceptionLegendary",CLASSFEATUREHEADERS,0),MATCH(($A775 &amp; "Points"),CLASSNAMEHEADERS,0))),(IF("09"=(INDEX(ALLCLASSDATA,MATCH("PerceptionMaster",CLASSFEATUREHEADERS,0),MATCH($A775,CLASSNAMEHEADERS,0))),(INDEX(ALLCLASSDATA,MATCH("PerceptionMaster",CLASSFEATUREHEADERS,0),MATCH(($A775 &amp; "Points"),CLASSNAMEHEADERS,0))),(IF("09"=(INDEX(ALLCLASSDATA,MATCH("PerceptionExpert",CLASSFEATUREHEADERS,0),MATCH($A775,CLASSNAMEHEADERS,0))),(INDEX(ALLCLASSDATA,MATCH("PerceptionExpert",CLASSFEATUREHEADERS,0),MATCH(($A775 &amp; "Points"),CLASSNAMEHEADERS,0))),(IF("09"=(INDEX(ALLCLASSDATA,MATCH("PerceptionTrained",CLASSFEATUREHEADERS,0),MATCH($A775,CLASSNAMEHEADERS,0))),(INDEX(ALLCLASSDATA,MATCH("PerceptionTrained",CLASSFEATUREHEADERS,0),MATCH(($A775 &amp; "Points"),CLASSNAMEHEADERS,0))),"")))))))))}</f>
        <v>PERCEPTIONL09</v>
      </c>
      <c r="P774" s="230"/>
      <c r="Q774" s="230" t="str">
        <f t="array" ref="Q774:Q775">{"PERCEPTIONL11";((IF("11"=(INDEX(ALLCLASSDATA,MATCH("PerceptionLegendary",CLASSFEATUREHEADERS,0),MATCH($A775,CLASSNAMEHEADERS,0))),(INDEX(ALLCLASSDATA,MATCH("PerceptionLegendary",CLASSFEATUREHEADERS,0),MATCH(($A775 &amp; "Points"),CLASSNAMEHEADERS,0))),(IF("11"=(INDEX(ALLCLASSDATA,MATCH("PerceptionMaster",CLASSFEATUREHEADERS,0),MATCH($A775,CLASSNAMEHEADERS,0))),(INDEX(ALLCLASSDATA,MATCH("PerceptionMaster",CLASSFEATUREHEADERS,0),MATCH(($A775 &amp; "Points"),CLASSNAMEHEADERS,0))),(IF("11"=(INDEX(ALLCLASSDATA,MATCH("PerceptionExpert",CLASSFEATUREHEADERS,0),MATCH($A775,CLASSNAMEHEADERS,0))),(INDEX(ALLCLASSDATA,MATCH("PerceptionExpert",CLASSFEATUREHEADERS,0),MATCH(($A775 &amp; "Points"),CLASSNAMEHEADERS,0))),(IF("11"=(INDEX(ALLCLASSDATA,MATCH("PerceptionTrained",CLASSFEATUREHEADERS,0),MATCH($A775,CLASSNAMEHEADERS,0))),(INDEX(ALLCLASSDATA,MATCH("PerceptionTrained",CLASSFEATUREHEADERS,0),MATCH(($A775 &amp; "Points"),CLASSNAMEHEADERS,0))),"")))))))))}</f>
        <v>PERCEPTIONL11</v>
      </c>
      <c r="R774" s="230"/>
      <c r="S774" s="230" t="str">
        <f t="array" ref="S774:S775">{"PERCEPTIONL13";((IF("13"=(INDEX(ALLCLASSDATA,MATCH("PerceptionLegendary",CLASSFEATUREHEADERS,0),MATCH($A775,CLASSNAMEHEADERS,0))),(INDEX(ALLCLASSDATA,MATCH("PerceptionLegendary",CLASSFEATUREHEADERS,0),MATCH(($A775 &amp; "Points"),CLASSNAMEHEADERS,0))),(IF("13"=(INDEX(ALLCLASSDATA,MATCH("PerceptionMaster",CLASSFEATUREHEADERS,0),MATCH($A775,CLASSNAMEHEADERS,0))),(INDEX(ALLCLASSDATA,MATCH("PerceptionMaster",CLASSFEATUREHEADERS,0),MATCH(($A775 &amp; "Points"),CLASSNAMEHEADERS,0))),(IF("13"=(INDEX(ALLCLASSDATA,MATCH("PerceptionExpert",CLASSFEATUREHEADERS,0),MATCH($A775,CLASSNAMEHEADERS,0))),(INDEX(ALLCLASSDATA,MATCH("PerceptionExpert",CLASSFEATUREHEADERS,0),MATCH(($A775 &amp; "Points"),CLASSNAMEHEADERS,0))),(IF("13"=(INDEX(ALLCLASSDATA,MATCH("PerceptionTrained",CLASSFEATUREHEADERS,0),MATCH($A775,CLASSNAMEHEADERS,0))),(INDEX(ALLCLASSDATA,MATCH("PerceptionTrained",CLASSFEATUREHEADERS,0),MATCH(($A775 &amp; "Points"),CLASSNAMEHEADERS,0))),"")))))))))}</f>
        <v>PERCEPTIONL13</v>
      </c>
      <c r="T774" s="230"/>
      <c r="U774" s="230" t="str">
        <f t="array" ref="U774:U775">{"PERCEPTIONL15";((IF("15"=(INDEX(ALLCLASSDATA,MATCH("PerceptionLegendary",CLASSFEATUREHEADERS,0),MATCH($A775,CLASSNAMEHEADERS,0))),(INDEX(ALLCLASSDATA,MATCH("PerceptionLegendary",CLASSFEATUREHEADERS,0),MATCH(($A775 &amp; "Points"),CLASSNAMEHEADERS,0))),(IF("15"=(INDEX(ALLCLASSDATA,MATCH("PerceptionMaster",CLASSFEATUREHEADERS,0),MATCH($A775,CLASSNAMEHEADERS,0))),(INDEX(ALLCLASSDATA,MATCH("PerceptionMaster",CLASSFEATUREHEADERS,0),MATCH(($A775 &amp; "Points"),CLASSNAMEHEADERS,0))),(IF("15"=(INDEX(ALLCLASSDATA,MATCH("PerceptionExpert",CLASSFEATUREHEADERS,0),MATCH($A775,CLASSNAMEHEADERS,0))),(INDEX(ALLCLASSDATA,MATCH("PerceptionExpert",CLASSFEATUREHEADERS,0),MATCH(($A775 &amp; "Points"),CLASSNAMEHEADERS,0))),(IF("15"=(INDEX(ALLCLASSDATA,MATCH("PerceptionTrained",CLASSFEATUREHEADERS,0),MATCH($A775,CLASSNAMEHEADERS,0))),(INDEX(ALLCLASSDATA,MATCH("PerceptionTrained",CLASSFEATUREHEADERS,0),MATCH(($A775 &amp; "Points"),CLASSNAMEHEADERS,0))),"")))))))))}</f>
        <v>PERCEPTIONL15</v>
      </c>
      <c r="V774" s="230"/>
      <c r="W774" s="230" t="str">
        <f t="array" ref="W774:W775">{"PERCEPTIONL17";((IF("17"=(INDEX(ALLCLASSDATA,MATCH("PerceptionLegendary",CLASSFEATUREHEADERS,0),MATCH($A775,CLASSNAMEHEADERS,0))),(INDEX(ALLCLASSDATA,MATCH("PerceptionLegendary",CLASSFEATUREHEADERS,0),MATCH(($A775 &amp; "Points"),CLASSNAMEHEADERS,0))),(IF("17"=(INDEX(ALLCLASSDATA,MATCH("PerceptionMaster",CLASSFEATUREHEADERS,0),MATCH($A775,CLASSNAMEHEADERS,0))),(INDEX(ALLCLASSDATA,MATCH("PerceptionMaster",CLASSFEATUREHEADERS,0),MATCH(($A775 &amp; "Points"),CLASSNAMEHEADERS,0))),(IF("17"=(INDEX(ALLCLASSDATA,MATCH("PerceptionExpert",CLASSFEATUREHEADERS,0),MATCH($A775,CLASSNAMEHEADERS,0))),(INDEX(ALLCLASSDATA,MATCH("PerceptionExpert",CLASSFEATUREHEADERS,0),MATCH(($A775 &amp; "Points"),CLASSNAMEHEADERS,0))),(IF("17"=(INDEX(ALLCLASSDATA,MATCH("PerceptionTrained",CLASSFEATUREHEADERS,0),MATCH($A775,CLASSNAMEHEADERS,0))),(INDEX(ALLCLASSDATA,MATCH("PerceptionTrained",CLASSFEATUREHEADERS,0),MATCH(($A775 &amp; "Points"),CLASSNAMEHEADERS,0))),"")))))))))}</f>
        <v>PERCEPTIONL17</v>
      </c>
      <c r="X774" s="230"/>
      <c r="Y774" s="230" t="str">
        <f t="array" ref="Y774:Y775">{"PERCEPTIONL19";((IF("19"=(INDEX(ALLCLASSDATA,MATCH("PerceptionLegendary",CLASSFEATUREHEADERS,0),MATCH($A775,CLASSNAMEHEADERS,0))),(INDEX(ALLCLASSDATA,MATCH("PerceptionLegendary",CLASSFEATUREHEADERS,0),MATCH(($A775 &amp; "Points"),CLASSNAMEHEADERS,0))),(IF("19"=(INDEX(ALLCLASSDATA,MATCH("PerceptionMaster",CLASSFEATUREHEADERS,0),MATCH($A775,CLASSNAMEHEADERS,0))),(INDEX(ALLCLASSDATA,MATCH("PerceptionMaster",CLASSFEATUREHEADERS,0),MATCH(($A775 &amp; "Points"),CLASSNAMEHEADERS,0))),(IF("19"=(INDEX(ALLCLASSDATA,MATCH("PerceptionExpert",CLASSFEATUREHEADERS,0),MATCH($A775,CLASSNAMEHEADERS,0))),(INDEX(ALLCLASSDATA,MATCH("PerceptionExpert",CLASSFEATUREHEADERS,0),MATCH(($A775 &amp; "Points"),CLASSNAMEHEADERS,0))),(IF("19"=(INDEX(ALLCLASSDATA,MATCH("PerceptionTrained",CLASSFEATUREHEADERS,0),MATCH($A775,CLASSNAMEHEADERS,0))),(INDEX(ALLCLASSDATA,MATCH("PerceptionTrained",CLASSFEATUREHEADERS,0),MATCH(($A775 &amp; "Points"),CLASSNAMEHEADERS,0))),"")))))))))}</f>
        <v>PERCEPTIONL19</v>
      </c>
      <c r="Z774" s="230"/>
      <c r="AA774" s="76" t="str">
        <f t="array" ref="AA774:AA775">{"PERCEPTION TOTAL";(IF(COUNTBLANK(F775:Z775)=17,"L",(IF(COUNTBLANK(F775:Z775)=18,"M",(IF(COUNTBLANK(F775:Z775)=19,"E",(IF(COUNTBLANK(F775:Z775)=20,"T",""))))))))}</f>
        <v>PERCEPTION TOTAL</v>
      </c>
      <c r="AB774" s="76" t="str">
        <f t="array" ref="AB774:AB775">{"PERCEPTION TOTAL";(sum(F775:Z775))}</f>
        <v>PERCEPTION TOTAL</v>
      </c>
    </row>
    <row r="775">
      <c r="A775" s="48" t="s">
        <v>233</v>
      </c>
      <c r="B775" s="48" t="s">
        <v>418</v>
      </c>
      <c r="C775" s="97" t="s">
        <v>637</v>
      </c>
      <c r="D775" s="97" t="s">
        <v>637</v>
      </c>
      <c r="E775" s="98" t="s">
        <v>435</v>
      </c>
      <c r="F775" s="132" t="s">
        <v>603</v>
      </c>
      <c r="G775" s="98">
        <v>10.0</v>
      </c>
      <c r="H775" s="98"/>
      <c r="I775" s="98" t="s">
        <v>603</v>
      </c>
      <c r="J775" s="98"/>
      <c r="K775" s="98" t="s">
        <v>603</v>
      </c>
      <c r="L775" s="98"/>
      <c r="M775" s="98" t="s">
        <v>603</v>
      </c>
      <c r="N775" s="98"/>
      <c r="O775" s="98" t="s">
        <v>603</v>
      </c>
      <c r="P775" s="98"/>
      <c r="Q775" s="98">
        <v>50.0</v>
      </c>
      <c r="R775" s="98"/>
      <c r="S775" s="98" t="s">
        <v>603</v>
      </c>
      <c r="T775" s="98"/>
      <c r="U775" s="98" t="s">
        <v>603</v>
      </c>
      <c r="V775" s="98"/>
      <c r="W775" s="98" t="s">
        <v>603</v>
      </c>
      <c r="X775" s="98"/>
      <c r="Y775" s="98" t="s">
        <v>603</v>
      </c>
      <c r="Z775" s="98"/>
      <c r="AA775" s="5" t="s">
        <v>436</v>
      </c>
      <c r="AB775" s="47">
        <v>60.0</v>
      </c>
    </row>
    <row r="776" hidden="1">
      <c r="A776" s="222" t="str">
        <f t="array" ref="A776:A777">{"FormulaRow23";(INDEX(CLASSLIST,A731,1))}</f>
        <v>FormulaRow23</v>
      </c>
      <c r="B776" s="222" t="str">
        <f t="array" ref="B776:B777">{"CLASSTYPE";((INDEX(ALLCLASSDATA,MATCH("ClassType",CLASSFEATUREHEADERS,0),MATCH($A777,CLASSNAMEHEADERS,0))))}</f>
        <v>CLASSTYPE</v>
      </c>
      <c r="C776" s="228" t="str">
        <f t="array" ref="C776:C777">{"SAVES";"Saves"}</f>
        <v>SAVES</v>
      </c>
      <c r="D776" s="228" t="str">
        <f t="array" ref="D776:D777">{"FORTITUDESAVE";"FortitudeSave"}</f>
        <v>FORTITUDESAVE</v>
      </c>
      <c r="E776" s="230" t="str">
        <f t="array" ref="E776:E777">{"FORTITUDEINITIAL";((IF(G777=10,"T",(IF(G777=50,"E","")))))}</f>
        <v>FORTITUDEINITIAL</v>
      </c>
      <c r="F776" s="230" t="str">
        <f t="array" ref="F776:F777">{"FORTITUDEINITIALPTS";((IF("00"=(INDEX(ALLCLASSDATA,MATCH("FortitudeSaveLegendary",CLASSFEATUREHEADERS,0),MATCH($A777,CLASSNAMEHEADERS,0))),(INDEX(ALLCLASSDATA,MATCH("FortitudeSaveLegendary",CLASSFEATUREHEADERS,0),MATCH(($A777 &amp; "Points"),CLASSNAMEHEADERS,0))),(IF("00"=(INDEX(ALLCLASSDATA,MATCH("FortitudeSaveMaster",CLASSFEATUREHEADERS,0),MATCH($A777,CLASSNAMEHEADERS,0))),(INDEX(ALLCLASSDATA,MATCH("FortitudeSaveMaster",CLASSFEATUREHEADERS,0),MATCH(($A777 &amp; "Points"),CLASSNAMEHEADERS,0))),(IF("00"=(INDEX(ALLCLASSDATA,MATCH("FortitudeSaveExpert",CLASSFEATUREHEADERS,0),MATCH($A777,CLASSNAMEHEADERS,0))),(INDEX(ALLCLASSDATA,MATCH("FortitudeSaveExpert",CLASSFEATUREHEADERS,0),MATCH(($A777 &amp; "Points"),CLASSNAMEHEADERS,0))),(IF("00"=(INDEX(ALLCLASSDATA,MATCH("FortitudeSaveTrained",CLASSFEATUREHEADERS,0),MATCH($A777,CLASSNAMEHEADERS,0))),(INDEX(ALLCLASSDATA,MATCH("FortitudeSaveTrained",CLASSFEATUREHEADERS,0),MATCH(($A777 &amp; "Points"),CLASSNAMEHEADERS,0))),"")))))))))}</f>
        <v>FORTITUDEINITIALPTS</v>
      </c>
      <c r="G776" s="230" t="str">
        <f t="array" ref="G776:G777">{"FORTITUDEL01";((IF("01"=(INDEX(ALLCLASSDATA,MATCH("FortitudeSaveLegendary",CLASSFEATUREHEADERS,0),MATCH($A777,CLASSNAMEHEADERS,0))),(INDEX(ALLCLASSDATA,MATCH("FortitudeSaveLegendary",CLASSFEATUREHEADERS,0),MATCH(($A777 &amp; "Points"),CLASSNAMEHEADERS,0))),(IF("01"=(INDEX(ALLCLASSDATA,MATCH("FortitudeSaveMaster",CLASSFEATUREHEADERS,0),MATCH($A777,CLASSNAMEHEADERS,0))),(INDEX(ALLCLASSDATA,MATCH("FortitudeSaveMaster",CLASSFEATUREHEADERS,0),MATCH(($A777 &amp; "Points"),CLASSNAMEHEADERS,0))),(IF("01"=(INDEX(ALLCLASSDATA,MATCH("FortitudeSaveExpert",CLASSFEATUREHEADERS,0),MATCH($A777,CLASSNAMEHEADERS,0))),(INDEX(ALLCLASSDATA,MATCH("FortitudeSaveExpert",CLASSFEATUREHEADERS,0),MATCH(($A777 &amp; "Points"),CLASSNAMEHEADERS,0))),(IF("01"=(INDEX(ALLCLASSDATA,MATCH("FortitudeSaveTrained",CLASSFEATUREHEADERS,0),MATCH($A777,CLASSNAMEHEADERS,0))),(INDEX(ALLCLASSDATA,MATCH("FortitudeSaveTrained",CLASSFEATUREHEADERS,0),MATCH(($A777 &amp; "Points"),CLASSNAMEHEADERS,0))),"")))))))))}</f>
        <v>FORTITUDEL01</v>
      </c>
      <c r="H776" s="230"/>
      <c r="I776" s="230" t="str">
        <f t="array" ref="I776:I777">{"FORTITUDEL03";((IF("03"=(INDEX(ALLCLASSDATA,MATCH("FortitudeSaveLegendary",CLASSFEATUREHEADERS,0),MATCH($A777,CLASSNAMEHEADERS,0))),(INDEX(ALLCLASSDATA,MATCH("FortitudeSaveLegendary",CLASSFEATUREHEADERS,0),MATCH(($A777 &amp; "Points"),CLASSNAMEHEADERS,0))),(IF("03"=(INDEX(ALLCLASSDATA,MATCH("FortitudeSaveMaster",CLASSFEATUREHEADERS,0),MATCH($A777,CLASSNAMEHEADERS,0))),(INDEX(ALLCLASSDATA,MATCH("FortitudeSaveMaster",CLASSFEATUREHEADERS,0),MATCH(($A777 &amp; "Points"),CLASSNAMEHEADERS,0))),(IF("03"=(INDEX(ALLCLASSDATA,MATCH("FortitudeSaveExpert",CLASSFEATUREHEADERS,0),MATCH($A777,CLASSNAMEHEADERS,0))),(INDEX(ALLCLASSDATA,MATCH("FortitudeSaveExpert",CLASSFEATUREHEADERS,0),MATCH(($A777 &amp; "Points"),CLASSNAMEHEADERS,0))),(IF("03"=(INDEX(ALLCLASSDATA,MATCH("FortitudeSaveTrained",CLASSFEATUREHEADERS,0),MATCH($A777,CLASSNAMEHEADERS,0))),(INDEX(ALLCLASSDATA,MATCH("FortitudeSaveTrained",CLASSFEATUREHEADERS,0),MATCH(($A777 &amp; "Points"),CLASSNAMEHEADERS,0))),"")))))))))}</f>
        <v>FORTITUDEL03</v>
      </c>
      <c r="J776" s="230"/>
      <c r="K776" s="230" t="str">
        <f t="array" ref="K776:K777">{"FORTITUDEL05";((IF("05"=(INDEX(ALLCLASSDATA,MATCH("FortitudeSaveLegendary",CLASSFEATUREHEADERS,0),MATCH($A777,CLASSNAMEHEADERS,0))),(INDEX(ALLCLASSDATA,MATCH("FortitudeSaveLegendary",CLASSFEATUREHEADERS,0),MATCH(($A777 &amp; "Points"),CLASSNAMEHEADERS,0))),(IF("05"=(INDEX(ALLCLASSDATA,MATCH("FortitudeSaveMaster",CLASSFEATUREHEADERS,0),MATCH($A777,CLASSNAMEHEADERS,0))),(INDEX(ALLCLASSDATA,MATCH("FortitudeSaveMaster",CLASSFEATUREHEADERS,0),MATCH(($A777 &amp; "Points"),CLASSNAMEHEADERS,0))),(IF("05"=(INDEX(ALLCLASSDATA,MATCH("FortitudeSaveExpert",CLASSFEATUREHEADERS,0),MATCH($A777,CLASSNAMEHEADERS,0))),(INDEX(ALLCLASSDATA,MATCH("FortitudeSaveExpert",CLASSFEATUREHEADERS,0),MATCH(($A777 &amp; "Points"),CLASSNAMEHEADERS,0))),(IF("05"=(INDEX(ALLCLASSDATA,MATCH("FortitudeSaveTrained",CLASSFEATUREHEADERS,0),MATCH($A777,CLASSNAMEHEADERS,0))),(INDEX(ALLCLASSDATA,MATCH("FortitudeSaveTrained",CLASSFEATUREHEADERS,0),MATCH(($A777 &amp; "Points"),CLASSNAMEHEADERS,0))),"")))))))))}</f>
        <v>FORTITUDEL05</v>
      </c>
      <c r="L776" s="230"/>
      <c r="M776" s="230" t="str">
        <f t="array" ref="M776:M777">{"FORTITUDEL07";((IF("07"=(INDEX(ALLCLASSDATA,MATCH("FortitudeSaveLegendary",CLASSFEATUREHEADERS,0),MATCH($A777,CLASSNAMEHEADERS,0))),(INDEX(ALLCLASSDATA,MATCH("FortitudeSaveLegendary",CLASSFEATUREHEADERS,0),MATCH(($A777 &amp; "Points"),CLASSNAMEHEADERS,0))),(IF("07"=(INDEX(ALLCLASSDATA,MATCH("FortitudeSaveMaster",CLASSFEATUREHEADERS,0),MATCH($A777,CLASSNAMEHEADERS,0))),(INDEX(ALLCLASSDATA,MATCH("FortitudeSaveMaster",CLASSFEATUREHEADERS,0),MATCH(($A777 &amp; "Points"),CLASSNAMEHEADERS,0))),(IF("07"=(INDEX(ALLCLASSDATA,MATCH("FortitudeSaveExpert",CLASSFEATUREHEADERS,0),MATCH($A777,CLASSNAMEHEADERS,0))),(INDEX(ALLCLASSDATA,MATCH("FortitudeSaveExpert",CLASSFEATUREHEADERS,0),MATCH(($A777 &amp; "Points"),CLASSNAMEHEADERS,0))),(IF("07"=(INDEX(ALLCLASSDATA,MATCH("FortitudeSaveTrained",CLASSFEATUREHEADERS,0),MATCH($A777,CLASSNAMEHEADERS,0))),(INDEX(ALLCLASSDATA,MATCH("FortitudeSaveTrained",CLASSFEATUREHEADERS,0),MATCH(($A777 &amp; "Points"),CLASSNAMEHEADERS,0))),"")))))))))}</f>
        <v>FORTITUDEL07</v>
      </c>
      <c r="N776" s="230"/>
      <c r="O776" s="230" t="str">
        <f t="array" ref="O776:O777">{"FORTITUDEL09";((IF("09"=(INDEX(ALLCLASSDATA,MATCH("FortitudeSaveLegendary",CLASSFEATUREHEADERS,0),MATCH($A777,CLASSNAMEHEADERS,0))),(INDEX(ALLCLASSDATA,MATCH("FortitudeSaveLegendary",CLASSFEATUREHEADERS,0),MATCH(($A777 &amp; "Points"),CLASSNAMEHEADERS,0))),(IF("09"=(INDEX(ALLCLASSDATA,MATCH("FortitudeSaveMaster",CLASSFEATUREHEADERS,0),MATCH($A777,CLASSNAMEHEADERS,0))),(INDEX(ALLCLASSDATA,MATCH("FortitudeSaveMaster",CLASSFEATUREHEADERS,0),MATCH(($A777 &amp; "Points"),CLASSNAMEHEADERS,0))),(IF("09"=(INDEX(ALLCLASSDATA,MATCH("FortitudeSaveExpert",CLASSFEATUREHEADERS,0),MATCH($A777,CLASSNAMEHEADERS,0))),(INDEX(ALLCLASSDATA,MATCH("FortitudeSaveExpert",CLASSFEATUREHEADERS,0),MATCH(($A777 &amp; "Points"),CLASSNAMEHEADERS,0))),(IF("09"=(INDEX(ALLCLASSDATA,MATCH("FortitudeSaveTrained",CLASSFEATUREHEADERS,0),MATCH($A777,CLASSNAMEHEADERS,0))),(INDEX(ALLCLASSDATA,MATCH("FortitudeSaveTrained",CLASSFEATUREHEADERS,0),MATCH(($A777 &amp; "Points"),CLASSNAMEHEADERS,0))),"")))))))))}</f>
        <v>FORTITUDEL09</v>
      </c>
      <c r="P776" s="230"/>
      <c r="Q776" s="230" t="str">
        <f t="array" ref="Q776:Q777">{"FORTITUDEL11";((IF("11"=(INDEX(ALLCLASSDATA,MATCH("FortitudeSaveLegendary",CLASSFEATUREHEADERS,0),MATCH($A777,CLASSNAMEHEADERS,0))),(INDEX(ALLCLASSDATA,MATCH("FortitudeSaveLegendary",CLASSFEATUREHEADERS,0),MATCH(($A777 &amp; "Points"),CLASSNAMEHEADERS,0))),(IF("11"=(INDEX(ALLCLASSDATA,MATCH("FortitudeSaveMaster",CLASSFEATUREHEADERS,0),MATCH($A777,CLASSNAMEHEADERS,0))),(INDEX(ALLCLASSDATA,MATCH("FortitudeSaveMaster",CLASSFEATUREHEADERS,0),MATCH(($A777 &amp; "Points"),CLASSNAMEHEADERS,0))),(IF("11"=(INDEX(ALLCLASSDATA,MATCH("FortitudeSaveExpert",CLASSFEATUREHEADERS,0),MATCH($A777,CLASSNAMEHEADERS,0))),(INDEX(ALLCLASSDATA,MATCH("FortitudeSaveExpert",CLASSFEATUREHEADERS,0),MATCH(($A777 &amp; "Points"),CLASSNAMEHEADERS,0))),(IF("11"=(INDEX(ALLCLASSDATA,MATCH("FortitudeSaveTrained",CLASSFEATUREHEADERS,0),MATCH($A777,CLASSNAMEHEADERS,0))),(INDEX(ALLCLASSDATA,MATCH("FortitudeSaveTrained",CLASSFEATUREHEADERS,0),MATCH(($A777 &amp; "Points"),CLASSNAMEHEADERS,0))),"")))))))))}</f>
        <v>FORTITUDEL11</v>
      </c>
      <c r="R776" s="230"/>
      <c r="S776" s="230" t="str">
        <f t="array" ref="S776:S777">{"FORTITUDEL13";((IF("13"=(INDEX(ALLCLASSDATA,MATCH("FortitudeSaveLegendary",CLASSFEATUREHEADERS,0),MATCH($A777,CLASSNAMEHEADERS,0))),(INDEX(ALLCLASSDATA,MATCH("FortitudeSaveLegendary",CLASSFEATUREHEADERS,0),MATCH(($A777 &amp; "Points"),CLASSNAMEHEADERS,0))),(IF("13"=(INDEX(ALLCLASSDATA,MATCH("FortitudeSaveMaster",CLASSFEATUREHEADERS,0),MATCH($A777,CLASSNAMEHEADERS,0))),(INDEX(ALLCLASSDATA,MATCH("FortitudeSaveMaster",CLASSFEATUREHEADERS,0),MATCH(($A777 &amp; "Points"),CLASSNAMEHEADERS,0))),(IF("13"=(INDEX(ALLCLASSDATA,MATCH("FortitudeSaveExpert",CLASSFEATUREHEADERS,0),MATCH($A777,CLASSNAMEHEADERS,0))),(INDEX(ALLCLASSDATA,MATCH("FortitudeSaveExpert",CLASSFEATUREHEADERS,0),MATCH(($A777 &amp; "Points"),CLASSNAMEHEADERS,0))),(IF("13"=(INDEX(ALLCLASSDATA,MATCH("FortitudeSaveTrained",CLASSFEATUREHEADERS,0),MATCH($A777,CLASSNAMEHEADERS,0))),(INDEX(ALLCLASSDATA,MATCH("FortitudeSaveTrained",CLASSFEATUREHEADERS,0),MATCH(($A777 &amp; "Points"),CLASSNAMEHEADERS,0))),"")))))))))}</f>
        <v>FORTITUDEL13</v>
      </c>
      <c r="T776" s="230"/>
      <c r="U776" s="230" t="str">
        <f t="array" ref="U776:U777">{"FORTITUDEL15";((IF("15"=(INDEX(ALLCLASSDATA,MATCH("FortitudeSaveLegendary",CLASSFEATUREHEADERS,0),MATCH($A777,CLASSNAMEHEADERS,0))),(INDEX(ALLCLASSDATA,MATCH("FortitudeSaveLegendary",CLASSFEATUREHEADERS,0),MATCH(($A777 &amp; "Points"),CLASSNAMEHEADERS,0))),(IF("15"=(INDEX(ALLCLASSDATA,MATCH("FortitudeSaveMaster",CLASSFEATUREHEADERS,0),MATCH($A777,CLASSNAMEHEADERS,0))),(INDEX(ALLCLASSDATA,MATCH("FortitudeSaveMaster",CLASSFEATUREHEADERS,0),MATCH(($A777 &amp; "Points"),CLASSNAMEHEADERS,0))),(IF("15"=(INDEX(ALLCLASSDATA,MATCH("FortitudeSaveExpert",CLASSFEATUREHEADERS,0),MATCH($A777,CLASSNAMEHEADERS,0))),(INDEX(ALLCLASSDATA,MATCH("FortitudeSaveExpert",CLASSFEATUREHEADERS,0),MATCH(($A777 &amp; "Points"),CLASSNAMEHEADERS,0))),(IF("15"=(INDEX(ALLCLASSDATA,MATCH("FortitudeSaveTrained",CLASSFEATUREHEADERS,0),MATCH($A777,CLASSNAMEHEADERS,0))),(INDEX(ALLCLASSDATA,MATCH("FortitudeSaveTrained",CLASSFEATUREHEADERS,0),MATCH(($A777 &amp; "Points"),CLASSNAMEHEADERS,0))),"")))))))))}</f>
        <v>FORTITUDEL15</v>
      </c>
      <c r="V776" s="230"/>
      <c r="W776" s="230" t="str">
        <f t="array" ref="W776:W777">{"FORTITUDEL17";((IF("17"=(INDEX(ALLCLASSDATA,MATCH("FortitudeSaveLegendary",CLASSFEATUREHEADERS,0),MATCH($A777,CLASSNAMEHEADERS,0))),(INDEX(ALLCLASSDATA,MATCH("FortitudeSaveLegendary",CLASSFEATUREHEADERS,0),MATCH(($A777 &amp; "Points"),CLASSNAMEHEADERS,0))),(IF("17"=(INDEX(ALLCLASSDATA,MATCH("FortitudeSaveMaster",CLASSFEATUREHEADERS,0),MATCH($A777,CLASSNAMEHEADERS,0))),(INDEX(ALLCLASSDATA,MATCH("FortitudeSaveMaster",CLASSFEATUREHEADERS,0),MATCH(($A777 &amp; "Points"),CLASSNAMEHEADERS,0))),(IF("17"=(INDEX(ALLCLASSDATA,MATCH("FortitudeSaveExpert",CLASSFEATUREHEADERS,0),MATCH($A777,CLASSNAMEHEADERS,0))),(INDEX(ALLCLASSDATA,MATCH("FortitudeSaveExpert",CLASSFEATUREHEADERS,0),MATCH(($A777 &amp; "Points"),CLASSNAMEHEADERS,0))),(IF("17"=(INDEX(ALLCLASSDATA,MATCH("FortitudeSaveTrained",CLASSFEATUREHEADERS,0),MATCH($A777,CLASSNAMEHEADERS,0))),(INDEX(ALLCLASSDATA,MATCH("FortitudeSaveTrained",CLASSFEATUREHEADERS,0),MATCH(($A777 &amp; "Points"),CLASSNAMEHEADERS,0))),"")))))))))}</f>
        <v>FORTITUDEL17</v>
      </c>
      <c r="X776" s="230"/>
      <c r="Y776" s="230" t="str">
        <f t="array" ref="Y776:Y777">{"FORTITUDEL19";((IF("19"=(INDEX(ALLCLASSDATA,MATCH("FortitudeSaveLegendary",CLASSFEATUREHEADERS,0),MATCH($A777,CLASSNAMEHEADERS,0))),(INDEX(ALLCLASSDATA,MATCH("FortitudeSaveLegendary",CLASSFEATUREHEADERS,0),MATCH(($A777 &amp; "Points"),CLASSNAMEHEADERS,0))),(IF("19"=(INDEX(ALLCLASSDATA,MATCH("FortitudeSaveMaster",CLASSFEATUREHEADERS,0),MATCH($A777,CLASSNAMEHEADERS,0))),(INDEX(ALLCLASSDATA,MATCH("FortitudeSaveMaster",CLASSFEATUREHEADERS,0),MATCH(($A777 &amp; "Points"),CLASSNAMEHEADERS,0))),(IF("19"=(INDEX(ALLCLASSDATA,MATCH("FortitudeSaveExpert",CLASSFEATUREHEADERS,0),MATCH($A777,CLASSNAMEHEADERS,0))),(INDEX(ALLCLASSDATA,MATCH("FortitudeSaveExpert",CLASSFEATUREHEADERS,0),MATCH(($A777 &amp; "Points"),CLASSNAMEHEADERS,0))),(IF("19"=(INDEX(ALLCLASSDATA,MATCH("FortitudeSaveTrained",CLASSFEATUREHEADERS,0),MATCH($A777,CLASSNAMEHEADERS,0))),(INDEX(ALLCLASSDATA,MATCH("FortitudeSaveTrained",CLASSFEATUREHEADERS,0),MATCH(($A777 &amp; "Points"),CLASSNAMEHEADERS,0))),"")))))))))}</f>
        <v>FORTITUDEL19</v>
      </c>
      <c r="Z776" s="230"/>
      <c r="AA776" s="76" t="str">
        <f t="array" ref="AA776:AA777">{"FORTITUDE TOTAL";(IF(COUNTBLANK(F777:Z777)=17,"L",(IF(COUNTBLANK(F777:Z777)=18,"M",(IF(COUNTBLANK(F777:Z777)=19,"E",(IF(COUNTBLANK(F777:Z777)=20,"T",""))))))))}</f>
        <v>FORTITUDE TOTAL</v>
      </c>
      <c r="AB776" s="76" t="str">
        <f t="array" ref="AB776:AB777">{"FORTITUDE TOTAL";(sum(F777:Z777))}</f>
        <v>FORTITUDE TOTAL</v>
      </c>
    </row>
    <row r="777">
      <c r="A777" s="48" t="s">
        <v>233</v>
      </c>
      <c r="B777" s="48" t="s">
        <v>418</v>
      </c>
      <c r="C777" s="48" t="s">
        <v>1549</v>
      </c>
      <c r="D777" s="48" t="s">
        <v>1550</v>
      </c>
      <c r="E777" s="5" t="s">
        <v>435</v>
      </c>
      <c r="F777" s="47" t="s">
        <v>603</v>
      </c>
      <c r="G777" s="5">
        <v>10.0</v>
      </c>
      <c r="H777" s="5"/>
      <c r="I777" s="5" t="s">
        <v>603</v>
      </c>
      <c r="J777" s="5"/>
      <c r="K777" s="5">
        <v>50.0</v>
      </c>
      <c r="L777" s="5"/>
      <c r="M777" s="5" t="s">
        <v>603</v>
      </c>
      <c r="N777" s="5"/>
      <c r="O777" s="5" t="s">
        <v>603</v>
      </c>
      <c r="P777" s="5"/>
      <c r="Q777" s="5" t="s">
        <v>603</v>
      </c>
      <c r="R777" s="5"/>
      <c r="S777" s="5" t="s">
        <v>603</v>
      </c>
      <c r="T777" s="5"/>
      <c r="U777" s="5" t="s">
        <v>603</v>
      </c>
      <c r="V777" s="5"/>
      <c r="W777" s="5" t="s">
        <v>603</v>
      </c>
      <c r="X777" s="5"/>
      <c r="Y777" s="5" t="s">
        <v>603</v>
      </c>
      <c r="Z777" s="5"/>
      <c r="AA777" s="5" t="s">
        <v>436</v>
      </c>
      <c r="AB777" s="47">
        <v>60.0</v>
      </c>
    </row>
    <row r="778" hidden="1">
      <c r="A778" s="222" t="str">
        <f t="array" ref="A778:A779">{"FormulaRow24";(INDEX(CLASSLIST,A731,1))}</f>
        <v>FormulaRow24</v>
      </c>
      <c r="B778" s="222" t="str">
        <f t="array" ref="B778:B779">{"CLASSTYPE";((INDEX(ALLCLASSDATA,MATCH("ClassType",CLASSFEATUREHEADERS,0),MATCH($A779,CLASSNAMEHEADERS,0))))}</f>
        <v>CLASSTYPE</v>
      </c>
      <c r="C778" s="222" t="str">
        <f t="array" ref="C778:C779">{"SAVES";"Saves"}</f>
        <v>SAVES</v>
      </c>
      <c r="D778" s="222" t="str">
        <f t="array" ref="D778:D779">{"REFLEXSAVE";"ReflexSave"}</f>
        <v>REFLEXSAVE</v>
      </c>
      <c r="E778" s="223" t="str">
        <f t="array" ref="E778:E779">{"REFLEXINITIAL";((IF(G779=10,"T",(IF(G779=50,"E","")))))}</f>
        <v>REFLEXINITIAL</v>
      </c>
      <c r="F778" s="223" t="str">
        <f t="array" ref="F778:F779">{"REFLEXINITIALPTS";((IF("00"=(INDEX(ALLCLASSDATA,MATCH("ReflexSaveLegendary",CLASSFEATUREHEADERS,0),MATCH($A779,CLASSNAMEHEADERS,0))),(INDEX(ALLCLASSDATA,MATCH("ReflexSaveLegendary",CLASSFEATUREHEADERS,0),MATCH(($A779 &amp; "Points"),CLASSNAMEHEADERS,0))),(IF("00"=(INDEX(ALLCLASSDATA,MATCH("ReflexSaveMaster",CLASSFEATUREHEADERS,0),MATCH($A779,CLASSNAMEHEADERS,0))),(INDEX(ALLCLASSDATA,MATCH("ReflexSaveMaster",CLASSFEATUREHEADERS,0),MATCH(($A779 &amp; "Points"),CLASSNAMEHEADERS,0))),(IF("00"=(INDEX(ALLCLASSDATA,MATCH("ReflexSaveExpert",CLASSFEATUREHEADERS,0),MATCH($A779,CLASSNAMEHEADERS,0))),(INDEX(ALLCLASSDATA,MATCH("ReflexSaveExpert",CLASSFEATUREHEADERS,0),MATCH(($A779 &amp; "Points"),CLASSNAMEHEADERS,0))),(IF("00"=(INDEX(ALLCLASSDATA,MATCH("ReflexSaveTrained",CLASSFEATUREHEADERS,0),MATCH($A779,CLASSNAMEHEADERS,0))),(INDEX(ALLCLASSDATA,MATCH("ReflexSaveTrained",CLASSFEATUREHEADERS,0),MATCH(($A779 &amp; "Points"),CLASSNAMEHEADERS,0))),"")))))))))}</f>
        <v>REFLEXINITIALPTS</v>
      </c>
      <c r="G778" s="223" t="str">
        <f t="array" ref="G778:G779">{"REFLEXL01";((IF("01"=(INDEX(ALLCLASSDATA,MATCH("ReflexSaveLegendary",CLASSFEATUREHEADERS,0),MATCH($A779,CLASSNAMEHEADERS,0))),(INDEX(ALLCLASSDATA,MATCH("ReflexSaveLegendary",CLASSFEATUREHEADERS,0),MATCH(($A779 &amp; "Points"),CLASSNAMEHEADERS,0))),(IF("01"=(INDEX(ALLCLASSDATA,MATCH("ReflexSaveMaster",CLASSFEATUREHEADERS,0),MATCH($A779,CLASSNAMEHEADERS,0))),(INDEX(ALLCLASSDATA,MATCH("ReflexSaveMaster",CLASSFEATUREHEADERS,0),MATCH(($A779 &amp; "Points"),CLASSNAMEHEADERS,0))),(IF("01"=(INDEX(ALLCLASSDATA,MATCH("ReflexSaveExpert",CLASSFEATUREHEADERS,0),MATCH($A779,CLASSNAMEHEADERS,0))),(INDEX(ALLCLASSDATA,MATCH("ReflexSaveExpert",CLASSFEATUREHEADERS,0),MATCH(($A779 &amp; "Points"),CLASSNAMEHEADERS,0))),(IF("01"=(INDEX(ALLCLASSDATA,MATCH("ReflexSaveTrained",CLASSFEATUREHEADERS,0),MATCH($A779,CLASSNAMEHEADERS,0))),(INDEX(ALLCLASSDATA,MATCH("ReflexSaveTrained",CLASSFEATUREHEADERS,0),MATCH(($A779 &amp; "Points"),CLASSNAMEHEADERS,0))),"")))))))))}</f>
        <v>REFLEXL01</v>
      </c>
      <c r="H778" s="223"/>
      <c r="I778" s="223" t="str">
        <f t="array" ref="I778:I779">{"REFLEXL03";((IF("03"=(INDEX(ALLCLASSDATA,MATCH("ReflexSaveLegendary",CLASSFEATUREHEADERS,0),MATCH($A779,CLASSNAMEHEADERS,0))),(INDEX(ALLCLASSDATA,MATCH("ReflexSaveLegendary",CLASSFEATUREHEADERS,0),MATCH(($A779 &amp; "Points"),CLASSNAMEHEADERS,0))),(IF("03"=(INDEX(ALLCLASSDATA,MATCH("ReflexSaveMaster",CLASSFEATUREHEADERS,0),MATCH($A779,CLASSNAMEHEADERS,0))),(INDEX(ALLCLASSDATA,MATCH("ReflexSaveMaster",CLASSFEATUREHEADERS,0),MATCH(($A779 &amp; "Points"),CLASSNAMEHEADERS,0))),(IF("03"=(INDEX(ALLCLASSDATA,MATCH("ReflexSaveExpert",CLASSFEATUREHEADERS,0),MATCH($A779,CLASSNAMEHEADERS,0))),(INDEX(ALLCLASSDATA,MATCH("ReflexSaveExpert",CLASSFEATUREHEADERS,0),MATCH(($A779 &amp; "Points"),CLASSNAMEHEADERS,0))),(IF("03"=(INDEX(ALLCLASSDATA,MATCH("ReflexSaveTrained",CLASSFEATUREHEADERS,0),MATCH($A779,CLASSNAMEHEADERS,0))),(INDEX(ALLCLASSDATA,MATCH("ReflexSaveTrained",CLASSFEATUREHEADERS,0),MATCH(($A779 &amp; "Points"),CLASSNAMEHEADERS,0))),"")))))))))}</f>
        <v>REFLEXL03</v>
      </c>
      <c r="J778" s="223"/>
      <c r="K778" s="223" t="str">
        <f t="array" ref="K778:K779">{"REFLEXL05";((IF("05"=(INDEX(ALLCLASSDATA,MATCH("ReflexSaveLegendary",CLASSFEATUREHEADERS,0),MATCH($A779,CLASSNAMEHEADERS,0))),(INDEX(ALLCLASSDATA,MATCH("ReflexSaveLegendary",CLASSFEATUREHEADERS,0),MATCH(($A779 &amp; "Points"),CLASSNAMEHEADERS,0))),(IF("05"=(INDEX(ALLCLASSDATA,MATCH("ReflexSaveMaster",CLASSFEATUREHEADERS,0),MATCH($A779,CLASSNAMEHEADERS,0))),(INDEX(ALLCLASSDATA,MATCH("ReflexSaveMaster",CLASSFEATUREHEADERS,0),MATCH(($A779 &amp; "Points"),CLASSNAMEHEADERS,0))),(IF("05"=(INDEX(ALLCLASSDATA,MATCH("ReflexSaveExpert",CLASSFEATUREHEADERS,0),MATCH($A779,CLASSNAMEHEADERS,0))),(INDEX(ALLCLASSDATA,MATCH("ReflexSaveExpert",CLASSFEATUREHEADERS,0),MATCH(($A779 &amp; "Points"),CLASSNAMEHEADERS,0))),(IF("05"=(INDEX(ALLCLASSDATA,MATCH("ReflexSaveTrained",CLASSFEATUREHEADERS,0),MATCH($A779,CLASSNAMEHEADERS,0))),(INDEX(ALLCLASSDATA,MATCH("ReflexSaveTrained",CLASSFEATUREHEADERS,0),MATCH(($A779 &amp; "Points"),CLASSNAMEHEADERS,0))),"")))))))))}</f>
        <v>REFLEXL05</v>
      </c>
      <c r="L778" s="223"/>
      <c r="M778" s="223" t="str">
        <f t="array" ref="M778:M779">{"REFLEXL07";((IF("07"=(INDEX(ALLCLASSDATA,MATCH("ReflexSaveLegendary",CLASSFEATUREHEADERS,0),MATCH($A779,CLASSNAMEHEADERS,0))),(INDEX(ALLCLASSDATA,MATCH("ReflexSaveLegendary",CLASSFEATUREHEADERS,0),MATCH(($A779 &amp; "Points"),CLASSNAMEHEADERS,0))),(IF("07"=(INDEX(ALLCLASSDATA,MATCH("ReflexSaveMaster",CLASSFEATUREHEADERS,0),MATCH($A779,CLASSNAMEHEADERS,0))),(INDEX(ALLCLASSDATA,MATCH("ReflexSaveMaster",CLASSFEATUREHEADERS,0),MATCH(($A779 &amp; "Points"),CLASSNAMEHEADERS,0))),(IF("07"=(INDEX(ALLCLASSDATA,MATCH("ReflexSaveExpert",CLASSFEATUREHEADERS,0),MATCH($A779,CLASSNAMEHEADERS,0))),(INDEX(ALLCLASSDATA,MATCH("ReflexSaveExpert",CLASSFEATUREHEADERS,0),MATCH(($A779 &amp; "Points"),CLASSNAMEHEADERS,0))),(IF("07"=(INDEX(ALLCLASSDATA,MATCH("ReflexSaveTrained",CLASSFEATUREHEADERS,0),MATCH($A779,CLASSNAMEHEADERS,0))),(INDEX(ALLCLASSDATA,MATCH("ReflexSaveTrained",CLASSFEATUREHEADERS,0),MATCH(($A779 &amp; "Points"),CLASSNAMEHEADERS,0))),"")))))))))}</f>
        <v>REFLEXL07</v>
      </c>
      <c r="N778" s="223"/>
      <c r="O778" s="223" t="str">
        <f t="array" ref="O778:O779">{"REFLEXL09";((IF("09"=(INDEX(ALLCLASSDATA,MATCH("ReflexSaveLegendary",CLASSFEATUREHEADERS,0),MATCH($A779,CLASSNAMEHEADERS,0))),(INDEX(ALLCLASSDATA,MATCH("ReflexSaveLegendary",CLASSFEATUREHEADERS,0),MATCH(($A779 &amp; "Points"),CLASSNAMEHEADERS,0))),(IF("09"=(INDEX(ALLCLASSDATA,MATCH("ReflexSaveMaster",CLASSFEATUREHEADERS,0),MATCH($A779,CLASSNAMEHEADERS,0))),(INDEX(ALLCLASSDATA,MATCH("ReflexSaveMaster",CLASSFEATUREHEADERS,0),MATCH(($A779 &amp; "Points"),CLASSNAMEHEADERS,0))),(IF("09"=(INDEX(ALLCLASSDATA,MATCH("ReflexSaveExpert",CLASSFEATUREHEADERS,0),MATCH($A779,CLASSNAMEHEADERS,0))),(INDEX(ALLCLASSDATA,MATCH("ReflexSaveExpert",CLASSFEATUREHEADERS,0),MATCH(($A779 &amp; "Points"),CLASSNAMEHEADERS,0))),(IF("09"=(INDEX(ALLCLASSDATA,MATCH("ReflexSaveTrained",CLASSFEATUREHEADERS,0),MATCH($A779,CLASSNAMEHEADERS,0))),(INDEX(ALLCLASSDATA,MATCH("ReflexSaveTrained",CLASSFEATUREHEADERS,0),MATCH(($A779 &amp; "Points"),CLASSNAMEHEADERS,0))),"")))))))))}</f>
        <v>REFLEXL09</v>
      </c>
      <c r="P778" s="223"/>
      <c r="Q778" s="223" t="str">
        <f t="array" ref="Q778:Q779">{"REFLEXL11";((IF("11"=(INDEX(ALLCLASSDATA,MATCH("ReflexSaveLegendary",CLASSFEATUREHEADERS,0),MATCH($A779,CLASSNAMEHEADERS,0))),(INDEX(ALLCLASSDATA,MATCH("ReflexSaveLegendary",CLASSFEATUREHEADERS,0),MATCH(($A779 &amp; "Points"),CLASSNAMEHEADERS,0))),(IF("11"=(INDEX(ALLCLASSDATA,MATCH("ReflexSaveMaster",CLASSFEATUREHEADERS,0),MATCH($A779,CLASSNAMEHEADERS,0))),(INDEX(ALLCLASSDATA,MATCH("ReflexSaveMaster",CLASSFEATUREHEADERS,0),MATCH(($A779 &amp; "Points"),CLASSNAMEHEADERS,0))),(IF("11"=(INDEX(ALLCLASSDATA,MATCH("ReflexSaveExpert",CLASSFEATUREHEADERS,0),MATCH($A779,CLASSNAMEHEADERS,0))),(INDEX(ALLCLASSDATA,MATCH("ReflexSaveExpert",CLASSFEATUREHEADERS,0),MATCH(($A779 &amp; "Points"),CLASSNAMEHEADERS,0))),(IF("11"=(INDEX(ALLCLASSDATA,MATCH("ReflexSaveTrained",CLASSFEATUREHEADERS,0),MATCH($A779,CLASSNAMEHEADERS,0))),(INDEX(ALLCLASSDATA,MATCH("ReflexSaveTrained",CLASSFEATUREHEADERS,0),MATCH(($A779 &amp; "Points"),CLASSNAMEHEADERS,0))),"")))))))))}</f>
        <v>REFLEXL11</v>
      </c>
      <c r="R778" s="223"/>
      <c r="S778" s="223" t="str">
        <f t="array" ref="S778:S779">{"REFLEXL13";((IF("13"=(INDEX(ALLCLASSDATA,MATCH("ReflexSaveLegendary",CLASSFEATUREHEADERS,0),MATCH($A779,CLASSNAMEHEADERS,0))),(INDEX(ALLCLASSDATA,MATCH("ReflexSaveLegendary",CLASSFEATUREHEADERS,0),MATCH(($A779 &amp; "Points"),CLASSNAMEHEADERS,0))),(IF("13"=(INDEX(ALLCLASSDATA,MATCH("ReflexSaveMaster",CLASSFEATUREHEADERS,0),MATCH($A779,CLASSNAMEHEADERS,0))),(INDEX(ALLCLASSDATA,MATCH("ReflexSaveMaster",CLASSFEATUREHEADERS,0),MATCH(($A779 &amp; "Points"),CLASSNAMEHEADERS,0))),(IF("13"=(INDEX(ALLCLASSDATA,MATCH("ReflexSaveExpert",CLASSFEATUREHEADERS,0),MATCH($A779,CLASSNAMEHEADERS,0))),(INDEX(ALLCLASSDATA,MATCH("ReflexSaveExpert",CLASSFEATUREHEADERS,0),MATCH(($A779 &amp; "Points"),CLASSNAMEHEADERS,0))),(IF("13"=(INDEX(ALLCLASSDATA,MATCH("ReflexSaveTrained",CLASSFEATUREHEADERS,0),MATCH($A779,CLASSNAMEHEADERS,0))),(INDEX(ALLCLASSDATA,MATCH("ReflexSaveTrained",CLASSFEATUREHEADERS,0),MATCH(($A779 &amp; "Points"),CLASSNAMEHEADERS,0))),"")))))))))}</f>
        <v>REFLEXL13</v>
      </c>
      <c r="T778" s="223"/>
      <c r="U778" s="223" t="str">
        <f t="array" ref="U778:U779">{"REFLEXL15";((IF("15"=(INDEX(ALLCLASSDATA,MATCH("ReflexSaveLegendary",CLASSFEATUREHEADERS,0),MATCH($A779,CLASSNAMEHEADERS,0))),(INDEX(ALLCLASSDATA,MATCH("ReflexSaveLegendary",CLASSFEATUREHEADERS,0),MATCH(($A779 &amp; "Points"),CLASSNAMEHEADERS,0))),(IF("15"=(INDEX(ALLCLASSDATA,MATCH("ReflexSaveMaster",CLASSFEATUREHEADERS,0),MATCH($A779,CLASSNAMEHEADERS,0))),(INDEX(ALLCLASSDATA,MATCH("ReflexSaveMaster",CLASSFEATUREHEADERS,0),MATCH(($A779 &amp; "Points"),CLASSNAMEHEADERS,0))),(IF("15"=(INDEX(ALLCLASSDATA,MATCH("ReflexSaveExpert",CLASSFEATUREHEADERS,0),MATCH($A779,CLASSNAMEHEADERS,0))),(INDEX(ALLCLASSDATA,MATCH("ReflexSaveExpert",CLASSFEATUREHEADERS,0),MATCH(($A779 &amp; "Points"),CLASSNAMEHEADERS,0))),(IF("15"=(INDEX(ALLCLASSDATA,MATCH("ReflexSaveTrained",CLASSFEATUREHEADERS,0),MATCH($A779,CLASSNAMEHEADERS,0))),(INDEX(ALLCLASSDATA,MATCH("ReflexSaveTrained",CLASSFEATUREHEADERS,0),MATCH(($A779 &amp; "Points"),CLASSNAMEHEADERS,0))),"")))))))))}</f>
        <v>REFLEXL15</v>
      </c>
      <c r="V778" s="223"/>
      <c r="W778" s="223" t="str">
        <f t="array" ref="W778:W779">{"REFLEXL17";((IF("17"=(INDEX(ALLCLASSDATA,MATCH("ReflexSaveLegendary",CLASSFEATUREHEADERS,0),MATCH($A779,CLASSNAMEHEADERS,0))),(INDEX(ALLCLASSDATA,MATCH("ReflexSaveLegendary",CLASSFEATUREHEADERS,0),MATCH(($A779 &amp; "Points"),CLASSNAMEHEADERS,0))),(IF("17"=(INDEX(ALLCLASSDATA,MATCH("ReflexSaveMaster",CLASSFEATUREHEADERS,0),MATCH($A779,CLASSNAMEHEADERS,0))),(INDEX(ALLCLASSDATA,MATCH("ReflexSaveMaster",CLASSFEATUREHEADERS,0),MATCH(($A779 &amp; "Points"),CLASSNAMEHEADERS,0))),(IF("17"=(INDEX(ALLCLASSDATA,MATCH("ReflexSaveExpert",CLASSFEATUREHEADERS,0),MATCH($A779,CLASSNAMEHEADERS,0))),(INDEX(ALLCLASSDATA,MATCH("ReflexSaveExpert",CLASSFEATUREHEADERS,0),MATCH(($A779 &amp; "Points"),CLASSNAMEHEADERS,0))),(IF("17"=(INDEX(ALLCLASSDATA,MATCH("ReflexSaveTrained",CLASSFEATUREHEADERS,0),MATCH($A779,CLASSNAMEHEADERS,0))),(INDEX(ALLCLASSDATA,MATCH("ReflexSaveTrained",CLASSFEATUREHEADERS,0),MATCH(($A779 &amp; "Points"),CLASSNAMEHEADERS,0))),"")))))))))}</f>
        <v>REFLEXL17</v>
      </c>
      <c r="X778" s="223"/>
      <c r="Y778" s="223" t="str">
        <f t="array" ref="Y778:Y779">{"REFLEXL19";((IF("19"=(INDEX(ALLCLASSDATA,MATCH("ReflexSaveLegendary",CLASSFEATUREHEADERS,0),MATCH($A779,CLASSNAMEHEADERS,0))),(INDEX(ALLCLASSDATA,MATCH("ReflexSaveLegendary",CLASSFEATUREHEADERS,0),MATCH(($A779 &amp; "Points"),CLASSNAMEHEADERS,0))),(IF("19"=(INDEX(ALLCLASSDATA,MATCH("ReflexSaveMaster",CLASSFEATUREHEADERS,0),MATCH($A779,CLASSNAMEHEADERS,0))),(INDEX(ALLCLASSDATA,MATCH("ReflexSaveMaster",CLASSFEATUREHEADERS,0),MATCH(($A779 &amp; "Points"),CLASSNAMEHEADERS,0))),(IF("19"=(INDEX(ALLCLASSDATA,MATCH("ReflexSaveExpert",CLASSFEATUREHEADERS,0),MATCH($A779,CLASSNAMEHEADERS,0))),(INDEX(ALLCLASSDATA,MATCH("ReflexSaveExpert",CLASSFEATUREHEADERS,0),MATCH(($A779 &amp; "Points"),CLASSNAMEHEADERS,0))),(IF("19"=(INDEX(ALLCLASSDATA,MATCH("ReflexSaveTrained",CLASSFEATUREHEADERS,0),MATCH($A779,CLASSNAMEHEADERS,0))),(INDEX(ALLCLASSDATA,MATCH("ReflexSaveTrained",CLASSFEATUREHEADERS,0),MATCH(($A779 &amp; "Points"),CLASSNAMEHEADERS,0))),"")))))))))}</f>
        <v>REFLEXL19</v>
      </c>
      <c r="Z778" s="223"/>
      <c r="AA778" s="76" t="str">
        <f t="array" ref="AA778:AA779">{"REFLEX TOTAL";(IF(COUNTBLANK(F779:Z779)=17,"L",(IF(COUNTBLANK(F779:Z779)=18,"M",(IF(COUNTBLANK(F779:Z779)=19,"E",(IF(COUNTBLANK(F779:Z779)=20,"T",""))))))))}</f>
        <v>REFLEX TOTAL</v>
      </c>
      <c r="AB778" s="76" t="str">
        <f t="array" ref="AB778:AB779">{"REFLEX TOTAL";(sum(F779:Z779))}</f>
        <v>REFLEX TOTAL</v>
      </c>
    </row>
    <row r="779">
      <c r="A779" s="48" t="s">
        <v>233</v>
      </c>
      <c r="B779" s="48" t="s">
        <v>418</v>
      </c>
      <c r="C779" s="48" t="s">
        <v>1549</v>
      </c>
      <c r="D779" s="48" t="s">
        <v>1572</v>
      </c>
      <c r="E779" s="5" t="s">
        <v>435</v>
      </c>
      <c r="F779" s="47" t="s">
        <v>603</v>
      </c>
      <c r="G779" s="5">
        <v>10.0</v>
      </c>
      <c r="H779" s="5"/>
      <c r="I779" s="5" t="s">
        <v>603</v>
      </c>
      <c r="J779" s="5"/>
      <c r="K779" s="5" t="s">
        <v>603</v>
      </c>
      <c r="L779" s="5"/>
      <c r="M779" s="5" t="s">
        <v>603</v>
      </c>
      <c r="N779" s="5"/>
      <c r="O779" s="5">
        <v>50.0</v>
      </c>
      <c r="P779" s="5"/>
      <c r="Q779" s="5" t="s">
        <v>603</v>
      </c>
      <c r="R779" s="5"/>
      <c r="S779" s="5" t="s">
        <v>603</v>
      </c>
      <c r="T779" s="5"/>
      <c r="U779" s="5" t="s">
        <v>603</v>
      </c>
      <c r="V779" s="5"/>
      <c r="W779" s="5" t="s">
        <v>603</v>
      </c>
      <c r="X779" s="5"/>
      <c r="Y779" s="5" t="s">
        <v>603</v>
      </c>
      <c r="Z779" s="5"/>
      <c r="AA779" s="5" t="s">
        <v>436</v>
      </c>
      <c r="AB779" s="47">
        <v>60.0</v>
      </c>
    </row>
    <row r="780" hidden="1">
      <c r="A780" s="222" t="str">
        <f t="array" ref="A780:A781">{"FormulaRow25";(INDEX(CLASSLIST,A731,1))}</f>
        <v>FormulaRow25</v>
      </c>
      <c r="B780" s="222" t="str">
        <f t="array" ref="B780:B781">{"CLASSTYPE";((INDEX(ALLCLASSDATA,MATCH("ClassType",CLASSFEATUREHEADERS,0),MATCH($A781,CLASSNAMEHEADERS,0))))}</f>
        <v>CLASSTYPE</v>
      </c>
      <c r="C780" s="222" t="str">
        <f t="array" ref="C780:C781">{"SAVES";"Saves"}</f>
        <v>SAVES</v>
      </c>
      <c r="D780" s="222" t="str">
        <f t="array" ref="D780:D781">{"WILLSAVE";"WillSave"}</f>
        <v>WILLSAVE</v>
      </c>
      <c r="E780" s="223" t="str">
        <f t="array" ref="E780:E781">{"WILLINITIAL";((IF(G781=10,"T",(IF(G781=50,"E","")))))}</f>
        <v>WILLINITIAL</v>
      </c>
      <c r="F780" s="223" t="str">
        <f t="array" ref="F780:F781">{"WILLINITIALPTS";((IF("00"=(INDEX(ALLCLASSDATA,MATCH("WillSaveLegendary",CLASSFEATUREHEADERS,0),MATCH($A781,CLASSNAMEHEADERS,0))),(INDEX(ALLCLASSDATA,MATCH("WillSaveLegendary",CLASSFEATUREHEADERS,0),MATCH(($A781 &amp; "Points"),CLASSNAMEHEADERS,0))),(IF("00"=(INDEX(ALLCLASSDATA,MATCH("WillSaveMaster",CLASSFEATUREHEADERS,0),MATCH($A781,CLASSNAMEHEADERS,0))),(INDEX(ALLCLASSDATA,MATCH("WillSaveMaster",CLASSFEATUREHEADERS,0),MATCH(($A781 &amp; "Points"),CLASSNAMEHEADERS,0))),(IF("00"=(INDEX(ALLCLASSDATA,MATCH("WillSaveExpert",CLASSFEATUREHEADERS,0),MATCH($A781,CLASSNAMEHEADERS,0))),(INDEX(ALLCLASSDATA,MATCH("WillSaveExpert",CLASSFEATUREHEADERS,0),MATCH(($A781 &amp; "Points"),CLASSNAMEHEADERS,0))),(IF("00"=(INDEX(ALLCLASSDATA,MATCH("WillSaveTrained",CLASSFEATUREHEADERS,0),MATCH($A781,CLASSNAMEHEADERS,0))),(INDEX(ALLCLASSDATA,MATCH("WillSaveTrained",CLASSFEATUREHEADERS,0),MATCH(($A781 &amp; "Points"),CLASSNAMEHEADERS,0))),"")))))))))}</f>
        <v>WILLINITIALPTS</v>
      </c>
      <c r="G780" s="223" t="str">
        <f t="array" ref="G780:G781">{"WILLL01";((IF("01"=(INDEX(ALLCLASSDATA,MATCH("WillSaveLegendary",CLASSFEATUREHEADERS,0),MATCH($A781,CLASSNAMEHEADERS,0))),(INDEX(ALLCLASSDATA,MATCH("WillSaveLegendary",CLASSFEATUREHEADERS,0),MATCH(($A781 &amp; "Points"),CLASSNAMEHEADERS,0))),(IF("01"=(INDEX(ALLCLASSDATA,MATCH("WillSaveMaster",CLASSFEATUREHEADERS,0),MATCH($A781,CLASSNAMEHEADERS,0))),(INDEX(ALLCLASSDATA,MATCH("WillSaveMaster",CLASSFEATUREHEADERS,0),MATCH(($A781 &amp; "Points"),CLASSNAMEHEADERS,0))),(IF("01"=(INDEX(ALLCLASSDATA,MATCH("WillSaveExpert",CLASSFEATUREHEADERS,0),MATCH($A781,CLASSNAMEHEADERS,0))),(INDEX(ALLCLASSDATA,MATCH("WillSaveExpert",CLASSFEATUREHEADERS,0),MATCH(($A781 &amp; "Points"),CLASSNAMEHEADERS,0))),(IF("01"=(INDEX(ALLCLASSDATA,MATCH("WillSaveTrained",CLASSFEATUREHEADERS,0),MATCH($A781,CLASSNAMEHEADERS,0))),(INDEX(ALLCLASSDATA,MATCH("WillSaveTrained",CLASSFEATUREHEADERS,0),MATCH(($A781 &amp; "Points"),CLASSNAMEHEADERS,0))),"")))))))))}</f>
        <v>WILLL01</v>
      </c>
      <c r="H780" s="223"/>
      <c r="I780" s="223" t="str">
        <f t="array" ref="I780:I781">{"WILLL03";((IF("03"=(INDEX(ALLCLASSDATA,MATCH("WillSaveLegendary",CLASSFEATUREHEADERS,0),MATCH($A781,CLASSNAMEHEADERS,0))),(INDEX(ALLCLASSDATA,MATCH("WillSaveLegendary",CLASSFEATUREHEADERS,0),MATCH(($A781 &amp; "Points"),CLASSNAMEHEADERS,0))),(IF("03"=(INDEX(ALLCLASSDATA,MATCH("WillSaveMaster",CLASSFEATUREHEADERS,0),MATCH($A781,CLASSNAMEHEADERS,0))),(INDEX(ALLCLASSDATA,MATCH("WillSaveMaster",CLASSFEATUREHEADERS,0),MATCH(($A781 &amp; "Points"),CLASSNAMEHEADERS,0))),(IF("03"=(INDEX(ALLCLASSDATA,MATCH("WillSaveExpert",CLASSFEATUREHEADERS,0),MATCH($A781,CLASSNAMEHEADERS,0))),(INDEX(ALLCLASSDATA,MATCH("WillSaveExpert",CLASSFEATUREHEADERS,0),MATCH(($A781 &amp; "Points"),CLASSNAMEHEADERS,0))),(IF("03"=(INDEX(ALLCLASSDATA,MATCH("WillSaveTrained",CLASSFEATUREHEADERS,0),MATCH($A781,CLASSNAMEHEADERS,0))),(INDEX(ALLCLASSDATA,MATCH("WillSaveTrained",CLASSFEATUREHEADERS,0),MATCH(($A781 &amp; "Points"),CLASSNAMEHEADERS,0))),"")))))))))}</f>
        <v>WILLL03</v>
      </c>
      <c r="J780" s="223"/>
      <c r="K780" s="223" t="str">
        <f t="array" ref="K780:K781">{"WILLL05";((IF("05"=(INDEX(ALLCLASSDATA,MATCH("WillSaveLegendary",CLASSFEATUREHEADERS,0),MATCH($A781,CLASSNAMEHEADERS,0))),(INDEX(ALLCLASSDATA,MATCH("WillSaveLegendary",CLASSFEATUREHEADERS,0),MATCH(($A781 &amp; "Points"),CLASSNAMEHEADERS,0))),(IF("05"=(INDEX(ALLCLASSDATA,MATCH("WillSaveMaster",CLASSFEATUREHEADERS,0),MATCH($A781,CLASSNAMEHEADERS,0))),(INDEX(ALLCLASSDATA,MATCH("WillSaveMaster",CLASSFEATUREHEADERS,0),MATCH(($A781 &amp; "Points"),CLASSNAMEHEADERS,0))),(IF("05"=(INDEX(ALLCLASSDATA,MATCH("WillSaveExpert",CLASSFEATUREHEADERS,0),MATCH($A781,CLASSNAMEHEADERS,0))),(INDEX(ALLCLASSDATA,MATCH("WillSaveExpert",CLASSFEATUREHEADERS,0),MATCH(($A781 &amp; "Points"),CLASSNAMEHEADERS,0))),(IF("05"=(INDEX(ALLCLASSDATA,MATCH("WillSaveTrained",CLASSFEATUREHEADERS,0),MATCH($A781,CLASSNAMEHEADERS,0))),(INDEX(ALLCLASSDATA,MATCH("WillSaveTrained",CLASSFEATUREHEADERS,0),MATCH(($A781 &amp; "Points"),CLASSNAMEHEADERS,0))),"")))))))))}</f>
        <v>WILLL05</v>
      </c>
      <c r="L780" s="223"/>
      <c r="M780" s="223" t="str">
        <f t="array" ref="M780:M781">{"WILLL07";((IF("07"=(INDEX(ALLCLASSDATA,MATCH("WillSaveLegendary",CLASSFEATUREHEADERS,0),MATCH($A781,CLASSNAMEHEADERS,0))),(INDEX(ALLCLASSDATA,MATCH("WillSaveLegendary",CLASSFEATUREHEADERS,0),MATCH(($A781 &amp; "Points"),CLASSNAMEHEADERS,0))),(IF("07"=(INDEX(ALLCLASSDATA,MATCH("WillSaveMaster",CLASSFEATUREHEADERS,0),MATCH($A781,CLASSNAMEHEADERS,0))),(INDEX(ALLCLASSDATA,MATCH("WillSaveMaster",CLASSFEATUREHEADERS,0),MATCH(($A781 &amp; "Points"),CLASSNAMEHEADERS,0))),(IF("07"=(INDEX(ALLCLASSDATA,MATCH("WillSaveExpert",CLASSFEATUREHEADERS,0),MATCH($A781,CLASSNAMEHEADERS,0))),(INDEX(ALLCLASSDATA,MATCH("WillSaveExpert",CLASSFEATUREHEADERS,0),MATCH(($A781 &amp; "Points"),CLASSNAMEHEADERS,0))),(IF("07"=(INDEX(ALLCLASSDATA,MATCH("WillSaveTrained",CLASSFEATUREHEADERS,0),MATCH($A781,CLASSNAMEHEADERS,0))),(INDEX(ALLCLASSDATA,MATCH("WillSaveTrained",CLASSFEATUREHEADERS,0),MATCH(($A781 &amp; "Points"),CLASSNAMEHEADERS,0))),"")))))))))}</f>
        <v>WILLL07</v>
      </c>
      <c r="N780" s="223"/>
      <c r="O780" s="223" t="str">
        <f t="array" ref="O780:O781">{"WILLL09";((IF("09"=(INDEX(ALLCLASSDATA,MATCH("WillSaveLegendary",CLASSFEATUREHEADERS,0),MATCH($A781,CLASSNAMEHEADERS,0))),(INDEX(ALLCLASSDATA,MATCH("WillSaveLegendary",CLASSFEATUREHEADERS,0),MATCH(($A781 &amp; "Points"),CLASSNAMEHEADERS,0))),(IF("09"=(INDEX(ALLCLASSDATA,MATCH("WillSaveMaster",CLASSFEATUREHEADERS,0),MATCH($A781,CLASSNAMEHEADERS,0))),(INDEX(ALLCLASSDATA,MATCH("WillSaveMaster",CLASSFEATUREHEADERS,0),MATCH(($A781 &amp; "Points"),CLASSNAMEHEADERS,0))),(IF("09"=(INDEX(ALLCLASSDATA,MATCH("WillSaveExpert",CLASSFEATUREHEADERS,0),MATCH($A781,CLASSNAMEHEADERS,0))),(INDEX(ALLCLASSDATA,MATCH("WillSaveExpert",CLASSFEATUREHEADERS,0),MATCH(($A781 &amp; "Points"),CLASSNAMEHEADERS,0))),(IF("09"=(INDEX(ALLCLASSDATA,MATCH("WillSaveTrained",CLASSFEATUREHEADERS,0),MATCH($A781,CLASSNAMEHEADERS,0))),(INDEX(ALLCLASSDATA,MATCH("WillSaveTrained",CLASSFEATUREHEADERS,0),MATCH(($A781 &amp; "Points"),CLASSNAMEHEADERS,0))),"")))))))))}</f>
        <v>WILLL09</v>
      </c>
      <c r="P780" s="223"/>
      <c r="Q780" s="223" t="str">
        <f t="array" ref="Q780:Q781">{"WILLL11";((IF("11"=(INDEX(ALLCLASSDATA,MATCH("WillSaveLegendary",CLASSFEATUREHEADERS,0),MATCH($A781,CLASSNAMEHEADERS,0))),(INDEX(ALLCLASSDATA,MATCH("WillSaveLegendary",CLASSFEATUREHEADERS,0),MATCH(($A781 &amp; "Points"),CLASSNAMEHEADERS,0))),(IF("11"=(INDEX(ALLCLASSDATA,MATCH("WillSaveMaster",CLASSFEATUREHEADERS,0),MATCH($A781,CLASSNAMEHEADERS,0))),(INDEX(ALLCLASSDATA,MATCH("WillSaveMaster",CLASSFEATUREHEADERS,0),MATCH(($A781 &amp; "Points"),CLASSNAMEHEADERS,0))),(IF("11"=(INDEX(ALLCLASSDATA,MATCH("WillSaveExpert",CLASSFEATUREHEADERS,0),MATCH($A781,CLASSNAMEHEADERS,0))),(INDEX(ALLCLASSDATA,MATCH("WillSaveExpert",CLASSFEATUREHEADERS,0),MATCH(($A781 &amp; "Points"),CLASSNAMEHEADERS,0))),(IF("11"=(INDEX(ALLCLASSDATA,MATCH("WillSaveTrained",CLASSFEATUREHEADERS,0),MATCH($A781,CLASSNAMEHEADERS,0))),(INDEX(ALLCLASSDATA,MATCH("WillSaveTrained",CLASSFEATUREHEADERS,0),MATCH(($A781 &amp; "Points"),CLASSNAMEHEADERS,0))),"")))))))))}</f>
        <v>WILLL11</v>
      </c>
      <c r="R780" s="223"/>
      <c r="S780" s="223" t="str">
        <f t="array" ref="S780:S781">{"WILLL13";((IF("13"=(INDEX(ALLCLASSDATA,MATCH("WillSaveLegendary",CLASSFEATUREHEADERS,0),MATCH($A781,CLASSNAMEHEADERS,0))),(INDEX(ALLCLASSDATA,MATCH("WillSaveLegendary",CLASSFEATUREHEADERS,0),MATCH(($A781 &amp; "Points"),CLASSNAMEHEADERS,0))),(IF("13"=(INDEX(ALLCLASSDATA,MATCH("WillSaveMaster",CLASSFEATUREHEADERS,0),MATCH($A781,CLASSNAMEHEADERS,0))),(INDEX(ALLCLASSDATA,MATCH("WillSaveMaster",CLASSFEATUREHEADERS,0),MATCH(($A781 &amp; "Points"),CLASSNAMEHEADERS,0))),(IF("13"=(INDEX(ALLCLASSDATA,MATCH("WillSaveExpert",CLASSFEATUREHEADERS,0),MATCH($A781,CLASSNAMEHEADERS,0))),(INDEX(ALLCLASSDATA,MATCH("WillSaveExpert",CLASSFEATUREHEADERS,0),MATCH(($A781 &amp; "Points"),CLASSNAMEHEADERS,0))),(IF("13"=(INDEX(ALLCLASSDATA,MATCH("WillSaveTrained",CLASSFEATUREHEADERS,0),MATCH($A781,CLASSNAMEHEADERS,0))),(INDEX(ALLCLASSDATA,MATCH("WillSaveTrained",CLASSFEATUREHEADERS,0),MATCH(($A781 &amp; "Points"),CLASSNAMEHEADERS,0))),"")))))))))}</f>
        <v>WILLL13</v>
      </c>
      <c r="T780" s="223"/>
      <c r="U780" s="223" t="str">
        <f t="array" ref="U780:U781">{"WILLL15";((IF("15"=(INDEX(ALLCLASSDATA,MATCH("WillSaveLegendary",CLASSFEATUREHEADERS,0),MATCH($A781,CLASSNAMEHEADERS,0))),(INDEX(ALLCLASSDATA,MATCH("WillSaveLegendary",CLASSFEATUREHEADERS,0),MATCH(($A781 &amp; "Points"),CLASSNAMEHEADERS,0))),(IF("15"=(INDEX(ALLCLASSDATA,MATCH("WillSaveMaster",CLASSFEATUREHEADERS,0),MATCH($A781,CLASSNAMEHEADERS,0))),(INDEX(ALLCLASSDATA,MATCH("WillSaveMaster",CLASSFEATUREHEADERS,0),MATCH(($A781 &amp; "Points"),CLASSNAMEHEADERS,0))),(IF("15"=(INDEX(ALLCLASSDATA,MATCH("WillSaveExpert",CLASSFEATUREHEADERS,0),MATCH($A781,CLASSNAMEHEADERS,0))),(INDEX(ALLCLASSDATA,MATCH("WillSaveExpert",CLASSFEATUREHEADERS,0),MATCH(($A781 &amp; "Points"),CLASSNAMEHEADERS,0))),(IF("15"=(INDEX(ALLCLASSDATA,MATCH("WillSaveTrained",CLASSFEATUREHEADERS,0),MATCH($A781,CLASSNAMEHEADERS,0))),(INDEX(ALLCLASSDATA,MATCH("WillSaveTrained",CLASSFEATUREHEADERS,0),MATCH(($A781 &amp; "Points"),CLASSNAMEHEADERS,0))),"")))))))))}</f>
        <v>WILLL15</v>
      </c>
      <c r="V780" s="223"/>
      <c r="W780" s="223" t="str">
        <f t="array" ref="W780:W781">{"WILLL17";((IF("17"=(INDEX(ALLCLASSDATA,MATCH("WillSaveLegendary",CLASSFEATUREHEADERS,0),MATCH($A781,CLASSNAMEHEADERS,0))),(INDEX(ALLCLASSDATA,MATCH("WillSaveLegendary",CLASSFEATUREHEADERS,0),MATCH(($A781 &amp; "Points"),CLASSNAMEHEADERS,0))),(IF("17"=(INDEX(ALLCLASSDATA,MATCH("WillSaveMaster",CLASSFEATUREHEADERS,0),MATCH($A781,CLASSNAMEHEADERS,0))),(INDEX(ALLCLASSDATA,MATCH("WillSaveMaster",CLASSFEATUREHEADERS,0),MATCH(($A781 &amp; "Points"),CLASSNAMEHEADERS,0))),(IF("17"=(INDEX(ALLCLASSDATA,MATCH("WillSaveExpert",CLASSFEATUREHEADERS,0),MATCH($A781,CLASSNAMEHEADERS,0))),(INDEX(ALLCLASSDATA,MATCH("WillSaveExpert",CLASSFEATUREHEADERS,0),MATCH(($A781 &amp; "Points"),CLASSNAMEHEADERS,0))),(IF("17"=(INDEX(ALLCLASSDATA,MATCH("WillSaveTrained",CLASSFEATUREHEADERS,0),MATCH($A781,CLASSNAMEHEADERS,0))),(INDEX(ALLCLASSDATA,MATCH("WillSaveTrained",CLASSFEATUREHEADERS,0),MATCH(($A781 &amp; "Points"),CLASSNAMEHEADERS,0))),"")))))))))}</f>
        <v>WILLL17</v>
      </c>
      <c r="X780" s="223"/>
      <c r="Y780" s="223" t="str">
        <f t="array" ref="Y780:Y781">{"WILLL19";((IF("19"=(INDEX(ALLCLASSDATA,MATCH("WillSaveLegendary",CLASSFEATUREHEADERS,0),MATCH($A781,CLASSNAMEHEADERS,0))),(INDEX(ALLCLASSDATA,MATCH("WillSaveLegendary",CLASSFEATUREHEADERS,0),MATCH(($A781 &amp; "Points"),CLASSNAMEHEADERS,0))),(IF("19"=(INDEX(ALLCLASSDATA,MATCH("WillSaveMaster",CLASSFEATUREHEADERS,0),MATCH($A781,CLASSNAMEHEADERS,0))),(INDEX(ALLCLASSDATA,MATCH("WillSaveMaster",CLASSFEATUREHEADERS,0),MATCH(($A781 &amp; "Points"),CLASSNAMEHEADERS,0))),(IF("19"=(INDEX(ALLCLASSDATA,MATCH("WillSaveExpert",CLASSFEATUREHEADERS,0),MATCH($A781,CLASSNAMEHEADERS,0))),(INDEX(ALLCLASSDATA,MATCH("WillSaveExpert",CLASSFEATUREHEADERS,0),MATCH(($A781 &amp; "Points"),CLASSNAMEHEADERS,0))),(IF("19"=(INDEX(ALLCLASSDATA,MATCH("WillSaveTrained",CLASSFEATUREHEADERS,0),MATCH($A781,CLASSNAMEHEADERS,0))),(INDEX(ALLCLASSDATA,MATCH("WillSaveTrained",CLASSFEATUREHEADERS,0),MATCH(($A781 &amp; "Points"),CLASSNAMEHEADERS,0))),"")))))))))}</f>
        <v>WILLL19</v>
      </c>
      <c r="Z780" s="223"/>
      <c r="AA780" s="76" t="str">
        <f t="array" ref="AA780:AA781">{"WILL TOTAL";(IF(COUNTBLANK(F781:Z781)=17,"L",(IF(COUNTBLANK(F781:Z781)=18,"M",(IF(COUNTBLANK(F781:Z781)=19,"E",(IF(COUNTBLANK(F781:Z781)=20,"T",""))))))))}</f>
        <v>WILL TOTAL</v>
      </c>
      <c r="AB780" s="76" t="str">
        <f t="array" ref="AB780:AB781">{"WILL TOTAL";(sum(F781:Z781))}</f>
        <v>WILL TOTAL</v>
      </c>
    </row>
    <row r="781">
      <c r="A781" s="48" t="s">
        <v>233</v>
      </c>
      <c r="B781" s="48" t="s">
        <v>418</v>
      </c>
      <c r="C781" s="97" t="s">
        <v>1549</v>
      </c>
      <c r="D781" s="97" t="s">
        <v>1591</v>
      </c>
      <c r="E781" s="98" t="s">
        <v>436</v>
      </c>
      <c r="F781" s="132">
        <v>10.0</v>
      </c>
      <c r="G781" s="98">
        <v>50.0</v>
      </c>
      <c r="H781" s="98"/>
      <c r="I781" s="98" t="s">
        <v>603</v>
      </c>
      <c r="J781" s="98"/>
      <c r="K781" s="98" t="s">
        <v>603</v>
      </c>
      <c r="L781" s="97"/>
      <c r="M781" s="98" t="s">
        <v>603</v>
      </c>
      <c r="N781" s="98"/>
      <c r="O781" s="98" t="s">
        <v>603</v>
      </c>
      <c r="P781" s="97"/>
      <c r="Q781" s="98" t="s">
        <v>603</v>
      </c>
      <c r="R781" s="98"/>
      <c r="S781" s="98" t="s">
        <v>603</v>
      </c>
      <c r="T781" s="98"/>
      <c r="U781" s="98" t="s">
        <v>603</v>
      </c>
      <c r="V781" s="98"/>
      <c r="W781" s="98">
        <v>110.0</v>
      </c>
      <c r="X781" s="98"/>
      <c r="Y781" s="98" t="s">
        <v>603</v>
      </c>
      <c r="Z781" s="98"/>
      <c r="AA781" s="5" t="s">
        <v>437</v>
      </c>
      <c r="AB781" s="47">
        <v>170.0</v>
      </c>
    </row>
    <row r="782" hidden="1">
      <c r="A782" s="222" t="str">
        <f t="array" ref="A782:A783">{"FormulaRow26";(INDEX(CLASSLIST,A731,1))}</f>
        <v>FormulaRow26</v>
      </c>
      <c r="B782" s="222" t="str">
        <f t="array" ref="B782:B783">{"CLASSTYPE";((INDEX(ALLCLASSDATA,MATCH("ClassType",CLASSFEATUREHEADERS,0),MATCH($A783,CLASSNAMEHEADERS,0))))}</f>
        <v>CLASSTYPE</v>
      </c>
      <c r="C782" s="228" t="str">
        <f t="array" ref="C782:C783">{"ATTACK";"Attack"}</f>
        <v>ATTACK</v>
      </c>
      <c r="D782" s="228" t="str">
        <f t="array" ref="D782:D783">{"WEAPONSPECIAL";"WeaponCS/WS/GWS"}</f>
        <v>WEAPONSPECIAL</v>
      </c>
      <c r="E782" s="230"/>
      <c r="F782" s="230"/>
      <c r="G782" s="230" t="str">
        <f t="array" ref="G782:G783">{"WEAPONSPECIALL01";((IF("01"=INDEX(ALLCLASSDATA,MATCH("WeaponGreaterSpecialization",CLASSFEATUREHEADERS,0),MATCH($A783,CLASSNAMEHEADERS,0)),WeaponGWS,(IF("01"=INDEX(ALLCLASSDATA,MATCH("WeaponSpecialization",CLASSFEATUREHEADERS,0),MATCH($A783,CLASSNAMEHEADERS,0)),WeaponWS,(IF("01"=INDEX(ALLCLASSDATA,MATCH("WeaponCriticalSpecialization",CLASSFEATUREHEADERS,0),MATCH($A783,CLASSNAMEHEADERS,0)),WeaponCS,"")))))))}</f>
        <v>WEAPONSPECIALL01</v>
      </c>
      <c r="H782" s="230"/>
      <c r="I782" s="230" t="str">
        <f t="array" ref="I782:I783">{"WEAPONSPECIALL03";((IF("03"=INDEX(ALLCLASSDATA,MATCH("WeaponGreaterSpecialization",CLASSFEATUREHEADERS,0),MATCH($A783,CLASSNAMEHEADERS,0)),WeaponGWS,(IF("03"=INDEX(ALLCLASSDATA,MATCH("WeaponSpecialization",CLASSFEATUREHEADERS,0),MATCH($A783,CLASSNAMEHEADERS,0)),WeaponWS,(IF("03"=INDEX(ALLCLASSDATA,MATCH("WeaponCriticalSpecialization",CLASSFEATUREHEADERS,0),MATCH($A783,CLASSNAMEHEADERS,0)),WeaponCS,"")))))))}</f>
        <v>WEAPONSPECIALL03</v>
      </c>
      <c r="J782" s="230"/>
      <c r="K782" s="230" t="str">
        <f t="array" ref="K782:K783">{"WEAPONSPECIALL05";((IF("05"=INDEX(ALLCLASSDATA,MATCH("WeaponGreaterSpecialization",CLASSFEATUREHEADERS,0),MATCH($A783,CLASSNAMEHEADERS,0)),WeaponGWS,(IF("05"=INDEX(ALLCLASSDATA,MATCH("WeaponSpecialization",CLASSFEATUREHEADERS,0),MATCH($A783,CLASSNAMEHEADERS,0)),WeaponWS,(IF("05"=INDEX(ALLCLASSDATA,MATCH("WeaponCriticalSpecialization",CLASSFEATUREHEADERS,0),MATCH($A783,CLASSNAMEHEADERS,0)),WeaponCS,"")))))))}</f>
        <v>WEAPONSPECIALL05</v>
      </c>
      <c r="L782" s="230"/>
      <c r="M782" s="230" t="str">
        <f t="array" ref="M782:M783">{"WEAPONSPECIALL07";((IF("07"=INDEX(ALLCLASSDATA,MATCH("WeaponGreaterSpecialization",CLASSFEATUREHEADERS,0),MATCH($A783,CLASSNAMEHEADERS,0)),WeaponGWS,(IF("07"=INDEX(ALLCLASSDATA,MATCH("WeaponSpecialization",CLASSFEATUREHEADERS,0),MATCH($A783,CLASSNAMEHEADERS,0)),WeaponWS,(IF("07"=INDEX(ALLCLASSDATA,MATCH("WeaponCriticalSpecialization",CLASSFEATUREHEADERS,0),MATCH($A783,CLASSNAMEHEADERS,0)),WeaponCS,"")))))))}</f>
        <v>WEAPONSPECIALL07</v>
      </c>
      <c r="N782" s="230"/>
      <c r="O782" s="230" t="str">
        <f t="array" ref="O782:O783">{"WEAPONSPECIALL09";((IF("09"=INDEX(ALLCLASSDATA,MATCH("WeaponGreaterSpecialization",CLASSFEATUREHEADERS,0),MATCH($A783,CLASSNAMEHEADERS,0)),WeaponGWS,(IF("09"=INDEX(ALLCLASSDATA,MATCH("WeaponSpecialization",CLASSFEATUREHEADERS,0),MATCH($A783,CLASSNAMEHEADERS,0)),WeaponWS,(IF("09"=INDEX(ALLCLASSDATA,MATCH("WeaponCriticalSpecialization",CLASSFEATUREHEADERS,0),MATCH($A783,CLASSNAMEHEADERS,0)),WeaponCS,"")))))))}</f>
        <v>WEAPONSPECIALL09</v>
      </c>
      <c r="P782" s="230"/>
      <c r="Q782" s="230" t="str">
        <f t="array" ref="Q782:Q783">{"WEAPONSPECIALL11";((IF("11"=INDEX(ALLCLASSDATA,MATCH("WeaponGreaterSpecialization",CLASSFEATUREHEADERS,0),MATCH($A783,CLASSNAMEHEADERS,0)),WeaponGWS,(IF("11"=INDEX(ALLCLASSDATA,MATCH("WeaponSpecialization",CLASSFEATUREHEADERS,0),MATCH($A783,CLASSNAMEHEADERS,0)),WeaponWS,(IF("11"=INDEX(ALLCLASSDATA,MATCH("WeaponCriticalSpecialization",CLASSFEATUREHEADERS,0),MATCH($A783,CLASSNAMEHEADERS,0)),WeaponCS,"")))))))}</f>
        <v>WEAPONSPECIALL11</v>
      </c>
      <c r="R782" s="230"/>
      <c r="S782" s="230" t="str">
        <f t="array" ref="S782:S783">{"WEAPONSPECIALL13";((IF("13"=INDEX(ALLCLASSDATA,MATCH("WeaponGreaterSpecialization",CLASSFEATUREHEADERS,0),MATCH($A783,CLASSNAMEHEADERS,0)),WeaponGWS,(IF("13"=INDEX(ALLCLASSDATA,MATCH("WeaponSpecialization",CLASSFEATUREHEADERS,0),MATCH($A783,CLASSNAMEHEADERS,0)),WeaponWS,(IF("13"=INDEX(ALLCLASSDATA,MATCH("WeaponCriticalSpecialization",CLASSFEATUREHEADERS,0),MATCH($A783,CLASSNAMEHEADERS,0)),WeaponCS,"")))))))}</f>
        <v>WEAPONSPECIALL13</v>
      </c>
      <c r="T782" s="230"/>
      <c r="U782" s="230" t="str">
        <f t="array" ref="U782:U783">{"WEAPONSPECIALL15";((IF("15"=INDEX(ALLCLASSDATA,MATCH("WeaponGreaterSpecialization",CLASSFEATUREHEADERS,0),MATCH($A783,CLASSNAMEHEADERS,0)),WeaponGWS,(IF("15"=INDEX(ALLCLASSDATA,MATCH("WeaponSpecialization",CLASSFEATUREHEADERS,0),MATCH($A783,CLASSNAMEHEADERS,0)),WeaponWS,(IF("15"=INDEX(ALLCLASSDATA,MATCH("WeaponCriticalSpecialization",CLASSFEATUREHEADERS,0),MATCH($A783,CLASSNAMEHEADERS,0)),WeaponCS,"")))))))}</f>
        <v>WEAPONSPECIALL15</v>
      </c>
      <c r="V782" s="230"/>
      <c r="W782" s="230" t="str">
        <f t="array" ref="W782:W783">{"WEAPONSPECIALL17";((IF("17"=INDEX(ALLCLASSDATA,MATCH("WeaponGreaterSpecialization",CLASSFEATUREHEADERS,0),MATCH($A783,CLASSNAMEHEADERS,0)),WeaponGWS,(IF("17"=INDEX(ALLCLASSDATA,MATCH("WeaponSpecialization",CLASSFEATUREHEADERS,0),MATCH($A783,CLASSNAMEHEADERS,0)),WeaponWS,(IF("17"=INDEX(ALLCLASSDATA,MATCH("WeaponCriticalSpecialization",CLASSFEATUREHEADERS,0),MATCH($A783,CLASSNAMEHEADERS,0)),WeaponCS,"")))))))}</f>
        <v>WEAPONSPECIALL17</v>
      </c>
      <c r="X782" s="230"/>
      <c r="Y782" s="230" t="str">
        <f t="array" ref="Y782:Y783">{"WEAPONSPECIALL19";((IF("19"=INDEX(ALLCLASSDATA,MATCH("WeaponGreaterSpecialization",CLASSFEATUREHEADERS,0),MATCH($A783,CLASSNAMEHEADERS,0)),WeaponGWS,(IF("19"=INDEX(ALLCLASSDATA,MATCH("WeaponSpecialization",CLASSFEATUREHEADERS,0),MATCH($A783,CLASSNAMEHEADERS,0)),WeaponWS,(IF("19"=INDEX(ALLCLASSDATA,MATCH("WeaponCriticalSpecialization",CLASSFEATUREHEADERS,0),MATCH($A783,CLASSNAMEHEADERS,0)),WeaponCS,"")))))))}</f>
        <v>WEAPONSPECIALL19</v>
      </c>
      <c r="Z782" s="230"/>
      <c r="AA782" s="76"/>
      <c r="AB782" s="76" t="str">
        <f t="array" ref="AB782:AB783">{"WEAPONSPECIAL TOTAL";(sum(F783:Z783))}</f>
        <v>WEAPONSPECIAL TOTAL</v>
      </c>
    </row>
    <row r="783">
      <c r="A783" s="48" t="s">
        <v>233</v>
      </c>
      <c r="B783" s="48" t="s">
        <v>418</v>
      </c>
      <c r="C783" s="48" t="s">
        <v>1634</v>
      </c>
      <c r="D783" s="48" t="s">
        <v>1635</v>
      </c>
      <c r="E783" s="5"/>
      <c r="F783" s="47"/>
      <c r="G783" s="5" t="s">
        <v>603</v>
      </c>
      <c r="H783" s="5"/>
      <c r="I783" s="5" t="s">
        <v>603</v>
      </c>
      <c r="J783" s="5"/>
      <c r="K783" s="5" t="s">
        <v>603</v>
      </c>
      <c r="L783" s="5"/>
      <c r="M783" s="5" t="s">
        <v>603</v>
      </c>
      <c r="N783" s="5"/>
      <c r="O783" s="5" t="s">
        <v>603</v>
      </c>
      <c r="P783" s="5"/>
      <c r="Q783" s="5" t="s">
        <v>603</v>
      </c>
      <c r="R783" s="5"/>
      <c r="S783" s="5">
        <v>70.0</v>
      </c>
      <c r="T783" s="5"/>
      <c r="U783" s="5" t="s">
        <v>603</v>
      </c>
      <c r="V783" s="5"/>
      <c r="W783" s="5" t="s">
        <v>603</v>
      </c>
      <c r="X783" s="5"/>
      <c r="Y783" s="5" t="s">
        <v>603</v>
      </c>
      <c r="Z783" s="5"/>
      <c r="AA783" s="5"/>
      <c r="AB783" s="47">
        <v>70.0</v>
      </c>
    </row>
    <row r="784" hidden="1">
      <c r="A784" s="222" t="str">
        <f t="array" ref="A784:A785">{"FormulaRow27";(INDEX(CLASSLIST,A731,1))}</f>
        <v>FormulaRow27</v>
      </c>
      <c r="B784" s="222" t="str">
        <f t="array" ref="B784:B785">{"CLASSTYPE";((INDEX(ALLCLASSDATA,MATCH("ClassType",CLASSFEATUREHEADERS,0),MATCH($A785,CLASSNAMEHEADERS,0))))}</f>
        <v>CLASSTYPE</v>
      </c>
      <c r="C784" s="222" t="str">
        <f t="array" ref="C784:C785">{"ATTACK";"Attack"}</f>
        <v>ATTACK</v>
      </c>
      <c r="D784" s="222" t="str">
        <f t="array" ref="D784:D785">{"UNARMED";"Unarmed"}</f>
        <v>UNARMED</v>
      </c>
      <c r="E784" s="223" t="str">
        <f t="array" ref="E784:E785">{"UNARMEDINITIAL";((IF(G785=10,"T",(IF(G785=50,"E","")))))}</f>
        <v>UNARMEDINITIAL</v>
      </c>
      <c r="F784" s="223" t="str">
        <f t="array" ref="F784:F785">{"UNARMEDINITIALPTS";((IF("00"=(INDEX(ALLCLASSDATA,MATCH("UnarmedLegendary",CLASSFEATUREHEADERS,0),MATCH($A785,CLASSNAMEHEADERS,0))),(INDEX(ALLCLASSDATA,MATCH("UnarmedLegendary",CLASSFEATUREHEADERS,0),MATCH(($A785 &amp; "Points"),CLASSNAMEHEADERS,0))),(IF("00"=(INDEX(ALLCLASSDATA,MATCH("UnarmedMaster",CLASSFEATUREHEADERS,0),MATCH($A785,CLASSNAMEHEADERS,0))),(INDEX(ALLCLASSDATA,MATCH("UnarmedMaster",CLASSFEATUREHEADERS,0),MATCH(($A785 &amp; "Points"),CLASSNAMEHEADERS,0))),(IF("00"=(INDEX(ALLCLASSDATA,MATCH("UnarmedExpert",CLASSFEATUREHEADERS,0),MATCH($A785,CLASSNAMEHEADERS,0))),(INDEX(ALLCLASSDATA,MATCH("UnarmedExpert",CLASSFEATUREHEADERS,0),MATCH(($A785 &amp; "Points"),CLASSNAMEHEADERS,0))),(IF("00"=(INDEX(ALLCLASSDATA,MATCH("UnarmedTrained",CLASSFEATUREHEADERS,0),MATCH($A785,CLASSNAMEHEADERS,0))),(INDEX(ALLCLASSDATA,MATCH("UnarmedTrained",CLASSFEATUREHEADERS,0),MATCH(($A785 &amp; "Points"),CLASSNAMEHEADERS,0))),"")))))))))}</f>
        <v>UNARMEDINITIALPTS</v>
      </c>
      <c r="G784" s="223" t="str">
        <f t="array" ref="G784:G785">{"UNARMEDL01";((IF("01"=(INDEX(ALLCLASSDATA,MATCH("UnarmedLegendary",CLASSFEATUREHEADERS,0),MATCH($A785,CLASSNAMEHEADERS,0))),(INDEX(ALLCLASSDATA,MATCH("UnarmedLegendary",CLASSFEATUREHEADERS,0),MATCH(($A785 &amp; "Points"),CLASSNAMEHEADERS,0))),(IF("01"=(INDEX(ALLCLASSDATA,MATCH("UnarmedMaster",CLASSFEATUREHEADERS,0),MATCH($A785,CLASSNAMEHEADERS,0))),(INDEX(ALLCLASSDATA,MATCH("UnarmedMaster",CLASSFEATUREHEADERS,0),MATCH(($A785 &amp; "Points"),CLASSNAMEHEADERS,0))),(IF("01"=(INDEX(ALLCLASSDATA,MATCH("UnarmedExpert",CLASSFEATUREHEADERS,0),MATCH($A785,CLASSNAMEHEADERS,0))),(INDEX(ALLCLASSDATA,MATCH("UnarmedExpert",CLASSFEATUREHEADERS,0),MATCH(($A785 &amp; "Points"),CLASSNAMEHEADERS,0))),(IF("01"=(INDEX(ALLCLASSDATA,MATCH("UnarmedTrained",CLASSFEATUREHEADERS,0),MATCH($A785,CLASSNAMEHEADERS,0))),(INDEX(ALLCLASSDATA,MATCH("UnarmedTrained",CLASSFEATUREHEADERS,0),MATCH(($A785 &amp; "Points"),CLASSNAMEHEADERS,0))),"")))))))))}</f>
        <v>UNARMEDL01</v>
      </c>
      <c r="H784" s="223"/>
      <c r="I784" s="223" t="str">
        <f t="array" ref="I784:I785">{"UNARMEDL03";((IF("03"=(INDEX(ALLCLASSDATA,MATCH("UnarmedLegendary",CLASSFEATUREHEADERS,0),MATCH($A785,CLASSNAMEHEADERS,0))),(INDEX(ALLCLASSDATA,MATCH("UnarmedLegendary",CLASSFEATUREHEADERS,0),MATCH(($A785 &amp; "Points"),CLASSNAMEHEADERS,0))),(IF("03"=(INDEX(ALLCLASSDATA,MATCH("UnarmedMaster",CLASSFEATUREHEADERS,0),MATCH($A785,CLASSNAMEHEADERS,0))),(INDEX(ALLCLASSDATA,MATCH("UnarmedMaster",CLASSFEATUREHEADERS,0),MATCH(($A785 &amp; "Points"),CLASSNAMEHEADERS,0))),(IF("03"=(INDEX(ALLCLASSDATA,MATCH("UnarmedExpert",CLASSFEATUREHEADERS,0),MATCH($A785,CLASSNAMEHEADERS,0))),(INDEX(ALLCLASSDATA,MATCH("UnarmedExpert",CLASSFEATUREHEADERS,0),MATCH(($A785 &amp; "Points"),CLASSNAMEHEADERS,0))),(IF("03"=(INDEX(ALLCLASSDATA,MATCH("UnarmedTrained",CLASSFEATUREHEADERS,0),MATCH($A785,CLASSNAMEHEADERS,0))),(INDEX(ALLCLASSDATA,MATCH("UnarmedTrained",CLASSFEATUREHEADERS,0),MATCH(($A785 &amp; "Points"),CLASSNAMEHEADERS,0))),"")))))))))}</f>
        <v>UNARMEDL03</v>
      </c>
      <c r="J784" s="223"/>
      <c r="K784" s="223" t="str">
        <f t="array" ref="K784:K785">{"UNARMEDL05";((IF("05"=(INDEX(ALLCLASSDATA,MATCH("UnarmedLegendary",CLASSFEATUREHEADERS,0),MATCH($A785,CLASSNAMEHEADERS,0))),(INDEX(ALLCLASSDATA,MATCH("UnarmedLegendary",CLASSFEATUREHEADERS,0),MATCH(($A785 &amp; "Points"),CLASSNAMEHEADERS,0))),(IF("05"=(INDEX(ALLCLASSDATA,MATCH("UnarmedMaster",CLASSFEATUREHEADERS,0),MATCH($A785,CLASSNAMEHEADERS,0))),(INDEX(ALLCLASSDATA,MATCH("UnarmedMaster",CLASSFEATUREHEADERS,0),MATCH(($A785 &amp; "Points"),CLASSNAMEHEADERS,0))),(IF("05"=(INDEX(ALLCLASSDATA,MATCH("UnarmedExpert",CLASSFEATUREHEADERS,0),MATCH($A785,CLASSNAMEHEADERS,0))),(INDEX(ALLCLASSDATA,MATCH("UnarmedExpert",CLASSFEATUREHEADERS,0),MATCH(($A785 &amp; "Points"),CLASSNAMEHEADERS,0))),(IF("05"=(INDEX(ALLCLASSDATA,MATCH("UnarmedTrained",CLASSFEATUREHEADERS,0),MATCH($A785,CLASSNAMEHEADERS,0))),(INDEX(ALLCLASSDATA,MATCH("UnarmedTrained",CLASSFEATUREHEADERS,0),MATCH(($A785 &amp; "Points"),CLASSNAMEHEADERS,0))),"")))))))))}</f>
        <v>UNARMEDL05</v>
      </c>
      <c r="L784" s="223"/>
      <c r="M784" s="223" t="str">
        <f t="array" ref="M784:M785">{"UNARMEDL07";((IF("07"=(INDEX(ALLCLASSDATA,MATCH("UnarmedLegendary",CLASSFEATUREHEADERS,0),MATCH($A785,CLASSNAMEHEADERS,0))),(INDEX(ALLCLASSDATA,MATCH("UnarmedLegendary",CLASSFEATUREHEADERS,0),MATCH(($A785 &amp; "Points"),CLASSNAMEHEADERS,0))),(IF("07"=(INDEX(ALLCLASSDATA,MATCH("UnarmedMaster",CLASSFEATUREHEADERS,0),MATCH($A785,CLASSNAMEHEADERS,0))),(INDEX(ALLCLASSDATA,MATCH("UnarmedMaster",CLASSFEATUREHEADERS,0),MATCH(($A785 &amp; "Points"),CLASSNAMEHEADERS,0))),(IF("07"=(INDEX(ALLCLASSDATA,MATCH("UnarmedExpert",CLASSFEATUREHEADERS,0),MATCH($A785,CLASSNAMEHEADERS,0))),(INDEX(ALLCLASSDATA,MATCH("UnarmedExpert",CLASSFEATUREHEADERS,0),MATCH(($A785 &amp; "Points"),CLASSNAMEHEADERS,0))),(IF("07"=(INDEX(ALLCLASSDATA,MATCH("UnarmedTrained",CLASSFEATUREHEADERS,0),MATCH($A785,CLASSNAMEHEADERS,0))),(INDEX(ALLCLASSDATA,MATCH("UnarmedTrained",CLASSFEATUREHEADERS,0),MATCH(($A785 &amp; "Points"),CLASSNAMEHEADERS,0))),"")))))))))}</f>
        <v>UNARMEDL07</v>
      </c>
      <c r="N784" s="223"/>
      <c r="O784" s="223" t="str">
        <f t="array" ref="O784:O785">{"UNARMEDL09";((IF("09"=(INDEX(ALLCLASSDATA,MATCH("UnarmedLegendary",CLASSFEATUREHEADERS,0),MATCH($A785,CLASSNAMEHEADERS,0))),(INDEX(ALLCLASSDATA,MATCH("UnarmedLegendary",CLASSFEATUREHEADERS,0),MATCH(($A785 &amp; "Points"),CLASSNAMEHEADERS,0))),(IF("09"=(INDEX(ALLCLASSDATA,MATCH("UnarmedMaster",CLASSFEATUREHEADERS,0),MATCH($A785,CLASSNAMEHEADERS,0))),(INDEX(ALLCLASSDATA,MATCH("UnarmedMaster",CLASSFEATUREHEADERS,0),MATCH(($A785 &amp; "Points"),CLASSNAMEHEADERS,0))),(IF("09"=(INDEX(ALLCLASSDATA,MATCH("UnarmedExpert",CLASSFEATUREHEADERS,0),MATCH($A785,CLASSNAMEHEADERS,0))),(INDEX(ALLCLASSDATA,MATCH("UnarmedExpert",CLASSFEATUREHEADERS,0),MATCH(($A785 &amp; "Points"),CLASSNAMEHEADERS,0))),(IF("09"=(INDEX(ALLCLASSDATA,MATCH("UnarmedTrained",CLASSFEATUREHEADERS,0),MATCH($A785,CLASSNAMEHEADERS,0))),(INDEX(ALLCLASSDATA,MATCH("UnarmedTrained",CLASSFEATUREHEADERS,0),MATCH(($A785 &amp; "Points"),CLASSNAMEHEADERS,0))),"")))))))))}</f>
        <v>UNARMEDL09</v>
      </c>
      <c r="P784" s="223"/>
      <c r="Q784" s="223" t="str">
        <f t="array" ref="Q784:Q785">{"UNARMEDL11";((IF("11"=(INDEX(ALLCLASSDATA,MATCH("UnarmedLegendary",CLASSFEATUREHEADERS,0),MATCH($A785,CLASSNAMEHEADERS,0))),(INDEX(ALLCLASSDATA,MATCH("UnarmedLegendary",CLASSFEATUREHEADERS,0),MATCH(($A785 &amp; "Points"),CLASSNAMEHEADERS,0))),(IF("11"=(INDEX(ALLCLASSDATA,MATCH("UnarmedMaster",CLASSFEATUREHEADERS,0),MATCH($A785,CLASSNAMEHEADERS,0))),(INDEX(ALLCLASSDATA,MATCH("UnarmedMaster",CLASSFEATUREHEADERS,0),MATCH(($A785 &amp; "Points"),CLASSNAMEHEADERS,0))),(IF("11"=(INDEX(ALLCLASSDATA,MATCH("UnarmedExpert",CLASSFEATUREHEADERS,0),MATCH($A785,CLASSNAMEHEADERS,0))),(INDEX(ALLCLASSDATA,MATCH("UnarmedExpert",CLASSFEATUREHEADERS,0),MATCH(($A785 &amp; "Points"),CLASSNAMEHEADERS,0))),(IF("11"=(INDEX(ALLCLASSDATA,MATCH("UnarmedTrained",CLASSFEATUREHEADERS,0),MATCH($A785,CLASSNAMEHEADERS,0))),(INDEX(ALLCLASSDATA,MATCH("UnarmedTrained",CLASSFEATUREHEADERS,0),MATCH(($A785 &amp; "Points"),CLASSNAMEHEADERS,0))),"")))))))))}</f>
        <v>UNARMEDL11</v>
      </c>
      <c r="R784" s="223"/>
      <c r="S784" s="223" t="str">
        <f t="array" ref="S784:S785">{"UNARMEDL13";((IF("13"=(INDEX(ALLCLASSDATA,MATCH("UnarmedLegendary",CLASSFEATUREHEADERS,0),MATCH($A785,CLASSNAMEHEADERS,0))),(INDEX(ALLCLASSDATA,MATCH("UnarmedLegendary",CLASSFEATUREHEADERS,0),MATCH(($A785 &amp; "Points"),CLASSNAMEHEADERS,0))),(IF("13"=(INDEX(ALLCLASSDATA,MATCH("UnarmedMaster",CLASSFEATUREHEADERS,0),MATCH($A785,CLASSNAMEHEADERS,0))),(INDEX(ALLCLASSDATA,MATCH("UnarmedMaster",CLASSFEATUREHEADERS,0),MATCH(($A785 &amp; "Points"),CLASSNAMEHEADERS,0))),(IF("13"=(INDEX(ALLCLASSDATA,MATCH("UnarmedExpert",CLASSFEATUREHEADERS,0),MATCH($A785,CLASSNAMEHEADERS,0))),(INDEX(ALLCLASSDATA,MATCH("UnarmedExpert",CLASSFEATUREHEADERS,0),MATCH(($A785 &amp; "Points"),CLASSNAMEHEADERS,0))),(IF("13"=(INDEX(ALLCLASSDATA,MATCH("UnarmedTrained",CLASSFEATUREHEADERS,0),MATCH($A785,CLASSNAMEHEADERS,0))),(INDEX(ALLCLASSDATA,MATCH("UnarmedTrained",CLASSFEATUREHEADERS,0),MATCH(($A785 &amp; "Points"),CLASSNAMEHEADERS,0))),"")))))))))}</f>
        <v>UNARMEDL13</v>
      </c>
      <c r="T784" s="223"/>
      <c r="U784" s="223" t="str">
        <f t="array" ref="U784:U785">{"UNARMEDL15";((IF("15"=(INDEX(ALLCLASSDATA,MATCH("UnarmedLegendary",CLASSFEATUREHEADERS,0),MATCH($A785,CLASSNAMEHEADERS,0))),(INDEX(ALLCLASSDATA,MATCH("UnarmedLegendary",CLASSFEATUREHEADERS,0),MATCH(($A785 &amp; "Points"),CLASSNAMEHEADERS,0))),(IF("15"=(INDEX(ALLCLASSDATA,MATCH("UnarmedMaster",CLASSFEATUREHEADERS,0),MATCH($A785,CLASSNAMEHEADERS,0))),(INDEX(ALLCLASSDATA,MATCH("UnarmedMaster",CLASSFEATUREHEADERS,0),MATCH(($A785 &amp; "Points"),CLASSNAMEHEADERS,0))),(IF("15"=(INDEX(ALLCLASSDATA,MATCH("UnarmedExpert",CLASSFEATUREHEADERS,0),MATCH($A785,CLASSNAMEHEADERS,0))),(INDEX(ALLCLASSDATA,MATCH("UnarmedExpert",CLASSFEATUREHEADERS,0),MATCH(($A785 &amp; "Points"),CLASSNAMEHEADERS,0))),(IF("15"=(INDEX(ALLCLASSDATA,MATCH("UnarmedTrained",CLASSFEATUREHEADERS,0),MATCH($A785,CLASSNAMEHEADERS,0))),(INDEX(ALLCLASSDATA,MATCH("UnarmedTrained",CLASSFEATUREHEADERS,0),MATCH(($A785 &amp; "Points"),CLASSNAMEHEADERS,0))),"")))))))))}</f>
        <v>UNARMEDL15</v>
      </c>
      <c r="V784" s="223"/>
      <c r="W784" s="223" t="str">
        <f t="array" ref="W784:W785">{"UNARMEDL17";((IF("17"=(INDEX(ALLCLASSDATA,MATCH("UnarmedLegendary",CLASSFEATUREHEADERS,0),MATCH($A785,CLASSNAMEHEADERS,0))),(INDEX(ALLCLASSDATA,MATCH("UnarmedLegendary",CLASSFEATUREHEADERS,0),MATCH(($A785 &amp; "Points"),CLASSNAMEHEADERS,0))),(IF("17"=(INDEX(ALLCLASSDATA,MATCH("UnarmedMaster",CLASSFEATUREHEADERS,0),MATCH($A785,CLASSNAMEHEADERS,0))),(INDEX(ALLCLASSDATA,MATCH("UnarmedMaster",CLASSFEATUREHEADERS,0),MATCH(($A785 &amp; "Points"),CLASSNAMEHEADERS,0))),(IF("17"=(INDEX(ALLCLASSDATA,MATCH("UnarmedExpert",CLASSFEATUREHEADERS,0),MATCH($A785,CLASSNAMEHEADERS,0))),(INDEX(ALLCLASSDATA,MATCH("UnarmedExpert",CLASSFEATUREHEADERS,0),MATCH(($A785 &amp; "Points"),CLASSNAMEHEADERS,0))),(IF("17"=(INDEX(ALLCLASSDATA,MATCH("UnarmedTrained",CLASSFEATUREHEADERS,0),MATCH($A785,CLASSNAMEHEADERS,0))),(INDEX(ALLCLASSDATA,MATCH("UnarmedTrained",CLASSFEATUREHEADERS,0),MATCH(($A785 &amp; "Points"),CLASSNAMEHEADERS,0))),"")))))))))}</f>
        <v>UNARMEDL17</v>
      </c>
      <c r="X784" s="223"/>
      <c r="Y784" s="223" t="str">
        <f t="array" ref="Y784:Y785">{"UNARMEDL19";((IF("19"=(INDEX(ALLCLASSDATA,MATCH("UnarmedLegendary",CLASSFEATUREHEADERS,0),MATCH($A785,CLASSNAMEHEADERS,0))),(INDEX(ALLCLASSDATA,MATCH("UnarmedLegendary",CLASSFEATUREHEADERS,0),MATCH(($A785 &amp; "Points"),CLASSNAMEHEADERS,0))),(IF("19"=(INDEX(ALLCLASSDATA,MATCH("UnarmedMaster",CLASSFEATUREHEADERS,0),MATCH($A785,CLASSNAMEHEADERS,0))),(INDEX(ALLCLASSDATA,MATCH("UnarmedMaster",CLASSFEATUREHEADERS,0),MATCH(($A785 &amp; "Points"),CLASSNAMEHEADERS,0))),(IF("19"=(INDEX(ALLCLASSDATA,MATCH("UnarmedExpert",CLASSFEATUREHEADERS,0),MATCH($A785,CLASSNAMEHEADERS,0))),(INDEX(ALLCLASSDATA,MATCH("UnarmedExpert",CLASSFEATUREHEADERS,0),MATCH(($A785 &amp; "Points"),CLASSNAMEHEADERS,0))),(IF("19"=(INDEX(ALLCLASSDATA,MATCH("UnarmedTrained",CLASSFEATUREHEADERS,0),MATCH($A785,CLASSNAMEHEADERS,0))),(INDEX(ALLCLASSDATA,MATCH("UnarmedTrained",CLASSFEATUREHEADERS,0),MATCH(($A785 &amp; "Points"),CLASSNAMEHEADERS,0))),"")))))))))}</f>
        <v>UNARMEDL19</v>
      </c>
      <c r="Z784" s="223"/>
      <c r="AA784" s="76" t="str">
        <f t="array" ref="AA784:AA785">{"UNARMED TOTAL";(IF(COUNTBLANK(F785:Z785)=17,"L",(IF(COUNTBLANK(F785:Z785)=18,"M",(IF(COUNTBLANK(F785:Z785)=19,"E",(IF(COUNTBLANK(F785:Z785)=20,"T",""))))))))}</f>
        <v>UNARMED TOTAL</v>
      </c>
      <c r="AB784" s="76" t="str">
        <f t="array" ref="AB784:AB785">{"UNARMED TOTAL";(sum(F785:Z785))}</f>
        <v>UNARMED TOTAL</v>
      </c>
    </row>
    <row r="785">
      <c r="A785" s="48" t="s">
        <v>233</v>
      </c>
      <c r="B785" s="48" t="s">
        <v>418</v>
      </c>
      <c r="C785" s="48" t="s">
        <v>1634</v>
      </c>
      <c r="D785" s="48" t="s">
        <v>257</v>
      </c>
      <c r="E785" s="5" t="s">
        <v>435</v>
      </c>
      <c r="F785" s="47" t="s">
        <v>603</v>
      </c>
      <c r="G785" s="5">
        <v>10.0</v>
      </c>
      <c r="H785" s="5"/>
      <c r="I785" s="5" t="s">
        <v>603</v>
      </c>
      <c r="J785" s="5"/>
      <c r="K785" s="5" t="s">
        <v>603</v>
      </c>
      <c r="L785" s="5"/>
      <c r="M785" s="5" t="s">
        <v>603</v>
      </c>
      <c r="N785" s="5"/>
      <c r="O785" s="5" t="s">
        <v>603</v>
      </c>
      <c r="P785" s="5"/>
      <c r="Q785" s="5" t="s">
        <v>436</v>
      </c>
      <c r="R785" s="5"/>
      <c r="S785" s="5" t="s">
        <v>603</v>
      </c>
      <c r="T785" s="5"/>
      <c r="U785" s="5" t="s">
        <v>603</v>
      </c>
      <c r="V785" s="5"/>
      <c r="W785" s="5" t="s">
        <v>603</v>
      </c>
      <c r="X785" s="5"/>
      <c r="Y785" s="5" t="s">
        <v>603</v>
      </c>
      <c r="Z785" s="5"/>
      <c r="AA785" s="5" t="s">
        <v>436</v>
      </c>
      <c r="AB785" s="47">
        <v>10.0</v>
      </c>
    </row>
    <row r="786" hidden="1">
      <c r="A786" s="222" t="str">
        <f t="array" ref="A786:A787">{"FormulaRow28";(INDEX(CLASSLIST,A731,1))}</f>
        <v>FormulaRow28</v>
      </c>
      <c r="B786" s="222" t="str">
        <f t="array" ref="B786:B787">{"CLASSTYPE";((INDEX(ALLCLASSDATA,MATCH("ClassType",CLASSFEATUREHEADERS,0),MATCH($A787,CLASSNAMEHEADERS,0))))}</f>
        <v>CLASSTYPE</v>
      </c>
      <c r="C786" s="222" t="str">
        <f t="array" ref="C786:C787">{"ATTACK";"Attack"}</f>
        <v>ATTACK</v>
      </c>
      <c r="D786" s="222" t="str">
        <f t="array" ref="D786:D787">{"SIMPLELIMITED";"SimpleLimited"}</f>
        <v>SIMPLELIMITED</v>
      </c>
      <c r="E786" s="223" t="str">
        <f t="array" ref="E786:E787">{"SIMPLELIMITEDINITIAL";((IF(G787=10,"T",(IF(G787=50,"E","")))))}</f>
        <v>SIMPLELIMITEDINITIAL</v>
      </c>
      <c r="F786" s="223" t="str">
        <f t="array" ref="F786:F787">{"SIMPLELIMITEDINITIALPTS";((IF("00"=(INDEX(ALLCLASSDATA,MATCH("SimpleLimitedLegendary",CLASSFEATUREHEADERS,0),MATCH($A787,CLASSNAMEHEADERS,0))),(INDEX(ALLCLASSDATA,MATCH("SimpleLimitedLegendary",CLASSFEATUREHEADERS,0),MATCH(($A787 &amp; "Points"),CLASSNAMEHEADERS,0))),(IF("00"=(INDEX(ALLCLASSDATA,MATCH("SimpleLimitedMaster",CLASSFEATUREHEADERS,0),MATCH($A787,CLASSNAMEHEADERS,0))),(INDEX(ALLCLASSDATA,MATCH("SimpleLimitedMaster",CLASSFEATUREHEADERS,0),MATCH(($A787 &amp; "Points"),CLASSNAMEHEADERS,0))),(IF("00"=(INDEX(ALLCLASSDATA,MATCH("SimpleLimitedExpert",CLASSFEATUREHEADERS,0),MATCH($A787,CLASSNAMEHEADERS,0))),(INDEX(ALLCLASSDATA,MATCH("SimpleLimitedExpert",CLASSFEATUREHEADERS,0),MATCH(($A787 &amp; "Points"),CLASSNAMEHEADERS,0))),(IF("00"=(INDEX(ALLCLASSDATA,MATCH("SimpleLimitedTrained",CLASSFEATUREHEADERS,0),MATCH($A787,CLASSNAMEHEADERS,0))),(INDEX(ALLCLASSDATA,MATCH("SimpleLimitedTrained",CLASSFEATUREHEADERS,0),MATCH(($A787 &amp; "Points"),CLASSNAMEHEADERS,0))),"")))))))))}</f>
        <v>SIMPLELIMITEDINITIALPTS</v>
      </c>
      <c r="G786" s="223" t="str">
        <f t="array" ref="G786:G787">{"SIMPLELIMITEDL01";((IF("01"=(INDEX(ALLCLASSDATA,MATCH("SimpleLimitedLegendary",CLASSFEATUREHEADERS,0),MATCH($A787,CLASSNAMEHEADERS,0))),(INDEX(ALLCLASSDATA,MATCH("SimpleLimitedLegendary",CLASSFEATUREHEADERS,0),MATCH(($A787 &amp; "Points"),CLASSNAMEHEADERS,0))),(IF("01"=(INDEX(ALLCLASSDATA,MATCH("SimpleLimitedMaster",CLASSFEATUREHEADERS,0),MATCH($A787,CLASSNAMEHEADERS,0))),(INDEX(ALLCLASSDATA,MATCH("SimpleLimitedMaster",CLASSFEATUREHEADERS,0),MATCH(($A787 &amp; "Points"),CLASSNAMEHEADERS,0))),(IF("01"=(INDEX(ALLCLASSDATA,MATCH("SimpleLimitedExpert",CLASSFEATUREHEADERS,0),MATCH($A787,CLASSNAMEHEADERS,0))),(INDEX(ALLCLASSDATA,MATCH("SimpleLimitedExpert",CLASSFEATUREHEADERS,0),MATCH(($A787 &amp; "Points"),CLASSNAMEHEADERS,0))),(IF("01"=(INDEX(ALLCLASSDATA,MATCH("SimpleLimitedTrained",CLASSFEATUREHEADERS,0),MATCH($A787,CLASSNAMEHEADERS,0))),(INDEX(ALLCLASSDATA,MATCH("SimpleLimitedTrained",CLASSFEATUREHEADERS,0),MATCH(($A787 &amp; "Points"),CLASSNAMEHEADERS,0))),"")))))))))}</f>
        <v>SIMPLELIMITEDL01</v>
      </c>
      <c r="H786" s="223"/>
      <c r="I786" s="223" t="str">
        <f t="array" ref="I786:I787">{"SIMPLELIMITEDL03";((IF("03"=(INDEX(ALLCLASSDATA,MATCH("SimpleLimitedLegendary",CLASSFEATUREHEADERS,0),MATCH($A787,CLASSNAMEHEADERS,0))),(INDEX(ALLCLASSDATA,MATCH("SimpleLimitedLegendary",CLASSFEATUREHEADERS,0),MATCH(($A787 &amp; "Points"),CLASSNAMEHEADERS,0))),(IF("03"=(INDEX(ALLCLASSDATA,MATCH("SimpleLimitedMaster",CLASSFEATUREHEADERS,0),MATCH($A787,CLASSNAMEHEADERS,0))),(INDEX(ALLCLASSDATA,MATCH("SimpleLimitedMaster",CLASSFEATUREHEADERS,0),MATCH(($A787 &amp; "Points"),CLASSNAMEHEADERS,0))),(IF("03"=(INDEX(ALLCLASSDATA,MATCH("SimpleLimitedExpert",CLASSFEATUREHEADERS,0),MATCH($A787,CLASSNAMEHEADERS,0))),(INDEX(ALLCLASSDATA,MATCH("SimpleLimitedExpert",CLASSFEATUREHEADERS,0),MATCH(($A787 &amp; "Points"),CLASSNAMEHEADERS,0))),(IF("03"=(INDEX(ALLCLASSDATA,MATCH("SimpleLimitedTrained",CLASSFEATUREHEADERS,0),MATCH($A787,CLASSNAMEHEADERS,0))),(INDEX(ALLCLASSDATA,MATCH("SimpleLimitedTrained",CLASSFEATUREHEADERS,0),MATCH(($A787 &amp; "Points"),CLASSNAMEHEADERS,0))),"")))))))))}</f>
        <v>SIMPLELIMITEDL03</v>
      </c>
      <c r="J786" s="223"/>
      <c r="K786" s="223" t="str">
        <f t="array" ref="K786:K787">{"SIMPLELIMITEDL05";((IF("05"=(INDEX(ALLCLASSDATA,MATCH("SimpleLimitedLegendary",CLASSFEATUREHEADERS,0),MATCH($A787,CLASSNAMEHEADERS,0))),(INDEX(ALLCLASSDATA,MATCH("SimpleLimitedLegendary",CLASSFEATUREHEADERS,0),MATCH(($A787 &amp; "Points"),CLASSNAMEHEADERS,0))),(IF("05"=(INDEX(ALLCLASSDATA,MATCH("SimpleLimitedMaster",CLASSFEATUREHEADERS,0),MATCH($A787,CLASSNAMEHEADERS,0))),(INDEX(ALLCLASSDATA,MATCH("SimpleLimitedMaster",CLASSFEATUREHEADERS,0),MATCH(($A787 &amp; "Points"),CLASSNAMEHEADERS,0))),(IF("05"=(INDEX(ALLCLASSDATA,MATCH("SimpleLimitedExpert",CLASSFEATUREHEADERS,0),MATCH($A787,CLASSNAMEHEADERS,0))),(INDEX(ALLCLASSDATA,MATCH("SimpleLimitedExpert",CLASSFEATUREHEADERS,0),MATCH(($A787 &amp; "Points"),CLASSNAMEHEADERS,0))),(IF("05"=(INDEX(ALLCLASSDATA,MATCH("SimpleLimitedTrained",CLASSFEATUREHEADERS,0),MATCH($A787,CLASSNAMEHEADERS,0))),(INDEX(ALLCLASSDATA,MATCH("SimpleLimitedTrained",CLASSFEATUREHEADERS,0),MATCH(($A787 &amp; "Points"),CLASSNAMEHEADERS,0))),"")))))))))}</f>
        <v>SIMPLELIMITEDL05</v>
      </c>
      <c r="L786" s="223"/>
      <c r="M786" s="223" t="str">
        <f t="array" ref="M786:M787">{"SIMPLELIMITEDL07";((IF("07"=(INDEX(ALLCLASSDATA,MATCH("SimpleLimitedLegendary",CLASSFEATUREHEADERS,0),MATCH($A787,CLASSNAMEHEADERS,0))),(INDEX(ALLCLASSDATA,MATCH("SimpleLimitedLegendary",CLASSFEATUREHEADERS,0),MATCH(($A787 &amp; "Points"),CLASSNAMEHEADERS,0))),(IF("07"=(INDEX(ALLCLASSDATA,MATCH("SimpleLimitedMaster",CLASSFEATUREHEADERS,0),MATCH($A787,CLASSNAMEHEADERS,0))),(INDEX(ALLCLASSDATA,MATCH("SimpleLimitedMaster",CLASSFEATUREHEADERS,0),MATCH(($A787 &amp; "Points"),CLASSNAMEHEADERS,0))),(IF("07"=(INDEX(ALLCLASSDATA,MATCH("SimpleLimitedExpert",CLASSFEATUREHEADERS,0),MATCH($A787,CLASSNAMEHEADERS,0))),(INDEX(ALLCLASSDATA,MATCH("SimpleLimitedExpert",CLASSFEATUREHEADERS,0),MATCH(($A787 &amp; "Points"),CLASSNAMEHEADERS,0))),(IF("07"=(INDEX(ALLCLASSDATA,MATCH("SimpleLimitedTrained",CLASSFEATUREHEADERS,0),MATCH($A787,CLASSNAMEHEADERS,0))),(INDEX(ALLCLASSDATA,MATCH("SimpleLimitedTrained",CLASSFEATUREHEADERS,0),MATCH(($A787 &amp; "Points"),CLASSNAMEHEADERS,0))),"")))))))))}</f>
        <v>SIMPLELIMITEDL07</v>
      </c>
      <c r="N786" s="223"/>
      <c r="O786" s="223" t="str">
        <f t="array" ref="O786:O787">{"SIMPLELIMITEDL09";((IF("09"=(INDEX(ALLCLASSDATA,MATCH("SimpleLimitedLegendary",CLASSFEATUREHEADERS,0),MATCH($A787,CLASSNAMEHEADERS,0))),(INDEX(ALLCLASSDATA,MATCH("SimpleLimitedLegendary",CLASSFEATUREHEADERS,0),MATCH(($A787 &amp; "Points"),CLASSNAMEHEADERS,0))),(IF("09"=(INDEX(ALLCLASSDATA,MATCH("SimpleLimitedMaster",CLASSFEATUREHEADERS,0),MATCH($A787,CLASSNAMEHEADERS,0))),(INDEX(ALLCLASSDATA,MATCH("SimpleLimitedMaster",CLASSFEATUREHEADERS,0),MATCH(($A787 &amp; "Points"),CLASSNAMEHEADERS,0))),(IF("09"=(INDEX(ALLCLASSDATA,MATCH("SimpleLimitedExpert",CLASSFEATUREHEADERS,0),MATCH($A787,CLASSNAMEHEADERS,0))),(INDEX(ALLCLASSDATA,MATCH("SimpleLimitedExpert",CLASSFEATUREHEADERS,0),MATCH(($A787 &amp; "Points"),CLASSNAMEHEADERS,0))),(IF("09"=(INDEX(ALLCLASSDATA,MATCH("SimpleLimitedTrained",CLASSFEATUREHEADERS,0),MATCH($A787,CLASSNAMEHEADERS,0))),(INDEX(ALLCLASSDATA,MATCH("SimpleLimitedTrained",CLASSFEATUREHEADERS,0),MATCH(($A787 &amp; "Points"),CLASSNAMEHEADERS,0))),"")))))))))}</f>
        <v>SIMPLELIMITEDL09</v>
      </c>
      <c r="P786" s="223"/>
      <c r="Q786" s="223" t="str">
        <f t="array" ref="Q786:Q787">{"SIMPLELIMITEDL11";((IF("11"=(INDEX(ALLCLASSDATA,MATCH("SimpleLimitedLegendary",CLASSFEATUREHEADERS,0),MATCH($A787,CLASSNAMEHEADERS,0))),(INDEX(ALLCLASSDATA,MATCH("SimpleLimitedLegendary",CLASSFEATUREHEADERS,0),MATCH(($A787 &amp; "Points"),CLASSNAMEHEADERS,0))),(IF("11"=(INDEX(ALLCLASSDATA,MATCH("SimpleLimitedMaster",CLASSFEATUREHEADERS,0),MATCH($A787,CLASSNAMEHEADERS,0))),(INDEX(ALLCLASSDATA,MATCH("SimpleLimitedMaster",CLASSFEATUREHEADERS,0),MATCH(($A787 &amp; "Points"),CLASSNAMEHEADERS,0))),(IF("11"=(INDEX(ALLCLASSDATA,MATCH("SimpleLimitedExpert",CLASSFEATUREHEADERS,0),MATCH($A787,CLASSNAMEHEADERS,0))),(INDEX(ALLCLASSDATA,MATCH("SimpleLimitedExpert",CLASSFEATUREHEADERS,0),MATCH(($A787 &amp; "Points"),CLASSNAMEHEADERS,0))),(IF("11"=(INDEX(ALLCLASSDATA,MATCH("SimpleLimitedTrained",CLASSFEATUREHEADERS,0),MATCH($A787,CLASSNAMEHEADERS,0))),(INDEX(ALLCLASSDATA,MATCH("SimpleLimitedTrained",CLASSFEATUREHEADERS,0),MATCH(($A787 &amp; "Points"),CLASSNAMEHEADERS,0))),"")))))))))}</f>
        <v>SIMPLELIMITEDL11</v>
      </c>
      <c r="R786" s="223"/>
      <c r="S786" s="223" t="str">
        <f t="array" ref="S786:S787">{"SIMPLELIMITEDL13";((IF("13"=(INDEX(ALLCLASSDATA,MATCH("SimpleLimitedLegendary",CLASSFEATUREHEADERS,0),MATCH($A787,CLASSNAMEHEADERS,0))),(INDEX(ALLCLASSDATA,MATCH("SimpleLimitedLegendary",CLASSFEATUREHEADERS,0),MATCH(($A787 &amp; "Points"),CLASSNAMEHEADERS,0))),(IF("13"=(INDEX(ALLCLASSDATA,MATCH("SimpleLimitedMaster",CLASSFEATUREHEADERS,0),MATCH($A787,CLASSNAMEHEADERS,0))),(INDEX(ALLCLASSDATA,MATCH("SimpleLimitedMaster",CLASSFEATUREHEADERS,0),MATCH(($A787 &amp; "Points"),CLASSNAMEHEADERS,0))),(IF("13"=(INDEX(ALLCLASSDATA,MATCH("SimpleLimitedExpert",CLASSFEATUREHEADERS,0),MATCH($A787,CLASSNAMEHEADERS,0))),(INDEX(ALLCLASSDATA,MATCH("SimpleLimitedExpert",CLASSFEATUREHEADERS,0),MATCH(($A787 &amp; "Points"),CLASSNAMEHEADERS,0))),(IF("13"=(INDEX(ALLCLASSDATA,MATCH("SimpleLimitedTrained",CLASSFEATUREHEADERS,0),MATCH($A787,CLASSNAMEHEADERS,0))),(INDEX(ALLCLASSDATA,MATCH("SimpleLimitedTrained",CLASSFEATUREHEADERS,0),MATCH(($A787 &amp; "Points"),CLASSNAMEHEADERS,0))),"")))))))))}</f>
        <v>SIMPLELIMITEDL13</v>
      </c>
      <c r="T786" s="223"/>
      <c r="U786" s="223" t="str">
        <f t="array" ref="U786:U787">{"SIMPLELIMITEDL15";((IF("15"=(INDEX(ALLCLASSDATA,MATCH("SimpleLimitedLegendary",CLASSFEATUREHEADERS,0),MATCH($A787,CLASSNAMEHEADERS,0))),(INDEX(ALLCLASSDATA,MATCH("SimpleLimitedLegendary",CLASSFEATUREHEADERS,0),MATCH(($A787 &amp; "Points"),CLASSNAMEHEADERS,0))),(IF("15"=(INDEX(ALLCLASSDATA,MATCH("SimpleLimitedMaster",CLASSFEATUREHEADERS,0),MATCH($A787,CLASSNAMEHEADERS,0))),(INDEX(ALLCLASSDATA,MATCH("SimpleLimitedMaster",CLASSFEATUREHEADERS,0),MATCH(($A787 &amp; "Points"),CLASSNAMEHEADERS,0))),(IF("15"=(INDEX(ALLCLASSDATA,MATCH("SimpleLimitedExpert",CLASSFEATUREHEADERS,0),MATCH($A787,CLASSNAMEHEADERS,0))),(INDEX(ALLCLASSDATA,MATCH("SimpleLimitedExpert",CLASSFEATUREHEADERS,0),MATCH(($A787 &amp; "Points"),CLASSNAMEHEADERS,0))),(IF("15"=(INDEX(ALLCLASSDATA,MATCH("SimpleLimitedTrained",CLASSFEATUREHEADERS,0),MATCH($A787,CLASSNAMEHEADERS,0))),(INDEX(ALLCLASSDATA,MATCH("SimpleLimitedTrained",CLASSFEATUREHEADERS,0),MATCH(($A787 &amp; "Points"),CLASSNAMEHEADERS,0))),"")))))))))}</f>
        <v>SIMPLELIMITEDL15</v>
      </c>
      <c r="V786" s="223"/>
      <c r="W786" s="223" t="str">
        <f t="array" ref="W786:W787">{"SIMPLELIMITEDL17";((IF("17"=(INDEX(ALLCLASSDATA,MATCH("SimpleLimitedLegendary",CLASSFEATUREHEADERS,0),MATCH($A787,CLASSNAMEHEADERS,0))),(INDEX(ALLCLASSDATA,MATCH("SimpleLimitedLegendary",CLASSFEATUREHEADERS,0),MATCH(($A787 &amp; "Points"),CLASSNAMEHEADERS,0))),(IF("17"=(INDEX(ALLCLASSDATA,MATCH("SimpleLimitedMaster",CLASSFEATUREHEADERS,0),MATCH($A787,CLASSNAMEHEADERS,0))),(INDEX(ALLCLASSDATA,MATCH("SimpleLimitedMaster",CLASSFEATUREHEADERS,0),MATCH(($A787 &amp; "Points"),CLASSNAMEHEADERS,0))),(IF("17"=(INDEX(ALLCLASSDATA,MATCH("SimpleLimitedExpert",CLASSFEATUREHEADERS,0),MATCH($A787,CLASSNAMEHEADERS,0))),(INDEX(ALLCLASSDATA,MATCH("SimpleLimitedExpert",CLASSFEATUREHEADERS,0),MATCH(($A787 &amp; "Points"),CLASSNAMEHEADERS,0))),(IF("17"=(INDEX(ALLCLASSDATA,MATCH("SimpleLimitedTrained",CLASSFEATUREHEADERS,0),MATCH($A787,CLASSNAMEHEADERS,0))),(INDEX(ALLCLASSDATA,MATCH("SimpleLimitedTrained",CLASSFEATUREHEADERS,0),MATCH(($A787 &amp; "Points"),CLASSNAMEHEADERS,0))),"")))))))))}</f>
        <v>SIMPLELIMITEDL17</v>
      </c>
      <c r="X786" s="223"/>
      <c r="Y786" s="223" t="str">
        <f t="array" ref="Y786:Y787">{"SIMPLELIMITEDL19";((IF("19"=(INDEX(ALLCLASSDATA,MATCH("SimpleLimitedLegendary",CLASSFEATUREHEADERS,0),MATCH($A787,CLASSNAMEHEADERS,0))),(INDEX(ALLCLASSDATA,MATCH("SimpleLimitedLegendary",CLASSFEATUREHEADERS,0),MATCH(($A787 &amp; "Points"),CLASSNAMEHEADERS,0))),(IF("19"=(INDEX(ALLCLASSDATA,MATCH("SimpleLimitedMaster",CLASSFEATUREHEADERS,0),MATCH($A787,CLASSNAMEHEADERS,0))),(INDEX(ALLCLASSDATA,MATCH("SimpleLimitedMaster",CLASSFEATUREHEADERS,0),MATCH(($A787 &amp; "Points"),CLASSNAMEHEADERS,0))),(IF("19"=(INDEX(ALLCLASSDATA,MATCH("SimpleLimitedExpert",CLASSFEATUREHEADERS,0),MATCH($A787,CLASSNAMEHEADERS,0))),(INDEX(ALLCLASSDATA,MATCH("SimpleLimitedExpert",CLASSFEATUREHEADERS,0),MATCH(($A787 &amp; "Points"),CLASSNAMEHEADERS,0))),(IF("19"=(INDEX(ALLCLASSDATA,MATCH("SimpleLimitedTrained",CLASSFEATUREHEADERS,0),MATCH($A787,CLASSNAMEHEADERS,0))),(INDEX(ALLCLASSDATA,MATCH("SimpleLimitedTrained",CLASSFEATUREHEADERS,0),MATCH(($A787 &amp; "Points"),CLASSNAMEHEADERS,0))),"")))))))))}</f>
        <v>SIMPLELIMITEDL19</v>
      </c>
      <c r="Z786" s="223"/>
      <c r="AA786" s="76" t="str">
        <f t="array" ref="AA786:AA787">{"SIMPLELIMITED TOTAL";(IF(COUNTBLANK(F787:Z787)=17,"L",(IF(COUNTBLANK(F787:Z787)=18,"M",(IF(COUNTBLANK(F787:Z787)=19,"E",(IF(COUNTBLANK(F787:Z787)=20,"T",""))))))))}</f>
        <v>SIMPLELIMITED TOTAL</v>
      </c>
      <c r="AB786" s="76" t="str">
        <f t="array" ref="AB786:AB787">{"SIMPLELIMITED TOTAL";(sum(F787:Z787))}</f>
        <v>SIMPLELIMITED TOTAL</v>
      </c>
    </row>
    <row r="787">
      <c r="A787" s="48" t="s">
        <v>233</v>
      </c>
      <c r="B787" s="48" t="s">
        <v>418</v>
      </c>
      <c r="C787" s="48" t="s">
        <v>1634</v>
      </c>
      <c r="D787" s="48" t="s">
        <v>599</v>
      </c>
      <c r="E787" s="5" t="s">
        <v>603</v>
      </c>
      <c r="F787" s="47" t="s">
        <v>603</v>
      </c>
      <c r="G787" s="5" t="s">
        <v>603</v>
      </c>
      <c r="H787" s="5"/>
      <c r="I787" s="5" t="s">
        <v>603</v>
      </c>
      <c r="J787" s="5"/>
      <c r="K787" s="5" t="s">
        <v>603</v>
      </c>
      <c r="L787" s="5"/>
      <c r="M787" s="5" t="s">
        <v>603</v>
      </c>
      <c r="N787" s="5"/>
      <c r="O787" s="5" t="s">
        <v>603</v>
      </c>
      <c r="P787" s="5"/>
      <c r="Q787" s="5" t="s">
        <v>603</v>
      </c>
      <c r="R787" s="5"/>
      <c r="S787" s="5" t="s">
        <v>603</v>
      </c>
      <c r="T787" s="5"/>
      <c r="U787" s="5" t="s">
        <v>603</v>
      </c>
      <c r="V787" s="5"/>
      <c r="W787" s="5" t="s">
        <v>603</v>
      </c>
      <c r="X787" s="5"/>
      <c r="Y787" s="5" t="s">
        <v>603</v>
      </c>
      <c r="Z787" s="5"/>
      <c r="AA787" s="5" t="s">
        <v>603</v>
      </c>
      <c r="AB787" s="47">
        <v>0.0</v>
      </c>
    </row>
    <row r="788" hidden="1">
      <c r="A788" s="222" t="str">
        <f t="array" ref="A788:A789">{"FormulaRow29";(INDEX(CLASSLIST,A731,1))}</f>
        <v>FormulaRow29</v>
      </c>
      <c r="B788" s="222" t="str">
        <f t="array" ref="B788:B789">{"CLASSTYPE";((INDEX(ALLCLASSDATA,MATCH("ClassType",CLASSFEATUREHEADERS,0),MATCH($A789,CLASSNAMEHEADERS,0))))}</f>
        <v>CLASSTYPE</v>
      </c>
      <c r="C788" s="222" t="str">
        <f t="array" ref="C788:C789">{"ATTACK";"Attack"}</f>
        <v>ATTACK</v>
      </c>
      <c r="D788" s="222" t="str">
        <f t="array" ref="D788:D789">{"SIMPLE";"Simple"}</f>
        <v>SIMPLE</v>
      </c>
      <c r="E788" s="223" t="str">
        <f t="array" ref="E788:E789">{"SIMPLEINITIAL";((IF(G789=10,"T",(IF(G789=50,"E","")))))}</f>
        <v>SIMPLEINITIAL</v>
      </c>
      <c r="F788" s="223" t="str">
        <f t="array" ref="F788:F789">{"SIMPLEINITIALPTS";((IF("00"=(INDEX(ALLCLASSDATA,MATCH("SimpleLegendary",CLASSFEATUREHEADERS,0),MATCH($A789,CLASSNAMEHEADERS,0))),(INDEX(ALLCLASSDATA,MATCH("SimpleLegendary",CLASSFEATUREHEADERS,0),MATCH(($A789 &amp; "Points"),CLASSNAMEHEADERS,0))),(IF("00"=(INDEX(ALLCLASSDATA,MATCH("SimpleMaster",CLASSFEATUREHEADERS,0),MATCH($A789,CLASSNAMEHEADERS,0))),(INDEX(ALLCLASSDATA,MATCH("SimpleMaster",CLASSFEATUREHEADERS,0),MATCH(($A789 &amp; "Points"),CLASSNAMEHEADERS,0))),(IF("00"=(INDEX(ALLCLASSDATA,MATCH("SimpleExpert",CLASSFEATUREHEADERS,0),MATCH($A789,CLASSNAMEHEADERS,0))),(INDEX(ALLCLASSDATA,MATCH("SimpleExpert",CLASSFEATUREHEADERS,0),MATCH(($A789 &amp; "Points"),CLASSNAMEHEADERS,0))),(IF("00"=(INDEX(ALLCLASSDATA,MATCH("SimpleTrained",CLASSFEATUREHEADERS,0),MATCH($A789,CLASSNAMEHEADERS,0))),(INDEX(ALLCLASSDATA,MATCH("SimpleTrained",CLASSFEATUREHEADERS,0),MATCH(($A789 &amp; "Points"),CLASSNAMEHEADERS,0))),"")))))))))}</f>
        <v>SIMPLEINITIALPTS</v>
      </c>
      <c r="G788" s="223" t="str">
        <f t="array" ref="G788:G789">{"SIMPLEL01";((IF("01"=(INDEX(ALLCLASSDATA,MATCH("SimpleLegendary",CLASSFEATUREHEADERS,0),MATCH($A789,CLASSNAMEHEADERS,0))),(INDEX(ALLCLASSDATA,MATCH("SimpleLegendary",CLASSFEATUREHEADERS,0),MATCH(($A789 &amp; "Points"),CLASSNAMEHEADERS,0))),(IF("01"=(INDEX(ALLCLASSDATA,MATCH("SimpleMaster",CLASSFEATUREHEADERS,0),MATCH($A789,CLASSNAMEHEADERS,0))),(INDEX(ALLCLASSDATA,MATCH("SimpleMaster",CLASSFEATUREHEADERS,0),MATCH(($A789 &amp; "Points"),CLASSNAMEHEADERS,0))),(IF("01"=(INDEX(ALLCLASSDATA,MATCH("SimpleExpert",CLASSFEATUREHEADERS,0),MATCH($A789,CLASSNAMEHEADERS,0))),(INDEX(ALLCLASSDATA,MATCH("SimpleExpert",CLASSFEATUREHEADERS,0),MATCH(($A789 &amp; "Points"),CLASSNAMEHEADERS,0))),(IF("01"=(INDEX(ALLCLASSDATA,MATCH("SimpleTrained",CLASSFEATUREHEADERS,0),MATCH($A789,CLASSNAMEHEADERS,0))),(INDEX(ALLCLASSDATA,MATCH("SimpleTrained",CLASSFEATUREHEADERS,0),MATCH(($A789 &amp; "Points"),CLASSNAMEHEADERS,0))),"")))))))))}</f>
        <v>SIMPLEL01</v>
      </c>
      <c r="H788" s="223"/>
      <c r="I788" s="223" t="str">
        <f t="array" ref="I788:I789">{"SIMPLEL03";((IF("03"=(INDEX(ALLCLASSDATA,MATCH("SimpleLegendary",CLASSFEATUREHEADERS,0),MATCH($A789,CLASSNAMEHEADERS,0))),(INDEX(ALLCLASSDATA,MATCH("SimpleLegendary",CLASSFEATUREHEADERS,0),MATCH(($A789 &amp; "Points"),CLASSNAMEHEADERS,0))),(IF("03"=(INDEX(ALLCLASSDATA,MATCH("SimpleMaster",CLASSFEATUREHEADERS,0),MATCH($A789,CLASSNAMEHEADERS,0))),(INDEX(ALLCLASSDATA,MATCH("SimpleMaster",CLASSFEATUREHEADERS,0),MATCH(($A789 &amp; "Points"),CLASSNAMEHEADERS,0))),(IF("03"=(INDEX(ALLCLASSDATA,MATCH("SimpleExpert",CLASSFEATUREHEADERS,0),MATCH($A789,CLASSNAMEHEADERS,0))),(INDEX(ALLCLASSDATA,MATCH("SimpleExpert",CLASSFEATUREHEADERS,0),MATCH(($A789 &amp; "Points"),CLASSNAMEHEADERS,0))),(IF("03"=(INDEX(ALLCLASSDATA,MATCH("SimpleTrained",CLASSFEATUREHEADERS,0),MATCH($A789,CLASSNAMEHEADERS,0))),(INDEX(ALLCLASSDATA,MATCH("SimpleTrained",CLASSFEATUREHEADERS,0),MATCH(($A789 &amp; "Points"),CLASSNAMEHEADERS,0))),"")))))))))}</f>
        <v>SIMPLEL03</v>
      </c>
      <c r="J788" s="223"/>
      <c r="K788" s="223" t="str">
        <f t="array" ref="K788:K789">{"SIMPLEL05";((IF("05"=(INDEX(ALLCLASSDATA,MATCH("SimpleLegendary",CLASSFEATUREHEADERS,0),MATCH($A789,CLASSNAMEHEADERS,0))),(INDEX(ALLCLASSDATA,MATCH("SimpleLegendary",CLASSFEATUREHEADERS,0),MATCH(($A789 &amp; "Points"),CLASSNAMEHEADERS,0))),(IF("05"=(INDEX(ALLCLASSDATA,MATCH("SimpleMaster",CLASSFEATUREHEADERS,0),MATCH($A789,CLASSNAMEHEADERS,0))),(INDEX(ALLCLASSDATA,MATCH("SimpleMaster",CLASSFEATUREHEADERS,0),MATCH(($A789 &amp; "Points"),CLASSNAMEHEADERS,0))),(IF("05"=(INDEX(ALLCLASSDATA,MATCH("SimpleExpert",CLASSFEATUREHEADERS,0),MATCH($A789,CLASSNAMEHEADERS,0))),(INDEX(ALLCLASSDATA,MATCH("SimpleExpert",CLASSFEATUREHEADERS,0),MATCH(($A789 &amp; "Points"),CLASSNAMEHEADERS,0))),(IF("05"=(INDEX(ALLCLASSDATA,MATCH("SimpleTrained",CLASSFEATUREHEADERS,0),MATCH($A789,CLASSNAMEHEADERS,0))),(INDEX(ALLCLASSDATA,MATCH("SimpleTrained",CLASSFEATUREHEADERS,0),MATCH(($A789 &amp; "Points"),CLASSNAMEHEADERS,0))),"")))))))))}</f>
        <v>SIMPLEL05</v>
      </c>
      <c r="L788" s="223"/>
      <c r="M788" s="223" t="str">
        <f t="array" ref="M788:M789">{"SIMPLEL07";((IF("07"=(INDEX(ALLCLASSDATA,MATCH("SimpleLegendary",CLASSFEATUREHEADERS,0),MATCH($A789,CLASSNAMEHEADERS,0))),(INDEX(ALLCLASSDATA,MATCH("SimpleLegendary",CLASSFEATUREHEADERS,0),MATCH(($A789 &amp; "Points"),CLASSNAMEHEADERS,0))),(IF("07"=(INDEX(ALLCLASSDATA,MATCH("SimpleMaster",CLASSFEATUREHEADERS,0),MATCH($A789,CLASSNAMEHEADERS,0))),(INDEX(ALLCLASSDATA,MATCH("SimpleMaster",CLASSFEATUREHEADERS,0),MATCH(($A789 &amp; "Points"),CLASSNAMEHEADERS,0))),(IF("07"=(INDEX(ALLCLASSDATA,MATCH("SimpleExpert",CLASSFEATUREHEADERS,0),MATCH($A789,CLASSNAMEHEADERS,0))),(INDEX(ALLCLASSDATA,MATCH("SimpleExpert",CLASSFEATUREHEADERS,0),MATCH(($A789 &amp; "Points"),CLASSNAMEHEADERS,0))),(IF("07"=(INDEX(ALLCLASSDATA,MATCH("SimpleTrained",CLASSFEATUREHEADERS,0),MATCH($A789,CLASSNAMEHEADERS,0))),(INDEX(ALLCLASSDATA,MATCH("SimpleTrained",CLASSFEATUREHEADERS,0),MATCH(($A789 &amp; "Points"),CLASSNAMEHEADERS,0))),"")))))))))}</f>
        <v>SIMPLEL07</v>
      </c>
      <c r="N788" s="223"/>
      <c r="O788" s="223" t="str">
        <f t="array" ref="O788:O789">{"SIMPLEL09";((IF("09"=(INDEX(ALLCLASSDATA,MATCH("SimpleLegendary",CLASSFEATUREHEADERS,0),MATCH($A789,CLASSNAMEHEADERS,0))),(INDEX(ALLCLASSDATA,MATCH("SimpleLegendary",CLASSFEATUREHEADERS,0),MATCH(($A789 &amp; "Points"),CLASSNAMEHEADERS,0))),(IF("09"=(INDEX(ALLCLASSDATA,MATCH("SimpleMaster",CLASSFEATUREHEADERS,0),MATCH($A789,CLASSNAMEHEADERS,0))),(INDEX(ALLCLASSDATA,MATCH("SimpleMaster",CLASSFEATUREHEADERS,0),MATCH(($A789 &amp; "Points"),CLASSNAMEHEADERS,0))),(IF("09"=(INDEX(ALLCLASSDATA,MATCH("SimpleExpert",CLASSFEATUREHEADERS,0),MATCH($A789,CLASSNAMEHEADERS,0))),(INDEX(ALLCLASSDATA,MATCH("SimpleExpert",CLASSFEATUREHEADERS,0),MATCH(($A789 &amp; "Points"),CLASSNAMEHEADERS,0))),(IF("09"=(INDEX(ALLCLASSDATA,MATCH("SimpleTrained",CLASSFEATUREHEADERS,0),MATCH($A789,CLASSNAMEHEADERS,0))),(INDEX(ALLCLASSDATA,MATCH("SimpleTrained",CLASSFEATUREHEADERS,0),MATCH(($A789 &amp; "Points"),CLASSNAMEHEADERS,0))),"")))))))))}</f>
        <v>SIMPLEL09</v>
      </c>
      <c r="P788" s="223"/>
      <c r="Q788" s="223" t="str">
        <f t="array" ref="Q788:Q789">{"SIMPLEL11";((IF("11"=(INDEX(ALLCLASSDATA,MATCH("SimpleLegendary",CLASSFEATUREHEADERS,0),MATCH($A789,CLASSNAMEHEADERS,0))),(INDEX(ALLCLASSDATA,MATCH("SimpleLegendary",CLASSFEATUREHEADERS,0),MATCH(($A789 &amp; "Points"),CLASSNAMEHEADERS,0))),(IF("11"=(INDEX(ALLCLASSDATA,MATCH("SimpleMaster",CLASSFEATUREHEADERS,0),MATCH($A789,CLASSNAMEHEADERS,0))),(INDEX(ALLCLASSDATA,MATCH("SimpleMaster",CLASSFEATUREHEADERS,0),MATCH(($A789 &amp; "Points"),CLASSNAMEHEADERS,0))),(IF("11"=(INDEX(ALLCLASSDATA,MATCH("SimpleExpert",CLASSFEATUREHEADERS,0),MATCH($A789,CLASSNAMEHEADERS,0))),(INDEX(ALLCLASSDATA,MATCH("SimpleExpert",CLASSFEATUREHEADERS,0),MATCH(($A789 &amp; "Points"),CLASSNAMEHEADERS,0))),(IF("11"=(INDEX(ALLCLASSDATA,MATCH("SimpleTrained",CLASSFEATUREHEADERS,0),MATCH($A789,CLASSNAMEHEADERS,0))),(INDEX(ALLCLASSDATA,MATCH("SimpleTrained",CLASSFEATUREHEADERS,0),MATCH(($A789 &amp; "Points"),CLASSNAMEHEADERS,0))),"")))))))))}</f>
        <v>SIMPLEL11</v>
      </c>
      <c r="R788" s="223"/>
      <c r="S788" s="223" t="str">
        <f t="array" ref="S788:S789">{"SIMPLEL13";((IF("13"=(INDEX(ALLCLASSDATA,MATCH("SimpleLegendary",CLASSFEATUREHEADERS,0),MATCH($A789,CLASSNAMEHEADERS,0))),(INDEX(ALLCLASSDATA,MATCH("SimpleLegendary",CLASSFEATUREHEADERS,0),MATCH(($A789 &amp; "Points"),CLASSNAMEHEADERS,0))),(IF("13"=(INDEX(ALLCLASSDATA,MATCH("SimpleMaster",CLASSFEATUREHEADERS,0),MATCH($A789,CLASSNAMEHEADERS,0))),(INDEX(ALLCLASSDATA,MATCH("SimpleMaster",CLASSFEATUREHEADERS,0),MATCH(($A789 &amp; "Points"),CLASSNAMEHEADERS,0))),(IF("13"=(INDEX(ALLCLASSDATA,MATCH("SimpleExpert",CLASSFEATUREHEADERS,0),MATCH($A789,CLASSNAMEHEADERS,0))),(INDEX(ALLCLASSDATA,MATCH("SimpleExpert",CLASSFEATUREHEADERS,0),MATCH(($A789 &amp; "Points"),CLASSNAMEHEADERS,0))),(IF("13"=(INDEX(ALLCLASSDATA,MATCH("SimpleTrained",CLASSFEATUREHEADERS,0),MATCH($A789,CLASSNAMEHEADERS,0))),(INDEX(ALLCLASSDATA,MATCH("SimpleTrained",CLASSFEATUREHEADERS,0),MATCH(($A789 &amp; "Points"),CLASSNAMEHEADERS,0))),"")))))))))}</f>
        <v>SIMPLEL13</v>
      </c>
      <c r="T788" s="223"/>
      <c r="U788" s="223" t="str">
        <f t="array" ref="U788:U789">{"SIMPLEL15";((IF("15"=(INDEX(ALLCLASSDATA,MATCH("SimpleLegendary",CLASSFEATUREHEADERS,0),MATCH($A789,CLASSNAMEHEADERS,0))),(INDEX(ALLCLASSDATA,MATCH("SimpleLegendary",CLASSFEATUREHEADERS,0),MATCH(($A789 &amp; "Points"),CLASSNAMEHEADERS,0))),(IF("15"=(INDEX(ALLCLASSDATA,MATCH("SimpleMaster",CLASSFEATUREHEADERS,0),MATCH($A789,CLASSNAMEHEADERS,0))),(INDEX(ALLCLASSDATA,MATCH("SimpleMaster",CLASSFEATUREHEADERS,0),MATCH(($A789 &amp; "Points"),CLASSNAMEHEADERS,0))),(IF("15"=(INDEX(ALLCLASSDATA,MATCH("SimpleExpert",CLASSFEATUREHEADERS,0),MATCH($A789,CLASSNAMEHEADERS,0))),(INDEX(ALLCLASSDATA,MATCH("SimpleExpert",CLASSFEATUREHEADERS,0),MATCH(($A789 &amp; "Points"),CLASSNAMEHEADERS,0))),(IF("15"=(INDEX(ALLCLASSDATA,MATCH("SimpleTrained",CLASSFEATUREHEADERS,0),MATCH($A789,CLASSNAMEHEADERS,0))),(INDEX(ALLCLASSDATA,MATCH("SimpleTrained",CLASSFEATUREHEADERS,0),MATCH(($A789 &amp; "Points"),CLASSNAMEHEADERS,0))),"")))))))))}</f>
        <v>SIMPLEL15</v>
      </c>
      <c r="V788" s="223"/>
      <c r="W788" s="223" t="str">
        <f t="array" ref="W788:W789">{"SIMPLEL17";((IF("17"=(INDEX(ALLCLASSDATA,MATCH("SimpleLegendary",CLASSFEATUREHEADERS,0),MATCH($A789,CLASSNAMEHEADERS,0))),(INDEX(ALLCLASSDATA,MATCH("SimpleLegendary",CLASSFEATUREHEADERS,0),MATCH(($A789 &amp; "Points"),CLASSNAMEHEADERS,0))),(IF("17"=(INDEX(ALLCLASSDATA,MATCH("SimpleMaster",CLASSFEATUREHEADERS,0),MATCH($A789,CLASSNAMEHEADERS,0))),(INDEX(ALLCLASSDATA,MATCH("SimpleMaster",CLASSFEATUREHEADERS,0),MATCH(($A789 &amp; "Points"),CLASSNAMEHEADERS,0))),(IF("17"=(INDEX(ALLCLASSDATA,MATCH("SimpleExpert",CLASSFEATUREHEADERS,0),MATCH($A789,CLASSNAMEHEADERS,0))),(INDEX(ALLCLASSDATA,MATCH("SimpleExpert",CLASSFEATUREHEADERS,0),MATCH(($A789 &amp; "Points"),CLASSNAMEHEADERS,0))),(IF("17"=(INDEX(ALLCLASSDATA,MATCH("SimpleTrained",CLASSFEATUREHEADERS,0),MATCH($A789,CLASSNAMEHEADERS,0))),(INDEX(ALLCLASSDATA,MATCH("SimpleTrained",CLASSFEATUREHEADERS,0),MATCH(($A789 &amp; "Points"),CLASSNAMEHEADERS,0))),"")))))))))}</f>
        <v>SIMPLEL17</v>
      </c>
      <c r="X788" s="223"/>
      <c r="Y788" s="223" t="str">
        <f t="array" ref="Y788:Y789">{"SIMPLEL19";((IF("19"=(INDEX(ALLCLASSDATA,MATCH("SimpleLegendary",CLASSFEATUREHEADERS,0),MATCH($A789,CLASSNAMEHEADERS,0))),(INDEX(ALLCLASSDATA,MATCH("SimpleLegendary",CLASSFEATUREHEADERS,0),MATCH(($A789 &amp; "Points"),CLASSNAMEHEADERS,0))),(IF("19"=(INDEX(ALLCLASSDATA,MATCH("SimpleMaster",CLASSFEATUREHEADERS,0),MATCH($A789,CLASSNAMEHEADERS,0))),(INDEX(ALLCLASSDATA,MATCH("SimpleMaster",CLASSFEATUREHEADERS,0),MATCH(($A789 &amp; "Points"),CLASSNAMEHEADERS,0))),(IF("19"=(INDEX(ALLCLASSDATA,MATCH("SimpleExpert",CLASSFEATUREHEADERS,0),MATCH($A789,CLASSNAMEHEADERS,0))),(INDEX(ALLCLASSDATA,MATCH("SimpleExpert",CLASSFEATUREHEADERS,0),MATCH(($A789 &amp; "Points"),CLASSNAMEHEADERS,0))),(IF("19"=(INDEX(ALLCLASSDATA,MATCH("SimpleTrained",CLASSFEATUREHEADERS,0),MATCH($A789,CLASSNAMEHEADERS,0))),(INDEX(ALLCLASSDATA,MATCH("SimpleTrained",CLASSFEATUREHEADERS,0),MATCH(($A789 &amp; "Points"),CLASSNAMEHEADERS,0))),"")))))))))}</f>
        <v>SIMPLEL19</v>
      </c>
      <c r="Z788" s="223"/>
      <c r="AA788" s="76" t="str">
        <f t="array" ref="AA788:AA789">{"SIMPLE TOTAL";(IF(COUNTBLANK(F789:Z789)=17,"L",(IF(COUNTBLANK(F789:Z789)=18,"M",(IF(COUNTBLANK(F789:Z789)=19,"E",(IF(COUNTBLANK(F789:Z789)=20,"T",""))))))))}</f>
        <v>SIMPLE TOTAL</v>
      </c>
      <c r="AB788" s="76" t="str">
        <f t="array" ref="AB788:AB789">{"SIMPLE TOTAL";(sum(F789:Z789))}</f>
        <v>SIMPLE TOTAL</v>
      </c>
    </row>
    <row r="789">
      <c r="A789" s="48" t="s">
        <v>233</v>
      </c>
      <c r="B789" s="48" t="s">
        <v>418</v>
      </c>
      <c r="C789" s="48" t="s">
        <v>1634</v>
      </c>
      <c r="D789" s="48" t="s">
        <v>68</v>
      </c>
      <c r="E789" s="5" t="s">
        <v>435</v>
      </c>
      <c r="F789" s="47" t="s">
        <v>603</v>
      </c>
      <c r="G789" s="5">
        <v>10.0</v>
      </c>
      <c r="H789" s="5"/>
      <c r="I789" s="5" t="s">
        <v>603</v>
      </c>
      <c r="J789" s="5"/>
      <c r="K789" s="5" t="s">
        <v>603</v>
      </c>
      <c r="L789" s="5"/>
      <c r="M789" s="5" t="s">
        <v>603</v>
      </c>
      <c r="N789" s="5"/>
      <c r="O789" s="5" t="s">
        <v>603</v>
      </c>
      <c r="P789" s="5"/>
      <c r="Q789" s="5">
        <v>50.0</v>
      </c>
      <c r="R789" s="5"/>
      <c r="S789" s="5" t="s">
        <v>603</v>
      </c>
      <c r="T789" s="5"/>
      <c r="U789" s="5" t="s">
        <v>603</v>
      </c>
      <c r="V789" s="5"/>
      <c r="W789" s="5" t="s">
        <v>603</v>
      </c>
      <c r="X789" s="5"/>
      <c r="Y789" s="5" t="s">
        <v>603</v>
      </c>
      <c r="Z789" s="5"/>
      <c r="AA789" s="5" t="s">
        <v>436</v>
      </c>
      <c r="AB789" s="47">
        <v>60.0</v>
      </c>
    </row>
    <row r="790" hidden="1">
      <c r="A790" s="222" t="str">
        <f t="array" ref="A790:A791">{"FormulaRow30";(INDEX(CLASSLIST,A731,1))}</f>
        <v>FormulaRow30</v>
      </c>
      <c r="B790" s="222" t="str">
        <f t="array" ref="B790:B791">{"CLASSTYPE";((INDEX(ALLCLASSDATA,MATCH("ClassType",CLASSFEATUREHEADERS,0),MATCH($A791,CLASSNAMEHEADERS,0))))}</f>
        <v>CLASSTYPE</v>
      </c>
      <c r="C790" s="222" t="str">
        <f t="array" ref="C790:C791">{"ATTACK";"Attack"}</f>
        <v>ATTACK</v>
      </c>
      <c r="D790" s="222" t="str">
        <f t="array" ref="D790:D791">{"MARTIALLIMITED";"MartialLimited"}</f>
        <v>MARTIALLIMITED</v>
      </c>
      <c r="E790" s="223" t="str">
        <f t="array" ref="E790:E791">{"MARTIALLIMITEDINITIAL";((IF(G791=10,"T",(IF(G791=50,"E","")))))}</f>
        <v>MARTIALLIMITEDINITIAL</v>
      </c>
      <c r="F790" s="223" t="str">
        <f t="array" ref="F790:F791">{"MARTIALLIMITEDINITIALPTS";((IF("00"=(INDEX(ALLCLASSDATA,MATCH("MartialLimitedLegendary",CLASSFEATUREHEADERS,0),MATCH($A791,CLASSNAMEHEADERS,0))),(INDEX(ALLCLASSDATA,MATCH("MartialLimitedLegendary",CLASSFEATUREHEADERS,0),MATCH(($A791 &amp; "Points"),CLASSNAMEHEADERS,0))),(IF("00"=(INDEX(ALLCLASSDATA,MATCH("MartialLimitedMaster",CLASSFEATUREHEADERS,0),MATCH($A791,CLASSNAMEHEADERS,0))),(INDEX(ALLCLASSDATA,MATCH("MartialLimitedMaster",CLASSFEATUREHEADERS,0),MATCH(($A791 &amp; "Points"),CLASSNAMEHEADERS,0))),(IF("00"=(INDEX(ALLCLASSDATA,MATCH("MartialLimitedExpert",CLASSFEATUREHEADERS,0),MATCH($A791,CLASSNAMEHEADERS,0))),(INDEX(ALLCLASSDATA,MATCH("MartialLimitedExpert",CLASSFEATUREHEADERS,0),MATCH(($A791 &amp; "Points"),CLASSNAMEHEADERS,0))),(IF("00"=(INDEX(ALLCLASSDATA,MATCH("MartialLimitedTrained",CLASSFEATUREHEADERS,0),MATCH($A791,CLASSNAMEHEADERS,0))),(INDEX(ALLCLASSDATA,MATCH("MartialLimitedTrained",CLASSFEATUREHEADERS,0),MATCH(($A791 &amp; "Points"),CLASSNAMEHEADERS,0))),"")))))))))}</f>
        <v>MARTIALLIMITEDINITIALPTS</v>
      </c>
      <c r="G790" s="223" t="str">
        <f t="array" ref="G790:G791">{"MARTIALLIMITEDL01";((IF("01"=(INDEX(ALLCLASSDATA,MATCH("MartialLimitedLegendary",CLASSFEATUREHEADERS,0),MATCH($A791,CLASSNAMEHEADERS,0))),(INDEX(ALLCLASSDATA,MATCH("MartialLimitedLegendary",CLASSFEATUREHEADERS,0),MATCH(($A791 &amp; "Points"),CLASSNAMEHEADERS,0))),(IF("01"=(INDEX(ALLCLASSDATA,MATCH("MartialLimitedMaster",CLASSFEATUREHEADERS,0),MATCH($A791,CLASSNAMEHEADERS,0))),(INDEX(ALLCLASSDATA,MATCH("MartialLimitedMaster",CLASSFEATUREHEADERS,0),MATCH(($A791 &amp; "Points"),CLASSNAMEHEADERS,0))),(IF("01"=(INDEX(ALLCLASSDATA,MATCH("MartialLimitedExpert",CLASSFEATUREHEADERS,0),MATCH($A791,CLASSNAMEHEADERS,0))),(INDEX(ALLCLASSDATA,MATCH("MartialLimitedExpert",CLASSFEATUREHEADERS,0),MATCH(($A791 &amp; "Points"),CLASSNAMEHEADERS,0))),(IF("01"=(INDEX(ALLCLASSDATA,MATCH("MartialLimitedTrained",CLASSFEATUREHEADERS,0),MATCH($A791,CLASSNAMEHEADERS,0))),(INDEX(ALLCLASSDATA,MATCH("MartialLimitedTrained",CLASSFEATUREHEADERS,0),MATCH(($A791 &amp; "Points"),CLASSNAMEHEADERS,0))),"")))))))))}</f>
        <v>MARTIALLIMITEDL01</v>
      </c>
      <c r="H790" s="223"/>
      <c r="I790" s="223" t="str">
        <f t="array" ref="I790:I791">{"MARTIALLIMITEDL03";((IF("03"=(INDEX(ALLCLASSDATA,MATCH("MartialLimitedLegendary",CLASSFEATUREHEADERS,0),MATCH($A791,CLASSNAMEHEADERS,0))),(INDEX(ALLCLASSDATA,MATCH("MartialLimitedLegendary",CLASSFEATUREHEADERS,0),MATCH(($A791 &amp; "Points"),CLASSNAMEHEADERS,0))),(IF("03"=(INDEX(ALLCLASSDATA,MATCH("MartialLimitedMaster",CLASSFEATUREHEADERS,0),MATCH($A791,CLASSNAMEHEADERS,0))),(INDEX(ALLCLASSDATA,MATCH("MartialLimitedMaster",CLASSFEATUREHEADERS,0),MATCH(($A791 &amp; "Points"),CLASSNAMEHEADERS,0))),(IF("03"=(INDEX(ALLCLASSDATA,MATCH("MartialLimitedExpert",CLASSFEATUREHEADERS,0),MATCH($A791,CLASSNAMEHEADERS,0))),(INDEX(ALLCLASSDATA,MATCH("MartialLimitedExpert",CLASSFEATUREHEADERS,0),MATCH(($A791 &amp; "Points"),CLASSNAMEHEADERS,0))),(IF("03"=(INDEX(ALLCLASSDATA,MATCH("MartialLimitedTrained",CLASSFEATUREHEADERS,0),MATCH($A791,CLASSNAMEHEADERS,0))),(INDEX(ALLCLASSDATA,MATCH("MartialLimitedTrained",CLASSFEATUREHEADERS,0),MATCH(($A791 &amp; "Points"),CLASSNAMEHEADERS,0))),"")))))))))}</f>
        <v>MARTIALLIMITEDL03</v>
      </c>
      <c r="J790" s="223"/>
      <c r="K790" s="223" t="str">
        <f t="array" ref="K790:K791">{"MARTIALLIMITEDL05";((IF("05"=(INDEX(ALLCLASSDATA,MATCH("MartialLimitedLegendary",CLASSFEATUREHEADERS,0),MATCH($A791,CLASSNAMEHEADERS,0))),(INDEX(ALLCLASSDATA,MATCH("MartialLimitedLegendary",CLASSFEATUREHEADERS,0),MATCH(($A791 &amp; "Points"),CLASSNAMEHEADERS,0))),(IF("05"=(INDEX(ALLCLASSDATA,MATCH("MartialLimitedMaster",CLASSFEATUREHEADERS,0),MATCH($A791,CLASSNAMEHEADERS,0))),(INDEX(ALLCLASSDATA,MATCH("MartialLimitedMaster",CLASSFEATUREHEADERS,0),MATCH(($A791 &amp; "Points"),CLASSNAMEHEADERS,0))),(IF("05"=(INDEX(ALLCLASSDATA,MATCH("MartialLimitedExpert",CLASSFEATUREHEADERS,0),MATCH($A791,CLASSNAMEHEADERS,0))),(INDEX(ALLCLASSDATA,MATCH("MartialLimitedExpert",CLASSFEATUREHEADERS,0),MATCH(($A791 &amp; "Points"),CLASSNAMEHEADERS,0))),(IF("05"=(INDEX(ALLCLASSDATA,MATCH("MartialLimitedTrained",CLASSFEATUREHEADERS,0),MATCH($A791,CLASSNAMEHEADERS,0))),(INDEX(ALLCLASSDATA,MATCH("MartialLimitedTrained",CLASSFEATUREHEADERS,0),MATCH(($A791 &amp; "Points"),CLASSNAMEHEADERS,0))),"")))))))))}</f>
        <v>MARTIALLIMITEDL05</v>
      </c>
      <c r="L790" s="223"/>
      <c r="M790" s="223" t="str">
        <f t="array" ref="M790:M791">{"MARTIALLIMITEDL07";((IF("07"=(INDEX(ALLCLASSDATA,MATCH("MartialLimitedLegendary",CLASSFEATUREHEADERS,0),MATCH($A791,CLASSNAMEHEADERS,0))),(INDEX(ALLCLASSDATA,MATCH("MartialLimitedLegendary",CLASSFEATUREHEADERS,0),MATCH(($A791 &amp; "Points"),CLASSNAMEHEADERS,0))),(IF("07"=(INDEX(ALLCLASSDATA,MATCH("MartialLimitedMaster",CLASSFEATUREHEADERS,0),MATCH($A791,CLASSNAMEHEADERS,0))),(INDEX(ALLCLASSDATA,MATCH("MartialLimitedMaster",CLASSFEATUREHEADERS,0),MATCH(($A791 &amp; "Points"),CLASSNAMEHEADERS,0))),(IF("07"=(INDEX(ALLCLASSDATA,MATCH("MartialLimitedExpert",CLASSFEATUREHEADERS,0),MATCH($A791,CLASSNAMEHEADERS,0))),(INDEX(ALLCLASSDATA,MATCH("MartialLimitedExpert",CLASSFEATUREHEADERS,0),MATCH(($A791 &amp; "Points"),CLASSNAMEHEADERS,0))),(IF("07"=(INDEX(ALLCLASSDATA,MATCH("MartialLimitedTrained",CLASSFEATUREHEADERS,0),MATCH($A791,CLASSNAMEHEADERS,0))),(INDEX(ALLCLASSDATA,MATCH("MartialLimitedTrained",CLASSFEATUREHEADERS,0),MATCH(($A791 &amp; "Points"),CLASSNAMEHEADERS,0))),"")))))))))}</f>
        <v>MARTIALLIMITEDL07</v>
      </c>
      <c r="N790" s="223"/>
      <c r="O790" s="223" t="str">
        <f t="array" ref="O790:O791">{"MARTIALLIMITEDL09";((IF("09"=(INDEX(ALLCLASSDATA,MATCH("MartialLimitedLegendary",CLASSFEATUREHEADERS,0),MATCH($A791,CLASSNAMEHEADERS,0))),(INDEX(ALLCLASSDATA,MATCH("MartialLimitedLegendary",CLASSFEATUREHEADERS,0),MATCH(($A791 &amp; "Points"),CLASSNAMEHEADERS,0))),(IF("09"=(INDEX(ALLCLASSDATA,MATCH("MartialLimitedMaster",CLASSFEATUREHEADERS,0),MATCH($A791,CLASSNAMEHEADERS,0))),(INDEX(ALLCLASSDATA,MATCH("MartialLimitedMaster",CLASSFEATUREHEADERS,0),MATCH(($A791 &amp; "Points"),CLASSNAMEHEADERS,0))),(IF("09"=(INDEX(ALLCLASSDATA,MATCH("MartialLimitedExpert",CLASSFEATUREHEADERS,0),MATCH($A791,CLASSNAMEHEADERS,0))),(INDEX(ALLCLASSDATA,MATCH("MartialLimitedExpert",CLASSFEATUREHEADERS,0),MATCH(($A791 &amp; "Points"),CLASSNAMEHEADERS,0))),(IF("09"=(INDEX(ALLCLASSDATA,MATCH("MartialLimitedTrained",CLASSFEATUREHEADERS,0),MATCH($A791,CLASSNAMEHEADERS,0))),(INDEX(ALLCLASSDATA,MATCH("MartialLimitedTrained",CLASSFEATUREHEADERS,0),MATCH(($A791 &amp; "Points"),CLASSNAMEHEADERS,0))),"")))))))))}</f>
        <v>MARTIALLIMITEDL09</v>
      </c>
      <c r="P790" s="223"/>
      <c r="Q790" s="223" t="str">
        <f t="array" ref="Q790:Q791">{"MARTIALLIMITEDL11";((IF("11"=(INDEX(ALLCLASSDATA,MATCH("MartialLimitedLegendary",CLASSFEATUREHEADERS,0),MATCH($A791,CLASSNAMEHEADERS,0))),(INDEX(ALLCLASSDATA,MATCH("MartialLimitedLegendary",CLASSFEATUREHEADERS,0),MATCH(($A791 &amp; "Points"),CLASSNAMEHEADERS,0))),(IF("11"=(INDEX(ALLCLASSDATA,MATCH("MartialLimitedMaster",CLASSFEATUREHEADERS,0),MATCH($A791,CLASSNAMEHEADERS,0))),(INDEX(ALLCLASSDATA,MATCH("MartialLimitedMaster",CLASSFEATUREHEADERS,0),MATCH(($A791 &amp; "Points"),CLASSNAMEHEADERS,0))),(IF("11"=(INDEX(ALLCLASSDATA,MATCH("MartialLimitedExpert",CLASSFEATUREHEADERS,0),MATCH($A791,CLASSNAMEHEADERS,0))),(INDEX(ALLCLASSDATA,MATCH("MartialLimitedExpert",CLASSFEATUREHEADERS,0),MATCH(($A791 &amp; "Points"),CLASSNAMEHEADERS,0))),(IF("11"=(INDEX(ALLCLASSDATA,MATCH("MartialLimitedTrained",CLASSFEATUREHEADERS,0),MATCH($A791,CLASSNAMEHEADERS,0))),(INDEX(ALLCLASSDATA,MATCH("MartialLimitedTrained",CLASSFEATUREHEADERS,0),MATCH(($A791 &amp; "Points"),CLASSNAMEHEADERS,0))),"")))))))))}</f>
        <v>MARTIALLIMITEDL11</v>
      </c>
      <c r="R790" s="223"/>
      <c r="S790" s="223" t="str">
        <f t="array" ref="S790:S791">{"MARTIALLIMITEDL13";((IF("13"=(INDEX(ALLCLASSDATA,MATCH("MartialLimitedLegendary",CLASSFEATUREHEADERS,0),MATCH($A791,CLASSNAMEHEADERS,0))),(INDEX(ALLCLASSDATA,MATCH("MartialLimitedLegendary",CLASSFEATUREHEADERS,0),MATCH(($A791 &amp; "Points"),CLASSNAMEHEADERS,0))),(IF("13"=(INDEX(ALLCLASSDATA,MATCH("MartialLimitedMaster",CLASSFEATUREHEADERS,0),MATCH($A791,CLASSNAMEHEADERS,0))),(INDEX(ALLCLASSDATA,MATCH("MartialLimitedMaster",CLASSFEATUREHEADERS,0),MATCH(($A791 &amp; "Points"),CLASSNAMEHEADERS,0))),(IF("13"=(INDEX(ALLCLASSDATA,MATCH("MartialLimitedExpert",CLASSFEATUREHEADERS,0),MATCH($A791,CLASSNAMEHEADERS,0))),(INDEX(ALLCLASSDATA,MATCH("MartialLimitedExpert",CLASSFEATUREHEADERS,0),MATCH(($A791 &amp; "Points"),CLASSNAMEHEADERS,0))),(IF("13"=(INDEX(ALLCLASSDATA,MATCH("MartialLimitedTrained",CLASSFEATUREHEADERS,0),MATCH($A791,CLASSNAMEHEADERS,0))),(INDEX(ALLCLASSDATA,MATCH("MartialLimitedTrained",CLASSFEATUREHEADERS,0),MATCH(($A791 &amp; "Points"),CLASSNAMEHEADERS,0))),"")))))))))}</f>
        <v>MARTIALLIMITEDL13</v>
      </c>
      <c r="T790" s="223"/>
      <c r="U790" s="223" t="str">
        <f t="array" ref="U790:U791">{"MARTIALLIMITEDL15";((IF("15"=(INDEX(ALLCLASSDATA,MATCH("MartialLimitedLegendary",CLASSFEATUREHEADERS,0),MATCH($A791,CLASSNAMEHEADERS,0))),(INDEX(ALLCLASSDATA,MATCH("MartialLimitedLegendary",CLASSFEATUREHEADERS,0),MATCH(($A791 &amp; "Points"),CLASSNAMEHEADERS,0))),(IF("15"=(INDEX(ALLCLASSDATA,MATCH("MartialLimitedMaster",CLASSFEATUREHEADERS,0),MATCH($A791,CLASSNAMEHEADERS,0))),(INDEX(ALLCLASSDATA,MATCH("MartialLimitedMaster",CLASSFEATUREHEADERS,0),MATCH(($A791 &amp; "Points"),CLASSNAMEHEADERS,0))),(IF("15"=(INDEX(ALLCLASSDATA,MATCH("MartialLimitedExpert",CLASSFEATUREHEADERS,0),MATCH($A791,CLASSNAMEHEADERS,0))),(INDEX(ALLCLASSDATA,MATCH("MartialLimitedExpert",CLASSFEATUREHEADERS,0),MATCH(($A791 &amp; "Points"),CLASSNAMEHEADERS,0))),(IF("15"=(INDEX(ALLCLASSDATA,MATCH("MartialLimitedTrained",CLASSFEATUREHEADERS,0),MATCH($A791,CLASSNAMEHEADERS,0))),(INDEX(ALLCLASSDATA,MATCH("MartialLimitedTrained",CLASSFEATUREHEADERS,0),MATCH(($A791 &amp; "Points"),CLASSNAMEHEADERS,0))),"")))))))))}</f>
        <v>MARTIALLIMITEDL15</v>
      </c>
      <c r="V790" s="223"/>
      <c r="W790" s="223" t="str">
        <f t="array" ref="W790:W791">{"MARTIALLIMITEDL17";((IF("17"=(INDEX(ALLCLASSDATA,MATCH("MartialLimitedLegendary",CLASSFEATUREHEADERS,0),MATCH($A791,CLASSNAMEHEADERS,0))),(INDEX(ALLCLASSDATA,MATCH("MartialLimitedLegendary",CLASSFEATUREHEADERS,0),MATCH(($A791 &amp; "Points"),CLASSNAMEHEADERS,0))),(IF("17"=(INDEX(ALLCLASSDATA,MATCH("MartialLimitedMaster",CLASSFEATUREHEADERS,0),MATCH($A791,CLASSNAMEHEADERS,0))),(INDEX(ALLCLASSDATA,MATCH("MartialLimitedMaster",CLASSFEATUREHEADERS,0),MATCH(($A791 &amp; "Points"),CLASSNAMEHEADERS,0))),(IF("17"=(INDEX(ALLCLASSDATA,MATCH("MartialLimitedExpert",CLASSFEATUREHEADERS,0),MATCH($A791,CLASSNAMEHEADERS,0))),(INDEX(ALLCLASSDATA,MATCH("MartialLimitedExpert",CLASSFEATUREHEADERS,0),MATCH(($A791 &amp; "Points"),CLASSNAMEHEADERS,0))),(IF("17"=(INDEX(ALLCLASSDATA,MATCH("MartialLimitedTrained",CLASSFEATUREHEADERS,0),MATCH($A791,CLASSNAMEHEADERS,0))),(INDEX(ALLCLASSDATA,MATCH("MartialLimitedTrained",CLASSFEATUREHEADERS,0),MATCH(($A791 &amp; "Points"),CLASSNAMEHEADERS,0))),"")))))))))}</f>
        <v>MARTIALLIMITEDL17</v>
      </c>
      <c r="X790" s="223"/>
      <c r="Y790" s="223" t="str">
        <f t="array" ref="Y790:Y791">{"MARTIALLIMITEDL19";((IF("19"=(INDEX(ALLCLASSDATA,MATCH("MartialLimitedLegendary",CLASSFEATUREHEADERS,0),MATCH($A791,CLASSNAMEHEADERS,0))),(INDEX(ALLCLASSDATA,MATCH("MartialLimitedLegendary",CLASSFEATUREHEADERS,0),MATCH(($A791 &amp; "Points"),CLASSNAMEHEADERS,0))),(IF("19"=(INDEX(ALLCLASSDATA,MATCH("MartialLimitedMaster",CLASSFEATUREHEADERS,0),MATCH($A791,CLASSNAMEHEADERS,0))),(INDEX(ALLCLASSDATA,MATCH("MartialLimitedMaster",CLASSFEATUREHEADERS,0),MATCH(($A791 &amp; "Points"),CLASSNAMEHEADERS,0))),(IF("19"=(INDEX(ALLCLASSDATA,MATCH("MartialLimitedExpert",CLASSFEATUREHEADERS,0),MATCH($A791,CLASSNAMEHEADERS,0))),(INDEX(ALLCLASSDATA,MATCH("MartialLimitedExpert",CLASSFEATUREHEADERS,0),MATCH(($A791 &amp; "Points"),CLASSNAMEHEADERS,0))),(IF("19"=(INDEX(ALLCLASSDATA,MATCH("MartialLimitedTrained",CLASSFEATUREHEADERS,0),MATCH($A791,CLASSNAMEHEADERS,0))),(INDEX(ALLCLASSDATA,MATCH("MartialLimitedTrained",CLASSFEATUREHEADERS,0),MATCH(($A791 &amp; "Points"),CLASSNAMEHEADERS,0))),"")))))))))}</f>
        <v>MARTIALLIMITEDL19</v>
      </c>
      <c r="Z790" s="223"/>
      <c r="AA790" s="76" t="str">
        <f t="array" ref="AA790:AA791">{"MARTIALLIMITED TOTAL";(IF(COUNTBLANK(F791:Z791)=17,"L",(IF(COUNTBLANK(F791:Z791)=18,"M",(IF(COUNTBLANK(F791:Z791)=19,"E",(IF(COUNTBLANK(F791:Z791)=20,"T",""))))))))}</f>
        <v>MARTIALLIMITED TOTAL</v>
      </c>
      <c r="AB790" s="76" t="str">
        <f t="array" ref="AB790:AB791">{"MARTIALLIMITED TOTAL";(sum(F791:Z791))}</f>
        <v>MARTIALLIMITED TOTAL</v>
      </c>
    </row>
    <row r="791">
      <c r="A791" s="48" t="s">
        <v>233</v>
      </c>
      <c r="B791" s="48" t="s">
        <v>418</v>
      </c>
      <c r="C791" s="48" t="s">
        <v>1634</v>
      </c>
      <c r="D791" s="48" t="s">
        <v>600</v>
      </c>
      <c r="E791" s="5" t="s">
        <v>603</v>
      </c>
      <c r="F791" s="47" t="s">
        <v>603</v>
      </c>
      <c r="G791" s="5" t="s">
        <v>603</v>
      </c>
      <c r="H791" s="5"/>
      <c r="I791" s="5" t="s">
        <v>603</v>
      </c>
      <c r="J791" s="5"/>
      <c r="K791" s="5" t="s">
        <v>603</v>
      </c>
      <c r="L791" s="5"/>
      <c r="M791" s="5" t="s">
        <v>603</v>
      </c>
      <c r="N791" s="5"/>
      <c r="O791" s="5" t="s">
        <v>603</v>
      </c>
      <c r="P791" s="5"/>
      <c r="Q791" s="5" t="s">
        <v>603</v>
      </c>
      <c r="R791" s="5"/>
      <c r="S791" s="5" t="s">
        <v>603</v>
      </c>
      <c r="T791" s="5"/>
      <c r="U791" s="5" t="s">
        <v>603</v>
      </c>
      <c r="V791" s="5"/>
      <c r="W791" s="5" t="s">
        <v>603</v>
      </c>
      <c r="X791" s="5"/>
      <c r="Y791" s="5" t="s">
        <v>603</v>
      </c>
      <c r="Z791" s="5"/>
      <c r="AA791" s="5" t="s">
        <v>603</v>
      </c>
      <c r="AB791" s="47">
        <v>0.0</v>
      </c>
    </row>
    <row r="792" hidden="1">
      <c r="A792" s="222" t="str">
        <f t="array" ref="A792:A793">{"FormulaRow31";(INDEX(CLASSLIST,A731,1))}</f>
        <v>FormulaRow31</v>
      </c>
      <c r="B792" s="222" t="str">
        <f t="array" ref="B792:B793">{"CLASSTYPE";((INDEX(ALLCLASSDATA,MATCH("ClassType",CLASSFEATUREHEADERS,0),MATCH($A793,CLASSNAMEHEADERS,0))))}</f>
        <v>CLASSTYPE</v>
      </c>
      <c r="C792" s="222" t="str">
        <f t="array" ref="C792:C793">{"ATTACK";"Attack"}</f>
        <v>ATTACK</v>
      </c>
      <c r="D792" s="222" t="str">
        <f t="array" ref="D792:D793">{"MARTIAL";"Martial"}</f>
        <v>MARTIAL</v>
      </c>
      <c r="E792" s="223" t="str">
        <f t="array" ref="E792:E793">{"MARTIALINITIAL";((IF(G793=10,"T",(IF(G793=50,"E","")))))}</f>
        <v>MARTIALINITIAL</v>
      </c>
      <c r="F792" s="223" t="str">
        <f t="array" ref="F792:F793">{"MARTIALINITIALPTS";((IF("00"=(INDEX(ALLCLASSDATA,MATCH("MartialLegendary",CLASSFEATUREHEADERS,0),MATCH($A793,CLASSNAMEHEADERS,0))),(INDEX(ALLCLASSDATA,MATCH("MartialLegendary",CLASSFEATUREHEADERS,0),MATCH(($A793 &amp; "Points"),CLASSNAMEHEADERS,0))),(IF("00"=(INDEX(ALLCLASSDATA,MATCH("MartialMaster",CLASSFEATUREHEADERS,0),MATCH($A793,CLASSNAMEHEADERS,0))),(INDEX(ALLCLASSDATA,MATCH("MartialMaster",CLASSFEATUREHEADERS,0),MATCH(($A793 &amp; "Points"),CLASSNAMEHEADERS,0))),(IF("00"=(INDEX(ALLCLASSDATA,MATCH("MartialExpert",CLASSFEATUREHEADERS,0),MATCH($A793,CLASSNAMEHEADERS,0))),(INDEX(ALLCLASSDATA,MATCH("MartialExpert",CLASSFEATUREHEADERS,0),MATCH(($A793 &amp; "Points"),CLASSNAMEHEADERS,0))),(IF("00"=(INDEX(ALLCLASSDATA,MATCH("MartialTrained",CLASSFEATUREHEADERS,0),MATCH($A793,CLASSNAMEHEADERS,0))),(INDEX(ALLCLASSDATA,MATCH("MartialTrained",CLASSFEATUREHEADERS,0),MATCH(($A793 &amp; "Points"),CLASSNAMEHEADERS,0))),"")))))))))}</f>
        <v>MARTIALINITIALPTS</v>
      </c>
      <c r="G792" s="223" t="str">
        <f t="array" ref="G792:G793">{"MARTIALL01";((IF("01"=(INDEX(ALLCLASSDATA,MATCH("MartialLegendary",CLASSFEATUREHEADERS,0),MATCH($A793,CLASSNAMEHEADERS,0))),(INDEX(ALLCLASSDATA,MATCH("MartialLegendary",CLASSFEATUREHEADERS,0),MATCH(($A793 &amp; "Points"),CLASSNAMEHEADERS,0))),(IF("01"=(INDEX(ALLCLASSDATA,MATCH("MartialMaster",CLASSFEATUREHEADERS,0),MATCH($A793,CLASSNAMEHEADERS,0))),(INDEX(ALLCLASSDATA,MATCH("MartialMaster",CLASSFEATUREHEADERS,0),MATCH(($A793 &amp; "Points"),CLASSNAMEHEADERS,0))),(IF("01"=(INDEX(ALLCLASSDATA,MATCH("MartialExpert",CLASSFEATUREHEADERS,0),MATCH($A793,CLASSNAMEHEADERS,0))),(INDEX(ALLCLASSDATA,MATCH("MartialExpert",CLASSFEATUREHEADERS,0),MATCH(($A793 &amp; "Points"),CLASSNAMEHEADERS,0))),(IF("01"=(INDEX(ALLCLASSDATA,MATCH("MartialTrained",CLASSFEATUREHEADERS,0),MATCH($A793,CLASSNAMEHEADERS,0))),(INDEX(ALLCLASSDATA,MATCH("MartialTrained",CLASSFEATUREHEADERS,0),MATCH(($A793 &amp; "Points"),CLASSNAMEHEADERS,0))),"")))))))))}</f>
        <v>MARTIALL01</v>
      </c>
      <c r="H792" s="223"/>
      <c r="I792" s="223" t="str">
        <f t="array" ref="I792:I793">{"MARTIALL03";((IF("03"=(INDEX(ALLCLASSDATA,MATCH("MartialLegendary",CLASSFEATUREHEADERS,0),MATCH($A793,CLASSNAMEHEADERS,0))),(INDEX(ALLCLASSDATA,MATCH("MartialLegendary",CLASSFEATUREHEADERS,0),MATCH(($A793 &amp; "Points"),CLASSNAMEHEADERS,0))),(IF("03"=(INDEX(ALLCLASSDATA,MATCH("MartialMaster",CLASSFEATUREHEADERS,0),MATCH($A793,CLASSNAMEHEADERS,0))),(INDEX(ALLCLASSDATA,MATCH("MartialMaster",CLASSFEATUREHEADERS,0),MATCH(($A793 &amp; "Points"),CLASSNAMEHEADERS,0))),(IF("03"=(INDEX(ALLCLASSDATA,MATCH("MartialExpert",CLASSFEATUREHEADERS,0),MATCH($A793,CLASSNAMEHEADERS,0))),(INDEX(ALLCLASSDATA,MATCH("MartialExpert",CLASSFEATUREHEADERS,0),MATCH(($A793 &amp; "Points"),CLASSNAMEHEADERS,0))),(IF("03"=(INDEX(ALLCLASSDATA,MATCH("MartialTrained",CLASSFEATUREHEADERS,0),MATCH($A793,CLASSNAMEHEADERS,0))),(INDEX(ALLCLASSDATA,MATCH("MartialTrained",CLASSFEATUREHEADERS,0),MATCH(($A793 &amp; "Points"),CLASSNAMEHEADERS,0))),"")))))))))}</f>
        <v>MARTIALL03</v>
      </c>
      <c r="J792" s="223"/>
      <c r="K792" s="223" t="str">
        <f t="array" ref="K792:K793">{"MARTIALL05";((IF("05"=(INDEX(ALLCLASSDATA,MATCH("MartialLegendary",CLASSFEATUREHEADERS,0),MATCH($A793,CLASSNAMEHEADERS,0))),(INDEX(ALLCLASSDATA,MATCH("MartialLegendary",CLASSFEATUREHEADERS,0),MATCH(($A793 &amp; "Points"),CLASSNAMEHEADERS,0))),(IF("05"=(INDEX(ALLCLASSDATA,MATCH("MartialMaster",CLASSFEATUREHEADERS,0),MATCH($A793,CLASSNAMEHEADERS,0))),(INDEX(ALLCLASSDATA,MATCH("MartialMaster",CLASSFEATUREHEADERS,0),MATCH(($A793 &amp; "Points"),CLASSNAMEHEADERS,0))),(IF("05"=(INDEX(ALLCLASSDATA,MATCH("MartialExpert",CLASSFEATUREHEADERS,0),MATCH($A793,CLASSNAMEHEADERS,0))),(INDEX(ALLCLASSDATA,MATCH("MartialExpert",CLASSFEATUREHEADERS,0),MATCH(($A793 &amp; "Points"),CLASSNAMEHEADERS,0))),(IF("05"=(INDEX(ALLCLASSDATA,MATCH("MartialTrained",CLASSFEATUREHEADERS,0),MATCH($A793,CLASSNAMEHEADERS,0))),(INDEX(ALLCLASSDATA,MATCH("MartialTrained",CLASSFEATUREHEADERS,0),MATCH(($A793 &amp; "Points"),CLASSNAMEHEADERS,0))),"")))))))))}</f>
        <v>MARTIALL05</v>
      </c>
      <c r="L792" s="223"/>
      <c r="M792" s="223" t="str">
        <f t="array" ref="M792:M793">{"MARTIALL07";((IF("07"=(INDEX(ALLCLASSDATA,MATCH("MartialLegendary",CLASSFEATUREHEADERS,0),MATCH($A793,CLASSNAMEHEADERS,0))),(INDEX(ALLCLASSDATA,MATCH("MartialLegendary",CLASSFEATUREHEADERS,0),MATCH(($A793 &amp; "Points"),CLASSNAMEHEADERS,0))),(IF("07"=(INDEX(ALLCLASSDATA,MATCH("MartialMaster",CLASSFEATUREHEADERS,0),MATCH($A793,CLASSNAMEHEADERS,0))),(INDEX(ALLCLASSDATA,MATCH("MartialMaster",CLASSFEATUREHEADERS,0),MATCH(($A793 &amp; "Points"),CLASSNAMEHEADERS,0))),(IF("07"=(INDEX(ALLCLASSDATA,MATCH("MartialExpert",CLASSFEATUREHEADERS,0),MATCH($A793,CLASSNAMEHEADERS,0))),(INDEX(ALLCLASSDATA,MATCH("MartialExpert",CLASSFEATUREHEADERS,0),MATCH(($A793 &amp; "Points"),CLASSNAMEHEADERS,0))),(IF("07"=(INDEX(ALLCLASSDATA,MATCH("MartialTrained",CLASSFEATUREHEADERS,0),MATCH($A793,CLASSNAMEHEADERS,0))),(INDEX(ALLCLASSDATA,MATCH("MartialTrained",CLASSFEATUREHEADERS,0),MATCH(($A793 &amp; "Points"),CLASSNAMEHEADERS,0))),"")))))))))}</f>
        <v>MARTIALL07</v>
      </c>
      <c r="N792" s="223"/>
      <c r="O792" s="223" t="str">
        <f t="array" ref="O792:O793">{"MARTIALL09";((IF("09"=(INDEX(ALLCLASSDATA,MATCH("MartialLegendary",CLASSFEATUREHEADERS,0),MATCH($A793,CLASSNAMEHEADERS,0))),(INDEX(ALLCLASSDATA,MATCH("MartialLegendary",CLASSFEATUREHEADERS,0),MATCH(($A793 &amp; "Points"),CLASSNAMEHEADERS,0))),(IF("09"=(INDEX(ALLCLASSDATA,MATCH("MartialMaster",CLASSFEATUREHEADERS,0),MATCH($A793,CLASSNAMEHEADERS,0))),(INDEX(ALLCLASSDATA,MATCH("MartialMaster",CLASSFEATUREHEADERS,0),MATCH(($A793 &amp; "Points"),CLASSNAMEHEADERS,0))),(IF("09"=(INDEX(ALLCLASSDATA,MATCH("MartialExpert",CLASSFEATUREHEADERS,0),MATCH($A793,CLASSNAMEHEADERS,0))),(INDEX(ALLCLASSDATA,MATCH("MartialExpert",CLASSFEATUREHEADERS,0),MATCH(($A793 &amp; "Points"),CLASSNAMEHEADERS,0))),(IF("09"=(INDEX(ALLCLASSDATA,MATCH("MartialTrained",CLASSFEATUREHEADERS,0),MATCH($A793,CLASSNAMEHEADERS,0))),(INDEX(ALLCLASSDATA,MATCH("MartialTrained",CLASSFEATUREHEADERS,0),MATCH(($A793 &amp; "Points"),CLASSNAMEHEADERS,0))),"")))))))))}</f>
        <v>MARTIALL09</v>
      </c>
      <c r="P792" s="223"/>
      <c r="Q792" s="223" t="str">
        <f t="array" ref="Q792:Q793">{"MARTIALL11";((IF("11"=(INDEX(ALLCLASSDATA,MATCH("MartialLegendary",CLASSFEATUREHEADERS,0),MATCH($A793,CLASSNAMEHEADERS,0))),(INDEX(ALLCLASSDATA,MATCH("MartialLegendary",CLASSFEATUREHEADERS,0),MATCH(($A793 &amp; "Points"),CLASSNAMEHEADERS,0))),(IF("11"=(INDEX(ALLCLASSDATA,MATCH("MartialMaster",CLASSFEATUREHEADERS,0),MATCH($A793,CLASSNAMEHEADERS,0))),(INDEX(ALLCLASSDATA,MATCH("MartialMaster",CLASSFEATUREHEADERS,0),MATCH(($A793 &amp; "Points"),CLASSNAMEHEADERS,0))),(IF("11"=(INDEX(ALLCLASSDATA,MATCH("MartialExpert",CLASSFEATUREHEADERS,0),MATCH($A793,CLASSNAMEHEADERS,0))),(INDEX(ALLCLASSDATA,MATCH("MartialExpert",CLASSFEATUREHEADERS,0),MATCH(($A793 &amp; "Points"),CLASSNAMEHEADERS,0))),(IF("11"=(INDEX(ALLCLASSDATA,MATCH("MartialTrained",CLASSFEATUREHEADERS,0),MATCH($A793,CLASSNAMEHEADERS,0))),(INDEX(ALLCLASSDATA,MATCH("MartialTrained",CLASSFEATUREHEADERS,0),MATCH(($A793 &amp; "Points"),CLASSNAMEHEADERS,0))),"")))))))))}</f>
        <v>MARTIALL11</v>
      </c>
      <c r="R792" s="223"/>
      <c r="S792" s="223" t="str">
        <f t="array" ref="S792:S793">{"MARTIALL13";((IF("13"=(INDEX(ALLCLASSDATA,MATCH("MartialLegendary",CLASSFEATUREHEADERS,0),MATCH($A793,CLASSNAMEHEADERS,0))),(INDEX(ALLCLASSDATA,MATCH("MartialLegendary",CLASSFEATUREHEADERS,0),MATCH(($A793 &amp; "Points"),CLASSNAMEHEADERS,0))),(IF("13"=(INDEX(ALLCLASSDATA,MATCH("MartialMaster",CLASSFEATUREHEADERS,0),MATCH($A793,CLASSNAMEHEADERS,0))),(INDEX(ALLCLASSDATA,MATCH("MartialMaster",CLASSFEATUREHEADERS,0),MATCH(($A793 &amp; "Points"),CLASSNAMEHEADERS,0))),(IF("13"=(INDEX(ALLCLASSDATA,MATCH("MartialExpert",CLASSFEATUREHEADERS,0),MATCH($A793,CLASSNAMEHEADERS,0))),(INDEX(ALLCLASSDATA,MATCH("MartialExpert",CLASSFEATUREHEADERS,0),MATCH(($A793 &amp; "Points"),CLASSNAMEHEADERS,0))),(IF("13"=(INDEX(ALLCLASSDATA,MATCH("MartialTrained",CLASSFEATUREHEADERS,0),MATCH($A793,CLASSNAMEHEADERS,0))),(INDEX(ALLCLASSDATA,MATCH("MartialTrained",CLASSFEATUREHEADERS,0),MATCH(($A793 &amp; "Points"),CLASSNAMEHEADERS,0))),"")))))))))}</f>
        <v>MARTIALL13</v>
      </c>
      <c r="T792" s="223"/>
      <c r="U792" s="223" t="str">
        <f t="array" ref="U792:U793">{"MARTIALL15";((IF("15"=(INDEX(ALLCLASSDATA,MATCH("MartialLegendary",CLASSFEATUREHEADERS,0),MATCH($A793,CLASSNAMEHEADERS,0))),(INDEX(ALLCLASSDATA,MATCH("MartialLegendary",CLASSFEATUREHEADERS,0),MATCH(($A793 &amp; "Points"),CLASSNAMEHEADERS,0))),(IF("15"=(INDEX(ALLCLASSDATA,MATCH("MartialMaster",CLASSFEATUREHEADERS,0),MATCH($A793,CLASSNAMEHEADERS,0))),(INDEX(ALLCLASSDATA,MATCH("MartialMaster",CLASSFEATUREHEADERS,0),MATCH(($A793 &amp; "Points"),CLASSNAMEHEADERS,0))),(IF("15"=(INDEX(ALLCLASSDATA,MATCH("MartialExpert",CLASSFEATUREHEADERS,0),MATCH($A793,CLASSNAMEHEADERS,0))),(INDEX(ALLCLASSDATA,MATCH("MartialExpert",CLASSFEATUREHEADERS,0),MATCH(($A793 &amp; "Points"),CLASSNAMEHEADERS,0))),(IF("15"=(INDEX(ALLCLASSDATA,MATCH("MartialTrained",CLASSFEATUREHEADERS,0),MATCH($A793,CLASSNAMEHEADERS,0))),(INDEX(ALLCLASSDATA,MATCH("MartialTrained",CLASSFEATUREHEADERS,0),MATCH(($A793 &amp; "Points"),CLASSNAMEHEADERS,0))),"")))))))))}</f>
        <v>MARTIALL15</v>
      </c>
      <c r="V792" s="223"/>
      <c r="W792" s="223" t="str">
        <f t="array" ref="W792:W793">{"MARTIALL17";((IF("17"=(INDEX(ALLCLASSDATA,MATCH("MartialLegendary",CLASSFEATUREHEADERS,0),MATCH($A793,CLASSNAMEHEADERS,0))),(INDEX(ALLCLASSDATA,MATCH("MartialLegendary",CLASSFEATUREHEADERS,0),MATCH(($A793 &amp; "Points"),CLASSNAMEHEADERS,0))),(IF("17"=(INDEX(ALLCLASSDATA,MATCH("MartialMaster",CLASSFEATUREHEADERS,0),MATCH($A793,CLASSNAMEHEADERS,0))),(INDEX(ALLCLASSDATA,MATCH("MartialMaster",CLASSFEATUREHEADERS,0),MATCH(($A793 &amp; "Points"),CLASSNAMEHEADERS,0))),(IF("17"=(INDEX(ALLCLASSDATA,MATCH("MartialExpert",CLASSFEATUREHEADERS,0),MATCH($A793,CLASSNAMEHEADERS,0))),(INDEX(ALLCLASSDATA,MATCH("MartialExpert",CLASSFEATUREHEADERS,0),MATCH(($A793 &amp; "Points"),CLASSNAMEHEADERS,0))),(IF("17"=(INDEX(ALLCLASSDATA,MATCH("MartialTrained",CLASSFEATUREHEADERS,0),MATCH($A793,CLASSNAMEHEADERS,0))),(INDEX(ALLCLASSDATA,MATCH("MartialTrained",CLASSFEATUREHEADERS,0),MATCH(($A793 &amp; "Points"),CLASSNAMEHEADERS,0))),"")))))))))}</f>
        <v>MARTIALL17</v>
      </c>
      <c r="X792" s="223"/>
      <c r="Y792" s="223" t="str">
        <f t="array" ref="Y792:Y793">{"MARTIALL19";((IF("19"=(INDEX(ALLCLASSDATA,MATCH("MartialLegendary",CLASSFEATUREHEADERS,0),MATCH($A793,CLASSNAMEHEADERS,0))),(INDEX(ALLCLASSDATA,MATCH("MartialLegendary",CLASSFEATUREHEADERS,0),MATCH(($A793 &amp; "Points"),CLASSNAMEHEADERS,0))),(IF("19"=(INDEX(ALLCLASSDATA,MATCH("MartialMaster",CLASSFEATUREHEADERS,0),MATCH($A793,CLASSNAMEHEADERS,0))),(INDEX(ALLCLASSDATA,MATCH("MartialMaster",CLASSFEATUREHEADERS,0),MATCH(($A793 &amp; "Points"),CLASSNAMEHEADERS,0))),(IF("19"=(INDEX(ALLCLASSDATA,MATCH("MartialExpert",CLASSFEATUREHEADERS,0),MATCH($A793,CLASSNAMEHEADERS,0))),(INDEX(ALLCLASSDATA,MATCH("MartialExpert",CLASSFEATUREHEADERS,0),MATCH(($A793 &amp; "Points"),CLASSNAMEHEADERS,0))),(IF("19"=(INDEX(ALLCLASSDATA,MATCH("MartialTrained",CLASSFEATUREHEADERS,0),MATCH($A793,CLASSNAMEHEADERS,0))),(INDEX(ALLCLASSDATA,MATCH("MartialTrained",CLASSFEATUREHEADERS,0),MATCH(($A793 &amp; "Points"),CLASSNAMEHEADERS,0))),"")))))))))}</f>
        <v>MARTIALL19</v>
      </c>
      <c r="Z792" s="223"/>
      <c r="AA792" s="76" t="str">
        <f t="array" ref="AA792:AA793">{"MARTIAL TOTAL";(IF(COUNTBLANK(F793:Z793)=17,"L",(IF(COUNTBLANK(F793:Z793)=18,"M",(IF(COUNTBLANK(F793:Z793)=19,"E",(IF(COUNTBLANK(F793:Z793)=20,"T",""))))))))}</f>
        <v>MARTIAL TOTAL</v>
      </c>
      <c r="AB792" s="76" t="str">
        <f t="array" ref="AB792:AB793">{"MARTIAL TOTAL";(sum(F793:Z793))}</f>
        <v>MARTIAL TOTAL</v>
      </c>
    </row>
    <row r="793">
      <c r="A793" s="48" t="s">
        <v>233</v>
      </c>
      <c r="B793" s="48" t="s">
        <v>418</v>
      </c>
      <c r="C793" s="48" t="s">
        <v>1634</v>
      </c>
      <c r="D793" s="48" t="s">
        <v>6</v>
      </c>
      <c r="E793" s="5" t="s">
        <v>603</v>
      </c>
      <c r="F793" s="47" t="s">
        <v>603</v>
      </c>
      <c r="G793" s="5" t="s">
        <v>603</v>
      </c>
      <c r="H793" s="5"/>
      <c r="I793" s="5" t="s">
        <v>603</v>
      </c>
      <c r="J793" s="5"/>
      <c r="K793" s="5" t="s">
        <v>603</v>
      </c>
      <c r="L793" s="5"/>
      <c r="M793" s="5" t="s">
        <v>603</v>
      </c>
      <c r="N793" s="5"/>
      <c r="O793" s="5" t="s">
        <v>603</v>
      </c>
      <c r="P793" s="48"/>
      <c r="Q793" s="5" t="s">
        <v>603</v>
      </c>
      <c r="R793" s="5"/>
      <c r="S793" s="5" t="s">
        <v>603</v>
      </c>
      <c r="T793" s="5"/>
      <c r="U793" s="5" t="s">
        <v>603</v>
      </c>
      <c r="V793" s="5"/>
      <c r="W793" s="5" t="s">
        <v>603</v>
      </c>
      <c r="X793" s="5"/>
      <c r="Y793" s="5" t="s">
        <v>603</v>
      </c>
      <c r="Z793" s="5"/>
      <c r="AA793" s="5" t="s">
        <v>603</v>
      </c>
      <c r="AB793" s="47">
        <v>0.0</v>
      </c>
    </row>
    <row r="794" hidden="1">
      <c r="A794" s="222" t="str">
        <f t="array" ref="A794:A795">{"FormulaRow32";(INDEX(CLASSLIST,A731,1))}</f>
        <v>FormulaRow32</v>
      </c>
      <c r="B794" s="222" t="str">
        <f t="array" ref="B794:B795">{"CLASSTYPE";((INDEX(ALLCLASSDATA,MATCH("ClassType",CLASSFEATUREHEADERS,0),MATCH($A795,CLASSNAMEHEADERS,0))))}</f>
        <v>CLASSTYPE</v>
      </c>
      <c r="C794" s="222" t="str">
        <f t="array" ref="C794:C795">{"ATTACK";"Attack"}</f>
        <v>ATTACK</v>
      </c>
      <c r="D794" s="222" t="str">
        <f t="array" ref="D794:D795">{"ADVANCEDGROUP";"AdvancedGroup"}</f>
        <v>ADVANCEDGROUP</v>
      </c>
      <c r="E794" s="223" t="str">
        <f t="array" ref="E794:E795">{"ADVANCEDGROUPINITIAL";((IF(G795=10,"T",(IF(G795=50,"E","")))))}</f>
        <v>ADVANCEDGROUPINITIAL</v>
      </c>
      <c r="F794" s="223" t="str">
        <f t="array" ref="F794:F795">{"ADVANCEDGROUPINITIALPTS";((IF("00"=(INDEX(ALLCLASSDATA,MATCH("AdvancedGroupLegendary",CLASSFEATUREHEADERS,0),MATCH($A795,CLASSNAMEHEADERS,0))),(INDEX(ALLCLASSDATA,MATCH("AdvancedGroupLegendary",CLASSFEATUREHEADERS,0),MATCH(($A795 &amp; "Points"),CLASSNAMEHEADERS,0))),(IF("00"=(INDEX(ALLCLASSDATA,MATCH("AdvancedGroupMaster",CLASSFEATUREHEADERS,0),MATCH($A795,CLASSNAMEHEADERS,0))),(INDEX(ALLCLASSDATA,MATCH("AdvancedGroupMaster",CLASSFEATUREHEADERS,0),MATCH(($A795 &amp; "Points"),CLASSNAMEHEADERS,0))),(IF("00"=(INDEX(ALLCLASSDATA,MATCH("AdvancedGroupExpert",CLASSFEATUREHEADERS,0),MATCH($A795,CLASSNAMEHEADERS,0))),(INDEX(ALLCLASSDATA,MATCH("AdvancedGroupExpert",CLASSFEATUREHEADERS,0),MATCH(($A795 &amp; "Points"),CLASSNAMEHEADERS,0))),(IF("00"=(INDEX(ALLCLASSDATA,MATCH("AdvancedGroupTrained",CLASSFEATUREHEADERS,0),MATCH($A795,CLASSNAMEHEADERS,0))),(INDEX(ALLCLASSDATA,MATCH("AdvancedGroupTrained",CLASSFEATUREHEADERS,0),MATCH(($A795 &amp; "Points"),CLASSNAMEHEADERS,0))),"")))))))))}</f>
        <v>ADVANCEDGROUPINITIALPTS</v>
      </c>
      <c r="G794" s="223" t="str">
        <f t="array" ref="G794:G795">{"ADVANCEDGROUPL01";((IF("01"=(INDEX(ALLCLASSDATA,MATCH("AdvancedGroupLegendary",CLASSFEATUREHEADERS,0),MATCH($A795,CLASSNAMEHEADERS,0))),(INDEX(ALLCLASSDATA,MATCH("AdvancedGroupLegendary",CLASSFEATUREHEADERS,0),MATCH(($A795 &amp; "Points"),CLASSNAMEHEADERS,0))),(IF("01"=(INDEX(ALLCLASSDATA,MATCH("AdvancedGroupMaster",CLASSFEATUREHEADERS,0),MATCH($A795,CLASSNAMEHEADERS,0))),(INDEX(ALLCLASSDATA,MATCH("AdvancedGroupMaster",CLASSFEATUREHEADERS,0),MATCH(($A795 &amp; "Points"),CLASSNAMEHEADERS,0))),(IF("01"=(INDEX(ALLCLASSDATA,MATCH("AdvancedGroupExpert",CLASSFEATUREHEADERS,0),MATCH($A795,CLASSNAMEHEADERS,0))),(INDEX(ALLCLASSDATA,MATCH("AdvancedGroupExpert",CLASSFEATUREHEADERS,0),MATCH(($A795 &amp; "Points"),CLASSNAMEHEADERS,0))),(IF("01"=(INDEX(ALLCLASSDATA,MATCH("AdvancedGroupTrained",CLASSFEATUREHEADERS,0),MATCH($A795,CLASSNAMEHEADERS,0))),(INDEX(ALLCLASSDATA,MATCH("AdvancedGroupTrained",CLASSFEATUREHEADERS,0),MATCH(($A795 &amp; "Points"),CLASSNAMEHEADERS,0))),"")))))))))}</f>
        <v>ADVANCEDGROUPL01</v>
      </c>
      <c r="H794" s="223"/>
      <c r="I794" s="223" t="str">
        <f t="array" ref="I794:I795">{"ADVANCEDGROUPL03";((IF("03"=(INDEX(ALLCLASSDATA,MATCH("AdvancedGroupLegendary",CLASSFEATUREHEADERS,0),MATCH($A795,CLASSNAMEHEADERS,0))),(INDEX(ALLCLASSDATA,MATCH("AdvancedGroupLegendary",CLASSFEATUREHEADERS,0),MATCH(($A795 &amp; "Points"),CLASSNAMEHEADERS,0))),(IF("03"=(INDEX(ALLCLASSDATA,MATCH("AdvancedGroupMaster",CLASSFEATUREHEADERS,0),MATCH($A795,CLASSNAMEHEADERS,0))),(INDEX(ALLCLASSDATA,MATCH("AdvancedGroupMaster",CLASSFEATUREHEADERS,0),MATCH(($A795 &amp; "Points"),CLASSNAMEHEADERS,0))),(IF("03"=(INDEX(ALLCLASSDATA,MATCH("AdvancedGroupExpert",CLASSFEATUREHEADERS,0),MATCH($A795,CLASSNAMEHEADERS,0))),(INDEX(ALLCLASSDATA,MATCH("AdvancedGroupExpert",CLASSFEATUREHEADERS,0),MATCH(($A795 &amp; "Points"),CLASSNAMEHEADERS,0))),(IF("03"=(INDEX(ALLCLASSDATA,MATCH("AdvancedGroupTrained",CLASSFEATUREHEADERS,0),MATCH($A795,CLASSNAMEHEADERS,0))),(INDEX(ALLCLASSDATA,MATCH("AdvancedGroupTrained",CLASSFEATUREHEADERS,0),MATCH(($A795 &amp; "Points"),CLASSNAMEHEADERS,0))),"")))))))))}</f>
        <v>ADVANCEDGROUPL03</v>
      </c>
      <c r="J794" s="223"/>
      <c r="K794" s="223" t="str">
        <f t="array" ref="K794:K795">{"ADVANCEDGROUPL05";((IF("05"=(INDEX(ALLCLASSDATA,MATCH("AdvancedGroupLegendary",CLASSFEATUREHEADERS,0),MATCH($A795,CLASSNAMEHEADERS,0))),(INDEX(ALLCLASSDATA,MATCH("AdvancedGroupLegendary",CLASSFEATUREHEADERS,0),MATCH(($A795 &amp; "Points"),CLASSNAMEHEADERS,0))),(IF("05"=(INDEX(ALLCLASSDATA,MATCH("AdvancedGroupMaster",CLASSFEATUREHEADERS,0),MATCH($A795,CLASSNAMEHEADERS,0))),(INDEX(ALLCLASSDATA,MATCH("AdvancedGroupMaster",CLASSFEATUREHEADERS,0),MATCH(($A795 &amp; "Points"),CLASSNAMEHEADERS,0))),(IF("05"=(INDEX(ALLCLASSDATA,MATCH("AdvancedGroupExpert",CLASSFEATUREHEADERS,0),MATCH($A795,CLASSNAMEHEADERS,0))),(INDEX(ALLCLASSDATA,MATCH("AdvancedGroupExpert",CLASSFEATUREHEADERS,0),MATCH(($A795 &amp; "Points"),CLASSNAMEHEADERS,0))),(IF("05"=(INDEX(ALLCLASSDATA,MATCH("AdvancedGroupTrained",CLASSFEATUREHEADERS,0),MATCH($A795,CLASSNAMEHEADERS,0))),(INDEX(ALLCLASSDATA,MATCH("AdvancedGroupTrained",CLASSFEATUREHEADERS,0),MATCH(($A795 &amp; "Points"),CLASSNAMEHEADERS,0))),"")))))))))}</f>
        <v>ADVANCEDGROUPL05</v>
      </c>
      <c r="L794" s="223"/>
      <c r="M794" s="223" t="str">
        <f t="array" ref="M794:M795">{"ADVANCEDGROUPL07";((IF("07"=(INDEX(ALLCLASSDATA,MATCH("AdvancedGroupLegendary",CLASSFEATUREHEADERS,0),MATCH($A795,CLASSNAMEHEADERS,0))),(INDEX(ALLCLASSDATA,MATCH("AdvancedGroupLegendary",CLASSFEATUREHEADERS,0),MATCH(($A795 &amp; "Points"),CLASSNAMEHEADERS,0))),(IF("07"=(INDEX(ALLCLASSDATA,MATCH("AdvancedGroupMaster",CLASSFEATUREHEADERS,0),MATCH($A795,CLASSNAMEHEADERS,0))),(INDEX(ALLCLASSDATA,MATCH("AdvancedGroupMaster",CLASSFEATUREHEADERS,0),MATCH(($A795 &amp; "Points"),CLASSNAMEHEADERS,0))),(IF("07"=(INDEX(ALLCLASSDATA,MATCH("AdvancedGroupExpert",CLASSFEATUREHEADERS,0),MATCH($A795,CLASSNAMEHEADERS,0))),(INDEX(ALLCLASSDATA,MATCH("AdvancedGroupExpert",CLASSFEATUREHEADERS,0),MATCH(($A795 &amp; "Points"),CLASSNAMEHEADERS,0))),(IF("07"=(INDEX(ALLCLASSDATA,MATCH("AdvancedGroupTrained",CLASSFEATUREHEADERS,0),MATCH($A795,CLASSNAMEHEADERS,0))),(INDEX(ALLCLASSDATA,MATCH("AdvancedGroupTrained",CLASSFEATUREHEADERS,0),MATCH(($A795 &amp; "Points"),CLASSNAMEHEADERS,0))),"")))))))))}</f>
        <v>ADVANCEDGROUPL07</v>
      </c>
      <c r="N794" s="223"/>
      <c r="O794" s="223" t="str">
        <f t="array" ref="O794:O795">{"ADVANCEDGROUPL09";((IF("09"=(INDEX(ALLCLASSDATA,MATCH("AdvancedGroupLegendary",CLASSFEATUREHEADERS,0),MATCH($A795,CLASSNAMEHEADERS,0))),(INDEX(ALLCLASSDATA,MATCH("AdvancedGroupLegendary",CLASSFEATUREHEADERS,0),MATCH(($A795 &amp; "Points"),CLASSNAMEHEADERS,0))),(IF("09"=(INDEX(ALLCLASSDATA,MATCH("AdvancedGroupMaster",CLASSFEATUREHEADERS,0),MATCH($A795,CLASSNAMEHEADERS,0))),(INDEX(ALLCLASSDATA,MATCH("AdvancedGroupMaster",CLASSFEATUREHEADERS,0),MATCH(($A795 &amp; "Points"),CLASSNAMEHEADERS,0))),(IF("09"=(INDEX(ALLCLASSDATA,MATCH("AdvancedGroupExpert",CLASSFEATUREHEADERS,0),MATCH($A795,CLASSNAMEHEADERS,0))),(INDEX(ALLCLASSDATA,MATCH("AdvancedGroupExpert",CLASSFEATUREHEADERS,0),MATCH(($A795 &amp; "Points"),CLASSNAMEHEADERS,0))),(IF("09"=(INDEX(ALLCLASSDATA,MATCH("AdvancedGroupTrained",CLASSFEATUREHEADERS,0),MATCH($A795,CLASSNAMEHEADERS,0))),(INDEX(ALLCLASSDATA,MATCH("AdvancedGroupTrained",CLASSFEATUREHEADERS,0),MATCH(($A795 &amp; "Points"),CLASSNAMEHEADERS,0))),"")))))))))}</f>
        <v>ADVANCEDGROUPL09</v>
      </c>
      <c r="P794" s="223"/>
      <c r="Q794" s="223" t="str">
        <f t="array" ref="Q794:Q795">{"ADVANCEDGROUPL11";((IF("11"=(INDEX(ALLCLASSDATA,MATCH("AdvancedGroupLegendary",CLASSFEATUREHEADERS,0),MATCH($A795,CLASSNAMEHEADERS,0))),(INDEX(ALLCLASSDATA,MATCH("AdvancedGroupLegendary",CLASSFEATUREHEADERS,0),MATCH(($A795 &amp; "Points"),CLASSNAMEHEADERS,0))),(IF("11"=(INDEX(ALLCLASSDATA,MATCH("AdvancedGroupMaster",CLASSFEATUREHEADERS,0),MATCH($A795,CLASSNAMEHEADERS,0))),(INDEX(ALLCLASSDATA,MATCH("AdvancedGroupMaster",CLASSFEATUREHEADERS,0),MATCH(($A795 &amp; "Points"),CLASSNAMEHEADERS,0))),(IF("11"=(INDEX(ALLCLASSDATA,MATCH("AdvancedGroupExpert",CLASSFEATUREHEADERS,0),MATCH($A795,CLASSNAMEHEADERS,0))),(INDEX(ALLCLASSDATA,MATCH("AdvancedGroupExpert",CLASSFEATUREHEADERS,0),MATCH(($A795 &amp; "Points"),CLASSNAMEHEADERS,0))),(IF("11"=(INDEX(ALLCLASSDATA,MATCH("AdvancedGroupTrained",CLASSFEATUREHEADERS,0),MATCH($A795,CLASSNAMEHEADERS,0))),(INDEX(ALLCLASSDATA,MATCH("AdvancedGroupTrained",CLASSFEATUREHEADERS,0),MATCH(($A795 &amp; "Points"),CLASSNAMEHEADERS,0))),"")))))))))}</f>
        <v>ADVANCEDGROUPL11</v>
      </c>
      <c r="R794" s="223"/>
      <c r="S794" s="223" t="str">
        <f t="array" ref="S794:S795">{"ADVANCEDGROUPL13";((IF("13"=(INDEX(ALLCLASSDATA,MATCH("AdvancedGroupLegendary",CLASSFEATUREHEADERS,0),MATCH($A795,CLASSNAMEHEADERS,0))),(INDEX(ALLCLASSDATA,MATCH("AdvancedGroupLegendary",CLASSFEATUREHEADERS,0),MATCH(($A795 &amp; "Points"),CLASSNAMEHEADERS,0))),(IF("13"=(INDEX(ALLCLASSDATA,MATCH("AdvancedGroupMaster",CLASSFEATUREHEADERS,0),MATCH($A795,CLASSNAMEHEADERS,0))),(INDEX(ALLCLASSDATA,MATCH("AdvancedGroupMaster",CLASSFEATUREHEADERS,0),MATCH(($A795 &amp; "Points"),CLASSNAMEHEADERS,0))),(IF("13"=(INDEX(ALLCLASSDATA,MATCH("AdvancedGroupExpert",CLASSFEATUREHEADERS,0),MATCH($A795,CLASSNAMEHEADERS,0))),(INDEX(ALLCLASSDATA,MATCH("AdvancedGroupExpert",CLASSFEATUREHEADERS,0),MATCH(($A795 &amp; "Points"),CLASSNAMEHEADERS,0))),(IF("13"=(INDEX(ALLCLASSDATA,MATCH("AdvancedGroupTrained",CLASSFEATUREHEADERS,0),MATCH($A795,CLASSNAMEHEADERS,0))),(INDEX(ALLCLASSDATA,MATCH("AdvancedGroupTrained",CLASSFEATUREHEADERS,0),MATCH(($A795 &amp; "Points"),CLASSNAMEHEADERS,0))),"")))))))))}</f>
        <v>ADVANCEDGROUPL13</v>
      </c>
      <c r="T794" s="223"/>
      <c r="U794" s="223" t="str">
        <f t="array" ref="U794:U795">{"ADVANCEDGROUPL15";((IF("15"=(INDEX(ALLCLASSDATA,MATCH("AdvancedGroupLegendary",CLASSFEATUREHEADERS,0),MATCH($A795,CLASSNAMEHEADERS,0))),(INDEX(ALLCLASSDATA,MATCH("AdvancedGroupLegendary",CLASSFEATUREHEADERS,0),MATCH(($A795 &amp; "Points"),CLASSNAMEHEADERS,0))),(IF("15"=(INDEX(ALLCLASSDATA,MATCH("AdvancedGroupMaster",CLASSFEATUREHEADERS,0),MATCH($A795,CLASSNAMEHEADERS,0))),(INDEX(ALLCLASSDATA,MATCH("AdvancedGroupMaster",CLASSFEATUREHEADERS,0),MATCH(($A795 &amp; "Points"),CLASSNAMEHEADERS,0))),(IF("15"=(INDEX(ALLCLASSDATA,MATCH("AdvancedGroupExpert",CLASSFEATUREHEADERS,0),MATCH($A795,CLASSNAMEHEADERS,0))),(INDEX(ALLCLASSDATA,MATCH("AdvancedGroupExpert",CLASSFEATUREHEADERS,0),MATCH(($A795 &amp; "Points"),CLASSNAMEHEADERS,0))),(IF("15"=(INDEX(ALLCLASSDATA,MATCH("AdvancedGroupTrained",CLASSFEATUREHEADERS,0),MATCH($A795,CLASSNAMEHEADERS,0))),(INDEX(ALLCLASSDATA,MATCH("AdvancedGroupTrained",CLASSFEATUREHEADERS,0),MATCH(($A795 &amp; "Points"),CLASSNAMEHEADERS,0))),"")))))))))}</f>
        <v>ADVANCEDGROUPL15</v>
      </c>
      <c r="V794" s="223"/>
      <c r="W794" s="223" t="str">
        <f t="array" ref="W794:W795">{"ADVANCEDGROUPL17";((IF("17"=(INDEX(ALLCLASSDATA,MATCH("AdvancedGroupLegendary",CLASSFEATUREHEADERS,0),MATCH($A795,CLASSNAMEHEADERS,0))),(INDEX(ALLCLASSDATA,MATCH("AdvancedGroupLegendary",CLASSFEATUREHEADERS,0),MATCH(($A795 &amp; "Points"),CLASSNAMEHEADERS,0))),(IF("17"=(INDEX(ALLCLASSDATA,MATCH("AdvancedGroupMaster",CLASSFEATUREHEADERS,0),MATCH($A795,CLASSNAMEHEADERS,0))),(INDEX(ALLCLASSDATA,MATCH("AdvancedGroupMaster",CLASSFEATUREHEADERS,0),MATCH(($A795 &amp; "Points"),CLASSNAMEHEADERS,0))),(IF("17"=(INDEX(ALLCLASSDATA,MATCH("AdvancedGroupExpert",CLASSFEATUREHEADERS,0),MATCH($A795,CLASSNAMEHEADERS,0))),(INDEX(ALLCLASSDATA,MATCH("AdvancedGroupExpert",CLASSFEATUREHEADERS,0),MATCH(($A795 &amp; "Points"),CLASSNAMEHEADERS,0))),(IF("17"=(INDEX(ALLCLASSDATA,MATCH("AdvancedGroupTrained",CLASSFEATUREHEADERS,0),MATCH($A795,CLASSNAMEHEADERS,0))),(INDEX(ALLCLASSDATA,MATCH("AdvancedGroupTrained",CLASSFEATUREHEADERS,0),MATCH(($A795 &amp; "Points"),CLASSNAMEHEADERS,0))),"")))))))))}</f>
        <v>ADVANCEDGROUPL17</v>
      </c>
      <c r="X794" s="223"/>
      <c r="Y794" s="223" t="str">
        <f t="array" ref="Y794:Y795">{"ADVANCEDGROUPL19";((IF("19"=(INDEX(ALLCLASSDATA,MATCH("AdvancedGroupLegendary",CLASSFEATUREHEADERS,0),MATCH($A795,CLASSNAMEHEADERS,0))),(INDEX(ALLCLASSDATA,MATCH("AdvancedGroupLegendary",CLASSFEATUREHEADERS,0),MATCH(($A795 &amp; "Points"),CLASSNAMEHEADERS,0))),(IF("19"=(INDEX(ALLCLASSDATA,MATCH("AdvancedGroupMaster",CLASSFEATUREHEADERS,0),MATCH($A795,CLASSNAMEHEADERS,0))),(INDEX(ALLCLASSDATA,MATCH("AdvancedGroupMaster",CLASSFEATUREHEADERS,0),MATCH(($A795 &amp; "Points"),CLASSNAMEHEADERS,0))),(IF("19"=(INDEX(ALLCLASSDATA,MATCH("AdvancedGroupExpert",CLASSFEATUREHEADERS,0),MATCH($A795,CLASSNAMEHEADERS,0))),(INDEX(ALLCLASSDATA,MATCH("AdvancedGroupExpert",CLASSFEATUREHEADERS,0),MATCH(($A795 &amp; "Points"),CLASSNAMEHEADERS,0))),(IF("19"=(INDEX(ALLCLASSDATA,MATCH("AdvancedGroupTrained",CLASSFEATUREHEADERS,0),MATCH($A795,CLASSNAMEHEADERS,0))),(INDEX(ALLCLASSDATA,MATCH("AdvancedGroupTrained",CLASSFEATUREHEADERS,0),MATCH(($A795 &amp; "Points"),CLASSNAMEHEADERS,0))),"")))))))))}</f>
        <v>ADVANCEDGROUPL19</v>
      </c>
      <c r="Z794" s="223"/>
      <c r="AA794" s="76" t="str">
        <f t="array" ref="AA794:AA795">{"ADVANCEDGROUP TOTAL";(IF(COUNTBLANK(F795:Z795)=17,"L",(IF(COUNTBLANK(F795:Z795)=18,"M",(IF(COUNTBLANK(F795:Z795)=19,"E",(IF(COUNTBLANK(F795:Z795)=20,"T",""))))))))}</f>
        <v>ADVANCEDGROUP TOTAL</v>
      </c>
      <c r="AB794" s="76" t="str">
        <f t="array" ref="AB794:AB795">{"ADVANCEDGROUP TOTAL";(sum(F795:Z795))}</f>
        <v>ADVANCEDGROUP TOTAL</v>
      </c>
    </row>
    <row r="795">
      <c r="A795" s="48" t="s">
        <v>233</v>
      </c>
      <c r="B795" s="48" t="s">
        <v>418</v>
      </c>
      <c r="C795" s="48" t="s">
        <v>1634</v>
      </c>
      <c r="D795" s="48" t="s">
        <v>601</v>
      </c>
      <c r="E795" s="5" t="s">
        <v>603</v>
      </c>
      <c r="F795" s="47" t="s">
        <v>603</v>
      </c>
      <c r="G795" s="5" t="s">
        <v>603</v>
      </c>
      <c r="H795" s="5"/>
      <c r="I795" s="5" t="s">
        <v>603</v>
      </c>
      <c r="J795" s="5"/>
      <c r="K795" s="5" t="s">
        <v>603</v>
      </c>
      <c r="L795" s="5"/>
      <c r="M795" s="5" t="s">
        <v>603</v>
      </c>
      <c r="N795" s="5"/>
      <c r="O795" s="5" t="s">
        <v>603</v>
      </c>
      <c r="P795" s="5"/>
      <c r="Q795" s="5" t="s">
        <v>603</v>
      </c>
      <c r="R795" s="5"/>
      <c r="S795" s="5" t="s">
        <v>603</v>
      </c>
      <c r="T795" s="5"/>
      <c r="U795" s="5" t="s">
        <v>603</v>
      </c>
      <c r="V795" s="5"/>
      <c r="W795" s="5" t="s">
        <v>603</v>
      </c>
      <c r="X795" s="5"/>
      <c r="Y795" s="5" t="s">
        <v>603</v>
      </c>
      <c r="Z795" s="5"/>
      <c r="AA795" s="5" t="s">
        <v>603</v>
      </c>
      <c r="AB795" s="47">
        <v>0.0</v>
      </c>
    </row>
    <row r="796" hidden="1">
      <c r="A796" s="222" t="str">
        <f t="array" ref="A796:A797">{"FormulaRow33";(INDEX(CLASSLIST,A731,1))}</f>
        <v>FormulaRow33</v>
      </c>
      <c r="B796" s="222" t="str">
        <f t="array" ref="B796:B797">{"CLASSTYPE";((INDEX(ALLCLASSDATA,MATCH("ClassType",CLASSFEATUREHEADERS,0),MATCH($A797,CLASSNAMEHEADERS,0))))}</f>
        <v>CLASSTYPE</v>
      </c>
      <c r="C796" s="222" t="str">
        <f t="array" ref="C796:C797">{"ATTACK";"Attack"}</f>
        <v>ATTACK</v>
      </c>
      <c r="D796" s="222" t="str">
        <f t="array" ref="D796:D797">{"ADVANCED";"Advanced"}</f>
        <v>ADVANCED</v>
      </c>
      <c r="E796" s="223" t="str">
        <f t="array" ref="E796:E797">{"ADVANCEDINITIAL";((IF(G797=10,"T",(IF(G797=50,"E","")))))}</f>
        <v>ADVANCEDINITIAL</v>
      </c>
      <c r="F796" s="223" t="str">
        <f t="array" ref="F796:F797">{"ADVANCEDINITIALPTS";((IF("00"=(INDEX(ALLCLASSDATA,MATCH("AdvancedLegendary",CLASSFEATUREHEADERS,0),MATCH($A797,CLASSNAMEHEADERS,0))),(INDEX(ALLCLASSDATA,MATCH("AdvancedLegendary",CLASSFEATUREHEADERS,0),MATCH(($A797 &amp; "Points"),CLASSNAMEHEADERS,0))),(IF("00"=(INDEX(ALLCLASSDATA,MATCH("AdvancedMaster",CLASSFEATUREHEADERS,0),MATCH($A797,CLASSNAMEHEADERS,0))),(INDEX(ALLCLASSDATA,MATCH("AdvancedMaster",CLASSFEATUREHEADERS,0),MATCH(($A797 &amp; "Points"),CLASSNAMEHEADERS,0))),(IF("00"=(INDEX(ALLCLASSDATA,MATCH("AdvancedExpert",CLASSFEATUREHEADERS,0),MATCH($A797,CLASSNAMEHEADERS,0))),(INDEX(ALLCLASSDATA,MATCH("AdvancedExpert",CLASSFEATUREHEADERS,0),MATCH(($A797 &amp; "Points"),CLASSNAMEHEADERS,0))),(IF("00"=(INDEX(ALLCLASSDATA,MATCH("AdvancedTrained",CLASSFEATUREHEADERS,0),MATCH($A797,CLASSNAMEHEADERS,0))),(INDEX(ALLCLASSDATA,MATCH("AdvancedTrained",CLASSFEATUREHEADERS,0),MATCH(($A797 &amp; "Points"),CLASSNAMEHEADERS,0))),"")))))))))}</f>
        <v>ADVANCEDINITIALPTS</v>
      </c>
      <c r="G796" s="223" t="str">
        <f t="array" ref="G796:G797">{"ADVANCEDL01";((IF("01"=(INDEX(ALLCLASSDATA,MATCH("AdvancedLegendary",CLASSFEATUREHEADERS,0),MATCH($A797,CLASSNAMEHEADERS,0))),(INDEX(ALLCLASSDATA,MATCH("AdvancedLegendary",CLASSFEATUREHEADERS,0),MATCH(($A797 &amp; "Points"),CLASSNAMEHEADERS,0))),(IF("01"=(INDEX(ALLCLASSDATA,MATCH("AdvancedMaster",CLASSFEATUREHEADERS,0),MATCH($A797,CLASSNAMEHEADERS,0))),(INDEX(ALLCLASSDATA,MATCH("AdvancedMaster",CLASSFEATUREHEADERS,0),MATCH(($A797 &amp; "Points"),CLASSNAMEHEADERS,0))),(IF("01"=(INDEX(ALLCLASSDATA,MATCH("AdvancedExpert",CLASSFEATUREHEADERS,0),MATCH($A797,CLASSNAMEHEADERS,0))),(INDEX(ALLCLASSDATA,MATCH("AdvancedExpert",CLASSFEATUREHEADERS,0),MATCH(($A797 &amp; "Points"),CLASSNAMEHEADERS,0))),(IF("01"=(INDEX(ALLCLASSDATA,MATCH("AdvancedTrained",CLASSFEATUREHEADERS,0),MATCH($A797,CLASSNAMEHEADERS,0))),(INDEX(ALLCLASSDATA,MATCH("AdvancedTrained",CLASSFEATUREHEADERS,0),MATCH(($A797 &amp; "Points"),CLASSNAMEHEADERS,0))),"")))))))))}</f>
        <v>ADVANCEDL01</v>
      </c>
      <c r="H796" s="223"/>
      <c r="I796" s="223" t="str">
        <f t="array" ref="I796:I797">{"ADVANCEDL03";((IF("03"=(INDEX(ALLCLASSDATA,MATCH("AdvancedLegendary",CLASSFEATUREHEADERS,0),MATCH($A797,CLASSNAMEHEADERS,0))),(INDEX(ALLCLASSDATA,MATCH("AdvancedLegendary",CLASSFEATUREHEADERS,0),MATCH(($A797 &amp; "Points"),CLASSNAMEHEADERS,0))),(IF("03"=(INDEX(ALLCLASSDATA,MATCH("AdvancedMaster",CLASSFEATUREHEADERS,0),MATCH($A797,CLASSNAMEHEADERS,0))),(INDEX(ALLCLASSDATA,MATCH("AdvancedMaster",CLASSFEATUREHEADERS,0),MATCH(($A797 &amp; "Points"),CLASSNAMEHEADERS,0))),(IF("03"=(INDEX(ALLCLASSDATA,MATCH("AdvancedExpert",CLASSFEATUREHEADERS,0),MATCH($A797,CLASSNAMEHEADERS,0))),(INDEX(ALLCLASSDATA,MATCH("AdvancedExpert",CLASSFEATUREHEADERS,0),MATCH(($A797 &amp; "Points"),CLASSNAMEHEADERS,0))),(IF("03"=(INDEX(ALLCLASSDATA,MATCH("AdvancedTrained",CLASSFEATUREHEADERS,0),MATCH($A797,CLASSNAMEHEADERS,0))),(INDEX(ALLCLASSDATA,MATCH("AdvancedTrained",CLASSFEATUREHEADERS,0),MATCH(($A797 &amp; "Points"),CLASSNAMEHEADERS,0))),"")))))))))}</f>
        <v>ADVANCEDL03</v>
      </c>
      <c r="J796" s="223"/>
      <c r="K796" s="223" t="str">
        <f t="array" ref="K796:K797">{"ADVANCEDL05";((IF("05"=(INDEX(ALLCLASSDATA,MATCH("AdvancedLegendary",CLASSFEATUREHEADERS,0),MATCH($A797,CLASSNAMEHEADERS,0))),(INDEX(ALLCLASSDATA,MATCH("AdvancedLegendary",CLASSFEATUREHEADERS,0),MATCH(($A797 &amp; "Points"),CLASSNAMEHEADERS,0))),(IF("05"=(INDEX(ALLCLASSDATA,MATCH("AdvancedMaster",CLASSFEATUREHEADERS,0),MATCH($A797,CLASSNAMEHEADERS,0))),(INDEX(ALLCLASSDATA,MATCH("AdvancedMaster",CLASSFEATUREHEADERS,0),MATCH(($A797 &amp; "Points"),CLASSNAMEHEADERS,0))),(IF("05"=(INDEX(ALLCLASSDATA,MATCH("AdvancedExpert",CLASSFEATUREHEADERS,0),MATCH($A797,CLASSNAMEHEADERS,0))),(INDEX(ALLCLASSDATA,MATCH("AdvancedExpert",CLASSFEATUREHEADERS,0),MATCH(($A797 &amp; "Points"),CLASSNAMEHEADERS,0))),(IF("05"=(INDEX(ALLCLASSDATA,MATCH("AdvancedTrained",CLASSFEATUREHEADERS,0),MATCH($A797,CLASSNAMEHEADERS,0))),(INDEX(ALLCLASSDATA,MATCH("AdvancedTrained",CLASSFEATUREHEADERS,0),MATCH(($A797 &amp; "Points"),CLASSNAMEHEADERS,0))),"")))))))))}</f>
        <v>ADVANCEDL05</v>
      </c>
      <c r="L796" s="223"/>
      <c r="M796" s="223" t="str">
        <f t="array" ref="M796:M797">{"ADVANCEDL07";((IF("07"=(INDEX(ALLCLASSDATA,MATCH("AdvancedLegendary",CLASSFEATUREHEADERS,0),MATCH($A797,CLASSNAMEHEADERS,0))),(INDEX(ALLCLASSDATA,MATCH("AdvancedLegendary",CLASSFEATUREHEADERS,0),MATCH(($A797 &amp; "Points"),CLASSNAMEHEADERS,0))),(IF("07"=(INDEX(ALLCLASSDATA,MATCH("AdvancedMaster",CLASSFEATUREHEADERS,0),MATCH($A797,CLASSNAMEHEADERS,0))),(INDEX(ALLCLASSDATA,MATCH("AdvancedMaster",CLASSFEATUREHEADERS,0),MATCH(($A797 &amp; "Points"),CLASSNAMEHEADERS,0))),(IF("07"=(INDEX(ALLCLASSDATA,MATCH("AdvancedExpert",CLASSFEATUREHEADERS,0),MATCH($A797,CLASSNAMEHEADERS,0))),(INDEX(ALLCLASSDATA,MATCH("AdvancedExpert",CLASSFEATUREHEADERS,0),MATCH(($A797 &amp; "Points"),CLASSNAMEHEADERS,0))),(IF("07"=(INDEX(ALLCLASSDATA,MATCH("AdvancedTrained",CLASSFEATUREHEADERS,0),MATCH($A797,CLASSNAMEHEADERS,0))),(INDEX(ALLCLASSDATA,MATCH("AdvancedTrained",CLASSFEATUREHEADERS,0),MATCH(($A797 &amp; "Points"),CLASSNAMEHEADERS,0))),"")))))))))}</f>
        <v>ADVANCEDL07</v>
      </c>
      <c r="N796" s="223"/>
      <c r="O796" s="223" t="str">
        <f t="array" ref="O796:O797">{"ADVANCEDL09";((IF("09"=(INDEX(ALLCLASSDATA,MATCH("AdvancedLegendary",CLASSFEATUREHEADERS,0),MATCH($A797,CLASSNAMEHEADERS,0))),(INDEX(ALLCLASSDATA,MATCH("AdvancedLegendary",CLASSFEATUREHEADERS,0),MATCH(($A797 &amp; "Points"),CLASSNAMEHEADERS,0))),(IF("09"=(INDEX(ALLCLASSDATA,MATCH("AdvancedMaster",CLASSFEATUREHEADERS,0),MATCH($A797,CLASSNAMEHEADERS,0))),(INDEX(ALLCLASSDATA,MATCH("AdvancedMaster",CLASSFEATUREHEADERS,0),MATCH(($A797 &amp; "Points"),CLASSNAMEHEADERS,0))),(IF("09"=(INDEX(ALLCLASSDATA,MATCH("AdvancedExpert",CLASSFEATUREHEADERS,0),MATCH($A797,CLASSNAMEHEADERS,0))),(INDEX(ALLCLASSDATA,MATCH("AdvancedExpert",CLASSFEATUREHEADERS,0),MATCH(($A797 &amp; "Points"),CLASSNAMEHEADERS,0))),(IF("09"=(INDEX(ALLCLASSDATA,MATCH("AdvancedTrained",CLASSFEATUREHEADERS,0),MATCH($A797,CLASSNAMEHEADERS,0))),(INDEX(ALLCLASSDATA,MATCH("AdvancedTrained",CLASSFEATUREHEADERS,0),MATCH(($A797 &amp; "Points"),CLASSNAMEHEADERS,0))),"")))))))))}</f>
        <v>ADVANCEDL09</v>
      </c>
      <c r="P796" s="223"/>
      <c r="Q796" s="223" t="str">
        <f t="array" ref="Q796:Q797">{"ADVANCEDL11";((IF("11"=(INDEX(ALLCLASSDATA,MATCH("AdvancedLegendary",CLASSFEATUREHEADERS,0),MATCH($A797,CLASSNAMEHEADERS,0))),(INDEX(ALLCLASSDATA,MATCH("AdvancedLegendary",CLASSFEATUREHEADERS,0),MATCH(($A797 &amp; "Points"),CLASSNAMEHEADERS,0))),(IF("11"=(INDEX(ALLCLASSDATA,MATCH("AdvancedMaster",CLASSFEATUREHEADERS,0),MATCH($A797,CLASSNAMEHEADERS,0))),(INDEX(ALLCLASSDATA,MATCH("AdvancedMaster",CLASSFEATUREHEADERS,0),MATCH(($A797 &amp; "Points"),CLASSNAMEHEADERS,0))),(IF("11"=(INDEX(ALLCLASSDATA,MATCH("AdvancedExpert",CLASSFEATUREHEADERS,0),MATCH($A797,CLASSNAMEHEADERS,0))),(INDEX(ALLCLASSDATA,MATCH("AdvancedExpert",CLASSFEATUREHEADERS,0),MATCH(($A797 &amp; "Points"),CLASSNAMEHEADERS,0))),(IF("11"=(INDEX(ALLCLASSDATA,MATCH("AdvancedTrained",CLASSFEATUREHEADERS,0),MATCH($A797,CLASSNAMEHEADERS,0))),(INDEX(ALLCLASSDATA,MATCH("AdvancedTrained",CLASSFEATUREHEADERS,0),MATCH(($A797 &amp; "Points"),CLASSNAMEHEADERS,0))),"")))))))))}</f>
        <v>ADVANCEDL11</v>
      </c>
      <c r="R796" s="223"/>
      <c r="S796" s="223" t="str">
        <f t="array" ref="S796:S797">{"ADVANCEDL13";((IF("13"=(INDEX(ALLCLASSDATA,MATCH("AdvancedLegendary",CLASSFEATUREHEADERS,0),MATCH($A797,CLASSNAMEHEADERS,0))),(INDEX(ALLCLASSDATA,MATCH("AdvancedLegendary",CLASSFEATUREHEADERS,0),MATCH(($A797 &amp; "Points"),CLASSNAMEHEADERS,0))),(IF("13"=(INDEX(ALLCLASSDATA,MATCH("AdvancedMaster",CLASSFEATUREHEADERS,0),MATCH($A797,CLASSNAMEHEADERS,0))),(INDEX(ALLCLASSDATA,MATCH("AdvancedMaster",CLASSFEATUREHEADERS,0),MATCH(($A797 &amp; "Points"),CLASSNAMEHEADERS,0))),(IF("13"=(INDEX(ALLCLASSDATA,MATCH("AdvancedExpert",CLASSFEATUREHEADERS,0),MATCH($A797,CLASSNAMEHEADERS,0))),(INDEX(ALLCLASSDATA,MATCH("AdvancedExpert",CLASSFEATUREHEADERS,0),MATCH(($A797 &amp; "Points"),CLASSNAMEHEADERS,0))),(IF("13"=(INDEX(ALLCLASSDATA,MATCH("AdvancedTrained",CLASSFEATUREHEADERS,0),MATCH($A797,CLASSNAMEHEADERS,0))),(INDEX(ALLCLASSDATA,MATCH("AdvancedTrained",CLASSFEATUREHEADERS,0),MATCH(($A797 &amp; "Points"),CLASSNAMEHEADERS,0))),"")))))))))}</f>
        <v>ADVANCEDL13</v>
      </c>
      <c r="T796" s="223"/>
      <c r="U796" s="223" t="str">
        <f t="array" ref="U796:U797">{"ADVANCEDL15";((IF("15"=(INDEX(ALLCLASSDATA,MATCH("AdvancedLegendary",CLASSFEATUREHEADERS,0),MATCH($A797,CLASSNAMEHEADERS,0))),(INDEX(ALLCLASSDATA,MATCH("AdvancedLegendary",CLASSFEATUREHEADERS,0),MATCH(($A797 &amp; "Points"),CLASSNAMEHEADERS,0))),(IF("15"=(INDEX(ALLCLASSDATA,MATCH("AdvancedMaster",CLASSFEATUREHEADERS,0),MATCH($A797,CLASSNAMEHEADERS,0))),(INDEX(ALLCLASSDATA,MATCH("AdvancedMaster",CLASSFEATUREHEADERS,0),MATCH(($A797 &amp; "Points"),CLASSNAMEHEADERS,0))),(IF("15"=(INDEX(ALLCLASSDATA,MATCH("AdvancedExpert",CLASSFEATUREHEADERS,0),MATCH($A797,CLASSNAMEHEADERS,0))),(INDEX(ALLCLASSDATA,MATCH("AdvancedExpert",CLASSFEATUREHEADERS,0),MATCH(($A797 &amp; "Points"),CLASSNAMEHEADERS,0))),(IF("15"=(INDEX(ALLCLASSDATA,MATCH("AdvancedTrained",CLASSFEATUREHEADERS,0),MATCH($A797,CLASSNAMEHEADERS,0))),(INDEX(ALLCLASSDATA,MATCH("AdvancedTrained",CLASSFEATUREHEADERS,0),MATCH(($A797 &amp; "Points"),CLASSNAMEHEADERS,0))),"")))))))))}</f>
        <v>ADVANCEDL15</v>
      </c>
      <c r="V796" s="223"/>
      <c r="W796" s="223" t="str">
        <f t="array" ref="W796:W797">{"ADVANCEDL17";((IF("17"=(INDEX(ALLCLASSDATA,MATCH("AdvancedLegendary",CLASSFEATUREHEADERS,0),MATCH($A797,CLASSNAMEHEADERS,0))),(INDEX(ALLCLASSDATA,MATCH("AdvancedLegendary",CLASSFEATUREHEADERS,0),MATCH(($A797 &amp; "Points"),CLASSNAMEHEADERS,0))),(IF("17"=(INDEX(ALLCLASSDATA,MATCH("AdvancedMaster",CLASSFEATUREHEADERS,0),MATCH($A797,CLASSNAMEHEADERS,0))),(INDEX(ALLCLASSDATA,MATCH("AdvancedMaster",CLASSFEATUREHEADERS,0),MATCH(($A797 &amp; "Points"),CLASSNAMEHEADERS,0))),(IF("17"=(INDEX(ALLCLASSDATA,MATCH("AdvancedExpert",CLASSFEATUREHEADERS,0),MATCH($A797,CLASSNAMEHEADERS,0))),(INDEX(ALLCLASSDATA,MATCH("AdvancedExpert",CLASSFEATUREHEADERS,0),MATCH(($A797 &amp; "Points"),CLASSNAMEHEADERS,0))),(IF("17"=(INDEX(ALLCLASSDATA,MATCH("AdvancedTrained",CLASSFEATUREHEADERS,0),MATCH($A797,CLASSNAMEHEADERS,0))),(INDEX(ALLCLASSDATA,MATCH("AdvancedTrained",CLASSFEATUREHEADERS,0),MATCH(($A797 &amp; "Points"),CLASSNAMEHEADERS,0))),"")))))))))}</f>
        <v>ADVANCEDL17</v>
      </c>
      <c r="X796" s="223"/>
      <c r="Y796" s="223" t="str">
        <f t="array" ref="Y796:Y797">{"ADVANCEDL19";((IF("19"=(INDEX(ALLCLASSDATA,MATCH("AdvancedLegendary",CLASSFEATUREHEADERS,0),MATCH($A797,CLASSNAMEHEADERS,0))),(INDEX(ALLCLASSDATA,MATCH("AdvancedLegendary",CLASSFEATUREHEADERS,0),MATCH(($A797 &amp; "Points"),CLASSNAMEHEADERS,0))),(IF("19"=(INDEX(ALLCLASSDATA,MATCH("AdvancedMaster",CLASSFEATUREHEADERS,0),MATCH($A797,CLASSNAMEHEADERS,0))),(INDEX(ALLCLASSDATA,MATCH("AdvancedMaster",CLASSFEATUREHEADERS,0),MATCH(($A797 &amp; "Points"),CLASSNAMEHEADERS,0))),(IF("19"=(INDEX(ALLCLASSDATA,MATCH("AdvancedExpert",CLASSFEATUREHEADERS,0),MATCH($A797,CLASSNAMEHEADERS,0))),(INDEX(ALLCLASSDATA,MATCH("AdvancedExpert",CLASSFEATUREHEADERS,0),MATCH(($A797 &amp; "Points"),CLASSNAMEHEADERS,0))),(IF("19"=(INDEX(ALLCLASSDATA,MATCH("AdvancedTrained",CLASSFEATUREHEADERS,0),MATCH($A797,CLASSNAMEHEADERS,0))),(INDEX(ALLCLASSDATA,MATCH("AdvancedTrained",CLASSFEATUREHEADERS,0),MATCH(($A797 &amp; "Points"),CLASSNAMEHEADERS,0))),"")))))))))}</f>
        <v>ADVANCEDL19</v>
      </c>
      <c r="Z796" s="223"/>
      <c r="AA796" s="76" t="str">
        <f t="array" ref="AA796:AA797">{"ADVANCED TOTAL";(IF(COUNTBLANK(F797:Z797)=17,"L",(IF(COUNTBLANK(F797:Z797)=18,"M",(IF(COUNTBLANK(F797:Z797)=19,"E",(IF(COUNTBLANK(F797:Z797)=20,"T",""))))))))}</f>
        <v>ADVANCED TOTAL</v>
      </c>
      <c r="AB796" s="76" t="str">
        <f t="array" ref="AB796:AB797">{"ADVANCED TOTAL";(sum(F797:Z797))}</f>
        <v>ADVANCED TOTAL</v>
      </c>
    </row>
    <row r="797">
      <c r="A797" s="48" t="s">
        <v>233</v>
      </c>
      <c r="B797" s="48" t="s">
        <v>418</v>
      </c>
      <c r="C797" s="97" t="s">
        <v>1634</v>
      </c>
      <c r="D797" s="97" t="s">
        <v>602</v>
      </c>
      <c r="E797" s="98" t="s">
        <v>603</v>
      </c>
      <c r="F797" s="132" t="s">
        <v>603</v>
      </c>
      <c r="G797" s="98" t="s">
        <v>603</v>
      </c>
      <c r="H797" s="98"/>
      <c r="I797" s="98" t="s">
        <v>603</v>
      </c>
      <c r="J797" s="98"/>
      <c r="K797" s="98" t="s">
        <v>603</v>
      </c>
      <c r="L797" s="98"/>
      <c r="M797" s="98" t="s">
        <v>603</v>
      </c>
      <c r="N797" s="98"/>
      <c r="O797" s="98" t="s">
        <v>603</v>
      </c>
      <c r="P797" s="98"/>
      <c r="Q797" s="98" t="s">
        <v>603</v>
      </c>
      <c r="R797" s="98"/>
      <c r="S797" s="98" t="s">
        <v>603</v>
      </c>
      <c r="T797" s="98"/>
      <c r="U797" s="98" t="s">
        <v>603</v>
      </c>
      <c r="V797" s="98"/>
      <c r="W797" s="98" t="s">
        <v>603</v>
      </c>
      <c r="X797" s="98"/>
      <c r="Y797" s="98" t="s">
        <v>603</v>
      </c>
      <c r="Z797" s="98"/>
      <c r="AA797" s="5" t="s">
        <v>603</v>
      </c>
      <c r="AB797" s="47">
        <v>0.0</v>
      </c>
    </row>
    <row r="798" hidden="1">
      <c r="A798" s="222" t="str">
        <f t="array" ref="A798:A799">{"FormulaRow34";(INDEX(CLASSLIST,A731,1))}</f>
        <v>FormulaRow34</v>
      </c>
      <c r="B798" s="222" t="str">
        <f t="array" ref="B798:B799">{"CLASSTYPE";((INDEX(ALLCLASSDATA,MATCH("ClassType",CLASSFEATUREHEADERS,0),MATCH($A799,CLASSNAMEHEADERS,0))))}</f>
        <v>CLASSTYPE</v>
      </c>
      <c r="C798" s="222" t="str">
        <f t="array" ref="C798:C799">{"DEFENSE";"Defense"}</f>
        <v>DEFENSE</v>
      </c>
      <c r="D798" s="222" t="str">
        <f t="array" ref="D798:D799">{"ARMORSPECIAL";"ArmorAS"}</f>
        <v>ARMORSPECIAL</v>
      </c>
      <c r="E798" s="223"/>
      <c r="F798" s="223"/>
      <c r="G798" s="223" t="str">
        <f t="array" ref="G798:G799">{"ARMORSPECIALL01";((IF("01"=INDEX(ALLCLASSDATA,MATCH("ArmorSpecialization",CLASSFEATUREHEADERS,0),MATCH($A799,CLASSNAMEHEADERS,0)),ArmorAS,"")))}</f>
        <v>ARMORSPECIALL01</v>
      </c>
      <c r="H798" s="223"/>
      <c r="I798" s="223" t="str">
        <f t="array" ref="I798:I799">{"ARMORSPECIALL03";((IF("03"=INDEX(ALLCLASSDATA,MATCH("ArmorSpecialization",CLASSFEATUREHEADERS,0),MATCH($A799,CLASSNAMEHEADERS,0)),ArmorAS,"")))}</f>
        <v>ARMORSPECIALL03</v>
      </c>
      <c r="J798" s="223"/>
      <c r="K798" s="223" t="str">
        <f t="array" ref="K798:K799">{"ARMORSPECIALL05";((IF("05"=INDEX(ALLCLASSDATA,MATCH("ArmorSpecialization",CLASSFEATUREHEADERS,0),MATCH($A799,CLASSNAMEHEADERS,0)),ArmorAS,"")))}</f>
        <v>ARMORSPECIALL05</v>
      </c>
      <c r="L798" s="223"/>
      <c r="M798" s="223" t="str">
        <f t="array" ref="M798:M799">{"ARMORSPECIALL07";((IF("07"=INDEX(ALLCLASSDATA,MATCH("ArmorSpecialization",CLASSFEATUREHEADERS,0),MATCH($A799,CLASSNAMEHEADERS,0)),ArmorAS,"")))}</f>
        <v>ARMORSPECIALL07</v>
      </c>
      <c r="N798" s="223"/>
      <c r="O798" s="223" t="str">
        <f t="array" ref="O798:O799">{"ARMORSPECIALL09";((IF("09"=INDEX(ALLCLASSDATA,MATCH("ArmorSpecialization",CLASSFEATUREHEADERS,0),MATCH($A799,CLASSNAMEHEADERS,0)),ArmorAS,"")))}</f>
        <v>ARMORSPECIALL09</v>
      </c>
      <c r="P798" s="223"/>
      <c r="Q798" s="223" t="str">
        <f t="array" ref="Q798:Q799">{"ARMORSPECIALL11";((IF("11"=INDEX(ALLCLASSDATA,MATCH("ArmorSpecialization",CLASSFEATUREHEADERS,0),MATCH($A799,CLASSNAMEHEADERS,0)),ArmorAS,"")))}</f>
        <v>ARMORSPECIALL11</v>
      </c>
      <c r="R798" s="223"/>
      <c r="S798" s="223" t="str">
        <f t="array" ref="S798:S799">{"ARMORSPECIALL13";((IF("13"=INDEX(ALLCLASSDATA,MATCH("ArmorSpecialization",CLASSFEATUREHEADERS,0),MATCH($A799,CLASSNAMEHEADERS,0)),ArmorAS,"")))}</f>
        <v>ARMORSPECIALL13</v>
      </c>
      <c r="T798" s="223"/>
      <c r="U798" s="223" t="str">
        <f t="array" ref="U798:U799">{"ARMORSPECIALL15";((IF("15"=INDEX(ALLCLASSDATA,MATCH("ArmorSpecialization",CLASSFEATUREHEADERS,0),MATCH($A799,CLASSNAMEHEADERS,0)),ArmorAS,"")))}</f>
        <v>ARMORSPECIALL15</v>
      </c>
      <c r="V798" s="223"/>
      <c r="W798" s="223" t="str">
        <f t="array" ref="W798:W799">{"ARMORSPECIALL17";((IF("17"=INDEX(ALLCLASSDATA,MATCH("ArmorSpecialization",CLASSFEATUREHEADERS,0),MATCH($A799,CLASSNAMEHEADERS,0)),ArmorAS,"")))}</f>
        <v>ARMORSPECIALL17</v>
      </c>
      <c r="X798" s="223"/>
      <c r="Y798" s="223" t="str">
        <f t="array" ref="Y798:Y799">{"ARMORSPECIALL19";((IF("19"=INDEX(ALLCLASSDATA,MATCH("ArmorSpecialization",CLASSFEATUREHEADERS,0),MATCH($A799,CLASSNAMEHEADERS,0)),ArmorAS,"")))}</f>
        <v>ARMORSPECIALL19</v>
      </c>
      <c r="Z798" s="223"/>
      <c r="AA798" s="76"/>
      <c r="AB798" s="76" t="str">
        <f t="array" ref="AB798:AB799">{"ARMORSPECIAL TOTAL";(sum(F799:Z799))}</f>
        <v>ARMORSPECIAL TOTAL</v>
      </c>
    </row>
    <row r="799">
      <c r="A799" s="48" t="s">
        <v>233</v>
      </c>
      <c r="B799" s="48" t="s">
        <v>418</v>
      </c>
      <c r="C799" s="48" t="s">
        <v>1900</v>
      </c>
      <c r="D799" s="48" t="s">
        <v>51</v>
      </c>
      <c r="E799" s="5"/>
      <c r="F799" s="47"/>
      <c r="G799" s="5" t="s">
        <v>603</v>
      </c>
      <c r="H799" s="5"/>
      <c r="I799" s="5" t="s">
        <v>603</v>
      </c>
      <c r="J799" s="5"/>
      <c r="K799" s="5" t="s">
        <v>603</v>
      </c>
      <c r="L799" s="5"/>
      <c r="M799" s="5" t="s">
        <v>603</v>
      </c>
      <c r="N799" s="5"/>
      <c r="O799" s="5" t="s">
        <v>603</v>
      </c>
      <c r="P799" s="5"/>
      <c r="Q799" s="5" t="s">
        <v>603</v>
      </c>
      <c r="R799" s="5"/>
      <c r="S799" s="5" t="s">
        <v>603</v>
      </c>
      <c r="T799" s="5"/>
      <c r="U799" s="5" t="s">
        <v>603</v>
      </c>
      <c r="V799" s="5"/>
      <c r="W799" s="5" t="s">
        <v>603</v>
      </c>
      <c r="X799" s="5"/>
      <c r="Y799" s="5" t="s">
        <v>603</v>
      </c>
      <c r="Z799" s="5"/>
      <c r="AA799" s="5"/>
      <c r="AB799" s="47">
        <v>0.0</v>
      </c>
    </row>
    <row r="800" hidden="1">
      <c r="A800" s="222" t="str">
        <f t="array" ref="A800:A801">{"FormulaRow35";(INDEX(CLASSLIST,A731,1))}</f>
        <v>FormulaRow35</v>
      </c>
      <c r="B800" s="222" t="str">
        <f t="array" ref="B800:B801">{"CLASSTYPE";((INDEX(ALLCLASSDATA,MATCH("ClassType",CLASSFEATUREHEADERS,0),MATCH($A801,CLASSNAMEHEADERS,0))))}</f>
        <v>CLASSTYPE</v>
      </c>
      <c r="C800" s="222" t="str">
        <f t="array" ref="C800:C801">{"DEFENSE";"Defense"}</f>
        <v>DEFENSE</v>
      </c>
      <c r="D800" s="222" t="str">
        <f t="array" ref="D800:D801">{"UNARMORED";"Unarmored"}</f>
        <v>UNARMORED</v>
      </c>
      <c r="E800" s="223" t="str">
        <f t="array" ref="E800:E801">{"UNARMOREDINITIAL";((IF(G801=10,"T",(IF(G801=50,"E","")))))}</f>
        <v>UNARMOREDINITIAL</v>
      </c>
      <c r="F800" s="223" t="str">
        <f t="array" ref="F800:F801">{"UNARMOREDINITIALPTS";((IF("00"=(INDEX(ALLCLASSDATA,MATCH("UnarmoredLegendary",CLASSFEATUREHEADERS,0),MATCH($A801,CLASSNAMEHEADERS,0))),(INDEX(ALLCLASSDATA,MATCH("UnarmoredLegendary",CLASSFEATUREHEADERS,0),MATCH(($A801 &amp; "Points"),CLASSNAMEHEADERS,0))),(IF("00"=(INDEX(ALLCLASSDATA,MATCH("UnarmoredMaster",CLASSFEATUREHEADERS,0),MATCH($A801,CLASSNAMEHEADERS,0))),(INDEX(ALLCLASSDATA,MATCH("UnarmoredMaster",CLASSFEATUREHEADERS,0),MATCH(($A801 &amp; "Points"),CLASSNAMEHEADERS,0))),(IF("00"=(INDEX(ALLCLASSDATA,MATCH("UnarmoredExpert",CLASSFEATUREHEADERS,0),MATCH($A801,CLASSNAMEHEADERS,0))),(INDEX(ALLCLASSDATA,MATCH("UnarmoredExpert",CLASSFEATUREHEADERS,0),MATCH(($A801 &amp; "Points"),CLASSNAMEHEADERS,0))),(IF("00"=(INDEX(ALLCLASSDATA,MATCH("UnarmoredTrained",CLASSFEATUREHEADERS,0),MATCH($A801,CLASSNAMEHEADERS,0))),(INDEX(ALLCLASSDATA,MATCH("UnarmoredTrained",CLASSFEATUREHEADERS,0),MATCH(($A801 &amp; "Points"),CLASSNAMEHEADERS,0))),"")))))))))}</f>
        <v>UNARMOREDINITIALPTS</v>
      </c>
      <c r="G800" s="223" t="str">
        <f t="array" ref="G800:G801">{"UNARMOREDL01";((IF("01"=(INDEX(ALLCLASSDATA,MATCH("UnarmoredLegendary",CLASSFEATUREHEADERS,0),MATCH($A801,CLASSNAMEHEADERS,0))),(INDEX(ALLCLASSDATA,MATCH("UnarmoredLegendary",CLASSFEATUREHEADERS,0),MATCH(($A801 &amp; "Points"),CLASSNAMEHEADERS,0))),(IF("01"=(INDEX(ALLCLASSDATA,MATCH("UnarmoredMaster",CLASSFEATUREHEADERS,0),MATCH($A801,CLASSNAMEHEADERS,0))),(INDEX(ALLCLASSDATA,MATCH("UnarmoredMaster",CLASSFEATUREHEADERS,0),MATCH(($A801 &amp; "Points"),CLASSNAMEHEADERS,0))),(IF("01"=(INDEX(ALLCLASSDATA,MATCH("UnarmoredExpert",CLASSFEATUREHEADERS,0),MATCH($A801,CLASSNAMEHEADERS,0))),(INDEX(ALLCLASSDATA,MATCH("UnarmoredExpert",CLASSFEATUREHEADERS,0),MATCH(($A801 &amp; "Points"),CLASSNAMEHEADERS,0))),(IF("01"=(INDEX(ALLCLASSDATA,MATCH("UnarmoredTrained",CLASSFEATUREHEADERS,0),MATCH($A801,CLASSNAMEHEADERS,0))),(INDEX(ALLCLASSDATA,MATCH("UnarmoredTrained",CLASSFEATUREHEADERS,0),MATCH(($A801 &amp; "Points"),CLASSNAMEHEADERS,0))),"")))))))))}</f>
        <v>UNARMOREDL01</v>
      </c>
      <c r="H800" s="223"/>
      <c r="I800" s="223" t="str">
        <f t="array" ref="I800:I801">{"UNARMOREDL03";((IF("03"=(INDEX(ALLCLASSDATA,MATCH("UnarmoredLegendary",CLASSFEATUREHEADERS,0),MATCH($A801,CLASSNAMEHEADERS,0))),(INDEX(ALLCLASSDATA,MATCH("UnarmoredLegendary",CLASSFEATUREHEADERS,0),MATCH(($A801 &amp; "Points"),CLASSNAMEHEADERS,0))),(IF("03"=(INDEX(ALLCLASSDATA,MATCH("UnarmoredMaster",CLASSFEATUREHEADERS,0),MATCH($A801,CLASSNAMEHEADERS,0))),(INDEX(ALLCLASSDATA,MATCH("UnarmoredMaster",CLASSFEATUREHEADERS,0),MATCH(($A801 &amp; "Points"),CLASSNAMEHEADERS,0))),(IF("03"=(INDEX(ALLCLASSDATA,MATCH("UnarmoredExpert",CLASSFEATUREHEADERS,0),MATCH($A801,CLASSNAMEHEADERS,0))),(INDEX(ALLCLASSDATA,MATCH("UnarmoredExpert",CLASSFEATUREHEADERS,0),MATCH(($A801 &amp; "Points"),CLASSNAMEHEADERS,0))),(IF("03"=(INDEX(ALLCLASSDATA,MATCH("UnarmoredTrained",CLASSFEATUREHEADERS,0),MATCH($A801,CLASSNAMEHEADERS,0))),(INDEX(ALLCLASSDATA,MATCH("UnarmoredTrained",CLASSFEATUREHEADERS,0),MATCH(($A801 &amp; "Points"),CLASSNAMEHEADERS,0))),"")))))))))}</f>
        <v>UNARMOREDL03</v>
      </c>
      <c r="J800" s="223"/>
      <c r="K800" s="223" t="str">
        <f t="array" ref="K800:K801">{"UNARMOREDL05";((IF("05"=(INDEX(ALLCLASSDATA,MATCH("UnarmoredLegendary",CLASSFEATUREHEADERS,0),MATCH($A801,CLASSNAMEHEADERS,0))),(INDEX(ALLCLASSDATA,MATCH("UnarmoredLegendary",CLASSFEATUREHEADERS,0),MATCH(($A801 &amp; "Points"),CLASSNAMEHEADERS,0))),(IF("05"=(INDEX(ALLCLASSDATA,MATCH("UnarmoredMaster",CLASSFEATUREHEADERS,0),MATCH($A801,CLASSNAMEHEADERS,0))),(INDEX(ALLCLASSDATA,MATCH("UnarmoredMaster",CLASSFEATUREHEADERS,0),MATCH(($A801 &amp; "Points"),CLASSNAMEHEADERS,0))),(IF("05"=(INDEX(ALLCLASSDATA,MATCH("UnarmoredExpert",CLASSFEATUREHEADERS,0),MATCH($A801,CLASSNAMEHEADERS,0))),(INDEX(ALLCLASSDATA,MATCH("UnarmoredExpert",CLASSFEATUREHEADERS,0),MATCH(($A801 &amp; "Points"),CLASSNAMEHEADERS,0))),(IF("05"=(INDEX(ALLCLASSDATA,MATCH("UnarmoredTrained",CLASSFEATUREHEADERS,0),MATCH($A801,CLASSNAMEHEADERS,0))),(INDEX(ALLCLASSDATA,MATCH("UnarmoredTrained",CLASSFEATUREHEADERS,0),MATCH(($A801 &amp; "Points"),CLASSNAMEHEADERS,0))),"")))))))))}</f>
        <v>UNARMOREDL05</v>
      </c>
      <c r="L800" s="223"/>
      <c r="M800" s="223" t="str">
        <f t="array" ref="M800:M801">{"UNARMOREDL07";((IF("07"=(INDEX(ALLCLASSDATA,MATCH("UnarmoredLegendary",CLASSFEATUREHEADERS,0),MATCH($A801,CLASSNAMEHEADERS,0))),(INDEX(ALLCLASSDATA,MATCH("UnarmoredLegendary",CLASSFEATUREHEADERS,0),MATCH(($A801 &amp; "Points"),CLASSNAMEHEADERS,0))),(IF("07"=(INDEX(ALLCLASSDATA,MATCH("UnarmoredMaster",CLASSFEATUREHEADERS,0),MATCH($A801,CLASSNAMEHEADERS,0))),(INDEX(ALLCLASSDATA,MATCH("UnarmoredMaster",CLASSFEATUREHEADERS,0),MATCH(($A801 &amp; "Points"),CLASSNAMEHEADERS,0))),(IF("07"=(INDEX(ALLCLASSDATA,MATCH("UnarmoredExpert",CLASSFEATUREHEADERS,0),MATCH($A801,CLASSNAMEHEADERS,0))),(INDEX(ALLCLASSDATA,MATCH("UnarmoredExpert",CLASSFEATUREHEADERS,0),MATCH(($A801 &amp; "Points"),CLASSNAMEHEADERS,0))),(IF("07"=(INDEX(ALLCLASSDATA,MATCH("UnarmoredTrained",CLASSFEATUREHEADERS,0),MATCH($A801,CLASSNAMEHEADERS,0))),(INDEX(ALLCLASSDATA,MATCH("UnarmoredTrained",CLASSFEATUREHEADERS,0),MATCH(($A801 &amp; "Points"),CLASSNAMEHEADERS,0))),"")))))))))}</f>
        <v>UNARMOREDL07</v>
      </c>
      <c r="N800" s="223"/>
      <c r="O800" s="223" t="str">
        <f t="array" ref="O800:O801">{"UNARMOREDL09";((IF("09"=(INDEX(ALLCLASSDATA,MATCH("UnarmoredLegendary",CLASSFEATUREHEADERS,0),MATCH($A801,CLASSNAMEHEADERS,0))),(INDEX(ALLCLASSDATA,MATCH("UnarmoredLegendary",CLASSFEATUREHEADERS,0),MATCH(($A801 &amp; "Points"),CLASSNAMEHEADERS,0))),(IF("09"=(INDEX(ALLCLASSDATA,MATCH("UnarmoredMaster",CLASSFEATUREHEADERS,0),MATCH($A801,CLASSNAMEHEADERS,0))),(INDEX(ALLCLASSDATA,MATCH("UnarmoredMaster",CLASSFEATUREHEADERS,0),MATCH(($A801 &amp; "Points"),CLASSNAMEHEADERS,0))),(IF("09"=(INDEX(ALLCLASSDATA,MATCH("UnarmoredExpert",CLASSFEATUREHEADERS,0),MATCH($A801,CLASSNAMEHEADERS,0))),(INDEX(ALLCLASSDATA,MATCH("UnarmoredExpert",CLASSFEATUREHEADERS,0),MATCH(($A801 &amp; "Points"),CLASSNAMEHEADERS,0))),(IF("09"=(INDEX(ALLCLASSDATA,MATCH("UnarmoredTrained",CLASSFEATUREHEADERS,0),MATCH($A801,CLASSNAMEHEADERS,0))),(INDEX(ALLCLASSDATA,MATCH("UnarmoredTrained",CLASSFEATUREHEADERS,0),MATCH(($A801 &amp; "Points"),CLASSNAMEHEADERS,0))),"")))))))))}</f>
        <v>UNARMOREDL09</v>
      </c>
      <c r="P800" s="223"/>
      <c r="Q800" s="223" t="str">
        <f t="array" ref="Q800:Q801">{"UNARMOREDL11";((IF("11"=(INDEX(ALLCLASSDATA,MATCH("UnarmoredLegendary",CLASSFEATUREHEADERS,0),MATCH($A801,CLASSNAMEHEADERS,0))),(INDEX(ALLCLASSDATA,MATCH("UnarmoredLegendary",CLASSFEATUREHEADERS,0),MATCH(($A801 &amp; "Points"),CLASSNAMEHEADERS,0))),(IF("11"=(INDEX(ALLCLASSDATA,MATCH("UnarmoredMaster",CLASSFEATUREHEADERS,0),MATCH($A801,CLASSNAMEHEADERS,0))),(INDEX(ALLCLASSDATA,MATCH("UnarmoredMaster",CLASSFEATUREHEADERS,0),MATCH(($A801 &amp; "Points"),CLASSNAMEHEADERS,0))),(IF("11"=(INDEX(ALLCLASSDATA,MATCH("UnarmoredExpert",CLASSFEATUREHEADERS,0),MATCH($A801,CLASSNAMEHEADERS,0))),(INDEX(ALLCLASSDATA,MATCH("UnarmoredExpert",CLASSFEATUREHEADERS,0),MATCH(($A801 &amp; "Points"),CLASSNAMEHEADERS,0))),(IF("11"=(INDEX(ALLCLASSDATA,MATCH("UnarmoredTrained",CLASSFEATUREHEADERS,0),MATCH($A801,CLASSNAMEHEADERS,0))),(INDEX(ALLCLASSDATA,MATCH("UnarmoredTrained",CLASSFEATUREHEADERS,0),MATCH(($A801 &amp; "Points"),CLASSNAMEHEADERS,0))),"")))))))))}</f>
        <v>UNARMOREDL11</v>
      </c>
      <c r="R800" s="223"/>
      <c r="S800" s="223" t="str">
        <f t="array" ref="S800:S801">{"UNARMOREDL13";((IF("13"=(INDEX(ALLCLASSDATA,MATCH("UnarmoredLegendary",CLASSFEATUREHEADERS,0),MATCH($A801,CLASSNAMEHEADERS,0))),(INDEX(ALLCLASSDATA,MATCH("UnarmoredLegendary",CLASSFEATUREHEADERS,0),MATCH(($A801 &amp; "Points"),CLASSNAMEHEADERS,0))),(IF("13"=(INDEX(ALLCLASSDATA,MATCH("UnarmoredMaster",CLASSFEATUREHEADERS,0),MATCH($A801,CLASSNAMEHEADERS,0))),(INDEX(ALLCLASSDATA,MATCH("UnarmoredMaster",CLASSFEATUREHEADERS,0),MATCH(($A801 &amp; "Points"),CLASSNAMEHEADERS,0))),(IF("13"=(INDEX(ALLCLASSDATA,MATCH("UnarmoredExpert",CLASSFEATUREHEADERS,0),MATCH($A801,CLASSNAMEHEADERS,0))),(INDEX(ALLCLASSDATA,MATCH("UnarmoredExpert",CLASSFEATUREHEADERS,0),MATCH(($A801 &amp; "Points"),CLASSNAMEHEADERS,0))),(IF("13"=(INDEX(ALLCLASSDATA,MATCH("UnarmoredTrained",CLASSFEATUREHEADERS,0),MATCH($A801,CLASSNAMEHEADERS,0))),(INDEX(ALLCLASSDATA,MATCH("UnarmoredTrained",CLASSFEATUREHEADERS,0),MATCH(($A801 &amp; "Points"),CLASSNAMEHEADERS,0))),"")))))))))}</f>
        <v>UNARMOREDL13</v>
      </c>
      <c r="T800" s="223"/>
      <c r="U800" s="223" t="str">
        <f t="array" ref="U800:U801">{"UNARMOREDL15";((IF("15"=(INDEX(ALLCLASSDATA,MATCH("UnarmoredLegendary",CLASSFEATUREHEADERS,0),MATCH($A801,CLASSNAMEHEADERS,0))),(INDEX(ALLCLASSDATA,MATCH("UnarmoredLegendary",CLASSFEATUREHEADERS,0),MATCH(($A801 &amp; "Points"),CLASSNAMEHEADERS,0))),(IF("15"=(INDEX(ALLCLASSDATA,MATCH("UnarmoredMaster",CLASSFEATUREHEADERS,0),MATCH($A801,CLASSNAMEHEADERS,0))),(INDEX(ALLCLASSDATA,MATCH("UnarmoredMaster",CLASSFEATUREHEADERS,0),MATCH(($A801 &amp; "Points"),CLASSNAMEHEADERS,0))),(IF("15"=(INDEX(ALLCLASSDATA,MATCH("UnarmoredExpert",CLASSFEATUREHEADERS,0),MATCH($A801,CLASSNAMEHEADERS,0))),(INDEX(ALLCLASSDATA,MATCH("UnarmoredExpert",CLASSFEATUREHEADERS,0),MATCH(($A801 &amp; "Points"),CLASSNAMEHEADERS,0))),(IF("15"=(INDEX(ALLCLASSDATA,MATCH("UnarmoredTrained",CLASSFEATUREHEADERS,0),MATCH($A801,CLASSNAMEHEADERS,0))),(INDEX(ALLCLASSDATA,MATCH("UnarmoredTrained",CLASSFEATUREHEADERS,0),MATCH(($A801 &amp; "Points"),CLASSNAMEHEADERS,0))),"")))))))))}</f>
        <v>UNARMOREDL15</v>
      </c>
      <c r="V800" s="223"/>
      <c r="W800" s="223" t="str">
        <f t="array" ref="W800:W801">{"UNARMOREDL17";((IF("17"=(INDEX(ALLCLASSDATA,MATCH("UnarmoredLegendary",CLASSFEATUREHEADERS,0),MATCH($A801,CLASSNAMEHEADERS,0))),(INDEX(ALLCLASSDATA,MATCH("UnarmoredLegendary",CLASSFEATUREHEADERS,0),MATCH(($A801 &amp; "Points"),CLASSNAMEHEADERS,0))),(IF("17"=(INDEX(ALLCLASSDATA,MATCH("UnarmoredMaster",CLASSFEATUREHEADERS,0),MATCH($A801,CLASSNAMEHEADERS,0))),(INDEX(ALLCLASSDATA,MATCH("UnarmoredMaster",CLASSFEATUREHEADERS,0),MATCH(($A801 &amp; "Points"),CLASSNAMEHEADERS,0))),(IF("17"=(INDEX(ALLCLASSDATA,MATCH("UnarmoredExpert",CLASSFEATUREHEADERS,0),MATCH($A801,CLASSNAMEHEADERS,0))),(INDEX(ALLCLASSDATA,MATCH("UnarmoredExpert",CLASSFEATUREHEADERS,0),MATCH(($A801 &amp; "Points"),CLASSNAMEHEADERS,0))),(IF("17"=(INDEX(ALLCLASSDATA,MATCH("UnarmoredTrained",CLASSFEATUREHEADERS,0),MATCH($A801,CLASSNAMEHEADERS,0))),(INDEX(ALLCLASSDATA,MATCH("UnarmoredTrained",CLASSFEATUREHEADERS,0),MATCH(($A801 &amp; "Points"),CLASSNAMEHEADERS,0))),"")))))))))}</f>
        <v>UNARMOREDL17</v>
      </c>
      <c r="X800" s="223"/>
      <c r="Y800" s="223" t="str">
        <f t="array" ref="Y800:Y801">{"UNARMOREDL19";((IF("19"=(INDEX(ALLCLASSDATA,MATCH("UnarmoredLegendary",CLASSFEATUREHEADERS,0),MATCH($A801,CLASSNAMEHEADERS,0))),(INDEX(ALLCLASSDATA,MATCH("UnarmoredLegendary",CLASSFEATUREHEADERS,0),MATCH(($A801 &amp; "Points"),CLASSNAMEHEADERS,0))),(IF("19"=(INDEX(ALLCLASSDATA,MATCH("UnarmoredMaster",CLASSFEATUREHEADERS,0),MATCH($A801,CLASSNAMEHEADERS,0))),(INDEX(ALLCLASSDATA,MATCH("UnarmoredMaster",CLASSFEATUREHEADERS,0),MATCH(($A801 &amp; "Points"),CLASSNAMEHEADERS,0))),(IF("19"=(INDEX(ALLCLASSDATA,MATCH("UnarmoredExpert",CLASSFEATUREHEADERS,0),MATCH($A801,CLASSNAMEHEADERS,0))),(INDEX(ALLCLASSDATA,MATCH("UnarmoredExpert",CLASSFEATUREHEADERS,0),MATCH(($A801 &amp; "Points"),CLASSNAMEHEADERS,0))),(IF("19"=(INDEX(ALLCLASSDATA,MATCH("UnarmoredTrained",CLASSFEATUREHEADERS,0),MATCH($A801,CLASSNAMEHEADERS,0))),(INDEX(ALLCLASSDATA,MATCH("UnarmoredTrained",CLASSFEATUREHEADERS,0),MATCH(($A801 &amp; "Points"),CLASSNAMEHEADERS,0))),"")))))))))}</f>
        <v>UNARMOREDL19</v>
      </c>
      <c r="Z800" s="223"/>
      <c r="AA800" s="76" t="str">
        <f t="array" ref="AA800:AA801">{"UNARMORED TOTAL";(IF(COUNTBLANK(F801:Z801)=17,"L",(IF(COUNTBLANK(F801:Z801)=18,"M",(IF(COUNTBLANK(F801:Z801)=19,"E",(IF(COUNTBLANK(F801:Z801)=20,"T",""))))))))}</f>
        <v>UNARMORED TOTAL</v>
      </c>
      <c r="AB800" s="76" t="str">
        <f t="array" ref="AB800:AB801">{"UNARMORED TOTAL";(sum(F801:Z801))}</f>
        <v>UNARMORED TOTAL</v>
      </c>
    </row>
    <row r="801">
      <c r="A801" s="48" t="s">
        <v>233</v>
      </c>
      <c r="B801" s="48" t="s">
        <v>418</v>
      </c>
      <c r="C801" s="48" t="s">
        <v>1900</v>
      </c>
      <c r="D801" s="48" t="s">
        <v>78</v>
      </c>
      <c r="E801" s="5" t="s">
        <v>435</v>
      </c>
      <c r="F801" s="47" t="s">
        <v>603</v>
      </c>
      <c r="G801" s="5">
        <v>10.0</v>
      </c>
      <c r="H801" s="5"/>
      <c r="I801" s="5" t="s">
        <v>603</v>
      </c>
      <c r="J801" s="5"/>
      <c r="K801" s="5" t="s">
        <v>603</v>
      </c>
      <c r="L801" s="5"/>
      <c r="M801" s="5" t="s">
        <v>603</v>
      </c>
      <c r="N801" s="5"/>
      <c r="O801" s="5" t="s">
        <v>603</v>
      </c>
      <c r="P801" s="5"/>
      <c r="Q801" s="5" t="s">
        <v>603</v>
      </c>
      <c r="R801" s="5"/>
      <c r="S801" s="5">
        <v>50.0</v>
      </c>
      <c r="T801" s="5"/>
      <c r="U801" s="5" t="s">
        <v>603</v>
      </c>
      <c r="V801" s="5"/>
      <c r="W801" s="5" t="s">
        <v>603</v>
      </c>
      <c r="X801" s="5"/>
      <c r="Y801" s="5" t="s">
        <v>603</v>
      </c>
      <c r="Z801" s="5"/>
      <c r="AA801" s="5" t="s">
        <v>436</v>
      </c>
      <c r="AB801" s="47">
        <v>60.0</v>
      </c>
    </row>
    <row r="802" hidden="1">
      <c r="A802" s="222" t="str">
        <f t="array" ref="A802:A803">{"FormulaRow36";(INDEX(CLASSLIST,A731,1))}</f>
        <v>FormulaRow36</v>
      </c>
      <c r="B802" s="222" t="str">
        <f t="array" ref="B802:B803">{"CLASSTYPE";((INDEX(ALLCLASSDATA,MATCH("ClassType",CLASSFEATUREHEADERS,0),MATCH($A803,CLASSNAMEHEADERS,0))))}</f>
        <v>CLASSTYPE</v>
      </c>
      <c r="C802" s="222" t="str">
        <f t="array" ref="C802:C803">{"DEFENSE";"Defense"}</f>
        <v>DEFENSE</v>
      </c>
      <c r="D802" s="222" t="str">
        <f t="array" ref="D802:D803">{"LIGHT";"Light"}</f>
        <v>LIGHT</v>
      </c>
      <c r="E802" s="223" t="str">
        <f t="array" ref="E802:E803">{"LIGHTINITIAL";((IF(G803=10,"T",(IF(G803=50,"E","")))))}</f>
        <v>LIGHTINITIAL</v>
      </c>
      <c r="F802" s="223" t="str">
        <f t="array" ref="F802:F803">{"LIGHTINITIALPTS";((IF("00"=(INDEX(ALLCLASSDATA,MATCH("LightLegendary",CLASSFEATUREHEADERS,0),MATCH($A803,CLASSNAMEHEADERS,0))),(INDEX(ALLCLASSDATA,MATCH("LightLegendary",CLASSFEATUREHEADERS,0),MATCH(($A803 &amp; "Points"),CLASSNAMEHEADERS,0))),(IF("00"=(INDEX(ALLCLASSDATA,MATCH("LightMaster",CLASSFEATUREHEADERS,0),MATCH($A803,CLASSNAMEHEADERS,0))),(INDEX(ALLCLASSDATA,MATCH("LightMaster",CLASSFEATUREHEADERS,0),MATCH(($A803 &amp; "Points"),CLASSNAMEHEADERS,0))),(IF("00"=(INDEX(ALLCLASSDATA,MATCH("LightExpert",CLASSFEATUREHEADERS,0),MATCH($A803,CLASSNAMEHEADERS,0))),(INDEX(ALLCLASSDATA,MATCH("LightExpert",CLASSFEATUREHEADERS,0),MATCH(($A803 &amp; "Points"),CLASSNAMEHEADERS,0))),(IF("00"=(INDEX(ALLCLASSDATA,MATCH("LightTrained",CLASSFEATUREHEADERS,0),MATCH($A803,CLASSNAMEHEADERS,0))),(INDEX(ALLCLASSDATA,MATCH("LightTrained",CLASSFEATUREHEADERS,0),MATCH(($A803 &amp; "Points"),CLASSNAMEHEADERS,0))),"")))))))))}</f>
        <v>LIGHTINITIALPTS</v>
      </c>
      <c r="G802" s="223" t="str">
        <f t="array" ref="G802:G803">{"LIGHTL01";((IF("01"=(INDEX(ALLCLASSDATA,MATCH("LightLegendary",CLASSFEATUREHEADERS,0),MATCH($A803,CLASSNAMEHEADERS,0))),(INDEX(ALLCLASSDATA,MATCH("LightLegendary",CLASSFEATUREHEADERS,0),MATCH(($A803 &amp; "Points"),CLASSNAMEHEADERS,0))),(IF("01"=(INDEX(ALLCLASSDATA,MATCH("LightMaster",CLASSFEATUREHEADERS,0),MATCH($A803,CLASSNAMEHEADERS,0))),(INDEX(ALLCLASSDATA,MATCH("LightMaster",CLASSFEATUREHEADERS,0),MATCH(($A803 &amp; "Points"),CLASSNAMEHEADERS,0))),(IF("01"=(INDEX(ALLCLASSDATA,MATCH("LightExpert",CLASSFEATUREHEADERS,0),MATCH($A803,CLASSNAMEHEADERS,0))),(INDEX(ALLCLASSDATA,MATCH("LightExpert",CLASSFEATUREHEADERS,0),MATCH(($A803 &amp; "Points"),CLASSNAMEHEADERS,0))),(IF("01"=(INDEX(ALLCLASSDATA,MATCH("LightTrained",CLASSFEATUREHEADERS,0),MATCH($A803,CLASSNAMEHEADERS,0))),(INDEX(ALLCLASSDATA,MATCH("LightTrained",CLASSFEATUREHEADERS,0),MATCH(($A803 &amp; "Points"),CLASSNAMEHEADERS,0))),"")))))))))}</f>
        <v>LIGHTL01</v>
      </c>
      <c r="H802" s="223"/>
      <c r="I802" s="223" t="str">
        <f t="array" ref="I802:I803">{"LIGHTL03";((IF("03"=(INDEX(ALLCLASSDATA,MATCH("LightLegendary",CLASSFEATUREHEADERS,0),MATCH($A803,CLASSNAMEHEADERS,0))),(INDEX(ALLCLASSDATA,MATCH("LightLegendary",CLASSFEATUREHEADERS,0),MATCH(($A803 &amp; "Points"),CLASSNAMEHEADERS,0))),(IF("03"=(INDEX(ALLCLASSDATA,MATCH("LightMaster",CLASSFEATUREHEADERS,0),MATCH($A803,CLASSNAMEHEADERS,0))),(INDEX(ALLCLASSDATA,MATCH("LightMaster",CLASSFEATUREHEADERS,0),MATCH(($A803 &amp; "Points"),CLASSNAMEHEADERS,0))),(IF("03"=(INDEX(ALLCLASSDATA,MATCH("LightExpert",CLASSFEATUREHEADERS,0),MATCH($A803,CLASSNAMEHEADERS,0))),(INDEX(ALLCLASSDATA,MATCH("LightExpert",CLASSFEATUREHEADERS,0),MATCH(($A803 &amp; "Points"),CLASSNAMEHEADERS,0))),(IF("03"=(INDEX(ALLCLASSDATA,MATCH("LightTrained",CLASSFEATUREHEADERS,0),MATCH($A803,CLASSNAMEHEADERS,0))),(INDEX(ALLCLASSDATA,MATCH("LightTrained",CLASSFEATUREHEADERS,0),MATCH(($A803 &amp; "Points"),CLASSNAMEHEADERS,0))),"")))))))))}</f>
        <v>LIGHTL03</v>
      </c>
      <c r="J802" s="223"/>
      <c r="K802" s="223" t="str">
        <f t="array" ref="K802:K803">{"LIGHTL05";((IF("05"=(INDEX(ALLCLASSDATA,MATCH("LightLegendary",CLASSFEATUREHEADERS,0),MATCH($A803,CLASSNAMEHEADERS,0))),(INDEX(ALLCLASSDATA,MATCH("LightLegendary",CLASSFEATUREHEADERS,0),MATCH(($A803 &amp; "Points"),CLASSNAMEHEADERS,0))),(IF("05"=(INDEX(ALLCLASSDATA,MATCH("LightMaster",CLASSFEATUREHEADERS,0),MATCH($A803,CLASSNAMEHEADERS,0))),(INDEX(ALLCLASSDATA,MATCH("LightMaster",CLASSFEATUREHEADERS,0),MATCH(($A803 &amp; "Points"),CLASSNAMEHEADERS,0))),(IF("05"=(INDEX(ALLCLASSDATA,MATCH("LightExpert",CLASSFEATUREHEADERS,0),MATCH($A803,CLASSNAMEHEADERS,0))),(INDEX(ALLCLASSDATA,MATCH("LightExpert",CLASSFEATUREHEADERS,0),MATCH(($A803 &amp; "Points"),CLASSNAMEHEADERS,0))),(IF("05"=(INDEX(ALLCLASSDATA,MATCH("LightTrained",CLASSFEATUREHEADERS,0),MATCH($A803,CLASSNAMEHEADERS,0))),(INDEX(ALLCLASSDATA,MATCH("LightTrained",CLASSFEATUREHEADERS,0),MATCH(($A803 &amp; "Points"),CLASSNAMEHEADERS,0))),"")))))))))}</f>
        <v>LIGHTL05</v>
      </c>
      <c r="L802" s="223"/>
      <c r="M802" s="223" t="str">
        <f t="array" ref="M802:M803">{"LIGHTL07";((IF("07"=(INDEX(ALLCLASSDATA,MATCH("LightLegendary",CLASSFEATUREHEADERS,0),MATCH($A803,CLASSNAMEHEADERS,0))),(INDEX(ALLCLASSDATA,MATCH("LightLegendary",CLASSFEATUREHEADERS,0),MATCH(($A803 &amp; "Points"),CLASSNAMEHEADERS,0))),(IF("07"=(INDEX(ALLCLASSDATA,MATCH("LightMaster",CLASSFEATUREHEADERS,0),MATCH($A803,CLASSNAMEHEADERS,0))),(INDEX(ALLCLASSDATA,MATCH("LightMaster",CLASSFEATUREHEADERS,0),MATCH(($A803 &amp; "Points"),CLASSNAMEHEADERS,0))),(IF("07"=(INDEX(ALLCLASSDATA,MATCH("LightExpert",CLASSFEATUREHEADERS,0),MATCH($A803,CLASSNAMEHEADERS,0))),(INDEX(ALLCLASSDATA,MATCH("LightExpert",CLASSFEATUREHEADERS,0),MATCH(($A803 &amp; "Points"),CLASSNAMEHEADERS,0))),(IF("07"=(INDEX(ALLCLASSDATA,MATCH("LightTrained",CLASSFEATUREHEADERS,0),MATCH($A803,CLASSNAMEHEADERS,0))),(INDEX(ALLCLASSDATA,MATCH("LightTrained",CLASSFEATUREHEADERS,0),MATCH(($A803 &amp; "Points"),CLASSNAMEHEADERS,0))),"")))))))))}</f>
        <v>LIGHTL07</v>
      </c>
      <c r="N802" s="223"/>
      <c r="O802" s="223" t="str">
        <f t="array" ref="O802:O803">{"LIGHTL09";((IF("09"=(INDEX(ALLCLASSDATA,MATCH("LightLegendary",CLASSFEATUREHEADERS,0),MATCH($A803,CLASSNAMEHEADERS,0))),(INDEX(ALLCLASSDATA,MATCH("LightLegendary",CLASSFEATUREHEADERS,0),MATCH(($A803 &amp; "Points"),CLASSNAMEHEADERS,0))),(IF("09"=(INDEX(ALLCLASSDATA,MATCH("LightMaster",CLASSFEATUREHEADERS,0),MATCH($A803,CLASSNAMEHEADERS,0))),(INDEX(ALLCLASSDATA,MATCH("LightMaster",CLASSFEATUREHEADERS,0),MATCH(($A803 &amp; "Points"),CLASSNAMEHEADERS,0))),(IF("09"=(INDEX(ALLCLASSDATA,MATCH("LightExpert",CLASSFEATUREHEADERS,0),MATCH($A803,CLASSNAMEHEADERS,0))),(INDEX(ALLCLASSDATA,MATCH("LightExpert",CLASSFEATUREHEADERS,0),MATCH(($A803 &amp; "Points"),CLASSNAMEHEADERS,0))),(IF("09"=(INDEX(ALLCLASSDATA,MATCH("LightTrained",CLASSFEATUREHEADERS,0),MATCH($A803,CLASSNAMEHEADERS,0))),(INDEX(ALLCLASSDATA,MATCH("LightTrained",CLASSFEATUREHEADERS,0),MATCH(($A803 &amp; "Points"),CLASSNAMEHEADERS,0))),"")))))))))}</f>
        <v>LIGHTL09</v>
      </c>
      <c r="P802" s="223"/>
      <c r="Q802" s="223" t="str">
        <f t="array" ref="Q802:Q803">{"LIGHTL11";((IF("11"=(INDEX(ALLCLASSDATA,MATCH("LightLegendary",CLASSFEATUREHEADERS,0),MATCH($A803,CLASSNAMEHEADERS,0))),(INDEX(ALLCLASSDATA,MATCH("LightLegendary",CLASSFEATUREHEADERS,0),MATCH(($A803 &amp; "Points"),CLASSNAMEHEADERS,0))),(IF("11"=(INDEX(ALLCLASSDATA,MATCH("LightMaster",CLASSFEATUREHEADERS,0),MATCH($A803,CLASSNAMEHEADERS,0))),(INDEX(ALLCLASSDATA,MATCH("LightMaster",CLASSFEATUREHEADERS,0),MATCH(($A803 &amp; "Points"),CLASSNAMEHEADERS,0))),(IF("11"=(INDEX(ALLCLASSDATA,MATCH("LightExpert",CLASSFEATUREHEADERS,0),MATCH($A803,CLASSNAMEHEADERS,0))),(INDEX(ALLCLASSDATA,MATCH("LightExpert",CLASSFEATUREHEADERS,0),MATCH(($A803 &amp; "Points"),CLASSNAMEHEADERS,0))),(IF("11"=(INDEX(ALLCLASSDATA,MATCH("LightTrained",CLASSFEATUREHEADERS,0),MATCH($A803,CLASSNAMEHEADERS,0))),(INDEX(ALLCLASSDATA,MATCH("LightTrained",CLASSFEATUREHEADERS,0),MATCH(($A803 &amp; "Points"),CLASSNAMEHEADERS,0))),"")))))))))}</f>
        <v>LIGHTL11</v>
      </c>
      <c r="R802" s="223"/>
      <c r="S802" s="223" t="str">
        <f t="array" ref="S802:S803">{"LIGHTL13";((IF("13"=(INDEX(ALLCLASSDATA,MATCH("LightLegendary",CLASSFEATUREHEADERS,0),MATCH($A803,CLASSNAMEHEADERS,0))),(INDEX(ALLCLASSDATA,MATCH("LightLegendary",CLASSFEATUREHEADERS,0),MATCH(($A803 &amp; "Points"),CLASSNAMEHEADERS,0))),(IF("13"=(INDEX(ALLCLASSDATA,MATCH("LightMaster",CLASSFEATUREHEADERS,0),MATCH($A803,CLASSNAMEHEADERS,0))),(INDEX(ALLCLASSDATA,MATCH("LightMaster",CLASSFEATUREHEADERS,0),MATCH(($A803 &amp; "Points"),CLASSNAMEHEADERS,0))),(IF("13"=(INDEX(ALLCLASSDATA,MATCH("LightExpert",CLASSFEATUREHEADERS,0),MATCH($A803,CLASSNAMEHEADERS,0))),(INDEX(ALLCLASSDATA,MATCH("LightExpert",CLASSFEATUREHEADERS,0),MATCH(($A803 &amp; "Points"),CLASSNAMEHEADERS,0))),(IF("13"=(INDEX(ALLCLASSDATA,MATCH("LightTrained",CLASSFEATUREHEADERS,0),MATCH($A803,CLASSNAMEHEADERS,0))),(INDEX(ALLCLASSDATA,MATCH("LightTrained",CLASSFEATUREHEADERS,0),MATCH(($A803 &amp; "Points"),CLASSNAMEHEADERS,0))),"")))))))))}</f>
        <v>LIGHTL13</v>
      </c>
      <c r="T802" s="223"/>
      <c r="U802" s="223" t="str">
        <f t="array" ref="U802:U803">{"LIGHTL15";((IF("15"=(INDEX(ALLCLASSDATA,MATCH("LightLegendary",CLASSFEATUREHEADERS,0),MATCH($A803,CLASSNAMEHEADERS,0))),(INDEX(ALLCLASSDATA,MATCH("LightLegendary",CLASSFEATUREHEADERS,0),MATCH(($A803 &amp; "Points"),CLASSNAMEHEADERS,0))),(IF("15"=(INDEX(ALLCLASSDATA,MATCH("LightMaster",CLASSFEATUREHEADERS,0),MATCH($A803,CLASSNAMEHEADERS,0))),(INDEX(ALLCLASSDATA,MATCH("LightMaster",CLASSFEATUREHEADERS,0),MATCH(($A803 &amp; "Points"),CLASSNAMEHEADERS,0))),(IF("15"=(INDEX(ALLCLASSDATA,MATCH("LightExpert",CLASSFEATUREHEADERS,0),MATCH($A803,CLASSNAMEHEADERS,0))),(INDEX(ALLCLASSDATA,MATCH("LightExpert",CLASSFEATUREHEADERS,0),MATCH(($A803 &amp; "Points"),CLASSNAMEHEADERS,0))),(IF("15"=(INDEX(ALLCLASSDATA,MATCH("LightTrained",CLASSFEATUREHEADERS,0),MATCH($A803,CLASSNAMEHEADERS,0))),(INDEX(ALLCLASSDATA,MATCH("LightTrained",CLASSFEATUREHEADERS,0),MATCH(($A803 &amp; "Points"),CLASSNAMEHEADERS,0))),"")))))))))}</f>
        <v>LIGHTL15</v>
      </c>
      <c r="V802" s="223"/>
      <c r="W802" s="223" t="str">
        <f t="array" ref="W802:W803">{"LIGHTL17";((IF("17"=(INDEX(ALLCLASSDATA,MATCH("LightLegendary",CLASSFEATUREHEADERS,0),MATCH($A803,CLASSNAMEHEADERS,0))),(INDEX(ALLCLASSDATA,MATCH("LightLegendary",CLASSFEATUREHEADERS,0),MATCH(($A803 &amp; "Points"),CLASSNAMEHEADERS,0))),(IF("17"=(INDEX(ALLCLASSDATA,MATCH("LightMaster",CLASSFEATUREHEADERS,0),MATCH($A803,CLASSNAMEHEADERS,0))),(INDEX(ALLCLASSDATA,MATCH("LightMaster",CLASSFEATUREHEADERS,0),MATCH(($A803 &amp; "Points"),CLASSNAMEHEADERS,0))),(IF("17"=(INDEX(ALLCLASSDATA,MATCH("LightExpert",CLASSFEATUREHEADERS,0),MATCH($A803,CLASSNAMEHEADERS,0))),(INDEX(ALLCLASSDATA,MATCH("LightExpert",CLASSFEATUREHEADERS,0),MATCH(($A803 &amp; "Points"),CLASSNAMEHEADERS,0))),(IF("17"=(INDEX(ALLCLASSDATA,MATCH("LightTrained",CLASSFEATUREHEADERS,0),MATCH($A803,CLASSNAMEHEADERS,0))),(INDEX(ALLCLASSDATA,MATCH("LightTrained",CLASSFEATUREHEADERS,0),MATCH(($A803 &amp; "Points"),CLASSNAMEHEADERS,0))),"")))))))))}</f>
        <v>LIGHTL17</v>
      </c>
      <c r="X802" s="223"/>
      <c r="Y802" s="223" t="str">
        <f t="array" ref="Y802:Y803">{"LIGHTL19";((IF("19"=(INDEX(ALLCLASSDATA,MATCH("LightLegendary",CLASSFEATUREHEADERS,0),MATCH($A803,CLASSNAMEHEADERS,0))),(INDEX(ALLCLASSDATA,MATCH("LightLegendary",CLASSFEATUREHEADERS,0),MATCH(($A803 &amp; "Points"),CLASSNAMEHEADERS,0))),(IF("19"=(INDEX(ALLCLASSDATA,MATCH("LightMaster",CLASSFEATUREHEADERS,0),MATCH($A803,CLASSNAMEHEADERS,0))),(INDEX(ALLCLASSDATA,MATCH("LightMaster",CLASSFEATUREHEADERS,0),MATCH(($A803 &amp; "Points"),CLASSNAMEHEADERS,0))),(IF("19"=(INDEX(ALLCLASSDATA,MATCH("LightExpert",CLASSFEATUREHEADERS,0),MATCH($A803,CLASSNAMEHEADERS,0))),(INDEX(ALLCLASSDATA,MATCH("LightExpert",CLASSFEATUREHEADERS,0),MATCH(($A803 &amp; "Points"),CLASSNAMEHEADERS,0))),(IF("19"=(INDEX(ALLCLASSDATA,MATCH("LightTrained",CLASSFEATUREHEADERS,0),MATCH($A803,CLASSNAMEHEADERS,0))),(INDEX(ALLCLASSDATA,MATCH("LightTrained",CLASSFEATUREHEADERS,0),MATCH(($A803 &amp; "Points"),CLASSNAMEHEADERS,0))),"")))))))))}</f>
        <v>LIGHTL19</v>
      </c>
      <c r="Z802" s="223"/>
      <c r="AA802" s="76" t="str">
        <f t="array" ref="AA802:AA803">{"LIGHT TOTAL";(IF(COUNTBLANK(F803:Z803)=17,"L",(IF(COUNTBLANK(F803:Z803)=18,"M",(IF(COUNTBLANK(F803:Z803)=19,"E",(IF(COUNTBLANK(F803:Z803)=20,"T",""))))))))}</f>
        <v>LIGHT TOTAL</v>
      </c>
      <c r="AB802" s="76" t="str">
        <f t="array" ref="AB802:AB803">{"LIGHT TOTAL";(sum(F803:Z803))}</f>
        <v>LIGHT TOTAL</v>
      </c>
    </row>
    <row r="803">
      <c r="A803" s="48" t="s">
        <v>233</v>
      </c>
      <c r="B803" s="48" t="s">
        <v>418</v>
      </c>
      <c r="C803" s="48" t="s">
        <v>1900</v>
      </c>
      <c r="D803" s="48" t="s">
        <v>77</v>
      </c>
      <c r="E803" s="5" t="s">
        <v>603</v>
      </c>
      <c r="F803" s="47" t="s">
        <v>603</v>
      </c>
      <c r="G803" s="5" t="s">
        <v>603</v>
      </c>
      <c r="H803" s="5"/>
      <c r="I803" s="5" t="s">
        <v>603</v>
      </c>
      <c r="J803" s="5"/>
      <c r="K803" s="5" t="s">
        <v>603</v>
      </c>
      <c r="L803" s="5"/>
      <c r="M803" s="5" t="s">
        <v>603</v>
      </c>
      <c r="N803" s="5"/>
      <c r="O803" s="5" t="s">
        <v>603</v>
      </c>
      <c r="P803" s="5"/>
      <c r="Q803" s="5" t="s">
        <v>603</v>
      </c>
      <c r="R803" s="5"/>
      <c r="S803" s="5" t="s">
        <v>603</v>
      </c>
      <c r="T803" s="5"/>
      <c r="U803" s="5" t="s">
        <v>603</v>
      </c>
      <c r="V803" s="5"/>
      <c r="W803" s="5" t="s">
        <v>603</v>
      </c>
      <c r="X803" s="5"/>
      <c r="Y803" s="5" t="s">
        <v>603</v>
      </c>
      <c r="Z803" s="5"/>
      <c r="AA803" s="5" t="s">
        <v>603</v>
      </c>
      <c r="AB803" s="47">
        <v>0.0</v>
      </c>
    </row>
    <row r="804" hidden="1">
      <c r="A804" s="222" t="str">
        <f t="array" ref="A804:A805">{"FormulaRow37";(INDEX(CLASSLIST,A731,1))}</f>
        <v>FormulaRow37</v>
      </c>
      <c r="B804" s="222" t="str">
        <f t="array" ref="B804:B805">{"CLASSTYPE";((INDEX(ALLCLASSDATA,MATCH("ClassType",CLASSFEATUREHEADERS,0),MATCH($A805,CLASSNAMEHEADERS,0))))}</f>
        <v>CLASSTYPE</v>
      </c>
      <c r="C804" s="222" t="str">
        <f t="array" ref="C804:C805">{"DEFENSE";"Defense"}</f>
        <v>DEFENSE</v>
      </c>
      <c r="D804" s="222" t="str">
        <f t="array" ref="D804:D805">{"MEDIUM";"Medium"}</f>
        <v>MEDIUM</v>
      </c>
      <c r="E804" s="223" t="str">
        <f t="array" ref="E804:E805">{"MEDIUMINITIAL";((IF(G805=10,"T",(IF(G805=50,"E","")))))}</f>
        <v>MEDIUMINITIAL</v>
      </c>
      <c r="F804" s="223" t="str">
        <f t="array" ref="F804:F805">{"MEDIUMINITIALPTS";((IF("00"=(INDEX(ALLCLASSDATA,MATCH("MediumLegendary",CLASSFEATUREHEADERS,0),MATCH($A805,CLASSNAMEHEADERS,0))),(INDEX(ALLCLASSDATA,MATCH("MediumLegendary",CLASSFEATUREHEADERS,0),MATCH(($A805 &amp; "Points"),CLASSNAMEHEADERS,0))),(IF("00"=(INDEX(ALLCLASSDATA,MATCH("MediumMaster",CLASSFEATUREHEADERS,0),MATCH($A805,CLASSNAMEHEADERS,0))),(INDEX(ALLCLASSDATA,MATCH("MediumMaster",CLASSFEATUREHEADERS,0),MATCH(($A805 &amp; "Points"),CLASSNAMEHEADERS,0))),(IF("00"=(INDEX(ALLCLASSDATA,MATCH("MediumExpert",CLASSFEATUREHEADERS,0),MATCH($A805,CLASSNAMEHEADERS,0))),(INDEX(ALLCLASSDATA,MATCH("MediumExpert",CLASSFEATUREHEADERS,0),MATCH(($A805 &amp; "Points"),CLASSNAMEHEADERS,0))),(IF("00"=(INDEX(ALLCLASSDATA,MATCH("MediumTrained",CLASSFEATUREHEADERS,0),MATCH($A805,CLASSNAMEHEADERS,0))),(INDEX(ALLCLASSDATA,MATCH("MediumTrained",CLASSFEATUREHEADERS,0),MATCH(($A805 &amp; "Points"),CLASSNAMEHEADERS,0))),"")))))))))}</f>
        <v>MEDIUMINITIALPTS</v>
      </c>
      <c r="G804" s="223" t="str">
        <f t="array" ref="G804:G805">{"MEDIUML01";((IF("01"=(INDEX(ALLCLASSDATA,MATCH("MediumLegendary",CLASSFEATUREHEADERS,0),MATCH($A805,CLASSNAMEHEADERS,0))),(INDEX(ALLCLASSDATA,MATCH("MediumLegendary",CLASSFEATUREHEADERS,0),MATCH(($A805 &amp; "Points"),CLASSNAMEHEADERS,0))),(IF("01"=(INDEX(ALLCLASSDATA,MATCH("MediumMaster",CLASSFEATUREHEADERS,0),MATCH($A805,CLASSNAMEHEADERS,0))),(INDEX(ALLCLASSDATA,MATCH("MediumMaster",CLASSFEATUREHEADERS,0),MATCH(($A805 &amp; "Points"),CLASSNAMEHEADERS,0))),(IF("01"=(INDEX(ALLCLASSDATA,MATCH("MediumExpert",CLASSFEATUREHEADERS,0),MATCH($A805,CLASSNAMEHEADERS,0))),(INDEX(ALLCLASSDATA,MATCH("MediumExpert",CLASSFEATUREHEADERS,0),MATCH(($A805 &amp; "Points"),CLASSNAMEHEADERS,0))),(IF("01"=(INDEX(ALLCLASSDATA,MATCH("MediumTrained",CLASSFEATUREHEADERS,0),MATCH($A805,CLASSNAMEHEADERS,0))),(INDEX(ALLCLASSDATA,MATCH("MediumTrained",CLASSFEATUREHEADERS,0),MATCH(($A805 &amp; "Points"),CLASSNAMEHEADERS,0))),"")))))))))}</f>
        <v>MEDIUML01</v>
      </c>
      <c r="H804" s="223"/>
      <c r="I804" s="223" t="str">
        <f t="array" ref="I804:I805">{"MEDIUML03";((IF("03"=(INDEX(ALLCLASSDATA,MATCH("MediumLegendary",CLASSFEATUREHEADERS,0),MATCH($A805,CLASSNAMEHEADERS,0))),(INDEX(ALLCLASSDATA,MATCH("MediumLegendary",CLASSFEATUREHEADERS,0),MATCH(($A805 &amp; "Points"),CLASSNAMEHEADERS,0))),(IF("03"=(INDEX(ALLCLASSDATA,MATCH("MediumMaster",CLASSFEATUREHEADERS,0),MATCH($A805,CLASSNAMEHEADERS,0))),(INDEX(ALLCLASSDATA,MATCH("MediumMaster",CLASSFEATUREHEADERS,0),MATCH(($A805 &amp; "Points"),CLASSNAMEHEADERS,0))),(IF("03"=(INDEX(ALLCLASSDATA,MATCH("MediumExpert",CLASSFEATUREHEADERS,0),MATCH($A805,CLASSNAMEHEADERS,0))),(INDEX(ALLCLASSDATA,MATCH("MediumExpert",CLASSFEATUREHEADERS,0),MATCH(($A805 &amp; "Points"),CLASSNAMEHEADERS,0))),(IF("03"=(INDEX(ALLCLASSDATA,MATCH("MediumTrained",CLASSFEATUREHEADERS,0),MATCH($A805,CLASSNAMEHEADERS,0))),(INDEX(ALLCLASSDATA,MATCH("MediumTrained",CLASSFEATUREHEADERS,0),MATCH(($A805 &amp; "Points"),CLASSNAMEHEADERS,0))),"")))))))))}</f>
        <v>MEDIUML03</v>
      </c>
      <c r="J804" s="223"/>
      <c r="K804" s="223" t="str">
        <f t="array" ref="K804:K805">{"MEDIUML05";((IF("05"=(INDEX(ALLCLASSDATA,MATCH("MediumLegendary",CLASSFEATUREHEADERS,0),MATCH($A805,CLASSNAMEHEADERS,0))),(INDEX(ALLCLASSDATA,MATCH("MediumLegendary",CLASSFEATUREHEADERS,0),MATCH(($A805 &amp; "Points"),CLASSNAMEHEADERS,0))),(IF("05"=(INDEX(ALLCLASSDATA,MATCH("MediumMaster",CLASSFEATUREHEADERS,0),MATCH($A805,CLASSNAMEHEADERS,0))),(INDEX(ALLCLASSDATA,MATCH("MediumMaster",CLASSFEATUREHEADERS,0),MATCH(($A805 &amp; "Points"),CLASSNAMEHEADERS,0))),(IF("05"=(INDEX(ALLCLASSDATA,MATCH("MediumExpert",CLASSFEATUREHEADERS,0),MATCH($A805,CLASSNAMEHEADERS,0))),(INDEX(ALLCLASSDATA,MATCH("MediumExpert",CLASSFEATUREHEADERS,0),MATCH(($A805 &amp; "Points"),CLASSNAMEHEADERS,0))),(IF("05"=(INDEX(ALLCLASSDATA,MATCH("MediumTrained",CLASSFEATUREHEADERS,0),MATCH($A805,CLASSNAMEHEADERS,0))),(INDEX(ALLCLASSDATA,MATCH("MediumTrained",CLASSFEATUREHEADERS,0),MATCH(($A805 &amp; "Points"),CLASSNAMEHEADERS,0))),"")))))))))}</f>
        <v>MEDIUML05</v>
      </c>
      <c r="L804" s="223"/>
      <c r="M804" s="223" t="str">
        <f t="array" ref="M804:M805">{"MEDIUML07";((IF("07"=(INDEX(ALLCLASSDATA,MATCH("MediumLegendary",CLASSFEATUREHEADERS,0),MATCH($A805,CLASSNAMEHEADERS,0))),(INDEX(ALLCLASSDATA,MATCH("MediumLegendary",CLASSFEATUREHEADERS,0),MATCH(($A805 &amp; "Points"),CLASSNAMEHEADERS,0))),(IF("07"=(INDEX(ALLCLASSDATA,MATCH("MediumMaster",CLASSFEATUREHEADERS,0),MATCH($A805,CLASSNAMEHEADERS,0))),(INDEX(ALLCLASSDATA,MATCH("MediumMaster",CLASSFEATUREHEADERS,0),MATCH(($A805 &amp; "Points"),CLASSNAMEHEADERS,0))),(IF("07"=(INDEX(ALLCLASSDATA,MATCH("MediumExpert",CLASSFEATUREHEADERS,0),MATCH($A805,CLASSNAMEHEADERS,0))),(INDEX(ALLCLASSDATA,MATCH("MediumExpert",CLASSFEATUREHEADERS,0),MATCH(($A805 &amp; "Points"),CLASSNAMEHEADERS,0))),(IF("07"=(INDEX(ALLCLASSDATA,MATCH("MediumTrained",CLASSFEATUREHEADERS,0),MATCH($A805,CLASSNAMEHEADERS,0))),(INDEX(ALLCLASSDATA,MATCH("MediumTrained",CLASSFEATUREHEADERS,0),MATCH(($A805 &amp; "Points"),CLASSNAMEHEADERS,0))),"")))))))))}</f>
        <v>MEDIUML07</v>
      </c>
      <c r="N804" s="223"/>
      <c r="O804" s="223" t="str">
        <f t="array" ref="O804:O805">{"MEDIUML09";((IF("09"=(INDEX(ALLCLASSDATA,MATCH("MediumLegendary",CLASSFEATUREHEADERS,0),MATCH($A805,CLASSNAMEHEADERS,0))),(INDEX(ALLCLASSDATA,MATCH("MediumLegendary",CLASSFEATUREHEADERS,0),MATCH(($A805 &amp; "Points"),CLASSNAMEHEADERS,0))),(IF("09"=(INDEX(ALLCLASSDATA,MATCH("MediumMaster",CLASSFEATUREHEADERS,0),MATCH($A805,CLASSNAMEHEADERS,0))),(INDEX(ALLCLASSDATA,MATCH("MediumMaster",CLASSFEATUREHEADERS,0),MATCH(($A805 &amp; "Points"),CLASSNAMEHEADERS,0))),(IF("09"=(INDEX(ALLCLASSDATA,MATCH("MediumExpert",CLASSFEATUREHEADERS,0),MATCH($A805,CLASSNAMEHEADERS,0))),(INDEX(ALLCLASSDATA,MATCH("MediumExpert",CLASSFEATUREHEADERS,0),MATCH(($A805 &amp; "Points"),CLASSNAMEHEADERS,0))),(IF("09"=(INDEX(ALLCLASSDATA,MATCH("MediumTrained",CLASSFEATUREHEADERS,0),MATCH($A805,CLASSNAMEHEADERS,0))),(INDEX(ALLCLASSDATA,MATCH("MediumTrained",CLASSFEATUREHEADERS,0),MATCH(($A805 &amp; "Points"),CLASSNAMEHEADERS,0))),"")))))))))}</f>
        <v>MEDIUML09</v>
      </c>
      <c r="P804" s="223"/>
      <c r="Q804" s="223" t="str">
        <f t="array" ref="Q804:Q805">{"MEDIUML11";((IF("11"=(INDEX(ALLCLASSDATA,MATCH("MediumLegendary",CLASSFEATUREHEADERS,0),MATCH($A805,CLASSNAMEHEADERS,0))),(INDEX(ALLCLASSDATA,MATCH("MediumLegendary",CLASSFEATUREHEADERS,0),MATCH(($A805 &amp; "Points"),CLASSNAMEHEADERS,0))),(IF("11"=(INDEX(ALLCLASSDATA,MATCH("MediumMaster",CLASSFEATUREHEADERS,0),MATCH($A805,CLASSNAMEHEADERS,0))),(INDEX(ALLCLASSDATA,MATCH("MediumMaster",CLASSFEATUREHEADERS,0),MATCH(($A805 &amp; "Points"),CLASSNAMEHEADERS,0))),(IF("11"=(INDEX(ALLCLASSDATA,MATCH("MediumExpert",CLASSFEATUREHEADERS,0),MATCH($A805,CLASSNAMEHEADERS,0))),(INDEX(ALLCLASSDATA,MATCH("MediumExpert",CLASSFEATUREHEADERS,0),MATCH(($A805 &amp; "Points"),CLASSNAMEHEADERS,0))),(IF("11"=(INDEX(ALLCLASSDATA,MATCH("MediumTrained",CLASSFEATUREHEADERS,0),MATCH($A805,CLASSNAMEHEADERS,0))),(INDEX(ALLCLASSDATA,MATCH("MediumTrained",CLASSFEATUREHEADERS,0),MATCH(($A805 &amp; "Points"),CLASSNAMEHEADERS,0))),"")))))))))}</f>
        <v>MEDIUML11</v>
      </c>
      <c r="R804" s="223"/>
      <c r="S804" s="223" t="str">
        <f t="array" ref="S804:S805">{"MEDIUML13";((IF("13"=(INDEX(ALLCLASSDATA,MATCH("MediumLegendary",CLASSFEATUREHEADERS,0),MATCH($A805,CLASSNAMEHEADERS,0))),(INDEX(ALLCLASSDATA,MATCH("MediumLegendary",CLASSFEATUREHEADERS,0),MATCH(($A805 &amp; "Points"),CLASSNAMEHEADERS,0))),(IF("13"=(INDEX(ALLCLASSDATA,MATCH("MediumMaster",CLASSFEATUREHEADERS,0),MATCH($A805,CLASSNAMEHEADERS,0))),(INDEX(ALLCLASSDATA,MATCH("MediumMaster",CLASSFEATUREHEADERS,0),MATCH(($A805 &amp; "Points"),CLASSNAMEHEADERS,0))),(IF("13"=(INDEX(ALLCLASSDATA,MATCH("MediumExpert",CLASSFEATUREHEADERS,0),MATCH($A805,CLASSNAMEHEADERS,0))),(INDEX(ALLCLASSDATA,MATCH("MediumExpert",CLASSFEATUREHEADERS,0),MATCH(($A805 &amp; "Points"),CLASSNAMEHEADERS,0))),(IF("13"=(INDEX(ALLCLASSDATA,MATCH("MediumTrained",CLASSFEATUREHEADERS,0),MATCH($A805,CLASSNAMEHEADERS,0))),(INDEX(ALLCLASSDATA,MATCH("MediumTrained",CLASSFEATUREHEADERS,0),MATCH(($A805 &amp; "Points"),CLASSNAMEHEADERS,0))),"")))))))))}</f>
        <v>MEDIUML13</v>
      </c>
      <c r="T804" s="223"/>
      <c r="U804" s="223" t="str">
        <f t="array" ref="U804:U805">{"MEDIUML15";((IF("15"=(INDEX(ALLCLASSDATA,MATCH("MediumLegendary",CLASSFEATUREHEADERS,0),MATCH($A805,CLASSNAMEHEADERS,0))),(INDEX(ALLCLASSDATA,MATCH("MediumLegendary",CLASSFEATUREHEADERS,0),MATCH(($A805 &amp; "Points"),CLASSNAMEHEADERS,0))),(IF("15"=(INDEX(ALLCLASSDATA,MATCH("MediumMaster",CLASSFEATUREHEADERS,0),MATCH($A805,CLASSNAMEHEADERS,0))),(INDEX(ALLCLASSDATA,MATCH("MediumMaster",CLASSFEATUREHEADERS,0),MATCH(($A805 &amp; "Points"),CLASSNAMEHEADERS,0))),(IF("15"=(INDEX(ALLCLASSDATA,MATCH("MediumExpert",CLASSFEATUREHEADERS,0),MATCH($A805,CLASSNAMEHEADERS,0))),(INDEX(ALLCLASSDATA,MATCH("MediumExpert",CLASSFEATUREHEADERS,0),MATCH(($A805 &amp; "Points"),CLASSNAMEHEADERS,0))),(IF("15"=(INDEX(ALLCLASSDATA,MATCH("MediumTrained",CLASSFEATUREHEADERS,0),MATCH($A805,CLASSNAMEHEADERS,0))),(INDEX(ALLCLASSDATA,MATCH("MediumTrained",CLASSFEATUREHEADERS,0),MATCH(($A805 &amp; "Points"),CLASSNAMEHEADERS,0))),"")))))))))}</f>
        <v>MEDIUML15</v>
      </c>
      <c r="V804" s="223"/>
      <c r="W804" s="223" t="str">
        <f t="array" ref="W804:W805">{"MEDIUML17";((IF("17"=(INDEX(ALLCLASSDATA,MATCH("MediumLegendary",CLASSFEATUREHEADERS,0),MATCH($A805,CLASSNAMEHEADERS,0))),(INDEX(ALLCLASSDATA,MATCH("MediumLegendary",CLASSFEATUREHEADERS,0),MATCH(($A805 &amp; "Points"),CLASSNAMEHEADERS,0))),(IF("17"=(INDEX(ALLCLASSDATA,MATCH("MediumMaster",CLASSFEATUREHEADERS,0),MATCH($A805,CLASSNAMEHEADERS,0))),(INDEX(ALLCLASSDATA,MATCH("MediumMaster",CLASSFEATUREHEADERS,0),MATCH(($A805 &amp; "Points"),CLASSNAMEHEADERS,0))),(IF("17"=(INDEX(ALLCLASSDATA,MATCH("MediumExpert",CLASSFEATUREHEADERS,0),MATCH($A805,CLASSNAMEHEADERS,0))),(INDEX(ALLCLASSDATA,MATCH("MediumExpert",CLASSFEATUREHEADERS,0),MATCH(($A805 &amp; "Points"),CLASSNAMEHEADERS,0))),(IF("17"=(INDEX(ALLCLASSDATA,MATCH("MediumTrained",CLASSFEATUREHEADERS,0),MATCH($A805,CLASSNAMEHEADERS,0))),(INDEX(ALLCLASSDATA,MATCH("MediumTrained",CLASSFEATUREHEADERS,0),MATCH(($A805 &amp; "Points"),CLASSNAMEHEADERS,0))),"")))))))))}</f>
        <v>MEDIUML17</v>
      </c>
      <c r="X804" s="223"/>
      <c r="Y804" s="223" t="str">
        <f t="array" ref="Y804:Y805">{"MEDIUML19";((IF("19"=(INDEX(ALLCLASSDATA,MATCH("MediumLegendary",CLASSFEATUREHEADERS,0),MATCH($A805,CLASSNAMEHEADERS,0))),(INDEX(ALLCLASSDATA,MATCH("MediumLegendary",CLASSFEATUREHEADERS,0),MATCH(($A805 &amp; "Points"),CLASSNAMEHEADERS,0))),(IF("19"=(INDEX(ALLCLASSDATA,MATCH("MediumMaster",CLASSFEATUREHEADERS,0),MATCH($A805,CLASSNAMEHEADERS,0))),(INDEX(ALLCLASSDATA,MATCH("MediumMaster",CLASSFEATUREHEADERS,0),MATCH(($A805 &amp; "Points"),CLASSNAMEHEADERS,0))),(IF("19"=(INDEX(ALLCLASSDATA,MATCH("MediumExpert",CLASSFEATUREHEADERS,0),MATCH($A805,CLASSNAMEHEADERS,0))),(INDEX(ALLCLASSDATA,MATCH("MediumExpert",CLASSFEATUREHEADERS,0),MATCH(($A805 &amp; "Points"),CLASSNAMEHEADERS,0))),(IF("19"=(INDEX(ALLCLASSDATA,MATCH("MediumTrained",CLASSFEATUREHEADERS,0),MATCH($A805,CLASSNAMEHEADERS,0))),(INDEX(ALLCLASSDATA,MATCH("MediumTrained",CLASSFEATUREHEADERS,0),MATCH(($A805 &amp; "Points"),CLASSNAMEHEADERS,0))),"")))))))))}</f>
        <v>MEDIUML19</v>
      </c>
      <c r="Z804" s="223"/>
      <c r="AA804" s="76" t="str">
        <f t="array" ref="AA804:AA805">{"MEDIUM TOTAL";(IF(COUNTBLANK(F805:Z805)=17,"L",(IF(COUNTBLANK(F805:Z805)=18,"M",(IF(COUNTBLANK(F805:Z805)=19,"E",(IF(COUNTBLANK(F805:Z805)=20,"T",""))))))))}</f>
        <v>MEDIUM TOTAL</v>
      </c>
      <c r="AB804" s="76" t="str">
        <f t="array" ref="AB804:AB805">{"MEDIUM TOTAL";(sum(F805:Z805))}</f>
        <v>MEDIUM TOTAL</v>
      </c>
    </row>
    <row r="805">
      <c r="A805" s="48" t="s">
        <v>233</v>
      </c>
      <c r="B805" s="48" t="s">
        <v>418</v>
      </c>
      <c r="C805" s="48" t="s">
        <v>1900</v>
      </c>
      <c r="D805" s="48" t="s">
        <v>76</v>
      </c>
      <c r="E805" s="5" t="s">
        <v>603</v>
      </c>
      <c r="F805" s="47" t="s">
        <v>603</v>
      </c>
      <c r="G805" s="5" t="s">
        <v>603</v>
      </c>
      <c r="H805" s="5"/>
      <c r="I805" s="5" t="s">
        <v>603</v>
      </c>
      <c r="J805" s="5"/>
      <c r="K805" s="5" t="s">
        <v>603</v>
      </c>
      <c r="L805" s="5"/>
      <c r="M805" s="5" t="s">
        <v>603</v>
      </c>
      <c r="N805" s="5"/>
      <c r="O805" s="5" t="s">
        <v>603</v>
      </c>
      <c r="P805" s="5"/>
      <c r="Q805" s="5" t="s">
        <v>603</v>
      </c>
      <c r="R805" s="5"/>
      <c r="S805" s="5" t="s">
        <v>603</v>
      </c>
      <c r="T805" s="5"/>
      <c r="U805" s="5" t="s">
        <v>603</v>
      </c>
      <c r="V805" s="5"/>
      <c r="W805" s="5" t="s">
        <v>603</v>
      </c>
      <c r="X805" s="5"/>
      <c r="Y805" s="5" t="s">
        <v>603</v>
      </c>
      <c r="Z805" s="5"/>
      <c r="AA805" s="5" t="s">
        <v>603</v>
      </c>
      <c r="AB805" s="47">
        <v>0.0</v>
      </c>
    </row>
    <row r="806" hidden="1">
      <c r="A806" s="222" t="str">
        <f t="array" ref="A806:A807">{"FormulaRow38";(INDEX(CLASSLIST,A731,1))}</f>
        <v>FormulaRow38</v>
      </c>
      <c r="B806" s="222" t="str">
        <f t="array" ref="B806:B807">{"CLASSTYPE";((INDEX(ALLCLASSDATA,MATCH("ClassType",CLASSFEATUREHEADERS,0),MATCH($A807,CLASSNAMEHEADERS,0))))}</f>
        <v>CLASSTYPE</v>
      </c>
      <c r="C806" s="222" t="str">
        <f t="array" ref="C806:C807">{"DEFENSE";"Defense"}</f>
        <v>DEFENSE</v>
      </c>
      <c r="D806" s="222" t="str">
        <f t="array" ref="D806:D807">{"HEAVY";"Heavy"}</f>
        <v>HEAVY</v>
      </c>
      <c r="E806" s="223" t="str">
        <f t="array" ref="E806:E807">{"HEAVYINITIAL";((IF(G807=10,"T",(IF(G807=50,"E","")))))}</f>
        <v>HEAVYINITIAL</v>
      </c>
      <c r="F806" s="223" t="str">
        <f t="array" ref="F806:F807">{"HEAVYINITIALPTS";((IF("00"=(INDEX(ALLCLASSDATA,MATCH("HeavyLegendary",CLASSFEATUREHEADERS,0),MATCH($A807,CLASSNAMEHEADERS,0))),(INDEX(ALLCLASSDATA,MATCH("HeavyLegendary",CLASSFEATUREHEADERS,0),MATCH(($A807 &amp; "Points"),CLASSNAMEHEADERS,0))),(IF("00"=(INDEX(ALLCLASSDATA,MATCH("HeavyMaster",CLASSFEATUREHEADERS,0),MATCH($A807,CLASSNAMEHEADERS,0))),(INDEX(ALLCLASSDATA,MATCH("HeavyMaster",CLASSFEATUREHEADERS,0),MATCH(($A807 &amp; "Points"),CLASSNAMEHEADERS,0))),(IF("00"=(INDEX(ALLCLASSDATA,MATCH("HeavyExpert",CLASSFEATUREHEADERS,0),MATCH($A807,CLASSNAMEHEADERS,0))),(INDEX(ALLCLASSDATA,MATCH("HeavyExpert",CLASSFEATUREHEADERS,0),MATCH(($A807 &amp; "Points"),CLASSNAMEHEADERS,0))),(IF("00"=(INDEX(ALLCLASSDATA,MATCH("HeavyTrained",CLASSFEATUREHEADERS,0),MATCH($A807,CLASSNAMEHEADERS,0))),(INDEX(ALLCLASSDATA,MATCH("HeavyTrained",CLASSFEATUREHEADERS,0),MATCH(($A807 &amp; "Points"),CLASSNAMEHEADERS,0))),"")))))))))}</f>
        <v>HEAVYINITIALPTS</v>
      </c>
      <c r="G806" s="223" t="str">
        <f t="array" ref="G806:G807">{"HEAVYL01";((IF("01"=(INDEX(ALLCLASSDATA,MATCH("HeavyLegendary",CLASSFEATUREHEADERS,0),MATCH($A807,CLASSNAMEHEADERS,0))),(INDEX(ALLCLASSDATA,MATCH("HeavyLegendary",CLASSFEATUREHEADERS,0),MATCH(($A807 &amp; "Points"),CLASSNAMEHEADERS,0))),(IF("01"=(INDEX(ALLCLASSDATA,MATCH("HeavyMaster",CLASSFEATUREHEADERS,0),MATCH($A807,CLASSNAMEHEADERS,0))),(INDEX(ALLCLASSDATA,MATCH("HeavyMaster",CLASSFEATUREHEADERS,0),MATCH(($A807 &amp; "Points"),CLASSNAMEHEADERS,0))),(IF("01"=(INDEX(ALLCLASSDATA,MATCH("HeavyExpert",CLASSFEATUREHEADERS,0),MATCH($A807,CLASSNAMEHEADERS,0))),(INDEX(ALLCLASSDATA,MATCH("HeavyExpert",CLASSFEATUREHEADERS,0),MATCH(($A807 &amp; "Points"),CLASSNAMEHEADERS,0))),(IF("01"=(INDEX(ALLCLASSDATA,MATCH("HeavyTrained",CLASSFEATUREHEADERS,0),MATCH($A807,CLASSNAMEHEADERS,0))),(INDEX(ALLCLASSDATA,MATCH("HeavyTrained",CLASSFEATUREHEADERS,0),MATCH(($A807 &amp; "Points"),CLASSNAMEHEADERS,0))),"")))))))))}</f>
        <v>HEAVYL01</v>
      </c>
      <c r="H806" s="223"/>
      <c r="I806" s="223" t="str">
        <f t="array" ref="I806:I807">{"HEAVYL03";((IF("03"=(INDEX(ALLCLASSDATA,MATCH("HeavyLegendary",CLASSFEATUREHEADERS,0),MATCH($A807,CLASSNAMEHEADERS,0))),(INDEX(ALLCLASSDATA,MATCH("HeavyLegendary",CLASSFEATUREHEADERS,0),MATCH(($A807 &amp; "Points"),CLASSNAMEHEADERS,0))),(IF("03"=(INDEX(ALLCLASSDATA,MATCH("HeavyMaster",CLASSFEATUREHEADERS,0),MATCH($A807,CLASSNAMEHEADERS,0))),(INDEX(ALLCLASSDATA,MATCH("HeavyMaster",CLASSFEATUREHEADERS,0),MATCH(($A807 &amp; "Points"),CLASSNAMEHEADERS,0))),(IF("03"=(INDEX(ALLCLASSDATA,MATCH("HeavyExpert",CLASSFEATUREHEADERS,0),MATCH($A807,CLASSNAMEHEADERS,0))),(INDEX(ALLCLASSDATA,MATCH("HeavyExpert",CLASSFEATUREHEADERS,0),MATCH(($A807 &amp; "Points"),CLASSNAMEHEADERS,0))),(IF("03"=(INDEX(ALLCLASSDATA,MATCH("HeavyTrained",CLASSFEATUREHEADERS,0),MATCH($A807,CLASSNAMEHEADERS,0))),(INDEX(ALLCLASSDATA,MATCH("HeavyTrained",CLASSFEATUREHEADERS,0),MATCH(($A807 &amp; "Points"),CLASSNAMEHEADERS,0))),"")))))))))}</f>
        <v>HEAVYL03</v>
      </c>
      <c r="J806" s="223"/>
      <c r="K806" s="223" t="str">
        <f t="array" ref="K806:K807">{"HEAVYL05";((IF("05"=(INDEX(ALLCLASSDATA,MATCH("HeavyLegendary",CLASSFEATUREHEADERS,0),MATCH($A807,CLASSNAMEHEADERS,0))),(INDEX(ALLCLASSDATA,MATCH("HeavyLegendary",CLASSFEATUREHEADERS,0),MATCH(($A807 &amp; "Points"),CLASSNAMEHEADERS,0))),(IF("05"=(INDEX(ALLCLASSDATA,MATCH("HeavyMaster",CLASSFEATUREHEADERS,0),MATCH($A807,CLASSNAMEHEADERS,0))),(INDEX(ALLCLASSDATA,MATCH("HeavyMaster",CLASSFEATUREHEADERS,0),MATCH(($A807 &amp; "Points"),CLASSNAMEHEADERS,0))),(IF("05"=(INDEX(ALLCLASSDATA,MATCH("HeavyExpert",CLASSFEATUREHEADERS,0),MATCH($A807,CLASSNAMEHEADERS,0))),(INDEX(ALLCLASSDATA,MATCH("HeavyExpert",CLASSFEATUREHEADERS,0),MATCH(($A807 &amp; "Points"),CLASSNAMEHEADERS,0))),(IF("05"=(INDEX(ALLCLASSDATA,MATCH("HeavyTrained",CLASSFEATUREHEADERS,0),MATCH($A807,CLASSNAMEHEADERS,0))),(INDEX(ALLCLASSDATA,MATCH("HeavyTrained",CLASSFEATUREHEADERS,0),MATCH(($A807 &amp; "Points"),CLASSNAMEHEADERS,0))),"")))))))))}</f>
        <v>HEAVYL05</v>
      </c>
      <c r="L806" s="223"/>
      <c r="M806" s="223" t="str">
        <f t="array" ref="M806:M807">{"HEAVYL07";((IF("07"=(INDEX(ALLCLASSDATA,MATCH("HeavyLegendary",CLASSFEATUREHEADERS,0),MATCH($A807,CLASSNAMEHEADERS,0))),(INDEX(ALLCLASSDATA,MATCH("HeavyLegendary",CLASSFEATUREHEADERS,0),MATCH(($A807 &amp; "Points"),CLASSNAMEHEADERS,0))),(IF("07"=(INDEX(ALLCLASSDATA,MATCH("HeavyMaster",CLASSFEATUREHEADERS,0),MATCH($A807,CLASSNAMEHEADERS,0))),(INDEX(ALLCLASSDATA,MATCH("HeavyMaster",CLASSFEATUREHEADERS,0),MATCH(($A807 &amp; "Points"),CLASSNAMEHEADERS,0))),(IF("07"=(INDEX(ALLCLASSDATA,MATCH("HeavyExpert",CLASSFEATUREHEADERS,0),MATCH($A807,CLASSNAMEHEADERS,0))),(INDEX(ALLCLASSDATA,MATCH("HeavyExpert",CLASSFEATUREHEADERS,0),MATCH(($A807 &amp; "Points"),CLASSNAMEHEADERS,0))),(IF("07"=(INDEX(ALLCLASSDATA,MATCH("HeavyTrained",CLASSFEATUREHEADERS,0),MATCH($A807,CLASSNAMEHEADERS,0))),(INDEX(ALLCLASSDATA,MATCH("HeavyTrained",CLASSFEATUREHEADERS,0),MATCH(($A807 &amp; "Points"),CLASSNAMEHEADERS,0))),"")))))))))}</f>
        <v>HEAVYL07</v>
      </c>
      <c r="N806" s="223"/>
      <c r="O806" s="223" t="str">
        <f t="array" ref="O806:O807">{"HEAVYL09";((IF("09"=(INDEX(ALLCLASSDATA,MATCH("HeavyLegendary",CLASSFEATUREHEADERS,0),MATCH($A807,CLASSNAMEHEADERS,0))),(INDEX(ALLCLASSDATA,MATCH("HeavyLegendary",CLASSFEATUREHEADERS,0),MATCH(($A807 &amp; "Points"),CLASSNAMEHEADERS,0))),(IF("09"=(INDEX(ALLCLASSDATA,MATCH("HeavyMaster",CLASSFEATUREHEADERS,0),MATCH($A807,CLASSNAMEHEADERS,0))),(INDEX(ALLCLASSDATA,MATCH("HeavyMaster",CLASSFEATUREHEADERS,0),MATCH(($A807 &amp; "Points"),CLASSNAMEHEADERS,0))),(IF("09"=(INDEX(ALLCLASSDATA,MATCH("HeavyExpert",CLASSFEATUREHEADERS,0),MATCH($A807,CLASSNAMEHEADERS,0))),(INDEX(ALLCLASSDATA,MATCH("HeavyExpert",CLASSFEATUREHEADERS,0),MATCH(($A807 &amp; "Points"),CLASSNAMEHEADERS,0))),(IF("09"=(INDEX(ALLCLASSDATA,MATCH("HeavyTrained",CLASSFEATUREHEADERS,0),MATCH($A807,CLASSNAMEHEADERS,0))),(INDEX(ALLCLASSDATA,MATCH("HeavyTrained",CLASSFEATUREHEADERS,0),MATCH(($A807 &amp; "Points"),CLASSNAMEHEADERS,0))),"")))))))))}</f>
        <v>HEAVYL09</v>
      </c>
      <c r="P806" s="223"/>
      <c r="Q806" s="223" t="str">
        <f t="array" ref="Q806:Q807">{"HEAVYL11";((IF("11"=(INDEX(ALLCLASSDATA,MATCH("HeavyLegendary",CLASSFEATUREHEADERS,0),MATCH($A807,CLASSNAMEHEADERS,0))),(INDEX(ALLCLASSDATA,MATCH("HeavyLegendary",CLASSFEATUREHEADERS,0),MATCH(($A807 &amp; "Points"),CLASSNAMEHEADERS,0))),(IF("11"=(INDEX(ALLCLASSDATA,MATCH("HeavyMaster",CLASSFEATUREHEADERS,0),MATCH($A807,CLASSNAMEHEADERS,0))),(INDEX(ALLCLASSDATA,MATCH("HeavyMaster",CLASSFEATUREHEADERS,0),MATCH(($A807 &amp; "Points"),CLASSNAMEHEADERS,0))),(IF("11"=(INDEX(ALLCLASSDATA,MATCH("HeavyExpert",CLASSFEATUREHEADERS,0),MATCH($A807,CLASSNAMEHEADERS,0))),(INDEX(ALLCLASSDATA,MATCH("HeavyExpert",CLASSFEATUREHEADERS,0),MATCH(($A807 &amp; "Points"),CLASSNAMEHEADERS,0))),(IF("11"=(INDEX(ALLCLASSDATA,MATCH("HeavyTrained",CLASSFEATUREHEADERS,0),MATCH($A807,CLASSNAMEHEADERS,0))),(INDEX(ALLCLASSDATA,MATCH("HeavyTrained",CLASSFEATUREHEADERS,0),MATCH(($A807 &amp; "Points"),CLASSNAMEHEADERS,0))),"")))))))))}</f>
        <v>HEAVYL11</v>
      </c>
      <c r="R806" s="223"/>
      <c r="S806" s="223" t="str">
        <f t="array" ref="S806:S807">{"HEAVYL13";((IF("13"=(INDEX(ALLCLASSDATA,MATCH("HeavyLegendary",CLASSFEATUREHEADERS,0),MATCH($A807,CLASSNAMEHEADERS,0))),(INDEX(ALLCLASSDATA,MATCH("HeavyLegendary",CLASSFEATUREHEADERS,0),MATCH(($A807 &amp; "Points"),CLASSNAMEHEADERS,0))),(IF("13"=(INDEX(ALLCLASSDATA,MATCH("HeavyMaster",CLASSFEATUREHEADERS,0),MATCH($A807,CLASSNAMEHEADERS,0))),(INDEX(ALLCLASSDATA,MATCH("HeavyMaster",CLASSFEATUREHEADERS,0),MATCH(($A807 &amp; "Points"),CLASSNAMEHEADERS,0))),(IF("13"=(INDEX(ALLCLASSDATA,MATCH("HeavyExpert",CLASSFEATUREHEADERS,0),MATCH($A807,CLASSNAMEHEADERS,0))),(INDEX(ALLCLASSDATA,MATCH("HeavyExpert",CLASSFEATUREHEADERS,0),MATCH(($A807 &amp; "Points"),CLASSNAMEHEADERS,0))),(IF("13"=(INDEX(ALLCLASSDATA,MATCH("HeavyTrained",CLASSFEATUREHEADERS,0),MATCH($A807,CLASSNAMEHEADERS,0))),(INDEX(ALLCLASSDATA,MATCH("HeavyTrained",CLASSFEATUREHEADERS,0),MATCH(($A807 &amp; "Points"),CLASSNAMEHEADERS,0))),"")))))))))}</f>
        <v>HEAVYL13</v>
      </c>
      <c r="T806" s="223"/>
      <c r="U806" s="223" t="str">
        <f t="array" ref="U806:U807">{"HEAVYL15";((IF("15"=(INDEX(ALLCLASSDATA,MATCH("HeavyLegendary",CLASSFEATUREHEADERS,0),MATCH($A807,CLASSNAMEHEADERS,0))),(INDEX(ALLCLASSDATA,MATCH("HeavyLegendary",CLASSFEATUREHEADERS,0),MATCH(($A807 &amp; "Points"),CLASSNAMEHEADERS,0))),(IF("15"=(INDEX(ALLCLASSDATA,MATCH("HeavyMaster",CLASSFEATUREHEADERS,0),MATCH($A807,CLASSNAMEHEADERS,0))),(INDEX(ALLCLASSDATA,MATCH("HeavyMaster",CLASSFEATUREHEADERS,0),MATCH(($A807 &amp; "Points"),CLASSNAMEHEADERS,0))),(IF("15"=(INDEX(ALLCLASSDATA,MATCH("HeavyExpert",CLASSFEATUREHEADERS,0),MATCH($A807,CLASSNAMEHEADERS,0))),(INDEX(ALLCLASSDATA,MATCH("HeavyExpert",CLASSFEATUREHEADERS,0),MATCH(($A807 &amp; "Points"),CLASSNAMEHEADERS,0))),(IF("15"=(INDEX(ALLCLASSDATA,MATCH("HeavyTrained",CLASSFEATUREHEADERS,0),MATCH($A807,CLASSNAMEHEADERS,0))),(INDEX(ALLCLASSDATA,MATCH("HeavyTrained",CLASSFEATUREHEADERS,0),MATCH(($A807 &amp; "Points"),CLASSNAMEHEADERS,0))),"")))))))))}</f>
        <v>HEAVYL15</v>
      </c>
      <c r="V806" s="223"/>
      <c r="W806" s="223" t="str">
        <f t="array" ref="W806:W807">{"HEAVYL17";((IF("17"=(INDEX(ALLCLASSDATA,MATCH("HeavyLegendary",CLASSFEATUREHEADERS,0),MATCH($A807,CLASSNAMEHEADERS,0))),(INDEX(ALLCLASSDATA,MATCH("HeavyLegendary",CLASSFEATUREHEADERS,0),MATCH(($A807 &amp; "Points"),CLASSNAMEHEADERS,0))),(IF("17"=(INDEX(ALLCLASSDATA,MATCH("HeavyMaster",CLASSFEATUREHEADERS,0),MATCH($A807,CLASSNAMEHEADERS,0))),(INDEX(ALLCLASSDATA,MATCH("HeavyMaster",CLASSFEATUREHEADERS,0),MATCH(($A807 &amp; "Points"),CLASSNAMEHEADERS,0))),(IF("17"=(INDEX(ALLCLASSDATA,MATCH("HeavyExpert",CLASSFEATUREHEADERS,0),MATCH($A807,CLASSNAMEHEADERS,0))),(INDEX(ALLCLASSDATA,MATCH("HeavyExpert",CLASSFEATUREHEADERS,0),MATCH(($A807 &amp; "Points"),CLASSNAMEHEADERS,0))),(IF("17"=(INDEX(ALLCLASSDATA,MATCH("HeavyTrained",CLASSFEATUREHEADERS,0),MATCH($A807,CLASSNAMEHEADERS,0))),(INDEX(ALLCLASSDATA,MATCH("HeavyTrained",CLASSFEATUREHEADERS,0),MATCH(($A807 &amp; "Points"),CLASSNAMEHEADERS,0))),"")))))))))}</f>
        <v>HEAVYL17</v>
      </c>
      <c r="X806" s="223"/>
      <c r="Y806" s="223" t="str">
        <f t="array" ref="Y806:Y807">{"HEAVYL19";((IF("19"=(INDEX(ALLCLASSDATA,MATCH("HeavyLegendary",CLASSFEATUREHEADERS,0),MATCH($A807,CLASSNAMEHEADERS,0))),(INDEX(ALLCLASSDATA,MATCH("HeavyLegendary",CLASSFEATUREHEADERS,0),MATCH(($A807 &amp; "Points"),CLASSNAMEHEADERS,0))),(IF("19"=(INDEX(ALLCLASSDATA,MATCH("HeavyMaster",CLASSFEATUREHEADERS,0),MATCH($A807,CLASSNAMEHEADERS,0))),(INDEX(ALLCLASSDATA,MATCH("HeavyMaster",CLASSFEATUREHEADERS,0),MATCH(($A807 &amp; "Points"),CLASSNAMEHEADERS,0))),(IF("19"=(INDEX(ALLCLASSDATA,MATCH("HeavyExpert",CLASSFEATUREHEADERS,0),MATCH($A807,CLASSNAMEHEADERS,0))),(INDEX(ALLCLASSDATA,MATCH("HeavyExpert",CLASSFEATUREHEADERS,0),MATCH(($A807 &amp; "Points"),CLASSNAMEHEADERS,0))),(IF("19"=(INDEX(ALLCLASSDATA,MATCH("HeavyTrained",CLASSFEATUREHEADERS,0),MATCH($A807,CLASSNAMEHEADERS,0))),(INDEX(ALLCLASSDATA,MATCH("HeavyTrained",CLASSFEATUREHEADERS,0),MATCH(($A807 &amp; "Points"),CLASSNAMEHEADERS,0))),"")))))))))}</f>
        <v>HEAVYL19</v>
      </c>
      <c r="Z806" s="223"/>
      <c r="AA806" s="76" t="str">
        <f t="array" ref="AA806:AA807">{"HEAVY TOTAL";(IF(COUNTBLANK(F807:Z807)=17,"L",(IF(COUNTBLANK(F807:Z807)=18,"M",(IF(COUNTBLANK(F807:Z807)=19,"E",(IF(COUNTBLANK(F807:Z807)=20,"T",""))))))))}</f>
        <v>HEAVY TOTAL</v>
      </c>
      <c r="AB806" s="76" t="str">
        <f t="array" ref="AB806:AB807">{"HEAVY TOTAL";(sum(F807:Z807))}</f>
        <v>HEAVY TOTAL</v>
      </c>
    </row>
    <row r="807">
      <c r="A807" s="48" t="s">
        <v>233</v>
      </c>
      <c r="B807" s="48" t="s">
        <v>418</v>
      </c>
      <c r="C807" s="97" t="s">
        <v>1900</v>
      </c>
      <c r="D807" s="97" t="s">
        <v>533</v>
      </c>
      <c r="E807" s="98" t="s">
        <v>603</v>
      </c>
      <c r="F807" s="132" t="s">
        <v>603</v>
      </c>
      <c r="G807" s="98" t="s">
        <v>603</v>
      </c>
      <c r="H807" s="98"/>
      <c r="I807" s="98" t="s">
        <v>603</v>
      </c>
      <c r="J807" s="98"/>
      <c r="K807" s="98" t="s">
        <v>603</v>
      </c>
      <c r="L807" s="98"/>
      <c r="M807" s="98" t="s">
        <v>603</v>
      </c>
      <c r="N807" s="98"/>
      <c r="O807" s="98" t="s">
        <v>603</v>
      </c>
      <c r="P807" s="98"/>
      <c r="Q807" s="98" t="s">
        <v>603</v>
      </c>
      <c r="R807" s="98"/>
      <c r="S807" s="98" t="s">
        <v>603</v>
      </c>
      <c r="T807" s="98"/>
      <c r="U807" s="98" t="s">
        <v>603</v>
      </c>
      <c r="V807" s="98"/>
      <c r="W807" s="98" t="s">
        <v>603</v>
      </c>
      <c r="X807" s="98"/>
      <c r="Y807" s="98" t="s">
        <v>603</v>
      </c>
      <c r="Z807" s="98"/>
      <c r="AA807" s="5" t="s">
        <v>603</v>
      </c>
      <c r="AB807" s="47">
        <v>0.0</v>
      </c>
    </row>
    <row r="808" hidden="1">
      <c r="A808" s="222" t="str">
        <f t="array" ref="A808:A809">{"FormulaRow39";(INDEX(CLASSLIST,A731,1))}</f>
        <v>FormulaRow39</v>
      </c>
      <c r="B808" s="222" t="str">
        <f t="array" ref="B808:B809">{"CLASSTYPE";((INDEX(ALLCLASSDATA,MATCH("ClassType",CLASSFEATUREHEADERS,0),MATCH($A809,CLASSNAMEHEADERS,0))))}</f>
        <v>CLASSTYPE</v>
      </c>
      <c r="C808" s="222" t="str">
        <f t="array" ref="C808:C809">{"SPELL/ALCHEMY";((IF(INDEX(ALLCLASSDATA,MATCH("CasterType",CLASSFEATUREHEADERS,0),MATCH(($A809),CLASSNAMEHEADERS,0))="","",(IF(INDEX(ALLCLASSDATA,MATCH("CasterType",CLASSFEATUREHEADERS,0),MATCH(($A809),CLASSNAMEHEADERS,0))="Alchemy","Alchemy","Spells")))))}</f>
        <v>SPELL/ALCHEMY</v>
      </c>
      <c r="D808" s="222" t="str">
        <f t="array" ref="D808:D809">{"SPELLLIST";(IF(C809="Spells",((INDEX(ALLCLASSDATA,MATCH("CasterType",CLASSFEATUREHEADERS,0),MATCH(($A809),CLASSNAMEHEADERS,0))) &amp; ":" &amp; (INDEX(ALLCLASSDATA,MATCH("SpellList",CLASSFEATUREHEADERS,0),MATCH(($A809),CLASSNAMEHEADERS,0)))),""))}</f>
        <v>SPELLLIST</v>
      </c>
      <c r="E808" s="223" t="str">
        <f t="array" ref="E808:E809">{"SPL";(IF(C809="Spells","SPL:",""))}</f>
        <v>SPL</v>
      </c>
      <c r="F808" s="223" t="str">
        <f t="array" ref="F808:F809">{"CANTRIP/ALC";(IF(C809="Spells","C",(IF(C809="Alchemy","ALC:",""))))}</f>
        <v>CANTRIP/ALC</v>
      </c>
      <c r="G808" s="223" t="str">
        <f t="array" ref="G808:G809">{"SPELL/ALC L01";(IF(C809="Alchemy","L01",(IF(C809="Spells","S01",""))))}</f>
        <v>SPELL/ALC L01</v>
      </c>
      <c r="H808" s="223" t="str">
        <f t="array" ref="H808:H809">{"SPELL/ALC L02";(IF(C809="Alchemy","L02",(IF(C809="Spells","S01",""))))}</f>
        <v>SPELL/ALC L02</v>
      </c>
      <c r="I808" s="223" t="str">
        <f t="array" ref="I808:I809">{"SPELL/ALC L03";(IF(C809="Alchemy","L03",(IF(C809="Spells","S02",""))))}</f>
        <v>SPELL/ALC L03</v>
      </c>
      <c r="J808" s="223" t="str">
        <f t="array" ref="J808:J809">{"SPELL/ALC L04";(IF(C809="Alchemy","L04",(IF(C809="Spells","S02",""))))}</f>
        <v>SPELL/ALC L04</v>
      </c>
      <c r="K808" s="223" t="str">
        <f t="array" ref="K808:K809">{"SPELL/ALC L05";(IF(C809="Alchemy","L05",(IF(C809="Spells","S03",""))))}</f>
        <v>SPELL/ALC L05</v>
      </c>
      <c r="L808" s="223" t="str">
        <f t="array" ref="L808:L809">{"SPELL/ALC L06";(IF(C809="Alchemy","L06",(IF(C809="Spells","S03",""))))}</f>
        <v>SPELL/ALC L06</v>
      </c>
      <c r="M808" s="223" t="str">
        <f t="array" ref="M808:M809">{"SPELL/ALC L07";(IF(C809="Alchemy","L07",(IF(C809="Spells","S04",""))))}</f>
        <v>SPELL/ALC L07</v>
      </c>
      <c r="N808" s="223" t="str">
        <f t="array" ref="N808:N809">{"SPELL/ALC L08";(IF(C809="Alchemy","L08",(IF(C809="Spells","S04",""))))}</f>
        <v>SPELL/ALC L08</v>
      </c>
      <c r="O808" s="223" t="str">
        <f t="array" ref="O808:O809">{"SPELL/ALC L09";(IF(C809="Alchemy","L09",(IF(C809="Spells","S05",""))))}</f>
        <v>SPELL/ALC L09</v>
      </c>
      <c r="P808" s="223" t="str">
        <f t="array" ref="P808:P809">{"SPELL/ALC L10";(IF(C809="Alchemy","L10",(IF(C809="Spells","S05",""))))}</f>
        <v>SPELL/ALC L10</v>
      </c>
      <c r="Q808" s="223" t="str">
        <f t="array" ref="Q808:Q809">{"SPELL/ALC L11";(IF(C809="Alchemy","L11",(IF(C809="Spells","S06",""))))}</f>
        <v>SPELL/ALC L11</v>
      </c>
      <c r="R808" s="223" t="str">
        <f t="array" ref="R808:R809">{"SPELL/ALC L12";(IF(C809="Alchemy","L12",(IF(C809="Spells","S06",""))))}</f>
        <v>SPELL/ALC L12</v>
      </c>
      <c r="S808" s="223" t="str">
        <f t="array" ref="S808:S809">{"SPELL/ALC L13";(IF(C809="Alchemy","L13",(IF(C809="Spells","S07",""))))}</f>
        <v>SPELL/ALC L13</v>
      </c>
      <c r="T808" s="223" t="str">
        <f t="array" ref="T808:T809">{"SPELL/ALC L14";(IF(C809="Alchemy","L14",(IF(C809="Spells","S07",""))))}</f>
        <v>SPELL/ALC L14</v>
      </c>
      <c r="U808" s="223" t="str">
        <f t="array" ref="U808:U809">{"SPELL/ALC L15";(IF(C809="Alchemy","L15",(IF(C809="Spells","S08",""))))}</f>
        <v>SPELL/ALC L15</v>
      </c>
      <c r="V808" s="223" t="str">
        <f t="array" ref="V808:V809">{"SPELL/ALC L16";(IF(C809="Alchemy","L16",(IF(C809="Spells","S08",""))))}</f>
        <v>SPELL/ALC L16</v>
      </c>
      <c r="W808" s="223" t="str">
        <f t="array" ref="W808:W809">{"SPELL/ALC L17";(IF(C809="Alchemy","L17",(IF(C809="Spells","S09",""))))}</f>
        <v>SPELL/ALC L17</v>
      </c>
      <c r="X808" s="223" t="str">
        <f t="array" ref="X808:X809">{"SPELL/ALC L18";(IF(C809="Alchemy","L18",(IF(C809="Spells","S09",""))))}</f>
        <v>SPELL/ALC L18</v>
      </c>
      <c r="Y808" s="223" t="str">
        <f t="array" ref="Y808:Y809">{"SPELL/ALC L19";(IF(C809="Alchemy","L19",(IF(C809="Spells","S10",""))))}</f>
        <v>SPELL/ALC L19</v>
      </c>
      <c r="Z808" s="223" t="str">
        <f t="array" ref="Z808:Z809">{"SPELL/ALC L20";(IF(C809="Alchemy","L20",(IF(C809="Spells","S10",""))))}</f>
        <v>SPELL/ALC L20</v>
      </c>
      <c r="AA808" s="76"/>
      <c r="AB808" s="76"/>
    </row>
    <row r="809">
      <c r="A809" s="48" t="s">
        <v>233</v>
      </c>
      <c r="B809" s="48" t="s">
        <v>418</v>
      </c>
      <c r="C809" s="48" t="s">
        <v>1901</v>
      </c>
      <c r="D809" s="48" t="s">
        <v>1935</v>
      </c>
      <c r="E809" s="278" t="s">
        <v>1903</v>
      </c>
      <c r="F809" s="114" t="s">
        <v>653</v>
      </c>
      <c r="G809" s="279" t="s">
        <v>1536</v>
      </c>
      <c r="H809" s="28" t="s">
        <v>1536</v>
      </c>
      <c r="I809" s="28" t="s">
        <v>1542</v>
      </c>
      <c r="J809" s="28" t="s">
        <v>1542</v>
      </c>
      <c r="K809" s="28" t="s">
        <v>1545</v>
      </c>
      <c r="L809" s="28" t="s">
        <v>1545</v>
      </c>
      <c r="M809" s="28" t="s">
        <v>1548</v>
      </c>
      <c r="N809" s="28" t="s">
        <v>1548</v>
      </c>
      <c r="O809" s="28" t="s">
        <v>1553</v>
      </c>
      <c r="P809" s="28" t="s">
        <v>1553</v>
      </c>
      <c r="Q809" s="28" t="s">
        <v>1556</v>
      </c>
      <c r="R809" s="28" t="s">
        <v>1556</v>
      </c>
      <c r="S809" s="28" t="s">
        <v>1559</v>
      </c>
      <c r="T809" s="28" t="s">
        <v>1559</v>
      </c>
      <c r="U809" s="28" t="s">
        <v>1562</v>
      </c>
      <c r="V809" s="28" t="s">
        <v>1562</v>
      </c>
      <c r="W809" s="28" t="s">
        <v>1565</v>
      </c>
      <c r="X809" s="28" t="s">
        <v>1565</v>
      </c>
      <c r="Y809" s="28" t="s">
        <v>1568</v>
      </c>
      <c r="Z809" s="28" t="s">
        <v>1568</v>
      </c>
      <c r="AA809" s="5"/>
      <c r="AB809" s="47"/>
    </row>
    <row r="810" hidden="1">
      <c r="A810" s="222" t="str">
        <f t="array" ref="A810:A811">{"FormulaRow40";(INDEX(CLASSLIST,A731,1))}</f>
        <v>FormulaRow40</v>
      </c>
      <c r="B810" s="222" t="str">
        <f t="array" ref="B810:B811">{"CLASSTYPE";((INDEX(ALLCLASSDATA,MATCH("ClassType",CLASSFEATUREHEADERS,0),MATCH($A811,CLASSNAMEHEADERS,0))))}</f>
        <v>CLASSTYPE</v>
      </c>
      <c r="C810" s="222" t="str">
        <f t="array" ref="C810:C811">{"SPELL/ALCHEMY";((IF(INDEX(ALLCLASSDATA,MATCH("CasterType",CLASSFEATUREHEADERS,0),MATCH(($A811),CLASSNAMEHEADERS,0))="","",(IF(INDEX(ALLCLASSDATA,MATCH("CasterType",CLASSFEATUREHEADERS,0),MATCH(($A811),CLASSNAMEHEADERS,0))="Alchemy","","Spells")))))}</f>
        <v>SPELL/ALCHEMY</v>
      </c>
      <c r="D810" s="222" t="str">
        <f t="array" ref="D810:D811">{"SPELLLIST";(IF(C811="Spells",((INDEX(ALLCLASSDATA,MATCH("CasterType",CLASSFEATUREHEADERS,0),MATCH(($A811),CLASSNAMEHEADERS,0))) &amp; ":" &amp; (INDEX(ALLCLASSDATA,MATCH("SpellList",CLASSFEATUREHEADERS,0),MATCH(($A811),CLASSNAMEHEADERS,0)))),""))}</f>
        <v>SPELLLIST</v>
      </c>
      <c r="E810" s="222" t="str">
        <f t="array" ref="E810:E811">{"SLOTCOST";(IF(C811="Spells","SlotCost:",""))}</f>
        <v>SLOTCOST</v>
      </c>
      <c r="F810" s="222" t="str">
        <f t="array" ref="F810:F811">{"SLOTCOST CANTRIP";(INDEX(ALLCLASSDATA,MATCH("CantripSlots-L00",CLASSFEATUREHEADERS,0),MATCH(($A811 &amp; "Points"),CLASSNAMEHEADERS,0)))}</f>
        <v>SLOTCOST CANTRIP</v>
      </c>
      <c r="G810" s="222" t="str">
        <f t="array" ref="G810:G811">{"SLOTCOST L01";(INDEX(ALLCLASSDATA,MATCH("SPL01-L01",CLASSFEATUREHEADERS,0),MATCH(($A811 &amp; "Points"),CLASSNAMEHEADERS,0)))}</f>
        <v>SLOTCOST L01</v>
      </c>
      <c r="H810" s="222" t="str">
        <f t="array" ref="H810:H811">{"SLOTCOST L02";(INDEX(ALLCLASSDATA,MATCH("SPL01-L02",CLASSFEATUREHEADERS,0),MATCH(($A811 &amp; "Points"),CLASSNAMEHEADERS,0)))}</f>
        <v>#REF!</v>
      </c>
      <c r="I810" s="222" t="str">
        <f t="array" ref="I810:I811">{"SLOTCOST L03";(INDEX(ALLCLASSDATA,MATCH("SPL02-L03",CLASSFEATUREHEADERS,0),MATCH(($A811 &amp; "Points"),CLASSNAMEHEADERS,0)))}</f>
        <v>SLOTCOST L03</v>
      </c>
      <c r="J810" s="222" t="str">
        <f t="array" ref="J810:J811">{"SLOTCOST L04";(INDEX(ALLCLASSDATA,MATCH("SPL02-L04",CLASSFEATUREHEADERS,0),MATCH(($A811 &amp; "Points"),CLASSNAMEHEADERS,0)))}</f>
        <v>#REF!</v>
      </c>
      <c r="K810" s="222" t="str">
        <f t="array" ref="K810:K811">{"SLOTCOST L05";(INDEX(ALLCLASSDATA,MATCH("SPL03-L05",CLASSFEATUREHEADERS,0),MATCH(($A811 &amp; "Points"),CLASSNAMEHEADERS,0)))}</f>
        <v>SLOTCOST L05</v>
      </c>
      <c r="L810" s="222" t="str">
        <f t="array" ref="L810:L811">{"SLOTCOST L06";(INDEX(ALLCLASSDATA,MATCH("SPL03-L06",CLASSFEATUREHEADERS,0),MATCH(($A811 &amp; "Points"),CLASSNAMEHEADERS,0)))}</f>
        <v>#REF!</v>
      </c>
      <c r="M810" s="222" t="str">
        <f t="array" ref="M810:M811">{"SLOTCOST L07";(INDEX(ALLCLASSDATA,MATCH("SPL04-L07",CLASSFEATUREHEADERS,0),MATCH(($A811 &amp; "Points"),CLASSNAMEHEADERS,0)))}</f>
        <v>SLOTCOST L07</v>
      </c>
      <c r="N810" s="222" t="str">
        <f t="array" ref="N810:N811">{"SLOTCOST L08";(INDEX(ALLCLASSDATA,MATCH("SPL04-L08",CLASSFEATUREHEADERS,0),MATCH(($A811 &amp; "Points"),CLASSNAMEHEADERS,0)))}</f>
        <v>#REF!</v>
      </c>
      <c r="O810" s="222" t="str">
        <f t="array" ref="O810:O811">{"SLOTCOST L09";(INDEX(ALLCLASSDATA,MATCH("SPL05-L09",CLASSFEATUREHEADERS,0),MATCH(($A811 &amp; "Points"),CLASSNAMEHEADERS,0)))}</f>
        <v>SLOTCOST L09</v>
      </c>
      <c r="P810" s="222" t="str">
        <f t="array" ref="P810:P811">{"SLOTCOST L10";(INDEX(ALLCLASSDATA,MATCH("SPL05-L10",CLASSFEATUREHEADERS,0),MATCH(($A811 &amp; "Points"),CLASSNAMEHEADERS,0)))}</f>
        <v>#REF!</v>
      </c>
      <c r="Q810" s="222" t="str">
        <f t="array" ref="Q810:Q811">{"SLOTCOST L11";(INDEX(ALLCLASSDATA,MATCH("SPL06-L11",CLASSFEATUREHEADERS,0),MATCH(($A811 &amp; "Points"),CLASSNAMEHEADERS,0)))}</f>
        <v>SLOTCOST L11</v>
      </c>
      <c r="R810" s="222" t="str">
        <f t="array" ref="R810:R811">{"SLOTCOST L12";(INDEX(ALLCLASSDATA,MATCH("SPL06-L12",CLASSFEATUREHEADERS,0),MATCH(($A811 &amp; "Points"),CLASSNAMEHEADERS,0)))}</f>
        <v>#REF!</v>
      </c>
      <c r="S810" s="222" t="str">
        <f t="array" ref="S810:S811">{"SLOTCOST L13";(INDEX(ALLCLASSDATA,MATCH("SPL07-L13",CLASSFEATUREHEADERS,0),MATCH(($A811 &amp; "Points"),CLASSNAMEHEADERS,0)))}</f>
        <v>SLOTCOST L13</v>
      </c>
      <c r="T810" s="222" t="str">
        <f t="array" ref="T810:T811">{"SLOTCOST L14";(INDEX(ALLCLASSDATA,MATCH("SPL07-L14",CLASSFEATUREHEADERS,0),MATCH(($A811 &amp; "Points"),CLASSNAMEHEADERS,0)))}</f>
        <v>#REF!</v>
      </c>
      <c r="U810" s="222" t="str">
        <f t="array" ref="U810:U811">{"SLOTCOST L15";(INDEX(ALLCLASSDATA,MATCH("SPL08-L15",CLASSFEATUREHEADERS,0),MATCH(($A811 &amp; "Points"),CLASSNAMEHEADERS,0)))}</f>
        <v>SLOTCOST L15</v>
      </c>
      <c r="V810" s="222" t="str">
        <f t="array" ref="V810:V811">{"SLOTCOST L16";(INDEX(ALLCLASSDATA,MATCH("SPL08-L16",CLASSFEATUREHEADERS,0),MATCH(($A811 &amp; "Points"),CLASSNAMEHEADERS,0)))}</f>
        <v>#REF!</v>
      </c>
      <c r="W810" s="222" t="str">
        <f t="array" ref="W810:W811">{"SLOTCOST L17";(INDEX(ALLCLASSDATA,MATCH("SPL09-L17",CLASSFEATUREHEADERS,0),MATCH(($A811 &amp; "Points"),CLASSNAMEHEADERS,0)))}</f>
        <v>SLOTCOST L17</v>
      </c>
      <c r="X810" s="222" t="str">
        <f t="array" ref="X810:X811">{"SLOTCOST L18";(INDEX(ALLCLASSDATA,MATCH("SPL09-L18",CLASSFEATUREHEADERS,0),MATCH(($A811 &amp; "Points"),CLASSNAMEHEADERS,0)))}</f>
        <v>#REF!</v>
      </c>
      <c r="Y810" s="222" t="str">
        <f t="array" ref="Y810:Y811">{"SLOTCOST L19";(INDEX(ALLCLASSDATA,MATCH("SPL10-L19",CLASSFEATUREHEADERS,0),MATCH(($A811 &amp; "Points"),CLASSNAMEHEADERS,0)))}</f>
        <v>SLOTCOST L19</v>
      </c>
      <c r="Z810" s="222" t="str">
        <f t="array" ref="Z810:Z811">{"SLOTCOST L20";(INDEX(ALLCLASSDATA,MATCH("SPL10-L20",CLASSFEATUREHEADERS,0),MATCH(($A811 &amp; "Points"),CLASSNAMEHEADERS,0)))}</f>
        <v>SLOTCOST L20</v>
      </c>
      <c r="AA810" s="76"/>
      <c r="AB810" s="76" t="str">
        <f t="array" ref="AB810:AB811">{"SLOT TOTAL";(sum(F811:Z811))}</f>
        <v>SLOT TOTAL</v>
      </c>
    </row>
    <row r="811">
      <c r="A811" s="48" t="s">
        <v>233</v>
      </c>
      <c r="B811" s="48" t="s">
        <v>418</v>
      </c>
      <c r="C811" s="48" t="s">
        <v>1901</v>
      </c>
      <c r="D811" s="48" t="s">
        <v>1935</v>
      </c>
      <c r="E811" s="278" t="s">
        <v>1904</v>
      </c>
      <c r="F811" s="47"/>
      <c r="G811" s="5">
        <v>30.0</v>
      </c>
      <c r="H811" s="48" t="s">
        <v>1905</v>
      </c>
      <c r="I811" s="5">
        <v>30.0</v>
      </c>
      <c r="J811" s="48" t="s">
        <v>1905</v>
      </c>
      <c r="K811" s="5">
        <v>30.0</v>
      </c>
      <c r="L811" s="48" t="s">
        <v>1905</v>
      </c>
      <c r="M811" s="5">
        <v>30.0</v>
      </c>
      <c r="N811" s="48" t="s">
        <v>1905</v>
      </c>
      <c r="O811" s="5">
        <v>30.0</v>
      </c>
      <c r="P811" s="48" t="s">
        <v>1905</v>
      </c>
      <c r="Q811" s="5">
        <v>30.0</v>
      </c>
      <c r="R811" s="48" t="s">
        <v>1905</v>
      </c>
      <c r="S811" s="5">
        <v>30.0</v>
      </c>
      <c r="T811" s="48" t="s">
        <v>1905</v>
      </c>
      <c r="U811" s="5">
        <v>30.0</v>
      </c>
      <c r="V811" s="48" t="s">
        <v>1905</v>
      </c>
      <c r="W811" s="5">
        <v>30.0</v>
      </c>
      <c r="X811" s="48" t="s">
        <v>1905</v>
      </c>
      <c r="Y811" s="5">
        <v>190.0</v>
      </c>
      <c r="Z811" s="5" t="s">
        <v>603</v>
      </c>
      <c r="AA811" s="5"/>
      <c r="AB811" s="47">
        <v>460.0</v>
      </c>
    </row>
    <row r="812" hidden="1">
      <c r="A812" s="222" t="str">
        <f t="array" ref="A812:A813">{"FormulaRow41";(INDEX(CLASSLIST,A731,1))}</f>
        <v>FormulaRow41</v>
      </c>
      <c r="B812" s="222" t="str">
        <f t="array" ref="B812:B813">{"CLASSTYPE";((INDEX(ALLCLASSDATA,MATCH("ClassType",CLASSFEATUREHEADERS,0),MATCH($A813,CLASSNAMEHEADERS,0))))}</f>
        <v>CLASSTYPE</v>
      </c>
      <c r="C812" s="222" t="str">
        <f t="array" ref="C812:C813">{"SPELL/ALCHEMY";((IF(INDEX(ALLCLASSDATA,MATCH("CasterType",CLASSFEATUREHEADERS,0),MATCH(($A813),CLASSNAMEHEADERS,0))="","",(IF(INDEX(ALLCLASSDATA,MATCH("CasterType",CLASSFEATUREHEADERS,0),MATCH(($A813),CLASSNAMEHEADERS,0))="Alchemy","Alchemy","Spells")))))}</f>
        <v>SPELL/ALCHEMY</v>
      </c>
      <c r="D812" s="222" t="str">
        <f t="array" ref="D812:D813">{"SPELLLIST";(IF(C813="Spells",((INDEX(ALLCLASSDATA,MATCH("CasterType",CLASSFEATUREHEADERS,0),MATCH(($A813),CLASSNAMEHEADERS,0))) &amp; ":" &amp; (INDEX(ALLCLASSDATA,MATCH("SpellList",CLASSFEATUREHEADERS,0),MATCH(($A813),CLASSNAMEHEADERS,0)))),""))}</f>
        <v>SPELLLIST</v>
      </c>
      <c r="E812" s="223" t="str">
        <f t="array" ref="E812:E813">{"LEARNEDCOST";(IF(C813="","","LearnCost:"))}</f>
        <v>LEARNEDCOST</v>
      </c>
      <c r="F812" s="223" t="str">
        <f t="array" ref="F812:F813">{"LEARNED CANTRIPS";(INDEX(ALLCLASSDATA,MATCH("CantripsLearned-L00",CLASSFEATUREHEADERS,0),MATCH(($A813 &amp; "Points"),CLASSNAMEHEADERS,0)))}</f>
        <v>LEARNED CANTRIPS</v>
      </c>
      <c r="G812" s="223" t="str">
        <f t="array" ref="G812:G813">{"LEARNED L01";(INDEX(ALLCLASSDATA,MATCH("Learned-L01",CLASSFEATUREHEADERS,0),MATCH(($A813 &amp; "Points"),CLASSNAMEHEADERS,0)))}</f>
        <v>LEARNED L01</v>
      </c>
      <c r="H812" s="223" t="str">
        <f t="array" ref="H812:H813">{"LEARNED L02";(INDEX(ALLCLASSDATA,MATCH("Learned-L02",CLASSFEATUREHEADERS,0),MATCH(($A813 &amp; "Points"),CLASSNAMEHEADERS,0)))}</f>
        <v>#REF!</v>
      </c>
      <c r="I812" s="223" t="str">
        <f t="array" ref="I812:I813">{"LEARNED L03";(INDEX(ALLCLASSDATA,MATCH("Learned-L03",CLASSFEATUREHEADERS,0),MATCH(($A813 &amp; "Points"),CLASSNAMEHEADERS,0)))}</f>
        <v>LEARNED L03</v>
      </c>
      <c r="J812" s="223" t="str">
        <f t="array" ref="J812:J813">{"LEARNED L04";(INDEX(ALLCLASSDATA,MATCH("Learned-L04",CLASSFEATUREHEADERS,0),MATCH(($A813 &amp; "Points"),CLASSNAMEHEADERS,0)))}</f>
        <v>#REF!</v>
      </c>
      <c r="K812" s="223" t="str">
        <f t="array" ref="K812:K813">{"LEARNED L05";(INDEX(ALLCLASSDATA,MATCH("Learned-L05",CLASSFEATUREHEADERS,0),MATCH(($A813 &amp; "Points"),CLASSNAMEHEADERS,0)))}</f>
        <v>LEARNED L05</v>
      </c>
      <c r="L812" s="223" t="str">
        <f t="array" ref="L812:L813">{"LEARNED L06";(INDEX(ALLCLASSDATA,MATCH("Learned-L06",CLASSFEATUREHEADERS,0),MATCH(($A813 &amp; "Points"),CLASSNAMEHEADERS,0)))}</f>
        <v>#REF!</v>
      </c>
      <c r="M812" s="223" t="str">
        <f t="array" ref="M812:M813">{"LEARNED L07";(INDEX(ALLCLASSDATA,MATCH("Learned-L07",CLASSFEATUREHEADERS,0),MATCH(($A813 &amp; "Points"),CLASSNAMEHEADERS,0)))}</f>
        <v>LEARNED L07</v>
      </c>
      <c r="N812" s="223" t="str">
        <f t="array" ref="N812:N813">{"LEARNED L08";(INDEX(ALLCLASSDATA,MATCH("Learned-L08",CLASSFEATUREHEADERS,0),MATCH(($A813 &amp; "Points"),CLASSNAMEHEADERS,0)))}</f>
        <v>#REF!</v>
      </c>
      <c r="O812" s="223" t="str">
        <f t="array" ref="O812:O813">{"LEARNED L09";(INDEX(ALLCLASSDATA,MATCH("Learned-L09",CLASSFEATUREHEADERS,0),MATCH(($A813 &amp; "Points"),CLASSNAMEHEADERS,0)))}</f>
        <v>LEARNED L09</v>
      </c>
      <c r="P812" s="223" t="str">
        <f t="array" ref="P812:P813">{"LEARNED L10";(INDEX(ALLCLASSDATA,MATCH("Learned-L10",CLASSFEATUREHEADERS,0),MATCH(($A813 &amp; "Points"),CLASSNAMEHEADERS,0)))}</f>
        <v>#REF!</v>
      </c>
      <c r="Q812" s="223" t="str">
        <f t="array" ref="Q812:Q813">{"LEARNED L11";(INDEX(ALLCLASSDATA,MATCH("Learned-L11",CLASSFEATUREHEADERS,0),MATCH(($A813 &amp; "Points"),CLASSNAMEHEADERS,0)))}</f>
        <v>LEARNED L11</v>
      </c>
      <c r="R812" s="223" t="str">
        <f t="array" ref="R812:R813">{"LEARNED L12";(INDEX(ALLCLASSDATA,MATCH("Learned-L12",CLASSFEATUREHEADERS,0),MATCH(($A813 &amp; "Points"),CLASSNAMEHEADERS,0)))}</f>
        <v>#REF!</v>
      </c>
      <c r="S812" s="223" t="str">
        <f t="array" ref="S812:S813">{"LEARNED L13";(INDEX(ALLCLASSDATA,MATCH("Learned-L13",CLASSFEATUREHEADERS,0),MATCH(($A813 &amp; "Points"),CLASSNAMEHEADERS,0)))}</f>
        <v>LEARNED L13</v>
      </c>
      <c r="T812" s="223" t="str">
        <f t="array" ref="T812:T813">{"LEARNED L14";(INDEX(ALLCLASSDATA,MATCH("Learned-L14",CLASSFEATUREHEADERS,0),MATCH(($A813 &amp; "Points"),CLASSNAMEHEADERS,0)))}</f>
        <v>#REF!</v>
      </c>
      <c r="U812" s="223" t="str">
        <f t="array" ref="U812:U813">{"LEARNED L15";(INDEX(ALLCLASSDATA,MATCH("Learned-L15",CLASSFEATUREHEADERS,0),MATCH(($A813 &amp; "Points"),CLASSNAMEHEADERS,0)))}</f>
        <v>LEARNED L15</v>
      </c>
      <c r="V812" s="223" t="str">
        <f t="array" ref="V812:V813">{"LEARNED L16";(INDEX(ALLCLASSDATA,MATCH("Learned-L16",CLASSFEATUREHEADERS,0),MATCH(($A813 &amp; "Points"),CLASSNAMEHEADERS,0)))}</f>
        <v>#REF!</v>
      </c>
      <c r="W812" s="223" t="str">
        <f t="array" ref="W812:W813">{"LEARNED L17";(INDEX(ALLCLASSDATA,MATCH("Learned-L17",CLASSFEATUREHEADERS,0),MATCH(($A813 &amp; "Points"),CLASSNAMEHEADERS,0)))}</f>
        <v>LEARNED L17</v>
      </c>
      <c r="X812" s="223" t="str">
        <f t="array" ref="X812:X813">{"LEARNED L18";(INDEX(ALLCLASSDATA,MATCH("Learned-L18",CLASSFEATUREHEADERS,0),MATCH(($A813 &amp; "Points"),CLASSNAMEHEADERS,0)))}</f>
        <v>#REF!</v>
      </c>
      <c r="Y812" s="223" t="str">
        <f t="array" ref="Y812:Y813">{"LEARNED L19";(INDEX(ALLCLASSDATA,MATCH("Learned-L19",CLASSFEATUREHEADERS,0),MATCH(($A813 &amp; "Points"),CLASSNAMEHEADERS,0)))}</f>
        <v>LEARNED L19</v>
      </c>
      <c r="Z812" s="223" t="str">
        <f t="array" ref="Z812:Z813">{"LEARNED L20";(INDEX(ALLCLASSDATA,MATCH("Learned-L20",CLASSFEATUREHEADERS,0),MATCH(($A813 &amp; "Points"),CLASSNAMEHEADERS,0)))}</f>
        <v>LEARNED L20</v>
      </c>
      <c r="AA812" s="76"/>
      <c r="AB812" s="76" t="str">
        <f t="array" ref="AB812:AB813">{"LEARNED TOTAL";(sum(F813:Z813))}</f>
        <v>LEARNED TOTAL</v>
      </c>
    </row>
    <row r="813">
      <c r="A813" s="48" t="s">
        <v>233</v>
      </c>
      <c r="B813" s="48" t="s">
        <v>418</v>
      </c>
      <c r="C813" s="48" t="s">
        <v>1901</v>
      </c>
      <c r="D813" s="48" t="s">
        <v>1935</v>
      </c>
      <c r="E813" s="278" t="s">
        <v>1906</v>
      </c>
      <c r="F813" s="47">
        <v>0.0</v>
      </c>
      <c r="G813" s="5">
        <v>30.0</v>
      </c>
      <c r="H813" s="48" t="s">
        <v>1905</v>
      </c>
      <c r="I813" s="5">
        <v>30.0</v>
      </c>
      <c r="J813" s="48" t="s">
        <v>1905</v>
      </c>
      <c r="K813" s="5">
        <v>30.0</v>
      </c>
      <c r="L813" s="48" t="s">
        <v>1905</v>
      </c>
      <c r="M813" s="48">
        <v>30.0</v>
      </c>
      <c r="N813" s="48" t="s">
        <v>1905</v>
      </c>
      <c r="O813" s="5">
        <v>30.0</v>
      </c>
      <c r="P813" s="48" t="s">
        <v>1905</v>
      </c>
      <c r="Q813" s="5">
        <v>30.0</v>
      </c>
      <c r="R813" s="48" t="s">
        <v>1905</v>
      </c>
      <c r="S813" s="5">
        <v>30.0</v>
      </c>
      <c r="T813" s="48" t="s">
        <v>1905</v>
      </c>
      <c r="U813" s="5">
        <v>30.0</v>
      </c>
      <c r="V813" s="48" t="s">
        <v>1905</v>
      </c>
      <c r="W813" s="5">
        <v>30.0</v>
      </c>
      <c r="X813" s="48" t="s">
        <v>1905</v>
      </c>
      <c r="Y813" s="5">
        <v>0.0</v>
      </c>
      <c r="Z813" s="5" t="s">
        <v>603</v>
      </c>
      <c r="AA813" s="5"/>
      <c r="AB813" s="47">
        <v>270.0</v>
      </c>
    </row>
    <row r="814" hidden="1">
      <c r="A814" s="222" t="str">
        <f t="array" ref="A814:A815">{"FormulaRow42";(INDEX(CLASSLIST,A731,1))}</f>
        <v>FormulaRow42</v>
      </c>
      <c r="B814" s="222" t="str">
        <f t="array" ref="B814:B815">{"CLASSTYPE";((INDEX(ALLCLASSDATA,MATCH("ClassType",CLASSFEATUREHEADERS,0),MATCH($A815,CLASSNAMEHEADERS,0))))}</f>
        <v>CLASSTYPE</v>
      </c>
      <c r="C814" s="222" t="str">
        <f t="array" ref="C814:C815">{"SPELL/ALCHEMY";((IF(INDEX(ALLCLASSDATA,MATCH("CasterType",CLASSFEATUREHEADERS,0),MATCH(($A815),CLASSNAMEHEADERS,0))="","",(IF(INDEX(ALLCLASSDATA,MATCH("CasterType",CLASSFEATUREHEADERS,0),MATCH(($A815),CLASSNAMEHEADERS,0))="Alchemy","","Spells")))))}</f>
        <v>SPELL/ALCHEMY</v>
      </c>
      <c r="D814" s="222" t="str">
        <f t="array" ref="D814:D815">{"SPELLLIST";(IF(C815="Spells",((INDEX(ALLCLASSDATA,MATCH("CasterType",CLASSFEATUREHEADERS,0),MATCH(($A815),CLASSNAMEHEADERS,0))) &amp; ":" &amp; (INDEX(ALLCLASSDATA,MATCH("SpellList",CLASSFEATUREHEADERS,0),MATCH(($A815),CLASSNAMEHEADERS,0)))),""))}</f>
        <v>SPELLLIST</v>
      </c>
      <c r="E814" s="223" t="str">
        <f t="array" ref="E814:E815">{"SLOT/LVL";(IF(C809="Spells","Slot/LVL:",""))}</f>
        <v>SLOT/LVL</v>
      </c>
      <c r="F814" s="223" t="str">
        <f t="array" ref="F814:F815">{"CANTRIPSLOTS";(INDEX(ALLCLASSDATA,MATCH("CantripSlots-L00",CLASSFEATUREHEADERS,0),MATCH($A815,CLASSNAMEHEADERS,0)))}</f>
        <v>#REF!</v>
      </c>
      <c r="G814" s="223" t="str">
        <f t="array" ref="G814:G815">{"SPL01-L01";(INDEX(ALLCLASSDATA,MATCH("SPL01-L01",CLASSFEATUREHEADERS,0),MATCH($A815,CLASSNAMEHEADERS,0)))}</f>
        <v>SPL01-L01</v>
      </c>
      <c r="H814" s="223" t="str">
        <f t="array" ref="H814:H815">{"SPL01-L02";(INDEX(ALLCLASSDATA,MATCH("SPL01-L02",CLASSFEATUREHEADERS,0),MATCH($A815,CLASSNAMEHEADERS,0)))}</f>
        <v>#REF!</v>
      </c>
      <c r="I814" s="223" t="str">
        <f t="array" ref="I814:I815">{"SPL02-L03";(INDEX(ALLCLASSDATA,MATCH("SPL02-L03",CLASSFEATUREHEADERS,0),MATCH($A815,CLASSNAMEHEADERS,0)))}</f>
        <v>SPL02-L03</v>
      </c>
      <c r="J814" s="223" t="str">
        <f t="array" ref="J814:J815">{"SPL02-L04";(INDEX(ALLCLASSDATA,MATCH("SPL02-L04",CLASSFEATUREHEADERS,0),MATCH($A815,CLASSNAMEHEADERS,0)))}</f>
        <v>#REF!</v>
      </c>
      <c r="K814" s="223" t="str">
        <f t="array" ref="K814:K815">{"SPL03-L05";(INDEX(ALLCLASSDATA,MATCH("SPL03-L05",CLASSFEATUREHEADERS,0),MATCH($A815,CLASSNAMEHEADERS,0)))}</f>
        <v>SPL03-L05</v>
      </c>
      <c r="L814" s="223" t="str">
        <f t="array" ref="L814:L815">{"SPL03-L06";(INDEX(ALLCLASSDATA,MATCH("SPL03-L06",CLASSFEATUREHEADERS,0),MATCH($A815,CLASSNAMEHEADERS,0)))}</f>
        <v>#REF!</v>
      </c>
      <c r="M814" s="223" t="str">
        <f t="array" ref="M814:M815">{"SPL04-L07";(INDEX(ALLCLASSDATA,MATCH("SPL04-L07",CLASSFEATUREHEADERS,0),MATCH($A815,CLASSNAMEHEADERS,0)))}</f>
        <v>SPL04-L07</v>
      </c>
      <c r="N814" s="223" t="str">
        <f t="array" ref="N814:N815">{"SPL04-L08";(INDEX(ALLCLASSDATA,MATCH("SPL04-L08",CLASSFEATUREHEADERS,0),MATCH($A815,CLASSNAMEHEADERS,0)))}</f>
        <v>#REF!</v>
      </c>
      <c r="O814" s="223" t="str">
        <f t="array" ref="O814:O815">{"SPL05-L09";(INDEX(ALLCLASSDATA,MATCH("SPL05-L09",CLASSFEATUREHEADERS,0),MATCH($A815,CLASSNAMEHEADERS,0)))}</f>
        <v>SPL05-L09</v>
      </c>
      <c r="P814" s="223" t="str">
        <f t="array" ref="P814:P815">{"SPL05-L10";(INDEX(ALLCLASSDATA,MATCH("SPL05-L10",CLASSFEATUREHEADERS,0),MATCH($A815,CLASSNAMEHEADERS,0)))}</f>
        <v>#REF!</v>
      </c>
      <c r="Q814" s="223" t="str">
        <f t="array" ref="Q814:Q815">{"SPL06-L11";(INDEX(ALLCLASSDATA,MATCH("SPL06-L11",CLASSFEATUREHEADERS,0),MATCH($A815,CLASSNAMEHEADERS,0)))}</f>
        <v>SPL06-L11</v>
      </c>
      <c r="R814" s="223" t="str">
        <f t="array" ref="R814:R815">{"SPL06-L12";(INDEX(ALLCLASSDATA,MATCH("SPL06-L12",CLASSFEATUREHEADERS,0),MATCH($A815,CLASSNAMEHEADERS,0)))}</f>
        <v>#REF!</v>
      </c>
      <c r="S814" s="223" t="str">
        <f t="array" ref="S814:S815">{"SPL07-L13";(INDEX(ALLCLASSDATA,MATCH("SPL07-L13",CLASSFEATUREHEADERS,0),MATCH($A815,CLASSNAMEHEADERS,0)))}</f>
        <v>SPL07-L13</v>
      </c>
      <c r="T814" s="223" t="str">
        <f t="array" ref="T814:T815">{"SPL07-L14";(INDEX(ALLCLASSDATA,MATCH("SPL07-L14",CLASSFEATUREHEADERS,0),MATCH($A815,CLASSNAMEHEADERS,0)))}</f>
        <v>#REF!</v>
      </c>
      <c r="U814" s="223" t="str">
        <f t="array" ref="U814:U815">{"SPL08-L15";(INDEX(ALLCLASSDATA,MATCH("SPL08-L15",CLASSFEATUREHEADERS,0),MATCH($A815,CLASSNAMEHEADERS,0)))}</f>
        <v>SPL08-L15</v>
      </c>
      <c r="V814" s="223" t="str">
        <f t="array" ref="V814:V815">{"SPL08-L16";(INDEX(ALLCLASSDATA,MATCH("SPL08-L16",CLASSFEATUREHEADERS,0),MATCH($A815,CLASSNAMEHEADERS,0)))}</f>
        <v>#REF!</v>
      </c>
      <c r="W814" s="223" t="str">
        <f t="array" ref="W814:W815">{"SPL09-L17";(INDEX(ALLCLASSDATA,MATCH("SPL09-L17",CLASSFEATUREHEADERS,0),MATCH($A815,CLASSNAMEHEADERS,0)))}</f>
        <v>SPL09-L17</v>
      </c>
      <c r="X814" s="223" t="str">
        <f t="array" ref="X814:X815">{"SPL09-L18";(INDEX(ALLCLASSDATA,MATCH("SPL09-L18",CLASSFEATUREHEADERS,0),MATCH($A815,CLASSNAMEHEADERS,0)))}</f>
        <v>#REF!</v>
      </c>
      <c r="Y814" s="223" t="str">
        <f t="array" ref="Y814:Y815">{"SPL10-L19";(INDEX(ALLCLASSDATA,MATCH("SPL10-L19",CLASSFEATUREHEADERS,0),MATCH($A815,CLASSNAMEHEADERS,0)))}</f>
        <v>SPL10-L19</v>
      </c>
      <c r="Z814" s="223" t="str">
        <f t="array" ref="Z814:Z815">{"SPL10-L20";(INDEX(ALLCLASSDATA,MATCH("SPL10-L20",CLASSFEATUREHEADERS,0),MATCH($A815,CLASSNAMEHEADERS,0)))}</f>
        <v>SPL10-L20</v>
      </c>
      <c r="AA814" s="76"/>
      <c r="AB814" s="76"/>
    </row>
    <row r="815">
      <c r="A815" s="48" t="s">
        <v>233</v>
      </c>
      <c r="B815" s="48" t="s">
        <v>418</v>
      </c>
      <c r="C815" s="48" t="s">
        <v>1901</v>
      </c>
      <c r="D815" s="48" t="s">
        <v>1935</v>
      </c>
      <c r="E815" s="278" t="s">
        <v>1907</v>
      </c>
      <c r="F815" s="114">
        <v>4.0</v>
      </c>
      <c r="G815" s="50" t="s">
        <v>1539</v>
      </c>
      <c r="H815" s="50" t="s">
        <v>1908</v>
      </c>
      <c r="I815" s="50" t="s">
        <v>1539</v>
      </c>
      <c r="J815" s="50" t="s">
        <v>1908</v>
      </c>
      <c r="K815" s="50" t="s">
        <v>1539</v>
      </c>
      <c r="L815" s="50" t="s">
        <v>1908</v>
      </c>
      <c r="M815" s="50" t="s">
        <v>1539</v>
      </c>
      <c r="N815" s="50" t="s">
        <v>1908</v>
      </c>
      <c r="O815" s="50" t="s">
        <v>1539</v>
      </c>
      <c r="P815" s="50" t="s">
        <v>1908</v>
      </c>
      <c r="Q815" s="50" t="s">
        <v>1539</v>
      </c>
      <c r="R815" s="50" t="s">
        <v>1908</v>
      </c>
      <c r="S815" s="50" t="s">
        <v>1539</v>
      </c>
      <c r="T815" s="50" t="s">
        <v>1908</v>
      </c>
      <c r="U815" s="50" t="s">
        <v>1539</v>
      </c>
      <c r="V815" s="50" t="s">
        <v>1908</v>
      </c>
      <c r="W815" s="50" t="s">
        <v>1539</v>
      </c>
      <c r="X815" s="50" t="s">
        <v>1908</v>
      </c>
      <c r="Y815" s="50" t="s">
        <v>1537</v>
      </c>
      <c r="Z815" s="50"/>
      <c r="AA815" s="278"/>
      <c r="AB815" s="47"/>
    </row>
    <row r="816" hidden="1">
      <c r="A816" s="222" t="str">
        <f t="array" ref="A816:A817">{"FormulaRow43";(INDEX(CLASSLIST,A731,1))}</f>
        <v>FormulaRow43</v>
      </c>
      <c r="B816" s="222" t="str">
        <f t="array" ref="B816:B817">{"CLASSTYPE";((INDEX(ALLCLASSDATA,MATCH("ClassType",CLASSFEATUREHEADERS,0),MATCH($A817,CLASSNAMEHEADERS,0))))}</f>
        <v>CLASSTYPE</v>
      </c>
      <c r="C816" s="222" t="str">
        <f t="array" ref="C816:C817">{"SPELL/ALCHEMY";((IF(INDEX(ALLCLASSDATA,MATCH("CasterType",CLASSFEATUREHEADERS,0),MATCH(($A817),CLASSNAMEHEADERS,0))="","",(IF(INDEX(ALLCLASSDATA,MATCH("CasterType",CLASSFEATUREHEADERS,0),MATCH(($A817),CLASSNAMEHEADERS,0))="Alchemy","Alchemy","Spells")))))}</f>
        <v>SPELL/ALCHEMY</v>
      </c>
      <c r="D816" s="222" t="str">
        <f t="array" ref="D816:D817">{"SPELLLIST";(IF(C817="Spells",((INDEX(ALLCLASSDATA,MATCH("CasterType",CLASSFEATUREHEADERS,0),MATCH(($A817),CLASSNAMEHEADERS,0))) &amp; ":" &amp; (INDEX(ALLCLASSDATA,MATCH("SpellList",CLASSFEATUREHEADERS,0),MATCH(($A817),CLASSNAMEHEADERS,0)))),""))}</f>
        <v>SPELLLIST</v>
      </c>
      <c r="E816" s="223" t="str">
        <f t="array" ref="E816:E817">{"LEARNED/LVL";(IF(C817="","","Learn/LVL:"))}</f>
        <v>LEARNED/LVL</v>
      </c>
      <c r="F816" s="223" t="str">
        <f t="array" ref="F816:F817">{"LEARNEDCANTRIPS";(INDEX(ALLCLASSDATA,MATCH("CantripsLearned-L00",CLASSFEATUREHEADERS,0),MATCH($A817,CLASSNAMEHEADERS,0)))}</f>
        <v>LEARNEDCANTRIPS</v>
      </c>
      <c r="G816" s="223" t="str">
        <f t="array" ref="G816:G817">{"LEARNED L01";(INDEX(ALLCLASSDATA,MATCH("Learned-L01",CLASSFEATUREHEADERS,0),MATCH($A817,CLASSNAMEHEADERS,0)))}</f>
        <v>LEARNED L01</v>
      </c>
      <c r="H816" s="223" t="str">
        <f t="array" ref="H816:H817">{"LEARNED L02";(INDEX(ALLCLASSDATA,MATCH("Learned-L02",CLASSFEATUREHEADERS,0),MATCH($A817,CLASSNAMEHEADERS,0)))}</f>
        <v>#REF!</v>
      </c>
      <c r="I816" s="223" t="str">
        <f t="array" ref="I816:I817">{"LEARNED L03";(INDEX(ALLCLASSDATA,MATCH("Learned-L03",CLASSFEATUREHEADERS,0),MATCH($A817,CLASSNAMEHEADERS,0)))}</f>
        <v>LEARNED L03</v>
      </c>
      <c r="J816" s="223" t="str">
        <f t="array" ref="J816:J817">{"LEARNED L04";(INDEX(ALLCLASSDATA,MATCH("Learned-L04",CLASSFEATUREHEADERS,0),MATCH($A817,CLASSNAMEHEADERS,0)))}</f>
        <v>#REF!</v>
      </c>
      <c r="K816" s="223" t="str">
        <f t="array" ref="K816:K817">{"LEARNED L05";(INDEX(ALLCLASSDATA,MATCH("Learned-L05",CLASSFEATUREHEADERS,0),MATCH($A817,CLASSNAMEHEADERS,0)))}</f>
        <v>LEARNED L05</v>
      </c>
      <c r="L816" s="223" t="str">
        <f t="array" ref="L816:L817">{"LEARNED L06";(INDEX(ALLCLASSDATA,MATCH("Learned-L06",CLASSFEATUREHEADERS,0),MATCH($A817,CLASSNAMEHEADERS,0)))}</f>
        <v>#REF!</v>
      </c>
      <c r="M816" s="223" t="str">
        <f t="array" ref="M816:M817">{"LEARNED L07";(INDEX(ALLCLASSDATA,MATCH("Learned-L07",CLASSFEATUREHEADERS,0),MATCH($A817,CLASSNAMEHEADERS,0)))}</f>
        <v>LEARNED L07</v>
      </c>
      <c r="N816" s="223" t="str">
        <f t="array" ref="N816:N817">{"LEARNED L08";(INDEX(ALLCLASSDATA,MATCH("Learned-L08",CLASSFEATUREHEADERS,0),MATCH($A817,CLASSNAMEHEADERS,0)))}</f>
        <v>#REF!</v>
      </c>
      <c r="O816" s="223" t="str">
        <f t="array" ref="O816:O817">{"LEARNED L09";(INDEX(ALLCLASSDATA,MATCH("Learned-L09",CLASSFEATUREHEADERS,0),MATCH($A817,CLASSNAMEHEADERS,0)))}</f>
        <v>LEARNED L09</v>
      </c>
      <c r="P816" s="223" t="str">
        <f t="array" ref="P816:P817">{"LEARNED L10";(INDEX(ALLCLASSDATA,MATCH("Learned-L10",CLASSFEATUREHEADERS,0),MATCH($A817,CLASSNAMEHEADERS,0)))}</f>
        <v>#REF!</v>
      </c>
      <c r="Q816" s="223" t="str">
        <f t="array" ref="Q816:Q817">{"LEARNED L11";(INDEX(ALLCLASSDATA,MATCH("Learned-L11",CLASSFEATUREHEADERS,0),MATCH($A817,CLASSNAMEHEADERS,0)))}</f>
        <v>LEARNED L11</v>
      </c>
      <c r="R816" s="223" t="str">
        <f t="array" ref="R816:R817">{"LEARNED L12";(INDEX(ALLCLASSDATA,MATCH("Learned-L12",CLASSFEATUREHEADERS,0),MATCH($A817,CLASSNAMEHEADERS,0)))}</f>
        <v>#REF!</v>
      </c>
      <c r="S816" s="223" t="str">
        <f t="array" ref="S816:S817">{"LEARNED L13";(INDEX(ALLCLASSDATA,MATCH("Learned-L13",CLASSFEATUREHEADERS,0),MATCH($A817,CLASSNAMEHEADERS,0)))}</f>
        <v>LEARNED L13</v>
      </c>
      <c r="T816" s="223" t="str">
        <f t="array" ref="T816:T817">{"LEARNED L14";(INDEX(ALLCLASSDATA,MATCH("Learned-L14",CLASSFEATUREHEADERS,0),MATCH($A817,CLASSNAMEHEADERS,0)))}</f>
        <v>#REF!</v>
      </c>
      <c r="U816" s="223" t="str">
        <f t="array" ref="U816:U817">{"LEARNED L15";(INDEX(ALLCLASSDATA,MATCH("Learned-L15",CLASSFEATUREHEADERS,0),MATCH($A817,CLASSNAMEHEADERS,0)))}</f>
        <v>LEARNED L15</v>
      </c>
      <c r="V816" s="223" t="str">
        <f t="array" ref="V816:V817">{"LEARNED L16";(INDEX(ALLCLASSDATA,MATCH("Learned-L16",CLASSFEATUREHEADERS,0),MATCH($A817,CLASSNAMEHEADERS,0)))}</f>
        <v>#REF!</v>
      </c>
      <c r="W816" s="223" t="str">
        <f t="array" ref="W816:W817">{"LEARNED L17";(INDEX(ALLCLASSDATA,MATCH("Learned-L17",CLASSFEATUREHEADERS,0),MATCH($A817,CLASSNAMEHEADERS,0)))}</f>
        <v>LEARNED L17</v>
      </c>
      <c r="X816" s="223" t="str">
        <f t="array" ref="X816:X817">{"LEARNED L18";(INDEX(ALLCLASSDATA,MATCH("Learned-L18",CLASSFEATUREHEADERS,0),MATCH($A817,CLASSNAMEHEADERS,0)))}</f>
        <v>#REF!</v>
      </c>
      <c r="Y816" s="223" t="str">
        <f t="array" ref="Y816:Y817">{"LEARNED L19";(INDEX(ALLCLASSDATA,MATCH("Learned-L19",CLASSFEATUREHEADERS,0),MATCH($A817,CLASSNAMEHEADERS,0)))}</f>
        <v>LEARNED L19</v>
      </c>
      <c r="Z816" s="223" t="str">
        <f t="array" ref="Z816:Z817">{"LEARNED L20";(INDEX(ALLCLASSDATA,MATCH("Learned-L20",CLASSFEATUREHEADERS,0),MATCH($A817,CLASSNAMEHEADERS,0)))}</f>
        <v>LEARNED L20</v>
      </c>
      <c r="AA816" s="76"/>
      <c r="AB816" s="76"/>
    </row>
    <row r="817">
      <c r="A817" s="48" t="s">
        <v>233</v>
      </c>
      <c r="B817" s="48" t="s">
        <v>418</v>
      </c>
      <c r="C817" s="48" t="s">
        <v>1901</v>
      </c>
      <c r="D817" s="48" t="s">
        <v>1935</v>
      </c>
      <c r="E817" s="278" t="s">
        <v>1909</v>
      </c>
      <c r="F817" s="280" t="s">
        <v>1530</v>
      </c>
      <c r="G817" s="278" t="s">
        <v>1539</v>
      </c>
      <c r="H817" s="50" t="s">
        <v>1908</v>
      </c>
      <c r="I817" s="278" t="s">
        <v>1539</v>
      </c>
      <c r="J817" s="50" t="s">
        <v>1908</v>
      </c>
      <c r="K817" s="278" t="s">
        <v>1539</v>
      </c>
      <c r="L817" s="50" t="s">
        <v>1908</v>
      </c>
      <c r="M817" s="278" t="s">
        <v>1539</v>
      </c>
      <c r="N817" s="50" t="s">
        <v>1908</v>
      </c>
      <c r="O817" s="278" t="s">
        <v>1539</v>
      </c>
      <c r="P817" s="50" t="s">
        <v>1908</v>
      </c>
      <c r="Q817" s="278" t="s">
        <v>1539</v>
      </c>
      <c r="R817" s="50" t="s">
        <v>1908</v>
      </c>
      <c r="S817" s="278" t="s">
        <v>1539</v>
      </c>
      <c r="T817" s="50" t="s">
        <v>1908</v>
      </c>
      <c r="U817" s="278" t="s">
        <v>1539</v>
      </c>
      <c r="V817" s="50" t="s">
        <v>1908</v>
      </c>
      <c r="W817" s="278" t="s">
        <v>1539</v>
      </c>
      <c r="X817" s="50" t="s">
        <v>1908</v>
      </c>
      <c r="Y817" s="278" t="s">
        <v>1538</v>
      </c>
      <c r="Z817" s="278"/>
      <c r="AA817" s="278"/>
      <c r="AB817" s="47"/>
    </row>
    <row r="818" hidden="1">
      <c r="A818" s="222" t="str">
        <f t="array" ref="A818:A819">{"FormulaRow44";(INDEX(CLASSLIST,A731,1))}</f>
        <v>FormulaRow44</v>
      </c>
      <c r="B818" s="222" t="str">
        <f t="array" ref="B818:B819">{"CLASSTYPE";((INDEX(ALLCLASSDATA,MATCH("ClassType",CLASSFEATUREHEADERS,0),MATCH($A819,CLASSNAMEHEADERS,0))))}</f>
        <v>CLASSTYPE</v>
      </c>
      <c r="C818" s="222" t="str">
        <f t="array" ref="C818:C819">{"SPELL/ALCHEMY";((IF(INDEX(ALLCLASSDATA,MATCH("CasterType",CLASSFEATUREHEADERS,0),MATCH(($A819),CLASSNAMEHEADERS,0))="","",(IF(INDEX(ALLCLASSDATA,MATCH("CasterType",CLASSFEATUREHEADERS,0),MATCH(($A819),CLASSNAMEHEADERS,0))="Alchemy","","Spells")))))}</f>
        <v>SPELL/ALCHEMY</v>
      </c>
      <c r="D818" s="222" t="str">
        <f t="array" ref="D818:D819">{"SPELLLIST";(IF(C819="Spells",((INDEX(ALLCLASSDATA,MATCH("CasterType",CLASSFEATUREHEADERS,0),MATCH(($A819),CLASSNAMEHEADERS,0))) &amp; ":" &amp; (INDEX(ALLCLASSDATA,MATCH("SpellList",CLASSFEATUREHEADERS,0),MATCH(($A819),CLASSNAMEHEADERS,0)))),""))}</f>
        <v>SPELLLIST</v>
      </c>
      <c r="E818" s="223" t="str">
        <f t="array" ref="E818:E819">{"TOTALSLOTS";(IF(C819="","","TotalSlots:"))}</f>
        <v>TOTALSLOTS</v>
      </c>
      <c r="F818" s="223" t="str">
        <f t="array" ref="F818:F819">{"TOTALCANTRIPSLOTS";(F815)}</f>
        <v>TOTALCANTRIPSLOTS</v>
      </c>
      <c r="G818" s="223" t="str">
        <f t="array" ref="G818:G819">{"TOTALSLOTS L01";(G815)}</f>
        <v>TOTALSLOTS L01</v>
      </c>
      <c r="H818" s="223" t="str">
        <f t="array" ref="H818:H819">{"TOTALSLOTS L02";(G819+H815)}</f>
        <v>TOTALSLOTS L02</v>
      </c>
      <c r="I818" s="223" t="str">
        <f t="array" ref="I818:I819">{"TOTALSLOTS L03";(H819+I815)}</f>
        <v>TOTALSLOTS L03</v>
      </c>
      <c r="J818" s="223" t="str">
        <f t="array" ref="J818:J819">{"TOTALSLOTS L04";(I819+J815)}</f>
        <v>TOTALSLOTS L04</v>
      </c>
      <c r="K818" s="223" t="str">
        <f t="array" ref="K818:K819">{"TOTALSLOTS L05";(J819+K815)}</f>
        <v>TOTALSLOTS L05</v>
      </c>
      <c r="L818" s="223" t="str">
        <f t="array" ref="L818:L819">{"TOTALSLOTS L06";(K819+L815)}</f>
        <v>TOTALSLOTS L06</v>
      </c>
      <c r="M818" s="223" t="str">
        <f t="array" ref="M818:M819">{"TOTALSLOTS L07";(L819+M815)}</f>
        <v>TOTALSLOTS L07</v>
      </c>
      <c r="N818" s="223" t="str">
        <f t="array" ref="N818:N819">{"TOTALSLOTS L08";(M819+N815)}</f>
        <v>TOTALSLOTS L08</v>
      </c>
      <c r="O818" s="223" t="str">
        <f t="array" ref="O818:O819">{"TOTALSLOTS L09";(N819+O815)}</f>
        <v>TOTALSLOTS L09</v>
      </c>
      <c r="P818" s="223" t="str">
        <f t="array" ref="P818:P819">{"TOTALSLOTS L10";(O819+P815)}</f>
        <v>TOTALSLOTS L10</v>
      </c>
      <c r="Q818" s="223" t="str">
        <f t="array" ref="Q818:Q819">{"TOTALSLOTS L11";(P819+Q815)}</f>
        <v>TOTALSLOTS L11</v>
      </c>
      <c r="R818" s="223" t="str">
        <f t="array" ref="R818:R819">{"TOTALSLOTS L12";(Q819+R815)}</f>
        <v>TOTALSLOTS L12</v>
      </c>
      <c r="S818" s="223" t="str">
        <f t="array" ref="S818:S819">{"TOTALSLOTS L13";(R819+S815)}</f>
        <v>TOTALSLOTS L13</v>
      </c>
      <c r="T818" s="223" t="str">
        <f t="array" ref="T818:T819">{"TOTALSLOTS L14";(S819+T815)}</f>
        <v>TOTALSLOTS L14</v>
      </c>
      <c r="U818" s="223" t="str">
        <f t="array" ref="U818:U819">{"TOTALSLOTS L15";(T819+U815)}</f>
        <v>TOTALSLOTS L15</v>
      </c>
      <c r="V818" s="223" t="str">
        <f t="array" ref="V818:V819">{"TOTALSLOTS L16";(U819+V815)}</f>
        <v>TOTALSLOTS L16</v>
      </c>
      <c r="W818" s="223" t="str">
        <f t="array" ref="W818:W819">{"TOTALSLOTS L17";(V819+W815)}</f>
        <v>TOTALSLOTS L17</v>
      </c>
      <c r="X818" s="223" t="str">
        <f t="array" ref="X818:X819">{"TOTALSLOTS L18";(W819+X815)}</f>
        <v>TOTALSLOTS L18</v>
      </c>
      <c r="Y818" s="223" t="str">
        <f t="array" ref="Y818:Y819">{"TOTALSLOTS L19";(X819+Y815)}</f>
        <v>TOTALSLOTS L19</v>
      </c>
      <c r="Z818" s="223" t="str">
        <f t="array" ref="Z818:Z819">{"TOTALSLOTS L20";(Y819+Z815)}</f>
        <v>TOTALSLOTS L20</v>
      </c>
      <c r="AA818" s="76"/>
      <c r="AB818" s="76"/>
    </row>
    <row r="819">
      <c r="A819" s="48" t="s">
        <v>233</v>
      </c>
      <c r="B819" s="48" t="s">
        <v>418</v>
      </c>
      <c r="C819" s="48" t="s">
        <v>1901</v>
      </c>
      <c r="D819" s="48" t="s">
        <v>1935</v>
      </c>
      <c r="E819" s="278" t="s">
        <v>1910</v>
      </c>
      <c r="F819" s="47">
        <v>4.0</v>
      </c>
      <c r="G819" s="278" t="s">
        <v>1539</v>
      </c>
      <c r="H819" s="278">
        <v>3.0</v>
      </c>
      <c r="I819" s="278">
        <v>6.0</v>
      </c>
      <c r="J819" s="278">
        <v>6.0</v>
      </c>
      <c r="K819" s="278">
        <v>9.0</v>
      </c>
      <c r="L819" s="278">
        <v>9.0</v>
      </c>
      <c r="M819" s="278">
        <v>12.0</v>
      </c>
      <c r="N819" s="278">
        <v>12.0</v>
      </c>
      <c r="O819" s="278">
        <v>15.0</v>
      </c>
      <c r="P819" s="278">
        <v>15.0</v>
      </c>
      <c r="Q819" s="278">
        <v>18.0</v>
      </c>
      <c r="R819" s="278">
        <v>18.0</v>
      </c>
      <c r="S819" s="278">
        <v>21.0</v>
      </c>
      <c r="T819" s="278">
        <v>21.0</v>
      </c>
      <c r="U819" s="278">
        <v>24.0</v>
      </c>
      <c r="V819" s="278">
        <v>24.0</v>
      </c>
      <c r="W819" s="278">
        <v>27.0</v>
      </c>
      <c r="X819" s="278">
        <v>27.0</v>
      </c>
      <c r="Y819" s="278">
        <v>28.0</v>
      </c>
      <c r="Z819" s="278">
        <v>28.0</v>
      </c>
      <c r="AA819" s="5"/>
      <c r="AB819" s="47"/>
    </row>
    <row r="820" hidden="1">
      <c r="A820" s="222" t="str">
        <f t="array" ref="A820:A821">{"FormulaRow45";(INDEX(CLASSLIST,A731,1))}</f>
        <v>FormulaRow45</v>
      </c>
      <c r="B820" s="222" t="str">
        <f t="array" ref="B820:B821">{"CLASSTYPE";((INDEX(ALLCLASSDATA,MATCH("ClassType",CLASSFEATUREHEADERS,0),MATCH($A821,CLASSNAMEHEADERS,0))))}</f>
        <v>CLASSTYPE</v>
      </c>
      <c r="C820" s="222" t="str">
        <f t="array" ref="C820:C821">{"SPELL/ALCHEMY";((IF(INDEX(ALLCLASSDATA,MATCH("CasterType",CLASSFEATUREHEADERS,0),MATCH(($A821),CLASSNAMEHEADERS,0))="","",(IF(INDEX(ALLCLASSDATA,MATCH("CasterType",CLASSFEATUREHEADERS,0),MATCH(($A821),CLASSNAMEHEADERS,0))="Alchemy","Alchemy","Spells")))))}</f>
        <v>SPELL/ALCHEMY</v>
      </c>
      <c r="D820" s="222" t="str">
        <f t="array" ref="D820:D821">{"SPELLLIST";(IF(C821="Spells",((INDEX(ALLCLASSDATA,MATCH("CasterType",CLASSFEATUREHEADERS,0),MATCH(($A821),CLASSNAMEHEADERS,0))) &amp; ":" &amp; (INDEX(ALLCLASSDATA,MATCH("SpellList",CLASSFEATUREHEADERS,0),MATCH(($A821),CLASSNAMEHEADERS,0)))),""))}</f>
        <v>SPELLLIST</v>
      </c>
      <c r="E820" s="223" t="str">
        <f t="array" ref="E820:E821">{"TOTALLEARNED";(IF(C821="","","TotalLearned:"))}</f>
        <v>TOTALLEARNED</v>
      </c>
      <c r="F820" s="223" t="str">
        <f t="array" ref="F820:F821">{"TOTALCANTRIPSLEARNED";(F817)}</f>
        <v>TOTALCANTRIPSLEARNED</v>
      </c>
      <c r="G820" s="223" t="str">
        <f t="array" ref="G820:G821">{"TOTALLEARNED L01";(G817)}</f>
        <v>TOTALLEARNED L01</v>
      </c>
      <c r="H820" s="223" t="str">
        <f t="array" ref="H820:H821">{"TOTALLEARNED L02";(G821+H817)}</f>
        <v>TOTALLEARNED L02</v>
      </c>
      <c r="I820" s="223" t="str">
        <f t="array" ref="I820:I821">{"TOTALLEARNED L03";(H821+I817)}</f>
        <v>TOTALLEARNED L03</v>
      </c>
      <c r="J820" s="223" t="str">
        <f t="array" ref="J820:J821">{"TOTALLEARNED L04";(I821+J817)}</f>
        <v>TOTALLEARNED L04</v>
      </c>
      <c r="K820" s="223" t="str">
        <f t="array" ref="K820:K821">{"TOTALLEARNED L05";(J821+K817)}</f>
        <v>TOTALLEARNED L05</v>
      </c>
      <c r="L820" s="223" t="str">
        <f t="array" ref="L820:L821">{"TOTALLEARNED L06";(K821+L817)}</f>
        <v>TOTALLEARNED L06</v>
      </c>
      <c r="M820" s="223" t="str">
        <f t="array" ref="M820:M821">{"TOTALLEARNED L07";(L821+M817)}</f>
        <v>TOTALLEARNED L07</v>
      </c>
      <c r="N820" s="223" t="str">
        <f t="array" ref="N820:N821">{"TOTALLEARNED L08";(M821+N817)}</f>
        <v>TOTALLEARNED L08</v>
      </c>
      <c r="O820" s="223" t="str">
        <f t="array" ref="O820:O821">{"TOTALLEARNED L09";(N821+O817)}</f>
        <v>TOTALLEARNED L09</v>
      </c>
      <c r="P820" s="223" t="str">
        <f t="array" ref="P820:P821">{"TOTALLEARNED L10";(O821+P817)}</f>
        <v>TOTALLEARNED L10</v>
      </c>
      <c r="Q820" s="223" t="str">
        <f t="array" ref="Q820:Q821">{"TOTALLEARNED L11";(P821+Q817)}</f>
        <v>TOTALLEARNED L11</v>
      </c>
      <c r="R820" s="223" t="str">
        <f t="array" ref="R820:R821">{"TOTALLEARNED L12";(Q821+R817)}</f>
        <v>TOTALLEARNED L12</v>
      </c>
      <c r="S820" s="223" t="str">
        <f t="array" ref="S820:S821">{"TOTALLEARNED L13";(R821+S817)}</f>
        <v>TOTALLEARNED L13</v>
      </c>
      <c r="T820" s="223" t="str">
        <f t="array" ref="T820:T821">{"TOTALLEARNED L14";(S821+T817)}</f>
        <v>TOTALLEARNED L14</v>
      </c>
      <c r="U820" s="223" t="str">
        <f t="array" ref="U820:U821">{"TOTALLEARNED L15";(T821+U817)}</f>
        <v>TOTALLEARNED L15</v>
      </c>
      <c r="V820" s="223" t="str">
        <f t="array" ref="V820:V821">{"TOTALLEARNED L16";(U821+V817)}</f>
        <v>TOTALLEARNED L16</v>
      </c>
      <c r="W820" s="223" t="str">
        <f t="array" ref="W820:W821">{"TOTALLEARNED L17";(V821+W817)}</f>
        <v>TOTALLEARNED L17</v>
      </c>
      <c r="X820" s="223" t="str">
        <f t="array" ref="X820:X821">{"TOTALLEARNED L18";(W821+X817)}</f>
        <v>TOTALLEARNED L18</v>
      </c>
      <c r="Y820" s="223" t="str">
        <f t="array" ref="Y820:Y821">{"TOTALLEARNED L19";(X821+Y817)}</f>
        <v>TOTALLEARNED L19</v>
      </c>
      <c r="Z820" s="223" t="str">
        <f t="array" ref="Z820:Z821">{"TOTALLEARNED L20";(Y821+Z817)}</f>
        <v>TOTALLEARNED L20</v>
      </c>
      <c r="AA820" s="76"/>
      <c r="AB820" s="76"/>
    </row>
    <row r="821">
      <c r="A821" s="97" t="s">
        <v>233</v>
      </c>
      <c r="B821" s="97" t="s">
        <v>418</v>
      </c>
      <c r="C821" s="97" t="s">
        <v>1901</v>
      </c>
      <c r="D821" s="97" t="s">
        <v>1935</v>
      </c>
      <c r="E821" s="281" t="s">
        <v>1911</v>
      </c>
      <c r="F821" s="282" t="s">
        <v>1530</v>
      </c>
      <c r="G821" s="278" t="s">
        <v>1539</v>
      </c>
      <c r="H821" s="278">
        <v>3.0</v>
      </c>
      <c r="I821" s="278">
        <v>6.0</v>
      </c>
      <c r="J821" s="278">
        <v>6.0</v>
      </c>
      <c r="K821" s="278">
        <v>9.0</v>
      </c>
      <c r="L821" s="278">
        <v>9.0</v>
      </c>
      <c r="M821" s="278">
        <v>12.0</v>
      </c>
      <c r="N821" s="278">
        <v>12.0</v>
      </c>
      <c r="O821" s="278">
        <v>15.0</v>
      </c>
      <c r="P821" s="278">
        <v>15.0</v>
      </c>
      <c r="Q821" s="278">
        <v>18.0</v>
      </c>
      <c r="R821" s="278">
        <v>18.0</v>
      </c>
      <c r="S821" s="278">
        <v>21.0</v>
      </c>
      <c r="T821" s="278">
        <v>21.0</v>
      </c>
      <c r="U821" s="278">
        <v>24.0</v>
      </c>
      <c r="V821" s="278">
        <v>24.0</v>
      </c>
      <c r="W821" s="278">
        <v>27.0</v>
      </c>
      <c r="X821" s="278">
        <v>27.0</v>
      </c>
      <c r="Y821" s="278">
        <v>29.0</v>
      </c>
      <c r="Z821" s="278">
        <v>29.0</v>
      </c>
      <c r="AA821" s="5"/>
      <c r="AB821" s="47"/>
    </row>
    <row r="822">
      <c r="A822" s="55">
        <v>20.0</v>
      </c>
      <c r="B822" s="79" t="s">
        <v>1936</v>
      </c>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c r="AA822" s="71"/>
      <c r="AB822" s="73"/>
    </row>
    <row r="823" hidden="1">
      <c r="A823" s="76" t="str">
        <f t="array" ref="A823:A824">{"FormulaRow01";(INDEX(CLASSLIST,A822,1))}</f>
        <v>FormulaRow01</v>
      </c>
      <c r="B823" s="76" t="str">
        <f t="array" ref="B823:B824">{"CLASSTYPE";(INDEX(ALLCLASSDATA,MATCH("ClassType",CLASSFEATUREHEADERS,0),MATCH($A824,CLASSNAMEHEADERS,0)))}</f>
        <v>CLASSTYPE</v>
      </c>
      <c r="C823" s="81" t="str">
        <f t="array" ref="C823:C824">{"TOTAL";("Total: " &amp; G824+I824+K824+M824+O824+Q824+S824+U824+W824+Y824)}</f>
        <v>TOTAL</v>
      </c>
      <c r="D823" s="81" t="str">
        <f t="array" ref="D823:D824">{"BALANCE";(IF((G824+I824+K824+M824+O824+Q824+S824+U824+W824+Y824)=2100,"(balanced)",(IF((G824+I824+K824+M824+O824+Q824+S824+U824+W824+Y824)&gt;2100,"OVERBUDGET: ","UNDERBUDGET: ")) &amp; (G824+I824+K824+M824+O824+Q824+S824+U824+W824+Y824-2100)))}</f>
        <v>BALANCE</v>
      </c>
      <c r="E823" s="81"/>
      <c r="F823" s="81"/>
      <c r="G823" s="81" t="str">
        <f t="array" ref="G823:G824">{"SUM LVL0/1/2";((SUMIF(E825:H904,"&lt;&gt;#REF!")+(SUMIF(I825:Z832,"&lt;&gt;#REF!"))))}</f>
        <v>SUM LVL0/1/2</v>
      </c>
      <c r="H823" s="81"/>
      <c r="I823" s="81" t="str">
        <f t="array" ref="I823:I824">{"SUM LVL3/4";(SUMIF(I833:J904,"&lt;&gt;#REF!"))}</f>
        <v>SUM LVL3/4</v>
      </c>
      <c r="J823" s="81"/>
      <c r="K823" s="81" t="str">
        <f t="array" ref="K823:K824">{"SUM LVL5/6";(SUMIF(K833:L904,"&lt;&gt;#REF!"))}</f>
        <v>SUM LVL5/6</v>
      </c>
      <c r="L823" s="81"/>
      <c r="M823" s="81" t="str">
        <f t="array" ref="M823:M824">{"SUM LVL7/8";(SUMIF(M833:N904,"&lt;&gt;#REF!"))}</f>
        <v>SUM LVL7/8</v>
      </c>
      <c r="N823" s="81"/>
      <c r="O823" s="81" t="str">
        <f t="array" ref="O823:O824">{"SUM LVL9/10";(SUMIF(O833:P904,"&lt;&gt;#REF!"))}</f>
        <v>SUM LVL9/10</v>
      </c>
      <c r="P823" s="81"/>
      <c r="Q823" s="81" t="str">
        <f t="array" ref="Q823:Q824">{"SUM LVL11/12";(SUMIF(Q833:R904,"&lt;&gt;#REF!"))}</f>
        <v>SUM LVL11/12</v>
      </c>
      <c r="R823" s="81"/>
      <c r="S823" s="81" t="str">
        <f t="array" ref="S823:S824">{"SUM LVL13/14";(SUMIF(S833:T904,"&lt;&gt;#REF!"))}</f>
        <v>SUM LVL13/14</v>
      </c>
      <c r="T823" s="81"/>
      <c r="U823" s="81" t="str">
        <f t="array" ref="U823:U824">{"SUM LVL15/16";(SUMIF(U833:V904,"&lt;&gt;#REF!"))}</f>
        <v>SUM LVL15/16</v>
      </c>
      <c r="V823" s="81"/>
      <c r="W823" s="81" t="str">
        <f t="array" ref="W823:W824">{"SUM LVL17/18";(SUMIF(W833:X904,"&lt;&gt;#REF!"))}</f>
        <v>SUM LVL17/18</v>
      </c>
      <c r="X823" s="81"/>
      <c r="Y823" s="81" t="str">
        <f t="array" ref="Y823:Y824">{"SUM LVL19/20";(SUMIF(Y833:Z904,"&lt;&gt;#REF!"))}</f>
        <v>SUM LVL19/20</v>
      </c>
      <c r="Z823" s="81"/>
      <c r="AA823" s="76"/>
      <c r="AB823" s="76" t="str">
        <f t="array" ref="AB823:AB824">{"SUM ROWTOTALS";(SUMIF(AB826:AB912,"&lt;&gt;#REF!"))}</f>
        <v>SUM ROWTOTALS</v>
      </c>
    </row>
    <row r="824">
      <c r="A824" s="48" t="s">
        <v>227</v>
      </c>
      <c r="B824" s="48" t="s">
        <v>418</v>
      </c>
      <c r="C824" s="97" t="s">
        <v>1929</v>
      </c>
      <c r="D824" s="98" t="s">
        <v>1930</v>
      </c>
      <c r="E824" s="97"/>
      <c r="F824" s="99"/>
      <c r="G824" s="98">
        <v>440.0</v>
      </c>
      <c r="H824" s="98"/>
      <c r="I824" s="98">
        <v>60.0</v>
      </c>
      <c r="J824" s="98"/>
      <c r="K824" s="98">
        <v>130.0</v>
      </c>
      <c r="L824" s="98"/>
      <c r="M824" s="98">
        <v>80.0</v>
      </c>
      <c r="N824" s="98"/>
      <c r="O824" s="98">
        <v>80.0</v>
      </c>
      <c r="P824" s="98"/>
      <c r="Q824" s="98">
        <v>240.0</v>
      </c>
      <c r="R824" s="98"/>
      <c r="S824" s="98">
        <v>150.0</v>
      </c>
      <c r="T824" s="98"/>
      <c r="U824" s="98">
        <v>140.0</v>
      </c>
      <c r="V824" s="98"/>
      <c r="W824" s="98">
        <v>220.0</v>
      </c>
      <c r="X824" s="98"/>
      <c r="Y824" s="98">
        <v>380.0</v>
      </c>
      <c r="Z824" s="98"/>
      <c r="AA824" s="5"/>
      <c r="AB824" s="47">
        <v>1920.0</v>
      </c>
    </row>
    <row r="825" hidden="1">
      <c r="A825" s="76" t="str">
        <f t="array" ref="A825:A826">{"FormulaRow02";(INDEX(CLASSLIST,A822,1))}</f>
        <v>FormulaRow02</v>
      </c>
      <c r="B825" s="76" t="str">
        <f t="array" ref="B825:B826">{"CLASSTYPE";((INDEX(ALLCLASSDATA,MATCH("ClassType",CLASSFEATUREHEADERS,0),MATCH($A826,CLASSNAMEHEADERS,0))))}</f>
        <v>CLASSTYPE</v>
      </c>
      <c r="C825" s="81" t="str">
        <f t="array" ref="C825:C826">{"FEATURES";"Features"}</f>
        <v>FEATURES</v>
      </c>
      <c r="D825" s="81" t="str">
        <f t="array" ref="D825:D826">{"INITIALFEATURES";"Initial Features"}</f>
        <v>INITIALFEATURES</v>
      </c>
      <c r="E825" s="81" t="str">
        <f t="array" ref="E825:E826">{"KEY";"Key"}</f>
        <v>KEY</v>
      </c>
      <c r="F825" s="81" t="str">
        <f t="array" ref="F825:F826">{"HP";"HP"}</f>
        <v>HP</v>
      </c>
      <c r="G825" s="81" t="str">
        <f t="array" ref="G825:G826">{"CLASSFEATL01";"ClassFeatL01"}</f>
        <v>CLASSFEATL01</v>
      </c>
      <c r="H825" s="81" t="str">
        <f t="array" ref="H825:H826">{"SHIELDBLOCKL01";"ShieldBlockL01"}</f>
        <v>SHIELDBLOCKL01</v>
      </c>
      <c r="I825" s="81" t="str">
        <f t="array" ref="I825:I826">{"INITIALSKILLS";"InitialSkills"}</f>
        <v>INITIALSKILLS</v>
      </c>
      <c r="J825" s="81" t="str">
        <f t="array" ref="J825:J826">{"SUBCLASSSKILLS";"SubclassSkills"}</f>
        <v>SUBCLASSSKILLS</v>
      </c>
      <c r="K825" s="81" t="str">
        <f t="array" ref="K825:K826">{"GRANTEDSKILLS";"GrantedSkills"}</f>
        <v>GRANTEDSKILLS</v>
      </c>
      <c r="L825" s="81"/>
      <c r="M825" s="81"/>
      <c r="N825" s="81"/>
      <c r="O825" s="81" t="str">
        <f t="array" ref="O825:O826">{"FOCUSSPELLS";"FocusSpells:"}</f>
        <v>FOCUSSPELLS</v>
      </c>
      <c r="P825" s="81" t="str">
        <f t="array" ref="P825:P826">{"FOCUSSPELL1-L00";((INDEX(ALLCLASSDATA,MATCH("FocusSpell1-L00",CLASSFEATUREHEADERS,0),MATCH(($A826),CLASSNAMEHEADERS,0))))}</f>
        <v>FOCUSSPELL1-L00</v>
      </c>
      <c r="Q825" s="81" t="str">
        <f t="array" ref="Q825:Q826">{"FOCUSSPELL2-L00";((INDEX(ALLCLASSDATA,MATCH("FocusSpell2-L00",CLASSFEATUREHEADERS,0),MATCH(($A826),CLASSNAMEHEADERS,0))))}</f>
        <v>FOCUSSPELL2-L00</v>
      </c>
      <c r="R825" s="81" t="str">
        <f t="array" ref="R825:R826">{"FOCUSSPELL3-L00";((INDEX(ALLCLASSDATA,MATCH("FocusSpell3-L00",CLASSFEATUREHEADERS,0),MATCH(($A826),CLASSNAMEHEADERS,0))))}</f>
        <v>FOCUSSPELL3-L00</v>
      </c>
      <c r="S825" s="81" t="str">
        <f t="array" ref="S825:S826">{"FOCUSSPELL4-L00";((INDEX(ALLCLASSDATA,MATCH("FocusSpell4-L00",CLASSFEATUREHEADERS,0),MATCH(($A826),CLASSNAMEHEADERS,0))))}</f>
        <v>FOCUSSPELL4-L00</v>
      </c>
      <c r="T825" s="81" t="str">
        <f t="array" ref="T825:T826">{"FOCUSSPELL5-L00";((INDEX(ALLCLASSDATA,MATCH("FocusSpell5-L00",CLASSFEATUREHEADERS,0),MATCH(($A826),CLASSNAMEHEADERS,0))))}</f>
        <v>FOCUSSPELL5-L00</v>
      </c>
      <c r="U825" s="81"/>
      <c r="V825" s="81"/>
      <c r="W825" s="81"/>
      <c r="X825" s="81"/>
      <c r="Y825" s="81"/>
      <c r="Z825" s="81"/>
      <c r="AA825" s="76"/>
      <c r="AB825" s="76"/>
    </row>
    <row r="826">
      <c r="A826" s="48" t="s">
        <v>227</v>
      </c>
      <c r="B826" s="48" t="s">
        <v>418</v>
      </c>
      <c r="C826" s="48" t="s">
        <v>467</v>
      </c>
      <c r="D826" s="48" t="s">
        <v>468</v>
      </c>
      <c r="E826" s="48" t="s">
        <v>469</v>
      </c>
      <c r="F826" s="114" t="s">
        <v>15</v>
      </c>
      <c r="G826" s="8" t="s">
        <v>451</v>
      </c>
      <c r="H826" s="8" t="s">
        <v>463</v>
      </c>
      <c r="I826" s="8" t="s">
        <v>473</v>
      </c>
      <c r="J826" s="8" t="s">
        <v>474</v>
      </c>
      <c r="K826" s="8" t="s">
        <v>475</v>
      </c>
      <c r="L826" s="8"/>
      <c r="M826" s="8"/>
      <c r="N826" s="8"/>
      <c r="O826" s="8" t="s">
        <v>476</v>
      </c>
      <c r="P826" s="116" t="s">
        <v>1601</v>
      </c>
      <c r="Q826" s="116" t="s">
        <v>1609</v>
      </c>
      <c r="R826" s="116" t="s">
        <v>1612</v>
      </c>
      <c r="S826" s="116"/>
      <c r="T826" s="116"/>
      <c r="U826" s="8"/>
      <c r="V826" s="8"/>
      <c r="W826" s="8"/>
      <c r="X826" s="8"/>
      <c r="Y826" s="5"/>
      <c r="Z826" s="5"/>
      <c r="AA826" s="5"/>
      <c r="AB826" s="47"/>
    </row>
    <row r="827" hidden="1">
      <c r="A827" s="76" t="str">
        <f t="array" ref="A827:A828">{"FormulaRow03";(INDEX(CLASSLIST,A822,1))}</f>
        <v>FormulaRow03</v>
      </c>
      <c r="B827" s="76" t="str">
        <f t="array" ref="B827:B828">{"CLASSTYPE";((INDEX(ALLCLASSDATA,MATCH("ClassType",CLASSFEATUREHEADERS,0),MATCH($A828,CLASSNAMEHEADERS,0))))}</f>
        <v>CLASSTYPE</v>
      </c>
      <c r="C827" s="76" t="str">
        <f t="array" ref="C827:C828">{"FEATUREPTS";"FeaturesPts"}</f>
        <v>FEATUREPTS</v>
      </c>
      <c r="D827" s="76" t="str">
        <f t="array" ref="D827:D828">{"INITIALFEATURES";"Initial Features"}</f>
        <v>INITIALFEATURES</v>
      </c>
      <c r="E827" s="76" t="str">
        <f t="array" ref="E827:E828">{"KEYABILITY";((INDEX(ALLCLASSDATA,MATCH("KEYABILITY",CLASSFEATUREHEADERS,0),MATCH($A828,CLASSNAMEHEADERS,0))))}</f>
        <v>KEYABILITY</v>
      </c>
      <c r="F827" s="76" t="str">
        <f t="array" ref="F827:F828">{"HP";((INDEX(ALLCLASSDATA,MATCH("HP",CLASSFEATUREHEADERS,0),MATCH(($A828 &amp; "Points"),CLASSNAMEHEADERS,0))))}</f>
        <v>HP</v>
      </c>
      <c r="G827" s="76" t="str">
        <f t="array" ref="G827:G828">{"CLASSFEATL01";((INDEX(ALLCLASSDATA,MATCH("ClassFeatL01",CLASSFEATUREHEADERS,0),MATCH(($A828 &amp; "Points"),CLASSNAMEHEADERS,0))))}</f>
        <v>CLASSFEATL01</v>
      </c>
      <c r="H827" s="76" t="str">
        <f t="array" ref="H827:H828">{"SHIELDBLOCKL01";((INDEX(ALLCLASSDATA,MATCH("ShieldBlockL01",CLASSFEATUREHEADERS,0),MATCH(($A828 &amp; "Points"),CLASSNAMEHEADERS,0))))}</f>
        <v>SHIELDBLOCKL01</v>
      </c>
      <c r="I827" s="76" t="str">
        <f t="array" ref="I827:I828">{"INITIALSKILLINCREASES";((INDEX(ALLCLASSDATA,MATCH("InitialSkillIncreases",CLASSFEATUREHEADERS,0),MATCH(($A828 &amp; "Points"),CLASSNAMEHEADERS,0))))}</f>
        <v>INITIALSKILLINCREASES</v>
      </c>
      <c r="J827" s="76" t="str">
        <f t="array" ref="J827:J828">{"SUBCLASSSKILLINCREASES";((INDEX(ALLCLASSDATA,MATCH("SubclassSkillIncreases",CLASSFEATUREHEADERS,0),MATCH(($A828 &amp; "Points"),CLASSNAMEHEADERS,0))))}</f>
        <v>SUBCLASSSKILLINCREASES</v>
      </c>
      <c r="K827" s="76" t="str">
        <f t="array" ref="K827:K828">{"GRANTEDSKILLS";(((INDEX(ALLCLASSDATA,MATCH("SkillsGrantedTotal",CLASSFEATUREHEADERS,0),MATCH(($A828 &amp; "Points"),CLASSNAMEHEADERS,0)))-(INDEX(ALLCLASSDATA,MATCH("InitialSkillIncreases",CLASSFEATUREHEADERS,0),MATCH(($A828 &amp; "Points"),CLASSNAMEHEADERS,0)))-(INDEX(ALLCLASSDATA,MATCH("SubclassSkillIncreases",CLASSFEATUREHEADERS,0),MATCH(($A828 &amp; "Points"),CLASSNAMEHEADERS,0)))))}</f>
        <v>GRANTEDSKILLS</v>
      </c>
      <c r="L827" s="76"/>
      <c r="M827" s="76"/>
      <c r="N827" s="76"/>
      <c r="O827" s="76"/>
      <c r="P827" s="76" t="str">
        <f t="array" ref="P827:P828">{"FOCUSSPELL1-L00";((INDEX(ALLCLASSDATA,MATCH("FocusSpell1-L00",CLASSFEATUREHEADERS,0),MATCH(($A828 &amp; "Points"),CLASSNAMEHEADERS,0))))}</f>
        <v>FOCUSSPELL1-L00</v>
      </c>
      <c r="Q827" s="76" t="str">
        <f t="array" ref="Q827:Q828">{"FOCUSSPELL2-L00";((INDEX(ALLCLASSDATA,MATCH("FocusSpell2-L00",CLASSFEATUREHEADERS,0),MATCH(($A828 &amp; "Points"),CLASSNAMEHEADERS,0))))}</f>
        <v>FOCUSSPELL2-L00</v>
      </c>
      <c r="R827" s="76" t="str">
        <f t="array" ref="R827:R828">{"FOCUSSPELL3-L00";((INDEX(ALLCLASSDATA,MATCH("FocusSpell3-L00",CLASSFEATUREHEADERS,0),MATCH(($A828 &amp; "Points"),CLASSNAMEHEADERS,0))))}</f>
        <v>FOCUSSPELL3-L00</v>
      </c>
      <c r="S827" s="76" t="str">
        <f t="array" ref="S827:S828">{"FOCUSSPELL4-L00";((INDEX(ALLCLASSDATA,MATCH("FocusSpell4-L00",CLASSFEATUREHEADERS,0),MATCH(($A828 &amp; "Points"),CLASSNAMEHEADERS,0))))}</f>
        <v>FOCUSSPELL4-L00</v>
      </c>
      <c r="T827" s="76" t="str">
        <f t="array" ref="T827:T828">{"FOCUSSPELL5-L00";((INDEX(ALLCLASSDATA,MATCH("FocusSpell5-L00",CLASSFEATUREHEADERS,0),MATCH(($A828 &amp; "Points"),CLASSNAMEHEADERS,0))))}</f>
        <v>FOCUSSPELL5-L00</v>
      </c>
      <c r="U827" s="76"/>
      <c r="V827" s="76"/>
      <c r="W827" s="76"/>
      <c r="X827" s="76"/>
      <c r="Y827" s="76"/>
      <c r="Z827" s="76"/>
      <c r="AA827" s="76"/>
      <c r="AB827" s="76" t="str">
        <f t="array" ref="AB827:AB828">{"FEATUREPTS TOTAL";(sum(F828:Z828))}</f>
        <v>FEATUREPTS TOTAL</v>
      </c>
    </row>
    <row r="828">
      <c r="A828" s="48" t="s">
        <v>227</v>
      </c>
      <c r="B828" s="48" t="s">
        <v>418</v>
      </c>
      <c r="C828" s="97" t="s">
        <v>559</v>
      </c>
      <c r="D828" s="97" t="s">
        <v>468</v>
      </c>
      <c r="E828" s="97" t="s">
        <v>423</v>
      </c>
      <c r="F828" s="132">
        <v>60.0</v>
      </c>
      <c r="G828" s="98" t="s">
        <v>603</v>
      </c>
      <c r="H828" s="98" t="s">
        <v>603</v>
      </c>
      <c r="I828" s="98">
        <v>15.0</v>
      </c>
      <c r="J828" s="98"/>
      <c r="K828" s="98">
        <v>5.0</v>
      </c>
      <c r="L828" s="98"/>
      <c r="M828" s="98"/>
      <c r="N828" s="98"/>
      <c r="O828" s="98"/>
      <c r="P828" s="98">
        <v>10.0</v>
      </c>
      <c r="Q828" s="98">
        <v>50.0</v>
      </c>
      <c r="R828" s="98">
        <v>90.0</v>
      </c>
      <c r="S828" s="98"/>
      <c r="T828" s="98"/>
      <c r="U828" s="98"/>
      <c r="V828" s="98"/>
      <c r="W828" s="98"/>
      <c r="X828" s="98"/>
      <c r="Y828" s="98"/>
      <c r="Z828" s="98"/>
      <c r="AA828" s="5"/>
      <c r="AB828" s="47">
        <v>230.0</v>
      </c>
    </row>
    <row r="829" hidden="1">
      <c r="A829" s="76" t="str">
        <f t="array" ref="A829:A830">{"FormulaRow04";(INDEX(CLASSLIST,A822,1))}</f>
        <v>FormulaRow04</v>
      </c>
      <c r="B829" s="76" t="str">
        <f t="array" ref="B829:B830">{"CLASSTYPE";((INDEX(ALLCLASSDATA,MATCH("ClassType",CLASSFEATUREHEADERS,0),MATCH($A830,CLASSNAMEHEADERS,0))))}</f>
        <v>CLASSTYPE</v>
      </c>
      <c r="C829" s="81" t="str">
        <f t="array" ref="C829:C830">{"INITIALFEATURES";"InitialFeatures"}</f>
        <v>INITIALFEATURES</v>
      </c>
      <c r="D829" s="81" t="str">
        <f t="array" ref="D829:D830">{"CLASS/SUBCLASSFEATURES";"Class/Subclass Features"}</f>
        <v>CLASS/SUBCLASSFEATURES</v>
      </c>
      <c r="E829" s="81"/>
      <c r="F829" s="136"/>
      <c r="G829" s="81" t="str">
        <f t="array" ref="G829:G830">{"CLASSINITIALABILITY1-L00";((INDEX(ALLCLASSDATA,MATCH("ClassInitialAbility1-L00",CLASSFEATUREHEADERS,0),MATCH(($A830),CLASSNAMEHEADERS,0))))}</f>
        <v>CLASSINITIALABILITY1-L00</v>
      </c>
      <c r="H829" s="81" t="str">
        <f t="array" ref="H829:H830">{"CLASSINITIALABILITY2-L00";((INDEX(ALLCLASSDATA,MATCH("ClassInitialAbility2-L00",CLASSFEATUREHEADERS,0),MATCH(($A830),CLASSNAMEHEADERS,0))))}</f>
        <v>CLASSINITIALABILITY2-L00</v>
      </c>
      <c r="I829" s="81" t="str">
        <f t="array" ref="I829:I830">{"CLASSINITIALABILITY3-L00";((INDEX(ALLCLASSDATA,MATCH("ClassInitialAbility3-L00",CLASSFEATUREHEADERS,0),MATCH(($A830),CLASSNAMEHEADERS,0))))}</f>
        <v>CLASSINITIALABILITY3-L00</v>
      </c>
      <c r="J829" s="81" t="str">
        <f t="array" ref="J829:J830">{"CLASSINITIALABILITY4-L00";((INDEX(ALLCLASSDATA,MATCH("ClassInitialAbility4-L00",CLASSFEATUREHEADERS,0),MATCH(($A830),CLASSNAMEHEADERS,0))))}</f>
        <v>CLASSINITIALABILITY4-L00</v>
      </c>
      <c r="K829" s="81" t="str">
        <f t="array" ref="K829:K830">{"CLASSINITIALABILITY5-L00";((INDEX(ALLCLASSDATA,MATCH("ClassInitialAbility5-L00",CLASSFEATUREHEADERS,0),MATCH(($A830),CLASSNAMEHEADERS,0))))}</f>
        <v>CLASSINITIALABILITY5-L00</v>
      </c>
      <c r="L829" s="81" t="str">
        <f t="array" ref="L829:L830">{"CLASSINITIALABILITY6-L00";((INDEX(ALLCLASSDATA,MATCH("ClassInitialAbility6-L00",CLASSFEATUREHEADERS,0),MATCH(($A830),CLASSNAMEHEADERS,0))))}</f>
        <v>#REF!</v>
      </c>
      <c r="M829" s="81" t="str">
        <f t="array" ref="M829:M830">{"CLASSINITIALABILITY7-L00";((INDEX(ALLCLASSDATA,MATCH("ClassInitialAbility7-L00",CLASSFEATUREHEADERS,0),MATCH(($A830),CLASSNAMEHEADERS,0))))}</f>
        <v>CLASSINITIALABILITY7-L00</v>
      </c>
      <c r="N829" s="81" t="str">
        <f t="array" ref="N829:N830">{"CLASSINITIALABILITY8-L00";((INDEX(ALLCLASSDATA,MATCH("ClassInitialAbility8-L00",CLASSFEATUREHEADERS,0),MATCH(($A830),CLASSNAMEHEADERS,0))))}</f>
        <v>CLASSINITIALABILITY8-L00</v>
      </c>
      <c r="O829" s="81" t="str">
        <f t="array" ref="O829:O830">{"CLASSINITIALABILITY9-L00";((INDEX(ALLCLASSDATA,MATCH("ClassInitialAbility9-L00",CLASSFEATUREHEADERS,0),MATCH(($A830),CLASSNAMEHEADERS,0))))}</f>
        <v>CLASSINITIALABILITY9-L00</v>
      </c>
      <c r="P829" s="81" t="str">
        <f t="array" ref="P829:P830">{"CLASSINITIALABILITY10-L00";((INDEX(ALLCLASSDATA,MATCH("ClassInitialAbility10-L00",CLASSFEATUREHEADERS,0),MATCH(($A830),CLASSNAMEHEADERS,0))))}</f>
        <v>CLASSINITIALABILITY10-L00</v>
      </c>
      <c r="Q829" s="81" t="str">
        <f t="array" ref="Q829:Q830">{"SUBCLASSINITIAL1-L00";((INDEX(ALLCLASSDATA,MATCH("SubclassInitial1-L00",CLASSFEATUREHEADERS,0),MATCH(($A830),CLASSNAMEHEADERS,0))))}</f>
        <v>SUBCLASSINITIAL1-L00</v>
      </c>
      <c r="R829" s="81" t="str">
        <f t="array" ref="R829:R830">{"SUBCLASSINITIAL2-L00";((INDEX(ALLCLASSDATA,MATCH("SubclassInitial2-L00",CLASSFEATUREHEADERS,0),MATCH(($A830),CLASSNAMEHEADERS,0))))}</f>
        <v>SUBCLASSINITIAL2-L00</v>
      </c>
      <c r="S829" s="81" t="str">
        <f t="array" ref="S829:S830">{"SUBCLASSINITIAL3-L00";((INDEX(ALLCLASSDATA,MATCH("SubclassInitial3-L00",CLASSFEATUREHEADERS,0),MATCH(($A830),CLASSNAMEHEADERS,0))))}</f>
        <v>SUBCLASSINITIAL3-L00</v>
      </c>
      <c r="T829" s="81" t="str">
        <f t="array" ref="T829:T830">{"SUBCLASSINITIAL4-L00";((INDEX(ALLCLASSDATA,MATCH("SubclassInitial4-L00",CLASSFEATUREHEADERS,0),MATCH(($A830),CLASSNAMEHEADERS,0))))}</f>
        <v>SUBCLASSINITIAL4-L00</v>
      </c>
      <c r="U829" s="81" t="str">
        <f t="array" ref="U829:U830">{"SUBCLASSINITIAL5-L00";((INDEX(ALLCLASSDATA,MATCH("SubclassInitial5-L00",CLASSFEATUREHEADERS,0),MATCH(($A830),CLASSNAMEHEADERS,0))))}</f>
        <v>SUBCLASSINITIAL5-L00</v>
      </c>
      <c r="V829" s="81" t="str">
        <f t="array" ref="V829:V830">{"SUBCLASSINITIAL6-L00";((INDEX(ALLCLASSDATA,MATCH("SubclassInitial6-L00",CLASSFEATUREHEADERS,0),MATCH(($A830),CLASSNAMEHEADERS,0))))}</f>
        <v>SUBCLASSINITIAL6-L00</v>
      </c>
      <c r="W829" s="81" t="str">
        <f t="array" ref="W829:W830">{"SUBCLASSINITIAL7-L00";((INDEX(ALLCLASSDATA,MATCH("SubclassInitial7-L00",CLASSFEATUREHEADERS,0),MATCH(($A830),CLASSNAMEHEADERS,0))))}</f>
        <v>SUBCLASSINITIAL7-L00</v>
      </c>
      <c r="X829" s="81" t="str">
        <f t="array" ref="X829:X830">{"SUBCLASSINITIAL8-L00";((INDEX(ALLCLASSDATA,MATCH("SubclassInitial8-L00",CLASSFEATUREHEADERS,0),MATCH(($A830),CLASSNAMEHEADERS,0))))}</f>
        <v>SUBCLASSINITIAL8-L00</v>
      </c>
      <c r="Y829" s="81" t="str">
        <f t="array" ref="Y829:Y830">{"SUBCLASSINITIAL9-L00";((INDEX(ALLCLASSDATA,MATCH("SubclassInitial9-L00",CLASSFEATUREHEADERS,0),MATCH(($A830),CLASSNAMEHEADERS,0))))}</f>
        <v>SUBCLASSINITIAL9-L00</v>
      </c>
      <c r="Z829" s="81" t="str">
        <f t="array" ref="Z829:Z830">{"SUBCLASSINITIAL10-L00";((INDEX(ALLCLASSDATA,MATCH("SubclassInitial10-L00",CLASSFEATUREHEADERS,0),MATCH(($A830),CLASSNAMEHEADERS,0))))}</f>
        <v>SUBCLASSINITIAL10-L00</v>
      </c>
      <c r="AA829" s="76"/>
      <c r="AB829" s="76"/>
    </row>
    <row r="830">
      <c r="A830" s="48" t="s">
        <v>227</v>
      </c>
      <c r="B830" s="48" t="s">
        <v>418</v>
      </c>
      <c r="C830" s="48" t="s">
        <v>614</v>
      </c>
      <c r="D830" s="48" t="s">
        <v>616</v>
      </c>
      <c r="E830" s="48"/>
      <c r="F830" s="47"/>
      <c r="G830" s="5" t="s">
        <v>1626</v>
      </c>
      <c r="H830" s="5" t="s">
        <v>1638</v>
      </c>
      <c r="I830" s="5" t="s">
        <v>1652</v>
      </c>
      <c r="J830" s="48" t="s">
        <v>1659</v>
      </c>
      <c r="K830" s="5"/>
      <c r="L830" s="48" t="s">
        <v>1926</v>
      </c>
      <c r="M830" s="5"/>
      <c r="N830" s="5"/>
      <c r="O830" s="5"/>
      <c r="P830" s="5"/>
      <c r="Q830" s="284" t="s">
        <v>1824</v>
      </c>
      <c r="R830" s="5" t="s">
        <v>1835</v>
      </c>
      <c r="S830" s="5"/>
      <c r="T830" s="5"/>
      <c r="U830" s="5"/>
      <c r="V830" s="5"/>
      <c r="W830" s="5"/>
      <c r="X830" s="5"/>
      <c r="Y830" s="5"/>
      <c r="Z830" s="5"/>
      <c r="AA830" s="5"/>
      <c r="AB830" s="47"/>
    </row>
    <row r="831" hidden="1">
      <c r="A831" s="76" t="str">
        <f t="array" ref="A831:A832">{"FormulaRow05";(INDEX(CLASSLIST,A822,1))}</f>
        <v>FormulaRow05</v>
      </c>
      <c r="B831" s="76" t="str">
        <f t="array" ref="B831:B832">{"CLASSTYPE";((INDEX(ALLCLASSDATA,MATCH("ClassType",CLASSFEATUREHEADERS,0),MATCH($A832,CLASSNAMEHEADERS,0))))}</f>
        <v>CLASSTYPE</v>
      </c>
      <c r="C831" s="76" t="str">
        <f t="array" ref="C831:C832">{"INITIALFEATURESPTS";"InitialFeaturesPts"}</f>
        <v>INITIALFEATURESPTS</v>
      </c>
      <c r="D831" s="76" t="str">
        <f t="array" ref="D831:D832">{"CLASS/SUBCLASSFEATURES";"Class/Subclass Features"}</f>
        <v>CLASS/SUBCLASSFEATURES</v>
      </c>
      <c r="E831" s="76"/>
      <c r="F831" s="76"/>
      <c r="G831" s="76" t="str">
        <f t="array" ref="G831:G832">{"CLASSINITIALABILITY1-L00PTS";((INDEX(ALLCLASSDATA,MATCH("ClassInitialAbility1-L00",CLASSFEATUREHEADERS,0),MATCH(($A832 &amp; "Points"),CLASSNAMEHEADERS,0))))}</f>
        <v>CLASSINITIALABILITY1-L00PTS</v>
      </c>
      <c r="H831" s="76" t="str">
        <f t="array" ref="H831:H832">{"CLASSINITIALABILITY2-L00PTS";((INDEX(ALLCLASSDATA,MATCH("ClassInitialAbility2-L00",CLASSFEATUREHEADERS,0),MATCH(($A832 &amp; "Points"),CLASSNAMEHEADERS,0))))}</f>
        <v>CLASSINITIALABILITY2-L00PTS</v>
      </c>
      <c r="I831" s="76" t="str">
        <f t="array" ref="I831:I832">{"CLASSINITIALABILITY3-L00PTS";((INDEX(ALLCLASSDATA,MATCH("ClassInitialAbility3-L00",CLASSFEATUREHEADERS,0),MATCH(($A832 &amp; "Points"),CLASSNAMEHEADERS,0))))}</f>
        <v>CLASSINITIALABILITY3-L00PTS</v>
      </c>
      <c r="J831" s="76" t="str">
        <f t="array" ref="J831:J832">{"CLASSINITIALABILITY4-L00PTS";((INDEX(ALLCLASSDATA,MATCH("ClassInitialAbility4-L00",CLASSFEATUREHEADERS,0),MATCH(($A832 &amp; "Points"),CLASSNAMEHEADERS,0))))}</f>
        <v>CLASSINITIALABILITY4-L00PTS</v>
      </c>
      <c r="K831" s="76" t="str">
        <f t="array" ref="K831:K832">{"CLASSINITIALABILITY5-L00PTS";((INDEX(ALLCLASSDATA,MATCH("ClassInitialAbility5-L00",CLASSFEATUREHEADERS,0),MATCH(($A832 &amp; "Points"),CLASSNAMEHEADERS,0))))}</f>
        <v>CLASSINITIALABILITY5-L00PTS</v>
      </c>
      <c r="L831" s="76" t="str">
        <f t="array" ref="L831:L832">{"CLASSINITIALABILITY6-L00PTS";((INDEX(ALLCLASSDATA,MATCH("ClassInitialAbility6-L00",CLASSFEATUREHEADERS,0),MATCH(($A832 &amp; "Points"),CLASSNAMEHEADERS,0))))}</f>
        <v>CLASSINITIALABILITY6-L00PTS</v>
      </c>
      <c r="M831" s="76" t="str">
        <f t="array" ref="M831:M832">{"CLASSINITIALABILITY7-L00PTS";((INDEX(ALLCLASSDATA,MATCH("ClassInitialAbility7-L00",CLASSFEATUREHEADERS,0),MATCH(($A832 &amp; "Points"),CLASSNAMEHEADERS,0))))}</f>
        <v>CLASSINITIALABILITY7-L00PTS</v>
      </c>
      <c r="N831" s="76" t="str">
        <f t="array" ref="N831:N832">{"CLASSINITIALABILITY8-L00PTS";((INDEX(ALLCLASSDATA,MATCH("ClassInitialAbility8-L00",CLASSFEATUREHEADERS,0),MATCH(($A832 &amp; "Points"),CLASSNAMEHEADERS,0))))}</f>
        <v>CLASSINITIALABILITY8-L00PTS</v>
      </c>
      <c r="O831" s="76" t="str">
        <f t="array" ref="O831:O832">{"CLASSINITIALABILITY9-L00PTS";((INDEX(ALLCLASSDATA,MATCH("ClassInitialAbility9-L00",CLASSFEATUREHEADERS,0),MATCH(($A832 &amp; "Points"),CLASSNAMEHEADERS,0))))}</f>
        <v>CLASSINITIALABILITY9-L00PTS</v>
      </c>
      <c r="P831" s="76" t="str">
        <f t="array" ref="P831:P832">{"CLASSINITIALABILITY10-L00PTS";((INDEX(ALLCLASSDATA,MATCH("ClassInitialAbility10-L00",CLASSFEATUREHEADERS,0),MATCH(($A832 &amp; "Points"),CLASSNAMEHEADERS,0))))}</f>
        <v>CLASSINITIALABILITY10-L00PTS</v>
      </c>
      <c r="Q831" s="76" t="str">
        <f t="array" ref="Q831:Q832">{"SUBCLASSINITIAL1-L00PTS";((INDEX(ALLCLASSDATA,MATCH("SubclassInitial1-L00",CLASSFEATUREHEADERS,0),MATCH(($A832 &amp; "Points"),CLASSNAMEHEADERS,0))))}</f>
        <v>SUBCLASSINITIAL1-L00PTS</v>
      </c>
      <c r="R831" s="76" t="str">
        <f t="array" ref="R831:R832">{"SUBCLASSINITIAL2-L00PTS";((INDEX(ALLCLASSDATA,MATCH("SubclassInitial2-L00",CLASSFEATUREHEADERS,0),MATCH(($A832 &amp; "Points"),CLASSNAMEHEADERS,0))))}</f>
        <v>SUBCLASSINITIAL2-L00PTS</v>
      </c>
      <c r="S831" s="76" t="str">
        <f t="array" ref="S831:S832">{"SUBCLASSINITIAL3-L00PTS";((INDEX(ALLCLASSDATA,MATCH("SubclassInitial3-L00",CLASSFEATUREHEADERS,0),MATCH(($A832 &amp; "Points"),CLASSNAMEHEADERS,0))))}</f>
        <v>SUBCLASSINITIAL3-L00PTS</v>
      </c>
      <c r="T831" s="76" t="str">
        <f t="array" ref="T831:T832">{"SUBCLASSINITIAL4-L00PTS";((INDEX(ALLCLASSDATA,MATCH("SubclassInitial4-L00",CLASSFEATUREHEADERS,0),MATCH(($A832 &amp; "Points"),CLASSNAMEHEADERS,0))))}</f>
        <v>SUBCLASSINITIAL4-L00PTS</v>
      </c>
      <c r="U831" s="76" t="str">
        <f t="array" ref="U831:U832">{"SUBCLASSINITIAL5-L00PTS";((INDEX(ALLCLASSDATA,MATCH("SubclassInitial5-L00",CLASSFEATUREHEADERS,0),MATCH(($A832 &amp; "Points"),CLASSNAMEHEADERS,0))))}</f>
        <v>SUBCLASSINITIAL5-L00PTS</v>
      </c>
      <c r="V831" s="76" t="str">
        <f t="array" ref="V831:V832">{"SUBCLASSINITIAL6-L00PTS";((INDEX(ALLCLASSDATA,MATCH("SubclassInitial6-L00",CLASSFEATUREHEADERS,0),MATCH(($A832 &amp; "Points"),CLASSNAMEHEADERS,0))))}</f>
        <v>SUBCLASSINITIAL6-L00PTS</v>
      </c>
      <c r="W831" s="76" t="str">
        <f t="array" ref="W831:W832">{"SUBCLASSINITIAL7-L00PTS";((INDEX(ALLCLASSDATA,MATCH("SubclassInitial7-L00",CLASSFEATUREHEADERS,0),MATCH(($A832 &amp; "Points"),CLASSNAMEHEADERS,0))))}</f>
        <v>SUBCLASSINITIAL7-L00PTS</v>
      </c>
      <c r="X831" s="76" t="str">
        <f t="array" ref="X831:X832">{"SUBCLASSINITIAL8-L00PTS";((INDEX(ALLCLASSDATA,MATCH("SubclassInitial8-L00",CLASSFEATUREHEADERS,0),MATCH(($A832 &amp; "Points"),CLASSNAMEHEADERS,0))))}</f>
        <v>SUBCLASSINITIAL8-L00PTS</v>
      </c>
      <c r="Y831" s="76" t="str">
        <f t="array" ref="Y831:Y832">{"SUBCLASSINITIAL9-L00PTS";((INDEX(ALLCLASSDATA,MATCH("SubclassInitial9-L00",CLASSFEATUREHEADERS,0),MATCH(($A832 &amp; "Points"),CLASSNAMEHEADERS,0))))}</f>
        <v>SUBCLASSINITIAL9-L00PTS</v>
      </c>
      <c r="Z831" s="76" t="str">
        <f t="array" ref="Z831:Z832">{"SUBCLASSINITIAL10-L00PTS";((INDEX(ALLCLASSDATA,MATCH("SubclassInitial10-L00",CLASSFEATUREHEADERS,0),MATCH(($A832 &amp; "Points"),CLASSNAMEHEADERS,0))))}</f>
        <v>SUBCLASSINITIAL10-L00PTS</v>
      </c>
      <c r="AA831" s="76"/>
      <c r="AB831" s="76" t="str">
        <f t="array" ref="AB831:AB832">{"INITIALFEATUREPTS TOTAL";(sum(F832:Z832))}</f>
        <v>INITIALFEATUREPTS TOTAL</v>
      </c>
    </row>
    <row r="832">
      <c r="A832" s="48" t="s">
        <v>227</v>
      </c>
      <c r="B832" s="48" t="s">
        <v>418</v>
      </c>
      <c r="C832" s="97" t="s">
        <v>651</v>
      </c>
      <c r="D832" s="97" t="s">
        <v>616</v>
      </c>
      <c r="E832" s="97"/>
      <c r="F832" s="132"/>
      <c r="G832" s="98">
        <v>20.0</v>
      </c>
      <c r="H832" s="98"/>
      <c r="I832" s="97">
        <v>10.0</v>
      </c>
      <c r="J832" s="98">
        <v>10.0</v>
      </c>
      <c r="K832" s="97"/>
      <c r="L832" s="98"/>
      <c r="M832" s="98"/>
      <c r="N832" s="98"/>
      <c r="O832" s="98"/>
      <c r="P832" s="98"/>
      <c r="Q832" s="98"/>
      <c r="R832" s="98">
        <v>10.0</v>
      </c>
      <c r="S832" s="98"/>
      <c r="T832" s="98"/>
      <c r="U832" s="98"/>
      <c r="V832" s="98"/>
      <c r="W832" s="98"/>
      <c r="X832" s="98"/>
      <c r="Y832" s="98"/>
      <c r="Z832" s="98"/>
      <c r="AA832" s="5"/>
      <c r="AB832" s="47">
        <v>50.0</v>
      </c>
    </row>
    <row r="833" hidden="1">
      <c r="A833" s="76" t="str">
        <f t="array" ref="A833:A834">{"FormulaRow06";(INDEX(CLASSLIST,A822,1))}</f>
        <v>FormulaRow06</v>
      </c>
      <c r="B833" s="76" t="str">
        <f t="array" ref="B833:B834">{"CLASSTYPE";((INDEX(ALLCLASSDATA,MATCH("ClassType",CLASSFEATUREHEADERS,0),MATCH($A834,CLASSNAMEHEADERS,0))))}</f>
        <v>CLASSTYPE</v>
      </c>
      <c r="C833" s="81" t="str">
        <f t="array" ref="C833:C834">{"SKILLS";"Skills"}</f>
        <v>SKILLS</v>
      </c>
      <c r="D833" s="81" t="str">
        <f t="array" ref="D833:D834">{"EXTRASKILLINCREASES";"Extra Skill Increases"}</f>
        <v>EXTRASKILLINCREASES</v>
      </c>
      <c r="E833" s="81"/>
      <c r="F833" s="81"/>
      <c r="G833" s="81"/>
      <c r="H833" s="81" t="str">
        <f t="array" ref="H833:H834">{"SKILLINCREASEEXTRA-L02";((INDEX(ALLCLASSDATA,MATCH("SkillIncreaseExtra-L02",CLASSFEATUREHEADERS,0),MATCH(($A834 &amp; "Points"),CLASSNAMEHEADERS,0))))}</f>
        <v>SKILLINCREASEEXTRA-L02</v>
      </c>
      <c r="I833" s="81" t="str">
        <f t="array" ref="I833:I834">{"SKILLINCREASEEXTRA-L03";((INDEX(ALLCLASSDATA,MATCH("SkillIncreaseExtra-L03",CLASSFEATUREHEADERS,0),MATCH(($A834 &amp; "Points"),CLASSNAMEHEADERS,0))))}</f>
        <v>SKILLINCREASEEXTRA-L03</v>
      </c>
      <c r="J833" s="81" t="str">
        <f t="array" ref="J833:J834">{"SKILLINCREASEEXTRA-L04";((INDEX(ALLCLASSDATA,MATCH("SkillIncreaseExtra-L04",CLASSFEATUREHEADERS,0),MATCH(($A834 &amp; "Points"),CLASSNAMEHEADERS,0))))}</f>
        <v>SKILLINCREASEEXTRA-L04</v>
      </c>
      <c r="K833" s="81" t="str">
        <f t="array" ref="K833:K834">{"SKILLINCREASEEXTRA-L05";((INDEX(ALLCLASSDATA,MATCH("SkillIncreaseExtra-L05",CLASSFEATUREHEADERS,0),MATCH(($A834 &amp; "Points"),CLASSNAMEHEADERS,0))))}</f>
        <v>SKILLINCREASEEXTRA-L05</v>
      </c>
      <c r="L833" s="81" t="str">
        <f t="array" ref="L833:L834">{"SKILLINCREASEEXTRA-L06";((INDEX(ALLCLASSDATA,MATCH("SkillIncreaseExtra-L06",CLASSFEATUREHEADERS,0),MATCH(($A834 &amp; "Points"),CLASSNAMEHEADERS,0))))}</f>
        <v>SKILLINCREASEEXTRA-L06</v>
      </c>
      <c r="M833" s="81" t="str">
        <f t="array" ref="M833:M834">{"SKILLINCREASEEXTRA-L07";((INDEX(ALLCLASSDATA,MATCH("SkillIncreaseExtra-L07",CLASSFEATUREHEADERS,0),MATCH(($A834 &amp; "Points"),CLASSNAMEHEADERS,0))))}</f>
        <v>SKILLINCREASEEXTRA-L07</v>
      </c>
      <c r="N833" s="81" t="str">
        <f t="array" ref="N833:N834">{"SKILLINCREASEEXTRA-L08";((INDEX(ALLCLASSDATA,MATCH("SkillIncreaseExtra-L08",CLASSFEATUREHEADERS,0),MATCH(($A834 &amp; "Points"),CLASSNAMEHEADERS,0))))}</f>
        <v>SKILLINCREASEEXTRA-L08</v>
      </c>
      <c r="O833" s="81" t="str">
        <f t="array" ref="O833:O834">{"SKILLINCREASEEXTRA-L09";((INDEX(ALLCLASSDATA,MATCH("SkillIncreaseExtra-L09",CLASSFEATUREHEADERS,0),MATCH(($A834 &amp; "Points"),CLASSNAMEHEADERS,0))))}</f>
        <v>SKILLINCREASEEXTRA-L09</v>
      </c>
      <c r="P833" s="81" t="str">
        <f t="array" ref="P833:P834">{"SKILLINCREASEEXTRA-L10";((INDEX(ALLCLASSDATA,MATCH("SkillIncreaseExtra-L10",CLASSFEATUREHEADERS,0),MATCH(($A834 &amp; "Points"),CLASSNAMEHEADERS,0))))}</f>
        <v>SKILLINCREASEEXTRA-L10</v>
      </c>
      <c r="Q833" s="81" t="str">
        <f t="array" ref="Q833:Q834">{"SKILLINCREASEEXTRA-L11";((INDEX(ALLCLASSDATA,MATCH("SkillIncreaseExtra-L11",CLASSFEATUREHEADERS,0),MATCH(($A834 &amp; "Points"),CLASSNAMEHEADERS,0))))}</f>
        <v>SKILLINCREASEEXTRA-L11</v>
      </c>
      <c r="R833" s="81" t="str">
        <f t="array" ref="R833:R834">{"SKILLINCREASEEXTRA-L12";((INDEX(ALLCLASSDATA,MATCH("SkillIncreaseExtra-L12",CLASSFEATUREHEADERS,0),MATCH(($A834 &amp; "Points"),CLASSNAMEHEADERS,0))))}</f>
        <v>SKILLINCREASEEXTRA-L12</v>
      </c>
      <c r="S833" s="81" t="str">
        <f t="array" ref="S833:S834">{"SKILLINCREASEEXTRA-L13";((INDEX(ALLCLASSDATA,MATCH("SkillIncreaseExtra-L13",CLASSFEATUREHEADERS,0),MATCH(($A834 &amp; "Points"),CLASSNAMEHEADERS,0))))}</f>
        <v>SKILLINCREASEEXTRA-L13</v>
      </c>
      <c r="T833" s="81" t="str">
        <f t="array" ref="T833:T834">{"SKILLINCREASEEXTRA-L14";((INDEX(ALLCLASSDATA,MATCH("SkillIncreaseExtra-L14",CLASSFEATUREHEADERS,0),MATCH(($A834 &amp; "Points"),CLASSNAMEHEADERS,0))))}</f>
        <v>SKILLINCREASEEXTRA-L14</v>
      </c>
      <c r="U833" s="81" t="str">
        <f t="array" ref="U833:U834">{"SKILLINCREASEEXTRA-L15";((INDEX(ALLCLASSDATA,MATCH("SkillIncreaseExtra-L15",CLASSFEATUREHEADERS,0),MATCH(($A834 &amp; "Points"),CLASSNAMEHEADERS,0))))}</f>
        <v>SKILLINCREASEEXTRA-L15</v>
      </c>
      <c r="V833" s="81" t="str">
        <f t="array" ref="V833:V834">{"SKILLINCREASEEXTRA-L16";((INDEX(ALLCLASSDATA,MATCH("SkillIncreaseExtra-L16",CLASSFEATUREHEADERS,0),MATCH(($A834 &amp; "Points"),CLASSNAMEHEADERS,0))))}</f>
        <v>SKILLINCREASEEXTRA-L16</v>
      </c>
      <c r="W833" s="81" t="str">
        <f t="array" ref="W833:W834">{"SKILLINCREASEEXTRA-L17";((INDEX(ALLCLASSDATA,MATCH("SkillIncreaseExtra-L17",CLASSFEATUREHEADERS,0),MATCH(($A834 &amp; "Points"),CLASSNAMEHEADERS,0))))}</f>
        <v>SKILLINCREASEEXTRA-L17</v>
      </c>
      <c r="X833" s="81" t="str">
        <f t="array" ref="X833:X834">{"SKILLINCREASEEXTRA-L18";((INDEX(ALLCLASSDATA,MATCH("SkillIncreaseExtra-L18",CLASSFEATUREHEADERS,0),MATCH(($A834 &amp; "Points"),CLASSNAMEHEADERS,0))))}</f>
        <v>SKILLINCREASEEXTRA-L18</v>
      </c>
      <c r="Y833" s="81" t="str">
        <f t="array" ref="Y833:Y834">{"SKILLINCREASEEXTRA-L19";((INDEX(ALLCLASSDATA,MATCH("SkillIncreaseExtra-L19",CLASSFEATUREHEADERS,0),MATCH(($A834 &amp; "Points"),CLASSNAMEHEADERS,0))))}</f>
        <v>SKILLINCREASEEXTRA-L19</v>
      </c>
      <c r="Z833" s="81" t="str">
        <f t="array" ref="Z833:Z834">{"SKILLINCREASEEXTRA-L20";((INDEX(ALLCLASSDATA,MATCH("SkillIncreaseExtra-L20",CLASSFEATUREHEADERS,0),MATCH(($A834 &amp; "Points"),CLASSNAMEHEADERS,0))))}</f>
        <v>SKILLINCREASEEXTRA-L20</v>
      </c>
      <c r="AA833" s="76"/>
      <c r="AB833" s="76" t="str">
        <f t="array" ref="AB833:AB834">{"SKILLINCREASE TOTAL";(sum(F834:Z834))}</f>
        <v>SKILLINCREASE TOTAL</v>
      </c>
    </row>
    <row r="834">
      <c r="A834" s="48" t="s">
        <v>227</v>
      </c>
      <c r="B834" s="48" t="s">
        <v>418</v>
      </c>
      <c r="C834" s="48" t="s">
        <v>659</v>
      </c>
      <c r="D834" s="48" t="s">
        <v>661</v>
      </c>
      <c r="E834" s="48"/>
      <c r="F834" s="47"/>
      <c r="G834" s="5"/>
      <c r="H834" s="5" t="s">
        <v>603</v>
      </c>
      <c r="I834" s="5" t="s">
        <v>603</v>
      </c>
      <c r="J834" s="5" t="s">
        <v>603</v>
      </c>
      <c r="K834" s="48" t="s">
        <v>603</v>
      </c>
      <c r="L834" s="5" t="s">
        <v>603</v>
      </c>
      <c r="M834" s="5" t="s">
        <v>603</v>
      </c>
      <c r="N834" s="5" t="s">
        <v>603</v>
      </c>
      <c r="O834" s="5" t="s">
        <v>603</v>
      </c>
      <c r="P834" s="5" t="s">
        <v>603</v>
      </c>
      <c r="Q834" s="5" t="s">
        <v>603</v>
      </c>
      <c r="R834" s="5" t="s">
        <v>603</v>
      </c>
      <c r="S834" s="5" t="s">
        <v>603</v>
      </c>
      <c r="T834" s="5" t="s">
        <v>603</v>
      </c>
      <c r="U834" s="5" t="s">
        <v>603</v>
      </c>
      <c r="V834" s="5" t="s">
        <v>603</v>
      </c>
      <c r="W834" s="5" t="s">
        <v>603</v>
      </c>
      <c r="X834" s="5" t="s">
        <v>603</v>
      </c>
      <c r="Y834" s="5" t="s">
        <v>603</v>
      </c>
      <c r="Z834" s="5" t="s">
        <v>603</v>
      </c>
      <c r="AA834" s="5"/>
      <c r="AB834" s="47">
        <v>0.0</v>
      </c>
    </row>
    <row r="835" hidden="1">
      <c r="A835" s="76" t="str">
        <f t="array" ref="A835:A836">{"FormulaRow07";(INDEX(CLASSLIST,A822,1))}</f>
        <v>FormulaRow07</v>
      </c>
      <c r="B835" s="76" t="str">
        <f t="array" ref="B835:B836">{"CLASSTYPE";((INDEX(ALLCLASSDATA,MATCH("ClassType",CLASSFEATUREHEADERS,0),MATCH($A836,CLASSNAMEHEADERS,0))))}</f>
        <v>CLASSTYPE</v>
      </c>
      <c r="C835" s="76" t="str">
        <f t="array" ref="C835:C836">{"SKILLS";"Skills"}</f>
        <v>SKILLS</v>
      </c>
      <c r="D835" s="76" t="str">
        <f t="array" ref="D835:D836">{"EXTRASKILLFEATS";"Extra Skill Feats"}</f>
        <v>EXTRASKILLFEATS</v>
      </c>
      <c r="E835" s="76"/>
      <c r="F835" s="76"/>
      <c r="G835" s="76" t="str">
        <f t="array" ref="G835:G836">{"SKILLFEATEXTRA-L01";((INDEX(ALLCLASSDATA,MATCH("SkillFeatExtra-L01",CLASSFEATUREHEADERS,0),MATCH(($A836 &amp; "Points"),CLASSNAMEHEADERS,0))))}</f>
        <v>SKILLFEATEXTRA-L01</v>
      </c>
      <c r="H835" s="76" t="str">
        <f t="array" ref="H835:H836">{"SKILLFEATEXTRA-L02";((INDEX(ALLCLASSDATA,MATCH("SkillFeatExtra-L02",CLASSFEATUREHEADERS,0),MATCH(($A836 &amp; "Points"),CLASSNAMEHEADERS,0))))}</f>
        <v>SKILLFEATEXTRA-L02</v>
      </c>
      <c r="I835" s="76" t="str">
        <f t="array" ref="I835:I836">{"SKILLFEATEXTRA-L03";((INDEX(ALLCLASSDATA,MATCH("SkillFeatExtra-L03",CLASSFEATUREHEADERS,0),MATCH(($A836 &amp; "Points"),CLASSNAMEHEADERS,0))))}</f>
        <v>SKILLFEATEXTRA-L03</v>
      </c>
      <c r="J835" s="76" t="str">
        <f t="array" ref="J835:J836">{"SKILLFEATEXTRA-L04";((INDEX(ALLCLASSDATA,MATCH("SkillFeatExtra-L04",CLASSFEATUREHEADERS,0),MATCH(($A836 &amp; "Points"),CLASSNAMEHEADERS,0))))}</f>
        <v>SKILLFEATEXTRA-L04</v>
      </c>
      <c r="K835" s="76" t="str">
        <f t="array" ref="K835:K836">{"SKILLFEATEXTRA-L05";((INDEX(ALLCLASSDATA,MATCH("SkillFeatExtra-L05",CLASSFEATUREHEADERS,0),MATCH(($A836 &amp; "Points"),CLASSNAMEHEADERS,0))))}</f>
        <v>SKILLFEATEXTRA-L05</v>
      </c>
      <c r="L835" s="76" t="str">
        <f t="array" ref="L835:L836">{"SKILLFEATEXTRA-L06";((INDEX(ALLCLASSDATA,MATCH("SkillFeatExtra-L06",CLASSFEATUREHEADERS,0),MATCH(($A836 &amp; "Points"),CLASSNAMEHEADERS,0))))}</f>
        <v>SKILLFEATEXTRA-L06</v>
      </c>
      <c r="M835" s="76" t="str">
        <f t="array" ref="M835:M836">{"SKILLFEATEXTRA-L07";((INDEX(ALLCLASSDATA,MATCH("SkillFeatExtra-L07",CLASSFEATUREHEADERS,0),MATCH(($A836 &amp; "Points"),CLASSNAMEHEADERS,0))))}</f>
        <v>SKILLFEATEXTRA-L07</v>
      </c>
      <c r="N835" s="76" t="str">
        <f t="array" ref="N835:N836">{"SKILLFEATEXTRA-L08";((INDEX(ALLCLASSDATA,MATCH("SkillFeatExtra-L08",CLASSFEATUREHEADERS,0),MATCH(($A836 &amp; "Points"),CLASSNAMEHEADERS,0))))}</f>
        <v>SKILLFEATEXTRA-L08</v>
      </c>
      <c r="O835" s="76" t="str">
        <f t="array" ref="O835:O836">{"SKILLFEATEXTRA-L09";((INDEX(ALLCLASSDATA,MATCH("SkillFeatExtra-L09",CLASSFEATUREHEADERS,0),MATCH(($A836 &amp; "Points"),CLASSNAMEHEADERS,0))))}</f>
        <v>SKILLFEATEXTRA-L09</v>
      </c>
      <c r="P835" s="76" t="str">
        <f t="array" ref="P835:P836">{"SKILLFEATEXTRA-L10";((INDEX(ALLCLASSDATA,MATCH("SkillFeatExtra-L10",CLASSFEATUREHEADERS,0),MATCH(($A836 &amp; "Points"),CLASSNAMEHEADERS,0))))}</f>
        <v>SKILLFEATEXTRA-L10</v>
      </c>
      <c r="Q835" s="76" t="str">
        <f t="array" ref="Q835:Q836">{"SKILLFEATEXTRA-L11";((INDEX(ALLCLASSDATA,MATCH("SkillFeatExtra-L11",CLASSFEATUREHEADERS,0),MATCH(($A836 &amp; "Points"),CLASSNAMEHEADERS,0))))}</f>
        <v>SKILLFEATEXTRA-L11</v>
      </c>
      <c r="R835" s="76" t="str">
        <f t="array" ref="R835:R836">{"SKILLFEATEXTRA-L12";((INDEX(ALLCLASSDATA,MATCH("SkillFeatExtra-L12",CLASSFEATUREHEADERS,0),MATCH(($A836 &amp; "Points"),CLASSNAMEHEADERS,0))))}</f>
        <v>SKILLFEATEXTRA-L12</v>
      </c>
      <c r="S835" s="76" t="str">
        <f t="array" ref="S835:S836">{"SKILLFEATEXTRA-L13";((INDEX(ALLCLASSDATA,MATCH("SkillFeatExtra-L13",CLASSFEATUREHEADERS,0),MATCH(($A836 &amp; "Points"),CLASSNAMEHEADERS,0))))}</f>
        <v>SKILLFEATEXTRA-L13</v>
      </c>
      <c r="T835" s="76" t="str">
        <f t="array" ref="T835:T836">{"SKILLFEATEXTRA-L14";((INDEX(ALLCLASSDATA,MATCH("SkillFeatExtra-L14",CLASSFEATUREHEADERS,0),MATCH(($A836 &amp; "Points"),CLASSNAMEHEADERS,0))))}</f>
        <v>SKILLFEATEXTRA-L14</v>
      </c>
      <c r="U835" s="76" t="str">
        <f t="array" ref="U835:U836">{"SKILLFEATEXTRA-L15";((INDEX(ALLCLASSDATA,MATCH("SkillFeatExtra-L15",CLASSFEATUREHEADERS,0),MATCH(($A836 &amp; "Points"),CLASSNAMEHEADERS,0))))}</f>
        <v>SKILLFEATEXTRA-L15</v>
      </c>
      <c r="V835" s="76" t="str">
        <f t="array" ref="V835:V836">{"SKILLFEATEXTRA-L16";((INDEX(ALLCLASSDATA,MATCH("SkillFeatExtra-L16",CLASSFEATUREHEADERS,0),MATCH(($A836 &amp; "Points"),CLASSNAMEHEADERS,0))))}</f>
        <v>SKILLFEATEXTRA-L16</v>
      </c>
      <c r="W835" s="76" t="str">
        <f t="array" ref="W835:W836">{"SKILLFEATEXTRA-L17";((INDEX(ALLCLASSDATA,MATCH("SkillFeatExtra-L17",CLASSFEATUREHEADERS,0),MATCH(($A836 &amp; "Points"),CLASSNAMEHEADERS,0))))}</f>
        <v>SKILLFEATEXTRA-L17</v>
      </c>
      <c r="X835" s="76" t="str">
        <f t="array" ref="X835:X836">{"SKILLFEATEXTRA-L18";((INDEX(ALLCLASSDATA,MATCH("SkillFeatExtra-L18",CLASSFEATUREHEADERS,0),MATCH(($A836 &amp; "Points"),CLASSNAMEHEADERS,0))))}</f>
        <v>SKILLFEATEXTRA-L18</v>
      </c>
      <c r="Y835" s="76" t="str">
        <f t="array" ref="Y835:Y836">{"SKILLFEATEXTRA-L19";((INDEX(ALLCLASSDATA,MATCH("SkillFeatExtra-L19",CLASSFEATUREHEADERS,0),MATCH(($A836 &amp; "Points"),CLASSNAMEHEADERS,0))))}</f>
        <v>SKILLFEATEXTRA-L19</v>
      </c>
      <c r="Z835" s="76" t="str">
        <f t="array" ref="Z835:Z836">{"SKILLFEATEXTRA-L20";((INDEX(ALLCLASSDATA,MATCH("SkillFeatExtra-L20",CLASSFEATUREHEADERS,0),MATCH(($A836 &amp; "Points"),CLASSNAMEHEADERS,0))))}</f>
        <v>SKILLFEATEXTRA-L20</v>
      </c>
      <c r="AA835" s="76"/>
      <c r="AB835" s="76" t="str">
        <f t="array" ref="AB835:AB836">{"SKILLFEAT TOTAL";(sum(F836:Z836))}</f>
        <v>SKILLFEAT TOTAL</v>
      </c>
    </row>
    <row r="836">
      <c r="A836" s="48" t="s">
        <v>227</v>
      </c>
      <c r="B836" s="48" t="s">
        <v>418</v>
      </c>
      <c r="C836" s="97" t="s">
        <v>659</v>
      </c>
      <c r="D836" s="97" t="s">
        <v>722</v>
      </c>
      <c r="E836" s="97"/>
      <c r="F836" s="132"/>
      <c r="G836" s="98" t="s">
        <v>603</v>
      </c>
      <c r="H836" s="98" t="s">
        <v>603</v>
      </c>
      <c r="I836" s="97" t="s">
        <v>603</v>
      </c>
      <c r="J836" s="98" t="s">
        <v>603</v>
      </c>
      <c r="K836" s="97" t="s">
        <v>603</v>
      </c>
      <c r="L836" s="98" t="s">
        <v>603</v>
      </c>
      <c r="M836" s="98" t="s">
        <v>603</v>
      </c>
      <c r="N836" s="98" t="s">
        <v>603</v>
      </c>
      <c r="O836" s="98" t="s">
        <v>603</v>
      </c>
      <c r="P836" s="98" t="s">
        <v>603</v>
      </c>
      <c r="Q836" s="98" t="s">
        <v>603</v>
      </c>
      <c r="R836" s="98" t="s">
        <v>603</v>
      </c>
      <c r="S836" s="98" t="s">
        <v>603</v>
      </c>
      <c r="T836" s="98" t="s">
        <v>603</v>
      </c>
      <c r="U836" s="98" t="s">
        <v>603</v>
      </c>
      <c r="V836" s="98" t="s">
        <v>603</v>
      </c>
      <c r="W836" s="98" t="s">
        <v>603</v>
      </c>
      <c r="X836" s="98" t="s">
        <v>603</v>
      </c>
      <c r="Y836" s="98" t="s">
        <v>603</v>
      </c>
      <c r="Z836" s="98" t="s">
        <v>603</v>
      </c>
      <c r="AA836" s="5"/>
      <c r="AB836" s="47">
        <v>0.0</v>
      </c>
    </row>
    <row r="837" hidden="1">
      <c r="A837" s="76" t="str">
        <f t="array" ref="A837:A838">{"FormulaRow08";(INDEX(CLASSLIST,A822,1))}</f>
        <v>FormulaRow08</v>
      </c>
      <c r="B837" s="76" t="str">
        <f t="array" ref="B837:B838">{"CLASSTYPE";((INDEX(ALLCLASSDATA,MATCH("ClassType",CLASSFEATUREHEADERS,0),MATCH($A838,CLASSNAMEHEADERS,0))))}</f>
        <v>CLASSTYPE</v>
      </c>
      <c r="C837" s="81" t="str">
        <f t="array" ref="C837:C838">{"CLASSABILITY";"ClassAbility"}</f>
        <v>CLASSABILITY</v>
      </c>
      <c r="D837" s="81" t="str">
        <f t="array" ref="D837:D838">{"CLASSABILITY1";"ClassAbility1"}</f>
        <v>CLASSABILITY1</v>
      </c>
      <c r="E837" s="81"/>
      <c r="F837" s="81"/>
      <c r="G837" s="81"/>
      <c r="H837" s="81"/>
      <c r="I837" s="81" t="str">
        <f t="array" ref="I837:I838">{"CLASSABILITY1-L03";((INDEX(ALLCLASSDATA,MATCH("ClassAbility1-L03",CLASSFEATUREHEADERS,0),MATCH(($A838),CLASSNAMEHEADERS,0))))}</f>
        <v>CLASSABILITY1-L03</v>
      </c>
      <c r="J837" s="81"/>
      <c r="K837" s="81" t="str">
        <f t="array" ref="K837:K838">{"CLASSABILITY1-L05";((INDEX(ALLCLASSDATA,MATCH("ClassAbility1-L05",CLASSFEATUREHEADERS,0),MATCH(($A838),CLASSNAMEHEADERS,0))))}</f>
        <v>CLASSABILITY1-L05</v>
      </c>
      <c r="L837" s="81"/>
      <c r="M837" s="81" t="str">
        <f t="array" ref="M837:M838">{"CLASSABILITY1-L07";((INDEX(ALLCLASSDATA,MATCH("ClassAbility1-L07",CLASSFEATUREHEADERS,0),MATCH(($A838),CLASSNAMEHEADERS,0))))}</f>
        <v>CLASSABILITY1-L07</v>
      </c>
      <c r="N837" s="81"/>
      <c r="O837" s="81" t="str">
        <f t="array" ref="O837:O838">{"CLASSABILITY1-L09";((INDEX(ALLCLASSDATA,MATCH("ClassAbility1-L09",CLASSFEATUREHEADERS,0),MATCH(($A838),CLASSNAMEHEADERS,0))))}</f>
        <v>CLASSABILITY1-L09</v>
      </c>
      <c r="P837" s="81"/>
      <c r="Q837" s="81" t="str">
        <f t="array" ref="Q837:Q838">{"CLASSABILITY1-L11";((INDEX(ALLCLASSDATA,MATCH("ClassAbility1-L11",CLASSFEATUREHEADERS,0),MATCH(($A838),CLASSNAMEHEADERS,0))))}</f>
        <v>CLASSABILITY1-L11</v>
      </c>
      <c r="R837" s="81"/>
      <c r="S837" s="81" t="str">
        <f t="array" ref="S837:S838">{"CLASSABILITY1-L13";((INDEX(ALLCLASSDATA,MATCH("ClassAbility1-L13",CLASSFEATUREHEADERS,0),MATCH(($A838),CLASSNAMEHEADERS,0))))}</f>
        <v>CLASSABILITY1-L13</v>
      </c>
      <c r="T837" s="81"/>
      <c r="U837" s="81" t="str">
        <f t="array" ref="U837:U838">{"CLASSABILITY1-L15";((INDEX(ALLCLASSDATA,MATCH("ClassAbility1-L15",CLASSFEATUREHEADERS,0),MATCH(($A838),CLASSNAMEHEADERS,0))))}</f>
        <v>CLASSABILITY1-L15</v>
      </c>
      <c r="V837" s="81"/>
      <c r="W837" s="81" t="str">
        <f t="array" ref="W837:W838">{"CLASSABILITY1-L17";((INDEX(ALLCLASSDATA,MATCH("ClassAbility1-L17",CLASSFEATUREHEADERS,0),MATCH(($A838),CLASSNAMEHEADERS,0))))}</f>
        <v>CLASSABILITY1-L17</v>
      </c>
      <c r="X837" s="81"/>
      <c r="Y837" s="81" t="str">
        <f t="array" ref="Y837:Y838">{"CLASSABILITY1-L19";((INDEX(ALLCLASSDATA,MATCH("ClassAbility1-L19",CLASSFEATUREHEADERS,0),MATCH(($A838),CLASSNAMEHEADERS,0))))}</f>
        <v>CLASSABILITY1-L19</v>
      </c>
      <c r="Z837" s="81"/>
      <c r="AA837" s="76"/>
      <c r="AB837" s="76"/>
    </row>
    <row r="838">
      <c r="A838" s="48" t="s">
        <v>227</v>
      </c>
      <c r="B838" s="48" t="s">
        <v>418</v>
      </c>
      <c r="C838" s="48" t="s">
        <v>825</v>
      </c>
      <c r="D838" s="48" t="s">
        <v>826</v>
      </c>
      <c r="E838" s="5"/>
      <c r="F838" s="47"/>
      <c r="G838" s="5"/>
      <c r="H838" s="5"/>
      <c r="I838" s="5" t="s">
        <v>1251</v>
      </c>
      <c r="J838" s="5"/>
      <c r="K838" s="5" t="s">
        <v>1697</v>
      </c>
      <c r="L838" s="5"/>
      <c r="M838" s="5" t="s">
        <v>350</v>
      </c>
      <c r="N838" s="5"/>
      <c r="O838" s="5" t="s">
        <v>314</v>
      </c>
      <c r="P838" s="5"/>
      <c r="Q838" s="5" t="s">
        <v>1737</v>
      </c>
      <c r="R838" s="5"/>
      <c r="S838" s="5" t="s">
        <v>369</v>
      </c>
      <c r="T838" s="5"/>
      <c r="U838" s="5" t="s">
        <v>353</v>
      </c>
      <c r="V838" s="5"/>
      <c r="W838" s="5" t="s">
        <v>1778</v>
      </c>
      <c r="X838" s="5"/>
      <c r="Y838" s="5" t="s">
        <v>1795</v>
      </c>
      <c r="Z838" s="5"/>
      <c r="AA838" s="5"/>
      <c r="AB838" s="47"/>
    </row>
    <row r="839" hidden="1">
      <c r="A839" s="76" t="str">
        <f t="array" ref="A839:A840">{"FormulaRow09";(INDEX(CLASSLIST,A822,1))}</f>
        <v>FormulaRow09</v>
      </c>
      <c r="B839" s="76" t="str">
        <f t="array" ref="B839:B840">{"CLASSTYPE";((INDEX(ALLCLASSDATA,MATCH("ClassType",CLASSFEATUREHEADERS,0),MATCH($A840,CLASSNAMEHEADERS,0))))}</f>
        <v>CLASSTYPE</v>
      </c>
      <c r="C839" s="76" t="str">
        <f t="array" ref="C839:C840">{"CLASSABILITYPTS";"ClassAbilityPts"}</f>
        <v>CLASSABILITYPTS</v>
      </c>
      <c r="D839" s="76" t="str">
        <f t="array" ref="D839:D840">{"CLASSABILITY1";"ClassAbility1"}</f>
        <v>CLASSABILITY1</v>
      </c>
      <c r="E839" s="76"/>
      <c r="F839" s="76"/>
      <c r="G839" s="76"/>
      <c r="H839" s="76"/>
      <c r="I839" s="76" t="str">
        <f t="array" ref="I839:I840">{"CLASSABILITY1-L03PTS";((INDEX(ALLCLASSDATA,MATCH("ClassAbility1-L03",CLASSFEATUREHEADERS,0),MATCH(($A840 &amp; "Points"),CLASSNAMEHEADERS,0))))}</f>
        <v>CLASSABILITY1-L03PTS</v>
      </c>
      <c r="J839" s="76"/>
      <c r="K839" s="76" t="str">
        <f t="array" ref="K839:K840">{"CLASSABILITY1-L05PTS";((INDEX(ALLCLASSDATA,MATCH("ClassAbility1-L05",CLASSFEATUREHEADERS,0),MATCH(($A840 &amp; "Points"),CLASSNAMEHEADERS,0))))}</f>
        <v>CLASSABILITY1-L05PTS</v>
      </c>
      <c r="L839" s="76"/>
      <c r="M839" s="76" t="str">
        <f t="array" ref="M839:M840">{"CLASSABILITY1-L07PTS";((INDEX(ALLCLASSDATA,MATCH("ClassAbility1-L07",CLASSFEATUREHEADERS,0),MATCH(($A840 &amp; "Points"),CLASSNAMEHEADERS,0))))}</f>
        <v>CLASSABILITY1-L07PTS</v>
      </c>
      <c r="N839" s="76"/>
      <c r="O839" s="76" t="str">
        <f t="array" ref="O839:O840">{"CLASSABILITY1-L09PTS";((INDEX(ALLCLASSDATA,MATCH("ClassAbility1-L09",CLASSFEATUREHEADERS,0),MATCH(($A840 &amp; "Points"),CLASSNAMEHEADERS,0))))}</f>
        <v>CLASSABILITY1-L09PTS</v>
      </c>
      <c r="P839" s="76"/>
      <c r="Q839" s="76" t="str">
        <f t="array" ref="Q839:Q840">{"CLASSABILITY1-L11PTS";((INDEX(ALLCLASSDATA,MATCH("ClassAbility1-L11",CLASSFEATUREHEADERS,0),MATCH(($A840 &amp; "Points"),CLASSNAMEHEADERS,0))))}</f>
        <v>CLASSABILITY1-L11PTS</v>
      </c>
      <c r="R839" s="76"/>
      <c r="S839" s="76" t="str">
        <f t="array" ref="S839:S840">{"CLASSABILITY1-L13PTS";((INDEX(ALLCLASSDATA,MATCH("ClassAbility1-L13",CLASSFEATUREHEADERS,0),MATCH(($A840 &amp; "Points"),CLASSNAMEHEADERS,0))))}</f>
        <v>CLASSABILITY1-L13PTS</v>
      </c>
      <c r="T839" s="76"/>
      <c r="U839" s="76" t="str">
        <f t="array" ref="U839:U840">{"CLASSABILITY1-L15PTS";((INDEX(ALLCLASSDATA,MATCH("ClassAbility1-L15",CLASSFEATUREHEADERS,0),MATCH(($A840 &amp; "Points"),CLASSNAMEHEADERS,0))))}</f>
        <v>CLASSABILITY1-L15PTS</v>
      </c>
      <c r="V839" s="76"/>
      <c r="W839" s="76" t="str">
        <f t="array" ref="W839:W840">{"CLASSABILITY1-L17PTS";((INDEX(ALLCLASSDATA,MATCH("ClassAbility1-L17",CLASSFEATUREHEADERS,0),MATCH(($A840 &amp; "Points"),CLASSNAMEHEADERS,0))))}</f>
        <v>CLASSABILITY1-L17PTS</v>
      </c>
      <c r="X839" s="76"/>
      <c r="Y839" s="76" t="str">
        <f t="array" ref="Y839:Y840">{"CLASSABILITY1-L19PTS";((INDEX(ALLCLASSDATA,MATCH("ClassAbility1-L19",CLASSFEATUREHEADERS,0),MATCH(($A840 &amp; "Points"),CLASSNAMEHEADERS,0))))}</f>
        <v>CLASSABILITY1-L19PTS</v>
      </c>
      <c r="Z839" s="76"/>
      <c r="AA839" s="76"/>
      <c r="AB839" s="76" t="str">
        <f t="array" ref="AB839:AB840">{"CLASSABILITY1 TOTAL";(sum(F840:Z840))}</f>
        <v>CLASSABILITY1 TOTAL</v>
      </c>
    </row>
    <row r="840">
      <c r="A840" s="48" t="s">
        <v>227</v>
      </c>
      <c r="B840" s="48" t="s">
        <v>418</v>
      </c>
      <c r="C840" s="48" t="s">
        <v>930</v>
      </c>
      <c r="D840" s="48" t="s">
        <v>826</v>
      </c>
      <c r="E840" s="5"/>
      <c r="F840" s="5"/>
      <c r="G840" s="5"/>
      <c r="H840" s="5"/>
      <c r="I840" s="48">
        <v>30.0</v>
      </c>
      <c r="J840" s="5"/>
      <c r="K840" s="5"/>
      <c r="L840" s="5"/>
      <c r="M840" s="5"/>
      <c r="N840" s="5"/>
      <c r="O840" s="5"/>
      <c r="P840" s="5"/>
      <c r="Q840" s="5"/>
      <c r="R840" s="5"/>
      <c r="S840" s="5"/>
      <c r="T840" s="5"/>
      <c r="U840" s="5"/>
      <c r="V840" s="5"/>
      <c r="W840" s="5"/>
      <c r="X840" s="5"/>
      <c r="Y840" s="5"/>
      <c r="Z840" s="5"/>
      <c r="AA840" s="5"/>
      <c r="AB840" s="47">
        <v>30.0</v>
      </c>
    </row>
    <row r="841" hidden="1">
      <c r="A841" s="76" t="str">
        <f t="array" ref="A841:A842">{"FormulaRow10";(INDEX(CLASSLIST,A822,1))}</f>
        <v>FormulaRow10</v>
      </c>
      <c r="B841" s="76" t="str">
        <f t="array" ref="B841:B842">{"CLASSTYPE";((INDEX(ALLCLASSDATA,MATCH("ClassType",CLASSFEATUREHEADERS,0),MATCH($A842,CLASSNAMEHEADERS,0))))}</f>
        <v>CLASSTYPE</v>
      </c>
      <c r="C841" s="76" t="str">
        <f t="array" ref="C841:C842">{"CLASSABILITY";"ClassAbility"}</f>
        <v>CLASSABILITY</v>
      </c>
      <c r="D841" s="76" t="str">
        <f t="array" ref="D841:D842">{"CLASSABILITY2";"ClassAbility2"}</f>
        <v>CLASSABILITY2</v>
      </c>
      <c r="E841" s="76"/>
      <c r="F841" s="76"/>
      <c r="G841" s="76"/>
      <c r="H841" s="76"/>
      <c r="I841" s="76" t="str">
        <f t="array" ref="I841:I842">{"CLASSABILITY2-L03";((INDEX(ALLCLASSDATA,MATCH("ClassAbility2-L03",CLASSFEATUREHEADERS,0),MATCH(($A842),CLASSNAMEHEADERS,0))))}</f>
        <v>CLASSABILITY2-L03</v>
      </c>
      <c r="J841" s="76"/>
      <c r="K841" s="76" t="str">
        <f t="array" ref="K841:K842">{"CLASSABILITY2-L05";((INDEX(ALLCLASSDATA,MATCH("ClassAbility2-L05",CLASSFEATUREHEADERS,0),MATCH(($A842),CLASSNAMEHEADERS,0))))}</f>
        <v>CLASSABILITY2-L05</v>
      </c>
      <c r="L841" s="76"/>
      <c r="M841" s="76" t="str">
        <f t="array" ref="M841:M842">{"CLASSABILITY2-L07";((INDEX(ALLCLASSDATA,MATCH("ClassAbility2-L07",CLASSFEATUREHEADERS,0),MATCH(($A842),CLASSNAMEHEADERS,0))))}</f>
        <v>CLASSABILITY2-L07</v>
      </c>
      <c r="N841" s="76"/>
      <c r="O841" s="76" t="str">
        <f t="array" ref="O841:O842">{"CLASSABILITY2-L09";((INDEX(ALLCLASSDATA,MATCH("ClassAbility2-L09",CLASSFEATUREHEADERS,0),MATCH(($A842),CLASSNAMEHEADERS,0))))}</f>
        <v>CLASSABILITY2-L09</v>
      </c>
      <c r="P841" s="76"/>
      <c r="Q841" s="76" t="str">
        <f t="array" ref="Q841:Q842">{"CLASSABILITY2-L11";((INDEX(ALLCLASSDATA,MATCH("ClassAbility2-L11",CLASSFEATUREHEADERS,0),MATCH(($A842),CLASSNAMEHEADERS,0))))}</f>
        <v>CLASSABILITY2-L11</v>
      </c>
      <c r="R841" s="76"/>
      <c r="S841" s="76" t="str">
        <f t="array" ref="S841:S842">{"CLASSABILITY2-L13";((INDEX(ALLCLASSDATA,MATCH("ClassAbility2-L13",CLASSFEATUREHEADERS,0),MATCH(($A842),CLASSNAMEHEADERS,0))))}</f>
        <v>CLASSABILITY2-L13</v>
      </c>
      <c r="T841" s="76"/>
      <c r="U841" s="76" t="str">
        <f t="array" ref="U841:U842">{"CLASSABILITY2-L15";((INDEX(ALLCLASSDATA,MATCH("ClassAbility2-L15",CLASSFEATUREHEADERS,0),MATCH(($A842),CLASSNAMEHEADERS,0))))}</f>
        <v>CLASSABILITY2-L15</v>
      </c>
      <c r="V841" s="76"/>
      <c r="W841" s="76" t="str">
        <f t="array" ref="W841:W842">{"CLASSABILITY2-L17";((INDEX(ALLCLASSDATA,MATCH("ClassAbility2-L17",CLASSFEATUREHEADERS,0),MATCH(($A842),CLASSNAMEHEADERS,0))))}</f>
        <v>CLASSABILITY2-L17</v>
      </c>
      <c r="X841" s="76"/>
      <c r="Y841" s="76" t="str">
        <f t="array" ref="Y841:Y842">{"CLASSABILITY2-L19";((INDEX(ALLCLASSDATA,MATCH("ClassAbility2-L19",CLASSFEATUREHEADERS,0),MATCH(($A842),CLASSNAMEHEADERS,0))))}</f>
        <v>CLASSABILITY2-L19</v>
      </c>
      <c r="Z841" s="76"/>
      <c r="AA841" s="76"/>
      <c r="AB841" s="76"/>
    </row>
    <row r="842">
      <c r="A842" s="48" t="s">
        <v>227</v>
      </c>
      <c r="B842" s="48" t="s">
        <v>418</v>
      </c>
      <c r="C842" s="48" t="s">
        <v>825</v>
      </c>
      <c r="D842" s="48" t="s">
        <v>1007</v>
      </c>
      <c r="E842" s="48"/>
      <c r="F842" s="47"/>
      <c r="G842" s="5"/>
      <c r="H842" s="5"/>
      <c r="I842" s="5"/>
      <c r="J842" s="5"/>
      <c r="K842" s="5" t="s">
        <v>1701</v>
      </c>
      <c r="L842" s="5"/>
      <c r="M842" s="5"/>
      <c r="N842" s="5"/>
      <c r="O842" s="5"/>
      <c r="P842" s="5"/>
      <c r="Q842" s="5" t="s">
        <v>1742</v>
      </c>
      <c r="R842" s="5"/>
      <c r="S842" s="5" t="s">
        <v>1757</v>
      </c>
      <c r="T842" s="5"/>
      <c r="U842" s="5"/>
      <c r="V842" s="5"/>
      <c r="W842" s="5"/>
      <c r="X842" s="5"/>
      <c r="Y842" s="5" t="s">
        <v>356</v>
      </c>
      <c r="Z842" s="5"/>
      <c r="AA842" s="5"/>
      <c r="AB842" s="47"/>
    </row>
    <row r="843" hidden="1">
      <c r="A843" s="76" t="str">
        <f t="array" ref="A843:A844">{"FormulaRow11";(INDEX(CLASSLIST,A822,1))}</f>
        <v>FormulaRow11</v>
      </c>
      <c r="B843" s="76" t="str">
        <f t="array" ref="B843:B844">{"CLASSTYPE";((INDEX(ALLCLASSDATA,MATCH("ClassType",CLASSFEATUREHEADERS,0),MATCH($A844,CLASSNAMEHEADERS,0))))}</f>
        <v>CLASSTYPE</v>
      </c>
      <c r="C843" s="76" t="str">
        <f t="array" ref="C843:C844">{"CLASSABILITYPTS";"ClassAbilityPts"}</f>
        <v>CLASSABILITYPTS</v>
      </c>
      <c r="D843" s="76" t="str">
        <f t="array" ref="D843:D844">{"CLASSABILITY2";"ClassAbility2"}</f>
        <v>CLASSABILITY2</v>
      </c>
      <c r="E843" s="76"/>
      <c r="F843" s="76"/>
      <c r="G843" s="76"/>
      <c r="H843" s="76"/>
      <c r="I843" s="76" t="str">
        <f t="array" ref="I843:I844">{"CLASSABILITY2-L03PTS";((INDEX(ALLCLASSDATA,MATCH("ClassAbility2-L03",CLASSFEATUREHEADERS,0),MATCH(($A844 &amp; "Points"),CLASSNAMEHEADERS,0))))}</f>
        <v>CLASSABILITY2-L03PTS</v>
      </c>
      <c r="J843" s="76"/>
      <c r="K843" s="76" t="str">
        <f t="array" ref="K843:K844">{"CLASSABILITY2-L05PTS";((INDEX(ALLCLASSDATA,MATCH("ClassAbility2-L05",CLASSFEATUREHEADERS,0),MATCH(($A844 &amp; "Points"),CLASSNAMEHEADERS,0))))}</f>
        <v>CLASSABILITY2-L05PTS</v>
      </c>
      <c r="L843" s="76"/>
      <c r="M843" s="76" t="str">
        <f t="array" ref="M843:M844">{"CLASSABILITY2-L07PTS";((INDEX(ALLCLASSDATA,MATCH("ClassAbility2-L07",CLASSFEATUREHEADERS,0),MATCH(($A844 &amp; "Points"),CLASSNAMEHEADERS,0))))}</f>
        <v>CLASSABILITY2-L07PTS</v>
      </c>
      <c r="N843" s="76"/>
      <c r="O843" s="76" t="str">
        <f t="array" ref="O843:O844">{"CLASSABILITY2-L09PTS";((INDEX(ALLCLASSDATA,MATCH("ClassAbility2-L09",CLASSFEATUREHEADERS,0),MATCH(($A844 &amp; "Points"),CLASSNAMEHEADERS,0))))}</f>
        <v>CLASSABILITY2-L09PTS</v>
      </c>
      <c r="P843" s="76"/>
      <c r="Q843" s="76" t="str">
        <f t="array" ref="Q843:Q844">{"CLASSABILITY2-L11PTS";((INDEX(ALLCLASSDATA,MATCH("ClassAbility2-L11",CLASSFEATUREHEADERS,0),MATCH(($A844 &amp; "Points"),CLASSNAMEHEADERS,0))))}</f>
        <v>CLASSABILITY2-L11PTS</v>
      </c>
      <c r="R843" s="76"/>
      <c r="S843" s="76" t="str">
        <f t="array" ref="S843:S844">{"CLASSABILITY2-L13PTS";((INDEX(ALLCLASSDATA,MATCH("ClassAbility2-L13",CLASSFEATUREHEADERS,0),MATCH(($A844 &amp; "Points"),CLASSNAMEHEADERS,0))))}</f>
        <v>CLASSABILITY2-L13PTS</v>
      </c>
      <c r="T843" s="76"/>
      <c r="U843" s="76" t="str">
        <f t="array" ref="U843:U844">{"CLASSABILITY2-L15PTS";((INDEX(ALLCLASSDATA,MATCH("ClassAbility2-L15",CLASSFEATUREHEADERS,0),MATCH(($A844 &amp; "Points"),CLASSNAMEHEADERS,0))))}</f>
        <v>CLASSABILITY2-L15PTS</v>
      </c>
      <c r="V843" s="76"/>
      <c r="W843" s="76" t="str">
        <f t="array" ref="W843:W844">{"CLASSABILITY2-L17PTS";((INDEX(ALLCLASSDATA,MATCH("ClassAbility2-L17",CLASSFEATUREHEADERS,0),MATCH(($A844 &amp; "Points"),CLASSNAMEHEADERS,0))))}</f>
        <v>CLASSABILITY2-L17PTS</v>
      </c>
      <c r="X843" s="76"/>
      <c r="Y843" s="76" t="str">
        <f t="array" ref="Y843:Y844">{"CLASSABILITY2-L19PTS";((INDEX(ALLCLASSDATA,MATCH("ClassAbility2-L19",CLASSFEATUREHEADERS,0),MATCH(($A844 &amp; "Points"),CLASSNAMEHEADERS,0))))}</f>
        <v>CLASSABILITY2-L19PTS</v>
      </c>
      <c r="Z843" s="76"/>
      <c r="AA843" s="76"/>
      <c r="AB843" s="76" t="str">
        <f t="array" ref="AB843:AB844">{"CLASSABILITY2 TOTAL";(sum(F844:Z844))}</f>
        <v>CLASSABILITY2 TOTAL</v>
      </c>
    </row>
    <row r="844">
      <c r="A844" s="48" t="s">
        <v>227</v>
      </c>
      <c r="B844" s="48" t="s">
        <v>418</v>
      </c>
      <c r="C844" s="48" t="s">
        <v>930</v>
      </c>
      <c r="D844" s="48" t="s">
        <v>1007</v>
      </c>
      <c r="E844" s="48"/>
      <c r="F844" s="47"/>
      <c r="G844" s="5"/>
      <c r="H844" s="5"/>
      <c r="I844" s="5"/>
      <c r="J844" s="5"/>
      <c r="K844" s="5">
        <v>50.0</v>
      </c>
      <c r="L844" s="5"/>
      <c r="M844" s="5"/>
      <c r="N844" s="5"/>
      <c r="O844" s="5"/>
      <c r="P844" s="5"/>
      <c r="Q844" s="5"/>
      <c r="R844" s="5"/>
      <c r="S844" s="5"/>
      <c r="T844" s="5"/>
      <c r="U844" s="5"/>
      <c r="V844" s="5"/>
      <c r="W844" s="5"/>
      <c r="X844" s="5"/>
      <c r="Y844" s="5"/>
      <c r="Z844" s="5"/>
      <c r="AA844" s="5"/>
      <c r="AB844" s="47">
        <v>50.0</v>
      </c>
    </row>
    <row r="845" hidden="1">
      <c r="A845" s="76" t="str">
        <f t="array" ref="A845:A846">{"FormulaRow12";(INDEX(CLASSLIST,A822,1))}</f>
        <v>FormulaRow12</v>
      </c>
      <c r="B845" s="76" t="str">
        <f t="array" ref="B845:B846">{"CLASSTYPE";((INDEX(ALLCLASSDATA,MATCH("ClassType",CLASSFEATUREHEADERS,0),MATCH($A846,CLASSNAMEHEADERS,0))))}</f>
        <v>CLASSTYPE</v>
      </c>
      <c r="C845" s="76" t="str">
        <f t="array" ref="C845:C846">{"CLASSABILITY";"ClassAbility"}</f>
        <v>CLASSABILITY</v>
      </c>
      <c r="D845" s="76" t="str">
        <f t="array" ref="D845:D846">{"CLASSABILITY3";"ClassAbility3"}</f>
        <v>CLASSABILITY3</v>
      </c>
      <c r="E845" s="76"/>
      <c r="F845" s="76"/>
      <c r="G845" s="76"/>
      <c r="H845" s="76"/>
      <c r="I845" s="76" t="str">
        <f t="array" ref="I845:I846">{"CLASSABILITY3-L03";((INDEX(ALLCLASSDATA,MATCH("ClassAbility3-L03",CLASSFEATUREHEADERS,0),MATCH(($A846),CLASSNAMEHEADERS,0))))}</f>
        <v>CLASSABILITY3-L03</v>
      </c>
      <c r="J845" s="76"/>
      <c r="K845" s="76" t="str">
        <f t="array" ref="K845:K846">{"CLASSABILITY3-L05";((INDEX(ALLCLASSDATA,MATCH("ClassAbility3-L05",CLASSFEATUREHEADERS,0),MATCH(($A846),CLASSNAMEHEADERS,0))))}</f>
        <v>CLASSABILITY3-L05</v>
      </c>
      <c r="L845" s="76"/>
      <c r="M845" s="76" t="str">
        <f t="array" ref="M845:M846">{"CLASSABILITY3-L07";((INDEX(ALLCLASSDATA,MATCH("ClassAbility3-L07",CLASSFEATUREHEADERS,0),MATCH(($A846),CLASSNAMEHEADERS,0))))}</f>
        <v>CLASSABILITY3-L07</v>
      </c>
      <c r="N845" s="76"/>
      <c r="O845" s="76" t="str">
        <f t="array" ref="O845:O846">{"CLASSABILITY3-L09";((INDEX(ALLCLASSDATA,MATCH("ClassAbility3-L09",CLASSFEATUREHEADERS,0),MATCH(($A846),CLASSNAMEHEADERS,0))))}</f>
        <v>CLASSABILITY3-L09</v>
      </c>
      <c r="P845" s="76"/>
      <c r="Q845" s="76" t="str">
        <f t="array" ref="Q845:Q846">{"CLASSABILITY3-L11";((INDEX(ALLCLASSDATA,MATCH("ClassAbility3-L11",CLASSFEATUREHEADERS,0),MATCH(($A846),CLASSNAMEHEADERS,0))))}</f>
        <v>CLASSABILITY3-L11</v>
      </c>
      <c r="R845" s="76"/>
      <c r="S845" s="76" t="str">
        <f t="array" ref="S845:S846">{"CLASSABILITY3-L13";((INDEX(ALLCLASSDATA,MATCH("ClassAbility3-L13",CLASSFEATUREHEADERS,0),MATCH(($A846),CLASSNAMEHEADERS,0))))}</f>
        <v>CLASSABILITY3-L13</v>
      </c>
      <c r="T845" s="76"/>
      <c r="U845" s="76" t="str">
        <f t="array" ref="U845:U846">{"CLASSABILITY3-L15";((INDEX(ALLCLASSDATA,MATCH("ClassAbility3-L15",CLASSFEATUREHEADERS,0),MATCH(($A846),CLASSNAMEHEADERS,0))))}</f>
        <v>CLASSABILITY3-L15</v>
      </c>
      <c r="V845" s="76"/>
      <c r="W845" s="76" t="str">
        <f t="array" ref="W845:W846">{"CLASSABILITY3-L17";((INDEX(ALLCLASSDATA,MATCH("ClassAbility3-L17",CLASSFEATUREHEADERS,0),MATCH(($A846),CLASSNAMEHEADERS,0))))}</f>
        <v>CLASSABILITY3-L17</v>
      </c>
      <c r="X845" s="76"/>
      <c r="Y845" s="76" t="str">
        <f t="array" ref="Y845:Y846">{"CLASSABILITY3-L19";((INDEX(ALLCLASSDATA,MATCH("ClassAbility3-L19",CLASSFEATUREHEADERS,0),MATCH(($A846),CLASSNAMEHEADERS,0))))}</f>
        <v>CLASSABILITY3-L19</v>
      </c>
      <c r="Z845" s="76"/>
      <c r="AA845" s="76"/>
      <c r="AB845" s="76"/>
    </row>
    <row r="846">
      <c r="A846" s="48" t="s">
        <v>227</v>
      </c>
      <c r="B846" s="48" t="s">
        <v>418</v>
      </c>
      <c r="C846" s="48" t="s">
        <v>825</v>
      </c>
      <c r="D846" s="48" t="s">
        <v>1144</v>
      </c>
      <c r="E846" s="48"/>
      <c r="F846" s="47"/>
      <c r="G846" s="5"/>
      <c r="H846" s="5"/>
      <c r="I846" s="5"/>
      <c r="J846" s="5"/>
      <c r="K846" s="5"/>
      <c r="L846" s="5"/>
      <c r="M846" s="5"/>
      <c r="N846" s="5"/>
      <c r="O846" s="5"/>
      <c r="P846" s="5"/>
      <c r="Q846" s="5" t="s">
        <v>1746</v>
      </c>
      <c r="R846" s="5"/>
      <c r="S846" s="5"/>
      <c r="T846" s="5"/>
      <c r="U846" s="5"/>
      <c r="V846" s="5"/>
      <c r="W846" s="5"/>
      <c r="X846" s="5"/>
      <c r="Y846" s="5"/>
      <c r="Z846" s="5"/>
      <c r="AA846" s="5"/>
      <c r="AB846" s="47"/>
    </row>
    <row r="847" hidden="1">
      <c r="A847" s="76" t="str">
        <f t="array" ref="A847:A848">{"FormulaRow13";(INDEX(CLASSLIST,A822,1))}</f>
        <v>FormulaRow13</v>
      </c>
      <c r="B847" s="76" t="str">
        <f t="array" ref="B847:B848">{"CLASSTYPE";((INDEX(ALLCLASSDATA,MATCH("ClassType",CLASSFEATUREHEADERS,0),MATCH($A848,CLASSNAMEHEADERS,0))))}</f>
        <v>CLASSTYPE</v>
      </c>
      <c r="C847" s="76" t="str">
        <f t="array" ref="C847:C848">{"CLASSABILITYPTS";"ClassAbilityPts"}</f>
        <v>CLASSABILITYPTS</v>
      </c>
      <c r="D847" s="76" t="str">
        <f t="array" ref="D847:D848">{"CLASSABILITY3";"ClassAbility3"}</f>
        <v>CLASSABILITY3</v>
      </c>
      <c r="E847" s="76"/>
      <c r="F847" s="76"/>
      <c r="G847" s="76"/>
      <c r="H847" s="76"/>
      <c r="I847" s="76" t="str">
        <f t="array" ref="I847:I848">{"CLASSABILITY3-L03PTS";((INDEX(ALLCLASSDATA,MATCH("ClassAbility3-L03",CLASSFEATUREHEADERS,0),MATCH(($A848 &amp; "Points"),CLASSNAMEHEADERS,0))))}</f>
        <v>CLASSABILITY3-L03PTS</v>
      </c>
      <c r="J847" s="76"/>
      <c r="K847" s="76" t="str">
        <f t="array" ref="K847:K848">{"CLASSABILITY3-L05PTS";((INDEX(ALLCLASSDATA,MATCH("ClassAbility3-L05",CLASSFEATUREHEADERS,0),MATCH(($A848 &amp; "Points"),CLASSNAMEHEADERS,0))))}</f>
        <v>CLASSABILITY3-L05PTS</v>
      </c>
      <c r="L847" s="76"/>
      <c r="M847" s="76" t="str">
        <f t="array" ref="M847:M848">{"CLASSABILITY3-L07PTS";((INDEX(ALLCLASSDATA,MATCH("ClassAbility3-L07",CLASSFEATUREHEADERS,0),MATCH(($A848 &amp; "Points"),CLASSNAMEHEADERS,0))))}</f>
        <v>CLASSABILITY3-L07PTS</v>
      </c>
      <c r="N847" s="76"/>
      <c r="O847" s="76" t="str">
        <f t="array" ref="O847:O848">{"CLASSABILITY3-L09PTS";((INDEX(ALLCLASSDATA,MATCH("ClassAbility3-L09",CLASSFEATUREHEADERS,0),MATCH(($A848 &amp; "Points"),CLASSNAMEHEADERS,0))))}</f>
        <v>CLASSABILITY3-L09PTS</v>
      </c>
      <c r="P847" s="76"/>
      <c r="Q847" s="76" t="str">
        <f t="array" ref="Q847:Q848">{"CLASSABILITY3-L11PTS";((INDEX(ALLCLASSDATA,MATCH("ClassAbility3-L11",CLASSFEATUREHEADERS,0),MATCH(($A848 &amp; "Points"),CLASSNAMEHEADERS,0))))}</f>
        <v>CLASSABILITY3-L11PTS</v>
      </c>
      <c r="R847" s="76"/>
      <c r="S847" s="76" t="str">
        <f t="array" ref="S847:S848">{"CLASSABILITY3-L13PTS";((INDEX(ALLCLASSDATA,MATCH("ClassAbility3-L13",CLASSFEATUREHEADERS,0),MATCH(($A848 &amp; "Points"),CLASSNAMEHEADERS,0))))}</f>
        <v>CLASSABILITY3-L13PTS</v>
      </c>
      <c r="T847" s="76"/>
      <c r="U847" s="76" t="str">
        <f t="array" ref="U847:U848">{"CLASSABILITY3-L15PTS";((INDEX(ALLCLASSDATA,MATCH("ClassAbility3-L15",CLASSFEATUREHEADERS,0),MATCH(($A848 &amp; "Points"),CLASSNAMEHEADERS,0))))}</f>
        <v>CLASSABILITY3-L15PTS</v>
      </c>
      <c r="V847" s="76"/>
      <c r="W847" s="76" t="str">
        <f t="array" ref="W847:W848">{"CLASSABILITY3-L17PTS";((INDEX(ALLCLASSDATA,MATCH("ClassAbility3-L17",CLASSFEATUREHEADERS,0),MATCH(($A848 &amp; "Points"),CLASSNAMEHEADERS,0))))}</f>
        <v>CLASSABILITY3-L17PTS</v>
      </c>
      <c r="X847" s="76"/>
      <c r="Y847" s="76" t="str">
        <f t="array" ref="Y847:Y848">{"CLASSABILITY3-L19PTS";((INDEX(ALLCLASSDATA,MATCH("ClassAbility3-L19",CLASSFEATUREHEADERS,0),MATCH(($A848 &amp; "Points"),CLASSNAMEHEADERS,0))))}</f>
        <v>CLASSABILITY3-L19PTS</v>
      </c>
      <c r="Z847" s="76"/>
      <c r="AA847" s="76"/>
      <c r="AB847" s="76" t="str">
        <f t="array" ref="AB847:AB848">{"CLASSABILITY3 TOTAL";(sum(F848:Z848))}</f>
        <v>CLASSABILITY3 TOTAL</v>
      </c>
    </row>
    <row r="848">
      <c r="A848" s="48" t="s">
        <v>227</v>
      </c>
      <c r="B848" s="48" t="s">
        <v>418</v>
      </c>
      <c r="C848" s="48" t="s">
        <v>930</v>
      </c>
      <c r="D848" s="48" t="s">
        <v>1144</v>
      </c>
      <c r="E848" s="48"/>
      <c r="F848" s="47"/>
      <c r="G848" s="5"/>
      <c r="H848" s="5"/>
      <c r="I848" s="5"/>
      <c r="J848" s="5"/>
      <c r="K848" s="5"/>
      <c r="L848" s="5"/>
      <c r="M848" s="5"/>
      <c r="N848" s="5"/>
      <c r="O848" s="5"/>
      <c r="P848" s="5"/>
      <c r="Q848" s="5"/>
      <c r="R848" s="5"/>
      <c r="S848" s="5"/>
      <c r="T848" s="5"/>
      <c r="U848" s="5"/>
      <c r="V848" s="5"/>
      <c r="W848" s="5"/>
      <c r="X848" s="5"/>
      <c r="Y848" s="5"/>
      <c r="Z848" s="5"/>
      <c r="AA848" s="5"/>
      <c r="AB848" s="47">
        <v>0.0</v>
      </c>
    </row>
    <row r="849" hidden="1">
      <c r="A849" s="76" t="str">
        <f t="array" ref="A849:A850">{"FormulaRow14";(INDEX(CLASSLIST,A822,1))}</f>
        <v>FormulaRow14</v>
      </c>
      <c r="B849" s="76" t="str">
        <f t="array" ref="B849:B850">{"CLASSTYPE";((INDEX(ALLCLASSDATA,MATCH("ClassType",CLASSFEATUREHEADERS,0),MATCH($A850,CLASSNAMEHEADERS,0))))}</f>
        <v>CLASSTYPE</v>
      </c>
      <c r="C849" s="76" t="str">
        <f t="array" ref="C849:C850">{"CLASSABILITY";"ClassAbility"}</f>
        <v>CLASSABILITY</v>
      </c>
      <c r="D849" s="76" t="str">
        <f t="array" ref="D849:D850">{"CLASSABILITY4";"ClassAbility4"}</f>
        <v>CLASSABILITY4</v>
      </c>
      <c r="E849" s="76"/>
      <c r="F849" s="76"/>
      <c r="G849" s="76"/>
      <c r="H849" s="76"/>
      <c r="I849" s="76" t="str">
        <f t="array" ref="I849:I850">{"CLASSABILITY4-L03";((INDEX(ALLCLASSDATA,MATCH("ClassAbility4-L03",CLASSFEATUREHEADERS,0),MATCH(($A850),CLASSNAMEHEADERS,0))))}</f>
        <v>CLASSABILITY4-L03</v>
      </c>
      <c r="J849" s="76"/>
      <c r="K849" s="76" t="str">
        <f t="array" ref="K849:K850">{"CLASSABILITY4-L05";((INDEX(ALLCLASSDATA,MATCH("ClassAbility4-L05",CLASSFEATUREHEADERS,0),MATCH(($A850),CLASSNAMEHEADERS,0))))}</f>
        <v>CLASSABILITY4-L05</v>
      </c>
      <c r="L849" s="76"/>
      <c r="M849" s="76" t="str">
        <f t="array" ref="M849:M850">{"CLASSABILITY4-L07";((INDEX(ALLCLASSDATA,MATCH("ClassAbility4-L07",CLASSFEATUREHEADERS,0),MATCH(($A850),CLASSNAMEHEADERS,0))))}</f>
        <v>CLASSABILITY4-L07</v>
      </c>
      <c r="N849" s="76"/>
      <c r="O849" s="76" t="str">
        <f t="array" ref="O849:O850">{"CLASSABILITY4-L09";((INDEX(ALLCLASSDATA,MATCH("ClassAbility4-L09",CLASSFEATUREHEADERS,0),MATCH(($A850),CLASSNAMEHEADERS,0))))}</f>
        <v>CLASSABILITY4-L09</v>
      </c>
      <c r="P849" s="76"/>
      <c r="Q849" s="76" t="str">
        <f t="array" ref="Q849:Q850">{"CLASSABILITY4-L11";((INDEX(ALLCLASSDATA,MATCH("ClassAbility4-L11",CLASSFEATUREHEADERS,0),MATCH(($A850),CLASSNAMEHEADERS,0))))}</f>
        <v>CLASSABILITY4-L11</v>
      </c>
      <c r="R849" s="76"/>
      <c r="S849" s="76" t="str">
        <f t="array" ref="S849:S850">{"CLASSABILITY4-L13";((INDEX(ALLCLASSDATA,MATCH("ClassAbility4-L13",CLASSFEATUREHEADERS,0),MATCH(($A850),CLASSNAMEHEADERS,0))))}</f>
        <v>CLASSABILITY4-L13</v>
      </c>
      <c r="T849" s="76"/>
      <c r="U849" s="76" t="str">
        <f t="array" ref="U849:U850">{"CLASSABILITY4-L15";((INDEX(ALLCLASSDATA,MATCH("ClassAbility4-L15",CLASSFEATUREHEADERS,0),MATCH(($A850),CLASSNAMEHEADERS,0))))}</f>
        <v>CLASSABILITY4-L15</v>
      </c>
      <c r="V849" s="76"/>
      <c r="W849" s="76" t="str">
        <f t="array" ref="W849:W850">{"CLASSABILITY4-L17";((INDEX(ALLCLASSDATA,MATCH("ClassAbility4-L17",CLASSFEATUREHEADERS,0),MATCH(($A850),CLASSNAMEHEADERS,0))))}</f>
        <v>CLASSABILITY4-L17</v>
      </c>
      <c r="X849" s="76"/>
      <c r="Y849" s="76" t="str">
        <f t="array" ref="Y849:Y850">{"CLASSABILITY4-L19";((INDEX(ALLCLASSDATA,MATCH("ClassAbility4-L19",CLASSFEATUREHEADERS,0),MATCH(($A850),CLASSNAMEHEADERS,0))))}</f>
        <v>CLASSABILITY4-L19</v>
      </c>
      <c r="Z849" s="76"/>
      <c r="AA849" s="76"/>
      <c r="AB849" s="76"/>
    </row>
    <row r="850">
      <c r="A850" s="48" t="s">
        <v>227</v>
      </c>
      <c r="B850" s="48" t="s">
        <v>418</v>
      </c>
      <c r="C850" s="48" t="s">
        <v>825</v>
      </c>
      <c r="D850" s="48" t="s">
        <v>1273</v>
      </c>
      <c r="E850" s="48"/>
      <c r="F850" s="47"/>
      <c r="G850" s="5"/>
      <c r="H850" s="5"/>
      <c r="I850" s="5"/>
      <c r="J850" s="5"/>
      <c r="K850" s="5"/>
      <c r="L850" s="5"/>
      <c r="M850" s="5"/>
      <c r="N850" s="5"/>
      <c r="O850" s="5"/>
      <c r="P850" s="5"/>
      <c r="Q850" s="5"/>
      <c r="R850" s="5"/>
      <c r="S850" s="5"/>
      <c r="T850" s="5"/>
      <c r="U850" s="5"/>
      <c r="V850" s="5"/>
      <c r="W850" s="5"/>
      <c r="X850" s="5"/>
      <c r="Y850" s="5"/>
      <c r="Z850" s="5"/>
      <c r="AA850" s="5"/>
      <c r="AB850" s="47"/>
    </row>
    <row r="851" hidden="1">
      <c r="A851" s="76" t="str">
        <f t="array" ref="A851:A852">{"FormulaRow15";(INDEX(CLASSLIST,A822,1))}</f>
        <v>FormulaRow15</v>
      </c>
      <c r="B851" s="76" t="str">
        <f t="array" ref="B851:B852">{"CLASSTYPE";((INDEX(ALLCLASSDATA,MATCH("ClassType",CLASSFEATUREHEADERS,0),MATCH($A852,CLASSNAMEHEADERS,0))))}</f>
        <v>CLASSTYPE</v>
      </c>
      <c r="C851" s="76" t="str">
        <f t="array" ref="C851:C852">{"CLASSABILITYPTS";"ClassAbilityPts"}</f>
        <v>CLASSABILITYPTS</v>
      </c>
      <c r="D851" s="76" t="str">
        <f t="array" ref="D851:D852">{"CLASSABILITY4";"ClassAbility4"}</f>
        <v>CLASSABILITY4</v>
      </c>
      <c r="E851" s="76"/>
      <c r="F851" s="76"/>
      <c r="G851" s="76"/>
      <c r="H851" s="76"/>
      <c r="I851" s="76" t="str">
        <f t="array" ref="I851:I852">{"CLASSABILITY4-L03PTS";((INDEX(ALLCLASSDATA,MATCH("ClassAbility4-L03",CLASSFEATUREHEADERS,0),MATCH(($A852 &amp; "Points"),CLASSNAMEHEADERS,0))))}</f>
        <v>CLASSABILITY4-L03PTS</v>
      </c>
      <c r="J851" s="76"/>
      <c r="K851" s="76" t="str">
        <f t="array" ref="K851:K852">{"CLASSABILITY4-L05PTS";((INDEX(ALLCLASSDATA,MATCH("ClassAbility4-L05",CLASSFEATUREHEADERS,0),MATCH(($A852 &amp; "Points"),CLASSNAMEHEADERS,0))))}</f>
        <v>CLASSABILITY4-L05PTS</v>
      </c>
      <c r="L851" s="76"/>
      <c r="M851" s="76" t="str">
        <f t="array" ref="M851:M852">{"CLASSABILITY4-L07PTS";((INDEX(ALLCLASSDATA,MATCH("ClassAbility4-L07",CLASSFEATUREHEADERS,0),MATCH(($A852 &amp; "Points"),CLASSNAMEHEADERS,0))))}</f>
        <v>CLASSABILITY4-L07PTS</v>
      </c>
      <c r="N851" s="76"/>
      <c r="O851" s="76" t="str">
        <f t="array" ref="O851:O852">{"CLASSABILITY4-L09PTS";((INDEX(ALLCLASSDATA,MATCH("ClassAbility4-L09",CLASSFEATUREHEADERS,0),MATCH(($A852 &amp; "Points"),CLASSNAMEHEADERS,0))))}</f>
        <v>CLASSABILITY4-L09PTS</v>
      </c>
      <c r="P851" s="76"/>
      <c r="Q851" s="76" t="str">
        <f t="array" ref="Q851:Q852">{"CLASSABILITY4-L11PTS";((INDEX(ALLCLASSDATA,MATCH("ClassAbility4-L11",CLASSFEATUREHEADERS,0),MATCH(($A852 &amp; "Points"),CLASSNAMEHEADERS,0))))}</f>
        <v>CLASSABILITY4-L11PTS</v>
      </c>
      <c r="R851" s="76"/>
      <c r="S851" s="76" t="str">
        <f t="array" ref="S851:S852">{"CLASSABILITY4-L13PTS";((INDEX(ALLCLASSDATA,MATCH("ClassAbility4-L13",CLASSFEATUREHEADERS,0),MATCH(($A852 &amp; "Points"),CLASSNAMEHEADERS,0))))}</f>
        <v>CLASSABILITY4-L13PTS</v>
      </c>
      <c r="T851" s="76"/>
      <c r="U851" s="76" t="str">
        <f t="array" ref="U851:U852">{"CLASSABILITY4-L15PTS";((INDEX(ALLCLASSDATA,MATCH("ClassAbility4-L15",CLASSFEATUREHEADERS,0),MATCH(($A852 &amp; "Points"),CLASSNAMEHEADERS,0))))}</f>
        <v>CLASSABILITY4-L15PTS</v>
      </c>
      <c r="V851" s="76"/>
      <c r="W851" s="76" t="str">
        <f t="array" ref="W851:W852">{"CLASSABILITY4-L17PTS";((INDEX(ALLCLASSDATA,MATCH("ClassAbility4-L17",CLASSFEATUREHEADERS,0),MATCH(($A852 &amp; "Points"),CLASSNAMEHEADERS,0))))}</f>
        <v>CLASSABILITY4-L17PTS</v>
      </c>
      <c r="X851" s="76"/>
      <c r="Y851" s="76" t="str">
        <f t="array" ref="Y851:Y852">{"CLASSABILITY4-L19PTS";((INDEX(ALLCLASSDATA,MATCH("ClassAbility4-L19",CLASSFEATUREHEADERS,0),MATCH(($A852 &amp; "Points"),CLASSNAMEHEADERS,0))))}</f>
        <v>CLASSABILITY4-L19PTS</v>
      </c>
      <c r="Z851" s="76"/>
      <c r="AA851" s="76"/>
      <c r="AB851" s="76" t="str">
        <f t="array" ref="AB851:AB852">{"CLASSABILITY4 TOTAL";(sum(F852:Z852))}</f>
        <v>CLASSABILITY4 TOTAL</v>
      </c>
    </row>
    <row r="852">
      <c r="A852" s="48" t="s">
        <v>227</v>
      </c>
      <c r="B852" s="48" t="s">
        <v>418</v>
      </c>
      <c r="C852" s="48" t="s">
        <v>930</v>
      </c>
      <c r="D852" s="48" t="s">
        <v>1273</v>
      </c>
      <c r="E852" s="48"/>
      <c r="F852" s="47"/>
      <c r="G852" s="5"/>
      <c r="H852" s="5"/>
      <c r="I852" s="5"/>
      <c r="J852" s="5"/>
      <c r="K852" s="5"/>
      <c r="L852" s="5"/>
      <c r="M852" s="5"/>
      <c r="N852" s="5"/>
      <c r="O852" s="5"/>
      <c r="P852" s="5"/>
      <c r="Q852" s="5"/>
      <c r="R852" s="5"/>
      <c r="S852" s="5"/>
      <c r="T852" s="5"/>
      <c r="U852" s="5"/>
      <c r="V852" s="5"/>
      <c r="W852" s="5"/>
      <c r="X852" s="5"/>
      <c r="Y852" s="5"/>
      <c r="Z852" s="5"/>
      <c r="AA852" s="5"/>
      <c r="AB852" s="47">
        <v>0.0</v>
      </c>
    </row>
    <row r="853" hidden="1">
      <c r="A853" s="76" t="str">
        <f t="array" ref="A853:A854">{"FormulaRow16";(INDEX(CLASSLIST,A822,1))}</f>
        <v>FormulaRow16</v>
      </c>
      <c r="B853" s="76" t="str">
        <f t="array" ref="B853:B854">{"CLASSTYPE";((INDEX(ALLCLASSDATA,MATCH("ClassType",CLASSFEATUREHEADERS,0),MATCH($A854,CLASSNAMEHEADERS,0))))}</f>
        <v>CLASSTYPE</v>
      </c>
      <c r="C853" s="76" t="str">
        <f t="array" ref="C853:C854">{"CLASSABILITY";"ClassAbility"}</f>
        <v>CLASSABILITY</v>
      </c>
      <c r="D853" s="76" t="str">
        <f t="array" ref="D853:D854">{"SUBCLASSABILITY1";"SubclassAbility1"}</f>
        <v>SUBCLASSABILITY1</v>
      </c>
      <c r="E853" s="76"/>
      <c r="F853" s="76"/>
      <c r="G853" s="76"/>
      <c r="H853" s="76"/>
      <c r="I853" s="76" t="str">
        <f t="array" ref="I853:I854">{"SUBCLASSABILITY1-L03";((INDEX(ALLCLASSDATA,MATCH("SubclassAbility1-L03",CLASSFEATUREHEADERS,0),MATCH(($A854),CLASSNAMEHEADERS,0))))}</f>
        <v>SUBCLASSABILITY1-L03</v>
      </c>
      <c r="J853" s="76"/>
      <c r="K853" s="76" t="str">
        <f t="array" ref="K853:K854">{"SUBCLASSABILITY1-L05";((INDEX(ALLCLASSDATA,MATCH("SubclassAbility1-L05",CLASSFEATUREHEADERS,0),MATCH(($A854),CLASSNAMEHEADERS,0))))}</f>
        <v>SUBCLASSABILITY1-L05</v>
      </c>
      <c r="L853" s="76"/>
      <c r="M853" s="76" t="str">
        <f t="array" ref="M853:M854">{"SUBCLASSABILITY1-L07";((INDEX(ALLCLASSDATA,MATCH("SubclassAbility1-L07",CLASSFEATUREHEADERS,0),MATCH(($A854),CLASSNAMEHEADERS,0))))}</f>
        <v>SUBCLASSABILITY1-L07</v>
      </c>
      <c r="N853" s="76"/>
      <c r="O853" s="76" t="str">
        <f t="array" ref="O853:O854">{"SUBCLASSABILITY1-L09";((INDEX(ALLCLASSDATA,MATCH("SubclassAbility1-L09",CLASSFEATUREHEADERS,0),MATCH(($A854),CLASSNAMEHEADERS,0))))}</f>
        <v>SUBCLASSABILITY1-L09</v>
      </c>
      <c r="P853" s="76"/>
      <c r="Q853" s="76" t="str">
        <f t="array" ref="Q853:Q854">{"SUBCLASSABILITY1-L11";((INDEX(ALLCLASSDATA,MATCH("SubclassAbility1-L11",CLASSFEATUREHEADERS,0),MATCH(($A854),CLASSNAMEHEADERS,0))))}</f>
        <v>SUBCLASSABILITY1-L11</v>
      </c>
      <c r="R853" s="76"/>
      <c r="S853" s="76" t="str">
        <f t="array" ref="S853:S854">{"SUBCLASSABILITY1-L13";((INDEX(ALLCLASSDATA,MATCH("SubclassAbility1-L13",CLASSFEATUREHEADERS,0),MATCH(($A854),CLASSNAMEHEADERS,0))))}</f>
        <v>SUBCLASSABILITY1-L13</v>
      </c>
      <c r="T853" s="76"/>
      <c r="U853" s="76" t="str">
        <f t="array" ref="U853:U854">{"SUBCLASSABILITY1-L15";((INDEX(ALLCLASSDATA,MATCH("SubclassAbility1-L15",CLASSFEATUREHEADERS,0),MATCH(($A854),CLASSNAMEHEADERS,0))))}</f>
        <v>SUBCLASSABILITY1-L15</v>
      </c>
      <c r="V853" s="76"/>
      <c r="W853" s="76" t="str">
        <f t="array" ref="W853:W854">{"SUBCLASSABILITY1-L17";((INDEX(ALLCLASSDATA,MATCH("SubclassAbility1-L17",CLASSFEATUREHEADERS,0),MATCH(($A854),CLASSNAMEHEADERS,0))))}</f>
        <v>SUBCLASSABILITY1-L17</v>
      </c>
      <c r="X853" s="76"/>
      <c r="Y853" s="76" t="str">
        <f t="array" ref="Y853:Y854">{"SUBCLASSABILITY1-L19";((INDEX(ALLCLASSDATA,MATCH("SubclassAbility1-L19",CLASSFEATUREHEADERS,0),MATCH(($A854),CLASSNAMEHEADERS,0))))}</f>
        <v>SUBCLASSABILITY1-L19</v>
      </c>
      <c r="Z853" s="76"/>
      <c r="AA853" s="76"/>
      <c r="AB853" s="76"/>
    </row>
    <row r="854">
      <c r="A854" s="48" t="s">
        <v>227</v>
      </c>
      <c r="B854" s="48" t="s">
        <v>418</v>
      </c>
      <c r="C854" s="48" t="s">
        <v>825</v>
      </c>
      <c r="D854" s="28" t="s">
        <v>1355</v>
      </c>
      <c r="E854" s="5"/>
      <c r="F854" s="47"/>
      <c r="G854" s="5"/>
      <c r="H854" s="5"/>
      <c r="I854" s="5"/>
      <c r="J854" s="5"/>
      <c r="K854" s="5"/>
      <c r="L854" s="5"/>
      <c r="M854" s="5"/>
      <c r="N854" s="5"/>
      <c r="O854" s="5"/>
      <c r="P854" s="5"/>
      <c r="Q854" s="5"/>
      <c r="R854" s="5"/>
      <c r="S854" s="5"/>
      <c r="T854" s="5"/>
      <c r="U854" s="5"/>
      <c r="V854" s="5"/>
      <c r="W854" s="5"/>
      <c r="X854" s="5"/>
      <c r="Y854" s="5"/>
      <c r="Z854" s="5"/>
      <c r="AA854" s="5"/>
      <c r="AB854" s="47"/>
    </row>
    <row r="855" hidden="1">
      <c r="A855" s="76" t="str">
        <f t="array" ref="A855:A856">{"FormulaRow17";(INDEX(CLASSLIST,A822,1))}</f>
        <v>FormulaRow17</v>
      </c>
      <c r="B855" s="76" t="str">
        <f t="array" ref="B855:B856">{"CLASSTYPE";((INDEX(ALLCLASSDATA,MATCH("ClassType",CLASSFEATUREHEADERS,0),MATCH($A856,CLASSNAMEHEADERS,0))))}</f>
        <v>CLASSTYPE</v>
      </c>
      <c r="C855" s="76" t="str">
        <f t="array" ref="C855:C856">{"CLASSABILITYPTS";"ClassAbilityPts"}</f>
        <v>CLASSABILITYPTS</v>
      </c>
      <c r="D855" s="76" t="str">
        <f t="array" ref="D855:D856">{"SUBCLASSABILITY1";"SubclassAbility1"}</f>
        <v>SUBCLASSABILITY1</v>
      </c>
      <c r="E855" s="76"/>
      <c r="F855" s="76"/>
      <c r="G855" s="76"/>
      <c r="H855" s="76"/>
      <c r="I855" s="76" t="str">
        <f t="array" ref="I855:I856">{"SUBCLASSABILITY1-L03PTS";((INDEX(ALLCLASSDATA,MATCH("SubclassAbility1-L03",CLASSFEATUREHEADERS,0),MATCH(($A856 &amp; "Points"),CLASSNAMEHEADERS,0))))}</f>
        <v>SUBCLASSABILITY1-L03PTS</v>
      </c>
      <c r="J855" s="76"/>
      <c r="K855" s="76" t="str">
        <f t="array" ref="K855:K856">{"SUBCLASSABILITY1-L05PTS";((INDEX(ALLCLASSDATA,MATCH("SubclassAbility1-L05",CLASSFEATUREHEADERS,0),MATCH(($A856 &amp; "Points"),CLASSNAMEHEADERS,0))))}</f>
        <v>SUBCLASSABILITY1-L05PTS</v>
      </c>
      <c r="L855" s="76"/>
      <c r="M855" s="76" t="str">
        <f t="array" ref="M855:M856">{"SUBCLASSABILITY1-L07PTS";((INDEX(ALLCLASSDATA,MATCH("SubclassAbility1-L07",CLASSFEATUREHEADERS,0),MATCH(($A856 &amp; "Points"),CLASSNAMEHEADERS,0))))}</f>
        <v>SUBCLASSABILITY1-L07PTS</v>
      </c>
      <c r="N855" s="76"/>
      <c r="O855" s="76" t="str">
        <f t="array" ref="O855:O856">{"SUBCLASSABILITY1-L09PTS";((INDEX(ALLCLASSDATA,MATCH("SubclassAbility1-L09",CLASSFEATUREHEADERS,0),MATCH(($A856 &amp; "Points"),CLASSNAMEHEADERS,0))))}</f>
        <v>SUBCLASSABILITY1-L09PTS</v>
      </c>
      <c r="P855" s="76"/>
      <c r="Q855" s="76" t="str">
        <f t="array" ref="Q855:Q856">{"SUBCLASSABILITY1-L11PTS";((INDEX(ALLCLASSDATA,MATCH("SubclassAbility1-L11",CLASSFEATUREHEADERS,0),MATCH(($A856 &amp; "Points"),CLASSNAMEHEADERS,0))))}</f>
        <v>SUBCLASSABILITY1-L11PTS</v>
      </c>
      <c r="R855" s="76"/>
      <c r="S855" s="76" t="str">
        <f t="array" ref="S855:S856">{"SUBCLASSABILITY1-L13PTS";((INDEX(ALLCLASSDATA,MATCH("SubclassAbility1-L13",CLASSFEATUREHEADERS,0),MATCH(($A856 &amp; "Points"),CLASSNAMEHEADERS,0))))}</f>
        <v>SUBCLASSABILITY1-L13PTS</v>
      </c>
      <c r="T855" s="76"/>
      <c r="U855" s="76" t="str">
        <f t="array" ref="U855:U856">{"SUBCLASSABILITY1-L15PTS";((INDEX(ALLCLASSDATA,MATCH("SubclassAbility1-L15",CLASSFEATUREHEADERS,0),MATCH(($A856 &amp; "Points"),CLASSNAMEHEADERS,0))))}</f>
        <v>SUBCLASSABILITY1-L15PTS</v>
      </c>
      <c r="V855" s="76"/>
      <c r="W855" s="76" t="str">
        <f t="array" ref="W855:W856">{"SUBCLASSABILITY1-L17PTS";((INDEX(ALLCLASSDATA,MATCH("SubclassAbility1-L17",CLASSFEATUREHEADERS,0),MATCH(($A856 &amp; "Points"),CLASSNAMEHEADERS,0))))}</f>
        <v>SUBCLASSABILITY1-L17PTS</v>
      </c>
      <c r="X855" s="76"/>
      <c r="Y855" s="76" t="str">
        <f t="array" ref="Y855:Y856">{"SUBCLASSABILITY1-L19PTS";((INDEX(ALLCLASSDATA,MATCH("SubclassAbility1-L19",CLASSFEATUREHEADERS,0),MATCH(($A856 &amp; "Points"),CLASSNAMEHEADERS,0))))}</f>
        <v>SUBCLASSABILITY1-L19PTS</v>
      </c>
      <c r="Z855" s="76"/>
      <c r="AA855" s="76"/>
      <c r="AB855" s="76" t="str">
        <f t="array" ref="AB855:AB856">{"SUBCLASSABILITY1 TOTAL";(sum(F856:Z856))}</f>
        <v>SUBCLASSABILITY1 TOTAL</v>
      </c>
    </row>
    <row r="856">
      <c r="A856" s="48" t="s">
        <v>227</v>
      </c>
      <c r="B856" s="48" t="s">
        <v>418</v>
      </c>
      <c r="C856" s="48" t="s">
        <v>930</v>
      </c>
      <c r="D856" s="28" t="s">
        <v>1355</v>
      </c>
      <c r="E856" s="5"/>
      <c r="F856" s="47"/>
      <c r="G856" s="5"/>
      <c r="H856" s="5"/>
      <c r="I856" s="5"/>
      <c r="J856" s="5"/>
      <c r="K856" s="5"/>
      <c r="L856" s="5"/>
      <c r="M856" s="5"/>
      <c r="N856" s="5"/>
      <c r="O856" s="5"/>
      <c r="P856" s="5"/>
      <c r="Q856" s="5"/>
      <c r="R856" s="5"/>
      <c r="S856" s="5"/>
      <c r="T856" s="5"/>
      <c r="U856" s="5"/>
      <c r="V856" s="5"/>
      <c r="W856" s="5"/>
      <c r="X856" s="5"/>
      <c r="Y856" s="5"/>
      <c r="Z856" s="5"/>
      <c r="AA856" s="5"/>
      <c r="AB856" s="47">
        <v>0.0</v>
      </c>
    </row>
    <row r="857" hidden="1">
      <c r="A857" s="76" t="str">
        <f t="array" ref="A857:A858">{"FormulaRow18";(INDEX(CLASSLIST,A822,1))}</f>
        <v>FormulaRow18</v>
      </c>
      <c r="B857" s="76" t="str">
        <f t="array" ref="B857:B858">{"CLASSTYPE";((INDEX(ALLCLASSDATA,MATCH("ClassType",CLASSFEATUREHEADERS,0),MATCH($A858,CLASSNAMEHEADERS,0))))}</f>
        <v>CLASSTYPE</v>
      </c>
      <c r="C857" s="76" t="str">
        <f t="array" ref="C857:C858">{"CLASSABILITY";"ClassAbility"}</f>
        <v>CLASSABILITY</v>
      </c>
      <c r="D857" s="76" t="str">
        <f t="array" ref="D857:D858">{"SUBCLASSABILITY2";"SubclassAbility2"}</f>
        <v>SUBCLASSABILITY2</v>
      </c>
      <c r="E857" s="76"/>
      <c r="F857" s="76"/>
      <c r="G857" s="76"/>
      <c r="H857" s="76"/>
      <c r="I857" s="76" t="str">
        <f t="array" ref="I857:I858">{"SUBCLASSABILITY2-L03";((INDEX(ALLCLASSDATA,MATCH("SubclassAbility2-L03",CLASSFEATUREHEADERS,0),MATCH(($A858),CLASSNAMEHEADERS,0))))}</f>
        <v>SUBCLASSABILITY2-L03</v>
      </c>
      <c r="J857" s="76"/>
      <c r="K857" s="76" t="str">
        <f t="array" ref="K857:K858">{"SUBCLASSABILITY2-L05";((INDEX(ALLCLASSDATA,MATCH("SubclassAbility2-L05",CLASSFEATUREHEADERS,0),MATCH(($A858),CLASSNAMEHEADERS,0))))}</f>
        <v>SUBCLASSABILITY2-L05</v>
      </c>
      <c r="L857" s="76"/>
      <c r="M857" s="76" t="str">
        <f t="array" ref="M857:M858">{"SUBCLASSABILITY2-L07";((INDEX(ALLCLASSDATA,MATCH("SubclassAbility2-L07",CLASSFEATUREHEADERS,0),MATCH(($A858),CLASSNAMEHEADERS,0))))}</f>
        <v>SUBCLASSABILITY2-L07</v>
      </c>
      <c r="N857" s="76"/>
      <c r="O857" s="76" t="str">
        <f t="array" ref="O857:O858">{"SUBCLASSABILITY2-L09";((INDEX(ALLCLASSDATA,MATCH("SubclassAbility2-L09",CLASSFEATUREHEADERS,0),MATCH(($A858),CLASSNAMEHEADERS,0))))}</f>
        <v>SUBCLASSABILITY2-L09</v>
      </c>
      <c r="P857" s="76"/>
      <c r="Q857" s="76" t="str">
        <f t="array" ref="Q857:Q858">{"SUBCLASSABILITY2-L11";((INDEX(ALLCLASSDATA,MATCH("SubclassAbility2-L11",CLASSFEATUREHEADERS,0),MATCH(($A858),CLASSNAMEHEADERS,0))))}</f>
        <v>SUBCLASSABILITY2-L11</v>
      </c>
      <c r="R857" s="76"/>
      <c r="S857" s="76" t="str">
        <f t="array" ref="S857:S858">{"SUBCLASSABILITY2-L13";((INDEX(ALLCLASSDATA,MATCH("SubclassAbility2-L13",CLASSFEATUREHEADERS,0),MATCH(($A858),CLASSNAMEHEADERS,0))))}</f>
        <v>SUBCLASSABILITY2-L13</v>
      </c>
      <c r="T857" s="76"/>
      <c r="U857" s="76" t="str">
        <f t="array" ref="U857:U858">{"SUBCLASSABILITY2-L15";((INDEX(ALLCLASSDATA,MATCH("SubclassAbility2-L15",CLASSFEATUREHEADERS,0),MATCH(($A858),CLASSNAMEHEADERS,0))))}</f>
        <v>SUBCLASSABILITY2-L15</v>
      </c>
      <c r="V857" s="76"/>
      <c r="W857" s="76" t="str">
        <f t="array" ref="W857:W858">{"SUBCLASSABILITY2-L17";((INDEX(ALLCLASSDATA,MATCH("SubclassAbility2-L17",CLASSFEATUREHEADERS,0),MATCH(($A858),CLASSNAMEHEADERS,0))))}</f>
        <v>SUBCLASSABILITY2-L17</v>
      </c>
      <c r="X857" s="76"/>
      <c r="Y857" s="76" t="str">
        <f t="array" ref="Y857:Y858">{"SUBCLASSABILITY2-L19";((INDEX(ALLCLASSDATA,MATCH("SubclassAbility2-L19",CLASSFEATUREHEADERS,0),MATCH(($A858),CLASSNAMEHEADERS,0))))}</f>
        <v>SUBCLASSABILITY2-L19</v>
      </c>
      <c r="Z857" s="76"/>
      <c r="AA857" s="76"/>
      <c r="AB857" s="76"/>
    </row>
    <row r="858">
      <c r="A858" s="48" t="s">
        <v>227</v>
      </c>
      <c r="B858" s="48" t="s">
        <v>418</v>
      </c>
      <c r="C858" s="48" t="s">
        <v>825</v>
      </c>
      <c r="D858" s="28" t="s">
        <v>1370</v>
      </c>
      <c r="E858" s="5"/>
      <c r="F858" s="47"/>
      <c r="G858" s="5"/>
      <c r="H858" s="5"/>
      <c r="I858" s="5"/>
      <c r="J858" s="5"/>
      <c r="K858" s="5"/>
      <c r="L858" s="5"/>
      <c r="M858" s="5"/>
      <c r="N858" s="5"/>
      <c r="O858" s="5"/>
      <c r="P858" s="5"/>
      <c r="Q858" s="5"/>
      <c r="R858" s="5"/>
      <c r="S858" s="5"/>
      <c r="T858" s="5"/>
      <c r="U858" s="5"/>
      <c r="V858" s="5"/>
      <c r="W858" s="5"/>
      <c r="X858" s="5"/>
      <c r="Y858" s="5"/>
      <c r="Z858" s="5"/>
      <c r="AA858" s="5"/>
      <c r="AB858" s="47"/>
    </row>
    <row r="859" hidden="1">
      <c r="A859" s="76" t="str">
        <f t="array" ref="A859:A860">{"FormulaRow19";(INDEX(CLASSLIST,A822,1))}</f>
        <v>FormulaRow19</v>
      </c>
      <c r="B859" s="76" t="str">
        <f t="array" ref="B859:B860">{"CLASSTYPE";((INDEX(ALLCLASSDATA,MATCH("ClassType",CLASSFEATUREHEADERS,0),MATCH($A860,CLASSNAMEHEADERS,0))))}</f>
        <v>CLASSTYPE</v>
      </c>
      <c r="C859" s="76" t="str">
        <f t="array" ref="C859:C860">{"CLASSABILITYPTS";"ClassAbilityPts"}</f>
        <v>CLASSABILITYPTS</v>
      </c>
      <c r="D859" s="76" t="str">
        <f t="array" ref="D859:D860">{"SUBCLASSABILITY2";"SubclassAbility2"}</f>
        <v>SUBCLASSABILITY2</v>
      </c>
      <c r="E859" s="76"/>
      <c r="F859" s="76"/>
      <c r="G859" s="76"/>
      <c r="H859" s="76"/>
      <c r="I859" s="76" t="str">
        <f t="array" ref="I859:I860">{"SUBCLASSABILITY2-L03PTS";((INDEX(ALLCLASSDATA,MATCH("SubclassAbility2-L03",CLASSFEATUREHEADERS,0),MATCH(($A860 &amp; "Points"),CLASSNAMEHEADERS,0))))}</f>
        <v>SUBCLASSABILITY2-L03PTS</v>
      </c>
      <c r="J859" s="76"/>
      <c r="K859" s="76" t="str">
        <f t="array" ref="K859:K860">{"SUBCLASSABILITY2-L05PTS";((INDEX(ALLCLASSDATA,MATCH("SubclassAbility2-L05",CLASSFEATUREHEADERS,0),MATCH(($A860 &amp; "Points"),CLASSNAMEHEADERS,0))))}</f>
        <v>SUBCLASSABILITY2-L05PTS</v>
      </c>
      <c r="L859" s="76"/>
      <c r="M859" s="76" t="str">
        <f t="array" ref="M859:M860">{"SUBCLASSABILITY2-L07PTS";((INDEX(ALLCLASSDATA,MATCH("SubclassAbility2-L07",CLASSFEATUREHEADERS,0),MATCH(($A860 &amp; "Points"),CLASSNAMEHEADERS,0))))}</f>
        <v>SUBCLASSABILITY2-L07PTS</v>
      </c>
      <c r="N859" s="76"/>
      <c r="O859" s="76" t="str">
        <f t="array" ref="O859:O860">{"SUBCLASSABILITY2-L09PTS";((INDEX(ALLCLASSDATA,MATCH("SubclassAbility2-L09",CLASSFEATUREHEADERS,0),MATCH(($A860 &amp; "Points"),CLASSNAMEHEADERS,0))))}</f>
        <v>SUBCLASSABILITY2-L09PTS</v>
      </c>
      <c r="P859" s="76"/>
      <c r="Q859" s="76" t="str">
        <f t="array" ref="Q859:Q860">{"SUBCLASSABILITY2-L11PTS";((INDEX(ALLCLASSDATA,MATCH("SubclassAbility2-L11",CLASSFEATUREHEADERS,0),MATCH(($A860 &amp; "Points"),CLASSNAMEHEADERS,0))))}</f>
        <v>SUBCLASSABILITY2-L11PTS</v>
      </c>
      <c r="R859" s="76"/>
      <c r="S859" s="76" t="str">
        <f t="array" ref="S859:S860">{"SUBCLASSABILITY2-L13PTS";((INDEX(ALLCLASSDATA,MATCH("SubclassAbility2-L13",CLASSFEATUREHEADERS,0),MATCH(($A860 &amp; "Points"),CLASSNAMEHEADERS,0))))}</f>
        <v>SUBCLASSABILITY2-L13PTS</v>
      </c>
      <c r="T859" s="76"/>
      <c r="U859" s="76" t="str">
        <f t="array" ref="U859:U860">{"SUBCLASSABILITY2-L15PTS";((INDEX(ALLCLASSDATA,MATCH("SubclassAbility2-L15",CLASSFEATUREHEADERS,0),MATCH(($A860 &amp; "Points"),CLASSNAMEHEADERS,0))))}</f>
        <v>SUBCLASSABILITY2-L15PTS</v>
      </c>
      <c r="V859" s="76"/>
      <c r="W859" s="76" t="str">
        <f t="array" ref="W859:W860">{"SUBCLASSABILITY2-L17PTS";((INDEX(ALLCLASSDATA,MATCH("SubclassAbility2-L17",CLASSFEATUREHEADERS,0),MATCH(($A860 &amp; "Points"),CLASSNAMEHEADERS,0))))}</f>
        <v>SUBCLASSABILITY2-L17PTS</v>
      </c>
      <c r="X859" s="76"/>
      <c r="Y859" s="76" t="str">
        <f t="array" ref="Y859:Y860">{"SUBCLASSABILITY2-L19PTS";((INDEX(ALLCLASSDATA,MATCH("SubclassAbility2-L19",CLASSFEATUREHEADERS,0),MATCH(($A860 &amp; "Points"),CLASSNAMEHEADERS,0))))}</f>
        <v>SUBCLASSABILITY2-L19PTS</v>
      </c>
      <c r="Z859" s="76"/>
      <c r="AA859" s="76"/>
      <c r="AB859" s="76" t="str">
        <f t="array" ref="AB859:AB860">{"SUBCLASSABILITY2 TOTAL";(sum(F860:Z860))}</f>
        <v>SUBCLASSABILITY2 TOTAL</v>
      </c>
    </row>
    <row r="860">
      <c r="A860" s="48" t="s">
        <v>227</v>
      </c>
      <c r="B860" s="48" t="s">
        <v>418</v>
      </c>
      <c r="C860" s="97" t="s">
        <v>930</v>
      </c>
      <c r="D860" s="215" t="s">
        <v>1370</v>
      </c>
      <c r="E860" s="98"/>
      <c r="F860" s="132"/>
      <c r="G860" s="98"/>
      <c r="H860" s="98"/>
      <c r="I860" s="98"/>
      <c r="J860" s="98"/>
      <c r="K860" s="98"/>
      <c r="L860" s="98"/>
      <c r="M860" s="98"/>
      <c r="N860" s="98"/>
      <c r="O860" s="98"/>
      <c r="P860" s="98"/>
      <c r="Q860" s="98"/>
      <c r="R860" s="98"/>
      <c r="S860" s="98"/>
      <c r="T860" s="98"/>
      <c r="U860" s="98"/>
      <c r="V860" s="98"/>
      <c r="W860" s="98"/>
      <c r="X860" s="98"/>
      <c r="Y860" s="98"/>
      <c r="Z860" s="98"/>
      <c r="AA860" s="5"/>
      <c r="AB860" s="47">
        <v>0.0</v>
      </c>
    </row>
    <row r="861" hidden="1">
      <c r="A861" s="76" t="str">
        <f t="array" ref="A861:A862">{"FormulaRow20";(INDEX(CLASSLIST,A822,1))}</f>
        <v>FormulaRow20</v>
      </c>
      <c r="B861" s="76" t="str">
        <f t="array" ref="B861:B862">{"CLASSTYPE";((INDEX(ALLCLASSDATA,MATCH("ClassType",CLASSFEATUREHEADERS,0),MATCH($A862,CLASSNAMEHEADERS,0))))}</f>
        <v>CLASSTYPE</v>
      </c>
      <c r="C861" s="81" t="str">
        <f t="array" ref="C861:C862">{"DC";"DC"}</f>
        <v>DC</v>
      </c>
      <c r="D861" s="81" t="str">
        <f t="array" ref="D861:D862">{"CLASSDC";"ClassDC"}</f>
        <v>CLASSDC</v>
      </c>
      <c r="E861" s="81" t="str">
        <f t="array" ref="E861:E862">{"CLASSDCINITIAL";((IF(G862=10,"T",(IF(G862=50,"E","")))))}</f>
        <v>CLASSDCINITIAL</v>
      </c>
      <c r="F861" s="81" t="str">
        <f t="array" ref="F861:F862">{"CLASSDCINITIALPTS";((IF("00"=(INDEX(ALLCLASSDATA,MATCH("ClassDCLegendary",CLASSFEATUREHEADERS,0),MATCH($A862,CLASSNAMEHEADERS,0))),(INDEX(ALLCLASSDATA,MATCH("ClassDCLegendary",CLASSFEATUREHEADERS,0),MATCH(($A862 &amp; "Points"),CLASSNAMEHEADERS,0))),(IF("00"=(INDEX(ALLCLASSDATA,MATCH("ClassDCMaster",CLASSFEATUREHEADERS,0),MATCH($A862,CLASSNAMEHEADERS,0))),(INDEX(ALLCLASSDATA,MATCH("ClassDCMaster",CLASSFEATUREHEADERS,0),MATCH(($A862 &amp; "Points"),CLASSNAMEHEADERS,0))),(IF("00"=(INDEX(ALLCLASSDATA,MATCH("ClassDCExpert",CLASSFEATUREHEADERS,0),MATCH($A862,CLASSNAMEHEADERS,0))),(INDEX(ALLCLASSDATA,MATCH("ClassDCExpert",CLASSFEATUREHEADERS,0),MATCH(($A862 &amp; "Points"),CLASSNAMEHEADERS,0))),(IF("00"=(INDEX(ALLCLASSDATA,MATCH("ClassDCTrained",CLASSFEATUREHEADERS,0),MATCH($A862,CLASSNAMEHEADERS,0))),(INDEX(ALLCLASSDATA,MATCH("ClassDCTrained",CLASSFEATUREHEADERS,0),MATCH(($A862 &amp; "Points"),CLASSNAMEHEADERS,0))),"")))))))))}</f>
        <v>CLASSDCINITIALPTS</v>
      </c>
      <c r="G861" s="81" t="str">
        <f t="array" ref="G861:G862">{"CLASSDCL01";((IF("01"=(INDEX(ALLCLASSDATA,MATCH("ClassDCLegendary",CLASSFEATUREHEADERS,0),MATCH($A862,CLASSNAMEHEADERS,0))),(INDEX(ALLCLASSDATA,MATCH("ClassDCLegendary",CLASSFEATUREHEADERS,0),MATCH(($A862 &amp; "Points"),CLASSNAMEHEADERS,0))),(IF("01"=(INDEX(ALLCLASSDATA,MATCH("ClassDCMaster",CLASSFEATUREHEADERS,0),MATCH($A862,CLASSNAMEHEADERS,0))),(INDEX(ALLCLASSDATA,MATCH("ClassDCMaster",CLASSFEATUREHEADERS,0),MATCH(($A862 &amp; "Points"),CLASSNAMEHEADERS,0))),(IF("01"=(INDEX(ALLCLASSDATA,MATCH("ClassDCExpert",CLASSFEATUREHEADERS,0),MATCH($A862,CLASSNAMEHEADERS,0))),(INDEX(ALLCLASSDATA,MATCH("ClassDCExpert",CLASSFEATUREHEADERS,0),MATCH(($A862 &amp; "Points"),CLASSNAMEHEADERS,0))),(IF("01"=(INDEX(ALLCLASSDATA,MATCH("ClassDCTrained",CLASSFEATUREHEADERS,0),MATCH($A862,CLASSNAMEHEADERS,0))),(INDEX(ALLCLASSDATA,MATCH("ClassDCTrained",CLASSFEATUREHEADERS,0),MATCH(($A862 &amp; "Points"),CLASSNAMEHEADERS,0))),"")))))))))}</f>
        <v>CLASSDCL01</v>
      </c>
      <c r="H861" s="81"/>
      <c r="I861" s="81" t="str">
        <f t="array" ref="I861:I862">{"CLASSDCL03";((IF("03"=(INDEX(ALLCLASSDATA,MATCH("ClassDCLegendary",CLASSFEATUREHEADERS,0),MATCH($A862,CLASSNAMEHEADERS,0))),(INDEX(ALLCLASSDATA,MATCH("ClassDCLegendary",CLASSFEATUREHEADERS,0),MATCH(($A862 &amp; "Points"),CLASSNAMEHEADERS,0))),(IF("03"=(INDEX(ALLCLASSDATA,MATCH("ClassDCMaster",CLASSFEATUREHEADERS,0),MATCH($A862,CLASSNAMEHEADERS,0))),(INDEX(ALLCLASSDATA,MATCH("ClassDCMaster",CLASSFEATUREHEADERS,0),MATCH(($A862 &amp; "Points"),CLASSNAMEHEADERS,0))),(IF("03"=(INDEX(ALLCLASSDATA,MATCH("ClassDCExpert",CLASSFEATUREHEADERS,0),MATCH($A862,CLASSNAMEHEADERS,0))),(INDEX(ALLCLASSDATA,MATCH("ClassDCExpert",CLASSFEATUREHEADERS,0),MATCH(($A862 &amp; "Points"),CLASSNAMEHEADERS,0))),(IF("03"=(INDEX(ALLCLASSDATA,MATCH("ClassDCTrained",CLASSFEATUREHEADERS,0),MATCH($A862,CLASSNAMEHEADERS,0))),(INDEX(ALLCLASSDATA,MATCH("ClassDCTrained",CLASSFEATUREHEADERS,0),MATCH(($A862 &amp; "Points"),CLASSNAMEHEADERS,0))),"")))))))))}</f>
        <v>CLASSDCL03</v>
      </c>
      <c r="J861" s="81"/>
      <c r="K861" s="81" t="str">
        <f t="array" ref="K861:K862">{"CLASSDCL05";((IF("05"=(INDEX(ALLCLASSDATA,MATCH("ClassDCLegendary",CLASSFEATUREHEADERS,0),MATCH($A862,CLASSNAMEHEADERS,0))),(INDEX(ALLCLASSDATA,MATCH("ClassDCLegendary",CLASSFEATUREHEADERS,0),MATCH(($A862 &amp; "Points"),CLASSNAMEHEADERS,0))),(IF("05"=(INDEX(ALLCLASSDATA,MATCH("ClassDCMaster",CLASSFEATUREHEADERS,0),MATCH($A862,CLASSNAMEHEADERS,0))),(INDEX(ALLCLASSDATA,MATCH("ClassDCMaster",CLASSFEATUREHEADERS,0),MATCH(($A862 &amp; "Points"),CLASSNAMEHEADERS,0))),(IF("05"=(INDEX(ALLCLASSDATA,MATCH("ClassDCExpert",CLASSFEATUREHEADERS,0),MATCH($A862,CLASSNAMEHEADERS,0))),(INDEX(ALLCLASSDATA,MATCH("ClassDCExpert",CLASSFEATUREHEADERS,0),MATCH(($A862 &amp; "Points"),CLASSNAMEHEADERS,0))),(IF("05"=(INDEX(ALLCLASSDATA,MATCH("ClassDCTrained",CLASSFEATUREHEADERS,0),MATCH($A862,CLASSNAMEHEADERS,0))),(INDEX(ALLCLASSDATA,MATCH("ClassDCTrained",CLASSFEATUREHEADERS,0),MATCH(($A862 &amp; "Points"),CLASSNAMEHEADERS,0))),"")))))))))}</f>
        <v>CLASSDCL05</v>
      </c>
      <c r="L861" s="81"/>
      <c r="M861" s="81" t="str">
        <f t="array" ref="M861:M862">{"CLASSDCL07";((IF("07"=(INDEX(ALLCLASSDATA,MATCH("ClassDCLegendary",CLASSFEATUREHEADERS,0),MATCH($A862,CLASSNAMEHEADERS,0))),(INDEX(ALLCLASSDATA,MATCH("ClassDCLegendary",CLASSFEATUREHEADERS,0),MATCH(($A862 &amp; "Points"),CLASSNAMEHEADERS,0))),(IF("07"=(INDEX(ALLCLASSDATA,MATCH("ClassDCMaster",CLASSFEATUREHEADERS,0),MATCH($A862,CLASSNAMEHEADERS,0))),(INDEX(ALLCLASSDATA,MATCH("ClassDCMaster",CLASSFEATUREHEADERS,0),MATCH(($A862 &amp; "Points"),CLASSNAMEHEADERS,0))),(IF("07"=(INDEX(ALLCLASSDATA,MATCH("ClassDCExpert",CLASSFEATUREHEADERS,0),MATCH($A862,CLASSNAMEHEADERS,0))),(INDEX(ALLCLASSDATA,MATCH("ClassDCExpert",CLASSFEATUREHEADERS,0),MATCH(($A862 &amp; "Points"),CLASSNAMEHEADERS,0))),(IF("07"=(INDEX(ALLCLASSDATA,MATCH("ClassDCTrained",CLASSFEATUREHEADERS,0),MATCH($A862,CLASSNAMEHEADERS,0))),(INDEX(ALLCLASSDATA,MATCH("ClassDCTrained",CLASSFEATUREHEADERS,0),MATCH(($A862 &amp; "Points"),CLASSNAMEHEADERS,0))),"")))))))))}</f>
        <v>CLASSDCL07</v>
      </c>
      <c r="N861" s="81"/>
      <c r="O861" s="81" t="str">
        <f t="array" ref="O861:O862">{"CLASSDCL09";((IF("09"=(INDEX(ALLCLASSDATA,MATCH("ClassDCLegendary",CLASSFEATUREHEADERS,0),MATCH($A862,CLASSNAMEHEADERS,0))),(INDEX(ALLCLASSDATA,MATCH("ClassDCLegendary",CLASSFEATUREHEADERS,0),MATCH(($A862 &amp; "Points"),CLASSNAMEHEADERS,0))),(IF("09"=(INDEX(ALLCLASSDATA,MATCH("ClassDCMaster",CLASSFEATUREHEADERS,0),MATCH($A862,CLASSNAMEHEADERS,0))),(INDEX(ALLCLASSDATA,MATCH("ClassDCMaster",CLASSFEATUREHEADERS,0),MATCH(($A862 &amp; "Points"),CLASSNAMEHEADERS,0))),(IF("09"=(INDEX(ALLCLASSDATA,MATCH("ClassDCExpert",CLASSFEATUREHEADERS,0),MATCH($A862,CLASSNAMEHEADERS,0))),(INDEX(ALLCLASSDATA,MATCH("ClassDCExpert",CLASSFEATUREHEADERS,0),MATCH(($A862 &amp; "Points"),CLASSNAMEHEADERS,0))),(IF("09"=(INDEX(ALLCLASSDATA,MATCH("ClassDCTrained",CLASSFEATUREHEADERS,0),MATCH($A862,CLASSNAMEHEADERS,0))),(INDEX(ALLCLASSDATA,MATCH("ClassDCTrained",CLASSFEATUREHEADERS,0),MATCH(($A862 &amp; "Points"),CLASSNAMEHEADERS,0))),"")))))))))}</f>
        <v>CLASSDCL09</v>
      </c>
      <c r="P861" s="81"/>
      <c r="Q861" s="81" t="str">
        <f t="array" ref="Q861:Q862">{"CLASSDCL11";((IF("11"=(INDEX(ALLCLASSDATA,MATCH("ClassDCLegendary",CLASSFEATUREHEADERS,0),MATCH($A862,CLASSNAMEHEADERS,0))),(INDEX(ALLCLASSDATA,MATCH("ClassDCLegendary",CLASSFEATUREHEADERS,0),MATCH(($A862 &amp; "Points"),CLASSNAMEHEADERS,0))),(IF("11"=(INDEX(ALLCLASSDATA,MATCH("ClassDCMaster",CLASSFEATUREHEADERS,0),MATCH($A862,CLASSNAMEHEADERS,0))),(INDEX(ALLCLASSDATA,MATCH("ClassDCMaster",CLASSFEATUREHEADERS,0),MATCH(($A862 &amp; "Points"),CLASSNAMEHEADERS,0))),(IF("11"=(INDEX(ALLCLASSDATA,MATCH("ClassDCExpert",CLASSFEATUREHEADERS,0),MATCH($A862,CLASSNAMEHEADERS,0))),(INDEX(ALLCLASSDATA,MATCH("ClassDCExpert",CLASSFEATUREHEADERS,0),MATCH(($A862 &amp; "Points"),CLASSNAMEHEADERS,0))),(IF("11"=(INDEX(ALLCLASSDATA,MATCH("ClassDCTrained",CLASSFEATUREHEADERS,0),MATCH($A862,CLASSNAMEHEADERS,0))),(INDEX(ALLCLASSDATA,MATCH("ClassDCTrained",CLASSFEATUREHEADERS,0),MATCH(($A862 &amp; "Points"),CLASSNAMEHEADERS,0))),"")))))))))}</f>
        <v>CLASSDCL11</v>
      </c>
      <c r="R861" s="81"/>
      <c r="S861" s="81" t="str">
        <f t="array" ref="S861:S862">{"CLASSDCL13";((IF("13"=(INDEX(ALLCLASSDATA,MATCH("ClassDCLegendary",CLASSFEATUREHEADERS,0),MATCH($A862,CLASSNAMEHEADERS,0))),(INDEX(ALLCLASSDATA,MATCH("ClassDCLegendary",CLASSFEATUREHEADERS,0),MATCH(($A862 &amp; "Points"),CLASSNAMEHEADERS,0))),(IF("13"=(INDEX(ALLCLASSDATA,MATCH("ClassDCMaster",CLASSFEATUREHEADERS,0),MATCH($A862,CLASSNAMEHEADERS,0))),(INDEX(ALLCLASSDATA,MATCH("ClassDCMaster",CLASSFEATUREHEADERS,0),MATCH(($A862 &amp; "Points"),CLASSNAMEHEADERS,0))),(IF("13"=(INDEX(ALLCLASSDATA,MATCH("ClassDCExpert",CLASSFEATUREHEADERS,0),MATCH($A862,CLASSNAMEHEADERS,0))),(INDEX(ALLCLASSDATA,MATCH("ClassDCExpert",CLASSFEATUREHEADERS,0),MATCH(($A862 &amp; "Points"),CLASSNAMEHEADERS,0))),(IF("13"=(INDEX(ALLCLASSDATA,MATCH("ClassDCTrained",CLASSFEATUREHEADERS,0),MATCH($A862,CLASSNAMEHEADERS,0))),(INDEX(ALLCLASSDATA,MATCH("ClassDCTrained",CLASSFEATUREHEADERS,0),MATCH(($A862 &amp; "Points"),CLASSNAMEHEADERS,0))),"")))))))))}</f>
        <v>CLASSDCL13</v>
      </c>
      <c r="T861" s="81"/>
      <c r="U861" s="81" t="str">
        <f t="array" ref="U861:U862">{"CLASSDCL15";((IF("15"=(INDEX(ALLCLASSDATA,MATCH("ClassDCLegendary",CLASSFEATUREHEADERS,0),MATCH($A862,CLASSNAMEHEADERS,0))),(INDEX(ALLCLASSDATA,MATCH("ClassDCLegendary",CLASSFEATUREHEADERS,0),MATCH(($A862 &amp; "Points"),CLASSNAMEHEADERS,0))),(IF("15"=(INDEX(ALLCLASSDATA,MATCH("ClassDCMaster",CLASSFEATUREHEADERS,0),MATCH($A862,CLASSNAMEHEADERS,0))),(INDEX(ALLCLASSDATA,MATCH("ClassDCMaster",CLASSFEATUREHEADERS,0),MATCH(($A862 &amp; "Points"),CLASSNAMEHEADERS,0))),(IF("15"=(INDEX(ALLCLASSDATA,MATCH("ClassDCExpert",CLASSFEATUREHEADERS,0),MATCH($A862,CLASSNAMEHEADERS,0))),(INDEX(ALLCLASSDATA,MATCH("ClassDCExpert",CLASSFEATUREHEADERS,0),MATCH(($A862 &amp; "Points"),CLASSNAMEHEADERS,0))),(IF("15"=(INDEX(ALLCLASSDATA,MATCH("ClassDCTrained",CLASSFEATUREHEADERS,0),MATCH($A862,CLASSNAMEHEADERS,0))),(INDEX(ALLCLASSDATA,MATCH("ClassDCTrained",CLASSFEATUREHEADERS,0),MATCH(($A862 &amp; "Points"),CLASSNAMEHEADERS,0))),"")))))))))}</f>
        <v>CLASSDCL15</v>
      </c>
      <c r="V861" s="81"/>
      <c r="W861" s="81" t="str">
        <f t="array" ref="W861:W862">{"CLASSDCL17";((IF("17"=(INDEX(ALLCLASSDATA,MATCH("ClassDCLegendary",CLASSFEATUREHEADERS,0),MATCH($A862,CLASSNAMEHEADERS,0))),(INDEX(ALLCLASSDATA,MATCH("ClassDCLegendary",CLASSFEATUREHEADERS,0),MATCH(($A862 &amp; "Points"),CLASSNAMEHEADERS,0))),(IF("17"=(INDEX(ALLCLASSDATA,MATCH("ClassDCMaster",CLASSFEATUREHEADERS,0),MATCH($A862,CLASSNAMEHEADERS,0))),(INDEX(ALLCLASSDATA,MATCH("ClassDCMaster",CLASSFEATUREHEADERS,0),MATCH(($A862 &amp; "Points"),CLASSNAMEHEADERS,0))),(IF("17"=(INDEX(ALLCLASSDATA,MATCH("ClassDCExpert",CLASSFEATUREHEADERS,0),MATCH($A862,CLASSNAMEHEADERS,0))),(INDEX(ALLCLASSDATA,MATCH("ClassDCExpert",CLASSFEATUREHEADERS,0),MATCH(($A862 &amp; "Points"),CLASSNAMEHEADERS,0))),(IF("17"=(INDEX(ALLCLASSDATA,MATCH("ClassDCTrained",CLASSFEATUREHEADERS,0),MATCH($A862,CLASSNAMEHEADERS,0))),(INDEX(ALLCLASSDATA,MATCH("ClassDCTrained",CLASSFEATUREHEADERS,0),MATCH(($A862 &amp; "Points"),CLASSNAMEHEADERS,0))),"")))))))))}</f>
        <v>CLASSDCL17</v>
      </c>
      <c r="X861" s="81"/>
      <c r="Y861" s="81" t="str">
        <f t="array" ref="Y861:Y862">{"CLASSDCL19";((IF("19"=(INDEX(ALLCLASSDATA,MATCH("ClassDCLegendary",CLASSFEATUREHEADERS,0),MATCH($A862,CLASSNAMEHEADERS,0))),(INDEX(ALLCLASSDATA,MATCH("ClassDCLegendary",CLASSFEATUREHEADERS,0),MATCH(($A862 &amp; "Points"),CLASSNAMEHEADERS,0))),(IF("19"=(INDEX(ALLCLASSDATA,MATCH("ClassDCMaster",CLASSFEATUREHEADERS,0),MATCH($A862,CLASSNAMEHEADERS,0))),(INDEX(ALLCLASSDATA,MATCH("ClassDCMaster",CLASSFEATUREHEADERS,0),MATCH(($A862 &amp; "Points"),CLASSNAMEHEADERS,0))),(IF("19"=(INDEX(ALLCLASSDATA,MATCH("ClassDCExpert",CLASSFEATUREHEADERS,0),MATCH($A862,CLASSNAMEHEADERS,0))),(INDEX(ALLCLASSDATA,MATCH("ClassDCExpert",CLASSFEATUREHEADERS,0),MATCH(($A862 &amp; "Points"),CLASSNAMEHEADERS,0))),(IF("19"=(INDEX(ALLCLASSDATA,MATCH("ClassDCTrained",CLASSFEATUREHEADERS,0),MATCH($A862,CLASSNAMEHEADERS,0))),(INDEX(ALLCLASSDATA,MATCH("ClassDCTrained",CLASSFEATUREHEADERS,0),MATCH(($A862 &amp; "Points"),CLASSNAMEHEADERS,0))),"")))))))))}</f>
        <v>CLASSDCL19</v>
      </c>
      <c r="Z861" s="81"/>
      <c r="AA861" s="76" t="str">
        <f t="array" ref="AA861:AA862">{"CLASSDC TOTAL";(IF(COUNTBLANK(F862:Z862)=17,"L",(IF(COUNTBLANK(F862:Z862)=18,"M",(IF(COUNTBLANK(F862:Z862)=19,"E",(IF(COUNTBLANK(F862:Z862)=20,"T",""))))))))}</f>
        <v>CLASSDC TOTAL</v>
      </c>
      <c r="AB861" s="76" t="str">
        <f t="array" ref="AB861:AB862">{"CLASSDC TOTAL";(sum(F862:Z862))}</f>
        <v>CLASSDC TOTAL</v>
      </c>
    </row>
    <row r="862">
      <c r="A862" s="48" t="s">
        <v>227</v>
      </c>
      <c r="B862" s="48" t="s">
        <v>418</v>
      </c>
      <c r="C862" s="48" t="s">
        <v>1465</v>
      </c>
      <c r="D862" s="48" t="s">
        <v>1466</v>
      </c>
      <c r="E862" s="5" t="s">
        <v>603</v>
      </c>
      <c r="F862" s="47" t="s">
        <v>603</v>
      </c>
      <c r="G862" s="5" t="s">
        <v>603</v>
      </c>
      <c r="H862" s="5"/>
      <c r="I862" s="5" t="s">
        <v>603</v>
      </c>
      <c r="J862" s="5"/>
      <c r="K862" s="5" t="s">
        <v>603</v>
      </c>
      <c r="L862" s="5"/>
      <c r="M862" s="5" t="s">
        <v>603</v>
      </c>
      <c r="N862" s="5"/>
      <c r="O862" s="5" t="s">
        <v>603</v>
      </c>
      <c r="P862" s="5"/>
      <c r="Q862" s="5" t="s">
        <v>603</v>
      </c>
      <c r="R862" s="5"/>
      <c r="S862" s="5" t="s">
        <v>603</v>
      </c>
      <c r="T862" s="5"/>
      <c r="U862" s="5" t="s">
        <v>603</v>
      </c>
      <c r="V862" s="5"/>
      <c r="W862" s="5" t="s">
        <v>603</v>
      </c>
      <c r="X862" s="5"/>
      <c r="Y862" s="5" t="s">
        <v>603</v>
      </c>
      <c r="Z862" s="5"/>
      <c r="AA862" s="5" t="s">
        <v>603</v>
      </c>
      <c r="AB862" s="47">
        <v>0.0</v>
      </c>
    </row>
    <row r="863" hidden="1">
      <c r="A863" s="222" t="str">
        <f t="array" ref="A863:A864">{"FormulaRow21";(INDEX(CLASSLIST,A822,1))}</f>
        <v>FormulaRow21</v>
      </c>
      <c r="B863" s="222" t="str">
        <f t="array" ref="B863:B864">{"CLASSTYPE";((INDEX(ALLCLASSDATA,MATCH("ClassType",CLASSFEATUREHEADERS,0),MATCH($A864,CLASSNAMEHEADERS,0))))}</f>
        <v>CLASSTYPE</v>
      </c>
      <c r="C863" s="222" t="str">
        <f t="array" ref="C863:C864">{"DC";"DC"}</f>
        <v>DC</v>
      </c>
      <c r="D863" s="222" t="str">
        <f t="array" ref="D863:D864">{"SPELLDC";"SpellDC"}</f>
        <v>SPELLDC</v>
      </c>
      <c r="E863" s="223" t="str">
        <f t="array" ref="E863:E864">{"SPELLDCINITIAL";((IF(G864=10,"T",(IF(G864=50,"E","")))))}</f>
        <v>SPELLDCINITIAL</v>
      </c>
      <c r="F863" s="223" t="str">
        <f t="array" ref="F863:F864">{"SPELLDCINITIALPTS";((IF("00"=(INDEX(ALLCLASSDATA,MATCH("SpellDCLegendary",CLASSFEATUREHEADERS,0),MATCH($A864,CLASSNAMEHEADERS,0))),(INDEX(ALLCLASSDATA,MATCH("SpellDCLegendary",CLASSFEATUREHEADERS,0),MATCH(($A864 &amp; "Points"),CLASSNAMEHEADERS,0))),(IF("00"=(INDEX(ALLCLASSDATA,MATCH("SpellDCMaster",CLASSFEATUREHEADERS,0),MATCH($A864,CLASSNAMEHEADERS,0))),(INDEX(ALLCLASSDATA,MATCH("SpellDCMaster",CLASSFEATUREHEADERS,0),MATCH(($A864 &amp; "Points"),CLASSNAMEHEADERS,0))),(IF("00"=(INDEX(ALLCLASSDATA,MATCH("SpellDCExpert",CLASSFEATUREHEADERS,0),MATCH($A864,CLASSNAMEHEADERS,0))),(INDEX(ALLCLASSDATA,MATCH("SpellDCExpert",CLASSFEATUREHEADERS,0),MATCH(($A864 &amp; "Points"),CLASSNAMEHEADERS,0))),(IF("00"=(INDEX(ALLCLASSDATA,MATCH("SpellDCTrained",CLASSFEATUREHEADERS,0),MATCH($A864,CLASSNAMEHEADERS,0))),(INDEX(ALLCLASSDATA,MATCH("SpellDCTrained",CLASSFEATUREHEADERS,0),MATCH(($A864 &amp; "Points"),CLASSNAMEHEADERS,0))),"")))))))))}</f>
        <v>SPELLDCINITIALPTS</v>
      </c>
      <c r="G863" s="223" t="str">
        <f t="array" ref="G863:G864">{"SPELLDCL01";((IF("01"=(INDEX(ALLCLASSDATA,MATCH("SpellDCLegendary",CLASSFEATUREHEADERS,0),MATCH($A864,CLASSNAMEHEADERS,0))),(INDEX(ALLCLASSDATA,MATCH("SpellDCLegendary",CLASSFEATUREHEADERS,0),MATCH(($A864 &amp; "Points"),CLASSNAMEHEADERS,0))),(IF("01"=(INDEX(ALLCLASSDATA,MATCH("SpellDCMaster",CLASSFEATUREHEADERS,0),MATCH($A864,CLASSNAMEHEADERS,0))),(INDEX(ALLCLASSDATA,MATCH("SpellDCMaster",CLASSFEATUREHEADERS,0),MATCH(($A864 &amp; "Points"),CLASSNAMEHEADERS,0))),(IF("01"=(INDEX(ALLCLASSDATA,MATCH("SpellDCExpert",CLASSFEATUREHEADERS,0),MATCH($A864,CLASSNAMEHEADERS,0))),(INDEX(ALLCLASSDATA,MATCH("SpellDCExpert",CLASSFEATUREHEADERS,0),MATCH(($A864 &amp; "Points"),CLASSNAMEHEADERS,0))),(IF("01"=(INDEX(ALLCLASSDATA,MATCH("SpellDCTrained",CLASSFEATUREHEADERS,0),MATCH($A864,CLASSNAMEHEADERS,0))),(INDEX(ALLCLASSDATA,MATCH("SpellDCTrained",CLASSFEATUREHEADERS,0),MATCH(($A864 &amp; "Points"),CLASSNAMEHEADERS,0))),"")))))))))}</f>
        <v>SPELLDCL01</v>
      </c>
      <c r="H863" s="223"/>
      <c r="I863" s="223" t="str">
        <f t="array" ref="I863:I864">{"SPELLDCL03";((IF("03"=(INDEX(ALLCLASSDATA,MATCH("SpellDCLegendary",CLASSFEATUREHEADERS,0),MATCH($A864,CLASSNAMEHEADERS,0))),(INDEX(ALLCLASSDATA,MATCH("SpellDCLegendary",CLASSFEATUREHEADERS,0),MATCH(($A864 &amp; "Points"),CLASSNAMEHEADERS,0))),(IF("03"=(INDEX(ALLCLASSDATA,MATCH("SpellDCMaster",CLASSFEATUREHEADERS,0),MATCH($A864,CLASSNAMEHEADERS,0))),(INDEX(ALLCLASSDATA,MATCH("SpellDCMaster",CLASSFEATUREHEADERS,0),MATCH(($A864 &amp; "Points"),CLASSNAMEHEADERS,0))),(IF("03"=(INDEX(ALLCLASSDATA,MATCH("SpellDCExpert",CLASSFEATUREHEADERS,0),MATCH($A864,CLASSNAMEHEADERS,0))),(INDEX(ALLCLASSDATA,MATCH("SpellDCExpert",CLASSFEATUREHEADERS,0),MATCH(($A864 &amp; "Points"),CLASSNAMEHEADERS,0))),(IF("03"=(INDEX(ALLCLASSDATA,MATCH("SpellDCTrained",CLASSFEATUREHEADERS,0),MATCH($A864,CLASSNAMEHEADERS,0))),(INDEX(ALLCLASSDATA,MATCH("SpellDCTrained",CLASSFEATUREHEADERS,0),MATCH(($A864 &amp; "Points"),CLASSNAMEHEADERS,0))),"")))))))))}</f>
        <v>SPELLDCL03</v>
      </c>
      <c r="J863" s="223"/>
      <c r="K863" s="223" t="str">
        <f t="array" ref="K863:K864">{"SPELLDCL05";((IF("05"=(INDEX(ALLCLASSDATA,MATCH("SpellDCLegendary",CLASSFEATUREHEADERS,0),MATCH($A864,CLASSNAMEHEADERS,0))),(INDEX(ALLCLASSDATA,MATCH("SpellDCLegendary",CLASSFEATUREHEADERS,0),MATCH(($A864 &amp; "Points"),CLASSNAMEHEADERS,0))),(IF("05"=(INDEX(ALLCLASSDATA,MATCH("SpellDCMaster",CLASSFEATUREHEADERS,0),MATCH($A864,CLASSNAMEHEADERS,0))),(INDEX(ALLCLASSDATA,MATCH("SpellDCMaster",CLASSFEATUREHEADERS,0),MATCH(($A864 &amp; "Points"),CLASSNAMEHEADERS,0))),(IF("05"=(INDEX(ALLCLASSDATA,MATCH("SpellDCExpert",CLASSFEATUREHEADERS,0),MATCH($A864,CLASSNAMEHEADERS,0))),(INDEX(ALLCLASSDATA,MATCH("SpellDCExpert",CLASSFEATUREHEADERS,0),MATCH(($A864 &amp; "Points"),CLASSNAMEHEADERS,0))),(IF("05"=(INDEX(ALLCLASSDATA,MATCH("SpellDCTrained",CLASSFEATUREHEADERS,0),MATCH($A864,CLASSNAMEHEADERS,0))),(INDEX(ALLCLASSDATA,MATCH("SpellDCTrained",CLASSFEATUREHEADERS,0),MATCH(($A864 &amp; "Points"),CLASSNAMEHEADERS,0))),"")))))))))}</f>
        <v>SPELLDCL05</v>
      </c>
      <c r="L863" s="223"/>
      <c r="M863" s="223" t="str">
        <f t="array" ref="M863:M864">{"SPELLDCL07";((IF("07"=(INDEX(ALLCLASSDATA,MATCH("SpellDCLegendary",CLASSFEATUREHEADERS,0),MATCH($A864,CLASSNAMEHEADERS,0))),(INDEX(ALLCLASSDATA,MATCH("SpellDCLegendary",CLASSFEATUREHEADERS,0),MATCH(($A864 &amp; "Points"),CLASSNAMEHEADERS,0))),(IF("07"=(INDEX(ALLCLASSDATA,MATCH("SpellDCMaster",CLASSFEATUREHEADERS,0),MATCH($A864,CLASSNAMEHEADERS,0))),(INDEX(ALLCLASSDATA,MATCH("SpellDCMaster",CLASSFEATUREHEADERS,0),MATCH(($A864 &amp; "Points"),CLASSNAMEHEADERS,0))),(IF("07"=(INDEX(ALLCLASSDATA,MATCH("SpellDCExpert",CLASSFEATUREHEADERS,0),MATCH($A864,CLASSNAMEHEADERS,0))),(INDEX(ALLCLASSDATA,MATCH("SpellDCExpert",CLASSFEATUREHEADERS,0),MATCH(($A864 &amp; "Points"),CLASSNAMEHEADERS,0))),(IF("07"=(INDEX(ALLCLASSDATA,MATCH("SpellDCTrained",CLASSFEATUREHEADERS,0),MATCH($A864,CLASSNAMEHEADERS,0))),(INDEX(ALLCLASSDATA,MATCH("SpellDCTrained",CLASSFEATUREHEADERS,0),MATCH(($A864 &amp; "Points"),CLASSNAMEHEADERS,0))),"")))))))))}</f>
        <v>SPELLDCL07</v>
      </c>
      <c r="N863" s="223"/>
      <c r="O863" s="223" t="str">
        <f t="array" ref="O863:O864">{"SPELLDCL09";((IF("09"=(INDEX(ALLCLASSDATA,MATCH("SpellDCLegendary",CLASSFEATUREHEADERS,0),MATCH($A864,CLASSNAMEHEADERS,0))),(INDEX(ALLCLASSDATA,MATCH("SpellDCLegendary",CLASSFEATUREHEADERS,0),MATCH(($A864 &amp; "Points"),CLASSNAMEHEADERS,0))),(IF("09"=(INDEX(ALLCLASSDATA,MATCH("SpellDCMaster",CLASSFEATUREHEADERS,0),MATCH($A864,CLASSNAMEHEADERS,0))),(INDEX(ALLCLASSDATA,MATCH("SpellDCMaster",CLASSFEATUREHEADERS,0),MATCH(($A864 &amp; "Points"),CLASSNAMEHEADERS,0))),(IF("09"=(INDEX(ALLCLASSDATA,MATCH("SpellDCExpert",CLASSFEATUREHEADERS,0),MATCH($A864,CLASSNAMEHEADERS,0))),(INDEX(ALLCLASSDATA,MATCH("SpellDCExpert",CLASSFEATUREHEADERS,0),MATCH(($A864 &amp; "Points"),CLASSNAMEHEADERS,0))),(IF("09"=(INDEX(ALLCLASSDATA,MATCH("SpellDCTrained",CLASSFEATUREHEADERS,0),MATCH($A864,CLASSNAMEHEADERS,0))),(INDEX(ALLCLASSDATA,MATCH("SpellDCTrained",CLASSFEATUREHEADERS,0),MATCH(($A864 &amp; "Points"),CLASSNAMEHEADERS,0))),"")))))))))}</f>
        <v>SPELLDCL09</v>
      </c>
      <c r="P863" s="223"/>
      <c r="Q863" s="223" t="str">
        <f t="array" ref="Q863:Q864">{"SPELLDCL11";((IF("11"=(INDEX(ALLCLASSDATA,MATCH("SpellDCLegendary",CLASSFEATUREHEADERS,0),MATCH($A864,CLASSNAMEHEADERS,0))),(INDEX(ALLCLASSDATA,MATCH("SpellDCLegendary",CLASSFEATUREHEADERS,0),MATCH(($A864 &amp; "Points"),CLASSNAMEHEADERS,0))),(IF("11"=(INDEX(ALLCLASSDATA,MATCH("SpellDCMaster",CLASSFEATUREHEADERS,0),MATCH($A864,CLASSNAMEHEADERS,0))),(INDEX(ALLCLASSDATA,MATCH("SpellDCMaster",CLASSFEATUREHEADERS,0),MATCH(($A864 &amp; "Points"),CLASSNAMEHEADERS,0))),(IF("11"=(INDEX(ALLCLASSDATA,MATCH("SpellDCExpert",CLASSFEATUREHEADERS,0),MATCH($A864,CLASSNAMEHEADERS,0))),(INDEX(ALLCLASSDATA,MATCH("SpellDCExpert",CLASSFEATUREHEADERS,0),MATCH(($A864 &amp; "Points"),CLASSNAMEHEADERS,0))),(IF("11"=(INDEX(ALLCLASSDATA,MATCH("SpellDCTrained",CLASSFEATUREHEADERS,0),MATCH($A864,CLASSNAMEHEADERS,0))),(INDEX(ALLCLASSDATA,MATCH("SpellDCTrained",CLASSFEATUREHEADERS,0),MATCH(($A864 &amp; "Points"),CLASSNAMEHEADERS,0))),"")))))))))}</f>
        <v>SPELLDCL11</v>
      </c>
      <c r="R863" s="223"/>
      <c r="S863" s="223" t="str">
        <f t="array" ref="S863:S864">{"SPELLDCL13";((IF("13"=(INDEX(ALLCLASSDATA,MATCH("SpellDCLegendary",CLASSFEATUREHEADERS,0),MATCH($A864,CLASSNAMEHEADERS,0))),(INDEX(ALLCLASSDATA,MATCH("SpellDCLegendary",CLASSFEATUREHEADERS,0),MATCH(($A864 &amp; "Points"),CLASSNAMEHEADERS,0))),(IF("13"=(INDEX(ALLCLASSDATA,MATCH("SpellDCMaster",CLASSFEATUREHEADERS,0),MATCH($A864,CLASSNAMEHEADERS,0))),(INDEX(ALLCLASSDATA,MATCH("SpellDCMaster",CLASSFEATUREHEADERS,0),MATCH(($A864 &amp; "Points"),CLASSNAMEHEADERS,0))),(IF("13"=(INDEX(ALLCLASSDATA,MATCH("SpellDCExpert",CLASSFEATUREHEADERS,0),MATCH($A864,CLASSNAMEHEADERS,0))),(INDEX(ALLCLASSDATA,MATCH("SpellDCExpert",CLASSFEATUREHEADERS,0),MATCH(($A864 &amp; "Points"),CLASSNAMEHEADERS,0))),(IF("13"=(INDEX(ALLCLASSDATA,MATCH("SpellDCTrained",CLASSFEATUREHEADERS,0),MATCH($A864,CLASSNAMEHEADERS,0))),(INDEX(ALLCLASSDATA,MATCH("SpellDCTrained",CLASSFEATUREHEADERS,0),MATCH(($A864 &amp; "Points"),CLASSNAMEHEADERS,0))),"")))))))))}</f>
        <v>SPELLDCL13</v>
      </c>
      <c r="T863" s="223"/>
      <c r="U863" s="223" t="str">
        <f t="array" ref="U863:U864">{"SPELLDCL15";((IF("15"=(INDEX(ALLCLASSDATA,MATCH("SpellDCLegendary",CLASSFEATUREHEADERS,0),MATCH($A864,CLASSNAMEHEADERS,0))),(INDEX(ALLCLASSDATA,MATCH("SpellDCLegendary",CLASSFEATUREHEADERS,0),MATCH(($A864 &amp; "Points"),CLASSNAMEHEADERS,0))),(IF("15"=(INDEX(ALLCLASSDATA,MATCH("SpellDCMaster",CLASSFEATUREHEADERS,0),MATCH($A864,CLASSNAMEHEADERS,0))),(INDEX(ALLCLASSDATA,MATCH("SpellDCMaster",CLASSFEATUREHEADERS,0),MATCH(($A864 &amp; "Points"),CLASSNAMEHEADERS,0))),(IF("15"=(INDEX(ALLCLASSDATA,MATCH("SpellDCExpert",CLASSFEATUREHEADERS,0),MATCH($A864,CLASSNAMEHEADERS,0))),(INDEX(ALLCLASSDATA,MATCH("SpellDCExpert",CLASSFEATUREHEADERS,0),MATCH(($A864 &amp; "Points"),CLASSNAMEHEADERS,0))),(IF("15"=(INDEX(ALLCLASSDATA,MATCH("SpellDCTrained",CLASSFEATUREHEADERS,0),MATCH($A864,CLASSNAMEHEADERS,0))),(INDEX(ALLCLASSDATA,MATCH("SpellDCTrained",CLASSFEATUREHEADERS,0),MATCH(($A864 &amp; "Points"),CLASSNAMEHEADERS,0))),"")))))))))}</f>
        <v>SPELLDCL15</v>
      </c>
      <c r="V863" s="223"/>
      <c r="W863" s="223" t="str">
        <f t="array" ref="W863:W864">{"SPELLDCL17";((IF("17"=(INDEX(ALLCLASSDATA,MATCH("SpellDCLegendary",CLASSFEATUREHEADERS,0),MATCH($A864,CLASSNAMEHEADERS,0))),(INDEX(ALLCLASSDATA,MATCH("SpellDCLegendary",CLASSFEATUREHEADERS,0),MATCH(($A864 &amp; "Points"),CLASSNAMEHEADERS,0))),(IF("17"=(INDEX(ALLCLASSDATA,MATCH("SpellDCMaster",CLASSFEATUREHEADERS,0),MATCH($A864,CLASSNAMEHEADERS,0))),(INDEX(ALLCLASSDATA,MATCH("SpellDCMaster",CLASSFEATUREHEADERS,0),MATCH(($A864 &amp; "Points"),CLASSNAMEHEADERS,0))),(IF("17"=(INDEX(ALLCLASSDATA,MATCH("SpellDCExpert",CLASSFEATUREHEADERS,0),MATCH($A864,CLASSNAMEHEADERS,0))),(INDEX(ALLCLASSDATA,MATCH("SpellDCExpert",CLASSFEATUREHEADERS,0),MATCH(($A864 &amp; "Points"),CLASSNAMEHEADERS,0))),(IF("17"=(INDEX(ALLCLASSDATA,MATCH("SpellDCTrained",CLASSFEATUREHEADERS,0),MATCH($A864,CLASSNAMEHEADERS,0))),(INDEX(ALLCLASSDATA,MATCH("SpellDCTrained",CLASSFEATUREHEADERS,0),MATCH(($A864 &amp; "Points"),CLASSNAMEHEADERS,0))),"")))))))))}</f>
        <v>SPELLDCL17</v>
      </c>
      <c r="X863" s="223"/>
      <c r="Y863" s="223" t="str">
        <f t="array" ref="Y863:Y864">{"SPELLDCL19";((IF("19"=(INDEX(ALLCLASSDATA,MATCH("SpellDCLegendary",CLASSFEATUREHEADERS,0),MATCH($A864,CLASSNAMEHEADERS,0))),(INDEX(ALLCLASSDATA,MATCH("SpellDCLegendary",CLASSFEATUREHEADERS,0),MATCH(($A864 &amp; "Points"),CLASSNAMEHEADERS,0))),(IF("19"=(INDEX(ALLCLASSDATA,MATCH("SpellDCMaster",CLASSFEATUREHEADERS,0),MATCH($A864,CLASSNAMEHEADERS,0))),(INDEX(ALLCLASSDATA,MATCH("SpellDCMaster",CLASSFEATUREHEADERS,0),MATCH(($A864 &amp; "Points"),CLASSNAMEHEADERS,0))),(IF("19"=(INDEX(ALLCLASSDATA,MATCH("SpellDCExpert",CLASSFEATUREHEADERS,0),MATCH($A864,CLASSNAMEHEADERS,0))),(INDEX(ALLCLASSDATA,MATCH("SpellDCExpert",CLASSFEATUREHEADERS,0),MATCH(($A864 &amp; "Points"),CLASSNAMEHEADERS,0))),(IF("19"=(INDEX(ALLCLASSDATA,MATCH("SpellDCTrained",CLASSFEATUREHEADERS,0),MATCH($A864,CLASSNAMEHEADERS,0))),(INDEX(ALLCLASSDATA,MATCH("SpellDCTrained",CLASSFEATUREHEADERS,0),MATCH(($A864 &amp; "Points"),CLASSNAMEHEADERS,0))),"")))))))))}</f>
        <v>SPELLDCL19</v>
      </c>
      <c r="Z863" s="223"/>
      <c r="AA863" s="76" t="str">
        <f t="array" ref="AA863:AA864">{"SPELLDC TOTAL";(IF(COUNTBLANK(F864:Z864)=17,"L",(IF(COUNTBLANK(F864:Z864)=18,"M",(IF(COUNTBLANK(F864:Z864)=19,"E",(IF(COUNTBLANK(F864:Z864)=20,"T",""))))))))}</f>
        <v>SPELLDC TOTAL</v>
      </c>
      <c r="AB863" s="76" t="str">
        <f t="array" ref="AB863:AB864">{"SPELLDC TOTAL";(sum(F864:Z864))}</f>
        <v>SPELLDC TOTAL</v>
      </c>
    </row>
    <row r="864">
      <c r="A864" s="48" t="s">
        <v>227</v>
      </c>
      <c r="B864" s="48" t="s">
        <v>418</v>
      </c>
      <c r="C864" s="97" t="s">
        <v>1465</v>
      </c>
      <c r="D864" s="97" t="s">
        <v>1485</v>
      </c>
      <c r="E864" s="98" t="s">
        <v>435</v>
      </c>
      <c r="F864" s="132" t="s">
        <v>603</v>
      </c>
      <c r="G864" s="98">
        <v>10.0</v>
      </c>
      <c r="H864" s="98"/>
      <c r="I864" s="98" t="s">
        <v>603</v>
      </c>
      <c r="J864" s="98"/>
      <c r="K864" s="98" t="s">
        <v>603</v>
      </c>
      <c r="L864" s="98"/>
      <c r="M864" s="98">
        <v>50.0</v>
      </c>
      <c r="N864" s="98"/>
      <c r="O864" s="98" t="s">
        <v>603</v>
      </c>
      <c r="P864" s="98"/>
      <c r="Q864" s="98" t="s">
        <v>603</v>
      </c>
      <c r="R864" s="98"/>
      <c r="S864" s="98" t="s">
        <v>603</v>
      </c>
      <c r="T864" s="98"/>
      <c r="U864" s="98">
        <v>110.0</v>
      </c>
      <c r="V864" s="98"/>
      <c r="W864" s="98" t="s">
        <v>603</v>
      </c>
      <c r="X864" s="98"/>
      <c r="Y864" s="98">
        <v>190.0</v>
      </c>
      <c r="Z864" s="98"/>
      <c r="AA864" s="5" t="s">
        <v>466</v>
      </c>
      <c r="AB864" s="47">
        <v>360.0</v>
      </c>
    </row>
    <row r="865" hidden="1">
      <c r="A865" s="222" t="str">
        <f t="array" ref="A865:A866">{"FormulaRow22";(INDEX(CLASSLIST,A822,1))}</f>
        <v>FormulaRow22</v>
      </c>
      <c r="B865" s="222" t="str">
        <f t="array" ref="B865:B866">{"CLASSTYPE";((INDEX(ALLCLASSDATA,MATCH("ClassType",CLASSFEATUREHEADERS,0),MATCH($A866,CLASSNAMEHEADERS,0))))}</f>
        <v>CLASSTYPE</v>
      </c>
      <c r="C865" s="228" t="str">
        <f t="shared" ref="C865:D865" si="10">{"PERCEPTION";"Perception"}</f>
        <v>PERCEPTION</v>
      </c>
      <c r="D865" s="228" t="str">
        <f t="shared" si="10"/>
        <v>PERCEPTION</v>
      </c>
      <c r="E865" s="230" t="str">
        <f t="array" ref="E865:E866">{"PERCEPTIONINITIAL";((IF(G866=10,"T",(IF(G866=50,"E","")))))}</f>
        <v>PERCEPTIONINITIAL</v>
      </c>
      <c r="F865" s="230" t="str">
        <f t="array" ref="F865:F866">{"PERCEPTIONINITIALPTS";((IF("00"=(INDEX(ALLCLASSDATA,MATCH("PerceptionLegendary",CLASSFEATUREHEADERS,0),MATCH($A866,CLASSNAMEHEADERS,0))),(INDEX(ALLCLASSDATA,MATCH("PerceptionLegendary",CLASSFEATUREHEADERS,0),MATCH(($A866 &amp; "Points"),CLASSNAMEHEADERS,0))),(IF("00"=(INDEX(ALLCLASSDATA,MATCH("PerceptionMaster",CLASSFEATUREHEADERS,0),MATCH($A866,CLASSNAMEHEADERS,0))),(INDEX(ALLCLASSDATA,MATCH("PerceptionMaster",CLASSFEATUREHEADERS,0),MATCH(($A866 &amp; "Points"),CLASSNAMEHEADERS,0))),(IF("00"=(INDEX(ALLCLASSDATA,MATCH("PerceptionExpert",CLASSFEATUREHEADERS,0),MATCH($A866,CLASSNAMEHEADERS,0))),(INDEX(ALLCLASSDATA,MATCH("PerceptionExpert",CLASSFEATUREHEADERS,0),MATCH(($A866 &amp; "Points"),CLASSNAMEHEADERS,0))),(IF("00"=(INDEX(ALLCLASSDATA,MATCH("PerceptionTrained",CLASSFEATUREHEADERS,0),MATCH($A866,CLASSNAMEHEADERS,0))),(INDEX(ALLCLASSDATA,MATCH("PerceptionTrained",CLASSFEATUREHEADERS,0),MATCH(($A866 &amp; "Points"),CLASSNAMEHEADERS,0))),"")))))))))}</f>
        <v>PERCEPTIONINITIALPTS</v>
      </c>
      <c r="G865" s="230" t="str">
        <f t="array" ref="G865:G866">{"PERCEPTIONL01";((IF("01"=(INDEX(ALLCLASSDATA,MATCH("PerceptionLegendary",CLASSFEATUREHEADERS,0),MATCH($A866,CLASSNAMEHEADERS,0))),(INDEX(ALLCLASSDATA,MATCH("PerceptionLegendary",CLASSFEATUREHEADERS,0),MATCH(($A866 &amp; "Points"),CLASSNAMEHEADERS,0))),(IF("01"=(INDEX(ALLCLASSDATA,MATCH("PerceptionMaster",CLASSFEATUREHEADERS,0),MATCH($A866,CLASSNAMEHEADERS,0))),(INDEX(ALLCLASSDATA,MATCH("PerceptionMaster",CLASSFEATUREHEADERS,0),MATCH(($A866 &amp; "Points"),CLASSNAMEHEADERS,0))),(IF("01"=(INDEX(ALLCLASSDATA,MATCH("PerceptionExpert",CLASSFEATUREHEADERS,0),MATCH($A866,CLASSNAMEHEADERS,0))),(INDEX(ALLCLASSDATA,MATCH("PerceptionExpert",CLASSFEATUREHEADERS,0),MATCH(($A866 &amp; "Points"),CLASSNAMEHEADERS,0))),(IF("01"=(INDEX(ALLCLASSDATA,MATCH("PerceptionTrained",CLASSFEATUREHEADERS,0),MATCH($A866,CLASSNAMEHEADERS,0))),(INDEX(ALLCLASSDATA,MATCH("PerceptionTrained",CLASSFEATUREHEADERS,0),MATCH(($A866 &amp; "Points"),CLASSNAMEHEADERS,0))),"")))))))))}</f>
        <v>PERCEPTIONL01</v>
      </c>
      <c r="H865" s="230"/>
      <c r="I865" s="230" t="str">
        <f t="array" ref="I865:I866">{"PERCEPTIONL03";((IF("03"=(INDEX(ALLCLASSDATA,MATCH("PerceptionLegendary",CLASSFEATUREHEADERS,0),MATCH($A866,CLASSNAMEHEADERS,0))),(INDEX(ALLCLASSDATA,MATCH("PerceptionLegendary",CLASSFEATUREHEADERS,0),MATCH(($A866 &amp; "Points"),CLASSNAMEHEADERS,0))),(IF("03"=(INDEX(ALLCLASSDATA,MATCH("PerceptionMaster",CLASSFEATUREHEADERS,0),MATCH($A866,CLASSNAMEHEADERS,0))),(INDEX(ALLCLASSDATA,MATCH("PerceptionMaster",CLASSFEATUREHEADERS,0),MATCH(($A866 &amp; "Points"),CLASSNAMEHEADERS,0))),(IF("03"=(INDEX(ALLCLASSDATA,MATCH("PerceptionExpert",CLASSFEATUREHEADERS,0),MATCH($A866,CLASSNAMEHEADERS,0))),(INDEX(ALLCLASSDATA,MATCH("PerceptionExpert",CLASSFEATUREHEADERS,0),MATCH(($A866 &amp; "Points"),CLASSNAMEHEADERS,0))),(IF("03"=(INDEX(ALLCLASSDATA,MATCH("PerceptionTrained",CLASSFEATUREHEADERS,0),MATCH($A866,CLASSNAMEHEADERS,0))),(INDEX(ALLCLASSDATA,MATCH("PerceptionTrained",CLASSFEATUREHEADERS,0),MATCH(($A866 &amp; "Points"),CLASSNAMEHEADERS,0))),"")))))))))}</f>
        <v>PERCEPTIONL03</v>
      </c>
      <c r="J865" s="230"/>
      <c r="K865" s="230" t="str">
        <f t="array" ref="K865:K866">{"PERCEPTIONL05";((IF("05"=(INDEX(ALLCLASSDATA,MATCH("PerceptionLegendary",CLASSFEATUREHEADERS,0),MATCH($A866,CLASSNAMEHEADERS,0))),(INDEX(ALLCLASSDATA,MATCH("PerceptionLegendary",CLASSFEATUREHEADERS,0),MATCH(($A866 &amp; "Points"),CLASSNAMEHEADERS,0))),(IF("05"=(INDEX(ALLCLASSDATA,MATCH("PerceptionMaster",CLASSFEATUREHEADERS,0),MATCH($A866,CLASSNAMEHEADERS,0))),(INDEX(ALLCLASSDATA,MATCH("PerceptionMaster",CLASSFEATUREHEADERS,0),MATCH(($A866 &amp; "Points"),CLASSNAMEHEADERS,0))),(IF("05"=(INDEX(ALLCLASSDATA,MATCH("PerceptionExpert",CLASSFEATUREHEADERS,0),MATCH($A866,CLASSNAMEHEADERS,0))),(INDEX(ALLCLASSDATA,MATCH("PerceptionExpert",CLASSFEATUREHEADERS,0),MATCH(($A866 &amp; "Points"),CLASSNAMEHEADERS,0))),(IF("05"=(INDEX(ALLCLASSDATA,MATCH("PerceptionTrained",CLASSFEATUREHEADERS,0),MATCH($A866,CLASSNAMEHEADERS,0))),(INDEX(ALLCLASSDATA,MATCH("PerceptionTrained",CLASSFEATUREHEADERS,0),MATCH(($A866 &amp; "Points"),CLASSNAMEHEADERS,0))),"")))))))))}</f>
        <v>PERCEPTIONL05</v>
      </c>
      <c r="L865" s="230"/>
      <c r="M865" s="230" t="str">
        <f t="array" ref="M865:M866">{"PERCEPTIONL07";((IF("07"=(INDEX(ALLCLASSDATA,MATCH("PerceptionLegendary",CLASSFEATUREHEADERS,0),MATCH($A866,CLASSNAMEHEADERS,0))),(INDEX(ALLCLASSDATA,MATCH("PerceptionLegendary",CLASSFEATUREHEADERS,0),MATCH(($A866 &amp; "Points"),CLASSNAMEHEADERS,0))),(IF("07"=(INDEX(ALLCLASSDATA,MATCH("PerceptionMaster",CLASSFEATUREHEADERS,0),MATCH($A866,CLASSNAMEHEADERS,0))),(INDEX(ALLCLASSDATA,MATCH("PerceptionMaster",CLASSFEATUREHEADERS,0),MATCH(($A866 &amp; "Points"),CLASSNAMEHEADERS,0))),(IF("07"=(INDEX(ALLCLASSDATA,MATCH("PerceptionExpert",CLASSFEATUREHEADERS,0),MATCH($A866,CLASSNAMEHEADERS,0))),(INDEX(ALLCLASSDATA,MATCH("PerceptionExpert",CLASSFEATUREHEADERS,0),MATCH(($A866 &amp; "Points"),CLASSNAMEHEADERS,0))),(IF("07"=(INDEX(ALLCLASSDATA,MATCH("PerceptionTrained",CLASSFEATUREHEADERS,0),MATCH($A866,CLASSNAMEHEADERS,0))),(INDEX(ALLCLASSDATA,MATCH("PerceptionTrained",CLASSFEATUREHEADERS,0),MATCH(($A866 &amp; "Points"),CLASSNAMEHEADERS,0))),"")))))))))}</f>
        <v>PERCEPTIONL07</v>
      </c>
      <c r="N865" s="230"/>
      <c r="O865" s="230" t="str">
        <f t="array" ref="O865:O866">{"PERCEPTIONL09";((IF("09"=(INDEX(ALLCLASSDATA,MATCH("PerceptionLegendary",CLASSFEATUREHEADERS,0),MATCH($A866,CLASSNAMEHEADERS,0))),(INDEX(ALLCLASSDATA,MATCH("PerceptionLegendary",CLASSFEATUREHEADERS,0),MATCH(($A866 &amp; "Points"),CLASSNAMEHEADERS,0))),(IF("09"=(INDEX(ALLCLASSDATA,MATCH("PerceptionMaster",CLASSFEATUREHEADERS,0),MATCH($A866,CLASSNAMEHEADERS,0))),(INDEX(ALLCLASSDATA,MATCH("PerceptionMaster",CLASSFEATUREHEADERS,0),MATCH(($A866 &amp; "Points"),CLASSNAMEHEADERS,0))),(IF("09"=(INDEX(ALLCLASSDATA,MATCH("PerceptionExpert",CLASSFEATUREHEADERS,0),MATCH($A866,CLASSNAMEHEADERS,0))),(INDEX(ALLCLASSDATA,MATCH("PerceptionExpert",CLASSFEATUREHEADERS,0),MATCH(($A866 &amp; "Points"),CLASSNAMEHEADERS,0))),(IF("09"=(INDEX(ALLCLASSDATA,MATCH("PerceptionTrained",CLASSFEATUREHEADERS,0),MATCH($A866,CLASSNAMEHEADERS,0))),(INDEX(ALLCLASSDATA,MATCH("PerceptionTrained",CLASSFEATUREHEADERS,0),MATCH(($A866 &amp; "Points"),CLASSNAMEHEADERS,0))),"")))))))))}</f>
        <v>PERCEPTIONL09</v>
      </c>
      <c r="P865" s="230"/>
      <c r="Q865" s="230" t="str">
        <f t="array" ref="Q865:Q866">{"PERCEPTIONL11";((IF("11"=(INDEX(ALLCLASSDATA,MATCH("PerceptionLegendary",CLASSFEATUREHEADERS,0),MATCH($A866,CLASSNAMEHEADERS,0))),(INDEX(ALLCLASSDATA,MATCH("PerceptionLegendary",CLASSFEATUREHEADERS,0),MATCH(($A866 &amp; "Points"),CLASSNAMEHEADERS,0))),(IF("11"=(INDEX(ALLCLASSDATA,MATCH("PerceptionMaster",CLASSFEATUREHEADERS,0),MATCH($A866,CLASSNAMEHEADERS,0))),(INDEX(ALLCLASSDATA,MATCH("PerceptionMaster",CLASSFEATUREHEADERS,0),MATCH(($A866 &amp; "Points"),CLASSNAMEHEADERS,0))),(IF("11"=(INDEX(ALLCLASSDATA,MATCH("PerceptionExpert",CLASSFEATUREHEADERS,0),MATCH($A866,CLASSNAMEHEADERS,0))),(INDEX(ALLCLASSDATA,MATCH("PerceptionExpert",CLASSFEATUREHEADERS,0),MATCH(($A866 &amp; "Points"),CLASSNAMEHEADERS,0))),(IF("11"=(INDEX(ALLCLASSDATA,MATCH("PerceptionTrained",CLASSFEATUREHEADERS,0),MATCH($A866,CLASSNAMEHEADERS,0))),(INDEX(ALLCLASSDATA,MATCH("PerceptionTrained",CLASSFEATUREHEADERS,0),MATCH(($A866 &amp; "Points"),CLASSNAMEHEADERS,0))),"")))))))))}</f>
        <v>PERCEPTIONL11</v>
      </c>
      <c r="R865" s="230"/>
      <c r="S865" s="230" t="str">
        <f t="array" ref="S865:S866">{"PERCEPTIONL13";((IF("13"=(INDEX(ALLCLASSDATA,MATCH("PerceptionLegendary",CLASSFEATUREHEADERS,0),MATCH($A866,CLASSNAMEHEADERS,0))),(INDEX(ALLCLASSDATA,MATCH("PerceptionLegendary",CLASSFEATUREHEADERS,0),MATCH(($A866 &amp; "Points"),CLASSNAMEHEADERS,0))),(IF("13"=(INDEX(ALLCLASSDATA,MATCH("PerceptionMaster",CLASSFEATUREHEADERS,0),MATCH($A866,CLASSNAMEHEADERS,0))),(INDEX(ALLCLASSDATA,MATCH("PerceptionMaster",CLASSFEATUREHEADERS,0),MATCH(($A866 &amp; "Points"),CLASSNAMEHEADERS,0))),(IF("13"=(INDEX(ALLCLASSDATA,MATCH("PerceptionExpert",CLASSFEATUREHEADERS,0),MATCH($A866,CLASSNAMEHEADERS,0))),(INDEX(ALLCLASSDATA,MATCH("PerceptionExpert",CLASSFEATUREHEADERS,0),MATCH(($A866 &amp; "Points"),CLASSNAMEHEADERS,0))),(IF("13"=(INDEX(ALLCLASSDATA,MATCH("PerceptionTrained",CLASSFEATUREHEADERS,0),MATCH($A866,CLASSNAMEHEADERS,0))),(INDEX(ALLCLASSDATA,MATCH("PerceptionTrained",CLASSFEATUREHEADERS,0),MATCH(($A866 &amp; "Points"),CLASSNAMEHEADERS,0))),"")))))))))}</f>
        <v>PERCEPTIONL13</v>
      </c>
      <c r="T865" s="230"/>
      <c r="U865" s="230" t="str">
        <f t="array" ref="U865:U866">{"PERCEPTIONL15";((IF("15"=(INDEX(ALLCLASSDATA,MATCH("PerceptionLegendary",CLASSFEATUREHEADERS,0),MATCH($A866,CLASSNAMEHEADERS,0))),(INDEX(ALLCLASSDATA,MATCH("PerceptionLegendary",CLASSFEATUREHEADERS,0),MATCH(($A866 &amp; "Points"),CLASSNAMEHEADERS,0))),(IF("15"=(INDEX(ALLCLASSDATA,MATCH("PerceptionMaster",CLASSFEATUREHEADERS,0),MATCH($A866,CLASSNAMEHEADERS,0))),(INDEX(ALLCLASSDATA,MATCH("PerceptionMaster",CLASSFEATUREHEADERS,0),MATCH(($A866 &amp; "Points"),CLASSNAMEHEADERS,0))),(IF("15"=(INDEX(ALLCLASSDATA,MATCH("PerceptionExpert",CLASSFEATUREHEADERS,0),MATCH($A866,CLASSNAMEHEADERS,0))),(INDEX(ALLCLASSDATA,MATCH("PerceptionExpert",CLASSFEATUREHEADERS,0),MATCH(($A866 &amp; "Points"),CLASSNAMEHEADERS,0))),(IF("15"=(INDEX(ALLCLASSDATA,MATCH("PerceptionTrained",CLASSFEATUREHEADERS,0),MATCH($A866,CLASSNAMEHEADERS,0))),(INDEX(ALLCLASSDATA,MATCH("PerceptionTrained",CLASSFEATUREHEADERS,0),MATCH(($A866 &amp; "Points"),CLASSNAMEHEADERS,0))),"")))))))))}</f>
        <v>PERCEPTIONL15</v>
      </c>
      <c r="V865" s="230"/>
      <c r="W865" s="230" t="str">
        <f t="array" ref="W865:W866">{"PERCEPTIONL17";((IF("17"=(INDEX(ALLCLASSDATA,MATCH("PerceptionLegendary",CLASSFEATUREHEADERS,0),MATCH($A866,CLASSNAMEHEADERS,0))),(INDEX(ALLCLASSDATA,MATCH("PerceptionLegendary",CLASSFEATUREHEADERS,0),MATCH(($A866 &amp; "Points"),CLASSNAMEHEADERS,0))),(IF("17"=(INDEX(ALLCLASSDATA,MATCH("PerceptionMaster",CLASSFEATUREHEADERS,0),MATCH($A866,CLASSNAMEHEADERS,0))),(INDEX(ALLCLASSDATA,MATCH("PerceptionMaster",CLASSFEATUREHEADERS,0),MATCH(($A866 &amp; "Points"),CLASSNAMEHEADERS,0))),(IF("17"=(INDEX(ALLCLASSDATA,MATCH("PerceptionExpert",CLASSFEATUREHEADERS,0),MATCH($A866,CLASSNAMEHEADERS,0))),(INDEX(ALLCLASSDATA,MATCH("PerceptionExpert",CLASSFEATUREHEADERS,0),MATCH(($A866 &amp; "Points"),CLASSNAMEHEADERS,0))),(IF("17"=(INDEX(ALLCLASSDATA,MATCH("PerceptionTrained",CLASSFEATUREHEADERS,0),MATCH($A866,CLASSNAMEHEADERS,0))),(INDEX(ALLCLASSDATA,MATCH("PerceptionTrained",CLASSFEATUREHEADERS,0),MATCH(($A866 &amp; "Points"),CLASSNAMEHEADERS,0))),"")))))))))}</f>
        <v>PERCEPTIONL17</v>
      </c>
      <c r="X865" s="230"/>
      <c r="Y865" s="230" t="str">
        <f t="array" ref="Y865:Y866">{"PERCEPTIONL19";((IF("19"=(INDEX(ALLCLASSDATA,MATCH("PerceptionLegendary",CLASSFEATUREHEADERS,0),MATCH($A866,CLASSNAMEHEADERS,0))),(INDEX(ALLCLASSDATA,MATCH("PerceptionLegendary",CLASSFEATUREHEADERS,0),MATCH(($A866 &amp; "Points"),CLASSNAMEHEADERS,0))),(IF("19"=(INDEX(ALLCLASSDATA,MATCH("PerceptionMaster",CLASSFEATUREHEADERS,0),MATCH($A866,CLASSNAMEHEADERS,0))),(INDEX(ALLCLASSDATA,MATCH("PerceptionMaster",CLASSFEATUREHEADERS,0),MATCH(($A866 &amp; "Points"),CLASSNAMEHEADERS,0))),(IF("19"=(INDEX(ALLCLASSDATA,MATCH("PerceptionExpert",CLASSFEATUREHEADERS,0),MATCH($A866,CLASSNAMEHEADERS,0))),(INDEX(ALLCLASSDATA,MATCH("PerceptionExpert",CLASSFEATUREHEADERS,0),MATCH(($A866 &amp; "Points"),CLASSNAMEHEADERS,0))),(IF("19"=(INDEX(ALLCLASSDATA,MATCH("PerceptionTrained",CLASSFEATUREHEADERS,0),MATCH($A866,CLASSNAMEHEADERS,0))),(INDEX(ALLCLASSDATA,MATCH("PerceptionTrained",CLASSFEATUREHEADERS,0),MATCH(($A866 &amp; "Points"),CLASSNAMEHEADERS,0))),"")))))))))}</f>
        <v>PERCEPTIONL19</v>
      </c>
      <c r="Z865" s="230"/>
      <c r="AA865" s="76" t="str">
        <f t="array" ref="AA865:AA866">{"PERCEPTION TOTAL";(IF(COUNTBLANK(F866:Z866)=17,"L",(IF(COUNTBLANK(F866:Z866)=18,"M",(IF(COUNTBLANK(F866:Z866)=19,"E",(IF(COUNTBLANK(F866:Z866)=20,"T",""))))))))}</f>
        <v>PERCEPTION TOTAL</v>
      </c>
      <c r="AB865" s="76" t="str">
        <f t="array" ref="AB865:AB866">{"PERCEPTION TOTAL";(sum(F866:Z866))}</f>
        <v>PERCEPTION TOTAL</v>
      </c>
    </row>
    <row r="866">
      <c r="A866" s="48" t="s">
        <v>227</v>
      </c>
      <c r="B866" s="48" t="s">
        <v>418</v>
      </c>
      <c r="C866" s="97" t="s">
        <v>637</v>
      </c>
      <c r="D866" s="97" t="s">
        <v>637</v>
      </c>
      <c r="E866" s="98" t="s">
        <v>435</v>
      </c>
      <c r="F866" s="132" t="s">
        <v>603</v>
      </c>
      <c r="G866" s="98">
        <v>10.0</v>
      </c>
      <c r="H866" s="98"/>
      <c r="I866" s="98" t="s">
        <v>603</v>
      </c>
      <c r="J866" s="98"/>
      <c r="K866" s="98" t="s">
        <v>603</v>
      </c>
      <c r="L866" s="98"/>
      <c r="M866" s="98" t="s">
        <v>603</v>
      </c>
      <c r="N866" s="98"/>
      <c r="O866" s="98" t="s">
        <v>603</v>
      </c>
      <c r="P866" s="98"/>
      <c r="Q866" s="98">
        <v>50.0</v>
      </c>
      <c r="R866" s="98"/>
      <c r="S866" s="98" t="s">
        <v>603</v>
      </c>
      <c r="T866" s="98"/>
      <c r="U866" s="98" t="s">
        <v>603</v>
      </c>
      <c r="V866" s="98"/>
      <c r="W866" s="98" t="s">
        <v>603</v>
      </c>
      <c r="X866" s="98"/>
      <c r="Y866" s="98" t="s">
        <v>603</v>
      </c>
      <c r="Z866" s="98"/>
      <c r="AA866" s="5" t="s">
        <v>436</v>
      </c>
      <c r="AB866" s="47">
        <v>60.0</v>
      </c>
    </row>
    <row r="867" hidden="1">
      <c r="A867" s="222" t="str">
        <f t="array" ref="A867:A868">{"FormulaRow23";(INDEX(CLASSLIST,A822,1))}</f>
        <v>FormulaRow23</v>
      </c>
      <c r="B867" s="222" t="str">
        <f t="array" ref="B867:B868">{"CLASSTYPE";((INDEX(ALLCLASSDATA,MATCH("ClassType",CLASSFEATUREHEADERS,0),MATCH($A868,CLASSNAMEHEADERS,0))))}</f>
        <v>CLASSTYPE</v>
      </c>
      <c r="C867" s="228" t="str">
        <f t="array" ref="C867:C868">{"SAVES";"Saves"}</f>
        <v>SAVES</v>
      </c>
      <c r="D867" s="228" t="str">
        <f t="array" ref="D867:D868">{"FORTITUDESAVE";"FortitudeSave"}</f>
        <v>FORTITUDESAVE</v>
      </c>
      <c r="E867" s="230" t="str">
        <f t="array" ref="E867:E868">{"FORTITUDEINITIAL";((IF(G868=10,"T",(IF(G868=50,"E","")))))}</f>
        <v>FORTITUDEINITIAL</v>
      </c>
      <c r="F867" s="230" t="str">
        <f t="array" ref="F867:F868">{"FORTITUDEINITIALPTS";((IF("00"=(INDEX(ALLCLASSDATA,MATCH("FortitudeSaveLegendary",CLASSFEATUREHEADERS,0),MATCH($A868,CLASSNAMEHEADERS,0))),(INDEX(ALLCLASSDATA,MATCH("FortitudeSaveLegendary",CLASSFEATUREHEADERS,0),MATCH(($A868 &amp; "Points"),CLASSNAMEHEADERS,0))),(IF("00"=(INDEX(ALLCLASSDATA,MATCH("FortitudeSaveMaster",CLASSFEATUREHEADERS,0),MATCH($A868,CLASSNAMEHEADERS,0))),(INDEX(ALLCLASSDATA,MATCH("FortitudeSaveMaster",CLASSFEATUREHEADERS,0),MATCH(($A868 &amp; "Points"),CLASSNAMEHEADERS,0))),(IF("00"=(INDEX(ALLCLASSDATA,MATCH("FortitudeSaveExpert",CLASSFEATUREHEADERS,0),MATCH($A868,CLASSNAMEHEADERS,0))),(INDEX(ALLCLASSDATA,MATCH("FortitudeSaveExpert",CLASSFEATUREHEADERS,0),MATCH(($A868 &amp; "Points"),CLASSNAMEHEADERS,0))),(IF("00"=(INDEX(ALLCLASSDATA,MATCH("FortitudeSaveTrained",CLASSFEATUREHEADERS,0),MATCH($A868,CLASSNAMEHEADERS,0))),(INDEX(ALLCLASSDATA,MATCH("FortitudeSaveTrained",CLASSFEATUREHEADERS,0),MATCH(($A868 &amp; "Points"),CLASSNAMEHEADERS,0))),"")))))))))}</f>
        <v>FORTITUDEINITIALPTS</v>
      </c>
      <c r="G867" s="230" t="str">
        <f t="array" ref="G867:G868">{"FORTITUDEL01";((IF("01"=(INDEX(ALLCLASSDATA,MATCH("FortitudeSaveLegendary",CLASSFEATUREHEADERS,0),MATCH($A868,CLASSNAMEHEADERS,0))),(INDEX(ALLCLASSDATA,MATCH("FortitudeSaveLegendary",CLASSFEATUREHEADERS,0),MATCH(($A868 &amp; "Points"),CLASSNAMEHEADERS,0))),(IF("01"=(INDEX(ALLCLASSDATA,MATCH("FortitudeSaveMaster",CLASSFEATUREHEADERS,0),MATCH($A868,CLASSNAMEHEADERS,0))),(INDEX(ALLCLASSDATA,MATCH("FortitudeSaveMaster",CLASSFEATUREHEADERS,0),MATCH(($A868 &amp; "Points"),CLASSNAMEHEADERS,0))),(IF("01"=(INDEX(ALLCLASSDATA,MATCH("FortitudeSaveExpert",CLASSFEATUREHEADERS,0),MATCH($A868,CLASSNAMEHEADERS,0))),(INDEX(ALLCLASSDATA,MATCH("FortitudeSaveExpert",CLASSFEATUREHEADERS,0),MATCH(($A868 &amp; "Points"),CLASSNAMEHEADERS,0))),(IF("01"=(INDEX(ALLCLASSDATA,MATCH("FortitudeSaveTrained",CLASSFEATUREHEADERS,0),MATCH($A868,CLASSNAMEHEADERS,0))),(INDEX(ALLCLASSDATA,MATCH("FortitudeSaveTrained",CLASSFEATUREHEADERS,0),MATCH(($A868 &amp; "Points"),CLASSNAMEHEADERS,0))),"")))))))))}</f>
        <v>FORTITUDEL01</v>
      </c>
      <c r="H867" s="230"/>
      <c r="I867" s="230" t="str">
        <f t="array" ref="I867:I868">{"FORTITUDEL03";((IF("03"=(INDEX(ALLCLASSDATA,MATCH("FortitudeSaveLegendary",CLASSFEATUREHEADERS,0),MATCH($A868,CLASSNAMEHEADERS,0))),(INDEX(ALLCLASSDATA,MATCH("FortitudeSaveLegendary",CLASSFEATUREHEADERS,0),MATCH(($A868 &amp; "Points"),CLASSNAMEHEADERS,0))),(IF("03"=(INDEX(ALLCLASSDATA,MATCH("FortitudeSaveMaster",CLASSFEATUREHEADERS,0),MATCH($A868,CLASSNAMEHEADERS,0))),(INDEX(ALLCLASSDATA,MATCH("FortitudeSaveMaster",CLASSFEATUREHEADERS,0),MATCH(($A868 &amp; "Points"),CLASSNAMEHEADERS,0))),(IF("03"=(INDEX(ALLCLASSDATA,MATCH("FortitudeSaveExpert",CLASSFEATUREHEADERS,0),MATCH($A868,CLASSNAMEHEADERS,0))),(INDEX(ALLCLASSDATA,MATCH("FortitudeSaveExpert",CLASSFEATUREHEADERS,0),MATCH(($A868 &amp; "Points"),CLASSNAMEHEADERS,0))),(IF("03"=(INDEX(ALLCLASSDATA,MATCH("FortitudeSaveTrained",CLASSFEATUREHEADERS,0),MATCH($A868,CLASSNAMEHEADERS,0))),(INDEX(ALLCLASSDATA,MATCH("FortitudeSaveTrained",CLASSFEATUREHEADERS,0),MATCH(($A868 &amp; "Points"),CLASSNAMEHEADERS,0))),"")))))))))}</f>
        <v>FORTITUDEL03</v>
      </c>
      <c r="J867" s="230"/>
      <c r="K867" s="230" t="str">
        <f t="array" ref="K867:K868">{"FORTITUDEL05";((IF("05"=(INDEX(ALLCLASSDATA,MATCH("FortitudeSaveLegendary",CLASSFEATUREHEADERS,0),MATCH($A868,CLASSNAMEHEADERS,0))),(INDEX(ALLCLASSDATA,MATCH("FortitudeSaveLegendary",CLASSFEATUREHEADERS,0),MATCH(($A868 &amp; "Points"),CLASSNAMEHEADERS,0))),(IF("05"=(INDEX(ALLCLASSDATA,MATCH("FortitudeSaveMaster",CLASSFEATUREHEADERS,0),MATCH($A868,CLASSNAMEHEADERS,0))),(INDEX(ALLCLASSDATA,MATCH("FortitudeSaveMaster",CLASSFEATUREHEADERS,0),MATCH(($A868 &amp; "Points"),CLASSNAMEHEADERS,0))),(IF("05"=(INDEX(ALLCLASSDATA,MATCH("FortitudeSaveExpert",CLASSFEATUREHEADERS,0),MATCH($A868,CLASSNAMEHEADERS,0))),(INDEX(ALLCLASSDATA,MATCH("FortitudeSaveExpert",CLASSFEATUREHEADERS,0),MATCH(($A868 &amp; "Points"),CLASSNAMEHEADERS,0))),(IF("05"=(INDEX(ALLCLASSDATA,MATCH("FortitudeSaveTrained",CLASSFEATUREHEADERS,0),MATCH($A868,CLASSNAMEHEADERS,0))),(INDEX(ALLCLASSDATA,MATCH("FortitudeSaveTrained",CLASSFEATUREHEADERS,0),MATCH(($A868 &amp; "Points"),CLASSNAMEHEADERS,0))),"")))))))))}</f>
        <v>FORTITUDEL05</v>
      </c>
      <c r="L867" s="230"/>
      <c r="M867" s="230" t="str">
        <f t="array" ref="M867:M868">{"FORTITUDEL07";((IF("07"=(INDEX(ALLCLASSDATA,MATCH("FortitudeSaveLegendary",CLASSFEATUREHEADERS,0),MATCH($A868,CLASSNAMEHEADERS,0))),(INDEX(ALLCLASSDATA,MATCH("FortitudeSaveLegendary",CLASSFEATUREHEADERS,0),MATCH(($A868 &amp; "Points"),CLASSNAMEHEADERS,0))),(IF("07"=(INDEX(ALLCLASSDATA,MATCH("FortitudeSaveMaster",CLASSFEATUREHEADERS,0),MATCH($A868,CLASSNAMEHEADERS,0))),(INDEX(ALLCLASSDATA,MATCH("FortitudeSaveMaster",CLASSFEATUREHEADERS,0),MATCH(($A868 &amp; "Points"),CLASSNAMEHEADERS,0))),(IF("07"=(INDEX(ALLCLASSDATA,MATCH("FortitudeSaveExpert",CLASSFEATUREHEADERS,0),MATCH($A868,CLASSNAMEHEADERS,0))),(INDEX(ALLCLASSDATA,MATCH("FortitudeSaveExpert",CLASSFEATUREHEADERS,0),MATCH(($A868 &amp; "Points"),CLASSNAMEHEADERS,0))),(IF("07"=(INDEX(ALLCLASSDATA,MATCH("FortitudeSaveTrained",CLASSFEATUREHEADERS,0),MATCH($A868,CLASSNAMEHEADERS,0))),(INDEX(ALLCLASSDATA,MATCH("FortitudeSaveTrained",CLASSFEATUREHEADERS,0),MATCH(($A868 &amp; "Points"),CLASSNAMEHEADERS,0))),"")))))))))}</f>
        <v>FORTITUDEL07</v>
      </c>
      <c r="N867" s="230"/>
      <c r="O867" s="230" t="str">
        <f t="array" ref="O867:O868">{"FORTITUDEL09";((IF("09"=(INDEX(ALLCLASSDATA,MATCH("FortitudeSaveLegendary",CLASSFEATUREHEADERS,0),MATCH($A868,CLASSNAMEHEADERS,0))),(INDEX(ALLCLASSDATA,MATCH("FortitudeSaveLegendary",CLASSFEATUREHEADERS,0),MATCH(($A868 &amp; "Points"),CLASSNAMEHEADERS,0))),(IF("09"=(INDEX(ALLCLASSDATA,MATCH("FortitudeSaveMaster",CLASSFEATUREHEADERS,0),MATCH($A868,CLASSNAMEHEADERS,0))),(INDEX(ALLCLASSDATA,MATCH("FortitudeSaveMaster",CLASSFEATUREHEADERS,0),MATCH(($A868 &amp; "Points"),CLASSNAMEHEADERS,0))),(IF("09"=(INDEX(ALLCLASSDATA,MATCH("FortitudeSaveExpert",CLASSFEATUREHEADERS,0),MATCH($A868,CLASSNAMEHEADERS,0))),(INDEX(ALLCLASSDATA,MATCH("FortitudeSaveExpert",CLASSFEATUREHEADERS,0),MATCH(($A868 &amp; "Points"),CLASSNAMEHEADERS,0))),(IF("09"=(INDEX(ALLCLASSDATA,MATCH("FortitudeSaveTrained",CLASSFEATUREHEADERS,0),MATCH($A868,CLASSNAMEHEADERS,0))),(INDEX(ALLCLASSDATA,MATCH("FortitudeSaveTrained",CLASSFEATUREHEADERS,0),MATCH(($A868 &amp; "Points"),CLASSNAMEHEADERS,0))),"")))))))))}</f>
        <v>FORTITUDEL09</v>
      </c>
      <c r="P867" s="230"/>
      <c r="Q867" s="230" t="str">
        <f t="array" ref="Q867:Q868">{"FORTITUDEL11";((IF("11"=(INDEX(ALLCLASSDATA,MATCH("FortitudeSaveLegendary",CLASSFEATUREHEADERS,0),MATCH($A868,CLASSNAMEHEADERS,0))),(INDEX(ALLCLASSDATA,MATCH("FortitudeSaveLegendary",CLASSFEATUREHEADERS,0),MATCH(($A868 &amp; "Points"),CLASSNAMEHEADERS,0))),(IF("11"=(INDEX(ALLCLASSDATA,MATCH("FortitudeSaveMaster",CLASSFEATUREHEADERS,0),MATCH($A868,CLASSNAMEHEADERS,0))),(INDEX(ALLCLASSDATA,MATCH("FortitudeSaveMaster",CLASSFEATUREHEADERS,0),MATCH(($A868 &amp; "Points"),CLASSNAMEHEADERS,0))),(IF("11"=(INDEX(ALLCLASSDATA,MATCH("FortitudeSaveExpert",CLASSFEATUREHEADERS,0),MATCH($A868,CLASSNAMEHEADERS,0))),(INDEX(ALLCLASSDATA,MATCH("FortitudeSaveExpert",CLASSFEATUREHEADERS,0),MATCH(($A868 &amp; "Points"),CLASSNAMEHEADERS,0))),(IF("11"=(INDEX(ALLCLASSDATA,MATCH("FortitudeSaveTrained",CLASSFEATUREHEADERS,0),MATCH($A868,CLASSNAMEHEADERS,0))),(INDEX(ALLCLASSDATA,MATCH("FortitudeSaveTrained",CLASSFEATUREHEADERS,0),MATCH(($A868 &amp; "Points"),CLASSNAMEHEADERS,0))),"")))))))))}</f>
        <v>FORTITUDEL11</v>
      </c>
      <c r="R867" s="230"/>
      <c r="S867" s="230" t="str">
        <f t="array" ref="S867:S868">{"FORTITUDEL13";((IF("13"=(INDEX(ALLCLASSDATA,MATCH("FortitudeSaveLegendary",CLASSFEATUREHEADERS,0),MATCH($A868,CLASSNAMEHEADERS,0))),(INDEX(ALLCLASSDATA,MATCH("FortitudeSaveLegendary",CLASSFEATUREHEADERS,0),MATCH(($A868 &amp; "Points"),CLASSNAMEHEADERS,0))),(IF("13"=(INDEX(ALLCLASSDATA,MATCH("FortitudeSaveMaster",CLASSFEATUREHEADERS,0),MATCH($A868,CLASSNAMEHEADERS,0))),(INDEX(ALLCLASSDATA,MATCH("FortitudeSaveMaster",CLASSFEATUREHEADERS,0),MATCH(($A868 &amp; "Points"),CLASSNAMEHEADERS,0))),(IF("13"=(INDEX(ALLCLASSDATA,MATCH("FortitudeSaveExpert",CLASSFEATUREHEADERS,0),MATCH($A868,CLASSNAMEHEADERS,0))),(INDEX(ALLCLASSDATA,MATCH("FortitudeSaveExpert",CLASSFEATUREHEADERS,0),MATCH(($A868 &amp; "Points"),CLASSNAMEHEADERS,0))),(IF("13"=(INDEX(ALLCLASSDATA,MATCH("FortitudeSaveTrained",CLASSFEATUREHEADERS,0),MATCH($A868,CLASSNAMEHEADERS,0))),(INDEX(ALLCLASSDATA,MATCH("FortitudeSaveTrained",CLASSFEATUREHEADERS,0),MATCH(($A868 &amp; "Points"),CLASSNAMEHEADERS,0))),"")))))))))}</f>
        <v>FORTITUDEL13</v>
      </c>
      <c r="T867" s="230"/>
      <c r="U867" s="230" t="str">
        <f t="array" ref="U867:U868">{"FORTITUDEL15";((IF("15"=(INDEX(ALLCLASSDATA,MATCH("FortitudeSaveLegendary",CLASSFEATUREHEADERS,0),MATCH($A868,CLASSNAMEHEADERS,0))),(INDEX(ALLCLASSDATA,MATCH("FortitudeSaveLegendary",CLASSFEATUREHEADERS,0),MATCH(($A868 &amp; "Points"),CLASSNAMEHEADERS,0))),(IF("15"=(INDEX(ALLCLASSDATA,MATCH("FortitudeSaveMaster",CLASSFEATUREHEADERS,0),MATCH($A868,CLASSNAMEHEADERS,0))),(INDEX(ALLCLASSDATA,MATCH("FortitudeSaveMaster",CLASSFEATUREHEADERS,0),MATCH(($A868 &amp; "Points"),CLASSNAMEHEADERS,0))),(IF("15"=(INDEX(ALLCLASSDATA,MATCH("FortitudeSaveExpert",CLASSFEATUREHEADERS,0),MATCH($A868,CLASSNAMEHEADERS,0))),(INDEX(ALLCLASSDATA,MATCH("FortitudeSaveExpert",CLASSFEATUREHEADERS,0),MATCH(($A868 &amp; "Points"),CLASSNAMEHEADERS,0))),(IF("15"=(INDEX(ALLCLASSDATA,MATCH("FortitudeSaveTrained",CLASSFEATUREHEADERS,0),MATCH($A868,CLASSNAMEHEADERS,0))),(INDEX(ALLCLASSDATA,MATCH("FortitudeSaveTrained",CLASSFEATUREHEADERS,0),MATCH(($A868 &amp; "Points"),CLASSNAMEHEADERS,0))),"")))))))))}</f>
        <v>FORTITUDEL15</v>
      </c>
      <c r="V867" s="230"/>
      <c r="W867" s="230" t="str">
        <f t="array" ref="W867:W868">{"FORTITUDEL17";((IF("17"=(INDEX(ALLCLASSDATA,MATCH("FortitudeSaveLegendary",CLASSFEATUREHEADERS,0),MATCH($A868,CLASSNAMEHEADERS,0))),(INDEX(ALLCLASSDATA,MATCH("FortitudeSaveLegendary",CLASSFEATUREHEADERS,0),MATCH(($A868 &amp; "Points"),CLASSNAMEHEADERS,0))),(IF("17"=(INDEX(ALLCLASSDATA,MATCH("FortitudeSaveMaster",CLASSFEATUREHEADERS,0),MATCH($A868,CLASSNAMEHEADERS,0))),(INDEX(ALLCLASSDATA,MATCH("FortitudeSaveMaster",CLASSFEATUREHEADERS,0),MATCH(($A868 &amp; "Points"),CLASSNAMEHEADERS,0))),(IF("17"=(INDEX(ALLCLASSDATA,MATCH("FortitudeSaveExpert",CLASSFEATUREHEADERS,0),MATCH($A868,CLASSNAMEHEADERS,0))),(INDEX(ALLCLASSDATA,MATCH("FortitudeSaveExpert",CLASSFEATUREHEADERS,0),MATCH(($A868 &amp; "Points"),CLASSNAMEHEADERS,0))),(IF("17"=(INDEX(ALLCLASSDATA,MATCH("FortitudeSaveTrained",CLASSFEATUREHEADERS,0),MATCH($A868,CLASSNAMEHEADERS,0))),(INDEX(ALLCLASSDATA,MATCH("FortitudeSaveTrained",CLASSFEATUREHEADERS,0),MATCH(($A868 &amp; "Points"),CLASSNAMEHEADERS,0))),"")))))))))}</f>
        <v>FORTITUDEL17</v>
      </c>
      <c r="X867" s="230"/>
      <c r="Y867" s="230" t="str">
        <f t="array" ref="Y867:Y868">{"FORTITUDEL19";((IF("19"=(INDEX(ALLCLASSDATA,MATCH("FortitudeSaveLegendary",CLASSFEATUREHEADERS,0),MATCH($A868,CLASSNAMEHEADERS,0))),(INDEX(ALLCLASSDATA,MATCH("FortitudeSaveLegendary",CLASSFEATUREHEADERS,0),MATCH(($A868 &amp; "Points"),CLASSNAMEHEADERS,0))),(IF("19"=(INDEX(ALLCLASSDATA,MATCH("FortitudeSaveMaster",CLASSFEATUREHEADERS,0),MATCH($A868,CLASSNAMEHEADERS,0))),(INDEX(ALLCLASSDATA,MATCH("FortitudeSaveMaster",CLASSFEATUREHEADERS,0),MATCH(($A868 &amp; "Points"),CLASSNAMEHEADERS,0))),(IF("19"=(INDEX(ALLCLASSDATA,MATCH("FortitudeSaveExpert",CLASSFEATUREHEADERS,0),MATCH($A868,CLASSNAMEHEADERS,0))),(INDEX(ALLCLASSDATA,MATCH("FortitudeSaveExpert",CLASSFEATUREHEADERS,0),MATCH(($A868 &amp; "Points"),CLASSNAMEHEADERS,0))),(IF("19"=(INDEX(ALLCLASSDATA,MATCH("FortitudeSaveTrained",CLASSFEATUREHEADERS,0),MATCH($A868,CLASSNAMEHEADERS,0))),(INDEX(ALLCLASSDATA,MATCH("FortitudeSaveTrained",CLASSFEATUREHEADERS,0),MATCH(($A868 &amp; "Points"),CLASSNAMEHEADERS,0))),"")))))))))}</f>
        <v>FORTITUDEL19</v>
      </c>
      <c r="Z867" s="230"/>
      <c r="AA867" s="76" t="str">
        <f t="array" ref="AA867:AA868">{"FORTITUDE TOTAL";(IF(COUNTBLANK(F868:Z868)=17,"L",(IF(COUNTBLANK(F868:Z868)=18,"M",(IF(COUNTBLANK(F868:Z868)=19,"E",(IF(COUNTBLANK(F868:Z868)=20,"T",""))))))))}</f>
        <v>FORTITUDE TOTAL</v>
      </c>
      <c r="AB867" s="76" t="str">
        <f t="array" ref="AB867:AB868">{"FORTITUDE TOTAL";(sum(F868:Z868))}</f>
        <v>FORTITUDE TOTAL</v>
      </c>
    </row>
    <row r="868">
      <c r="A868" s="48" t="s">
        <v>227</v>
      </c>
      <c r="B868" s="48" t="s">
        <v>418</v>
      </c>
      <c r="C868" s="48" t="s">
        <v>1549</v>
      </c>
      <c r="D868" s="48" t="s">
        <v>1550</v>
      </c>
      <c r="E868" s="5" t="s">
        <v>435</v>
      </c>
      <c r="F868" s="47" t="s">
        <v>603</v>
      </c>
      <c r="G868" s="5">
        <v>10.0</v>
      </c>
      <c r="H868" s="5"/>
      <c r="I868" s="5" t="s">
        <v>603</v>
      </c>
      <c r="J868" s="5"/>
      <c r="K868" s="5" t="s">
        <v>603</v>
      </c>
      <c r="L868" s="5"/>
      <c r="M868" s="5" t="s">
        <v>603</v>
      </c>
      <c r="N868" s="5"/>
      <c r="O868" s="5">
        <v>50.0</v>
      </c>
      <c r="P868" s="5"/>
      <c r="Q868" s="5" t="s">
        <v>603</v>
      </c>
      <c r="R868" s="5"/>
      <c r="S868" s="5" t="s">
        <v>603</v>
      </c>
      <c r="T868" s="5"/>
      <c r="U868" s="5" t="s">
        <v>603</v>
      </c>
      <c r="V868" s="5"/>
      <c r="W868" s="5" t="s">
        <v>603</v>
      </c>
      <c r="X868" s="5"/>
      <c r="Y868" s="5" t="s">
        <v>603</v>
      </c>
      <c r="Z868" s="5"/>
      <c r="AA868" s="5" t="s">
        <v>436</v>
      </c>
      <c r="AB868" s="47">
        <v>60.0</v>
      </c>
    </row>
    <row r="869" hidden="1">
      <c r="A869" s="222" t="str">
        <f t="array" ref="A869:A870">{"FormulaRow24";(INDEX(CLASSLIST,A822,1))}</f>
        <v>FormulaRow24</v>
      </c>
      <c r="B869" s="222" t="str">
        <f t="array" ref="B869:B870">{"CLASSTYPE";((INDEX(ALLCLASSDATA,MATCH("ClassType",CLASSFEATUREHEADERS,0),MATCH($A870,CLASSNAMEHEADERS,0))))}</f>
        <v>CLASSTYPE</v>
      </c>
      <c r="C869" s="222" t="str">
        <f t="array" ref="C869:C870">{"SAVES";"Saves"}</f>
        <v>SAVES</v>
      </c>
      <c r="D869" s="222" t="str">
        <f t="array" ref="D869:D870">{"REFLEXSAVE";"ReflexSave"}</f>
        <v>REFLEXSAVE</v>
      </c>
      <c r="E869" s="223" t="str">
        <f t="array" ref="E869:E870">{"REFLEXINITIAL";((IF(G870=10,"T",(IF(G870=50,"E","")))))}</f>
        <v>REFLEXINITIAL</v>
      </c>
      <c r="F869" s="223" t="str">
        <f t="array" ref="F869:F870">{"REFLEXINITIALPTS";((IF("00"=(INDEX(ALLCLASSDATA,MATCH("ReflexSaveLegendary",CLASSFEATUREHEADERS,0),MATCH($A870,CLASSNAMEHEADERS,0))),(INDEX(ALLCLASSDATA,MATCH("ReflexSaveLegendary",CLASSFEATUREHEADERS,0),MATCH(($A870 &amp; "Points"),CLASSNAMEHEADERS,0))),(IF("00"=(INDEX(ALLCLASSDATA,MATCH("ReflexSaveMaster",CLASSFEATUREHEADERS,0),MATCH($A870,CLASSNAMEHEADERS,0))),(INDEX(ALLCLASSDATA,MATCH("ReflexSaveMaster",CLASSFEATUREHEADERS,0),MATCH(($A870 &amp; "Points"),CLASSNAMEHEADERS,0))),(IF("00"=(INDEX(ALLCLASSDATA,MATCH("ReflexSaveExpert",CLASSFEATUREHEADERS,0),MATCH($A870,CLASSNAMEHEADERS,0))),(INDEX(ALLCLASSDATA,MATCH("ReflexSaveExpert",CLASSFEATUREHEADERS,0),MATCH(($A870 &amp; "Points"),CLASSNAMEHEADERS,0))),(IF("00"=(INDEX(ALLCLASSDATA,MATCH("ReflexSaveTrained",CLASSFEATUREHEADERS,0),MATCH($A870,CLASSNAMEHEADERS,0))),(INDEX(ALLCLASSDATA,MATCH("ReflexSaveTrained",CLASSFEATUREHEADERS,0),MATCH(($A870 &amp; "Points"),CLASSNAMEHEADERS,0))),"")))))))))}</f>
        <v>REFLEXINITIALPTS</v>
      </c>
      <c r="G869" s="223" t="str">
        <f t="array" ref="G869:G870">{"REFLEXL01";((IF("01"=(INDEX(ALLCLASSDATA,MATCH("ReflexSaveLegendary",CLASSFEATUREHEADERS,0),MATCH($A870,CLASSNAMEHEADERS,0))),(INDEX(ALLCLASSDATA,MATCH("ReflexSaveLegendary",CLASSFEATUREHEADERS,0),MATCH(($A870 &amp; "Points"),CLASSNAMEHEADERS,0))),(IF("01"=(INDEX(ALLCLASSDATA,MATCH("ReflexSaveMaster",CLASSFEATUREHEADERS,0),MATCH($A870,CLASSNAMEHEADERS,0))),(INDEX(ALLCLASSDATA,MATCH("ReflexSaveMaster",CLASSFEATUREHEADERS,0),MATCH(($A870 &amp; "Points"),CLASSNAMEHEADERS,0))),(IF("01"=(INDEX(ALLCLASSDATA,MATCH("ReflexSaveExpert",CLASSFEATUREHEADERS,0),MATCH($A870,CLASSNAMEHEADERS,0))),(INDEX(ALLCLASSDATA,MATCH("ReflexSaveExpert",CLASSFEATUREHEADERS,0),MATCH(($A870 &amp; "Points"),CLASSNAMEHEADERS,0))),(IF("01"=(INDEX(ALLCLASSDATA,MATCH("ReflexSaveTrained",CLASSFEATUREHEADERS,0),MATCH($A870,CLASSNAMEHEADERS,0))),(INDEX(ALLCLASSDATA,MATCH("ReflexSaveTrained",CLASSFEATUREHEADERS,0),MATCH(($A870 &amp; "Points"),CLASSNAMEHEADERS,0))),"")))))))))}</f>
        <v>REFLEXL01</v>
      </c>
      <c r="H869" s="223"/>
      <c r="I869" s="223" t="str">
        <f t="array" ref="I869:I870">{"REFLEXL03";((IF("03"=(INDEX(ALLCLASSDATA,MATCH("ReflexSaveLegendary",CLASSFEATUREHEADERS,0),MATCH($A870,CLASSNAMEHEADERS,0))),(INDEX(ALLCLASSDATA,MATCH("ReflexSaveLegendary",CLASSFEATUREHEADERS,0),MATCH(($A870 &amp; "Points"),CLASSNAMEHEADERS,0))),(IF("03"=(INDEX(ALLCLASSDATA,MATCH("ReflexSaveMaster",CLASSFEATUREHEADERS,0),MATCH($A870,CLASSNAMEHEADERS,0))),(INDEX(ALLCLASSDATA,MATCH("ReflexSaveMaster",CLASSFEATUREHEADERS,0),MATCH(($A870 &amp; "Points"),CLASSNAMEHEADERS,0))),(IF("03"=(INDEX(ALLCLASSDATA,MATCH("ReflexSaveExpert",CLASSFEATUREHEADERS,0),MATCH($A870,CLASSNAMEHEADERS,0))),(INDEX(ALLCLASSDATA,MATCH("ReflexSaveExpert",CLASSFEATUREHEADERS,0),MATCH(($A870 &amp; "Points"),CLASSNAMEHEADERS,0))),(IF("03"=(INDEX(ALLCLASSDATA,MATCH("ReflexSaveTrained",CLASSFEATUREHEADERS,0),MATCH($A870,CLASSNAMEHEADERS,0))),(INDEX(ALLCLASSDATA,MATCH("ReflexSaveTrained",CLASSFEATUREHEADERS,0),MATCH(($A870 &amp; "Points"),CLASSNAMEHEADERS,0))),"")))))))))}</f>
        <v>REFLEXL03</v>
      </c>
      <c r="J869" s="223"/>
      <c r="K869" s="223" t="str">
        <f t="array" ref="K869:K870">{"REFLEXL05";((IF("05"=(INDEX(ALLCLASSDATA,MATCH("ReflexSaveLegendary",CLASSFEATUREHEADERS,0),MATCH($A870,CLASSNAMEHEADERS,0))),(INDEX(ALLCLASSDATA,MATCH("ReflexSaveLegendary",CLASSFEATUREHEADERS,0),MATCH(($A870 &amp; "Points"),CLASSNAMEHEADERS,0))),(IF("05"=(INDEX(ALLCLASSDATA,MATCH("ReflexSaveMaster",CLASSFEATUREHEADERS,0),MATCH($A870,CLASSNAMEHEADERS,0))),(INDEX(ALLCLASSDATA,MATCH("ReflexSaveMaster",CLASSFEATUREHEADERS,0),MATCH(($A870 &amp; "Points"),CLASSNAMEHEADERS,0))),(IF("05"=(INDEX(ALLCLASSDATA,MATCH("ReflexSaveExpert",CLASSFEATUREHEADERS,0),MATCH($A870,CLASSNAMEHEADERS,0))),(INDEX(ALLCLASSDATA,MATCH("ReflexSaveExpert",CLASSFEATUREHEADERS,0),MATCH(($A870 &amp; "Points"),CLASSNAMEHEADERS,0))),(IF("05"=(INDEX(ALLCLASSDATA,MATCH("ReflexSaveTrained",CLASSFEATUREHEADERS,0),MATCH($A870,CLASSNAMEHEADERS,0))),(INDEX(ALLCLASSDATA,MATCH("ReflexSaveTrained",CLASSFEATUREHEADERS,0),MATCH(($A870 &amp; "Points"),CLASSNAMEHEADERS,0))),"")))))))))}</f>
        <v>REFLEXL05</v>
      </c>
      <c r="L869" s="223"/>
      <c r="M869" s="223" t="str">
        <f t="array" ref="M869:M870">{"REFLEXL07";((IF("07"=(INDEX(ALLCLASSDATA,MATCH("ReflexSaveLegendary",CLASSFEATUREHEADERS,0),MATCH($A870,CLASSNAMEHEADERS,0))),(INDEX(ALLCLASSDATA,MATCH("ReflexSaveLegendary",CLASSFEATUREHEADERS,0),MATCH(($A870 &amp; "Points"),CLASSNAMEHEADERS,0))),(IF("07"=(INDEX(ALLCLASSDATA,MATCH("ReflexSaveMaster",CLASSFEATUREHEADERS,0),MATCH($A870,CLASSNAMEHEADERS,0))),(INDEX(ALLCLASSDATA,MATCH("ReflexSaveMaster",CLASSFEATUREHEADERS,0),MATCH(($A870 &amp; "Points"),CLASSNAMEHEADERS,0))),(IF("07"=(INDEX(ALLCLASSDATA,MATCH("ReflexSaveExpert",CLASSFEATUREHEADERS,0),MATCH($A870,CLASSNAMEHEADERS,0))),(INDEX(ALLCLASSDATA,MATCH("ReflexSaveExpert",CLASSFEATUREHEADERS,0),MATCH(($A870 &amp; "Points"),CLASSNAMEHEADERS,0))),(IF("07"=(INDEX(ALLCLASSDATA,MATCH("ReflexSaveTrained",CLASSFEATUREHEADERS,0),MATCH($A870,CLASSNAMEHEADERS,0))),(INDEX(ALLCLASSDATA,MATCH("ReflexSaveTrained",CLASSFEATUREHEADERS,0),MATCH(($A870 &amp; "Points"),CLASSNAMEHEADERS,0))),"")))))))))}</f>
        <v>REFLEXL07</v>
      </c>
      <c r="N869" s="223"/>
      <c r="O869" s="223" t="str">
        <f t="array" ref="O869:O870">{"REFLEXL09";((IF("09"=(INDEX(ALLCLASSDATA,MATCH("ReflexSaveLegendary",CLASSFEATUREHEADERS,0),MATCH($A870,CLASSNAMEHEADERS,0))),(INDEX(ALLCLASSDATA,MATCH("ReflexSaveLegendary",CLASSFEATUREHEADERS,0),MATCH(($A870 &amp; "Points"),CLASSNAMEHEADERS,0))),(IF("09"=(INDEX(ALLCLASSDATA,MATCH("ReflexSaveMaster",CLASSFEATUREHEADERS,0),MATCH($A870,CLASSNAMEHEADERS,0))),(INDEX(ALLCLASSDATA,MATCH("ReflexSaveMaster",CLASSFEATUREHEADERS,0),MATCH(($A870 &amp; "Points"),CLASSNAMEHEADERS,0))),(IF("09"=(INDEX(ALLCLASSDATA,MATCH("ReflexSaveExpert",CLASSFEATUREHEADERS,0),MATCH($A870,CLASSNAMEHEADERS,0))),(INDEX(ALLCLASSDATA,MATCH("ReflexSaveExpert",CLASSFEATUREHEADERS,0),MATCH(($A870 &amp; "Points"),CLASSNAMEHEADERS,0))),(IF("09"=(INDEX(ALLCLASSDATA,MATCH("ReflexSaveTrained",CLASSFEATUREHEADERS,0),MATCH($A870,CLASSNAMEHEADERS,0))),(INDEX(ALLCLASSDATA,MATCH("ReflexSaveTrained",CLASSFEATUREHEADERS,0),MATCH(($A870 &amp; "Points"),CLASSNAMEHEADERS,0))),"")))))))))}</f>
        <v>REFLEXL09</v>
      </c>
      <c r="P869" s="223"/>
      <c r="Q869" s="223" t="str">
        <f t="array" ref="Q869:Q870">{"REFLEXL11";((IF("11"=(INDEX(ALLCLASSDATA,MATCH("ReflexSaveLegendary",CLASSFEATUREHEADERS,0),MATCH($A870,CLASSNAMEHEADERS,0))),(INDEX(ALLCLASSDATA,MATCH("ReflexSaveLegendary",CLASSFEATUREHEADERS,0),MATCH(($A870 &amp; "Points"),CLASSNAMEHEADERS,0))),(IF("11"=(INDEX(ALLCLASSDATA,MATCH("ReflexSaveMaster",CLASSFEATUREHEADERS,0),MATCH($A870,CLASSNAMEHEADERS,0))),(INDEX(ALLCLASSDATA,MATCH("ReflexSaveMaster",CLASSFEATUREHEADERS,0),MATCH(($A870 &amp; "Points"),CLASSNAMEHEADERS,0))),(IF("11"=(INDEX(ALLCLASSDATA,MATCH("ReflexSaveExpert",CLASSFEATUREHEADERS,0),MATCH($A870,CLASSNAMEHEADERS,0))),(INDEX(ALLCLASSDATA,MATCH("ReflexSaveExpert",CLASSFEATUREHEADERS,0),MATCH(($A870 &amp; "Points"),CLASSNAMEHEADERS,0))),(IF("11"=(INDEX(ALLCLASSDATA,MATCH("ReflexSaveTrained",CLASSFEATUREHEADERS,0),MATCH($A870,CLASSNAMEHEADERS,0))),(INDEX(ALLCLASSDATA,MATCH("ReflexSaveTrained",CLASSFEATUREHEADERS,0),MATCH(($A870 &amp; "Points"),CLASSNAMEHEADERS,0))),"")))))))))}</f>
        <v>REFLEXL11</v>
      </c>
      <c r="R869" s="223"/>
      <c r="S869" s="223" t="str">
        <f t="array" ref="S869:S870">{"REFLEXL13";((IF("13"=(INDEX(ALLCLASSDATA,MATCH("ReflexSaveLegendary",CLASSFEATUREHEADERS,0),MATCH($A870,CLASSNAMEHEADERS,0))),(INDEX(ALLCLASSDATA,MATCH("ReflexSaveLegendary",CLASSFEATUREHEADERS,0),MATCH(($A870 &amp; "Points"),CLASSNAMEHEADERS,0))),(IF("13"=(INDEX(ALLCLASSDATA,MATCH("ReflexSaveMaster",CLASSFEATUREHEADERS,0),MATCH($A870,CLASSNAMEHEADERS,0))),(INDEX(ALLCLASSDATA,MATCH("ReflexSaveMaster",CLASSFEATUREHEADERS,0),MATCH(($A870 &amp; "Points"),CLASSNAMEHEADERS,0))),(IF("13"=(INDEX(ALLCLASSDATA,MATCH("ReflexSaveExpert",CLASSFEATUREHEADERS,0),MATCH($A870,CLASSNAMEHEADERS,0))),(INDEX(ALLCLASSDATA,MATCH("ReflexSaveExpert",CLASSFEATUREHEADERS,0),MATCH(($A870 &amp; "Points"),CLASSNAMEHEADERS,0))),(IF("13"=(INDEX(ALLCLASSDATA,MATCH("ReflexSaveTrained",CLASSFEATUREHEADERS,0),MATCH($A870,CLASSNAMEHEADERS,0))),(INDEX(ALLCLASSDATA,MATCH("ReflexSaveTrained",CLASSFEATUREHEADERS,0),MATCH(($A870 &amp; "Points"),CLASSNAMEHEADERS,0))),"")))))))))}</f>
        <v>REFLEXL13</v>
      </c>
      <c r="T869" s="223"/>
      <c r="U869" s="223" t="str">
        <f t="array" ref="U869:U870">{"REFLEXL15";((IF("15"=(INDEX(ALLCLASSDATA,MATCH("ReflexSaveLegendary",CLASSFEATUREHEADERS,0),MATCH($A870,CLASSNAMEHEADERS,0))),(INDEX(ALLCLASSDATA,MATCH("ReflexSaveLegendary",CLASSFEATUREHEADERS,0),MATCH(($A870 &amp; "Points"),CLASSNAMEHEADERS,0))),(IF("15"=(INDEX(ALLCLASSDATA,MATCH("ReflexSaveMaster",CLASSFEATUREHEADERS,0),MATCH($A870,CLASSNAMEHEADERS,0))),(INDEX(ALLCLASSDATA,MATCH("ReflexSaveMaster",CLASSFEATUREHEADERS,0),MATCH(($A870 &amp; "Points"),CLASSNAMEHEADERS,0))),(IF("15"=(INDEX(ALLCLASSDATA,MATCH("ReflexSaveExpert",CLASSFEATUREHEADERS,0),MATCH($A870,CLASSNAMEHEADERS,0))),(INDEX(ALLCLASSDATA,MATCH("ReflexSaveExpert",CLASSFEATUREHEADERS,0),MATCH(($A870 &amp; "Points"),CLASSNAMEHEADERS,0))),(IF("15"=(INDEX(ALLCLASSDATA,MATCH("ReflexSaveTrained",CLASSFEATUREHEADERS,0),MATCH($A870,CLASSNAMEHEADERS,0))),(INDEX(ALLCLASSDATA,MATCH("ReflexSaveTrained",CLASSFEATUREHEADERS,0),MATCH(($A870 &amp; "Points"),CLASSNAMEHEADERS,0))),"")))))))))}</f>
        <v>REFLEXL15</v>
      </c>
      <c r="V869" s="223"/>
      <c r="W869" s="223" t="str">
        <f t="array" ref="W869:W870">{"REFLEXL17";((IF("17"=(INDEX(ALLCLASSDATA,MATCH("ReflexSaveLegendary",CLASSFEATUREHEADERS,0),MATCH($A870,CLASSNAMEHEADERS,0))),(INDEX(ALLCLASSDATA,MATCH("ReflexSaveLegendary",CLASSFEATUREHEADERS,0),MATCH(($A870 &amp; "Points"),CLASSNAMEHEADERS,0))),(IF("17"=(INDEX(ALLCLASSDATA,MATCH("ReflexSaveMaster",CLASSFEATUREHEADERS,0),MATCH($A870,CLASSNAMEHEADERS,0))),(INDEX(ALLCLASSDATA,MATCH("ReflexSaveMaster",CLASSFEATUREHEADERS,0),MATCH(($A870 &amp; "Points"),CLASSNAMEHEADERS,0))),(IF("17"=(INDEX(ALLCLASSDATA,MATCH("ReflexSaveExpert",CLASSFEATUREHEADERS,0),MATCH($A870,CLASSNAMEHEADERS,0))),(INDEX(ALLCLASSDATA,MATCH("ReflexSaveExpert",CLASSFEATUREHEADERS,0),MATCH(($A870 &amp; "Points"),CLASSNAMEHEADERS,0))),(IF("17"=(INDEX(ALLCLASSDATA,MATCH("ReflexSaveTrained",CLASSFEATUREHEADERS,0),MATCH($A870,CLASSNAMEHEADERS,0))),(INDEX(ALLCLASSDATA,MATCH("ReflexSaveTrained",CLASSFEATUREHEADERS,0),MATCH(($A870 &amp; "Points"),CLASSNAMEHEADERS,0))),"")))))))))}</f>
        <v>REFLEXL17</v>
      </c>
      <c r="X869" s="223"/>
      <c r="Y869" s="223" t="str">
        <f t="array" ref="Y869:Y870">{"REFLEXL19";((IF("19"=(INDEX(ALLCLASSDATA,MATCH("ReflexSaveLegendary",CLASSFEATUREHEADERS,0),MATCH($A870,CLASSNAMEHEADERS,0))),(INDEX(ALLCLASSDATA,MATCH("ReflexSaveLegendary",CLASSFEATUREHEADERS,0),MATCH(($A870 &amp; "Points"),CLASSNAMEHEADERS,0))),(IF("19"=(INDEX(ALLCLASSDATA,MATCH("ReflexSaveMaster",CLASSFEATUREHEADERS,0),MATCH($A870,CLASSNAMEHEADERS,0))),(INDEX(ALLCLASSDATA,MATCH("ReflexSaveMaster",CLASSFEATUREHEADERS,0),MATCH(($A870 &amp; "Points"),CLASSNAMEHEADERS,0))),(IF("19"=(INDEX(ALLCLASSDATA,MATCH("ReflexSaveExpert",CLASSFEATUREHEADERS,0),MATCH($A870,CLASSNAMEHEADERS,0))),(INDEX(ALLCLASSDATA,MATCH("ReflexSaveExpert",CLASSFEATUREHEADERS,0),MATCH(($A870 &amp; "Points"),CLASSNAMEHEADERS,0))),(IF("19"=(INDEX(ALLCLASSDATA,MATCH("ReflexSaveTrained",CLASSFEATUREHEADERS,0),MATCH($A870,CLASSNAMEHEADERS,0))),(INDEX(ALLCLASSDATA,MATCH("ReflexSaveTrained",CLASSFEATUREHEADERS,0),MATCH(($A870 &amp; "Points"),CLASSNAMEHEADERS,0))),"")))))))))}</f>
        <v>REFLEXL19</v>
      </c>
      <c r="Z869" s="223"/>
      <c r="AA869" s="76" t="str">
        <f t="array" ref="AA869:AA870">{"REFLEX TOTAL";(IF(COUNTBLANK(F870:Z870)=17,"L",(IF(COUNTBLANK(F870:Z870)=18,"M",(IF(COUNTBLANK(F870:Z870)=19,"E",(IF(COUNTBLANK(F870:Z870)=20,"T",""))))))))}</f>
        <v>REFLEX TOTAL</v>
      </c>
      <c r="AB869" s="76" t="str">
        <f t="array" ref="AB869:AB870">{"REFLEX TOTAL";(sum(F870:Z870))}</f>
        <v>REFLEX TOTAL</v>
      </c>
    </row>
    <row r="870">
      <c r="A870" s="48" t="s">
        <v>227</v>
      </c>
      <c r="B870" s="48" t="s">
        <v>418</v>
      </c>
      <c r="C870" s="48" t="s">
        <v>1549</v>
      </c>
      <c r="D870" s="48" t="s">
        <v>1572</v>
      </c>
      <c r="E870" s="5" t="s">
        <v>435</v>
      </c>
      <c r="F870" s="47" t="s">
        <v>603</v>
      </c>
      <c r="G870" s="5">
        <v>10.0</v>
      </c>
      <c r="H870" s="5"/>
      <c r="I870" s="5" t="s">
        <v>603</v>
      </c>
      <c r="J870" s="5"/>
      <c r="K870" s="5">
        <v>50.0</v>
      </c>
      <c r="L870" s="5"/>
      <c r="M870" s="5" t="s">
        <v>603</v>
      </c>
      <c r="N870" s="5"/>
      <c r="O870" s="5" t="s">
        <v>603</v>
      </c>
      <c r="P870" s="5"/>
      <c r="Q870" s="5" t="s">
        <v>603</v>
      </c>
      <c r="R870" s="5"/>
      <c r="S870" s="5" t="s">
        <v>603</v>
      </c>
      <c r="T870" s="5"/>
      <c r="U870" s="5" t="s">
        <v>603</v>
      </c>
      <c r="V870" s="5"/>
      <c r="W870" s="5" t="s">
        <v>603</v>
      </c>
      <c r="X870" s="5"/>
      <c r="Y870" s="5" t="s">
        <v>603</v>
      </c>
      <c r="Z870" s="5"/>
      <c r="AA870" s="5" t="s">
        <v>436</v>
      </c>
      <c r="AB870" s="47">
        <v>60.0</v>
      </c>
    </row>
    <row r="871" hidden="1">
      <c r="A871" s="222" t="str">
        <f t="array" ref="A871:A872">{"FormulaRow25";(INDEX(CLASSLIST,A822,1))}</f>
        <v>FormulaRow25</v>
      </c>
      <c r="B871" s="222" t="str">
        <f t="array" ref="B871:B872">{"CLASSTYPE";((INDEX(ALLCLASSDATA,MATCH("ClassType",CLASSFEATUREHEADERS,0),MATCH($A872,CLASSNAMEHEADERS,0))))}</f>
        <v>CLASSTYPE</v>
      </c>
      <c r="C871" s="222" t="str">
        <f t="array" ref="C871:C872">{"SAVES";"Saves"}</f>
        <v>SAVES</v>
      </c>
      <c r="D871" s="222" t="str">
        <f t="array" ref="D871:D872">{"WILLSAVE";"WillSave"}</f>
        <v>WILLSAVE</v>
      </c>
      <c r="E871" s="223" t="str">
        <f t="array" ref="E871:E872">{"WILLINITIAL";((IF(G872=10,"T",(IF(G872=50,"E","")))))}</f>
        <v>WILLINITIAL</v>
      </c>
      <c r="F871" s="223" t="str">
        <f t="array" ref="F871:F872">{"WILLINITIALPTS";((IF("00"=(INDEX(ALLCLASSDATA,MATCH("WillSaveLegendary",CLASSFEATUREHEADERS,0),MATCH($A872,CLASSNAMEHEADERS,0))),(INDEX(ALLCLASSDATA,MATCH("WillSaveLegendary",CLASSFEATUREHEADERS,0),MATCH(($A872 &amp; "Points"),CLASSNAMEHEADERS,0))),(IF("00"=(INDEX(ALLCLASSDATA,MATCH("WillSaveMaster",CLASSFEATUREHEADERS,0),MATCH($A872,CLASSNAMEHEADERS,0))),(INDEX(ALLCLASSDATA,MATCH("WillSaveMaster",CLASSFEATUREHEADERS,0),MATCH(($A872 &amp; "Points"),CLASSNAMEHEADERS,0))),(IF("00"=(INDEX(ALLCLASSDATA,MATCH("WillSaveExpert",CLASSFEATUREHEADERS,0),MATCH($A872,CLASSNAMEHEADERS,0))),(INDEX(ALLCLASSDATA,MATCH("WillSaveExpert",CLASSFEATUREHEADERS,0),MATCH(($A872 &amp; "Points"),CLASSNAMEHEADERS,0))),(IF("00"=(INDEX(ALLCLASSDATA,MATCH("WillSaveTrained",CLASSFEATUREHEADERS,0),MATCH($A872,CLASSNAMEHEADERS,0))),(INDEX(ALLCLASSDATA,MATCH("WillSaveTrained",CLASSFEATUREHEADERS,0),MATCH(($A872 &amp; "Points"),CLASSNAMEHEADERS,0))),"")))))))))}</f>
        <v>WILLINITIALPTS</v>
      </c>
      <c r="G871" s="223" t="str">
        <f t="array" ref="G871:G872">{"WILLL01";((IF("01"=(INDEX(ALLCLASSDATA,MATCH("WillSaveLegendary",CLASSFEATUREHEADERS,0),MATCH($A872,CLASSNAMEHEADERS,0))),(INDEX(ALLCLASSDATA,MATCH("WillSaveLegendary",CLASSFEATUREHEADERS,0),MATCH(($A872 &amp; "Points"),CLASSNAMEHEADERS,0))),(IF("01"=(INDEX(ALLCLASSDATA,MATCH("WillSaveMaster",CLASSFEATUREHEADERS,0),MATCH($A872,CLASSNAMEHEADERS,0))),(INDEX(ALLCLASSDATA,MATCH("WillSaveMaster",CLASSFEATUREHEADERS,0),MATCH(($A872 &amp; "Points"),CLASSNAMEHEADERS,0))),(IF("01"=(INDEX(ALLCLASSDATA,MATCH("WillSaveExpert",CLASSFEATUREHEADERS,0),MATCH($A872,CLASSNAMEHEADERS,0))),(INDEX(ALLCLASSDATA,MATCH("WillSaveExpert",CLASSFEATUREHEADERS,0),MATCH(($A872 &amp; "Points"),CLASSNAMEHEADERS,0))),(IF("01"=(INDEX(ALLCLASSDATA,MATCH("WillSaveTrained",CLASSFEATUREHEADERS,0),MATCH($A872,CLASSNAMEHEADERS,0))),(INDEX(ALLCLASSDATA,MATCH("WillSaveTrained",CLASSFEATUREHEADERS,0),MATCH(($A872 &amp; "Points"),CLASSNAMEHEADERS,0))),"")))))))))}</f>
        <v>WILLL01</v>
      </c>
      <c r="H871" s="223"/>
      <c r="I871" s="223" t="str">
        <f t="array" ref="I871:I872">{"WILLL03";((IF("03"=(INDEX(ALLCLASSDATA,MATCH("WillSaveLegendary",CLASSFEATUREHEADERS,0),MATCH($A872,CLASSNAMEHEADERS,0))),(INDEX(ALLCLASSDATA,MATCH("WillSaveLegendary",CLASSFEATUREHEADERS,0),MATCH(($A872 &amp; "Points"),CLASSNAMEHEADERS,0))),(IF("03"=(INDEX(ALLCLASSDATA,MATCH("WillSaveMaster",CLASSFEATUREHEADERS,0),MATCH($A872,CLASSNAMEHEADERS,0))),(INDEX(ALLCLASSDATA,MATCH("WillSaveMaster",CLASSFEATUREHEADERS,0),MATCH(($A872 &amp; "Points"),CLASSNAMEHEADERS,0))),(IF("03"=(INDEX(ALLCLASSDATA,MATCH("WillSaveExpert",CLASSFEATUREHEADERS,0),MATCH($A872,CLASSNAMEHEADERS,0))),(INDEX(ALLCLASSDATA,MATCH("WillSaveExpert",CLASSFEATUREHEADERS,0),MATCH(($A872 &amp; "Points"),CLASSNAMEHEADERS,0))),(IF("03"=(INDEX(ALLCLASSDATA,MATCH("WillSaveTrained",CLASSFEATUREHEADERS,0),MATCH($A872,CLASSNAMEHEADERS,0))),(INDEX(ALLCLASSDATA,MATCH("WillSaveTrained",CLASSFEATUREHEADERS,0),MATCH(($A872 &amp; "Points"),CLASSNAMEHEADERS,0))),"")))))))))}</f>
        <v>WILLL03</v>
      </c>
      <c r="J871" s="223"/>
      <c r="K871" s="223" t="str">
        <f t="array" ref="K871:K872">{"WILLL05";((IF("05"=(INDEX(ALLCLASSDATA,MATCH("WillSaveLegendary",CLASSFEATUREHEADERS,0),MATCH($A872,CLASSNAMEHEADERS,0))),(INDEX(ALLCLASSDATA,MATCH("WillSaveLegendary",CLASSFEATUREHEADERS,0),MATCH(($A872 &amp; "Points"),CLASSNAMEHEADERS,0))),(IF("05"=(INDEX(ALLCLASSDATA,MATCH("WillSaveMaster",CLASSFEATUREHEADERS,0),MATCH($A872,CLASSNAMEHEADERS,0))),(INDEX(ALLCLASSDATA,MATCH("WillSaveMaster",CLASSFEATUREHEADERS,0),MATCH(($A872 &amp; "Points"),CLASSNAMEHEADERS,0))),(IF("05"=(INDEX(ALLCLASSDATA,MATCH("WillSaveExpert",CLASSFEATUREHEADERS,0),MATCH($A872,CLASSNAMEHEADERS,0))),(INDEX(ALLCLASSDATA,MATCH("WillSaveExpert",CLASSFEATUREHEADERS,0),MATCH(($A872 &amp; "Points"),CLASSNAMEHEADERS,0))),(IF("05"=(INDEX(ALLCLASSDATA,MATCH("WillSaveTrained",CLASSFEATUREHEADERS,0),MATCH($A872,CLASSNAMEHEADERS,0))),(INDEX(ALLCLASSDATA,MATCH("WillSaveTrained",CLASSFEATUREHEADERS,0),MATCH(($A872 &amp; "Points"),CLASSNAMEHEADERS,0))),"")))))))))}</f>
        <v>WILLL05</v>
      </c>
      <c r="L871" s="223"/>
      <c r="M871" s="223" t="str">
        <f t="array" ref="M871:M872">{"WILLL07";((IF("07"=(INDEX(ALLCLASSDATA,MATCH("WillSaveLegendary",CLASSFEATUREHEADERS,0),MATCH($A872,CLASSNAMEHEADERS,0))),(INDEX(ALLCLASSDATA,MATCH("WillSaveLegendary",CLASSFEATUREHEADERS,0),MATCH(($A872 &amp; "Points"),CLASSNAMEHEADERS,0))),(IF("07"=(INDEX(ALLCLASSDATA,MATCH("WillSaveMaster",CLASSFEATUREHEADERS,0),MATCH($A872,CLASSNAMEHEADERS,0))),(INDEX(ALLCLASSDATA,MATCH("WillSaveMaster",CLASSFEATUREHEADERS,0),MATCH(($A872 &amp; "Points"),CLASSNAMEHEADERS,0))),(IF("07"=(INDEX(ALLCLASSDATA,MATCH("WillSaveExpert",CLASSFEATUREHEADERS,0),MATCH($A872,CLASSNAMEHEADERS,0))),(INDEX(ALLCLASSDATA,MATCH("WillSaveExpert",CLASSFEATUREHEADERS,0),MATCH(($A872 &amp; "Points"),CLASSNAMEHEADERS,0))),(IF("07"=(INDEX(ALLCLASSDATA,MATCH("WillSaveTrained",CLASSFEATUREHEADERS,0),MATCH($A872,CLASSNAMEHEADERS,0))),(INDEX(ALLCLASSDATA,MATCH("WillSaveTrained",CLASSFEATUREHEADERS,0),MATCH(($A872 &amp; "Points"),CLASSNAMEHEADERS,0))),"")))))))))}</f>
        <v>WILLL07</v>
      </c>
      <c r="N871" s="223"/>
      <c r="O871" s="223" t="str">
        <f t="array" ref="O871:O872">{"WILLL09";((IF("09"=(INDEX(ALLCLASSDATA,MATCH("WillSaveLegendary",CLASSFEATUREHEADERS,0),MATCH($A872,CLASSNAMEHEADERS,0))),(INDEX(ALLCLASSDATA,MATCH("WillSaveLegendary",CLASSFEATUREHEADERS,0),MATCH(($A872 &amp; "Points"),CLASSNAMEHEADERS,0))),(IF("09"=(INDEX(ALLCLASSDATA,MATCH("WillSaveMaster",CLASSFEATUREHEADERS,0),MATCH($A872,CLASSNAMEHEADERS,0))),(INDEX(ALLCLASSDATA,MATCH("WillSaveMaster",CLASSFEATUREHEADERS,0),MATCH(($A872 &amp; "Points"),CLASSNAMEHEADERS,0))),(IF("09"=(INDEX(ALLCLASSDATA,MATCH("WillSaveExpert",CLASSFEATUREHEADERS,0),MATCH($A872,CLASSNAMEHEADERS,0))),(INDEX(ALLCLASSDATA,MATCH("WillSaveExpert",CLASSFEATUREHEADERS,0),MATCH(($A872 &amp; "Points"),CLASSNAMEHEADERS,0))),(IF("09"=(INDEX(ALLCLASSDATA,MATCH("WillSaveTrained",CLASSFEATUREHEADERS,0),MATCH($A872,CLASSNAMEHEADERS,0))),(INDEX(ALLCLASSDATA,MATCH("WillSaveTrained",CLASSFEATUREHEADERS,0),MATCH(($A872 &amp; "Points"),CLASSNAMEHEADERS,0))),"")))))))))}</f>
        <v>WILLL09</v>
      </c>
      <c r="P871" s="223"/>
      <c r="Q871" s="223" t="str">
        <f t="array" ref="Q871:Q872">{"WILLL11";((IF("11"=(INDEX(ALLCLASSDATA,MATCH("WillSaveLegendary",CLASSFEATUREHEADERS,0),MATCH($A872,CLASSNAMEHEADERS,0))),(INDEX(ALLCLASSDATA,MATCH("WillSaveLegendary",CLASSFEATUREHEADERS,0),MATCH(($A872 &amp; "Points"),CLASSNAMEHEADERS,0))),(IF("11"=(INDEX(ALLCLASSDATA,MATCH("WillSaveMaster",CLASSFEATUREHEADERS,0),MATCH($A872,CLASSNAMEHEADERS,0))),(INDEX(ALLCLASSDATA,MATCH("WillSaveMaster",CLASSFEATUREHEADERS,0),MATCH(($A872 &amp; "Points"),CLASSNAMEHEADERS,0))),(IF("11"=(INDEX(ALLCLASSDATA,MATCH("WillSaveExpert",CLASSFEATUREHEADERS,0),MATCH($A872,CLASSNAMEHEADERS,0))),(INDEX(ALLCLASSDATA,MATCH("WillSaveExpert",CLASSFEATUREHEADERS,0),MATCH(($A872 &amp; "Points"),CLASSNAMEHEADERS,0))),(IF("11"=(INDEX(ALLCLASSDATA,MATCH("WillSaveTrained",CLASSFEATUREHEADERS,0),MATCH($A872,CLASSNAMEHEADERS,0))),(INDEX(ALLCLASSDATA,MATCH("WillSaveTrained",CLASSFEATUREHEADERS,0),MATCH(($A872 &amp; "Points"),CLASSNAMEHEADERS,0))),"")))))))))}</f>
        <v>WILLL11</v>
      </c>
      <c r="R871" s="223"/>
      <c r="S871" s="223" t="str">
        <f t="array" ref="S871:S872">{"WILLL13";((IF("13"=(INDEX(ALLCLASSDATA,MATCH("WillSaveLegendary",CLASSFEATUREHEADERS,0),MATCH($A872,CLASSNAMEHEADERS,0))),(INDEX(ALLCLASSDATA,MATCH("WillSaveLegendary",CLASSFEATUREHEADERS,0),MATCH(($A872 &amp; "Points"),CLASSNAMEHEADERS,0))),(IF("13"=(INDEX(ALLCLASSDATA,MATCH("WillSaveMaster",CLASSFEATUREHEADERS,0),MATCH($A872,CLASSNAMEHEADERS,0))),(INDEX(ALLCLASSDATA,MATCH("WillSaveMaster",CLASSFEATUREHEADERS,0),MATCH(($A872 &amp; "Points"),CLASSNAMEHEADERS,0))),(IF("13"=(INDEX(ALLCLASSDATA,MATCH("WillSaveExpert",CLASSFEATUREHEADERS,0),MATCH($A872,CLASSNAMEHEADERS,0))),(INDEX(ALLCLASSDATA,MATCH("WillSaveExpert",CLASSFEATUREHEADERS,0),MATCH(($A872 &amp; "Points"),CLASSNAMEHEADERS,0))),(IF("13"=(INDEX(ALLCLASSDATA,MATCH("WillSaveTrained",CLASSFEATUREHEADERS,0),MATCH($A872,CLASSNAMEHEADERS,0))),(INDEX(ALLCLASSDATA,MATCH("WillSaveTrained",CLASSFEATUREHEADERS,0),MATCH(($A872 &amp; "Points"),CLASSNAMEHEADERS,0))),"")))))))))}</f>
        <v>WILLL13</v>
      </c>
      <c r="T871" s="223"/>
      <c r="U871" s="223" t="str">
        <f t="array" ref="U871:U872">{"WILLL15";((IF("15"=(INDEX(ALLCLASSDATA,MATCH("WillSaveLegendary",CLASSFEATUREHEADERS,0),MATCH($A872,CLASSNAMEHEADERS,0))),(INDEX(ALLCLASSDATA,MATCH("WillSaveLegendary",CLASSFEATUREHEADERS,0),MATCH(($A872 &amp; "Points"),CLASSNAMEHEADERS,0))),(IF("15"=(INDEX(ALLCLASSDATA,MATCH("WillSaveMaster",CLASSFEATUREHEADERS,0),MATCH($A872,CLASSNAMEHEADERS,0))),(INDEX(ALLCLASSDATA,MATCH("WillSaveMaster",CLASSFEATUREHEADERS,0),MATCH(($A872 &amp; "Points"),CLASSNAMEHEADERS,0))),(IF("15"=(INDEX(ALLCLASSDATA,MATCH("WillSaveExpert",CLASSFEATUREHEADERS,0),MATCH($A872,CLASSNAMEHEADERS,0))),(INDEX(ALLCLASSDATA,MATCH("WillSaveExpert",CLASSFEATUREHEADERS,0),MATCH(($A872 &amp; "Points"),CLASSNAMEHEADERS,0))),(IF("15"=(INDEX(ALLCLASSDATA,MATCH("WillSaveTrained",CLASSFEATUREHEADERS,0),MATCH($A872,CLASSNAMEHEADERS,0))),(INDEX(ALLCLASSDATA,MATCH("WillSaveTrained",CLASSFEATUREHEADERS,0),MATCH(($A872 &amp; "Points"),CLASSNAMEHEADERS,0))),"")))))))))}</f>
        <v>WILLL15</v>
      </c>
      <c r="V871" s="223"/>
      <c r="W871" s="223" t="str">
        <f t="array" ref="W871:W872">{"WILLL17";((IF("17"=(INDEX(ALLCLASSDATA,MATCH("WillSaveLegendary",CLASSFEATUREHEADERS,0),MATCH($A872,CLASSNAMEHEADERS,0))),(INDEX(ALLCLASSDATA,MATCH("WillSaveLegendary",CLASSFEATUREHEADERS,0),MATCH(($A872 &amp; "Points"),CLASSNAMEHEADERS,0))),(IF("17"=(INDEX(ALLCLASSDATA,MATCH("WillSaveMaster",CLASSFEATUREHEADERS,0),MATCH($A872,CLASSNAMEHEADERS,0))),(INDEX(ALLCLASSDATA,MATCH("WillSaveMaster",CLASSFEATUREHEADERS,0),MATCH(($A872 &amp; "Points"),CLASSNAMEHEADERS,0))),(IF("17"=(INDEX(ALLCLASSDATA,MATCH("WillSaveExpert",CLASSFEATUREHEADERS,0),MATCH($A872,CLASSNAMEHEADERS,0))),(INDEX(ALLCLASSDATA,MATCH("WillSaveExpert",CLASSFEATUREHEADERS,0),MATCH(($A872 &amp; "Points"),CLASSNAMEHEADERS,0))),(IF("17"=(INDEX(ALLCLASSDATA,MATCH("WillSaveTrained",CLASSFEATUREHEADERS,0),MATCH($A872,CLASSNAMEHEADERS,0))),(INDEX(ALLCLASSDATA,MATCH("WillSaveTrained",CLASSFEATUREHEADERS,0),MATCH(($A872 &amp; "Points"),CLASSNAMEHEADERS,0))),"")))))))))}</f>
        <v>WILLL17</v>
      </c>
      <c r="X871" s="223"/>
      <c r="Y871" s="223" t="str">
        <f t="array" ref="Y871:Y872">{"WILLL19";((IF("19"=(INDEX(ALLCLASSDATA,MATCH("WillSaveLegendary",CLASSFEATUREHEADERS,0),MATCH($A872,CLASSNAMEHEADERS,0))),(INDEX(ALLCLASSDATA,MATCH("WillSaveLegendary",CLASSFEATUREHEADERS,0),MATCH(($A872 &amp; "Points"),CLASSNAMEHEADERS,0))),(IF("19"=(INDEX(ALLCLASSDATA,MATCH("WillSaveMaster",CLASSFEATUREHEADERS,0),MATCH($A872,CLASSNAMEHEADERS,0))),(INDEX(ALLCLASSDATA,MATCH("WillSaveMaster",CLASSFEATUREHEADERS,0),MATCH(($A872 &amp; "Points"),CLASSNAMEHEADERS,0))),(IF("19"=(INDEX(ALLCLASSDATA,MATCH("WillSaveExpert",CLASSFEATUREHEADERS,0),MATCH($A872,CLASSNAMEHEADERS,0))),(INDEX(ALLCLASSDATA,MATCH("WillSaveExpert",CLASSFEATUREHEADERS,0),MATCH(($A872 &amp; "Points"),CLASSNAMEHEADERS,0))),(IF("19"=(INDEX(ALLCLASSDATA,MATCH("WillSaveTrained",CLASSFEATUREHEADERS,0),MATCH($A872,CLASSNAMEHEADERS,0))),(INDEX(ALLCLASSDATA,MATCH("WillSaveTrained",CLASSFEATUREHEADERS,0),MATCH(($A872 &amp; "Points"),CLASSNAMEHEADERS,0))),"")))))))))}</f>
        <v>WILLL19</v>
      </c>
      <c r="Z871" s="223"/>
      <c r="AA871" s="76" t="str">
        <f t="array" ref="AA871:AA872">{"WILL TOTAL";(IF(COUNTBLANK(F872:Z872)=17,"L",(IF(COUNTBLANK(F872:Z872)=18,"M",(IF(COUNTBLANK(F872:Z872)=19,"E",(IF(COUNTBLANK(F872:Z872)=20,"T",""))))))))}</f>
        <v>WILL TOTAL</v>
      </c>
      <c r="AB871" s="76" t="str">
        <f t="array" ref="AB871:AB872">{"WILL TOTAL";(sum(F872:Z872))}</f>
        <v>WILL TOTAL</v>
      </c>
    </row>
    <row r="872">
      <c r="A872" s="48" t="s">
        <v>227</v>
      </c>
      <c r="B872" s="48" t="s">
        <v>418</v>
      </c>
      <c r="C872" s="97" t="s">
        <v>1549</v>
      </c>
      <c r="D872" s="97" t="s">
        <v>1591</v>
      </c>
      <c r="E872" s="98" t="s">
        <v>436</v>
      </c>
      <c r="F872" s="132">
        <v>10.0</v>
      </c>
      <c r="G872" s="98">
        <v>50.0</v>
      </c>
      <c r="H872" s="98"/>
      <c r="I872" s="98" t="s">
        <v>603</v>
      </c>
      <c r="J872" s="98"/>
      <c r="K872" s="98" t="s">
        <v>603</v>
      </c>
      <c r="L872" s="97"/>
      <c r="M872" s="98" t="s">
        <v>603</v>
      </c>
      <c r="N872" s="98"/>
      <c r="O872" s="98" t="s">
        <v>603</v>
      </c>
      <c r="P872" s="97"/>
      <c r="Q872" s="98">
        <v>110.0</v>
      </c>
      <c r="R872" s="98"/>
      <c r="S872" s="98" t="s">
        <v>603</v>
      </c>
      <c r="T872" s="98"/>
      <c r="U872" s="98" t="s">
        <v>603</v>
      </c>
      <c r="V872" s="98"/>
      <c r="W872" s="98">
        <v>190.0</v>
      </c>
      <c r="X872" s="98"/>
      <c r="Y872" s="98" t="s">
        <v>603</v>
      </c>
      <c r="Z872" s="98"/>
      <c r="AA872" s="5" t="s">
        <v>466</v>
      </c>
      <c r="AB872" s="47">
        <v>360.0</v>
      </c>
    </row>
    <row r="873" hidden="1">
      <c r="A873" s="222" t="str">
        <f t="array" ref="A873:A874">{"FormulaRow26";(INDEX(CLASSLIST,A822,1))}</f>
        <v>FormulaRow26</v>
      </c>
      <c r="B873" s="222" t="str">
        <f t="array" ref="B873:B874">{"CLASSTYPE";((INDEX(ALLCLASSDATA,MATCH("ClassType",CLASSFEATUREHEADERS,0),MATCH($A874,CLASSNAMEHEADERS,0))))}</f>
        <v>CLASSTYPE</v>
      </c>
      <c r="C873" s="228" t="str">
        <f t="array" ref="C873:C874">{"ATTACK";"Attack"}</f>
        <v>ATTACK</v>
      </c>
      <c r="D873" s="228" t="str">
        <f t="array" ref="D873:D874">{"WEAPONSPECIAL";"WeaponCS/WS/GWS"}</f>
        <v>WEAPONSPECIAL</v>
      </c>
      <c r="E873" s="230"/>
      <c r="F873" s="230"/>
      <c r="G873" s="230" t="str">
        <f t="array" ref="G873:G874">{"WEAPONSPECIALL01";((IF("01"=INDEX(ALLCLASSDATA,MATCH("WeaponGreaterSpecialization",CLASSFEATUREHEADERS,0),MATCH($A874,CLASSNAMEHEADERS,0)),WeaponGWS,(IF("01"=INDEX(ALLCLASSDATA,MATCH("WeaponSpecialization",CLASSFEATUREHEADERS,0),MATCH($A874,CLASSNAMEHEADERS,0)),WeaponWS,(IF("01"=INDEX(ALLCLASSDATA,MATCH("WeaponCriticalSpecialization",CLASSFEATUREHEADERS,0),MATCH($A874,CLASSNAMEHEADERS,0)),WeaponCS,"")))))))}</f>
        <v>WEAPONSPECIALL01</v>
      </c>
      <c r="H873" s="230"/>
      <c r="I873" s="230" t="str">
        <f t="array" ref="I873:I874">{"WEAPONSPECIALL03";((IF("03"=INDEX(ALLCLASSDATA,MATCH("WeaponGreaterSpecialization",CLASSFEATUREHEADERS,0),MATCH($A874,CLASSNAMEHEADERS,0)),WeaponGWS,(IF("03"=INDEX(ALLCLASSDATA,MATCH("WeaponSpecialization",CLASSFEATUREHEADERS,0),MATCH($A874,CLASSNAMEHEADERS,0)),WeaponWS,(IF("03"=INDEX(ALLCLASSDATA,MATCH("WeaponCriticalSpecialization",CLASSFEATUREHEADERS,0),MATCH($A874,CLASSNAMEHEADERS,0)),WeaponCS,"")))))))}</f>
        <v>WEAPONSPECIALL03</v>
      </c>
      <c r="J873" s="230"/>
      <c r="K873" s="230" t="str">
        <f t="array" ref="K873:K874">{"WEAPONSPECIALL05";((IF("05"=INDEX(ALLCLASSDATA,MATCH("WeaponGreaterSpecialization",CLASSFEATUREHEADERS,0),MATCH($A874,CLASSNAMEHEADERS,0)),WeaponGWS,(IF("05"=INDEX(ALLCLASSDATA,MATCH("WeaponSpecialization",CLASSFEATUREHEADERS,0),MATCH($A874,CLASSNAMEHEADERS,0)),WeaponWS,(IF("05"=INDEX(ALLCLASSDATA,MATCH("WeaponCriticalSpecialization",CLASSFEATUREHEADERS,0),MATCH($A874,CLASSNAMEHEADERS,0)),WeaponCS,"")))))))}</f>
        <v>WEAPONSPECIALL05</v>
      </c>
      <c r="L873" s="230"/>
      <c r="M873" s="230" t="str">
        <f t="array" ref="M873:M874">{"WEAPONSPECIALL07";((IF("07"=INDEX(ALLCLASSDATA,MATCH("WeaponGreaterSpecialization",CLASSFEATUREHEADERS,0),MATCH($A874,CLASSNAMEHEADERS,0)),WeaponGWS,(IF("07"=INDEX(ALLCLASSDATA,MATCH("WeaponSpecialization",CLASSFEATUREHEADERS,0),MATCH($A874,CLASSNAMEHEADERS,0)),WeaponWS,(IF("07"=INDEX(ALLCLASSDATA,MATCH("WeaponCriticalSpecialization",CLASSFEATUREHEADERS,0),MATCH($A874,CLASSNAMEHEADERS,0)),WeaponCS,"")))))))}</f>
        <v>WEAPONSPECIALL07</v>
      </c>
      <c r="N873" s="230"/>
      <c r="O873" s="230" t="str">
        <f t="array" ref="O873:O874">{"WEAPONSPECIALL09";((IF("09"=INDEX(ALLCLASSDATA,MATCH("WeaponGreaterSpecialization",CLASSFEATUREHEADERS,0),MATCH($A874,CLASSNAMEHEADERS,0)),WeaponGWS,(IF("09"=INDEX(ALLCLASSDATA,MATCH("WeaponSpecialization",CLASSFEATUREHEADERS,0),MATCH($A874,CLASSNAMEHEADERS,0)),WeaponWS,(IF("09"=INDEX(ALLCLASSDATA,MATCH("WeaponCriticalSpecialization",CLASSFEATUREHEADERS,0),MATCH($A874,CLASSNAMEHEADERS,0)),WeaponCS,"")))))))}</f>
        <v>WEAPONSPECIALL09</v>
      </c>
      <c r="P873" s="230"/>
      <c r="Q873" s="230" t="str">
        <f t="array" ref="Q873:Q874">{"WEAPONSPECIALL11";((IF("11"=INDEX(ALLCLASSDATA,MATCH("WeaponGreaterSpecialization",CLASSFEATUREHEADERS,0),MATCH($A874,CLASSNAMEHEADERS,0)),WeaponGWS,(IF("11"=INDEX(ALLCLASSDATA,MATCH("WeaponSpecialization",CLASSFEATUREHEADERS,0),MATCH($A874,CLASSNAMEHEADERS,0)),WeaponWS,(IF("11"=INDEX(ALLCLASSDATA,MATCH("WeaponCriticalSpecialization",CLASSFEATUREHEADERS,0),MATCH($A874,CLASSNAMEHEADERS,0)),WeaponCS,"")))))))}</f>
        <v>WEAPONSPECIALL11</v>
      </c>
      <c r="R873" s="230"/>
      <c r="S873" s="230" t="str">
        <f t="array" ref="S873:S874">{"WEAPONSPECIALL13";((IF("13"=INDEX(ALLCLASSDATA,MATCH("WeaponGreaterSpecialization",CLASSFEATUREHEADERS,0),MATCH($A874,CLASSNAMEHEADERS,0)),WeaponGWS,(IF("13"=INDEX(ALLCLASSDATA,MATCH("WeaponSpecialization",CLASSFEATUREHEADERS,0),MATCH($A874,CLASSNAMEHEADERS,0)),WeaponWS,(IF("13"=INDEX(ALLCLASSDATA,MATCH("WeaponCriticalSpecialization",CLASSFEATUREHEADERS,0),MATCH($A874,CLASSNAMEHEADERS,0)),WeaponCS,"")))))))}</f>
        <v>WEAPONSPECIALL13</v>
      </c>
      <c r="T873" s="230"/>
      <c r="U873" s="230" t="str">
        <f t="array" ref="U873:U874">{"WEAPONSPECIALL15";((IF("15"=INDEX(ALLCLASSDATA,MATCH("WeaponGreaterSpecialization",CLASSFEATUREHEADERS,0),MATCH($A874,CLASSNAMEHEADERS,0)),WeaponGWS,(IF("15"=INDEX(ALLCLASSDATA,MATCH("WeaponSpecialization",CLASSFEATUREHEADERS,0),MATCH($A874,CLASSNAMEHEADERS,0)),WeaponWS,(IF("15"=INDEX(ALLCLASSDATA,MATCH("WeaponCriticalSpecialization",CLASSFEATUREHEADERS,0),MATCH($A874,CLASSNAMEHEADERS,0)),WeaponCS,"")))))))}</f>
        <v>WEAPONSPECIALL15</v>
      </c>
      <c r="V873" s="230"/>
      <c r="W873" s="230" t="str">
        <f t="array" ref="W873:W874">{"WEAPONSPECIALL17";((IF("17"=INDEX(ALLCLASSDATA,MATCH("WeaponGreaterSpecialization",CLASSFEATUREHEADERS,0),MATCH($A874,CLASSNAMEHEADERS,0)),WeaponGWS,(IF("17"=INDEX(ALLCLASSDATA,MATCH("WeaponSpecialization",CLASSFEATUREHEADERS,0),MATCH($A874,CLASSNAMEHEADERS,0)),WeaponWS,(IF("17"=INDEX(ALLCLASSDATA,MATCH("WeaponCriticalSpecialization",CLASSFEATUREHEADERS,0),MATCH($A874,CLASSNAMEHEADERS,0)),WeaponCS,"")))))))}</f>
        <v>WEAPONSPECIALL17</v>
      </c>
      <c r="X873" s="230"/>
      <c r="Y873" s="230" t="str">
        <f t="array" ref="Y873:Y874">{"WEAPONSPECIALL19";((IF("19"=INDEX(ALLCLASSDATA,MATCH("WeaponGreaterSpecialization",CLASSFEATUREHEADERS,0),MATCH($A874,CLASSNAMEHEADERS,0)),WeaponGWS,(IF("19"=INDEX(ALLCLASSDATA,MATCH("WeaponSpecialization",CLASSFEATUREHEADERS,0),MATCH($A874,CLASSNAMEHEADERS,0)),WeaponWS,(IF("19"=INDEX(ALLCLASSDATA,MATCH("WeaponCriticalSpecialization",CLASSFEATUREHEADERS,0),MATCH($A874,CLASSNAMEHEADERS,0)),WeaponCS,"")))))))}</f>
        <v>WEAPONSPECIALL19</v>
      </c>
      <c r="Z873" s="230"/>
      <c r="AA873" s="76"/>
      <c r="AB873" s="76" t="str">
        <f t="array" ref="AB873:AB874">{"WEAPONSPECIAL TOTAL";(sum(F874:Z874))}</f>
        <v>WEAPONSPECIAL TOTAL</v>
      </c>
    </row>
    <row r="874">
      <c r="A874" s="48" t="s">
        <v>227</v>
      </c>
      <c r="B874" s="48" t="s">
        <v>418</v>
      </c>
      <c r="C874" s="48" t="s">
        <v>1634</v>
      </c>
      <c r="D874" s="48" t="s">
        <v>1635</v>
      </c>
      <c r="E874" s="5"/>
      <c r="F874" s="47"/>
      <c r="G874" s="5" t="s">
        <v>603</v>
      </c>
      <c r="H874" s="5"/>
      <c r="I874" s="5" t="s">
        <v>603</v>
      </c>
      <c r="J874" s="5"/>
      <c r="K874" s="5" t="s">
        <v>603</v>
      </c>
      <c r="L874" s="5"/>
      <c r="M874" s="5" t="s">
        <v>603</v>
      </c>
      <c r="N874" s="5"/>
      <c r="O874" s="5" t="s">
        <v>603</v>
      </c>
      <c r="P874" s="5"/>
      <c r="Q874" s="5" t="s">
        <v>603</v>
      </c>
      <c r="R874" s="5"/>
      <c r="S874" s="5">
        <v>70.0</v>
      </c>
      <c r="T874" s="5"/>
      <c r="U874" s="5" t="s">
        <v>603</v>
      </c>
      <c r="V874" s="5"/>
      <c r="W874" s="5" t="s">
        <v>603</v>
      </c>
      <c r="X874" s="5"/>
      <c r="Y874" s="5" t="s">
        <v>603</v>
      </c>
      <c r="Z874" s="5"/>
      <c r="AA874" s="5"/>
      <c r="AB874" s="47">
        <v>70.0</v>
      </c>
    </row>
    <row r="875" hidden="1">
      <c r="A875" s="222" t="str">
        <f t="array" ref="A875:A876">{"FormulaRow27";(INDEX(CLASSLIST,A822,1))}</f>
        <v>FormulaRow27</v>
      </c>
      <c r="B875" s="222" t="str">
        <f t="array" ref="B875:B876">{"CLASSTYPE";((INDEX(ALLCLASSDATA,MATCH("ClassType",CLASSFEATUREHEADERS,0),MATCH($A876,CLASSNAMEHEADERS,0))))}</f>
        <v>CLASSTYPE</v>
      </c>
      <c r="C875" s="222" t="str">
        <f t="array" ref="C875:C876">{"ATTACK";"Attack"}</f>
        <v>ATTACK</v>
      </c>
      <c r="D875" s="222" t="str">
        <f t="array" ref="D875:D876">{"UNARMED";"Unarmed"}</f>
        <v>UNARMED</v>
      </c>
      <c r="E875" s="223" t="str">
        <f t="array" ref="E875:E876">{"UNARMEDINITIAL";((IF(G876=10,"T",(IF(G876=50,"E","")))))}</f>
        <v>UNARMEDINITIAL</v>
      </c>
      <c r="F875" s="223" t="str">
        <f t="array" ref="F875:F876">{"UNARMEDINITIALPTS";((IF("00"=(INDEX(ALLCLASSDATA,MATCH("UnarmedLegendary",CLASSFEATUREHEADERS,0),MATCH($A876,CLASSNAMEHEADERS,0))),(INDEX(ALLCLASSDATA,MATCH("UnarmedLegendary",CLASSFEATUREHEADERS,0),MATCH(($A876 &amp; "Points"),CLASSNAMEHEADERS,0))),(IF("00"=(INDEX(ALLCLASSDATA,MATCH("UnarmedMaster",CLASSFEATUREHEADERS,0),MATCH($A876,CLASSNAMEHEADERS,0))),(INDEX(ALLCLASSDATA,MATCH("UnarmedMaster",CLASSFEATUREHEADERS,0),MATCH(($A876 &amp; "Points"),CLASSNAMEHEADERS,0))),(IF("00"=(INDEX(ALLCLASSDATA,MATCH("UnarmedExpert",CLASSFEATUREHEADERS,0),MATCH($A876,CLASSNAMEHEADERS,0))),(INDEX(ALLCLASSDATA,MATCH("UnarmedExpert",CLASSFEATUREHEADERS,0),MATCH(($A876 &amp; "Points"),CLASSNAMEHEADERS,0))),(IF("00"=(INDEX(ALLCLASSDATA,MATCH("UnarmedTrained",CLASSFEATUREHEADERS,0),MATCH($A876,CLASSNAMEHEADERS,0))),(INDEX(ALLCLASSDATA,MATCH("UnarmedTrained",CLASSFEATUREHEADERS,0),MATCH(($A876 &amp; "Points"),CLASSNAMEHEADERS,0))),"")))))))))}</f>
        <v>UNARMEDINITIALPTS</v>
      </c>
      <c r="G875" s="223" t="str">
        <f t="array" ref="G875:G876">{"UNARMEDL01";((IF("01"=(INDEX(ALLCLASSDATA,MATCH("UnarmedLegendary",CLASSFEATUREHEADERS,0),MATCH($A876,CLASSNAMEHEADERS,0))),(INDEX(ALLCLASSDATA,MATCH("UnarmedLegendary",CLASSFEATUREHEADERS,0),MATCH(($A876 &amp; "Points"),CLASSNAMEHEADERS,0))),(IF("01"=(INDEX(ALLCLASSDATA,MATCH("UnarmedMaster",CLASSFEATUREHEADERS,0),MATCH($A876,CLASSNAMEHEADERS,0))),(INDEX(ALLCLASSDATA,MATCH("UnarmedMaster",CLASSFEATUREHEADERS,0),MATCH(($A876 &amp; "Points"),CLASSNAMEHEADERS,0))),(IF("01"=(INDEX(ALLCLASSDATA,MATCH("UnarmedExpert",CLASSFEATUREHEADERS,0),MATCH($A876,CLASSNAMEHEADERS,0))),(INDEX(ALLCLASSDATA,MATCH("UnarmedExpert",CLASSFEATUREHEADERS,0),MATCH(($A876 &amp; "Points"),CLASSNAMEHEADERS,0))),(IF("01"=(INDEX(ALLCLASSDATA,MATCH("UnarmedTrained",CLASSFEATUREHEADERS,0),MATCH($A876,CLASSNAMEHEADERS,0))),(INDEX(ALLCLASSDATA,MATCH("UnarmedTrained",CLASSFEATUREHEADERS,0),MATCH(($A876 &amp; "Points"),CLASSNAMEHEADERS,0))),"")))))))))}</f>
        <v>UNARMEDL01</v>
      </c>
      <c r="H875" s="223"/>
      <c r="I875" s="223" t="str">
        <f t="array" ref="I875:I876">{"UNARMEDL03";((IF("03"=(INDEX(ALLCLASSDATA,MATCH("UnarmedLegendary",CLASSFEATUREHEADERS,0),MATCH($A876,CLASSNAMEHEADERS,0))),(INDEX(ALLCLASSDATA,MATCH("UnarmedLegendary",CLASSFEATUREHEADERS,0),MATCH(($A876 &amp; "Points"),CLASSNAMEHEADERS,0))),(IF("03"=(INDEX(ALLCLASSDATA,MATCH("UnarmedMaster",CLASSFEATUREHEADERS,0),MATCH($A876,CLASSNAMEHEADERS,0))),(INDEX(ALLCLASSDATA,MATCH("UnarmedMaster",CLASSFEATUREHEADERS,0),MATCH(($A876 &amp; "Points"),CLASSNAMEHEADERS,0))),(IF("03"=(INDEX(ALLCLASSDATA,MATCH("UnarmedExpert",CLASSFEATUREHEADERS,0),MATCH($A876,CLASSNAMEHEADERS,0))),(INDEX(ALLCLASSDATA,MATCH("UnarmedExpert",CLASSFEATUREHEADERS,0),MATCH(($A876 &amp; "Points"),CLASSNAMEHEADERS,0))),(IF("03"=(INDEX(ALLCLASSDATA,MATCH("UnarmedTrained",CLASSFEATUREHEADERS,0),MATCH($A876,CLASSNAMEHEADERS,0))),(INDEX(ALLCLASSDATA,MATCH("UnarmedTrained",CLASSFEATUREHEADERS,0),MATCH(($A876 &amp; "Points"),CLASSNAMEHEADERS,0))),"")))))))))}</f>
        <v>UNARMEDL03</v>
      </c>
      <c r="J875" s="223"/>
      <c r="K875" s="223" t="str">
        <f t="array" ref="K875:K876">{"UNARMEDL05";((IF("05"=(INDEX(ALLCLASSDATA,MATCH("UnarmedLegendary",CLASSFEATUREHEADERS,0),MATCH($A876,CLASSNAMEHEADERS,0))),(INDEX(ALLCLASSDATA,MATCH("UnarmedLegendary",CLASSFEATUREHEADERS,0),MATCH(($A876 &amp; "Points"),CLASSNAMEHEADERS,0))),(IF("05"=(INDEX(ALLCLASSDATA,MATCH("UnarmedMaster",CLASSFEATUREHEADERS,0),MATCH($A876,CLASSNAMEHEADERS,0))),(INDEX(ALLCLASSDATA,MATCH("UnarmedMaster",CLASSFEATUREHEADERS,0),MATCH(($A876 &amp; "Points"),CLASSNAMEHEADERS,0))),(IF("05"=(INDEX(ALLCLASSDATA,MATCH("UnarmedExpert",CLASSFEATUREHEADERS,0),MATCH($A876,CLASSNAMEHEADERS,0))),(INDEX(ALLCLASSDATA,MATCH("UnarmedExpert",CLASSFEATUREHEADERS,0),MATCH(($A876 &amp; "Points"),CLASSNAMEHEADERS,0))),(IF("05"=(INDEX(ALLCLASSDATA,MATCH("UnarmedTrained",CLASSFEATUREHEADERS,0),MATCH($A876,CLASSNAMEHEADERS,0))),(INDEX(ALLCLASSDATA,MATCH("UnarmedTrained",CLASSFEATUREHEADERS,0),MATCH(($A876 &amp; "Points"),CLASSNAMEHEADERS,0))),"")))))))))}</f>
        <v>UNARMEDL05</v>
      </c>
      <c r="L875" s="223"/>
      <c r="M875" s="223" t="str">
        <f t="array" ref="M875:M876">{"UNARMEDL07";((IF("07"=(INDEX(ALLCLASSDATA,MATCH("UnarmedLegendary",CLASSFEATUREHEADERS,0),MATCH($A876,CLASSNAMEHEADERS,0))),(INDEX(ALLCLASSDATA,MATCH("UnarmedLegendary",CLASSFEATUREHEADERS,0),MATCH(($A876 &amp; "Points"),CLASSNAMEHEADERS,0))),(IF("07"=(INDEX(ALLCLASSDATA,MATCH("UnarmedMaster",CLASSFEATUREHEADERS,0),MATCH($A876,CLASSNAMEHEADERS,0))),(INDEX(ALLCLASSDATA,MATCH("UnarmedMaster",CLASSFEATUREHEADERS,0),MATCH(($A876 &amp; "Points"),CLASSNAMEHEADERS,0))),(IF("07"=(INDEX(ALLCLASSDATA,MATCH("UnarmedExpert",CLASSFEATUREHEADERS,0),MATCH($A876,CLASSNAMEHEADERS,0))),(INDEX(ALLCLASSDATA,MATCH("UnarmedExpert",CLASSFEATUREHEADERS,0),MATCH(($A876 &amp; "Points"),CLASSNAMEHEADERS,0))),(IF("07"=(INDEX(ALLCLASSDATA,MATCH("UnarmedTrained",CLASSFEATUREHEADERS,0),MATCH($A876,CLASSNAMEHEADERS,0))),(INDEX(ALLCLASSDATA,MATCH("UnarmedTrained",CLASSFEATUREHEADERS,0),MATCH(($A876 &amp; "Points"),CLASSNAMEHEADERS,0))),"")))))))))}</f>
        <v>UNARMEDL07</v>
      </c>
      <c r="N875" s="223"/>
      <c r="O875" s="223" t="str">
        <f t="array" ref="O875:O876">{"UNARMEDL09";((IF("09"=(INDEX(ALLCLASSDATA,MATCH("UnarmedLegendary",CLASSFEATUREHEADERS,0),MATCH($A876,CLASSNAMEHEADERS,0))),(INDEX(ALLCLASSDATA,MATCH("UnarmedLegendary",CLASSFEATUREHEADERS,0),MATCH(($A876 &amp; "Points"),CLASSNAMEHEADERS,0))),(IF("09"=(INDEX(ALLCLASSDATA,MATCH("UnarmedMaster",CLASSFEATUREHEADERS,0),MATCH($A876,CLASSNAMEHEADERS,0))),(INDEX(ALLCLASSDATA,MATCH("UnarmedMaster",CLASSFEATUREHEADERS,0),MATCH(($A876 &amp; "Points"),CLASSNAMEHEADERS,0))),(IF("09"=(INDEX(ALLCLASSDATA,MATCH("UnarmedExpert",CLASSFEATUREHEADERS,0),MATCH($A876,CLASSNAMEHEADERS,0))),(INDEX(ALLCLASSDATA,MATCH("UnarmedExpert",CLASSFEATUREHEADERS,0),MATCH(($A876 &amp; "Points"),CLASSNAMEHEADERS,0))),(IF("09"=(INDEX(ALLCLASSDATA,MATCH("UnarmedTrained",CLASSFEATUREHEADERS,0),MATCH($A876,CLASSNAMEHEADERS,0))),(INDEX(ALLCLASSDATA,MATCH("UnarmedTrained",CLASSFEATUREHEADERS,0),MATCH(($A876 &amp; "Points"),CLASSNAMEHEADERS,0))),"")))))))))}</f>
        <v>UNARMEDL09</v>
      </c>
      <c r="P875" s="223"/>
      <c r="Q875" s="223" t="str">
        <f t="array" ref="Q875:Q876">{"UNARMEDL11";((IF("11"=(INDEX(ALLCLASSDATA,MATCH("UnarmedLegendary",CLASSFEATUREHEADERS,0),MATCH($A876,CLASSNAMEHEADERS,0))),(INDEX(ALLCLASSDATA,MATCH("UnarmedLegendary",CLASSFEATUREHEADERS,0),MATCH(($A876 &amp; "Points"),CLASSNAMEHEADERS,0))),(IF("11"=(INDEX(ALLCLASSDATA,MATCH("UnarmedMaster",CLASSFEATUREHEADERS,0),MATCH($A876,CLASSNAMEHEADERS,0))),(INDEX(ALLCLASSDATA,MATCH("UnarmedMaster",CLASSFEATUREHEADERS,0),MATCH(($A876 &amp; "Points"),CLASSNAMEHEADERS,0))),(IF("11"=(INDEX(ALLCLASSDATA,MATCH("UnarmedExpert",CLASSFEATUREHEADERS,0),MATCH($A876,CLASSNAMEHEADERS,0))),(INDEX(ALLCLASSDATA,MATCH("UnarmedExpert",CLASSFEATUREHEADERS,0),MATCH(($A876 &amp; "Points"),CLASSNAMEHEADERS,0))),(IF("11"=(INDEX(ALLCLASSDATA,MATCH("UnarmedTrained",CLASSFEATUREHEADERS,0),MATCH($A876,CLASSNAMEHEADERS,0))),(INDEX(ALLCLASSDATA,MATCH("UnarmedTrained",CLASSFEATUREHEADERS,0),MATCH(($A876 &amp; "Points"),CLASSNAMEHEADERS,0))),"")))))))))}</f>
        <v>UNARMEDL11</v>
      </c>
      <c r="R875" s="223"/>
      <c r="S875" s="223" t="str">
        <f t="array" ref="S875:S876">{"UNARMEDL13";((IF("13"=(INDEX(ALLCLASSDATA,MATCH("UnarmedLegendary",CLASSFEATUREHEADERS,0),MATCH($A876,CLASSNAMEHEADERS,0))),(INDEX(ALLCLASSDATA,MATCH("UnarmedLegendary",CLASSFEATUREHEADERS,0),MATCH(($A876 &amp; "Points"),CLASSNAMEHEADERS,0))),(IF("13"=(INDEX(ALLCLASSDATA,MATCH("UnarmedMaster",CLASSFEATUREHEADERS,0),MATCH($A876,CLASSNAMEHEADERS,0))),(INDEX(ALLCLASSDATA,MATCH("UnarmedMaster",CLASSFEATUREHEADERS,0),MATCH(($A876 &amp; "Points"),CLASSNAMEHEADERS,0))),(IF("13"=(INDEX(ALLCLASSDATA,MATCH("UnarmedExpert",CLASSFEATUREHEADERS,0),MATCH($A876,CLASSNAMEHEADERS,0))),(INDEX(ALLCLASSDATA,MATCH("UnarmedExpert",CLASSFEATUREHEADERS,0),MATCH(($A876 &amp; "Points"),CLASSNAMEHEADERS,0))),(IF("13"=(INDEX(ALLCLASSDATA,MATCH("UnarmedTrained",CLASSFEATUREHEADERS,0),MATCH($A876,CLASSNAMEHEADERS,0))),(INDEX(ALLCLASSDATA,MATCH("UnarmedTrained",CLASSFEATUREHEADERS,0),MATCH(($A876 &amp; "Points"),CLASSNAMEHEADERS,0))),"")))))))))}</f>
        <v>UNARMEDL13</v>
      </c>
      <c r="T875" s="223"/>
      <c r="U875" s="223" t="str">
        <f t="array" ref="U875:U876">{"UNARMEDL15";((IF("15"=(INDEX(ALLCLASSDATA,MATCH("UnarmedLegendary",CLASSFEATUREHEADERS,0),MATCH($A876,CLASSNAMEHEADERS,0))),(INDEX(ALLCLASSDATA,MATCH("UnarmedLegendary",CLASSFEATUREHEADERS,0),MATCH(($A876 &amp; "Points"),CLASSNAMEHEADERS,0))),(IF("15"=(INDEX(ALLCLASSDATA,MATCH("UnarmedMaster",CLASSFEATUREHEADERS,0),MATCH($A876,CLASSNAMEHEADERS,0))),(INDEX(ALLCLASSDATA,MATCH("UnarmedMaster",CLASSFEATUREHEADERS,0),MATCH(($A876 &amp; "Points"),CLASSNAMEHEADERS,0))),(IF("15"=(INDEX(ALLCLASSDATA,MATCH("UnarmedExpert",CLASSFEATUREHEADERS,0),MATCH($A876,CLASSNAMEHEADERS,0))),(INDEX(ALLCLASSDATA,MATCH("UnarmedExpert",CLASSFEATUREHEADERS,0),MATCH(($A876 &amp; "Points"),CLASSNAMEHEADERS,0))),(IF("15"=(INDEX(ALLCLASSDATA,MATCH("UnarmedTrained",CLASSFEATUREHEADERS,0),MATCH($A876,CLASSNAMEHEADERS,0))),(INDEX(ALLCLASSDATA,MATCH("UnarmedTrained",CLASSFEATUREHEADERS,0),MATCH(($A876 &amp; "Points"),CLASSNAMEHEADERS,0))),"")))))))))}</f>
        <v>UNARMEDL15</v>
      </c>
      <c r="V875" s="223"/>
      <c r="W875" s="223" t="str">
        <f t="array" ref="W875:W876">{"UNARMEDL17";((IF("17"=(INDEX(ALLCLASSDATA,MATCH("UnarmedLegendary",CLASSFEATUREHEADERS,0),MATCH($A876,CLASSNAMEHEADERS,0))),(INDEX(ALLCLASSDATA,MATCH("UnarmedLegendary",CLASSFEATUREHEADERS,0),MATCH(($A876 &amp; "Points"),CLASSNAMEHEADERS,0))),(IF("17"=(INDEX(ALLCLASSDATA,MATCH("UnarmedMaster",CLASSFEATUREHEADERS,0),MATCH($A876,CLASSNAMEHEADERS,0))),(INDEX(ALLCLASSDATA,MATCH("UnarmedMaster",CLASSFEATUREHEADERS,0),MATCH(($A876 &amp; "Points"),CLASSNAMEHEADERS,0))),(IF("17"=(INDEX(ALLCLASSDATA,MATCH("UnarmedExpert",CLASSFEATUREHEADERS,0),MATCH($A876,CLASSNAMEHEADERS,0))),(INDEX(ALLCLASSDATA,MATCH("UnarmedExpert",CLASSFEATUREHEADERS,0),MATCH(($A876 &amp; "Points"),CLASSNAMEHEADERS,0))),(IF("17"=(INDEX(ALLCLASSDATA,MATCH("UnarmedTrained",CLASSFEATUREHEADERS,0),MATCH($A876,CLASSNAMEHEADERS,0))),(INDEX(ALLCLASSDATA,MATCH("UnarmedTrained",CLASSFEATUREHEADERS,0),MATCH(($A876 &amp; "Points"),CLASSNAMEHEADERS,0))),"")))))))))}</f>
        <v>UNARMEDL17</v>
      </c>
      <c r="X875" s="223"/>
      <c r="Y875" s="223" t="str">
        <f t="array" ref="Y875:Y876">{"UNARMEDL19";((IF("19"=(INDEX(ALLCLASSDATA,MATCH("UnarmedLegendary",CLASSFEATUREHEADERS,0),MATCH($A876,CLASSNAMEHEADERS,0))),(INDEX(ALLCLASSDATA,MATCH("UnarmedLegendary",CLASSFEATUREHEADERS,0),MATCH(($A876 &amp; "Points"),CLASSNAMEHEADERS,0))),(IF("19"=(INDEX(ALLCLASSDATA,MATCH("UnarmedMaster",CLASSFEATUREHEADERS,0),MATCH($A876,CLASSNAMEHEADERS,0))),(INDEX(ALLCLASSDATA,MATCH("UnarmedMaster",CLASSFEATUREHEADERS,0),MATCH(($A876 &amp; "Points"),CLASSNAMEHEADERS,0))),(IF("19"=(INDEX(ALLCLASSDATA,MATCH("UnarmedExpert",CLASSFEATUREHEADERS,0),MATCH($A876,CLASSNAMEHEADERS,0))),(INDEX(ALLCLASSDATA,MATCH("UnarmedExpert",CLASSFEATUREHEADERS,0),MATCH(($A876 &amp; "Points"),CLASSNAMEHEADERS,0))),(IF("19"=(INDEX(ALLCLASSDATA,MATCH("UnarmedTrained",CLASSFEATUREHEADERS,0),MATCH($A876,CLASSNAMEHEADERS,0))),(INDEX(ALLCLASSDATA,MATCH("UnarmedTrained",CLASSFEATUREHEADERS,0),MATCH(($A876 &amp; "Points"),CLASSNAMEHEADERS,0))),"")))))))))}</f>
        <v>UNARMEDL19</v>
      </c>
      <c r="Z875" s="223"/>
      <c r="AA875" s="76" t="str">
        <f t="array" ref="AA875:AA876">{"UNARMED TOTAL";(IF(COUNTBLANK(F876:Z876)=17,"L",(IF(COUNTBLANK(F876:Z876)=18,"M",(IF(COUNTBLANK(F876:Z876)=19,"E",(IF(COUNTBLANK(F876:Z876)=20,"T",""))))))))}</f>
        <v>UNARMED TOTAL</v>
      </c>
      <c r="AB875" s="76" t="str">
        <f t="array" ref="AB875:AB876">{"UNARMED TOTAL";(sum(F876:Z876))}</f>
        <v>UNARMED TOTAL</v>
      </c>
    </row>
    <row r="876">
      <c r="A876" s="48" t="s">
        <v>227</v>
      </c>
      <c r="B876" s="48" t="s">
        <v>418</v>
      </c>
      <c r="C876" s="48" t="s">
        <v>1634</v>
      </c>
      <c r="D876" s="48" t="s">
        <v>257</v>
      </c>
      <c r="E876" s="5" t="s">
        <v>435</v>
      </c>
      <c r="F876" s="47" t="s">
        <v>603</v>
      </c>
      <c r="G876" s="5">
        <v>10.0</v>
      </c>
      <c r="H876" s="5"/>
      <c r="I876" s="5" t="s">
        <v>603</v>
      </c>
      <c r="J876" s="5"/>
      <c r="K876" s="5" t="s">
        <v>603</v>
      </c>
      <c r="L876" s="5"/>
      <c r="M876" s="5" t="s">
        <v>603</v>
      </c>
      <c r="N876" s="5"/>
      <c r="O876" s="5" t="s">
        <v>603</v>
      </c>
      <c r="P876" s="5"/>
      <c r="Q876" s="5" t="s">
        <v>436</v>
      </c>
      <c r="R876" s="5"/>
      <c r="S876" s="5" t="s">
        <v>603</v>
      </c>
      <c r="T876" s="5"/>
      <c r="U876" s="5" t="s">
        <v>603</v>
      </c>
      <c r="V876" s="5"/>
      <c r="W876" s="5" t="s">
        <v>603</v>
      </c>
      <c r="X876" s="5"/>
      <c r="Y876" s="5" t="s">
        <v>603</v>
      </c>
      <c r="Z876" s="5"/>
      <c r="AA876" s="5" t="s">
        <v>436</v>
      </c>
      <c r="AB876" s="47">
        <v>10.0</v>
      </c>
    </row>
    <row r="877" hidden="1">
      <c r="A877" s="222" t="str">
        <f t="array" ref="A877:A878">{"FormulaRow28";(INDEX(CLASSLIST,A822,1))}</f>
        <v>FormulaRow28</v>
      </c>
      <c r="B877" s="222" t="str">
        <f t="array" ref="B877:B878">{"CLASSTYPE";((INDEX(ALLCLASSDATA,MATCH("ClassType",CLASSFEATUREHEADERS,0),MATCH($A878,CLASSNAMEHEADERS,0))))}</f>
        <v>CLASSTYPE</v>
      </c>
      <c r="C877" s="222" t="str">
        <f t="array" ref="C877:C878">{"ATTACK";"Attack"}</f>
        <v>ATTACK</v>
      </c>
      <c r="D877" s="222" t="str">
        <f t="array" ref="D877:D878">{"SIMPLELIMITED";"SimpleLimited"}</f>
        <v>SIMPLELIMITED</v>
      </c>
      <c r="E877" s="223" t="str">
        <f t="array" ref="E877:E878">{"SIMPLELIMITEDINITIAL";((IF(G878=10,"T",(IF(G878=50,"E","")))))}</f>
        <v>SIMPLELIMITEDINITIAL</v>
      </c>
      <c r="F877" s="223" t="str">
        <f t="array" ref="F877:F878">{"SIMPLELIMITEDINITIALPTS";((IF("00"=(INDEX(ALLCLASSDATA,MATCH("SimpleLimitedLegendary",CLASSFEATUREHEADERS,0),MATCH($A878,CLASSNAMEHEADERS,0))),(INDEX(ALLCLASSDATA,MATCH("SimpleLimitedLegendary",CLASSFEATUREHEADERS,0),MATCH(($A878 &amp; "Points"),CLASSNAMEHEADERS,0))),(IF("00"=(INDEX(ALLCLASSDATA,MATCH("SimpleLimitedMaster",CLASSFEATUREHEADERS,0),MATCH($A878,CLASSNAMEHEADERS,0))),(INDEX(ALLCLASSDATA,MATCH("SimpleLimitedMaster",CLASSFEATUREHEADERS,0),MATCH(($A878 &amp; "Points"),CLASSNAMEHEADERS,0))),(IF("00"=(INDEX(ALLCLASSDATA,MATCH("SimpleLimitedExpert",CLASSFEATUREHEADERS,0),MATCH($A878,CLASSNAMEHEADERS,0))),(INDEX(ALLCLASSDATA,MATCH("SimpleLimitedExpert",CLASSFEATUREHEADERS,0),MATCH(($A878 &amp; "Points"),CLASSNAMEHEADERS,0))),(IF("00"=(INDEX(ALLCLASSDATA,MATCH("SimpleLimitedTrained",CLASSFEATUREHEADERS,0),MATCH($A878,CLASSNAMEHEADERS,0))),(INDEX(ALLCLASSDATA,MATCH("SimpleLimitedTrained",CLASSFEATUREHEADERS,0),MATCH(($A878 &amp; "Points"),CLASSNAMEHEADERS,0))),"")))))))))}</f>
        <v>SIMPLELIMITEDINITIALPTS</v>
      </c>
      <c r="G877" s="223" t="str">
        <f t="array" ref="G877:G878">{"SIMPLELIMITEDL01";((IF("01"=(INDEX(ALLCLASSDATA,MATCH("SimpleLimitedLegendary",CLASSFEATUREHEADERS,0),MATCH($A878,CLASSNAMEHEADERS,0))),(INDEX(ALLCLASSDATA,MATCH("SimpleLimitedLegendary",CLASSFEATUREHEADERS,0),MATCH(($A878 &amp; "Points"),CLASSNAMEHEADERS,0))),(IF("01"=(INDEX(ALLCLASSDATA,MATCH("SimpleLimitedMaster",CLASSFEATUREHEADERS,0),MATCH($A878,CLASSNAMEHEADERS,0))),(INDEX(ALLCLASSDATA,MATCH("SimpleLimitedMaster",CLASSFEATUREHEADERS,0),MATCH(($A878 &amp; "Points"),CLASSNAMEHEADERS,0))),(IF("01"=(INDEX(ALLCLASSDATA,MATCH("SimpleLimitedExpert",CLASSFEATUREHEADERS,0),MATCH($A878,CLASSNAMEHEADERS,0))),(INDEX(ALLCLASSDATA,MATCH("SimpleLimitedExpert",CLASSFEATUREHEADERS,0),MATCH(($A878 &amp; "Points"),CLASSNAMEHEADERS,0))),(IF("01"=(INDEX(ALLCLASSDATA,MATCH("SimpleLimitedTrained",CLASSFEATUREHEADERS,0),MATCH($A878,CLASSNAMEHEADERS,0))),(INDEX(ALLCLASSDATA,MATCH("SimpleLimitedTrained",CLASSFEATUREHEADERS,0),MATCH(($A878 &amp; "Points"),CLASSNAMEHEADERS,0))),"")))))))))}</f>
        <v>SIMPLELIMITEDL01</v>
      </c>
      <c r="H877" s="223"/>
      <c r="I877" s="223" t="str">
        <f t="array" ref="I877:I878">{"SIMPLELIMITEDL03";((IF("03"=(INDEX(ALLCLASSDATA,MATCH("SimpleLimitedLegendary",CLASSFEATUREHEADERS,0),MATCH($A878,CLASSNAMEHEADERS,0))),(INDEX(ALLCLASSDATA,MATCH("SimpleLimitedLegendary",CLASSFEATUREHEADERS,0),MATCH(($A878 &amp; "Points"),CLASSNAMEHEADERS,0))),(IF("03"=(INDEX(ALLCLASSDATA,MATCH("SimpleLimitedMaster",CLASSFEATUREHEADERS,0),MATCH($A878,CLASSNAMEHEADERS,0))),(INDEX(ALLCLASSDATA,MATCH("SimpleLimitedMaster",CLASSFEATUREHEADERS,0),MATCH(($A878 &amp; "Points"),CLASSNAMEHEADERS,0))),(IF("03"=(INDEX(ALLCLASSDATA,MATCH("SimpleLimitedExpert",CLASSFEATUREHEADERS,0),MATCH($A878,CLASSNAMEHEADERS,0))),(INDEX(ALLCLASSDATA,MATCH("SimpleLimitedExpert",CLASSFEATUREHEADERS,0),MATCH(($A878 &amp; "Points"),CLASSNAMEHEADERS,0))),(IF("03"=(INDEX(ALLCLASSDATA,MATCH("SimpleLimitedTrained",CLASSFEATUREHEADERS,0),MATCH($A878,CLASSNAMEHEADERS,0))),(INDEX(ALLCLASSDATA,MATCH("SimpleLimitedTrained",CLASSFEATUREHEADERS,0),MATCH(($A878 &amp; "Points"),CLASSNAMEHEADERS,0))),"")))))))))}</f>
        <v>SIMPLELIMITEDL03</v>
      </c>
      <c r="J877" s="223"/>
      <c r="K877" s="223" t="str">
        <f t="array" ref="K877:K878">{"SIMPLELIMITEDL05";((IF("05"=(INDEX(ALLCLASSDATA,MATCH("SimpleLimitedLegendary",CLASSFEATUREHEADERS,0),MATCH($A878,CLASSNAMEHEADERS,0))),(INDEX(ALLCLASSDATA,MATCH("SimpleLimitedLegendary",CLASSFEATUREHEADERS,0),MATCH(($A878 &amp; "Points"),CLASSNAMEHEADERS,0))),(IF("05"=(INDEX(ALLCLASSDATA,MATCH("SimpleLimitedMaster",CLASSFEATUREHEADERS,0),MATCH($A878,CLASSNAMEHEADERS,0))),(INDEX(ALLCLASSDATA,MATCH("SimpleLimitedMaster",CLASSFEATUREHEADERS,0),MATCH(($A878 &amp; "Points"),CLASSNAMEHEADERS,0))),(IF("05"=(INDEX(ALLCLASSDATA,MATCH("SimpleLimitedExpert",CLASSFEATUREHEADERS,0),MATCH($A878,CLASSNAMEHEADERS,0))),(INDEX(ALLCLASSDATA,MATCH("SimpleLimitedExpert",CLASSFEATUREHEADERS,0),MATCH(($A878 &amp; "Points"),CLASSNAMEHEADERS,0))),(IF("05"=(INDEX(ALLCLASSDATA,MATCH("SimpleLimitedTrained",CLASSFEATUREHEADERS,0),MATCH($A878,CLASSNAMEHEADERS,0))),(INDEX(ALLCLASSDATA,MATCH("SimpleLimitedTrained",CLASSFEATUREHEADERS,0),MATCH(($A878 &amp; "Points"),CLASSNAMEHEADERS,0))),"")))))))))}</f>
        <v>SIMPLELIMITEDL05</v>
      </c>
      <c r="L877" s="223"/>
      <c r="M877" s="223" t="str">
        <f t="array" ref="M877:M878">{"SIMPLELIMITEDL07";((IF("07"=(INDEX(ALLCLASSDATA,MATCH("SimpleLimitedLegendary",CLASSFEATUREHEADERS,0),MATCH($A878,CLASSNAMEHEADERS,0))),(INDEX(ALLCLASSDATA,MATCH("SimpleLimitedLegendary",CLASSFEATUREHEADERS,0),MATCH(($A878 &amp; "Points"),CLASSNAMEHEADERS,0))),(IF("07"=(INDEX(ALLCLASSDATA,MATCH("SimpleLimitedMaster",CLASSFEATUREHEADERS,0),MATCH($A878,CLASSNAMEHEADERS,0))),(INDEX(ALLCLASSDATA,MATCH("SimpleLimitedMaster",CLASSFEATUREHEADERS,0),MATCH(($A878 &amp; "Points"),CLASSNAMEHEADERS,0))),(IF("07"=(INDEX(ALLCLASSDATA,MATCH("SimpleLimitedExpert",CLASSFEATUREHEADERS,0),MATCH($A878,CLASSNAMEHEADERS,0))),(INDEX(ALLCLASSDATA,MATCH("SimpleLimitedExpert",CLASSFEATUREHEADERS,0),MATCH(($A878 &amp; "Points"),CLASSNAMEHEADERS,0))),(IF("07"=(INDEX(ALLCLASSDATA,MATCH("SimpleLimitedTrained",CLASSFEATUREHEADERS,0),MATCH($A878,CLASSNAMEHEADERS,0))),(INDEX(ALLCLASSDATA,MATCH("SimpleLimitedTrained",CLASSFEATUREHEADERS,0),MATCH(($A878 &amp; "Points"),CLASSNAMEHEADERS,0))),"")))))))))}</f>
        <v>SIMPLELIMITEDL07</v>
      </c>
      <c r="N877" s="223"/>
      <c r="O877" s="223" t="str">
        <f t="array" ref="O877:O878">{"SIMPLELIMITEDL09";((IF("09"=(INDEX(ALLCLASSDATA,MATCH("SimpleLimitedLegendary",CLASSFEATUREHEADERS,0),MATCH($A878,CLASSNAMEHEADERS,0))),(INDEX(ALLCLASSDATA,MATCH("SimpleLimitedLegendary",CLASSFEATUREHEADERS,0),MATCH(($A878 &amp; "Points"),CLASSNAMEHEADERS,0))),(IF("09"=(INDEX(ALLCLASSDATA,MATCH("SimpleLimitedMaster",CLASSFEATUREHEADERS,0),MATCH($A878,CLASSNAMEHEADERS,0))),(INDEX(ALLCLASSDATA,MATCH("SimpleLimitedMaster",CLASSFEATUREHEADERS,0),MATCH(($A878 &amp; "Points"),CLASSNAMEHEADERS,0))),(IF("09"=(INDEX(ALLCLASSDATA,MATCH("SimpleLimitedExpert",CLASSFEATUREHEADERS,0),MATCH($A878,CLASSNAMEHEADERS,0))),(INDEX(ALLCLASSDATA,MATCH("SimpleLimitedExpert",CLASSFEATUREHEADERS,0),MATCH(($A878 &amp; "Points"),CLASSNAMEHEADERS,0))),(IF("09"=(INDEX(ALLCLASSDATA,MATCH("SimpleLimitedTrained",CLASSFEATUREHEADERS,0),MATCH($A878,CLASSNAMEHEADERS,0))),(INDEX(ALLCLASSDATA,MATCH("SimpleLimitedTrained",CLASSFEATUREHEADERS,0),MATCH(($A878 &amp; "Points"),CLASSNAMEHEADERS,0))),"")))))))))}</f>
        <v>SIMPLELIMITEDL09</v>
      </c>
      <c r="P877" s="223"/>
      <c r="Q877" s="223" t="str">
        <f t="array" ref="Q877:Q878">{"SIMPLELIMITEDL11";((IF("11"=(INDEX(ALLCLASSDATA,MATCH("SimpleLimitedLegendary",CLASSFEATUREHEADERS,0),MATCH($A878,CLASSNAMEHEADERS,0))),(INDEX(ALLCLASSDATA,MATCH("SimpleLimitedLegendary",CLASSFEATUREHEADERS,0),MATCH(($A878 &amp; "Points"),CLASSNAMEHEADERS,0))),(IF("11"=(INDEX(ALLCLASSDATA,MATCH("SimpleLimitedMaster",CLASSFEATUREHEADERS,0),MATCH($A878,CLASSNAMEHEADERS,0))),(INDEX(ALLCLASSDATA,MATCH("SimpleLimitedMaster",CLASSFEATUREHEADERS,0),MATCH(($A878 &amp; "Points"),CLASSNAMEHEADERS,0))),(IF("11"=(INDEX(ALLCLASSDATA,MATCH("SimpleLimitedExpert",CLASSFEATUREHEADERS,0),MATCH($A878,CLASSNAMEHEADERS,0))),(INDEX(ALLCLASSDATA,MATCH("SimpleLimitedExpert",CLASSFEATUREHEADERS,0),MATCH(($A878 &amp; "Points"),CLASSNAMEHEADERS,0))),(IF("11"=(INDEX(ALLCLASSDATA,MATCH("SimpleLimitedTrained",CLASSFEATUREHEADERS,0),MATCH($A878,CLASSNAMEHEADERS,0))),(INDEX(ALLCLASSDATA,MATCH("SimpleLimitedTrained",CLASSFEATUREHEADERS,0),MATCH(($A878 &amp; "Points"),CLASSNAMEHEADERS,0))),"")))))))))}</f>
        <v>SIMPLELIMITEDL11</v>
      </c>
      <c r="R877" s="223"/>
      <c r="S877" s="223" t="str">
        <f t="array" ref="S877:S878">{"SIMPLELIMITEDL13";((IF("13"=(INDEX(ALLCLASSDATA,MATCH("SimpleLimitedLegendary",CLASSFEATUREHEADERS,0),MATCH($A878,CLASSNAMEHEADERS,0))),(INDEX(ALLCLASSDATA,MATCH("SimpleLimitedLegendary",CLASSFEATUREHEADERS,0),MATCH(($A878 &amp; "Points"),CLASSNAMEHEADERS,0))),(IF("13"=(INDEX(ALLCLASSDATA,MATCH("SimpleLimitedMaster",CLASSFEATUREHEADERS,0),MATCH($A878,CLASSNAMEHEADERS,0))),(INDEX(ALLCLASSDATA,MATCH("SimpleLimitedMaster",CLASSFEATUREHEADERS,0),MATCH(($A878 &amp; "Points"),CLASSNAMEHEADERS,0))),(IF("13"=(INDEX(ALLCLASSDATA,MATCH("SimpleLimitedExpert",CLASSFEATUREHEADERS,0),MATCH($A878,CLASSNAMEHEADERS,0))),(INDEX(ALLCLASSDATA,MATCH("SimpleLimitedExpert",CLASSFEATUREHEADERS,0),MATCH(($A878 &amp; "Points"),CLASSNAMEHEADERS,0))),(IF("13"=(INDEX(ALLCLASSDATA,MATCH("SimpleLimitedTrained",CLASSFEATUREHEADERS,0),MATCH($A878,CLASSNAMEHEADERS,0))),(INDEX(ALLCLASSDATA,MATCH("SimpleLimitedTrained",CLASSFEATUREHEADERS,0),MATCH(($A878 &amp; "Points"),CLASSNAMEHEADERS,0))),"")))))))))}</f>
        <v>SIMPLELIMITEDL13</v>
      </c>
      <c r="T877" s="223"/>
      <c r="U877" s="223" t="str">
        <f t="array" ref="U877:U878">{"SIMPLELIMITEDL15";((IF("15"=(INDEX(ALLCLASSDATA,MATCH("SimpleLimitedLegendary",CLASSFEATUREHEADERS,0),MATCH($A878,CLASSNAMEHEADERS,0))),(INDEX(ALLCLASSDATA,MATCH("SimpleLimitedLegendary",CLASSFEATUREHEADERS,0),MATCH(($A878 &amp; "Points"),CLASSNAMEHEADERS,0))),(IF("15"=(INDEX(ALLCLASSDATA,MATCH("SimpleLimitedMaster",CLASSFEATUREHEADERS,0),MATCH($A878,CLASSNAMEHEADERS,0))),(INDEX(ALLCLASSDATA,MATCH("SimpleLimitedMaster",CLASSFEATUREHEADERS,0),MATCH(($A878 &amp; "Points"),CLASSNAMEHEADERS,0))),(IF("15"=(INDEX(ALLCLASSDATA,MATCH("SimpleLimitedExpert",CLASSFEATUREHEADERS,0),MATCH($A878,CLASSNAMEHEADERS,0))),(INDEX(ALLCLASSDATA,MATCH("SimpleLimitedExpert",CLASSFEATUREHEADERS,0),MATCH(($A878 &amp; "Points"),CLASSNAMEHEADERS,0))),(IF("15"=(INDEX(ALLCLASSDATA,MATCH("SimpleLimitedTrained",CLASSFEATUREHEADERS,0),MATCH($A878,CLASSNAMEHEADERS,0))),(INDEX(ALLCLASSDATA,MATCH("SimpleLimitedTrained",CLASSFEATUREHEADERS,0),MATCH(($A878 &amp; "Points"),CLASSNAMEHEADERS,0))),"")))))))))}</f>
        <v>SIMPLELIMITEDL15</v>
      </c>
      <c r="V877" s="223"/>
      <c r="W877" s="223" t="str">
        <f t="array" ref="W877:W878">{"SIMPLELIMITEDL17";((IF("17"=(INDEX(ALLCLASSDATA,MATCH("SimpleLimitedLegendary",CLASSFEATUREHEADERS,0),MATCH($A878,CLASSNAMEHEADERS,0))),(INDEX(ALLCLASSDATA,MATCH("SimpleLimitedLegendary",CLASSFEATUREHEADERS,0),MATCH(($A878 &amp; "Points"),CLASSNAMEHEADERS,0))),(IF("17"=(INDEX(ALLCLASSDATA,MATCH("SimpleLimitedMaster",CLASSFEATUREHEADERS,0),MATCH($A878,CLASSNAMEHEADERS,0))),(INDEX(ALLCLASSDATA,MATCH("SimpleLimitedMaster",CLASSFEATUREHEADERS,0),MATCH(($A878 &amp; "Points"),CLASSNAMEHEADERS,0))),(IF("17"=(INDEX(ALLCLASSDATA,MATCH("SimpleLimitedExpert",CLASSFEATUREHEADERS,0),MATCH($A878,CLASSNAMEHEADERS,0))),(INDEX(ALLCLASSDATA,MATCH("SimpleLimitedExpert",CLASSFEATUREHEADERS,0),MATCH(($A878 &amp; "Points"),CLASSNAMEHEADERS,0))),(IF("17"=(INDEX(ALLCLASSDATA,MATCH("SimpleLimitedTrained",CLASSFEATUREHEADERS,0),MATCH($A878,CLASSNAMEHEADERS,0))),(INDEX(ALLCLASSDATA,MATCH("SimpleLimitedTrained",CLASSFEATUREHEADERS,0),MATCH(($A878 &amp; "Points"),CLASSNAMEHEADERS,0))),"")))))))))}</f>
        <v>SIMPLELIMITEDL17</v>
      </c>
      <c r="X877" s="223"/>
      <c r="Y877" s="223" t="str">
        <f t="array" ref="Y877:Y878">{"SIMPLELIMITEDL19";((IF("19"=(INDEX(ALLCLASSDATA,MATCH("SimpleLimitedLegendary",CLASSFEATUREHEADERS,0),MATCH($A878,CLASSNAMEHEADERS,0))),(INDEX(ALLCLASSDATA,MATCH("SimpleLimitedLegendary",CLASSFEATUREHEADERS,0),MATCH(($A878 &amp; "Points"),CLASSNAMEHEADERS,0))),(IF("19"=(INDEX(ALLCLASSDATA,MATCH("SimpleLimitedMaster",CLASSFEATUREHEADERS,0),MATCH($A878,CLASSNAMEHEADERS,0))),(INDEX(ALLCLASSDATA,MATCH("SimpleLimitedMaster",CLASSFEATUREHEADERS,0),MATCH(($A878 &amp; "Points"),CLASSNAMEHEADERS,0))),(IF("19"=(INDEX(ALLCLASSDATA,MATCH("SimpleLimitedExpert",CLASSFEATUREHEADERS,0),MATCH($A878,CLASSNAMEHEADERS,0))),(INDEX(ALLCLASSDATA,MATCH("SimpleLimitedExpert",CLASSFEATUREHEADERS,0),MATCH(($A878 &amp; "Points"),CLASSNAMEHEADERS,0))),(IF("19"=(INDEX(ALLCLASSDATA,MATCH("SimpleLimitedTrained",CLASSFEATUREHEADERS,0),MATCH($A878,CLASSNAMEHEADERS,0))),(INDEX(ALLCLASSDATA,MATCH("SimpleLimitedTrained",CLASSFEATUREHEADERS,0),MATCH(($A878 &amp; "Points"),CLASSNAMEHEADERS,0))),"")))))))))}</f>
        <v>SIMPLELIMITEDL19</v>
      </c>
      <c r="Z877" s="223"/>
      <c r="AA877" s="76" t="str">
        <f t="array" ref="AA877:AA878">{"SIMPLELIMITED TOTAL";(IF(COUNTBLANK(F878:Z878)=17,"L",(IF(COUNTBLANK(F878:Z878)=18,"M",(IF(COUNTBLANK(F878:Z878)=19,"E",(IF(COUNTBLANK(F878:Z878)=20,"T",""))))))))}</f>
        <v>SIMPLELIMITED TOTAL</v>
      </c>
      <c r="AB877" s="76" t="str">
        <f t="array" ref="AB877:AB878">{"SIMPLELIMITED TOTAL";(sum(F878:Z878))}</f>
        <v>SIMPLELIMITED TOTAL</v>
      </c>
    </row>
    <row r="878">
      <c r="A878" s="48" t="s">
        <v>227</v>
      </c>
      <c r="B878" s="48" t="s">
        <v>418</v>
      </c>
      <c r="C878" s="48" t="s">
        <v>1634</v>
      </c>
      <c r="D878" s="48" t="s">
        <v>599</v>
      </c>
      <c r="E878" s="5" t="s">
        <v>603</v>
      </c>
      <c r="F878" s="47" t="s">
        <v>603</v>
      </c>
      <c r="G878" s="5" t="s">
        <v>603</v>
      </c>
      <c r="H878" s="5"/>
      <c r="I878" s="5" t="s">
        <v>603</v>
      </c>
      <c r="J878" s="5"/>
      <c r="K878" s="5" t="s">
        <v>603</v>
      </c>
      <c r="L878" s="5"/>
      <c r="M878" s="5" t="s">
        <v>603</v>
      </c>
      <c r="N878" s="5"/>
      <c r="O878" s="5" t="s">
        <v>603</v>
      </c>
      <c r="P878" s="5"/>
      <c r="Q878" s="5" t="s">
        <v>603</v>
      </c>
      <c r="R878" s="5"/>
      <c r="S878" s="5" t="s">
        <v>603</v>
      </c>
      <c r="T878" s="5"/>
      <c r="U878" s="5" t="s">
        <v>603</v>
      </c>
      <c r="V878" s="5"/>
      <c r="W878" s="5" t="s">
        <v>603</v>
      </c>
      <c r="X878" s="5"/>
      <c r="Y878" s="5" t="s">
        <v>603</v>
      </c>
      <c r="Z878" s="5"/>
      <c r="AA878" s="5" t="s">
        <v>603</v>
      </c>
      <c r="AB878" s="47">
        <v>0.0</v>
      </c>
    </row>
    <row r="879" hidden="1">
      <c r="A879" s="222" t="str">
        <f t="array" ref="A879:A880">{"FormulaRow29";(INDEX(CLASSLIST,A822,1))}</f>
        <v>FormulaRow29</v>
      </c>
      <c r="B879" s="222" t="str">
        <f t="array" ref="B879:B880">{"CLASSTYPE";((INDEX(ALLCLASSDATA,MATCH("ClassType",CLASSFEATUREHEADERS,0),MATCH($A880,CLASSNAMEHEADERS,0))))}</f>
        <v>CLASSTYPE</v>
      </c>
      <c r="C879" s="222" t="str">
        <f t="array" ref="C879:C880">{"ATTACK";"Attack"}</f>
        <v>ATTACK</v>
      </c>
      <c r="D879" s="222" t="str">
        <f t="array" ref="D879:D880">{"SIMPLE";"Simple"}</f>
        <v>SIMPLE</v>
      </c>
      <c r="E879" s="223" t="str">
        <f t="array" ref="E879:E880">{"SIMPLEINITIAL";((IF(G880=10,"T",(IF(G880=50,"E","")))))}</f>
        <v>SIMPLEINITIAL</v>
      </c>
      <c r="F879" s="223" t="str">
        <f t="array" ref="F879:F880">{"SIMPLEINITIALPTS";((IF("00"=(INDEX(ALLCLASSDATA,MATCH("SimpleLegendary",CLASSFEATUREHEADERS,0),MATCH($A880,CLASSNAMEHEADERS,0))),(INDEX(ALLCLASSDATA,MATCH("SimpleLegendary",CLASSFEATUREHEADERS,0),MATCH(($A880 &amp; "Points"),CLASSNAMEHEADERS,0))),(IF("00"=(INDEX(ALLCLASSDATA,MATCH("SimpleMaster",CLASSFEATUREHEADERS,0),MATCH($A880,CLASSNAMEHEADERS,0))),(INDEX(ALLCLASSDATA,MATCH("SimpleMaster",CLASSFEATUREHEADERS,0),MATCH(($A880 &amp; "Points"),CLASSNAMEHEADERS,0))),(IF("00"=(INDEX(ALLCLASSDATA,MATCH("SimpleExpert",CLASSFEATUREHEADERS,0),MATCH($A880,CLASSNAMEHEADERS,0))),(INDEX(ALLCLASSDATA,MATCH("SimpleExpert",CLASSFEATUREHEADERS,0),MATCH(($A880 &amp; "Points"),CLASSNAMEHEADERS,0))),(IF("00"=(INDEX(ALLCLASSDATA,MATCH("SimpleTrained",CLASSFEATUREHEADERS,0),MATCH($A880,CLASSNAMEHEADERS,0))),(INDEX(ALLCLASSDATA,MATCH("SimpleTrained",CLASSFEATUREHEADERS,0),MATCH(($A880 &amp; "Points"),CLASSNAMEHEADERS,0))),"")))))))))}</f>
        <v>SIMPLEINITIALPTS</v>
      </c>
      <c r="G879" s="223" t="str">
        <f t="array" ref="G879:G880">{"SIMPLEL01";((IF("01"=(INDEX(ALLCLASSDATA,MATCH("SimpleLegendary",CLASSFEATUREHEADERS,0),MATCH($A880,CLASSNAMEHEADERS,0))),(INDEX(ALLCLASSDATA,MATCH("SimpleLegendary",CLASSFEATUREHEADERS,0),MATCH(($A880 &amp; "Points"),CLASSNAMEHEADERS,0))),(IF("01"=(INDEX(ALLCLASSDATA,MATCH("SimpleMaster",CLASSFEATUREHEADERS,0),MATCH($A880,CLASSNAMEHEADERS,0))),(INDEX(ALLCLASSDATA,MATCH("SimpleMaster",CLASSFEATUREHEADERS,0),MATCH(($A880 &amp; "Points"),CLASSNAMEHEADERS,0))),(IF("01"=(INDEX(ALLCLASSDATA,MATCH("SimpleExpert",CLASSFEATUREHEADERS,0),MATCH($A880,CLASSNAMEHEADERS,0))),(INDEX(ALLCLASSDATA,MATCH("SimpleExpert",CLASSFEATUREHEADERS,0),MATCH(($A880 &amp; "Points"),CLASSNAMEHEADERS,0))),(IF("01"=(INDEX(ALLCLASSDATA,MATCH("SimpleTrained",CLASSFEATUREHEADERS,0),MATCH($A880,CLASSNAMEHEADERS,0))),(INDEX(ALLCLASSDATA,MATCH("SimpleTrained",CLASSFEATUREHEADERS,0),MATCH(($A880 &amp; "Points"),CLASSNAMEHEADERS,0))),"")))))))))}</f>
        <v>SIMPLEL01</v>
      </c>
      <c r="H879" s="223"/>
      <c r="I879" s="223" t="str">
        <f t="array" ref="I879:I880">{"SIMPLEL03";((IF("03"=(INDEX(ALLCLASSDATA,MATCH("SimpleLegendary",CLASSFEATUREHEADERS,0),MATCH($A880,CLASSNAMEHEADERS,0))),(INDEX(ALLCLASSDATA,MATCH("SimpleLegendary",CLASSFEATUREHEADERS,0),MATCH(($A880 &amp; "Points"),CLASSNAMEHEADERS,0))),(IF("03"=(INDEX(ALLCLASSDATA,MATCH("SimpleMaster",CLASSFEATUREHEADERS,0),MATCH($A880,CLASSNAMEHEADERS,0))),(INDEX(ALLCLASSDATA,MATCH("SimpleMaster",CLASSFEATUREHEADERS,0),MATCH(($A880 &amp; "Points"),CLASSNAMEHEADERS,0))),(IF("03"=(INDEX(ALLCLASSDATA,MATCH("SimpleExpert",CLASSFEATUREHEADERS,0),MATCH($A880,CLASSNAMEHEADERS,0))),(INDEX(ALLCLASSDATA,MATCH("SimpleExpert",CLASSFEATUREHEADERS,0),MATCH(($A880 &amp; "Points"),CLASSNAMEHEADERS,0))),(IF("03"=(INDEX(ALLCLASSDATA,MATCH("SimpleTrained",CLASSFEATUREHEADERS,0),MATCH($A880,CLASSNAMEHEADERS,0))),(INDEX(ALLCLASSDATA,MATCH("SimpleTrained",CLASSFEATUREHEADERS,0),MATCH(($A880 &amp; "Points"),CLASSNAMEHEADERS,0))),"")))))))))}</f>
        <v>SIMPLEL03</v>
      </c>
      <c r="J879" s="223"/>
      <c r="K879" s="223" t="str">
        <f t="array" ref="K879:K880">{"SIMPLEL05";((IF("05"=(INDEX(ALLCLASSDATA,MATCH("SimpleLegendary",CLASSFEATUREHEADERS,0),MATCH($A880,CLASSNAMEHEADERS,0))),(INDEX(ALLCLASSDATA,MATCH("SimpleLegendary",CLASSFEATUREHEADERS,0),MATCH(($A880 &amp; "Points"),CLASSNAMEHEADERS,0))),(IF("05"=(INDEX(ALLCLASSDATA,MATCH("SimpleMaster",CLASSFEATUREHEADERS,0),MATCH($A880,CLASSNAMEHEADERS,0))),(INDEX(ALLCLASSDATA,MATCH("SimpleMaster",CLASSFEATUREHEADERS,0),MATCH(($A880 &amp; "Points"),CLASSNAMEHEADERS,0))),(IF("05"=(INDEX(ALLCLASSDATA,MATCH("SimpleExpert",CLASSFEATUREHEADERS,0),MATCH($A880,CLASSNAMEHEADERS,0))),(INDEX(ALLCLASSDATA,MATCH("SimpleExpert",CLASSFEATUREHEADERS,0),MATCH(($A880 &amp; "Points"),CLASSNAMEHEADERS,0))),(IF("05"=(INDEX(ALLCLASSDATA,MATCH("SimpleTrained",CLASSFEATUREHEADERS,0),MATCH($A880,CLASSNAMEHEADERS,0))),(INDEX(ALLCLASSDATA,MATCH("SimpleTrained",CLASSFEATUREHEADERS,0),MATCH(($A880 &amp; "Points"),CLASSNAMEHEADERS,0))),"")))))))))}</f>
        <v>SIMPLEL05</v>
      </c>
      <c r="L879" s="223"/>
      <c r="M879" s="223" t="str">
        <f t="array" ref="M879:M880">{"SIMPLEL07";((IF("07"=(INDEX(ALLCLASSDATA,MATCH("SimpleLegendary",CLASSFEATUREHEADERS,0),MATCH($A880,CLASSNAMEHEADERS,0))),(INDEX(ALLCLASSDATA,MATCH("SimpleLegendary",CLASSFEATUREHEADERS,0),MATCH(($A880 &amp; "Points"),CLASSNAMEHEADERS,0))),(IF("07"=(INDEX(ALLCLASSDATA,MATCH("SimpleMaster",CLASSFEATUREHEADERS,0),MATCH($A880,CLASSNAMEHEADERS,0))),(INDEX(ALLCLASSDATA,MATCH("SimpleMaster",CLASSFEATUREHEADERS,0),MATCH(($A880 &amp; "Points"),CLASSNAMEHEADERS,0))),(IF("07"=(INDEX(ALLCLASSDATA,MATCH("SimpleExpert",CLASSFEATUREHEADERS,0),MATCH($A880,CLASSNAMEHEADERS,0))),(INDEX(ALLCLASSDATA,MATCH("SimpleExpert",CLASSFEATUREHEADERS,0),MATCH(($A880 &amp; "Points"),CLASSNAMEHEADERS,0))),(IF("07"=(INDEX(ALLCLASSDATA,MATCH("SimpleTrained",CLASSFEATUREHEADERS,0),MATCH($A880,CLASSNAMEHEADERS,0))),(INDEX(ALLCLASSDATA,MATCH("SimpleTrained",CLASSFEATUREHEADERS,0),MATCH(($A880 &amp; "Points"),CLASSNAMEHEADERS,0))),"")))))))))}</f>
        <v>SIMPLEL07</v>
      </c>
      <c r="N879" s="223"/>
      <c r="O879" s="223" t="str">
        <f t="array" ref="O879:O880">{"SIMPLEL09";((IF("09"=(INDEX(ALLCLASSDATA,MATCH("SimpleLegendary",CLASSFEATUREHEADERS,0),MATCH($A880,CLASSNAMEHEADERS,0))),(INDEX(ALLCLASSDATA,MATCH("SimpleLegendary",CLASSFEATUREHEADERS,0),MATCH(($A880 &amp; "Points"),CLASSNAMEHEADERS,0))),(IF("09"=(INDEX(ALLCLASSDATA,MATCH("SimpleMaster",CLASSFEATUREHEADERS,0),MATCH($A880,CLASSNAMEHEADERS,0))),(INDEX(ALLCLASSDATA,MATCH("SimpleMaster",CLASSFEATUREHEADERS,0),MATCH(($A880 &amp; "Points"),CLASSNAMEHEADERS,0))),(IF("09"=(INDEX(ALLCLASSDATA,MATCH("SimpleExpert",CLASSFEATUREHEADERS,0),MATCH($A880,CLASSNAMEHEADERS,0))),(INDEX(ALLCLASSDATA,MATCH("SimpleExpert",CLASSFEATUREHEADERS,0),MATCH(($A880 &amp; "Points"),CLASSNAMEHEADERS,0))),(IF("09"=(INDEX(ALLCLASSDATA,MATCH("SimpleTrained",CLASSFEATUREHEADERS,0),MATCH($A880,CLASSNAMEHEADERS,0))),(INDEX(ALLCLASSDATA,MATCH("SimpleTrained",CLASSFEATUREHEADERS,0),MATCH(($A880 &amp; "Points"),CLASSNAMEHEADERS,0))),"")))))))))}</f>
        <v>SIMPLEL09</v>
      </c>
      <c r="P879" s="223"/>
      <c r="Q879" s="223" t="str">
        <f t="array" ref="Q879:Q880">{"SIMPLEL11";((IF("11"=(INDEX(ALLCLASSDATA,MATCH("SimpleLegendary",CLASSFEATUREHEADERS,0),MATCH($A880,CLASSNAMEHEADERS,0))),(INDEX(ALLCLASSDATA,MATCH("SimpleLegendary",CLASSFEATUREHEADERS,0),MATCH(($A880 &amp; "Points"),CLASSNAMEHEADERS,0))),(IF("11"=(INDEX(ALLCLASSDATA,MATCH("SimpleMaster",CLASSFEATUREHEADERS,0),MATCH($A880,CLASSNAMEHEADERS,0))),(INDEX(ALLCLASSDATA,MATCH("SimpleMaster",CLASSFEATUREHEADERS,0),MATCH(($A880 &amp; "Points"),CLASSNAMEHEADERS,0))),(IF("11"=(INDEX(ALLCLASSDATA,MATCH("SimpleExpert",CLASSFEATUREHEADERS,0),MATCH($A880,CLASSNAMEHEADERS,0))),(INDEX(ALLCLASSDATA,MATCH("SimpleExpert",CLASSFEATUREHEADERS,0),MATCH(($A880 &amp; "Points"),CLASSNAMEHEADERS,0))),(IF("11"=(INDEX(ALLCLASSDATA,MATCH("SimpleTrained",CLASSFEATUREHEADERS,0),MATCH($A880,CLASSNAMEHEADERS,0))),(INDEX(ALLCLASSDATA,MATCH("SimpleTrained",CLASSFEATUREHEADERS,0),MATCH(($A880 &amp; "Points"),CLASSNAMEHEADERS,0))),"")))))))))}</f>
        <v>SIMPLEL11</v>
      </c>
      <c r="R879" s="223"/>
      <c r="S879" s="223" t="str">
        <f t="array" ref="S879:S880">{"SIMPLEL13";((IF("13"=(INDEX(ALLCLASSDATA,MATCH("SimpleLegendary",CLASSFEATUREHEADERS,0),MATCH($A880,CLASSNAMEHEADERS,0))),(INDEX(ALLCLASSDATA,MATCH("SimpleLegendary",CLASSFEATUREHEADERS,0),MATCH(($A880 &amp; "Points"),CLASSNAMEHEADERS,0))),(IF("13"=(INDEX(ALLCLASSDATA,MATCH("SimpleMaster",CLASSFEATUREHEADERS,0),MATCH($A880,CLASSNAMEHEADERS,0))),(INDEX(ALLCLASSDATA,MATCH("SimpleMaster",CLASSFEATUREHEADERS,0),MATCH(($A880 &amp; "Points"),CLASSNAMEHEADERS,0))),(IF("13"=(INDEX(ALLCLASSDATA,MATCH("SimpleExpert",CLASSFEATUREHEADERS,0),MATCH($A880,CLASSNAMEHEADERS,0))),(INDEX(ALLCLASSDATA,MATCH("SimpleExpert",CLASSFEATUREHEADERS,0),MATCH(($A880 &amp; "Points"),CLASSNAMEHEADERS,0))),(IF("13"=(INDEX(ALLCLASSDATA,MATCH("SimpleTrained",CLASSFEATUREHEADERS,0),MATCH($A880,CLASSNAMEHEADERS,0))),(INDEX(ALLCLASSDATA,MATCH("SimpleTrained",CLASSFEATUREHEADERS,0),MATCH(($A880 &amp; "Points"),CLASSNAMEHEADERS,0))),"")))))))))}</f>
        <v>SIMPLEL13</v>
      </c>
      <c r="T879" s="223"/>
      <c r="U879" s="223" t="str">
        <f t="array" ref="U879:U880">{"SIMPLEL15";((IF("15"=(INDEX(ALLCLASSDATA,MATCH("SimpleLegendary",CLASSFEATUREHEADERS,0),MATCH($A880,CLASSNAMEHEADERS,0))),(INDEX(ALLCLASSDATA,MATCH("SimpleLegendary",CLASSFEATUREHEADERS,0),MATCH(($A880 &amp; "Points"),CLASSNAMEHEADERS,0))),(IF("15"=(INDEX(ALLCLASSDATA,MATCH("SimpleMaster",CLASSFEATUREHEADERS,0),MATCH($A880,CLASSNAMEHEADERS,0))),(INDEX(ALLCLASSDATA,MATCH("SimpleMaster",CLASSFEATUREHEADERS,0),MATCH(($A880 &amp; "Points"),CLASSNAMEHEADERS,0))),(IF("15"=(INDEX(ALLCLASSDATA,MATCH("SimpleExpert",CLASSFEATUREHEADERS,0),MATCH($A880,CLASSNAMEHEADERS,0))),(INDEX(ALLCLASSDATA,MATCH("SimpleExpert",CLASSFEATUREHEADERS,0),MATCH(($A880 &amp; "Points"),CLASSNAMEHEADERS,0))),(IF("15"=(INDEX(ALLCLASSDATA,MATCH("SimpleTrained",CLASSFEATUREHEADERS,0),MATCH($A880,CLASSNAMEHEADERS,0))),(INDEX(ALLCLASSDATA,MATCH("SimpleTrained",CLASSFEATUREHEADERS,0),MATCH(($A880 &amp; "Points"),CLASSNAMEHEADERS,0))),"")))))))))}</f>
        <v>SIMPLEL15</v>
      </c>
      <c r="V879" s="223"/>
      <c r="W879" s="223" t="str">
        <f t="array" ref="W879:W880">{"SIMPLEL17";((IF("17"=(INDEX(ALLCLASSDATA,MATCH("SimpleLegendary",CLASSFEATUREHEADERS,0),MATCH($A880,CLASSNAMEHEADERS,0))),(INDEX(ALLCLASSDATA,MATCH("SimpleLegendary",CLASSFEATUREHEADERS,0),MATCH(($A880 &amp; "Points"),CLASSNAMEHEADERS,0))),(IF("17"=(INDEX(ALLCLASSDATA,MATCH("SimpleMaster",CLASSFEATUREHEADERS,0),MATCH($A880,CLASSNAMEHEADERS,0))),(INDEX(ALLCLASSDATA,MATCH("SimpleMaster",CLASSFEATUREHEADERS,0),MATCH(($A880 &amp; "Points"),CLASSNAMEHEADERS,0))),(IF("17"=(INDEX(ALLCLASSDATA,MATCH("SimpleExpert",CLASSFEATUREHEADERS,0),MATCH($A880,CLASSNAMEHEADERS,0))),(INDEX(ALLCLASSDATA,MATCH("SimpleExpert",CLASSFEATUREHEADERS,0),MATCH(($A880 &amp; "Points"),CLASSNAMEHEADERS,0))),(IF("17"=(INDEX(ALLCLASSDATA,MATCH("SimpleTrained",CLASSFEATUREHEADERS,0),MATCH($A880,CLASSNAMEHEADERS,0))),(INDEX(ALLCLASSDATA,MATCH("SimpleTrained",CLASSFEATUREHEADERS,0),MATCH(($A880 &amp; "Points"),CLASSNAMEHEADERS,0))),"")))))))))}</f>
        <v>SIMPLEL17</v>
      </c>
      <c r="X879" s="223"/>
      <c r="Y879" s="223" t="str">
        <f t="array" ref="Y879:Y880">{"SIMPLEL19";((IF("19"=(INDEX(ALLCLASSDATA,MATCH("SimpleLegendary",CLASSFEATUREHEADERS,0),MATCH($A880,CLASSNAMEHEADERS,0))),(INDEX(ALLCLASSDATA,MATCH("SimpleLegendary",CLASSFEATUREHEADERS,0),MATCH(($A880 &amp; "Points"),CLASSNAMEHEADERS,0))),(IF("19"=(INDEX(ALLCLASSDATA,MATCH("SimpleMaster",CLASSFEATUREHEADERS,0),MATCH($A880,CLASSNAMEHEADERS,0))),(INDEX(ALLCLASSDATA,MATCH("SimpleMaster",CLASSFEATUREHEADERS,0),MATCH(($A880 &amp; "Points"),CLASSNAMEHEADERS,0))),(IF("19"=(INDEX(ALLCLASSDATA,MATCH("SimpleExpert",CLASSFEATUREHEADERS,0),MATCH($A880,CLASSNAMEHEADERS,0))),(INDEX(ALLCLASSDATA,MATCH("SimpleExpert",CLASSFEATUREHEADERS,0),MATCH(($A880 &amp; "Points"),CLASSNAMEHEADERS,0))),(IF("19"=(INDEX(ALLCLASSDATA,MATCH("SimpleTrained",CLASSFEATUREHEADERS,0),MATCH($A880,CLASSNAMEHEADERS,0))),(INDEX(ALLCLASSDATA,MATCH("SimpleTrained",CLASSFEATUREHEADERS,0),MATCH(($A880 &amp; "Points"),CLASSNAMEHEADERS,0))),"")))))))))}</f>
        <v>SIMPLEL19</v>
      </c>
      <c r="Z879" s="223"/>
      <c r="AA879" s="76" t="str">
        <f t="array" ref="AA879:AA880">{"SIMPLE TOTAL";(IF(COUNTBLANK(F880:Z880)=17,"L",(IF(COUNTBLANK(F880:Z880)=18,"M",(IF(COUNTBLANK(F880:Z880)=19,"E",(IF(COUNTBLANK(F880:Z880)=20,"T",""))))))))}</f>
        <v>SIMPLE TOTAL</v>
      </c>
      <c r="AB879" s="76" t="str">
        <f t="array" ref="AB879:AB880">{"SIMPLE TOTAL";(sum(F880:Z880))}</f>
        <v>SIMPLE TOTAL</v>
      </c>
    </row>
    <row r="880">
      <c r="A880" s="48" t="s">
        <v>227</v>
      </c>
      <c r="B880" s="48" t="s">
        <v>418</v>
      </c>
      <c r="C880" s="48" t="s">
        <v>1634</v>
      </c>
      <c r="D880" s="48" t="s">
        <v>68</v>
      </c>
      <c r="E880" s="5" t="s">
        <v>435</v>
      </c>
      <c r="F880" s="47" t="s">
        <v>603</v>
      </c>
      <c r="G880" s="5">
        <v>10.0</v>
      </c>
      <c r="H880" s="5"/>
      <c r="I880" s="5" t="s">
        <v>603</v>
      </c>
      <c r="J880" s="5"/>
      <c r="K880" s="5" t="s">
        <v>603</v>
      </c>
      <c r="L880" s="5"/>
      <c r="M880" s="5" t="s">
        <v>603</v>
      </c>
      <c r="N880" s="5"/>
      <c r="O880" s="5" t="s">
        <v>603</v>
      </c>
      <c r="P880" s="5"/>
      <c r="Q880" s="5">
        <v>50.0</v>
      </c>
      <c r="R880" s="5"/>
      <c r="S880" s="5" t="s">
        <v>603</v>
      </c>
      <c r="T880" s="5"/>
      <c r="U880" s="5" t="s">
        <v>603</v>
      </c>
      <c r="V880" s="5"/>
      <c r="W880" s="5" t="s">
        <v>603</v>
      </c>
      <c r="X880" s="5"/>
      <c r="Y880" s="5" t="s">
        <v>603</v>
      </c>
      <c r="Z880" s="5"/>
      <c r="AA880" s="5" t="s">
        <v>436</v>
      </c>
      <c r="AB880" s="47">
        <v>60.0</v>
      </c>
    </row>
    <row r="881" hidden="1">
      <c r="A881" s="222" t="str">
        <f t="array" ref="A881:A882">{"FormulaRow30";(INDEX(CLASSLIST,A822,1))}</f>
        <v>FormulaRow30</v>
      </c>
      <c r="B881" s="222" t="str">
        <f t="array" ref="B881:B882">{"CLASSTYPE";((INDEX(ALLCLASSDATA,MATCH("ClassType",CLASSFEATUREHEADERS,0),MATCH($A882,CLASSNAMEHEADERS,0))))}</f>
        <v>CLASSTYPE</v>
      </c>
      <c r="C881" s="222" t="str">
        <f t="array" ref="C881:C882">{"ATTACK";"Attack"}</f>
        <v>ATTACK</v>
      </c>
      <c r="D881" s="222" t="str">
        <f t="array" ref="D881:D882">{"MARTIALLIMITED";"MartialLimited"}</f>
        <v>MARTIALLIMITED</v>
      </c>
      <c r="E881" s="223" t="str">
        <f t="array" ref="E881:E882">{"MARTIALLIMITEDINITIAL";((IF(G882=10,"T",(IF(G882=50,"E","")))))}</f>
        <v>MARTIALLIMITEDINITIAL</v>
      </c>
      <c r="F881" s="223" t="str">
        <f t="array" ref="F881:F882">{"MARTIALLIMITEDINITIALPTS";((IF("00"=(INDEX(ALLCLASSDATA,MATCH("MartialLimitedLegendary",CLASSFEATUREHEADERS,0),MATCH($A882,CLASSNAMEHEADERS,0))),(INDEX(ALLCLASSDATA,MATCH("MartialLimitedLegendary",CLASSFEATUREHEADERS,0),MATCH(($A882 &amp; "Points"),CLASSNAMEHEADERS,0))),(IF("00"=(INDEX(ALLCLASSDATA,MATCH("MartialLimitedMaster",CLASSFEATUREHEADERS,0),MATCH($A882,CLASSNAMEHEADERS,0))),(INDEX(ALLCLASSDATA,MATCH("MartialLimitedMaster",CLASSFEATUREHEADERS,0),MATCH(($A882 &amp; "Points"),CLASSNAMEHEADERS,0))),(IF("00"=(INDEX(ALLCLASSDATA,MATCH("MartialLimitedExpert",CLASSFEATUREHEADERS,0),MATCH($A882,CLASSNAMEHEADERS,0))),(INDEX(ALLCLASSDATA,MATCH("MartialLimitedExpert",CLASSFEATUREHEADERS,0),MATCH(($A882 &amp; "Points"),CLASSNAMEHEADERS,0))),(IF("00"=(INDEX(ALLCLASSDATA,MATCH("MartialLimitedTrained",CLASSFEATUREHEADERS,0),MATCH($A882,CLASSNAMEHEADERS,0))),(INDEX(ALLCLASSDATA,MATCH("MartialLimitedTrained",CLASSFEATUREHEADERS,0),MATCH(($A882 &amp; "Points"),CLASSNAMEHEADERS,0))),"")))))))))}</f>
        <v>MARTIALLIMITEDINITIALPTS</v>
      </c>
      <c r="G881" s="223" t="str">
        <f t="array" ref="G881:G882">{"MARTIALLIMITEDL01";((IF("01"=(INDEX(ALLCLASSDATA,MATCH("MartialLimitedLegendary",CLASSFEATUREHEADERS,0),MATCH($A882,CLASSNAMEHEADERS,0))),(INDEX(ALLCLASSDATA,MATCH("MartialLimitedLegendary",CLASSFEATUREHEADERS,0),MATCH(($A882 &amp; "Points"),CLASSNAMEHEADERS,0))),(IF("01"=(INDEX(ALLCLASSDATA,MATCH("MartialLimitedMaster",CLASSFEATUREHEADERS,0),MATCH($A882,CLASSNAMEHEADERS,0))),(INDEX(ALLCLASSDATA,MATCH("MartialLimitedMaster",CLASSFEATUREHEADERS,0),MATCH(($A882 &amp; "Points"),CLASSNAMEHEADERS,0))),(IF("01"=(INDEX(ALLCLASSDATA,MATCH("MartialLimitedExpert",CLASSFEATUREHEADERS,0),MATCH($A882,CLASSNAMEHEADERS,0))),(INDEX(ALLCLASSDATA,MATCH("MartialLimitedExpert",CLASSFEATUREHEADERS,0),MATCH(($A882 &amp; "Points"),CLASSNAMEHEADERS,0))),(IF("01"=(INDEX(ALLCLASSDATA,MATCH("MartialLimitedTrained",CLASSFEATUREHEADERS,0),MATCH($A882,CLASSNAMEHEADERS,0))),(INDEX(ALLCLASSDATA,MATCH("MartialLimitedTrained",CLASSFEATUREHEADERS,0),MATCH(($A882 &amp; "Points"),CLASSNAMEHEADERS,0))),"")))))))))}</f>
        <v>MARTIALLIMITEDL01</v>
      </c>
      <c r="H881" s="223"/>
      <c r="I881" s="223" t="str">
        <f t="array" ref="I881:I882">{"MARTIALLIMITEDL03";((IF("03"=(INDEX(ALLCLASSDATA,MATCH("MartialLimitedLegendary",CLASSFEATUREHEADERS,0),MATCH($A882,CLASSNAMEHEADERS,0))),(INDEX(ALLCLASSDATA,MATCH("MartialLimitedLegendary",CLASSFEATUREHEADERS,0),MATCH(($A882 &amp; "Points"),CLASSNAMEHEADERS,0))),(IF("03"=(INDEX(ALLCLASSDATA,MATCH("MartialLimitedMaster",CLASSFEATUREHEADERS,0),MATCH($A882,CLASSNAMEHEADERS,0))),(INDEX(ALLCLASSDATA,MATCH("MartialLimitedMaster",CLASSFEATUREHEADERS,0),MATCH(($A882 &amp; "Points"),CLASSNAMEHEADERS,0))),(IF("03"=(INDEX(ALLCLASSDATA,MATCH("MartialLimitedExpert",CLASSFEATUREHEADERS,0),MATCH($A882,CLASSNAMEHEADERS,0))),(INDEX(ALLCLASSDATA,MATCH("MartialLimitedExpert",CLASSFEATUREHEADERS,0),MATCH(($A882 &amp; "Points"),CLASSNAMEHEADERS,0))),(IF("03"=(INDEX(ALLCLASSDATA,MATCH("MartialLimitedTrained",CLASSFEATUREHEADERS,0),MATCH($A882,CLASSNAMEHEADERS,0))),(INDEX(ALLCLASSDATA,MATCH("MartialLimitedTrained",CLASSFEATUREHEADERS,0),MATCH(($A882 &amp; "Points"),CLASSNAMEHEADERS,0))),"")))))))))}</f>
        <v>MARTIALLIMITEDL03</v>
      </c>
      <c r="J881" s="223"/>
      <c r="K881" s="223" t="str">
        <f t="array" ref="K881:K882">{"MARTIALLIMITEDL05";((IF("05"=(INDEX(ALLCLASSDATA,MATCH("MartialLimitedLegendary",CLASSFEATUREHEADERS,0),MATCH($A882,CLASSNAMEHEADERS,0))),(INDEX(ALLCLASSDATA,MATCH("MartialLimitedLegendary",CLASSFEATUREHEADERS,0),MATCH(($A882 &amp; "Points"),CLASSNAMEHEADERS,0))),(IF("05"=(INDEX(ALLCLASSDATA,MATCH("MartialLimitedMaster",CLASSFEATUREHEADERS,0),MATCH($A882,CLASSNAMEHEADERS,0))),(INDEX(ALLCLASSDATA,MATCH("MartialLimitedMaster",CLASSFEATUREHEADERS,0),MATCH(($A882 &amp; "Points"),CLASSNAMEHEADERS,0))),(IF("05"=(INDEX(ALLCLASSDATA,MATCH("MartialLimitedExpert",CLASSFEATUREHEADERS,0),MATCH($A882,CLASSNAMEHEADERS,0))),(INDEX(ALLCLASSDATA,MATCH("MartialLimitedExpert",CLASSFEATUREHEADERS,0),MATCH(($A882 &amp; "Points"),CLASSNAMEHEADERS,0))),(IF("05"=(INDEX(ALLCLASSDATA,MATCH("MartialLimitedTrained",CLASSFEATUREHEADERS,0),MATCH($A882,CLASSNAMEHEADERS,0))),(INDEX(ALLCLASSDATA,MATCH("MartialLimitedTrained",CLASSFEATUREHEADERS,0),MATCH(($A882 &amp; "Points"),CLASSNAMEHEADERS,0))),"")))))))))}</f>
        <v>MARTIALLIMITEDL05</v>
      </c>
      <c r="L881" s="223"/>
      <c r="M881" s="223" t="str">
        <f t="array" ref="M881:M882">{"MARTIALLIMITEDL07";((IF("07"=(INDEX(ALLCLASSDATA,MATCH("MartialLimitedLegendary",CLASSFEATUREHEADERS,0),MATCH($A882,CLASSNAMEHEADERS,0))),(INDEX(ALLCLASSDATA,MATCH("MartialLimitedLegendary",CLASSFEATUREHEADERS,0),MATCH(($A882 &amp; "Points"),CLASSNAMEHEADERS,0))),(IF("07"=(INDEX(ALLCLASSDATA,MATCH("MartialLimitedMaster",CLASSFEATUREHEADERS,0),MATCH($A882,CLASSNAMEHEADERS,0))),(INDEX(ALLCLASSDATA,MATCH("MartialLimitedMaster",CLASSFEATUREHEADERS,0),MATCH(($A882 &amp; "Points"),CLASSNAMEHEADERS,0))),(IF("07"=(INDEX(ALLCLASSDATA,MATCH("MartialLimitedExpert",CLASSFEATUREHEADERS,0),MATCH($A882,CLASSNAMEHEADERS,0))),(INDEX(ALLCLASSDATA,MATCH("MartialLimitedExpert",CLASSFEATUREHEADERS,0),MATCH(($A882 &amp; "Points"),CLASSNAMEHEADERS,0))),(IF("07"=(INDEX(ALLCLASSDATA,MATCH("MartialLimitedTrained",CLASSFEATUREHEADERS,0),MATCH($A882,CLASSNAMEHEADERS,0))),(INDEX(ALLCLASSDATA,MATCH("MartialLimitedTrained",CLASSFEATUREHEADERS,0),MATCH(($A882 &amp; "Points"),CLASSNAMEHEADERS,0))),"")))))))))}</f>
        <v>MARTIALLIMITEDL07</v>
      </c>
      <c r="N881" s="223"/>
      <c r="O881" s="223" t="str">
        <f t="array" ref="O881:O882">{"MARTIALLIMITEDL09";((IF("09"=(INDEX(ALLCLASSDATA,MATCH("MartialLimitedLegendary",CLASSFEATUREHEADERS,0),MATCH($A882,CLASSNAMEHEADERS,0))),(INDEX(ALLCLASSDATA,MATCH("MartialLimitedLegendary",CLASSFEATUREHEADERS,0),MATCH(($A882 &amp; "Points"),CLASSNAMEHEADERS,0))),(IF("09"=(INDEX(ALLCLASSDATA,MATCH("MartialLimitedMaster",CLASSFEATUREHEADERS,0),MATCH($A882,CLASSNAMEHEADERS,0))),(INDEX(ALLCLASSDATA,MATCH("MartialLimitedMaster",CLASSFEATUREHEADERS,0),MATCH(($A882 &amp; "Points"),CLASSNAMEHEADERS,0))),(IF("09"=(INDEX(ALLCLASSDATA,MATCH("MartialLimitedExpert",CLASSFEATUREHEADERS,0),MATCH($A882,CLASSNAMEHEADERS,0))),(INDEX(ALLCLASSDATA,MATCH("MartialLimitedExpert",CLASSFEATUREHEADERS,0),MATCH(($A882 &amp; "Points"),CLASSNAMEHEADERS,0))),(IF("09"=(INDEX(ALLCLASSDATA,MATCH("MartialLimitedTrained",CLASSFEATUREHEADERS,0),MATCH($A882,CLASSNAMEHEADERS,0))),(INDEX(ALLCLASSDATA,MATCH("MartialLimitedTrained",CLASSFEATUREHEADERS,0),MATCH(($A882 &amp; "Points"),CLASSNAMEHEADERS,0))),"")))))))))}</f>
        <v>MARTIALLIMITEDL09</v>
      </c>
      <c r="P881" s="223"/>
      <c r="Q881" s="223" t="str">
        <f t="array" ref="Q881:Q882">{"MARTIALLIMITEDL11";((IF("11"=(INDEX(ALLCLASSDATA,MATCH("MartialLimitedLegendary",CLASSFEATUREHEADERS,0),MATCH($A882,CLASSNAMEHEADERS,0))),(INDEX(ALLCLASSDATA,MATCH("MartialLimitedLegendary",CLASSFEATUREHEADERS,0),MATCH(($A882 &amp; "Points"),CLASSNAMEHEADERS,0))),(IF("11"=(INDEX(ALLCLASSDATA,MATCH("MartialLimitedMaster",CLASSFEATUREHEADERS,0),MATCH($A882,CLASSNAMEHEADERS,0))),(INDEX(ALLCLASSDATA,MATCH("MartialLimitedMaster",CLASSFEATUREHEADERS,0),MATCH(($A882 &amp; "Points"),CLASSNAMEHEADERS,0))),(IF("11"=(INDEX(ALLCLASSDATA,MATCH("MartialLimitedExpert",CLASSFEATUREHEADERS,0),MATCH($A882,CLASSNAMEHEADERS,0))),(INDEX(ALLCLASSDATA,MATCH("MartialLimitedExpert",CLASSFEATUREHEADERS,0),MATCH(($A882 &amp; "Points"),CLASSNAMEHEADERS,0))),(IF("11"=(INDEX(ALLCLASSDATA,MATCH("MartialLimitedTrained",CLASSFEATUREHEADERS,0),MATCH($A882,CLASSNAMEHEADERS,0))),(INDEX(ALLCLASSDATA,MATCH("MartialLimitedTrained",CLASSFEATUREHEADERS,0),MATCH(($A882 &amp; "Points"),CLASSNAMEHEADERS,0))),"")))))))))}</f>
        <v>MARTIALLIMITEDL11</v>
      </c>
      <c r="R881" s="223"/>
      <c r="S881" s="223" t="str">
        <f t="array" ref="S881:S882">{"MARTIALLIMITEDL13";((IF("13"=(INDEX(ALLCLASSDATA,MATCH("MartialLimitedLegendary",CLASSFEATUREHEADERS,0),MATCH($A882,CLASSNAMEHEADERS,0))),(INDEX(ALLCLASSDATA,MATCH("MartialLimitedLegendary",CLASSFEATUREHEADERS,0),MATCH(($A882 &amp; "Points"),CLASSNAMEHEADERS,0))),(IF("13"=(INDEX(ALLCLASSDATA,MATCH("MartialLimitedMaster",CLASSFEATUREHEADERS,0),MATCH($A882,CLASSNAMEHEADERS,0))),(INDEX(ALLCLASSDATA,MATCH("MartialLimitedMaster",CLASSFEATUREHEADERS,0),MATCH(($A882 &amp; "Points"),CLASSNAMEHEADERS,0))),(IF("13"=(INDEX(ALLCLASSDATA,MATCH("MartialLimitedExpert",CLASSFEATUREHEADERS,0),MATCH($A882,CLASSNAMEHEADERS,0))),(INDEX(ALLCLASSDATA,MATCH("MartialLimitedExpert",CLASSFEATUREHEADERS,0),MATCH(($A882 &amp; "Points"),CLASSNAMEHEADERS,0))),(IF("13"=(INDEX(ALLCLASSDATA,MATCH("MartialLimitedTrained",CLASSFEATUREHEADERS,0),MATCH($A882,CLASSNAMEHEADERS,0))),(INDEX(ALLCLASSDATA,MATCH("MartialLimitedTrained",CLASSFEATUREHEADERS,0),MATCH(($A882 &amp; "Points"),CLASSNAMEHEADERS,0))),"")))))))))}</f>
        <v>MARTIALLIMITEDL13</v>
      </c>
      <c r="T881" s="223"/>
      <c r="U881" s="223" t="str">
        <f t="array" ref="U881:U882">{"MARTIALLIMITEDL15";((IF("15"=(INDEX(ALLCLASSDATA,MATCH("MartialLimitedLegendary",CLASSFEATUREHEADERS,0),MATCH($A882,CLASSNAMEHEADERS,0))),(INDEX(ALLCLASSDATA,MATCH("MartialLimitedLegendary",CLASSFEATUREHEADERS,0),MATCH(($A882 &amp; "Points"),CLASSNAMEHEADERS,0))),(IF("15"=(INDEX(ALLCLASSDATA,MATCH("MartialLimitedMaster",CLASSFEATUREHEADERS,0),MATCH($A882,CLASSNAMEHEADERS,0))),(INDEX(ALLCLASSDATA,MATCH("MartialLimitedMaster",CLASSFEATUREHEADERS,0),MATCH(($A882 &amp; "Points"),CLASSNAMEHEADERS,0))),(IF("15"=(INDEX(ALLCLASSDATA,MATCH("MartialLimitedExpert",CLASSFEATUREHEADERS,0),MATCH($A882,CLASSNAMEHEADERS,0))),(INDEX(ALLCLASSDATA,MATCH("MartialLimitedExpert",CLASSFEATUREHEADERS,0),MATCH(($A882 &amp; "Points"),CLASSNAMEHEADERS,0))),(IF("15"=(INDEX(ALLCLASSDATA,MATCH("MartialLimitedTrained",CLASSFEATUREHEADERS,0),MATCH($A882,CLASSNAMEHEADERS,0))),(INDEX(ALLCLASSDATA,MATCH("MartialLimitedTrained",CLASSFEATUREHEADERS,0),MATCH(($A882 &amp; "Points"),CLASSNAMEHEADERS,0))),"")))))))))}</f>
        <v>MARTIALLIMITEDL15</v>
      </c>
      <c r="V881" s="223"/>
      <c r="W881" s="223" t="str">
        <f t="array" ref="W881:W882">{"MARTIALLIMITEDL17";((IF("17"=(INDEX(ALLCLASSDATA,MATCH("MartialLimitedLegendary",CLASSFEATUREHEADERS,0),MATCH($A882,CLASSNAMEHEADERS,0))),(INDEX(ALLCLASSDATA,MATCH("MartialLimitedLegendary",CLASSFEATUREHEADERS,0),MATCH(($A882 &amp; "Points"),CLASSNAMEHEADERS,0))),(IF("17"=(INDEX(ALLCLASSDATA,MATCH("MartialLimitedMaster",CLASSFEATUREHEADERS,0),MATCH($A882,CLASSNAMEHEADERS,0))),(INDEX(ALLCLASSDATA,MATCH("MartialLimitedMaster",CLASSFEATUREHEADERS,0),MATCH(($A882 &amp; "Points"),CLASSNAMEHEADERS,0))),(IF("17"=(INDEX(ALLCLASSDATA,MATCH("MartialLimitedExpert",CLASSFEATUREHEADERS,0),MATCH($A882,CLASSNAMEHEADERS,0))),(INDEX(ALLCLASSDATA,MATCH("MartialLimitedExpert",CLASSFEATUREHEADERS,0),MATCH(($A882 &amp; "Points"),CLASSNAMEHEADERS,0))),(IF("17"=(INDEX(ALLCLASSDATA,MATCH("MartialLimitedTrained",CLASSFEATUREHEADERS,0),MATCH($A882,CLASSNAMEHEADERS,0))),(INDEX(ALLCLASSDATA,MATCH("MartialLimitedTrained",CLASSFEATUREHEADERS,0),MATCH(($A882 &amp; "Points"),CLASSNAMEHEADERS,0))),"")))))))))}</f>
        <v>MARTIALLIMITEDL17</v>
      </c>
      <c r="X881" s="223"/>
      <c r="Y881" s="223" t="str">
        <f t="array" ref="Y881:Y882">{"MARTIALLIMITEDL19";((IF("19"=(INDEX(ALLCLASSDATA,MATCH("MartialLimitedLegendary",CLASSFEATUREHEADERS,0),MATCH($A882,CLASSNAMEHEADERS,0))),(INDEX(ALLCLASSDATA,MATCH("MartialLimitedLegendary",CLASSFEATUREHEADERS,0),MATCH(($A882 &amp; "Points"),CLASSNAMEHEADERS,0))),(IF("19"=(INDEX(ALLCLASSDATA,MATCH("MartialLimitedMaster",CLASSFEATUREHEADERS,0),MATCH($A882,CLASSNAMEHEADERS,0))),(INDEX(ALLCLASSDATA,MATCH("MartialLimitedMaster",CLASSFEATUREHEADERS,0),MATCH(($A882 &amp; "Points"),CLASSNAMEHEADERS,0))),(IF("19"=(INDEX(ALLCLASSDATA,MATCH("MartialLimitedExpert",CLASSFEATUREHEADERS,0),MATCH($A882,CLASSNAMEHEADERS,0))),(INDEX(ALLCLASSDATA,MATCH("MartialLimitedExpert",CLASSFEATUREHEADERS,0),MATCH(($A882 &amp; "Points"),CLASSNAMEHEADERS,0))),(IF("19"=(INDEX(ALLCLASSDATA,MATCH("MartialLimitedTrained",CLASSFEATUREHEADERS,0),MATCH($A882,CLASSNAMEHEADERS,0))),(INDEX(ALLCLASSDATA,MATCH("MartialLimitedTrained",CLASSFEATUREHEADERS,0),MATCH(($A882 &amp; "Points"),CLASSNAMEHEADERS,0))),"")))))))))}</f>
        <v>MARTIALLIMITEDL19</v>
      </c>
      <c r="Z881" s="223"/>
      <c r="AA881" s="76" t="str">
        <f t="array" ref="AA881:AA882">{"MARTIALLIMITED TOTAL";(IF(COUNTBLANK(F882:Z882)=17,"L",(IF(COUNTBLANK(F882:Z882)=18,"M",(IF(COUNTBLANK(F882:Z882)=19,"E",(IF(COUNTBLANK(F882:Z882)=20,"T",""))))))))}</f>
        <v>MARTIALLIMITED TOTAL</v>
      </c>
      <c r="AB881" s="76" t="str">
        <f t="array" ref="AB881:AB882">{"MARTIALLIMITED TOTAL";(sum(F882:Z882))}</f>
        <v>MARTIALLIMITED TOTAL</v>
      </c>
    </row>
    <row r="882">
      <c r="A882" s="48" t="s">
        <v>227</v>
      </c>
      <c r="B882" s="48" t="s">
        <v>418</v>
      </c>
      <c r="C882" s="48" t="s">
        <v>1634</v>
      </c>
      <c r="D882" s="48" t="s">
        <v>600</v>
      </c>
      <c r="E882" s="5" t="s">
        <v>603</v>
      </c>
      <c r="F882" s="47" t="s">
        <v>603</v>
      </c>
      <c r="G882" s="5" t="s">
        <v>603</v>
      </c>
      <c r="H882" s="5"/>
      <c r="I882" s="5" t="s">
        <v>603</v>
      </c>
      <c r="J882" s="5"/>
      <c r="K882" s="5" t="s">
        <v>603</v>
      </c>
      <c r="L882" s="5"/>
      <c r="M882" s="5" t="s">
        <v>603</v>
      </c>
      <c r="N882" s="5"/>
      <c r="O882" s="5" t="s">
        <v>603</v>
      </c>
      <c r="P882" s="5"/>
      <c r="Q882" s="5" t="s">
        <v>603</v>
      </c>
      <c r="R882" s="5"/>
      <c r="S882" s="5" t="s">
        <v>603</v>
      </c>
      <c r="T882" s="5"/>
      <c r="U882" s="5" t="s">
        <v>603</v>
      </c>
      <c r="V882" s="5"/>
      <c r="W882" s="5" t="s">
        <v>603</v>
      </c>
      <c r="X882" s="5"/>
      <c r="Y882" s="5" t="s">
        <v>603</v>
      </c>
      <c r="Z882" s="5"/>
      <c r="AA882" s="5" t="s">
        <v>603</v>
      </c>
      <c r="AB882" s="47">
        <v>0.0</v>
      </c>
    </row>
    <row r="883" hidden="1">
      <c r="A883" s="222" t="str">
        <f t="array" ref="A883:A884">{"FormulaRow31";(INDEX(CLASSLIST,A822,1))}</f>
        <v>FormulaRow31</v>
      </c>
      <c r="B883" s="222" t="str">
        <f t="array" ref="B883:B884">{"CLASSTYPE";((INDEX(ALLCLASSDATA,MATCH("ClassType",CLASSFEATUREHEADERS,0),MATCH($A884,CLASSNAMEHEADERS,0))))}</f>
        <v>CLASSTYPE</v>
      </c>
      <c r="C883" s="222" t="str">
        <f t="array" ref="C883:C884">{"ATTACK";"Attack"}</f>
        <v>ATTACK</v>
      </c>
      <c r="D883" s="222" t="str">
        <f t="array" ref="D883:D884">{"MARTIAL";"Martial"}</f>
        <v>MARTIAL</v>
      </c>
      <c r="E883" s="223" t="str">
        <f t="array" ref="E883:E884">{"MARTIALINITIAL";((IF(G884=10,"T",(IF(G884=50,"E","")))))}</f>
        <v>MARTIALINITIAL</v>
      </c>
      <c r="F883" s="223" t="str">
        <f t="array" ref="F883:F884">{"MARTIALINITIALPTS";((IF("00"=(INDEX(ALLCLASSDATA,MATCH("MartialLegendary",CLASSFEATUREHEADERS,0),MATCH($A884,CLASSNAMEHEADERS,0))),(INDEX(ALLCLASSDATA,MATCH("MartialLegendary",CLASSFEATUREHEADERS,0),MATCH(($A884 &amp; "Points"),CLASSNAMEHEADERS,0))),(IF("00"=(INDEX(ALLCLASSDATA,MATCH("MartialMaster",CLASSFEATUREHEADERS,0),MATCH($A884,CLASSNAMEHEADERS,0))),(INDEX(ALLCLASSDATA,MATCH("MartialMaster",CLASSFEATUREHEADERS,0),MATCH(($A884 &amp; "Points"),CLASSNAMEHEADERS,0))),(IF("00"=(INDEX(ALLCLASSDATA,MATCH("MartialExpert",CLASSFEATUREHEADERS,0),MATCH($A884,CLASSNAMEHEADERS,0))),(INDEX(ALLCLASSDATA,MATCH("MartialExpert",CLASSFEATUREHEADERS,0),MATCH(($A884 &amp; "Points"),CLASSNAMEHEADERS,0))),(IF("00"=(INDEX(ALLCLASSDATA,MATCH("MartialTrained",CLASSFEATUREHEADERS,0),MATCH($A884,CLASSNAMEHEADERS,0))),(INDEX(ALLCLASSDATA,MATCH("MartialTrained",CLASSFEATUREHEADERS,0),MATCH(($A884 &amp; "Points"),CLASSNAMEHEADERS,0))),"")))))))))}</f>
        <v>MARTIALINITIALPTS</v>
      </c>
      <c r="G883" s="223" t="str">
        <f t="array" ref="G883:G884">{"MARTIALL01";((IF("01"=(INDEX(ALLCLASSDATA,MATCH("MartialLegendary",CLASSFEATUREHEADERS,0),MATCH($A884,CLASSNAMEHEADERS,0))),(INDEX(ALLCLASSDATA,MATCH("MartialLegendary",CLASSFEATUREHEADERS,0),MATCH(($A884 &amp; "Points"),CLASSNAMEHEADERS,0))),(IF("01"=(INDEX(ALLCLASSDATA,MATCH("MartialMaster",CLASSFEATUREHEADERS,0),MATCH($A884,CLASSNAMEHEADERS,0))),(INDEX(ALLCLASSDATA,MATCH("MartialMaster",CLASSFEATUREHEADERS,0),MATCH(($A884 &amp; "Points"),CLASSNAMEHEADERS,0))),(IF("01"=(INDEX(ALLCLASSDATA,MATCH("MartialExpert",CLASSFEATUREHEADERS,0),MATCH($A884,CLASSNAMEHEADERS,0))),(INDEX(ALLCLASSDATA,MATCH("MartialExpert",CLASSFEATUREHEADERS,0),MATCH(($A884 &amp; "Points"),CLASSNAMEHEADERS,0))),(IF("01"=(INDEX(ALLCLASSDATA,MATCH("MartialTrained",CLASSFEATUREHEADERS,0),MATCH($A884,CLASSNAMEHEADERS,0))),(INDEX(ALLCLASSDATA,MATCH("MartialTrained",CLASSFEATUREHEADERS,0),MATCH(($A884 &amp; "Points"),CLASSNAMEHEADERS,0))),"")))))))))}</f>
        <v>MARTIALL01</v>
      </c>
      <c r="H883" s="223"/>
      <c r="I883" s="223" t="str">
        <f t="array" ref="I883:I884">{"MARTIALL03";((IF("03"=(INDEX(ALLCLASSDATA,MATCH("MartialLegendary",CLASSFEATUREHEADERS,0),MATCH($A884,CLASSNAMEHEADERS,0))),(INDEX(ALLCLASSDATA,MATCH("MartialLegendary",CLASSFEATUREHEADERS,0),MATCH(($A884 &amp; "Points"),CLASSNAMEHEADERS,0))),(IF("03"=(INDEX(ALLCLASSDATA,MATCH("MartialMaster",CLASSFEATUREHEADERS,0),MATCH($A884,CLASSNAMEHEADERS,0))),(INDEX(ALLCLASSDATA,MATCH("MartialMaster",CLASSFEATUREHEADERS,0),MATCH(($A884 &amp; "Points"),CLASSNAMEHEADERS,0))),(IF("03"=(INDEX(ALLCLASSDATA,MATCH("MartialExpert",CLASSFEATUREHEADERS,0),MATCH($A884,CLASSNAMEHEADERS,0))),(INDEX(ALLCLASSDATA,MATCH("MartialExpert",CLASSFEATUREHEADERS,0),MATCH(($A884 &amp; "Points"),CLASSNAMEHEADERS,0))),(IF("03"=(INDEX(ALLCLASSDATA,MATCH("MartialTrained",CLASSFEATUREHEADERS,0),MATCH($A884,CLASSNAMEHEADERS,0))),(INDEX(ALLCLASSDATA,MATCH("MartialTrained",CLASSFEATUREHEADERS,0),MATCH(($A884 &amp; "Points"),CLASSNAMEHEADERS,0))),"")))))))))}</f>
        <v>MARTIALL03</v>
      </c>
      <c r="J883" s="223"/>
      <c r="K883" s="223" t="str">
        <f t="array" ref="K883:K884">{"MARTIALL05";((IF("05"=(INDEX(ALLCLASSDATA,MATCH("MartialLegendary",CLASSFEATUREHEADERS,0),MATCH($A884,CLASSNAMEHEADERS,0))),(INDEX(ALLCLASSDATA,MATCH("MartialLegendary",CLASSFEATUREHEADERS,0),MATCH(($A884 &amp; "Points"),CLASSNAMEHEADERS,0))),(IF("05"=(INDEX(ALLCLASSDATA,MATCH("MartialMaster",CLASSFEATUREHEADERS,0),MATCH($A884,CLASSNAMEHEADERS,0))),(INDEX(ALLCLASSDATA,MATCH("MartialMaster",CLASSFEATUREHEADERS,0),MATCH(($A884 &amp; "Points"),CLASSNAMEHEADERS,0))),(IF("05"=(INDEX(ALLCLASSDATA,MATCH("MartialExpert",CLASSFEATUREHEADERS,0),MATCH($A884,CLASSNAMEHEADERS,0))),(INDEX(ALLCLASSDATA,MATCH("MartialExpert",CLASSFEATUREHEADERS,0),MATCH(($A884 &amp; "Points"),CLASSNAMEHEADERS,0))),(IF("05"=(INDEX(ALLCLASSDATA,MATCH("MartialTrained",CLASSFEATUREHEADERS,0),MATCH($A884,CLASSNAMEHEADERS,0))),(INDEX(ALLCLASSDATA,MATCH("MartialTrained",CLASSFEATUREHEADERS,0),MATCH(($A884 &amp; "Points"),CLASSNAMEHEADERS,0))),"")))))))))}</f>
        <v>MARTIALL05</v>
      </c>
      <c r="L883" s="223"/>
      <c r="M883" s="223" t="str">
        <f t="array" ref="M883:M884">{"MARTIALL07";((IF("07"=(INDEX(ALLCLASSDATA,MATCH("MartialLegendary",CLASSFEATUREHEADERS,0),MATCH($A884,CLASSNAMEHEADERS,0))),(INDEX(ALLCLASSDATA,MATCH("MartialLegendary",CLASSFEATUREHEADERS,0),MATCH(($A884 &amp; "Points"),CLASSNAMEHEADERS,0))),(IF("07"=(INDEX(ALLCLASSDATA,MATCH("MartialMaster",CLASSFEATUREHEADERS,0),MATCH($A884,CLASSNAMEHEADERS,0))),(INDEX(ALLCLASSDATA,MATCH("MartialMaster",CLASSFEATUREHEADERS,0),MATCH(($A884 &amp; "Points"),CLASSNAMEHEADERS,0))),(IF("07"=(INDEX(ALLCLASSDATA,MATCH("MartialExpert",CLASSFEATUREHEADERS,0),MATCH($A884,CLASSNAMEHEADERS,0))),(INDEX(ALLCLASSDATA,MATCH("MartialExpert",CLASSFEATUREHEADERS,0),MATCH(($A884 &amp; "Points"),CLASSNAMEHEADERS,0))),(IF("07"=(INDEX(ALLCLASSDATA,MATCH("MartialTrained",CLASSFEATUREHEADERS,0),MATCH($A884,CLASSNAMEHEADERS,0))),(INDEX(ALLCLASSDATA,MATCH("MartialTrained",CLASSFEATUREHEADERS,0),MATCH(($A884 &amp; "Points"),CLASSNAMEHEADERS,0))),"")))))))))}</f>
        <v>MARTIALL07</v>
      </c>
      <c r="N883" s="223"/>
      <c r="O883" s="223" t="str">
        <f t="array" ref="O883:O884">{"MARTIALL09";((IF("09"=(INDEX(ALLCLASSDATA,MATCH("MartialLegendary",CLASSFEATUREHEADERS,0),MATCH($A884,CLASSNAMEHEADERS,0))),(INDEX(ALLCLASSDATA,MATCH("MartialLegendary",CLASSFEATUREHEADERS,0),MATCH(($A884 &amp; "Points"),CLASSNAMEHEADERS,0))),(IF("09"=(INDEX(ALLCLASSDATA,MATCH("MartialMaster",CLASSFEATUREHEADERS,0),MATCH($A884,CLASSNAMEHEADERS,0))),(INDEX(ALLCLASSDATA,MATCH("MartialMaster",CLASSFEATUREHEADERS,0),MATCH(($A884 &amp; "Points"),CLASSNAMEHEADERS,0))),(IF("09"=(INDEX(ALLCLASSDATA,MATCH("MartialExpert",CLASSFEATUREHEADERS,0),MATCH($A884,CLASSNAMEHEADERS,0))),(INDEX(ALLCLASSDATA,MATCH("MartialExpert",CLASSFEATUREHEADERS,0),MATCH(($A884 &amp; "Points"),CLASSNAMEHEADERS,0))),(IF("09"=(INDEX(ALLCLASSDATA,MATCH("MartialTrained",CLASSFEATUREHEADERS,0),MATCH($A884,CLASSNAMEHEADERS,0))),(INDEX(ALLCLASSDATA,MATCH("MartialTrained",CLASSFEATUREHEADERS,0),MATCH(($A884 &amp; "Points"),CLASSNAMEHEADERS,0))),"")))))))))}</f>
        <v>MARTIALL09</v>
      </c>
      <c r="P883" s="223"/>
      <c r="Q883" s="223" t="str">
        <f t="array" ref="Q883:Q884">{"MARTIALL11";((IF("11"=(INDEX(ALLCLASSDATA,MATCH("MartialLegendary",CLASSFEATUREHEADERS,0),MATCH($A884,CLASSNAMEHEADERS,0))),(INDEX(ALLCLASSDATA,MATCH("MartialLegendary",CLASSFEATUREHEADERS,0),MATCH(($A884 &amp; "Points"),CLASSNAMEHEADERS,0))),(IF("11"=(INDEX(ALLCLASSDATA,MATCH("MartialMaster",CLASSFEATUREHEADERS,0),MATCH($A884,CLASSNAMEHEADERS,0))),(INDEX(ALLCLASSDATA,MATCH("MartialMaster",CLASSFEATUREHEADERS,0),MATCH(($A884 &amp; "Points"),CLASSNAMEHEADERS,0))),(IF("11"=(INDEX(ALLCLASSDATA,MATCH("MartialExpert",CLASSFEATUREHEADERS,0),MATCH($A884,CLASSNAMEHEADERS,0))),(INDEX(ALLCLASSDATA,MATCH("MartialExpert",CLASSFEATUREHEADERS,0),MATCH(($A884 &amp; "Points"),CLASSNAMEHEADERS,0))),(IF("11"=(INDEX(ALLCLASSDATA,MATCH("MartialTrained",CLASSFEATUREHEADERS,0),MATCH($A884,CLASSNAMEHEADERS,0))),(INDEX(ALLCLASSDATA,MATCH("MartialTrained",CLASSFEATUREHEADERS,0),MATCH(($A884 &amp; "Points"),CLASSNAMEHEADERS,0))),"")))))))))}</f>
        <v>MARTIALL11</v>
      </c>
      <c r="R883" s="223"/>
      <c r="S883" s="223" t="str">
        <f t="array" ref="S883:S884">{"MARTIALL13";((IF("13"=(INDEX(ALLCLASSDATA,MATCH("MartialLegendary",CLASSFEATUREHEADERS,0),MATCH($A884,CLASSNAMEHEADERS,0))),(INDEX(ALLCLASSDATA,MATCH("MartialLegendary",CLASSFEATUREHEADERS,0),MATCH(($A884 &amp; "Points"),CLASSNAMEHEADERS,0))),(IF("13"=(INDEX(ALLCLASSDATA,MATCH("MartialMaster",CLASSFEATUREHEADERS,0),MATCH($A884,CLASSNAMEHEADERS,0))),(INDEX(ALLCLASSDATA,MATCH("MartialMaster",CLASSFEATUREHEADERS,0),MATCH(($A884 &amp; "Points"),CLASSNAMEHEADERS,0))),(IF("13"=(INDEX(ALLCLASSDATA,MATCH("MartialExpert",CLASSFEATUREHEADERS,0),MATCH($A884,CLASSNAMEHEADERS,0))),(INDEX(ALLCLASSDATA,MATCH("MartialExpert",CLASSFEATUREHEADERS,0),MATCH(($A884 &amp; "Points"),CLASSNAMEHEADERS,0))),(IF("13"=(INDEX(ALLCLASSDATA,MATCH("MartialTrained",CLASSFEATUREHEADERS,0),MATCH($A884,CLASSNAMEHEADERS,0))),(INDEX(ALLCLASSDATA,MATCH("MartialTrained",CLASSFEATUREHEADERS,0),MATCH(($A884 &amp; "Points"),CLASSNAMEHEADERS,0))),"")))))))))}</f>
        <v>MARTIALL13</v>
      </c>
      <c r="T883" s="223"/>
      <c r="U883" s="223" t="str">
        <f t="array" ref="U883:U884">{"MARTIALL15";((IF("15"=(INDEX(ALLCLASSDATA,MATCH("MartialLegendary",CLASSFEATUREHEADERS,0),MATCH($A884,CLASSNAMEHEADERS,0))),(INDEX(ALLCLASSDATA,MATCH("MartialLegendary",CLASSFEATUREHEADERS,0),MATCH(($A884 &amp; "Points"),CLASSNAMEHEADERS,0))),(IF("15"=(INDEX(ALLCLASSDATA,MATCH("MartialMaster",CLASSFEATUREHEADERS,0),MATCH($A884,CLASSNAMEHEADERS,0))),(INDEX(ALLCLASSDATA,MATCH("MartialMaster",CLASSFEATUREHEADERS,0),MATCH(($A884 &amp; "Points"),CLASSNAMEHEADERS,0))),(IF("15"=(INDEX(ALLCLASSDATA,MATCH("MartialExpert",CLASSFEATUREHEADERS,0),MATCH($A884,CLASSNAMEHEADERS,0))),(INDEX(ALLCLASSDATA,MATCH("MartialExpert",CLASSFEATUREHEADERS,0),MATCH(($A884 &amp; "Points"),CLASSNAMEHEADERS,0))),(IF("15"=(INDEX(ALLCLASSDATA,MATCH("MartialTrained",CLASSFEATUREHEADERS,0),MATCH($A884,CLASSNAMEHEADERS,0))),(INDEX(ALLCLASSDATA,MATCH("MartialTrained",CLASSFEATUREHEADERS,0),MATCH(($A884 &amp; "Points"),CLASSNAMEHEADERS,0))),"")))))))))}</f>
        <v>MARTIALL15</v>
      </c>
      <c r="V883" s="223"/>
      <c r="W883" s="223" t="str">
        <f t="array" ref="W883:W884">{"MARTIALL17";((IF("17"=(INDEX(ALLCLASSDATA,MATCH("MartialLegendary",CLASSFEATUREHEADERS,0),MATCH($A884,CLASSNAMEHEADERS,0))),(INDEX(ALLCLASSDATA,MATCH("MartialLegendary",CLASSFEATUREHEADERS,0),MATCH(($A884 &amp; "Points"),CLASSNAMEHEADERS,0))),(IF("17"=(INDEX(ALLCLASSDATA,MATCH("MartialMaster",CLASSFEATUREHEADERS,0),MATCH($A884,CLASSNAMEHEADERS,0))),(INDEX(ALLCLASSDATA,MATCH("MartialMaster",CLASSFEATUREHEADERS,0),MATCH(($A884 &amp; "Points"),CLASSNAMEHEADERS,0))),(IF("17"=(INDEX(ALLCLASSDATA,MATCH("MartialExpert",CLASSFEATUREHEADERS,0),MATCH($A884,CLASSNAMEHEADERS,0))),(INDEX(ALLCLASSDATA,MATCH("MartialExpert",CLASSFEATUREHEADERS,0),MATCH(($A884 &amp; "Points"),CLASSNAMEHEADERS,0))),(IF("17"=(INDEX(ALLCLASSDATA,MATCH("MartialTrained",CLASSFEATUREHEADERS,0),MATCH($A884,CLASSNAMEHEADERS,0))),(INDEX(ALLCLASSDATA,MATCH("MartialTrained",CLASSFEATUREHEADERS,0),MATCH(($A884 &amp; "Points"),CLASSNAMEHEADERS,0))),"")))))))))}</f>
        <v>MARTIALL17</v>
      </c>
      <c r="X883" s="223"/>
      <c r="Y883" s="223" t="str">
        <f t="array" ref="Y883:Y884">{"MARTIALL19";((IF("19"=(INDEX(ALLCLASSDATA,MATCH("MartialLegendary",CLASSFEATUREHEADERS,0),MATCH($A884,CLASSNAMEHEADERS,0))),(INDEX(ALLCLASSDATA,MATCH("MartialLegendary",CLASSFEATUREHEADERS,0),MATCH(($A884 &amp; "Points"),CLASSNAMEHEADERS,0))),(IF("19"=(INDEX(ALLCLASSDATA,MATCH("MartialMaster",CLASSFEATUREHEADERS,0),MATCH($A884,CLASSNAMEHEADERS,0))),(INDEX(ALLCLASSDATA,MATCH("MartialMaster",CLASSFEATUREHEADERS,0),MATCH(($A884 &amp; "Points"),CLASSNAMEHEADERS,0))),(IF("19"=(INDEX(ALLCLASSDATA,MATCH("MartialExpert",CLASSFEATUREHEADERS,0),MATCH($A884,CLASSNAMEHEADERS,0))),(INDEX(ALLCLASSDATA,MATCH("MartialExpert",CLASSFEATUREHEADERS,0),MATCH(($A884 &amp; "Points"),CLASSNAMEHEADERS,0))),(IF("19"=(INDEX(ALLCLASSDATA,MATCH("MartialTrained",CLASSFEATUREHEADERS,0),MATCH($A884,CLASSNAMEHEADERS,0))),(INDEX(ALLCLASSDATA,MATCH("MartialTrained",CLASSFEATUREHEADERS,0),MATCH(($A884 &amp; "Points"),CLASSNAMEHEADERS,0))),"")))))))))}</f>
        <v>MARTIALL19</v>
      </c>
      <c r="Z883" s="223"/>
      <c r="AA883" s="76" t="str">
        <f t="array" ref="AA883:AA884">{"MARTIAL TOTAL";(IF(COUNTBLANK(F884:Z884)=17,"L",(IF(COUNTBLANK(F884:Z884)=18,"M",(IF(COUNTBLANK(F884:Z884)=19,"E",(IF(COUNTBLANK(F884:Z884)=20,"T",""))))))))}</f>
        <v>MARTIAL TOTAL</v>
      </c>
      <c r="AB883" s="76" t="str">
        <f t="array" ref="AB883:AB884">{"MARTIAL TOTAL";(sum(F884:Z884))}</f>
        <v>MARTIAL TOTAL</v>
      </c>
    </row>
    <row r="884">
      <c r="A884" s="48" t="s">
        <v>227</v>
      </c>
      <c r="B884" s="48" t="s">
        <v>418</v>
      </c>
      <c r="C884" s="48" t="s">
        <v>1634</v>
      </c>
      <c r="D884" s="48" t="s">
        <v>6</v>
      </c>
      <c r="E884" s="5" t="s">
        <v>603</v>
      </c>
      <c r="F884" s="47" t="s">
        <v>603</v>
      </c>
      <c r="G884" s="5" t="s">
        <v>603</v>
      </c>
      <c r="H884" s="5"/>
      <c r="I884" s="5" t="s">
        <v>603</v>
      </c>
      <c r="J884" s="5"/>
      <c r="K884" s="5" t="s">
        <v>603</v>
      </c>
      <c r="L884" s="5"/>
      <c r="M884" s="5" t="s">
        <v>603</v>
      </c>
      <c r="N884" s="5"/>
      <c r="O884" s="5" t="s">
        <v>603</v>
      </c>
      <c r="P884" s="48"/>
      <c r="Q884" s="5" t="s">
        <v>603</v>
      </c>
      <c r="R884" s="5"/>
      <c r="S884" s="5" t="s">
        <v>603</v>
      </c>
      <c r="T884" s="5"/>
      <c r="U884" s="5" t="s">
        <v>603</v>
      </c>
      <c r="V884" s="5"/>
      <c r="W884" s="5" t="s">
        <v>603</v>
      </c>
      <c r="X884" s="5"/>
      <c r="Y884" s="5" t="s">
        <v>603</v>
      </c>
      <c r="Z884" s="5"/>
      <c r="AA884" s="5" t="s">
        <v>603</v>
      </c>
      <c r="AB884" s="47">
        <v>0.0</v>
      </c>
    </row>
    <row r="885" hidden="1">
      <c r="A885" s="222" t="str">
        <f t="array" ref="A885:A886">{"FormulaRow32";(INDEX(CLASSLIST,A822,1))}</f>
        <v>FormulaRow32</v>
      </c>
      <c r="B885" s="222" t="str">
        <f t="array" ref="B885:B886">{"CLASSTYPE";((INDEX(ALLCLASSDATA,MATCH("ClassType",CLASSFEATUREHEADERS,0),MATCH($A886,CLASSNAMEHEADERS,0))))}</f>
        <v>CLASSTYPE</v>
      </c>
      <c r="C885" s="222" t="str">
        <f t="array" ref="C885:C886">{"ATTACK";"Attack"}</f>
        <v>ATTACK</v>
      </c>
      <c r="D885" s="222" t="str">
        <f t="array" ref="D885:D886">{"ADVANCEDGROUP";"AdvancedGroup"}</f>
        <v>ADVANCEDGROUP</v>
      </c>
      <c r="E885" s="223" t="str">
        <f t="array" ref="E885:E886">{"ADVANCEDGROUPINITIAL";((IF(G886=10,"T",(IF(G886=50,"E","")))))}</f>
        <v>ADVANCEDGROUPINITIAL</v>
      </c>
      <c r="F885" s="223" t="str">
        <f t="array" ref="F885:F886">{"ADVANCEDGROUPINITIALPTS";((IF("00"=(INDEX(ALLCLASSDATA,MATCH("AdvancedGroupLegendary",CLASSFEATUREHEADERS,0),MATCH($A886,CLASSNAMEHEADERS,0))),(INDEX(ALLCLASSDATA,MATCH("AdvancedGroupLegendary",CLASSFEATUREHEADERS,0),MATCH(($A886 &amp; "Points"),CLASSNAMEHEADERS,0))),(IF("00"=(INDEX(ALLCLASSDATA,MATCH("AdvancedGroupMaster",CLASSFEATUREHEADERS,0),MATCH($A886,CLASSNAMEHEADERS,0))),(INDEX(ALLCLASSDATA,MATCH("AdvancedGroupMaster",CLASSFEATUREHEADERS,0),MATCH(($A886 &amp; "Points"),CLASSNAMEHEADERS,0))),(IF("00"=(INDEX(ALLCLASSDATA,MATCH("AdvancedGroupExpert",CLASSFEATUREHEADERS,0),MATCH($A886,CLASSNAMEHEADERS,0))),(INDEX(ALLCLASSDATA,MATCH("AdvancedGroupExpert",CLASSFEATUREHEADERS,0),MATCH(($A886 &amp; "Points"),CLASSNAMEHEADERS,0))),(IF("00"=(INDEX(ALLCLASSDATA,MATCH("AdvancedGroupTrained",CLASSFEATUREHEADERS,0),MATCH($A886,CLASSNAMEHEADERS,0))),(INDEX(ALLCLASSDATA,MATCH("AdvancedGroupTrained",CLASSFEATUREHEADERS,0),MATCH(($A886 &amp; "Points"),CLASSNAMEHEADERS,0))),"")))))))))}</f>
        <v>ADVANCEDGROUPINITIALPTS</v>
      </c>
      <c r="G885" s="223" t="str">
        <f t="array" ref="G885:G886">{"ADVANCEDGROUPL01";((IF("01"=(INDEX(ALLCLASSDATA,MATCH("AdvancedGroupLegendary",CLASSFEATUREHEADERS,0),MATCH($A886,CLASSNAMEHEADERS,0))),(INDEX(ALLCLASSDATA,MATCH("AdvancedGroupLegendary",CLASSFEATUREHEADERS,0),MATCH(($A886 &amp; "Points"),CLASSNAMEHEADERS,0))),(IF("01"=(INDEX(ALLCLASSDATA,MATCH("AdvancedGroupMaster",CLASSFEATUREHEADERS,0),MATCH($A886,CLASSNAMEHEADERS,0))),(INDEX(ALLCLASSDATA,MATCH("AdvancedGroupMaster",CLASSFEATUREHEADERS,0),MATCH(($A886 &amp; "Points"),CLASSNAMEHEADERS,0))),(IF("01"=(INDEX(ALLCLASSDATA,MATCH("AdvancedGroupExpert",CLASSFEATUREHEADERS,0),MATCH($A886,CLASSNAMEHEADERS,0))),(INDEX(ALLCLASSDATA,MATCH("AdvancedGroupExpert",CLASSFEATUREHEADERS,0),MATCH(($A886 &amp; "Points"),CLASSNAMEHEADERS,0))),(IF("01"=(INDEX(ALLCLASSDATA,MATCH("AdvancedGroupTrained",CLASSFEATUREHEADERS,0),MATCH($A886,CLASSNAMEHEADERS,0))),(INDEX(ALLCLASSDATA,MATCH("AdvancedGroupTrained",CLASSFEATUREHEADERS,0),MATCH(($A886 &amp; "Points"),CLASSNAMEHEADERS,0))),"")))))))))}</f>
        <v>ADVANCEDGROUPL01</v>
      </c>
      <c r="H885" s="223"/>
      <c r="I885" s="223" t="str">
        <f t="array" ref="I885:I886">{"ADVANCEDGROUPL03";((IF("03"=(INDEX(ALLCLASSDATA,MATCH("AdvancedGroupLegendary",CLASSFEATUREHEADERS,0),MATCH($A886,CLASSNAMEHEADERS,0))),(INDEX(ALLCLASSDATA,MATCH("AdvancedGroupLegendary",CLASSFEATUREHEADERS,0),MATCH(($A886 &amp; "Points"),CLASSNAMEHEADERS,0))),(IF("03"=(INDEX(ALLCLASSDATA,MATCH("AdvancedGroupMaster",CLASSFEATUREHEADERS,0),MATCH($A886,CLASSNAMEHEADERS,0))),(INDEX(ALLCLASSDATA,MATCH("AdvancedGroupMaster",CLASSFEATUREHEADERS,0),MATCH(($A886 &amp; "Points"),CLASSNAMEHEADERS,0))),(IF("03"=(INDEX(ALLCLASSDATA,MATCH("AdvancedGroupExpert",CLASSFEATUREHEADERS,0),MATCH($A886,CLASSNAMEHEADERS,0))),(INDEX(ALLCLASSDATA,MATCH("AdvancedGroupExpert",CLASSFEATUREHEADERS,0),MATCH(($A886 &amp; "Points"),CLASSNAMEHEADERS,0))),(IF("03"=(INDEX(ALLCLASSDATA,MATCH("AdvancedGroupTrained",CLASSFEATUREHEADERS,0),MATCH($A886,CLASSNAMEHEADERS,0))),(INDEX(ALLCLASSDATA,MATCH("AdvancedGroupTrained",CLASSFEATUREHEADERS,0),MATCH(($A886 &amp; "Points"),CLASSNAMEHEADERS,0))),"")))))))))}</f>
        <v>ADVANCEDGROUPL03</v>
      </c>
      <c r="J885" s="223"/>
      <c r="K885" s="223" t="str">
        <f t="array" ref="K885:K886">{"ADVANCEDGROUPL05";((IF("05"=(INDEX(ALLCLASSDATA,MATCH("AdvancedGroupLegendary",CLASSFEATUREHEADERS,0),MATCH($A886,CLASSNAMEHEADERS,0))),(INDEX(ALLCLASSDATA,MATCH("AdvancedGroupLegendary",CLASSFEATUREHEADERS,0),MATCH(($A886 &amp; "Points"),CLASSNAMEHEADERS,0))),(IF("05"=(INDEX(ALLCLASSDATA,MATCH("AdvancedGroupMaster",CLASSFEATUREHEADERS,0),MATCH($A886,CLASSNAMEHEADERS,0))),(INDEX(ALLCLASSDATA,MATCH("AdvancedGroupMaster",CLASSFEATUREHEADERS,0),MATCH(($A886 &amp; "Points"),CLASSNAMEHEADERS,0))),(IF("05"=(INDEX(ALLCLASSDATA,MATCH("AdvancedGroupExpert",CLASSFEATUREHEADERS,0),MATCH($A886,CLASSNAMEHEADERS,0))),(INDEX(ALLCLASSDATA,MATCH("AdvancedGroupExpert",CLASSFEATUREHEADERS,0),MATCH(($A886 &amp; "Points"),CLASSNAMEHEADERS,0))),(IF("05"=(INDEX(ALLCLASSDATA,MATCH("AdvancedGroupTrained",CLASSFEATUREHEADERS,0),MATCH($A886,CLASSNAMEHEADERS,0))),(INDEX(ALLCLASSDATA,MATCH("AdvancedGroupTrained",CLASSFEATUREHEADERS,0),MATCH(($A886 &amp; "Points"),CLASSNAMEHEADERS,0))),"")))))))))}</f>
        <v>ADVANCEDGROUPL05</v>
      </c>
      <c r="L885" s="223"/>
      <c r="M885" s="223" t="str">
        <f t="array" ref="M885:M886">{"ADVANCEDGROUPL07";((IF("07"=(INDEX(ALLCLASSDATA,MATCH("AdvancedGroupLegendary",CLASSFEATUREHEADERS,0),MATCH($A886,CLASSNAMEHEADERS,0))),(INDEX(ALLCLASSDATA,MATCH("AdvancedGroupLegendary",CLASSFEATUREHEADERS,0),MATCH(($A886 &amp; "Points"),CLASSNAMEHEADERS,0))),(IF("07"=(INDEX(ALLCLASSDATA,MATCH("AdvancedGroupMaster",CLASSFEATUREHEADERS,0),MATCH($A886,CLASSNAMEHEADERS,0))),(INDEX(ALLCLASSDATA,MATCH("AdvancedGroupMaster",CLASSFEATUREHEADERS,0),MATCH(($A886 &amp; "Points"),CLASSNAMEHEADERS,0))),(IF("07"=(INDEX(ALLCLASSDATA,MATCH("AdvancedGroupExpert",CLASSFEATUREHEADERS,0),MATCH($A886,CLASSNAMEHEADERS,0))),(INDEX(ALLCLASSDATA,MATCH("AdvancedGroupExpert",CLASSFEATUREHEADERS,0),MATCH(($A886 &amp; "Points"),CLASSNAMEHEADERS,0))),(IF("07"=(INDEX(ALLCLASSDATA,MATCH("AdvancedGroupTrained",CLASSFEATUREHEADERS,0),MATCH($A886,CLASSNAMEHEADERS,0))),(INDEX(ALLCLASSDATA,MATCH("AdvancedGroupTrained",CLASSFEATUREHEADERS,0),MATCH(($A886 &amp; "Points"),CLASSNAMEHEADERS,0))),"")))))))))}</f>
        <v>ADVANCEDGROUPL07</v>
      </c>
      <c r="N885" s="223"/>
      <c r="O885" s="223" t="str">
        <f t="array" ref="O885:O886">{"ADVANCEDGROUPL09";((IF("09"=(INDEX(ALLCLASSDATA,MATCH("AdvancedGroupLegendary",CLASSFEATUREHEADERS,0),MATCH($A886,CLASSNAMEHEADERS,0))),(INDEX(ALLCLASSDATA,MATCH("AdvancedGroupLegendary",CLASSFEATUREHEADERS,0),MATCH(($A886 &amp; "Points"),CLASSNAMEHEADERS,0))),(IF("09"=(INDEX(ALLCLASSDATA,MATCH("AdvancedGroupMaster",CLASSFEATUREHEADERS,0),MATCH($A886,CLASSNAMEHEADERS,0))),(INDEX(ALLCLASSDATA,MATCH("AdvancedGroupMaster",CLASSFEATUREHEADERS,0),MATCH(($A886 &amp; "Points"),CLASSNAMEHEADERS,0))),(IF("09"=(INDEX(ALLCLASSDATA,MATCH("AdvancedGroupExpert",CLASSFEATUREHEADERS,0),MATCH($A886,CLASSNAMEHEADERS,0))),(INDEX(ALLCLASSDATA,MATCH("AdvancedGroupExpert",CLASSFEATUREHEADERS,0),MATCH(($A886 &amp; "Points"),CLASSNAMEHEADERS,0))),(IF("09"=(INDEX(ALLCLASSDATA,MATCH("AdvancedGroupTrained",CLASSFEATUREHEADERS,0),MATCH($A886,CLASSNAMEHEADERS,0))),(INDEX(ALLCLASSDATA,MATCH("AdvancedGroupTrained",CLASSFEATUREHEADERS,0),MATCH(($A886 &amp; "Points"),CLASSNAMEHEADERS,0))),"")))))))))}</f>
        <v>ADVANCEDGROUPL09</v>
      </c>
      <c r="P885" s="223"/>
      <c r="Q885" s="223" t="str">
        <f t="array" ref="Q885:Q886">{"ADVANCEDGROUPL11";((IF("11"=(INDEX(ALLCLASSDATA,MATCH("AdvancedGroupLegendary",CLASSFEATUREHEADERS,0),MATCH($A886,CLASSNAMEHEADERS,0))),(INDEX(ALLCLASSDATA,MATCH("AdvancedGroupLegendary",CLASSFEATUREHEADERS,0),MATCH(($A886 &amp; "Points"),CLASSNAMEHEADERS,0))),(IF("11"=(INDEX(ALLCLASSDATA,MATCH("AdvancedGroupMaster",CLASSFEATUREHEADERS,0),MATCH($A886,CLASSNAMEHEADERS,0))),(INDEX(ALLCLASSDATA,MATCH("AdvancedGroupMaster",CLASSFEATUREHEADERS,0),MATCH(($A886 &amp; "Points"),CLASSNAMEHEADERS,0))),(IF("11"=(INDEX(ALLCLASSDATA,MATCH("AdvancedGroupExpert",CLASSFEATUREHEADERS,0),MATCH($A886,CLASSNAMEHEADERS,0))),(INDEX(ALLCLASSDATA,MATCH("AdvancedGroupExpert",CLASSFEATUREHEADERS,0),MATCH(($A886 &amp; "Points"),CLASSNAMEHEADERS,0))),(IF("11"=(INDEX(ALLCLASSDATA,MATCH("AdvancedGroupTrained",CLASSFEATUREHEADERS,0),MATCH($A886,CLASSNAMEHEADERS,0))),(INDEX(ALLCLASSDATA,MATCH("AdvancedGroupTrained",CLASSFEATUREHEADERS,0),MATCH(($A886 &amp; "Points"),CLASSNAMEHEADERS,0))),"")))))))))}</f>
        <v>ADVANCEDGROUPL11</v>
      </c>
      <c r="R885" s="223"/>
      <c r="S885" s="223" t="str">
        <f t="array" ref="S885:S886">{"ADVANCEDGROUPL13";((IF("13"=(INDEX(ALLCLASSDATA,MATCH("AdvancedGroupLegendary",CLASSFEATUREHEADERS,0),MATCH($A886,CLASSNAMEHEADERS,0))),(INDEX(ALLCLASSDATA,MATCH("AdvancedGroupLegendary",CLASSFEATUREHEADERS,0),MATCH(($A886 &amp; "Points"),CLASSNAMEHEADERS,0))),(IF("13"=(INDEX(ALLCLASSDATA,MATCH("AdvancedGroupMaster",CLASSFEATUREHEADERS,0),MATCH($A886,CLASSNAMEHEADERS,0))),(INDEX(ALLCLASSDATA,MATCH("AdvancedGroupMaster",CLASSFEATUREHEADERS,0),MATCH(($A886 &amp; "Points"),CLASSNAMEHEADERS,0))),(IF("13"=(INDEX(ALLCLASSDATA,MATCH("AdvancedGroupExpert",CLASSFEATUREHEADERS,0),MATCH($A886,CLASSNAMEHEADERS,0))),(INDEX(ALLCLASSDATA,MATCH("AdvancedGroupExpert",CLASSFEATUREHEADERS,0),MATCH(($A886 &amp; "Points"),CLASSNAMEHEADERS,0))),(IF("13"=(INDEX(ALLCLASSDATA,MATCH("AdvancedGroupTrained",CLASSFEATUREHEADERS,0),MATCH($A886,CLASSNAMEHEADERS,0))),(INDEX(ALLCLASSDATA,MATCH("AdvancedGroupTrained",CLASSFEATUREHEADERS,0),MATCH(($A886 &amp; "Points"),CLASSNAMEHEADERS,0))),"")))))))))}</f>
        <v>ADVANCEDGROUPL13</v>
      </c>
      <c r="T885" s="223"/>
      <c r="U885" s="223" t="str">
        <f t="array" ref="U885:U886">{"ADVANCEDGROUPL15";((IF("15"=(INDEX(ALLCLASSDATA,MATCH("AdvancedGroupLegendary",CLASSFEATUREHEADERS,0),MATCH($A886,CLASSNAMEHEADERS,0))),(INDEX(ALLCLASSDATA,MATCH("AdvancedGroupLegendary",CLASSFEATUREHEADERS,0),MATCH(($A886 &amp; "Points"),CLASSNAMEHEADERS,0))),(IF("15"=(INDEX(ALLCLASSDATA,MATCH("AdvancedGroupMaster",CLASSFEATUREHEADERS,0),MATCH($A886,CLASSNAMEHEADERS,0))),(INDEX(ALLCLASSDATA,MATCH("AdvancedGroupMaster",CLASSFEATUREHEADERS,0),MATCH(($A886 &amp; "Points"),CLASSNAMEHEADERS,0))),(IF("15"=(INDEX(ALLCLASSDATA,MATCH("AdvancedGroupExpert",CLASSFEATUREHEADERS,0),MATCH($A886,CLASSNAMEHEADERS,0))),(INDEX(ALLCLASSDATA,MATCH("AdvancedGroupExpert",CLASSFEATUREHEADERS,0),MATCH(($A886 &amp; "Points"),CLASSNAMEHEADERS,0))),(IF("15"=(INDEX(ALLCLASSDATA,MATCH("AdvancedGroupTrained",CLASSFEATUREHEADERS,0),MATCH($A886,CLASSNAMEHEADERS,0))),(INDEX(ALLCLASSDATA,MATCH("AdvancedGroupTrained",CLASSFEATUREHEADERS,0),MATCH(($A886 &amp; "Points"),CLASSNAMEHEADERS,0))),"")))))))))}</f>
        <v>ADVANCEDGROUPL15</v>
      </c>
      <c r="V885" s="223"/>
      <c r="W885" s="223" t="str">
        <f t="array" ref="W885:W886">{"ADVANCEDGROUPL17";((IF("17"=(INDEX(ALLCLASSDATA,MATCH("AdvancedGroupLegendary",CLASSFEATUREHEADERS,0),MATCH($A886,CLASSNAMEHEADERS,0))),(INDEX(ALLCLASSDATA,MATCH("AdvancedGroupLegendary",CLASSFEATUREHEADERS,0),MATCH(($A886 &amp; "Points"),CLASSNAMEHEADERS,0))),(IF("17"=(INDEX(ALLCLASSDATA,MATCH("AdvancedGroupMaster",CLASSFEATUREHEADERS,0),MATCH($A886,CLASSNAMEHEADERS,0))),(INDEX(ALLCLASSDATA,MATCH("AdvancedGroupMaster",CLASSFEATUREHEADERS,0),MATCH(($A886 &amp; "Points"),CLASSNAMEHEADERS,0))),(IF("17"=(INDEX(ALLCLASSDATA,MATCH("AdvancedGroupExpert",CLASSFEATUREHEADERS,0),MATCH($A886,CLASSNAMEHEADERS,0))),(INDEX(ALLCLASSDATA,MATCH("AdvancedGroupExpert",CLASSFEATUREHEADERS,0),MATCH(($A886 &amp; "Points"),CLASSNAMEHEADERS,0))),(IF("17"=(INDEX(ALLCLASSDATA,MATCH("AdvancedGroupTrained",CLASSFEATUREHEADERS,0),MATCH($A886,CLASSNAMEHEADERS,0))),(INDEX(ALLCLASSDATA,MATCH("AdvancedGroupTrained",CLASSFEATUREHEADERS,0),MATCH(($A886 &amp; "Points"),CLASSNAMEHEADERS,0))),"")))))))))}</f>
        <v>ADVANCEDGROUPL17</v>
      </c>
      <c r="X885" s="223"/>
      <c r="Y885" s="223" t="str">
        <f t="array" ref="Y885:Y886">{"ADVANCEDGROUPL19";((IF("19"=(INDEX(ALLCLASSDATA,MATCH("AdvancedGroupLegendary",CLASSFEATUREHEADERS,0),MATCH($A886,CLASSNAMEHEADERS,0))),(INDEX(ALLCLASSDATA,MATCH("AdvancedGroupLegendary",CLASSFEATUREHEADERS,0),MATCH(($A886 &amp; "Points"),CLASSNAMEHEADERS,0))),(IF("19"=(INDEX(ALLCLASSDATA,MATCH("AdvancedGroupMaster",CLASSFEATUREHEADERS,0),MATCH($A886,CLASSNAMEHEADERS,0))),(INDEX(ALLCLASSDATA,MATCH("AdvancedGroupMaster",CLASSFEATUREHEADERS,0),MATCH(($A886 &amp; "Points"),CLASSNAMEHEADERS,0))),(IF("19"=(INDEX(ALLCLASSDATA,MATCH("AdvancedGroupExpert",CLASSFEATUREHEADERS,0),MATCH($A886,CLASSNAMEHEADERS,0))),(INDEX(ALLCLASSDATA,MATCH("AdvancedGroupExpert",CLASSFEATUREHEADERS,0),MATCH(($A886 &amp; "Points"),CLASSNAMEHEADERS,0))),(IF("19"=(INDEX(ALLCLASSDATA,MATCH("AdvancedGroupTrained",CLASSFEATUREHEADERS,0),MATCH($A886,CLASSNAMEHEADERS,0))),(INDEX(ALLCLASSDATA,MATCH("AdvancedGroupTrained",CLASSFEATUREHEADERS,0),MATCH(($A886 &amp; "Points"),CLASSNAMEHEADERS,0))),"")))))))))}</f>
        <v>ADVANCEDGROUPL19</v>
      </c>
      <c r="Z885" s="223"/>
      <c r="AA885" s="76" t="str">
        <f t="array" ref="AA885:AA886">{"ADVANCEDGROUP TOTAL";(IF(COUNTBLANK(F886:Z886)=17,"L",(IF(COUNTBLANK(F886:Z886)=18,"M",(IF(COUNTBLANK(F886:Z886)=19,"E",(IF(COUNTBLANK(F886:Z886)=20,"T",""))))))))}</f>
        <v>ADVANCEDGROUP TOTAL</v>
      </c>
      <c r="AB885" s="76" t="str">
        <f t="array" ref="AB885:AB886">{"ADVANCEDGROUP TOTAL";(sum(F886:Z886))}</f>
        <v>ADVANCEDGROUP TOTAL</v>
      </c>
    </row>
    <row r="886">
      <c r="A886" s="48" t="s">
        <v>227</v>
      </c>
      <c r="B886" s="48" t="s">
        <v>418</v>
      </c>
      <c r="C886" s="48" t="s">
        <v>1634</v>
      </c>
      <c r="D886" s="48" t="s">
        <v>601</v>
      </c>
      <c r="E886" s="5" t="s">
        <v>603</v>
      </c>
      <c r="F886" s="47" t="s">
        <v>603</v>
      </c>
      <c r="G886" s="5" t="s">
        <v>603</v>
      </c>
      <c r="H886" s="5"/>
      <c r="I886" s="5" t="s">
        <v>603</v>
      </c>
      <c r="J886" s="5"/>
      <c r="K886" s="5" t="s">
        <v>603</v>
      </c>
      <c r="L886" s="5"/>
      <c r="M886" s="5" t="s">
        <v>603</v>
      </c>
      <c r="N886" s="5"/>
      <c r="O886" s="5" t="s">
        <v>603</v>
      </c>
      <c r="P886" s="5"/>
      <c r="Q886" s="5" t="s">
        <v>603</v>
      </c>
      <c r="R886" s="5"/>
      <c r="S886" s="5" t="s">
        <v>603</v>
      </c>
      <c r="T886" s="5"/>
      <c r="U886" s="5" t="s">
        <v>603</v>
      </c>
      <c r="V886" s="5"/>
      <c r="W886" s="5" t="s">
        <v>603</v>
      </c>
      <c r="X886" s="5"/>
      <c r="Y886" s="5" t="s">
        <v>603</v>
      </c>
      <c r="Z886" s="5"/>
      <c r="AA886" s="5" t="s">
        <v>603</v>
      </c>
      <c r="AB886" s="47">
        <v>0.0</v>
      </c>
    </row>
    <row r="887" hidden="1">
      <c r="A887" s="222" t="str">
        <f t="array" ref="A887:A888">{"FormulaRow33";(INDEX(CLASSLIST,A822,1))}</f>
        <v>FormulaRow33</v>
      </c>
      <c r="B887" s="222" t="str">
        <f t="array" ref="B887:B888">{"CLASSTYPE";((INDEX(ALLCLASSDATA,MATCH("ClassType",CLASSFEATUREHEADERS,0),MATCH($A888,CLASSNAMEHEADERS,0))))}</f>
        <v>CLASSTYPE</v>
      </c>
      <c r="C887" s="222" t="str">
        <f t="array" ref="C887:C888">{"ATTACK";"Attack"}</f>
        <v>ATTACK</v>
      </c>
      <c r="D887" s="222" t="str">
        <f t="array" ref="D887:D888">{"ADVANCED";"Advanced"}</f>
        <v>ADVANCED</v>
      </c>
      <c r="E887" s="223" t="str">
        <f t="array" ref="E887:E888">{"ADVANCEDINITIAL";((IF(G888=10,"T",(IF(G888=50,"E","")))))}</f>
        <v>ADVANCEDINITIAL</v>
      </c>
      <c r="F887" s="223" t="str">
        <f t="array" ref="F887:F888">{"ADVANCEDINITIALPTS";((IF("00"=(INDEX(ALLCLASSDATA,MATCH("AdvancedLegendary",CLASSFEATUREHEADERS,0),MATCH($A888,CLASSNAMEHEADERS,0))),(INDEX(ALLCLASSDATA,MATCH("AdvancedLegendary",CLASSFEATUREHEADERS,0),MATCH(($A888 &amp; "Points"),CLASSNAMEHEADERS,0))),(IF("00"=(INDEX(ALLCLASSDATA,MATCH("AdvancedMaster",CLASSFEATUREHEADERS,0),MATCH($A888,CLASSNAMEHEADERS,0))),(INDEX(ALLCLASSDATA,MATCH("AdvancedMaster",CLASSFEATUREHEADERS,0),MATCH(($A888 &amp; "Points"),CLASSNAMEHEADERS,0))),(IF("00"=(INDEX(ALLCLASSDATA,MATCH("AdvancedExpert",CLASSFEATUREHEADERS,0),MATCH($A888,CLASSNAMEHEADERS,0))),(INDEX(ALLCLASSDATA,MATCH("AdvancedExpert",CLASSFEATUREHEADERS,0),MATCH(($A888 &amp; "Points"),CLASSNAMEHEADERS,0))),(IF("00"=(INDEX(ALLCLASSDATA,MATCH("AdvancedTrained",CLASSFEATUREHEADERS,0),MATCH($A888,CLASSNAMEHEADERS,0))),(INDEX(ALLCLASSDATA,MATCH("AdvancedTrained",CLASSFEATUREHEADERS,0),MATCH(($A888 &amp; "Points"),CLASSNAMEHEADERS,0))),"")))))))))}</f>
        <v>ADVANCEDINITIALPTS</v>
      </c>
      <c r="G887" s="223" t="str">
        <f t="array" ref="G887:G888">{"ADVANCEDL01";((IF("01"=(INDEX(ALLCLASSDATA,MATCH("AdvancedLegendary",CLASSFEATUREHEADERS,0),MATCH($A888,CLASSNAMEHEADERS,0))),(INDEX(ALLCLASSDATA,MATCH("AdvancedLegendary",CLASSFEATUREHEADERS,0),MATCH(($A888 &amp; "Points"),CLASSNAMEHEADERS,0))),(IF("01"=(INDEX(ALLCLASSDATA,MATCH("AdvancedMaster",CLASSFEATUREHEADERS,0),MATCH($A888,CLASSNAMEHEADERS,0))),(INDEX(ALLCLASSDATA,MATCH("AdvancedMaster",CLASSFEATUREHEADERS,0),MATCH(($A888 &amp; "Points"),CLASSNAMEHEADERS,0))),(IF("01"=(INDEX(ALLCLASSDATA,MATCH("AdvancedExpert",CLASSFEATUREHEADERS,0),MATCH($A888,CLASSNAMEHEADERS,0))),(INDEX(ALLCLASSDATA,MATCH("AdvancedExpert",CLASSFEATUREHEADERS,0),MATCH(($A888 &amp; "Points"),CLASSNAMEHEADERS,0))),(IF("01"=(INDEX(ALLCLASSDATA,MATCH("AdvancedTrained",CLASSFEATUREHEADERS,0),MATCH($A888,CLASSNAMEHEADERS,0))),(INDEX(ALLCLASSDATA,MATCH("AdvancedTrained",CLASSFEATUREHEADERS,0),MATCH(($A888 &amp; "Points"),CLASSNAMEHEADERS,0))),"")))))))))}</f>
        <v>ADVANCEDL01</v>
      </c>
      <c r="H887" s="223"/>
      <c r="I887" s="223" t="str">
        <f t="array" ref="I887:I888">{"ADVANCEDL03";((IF("03"=(INDEX(ALLCLASSDATA,MATCH("AdvancedLegendary",CLASSFEATUREHEADERS,0),MATCH($A888,CLASSNAMEHEADERS,0))),(INDEX(ALLCLASSDATA,MATCH("AdvancedLegendary",CLASSFEATUREHEADERS,0),MATCH(($A888 &amp; "Points"),CLASSNAMEHEADERS,0))),(IF("03"=(INDEX(ALLCLASSDATA,MATCH("AdvancedMaster",CLASSFEATUREHEADERS,0),MATCH($A888,CLASSNAMEHEADERS,0))),(INDEX(ALLCLASSDATA,MATCH("AdvancedMaster",CLASSFEATUREHEADERS,0),MATCH(($A888 &amp; "Points"),CLASSNAMEHEADERS,0))),(IF("03"=(INDEX(ALLCLASSDATA,MATCH("AdvancedExpert",CLASSFEATUREHEADERS,0),MATCH($A888,CLASSNAMEHEADERS,0))),(INDEX(ALLCLASSDATA,MATCH("AdvancedExpert",CLASSFEATUREHEADERS,0),MATCH(($A888 &amp; "Points"),CLASSNAMEHEADERS,0))),(IF("03"=(INDEX(ALLCLASSDATA,MATCH("AdvancedTrained",CLASSFEATUREHEADERS,0),MATCH($A888,CLASSNAMEHEADERS,0))),(INDEX(ALLCLASSDATA,MATCH("AdvancedTrained",CLASSFEATUREHEADERS,0),MATCH(($A888 &amp; "Points"),CLASSNAMEHEADERS,0))),"")))))))))}</f>
        <v>ADVANCEDL03</v>
      </c>
      <c r="J887" s="223"/>
      <c r="K887" s="223" t="str">
        <f t="array" ref="K887:K888">{"ADVANCEDL05";((IF("05"=(INDEX(ALLCLASSDATA,MATCH("AdvancedLegendary",CLASSFEATUREHEADERS,0),MATCH($A888,CLASSNAMEHEADERS,0))),(INDEX(ALLCLASSDATA,MATCH("AdvancedLegendary",CLASSFEATUREHEADERS,0),MATCH(($A888 &amp; "Points"),CLASSNAMEHEADERS,0))),(IF("05"=(INDEX(ALLCLASSDATA,MATCH("AdvancedMaster",CLASSFEATUREHEADERS,0),MATCH($A888,CLASSNAMEHEADERS,0))),(INDEX(ALLCLASSDATA,MATCH("AdvancedMaster",CLASSFEATUREHEADERS,0),MATCH(($A888 &amp; "Points"),CLASSNAMEHEADERS,0))),(IF("05"=(INDEX(ALLCLASSDATA,MATCH("AdvancedExpert",CLASSFEATUREHEADERS,0),MATCH($A888,CLASSNAMEHEADERS,0))),(INDEX(ALLCLASSDATA,MATCH("AdvancedExpert",CLASSFEATUREHEADERS,0),MATCH(($A888 &amp; "Points"),CLASSNAMEHEADERS,0))),(IF("05"=(INDEX(ALLCLASSDATA,MATCH("AdvancedTrained",CLASSFEATUREHEADERS,0),MATCH($A888,CLASSNAMEHEADERS,0))),(INDEX(ALLCLASSDATA,MATCH("AdvancedTrained",CLASSFEATUREHEADERS,0),MATCH(($A888 &amp; "Points"),CLASSNAMEHEADERS,0))),"")))))))))}</f>
        <v>ADVANCEDL05</v>
      </c>
      <c r="L887" s="223"/>
      <c r="M887" s="223" t="str">
        <f t="array" ref="M887:M888">{"ADVANCEDL07";((IF("07"=(INDEX(ALLCLASSDATA,MATCH("AdvancedLegendary",CLASSFEATUREHEADERS,0),MATCH($A888,CLASSNAMEHEADERS,0))),(INDEX(ALLCLASSDATA,MATCH("AdvancedLegendary",CLASSFEATUREHEADERS,0),MATCH(($A888 &amp; "Points"),CLASSNAMEHEADERS,0))),(IF("07"=(INDEX(ALLCLASSDATA,MATCH("AdvancedMaster",CLASSFEATUREHEADERS,0),MATCH($A888,CLASSNAMEHEADERS,0))),(INDEX(ALLCLASSDATA,MATCH("AdvancedMaster",CLASSFEATUREHEADERS,0),MATCH(($A888 &amp; "Points"),CLASSNAMEHEADERS,0))),(IF("07"=(INDEX(ALLCLASSDATA,MATCH("AdvancedExpert",CLASSFEATUREHEADERS,0),MATCH($A888,CLASSNAMEHEADERS,0))),(INDEX(ALLCLASSDATA,MATCH("AdvancedExpert",CLASSFEATUREHEADERS,0),MATCH(($A888 &amp; "Points"),CLASSNAMEHEADERS,0))),(IF("07"=(INDEX(ALLCLASSDATA,MATCH("AdvancedTrained",CLASSFEATUREHEADERS,0),MATCH($A888,CLASSNAMEHEADERS,0))),(INDEX(ALLCLASSDATA,MATCH("AdvancedTrained",CLASSFEATUREHEADERS,0),MATCH(($A888 &amp; "Points"),CLASSNAMEHEADERS,0))),"")))))))))}</f>
        <v>ADVANCEDL07</v>
      </c>
      <c r="N887" s="223"/>
      <c r="O887" s="223" t="str">
        <f t="array" ref="O887:O888">{"ADVANCEDL09";((IF("09"=(INDEX(ALLCLASSDATA,MATCH("AdvancedLegendary",CLASSFEATUREHEADERS,0),MATCH($A888,CLASSNAMEHEADERS,0))),(INDEX(ALLCLASSDATA,MATCH("AdvancedLegendary",CLASSFEATUREHEADERS,0),MATCH(($A888 &amp; "Points"),CLASSNAMEHEADERS,0))),(IF("09"=(INDEX(ALLCLASSDATA,MATCH("AdvancedMaster",CLASSFEATUREHEADERS,0),MATCH($A888,CLASSNAMEHEADERS,0))),(INDEX(ALLCLASSDATA,MATCH("AdvancedMaster",CLASSFEATUREHEADERS,0),MATCH(($A888 &amp; "Points"),CLASSNAMEHEADERS,0))),(IF("09"=(INDEX(ALLCLASSDATA,MATCH("AdvancedExpert",CLASSFEATUREHEADERS,0),MATCH($A888,CLASSNAMEHEADERS,0))),(INDEX(ALLCLASSDATA,MATCH("AdvancedExpert",CLASSFEATUREHEADERS,0),MATCH(($A888 &amp; "Points"),CLASSNAMEHEADERS,0))),(IF("09"=(INDEX(ALLCLASSDATA,MATCH("AdvancedTrained",CLASSFEATUREHEADERS,0),MATCH($A888,CLASSNAMEHEADERS,0))),(INDEX(ALLCLASSDATA,MATCH("AdvancedTrained",CLASSFEATUREHEADERS,0),MATCH(($A888 &amp; "Points"),CLASSNAMEHEADERS,0))),"")))))))))}</f>
        <v>ADVANCEDL09</v>
      </c>
      <c r="P887" s="223"/>
      <c r="Q887" s="223" t="str">
        <f t="array" ref="Q887:Q888">{"ADVANCEDL11";((IF("11"=(INDEX(ALLCLASSDATA,MATCH("AdvancedLegendary",CLASSFEATUREHEADERS,0),MATCH($A888,CLASSNAMEHEADERS,0))),(INDEX(ALLCLASSDATA,MATCH("AdvancedLegendary",CLASSFEATUREHEADERS,0),MATCH(($A888 &amp; "Points"),CLASSNAMEHEADERS,0))),(IF("11"=(INDEX(ALLCLASSDATA,MATCH("AdvancedMaster",CLASSFEATUREHEADERS,0),MATCH($A888,CLASSNAMEHEADERS,0))),(INDEX(ALLCLASSDATA,MATCH("AdvancedMaster",CLASSFEATUREHEADERS,0),MATCH(($A888 &amp; "Points"),CLASSNAMEHEADERS,0))),(IF("11"=(INDEX(ALLCLASSDATA,MATCH("AdvancedExpert",CLASSFEATUREHEADERS,0),MATCH($A888,CLASSNAMEHEADERS,0))),(INDEX(ALLCLASSDATA,MATCH("AdvancedExpert",CLASSFEATUREHEADERS,0),MATCH(($A888 &amp; "Points"),CLASSNAMEHEADERS,0))),(IF("11"=(INDEX(ALLCLASSDATA,MATCH("AdvancedTrained",CLASSFEATUREHEADERS,0),MATCH($A888,CLASSNAMEHEADERS,0))),(INDEX(ALLCLASSDATA,MATCH("AdvancedTrained",CLASSFEATUREHEADERS,0),MATCH(($A888 &amp; "Points"),CLASSNAMEHEADERS,0))),"")))))))))}</f>
        <v>ADVANCEDL11</v>
      </c>
      <c r="R887" s="223"/>
      <c r="S887" s="223" t="str">
        <f t="array" ref="S887:S888">{"ADVANCEDL13";((IF("13"=(INDEX(ALLCLASSDATA,MATCH("AdvancedLegendary",CLASSFEATUREHEADERS,0),MATCH($A888,CLASSNAMEHEADERS,0))),(INDEX(ALLCLASSDATA,MATCH("AdvancedLegendary",CLASSFEATUREHEADERS,0),MATCH(($A888 &amp; "Points"),CLASSNAMEHEADERS,0))),(IF("13"=(INDEX(ALLCLASSDATA,MATCH("AdvancedMaster",CLASSFEATUREHEADERS,0),MATCH($A888,CLASSNAMEHEADERS,0))),(INDEX(ALLCLASSDATA,MATCH("AdvancedMaster",CLASSFEATUREHEADERS,0),MATCH(($A888 &amp; "Points"),CLASSNAMEHEADERS,0))),(IF("13"=(INDEX(ALLCLASSDATA,MATCH("AdvancedExpert",CLASSFEATUREHEADERS,0),MATCH($A888,CLASSNAMEHEADERS,0))),(INDEX(ALLCLASSDATA,MATCH("AdvancedExpert",CLASSFEATUREHEADERS,0),MATCH(($A888 &amp; "Points"),CLASSNAMEHEADERS,0))),(IF("13"=(INDEX(ALLCLASSDATA,MATCH("AdvancedTrained",CLASSFEATUREHEADERS,0),MATCH($A888,CLASSNAMEHEADERS,0))),(INDEX(ALLCLASSDATA,MATCH("AdvancedTrained",CLASSFEATUREHEADERS,0),MATCH(($A888 &amp; "Points"),CLASSNAMEHEADERS,0))),"")))))))))}</f>
        <v>ADVANCEDL13</v>
      </c>
      <c r="T887" s="223"/>
      <c r="U887" s="223" t="str">
        <f t="array" ref="U887:U888">{"ADVANCEDL15";((IF("15"=(INDEX(ALLCLASSDATA,MATCH("AdvancedLegendary",CLASSFEATUREHEADERS,0),MATCH($A888,CLASSNAMEHEADERS,0))),(INDEX(ALLCLASSDATA,MATCH("AdvancedLegendary",CLASSFEATUREHEADERS,0),MATCH(($A888 &amp; "Points"),CLASSNAMEHEADERS,0))),(IF("15"=(INDEX(ALLCLASSDATA,MATCH("AdvancedMaster",CLASSFEATUREHEADERS,0),MATCH($A888,CLASSNAMEHEADERS,0))),(INDEX(ALLCLASSDATA,MATCH("AdvancedMaster",CLASSFEATUREHEADERS,0),MATCH(($A888 &amp; "Points"),CLASSNAMEHEADERS,0))),(IF("15"=(INDEX(ALLCLASSDATA,MATCH("AdvancedExpert",CLASSFEATUREHEADERS,0),MATCH($A888,CLASSNAMEHEADERS,0))),(INDEX(ALLCLASSDATA,MATCH("AdvancedExpert",CLASSFEATUREHEADERS,0),MATCH(($A888 &amp; "Points"),CLASSNAMEHEADERS,0))),(IF("15"=(INDEX(ALLCLASSDATA,MATCH("AdvancedTrained",CLASSFEATUREHEADERS,0),MATCH($A888,CLASSNAMEHEADERS,0))),(INDEX(ALLCLASSDATA,MATCH("AdvancedTrained",CLASSFEATUREHEADERS,0),MATCH(($A888 &amp; "Points"),CLASSNAMEHEADERS,0))),"")))))))))}</f>
        <v>ADVANCEDL15</v>
      </c>
      <c r="V887" s="223"/>
      <c r="W887" s="223" t="str">
        <f t="array" ref="W887:W888">{"ADVANCEDL17";((IF("17"=(INDEX(ALLCLASSDATA,MATCH("AdvancedLegendary",CLASSFEATUREHEADERS,0),MATCH($A888,CLASSNAMEHEADERS,0))),(INDEX(ALLCLASSDATA,MATCH("AdvancedLegendary",CLASSFEATUREHEADERS,0),MATCH(($A888 &amp; "Points"),CLASSNAMEHEADERS,0))),(IF("17"=(INDEX(ALLCLASSDATA,MATCH("AdvancedMaster",CLASSFEATUREHEADERS,0),MATCH($A888,CLASSNAMEHEADERS,0))),(INDEX(ALLCLASSDATA,MATCH("AdvancedMaster",CLASSFEATUREHEADERS,0),MATCH(($A888 &amp; "Points"),CLASSNAMEHEADERS,0))),(IF("17"=(INDEX(ALLCLASSDATA,MATCH("AdvancedExpert",CLASSFEATUREHEADERS,0),MATCH($A888,CLASSNAMEHEADERS,0))),(INDEX(ALLCLASSDATA,MATCH("AdvancedExpert",CLASSFEATUREHEADERS,0),MATCH(($A888 &amp; "Points"),CLASSNAMEHEADERS,0))),(IF("17"=(INDEX(ALLCLASSDATA,MATCH("AdvancedTrained",CLASSFEATUREHEADERS,0),MATCH($A888,CLASSNAMEHEADERS,0))),(INDEX(ALLCLASSDATA,MATCH("AdvancedTrained",CLASSFEATUREHEADERS,0),MATCH(($A888 &amp; "Points"),CLASSNAMEHEADERS,0))),"")))))))))}</f>
        <v>ADVANCEDL17</v>
      </c>
      <c r="X887" s="223"/>
      <c r="Y887" s="223" t="str">
        <f t="array" ref="Y887:Y888">{"ADVANCEDL19";((IF("19"=(INDEX(ALLCLASSDATA,MATCH("AdvancedLegendary",CLASSFEATUREHEADERS,0),MATCH($A888,CLASSNAMEHEADERS,0))),(INDEX(ALLCLASSDATA,MATCH("AdvancedLegendary",CLASSFEATUREHEADERS,0),MATCH(($A888 &amp; "Points"),CLASSNAMEHEADERS,0))),(IF("19"=(INDEX(ALLCLASSDATA,MATCH("AdvancedMaster",CLASSFEATUREHEADERS,0),MATCH($A888,CLASSNAMEHEADERS,0))),(INDEX(ALLCLASSDATA,MATCH("AdvancedMaster",CLASSFEATUREHEADERS,0),MATCH(($A888 &amp; "Points"),CLASSNAMEHEADERS,0))),(IF("19"=(INDEX(ALLCLASSDATA,MATCH("AdvancedExpert",CLASSFEATUREHEADERS,0),MATCH($A888,CLASSNAMEHEADERS,0))),(INDEX(ALLCLASSDATA,MATCH("AdvancedExpert",CLASSFEATUREHEADERS,0),MATCH(($A888 &amp; "Points"),CLASSNAMEHEADERS,0))),(IF("19"=(INDEX(ALLCLASSDATA,MATCH("AdvancedTrained",CLASSFEATUREHEADERS,0),MATCH($A888,CLASSNAMEHEADERS,0))),(INDEX(ALLCLASSDATA,MATCH("AdvancedTrained",CLASSFEATUREHEADERS,0),MATCH(($A888 &amp; "Points"),CLASSNAMEHEADERS,0))),"")))))))))}</f>
        <v>ADVANCEDL19</v>
      </c>
      <c r="Z887" s="223"/>
      <c r="AA887" s="76" t="str">
        <f t="array" ref="AA887:AA888">{"ADVANCED TOTAL";(IF(COUNTBLANK(F888:Z888)=17,"L",(IF(COUNTBLANK(F888:Z888)=18,"M",(IF(COUNTBLANK(F888:Z888)=19,"E",(IF(COUNTBLANK(F888:Z888)=20,"T",""))))))))}</f>
        <v>ADVANCED TOTAL</v>
      </c>
      <c r="AB887" s="76" t="str">
        <f t="array" ref="AB887:AB888">{"ADVANCED TOTAL";(sum(F888:Z888))}</f>
        <v>ADVANCED TOTAL</v>
      </c>
    </row>
    <row r="888">
      <c r="A888" s="48" t="s">
        <v>227</v>
      </c>
      <c r="B888" s="48" t="s">
        <v>418</v>
      </c>
      <c r="C888" s="97" t="s">
        <v>1634</v>
      </c>
      <c r="D888" s="97" t="s">
        <v>602</v>
      </c>
      <c r="E888" s="98" t="s">
        <v>603</v>
      </c>
      <c r="F888" s="132" t="s">
        <v>603</v>
      </c>
      <c r="G888" s="98" t="s">
        <v>603</v>
      </c>
      <c r="H888" s="98"/>
      <c r="I888" s="98" t="s">
        <v>603</v>
      </c>
      <c r="J888" s="98"/>
      <c r="K888" s="98" t="s">
        <v>603</v>
      </c>
      <c r="L888" s="98"/>
      <c r="M888" s="98" t="s">
        <v>603</v>
      </c>
      <c r="N888" s="98"/>
      <c r="O888" s="98" t="s">
        <v>603</v>
      </c>
      <c r="P888" s="98"/>
      <c r="Q888" s="98" t="s">
        <v>603</v>
      </c>
      <c r="R888" s="98"/>
      <c r="S888" s="98" t="s">
        <v>603</v>
      </c>
      <c r="T888" s="98"/>
      <c r="U888" s="98" t="s">
        <v>603</v>
      </c>
      <c r="V888" s="98"/>
      <c r="W888" s="98" t="s">
        <v>603</v>
      </c>
      <c r="X888" s="98"/>
      <c r="Y888" s="98" t="s">
        <v>603</v>
      </c>
      <c r="Z888" s="98"/>
      <c r="AA888" s="5" t="s">
        <v>603</v>
      </c>
      <c r="AB888" s="47">
        <v>0.0</v>
      </c>
    </row>
    <row r="889" hidden="1">
      <c r="A889" s="222" t="str">
        <f t="array" ref="A889:A890">{"FormulaRow34";(INDEX(CLASSLIST,A822,1))}</f>
        <v>FormulaRow34</v>
      </c>
      <c r="B889" s="222" t="str">
        <f t="array" ref="B889:B890">{"CLASSTYPE";((INDEX(ALLCLASSDATA,MATCH("ClassType",CLASSFEATUREHEADERS,0),MATCH($A890,CLASSNAMEHEADERS,0))))}</f>
        <v>CLASSTYPE</v>
      </c>
      <c r="C889" s="222" t="str">
        <f t="array" ref="C889:C890">{"DEFENSE";"Defense"}</f>
        <v>DEFENSE</v>
      </c>
      <c r="D889" s="222" t="str">
        <f t="array" ref="D889:D890">{"ARMORSPECIAL";"ArmorAS"}</f>
        <v>ARMORSPECIAL</v>
      </c>
      <c r="E889" s="223"/>
      <c r="F889" s="223"/>
      <c r="G889" s="223" t="str">
        <f t="array" ref="G889:G890">{"ARMORSPECIALL01";((IF("01"=INDEX(ALLCLASSDATA,MATCH("ArmorSpecialization",CLASSFEATUREHEADERS,0),MATCH($A890,CLASSNAMEHEADERS,0)),ArmorAS,"")))}</f>
        <v>ARMORSPECIALL01</v>
      </c>
      <c r="H889" s="223"/>
      <c r="I889" s="223" t="str">
        <f t="array" ref="I889:I890">{"ARMORSPECIALL03";((IF("03"=INDEX(ALLCLASSDATA,MATCH("ArmorSpecialization",CLASSFEATUREHEADERS,0),MATCH($A890,CLASSNAMEHEADERS,0)),ArmorAS,"")))}</f>
        <v>ARMORSPECIALL03</v>
      </c>
      <c r="J889" s="223"/>
      <c r="K889" s="223" t="str">
        <f t="array" ref="K889:K890">{"ARMORSPECIALL05";((IF("05"=INDEX(ALLCLASSDATA,MATCH("ArmorSpecialization",CLASSFEATUREHEADERS,0),MATCH($A890,CLASSNAMEHEADERS,0)),ArmorAS,"")))}</f>
        <v>ARMORSPECIALL05</v>
      </c>
      <c r="L889" s="223"/>
      <c r="M889" s="223" t="str">
        <f t="array" ref="M889:M890">{"ARMORSPECIALL07";((IF("07"=INDEX(ALLCLASSDATA,MATCH("ArmorSpecialization",CLASSFEATUREHEADERS,0),MATCH($A890,CLASSNAMEHEADERS,0)),ArmorAS,"")))}</f>
        <v>ARMORSPECIALL07</v>
      </c>
      <c r="N889" s="223"/>
      <c r="O889" s="223" t="str">
        <f t="array" ref="O889:O890">{"ARMORSPECIALL09";((IF("09"=INDEX(ALLCLASSDATA,MATCH("ArmorSpecialization",CLASSFEATUREHEADERS,0),MATCH($A890,CLASSNAMEHEADERS,0)),ArmorAS,"")))}</f>
        <v>ARMORSPECIALL09</v>
      </c>
      <c r="P889" s="223"/>
      <c r="Q889" s="223" t="str">
        <f t="array" ref="Q889:Q890">{"ARMORSPECIALL11";((IF("11"=INDEX(ALLCLASSDATA,MATCH("ArmorSpecialization",CLASSFEATUREHEADERS,0),MATCH($A890,CLASSNAMEHEADERS,0)),ArmorAS,"")))}</f>
        <v>ARMORSPECIALL11</v>
      </c>
      <c r="R889" s="223"/>
      <c r="S889" s="223" t="str">
        <f t="array" ref="S889:S890">{"ARMORSPECIALL13";((IF("13"=INDEX(ALLCLASSDATA,MATCH("ArmorSpecialization",CLASSFEATUREHEADERS,0),MATCH($A890,CLASSNAMEHEADERS,0)),ArmorAS,"")))}</f>
        <v>ARMORSPECIALL13</v>
      </c>
      <c r="T889" s="223"/>
      <c r="U889" s="223" t="str">
        <f t="array" ref="U889:U890">{"ARMORSPECIALL15";((IF("15"=INDEX(ALLCLASSDATA,MATCH("ArmorSpecialization",CLASSFEATUREHEADERS,0),MATCH($A890,CLASSNAMEHEADERS,0)),ArmorAS,"")))}</f>
        <v>ARMORSPECIALL15</v>
      </c>
      <c r="V889" s="223"/>
      <c r="W889" s="223" t="str">
        <f t="array" ref="W889:W890">{"ARMORSPECIALL17";((IF("17"=INDEX(ALLCLASSDATA,MATCH("ArmorSpecialization",CLASSFEATUREHEADERS,0),MATCH($A890,CLASSNAMEHEADERS,0)),ArmorAS,"")))}</f>
        <v>ARMORSPECIALL17</v>
      </c>
      <c r="X889" s="223"/>
      <c r="Y889" s="223" t="str">
        <f t="array" ref="Y889:Y890">{"ARMORSPECIALL19";((IF("19"=INDEX(ALLCLASSDATA,MATCH("ArmorSpecialization",CLASSFEATUREHEADERS,0),MATCH($A890,CLASSNAMEHEADERS,0)),ArmorAS,"")))}</f>
        <v>ARMORSPECIALL19</v>
      </c>
      <c r="Z889" s="223"/>
      <c r="AA889" s="76"/>
      <c r="AB889" s="76" t="str">
        <f t="array" ref="AB889:AB890">{"ARMORSPECIAL TOTAL";(sum(F890:Z890))}</f>
        <v>ARMORSPECIAL TOTAL</v>
      </c>
    </row>
    <row r="890">
      <c r="A890" s="48" t="s">
        <v>227</v>
      </c>
      <c r="B890" s="48" t="s">
        <v>418</v>
      </c>
      <c r="C890" s="48" t="s">
        <v>1900</v>
      </c>
      <c r="D890" s="48" t="s">
        <v>51</v>
      </c>
      <c r="E890" s="5"/>
      <c r="F890" s="47"/>
      <c r="G890" s="5" t="s">
        <v>603</v>
      </c>
      <c r="H890" s="5"/>
      <c r="I890" s="5" t="s">
        <v>603</v>
      </c>
      <c r="J890" s="5"/>
      <c r="K890" s="5" t="s">
        <v>603</v>
      </c>
      <c r="L890" s="5"/>
      <c r="M890" s="5" t="s">
        <v>603</v>
      </c>
      <c r="N890" s="5"/>
      <c r="O890" s="5" t="s">
        <v>603</v>
      </c>
      <c r="P890" s="5"/>
      <c r="Q890" s="5" t="s">
        <v>603</v>
      </c>
      <c r="R890" s="5"/>
      <c r="S890" s="5" t="s">
        <v>603</v>
      </c>
      <c r="T890" s="5"/>
      <c r="U890" s="5" t="s">
        <v>603</v>
      </c>
      <c r="V890" s="5"/>
      <c r="W890" s="5" t="s">
        <v>603</v>
      </c>
      <c r="X890" s="5"/>
      <c r="Y890" s="5" t="s">
        <v>603</v>
      </c>
      <c r="Z890" s="5"/>
      <c r="AA890" s="5"/>
      <c r="AB890" s="47">
        <v>0.0</v>
      </c>
    </row>
    <row r="891" hidden="1">
      <c r="A891" s="222" t="str">
        <f t="array" ref="A891:A892">{"FormulaRow35";(INDEX(CLASSLIST,A822,1))}</f>
        <v>FormulaRow35</v>
      </c>
      <c r="B891" s="222" t="str">
        <f t="array" ref="B891:B892">{"CLASSTYPE";((INDEX(ALLCLASSDATA,MATCH("ClassType",CLASSFEATUREHEADERS,0),MATCH($A892,CLASSNAMEHEADERS,0))))}</f>
        <v>CLASSTYPE</v>
      </c>
      <c r="C891" s="222" t="str">
        <f t="array" ref="C891:C892">{"DEFENSE";"Defense"}</f>
        <v>DEFENSE</v>
      </c>
      <c r="D891" s="222" t="str">
        <f t="array" ref="D891:D892">{"UNARMORED";"Unarmored"}</f>
        <v>UNARMORED</v>
      </c>
      <c r="E891" s="223" t="str">
        <f t="array" ref="E891:E892">{"UNARMOREDINITIAL";((IF(G892=10,"T",(IF(G892=50,"E","")))))}</f>
        <v>UNARMOREDINITIAL</v>
      </c>
      <c r="F891" s="223" t="str">
        <f t="array" ref="F891:F892">{"UNARMOREDINITIALPTS";((IF("00"=(INDEX(ALLCLASSDATA,MATCH("UnarmoredLegendary",CLASSFEATUREHEADERS,0),MATCH($A892,CLASSNAMEHEADERS,0))),(INDEX(ALLCLASSDATA,MATCH("UnarmoredLegendary",CLASSFEATUREHEADERS,0),MATCH(($A892 &amp; "Points"),CLASSNAMEHEADERS,0))),(IF("00"=(INDEX(ALLCLASSDATA,MATCH("UnarmoredMaster",CLASSFEATUREHEADERS,0),MATCH($A892,CLASSNAMEHEADERS,0))),(INDEX(ALLCLASSDATA,MATCH("UnarmoredMaster",CLASSFEATUREHEADERS,0),MATCH(($A892 &amp; "Points"),CLASSNAMEHEADERS,0))),(IF("00"=(INDEX(ALLCLASSDATA,MATCH("UnarmoredExpert",CLASSFEATUREHEADERS,0),MATCH($A892,CLASSNAMEHEADERS,0))),(INDEX(ALLCLASSDATA,MATCH("UnarmoredExpert",CLASSFEATUREHEADERS,0),MATCH(($A892 &amp; "Points"),CLASSNAMEHEADERS,0))),(IF("00"=(INDEX(ALLCLASSDATA,MATCH("UnarmoredTrained",CLASSFEATUREHEADERS,0),MATCH($A892,CLASSNAMEHEADERS,0))),(INDEX(ALLCLASSDATA,MATCH("UnarmoredTrained",CLASSFEATUREHEADERS,0),MATCH(($A892 &amp; "Points"),CLASSNAMEHEADERS,0))),"")))))))))}</f>
        <v>UNARMOREDINITIALPTS</v>
      </c>
      <c r="G891" s="223" t="str">
        <f t="array" ref="G891:G892">{"UNARMOREDL01";((IF("01"=(INDEX(ALLCLASSDATA,MATCH("UnarmoredLegendary",CLASSFEATUREHEADERS,0),MATCH($A892,CLASSNAMEHEADERS,0))),(INDEX(ALLCLASSDATA,MATCH("UnarmoredLegendary",CLASSFEATUREHEADERS,0),MATCH(($A892 &amp; "Points"),CLASSNAMEHEADERS,0))),(IF("01"=(INDEX(ALLCLASSDATA,MATCH("UnarmoredMaster",CLASSFEATUREHEADERS,0),MATCH($A892,CLASSNAMEHEADERS,0))),(INDEX(ALLCLASSDATA,MATCH("UnarmoredMaster",CLASSFEATUREHEADERS,0),MATCH(($A892 &amp; "Points"),CLASSNAMEHEADERS,0))),(IF("01"=(INDEX(ALLCLASSDATA,MATCH("UnarmoredExpert",CLASSFEATUREHEADERS,0),MATCH($A892,CLASSNAMEHEADERS,0))),(INDEX(ALLCLASSDATA,MATCH("UnarmoredExpert",CLASSFEATUREHEADERS,0),MATCH(($A892 &amp; "Points"),CLASSNAMEHEADERS,0))),(IF("01"=(INDEX(ALLCLASSDATA,MATCH("UnarmoredTrained",CLASSFEATUREHEADERS,0),MATCH($A892,CLASSNAMEHEADERS,0))),(INDEX(ALLCLASSDATA,MATCH("UnarmoredTrained",CLASSFEATUREHEADERS,0),MATCH(($A892 &amp; "Points"),CLASSNAMEHEADERS,0))),"")))))))))}</f>
        <v>UNARMOREDL01</v>
      </c>
      <c r="H891" s="223"/>
      <c r="I891" s="223" t="str">
        <f t="array" ref="I891:I892">{"UNARMOREDL03";((IF("03"=(INDEX(ALLCLASSDATA,MATCH("UnarmoredLegendary",CLASSFEATUREHEADERS,0),MATCH($A892,CLASSNAMEHEADERS,0))),(INDEX(ALLCLASSDATA,MATCH("UnarmoredLegendary",CLASSFEATUREHEADERS,0),MATCH(($A892 &amp; "Points"),CLASSNAMEHEADERS,0))),(IF("03"=(INDEX(ALLCLASSDATA,MATCH("UnarmoredMaster",CLASSFEATUREHEADERS,0),MATCH($A892,CLASSNAMEHEADERS,0))),(INDEX(ALLCLASSDATA,MATCH("UnarmoredMaster",CLASSFEATUREHEADERS,0),MATCH(($A892 &amp; "Points"),CLASSNAMEHEADERS,0))),(IF("03"=(INDEX(ALLCLASSDATA,MATCH("UnarmoredExpert",CLASSFEATUREHEADERS,0),MATCH($A892,CLASSNAMEHEADERS,0))),(INDEX(ALLCLASSDATA,MATCH("UnarmoredExpert",CLASSFEATUREHEADERS,0),MATCH(($A892 &amp; "Points"),CLASSNAMEHEADERS,0))),(IF("03"=(INDEX(ALLCLASSDATA,MATCH("UnarmoredTrained",CLASSFEATUREHEADERS,0),MATCH($A892,CLASSNAMEHEADERS,0))),(INDEX(ALLCLASSDATA,MATCH("UnarmoredTrained",CLASSFEATUREHEADERS,0),MATCH(($A892 &amp; "Points"),CLASSNAMEHEADERS,0))),"")))))))))}</f>
        <v>UNARMOREDL03</v>
      </c>
      <c r="J891" s="223"/>
      <c r="K891" s="223" t="str">
        <f t="array" ref="K891:K892">{"UNARMOREDL05";((IF("05"=(INDEX(ALLCLASSDATA,MATCH("UnarmoredLegendary",CLASSFEATUREHEADERS,0),MATCH($A892,CLASSNAMEHEADERS,0))),(INDEX(ALLCLASSDATA,MATCH("UnarmoredLegendary",CLASSFEATUREHEADERS,0),MATCH(($A892 &amp; "Points"),CLASSNAMEHEADERS,0))),(IF("05"=(INDEX(ALLCLASSDATA,MATCH("UnarmoredMaster",CLASSFEATUREHEADERS,0),MATCH($A892,CLASSNAMEHEADERS,0))),(INDEX(ALLCLASSDATA,MATCH("UnarmoredMaster",CLASSFEATUREHEADERS,0),MATCH(($A892 &amp; "Points"),CLASSNAMEHEADERS,0))),(IF("05"=(INDEX(ALLCLASSDATA,MATCH("UnarmoredExpert",CLASSFEATUREHEADERS,0),MATCH($A892,CLASSNAMEHEADERS,0))),(INDEX(ALLCLASSDATA,MATCH("UnarmoredExpert",CLASSFEATUREHEADERS,0),MATCH(($A892 &amp; "Points"),CLASSNAMEHEADERS,0))),(IF("05"=(INDEX(ALLCLASSDATA,MATCH("UnarmoredTrained",CLASSFEATUREHEADERS,0),MATCH($A892,CLASSNAMEHEADERS,0))),(INDEX(ALLCLASSDATA,MATCH("UnarmoredTrained",CLASSFEATUREHEADERS,0),MATCH(($A892 &amp; "Points"),CLASSNAMEHEADERS,0))),"")))))))))}</f>
        <v>UNARMOREDL05</v>
      </c>
      <c r="L891" s="223"/>
      <c r="M891" s="223" t="str">
        <f t="array" ref="M891:M892">{"UNARMOREDL07";((IF("07"=(INDEX(ALLCLASSDATA,MATCH("UnarmoredLegendary",CLASSFEATUREHEADERS,0),MATCH($A892,CLASSNAMEHEADERS,0))),(INDEX(ALLCLASSDATA,MATCH("UnarmoredLegendary",CLASSFEATUREHEADERS,0),MATCH(($A892 &amp; "Points"),CLASSNAMEHEADERS,0))),(IF("07"=(INDEX(ALLCLASSDATA,MATCH("UnarmoredMaster",CLASSFEATUREHEADERS,0),MATCH($A892,CLASSNAMEHEADERS,0))),(INDEX(ALLCLASSDATA,MATCH("UnarmoredMaster",CLASSFEATUREHEADERS,0),MATCH(($A892 &amp; "Points"),CLASSNAMEHEADERS,0))),(IF("07"=(INDEX(ALLCLASSDATA,MATCH("UnarmoredExpert",CLASSFEATUREHEADERS,0),MATCH($A892,CLASSNAMEHEADERS,0))),(INDEX(ALLCLASSDATA,MATCH("UnarmoredExpert",CLASSFEATUREHEADERS,0),MATCH(($A892 &amp; "Points"),CLASSNAMEHEADERS,0))),(IF("07"=(INDEX(ALLCLASSDATA,MATCH("UnarmoredTrained",CLASSFEATUREHEADERS,0),MATCH($A892,CLASSNAMEHEADERS,0))),(INDEX(ALLCLASSDATA,MATCH("UnarmoredTrained",CLASSFEATUREHEADERS,0),MATCH(($A892 &amp; "Points"),CLASSNAMEHEADERS,0))),"")))))))))}</f>
        <v>UNARMOREDL07</v>
      </c>
      <c r="N891" s="223"/>
      <c r="O891" s="223" t="str">
        <f t="array" ref="O891:O892">{"UNARMOREDL09";((IF("09"=(INDEX(ALLCLASSDATA,MATCH("UnarmoredLegendary",CLASSFEATUREHEADERS,0),MATCH($A892,CLASSNAMEHEADERS,0))),(INDEX(ALLCLASSDATA,MATCH("UnarmoredLegendary",CLASSFEATUREHEADERS,0),MATCH(($A892 &amp; "Points"),CLASSNAMEHEADERS,0))),(IF("09"=(INDEX(ALLCLASSDATA,MATCH("UnarmoredMaster",CLASSFEATUREHEADERS,0),MATCH($A892,CLASSNAMEHEADERS,0))),(INDEX(ALLCLASSDATA,MATCH("UnarmoredMaster",CLASSFEATUREHEADERS,0),MATCH(($A892 &amp; "Points"),CLASSNAMEHEADERS,0))),(IF("09"=(INDEX(ALLCLASSDATA,MATCH("UnarmoredExpert",CLASSFEATUREHEADERS,0),MATCH($A892,CLASSNAMEHEADERS,0))),(INDEX(ALLCLASSDATA,MATCH("UnarmoredExpert",CLASSFEATUREHEADERS,0),MATCH(($A892 &amp; "Points"),CLASSNAMEHEADERS,0))),(IF("09"=(INDEX(ALLCLASSDATA,MATCH("UnarmoredTrained",CLASSFEATUREHEADERS,0),MATCH($A892,CLASSNAMEHEADERS,0))),(INDEX(ALLCLASSDATA,MATCH("UnarmoredTrained",CLASSFEATUREHEADERS,0),MATCH(($A892 &amp; "Points"),CLASSNAMEHEADERS,0))),"")))))))))}</f>
        <v>UNARMOREDL09</v>
      </c>
      <c r="P891" s="223"/>
      <c r="Q891" s="223" t="str">
        <f t="array" ref="Q891:Q892">{"UNARMOREDL11";((IF("11"=(INDEX(ALLCLASSDATA,MATCH("UnarmoredLegendary",CLASSFEATUREHEADERS,0),MATCH($A892,CLASSNAMEHEADERS,0))),(INDEX(ALLCLASSDATA,MATCH("UnarmoredLegendary",CLASSFEATUREHEADERS,0),MATCH(($A892 &amp; "Points"),CLASSNAMEHEADERS,0))),(IF("11"=(INDEX(ALLCLASSDATA,MATCH("UnarmoredMaster",CLASSFEATUREHEADERS,0),MATCH($A892,CLASSNAMEHEADERS,0))),(INDEX(ALLCLASSDATA,MATCH("UnarmoredMaster",CLASSFEATUREHEADERS,0),MATCH(($A892 &amp; "Points"),CLASSNAMEHEADERS,0))),(IF("11"=(INDEX(ALLCLASSDATA,MATCH("UnarmoredExpert",CLASSFEATUREHEADERS,0),MATCH($A892,CLASSNAMEHEADERS,0))),(INDEX(ALLCLASSDATA,MATCH("UnarmoredExpert",CLASSFEATUREHEADERS,0),MATCH(($A892 &amp; "Points"),CLASSNAMEHEADERS,0))),(IF("11"=(INDEX(ALLCLASSDATA,MATCH("UnarmoredTrained",CLASSFEATUREHEADERS,0),MATCH($A892,CLASSNAMEHEADERS,0))),(INDEX(ALLCLASSDATA,MATCH("UnarmoredTrained",CLASSFEATUREHEADERS,0),MATCH(($A892 &amp; "Points"),CLASSNAMEHEADERS,0))),"")))))))))}</f>
        <v>UNARMOREDL11</v>
      </c>
      <c r="R891" s="223"/>
      <c r="S891" s="223" t="str">
        <f t="array" ref="S891:S892">{"UNARMOREDL13";((IF("13"=(INDEX(ALLCLASSDATA,MATCH("UnarmoredLegendary",CLASSFEATUREHEADERS,0),MATCH($A892,CLASSNAMEHEADERS,0))),(INDEX(ALLCLASSDATA,MATCH("UnarmoredLegendary",CLASSFEATUREHEADERS,0),MATCH(($A892 &amp; "Points"),CLASSNAMEHEADERS,0))),(IF("13"=(INDEX(ALLCLASSDATA,MATCH("UnarmoredMaster",CLASSFEATUREHEADERS,0),MATCH($A892,CLASSNAMEHEADERS,0))),(INDEX(ALLCLASSDATA,MATCH("UnarmoredMaster",CLASSFEATUREHEADERS,0),MATCH(($A892 &amp; "Points"),CLASSNAMEHEADERS,0))),(IF("13"=(INDEX(ALLCLASSDATA,MATCH("UnarmoredExpert",CLASSFEATUREHEADERS,0),MATCH($A892,CLASSNAMEHEADERS,0))),(INDEX(ALLCLASSDATA,MATCH("UnarmoredExpert",CLASSFEATUREHEADERS,0),MATCH(($A892 &amp; "Points"),CLASSNAMEHEADERS,0))),(IF("13"=(INDEX(ALLCLASSDATA,MATCH("UnarmoredTrained",CLASSFEATUREHEADERS,0),MATCH($A892,CLASSNAMEHEADERS,0))),(INDEX(ALLCLASSDATA,MATCH("UnarmoredTrained",CLASSFEATUREHEADERS,0),MATCH(($A892 &amp; "Points"),CLASSNAMEHEADERS,0))),"")))))))))}</f>
        <v>UNARMOREDL13</v>
      </c>
      <c r="T891" s="223"/>
      <c r="U891" s="223" t="str">
        <f t="array" ref="U891:U892">{"UNARMOREDL15";((IF("15"=(INDEX(ALLCLASSDATA,MATCH("UnarmoredLegendary",CLASSFEATUREHEADERS,0),MATCH($A892,CLASSNAMEHEADERS,0))),(INDEX(ALLCLASSDATA,MATCH("UnarmoredLegendary",CLASSFEATUREHEADERS,0),MATCH(($A892 &amp; "Points"),CLASSNAMEHEADERS,0))),(IF("15"=(INDEX(ALLCLASSDATA,MATCH("UnarmoredMaster",CLASSFEATUREHEADERS,0),MATCH($A892,CLASSNAMEHEADERS,0))),(INDEX(ALLCLASSDATA,MATCH("UnarmoredMaster",CLASSFEATUREHEADERS,0),MATCH(($A892 &amp; "Points"),CLASSNAMEHEADERS,0))),(IF("15"=(INDEX(ALLCLASSDATA,MATCH("UnarmoredExpert",CLASSFEATUREHEADERS,0),MATCH($A892,CLASSNAMEHEADERS,0))),(INDEX(ALLCLASSDATA,MATCH("UnarmoredExpert",CLASSFEATUREHEADERS,0),MATCH(($A892 &amp; "Points"),CLASSNAMEHEADERS,0))),(IF("15"=(INDEX(ALLCLASSDATA,MATCH("UnarmoredTrained",CLASSFEATUREHEADERS,0),MATCH($A892,CLASSNAMEHEADERS,0))),(INDEX(ALLCLASSDATA,MATCH("UnarmoredTrained",CLASSFEATUREHEADERS,0),MATCH(($A892 &amp; "Points"),CLASSNAMEHEADERS,0))),"")))))))))}</f>
        <v>UNARMOREDL15</v>
      </c>
      <c r="V891" s="223"/>
      <c r="W891" s="223" t="str">
        <f t="array" ref="W891:W892">{"UNARMOREDL17";((IF("17"=(INDEX(ALLCLASSDATA,MATCH("UnarmoredLegendary",CLASSFEATUREHEADERS,0),MATCH($A892,CLASSNAMEHEADERS,0))),(INDEX(ALLCLASSDATA,MATCH("UnarmoredLegendary",CLASSFEATUREHEADERS,0),MATCH(($A892 &amp; "Points"),CLASSNAMEHEADERS,0))),(IF("17"=(INDEX(ALLCLASSDATA,MATCH("UnarmoredMaster",CLASSFEATUREHEADERS,0),MATCH($A892,CLASSNAMEHEADERS,0))),(INDEX(ALLCLASSDATA,MATCH("UnarmoredMaster",CLASSFEATUREHEADERS,0),MATCH(($A892 &amp; "Points"),CLASSNAMEHEADERS,0))),(IF("17"=(INDEX(ALLCLASSDATA,MATCH("UnarmoredExpert",CLASSFEATUREHEADERS,0),MATCH($A892,CLASSNAMEHEADERS,0))),(INDEX(ALLCLASSDATA,MATCH("UnarmoredExpert",CLASSFEATUREHEADERS,0),MATCH(($A892 &amp; "Points"),CLASSNAMEHEADERS,0))),(IF("17"=(INDEX(ALLCLASSDATA,MATCH("UnarmoredTrained",CLASSFEATUREHEADERS,0),MATCH($A892,CLASSNAMEHEADERS,0))),(INDEX(ALLCLASSDATA,MATCH("UnarmoredTrained",CLASSFEATUREHEADERS,0),MATCH(($A892 &amp; "Points"),CLASSNAMEHEADERS,0))),"")))))))))}</f>
        <v>UNARMOREDL17</v>
      </c>
      <c r="X891" s="223"/>
      <c r="Y891" s="223" t="str">
        <f t="array" ref="Y891:Y892">{"UNARMOREDL19";((IF("19"=(INDEX(ALLCLASSDATA,MATCH("UnarmoredLegendary",CLASSFEATUREHEADERS,0),MATCH($A892,CLASSNAMEHEADERS,0))),(INDEX(ALLCLASSDATA,MATCH("UnarmoredLegendary",CLASSFEATUREHEADERS,0),MATCH(($A892 &amp; "Points"),CLASSNAMEHEADERS,0))),(IF("19"=(INDEX(ALLCLASSDATA,MATCH("UnarmoredMaster",CLASSFEATUREHEADERS,0),MATCH($A892,CLASSNAMEHEADERS,0))),(INDEX(ALLCLASSDATA,MATCH("UnarmoredMaster",CLASSFEATUREHEADERS,0),MATCH(($A892 &amp; "Points"),CLASSNAMEHEADERS,0))),(IF("19"=(INDEX(ALLCLASSDATA,MATCH("UnarmoredExpert",CLASSFEATUREHEADERS,0),MATCH($A892,CLASSNAMEHEADERS,0))),(INDEX(ALLCLASSDATA,MATCH("UnarmoredExpert",CLASSFEATUREHEADERS,0),MATCH(($A892 &amp; "Points"),CLASSNAMEHEADERS,0))),(IF("19"=(INDEX(ALLCLASSDATA,MATCH("UnarmoredTrained",CLASSFEATUREHEADERS,0),MATCH($A892,CLASSNAMEHEADERS,0))),(INDEX(ALLCLASSDATA,MATCH("UnarmoredTrained",CLASSFEATUREHEADERS,0),MATCH(($A892 &amp; "Points"),CLASSNAMEHEADERS,0))),"")))))))))}</f>
        <v>UNARMOREDL19</v>
      </c>
      <c r="Z891" s="223"/>
      <c r="AA891" s="76" t="str">
        <f t="array" ref="AA891:AA892">{"UNARMORED TOTAL";(IF(COUNTBLANK(F892:Z892)=17,"L",(IF(COUNTBLANK(F892:Z892)=18,"M",(IF(COUNTBLANK(F892:Z892)=19,"E",(IF(COUNTBLANK(F892:Z892)=20,"T",""))))))))}</f>
        <v>UNARMORED TOTAL</v>
      </c>
      <c r="AB891" s="76" t="str">
        <f t="array" ref="AB891:AB892">{"UNARMORED TOTAL";(sum(F892:Z892))}</f>
        <v>UNARMORED TOTAL</v>
      </c>
    </row>
    <row r="892">
      <c r="A892" s="48" t="s">
        <v>227</v>
      </c>
      <c r="B892" s="48" t="s">
        <v>418</v>
      </c>
      <c r="C892" s="48" t="s">
        <v>1900</v>
      </c>
      <c r="D892" s="48" t="s">
        <v>78</v>
      </c>
      <c r="E892" s="5" t="s">
        <v>435</v>
      </c>
      <c r="F892" s="47" t="s">
        <v>603</v>
      </c>
      <c r="G892" s="5">
        <v>10.0</v>
      </c>
      <c r="H892" s="5"/>
      <c r="I892" s="5" t="s">
        <v>603</v>
      </c>
      <c r="J892" s="5"/>
      <c r="K892" s="5" t="s">
        <v>603</v>
      </c>
      <c r="L892" s="5"/>
      <c r="M892" s="5" t="s">
        <v>603</v>
      </c>
      <c r="N892" s="5"/>
      <c r="O892" s="5" t="s">
        <v>603</v>
      </c>
      <c r="P892" s="5"/>
      <c r="Q892" s="5" t="s">
        <v>603</v>
      </c>
      <c r="R892" s="5"/>
      <c r="S892" s="5">
        <v>50.0</v>
      </c>
      <c r="T892" s="5"/>
      <c r="U892" s="5" t="s">
        <v>603</v>
      </c>
      <c r="V892" s="5"/>
      <c r="W892" s="5" t="s">
        <v>603</v>
      </c>
      <c r="X892" s="5"/>
      <c r="Y892" s="5" t="s">
        <v>603</v>
      </c>
      <c r="Z892" s="5"/>
      <c r="AA892" s="5" t="s">
        <v>436</v>
      </c>
      <c r="AB892" s="47">
        <v>60.0</v>
      </c>
    </row>
    <row r="893" hidden="1">
      <c r="A893" s="222" t="str">
        <f t="array" ref="A893:A894">{"FormulaRow36";(INDEX(CLASSLIST,A822,1))}</f>
        <v>FormulaRow36</v>
      </c>
      <c r="B893" s="222" t="str">
        <f t="array" ref="B893:B894">{"CLASSTYPE";((INDEX(ALLCLASSDATA,MATCH("ClassType",CLASSFEATUREHEADERS,0),MATCH($A894,CLASSNAMEHEADERS,0))))}</f>
        <v>CLASSTYPE</v>
      </c>
      <c r="C893" s="222" t="str">
        <f t="array" ref="C893:C894">{"DEFENSE";"Defense"}</f>
        <v>DEFENSE</v>
      </c>
      <c r="D893" s="222" t="str">
        <f t="array" ref="D893:D894">{"LIGHT";"Light"}</f>
        <v>LIGHT</v>
      </c>
      <c r="E893" s="223" t="str">
        <f t="array" ref="E893:E894">{"LIGHTINITIAL";((IF(G894=10,"T",(IF(G894=50,"E","")))))}</f>
        <v>LIGHTINITIAL</v>
      </c>
      <c r="F893" s="223" t="str">
        <f t="array" ref="F893:F894">{"LIGHTINITIALPTS";((IF("00"=(INDEX(ALLCLASSDATA,MATCH("LightLegendary",CLASSFEATUREHEADERS,0),MATCH($A894,CLASSNAMEHEADERS,0))),(INDEX(ALLCLASSDATA,MATCH("LightLegendary",CLASSFEATUREHEADERS,0),MATCH(($A894 &amp; "Points"),CLASSNAMEHEADERS,0))),(IF("00"=(INDEX(ALLCLASSDATA,MATCH("LightMaster",CLASSFEATUREHEADERS,0),MATCH($A894,CLASSNAMEHEADERS,0))),(INDEX(ALLCLASSDATA,MATCH("LightMaster",CLASSFEATUREHEADERS,0),MATCH(($A894 &amp; "Points"),CLASSNAMEHEADERS,0))),(IF("00"=(INDEX(ALLCLASSDATA,MATCH("LightExpert",CLASSFEATUREHEADERS,0),MATCH($A894,CLASSNAMEHEADERS,0))),(INDEX(ALLCLASSDATA,MATCH("LightExpert",CLASSFEATUREHEADERS,0),MATCH(($A894 &amp; "Points"),CLASSNAMEHEADERS,0))),(IF("00"=(INDEX(ALLCLASSDATA,MATCH("LightTrained",CLASSFEATUREHEADERS,0),MATCH($A894,CLASSNAMEHEADERS,0))),(INDEX(ALLCLASSDATA,MATCH("LightTrained",CLASSFEATUREHEADERS,0),MATCH(($A894 &amp; "Points"),CLASSNAMEHEADERS,0))),"")))))))))}</f>
        <v>LIGHTINITIALPTS</v>
      </c>
      <c r="G893" s="223" t="str">
        <f t="array" ref="G893:G894">{"LIGHTL01";((IF("01"=(INDEX(ALLCLASSDATA,MATCH("LightLegendary",CLASSFEATUREHEADERS,0),MATCH($A894,CLASSNAMEHEADERS,0))),(INDEX(ALLCLASSDATA,MATCH("LightLegendary",CLASSFEATUREHEADERS,0),MATCH(($A894 &amp; "Points"),CLASSNAMEHEADERS,0))),(IF("01"=(INDEX(ALLCLASSDATA,MATCH("LightMaster",CLASSFEATUREHEADERS,0),MATCH($A894,CLASSNAMEHEADERS,0))),(INDEX(ALLCLASSDATA,MATCH("LightMaster",CLASSFEATUREHEADERS,0),MATCH(($A894 &amp; "Points"),CLASSNAMEHEADERS,0))),(IF("01"=(INDEX(ALLCLASSDATA,MATCH("LightExpert",CLASSFEATUREHEADERS,0),MATCH($A894,CLASSNAMEHEADERS,0))),(INDEX(ALLCLASSDATA,MATCH("LightExpert",CLASSFEATUREHEADERS,0),MATCH(($A894 &amp; "Points"),CLASSNAMEHEADERS,0))),(IF("01"=(INDEX(ALLCLASSDATA,MATCH("LightTrained",CLASSFEATUREHEADERS,0),MATCH($A894,CLASSNAMEHEADERS,0))),(INDEX(ALLCLASSDATA,MATCH("LightTrained",CLASSFEATUREHEADERS,0),MATCH(($A894 &amp; "Points"),CLASSNAMEHEADERS,0))),"")))))))))}</f>
        <v>LIGHTL01</v>
      </c>
      <c r="H893" s="223"/>
      <c r="I893" s="223" t="str">
        <f t="array" ref="I893:I894">{"LIGHTL03";((IF("03"=(INDEX(ALLCLASSDATA,MATCH("LightLegendary",CLASSFEATUREHEADERS,0),MATCH($A894,CLASSNAMEHEADERS,0))),(INDEX(ALLCLASSDATA,MATCH("LightLegendary",CLASSFEATUREHEADERS,0),MATCH(($A894 &amp; "Points"),CLASSNAMEHEADERS,0))),(IF("03"=(INDEX(ALLCLASSDATA,MATCH("LightMaster",CLASSFEATUREHEADERS,0),MATCH($A894,CLASSNAMEHEADERS,0))),(INDEX(ALLCLASSDATA,MATCH("LightMaster",CLASSFEATUREHEADERS,0),MATCH(($A894 &amp; "Points"),CLASSNAMEHEADERS,0))),(IF("03"=(INDEX(ALLCLASSDATA,MATCH("LightExpert",CLASSFEATUREHEADERS,0),MATCH($A894,CLASSNAMEHEADERS,0))),(INDEX(ALLCLASSDATA,MATCH("LightExpert",CLASSFEATUREHEADERS,0),MATCH(($A894 &amp; "Points"),CLASSNAMEHEADERS,0))),(IF("03"=(INDEX(ALLCLASSDATA,MATCH("LightTrained",CLASSFEATUREHEADERS,0),MATCH($A894,CLASSNAMEHEADERS,0))),(INDEX(ALLCLASSDATA,MATCH("LightTrained",CLASSFEATUREHEADERS,0),MATCH(($A894 &amp; "Points"),CLASSNAMEHEADERS,0))),"")))))))))}</f>
        <v>LIGHTL03</v>
      </c>
      <c r="J893" s="223"/>
      <c r="K893" s="223" t="str">
        <f t="array" ref="K893:K894">{"LIGHTL05";((IF("05"=(INDEX(ALLCLASSDATA,MATCH("LightLegendary",CLASSFEATUREHEADERS,0),MATCH($A894,CLASSNAMEHEADERS,0))),(INDEX(ALLCLASSDATA,MATCH("LightLegendary",CLASSFEATUREHEADERS,0),MATCH(($A894 &amp; "Points"),CLASSNAMEHEADERS,0))),(IF("05"=(INDEX(ALLCLASSDATA,MATCH("LightMaster",CLASSFEATUREHEADERS,0),MATCH($A894,CLASSNAMEHEADERS,0))),(INDEX(ALLCLASSDATA,MATCH("LightMaster",CLASSFEATUREHEADERS,0),MATCH(($A894 &amp; "Points"),CLASSNAMEHEADERS,0))),(IF("05"=(INDEX(ALLCLASSDATA,MATCH("LightExpert",CLASSFEATUREHEADERS,0),MATCH($A894,CLASSNAMEHEADERS,0))),(INDEX(ALLCLASSDATA,MATCH("LightExpert",CLASSFEATUREHEADERS,0),MATCH(($A894 &amp; "Points"),CLASSNAMEHEADERS,0))),(IF("05"=(INDEX(ALLCLASSDATA,MATCH("LightTrained",CLASSFEATUREHEADERS,0),MATCH($A894,CLASSNAMEHEADERS,0))),(INDEX(ALLCLASSDATA,MATCH("LightTrained",CLASSFEATUREHEADERS,0),MATCH(($A894 &amp; "Points"),CLASSNAMEHEADERS,0))),"")))))))))}</f>
        <v>LIGHTL05</v>
      </c>
      <c r="L893" s="223"/>
      <c r="M893" s="223" t="str">
        <f t="array" ref="M893:M894">{"LIGHTL07";((IF("07"=(INDEX(ALLCLASSDATA,MATCH("LightLegendary",CLASSFEATUREHEADERS,0),MATCH($A894,CLASSNAMEHEADERS,0))),(INDEX(ALLCLASSDATA,MATCH("LightLegendary",CLASSFEATUREHEADERS,0),MATCH(($A894 &amp; "Points"),CLASSNAMEHEADERS,0))),(IF("07"=(INDEX(ALLCLASSDATA,MATCH("LightMaster",CLASSFEATUREHEADERS,0),MATCH($A894,CLASSNAMEHEADERS,0))),(INDEX(ALLCLASSDATA,MATCH("LightMaster",CLASSFEATUREHEADERS,0),MATCH(($A894 &amp; "Points"),CLASSNAMEHEADERS,0))),(IF("07"=(INDEX(ALLCLASSDATA,MATCH("LightExpert",CLASSFEATUREHEADERS,0),MATCH($A894,CLASSNAMEHEADERS,0))),(INDEX(ALLCLASSDATA,MATCH("LightExpert",CLASSFEATUREHEADERS,0),MATCH(($A894 &amp; "Points"),CLASSNAMEHEADERS,0))),(IF("07"=(INDEX(ALLCLASSDATA,MATCH("LightTrained",CLASSFEATUREHEADERS,0),MATCH($A894,CLASSNAMEHEADERS,0))),(INDEX(ALLCLASSDATA,MATCH("LightTrained",CLASSFEATUREHEADERS,0),MATCH(($A894 &amp; "Points"),CLASSNAMEHEADERS,0))),"")))))))))}</f>
        <v>LIGHTL07</v>
      </c>
      <c r="N893" s="223"/>
      <c r="O893" s="223" t="str">
        <f t="array" ref="O893:O894">{"LIGHTL09";((IF("09"=(INDEX(ALLCLASSDATA,MATCH("LightLegendary",CLASSFEATUREHEADERS,0),MATCH($A894,CLASSNAMEHEADERS,0))),(INDEX(ALLCLASSDATA,MATCH("LightLegendary",CLASSFEATUREHEADERS,0),MATCH(($A894 &amp; "Points"),CLASSNAMEHEADERS,0))),(IF("09"=(INDEX(ALLCLASSDATA,MATCH("LightMaster",CLASSFEATUREHEADERS,0),MATCH($A894,CLASSNAMEHEADERS,0))),(INDEX(ALLCLASSDATA,MATCH("LightMaster",CLASSFEATUREHEADERS,0),MATCH(($A894 &amp; "Points"),CLASSNAMEHEADERS,0))),(IF("09"=(INDEX(ALLCLASSDATA,MATCH("LightExpert",CLASSFEATUREHEADERS,0),MATCH($A894,CLASSNAMEHEADERS,0))),(INDEX(ALLCLASSDATA,MATCH("LightExpert",CLASSFEATUREHEADERS,0),MATCH(($A894 &amp; "Points"),CLASSNAMEHEADERS,0))),(IF("09"=(INDEX(ALLCLASSDATA,MATCH("LightTrained",CLASSFEATUREHEADERS,0),MATCH($A894,CLASSNAMEHEADERS,0))),(INDEX(ALLCLASSDATA,MATCH("LightTrained",CLASSFEATUREHEADERS,0),MATCH(($A894 &amp; "Points"),CLASSNAMEHEADERS,0))),"")))))))))}</f>
        <v>LIGHTL09</v>
      </c>
      <c r="P893" s="223"/>
      <c r="Q893" s="223" t="str">
        <f t="array" ref="Q893:Q894">{"LIGHTL11";((IF("11"=(INDEX(ALLCLASSDATA,MATCH("LightLegendary",CLASSFEATUREHEADERS,0),MATCH($A894,CLASSNAMEHEADERS,0))),(INDEX(ALLCLASSDATA,MATCH("LightLegendary",CLASSFEATUREHEADERS,0),MATCH(($A894 &amp; "Points"),CLASSNAMEHEADERS,0))),(IF("11"=(INDEX(ALLCLASSDATA,MATCH("LightMaster",CLASSFEATUREHEADERS,0),MATCH($A894,CLASSNAMEHEADERS,0))),(INDEX(ALLCLASSDATA,MATCH("LightMaster",CLASSFEATUREHEADERS,0),MATCH(($A894 &amp; "Points"),CLASSNAMEHEADERS,0))),(IF("11"=(INDEX(ALLCLASSDATA,MATCH("LightExpert",CLASSFEATUREHEADERS,0),MATCH($A894,CLASSNAMEHEADERS,0))),(INDEX(ALLCLASSDATA,MATCH("LightExpert",CLASSFEATUREHEADERS,0),MATCH(($A894 &amp; "Points"),CLASSNAMEHEADERS,0))),(IF("11"=(INDEX(ALLCLASSDATA,MATCH("LightTrained",CLASSFEATUREHEADERS,0),MATCH($A894,CLASSNAMEHEADERS,0))),(INDEX(ALLCLASSDATA,MATCH("LightTrained",CLASSFEATUREHEADERS,0),MATCH(($A894 &amp; "Points"),CLASSNAMEHEADERS,0))),"")))))))))}</f>
        <v>LIGHTL11</v>
      </c>
      <c r="R893" s="223"/>
      <c r="S893" s="223" t="str">
        <f t="array" ref="S893:S894">{"LIGHTL13";((IF("13"=(INDEX(ALLCLASSDATA,MATCH("LightLegendary",CLASSFEATUREHEADERS,0),MATCH($A894,CLASSNAMEHEADERS,0))),(INDEX(ALLCLASSDATA,MATCH("LightLegendary",CLASSFEATUREHEADERS,0),MATCH(($A894 &amp; "Points"),CLASSNAMEHEADERS,0))),(IF("13"=(INDEX(ALLCLASSDATA,MATCH("LightMaster",CLASSFEATUREHEADERS,0),MATCH($A894,CLASSNAMEHEADERS,0))),(INDEX(ALLCLASSDATA,MATCH("LightMaster",CLASSFEATUREHEADERS,0),MATCH(($A894 &amp; "Points"),CLASSNAMEHEADERS,0))),(IF("13"=(INDEX(ALLCLASSDATA,MATCH("LightExpert",CLASSFEATUREHEADERS,0),MATCH($A894,CLASSNAMEHEADERS,0))),(INDEX(ALLCLASSDATA,MATCH("LightExpert",CLASSFEATUREHEADERS,0),MATCH(($A894 &amp; "Points"),CLASSNAMEHEADERS,0))),(IF("13"=(INDEX(ALLCLASSDATA,MATCH("LightTrained",CLASSFEATUREHEADERS,0),MATCH($A894,CLASSNAMEHEADERS,0))),(INDEX(ALLCLASSDATA,MATCH("LightTrained",CLASSFEATUREHEADERS,0),MATCH(($A894 &amp; "Points"),CLASSNAMEHEADERS,0))),"")))))))))}</f>
        <v>LIGHTL13</v>
      </c>
      <c r="T893" s="223"/>
      <c r="U893" s="223" t="str">
        <f t="array" ref="U893:U894">{"LIGHTL15";((IF("15"=(INDEX(ALLCLASSDATA,MATCH("LightLegendary",CLASSFEATUREHEADERS,0),MATCH($A894,CLASSNAMEHEADERS,0))),(INDEX(ALLCLASSDATA,MATCH("LightLegendary",CLASSFEATUREHEADERS,0),MATCH(($A894 &amp; "Points"),CLASSNAMEHEADERS,0))),(IF("15"=(INDEX(ALLCLASSDATA,MATCH("LightMaster",CLASSFEATUREHEADERS,0),MATCH($A894,CLASSNAMEHEADERS,0))),(INDEX(ALLCLASSDATA,MATCH("LightMaster",CLASSFEATUREHEADERS,0),MATCH(($A894 &amp; "Points"),CLASSNAMEHEADERS,0))),(IF("15"=(INDEX(ALLCLASSDATA,MATCH("LightExpert",CLASSFEATUREHEADERS,0),MATCH($A894,CLASSNAMEHEADERS,0))),(INDEX(ALLCLASSDATA,MATCH("LightExpert",CLASSFEATUREHEADERS,0),MATCH(($A894 &amp; "Points"),CLASSNAMEHEADERS,0))),(IF("15"=(INDEX(ALLCLASSDATA,MATCH("LightTrained",CLASSFEATUREHEADERS,0),MATCH($A894,CLASSNAMEHEADERS,0))),(INDEX(ALLCLASSDATA,MATCH("LightTrained",CLASSFEATUREHEADERS,0),MATCH(($A894 &amp; "Points"),CLASSNAMEHEADERS,0))),"")))))))))}</f>
        <v>LIGHTL15</v>
      </c>
      <c r="V893" s="223"/>
      <c r="W893" s="223" t="str">
        <f t="array" ref="W893:W894">{"LIGHTL17";((IF("17"=(INDEX(ALLCLASSDATA,MATCH("LightLegendary",CLASSFEATUREHEADERS,0),MATCH($A894,CLASSNAMEHEADERS,0))),(INDEX(ALLCLASSDATA,MATCH("LightLegendary",CLASSFEATUREHEADERS,0),MATCH(($A894 &amp; "Points"),CLASSNAMEHEADERS,0))),(IF("17"=(INDEX(ALLCLASSDATA,MATCH("LightMaster",CLASSFEATUREHEADERS,0),MATCH($A894,CLASSNAMEHEADERS,0))),(INDEX(ALLCLASSDATA,MATCH("LightMaster",CLASSFEATUREHEADERS,0),MATCH(($A894 &amp; "Points"),CLASSNAMEHEADERS,0))),(IF("17"=(INDEX(ALLCLASSDATA,MATCH("LightExpert",CLASSFEATUREHEADERS,0),MATCH($A894,CLASSNAMEHEADERS,0))),(INDEX(ALLCLASSDATA,MATCH("LightExpert",CLASSFEATUREHEADERS,0),MATCH(($A894 &amp; "Points"),CLASSNAMEHEADERS,0))),(IF("17"=(INDEX(ALLCLASSDATA,MATCH("LightTrained",CLASSFEATUREHEADERS,0),MATCH($A894,CLASSNAMEHEADERS,0))),(INDEX(ALLCLASSDATA,MATCH("LightTrained",CLASSFEATUREHEADERS,0),MATCH(($A894 &amp; "Points"),CLASSNAMEHEADERS,0))),"")))))))))}</f>
        <v>LIGHTL17</v>
      </c>
      <c r="X893" s="223"/>
      <c r="Y893" s="223" t="str">
        <f t="array" ref="Y893:Y894">{"LIGHTL19";((IF("19"=(INDEX(ALLCLASSDATA,MATCH("LightLegendary",CLASSFEATUREHEADERS,0),MATCH($A894,CLASSNAMEHEADERS,0))),(INDEX(ALLCLASSDATA,MATCH("LightLegendary",CLASSFEATUREHEADERS,0),MATCH(($A894 &amp; "Points"),CLASSNAMEHEADERS,0))),(IF("19"=(INDEX(ALLCLASSDATA,MATCH("LightMaster",CLASSFEATUREHEADERS,0),MATCH($A894,CLASSNAMEHEADERS,0))),(INDEX(ALLCLASSDATA,MATCH("LightMaster",CLASSFEATUREHEADERS,0),MATCH(($A894 &amp; "Points"),CLASSNAMEHEADERS,0))),(IF("19"=(INDEX(ALLCLASSDATA,MATCH("LightExpert",CLASSFEATUREHEADERS,0),MATCH($A894,CLASSNAMEHEADERS,0))),(INDEX(ALLCLASSDATA,MATCH("LightExpert",CLASSFEATUREHEADERS,0),MATCH(($A894 &amp; "Points"),CLASSNAMEHEADERS,0))),(IF("19"=(INDEX(ALLCLASSDATA,MATCH("LightTrained",CLASSFEATUREHEADERS,0),MATCH($A894,CLASSNAMEHEADERS,0))),(INDEX(ALLCLASSDATA,MATCH("LightTrained",CLASSFEATUREHEADERS,0),MATCH(($A894 &amp; "Points"),CLASSNAMEHEADERS,0))),"")))))))))}</f>
        <v>LIGHTL19</v>
      </c>
      <c r="Z893" s="223"/>
      <c r="AA893" s="76" t="str">
        <f t="array" ref="AA893:AA894">{"LIGHT TOTAL";(IF(COUNTBLANK(F894:Z894)=17,"L",(IF(COUNTBLANK(F894:Z894)=18,"M",(IF(COUNTBLANK(F894:Z894)=19,"E",(IF(COUNTBLANK(F894:Z894)=20,"T",""))))))))}</f>
        <v>LIGHT TOTAL</v>
      </c>
      <c r="AB893" s="76" t="str">
        <f t="array" ref="AB893:AB894">{"LIGHT TOTAL";(sum(F894:Z894))}</f>
        <v>LIGHT TOTAL</v>
      </c>
    </row>
    <row r="894">
      <c r="A894" s="48" t="s">
        <v>227</v>
      </c>
      <c r="B894" s="48" t="s">
        <v>418</v>
      </c>
      <c r="C894" s="48" t="s">
        <v>1900</v>
      </c>
      <c r="D894" s="48" t="s">
        <v>77</v>
      </c>
      <c r="E894" s="5" t="s">
        <v>603</v>
      </c>
      <c r="F894" s="47" t="s">
        <v>603</v>
      </c>
      <c r="G894" s="5" t="s">
        <v>603</v>
      </c>
      <c r="H894" s="5"/>
      <c r="I894" s="5" t="s">
        <v>603</v>
      </c>
      <c r="J894" s="5"/>
      <c r="K894" s="5" t="s">
        <v>603</v>
      </c>
      <c r="L894" s="5"/>
      <c r="M894" s="5" t="s">
        <v>603</v>
      </c>
      <c r="N894" s="5"/>
      <c r="O894" s="5" t="s">
        <v>603</v>
      </c>
      <c r="P894" s="5"/>
      <c r="Q894" s="5" t="s">
        <v>603</v>
      </c>
      <c r="R894" s="5"/>
      <c r="S894" s="5" t="s">
        <v>603</v>
      </c>
      <c r="T894" s="5"/>
      <c r="U894" s="5" t="s">
        <v>603</v>
      </c>
      <c r="V894" s="5"/>
      <c r="W894" s="5" t="s">
        <v>603</v>
      </c>
      <c r="X894" s="5"/>
      <c r="Y894" s="5" t="s">
        <v>603</v>
      </c>
      <c r="Z894" s="5"/>
      <c r="AA894" s="5" t="s">
        <v>603</v>
      </c>
      <c r="AB894" s="47">
        <v>0.0</v>
      </c>
    </row>
    <row r="895" hidden="1">
      <c r="A895" s="222" t="str">
        <f t="array" ref="A895:A896">{"FormulaRow37";(INDEX(CLASSLIST,A822,1))}</f>
        <v>FormulaRow37</v>
      </c>
      <c r="B895" s="222" t="str">
        <f t="array" ref="B895:B896">{"CLASSTYPE";((INDEX(ALLCLASSDATA,MATCH("ClassType",CLASSFEATUREHEADERS,0),MATCH($A896,CLASSNAMEHEADERS,0))))}</f>
        <v>CLASSTYPE</v>
      </c>
      <c r="C895" s="222" t="str">
        <f t="array" ref="C895:C896">{"DEFENSE";"Defense"}</f>
        <v>DEFENSE</v>
      </c>
      <c r="D895" s="222" t="str">
        <f t="array" ref="D895:D896">{"MEDIUM";"Medium"}</f>
        <v>MEDIUM</v>
      </c>
      <c r="E895" s="223" t="str">
        <f t="array" ref="E895:E896">{"MEDIUMINITIAL";((IF(G896=10,"T",(IF(G896=50,"E","")))))}</f>
        <v>MEDIUMINITIAL</v>
      </c>
      <c r="F895" s="223" t="str">
        <f t="array" ref="F895:F896">{"MEDIUMINITIALPTS";((IF("00"=(INDEX(ALLCLASSDATA,MATCH("MediumLegendary",CLASSFEATUREHEADERS,0),MATCH($A896,CLASSNAMEHEADERS,0))),(INDEX(ALLCLASSDATA,MATCH("MediumLegendary",CLASSFEATUREHEADERS,0),MATCH(($A896 &amp; "Points"),CLASSNAMEHEADERS,0))),(IF("00"=(INDEX(ALLCLASSDATA,MATCH("MediumMaster",CLASSFEATUREHEADERS,0),MATCH($A896,CLASSNAMEHEADERS,0))),(INDEX(ALLCLASSDATA,MATCH("MediumMaster",CLASSFEATUREHEADERS,0),MATCH(($A896 &amp; "Points"),CLASSNAMEHEADERS,0))),(IF("00"=(INDEX(ALLCLASSDATA,MATCH("MediumExpert",CLASSFEATUREHEADERS,0),MATCH($A896,CLASSNAMEHEADERS,0))),(INDEX(ALLCLASSDATA,MATCH("MediumExpert",CLASSFEATUREHEADERS,0),MATCH(($A896 &amp; "Points"),CLASSNAMEHEADERS,0))),(IF("00"=(INDEX(ALLCLASSDATA,MATCH("MediumTrained",CLASSFEATUREHEADERS,0),MATCH($A896,CLASSNAMEHEADERS,0))),(INDEX(ALLCLASSDATA,MATCH("MediumTrained",CLASSFEATUREHEADERS,0),MATCH(($A896 &amp; "Points"),CLASSNAMEHEADERS,0))),"")))))))))}</f>
        <v>MEDIUMINITIALPTS</v>
      </c>
      <c r="G895" s="223" t="str">
        <f t="array" ref="G895:G896">{"MEDIUML01";((IF("01"=(INDEX(ALLCLASSDATA,MATCH("MediumLegendary",CLASSFEATUREHEADERS,0),MATCH($A896,CLASSNAMEHEADERS,0))),(INDEX(ALLCLASSDATA,MATCH("MediumLegendary",CLASSFEATUREHEADERS,0),MATCH(($A896 &amp; "Points"),CLASSNAMEHEADERS,0))),(IF("01"=(INDEX(ALLCLASSDATA,MATCH("MediumMaster",CLASSFEATUREHEADERS,0),MATCH($A896,CLASSNAMEHEADERS,0))),(INDEX(ALLCLASSDATA,MATCH("MediumMaster",CLASSFEATUREHEADERS,0),MATCH(($A896 &amp; "Points"),CLASSNAMEHEADERS,0))),(IF("01"=(INDEX(ALLCLASSDATA,MATCH("MediumExpert",CLASSFEATUREHEADERS,0),MATCH($A896,CLASSNAMEHEADERS,0))),(INDEX(ALLCLASSDATA,MATCH("MediumExpert",CLASSFEATUREHEADERS,0),MATCH(($A896 &amp; "Points"),CLASSNAMEHEADERS,0))),(IF("01"=(INDEX(ALLCLASSDATA,MATCH("MediumTrained",CLASSFEATUREHEADERS,0),MATCH($A896,CLASSNAMEHEADERS,0))),(INDEX(ALLCLASSDATA,MATCH("MediumTrained",CLASSFEATUREHEADERS,0),MATCH(($A896 &amp; "Points"),CLASSNAMEHEADERS,0))),"")))))))))}</f>
        <v>MEDIUML01</v>
      </c>
      <c r="H895" s="223"/>
      <c r="I895" s="223" t="str">
        <f t="array" ref="I895:I896">{"MEDIUML03";((IF("03"=(INDEX(ALLCLASSDATA,MATCH("MediumLegendary",CLASSFEATUREHEADERS,0),MATCH($A896,CLASSNAMEHEADERS,0))),(INDEX(ALLCLASSDATA,MATCH("MediumLegendary",CLASSFEATUREHEADERS,0),MATCH(($A896 &amp; "Points"),CLASSNAMEHEADERS,0))),(IF("03"=(INDEX(ALLCLASSDATA,MATCH("MediumMaster",CLASSFEATUREHEADERS,0),MATCH($A896,CLASSNAMEHEADERS,0))),(INDEX(ALLCLASSDATA,MATCH("MediumMaster",CLASSFEATUREHEADERS,0),MATCH(($A896 &amp; "Points"),CLASSNAMEHEADERS,0))),(IF("03"=(INDEX(ALLCLASSDATA,MATCH("MediumExpert",CLASSFEATUREHEADERS,0),MATCH($A896,CLASSNAMEHEADERS,0))),(INDEX(ALLCLASSDATA,MATCH("MediumExpert",CLASSFEATUREHEADERS,0),MATCH(($A896 &amp; "Points"),CLASSNAMEHEADERS,0))),(IF("03"=(INDEX(ALLCLASSDATA,MATCH("MediumTrained",CLASSFEATUREHEADERS,0),MATCH($A896,CLASSNAMEHEADERS,0))),(INDEX(ALLCLASSDATA,MATCH("MediumTrained",CLASSFEATUREHEADERS,0),MATCH(($A896 &amp; "Points"),CLASSNAMEHEADERS,0))),"")))))))))}</f>
        <v>MEDIUML03</v>
      </c>
      <c r="J895" s="223"/>
      <c r="K895" s="223" t="str">
        <f t="array" ref="K895:K896">{"MEDIUML05";((IF("05"=(INDEX(ALLCLASSDATA,MATCH("MediumLegendary",CLASSFEATUREHEADERS,0),MATCH($A896,CLASSNAMEHEADERS,0))),(INDEX(ALLCLASSDATA,MATCH("MediumLegendary",CLASSFEATUREHEADERS,0),MATCH(($A896 &amp; "Points"),CLASSNAMEHEADERS,0))),(IF("05"=(INDEX(ALLCLASSDATA,MATCH("MediumMaster",CLASSFEATUREHEADERS,0),MATCH($A896,CLASSNAMEHEADERS,0))),(INDEX(ALLCLASSDATA,MATCH("MediumMaster",CLASSFEATUREHEADERS,0),MATCH(($A896 &amp; "Points"),CLASSNAMEHEADERS,0))),(IF("05"=(INDEX(ALLCLASSDATA,MATCH("MediumExpert",CLASSFEATUREHEADERS,0),MATCH($A896,CLASSNAMEHEADERS,0))),(INDEX(ALLCLASSDATA,MATCH("MediumExpert",CLASSFEATUREHEADERS,0),MATCH(($A896 &amp; "Points"),CLASSNAMEHEADERS,0))),(IF("05"=(INDEX(ALLCLASSDATA,MATCH("MediumTrained",CLASSFEATUREHEADERS,0),MATCH($A896,CLASSNAMEHEADERS,0))),(INDEX(ALLCLASSDATA,MATCH("MediumTrained",CLASSFEATUREHEADERS,0),MATCH(($A896 &amp; "Points"),CLASSNAMEHEADERS,0))),"")))))))))}</f>
        <v>MEDIUML05</v>
      </c>
      <c r="L895" s="223"/>
      <c r="M895" s="223" t="str">
        <f t="array" ref="M895:M896">{"MEDIUML07";((IF("07"=(INDEX(ALLCLASSDATA,MATCH("MediumLegendary",CLASSFEATUREHEADERS,0),MATCH($A896,CLASSNAMEHEADERS,0))),(INDEX(ALLCLASSDATA,MATCH("MediumLegendary",CLASSFEATUREHEADERS,0),MATCH(($A896 &amp; "Points"),CLASSNAMEHEADERS,0))),(IF("07"=(INDEX(ALLCLASSDATA,MATCH("MediumMaster",CLASSFEATUREHEADERS,0),MATCH($A896,CLASSNAMEHEADERS,0))),(INDEX(ALLCLASSDATA,MATCH("MediumMaster",CLASSFEATUREHEADERS,0),MATCH(($A896 &amp; "Points"),CLASSNAMEHEADERS,0))),(IF("07"=(INDEX(ALLCLASSDATA,MATCH("MediumExpert",CLASSFEATUREHEADERS,0),MATCH($A896,CLASSNAMEHEADERS,0))),(INDEX(ALLCLASSDATA,MATCH("MediumExpert",CLASSFEATUREHEADERS,0),MATCH(($A896 &amp; "Points"),CLASSNAMEHEADERS,0))),(IF("07"=(INDEX(ALLCLASSDATA,MATCH("MediumTrained",CLASSFEATUREHEADERS,0),MATCH($A896,CLASSNAMEHEADERS,0))),(INDEX(ALLCLASSDATA,MATCH("MediumTrained",CLASSFEATUREHEADERS,0),MATCH(($A896 &amp; "Points"),CLASSNAMEHEADERS,0))),"")))))))))}</f>
        <v>MEDIUML07</v>
      </c>
      <c r="N895" s="223"/>
      <c r="O895" s="223" t="str">
        <f t="array" ref="O895:O896">{"MEDIUML09";((IF("09"=(INDEX(ALLCLASSDATA,MATCH("MediumLegendary",CLASSFEATUREHEADERS,0),MATCH($A896,CLASSNAMEHEADERS,0))),(INDEX(ALLCLASSDATA,MATCH("MediumLegendary",CLASSFEATUREHEADERS,0),MATCH(($A896 &amp; "Points"),CLASSNAMEHEADERS,0))),(IF("09"=(INDEX(ALLCLASSDATA,MATCH("MediumMaster",CLASSFEATUREHEADERS,0),MATCH($A896,CLASSNAMEHEADERS,0))),(INDEX(ALLCLASSDATA,MATCH("MediumMaster",CLASSFEATUREHEADERS,0),MATCH(($A896 &amp; "Points"),CLASSNAMEHEADERS,0))),(IF("09"=(INDEX(ALLCLASSDATA,MATCH("MediumExpert",CLASSFEATUREHEADERS,0),MATCH($A896,CLASSNAMEHEADERS,0))),(INDEX(ALLCLASSDATA,MATCH("MediumExpert",CLASSFEATUREHEADERS,0),MATCH(($A896 &amp; "Points"),CLASSNAMEHEADERS,0))),(IF("09"=(INDEX(ALLCLASSDATA,MATCH("MediumTrained",CLASSFEATUREHEADERS,0),MATCH($A896,CLASSNAMEHEADERS,0))),(INDEX(ALLCLASSDATA,MATCH("MediumTrained",CLASSFEATUREHEADERS,0),MATCH(($A896 &amp; "Points"),CLASSNAMEHEADERS,0))),"")))))))))}</f>
        <v>MEDIUML09</v>
      </c>
      <c r="P895" s="223"/>
      <c r="Q895" s="223" t="str">
        <f t="array" ref="Q895:Q896">{"MEDIUML11";((IF("11"=(INDEX(ALLCLASSDATA,MATCH("MediumLegendary",CLASSFEATUREHEADERS,0),MATCH($A896,CLASSNAMEHEADERS,0))),(INDEX(ALLCLASSDATA,MATCH("MediumLegendary",CLASSFEATUREHEADERS,0),MATCH(($A896 &amp; "Points"),CLASSNAMEHEADERS,0))),(IF("11"=(INDEX(ALLCLASSDATA,MATCH("MediumMaster",CLASSFEATUREHEADERS,0),MATCH($A896,CLASSNAMEHEADERS,0))),(INDEX(ALLCLASSDATA,MATCH("MediumMaster",CLASSFEATUREHEADERS,0),MATCH(($A896 &amp; "Points"),CLASSNAMEHEADERS,0))),(IF("11"=(INDEX(ALLCLASSDATA,MATCH("MediumExpert",CLASSFEATUREHEADERS,0),MATCH($A896,CLASSNAMEHEADERS,0))),(INDEX(ALLCLASSDATA,MATCH("MediumExpert",CLASSFEATUREHEADERS,0),MATCH(($A896 &amp; "Points"),CLASSNAMEHEADERS,0))),(IF("11"=(INDEX(ALLCLASSDATA,MATCH("MediumTrained",CLASSFEATUREHEADERS,0),MATCH($A896,CLASSNAMEHEADERS,0))),(INDEX(ALLCLASSDATA,MATCH("MediumTrained",CLASSFEATUREHEADERS,0),MATCH(($A896 &amp; "Points"),CLASSNAMEHEADERS,0))),"")))))))))}</f>
        <v>MEDIUML11</v>
      </c>
      <c r="R895" s="223"/>
      <c r="S895" s="223" t="str">
        <f t="array" ref="S895:S896">{"MEDIUML13";((IF("13"=(INDEX(ALLCLASSDATA,MATCH("MediumLegendary",CLASSFEATUREHEADERS,0),MATCH($A896,CLASSNAMEHEADERS,0))),(INDEX(ALLCLASSDATA,MATCH("MediumLegendary",CLASSFEATUREHEADERS,0),MATCH(($A896 &amp; "Points"),CLASSNAMEHEADERS,0))),(IF("13"=(INDEX(ALLCLASSDATA,MATCH("MediumMaster",CLASSFEATUREHEADERS,0),MATCH($A896,CLASSNAMEHEADERS,0))),(INDEX(ALLCLASSDATA,MATCH("MediumMaster",CLASSFEATUREHEADERS,0),MATCH(($A896 &amp; "Points"),CLASSNAMEHEADERS,0))),(IF("13"=(INDEX(ALLCLASSDATA,MATCH("MediumExpert",CLASSFEATUREHEADERS,0),MATCH($A896,CLASSNAMEHEADERS,0))),(INDEX(ALLCLASSDATA,MATCH("MediumExpert",CLASSFEATUREHEADERS,0),MATCH(($A896 &amp; "Points"),CLASSNAMEHEADERS,0))),(IF("13"=(INDEX(ALLCLASSDATA,MATCH("MediumTrained",CLASSFEATUREHEADERS,0),MATCH($A896,CLASSNAMEHEADERS,0))),(INDEX(ALLCLASSDATA,MATCH("MediumTrained",CLASSFEATUREHEADERS,0),MATCH(($A896 &amp; "Points"),CLASSNAMEHEADERS,0))),"")))))))))}</f>
        <v>MEDIUML13</v>
      </c>
      <c r="T895" s="223"/>
      <c r="U895" s="223" t="str">
        <f t="array" ref="U895:U896">{"MEDIUML15";((IF("15"=(INDEX(ALLCLASSDATA,MATCH("MediumLegendary",CLASSFEATUREHEADERS,0),MATCH($A896,CLASSNAMEHEADERS,0))),(INDEX(ALLCLASSDATA,MATCH("MediumLegendary",CLASSFEATUREHEADERS,0),MATCH(($A896 &amp; "Points"),CLASSNAMEHEADERS,0))),(IF("15"=(INDEX(ALLCLASSDATA,MATCH("MediumMaster",CLASSFEATUREHEADERS,0),MATCH($A896,CLASSNAMEHEADERS,0))),(INDEX(ALLCLASSDATA,MATCH("MediumMaster",CLASSFEATUREHEADERS,0),MATCH(($A896 &amp; "Points"),CLASSNAMEHEADERS,0))),(IF("15"=(INDEX(ALLCLASSDATA,MATCH("MediumExpert",CLASSFEATUREHEADERS,0),MATCH($A896,CLASSNAMEHEADERS,0))),(INDEX(ALLCLASSDATA,MATCH("MediumExpert",CLASSFEATUREHEADERS,0),MATCH(($A896 &amp; "Points"),CLASSNAMEHEADERS,0))),(IF("15"=(INDEX(ALLCLASSDATA,MATCH("MediumTrained",CLASSFEATUREHEADERS,0),MATCH($A896,CLASSNAMEHEADERS,0))),(INDEX(ALLCLASSDATA,MATCH("MediumTrained",CLASSFEATUREHEADERS,0),MATCH(($A896 &amp; "Points"),CLASSNAMEHEADERS,0))),"")))))))))}</f>
        <v>MEDIUML15</v>
      </c>
      <c r="V895" s="223"/>
      <c r="W895" s="223" t="str">
        <f t="array" ref="W895:W896">{"MEDIUML17";((IF("17"=(INDEX(ALLCLASSDATA,MATCH("MediumLegendary",CLASSFEATUREHEADERS,0),MATCH($A896,CLASSNAMEHEADERS,0))),(INDEX(ALLCLASSDATA,MATCH("MediumLegendary",CLASSFEATUREHEADERS,0),MATCH(($A896 &amp; "Points"),CLASSNAMEHEADERS,0))),(IF("17"=(INDEX(ALLCLASSDATA,MATCH("MediumMaster",CLASSFEATUREHEADERS,0),MATCH($A896,CLASSNAMEHEADERS,0))),(INDEX(ALLCLASSDATA,MATCH("MediumMaster",CLASSFEATUREHEADERS,0),MATCH(($A896 &amp; "Points"),CLASSNAMEHEADERS,0))),(IF("17"=(INDEX(ALLCLASSDATA,MATCH("MediumExpert",CLASSFEATUREHEADERS,0),MATCH($A896,CLASSNAMEHEADERS,0))),(INDEX(ALLCLASSDATA,MATCH("MediumExpert",CLASSFEATUREHEADERS,0),MATCH(($A896 &amp; "Points"),CLASSNAMEHEADERS,0))),(IF("17"=(INDEX(ALLCLASSDATA,MATCH("MediumTrained",CLASSFEATUREHEADERS,0),MATCH($A896,CLASSNAMEHEADERS,0))),(INDEX(ALLCLASSDATA,MATCH("MediumTrained",CLASSFEATUREHEADERS,0),MATCH(($A896 &amp; "Points"),CLASSNAMEHEADERS,0))),"")))))))))}</f>
        <v>MEDIUML17</v>
      </c>
      <c r="X895" s="223"/>
      <c r="Y895" s="223" t="str">
        <f t="array" ref="Y895:Y896">{"MEDIUML19";((IF("19"=(INDEX(ALLCLASSDATA,MATCH("MediumLegendary",CLASSFEATUREHEADERS,0),MATCH($A896,CLASSNAMEHEADERS,0))),(INDEX(ALLCLASSDATA,MATCH("MediumLegendary",CLASSFEATUREHEADERS,0),MATCH(($A896 &amp; "Points"),CLASSNAMEHEADERS,0))),(IF("19"=(INDEX(ALLCLASSDATA,MATCH("MediumMaster",CLASSFEATUREHEADERS,0),MATCH($A896,CLASSNAMEHEADERS,0))),(INDEX(ALLCLASSDATA,MATCH("MediumMaster",CLASSFEATUREHEADERS,0),MATCH(($A896 &amp; "Points"),CLASSNAMEHEADERS,0))),(IF("19"=(INDEX(ALLCLASSDATA,MATCH("MediumExpert",CLASSFEATUREHEADERS,0),MATCH($A896,CLASSNAMEHEADERS,0))),(INDEX(ALLCLASSDATA,MATCH("MediumExpert",CLASSFEATUREHEADERS,0),MATCH(($A896 &amp; "Points"),CLASSNAMEHEADERS,0))),(IF("19"=(INDEX(ALLCLASSDATA,MATCH("MediumTrained",CLASSFEATUREHEADERS,0),MATCH($A896,CLASSNAMEHEADERS,0))),(INDEX(ALLCLASSDATA,MATCH("MediumTrained",CLASSFEATUREHEADERS,0),MATCH(($A896 &amp; "Points"),CLASSNAMEHEADERS,0))),"")))))))))}</f>
        <v>MEDIUML19</v>
      </c>
      <c r="Z895" s="223"/>
      <c r="AA895" s="76" t="str">
        <f t="array" ref="AA895:AA896">{"MEDIUM TOTAL";(IF(COUNTBLANK(F896:Z896)=17,"L",(IF(COUNTBLANK(F896:Z896)=18,"M",(IF(COUNTBLANK(F896:Z896)=19,"E",(IF(COUNTBLANK(F896:Z896)=20,"T",""))))))))}</f>
        <v>MEDIUM TOTAL</v>
      </c>
      <c r="AB895" s="76" t="str">
        <f t="array" ref="AB895:AB896">{"MEDIUM TOTAL";(sum(F896:Z896))}</f>
        <v>MEDIUM TOTAL</v>
      </c>
    </row>
    <row r="896">
      <c r="A896" s="48" t="s">
        <v>227</v>
      </c>
      <c r="B896" s="48" t="s">
        <v>418</v>
      </c>
      <c r="C896" s="48" t="s">
        <v>1900</v>
      </c>
      <c r="D896" s="48" t="s">
        <v>76</v>
      </c>
      <c r="E896" s="5" t="s">
        <v>603</v>
      </c>
      <c r="F896" s="47" t="s">
        <v>603</v>
      </c>
      <c r="G896" s="5" t="s">
        <v>603</v>
      </c>
      <c r="H896" s="5"/>
      <c r="I896" s="5" t="s">
        <v>603</v>
      </c>
      <c r="J896" s="5"/>
      <c r="K896" s="5" t="s">
        <v>603</v>
      </c>
      <c r="L896" s="5"/>
      <c r="M896" s="5" t="s">
        <v>603</v>
      </c>
      <c r="N896" s="5"/>
      <c r="O896" s="5" t="s">
        <v>603</v>
      </c>
      <c r="P896" s="5"/>
      <c r="Q896" s="5" t="s">
        <v>603</v>
      </c>
      <c r="R896" s="5"/>
      <c r="S896" s="5" t="s">
        <v>603</v>
      </c>
      <c r="T896" s="5"/>
      <c r="U896" s="5" t="s">
        <v>603</v>
      </c>
      <c r="V896" s="5"/>
      <c r="W896" s="5" t="s">
        <v>603</v>
      </c>
      <c r="X896" s="5"/>
      <c r="Y896" s="5" t="s">
        <v>603</v>
      </c>
      <c r="Z896" s="5"/>
      <c r="AA896" s="5" t="s">
        <v>603</v>
      </c>
      <c r="AB896" s="47">
        <v>0.0</v>
      </c>
    </row>
    <row r="897" hidden="1">
      <c r="A897" s="222" t="str">
        <f t="array" ref="A897:A898">{"FormulaRow38";(INDEX(CLASSLIST,A822,1))}</f>
        <v>FormulaRow38</v>
      </c>
      <c r="B897" s="222" t="str">
        <f t="array" ref="B897:B898">{"CLASSTYPE";((INDEX(ALLCLASSDATA,MATCH("ClassType",CLASSFEATUREHEADERS,0),MATCH($A898,CLASSNAMEHEADERS,0))))}</f>
        <v>CLASSTYPE</v>
      </c>
      <c r="C897" s="222" t="str">
        <f t="array" ref="C897:C898">{"DEFENSE";"Defense"}</f>
        <v>DEFENSE</v>
      </c>
      <c r="D897" s="222" t="str">
        <f t="array" ref="D897:D898">{"HEAVY";"Heavy"}</f>
        <v>HEAVY</v>
      </c>
      <c r="E897" s="223" t="str">
        <f t="array" ref="E897:E898">{"HEAVYINITIAL";((IF(G898=10,"T",(IF(G898=50,"E","")))))}</f>
        <v>HEAVYINITIAL</v>
      </c>
      <c r="F897" s="223" t="str">
        <f t="array" ref="F897:F898">{"HEAVYINITIALPTS";((IF("00"=(INDEX(ALLCLASSDATA,MATCH("HeavyLegendary",CLASSFEATUREHEADERS,0),MATCH($A898,CLASSNAMEHEADERS,0))),(INDEX(ALLCLASSDATA,MATCH("HeavyLegendary",CLASSFEATUREHEADERS,0),MATCH(($A898 &amp; "Points"),CLASSNAMEHEADERS,0))),(IF("00"=(INDEX(ALLCLASSDATA,MATCH("HeavyMaster",CLASSFEATUREHEADERS,0),MATCH($A898,CLASSNAMEHEADERS,0))),(INDEX(ALLCLASSDATA,MATCH("HeavyMaster",CLASSFEATUREHEADERS,0),MATCH(($A898 &amp; "Points"),CLASSNAMEHEADERS,0))),(IF("00"=(INDEX(ALLCLASSDATA,MATCH("HeavyExpert",CLASSFEATUREHEADERS,0),MATCH($A898,CLASSNAMEHEADERS,0))),(INDEX(ALLCLASSDATA,MATCH("HeavyExpert",CLASSFEATUREHEADERS,0),MATCH(($A898 &amp; "Points"),CLASSNAMEHEADERS,0))),(IF("00"=(INDEX(ALLCLASSDATA,MATCH("HeavyTrained",CLASSFEATUREHEADERS,0),MATCH($A898,CLASSNAMEHEADERS,0))),(INDEX(ALLCLASSDATA,MATCH("HeavyTrained",CLASSFEATUREHEADERS,0),MATCH(($A898 &amp; "Points"),CLASSNAMEHEADERS,0))),"")))))))))}</f>
        <v>HEAVYINITIALPTS</v>
      </c>
      <c r="G897" s="223" t="str">
        <f t="array" ref="G897:G898">{"HEAVYL01";((IF("01"=(INDEX(ALLCLASSDATA,MATCH("HeavyLegendary",CLASSFEATUREHEADERS,0),MATCH($A898,CLASSNAMEHEADERS,0))),(INDEX(ALLCLASSDATA,MATCH("HeavyLegendary",CLASSFEATUREHEADERS,0),MATCH(($A898 &amp; "Points"),CLASSNAMEHEADERS,0))),(IF("01"=(INDEX(ALLCLASSDATA,MATCH("HeavyMaster",CLASSFEATUREHEADERS,0),MATCH($A898,CLASSNAMEHEADERS,0))),(INDEX(ALLCLASSDATA,MATCH("HeavyMaster",CLASSFEATUREHEADERS,0),MATCH(($A898 &amp; "Points"),CLASSNAMEHEADERS,0))),(IF("01"=(INDEX(ALLCLASSDATA,MATCH("HeavyExpert",CLASSFEATUREHEADERS,0),MATCH($A898,CLASSNAMEHEADERS,0))),(INDEX(ALLCLASSDATA,MATCH("HeavyExpert",CLASSFEATUREHEADERS,0),MATCH(($A898 &amp; "Points"),CLASSNAMEHEADERS,0))),(IF("01"=(INDEX(ALLCLASSDATA,MATCH("HeavyTrained",CLASSFEATUREHEADERS,0),MATCH($A898,CLASSNAMEHEADERS,0))),(INDEX(ALLCLASSDATA,MATCH("HeavyTrained",CLASSFEATUREHEADERS,0),MATCH(($A898 &amp; "Points"),CLASSNAMEHEADERS,0))),"")))))))))}</f>
        <v>HEAVYL01</v>
      </c>
      <c r="H897" s="223"/>
      <c r="I897" s="223" t="str">
        <f t="array" ref="I897:I898">{"HEAVYL03";((IF("03"=(INDEX(ALLCLASSDATA,MATCH("HeavyLegendary",CLASSFEATUREHEADERS,0),MATCH($A898,CLASSNAMEHEADERS,0))),(INDEX(ALLCLASSDATA,MATCH("HeavyLegendary",CLASSFEATUREHEADERS,0),MATCH(($A898 &amp; "Points"),CLASSNAMEHEADERS,0))),(IF("03"=(INDEX(ALLCLASSDATA,MATCH("HeavyMaster",CLASSFEATUREHEADERS,0),MATCH($A898,CLASSNAMEHEADERS,0))),(INDEX(ALLCLASSDATA,MATCH("HeavyMaster",CLASSFEATUREHEADERS,0),MATCH(($A898 &amp; "Points"),CLASSNAMEHEADERS,0))),(IF("03"=(INDEX(ALLCLASSDATA,MATCH("HeavyExpert",CLASSFEATUREHEADERS,0),MATCH($A898,CLASSNAMEHEADERS,0))),(INDEX(ALLCLASSDATA,MATCH("HeavyExpert",CLASSFEATUREHEADERS,0),MATCH(($A898 &amp; "Points"),CLASSNAMEHEADERS,0))),(IF("03"=(INDEX(ALLCLASSDATA,MATCH("HeavyTrained",CLASSFEATUREHEADERS,0),MATCH($A898,CLASSNAMEHEADERS,0))),(INDEX(ALLCLASSDATA,MATCH("HeavyTrained",CLASSFEATUREHEADERS,0),MATCH(($A898 &amp; "Points"),CLASSNAMEHEADERS,0))),"")))))))))}</f>
        <v>HEAVYL03</v>
      </c>
      <c r="J897" s="223"/>
      <c r="K897" s="223" t="str">
        <f t="array" ref="K897:K898">{"HEAVYL05";((IF("05"=(INDEX(ALLCLASSDATA,MATCH("HeavyLegendary",CLASSFEATUREHEADERS,0),MATCH($A898,CLASSNAMEHEADERS,0))),(INDEX(ALLCLASSDATA,MATCH("HeavyLegendary",CLASSFEATUREHEADERS,0),MATCH(($A898 &amp; "Points"),CLASSNAMEHEADERS,0))),(IF("05"=(INDEX(ALLCLASSDATA,MATCH("HeavyMaster",CLASSFEATUREHEADERS,0),MATCH($A898,CLASSNAMEHEADERS,0))),(INDEX(ALLCLASSDATA,MATCH("HeavyMaster",CLASSFEATUREHEADERS,0),MATCH(($A898 &amp; "Points"),CLASSNAMEHEADERS,0))),(IF("05"=(INDEX(ALLCLASSDATA,MATCH("HeavyExpert",CLASSFEATUREHEADERS,0),MATCH($A898,CLASSNAMEHEADERS,0))),(INDEX(ALLCLASSDATA,MATCH("HeavyExpert",CLASSFEATUREHEADERS,0),MATCH(($A898 &amp; "Points"),CLASSNAMEHEADERS,0))),(IF("05"=(INDEX(ALLCLASSDATA,MATCH("HeavyTrained",CLASSFEATUREHEADERS,0),MATCH($A898,CLASSNAMEHEADERS,0))),(INDEX(ALLCLASSDATA,MATCH("HeavyTrained",CLASSFEATUREHEADERS,0),MATCH(($A898 &amp; "Points"),CLASSNAMEHEADERS,0))),"")))))))))}</f>
        <v>HEAVYL05</v>
      </c>
      <c r="L897" s="223"/>
      <c r="M897" s="223" t="str">
        <f t="array" ref="M897:M898">{"HEAVYL07";((IF("07"=(INDEX(ALLCLASSDATA,MATCH("HeavyLegendary",CLASSFEATUREHEADERS,0),MATCH($A898,CLASSNAMEHEADERS,0))),(INDEX(ALLCLASSDATA,MATCH("HeavyLegendary",CLASSFEATUREHEADERS,0),MATCH(($A898 &amp; "Points"),CLASSNAMEHEADERS,0))),(IF("07"=(INDEX(ALLCLASSDATA,MATCH("HeavyMaster",CLASSFEATUREHEADERS,0),MATCH($A898,CLASSNAMEHEADERS,0))),(INDEX(ALLCLASSDATA,MATCH("HeavyMaster",CLASSFEATUREHEADERS,0),MATCH(($A898 &amp; "Points"),CLASSNAMEHEADERS,0))),(IF("07"=(INDEX(ALLCLASSDATA,MATCH("HeavyExpert",CLASSFEATUREHEADERS,0),MATCH($A898,CLASSNAMEHEADERS,0))),(INDEX(ALLCLASSDATA,MATCH("HeavyExpert",CLASSFEATUREHEADERS,0),MATCH(($A898 &amp; "Points"),CLASSNAMEHEADERS,0))),(IF("07"=(INDEX(ALLCLASSDATA,MATCH("HeavyTrained",CLASSFEATUREHEADERS,0),MATCH($A898,CLASSNAMEHEADERS,0))),(INDEX(ALLCLASSDATA,MATCH("HeavyTrained",CLASSFEATUREHEADERS,0),MATCH(($A898 &amp; "Points"),CLASSNAMEHEADERS,0))),"")))))))))}</f>
        <v>HEAVYL07</v>
      </c>
      <c r="N897" s="223"/>
      <c r="O897" s="223" t="str">
        <f t="array" ref="O897:O898">{"HEAVYL09";((IF("09"=(INDEX(ALLCLASSDATA,MATCH("HeavyLegendary",CLASSFEATUREHEADERS,0),MATCH($A898,CLASSNAMEHEADERS,0))),(INDEX(ALLCLASSDATA,MATCH("HeavyLegendary",CLASSFEATUREHEADERS,0),MATCH(($A898 &amp; "Points"),CLASSNAMEHEADERS,0))),(IF("09"=(INDEX(ALLCLASSDATA,MATCH("HeavyMaster",CLASSFEATUREHEADERS,0),MATCH($A898,CLASSNAMEHEADERS,0))),(INDEX(ALLCLASSDATA,MATCH("HeavyMaster",CLASSFEATUREHEADERS,0),MATCH(($A898 &amp; "Points"),CLASSNAMEHEADERS,0))),(IF("09"=(INDEX(ALLCLASSDATA,MATCH("HeavyExpert",CLASSFEATUREHEADERS,0),MATCH($A898,CLASSNAMEHEADERS,0))),(INDEX(ALLCLASSDATA,MATCH("HeavyExpert",CLASSFEATUREHEADERS,0),MATCH(($A898 &amp; "Points"),CLASSNAMEHEADERS,0))),(IF("09"=(INDEX(ALLCLASSDATA,MATCH("HeavyTrained",CLASSFEATUREHEADERS,0),MATCH($A898,CLASSNAMEHEADERS,0))),(INDEX(ALLCLASSDATA,MATCH("HeavyTrained",CLASSFEATUREHEADERS,0),MATCH(($A898 &amp; "Points"),CLASSNAMEHEADERS,0))),"")))))))))}</f>
        <v>HEAVYL09</v>
      </c>
      <c r="P897" s="223"/>
      <c r="Q897" s="223" t="str">
        <f t="array" ref="Q897:Q898">{"HEAVYL11";((IF("11"=(INDEX(ALLCLASSDATA,MATCH("HeavyLegendary",CLASSFEATUREHEADERS,0),MATCH($A898,CLASSNAMEHEADERS,0))),(INDEX(ALLCLASSDATA,MATCH("HeavyLegendary",CLASSFEATUREHEADERS,0),MATCH(($A898 &amp; "Points"),CLASSNAMEHEADERS,0))),(IF("11"=(INDEX(ALLCLASSDATA,MATCH("HeavyMaster",CLASSFEATUREHEADERS,0),MATCH($A898,CLASSNAMEHEADERS,0))),(INDEX(ALLCLASSDATA,MATCH("HeavyMaster",CLASSFEATUREHEADERS,0),MATCH(($A898 &amp; "Points"),CLASSNAMEHEADERS,0))),(IF("11"=(INDEX(ALLCLASSDATA,MATCH("HeavyExpert",CLASSFEATUREHEADERS,0),MATCH($A898,CLASSNAMEHEADERS,0))),(INDEX(ALLCLASSDATA,MATCH("HeavyExpert",CLASSFEATUREHEADERS,0),MATCH(($A898 &amp; "Points"),CLASSNAMEHEADERS,0))),(IF("11"=(INDEX(ALLCLASSDATA,MATCH("HeavyTrained",CLASSFEATUREHEADERS,0),MATCH($A898,CLASSNAMEHEADERS,0))),(INDEX(ALLCLASSDATA,MATCH("HeavyTrained",CLASSFEATUREHEADERS,0),MATCH(($A898 &amp; "Points"),CLASSNAMEHEADERS,0))),"")))))))))}</f>
        <v>HEAVYL11</v>
      </c>
      <c r="R897" s="223"/>
      <c r="S897" s="223" t="str">
        <f t="array" ref="S897:S898">{"HEAVYL13";((IF("13"=(INDEX(ALLCLASSDATA,MATCH("HeavyLegendary",CLASSFEATUREHEADERS,0),MATCH($A898,CLASSNAMEHEADERS,0))),(INDEX(ALLCLASSDATA,MATCH("HeavyLegendary",CLASSFEATUREHEADERS,0),MATCH(($A898 &amp; "Points"),CLASSNAMEHEADERS,0))),(IF("13"=(INDEX(ALLCLASSDATA,MATCH("HeavyMaster",CLASSFEATUREHEADERS,0),MATCH($A898,CLASSNAMEHEADERS,0))),(INDEX(ALLCLASSDATA,MATCH("HeavyMaster",CLASSFEATUREHEADERS,0),MATCH(($A898 &amp; "Points"),CLASSNAMEHEADERS,0))),(IF("13"=(INDEX(ALLCLASSDATA,MATCH("HeavyExpert",CLASSFEATUREHEADERS,0),MATCH($A898,CLASSNAMEHEADERS,0))),(INDEX(ALLCLASSDATA,MATCH("HeavyExpert",CLASSFEATUREHEADERS,0),MATCH(($A898 &amp; "Points"),CLASSNAMEHEADERS,0))),(IF("13"=(INDEX(ALLCLASSDATA,MATCH("HeavyTrained",CLASSFEATUREHEADERS,0),MATCH($A898,CLASSNAMEHEADERS,0))),(INDEX(ALLCLASSDATA,MATCH("HeavyTrained",CLASSFEATUREHEADERS,0),MATCH(($A898 &amp; "Points"),CLASSNAMEHEADERS,0))),"")))))))))}</f>
        <v>HEAVYL13</v>
      </c>
      <c r="T897" s="223"/>
      <c r="U897" s="223" t="str">
        <f t="array" ref="U897:U898">{"HEAVYL15";((IF("15"=(INDEX(ALLCLASSDATA,MATCH("HeavyLegendary",CLASSFEATUREHEADERS,0),MATCH($A898,CLASSNAMEHEADERS,0))),(INDEX(ALLCLASSDATA,MATCH("HeavyLegendary",CLASSFEATUREHEADERS,0),MATCH(($A898 &amp; "Points"),CLASSNAMEHEADERS,0))),(IF("15"=(INDEX(ALLCLASSDATA,MATCH("HeavyMaster",CLASSFEATUREHEADERS,0),MATCH($A898,CLASSNAMEHEADERS,0))),(INDEX(ALLCLASSDATA,MATCH("HeavyMaster",CLASSFEATUREHEADERS,0),MATCH(($A898 &amp; "Points"),CLASSNAMEHEADERS,0))),(IF("15"=(INDEX(ALLCLASSDATA,MATCH("HeavyExpert",CLASSFEATUREHEADERS,0),MATCH($A898,CLASSNAMEHEADERS,0))),(INDEX(ALLCLASSDATA,MATCH("HeavyExpert",CLASSFEATUREHEADERS,0),MATCH(($A898 &amp; "Points"),CLASSNAMEHEADERS,0))),(IF("15"=(INDEX(ALLCLASSDATA,MATCH("HeavyTrained",CLASSFEATUREHEADERS,0),MATCH($A898,CLASSNAMEHEADERS,0))),(INDEX(ALLCLASSDATA,MATCH("HeavyTrained",CLASSFEATUREHEADERS,0),MATCH(($A898 &amp; "Points"),CLASSNAMEHEADERS,0))),"")))))))))}</f>
        <v>HEAVYL15</v>
      </c>
      <c r="V897" s="223"/>
      <c r="W897" s="223" t="str">
        <f t="array" ref="W897:W898">{"HEAVYL17";((IF("17"=(INDEX(ALLCLASSDATA,MATCH("HeavyLegendary",CLASSFEATUREHEADERS,0),MATCH($A898,CLASSNAMEHEADERS,0))),(INDEX(ALLCLASSDATA,MATCH("HeavyLegendary",CLASSFEATUREHEADERS,0),MATCH(($A898 &amp; "Points"),CLASSNAMEHEADERS,0))),(IF("17"=(INDEX(ALLCLASSDATA,MATCH("HeavyMaster",CLASSFEATUREHEADERS,0),MATCH($A898,CLASSNAMEHEADERS,0))),(INDEX(ALLCLASSDATA,MATCH("HeavyMaster",CLASSFEATUREHEADERS,0),MATCH(($A898 &amp; "Points"),CLASSNAMEHEADERS,0))),(IF("17"=(INDEX(ALLCLASSDATA,MATCH("HeavyExpert",CLASSFEATUREHEADERS,0),MATCH($A898,CLASSNAMEHEADERS,0))),(INDEX(ALLCLASSDATA,MATCH("HeavyExpert",CLASSFEATUREHEADERS,0),MATCH(($A898 &amp; "Points"),CLASSNAMEHEADERS,0))),(IF("17"=(INDEX(ALLCLASSDATA,MATCH("HeavyTrained",CLASSFEATUREHEADERS,0),MATCH($A898,CLASSNAMEHEADERS,0))),(INDEX(ALLCLASSDATA,MATCH("HeavyTrained",CLASSFEATUREHEADERS,0),MATCH(($A898 &amp; "Points"),CLASSNAMEHEADERS,0))),"")))))))))}</f>
        <v>HEAVYL17</v>
      </c>
      <c r="X897" s="223"/>
      <c r="Y897" s="223" t="str">
        <f t="array" ref="Y897:Y898">{"HEAVYL19";((IF("19"=(INDEX(ALLCLASSDATA,MATCH("HeavyLegendary",CLASSFEATUREHEADERS,0),MATCH($A898,CLASSNAMEHEADERS,0))),(INDEX(ALLCLASSDATA,MATCH("HeavyLegendary",CLASSFEATUREHEADERS,0),MATCH(($A898 &amp; "Points"),CLASSNAMEHEADERS,0))),(IF("19"=(INDEX(ALLCLASSDATA,MATCH("HeavyMaster",CLASSFEATUREHEADERS,0),MATCH($A898,CLASSNAMEHEADERS,0))),(INDEX(ALLCLASSDATA,MATCH("HeavyMaster",CLASSFEATUREHEADERS,0),MATCH(($A898 &amp; "Points"),CLASSNAMEHEADERS,0))),(IF("19"=(INDEX(ALLCLASSDATA,MATCH("HeavyExpert",CLASSFEATUREHEADERS,0),MATCH($A898,CLASSNAMEHEADERS,0))),(INDEX(ALLCLASSDATA,MATCH("HeavyExpert",CLASSFEATUREHEADERS,0),MATCH(($A898 &amp; "Points"),CLASSNAMEHEADERS,0))),(IF("19"=(INDEX(ALLCLASSDATA,MATCH("HeavyTrained",CLASSFEATUREHEADERS,0),MATCH($A898,CLASSNAMEHEADERS,0))),(INDEX(ALLCLASSDATA,MATCH("HeavyTrained",CLASSFEATUREHEADERS,0),MATCH(($A898 &amp; "Points"),CLASSNAMEHEADERS,0))),"")))))))))}</f>
        <v>HEAVYL19</v>
      </c>
      <c r="Z897" s="223"/>
      <c r="AA897" s="76" t="str">
        <f t="array" ref="AA897:AA898">{"HEAVY TOTAL";(IF(COUNTBLANK(F898:Z898)=17,"L",(IF(COUNTBLANK(F898:Z898)=18,"M",(IF(COUNTBLANK(F898:Z898)=19,"E",(IF(COUNTBLANK(F898:Z898)=20,"T",""))))))))}</f>
        <v>HEAVY TOTAL</v>
      </c>
      <c r="AB897" s="76" t="str">
        <f t="array" ref="AB897:AB898">{"HEAVY TOTAL";(sum(F898:Z898))}</f>
        <v>HEAVY TOTAL</v>
      </c>
    </row>
    <row r="898">
      <c r="A898" s="48" t="s">
        <v>227</v>
      </c>
      <c r="B898" s="48" t="s">
        <v>418</v>
      </c>
      <c r="C898" s="97" t="s">
        <v>1900</v>
      </c>
      <c r="D898" s="97" t="s">
        <v>533</v>
      </c>
      <c r="E898" s="98" t="s">
        <v>603</v>
      </c>
      <c r="F898" s="132" t="s">
        <v>603</v>
      </c>
      <c r="G898" s="98" t="s">
        <v>603</v>
      </c>
      <c r="H898" s="98"/>
      <c r="I898" s="98" t="s">
        <v>603</v>
      </c>
      <c r="J898" s="98"/>
      <c r="K898" s="98" t="s">
        <v>603</v>
      </c>
      <c r="L898" s="98"/>
      <c r="M898" s="98" t="s">
        <v>603</v>
      </c>
      <c r="N898" s="98"/>
      <c r="O898" s="98" t="s">
        <v>603</v>
      </c>
      <c r="P898" s="98"/>
      <c r="Q898" s="98" t="s">
        <v>603</v>
      </c>
      <c r="R898" s="98"/>
      <c r="S898" s="98" t="s">
        <v>603</v>
      </c>
      <c r="T898" s="98"/>
      <c r="U898" s="98" t="s">
        <v>603</v>
      </c>
      <c r="V898" s="98"/>
      <c r="W898" s="98" t="s">
        <v>603</v>
      </c>
      <c r="X898" s="98"/>
      <c r="Y898" s="98" t="s">
        <v>603</v>
      </c>
      <c r="Z898" s="98"/>
      <c r="AA898" s="5" t="s">
        <v>603</v>
      </c>
      <c r="AB898" s="47">
        <v>0.0</v>
      </c>
    </row>
    <row r="899" hidden="1">
      <c r="A899" s="222" t="str">
        <f t="array" ref="A899:A900">{"FormulaRow39";(INDEX(CLASSLIST,A822,1))}</f>
        <v>FormulaRow39</v>
      </c>
      <c r="B899" s="222" t="str">
        <f t="array" ref="B899:B900">{"CLASSTYPE";((INDEX(ALLCLASSDATA,MATCH("ClassType",CLASSFEATUREHEADERS,0),MATCH($A900,CLASSNAMEHEADERS,0))))}</f>
        <v>CLASSTYPE</v>
      </c>
      <c r="C899" s="222" t="str">
        <f t="array" ref="C899:C900">{"SPELL/ALCHEMY";((IF(INDEX(ALLCLASSDATA,MATCH("CasterType",CLASSFEATUREHEADERS,0),MATCH(($A900),CLASSNAMEHEADERS,0))="","",(IF(INDEX(ALLCLASSDATA,MATCH("CasterType",CLASSFEATUREHEADERS,0),MATCH(($A900),CLASSNAMEHEADERS,0))="Alchemy","Alchemy","Spells")))))}</f>
        <v>SPELL/ALCHEMY</v>
      </c>
      <c r="D899" s="222" t="str">
        <f t="array" ref="D899:D900">{"SPELLLIST";(IF(C900="Spells",((INDEX(ALLCLASSDATA,MATCH("CasterType",CLASSFEATUREHEADERS,0),MATCH(($A900),CLASSNAMEHEADERS,0))) &amp; ":" &amp; (INDEX(ALLCLASSDATA,MATCH("SpellList",CLASSFEATUREHEADERS,0),MATCH(($A900),CLASSNAMEHEADERS,0)))),""))}</f>
        <v>SPELLLIST</v>
      </c>
      <c r="E899" s="223" t="str">
        <f t="array" ref="E899:E900">{"SPL";(IF(C900="Spells","SPL:",""))}</f>
        <v>SPL</v>
      </c>
      <c r="F899" s="223" t="str">
        <f t="array" ref="F899:F900">{"CANTRIP/ALC";(IF(C900="Spells","C",(IF(C900="Alchemy","ALC:",""))))}</f>
        <v>CANTRIP/ALC</v>
      </c>
      <c r="G899" s="223" t="str">
        <f t="array" ref="G899:G900">{"SPELL/ALC L01";(IF(C900="Alchemy","L01",(IF(C900="Spells","S01",""))))}</f>
        <v>SPELL/ALC L01</v>
      </c>
      <c r="H899" s="223" t="str">
        <f t="array" ref="H899:H900">{"SPELL/ALC L02";(IF(C900="Alchemy","L02",(IF(C900="Spells","S01",""))))}</f>
        <v>SPELL/ALC L02</v>
      </c>
      <c r="I899" s="223" t="str">
        <f t="array" ref="I899:I900">{"SPELL/ALC L03";(IF(C900="Alchemy","L03",(IF(C900="Spells","S02",""))))}</f>
        <v>SPELL/ALC L03</v>
      </c>
      <c r="J899" s="223" t="str">
        <f t="array" ref="J899:J900">{"SPELL/ALC L04";(IF(C900="Alchemy","L04",(IF(C900="Spells","S02",""))))}</f>
        <v>SPELL/ALC L04</v>
      </c>
      <c r="K899" s="223" t="str">
        <f t="array" ref="K899:K900">{"SPELL/ALC L05";(IF(C900="Alchemy","L05",(IF(C900="Spells","S03",""))))}</f>
        <v>SPELL/ALC L05</v>
      </c>
      <c r="L899" s="223" t="str">
        <f t="array" ref="L899:L900">{"SPELL/ALC L06";(IF(C900="Alchemy","L06",(IF(C900="Spells","S03",""))))}</f>
        <v>SPELL/ALC L06</v>
      </c>
      <c r="M899" s="223" t="str">
        <f t="array" ref="M899:M900">{"SPELL/ALC L07";(IF(C900="Alchemy","L07",(IF(C900="Spells","S04",""))))}</f>
        <v>SPELL/ALC L07</v>
      </c>
      <c r="N899" s="223" t="str">
        <f t="array" ref="N899:N900">{"SPELL/ALC L08";(IF(C900="Alchemy","L08",(IF(C900="Spells","S04",""))))}</f>
        <v>SPELL/ALC L08</v>
      </c>
      <c r="O899" s="223" t="str">
        <f t="array" ref="O899:O900">{"SPELL/ALC L09";(IF(C900="Alchemy","L09",(IF(C900="Spells","S05",""))))}</f>
        <v>SPELL/ALC L09</v>
      </c>
      <c r="P899" s="223" t="str">
        <f t="array" ref="P899:P900">{"SPELL/ALC L10";(IF(C900="Alchemy","L10",(IF(C900="Spells","S05",""))))}</f>
        <v>SPELL/ALC L10</v>
      </c>
      <c r="Q899" s="223" t="str">
        <f t="array" ref="Q899:Q900">{"SPELL/ALC L11";(IF(C900="Alchemy","L11",(IF(C900="Spells","S06",""))))}</f>
        <v>SPELL/ALC L11</v>
      </c>
      <c r="R899" s="223" t="str">
        <f t="array" ref="R899:R900">{"SPELL/ALC L12";(IF(C900="Alchemy","L12",(IF(C900="Spells","S06",""))))}</f>
        <v>SPELL/ALC L12</v>
      </c>
      <c r="S899" s="223" t="str">
        <f t="array" ref="S899:S900">{"SPELL/ALC L13";(IF(C900="Alchemy","L13",(IF(C900="Spells","S07",""))))}</f>
        <v>SPELL/ALC L13</v>
      </c>
      <c r="T899" s="223" t="str">
        <f t="array" ref="T899:T900">{"SPELL/ALC L14";(IF(C900="Alchemy","L14",(IF(C900="Spells","S07",""))))}</f>
        <v>SPELL/ALC L14</v>
      </c>
      <c r="U899" s="223" t="str">
        <f t="array" ref="U899:U900">{"SPELL/ALC L15";(IF(C900="Alchemy","L15",(IF(C900="Spells","S08",""))))}</f>
        <v>SPELL/ALC L15</v>
      </c>
      <c r="V899" s="223" t="str">
        <f t="array" ref="V899:V900">{"SPELL/ALC L16";(IF(C900="Alchemy","L16",(IF(C900="Spells","S08",""))))}</f>
        <v>SPELL/ALC L16</v>
      </c>
      <c r="W899" s="223" t="str">
        <f t="array" ref="W899:W900">{"SPELL/ALC L17";(IF(C900="Alchemy","L17",(IF(C900="Spells","S09",""))))}</f>
        <v>SPELL/ALC L17</v>
      </c>
      <c r="X899" s="223" t="str">
        <f t="array" ref="X899:X900">{"SPELL/ALC L18";(IF(C900="Alchemy","L18",(IF(C900="Spells","S09",""))))}</f>
        <v>SPELL/ALC L18</v>
      </c>
      <c r="Y899" s="223" t="str">
        <f t="array" ref="Y899:Y900">{"SPELL/ALC L19";(IF(C900="Alchemy","L19",(IF(C900="Spells","S10",""))))}</f>
        <v>SPELL/ALC L19</v>
      </c>
      <c r="Z899" s="223" t="str">
        <f t="array" ref="Z899:Z900">{"SPELL/ALC L20";(IF(C900="Alchemy","L20",(IF(C900="Spells","S10",""))))}</f>
        <v>SPELL/ALC L20</v>
      </c>
      <c r="AA899" s="76"/>
      <c r="AB899" s="76"/>
    </row>
    <row r="900">
      <c r="A900" s="48" t="s">
        <v>227</v>
      </c>
      <c r="B900" s="48" t="s">
        <v>418</v>
      </c>
      <c r="C900" s="48" t="s">
        <v>1901</v>
      </c>
      <c r="D900" s="48" t="s">
        <v>1931</v>
      </c>
      <c r="E900" s="278" t="s">
        <v>1903</v>
      </c>
      <c r="F900" s="114" t="s">
        <v>653</v>
      </c>
      <c r="G900" s="279" t="s">
        <v>1536</v>
      </c>
      <c r="H900" s="28" t="s">
        <v>1536</v>
      </c>
      <c r="I900" s="28" t="s">
        <v>1542</v>
      </c>
      <c r="J900" s="28" t="s">
        <v>1542</v>
      </c>
      <c r="K900" s="28" t="s">
        <v>1545</v>
      </c>
      <c r="L900" s="28" t="s">
        <v>1545</v>
      </c>
      <c r="M900" s="28" t="s">
        <v>1548</v>
      </c>
      <c r="N900" s="28" t="s">
        <v>1548</v>
      </c>
      <c r="O900" s="28" t="s">
        <v>1553</v>
      </c>
      <c r="P900" s="28" t="s">
        <v>1553</v>
      </c>
      <c r="Q900" s="28" t="s">
        <v>1556</v>
      </c>
      <c r="R900" s="28" t="s">
        <v>1556</v>
      </c>
      <c r="S900" s="28" t="s">
        <v>1559</v>
      </c>
      <c r="T900" s="28" t="s">
        <v>1559</v>
      </c>
      <c r="U900" s="28" t="s">
        <v>1562</v>
      </c>
      <c r="V900" s="28" t="s">
        <v>1562</v>
      </c>
      <c r="W900" s="28" t="s">
        <v>1565</v>
      </c>
      <c r="X900" s="28" t="s">
        <v>1565</v>
      </c>
      <c r="Y900" s="28" t="s">
        <v>1568</v>
      </c>
      <c r="Z900" s="28" t="s">
        <v>1568</v>
      </c>
      <c r="AA900" s="5"/>
      <c r="AB900" s="47"/>
    </row>
    <row r="901" hidden="1">
      <c r="A901" s="222" t="str">
        <f t="array" ref="A901:A902">{"FormulaRow40";(INDEX(CLASSLIST,A822,1))}</f>
        <v>FormulaRow40</v>
      </c>
      <c r="B901" s="222" t="str">
        <f t="array" ref="B901:B902">{"CLASSTYPE";((INDEX(ALLCLASSDATA,MATCH("ClassType",CLASSFEATUREHEADERS,0),MATCH($A902,CLASSNAMEHEADERS,0))))}</f>
        <v>CLASSTYPE</v>
      </c>
      <c r="C901" s="222" t="str">
        <f t="array" ref="C901:C902">{"SPELL/ALCHEMY";((IF(INDEX(ALLCLASSDATA,MATCH("CasterType",CLASSFEATUREHEADERS,0),MATCH(($A902),CLASSNAMEHEADERS,0))="","",(IF(INDEX(ALLCLASSDATA,MATCH("CasterType",CLASSFEATUREHEADERS,0),MATCH(($A902),CLASSNAMEHEADERS,0))="Alchemy","","Spells")))))}</f>
        <v>SPELL/ALCHEMY</v>
      </c>
      <c r="D901" s="222" t="str">
        <f t="array" ref="D901:D902">{"SPELLLIST";(IF(C902="Spells",((INDEX(ALLCLASSDATA,MATCH("CasterType",CLASSFEATUREHEADERS,0),MATCH(($A902),CLASSNAMEHEADERS,0))) &amp; ":" &amp; (INDEX(ALLCLASSDATA,MATCH("SpellList",CLASSFEATUREHEADERS,0),MATCH(($A902),CLASSNAMEHEADERS,0)))),""))}</f>
        <v>SPELLLIST</v>
      </c>
      <c r="E901" s="222" t="str">
        <f t="array" ref="E901:E902">{"SLOTCOST";(IF(C902="Spells","SlotCost:",""))}</f>
        <v>SLOTCOST</v>
      </c>
      <c r="F901" s="222" t="str">
        <f t="array" ref="F901:F902">{"SLOTCOST CANTRIP";(INDEX(ALLCLASSDATA,MATCH("CantripSlots-L00",CLASSFEATUREHEADERS,0),MATCH(($A902 &amp; "Points"),CLASSNAMEHEADERS,0)))}</f>
        <v>SLOTCOST CANTRIP</v>
      </c>
      <c r="G901" s="222" t="str">
        <f t="array" ref="G901:G902">{"SLOTCOST L01";(INDEX(ALLCLASSDATA,MATCH("SPL01-L01",CLASSFEATUREHEADERS,0),MATCH(($A902 &amp; "Points"),CLASSNAMEHEADERS,0)))}</f>
        <v>SLOTCOST L01</v>
      </c>
      <c r="H901" s="222" t="str">
        <f t="array" ref="H901:H902">{"SLOTCOST L02";(INDEX(ALLCLASSDATA,MATCH("SPL01-L02",CLASSFEATUREHEADERS,0),MATCH(($A902 &amp; "Points"),CLASSNAMEHEADERS,0)))}</f>
        <v>#REF!</v>
      </c>
      <c r="I901" s="222" t="str">
        <f t="array" ref="I901:I902">{"SLOTCOST L03";(INDEX(ALLCLASSDATA,MATCH("SPL02-L03",CLASSFEATUREHEADERS,0),MATCH(($A902 &amp; "Points"),CLASSNAMEHEADERS,0)))}</f>
        <v>SLOTCOST L03</v>
      </c>
      <c r="J901" s="222" t="str">
        <f t="array" ref="J901:J902">{"SLOTCOST L04";(INDEX(ALLCLASSDATA,MATCH("SPL02-L04",CLASSFEATUREHEADERS,0),MATCH(($A902 &amp; "Points"),CLASSNAMEHEADERS,0)))}</f>
        <v>#REF!</v>
      </c>
      <c r="K901" s="222" t="str">
        <f t="array" ref="K901:K902">{"SLOTCOST L05";(INDEX(ALLCLASSDATA,MATCH("SPL03-L05",CLASSFEATUREHEADERS,0),MATCH(($A902 &amp; "Points"),CLASSNAMEHEADERS,0)))}</f>
        <v>SLOTCOST L05</v>
      </c>
      <c r="L901" s="222" t="str">
        <f t="array" ref="L901:L902">{"SLOTCOST L06";(INDEX(ALLCLASSDATA,MATCH("SPL03-L06",CLASSFEATUREHEADERS,0),MATCH(($A902 &amp; "Points"),CLASSNAMEHEADERS,0)))}</f>
        <v>#REF!</v>
      </c>
      <c r="M901" s="222" t="str">
        <f t="array" ref="M901:M902">{"SLOTCOST L07";(INDEX(ALLCLASSDATA,MATCH("SPL04-L07",CLASSFEATUREHEADERS,0),MATCH(($A902 &amp; "Points"),CLASSNAMEHEADERS,0)))}</f>
        <v>SLOTCOST L07</v>
      </c>
      <c r="N901" s="222" t="str">
        <f t="array" ref="N901:N902">{"SLOTCOST L08";(INDEX(ALLCLASSDATA,MATCH("SPL04-L08",CLASSFEATUREHEADERS,0),MATCH(($A902 &amp; "Points"),CLASSNAMEHEADERS,0)))}</f>
        <v>#REF!</v>
      </c>
      <c r="O901" s="222" t="str">
        <f t="array" ref="O901:O902">{"SLOTCOST L09";(INDEX(ALLCLASSDATA,MATCH("SPL05-L09",CLASSFEATUREHEADERS,0),MATCH(($A902 &amp; "Points"),CLASSNAMEHEADERS,0)))}</f>
        <v>SLOTCOST L09</v>
      </c>
      <c r="P901" s="222" t="str">
        <f t="array" ref="P901:P902">{"SLOTCOST L10";(INDEX(ALLCLASSDATA,MATCH("SPL05-L10",CLASSFEATUREHEADERS,0),MATCH(($A902 &amp; "Points"),CLASSNAMEHEADERS,0)))}</f>
        <v>#REF!</v>
      </c>
      <c r="Q901" s="222" t="str">
        <f t="array" ref="Q901:Q902">{"SLOTCOST L11";(INDEX(ALLCLASSDATA,MATCH("SPL06-L11",CLASSFEATUREHEADERS,0),MATCH(($A902 &amp; "Points"),CLASSNAMEHEADERS,0)))}</f>
        <v>SLOTCOST L11</v>
      </c>
      <c r="R901" s="222" t="str">
        <f t="array" ref="R901:R902">{"SLOTCOST L12";(INDEX(ALLCLASSDATA,MATCH("SPL06-L12",CLASSFEATUREHEADERS,0),MATCH(($A902 &amp; "Points"),CLASSNAMEHEADERS,0)))}</f>
        <v>#REF!</v>
      </c>
      <c r="S901" s="222" t="str">
        <f t="array" ref="S901:S902">{"SLOTCOST L13";(INDEX(ALLCLASSDATA,MATCH("SPL07-L13",CLASSFEATUREHEADERS,0),MATCH(($A902 &amp; "Points"),CLASSNAMEHEADERS,0)))}</f>
        <v>SLOTCOST L13</v>
      </c>
      <c r="T901" s="222" t="str">
        <f t="array" ref="T901:T902">{"SLOTCOST L14";(INDEX(ALLCLASSDATA,MATCH("SPL07-L14",CLASSFEATUREHEADERS,0),MATCH(($A902 &amp; "Points"),CLASSNAMEHEADERS,0)))}</f>
        <v>#REF!</v>
      </c>
      <c r="U901" s="222" t="str">
        <f t="array" ref="U901:U902">{"SLOTCOST L15";(INDEX(ALLCLASSDATA,MATCH("SPL08-L15",CLASSFEATUREHEADERS,0),MATCH(($A902 &amp; "Points"),CLASSNAMEHEADERS,0)))}</f>
        <v>SLOTCOST L15</v>
      </c>
      <c r="V901" s="222" t="str">
        <f t="array" ref="V901:V902">{"SLOTCOST L16";(INDEX(ALLCLASSDATA,MATCH("SPL08-L16",CLASSFEATUREHEADERS,0),MATCH(($A902 &amp; "Points"),CLASSNAMEHEADERS,0)))}</f>
        <v>#REF!</v>
      </c>
      <c r="W901" s="222" t="str">
        <f t="array" ref="W901:W902">{"SLOTCOST L17";(INDEX(ALLCLASSDATA,MATCH("SPL09-L17",CLASSFEATUREHEADERS,0),MATCH(($A902 &amp; "Points"),CLASSNAMEHEADERS,0)))}</f>
        <v>SLOTCOST L17</v>
      </c>
      <c r="X901" s="222" t="str">
        <f t="array" ref="X901:X902">{"SLOTCOST L18";(INDEX(ALLCLASSDATA,MATCH("SPL09-L18",CLASSFEATUREHEADERS,0),MATCH(($A902 &amp; "Points"),CLASSNAMEHEADERS,0)))}</f>
        <v>#REF!</v>
      </c>
      <c r="Y901" s="222" t="str">
        <f t="array" ref="Y901:Y902">{"SLOTCOST L19";(INDEX(ALLCLASSDATA,MATCH("SPL10-L19",CLASSFEATUREHEADERS,0),MATCH(($A902 &amp; "Points"),CLASSNAMEHEADERS,0)))}</f>
        <v>SLOTCOST L19</v>
      </c>
      <c r="Z901" s="222" t="str">
        <f t="array" ref="Z901:Z902">{"SLOTCOST L20";(INDEX(ALLCLASSDATA,MATCH("SPL10-L20",CLASSFEATUREHEADERS,0),MATCH(($A902 &amp; "Points"),CLASSNAMEHEADERS,0)))}</f>
        <v>SLOTCOST L20</v>
      </c>
      <c r="AA901" s="76"/>
      <c r="AB901" s="76" t="str">
        <f t="array" ref="AB901:AB902">{"SLOT TOTAL";(sum(F902:Z902))}</f>
        <v>SLOT TOTAL</v>
      </c>
    </row>
    <row r="902">
      <c r="A902" s="48" t="s">
        <v>227</v>
      </c>
      <c r="B902" s="48" t="s">
        <v>418</v>
      </c>
      <c r="C902" s="48" t="s">
        <v>1901</v>
      </c>
      <c r="D902" s="48" t="s">
        <v>1931</v>
      </c>
      <c r="E902" s="278" t="s">
        <v>1904</v>
      </c>
      <c r="F902" s="47"/>
      <c r="G902" s="5">
        <v>10.0</v>
      </c>
      <c r="H902" s="48" t="s">
        <v>1905</v>
      </c>
      <c r="I902" s="5">
        <v>10.0</v>
      </c>
      <c r="J902" s="48" t="s">
        <v>1905</v>
      </c>
      <c r="K902" s="5">
        <v>10.0</v>
      </c>
      <c r="L902" s="48" t="s">
        <v>1905</v>
      </c>
      <c r="M902" s="5">
        <v>10.0</v>
      </c>
      <c r="N902" s="48" t="s">
        <v>1905</v>
      </c>
      <c r="O902" s="5">
        <v>10.0</v>
      </c>
      <c r="P902" s="48" t="s">
        <v>1905</v>
      </c>
      <c r="Q902" s="5">
        <v>10.0</v>
      </c>
      <c r="R902" s="48" t="s">
        <v>1905</v>
      </c>
      <c r="S902" s="5">
        <v>10.0</v>
      </c>
      <c r="T902" s="48" t="s">
        <v>1905</v>
      </c>
      <c r="U902" s="5">
        <v>10.0</v>
      </c>
      <c r="V902" s="48" t="s">
        <v>1905</v>
      </c>
      <c r="W902" s="5">
        <v>10.0</v>
      </c>
      <c r="X902" s="48" t="s">
        <v>1905</v>
      </c>
      <c r="Y902" s="5">
        <v>190.0</v>
      </c>
      <c r="Z902" s="5" t="s">
        <v>603</v>
      </c>
      <c r="AA902" s="5"/>
      <c r="AB902" s="47">
        <v>280.0</v>
      </c>
    </row>
    <row r="903" hidden="1">
      <c r="A903" s="222" t="str">
        <f t="array" ref="A903:A904">{"FormulaRow41";(INDEX(CLASSLIST,A822,1))}</f>
        <v>FormulaRow41</v>
      </c>
      <c r="B903" s="222" t="str">
        <f t="array" ref="B903:B904">{"CLASSTYPE";((INDEX(ALLCLASSDATA,MATCH("ClassType",CLASSFEATUREHEADERS,0),MATCH($A904,CLASSNAMEHEADERS,0))))}</f>
        <v>CLASSTYPE</v>
      </c>
      <c r="C903" s="222" t="str">
        <f t="array" ref="C903:C904">{"SPELL/ALCHEMY";((IF(INDEX(ALLCLASSDATA,MATCH("CasterType",CLASSFEATUREHEADERS,0),MATCH(($A904),CLASSNAMEHEADERS,0))="","",(IF(INDEX(ALLCLASSDATA,MATCH("CasterType",CLASSFEATUREHEADERS,0),MATCH(($A904),CLASSNAMEHEADERS,0))="Alchemy","Alchemy","Spells")))))}</f>
        <v>SPELL/ALCHEMY</v>
      </c>
      <c r="D903" s="222" t="str">
        <f t="array" ref="D903:D904">{"SPELLLIST";(IF(C904="Spells",((INDEX(ALLCLASSDATA,MATCH("CasterType",CLASSFEATUREHEADERS,0),MATCH(($A904),CLASSNAMEHEADERS,0))) &amp; ":" &amp; (INDEX(ALLCLASSDATA,MATCH("SpellList",CLASSFEATUREHEADERS,0),MATCH(($A904),CLASSNAMEHEADERS,0)))),""))}</f>
        <v>SPELLLIST</v>
      </c>
      <c r="E903" s="223" t="str">
        <f t="array" ref="E903:E904">{"LEARNEDCOST";(IF(C904="","","LearnCost:"))}</f>
        <v>LEARNEDCOST</v>
      </c>
      <c r="F903" s="223" t="str">
        <f t="array" ref="F903:F904">{"LEARNED CANTRIPS";(INDEX(ALLCLASSDATA,MATCH("CantripsLearned-L00",CLASSFEATUREHEADERS,0),MATCH(($A904 &amp; "Points"),CLASSNAMEHEADERS,0)))}</f>
        <v>LEARNED CANTRIPS</v>
      </c>
      <c r="G903" s="223" t="str">
        <f t="array" ref="G903:G904">{"LEARNED L01";(INDEX(ALLCLASSDATA,MATCH("Learned-L01",CLASSFEATUREHEADERS,0),MATCH(($A904 &amp; "Points"),CLASSNAMEHEADERS,0)))}</f>
        <v>LEARNED L01</v>
      </c>
      <c r="H903" s="223" t="str">
        <f t="array" ref="H903:H904">{"LEARNED L02";(INDEX(ALLCLASSDATA,MATCH("Learned-L02",CLASSFEATUREHEADERS,0),MATCH(($A904 &amp; "Points"),CLASSNAMEHEADERS,0)))}</f>
        <v>#REF!</v>
      </c>
      <c r="I903" s="223" t="str">
        <f t="array" ref="I903:I904">{"LEARNED L03";(INDEX(ALLCLASSDATA,MATCH("Learned-L03",CLASSFEATUREHEADERS,0),MATCH(($A904 &amp; "Points"),CLASSNAMEHEADERS,0)))}</f>
        <v>LEARNED L03</v>
      </c>
      <c r="J903" s="223" t="str">
        <f t="array" ref="J903:J904">{"LEARNED L04";(INDEX(ALLCLASSDATA,MATCH("Learned-L04",CLASSFEATUREHEADERS,0),MATCH(($A904 &amp; "Points"),CLASSNAMEHEADERS,0)))}</f>
        <v>#REF!</v>
      </c>
      <c r="K903" s="223" t="str">
        <f t="array" ref="K903:K904">{"LEARNED L05";(INDEX(ALLCLASSDATA,MATCH("Learned-L05",CLASSFEATUREHEADERS,0),MATCH(($A904 &amp; "Points"),CLASSNAMEHEADERS,0)))}</f>
        <v>LEARNED L05</v>
      </c>
      <c r="L903" s="223" t="str">
        <f t="array" ref="L903:L904">{"LEARNED L06";(INDEX(ALLCLASSDATA,MATCH("Learned-L06",CLASSFEATUREHEADERS,0),MATCH(($A904 &amp; "Points"),CLASSNAMEHEADERS,0)))}</f>
        <v>#REF!</v>
      </c>
      <c r="M903" s="223" t="str">
        <f t="array" ref="M903:M904">{"LEARNED L07";(INDEX(ALLCLASSDATA,MATCH("Learned-L07",CLASSFEATUREHEADERS,0),MATCH(($A904 &amp; "Points"),CLASSNAMEHEADERS,0)))}</f>
        <v>LEARNED L07</v>
      </c>
      <c r="N903" s="223" t="str">
        <f t="array" ref="N903:N904">{"LEARNED L08";(INDEX(ALLCLASSDATA,MATCH("Learned-L08",CLASSFEATUREHEADERS,0),MATCH(($A904 &amp; "Points"),CLASSNAMEHEADERS,0)))}</f>
        <v>#REF!</v>
      </c>
      <c r="O903" s="223" t="str">
        <f t="array" ref="O903:O904">{"LEARNED L09";(INDEX(ALLCLASSDATA,MATCH("Learned-L09",CLASSFEATUREHEADERS,0),MATCH(($A904 &amp; "Points"),CLASSNAMEHEADERS,0)))}</f>
        <v>LEARNED L09</v>
      </c>
      <c r="P903" s="223" t="str">
        <f t="array" ref="P903:P904">{"LEARNED L10";(INDEX(ALLCLASSDATA,MATCH("Learned-L10",CLASSFEATUREHEADERS,0),MATCH(($A904 &amp; "Points"),CLASSNAMEHEADERS,0)))}</f>
        <v>#REF!</v>
      </c>
      <c r="Q903" s="223" t="str">
        <f t="array" ref="Q903:Q904">{"LEARNED L11";(INDEX(ALLCLASSDATA,MATCH("Learned-L11",CLASSFEATUREHEADERS,0),MATCH(($A904 &amp; "Points"),CLASSNAMEHEADERS,0)))}</f>
        <v>LEARNED L11</v>
      </c>
      <c r="R903" s="223" t="str">
        <f t="array" ref="R903:R904">{"LEARNED L12";(INDEX(ALLCLASSDATA,MATCH("Learned-L12",CLASSFEATUREHEADERS,0),MATCH(($A904 &amp; "Points"),CLASSNAMEHEADERS,0)))}</f>
        <v>#REF!</v>
      </c>
      <c r="S903" s="223" t="str">
        <f t="array" ref="S903:S904">{"LEARNED L13";(INDEX(ALLCLASSDATA,MATCH("Learned-L13",CLASSFEATUREHEADERS,0),MATCH(($A904 &amp; "Points"),CLASSNAMEHEADERS,0)))}</f>
        <v>LEARNED L13</v>
      </c>
      <c r="T903" s="223" t="str">
        <f t="array" ref="T903:T904">{"LEARNED L14";(INDEX(ALLCLASSDATA,MATCH("Learned-L14",CLASSFEATUREHEADERS,0),MATCH(($A904 &amp; "Points"),CLASSNAMEHEADERS,0)))}</f>
        <v>#REF!</v>
      </c>
      <c r="U903" s="223" t="str">
        <f t="array" ref="U903:U904">{"LEARNED L15";(INDEX(ALLCLASSDATA,MATCH("Learned-L15",CLASSFEATUREHEADERS,0),MATCH(($A904 &amp; "Points"),CLASSNAMEHEADERS,0)))}</f>
        <v>LEARNED L15</v>
      </c>
      <c r="V903" s="223" t="str">
        <f t="array" ref="V903:V904">{"LEARNED L16";(INDEX(ALLCLASSDATA,MATCH("Learned-L16",CLASSFEATUREHEADERS,0),MATCH(($A904 &amp; "Points"),CLASSNAMEHEADERS,0)))}</f>
        <v>#REF!</v>
      </c>
      <c r="W903" s="223" t="str">
        <f t="array" ref="W903:W904">{"LEARNED L17";(INDEX(ALLCLASSDATA,MATCH("Learned-L17",CLASSFEATUREHEADERS,0),MATCH(($A904 &amp; "Points"),CLASSNAMEHEADERS,0)))}</f>
        <v>LEARNED L17</v>
      </c>
      <c r="X903" s="223" t="str">
        <f t="array" ref="X903:X904">{"LEARNED L18";(INDEX(ALLCLASSDATA,MATCH("Learned-L18",CLASSFEATUREHEADERS,0),MATCH(($A904 &amp; "Points"),CLASSNAMEHEADERS,0)))}</f>
        <v>#REF!</v>
      </c>
      <c r="Y903" s="223" t="str">
        <f t="array" ref="Y903:Y904">{"LEARNED L19";(INDEX(ALLCLASSDATA,MATCH("Learned-L19",CLASSFEATUREHEADERS,0),MATCH(($A904 &amp; "Points"),CLASSNAMEHEADERS,0)))}</f>
        <v>LEARNED L19</v>
      </c>
      <c r="Z903" s="223" t="str">
        <f t="array" ref="Z903:Z904">{"LEARNED L20";(INDEX(ALLCLASSDATA,MATCH("Learned-L20",CLASSFEATUREHEADERS,0),MATCH(($A904 &amp; "Points"),CLASSNAMEHEADERS,0)))}</f>
        <v>LEARNED L20</v>
      </c>
      <c r="AA903" s="76"/>
      <c r="AB903" s="76" t="str">
        <f t="array" ref="AB903:AB904">{"LEARNED TOTAL";(sum(F904:Z904))}</f>
        <v>LEARNED TOTAL</v>
      </c>
    </row>
    <row r="904">
      <c r="A904" s="48" t="s">
        <v>227</v>
      </c>
      <c r="B904" s="48" t="s">
        <v>418</v>
      </c>
      <c r="C904" s="48" t="s">
        <v>1901</v>
      </c>
      <c r="D904" s="48" t="s">
        <v>1931</v>
      </c>
      <c r="E904" s="278" t="s">
        <v>1906</v>
      </c>
      <c r="F904" s="47">
        <v>0.0</v>
      </c>
      <c r="G904" s="5">
        <v>20.0</v>
      </c>
      <c r="H904" s="48" t="s">
        <v>1905</v>
      </c>
      <c r="I904" s="5">
        <v>20.0</v>
      </c>
      <c r="J904" s="48" t="s">
        <v>1905</v>
      </c>
      <c r="K904" s="5">
        <v>20.0</v>
      </c>
      <c r="L904" s="48" t="s">
        <v>1905</v>
      </c>
      <c r="M904" s="48">
        <v>20.0</v>
      </c>
      <c r="N904" s="48" t="s">
        <v>1905</v>
      </c>
      <c r="O904" s="5">
        <v>20.0</v>
      </c>
      <c r="P904" s="48" t="s">
        <v>1905</v>
      </c>
      <c r="Q904" s="5">
        <v>20.0</v>
      </c>
      <c r="R904" s="48" t="s">
        <v>1905</v>
      </c>
      <c r="S904" s="5">
        <v>20.0</v>
      </c>
      <c r="T904" s="48" t="s">
        <v>1905</v>
      </c>
      <c r="U904" s="5">
        <v>20.0</v>
      </c>
      <c r="V904" s="48" t="s">
        <v>1905</v>
      </c>
      <c r="W904" s="5">
        <v>20.0</v>
      </c>
      <c r="X904" s="48" t="s">
        <v>1905</v>
      </c>
      <c r="Y904" s="5">
        <v>0.0</v>
      </c>
      <c r="Z904" s="5" t="s">
        <v>603</v>
      </c>
      <c r="AA904" s="5"/>
      <c r="AB904" s="47">
        <v>180.0</v>
      </c>
    </row>
    <row r="905" hidden="1">
      <c r="A905" s="222" t="str">
        <f t="array" ref="A905:A906">{"FormulaRow42";(INDEX(CLASSLIST,A822,1))}</f>
        <v>FormulaRow42</v>
      </c>
      <c r="B905" s="222" t="str">
        <f t="array" ref="B905:B906">{"CLASSTYPE";((INDEX(ALLCLASSDATA,MATCH("ClassType",CLASSFEATUREHEADERS,0),MATCH($A906,CLASSNAMEHEADERS,0))))}</f>
        <v>CLASSTYPE</v>
      </c>
      <c r="C905" s="222" t="str">
        <f t="array" ref="C905:C906">{"SPELL/ALCHEMY";((IF(INDEX(ALLCLASSDATA,MATCH("CasterType",CLASSFEATUREHEADERS,0),MATCH(($A906),CLASSNAMEHEADERS,0))="","",(IF(INDEX(ALLCLASSDATA,MATCH("CasterType",CLASSFEATUREHEADERS,0),MATCH(($A906),CLASSNAMEHEADERS,0))="Alchemy","","Spells")))))}</f>
        <v>SPELL/ALCHEMY</v>
      </c>
      <c r="D905" s="222" t="str">
        <f t="array" ref="D905:D906">{"SPELLLIST";(IF(C906="Spells",((INDEX(ALLCLASSDATA,MATCH("CasterType",CLASSFEATUREHEADERS,0),MATCH(($A906),CLASSNAMEHEADERS,0))) &amp; ":" &amp; (INDEX(ALLCLASSDATA,MATCH("SpellList",CLASSFEATUREHEADERS,0),MATCH(($A906),CLASSNAMEHEADERS,0)))),""))}</f>
        <v>SPELLLIST</v>
      </c>
      <c r="E905" s="223" t="str">
        <f t="array" ref="E905:E906">{"SLOT/LVL";(IF(C900="Spells","Slot/LVL:",""))}</f>
        <v>SLOT/LVL</v>
      </c>
      <c r="F905" s="223" t="str">
        <f t="array" ref="F905:F906">{"CANTRIPSLOTS";(INDEX(ALLCLASSDATA,MATCH("CantripSlots-L00",CLASSFEATUREHEADERS,0),MATCH($A906,CLASSNAMEHEADERS,0)))}</f>
        <v>#REF!</v>
      </c>
      <c r="G905" s="223" t="str">
        <f t="array" ref="G905:G906">{"SPL01-L01";(INDEX(ALLCLASSDATA,MATCH("SPL01-L01",CLASSFEATUREHEADERS,0),MATCH($A906,CLASSNAMEHEADERS,0)))}</f>
        <v>SPL01-L01</v>
      </c>
      <c r="H905" s="223" t="str">
        <f t="array" ref="H905:H906">{"SPL01-L02";(INDEX(ALLCLASSDATA,MATCH("SPL01-L02",CLASSFEATUREHEADERS,0),MATCH($A906,CLASSNAMEHEADERS,0)))}</f>
        <v>#REF!</v>
      </c>
      <c r="I905" s="223" t="str">
        <f t="array" ref="I905:I906">{"SPL02-L03";(INDEX(ALLCLASSDATA,MATCH("SPL02-L03",CLASSFEATUREHEADERS,0),MATCH($A906,CLASSNAMEHEADERS,0)))}</f>
        <v>SPL02-L03</v>
      </c>
      <c r="J905" s="223" t="str">
        <f t="array" ref="J905:J906">{"SPL02-L04";(INDEX(ALLCLASSDATA,MATCH("SPL02-L04",CLASSFEATUREHEADERS,0),MATCH($A906,CLASSNAMEHEADERS,0)))}</f>
        <v>#REF!</v>
      </c>
      <c r="K905" s="223" t="str">
        <f t="array" ref="K905:K906">{"SPL03-L05";(INDEX(ALLCLASSDATA,MATCH("SPL03-L05",CLASSFEATUREHEADERS,0),MATCH($A906,CLASSNAMEHEADERS,0)))}</f>
        <v>SPL03-L05</v>
      </c>
      <c r="L905" s="223" t="str">
        <f t="array" ref="L905:L906">{"SPL03-L06";(INDEX(ALLCLASSDATA,MATCH("SPL03-L06",CLASSFEATUREHEADERS,0),MATCH($A906,CLASSNAMEHEADERS,0)))}</f>
        <v>#REF!</v>
      </c>
      <c r="M905" s="223" t="str">
        <f t="array" ref="M905:M906">{"SPL04-L07";(INDEX(ALLCLASSDATA,MATCH("SPL04-L07",CLASSFEATUREHEADERS,0),MATCH($A906,CLASSNAMEHEADERS,0)))}</f>
        <v>SPL04-L07</v>
      </c>
      <c r="N905" s="223" t="str">
        <f t="array" ref="N905:N906">{"SPL04-L08";(INDEX(ALLCLASSDATA,MATCH("SPL04-L08",CLASSFEATUREHEADERS,0),MATCH($A906,CLASSNAMEHEADERS,0)))}</f>
        <v>#REF!</v>
      </c>
      <c r="O905" s="223" t="str">
        <f t="array" ref="O905:O906">{"SPL05-L09";(INDEX(ALLCLASSDATA,MATCH("SPL05-L09",CLASSFEATUREHEADERS,0),MATCH($A906,CLASSNAMEHEADERS,0)))}</f>
        <v>SPL05-L09</v>
      </c>
      <c r="P905" s="223" t="str">
        <f t="array" ref="P905:P906">{"SPL05-L10";(INDEX(ALLCLASSDATA,MATCH("SPL05-L10",CLASSFEATUREHEADERS,0),MATCH($A906,CLASSNAMEHEADERS,0)))}</f>
        <v>#REF!</v>
      </c>
      <c r="Q905" s="223" t="str">
        <f t="array" ref="Q905:Q906">{"SPL06-L11";(INDEX(ALLCLASSDATA,MATCH("SPL06-L11",CLASSFEATUREHEADERS,0),MATCH($A906,CLASSNAMEHEADERS,0)))}</f>
        <v>SPL06-L11</v>
      </c>
      <c r="R905" s="223" t="str">
        <f t="array" ref="R905:R906">{"SPL06-L12";(INDEX(ALLCLASSDATA,MATCH("SPL06-L12",CLASSFEATUREHEADERS,0),MATCH($A906,CLASSNAMEHEADERS,0)))}</f>
        <v>#REF!</v>
      </c>
      <c r="S905" s="223" t="str">
        <f t="array" ref="S905:S906">{"SPL07-L13";(INDEX(ALLCLASSDATA,MATCH("SPL07-L13",CLASSFEATUREHEADERS,0),MATCH($A906,CLASSNAMEHEADERS,0)))}</f>
        <v>SPL07-L13</v>
      </c>
      <c r="T905" s="223" t="str">
        <f t="array" ref="T905:T906">{"SPL07-L14";(INDEX(ALLCLASSDATA,MATCH("SPL07-L14",CLASSFEATUREHEADERS,0),MATCH($A906,CLASSNAMEHEADERS,0)))}</f>
        <v>#REF!</v>
      </c>
      <c r="U905" s="223" t="str">
        <f t="array" ref="U905:U906">{"SPL08-L15";(INDEX(ALLCLASSDATA,MATCH("SPL08-L15",CLASSFEATUREHEADERS,0),MATCH($A906,CLASSNAMEHEADERS,0)))}</f>
        <v>SPL08-L15</v>
      </c>
      <c r="V905" s="223" t="str">
        <f t="array" ref="V905:V906">{"SPL08-L16";(INDEX(ALLCLASSDATA,MATCH("SPL08-L16",CLASSFEATUREHEADERS,0),MATCH($A906,CLASSNAMEHEADERS,0)))}</f>
        <v>#REF!</v>
      </c>
      <c r="W905" s="223" t="str">
        <f t="array" ref="W905:W906">{"SPL09-L17";(INDEX(ALLCLASSDATA,MATCH("SPL09-L17",CLASSFEATUREHEADERS,0),MATCH($A906,CLASSNAMEHEADERS,0)))}</f>
        <v>SPL09-L17</v>
      </c>
      <c r="X905" s="223" t="str">
        <f t="array" ref="X905:X906">{"SPL09-L18";(INDEX(ALLCLASSDATA,MATCH("SPL09-L18",CLASSFEATUREHEADERS,0),MATCH($A906,CLASSNAMEHEADERS,0)))}</f>
        <v>#REF!</v>
      </c>
      <c r="Y905" s="223" t="str">
        <f t="array" ref="Y905:Y906">{"SPL10-L19";(INDEX(ALLCLASSDATA,MATCH("SPL10-L19",CLASSFEATUREHEADERS,0),MATCH($A906,CLASSNAMEHEADERS,0)))}</f>
        <v>SPL10-L19</v>
      </c>
      <c r="Z905" s="223" t="str">
        <f t="array" ref="Z905:Z906">{"SPL10-L20";(INDEX(ALLCLASSDATA,MATCH("SPL10-L20",CLASSFEATUREHEADERS,0),MATCH($A906,CLASSNAMEHEADERS,0)))}</f>
        <v>SPL10-L20</v>
      </c>
      <c r="AA905" s="76"/>
      <c r="AB905" s="76"/>
    </row>
    <row r="906">
      <c r="A906" s="48" t="s">
        <v>227</v>
      </c>
      <c r="B906" s="48" t="s">
        <v>418</v>
      </c>
      <c r="C906" s="48" t="s">
        <v>1901</v>
      </c>
      <c r="D906" s="48" t="s">
        <v>1931</v>
      </c>
      <c r="E906" s="278" t="s">
        <v>1907</v>
      </c>
      <c r="F906" s="114">
        <v>4.0</v>
      </c>
      <c r="G906" s="50" t="s">
        <v>1537</v>
      </c>
      <c r="H906" s="50" t="s">
        <v>1908</v>
      </c>
      <c r="I906" s="50" t="s">
        <v>1537</v>
      </c>
      <c r="J906" s="50" t="s">
        <v>1908</v>
      </c>
      <c r="K906" s="50" t="s">
        <v>1537</v>
      </c>
      <c r="L906" s="50" t="s">
        <v>1908</v>
      </c>
      <c r="M906" s="50" t="s">
        <v>1537</v>
      </c>
      <c r="N906" s="50" t="s">
        <v>1908</v>
      </c>
      <c r="O906" s="50" t="s">
        <v>1537</v>
      </c>
      <c r="P906" s="50" t="s">
        <v>1908</v>
      </c>
      <c r="Q906" s="50" t="s">
        <v>1537</v>
      </c>
      <c r="R906" s="50" t="s">
        <v>1908</v>
      </c>
      <c r="S906" s="50" t="s">
        <v>1537</v>
      </c>
      <c r="T906" s="50" t="s">
        <v>1908</v>
      </c>
      <c r="U906" s="50" t="s">
        <v>1537</v>
      </c>
      <c r="V906" s="50" t="s">
        <v>1908</v>
      </c>
      <c r="W906" s="50" t="s">
        <v>1537</v>
      </c>
      <c r="X906" s="50" t="s">
        <v>1908</v>
      </c>
      <c r="Y906" s="50" t="s">
        <v>1537</v>
      </c>
      <c r="Z906" s="50"/>
      <c r="AA906" s="278"/>
      <c r="AB906" s="47"/>
    </row>
    <row r="907" hidden="1">
      <c r="A907" s="222" t="str">
        <f t="array" ref="A907:A908">{"FormulaRow43";(INDEX(CLASSLIST,A822,1))}</f>
        <v>FormulaRow43</v>
      </c>
      <c r="B907" s="222" t="str">
        <f t="array" ref="B907:B908">{"CLASSTYPE";((INDEX(ALLCLASSDATA,MATCH("ClassType",CLASSFEATUREHEADERS,0),MATCH($A908,CLASSNAMEHEADERS,0))))}</f>
        <v>CLASSTYPE</v>
      </c>
      <c r="C907" s="222" t="str">
        <f t="array" ref="C907:C908">{"SPELL/ALCHEMY";((IF(INDEX(ALLCLASSDATA,MATCH("CasterType",CLASSFEATUREHEADERS,0),MATCH(($A908),CLASSNAMEHEADERS,0))="","",(IF(INDEX(ALLCLASSDATA,MATCH("CasterType",CLASSFEATUREHEADERS,0),MATCH(($A908),CLASSNAMEHEADERS,0))="Alchemy","Alchemy","Spells")))))}</f>
        <v>SPELL/ALCHEMY</v>
      </c>
      <c r="D907" s="222" t="str">
        <f t="array" ref="D907:D908">{"SPELLLIST";(IF(C908="Spells",((INDEX(ALLCLASSDATA,MATCH("CasterType",CLASSFEATUREHEADERS,0),MATCH(($A908),CLASSNAMEHEADERS,0))) &amp; ":" &amp; (INDEX(ALLCLASSDATA,MATCH("SpellList",CLASSFEATUREHEADERS,0),MATCH(($A908),CLASSNAMEHEADERS,0)))),""))}</f>
        <v>SPELLLIST</v>
      </c>
      <c r="E907" s="223" t="str">
        <f t="array" ref="E907:E908">{"LEARNED/LVL";(IF(C908="","","Learn/LVL:"))}</f>
        <v>LEARNED/LVL</v>
      </c>
      <c r="F907" s="223" t="str">
        <f t="array" ref="F907:F908">{"LEARNEDCANTRIPS";(INDEX(ALLCLASSDATA,MATCH("CantripsLearned-L00",CLASSFEATUREHEADERS,0),MATCH($A908,CLASSNAMEHEADERS,0)))}</f>
        <v>LEARNEDCANTRIPS</v>
      </c>
      <c r="G907" s="223" t="str">
        <f t="array" ref="G907:G908">{"LEARNED L01";(INDEX(ALLCLASSDATA,MATCH("Learned-L01",CLASSFEATUREHEADERS,0),MATCH($A908,CLASSNAMEHEADERS,0)))}</f>
        <v>LEARNED L01</v>
      </c>
      <c r="H907" s="223" t="str">
        <f t="array" ref="H907:H908">{"LEARNED L02";(INDEX(ALLCLASSDATA,MATCH("Learned-L02",CLASSFEATUREHEADERS,0),MATCH($A908,CLASSNAMEHEADERS,0)))}</f>
        <v>#REF!</v>
      </c>
      <c r="I907" s="223" t="str">
        <f t="array" ref="I907:I908">{"LEARNED L03";(INDEX(ALLCLASSDATA,MATCH("Learned-L03",CLASSFEATUREHEADERS,0),MATCH($A908,CLASSNAMEHEADERS,0)))}</f>
        <v>LEARNED L03</v>
      </c>
      <c r="J907" s="223" t="str">
        <f t="array" ref="J907:J908">{"LEARNED L04";(INDEX(ALLCLASSDATA,MATCH("Learned-L04",CLASSFEATUREHEADERS,0),MATCH($A908,CLASSNAMEHEADERS,0)))}</f>
        <v>#REF!</v>
      </c>
      <c r="K907" s="223" t="str">
        <f t="array" ref="K907:K908">{"LEARNED L05";(INDEX(ALLCLASSDATA,MATCH("Learned-L05",CLASSFEATUREHEADERS,0),MATCH($A908,CLASSNAMEHEADERS,0)))}</f>
        <v>LEARNED L05</v>
      </c>
      <c r="L907" s="223" t="str">
        <f t="array" ref="L907:L908">{"LEARNED L06";(INDEX(ALLCLASSDATA,MATCH("Learned-L06",CLASSFEATUREHEADERS,0),MATCH($A908,CLASSNAMEHEADERS,0)))}</f>
        <v>#REF!</v>
      </c>
      <c r="M907" s="223" t="str">
        <f t="array" ref="M907:M908">{"LEARNED L07";(INDEX(ALLCLASSDATA,MATCH("Learned-L07",CLASSFEATUREHEADERS,0),MATCH($A908,CLASSNAMEHEADERS,0)))}</f>
        <v>LEARNED L07</v>
      </c>
      <c r="N907" s="223" t="str">
        <f t="array" ref="N907:N908">{"LEARNED L08";(INDEX(ALLCLASSDATA,MATCH("Learned-L08",CLASSFEATUREHEADERS,0),MATCH($A908,CLASSNAMEHEADERS,0)))}</f>
        <v>#REF!</v>
      </c>
      <c r="O907" s="223" t="str">
        <f t="array" ref="O907:O908">{"LEARNED L09";(INDEX(ALLCLASSDATA,MATCH("Learned-L09",CLASSFEATUREHEADERS,0),MATCH($A908,CLASSNAMEHEADERS,0)))}</f>
        <v>LEARNED L09</v>
      </c>
      <c r="P907" s="223" t="str">
        <f t="array" ref="P907:P908">{"LEARNED L10";(INDEX(ALLCLASSDATA,MATCH("Learned-L10",CLASSFEATUREHEADERS,0),MATCH($A908,CLASSNAMEHEADERS,0)))}</f>
        <v>#REF!</v>
      </c>
      <c r="Q907" s="223" t="str">
        <f t="array" ref="Q907:Q908">{"LEARNED L11";(INDEX(ALLCLASSDATA,MATCH("Learned-L11",CLASSFEATUREHEADERS,0),MATCH($A908,CLASSNAMEHEADERS,0)))}</f>
        <v>LEARNED L11</v>
      </c>
      <c r="R907" s="223" t="str">
        <f t="array" ref="R907:R908">{"LEARNED L12";(INDEX(ALLCLASSDATA,MATCH("Learned-L12",CLASSFEATUREHEADERS,0),MATCH($A908,CLASSNAMEHEADERS,0)))}</f>
        <v>#REF!</v>
      </c>
      <c r="S907" s="223" t="str">
        <f t="array" ref="S907:S908">{"LEARNED L13";(INDEX(ALLCLASSDATA,MATCH("Learned-L13",CLASSFEATUREHEADERS,0),MATCH($A908,CLASSNAMEHEADERS,0)))}</f>
        <v>LEARNED L13</v>
      </c>
      <c r="T907" s="223" t="str">
        <f t="array" ref="T907:T908">{"LEARNED L14";(INDEX(ALLCLASSDATA,MATCH("Learned-L14",CLASSFEATUREHEADERS,0),MATCH($A908,CLASSNAMEHEADERS,0)))}</f>
        <v>#REF!</v>
      </c>
      <c r="U907" s="223" t="str">
        <f t="array" ref="U907:U908">{"LEARNED L15";(INDEX(ALLCLASSDATA,MATCH("Learned-L15",CLASSFEATUREHEADERS,0),MATCH($A908,CLASSNAMEHEADERS,0)))}</f>
        <v>LEARNED L15</v>
      </c>
      <c r="V907" s="223" t="str">
        <f t="array" ref="V907:V908">{"LEARNED L16";(INDEX(ALLCLASSDATA,MATCH("Learned-L16",CLASSFEATUREHEADERS,0),MATCH($A908,CLASSNAMEHEADERS,0)))}</f>
        <v>#REF!</v>
      </c>
      <c r="W907" s="223" t="str">
        <f t="array" ref="W907:W908">{"LEARNED L17";(INDEX(ALLCLASSDATA,MATCH("Learned-L17",CLASSFEATUREHEADERS,0),MATCH($A908,CLASSNAMEHEADERS,0)))}</f>
        <v>LEARNED L17</v>
      </c>
      <c r="X907" s="223" t="str">
        <f t="array" ref="X907:X908">{"LEARNED L18";(INDEX(ALLCLASSDATA,MATCH("Learned-L18",CLASSFEATUREHEADERS,0),MATCH($A908,CLASSNAMEHEADERS,0)))}</f>
        <v>#REF!</v>
      </c>
      <c r="Y907" s="223" t="str">
        <f t="array" ref="Y907:Y908">{"LEARNED L19";(INDEX(ALLCLASSDATA,MATCH("Learned-L19",CLASSFEATUREHEADERS,0),MATCH($A908,CLASSNAMEHEADERS,0)))}</f>
        <v>LEARNED L19</v>
      </c>
      <c r="Z907" s="223" t="str">
        <f t="array" ref="Z907:Z908">{"LEARNED L20";(INDEX(ALLCLASSDATA,MATCH("Learned-L20",CLASSFEATUREHEADERS,0),MATCH($A908,CLASSNAMEHEADERS,0)))}</f>
        <v>LEARNED L20</v>
      </c>
      <c r="AA907" s="76"/>
      <c r="AB907" s="76"/>
    </row>
    <row r="908">
      <c r="A908" s="48" t="s">
        <v>227</v>
      </c>
      <c r="B908" s="48" t="s">
        <v>418</v>
      </c>
      <c r="C908" s="48" t="s">
        <v>1901</v>
      </c>
      <c r="D908" s="48" t="s">
        <v>1931</v>
      </c>
      <c r="E908" s="278" t="s">
        <v>1909</v>
      </c>
      <c r="F908" s="280" t="s">
        <v>1530</v>
      </c>
      <c r="G908" s="278" t="s">
        <v>1538</v>
      </c>
      <c r="H908" s="50" t="s">
        <v>1908</v>
      </c>
      <c r="I908" s="278" t="s">
        <v>1538</v>
      </c>
      <c r="J908" s="50" t="s">
        <v>1908</v>
      </c>
      <c r="K908" s="278" t="s">
        <v>1538</v>
      </c>
      <c r="L908" s="50" t="s">
        <v>1908</v>
      </c>
      <c r="M908" s="278" t="s">
        <v>1538</v>
      </c>
      <c r="N908" s="50" t="s">
        <v>1908</v>
      </c>
      <c r="O908" s="278" t="s">
        <v>1538</v>
      </c>
      <c r="P908" s="50" t="s">
        <v>1908</v>
      </c>
      <c r="Q908" s="278" t="s">
        <v>1538</v>
      </c>
      <c r="R908" s="50" t="s">
        <v>1908</v>
      </c>
      <c r="S908" s="278" t="s">
        <v>1538</v>
      </c>
      <c r="T908" s="50" t="s">
        <v>1908</v>
      </c>
      <c r="U908" s="278" t="s">
        <v>1538</v>
      </c>
      <c r="V908" s="50" t="s">
        <v>1908</v>
      </c>
      <c r="W908" s="278" t="s">
        <v>1538</v>
      </c>
      <c r="X908" s="50" t="s">
        <v>1908</v>
      </c>
      <c r="Y908" s="278" t="s">
        <v>1538</v>
      </c>
      <c r="Z908" s="278"/>
      <c r="AA908" s="278"/>
      <c r="AB908" s="47"/>
    </row>
    <row r="909" hidden="1">
      <c r="A909" s="222" t="str">
        <f t="array" ref="A909:A910">{"FormulaRow44";(INDEX(CLASSLIST,A822,1))}</f>
        <v>FormulaRow44</v>
      </c>
      <c r="B909" s="222" t="str">
        <f t="array" ref="B909:B910">{"CLASSTYPE";((INDEX(ALLCLASSDATA,MATCH("ClassType",CLASSFEATUREHEADERS,0),MATCH($A910,CLASSNAMEHEADERS,0))))}</f>
        <v>CLASSTYPE</v>
      </c>
      <c r="C909" s="222" t="str">
        <f t="array" ref="C909:C910">{"SPELL/ALCHEMY";((IF(INDEX(ALLCLASSDATA,MATCH("CasterType",CLASSFEATUREHEADERS,0),MATCH(($A910),CLASSNAMEHEADERS,0))="","",(IF(INDEX(ALLCLASSDATA,MATCH("CasterType",CLASSFEATUREHEADERS,0),MATCH(($A910),CLASSNAMEHEADERS,0))="Alchemy","","Spells")))))}</f>
        <v>SPELL/ALCHEMY</v>
      </c>
      <c r="D909" s="222" t="str">
        <f t="array" ref="D909:D910">{"SPELLLIST";(IF(C910="Spells",((INDEX(ALLCLASSDATA,MATCH("CasterType",CLASSFEATUREHEADERS,0),MATCH(($A910),CLASSNAMEHEADERS,0))) &amp; ":" &amp; (INDEX(ALLCLASSDATA,MATCH("SpellList",CLASSFEATUREHEADERS,0),MATCH(($A910),CLASSNAMEHEADERS,0)))),""))}</f>
        <v>SPELLLIST</v>
      </c>
      <c r="E909" s="223" t="str">
        <f t="array" ref="E909:E910">{"TOTALSLOTS";(IF(C910="","","TotalSlots:"))}</f>
        <v>TOTALSLOTS</v>
      </c>
      <c r="F909" s="223" t="str">
        <f t="array" ref="F909:F910">{"TOTALCANTRIPSLOTS";(F906)}</f>
        <v>TOTALCANTRIPSLOTS</v>
      </c>
      <c r="G909" s="223" t="str">
        <f t="array" ref="G909:G910">{"TOTALSLOTS L01";(G906)}</f>
        <v>TOTALSLOTS L01</v>
      </c>
      <c r="H909" s="223" t="str">
        <f t="array" ref="H909:H910">{"TOTALSLOTS L02";(G910+H906)}</f>
        <v>TOTALSLOTS L02</v>
      </c>
      <c r="I909" s="223" t="str">
        <f t="array" ref="I909:I910">{"TOTALSLOTS L03";(H910+I906)}</f>
        <v>TOTALSLOTS L03</v>
      </c>
      <c r="J909" s="223" t="str">
        <f t="array" ref="J909:J910">{"TOTALSLOTS L04";(I910+J906)}</f>
        <v>TOTALSLOTS L04</v>
      </c>
      <c r="K909" s="223" t="str">
        <f t="array" ref="K909:K910">{"TOTALSLOTS L05";(J910+K906)}</f>
        <v>TOTALSLOTS L05</v>
      </c>
      <c r="L909" s="223" t="str">
        <f t="array" ref="L909:L910">{"TOTALSLOTS L06";(K910+L906)}</f>
        <v>TOTALSLOTS L06</v>
      </c>
      <c r="M909" s="223" t="str">
        <f t="array" ref="M909:M910">{"TOTALSLOTS L07";(L910+M906)}</f>
        <v>TOTALSLOTS L07</v>
      </c>
      <c r="N909" s="223" t="str">
        <f t="array" ref="N909:N910">{"TOTALSLOTS L08";(M910+N906)}</f>
        <v>TOTALSLOTS L08</v>
      </c>
      <c r="O909" s="223" t="str">
        <f t="array" ref="O909:O910">{"TOTALSLOTS L09";(N910+O906)}</f>
        <v>TOTALSLOTS L09</v>
      </c>
      <c r="P909" s="223" t="str">
        <f t="array" ref="P909:P910">{"TOTALSLOTS L10";(O910+P906)}</f>
        <v>TOTALSLOTS L10</v>
      </c>
      <c r="Q909" s="223" t="str">
        <f t="array" ref="Q909:Q910">{"TOTALSLOTS L11";(P910+Q906)}</f>
        <v>TOTALSLOTS L11</v>
      </c>
      <c r="R909" s="223" t="str">
        <f t="array" ref="R909:R910">{"TOTALSLOTS L12";(Q910+R906)}</f>
        <v>TOTALSLOTS L12</v>
      </c>
      <c r="S909" s="223" t="str">
        <f t="array" ref="S909:S910">{"TOTALSLOTS L13";(R910+S906)}</f>
        <v>TOTALSLOTS L13</v>
      </c>
      <c r="T909" s="223" t="str">
        <f t="array" ref="T909:T910">{"TOTALSLOTS L14";(S910+T906)}</f>
        <v>TOTALSLOTS L14</v>
      </c>
      <c r="U909" s="223" t="str">
        <f t="array" ref="U909:U910">{"TOTALSLOTS L15";(T910+U906)}</f>
        <v>TOTALSLOTS L15</v>
      </c>
      <c r="V909" s="223" t="str">
        <f t="array" ref="V909:V910">{"TOTALSLOTS L16";(U910+V906)}</f>
        <v>TOTALSLOTS L16</v>
      </c>
      <c r="W909" s="223" t="str">
        <f t="array" ref="W909:W910">{"TOTALSLOTS L17";(V910+W906)}</f>
        <v>TOTALSLOTS L17</v>
      </c>
      <c r="X909" s="223" t="str">
        <f t="array" ref="X909:X910">{"TOTALSLOTS L18";(W910+X906)}</f>
        <v>TOTALSLOTS L18</v>
      </c>
      <c r="Y909" s="223" t="str">
        <f t="array" ref="Y909:Y910">{"TOTALSLOTS L19";(X910+Y906)}</f>
        <v>TOTALSLOTS L19</v>
      </c>
      <c r="Z909" s="223" t="str">
        <f t="array" ref="Z909:Z910">{"TOTALSLOTS L20";(Y910+Z906)}</f>
        <v>TOTALSLOTS L20</v>
      </c>
      <c r="AA909" s="76"/>
      <c r="AB909" s="76"/>
    </row>
    <row r="910">
      <c r="A910" s="48" t="s">
        <v>227</v>
      </c>
      <c r="B910" s="48" t="s">
        <v>418</v>
      </c>
      <c r="C910" s="48" t="s">
        <v>1901</v>
      </c>
      <c r="D910" s="48" t="s">
        <v>1931</v>
      </c>
      <c r="E910" s="278" t="s">
        <v>1910</v>
      </c>
      <c r="F910" s="47">
        <v>4.0</v>
      </c>
      <c r="G910" s="278" t="s">
        <v>1537</v>
      </c>
      <c r="H910" s="278">
        <v>1.0</v>
      </c>
      <c r="I910" s="278">
        <v>2.0</v>
      </c>
      <c r="J910" s="278">
        <v>2.0</v>
      </c>
      <c r="K910" s="278">
        <v>3.0</v>
      </c>
      <c r="L910" s="278">
        <v>3.0</v>
      </c>
      <c r="M910" s="278">
        <v>4.0</v>
      </c>
      <c r="N910" s="278">
        <v>4.0</v>
      </c>
      <c r="O910" s="278">
        <v>5.0</v>
      </c>
      <c r="P910" s="278">
        <v>5.0</v>
      </c>
      <c r="Q910" s="278">
        <v>6.0</v>
      </c>
      <c r="R910" s="278">
        <v>6.0</v>
      </c>
      <c r="S910" s="278">
        <v>7.0</v>
      </c>
      <c r="T910" s="278">
        <v>7.0</v>
      </c>
      <c r="U910" s="278">
        <v>8.0</v>
      </c>
      <c r="V910" s="278">
        <v>8.0</v>
      </c>
      <c r="W910" s="278">
        <v>9.0</v>
      </c>
      <c r="X910" s="278">
        <v>9.0</v>
      </c>
      <c r="Y910" s="278">
        <v>10.0</v>
      </c>
      <c r="Z910" s="278">
        <v>10.0</v>
      </c>
      <c r="AA910" s="5"/>
      <c r="AB910" s="47"/>
    </row>
    <row r="911" hidden="1">
      <c r="A911" s="222" t="str">
        <f t="array" ref="A911:A912">{"FormulaRow45";(INDEX(CLASSLIST,A822,1))}</f>
        <v>FormulaRow45</v>
      </c>
      <c r="B911" s="222" t="str">
        <f t="array" ref="B911:B912">{"CLASSTYPE";((INDEX(ALLCLASSDATA,MATCH("ClassType",CLASSFEATUREHEADERS,0),MATCH($A912,CLASSNAMEHEADERS,0))))}</f>
        <v>CLASSTYPE</v>
      </c>
      <c r="C911" s="222" t="str">
        <f t="array" ref="C911:C912">{"SPELL/ALCHEMY";((IF(INDEX(ALLCLASSDATA,MATCH("CasterType",CLASSFEATUREHEADERS,0),MATCH(($A912),CLASSNAMEHEADERS,0))="","",(IF(INDEX(ALLCLASSDATA,MATCH("CasterType",CLASSFEATUREHEADERS,0),MATCH(($A912),CLASSNAMEHEADERS,0))="Alchemy","Alchemy","Spells")))))}</f>
        <v>SPELL/ALCHEMY</v>
      </c>
      <c r="D911" s="222" t="str">
        <f t="array" ref="D911:D912">{"SPELLLIST";(IF(C912="Spells",((INDEX(ALLCLASSDATA,MATCH("CasterType",CLASSFEATUREHEADERS,0),MATCH(($A912),CLASSNAMEHEADERS,0))) &amp; ":" &amp; (INDEX(ALLCLASSDATA,MATCH("SpellList",CLASSFEATUREHEADERS,0),MATCH(($A912),CLASSNAMEHEADERS,0)))),""))}</f>
        <v>SPELLLIST</v>
      </c>
      <c r="E911" s="223" t="str">
        <f t="array" ref="E911:E912">{"TOTALLEARNED";(IF(C912="","","TotalLearned:"))}</f>
        <v>TOTALLEARNED</v>
      </c>
      <c r="F911" s="223" t="str">
        <f t="array" ref="F911:F912">{"TOTALCANTRIPSLEARNED";(F908)}</f>
        <v>TOTALCANTRIPSLEARNED</v>
      </c>
      <c r="G911" s="223" t="str">
        <f t="array" ref="G911:G912">{"TOTALLEARNED L01";(G908)}</f>
        <v>TOTALLEARNED L01</v>
      </c>
      <c r="H911" s="223" t="str">
        <f t="array" ref="H911:H912">{"TOTALLEARNED L02";(G912+H908)}</f>
        <v>TOTALLEARNED L02</v>
      </c>
      <c r="I911" s="223" t="str">
        <f t="array" ref="I911:I912">{"TOTALLEARNED L03";(H912+I908)}</f>
        <v>TOTALLEARNED L03</v>
      </c>
      <c r="J911" s="223" t="str">
        <f t="array" ref="J911:J912">{"TOTALLEARNED L04";(I912+J908)}</f>
        <v>TOTALLEARNED L04</v>
      </c>
      <c r="K911" s="223" t="str">
        <f t="array" ref="K911:K912">{"TOTALLEARNED L05";(J912+K908)}</f>
        <v>TOTALLEARNED L05</v>
      </c>
      <c r="L911" s="223" t="str">
        <f t="array" ref="L911:L912">{"TOTALLEARNED L06";(K912+L908)}</f>
        <v>TOTALLEARNED L06</v>
      </c>
      <c r="M911" s="223" t="str">
        <f t="array" ref="M911:M912">{"TOTALLEARNED L07";(L912+M908)}</f>
        <v>TOTALLEARNED L07</v>
      </c>
      <c r="N911" s="223" t="str">
        <f t="array" ref="N911:N912">{"TOTALLEARNED L08";(M912+N908)}</f>
        <v>TOTALLEARNED L08</v>
      </c>
      <c r="O911" s="223" t="str">
        <f t="array" ref="O911:O912">{"TOTALLEARNED L09";(N912+O908)}</f>
        <v>TOTALLEARNED L09</v>
      </c>
      <c r="P911" s="223" t="str">
        <f t="array" ref="P911:P912">{"TOTALLEARNED L10";(O912+P908)}</f>
        <v>TOTALLEARNED L10</v>
      </c>
      <c r="Q911" s="223" t="str">
        <f t="array" ref="Q911:Q912">{"TOTALLEARNED L11";(P912+Q908)}</f>
        <v>TOTALLEARNED L11</v>
      </c>
      <c r="R911" s="223" t="str">
        <f t="array" ref="R911:R912">{"TOTALLEARNED L12";(Q912+R908)}</f>
        <v>TOTALLEARNED L12</v>
      </c>
      <c r="S911" s="223" t="str">
        <f t="array" ref="S911:S912">{"TOTALLEARNED L13";(R912+S908)}</f>
        <v>TOTALLEARNED L13</v>
      </c>
      <c r="T911" s="223" t="str">
        <f t="array" ref="T911:T912">{"TOTALLEARNED L14";(S912+T908)}</f>
        <v>TOTALLEARNED L14</v>
      </c>
      <c r="U911" s="223" t="str">
        <f t="array" ref="U911:U912">{"TOTALLEARNED L15";(T912+U908)}</f>
        <v>TOTALLEARNED L15</v>
      </c>
      <c r="V911" s="223" t="str">
        <f t="array" ref="V911:V912">{"TOTALLEARNED L16";(U912+V908)}</f>
        <v>TOTALLEARNED L16</v>
      </c>
      <c r="W911" s="223" t="str">
        <f t="array" ref="W911:W912">{"TOTALLEARNED L17";(V912+W908)}</f>
        <v>TOTALLEARNED L17</v>
      </c>
      <c r="X911" s="223" t="str">
        <f t="array" ref="X911:X912">{"TOTALLEARNED L18";(W912+X908)}</f>
        <v>TOTALLEARNED L18</v>
      </c>
      <c r="Y911" s="223" t="str">
        <f t="array" ref="Y911:Y912">{"TOTALLEARNED L19";(X912+Y908)}</f>
        <v>TOTALLEARNED L19</v>
      </c>
      <c r="Z911" s="223" t="str">
        <f t="array" ref="Z911:Z912">{"TOTALLEARNED L20";(Y912+Z908)}</f>
        <v>TOTALLEARNED L20</v>
      </c>
      <c r="AA911" s="76"/>
      <c r="AB911" s="76"/>
    </row>
    <row r="912">
      <c r="A912" s="97" t="s">
        <v>227</v>
      </c>
      <c r="B912" s="97" t="s">
        <v>418</v>
      </c>
      <c r="C912" s="97" t="s">
        <v>1901</v>
      </c>
      <c r="D912" s="97" t="s">
        <v>1931</v>
      </c>
      <c r="E912" s="281" t="s">
        <v>1911</v>
      </c>
      <c r="F912" s="282" t="s">
        <v>1530</v>
      </c>
      <c r="G912" s="278" t="s">
        <v>1538</v>
      </c>
      <c r="H912" s="278">
        <v>2.0</v>
      </c>
      <c r="I912" s="278">
        <v>4.0</v>
      </c>
      <c r="J912" s="278">
        <v>4.0</v>
      </c>
      <c r="K912" s="278">
        <v>6.0</v>
      </c>
      <c r="L912" s="278">
        <v>6.0</v>
      </c>
      <c r="M912" s="278">
        <v>8.0</v>
      </c>
      <c r="N912" s="278">
        <v>8.0</v>
      </c>
      <c r="O912" s="278">
        <v>10.0</v>
      </c>
      <c r="P912" s="278">
        <v>10.0</v>
      </c>
      <c r="Q912" s="278">
        <v>12.0</v>
      </c>
      <c r="R912" s="278">
        <v>12.0</v>
      </c>
      <c r="S912" s="278">
        <v>14.0</v>
      </c>
      <c r="T912" s="278">
        <v>14.0</v>
      </c>
      <c r="U912" s="278">
        <v>16.0</v>
      </c>
      <c r="V912" s="278">
        <v>16.0</v>
      </c>
      <c r="W912" s="278">
        <v>18.0</v>
      </c>
      <c r="X912" s="278">
        <v>18.0</v>
      </c>
      <c r="Y912" s="278">
        <v>20.0</v>
      </c>
      <c r="Z912" s="278">
        <v>20.0</v>
      </c>
      <c r="AA912" s="5"/>
      <c r="AB912" s="47"/>
    </row>
    <row r="913">
      <c r="A913" s="48"/>
      <c r="B913" s="48"/>
      <c r="C913" s="48"/>
      <c r="D913" s="48"/>
      <c r="E913" s="278"/>
      <c r="F913" s="47"/>
      <c r="G913" s="278"/>
      <c r="H913" s="278"/>
      <c r="I913" s="278"/>
      <c r="J913" s="278"/>
      <c r="K913" s="278"/>
      <c r="L913" s="278"/>
      <c r="M913" s="278"/>
      <c r="N913" s="278"/>
      <c r="O913" s="278"/>
      <c r="P913" s="278"/>
      <c r="Q913" s="278"/>
      <c r="R913" s="278"/>
      <c r="S913" s="278"/>
      <c r="T913" s="278"/>
      <c r="U913" s="278"/>
      <c r="V913" s="278"/>
      <c r="W913" s="278"/>
      <c r="X913" s="278"/>
      <c r="Y913" s="278"/>
      <c r="Z913" s="278"/>
      <c r="AA913" s="5"/>
      <c r="AB913" s="47"/>
    </row>
    <row r="914">
      <c r="A914" s="48"/>
      <c r="B914" s="48"/>
      <c r="C914" s="48"/>
      <c r="D914" s="48"/>
      <c r="E914" s="278"/>
      <c r="F914" s="47"/>
      <c r="G914" s="278"/>
      <c r="H914" s="278"/>
      <c r="I914" s="278"/>
      <c r="J914" s="278"/>
      <c r="K914" s="278"/>
      <c r="L914" s="278"/>
      <c r="M914" s="278"/>
      <c r="N914" s="278"/>
      <c r="O914" s="278"/>
      <c r="P914" s="278"/>
      <c r="Q914" s="278"/>
      <c r="R914" s="278"/>
      <c r="S914" s="278"/>
      <c r="T914" s="278"/>
      <c r="U914" s="278"/>
      <c r="V914" s="278"/>
      <c r="W914" s="278"/>
      <c r="X914" s="278"/>
      <c r="Y914" s="278"/>
      <c r="Z914" s="278"/>
      <c r="AA914" s="5"/>
      <c r="AB914" s="47"/>
    </row>
  </sheetData>
  <autoFilter ref="$A$2:$Z$912">
    <filterColumn colId="0">
      <filters>
        <filter val="Summoner"/>
        <filter val="Druid"/>
        <filter val="13"/>
        <filter val="15"/>
        <filter val="16"/>
        <filter val="17"/>
        <filter val="18"/>
        <filter val="19"/>
        <filter val="Cleric Cloistered"/>
        <filter val="20"/>
        <filter val="21"/>
        <filter val="22"/>
        <filter val="23"/>
        <filter val="Sorcerer"/>
        <filter val="Bard"/>
        <filter val="Witch"/>
        <filter val="Oracle"/>
        <filter val="Psychic"/>
        <filter val="Cleric Warpriest"/>
        <filter val="Wizard"/>
      </filters>
    </filterColumn>
  </autoFilter>
  <mergeCells count="10">
    <mergeCell ref="B640:Z640"/>
    <mergeCell ref="B731:Z731"/>
    <mergeCell ref="B822:Z822"/>
    <mergeCell ref="B3:Z3"/>
    <mergeCell ref="B94:Z94"/>
    <mergeCell ref="B185:Z185"/>
    <mergeCell ref="B276:Z276"/>
    <mergeCell ref="B367:Z367"/>
    <mergeCell ref="B458:Z458"/>
    <mergeCell ref="B549:Z549"/>
  </mergeCells>
  <conditionalFormatting sqref="C5 C96 C187 C278 C369 C460 C551 C642 C733 C824">
    <cfRule type="cellIs" dxfId="4" priority="1" operator="notEqual">
      <formula>"Total: 2100"</formula>
    </cfRule>
  </conditionalFormatting>
  <conditionalFormatting sqref="D5 D96 D187 D278 D369 D460 D551 D642 D733 D824">
    <cfRule type="cellIs" dxfId="4" priority="2" operator="notEqual">
      <formula>"(balanced)"</formula>
    </cfRule>
  </conditionalFormatting>
  <conditionalFormatting sqref="AB5 AB96 AB187 AB278 AB369 AB460 AB551 AB642 AB733 AB824">
    <cfRule type="cellIs" dxfId="4" priority="3" operator="notEqual">
      <formula>2100</formula>
    </cfRule>
  </conditionalFormatting>
  <conditionalFormatting sqref="A2:AB914">
    <cfRule type="expression" dxfId="4" priority="4">
      <formula>ISERROR(A1)</formula>
    </cfRule>
  </conditionalFormatting>
  <conditionalFormatting sqref="F42:Z79 F133:Z170 F224:Z261 F315:Z352 F406:Z443 F497:Z534 F588:Z625 F679:Z716 F770:Z807 F861:Z898">
    <cfRule type="colorScale" priority="5">
      <colorScale>
        <cfvo type="min"/>
        <cfvo type="formula" val="50"/>
        <cfvo type="max"/>
        <color rgb="FFEFEFEF"/>
        <color rgb="FFFCE5CD"/>
        <color rgb="FFB4A7D6"/>
      </colorScale>
    </cfRule>
  </conditionalFormatting>
  <conditionalFormatting sqref="E80:AB93 E171:AB184 E262:AB275 E353:AB366 E444:AB457 E535:AB548 E626:AB639 E717:AB730 E808:AB821 E899:AB914">
    <cfRule type="cellIs" dxfId="5" priority="6" operator="equal">
      <formula>0</formula>
    </cfRule>
  </conditionalFormatting>
  <hyperlinks>
    <hyperlink r:id="rId1" ref="R284"/>
    <hyperlink r:id="rId2" ref="R375"/>
    <hyperlink r:id="rId3" ref="Q830"/>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3.0"/>
    <col customWidth="1" min="2" max="2" width="21.38"/>
    <col customWidth="1" min="3" max="3" width="18.88"/>
    <col customWidth="1" min="4" max="23" width="3.63"/>
  </cols>
  <sheetData>
    <row r="2">
      <c r="A2" s="96" t="s">
        <v>424</v>
      </c>
    </row>
    <row r="3">
      <c r="A3" s="12" t="s">
        <v>425</v>
      </c>
      <c r="B3" s="12" t="s">
        <v>426</v>
      </c>
      <c r="C3" s="12" t="s">
        <v>427</v>
      </c>
      <c r="D3" s="12">
        <v>1.0</v>
      </c>
      <c r="E3" s="12">
        <v>2.0</v>
      </c>
      <c r="F3" s="12">
        <v>3.0</v>
      </c>
      <c r="G3" s="12">
        <v>4.0</v>
      </c>
      <c r="H3" s="12">
        <v>5.0</v>
      </c>
      <c r="I3" s="12">
        <v>6.0</v>
      </c>
      <c r="J3" s="12">
        <v>7.0</v>
      </c>
      <c r="K3" s="12">
        <v>8.0</v>
      </c>
      <c r="L3" s="12">
        <v>9.0</v>
      </c>
      <c r="M3" s="12">
        <v>10.0</v>
      </c>
      <c r="N3" s="12">
        <v>11.0</v>
      </c>
      <c r="O3" s="12">
        <v>12.0</v>
      </c>
      <c r="P3" s="12">
        <v>13.0</v>
      </c>
      <c r="Q3" s="12">
        <v>14.0</v>
      </c>
      <c r="R3" s="12">
        <v>15.0</v>
      </c>
      <c r="S3" s="12">
        <v>16.0</v>
      </c>
      <c r="T3" s="12">
        <v>17.0</v>
      </c>
      <c r="U3" s="12">
        <v>18.0</v>
      </c>
      <c r="V3" s="12">
        <v>19.0</v>
      </c>
      <c r="W3" s="12">
        <v>20.0</v>
      </c>
    </row>
    <row r="4">
      <c r="A4" s="12" t="s">
        <v>428</v>
      </c>
      <c r="B4" s="12" t="s">
        <v>429</v>
      </c>
      <c r="J4" s="12" t="s">
        <v>430</v>
      </c>
      <c r="R4" s="12" t="s">
        <v>431</v>
      </c>
    </row>
    <row r="5">
      <c r="A5" s="12" t="s">
        <v>428</v>
      </c>
      <c r="B5" s="12" t="s">
        <v>432</v>
      </c>
      <c r="J5" s="12">
        <v>70.0</v>
      </c>
      <c r="R5" s="12">
        <v>150.0</v>
      </c>
    </row>
    <row r="6">
      <c r="A6" s="12" t="s">
        <v>433</v>
      </c>
      <c r="B6" s="12" t="s">
        <v>429</v>
      </c>
      <c r="C6" s="12" t="s">
        <v>434</v>
      </c>
      <c r="D6" s="12" t="s">
        <v>435</v>
      </c>
      <c r="H6" s="12" t="s">
        <v>436</v>
      </c>
      <c r="P6" s="12" t="s">
        <v>437</v>
      </c>
    </row>
    <row r="7">
      <c r="A7" s="12" t="s">
        <v>433</v>
      </c>
      <c r="B7" s="12" t="s">
        <v>432</v>
      </c>
      <c r="D7" s="12">
        <v>10.0</v>
      </c>
      <c r="H7" s="12">
        <v>50.0</v>
      </c>
      <c r="P7" s="12">
        <v>110.0</v>
      </c>
    </row>
    <row r="8">
      <c r="A8" s="12" t="s">
        <v>438</v>
      </c>
      <c r="B8" s="12" t="s">
        <v>429</v>
      </c>
      <c r="C8" s="12" t="s">
        <v>434</v>
      </c>
      <c r="D8" s="12" t="s">
        <v>435</v>
      </c>
      <c r="N8" s="12" t="s">
        <v>436</v>
      </c>
      <c r="V8" s="12" t="s">
        <v>437</v>
      </c>
    </row>
    <row r="9">
      <c r="A9" s="12" t="s">
        <v>438</v>
      </c>
      <c r="B9" s="12" t="s">
        <v>432</v>
      </c>
      <c r="D9" s="12">
        <v>10.0</v>
      </c>
      <c r="N9" s="12">
        <v>50.0</v>
      </c>
      <c r="V9" s="12">
        <v>110.0</v>
      </c>
    </row>
    <row r="13">
      <c r="A13" s="12" t="s">
        <v>439</v>
      </c>
    </row>
    <row r="14">
      <c r="A14" s="12" t="s">
        <v>440</v>
      </c>
      <c r="B14" s="12" t="s">
        <v>441</v>
      </c>
    </row>
    <row r="15">
      <c r="A15" s="12" t="s">
        <v>442</v>
      </c>
      <c r="B15" s="12" t="s">
        <v>443</v>
      </c>
    </row>
    <row r="16">
      <c r="A16" s="12" t="s">
        <v>444</v>
      </c>
    </row>
    <row r="17">
      <c r="A17" s="12" t="s">
        <v>445</v>
      </c>
    </row>
    <row r="18">
      <c r="A18" s="12" t="s">
        <v>446</v>
      </c>
    </row>
    <row r="22">
      <c r="A22" s="12" t="s">
        <v>447</v>
      </c>
    </row>
    <row r="23">
      <c r="A23" s="22" t="s">
        <v>448</v>
      </c>
    </row>
    <row r="24">
      <c r="A24" s="12" t="s">
        <v>449</v>
      </c>
    </row>
    <row r="25">
      <c r="A25" s="12" t="s">
        <v>450</v>
      </c>
    </row>
  </sheetData>
  <mergeCells count="3">
    <mergeCell ref="A23:W23"/>
    <mergeCell ref="A24:W24"/>
    <mergeCell ref="A25:W2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4.25"/>
    <col customWidth="1" min="2" max="2" width="9.88"/>
    <col customWidth="1" min="3" max="14" width="4.38"/>
    <col customWidth="1" min="15" max="15" width="53.25"/>
  </cols>
  <sheetData>
    <row r="1">
      <c r="A1" s="101" t="s">
        <v>454</v>
      </c>
    </row>
    <row r="2">
      <c r="A2" s="102" t="s">
        <v>455</v>
      </c>
    </row>
    <row r="3">
      <c r="A3" s="103" t="s">
        <v>456</v>
      </c>
    </row>
    <row r="4">
      <c r="A4" s="101" t="s">
        <v>457</v>
      </c>
    </row>
    <row r="5">
      <c r="A5" s="101" t="s">
        <v>458</v>
      </c>
    </row>
    <row r="6">
      <c r="A6" s="101" t="s">
        <v>459</v>
      </c>
    </row>
    <row r="7">
      <c r="A7" s="101"/>
    </row>
    <row r="8">
      <c r="A8" s="101"/>
    </row>
    <row r="9">
      <c r="A9" s="101"/>
    </row>
    <row r="10">
      <c r="A10" s="101"/>
    </row>
    <row r="11">
      <c r="A11" s="101" t="s">
        <v>460</v>
      </c>
    </row>
    <row r="12">
      <c r="A12" s="104"/>
      <c r="B12" s="105" t="s">
        <v>425</v>
      </c>
      <c r="C12" s="106" t="s">
        <v>461</v>
      </c>
      <c r="D12" s="107"/>
      <c r="E12" s="107"/>
      <c r="F12" s="108"/>
      <c r="G12" s="106" t="s">
        <v>462</v>
      </c>
      <c r="H12" s="107"/>
      <c r="I12" s="107"/>
      <c r="J12" s="108"/>
      <c r="K12" s="106" t="s">
        <v>464</v>
      </c>
      <c r="L12" s="107"/>
      <c r="M12" s="107"/>
      <c r="N12" s="108"/>
      <c r="O12" s="109" t="s">
        <v>465</v>
      </c>
    </row>
    <row r="13">
      <c r="A13" s="110"/>
      <c r="B13" s="110"/>
      <c r="C13" s="111" t="s">
        <v>435</v>
      </c>
      <c r="D13" s="111" t="s">
        <v>436</v>
      </c>
      <c r="E13" s="111" t="s">
        <v>437</v>
      </c>
      <c r="F13" s="111" t="s">
        <v>466</v>
      </c>
      <c r="G13" s="111" t="s">
        <v>435</v>
      </c>
      <c r="H13" s="111" t="s">
        <v>436</v>
      </c>
      <c r="I13" s="111" t="s">
        <v>437</v>
      </c>
      <c r="J13" s="111" t="s">
        <v>466</v>
      </c>
      <c r="K13" s="111" t="s">
        <v>435</v>
      </c>
      <c r="L13" s="111" t="s">
        <v>436</v>
      </c>
      <c r="M13" s="111" t="s">
        <v>437</v>
      </c>
      <c r="N13" s="111" t="s">
        <v>466</v>
      </c>
      <c r="O13" s="112"/>
    </row>
    <row r="14">
      <c r="A14" s="113" t="s">
        <v>6</v>
      </c>
      <c r="B14" s="111" t="s">
        <v>470</v>
      </c>
      <c r="C14" s="111" t="s">
        <v>36</v>
      </c>
      <c r="D14" s="111" t="s">
        <v>38</v>
      </c>
      <c r="E14" s="111" t="s">
        <v>48</v>
      </c>
      <c r="F14" s="111" t="s">
        <v>471</v>
      </c>
      <c r="G14" s="111"/>
      <c r="H14" s="111" t="s">
        <v>27</v>
      </c>
      <c r="I14" s="111" t="s">
        <v>81</v>
      </c>
      <c r="J14" s="111" t="s">
        <v>471</v>
      </c>
      <c r="K14" s="111" t="s">
        <v>36</v>
      </c>
      <c r="L14" s="111" t="s">
        <v>38</v>
      </c>
      <c r="M14" s="111" t="s">
        <v>48</v>
      </c>
      <c r="N14" s="111" t="s">
        <v>471</v>
      </c>
      <c r="O14" s="111" t="s">
        <v>472</v>
      </c>
    </row>
    <row r="15">
      <c r="A15" s="115" t="s">
        <v>8</v>
      </c>
      <c r="B15" s="111" t="s">
        <v>470</v>
      </c>
      <c r="C15" s="111" t="s">
        <v>36</v>
      </c>
      <c r="D15" s="111" t="s">
        <v>38</v>
      </c>
      <c r="E15" s="111" t="s">
        <v>48</v>
      </c>
      <c r="F15" s="111" t="s">
        <v>471</v>
      </c>
      <c r="G15" s="111"/>
      <c r="H15" s="111" t="s">
        <v>27</v>
      </c>
      <c r="I15" s="111" t="s">
        <v>81</v>
      </c>
      <c r="J15" s="111" t="s">
        <v>471</v>
      </c>
      <c r="K15" s="111" t="s">
        <v>36</v>
      </c>
      <c r="L15" s="111" t="s">
        <v>38</v>
      </c>
      <c r="M15" s="111" t="s">
        <v>48</v>
      </c>
      <c r="N15" s="111" t="s">
        <v>471</v>
      </c>
      <c r="O15" s="111" t="s">
        <v>472</v>
      </c>
    </row>
    <row r="16">
      <c r="A16" s="115" t="s">
        <v>9</v>
      </c>
      <c r="B16" s="111" t="s">
        <v>470</v>
      </c>
      <c r="C16" s="111" t="s">
        <v>36</v>
      </c>
      <c r="D16" s="111" t="s">
        <v>38</v>
      </c>
      <c r="E16" s="111" t="s">
        <v>48</v>
      </c>
      <c r="F16" s="111" t="s">
        <v>471</v>
      </c>
      <c r="G16" s="111"/>
      <c r="H16" s="111"/>
      <c r="I16" s="111" t="s">
        <v>81</v>
      </c>
      <c r="J16" s="111" t="s">
        <v>471</v>
      </c>
      <c r="K16" s="111" t="s">
        <v>36</v>
      </c>
      <c r="L16" s="111" t="s">
        <v>38</v>
      </c>
      <c r="M16" s="111" t="s">
        <v>48</v>
      </c>
      <c r="N16" s="111" t="s">
        <v>471</v>
      </c>
      <c r="O16" s="111" t="s">
        <v>479</v>
      </c>
    </row>
    <row r="17">
      <c r="A17" s="115" t="s">
        <v>11</v>
      </c>
      <c r="B17" s="111" t="s">
        <v>480</v>
      </c>
      <c r="C17" s="111" t="s">
        <v>36</v>
      </c>
      <c r="D17" s="111" t="s">
        <v>38</v>
      </c>
      <c r="E17" s="111" t="s">
        <v>48</v>
      </c>
      <c r="F17" s="111" t="s">
        <v>471</v>
      </c>
      <c r="G17" s="111"/>
      <c r="H17" s="111" t="s">
        <v>27</v>
      </c>
      <c r="I17" s="111" t="s">
        <v>81</v>
      </c>
      <c r="J17" s="111" t="s">
        <v>471</v>
      </c>
      <c r="K17" s="111" t="s">
        <v>36</v>
      </c>
      <c r="L17" s="111" t="s">
        <v>38</v>
      </c>
      <c r="M17" s="111" t="s">
        <v>48</v>
      </c>
      <c r="N17" s="111" t="s">
        <v>471</v>
      </c>
      <c r="O17" s="111" t="s">
        <v>481</v>
      </c>
    </row>
    <row r="18">
      <c r="A18" s="115" t="s">
        <v>12</v>
      </c>
      <c r="B18" s="111" t="s">
        <v>480</v>
      </c>
      <c r="C18" s="111" t="s">
        <v>36</v>
      </c>
      <c r="D18" s="111" t="s">
        <v>40</v>
      </c>
      <c r="E18" s="111" t="s">
        <v>50</v>
      </c>
      <c r="F18" s="111" t="s">
        <v>81</v>
      </c>
      <c r="G18" s="111"/>
      <c r="H18" s="117"/>
      <c r="I18" s="117"/>
      <c r="J18" s="117"/>
      <c r="K18" s="111" t="s">
        <v>36</v>
      </c>
      <c r="L18" s="111" t="s">
        <v>40</v>
      </c>
      <c r="M18" s="111" t="s">
        <v>50</v>
      </c>
      <c r="N18" s="111" t="s">
        <v>81</v>
      </c>
      <c r="O18" s="111" t="s">
        <v>482</v>
      </c>
    </row>
    <row r="19">
      <c r="A19" s="115" t="s">
        <v>14</v>
      </c>
      <c r="B19" s="111" t="s">
        <v>480</v>
      </c>
      <c r="C19" s="111" t="s">
        <v>36</v>
      </c>
      <c r="D19" s="111" t="s">
        <v>40</v>
      </c>
      <c r="E19" s="111" t="s">
        <v>50</v>
      </c>
      <c r="F19" s="111" t="s">
        <v>81</v>
      </c>
      <c r="G19" s="111"/>
      <c r="H19" s="117"/>
      <c r="I19" s="117"/>
      <c r="J19" s="117"/>
      <c r="K19" s="111" t="s">
        <v>36</v>
      </c>
      <c r="L19" s="111" t="s">
        <v>40</v>
      </c>
      <c r="M19" s="111" t="s">
        <v>50</v>
      </c>
      <c r="N19" s="111" t="s">
        <v>81</v>
      </c>
      <c r="O19" s="111" t="s">
        <v>482</v>
      </c>
    </row>
    <row r="20">
      <c r="A20" s="119"/>
    </row>
    <row r="21">
      <c r="A21" s="119" t="s">
        <v>486</v>
      </c>
    </row>
    <row r="22">
      <c r="A22" s="119" t="s">
        <v>489</v>
      </c>
    </row>
    <row r="23">
      <c r="A23" s="119" t="s">
        <v>490</v>
      </c>
    </row>
    <row r="24">
      <c r="A24" s="120" t="s">
        <v>492</v>
      </c>
    </row>
    <row r="25">
      <c r="A25" s="120" t="s">
        <v>493</v>
      </c>
    </row>
    <row r="26">
      <c r="A26" s="120"/>
    </row>
    <row r="27">
      <c r="A27" s="119"/>
    </row>
    <row r="28">
      <c r="A28" s="119"/>
    </row>
    <row r="29">
      <c r="A29" s="119" t="s">
        <v>494</v>
      </c>
    </row>
    <row r="30">
      <c r="A30" s="104"/>
      <c r="B30" s="105" t="s">
        <v>425</v>
      </c>
      <c r="C30" s="106" t="s">
        <v>461</v>
      </c>
      <c r="D30" s="107"/>
      <c r="E30" s="107"/>
      <c r="F30" s="108"/>
      <c r="G30" s="106" t="s">
        <v>462</v>
      </c>
      <c r="H30" s="107"/>
      <c r="I30" s="107"/>
      <c r="J30" s="108"/>
      <c r="K30" s="106" t="s">
        <v>464</v>
      </c>
      <c r="L30" s="107"/>
      <c r="M30" s="107"/>
      <c r="N30" s="108"/>
      <c r="O30" s="109" t="s">
        <v>465</v>
      </c>
    </row>
    <row r="31">
      <c r="A31" s="110"/>
      <c r="B31" s="110"/>
      <c r="C31" s="111" t="s">
        <v>435</v>
      </c>
      <c r="D31" s="111" t="s">
        <v>436</v>
      </c>
      <c r="E31" s="111" t="s">
        <v>437</v>
      </c>
      <c r="F31" s="111" t="s">
        <v>466</v>
      </c>
      <c r="G31" s="111" t="s">
        <v>435</v>
      </c>
      <c r="H31" s="111" t="s">
        <v>436</v>
      </c>
      <c r="I31" s="111" t="s">
        <v>437</v>
      </c>
      <c r="J31" s="111" t="s">
        <v>466</v>
      </c>
      <c r="K31" s="111" t="s">
        <v>435</v>
      </c>
      <c r="L31" s="111" t="s">
        <v>436</v>
      </c>
      <c r="M31" s="111" t="s">
        <v>437</v>
      </c>
      <c r="N31" s="111" t="s">
        <v>466</v>
      </c>
      <c r="O31" s="112"/>
    </row>
    <row r="32">
      <c r="A32" s="113" t="s">
        <v>6</v>
      </c>
      <c r="B32" s="117"/>
      <c r="C32" s="111" t="s">
        <v>36</v>
      </c>
      <c r="D32" s="111" t="s">
        <v>36</v>
      </c>
      <c r="E32" s="111" t="s">
        <v>40</v>
      </c>
      <c r="F32" s="111" t="s">
        <v>471</v>
      </c>
      <c r="G32" s="117"/>
      <c r="H32" s="111" t="s">
        <v>27</v>
      </c>
      <c r="I32" s="111" t="s">
        <v>48</v>
      </c>
      <c r="J32" s="111" t="s">
        <v>471</v>
      </c>
      <c r="K32" s="111" t="s">
        <v>36</v>
      </c>
      <c r="L32" s="111" t="s">
        <v>27</v>
      </c>
      <c r="M32" s="117"/>
      <c r="N32" s="111" t="s">
        <v>471</v>
      </c>
      <c r="O32" s="111"/>
    </row>
    <row r="33">
      <c r="A33" s="115" t="s">
        <v>8</v>
      </c>
      <c r="B33" s="117"/>
      <c r="C33" s="111" t="s">
        <v>471</v>
      </c>
      <c r="D33" s="111" t="s">
        <v>36</v>
      </c>
      <c r="E33" s="111" t="s">
        <v>40</v>
      </c>
      <c r="F33" s="111" t="s">
        <v>37</v>
      </c>
      <c r="G33" s="117"/>
      <c r="H33" s="117"/>
      <c r="I33" s="117"/>
      <c r="J33" s="111" t="s">
        <v>50</v>
      </c>
      <c r="K33" s="111" t="s">
        <v>471</v>
      </c>
      <c r="L33" s="111" t="s">
        <v>36</v>
      </c>
      <c r="M33" s="111" t="s">
        <v>40</v>
      </c>
      <c r="N33" s="111" t="s">
        <v>37</v>
      </c>
      <c r="O33" s="111" t="s">
        <v>502</v>
      </c>
    </row>
    <row r="34">
      <c r="A34" s="115" t="s">
        <v>9</v>
      </c>
      <c r="B34" s="117"/>
      <c r="C34" s="111" t="s">
        <v>36</v>
      </c>
      <c r="D34" s="111" t="s">
        <v>36</v>
      </c>
      <c r="E34" s="111" t="s">
        <v>40</v>
      </c>
      <c r="F34" s="111" t="s">
        <v>81</v>
      </c>
      <c r="G34" s="117"/>
      <c r="H34" s="111" t="s">
        <v>37</v>
      </c>
      <c r="I34" s="111" t="s">
        <v>27</v>
      </c>
      <c r="J34" s="117"/>
      <c r="K34" s="111" t="s">
        <v>36</v>
      </c>
      <c r="L34" s="111" t="s">
        <v>37</v>
      </c>
      <c r="M34" s="117"/>
      <c r="N34" s="117"/>
      <c r="O34" s="111" t="s">
        <v>503</v>
      </c>
    </row>
    <row r="35">
      <c r="A35" s="115" t="s">
        <v>11</v>
      </c>
      <c r="B35" s="117"/>
      <c r="C35" s="111" t="s">
        <v>36</v>
      </c>
      <c r="D35" s="111" t="s">
        <v>62</v>
      </c>
      <c r="E35" s="111" t="s">
        <v>471</v>
      </c>
      <c r="F35" s="111" t="s">
        <v>471</v>
      </c>
      <c r="G35" s="117"/>
      <c r="H35" s="111" t="s">
        <v>38</v>
      </c>
      <c r="I35" s="111" t="s">
        <v>471</v>
      </c>
      <c r="J35" s="111" t="s">
        <v>471</v>
      </c>
      <c r="K35" s="111" t="s">
        <v>36</v>
      </c>
      <c r="L35" s="111" t="s">
        <v>38</v>
      </c>
      <c r="M35" s="111" t="s">
        <v>471</v>
      </c>
      <c r="N35" s="111" t="s">
        <v>471</v>
      </c>
      <c r="O35" s="111" t="s">
        <v>504</v>
      </c>
    </row>
    <row r="36">
      <c r="A36" s="115" t="s">
        <v>12</v>
      </c>
      <c r="B36" s="117"/>
      <c r="C36" s="111" t="s">
        <v>36</v>
      </c>
      <c r="D36" s="111" t="s">
        <v>36</v>
      </c>
      <c r="E36" s="111" t="s">
        <v>27</v>
      </c>
      <c r="F36" s="111" t="s">
        <v>471</v>
      </c>
      <c r="G36" s="117"/>
      <c r="H36" s="111" t="s">
        <v>27</v>
      </c>
      <c r="I36" s="117"/>
      <c r="J36" s="111" t="s">
        <v>471</v>
      </c>
      <c r="K36" s="111" t="s">
        <v>36</v>
      </c>
      <c r="L36" s="111" t="s">
        <v>27</v>
      </c>
      <c r="M36" s="117"/>
      <c r="N36" s="111" t="s">
        <v>471</v>
      </c>
      <c r="O36" s="111"/>
    </row>
    <row r="37">
      <c r="A37" s="115" t="s">
        <v>14</v>
      </c>
      <c r="B37" s="117"/>
      <c r="C37" s="111" t="s">
        <v>36</v>
      </c>
      <c r="D37" s="111" t="s">
        <v>27</v>
      </c>
      <c r="E37" s="111" t="s">
        <v>471</v>
      </c>
      <c r="F37" s="111" t="s">
        <v>471</v>
      </c>
      <c r="G37" s="117"/>
      <c r="H37" s="117"/>
      <c r="I37" s="111" t="s">
        <v>471</v>
      </c>
      <c r="J37" s="111" t="s">
        <v>471</v>
      </c>
      <c r="K37" s="111" t="s">
        <v>36</v>
      </c>
      <c r="L37" s="111" t="s">
        <v>27</v>
      </c>
      <c r="M37" s="111" t="s">
        <v>471</v>
      </c>
      <c r="N37" s="111" t="s">
        <v>471</v>
      </c>
      <c r="O37" s="111" t="s">
        <v>505</v>
      </c>
    </row>
    <row r="38">
      <c r="A38" s="119"/>
    </row>
    <row r="39">
      <c r="A39" s="119"/>
    </row>
    <row r="40">
      <c r="A40" s="119" t="s">
        <v>506</v>
      </c>
    </row>
    <row r="41">
      <c r="A41" s="104"/>
      <c r="B41" s="105" t="s">
        <v>425</v>
      </c>
      <c r="C41" s="106" t="s">
        <v>461</v>
      </c>
      <c r="D41" s="107"/>
      <c r="E41" s="107"/>
      <c r="F41" s="108"/>
      <c r="G41" s="106" t="s">
        <v>462</v>
      </c>
      <c r="H41" s="107"/>
      <c r="I41" s="107"/>
      <c r="J41" s="108"/>
      <c r="K41" s="106" t="s">
        <v>464</v>
      </c>
      <c r="L41" s="107"/>
      <c r="M41" s="107"/>
      <c r="N41" s="108"/>
      <c r="O41" s="109" t="s">
        <v>465</v>
      </c>
    </row>
    <row r="42">
      <c r="A42" s="110"/>
      <c r="B42" s="110"/>
      <c r="C42" s="111" t="s">
        <v>435</v>
      </c>
      <c r="D42" s="111" t="s">
        <v>436</v>
      </c>
      <c r="E42" s="111" t="s">
        <v>437</v>
      </c>
      <c r="F42" s="111" t="s">
        <v>466</v>
      </c>
      <c r="G42" s="111" t="s">
        <v>435</v>
      </c>
      <c r="H42" s="111" t="s">
        <v>436</v>
      </c>
      <c r="I42" s="111" t="s">
        <v>437</v>
      </c>
      <c r="J42" s="111" t="s">
        <v>466</v>
      </c>
      <c r="K42" s="111" t="s">
        <v>435</v>
      </c>
      <c r="L42" s="111" t="s">
        <v>436</v>
      </c>
      <c r="M42" s="111" t="s">
        <v>437</v>
      </c>
      <c r="N42" s="111" t="s">
        <v>466</v>
      </c>
      <c r="O42" s="112"/>
    </row>
    <row r="43">
      <c r="A43" s="115" t="s">
        <v>6</v>
      </c>
      <c r="B43" s="111" t="s">
        <v>507</v>
      </c>
      <c r="C43" s="111" t="s">
        <v>471</v>
      </c>
      <c r="D43" s="111" t="s">
        <v>36</v>
      </c>
      <c r="E43" s="111" t="s">
        <v>40</v>
      </c>
      <c r="F43" s="111" t="s">
        <v>37</v>
      </c>
      <c r="G43" s="111" t="s">
        <v>471</v>
      </c>
      <c r="H43" s="117"/>
      <c r="I43" s="111" t="s">
        <v>38</v>
      </c>
      <c r="J43" s="117"/>
      <c r="K43" s="111" t="s">
        <v>471</v>
      </c>
      <c r="L43" s="111" t="s">
        <v>36</v>
      </c>
      <c r="M43" s="111" t="s">
        <v>38</v>
      </c>
      <c r="N43" s="111" t="s">
        <v>471</v>
      </c>
      <c r="O43" s="111" t="s">
        <v>508</v>
      </c>
    </row>
    <row r="44">
      <c r="A44" s="115"/>
      <c r="B44" s="111" t="s">
        <v>509</v>
      </c>
      <c r="C44" s="111" t="s">
        <v>36</v>
      </c>
      <c r="D44" s="111" t="s">
        <v>36</v>
      </c>
      <c r="E44" s="111" t="s">
        <v>50</v>
      </c>
      <c r="F44" s="111" t="s">
        <v>471</v>
      </c>
      <c r="G44" s="117"/>
      <c r="H44" s="111" t="s">
        <v>38</v>
      </c>
      <c r="I44" s="117"/>
      <c r="J44" s="111" t="s">
        <v>471</v>
      </c>
      <c r="K44" s="111"/>
      <c r="L44" s="111" t="s">
        <v>36</v>
      </c>
      <c r="M44" s="111" t="s">
        <v>38</v>
      </c>
      <c r="N44" s="111" t="s">
        <v>471</v>
      </c>
      <c r="O44" s="111"/>
    </row>
    <row r="45">
      <c r="A45" s="115"/>
      <c r="B45" s="111" t="s">
        <v>510</v>
      </c>
      <c r="C45" s="111" t="s">
        <v>36</v>
      </c>
      <c r="D45" s="111" t="s">
        <v>36</v>
      </c>
      <c r="E45" s="111" t="s">
        <v>27</v>
      </c>
      <c r="F45" s="111" t="s">
        <v>471</v>
      </c>
      <c r="G45" s="117"/>
      <c r="H45" s="111" t="s">
        <v>62</v>
      </c>
      <c r="I45" s="111" t="s">
        <v>50</v>
      </c>
      <c r="J45" s="111" t="s">
        <v>471</v>
      </c>
      <c r="K45" s="111" t="s">
        <v>36</v>
      </c>
      <c r="L45" s="111" t="s">
        <v>62</v>
      </c>
      <c r="M45" s="117"/>
      <c r="N45" s="111" t="s">
        <v>471</v>
      </c>
      <c r="O45" s="111"/>
    </row>
    <row r="46">
      <c r="A46" s="115" t="s">
        <v>8</v>
      </c>
      <c r="B46" s="111" t="s">
        <v>507</v>
      </c>
      <c r="C46" s="111" t="s">
        <v>36</v>
      </c>
      <c r="D46" s="111" t="s">
        <v>36</v>
      </c>
      <c r="E46" s="111" t="s">
        <v>27</v>
      </c>
      <c r="F46" s="111" t="s">
        <v>471</v>
      </c>
      <c r="G46" s="117"/>
      <c r="H46" s="111" t="s">
        <v>38</v>
      </c>
      <c r="I46" s="117"/>
      <c r="J46" s="111" t="s">
        <v>471</v>
      </c>
      <c r="K46" s="111" t="s">
        <v>36</v>
      </c>
      <c r="L46" s="111" t="s">
        <v>38</v>
      </c>
      <c r="M46" s="111" t="s">
        <v>471</v>
      </c>
      <c r="N46" s="111" t="s">
        <v>471</v>
      </c>
      <c r="O46" s="111" t="s">
        <v>511</v>
      </c>
    </row>
    <row r="47">
      <c r="A47" s="115"/>
      <c r="B47" s="111" t="s">
        <v>509</v>
      </c>
      <c r="C47" s="111" t="s">
        <v>471</v>
      </c>
      <c r="D47" s="111" t="s">
        <v>36</v>
      </c>
      <c r="E47" s="111" t="s">
        <v>40</v>
      </c>
      <c r="F47" s="123" t="s">
        <v>37</v>
      </c>
      <c r="G47" s="117"/>
      <c r="H47" s="117"/>
      <c r="I47" s="111" t="s">
        <v>50</v>
      </c>
      <c r="J47" s="111" t="s">
        <v>50</v>
      </c>
      <c r="K47" s="123" t="s">
        <v>471</v>
      </c>
      <c r="L47" s="111" t="s">
        <v>36</v>
      </c>
      <c r="M47" s="111" t="s">
        <v>40</v>
      </c>
      <c r="N47" s="111" t="s">
        <v>37</v>
      </c>
      <c r="O47" s="111" t="s">
        <v>512</v>
      </c>
    </row>
    <row r="48">
      <c r="A48" s="115"/>
      <c r="B48" s="111" t="s">
        <v>510</v>
      </c>
      <c r="C48" s="111" t="s">
        <v>36</v>
      </c>
      <c r="D48" s="111" t="s">
        <v>36</v>
      </c>
      <c r="E48" s="111" t="s">
        <v>27</v>
      </c>
      <c r="F48" s="111" t="s">
        <v>48</v>
      </c>
      <c r="G48" s="117"/>
      <c r="H48" s="111" t="s">
        <v>62</v>
      </c>
      <c r="I48" s="117"/>
      <c r="J48" s="117"/>
      <c r="K48" s="111" t="s">
        <v>36</v>
      </c>
      <c r="L48" s="111" t="s">
        <v>62</v>
      </c>
      <c r="M48" s="117"/>
      <c r="N48" s="111"/>
      <c r="O48" s="111"/>
    </row>
    <row r="49">
      <c r="A49" s="115" t="s">
        <v>9</v>
      </c>
      <c r="B49" s="111" t="s">
        <v>507</v>
      </c>
      <c r="C49" s="111" t="s">
        <v>36</v>
      </c>
      <c r="D49" s="111" t="s">
        <v>36</v>
      </c>
      <c r="E49" s="111" t="s">
        <v>27</v>
      </c>
      <c r="F49" s="111" t="s">
        <v>471</v>
      </c>
      <c r="G49" s="117"/>
      <c r="H49" s="117"/>
      <c r="I49" s="111" t="s">
        <v>48</v>
      </c>
      <c r="J49" s="111" t="s">
        <v>471</v>
      </c>
      <c r="K49" s="117"/>
      <c r="L49" s="111" t="s">
        <v>36</v>
      </c>
      <c r="M49" s="111" t="s">
        <v>48</v>
      </c>
      <c r="N49" s="111" t="s">
        <v>471</v>
      </c>
      <c r="O49" s="111" t="s">
        <v>514</v>
      </c>
    </row>
    <row r="50">
      <c r="A50" s="115"/>
      <c r="B50" s="111" t="s">
        <v>509</v>
      </c>
      <c r="C50" s="111" t="s">
        <v>36</v>
      </c>
      <c r="D50" s="111" t="s">
        <v>36</v>
      </c>
      <c r="E50" s="111" t="s">
        <v>40</v>
      </c>
      <c r="F50" s="111" t="s">
        <v>37</v>
      </c>
      <c r="G50" s="117"/>
      <c r="H50" s="111" t="s">
        <v>40</v>
      </c>
      <c r="I50" s="111" t="s">
        <v>50</v>
      </c>
      <c r="J50" s="117"/>
      <c r="K50" s="111"/>
      <c r="L50" s="111" t="s">
        <v>36</v>
      </c>
      <c r="M50" s="111" t="s">
        <v>40</v>
      </c>
      <c r="N50" s="117"/>
      <c r="O50" s="111" t="s">
        <v>515</v>
      </c>
    </row>
    <row r="51">
      <c r="A51" s="115"/>
      <c r="B51" s="111" t="s">
        <v>510</v>
      </c>
      <c r="C51" s="111" t="s">
        <v>36</v>
      </c>
      <c r="D51" s="111" t="s">
        <v>36</v>
      </c>
      <c r="E51" s="111" t="s">
        <v>40</v>
      </c>
      <c r="F51" s="111" t="s">
        <v>37</v>
      </c>
      <c r="G51" s="117"/>
      <c r="H51" s="111" t="s">
        <v>40</v>
      </c>
      <c r="I51" s="111" t="s">
        <v>48</v>
      </c>
      <c r="J51" s="111" t="s">
        <v>471</v>
      </c>
      <c r="K51" s="111" t="s">
        <v>36</v>
      </c>
      <c r="L51" s="111" t="s">
        <v>40</v>
      </c>
      <c r="M51" s="111"/>
      <c r="N51" s="111" t="s">
        <v>471</v>
      </c>
      <c r="O51" s="111" t="s">
        <v>516</v>
      </c>
    </row>
    <row r="52">
      <c r="A52" s="115" t="s">
        <v>11</v>
      </c>
      <c r="B52" s="111" t="s">
        <v>507</v>
      </c>
      <c r="C52" s="111" t="s">
        <v>471</v>
      </c>
      <c r="D52" s="111" t="s">
        <v>36</v>
      </c>
      <c r="E52" s="111" t="s">
        <v>27</v>
      </c>
      <c r="F52" s="111" t="s">
        <v>471</v>
      </c>
      <c r="G52" s="111" t="s">
        <v>471</v>
      </c>
      <c r="H52" s="117"/>
      <c r="I52" s="111" t="s">
        <v>50</v>
      </c>
      <c r="J52" s="111" t="s">
        <v>471</v>
      </c>
      <c r="K52" s="111" t="s">
        <v>471</v>
      </c>
      <c r="L52" s="111" t="s">
        <v>36</v>
      </c>
      <c r="M52" s="111" t="s">
        <v>50</v>
      </c>
      <c r="N52" s="111" t="s">
        <v>471</v>
      </c>
      <c r="O52" s="111" t="s">
        <v>517</v>
      </c>
    </row>
    <row r="53">
      <c r="A53" s="115"/>
      <c r="B53" s="111" t="s">
        <v>509</v>
      </c>
      <c r="C53" s="111" t="s">
        <v>36</v>
      </c>
      <c r="D53" s="111" t="s">
        <v>62</v>
      </c>
      <c r="E53" s="111" t="s">
        <v>471</v>
      </c>
      <c r="F53" s="123" t="s">
        <v>471</v>
      </c>
      <c r="G53" s="117"/>
      <c r="H53" s="111" t="s">
        <v>27</v>
      </c>
      <c r="I53" s="111" t="s">
        <v>471</v>
      </c>
      <c r="J53" s="111" t="s">
        <v>471</v>
      </c>
      <c r="K53" s="111" t="s">
        <v>36</v>
      </c>
      <c r="L53" s="111" t="s">
        <v>27</v>
      </c>
      <c r="M53" s="111" t="s">
        <v>471</v>
      </c>
      <c r="N53" s="111" t="s">
        <v>471</v>
      </c>
      <c r="O53" s="111"/>
    </row>
    <row r="54">
      <c r="A54" s="115"/>
      <c r="B54" s="111" t="s">
        <v>510</v>
      </c>
      <c r="C54" s="111" t="s">
        <v>471</v>
      </c>
      <c r="D54" s="111" t="s">
        <v>36</v>
      </c>
      <c r="E54" s="111" t="s">
        <v>38</v>
      </c>
      <c r="F54" s="123" t="s">
        <v>471</v>
      </c>
      <c r="G54" s="111" t="s">
        <v>471</v>
      </c>
      <c r="H54" s="117"/>
      <c r="I54" s="111" t="s">
        <v>50</v>
      </c>
      <c r="J54" s="111" t="s">
        <v>471</v>
      </c>
      <c r="K54" s="123" t="s">
        <v>471</v>
      </c>
      <c r="L54" s="111" t="s">
        <v>36</v>
      </c>
      <c r="M54" s="111" t="s">
        <v>50</v>
      </c>
      <c r="N54" s="111" t="s">
        <v>471</v>
      </c>
      <c r="O54" s="111"/>
    </row>
    <row r="55">
      <c r="A55" s="115" t="s">
        <v>12</v>
      </c>
      <c r="B55" s="111" t="s">
        <v>507</v>
      </c>
      <c r="C55" s="111" t="s">
        <v>36</v>
      </c>
      <c r="D55" s="111" t="s">
        <v>62</v>
      </c>
      <c r="E55" s="111" t="s">
        <v>471</v>
      </c>
      <c r="F55" s="111" t="s">
        <v>471</v>
      </c>
      <c r="G55" s="117"/>
      <c r="H55" s="111" t="s">
        <v>38</v>
      </c>
      <c r="I55" s="111" t="s">
        <v>471</v>
      </c>
      <c r="J55" s="111" t="s">
        <v>471</v>
      </c>
      <c r="K55" s="111" t="s">
        <v>36</v>
      </c>
      <c r="L55" s="111" t="s">
        <v>38</v>
      </c>
      <c r="M55" s="111" t="s">
        <v>471</v>
      </c>
      <c r="N55" s="111" t="s">
        <v>471</v>
      </c>
      <c r="O55" s="111" t="s">
        <v>518</v>
      </c>
    </row>
    <row r="56">
      <c r="A56" s="115"/>
      <c r="B56" s="111" t="s">
        <v>509</v>
      </c>
      <c r="C56" s="111" t="s">
        <v>36</v>
      </c>
      <c r="D56" s="111" t="s">
        <v>62</v>
      </c>
      <c r="E56" s="111" t="s">
        <v>471</v>
      </c>
      <c r="F56" s="123" t="s">
        <v>471</v>
      </c>
      <c r="G56" s="117"/>
      <c r="H56" s="111" t="s">
        <v>37</v>
      </c>
      <c r="I56" s="111" t="s">
        <v>471</v>
      </c>
      <c r="J56" s="111" t="s">
        <v>471</v>
      </c>
      <c r="K56" s="111" t="s">
        <v>36</v>
      </c>
      <c r="L56" s="111" t="s">
        <v>37</v>
      </c>
      <c r="M56" s="111" t="s">
        <v>471</v>
      </c>
      <c r="N56" s="111" t="s">
        <v>471</v>
      </c>
      <c r="O56" s="111"/>
    </row>
    <row r="57">
      <c r="A57" s="115"/>
      <c r="B57" s="111" t="s">
        <v>510</v>
      </c>
      <c r="C57" s="111" t="s">
        <v>471</v>
      </c>
      <c r="D57" s="111" t="s">
        <v>36</v>
      </c>
      <c r="E57" s="111" t="s">
        <v>40</v>
      </c>
      <c r="F57" s="123" t="s">
        <v>48</v>
      </c>
      <c r="G57" s="111" t="s">
        <v>471</v>
      </c>
      <c r="H57" s="117"/>
      <c r="I57" s="111" t="s">
        <v>27</v>
      </c>
      <c r="J57" s="117"/>
      <c r="K57" s="123" t="s">
        <v>471</v>
      </c>
      <c r="L57" s="111" t="s">
        <v>36</v>
      </c>
      <c r="M57" s="111" t="s">
        <v>27</v>
      </c>
      <c r="N57" s="117"/>
      <c r="O57" s="111" t="s">
        <v>519</v>
      </c>
    </row>
    <row r="58">
      <c r="A58" s="115" t="s">
        <v>14</v>
      </c>
      <c r="B58" s="111" t="s">
        <v>507</v>
      </c>
      <c r="C58" s="111" t="s">
        <v>36</v>
      </c>
      <c r="D58" s="111" t="s">
        <v>70</v>
      </c>
      <c r="E58" s="111" t="s">
        <v>471</v>
      </c>
      <c r="F58" s="111" t="s">
        <v>471</v>
      </c>
      <c r="G58" s="117"/>
      <c r="H58" s="111" t="s">
        <v>38</v>
      </c>
      <c r="I58" s="111" t="s">
        <v>471</v>
      </c>
      <c r="J58" s="111" t="s">
        <v>471</v>
      </c>
      <c r="K58" s="111" t="s">
        <v>36</v>
      </c>
      <c r="L58" s="111" t="s">
        <v>38</v>
      </c>
      <c r="M58" s="111" t="s">
        <v>471</v>
      </c>
      <c r="N58" s="111" t="s">
        <v>471</v>
      </c>
      <c r="O58" s="111" t="s">
        <v>518</v>
      </c>
    </row>
    <row r="59">
      <c r="A59" s="115"/>
      <c r="B59" s="111" t="s">
        <v>509</v>
      </c>
      <c r="C59" s="111" t="s">
        <v>36</v>
      </c>
      <c r="D59" s="111" t="s">
        <v>70</v>
      </c>
      <c r="E59" s="111" t="s">
        <v>471</v>
      </c>
      <c r="F59" s="123" t="s">
        <v>471</v>
      </c>
      <c r="G59" s="117"/>
      <c r="H59" s="111" t="s">
        <v>38</v>
      </c>
      <c r="I59" s="111" t="s">
        <v>471</v>
      </c>
      <c r="J59" s="111" t="s">
        <v>471</v>
      </c>
      <c r="K59" s="111" t="s">
        <v>36</v>
      </c>
      <c r="L59" s="111" t="s">
        <v>38</v>
      </c>
      <c r="M59" s="111" t="s">
        <v>471</v>
      </c>
      <c r="N59" s="111" t="s">
        <v>471</v>
      </c>
      <c r="O59" s="111"/>
    </row>
    <row r="60">
      <c r="A60" s="115"/>
      <c r="B60" s="111" t="s">
        <v>510</v>
      </c>
      <c r="C60" s="111" t="s">
        <v>471</v>
      </c>
      <c r="D60" s="111" t="s">
        <v>36</v>
      </c>
      <c r="E60" s="111" t="s">
        <v>48</v>
      </c>
      <c r="F60" s="123" t="s">
        <v>471</v>
      </c>
      <c r="G60" s="111" t="s">
        <v>471</v>
      </c>
      <c r="H60" s="117"/>
      <c r="I60" s="117"/>
      <c r="J60" s="117"/>
      <c r="K60" s="123" t="s">
        <v>471</v>
      </c>
      <c r="L60" s="111" t="s">
        <v>36</v>
      </c>
      <c r="M60" s="111" t="s">
        <v>48</v>
      </c>
      <c r="N60" s="111" t="s">
        <v>471</v>
      </c>
      <c r="O60" s="111" t="s">
        <v>505</v>
      </c>
    </row>
    <row r="61">
      <c r="A61" s="119"/>
    </row>
    <row r="62">
      <c r="A62" s="120" t="s">
        <v>520</v>
      </c>
    </row>
    <row r="63">
      <c r="A63" s="119" t="s">
        <v>521</v>
      </c>
    </row>
    <row r="64">
      <c r="A64" s="120" t="s">
        <v>522</v>
      </c>
    </row>
    <row r="65">
      <c r="A65" s="119" t="s">
        <v>523</v>
      </c>
    </row>
    <row r="66">
      <c r="A66" s="119" t="s">
        <v>524</v>
      </c>
    </row>
    <row r="67">
      <c r="A67" s="119" t="s">
        <v>525</v>
      </c>
    </row>
    <row r="68">
      <c r="A68" s="119" t="s">
        <v>526</v>
      </c>
    </row>
    <row r="69">
      <c r="A69" s="120" t="s">
        <v>527</v>
      </c>
    </row>
    <row r="70">
      <c r="A70" s="120" t="s">
        <v>528</v>
      </c>
    </row>
    <row r="71">
      <c r="A71" s="119"/>
    </row>
    <row r="72">
      <c r="A72" s="120" t="s">
        <v>529</v>
      </c>
    </row>
    <row r="73">
      <c r="A73" s="124"/>
      <c r="B73" s="125" t="s">
        <v>425</v>
      </c>
      <c r="C73" s="126" t="s">
        <v>461</v>
      </c>
      <c r="D73" s="107"/>
      <c r="E73" s="107"/>
      <c r="F73" s="108"/>
      <c r="G73" s="126" t="s">
        <v>462</v>
      </c>
      <c r="H73" s="107"/>
      <c r="I73" s="107"/>
      <c r="J73" s="108"/>
      <c r="K73" s="126" t="s">
        <v>464</v>
      </c>
      <c r="L73" s="107"/>
      <c r="M73" s="107"/>
      <c r="N73" s="108"/>
      <c r="O73" s="109" t="s">
        <v>465</v>
      </c>
      <c r="P73" s="9"/>
    </row>
    <row r="74">
      <c r="A74" s="110"/>
      <c r="B74" s="110"/>
      <c r="C74" s="127" t="s">
        <v>435</v>
      </c>
      <c r="D74" s="127" t="s">
        <v>436</v>
      </c>
      <c r="E74" s="127" t="s">
        <v>437</v>
      </c>
      <c r="F74" s="127" t="s">
        <v>466</v>
      </c>
      <c r="G74" s="127" t="s">
        <v>435</v>
      </c>
      <c r="H74" s="127" t="s">
        <v>436</v>
      </c>
      <c r="I74" s="127" t="s">
        <v>437</v>
      </c>
      <c r="J74" s="127" t="s">
        <v>466</v>
      </c>
      <c r="K74" s="127" t="s">
        <v>435</v>
      </c>
      <c r="L74" s="127" t="s">
        <v>436</v>
      </c>
      <c r="M74" s="127" t="s">
        <v>437</v>
      </c>
      <c r="N74" s="127" t="s">
        <v>466</v>
      </c>
      <c r="O74" s="112"/>
      <c r="P74" s="9"/>
    </row>
    <row r="75">
      <c r="A75" s="113" t="s">
        <v>6</v>
      </c>
      <c r="B75" s="128" t="s">
        <v>78</v>
      </c>
      <c r="C75" s="128" t="s">
        <v>471</v>
      </c>
      <c r="D75" s="128" t="s">
        <v>36</v>
      </c>
      <c r="E75" s="128" t="s">
        <v>27</v>
      </c>
      <c r="F75" s="128" t="s">
        <v>48</v>
      </c>
      <c r="G75" s="129"/>
      <c r="H75" s="128"/>
      <c r="I75" s="128"/>
      <c r="J75" s="129"/>
      <c r="K75" s="129"/>
      <c r="L75" s="129"/>
      <c r="M75" s="129"/>
      <c r="N75" s="129"/>
      <c r="O75" s="128" t="s">
        <v>531</v>
      </c>
      <c r="P75" s="9"/>
    </row>
    <row r="76">
      <c r="A76" s="113"/>
      <c r="B76" s="128" t="s">
        <v>77</v>
      </c>
      <c r="C76" s="128"/>
      <c r="D76" s="128"/>
      <c r="E76" s="128"/>
      <c r="F76" s="128"/>
      <c r="G76" s="129"/>
      <c r="H76" s="128"/>
      <c r="I76" s="128"/>
      <c r="J76" s="129"/>
      <c r="K76" s="129"/>
      <c r="L76" s="129"/>
      <c r="M76" s="129"/>
      <c r="N76" s="129"/>
      <c r="O76" s="129"/>
      <c r="P76" s="9"/>
    </row>
    <row r="77">
      <c r="A77" s="113"/>
      <c r="B77" s="128" t="s">
        <v>76</v>
      </c>
      <c r="C77" s="128" t="s">
        <v>36</v>
      </c>
      <c r="D77" s="128" t="s">
        <v>37</v>
      </c>
      <c r="E77" s="128" t="s">
        <v>81</v>
      </c>
      <c r="F77" s="128" t="s">
        <v>471</v>
      </c>
      <c r="G77" s="129"/>
      <c r="H77" s="128"/>
      <c r="I77" s="128"/>
      <c r="J77" s="128" t="s">
        <v>471</v>
      </c>
      <c r="K77" s="128" t="s">
        <v>36</v>
      </c>
      <c r="L77" s="128" t="s">
        <v>37</v>
      </c>
      <c r="M77" s="128" t="s">
        <v>81</v>
      </c>
      <c r="N77" s="128" t="s">
        <v>471</v>
      </c>
      <c r="O77" s="128" t="s">
        <v>532</v>
      </c>
      <c r="P77" s="9"/>
    </row>
    <row r="78">
      <c r="A78" s="113"/>
      <c r="B78" s="128" t="s">
        <v>533</v>
      </c>
      <c r="C78" s="128" t="s">
        <v>36</v>
      </c>
      <c r="D78" s="128" t="s">
        <v>40</v>
      </c>
      <c r="E78" s="128" t="s">
        <v>37</v>
      </c>
      <c r="F78" s="128" t="s">
        <v>48</v>
      </c>
      <c r="G78" s="129"/>
      <c r="H78" s="128" t="s">
        <v>27</v>
      </c>
      <c r="I78" s="128" t="s">
        <v>48</v>
      </c>
      <c r="J78" s="129"/>
      <c r="K78" s="129"/>
      <c r="L78" s="129"/>
      <c r="M78" s="129"/>
      <c r="N78" s="129"/>
      <c r="O78" s="128" t="s">
        <v>534</v>
      </c>
      <c r="P78" s="9"/>
    </row>
    <row r="79">
      <c r="A79" s="113" t="s">
        <v>8</v>
      </c>
      <c r="B79" s="128" t="s">
        <v>78</v>
      </c>
      <c r="C79" s="128"/>
      <c r="D79" s="129"/>
      <c r="E79" s="129"/>
      <c r="F79" s="129"/>
      <c r="G79" s="129"/>
      <c r="H79" s="129"/>
      <c r="I79" s="129"/>
      <c r="J79" s="129"/>
      <c r="K79" s="129"/>
      <c r="L79" s="129"/>
      <c r="M79" s="129"/>
      <c r="N79" s="129"/>
      <c r="O79" s="129"/>
      <c r="P79" s="9"/>
    </row>
    <row r="80">
      <c r="A80" s="113"/>
      <c r="B80" s="128" t="s">
        <v>77</v>
      </c>
      <c r="C80" s="128" t="s">
        <v>36</v>
      </c>
      <c r="D80" s="128" t="s">
        <v>37</v>
      </c>
      <c r="E80" s="128" t="s">
        <v>81</v>
      </c>
      <c r="F80" s="130" t="s">
        <v>471</v>
      </c>
      <c r="G80" s="129"/>
      <c r="H80" s="129"/>
      <c r="I80" s="129"/>
      <c r="J80" s="128" t="s">
        <v>471</v>
      </c>
      <c r="K80" s="128" t="s">
        <v>36</v>
      </c>
      <c r="L80" s="128" t="s">
        <v>37</v>
      </c>
      <c r="M80" s="128" t="s">
        <v>81</v>
      </c>
      <c r="N80" s="128" t="s">
        <v>471</v>
      </c>
      <c r="O80" s="128" t="s">
        <v>535</v>
      </c>
      <c r="P80" s="9"/>
    </row>
    <row r="81">
      <c r="A81" s="113"/>
      <c r="B81" s="128" t="s">
        <v>76</v>
      </c>
      <c r="C81" s="128" t="s">
        <v>36</v>
      </c>
      <c r="D81" s="128" t="s">
        <v>27</v>
      </c>
      <c r="E81" s="128" t="s">
        <v>81</v>
      </c>
      <c r="F81" s="128" t="s">
        <v>471</v>
      </c>
      <c r="G81" s="129"/>
      <c r="H81" s="129"/>
      <c r="I81" s="129"/>
      <c r="J81" s="128" t="s">
        <v>471</v>
      </c>
      <c r="K81" s="129"/>
      <c r="L81" s="129"/>
      <c r="M81" s="129"/>
      <c r="N81" s="129"/>
      <c r="O81" s="128" t="s">
        <v>536</v>
      </c>
      <c r="P81" s="9"/>
    </row>
    <row r="82">
      <c r="A82" s="113"/>
      <c r="B82" s="128" t="s">
        <v>533</v>
      </c>
      <c r="C82" s="129"/>
      <c r="D82" s="129"/>
      <c r="E82" s="129"/>
      <c r="F82" s="129"/>
      <c r="G82" s="129"/>
      <c r="H82" s="129"/>
      <c r="I82" s="129"/>
      <c r="J82" s="129"/>
      <c r="K82" s="129"/>
      <c r="L82" s="129"/>
      <c r="M82" s="129"/>
      <c r="N82" s="129"/>
      <c r="O82" s="129"/>
      <c r="P82" s="9"/>
    </row>
    <row r="83">
      <c r="A83" s="113" t="s">
        <v>9</v>
      </c>
      <c r="B83" s="128" t="s">
        <v>78</v>
      </c>
      <c r="C83" s="128"/>
      <c r="D83" s="129"/>
      <c r="E83" s="129"/>
      <c r="F83" s="129"/>
      <c r="G83" s="129"/>
      <c r="H83" s="129"/>
      <c r="I83" s="129"/>
      <c r="J83" s="129"/>
      <c r="K83" s="129"/>
      <c r="L83" s="129"/>
      <c r="M83" s="129"/>
      <c r="N83" s="129"/>
      <c r="O83" s="129"/>
      <c r="P83" s="9"/>
    </row>
    <row r="84">
      <c r="A84" s="113"/>
      <c r="B84" s="128" t="s">
        <v>77</v>
      </c>
      <c r="C84" s="128" t="s">
        <v>36</v>
      </c>
      <c r="D84" s="128" t="s">
        <v>37</v>
      </c>
      <c r="E84" s="128" t="s">
        <v>81</v>
      </c>
      <c r="F84" s="128" t="s">
        <v>471</v>
      </c>
      <c r="G84" s="129"/>
      <c r="H84" s="129"/>
      <c r="I84" s="129"/>
      <c r="J84" s="128" t="s">
        <v>471</v>
      </c>
      <c r="K84" s="128" t="s">
        <v>36</v>
      </c>
      <c r="L84" s="128" t="s">
        <v>37</v>
      </c>
      <c r="M84" s="128" t="s">
        <v>81</v>
      </c>
      <c r="N84" s="128" t="s">
        <v>471</v>
      </c>
      <c r="O84" s="128" t="s">
        <v>537</v>
      </c>
      <c r="P84" s="9"/>
    </row>
    <row r="85">
      <c r="A85" s="113"/>
      <c r="B85" s="128" t="s">
        <v>76</v>
      </c>
      <c r="C85" s="128" t="s">
        <v>36</v>
      </c>
      <c r="D85" s="128" t="s">
        <v>27</v>
      </c>
      <c r="E85" s="128" t="s">
        <v>81</v>
      </c>
      <c r="F85" s="128" t="s">
        <v>471</v>
      </c>
      <c r="G85" s="129"/>
      <c r="H85" s="128" t="s">
        <v>37</v>
      </c>
      <c r="I85" s="129"/>
      <c r="J85" s="128" t="s">
        <v>471</v>
      </c>
      <c r="K85" s="129"/>
      <c r="L85" s="129"/>
      <c r="M85" s="129"/>
      <c r="N85" s="129"/>
      <c r="O85" s="128" t="s">
        <v>538</v>
      </c>
      <c r="P85" s="9"/>
    </row>
    <row r="86">
      <c r="A86" s="113"/>
      <c r="B86" s="128" t="s">
        <v>533</v>
      </c>
      <c r="C86" s="129"/>
      <c r="D86" s="129"/>
      <c r="E86" s="129"/>
      <c r="F86" s="129"/>
      <c r="G86" s="129"/>
      <c r="H86" s="129"/>
      <c r="I86" s="129"/>
      <c r="J86" s="129"/>
      <c r="K86" s="129"/>
      <c r="L86" s="129"/>
      <c r="M86" s="129"/>
      <c r="N86" s="129"/>
      <c r="O86" s="129"/>
      <c r="P86" s="9"/>
    </row>
    <row r="87">
      <c r="A87" s="113" t="s">
        <v>11</v>
      </c>
      <c r="B87" s="128" t="s">
        <v>78</v>
      </c>
      <c r="C87" s="128" t="s">
        <v>36</v>
      </c>
      <c r="D87" s="128" t="s">
        <v>37</v>
      </c>
      <c r="E87" s="128" t="s">
        <v>471</v>
      </c>
      <c r="F87" s="128" t="s">
        <v>471</v>
      </c>
      <c r="G87" s="129"/>
      <c r="H87" s="129"/>
      <c r="I87" s="129"/>
      <c r="J87" s="129"/>
      <c r="K87" s="129"/>
      <c r="L87" s="129"/>
      <c r="M87" s="129"/>
      <c r="N87" s="129"/>
      <c r="O87" s="128" t="s">
        <v>539</v>
      </c>
      <c r="P87" s="9"/>
    </row>
    <row r="88">
      <c r="A88" s="113"/>
      <c r="B88" s="128" t="s">
        <v>77</v>
      </c>
      <c r="C88" s="129"/>
      <c r="D88" s="129"/>
      <c r="E88" s="129"/>
      <c r="F88" s="131"/>
      <c r="G88" s="129"/>
      <c r="H88" s="129"/>
      <c r="I88" s="129"/>
      <c r="J88" s="129"/>
      <c r="K88" s="131"/>
      <c r="L88" s="129"/>
      <c r="M88" s="129"/>
      <c r="N88" s="129"/>
      <c r="O88" s="129"/>
      <c r="P88" s="9"/>
    </row>
    <row r="89">
      <c r="A89" s="113"/>
      <c r="B89" s="128" t="s">
        <v>76</v>
      </c>
      <c r="C89" s="128" t="s">
        <v>36</v>
      </c>
      <c r="D89" s="128" t="s">
        <v>27</v>
      </c>
      <c r="E89" s="128" t="s">
        <v>48</v>
      </c>
      <c r="F89" s="128" t="s">
        <v>471</v>
      </c>
      <c r="G89" s="129"/>
      <c r="H89" s="128" t="s">
        <v>37</v>
      </c>
      <c r="I89" s="129"/>
      <c r="J89" s="128" t="s">
        <v>471</v>
      </c>
      <c r="K89" s="128" t="s">
        <v>36</v>
      </c>
      <c r="L89" s="128" t="s">
        <v>27</v>
      </c>
      <c r="M89" s="128" t="s">
        <v>48</v>
      </c>
      <c r="N89" s="128" t="s">
        <v>471</v>
      </c>
      <c r="O89" s="128" t="s">
        <v>540</v>
      </c>
      <c r="P89" s="9"/>
    </row>
    <row r="90">
      <c r="A90" s="113"/>
      <c r="B90" s="128" t="s">
        <v>533</v>
      </c>
      <c r="C90" s="129"/>
      <c r="D90" s="129"/>
      <c r="E90" s="129"/>
      <c r="F90" s="129"/>
      <c r="G90" s="129"/>
      <c r="H90" s="129"/>
      <c r="I90" s="129"/>
      <c r="J90" s="129"/>
      <c r="K90" s="129"/>
      <c r="L90" s="129"/>
      <c r="M90" s="129"/>
      <c r="N90" s="129"/>
      <c r="O90" s="129"/>
      <c r="P90" s="9"/>
    </row>
    <row r="91">
      <c r="A91" s="113" t="s">
        <v>12</v>
      </c>
      <c r="B91" s="128" t="s">
        <v>78</v>
      </c>
      <c r="C91" s="128" t="s">
        <v>36</v>
      </c>
      <c r="D91" s="128" t="s">
        <v>37</v>
      </c>
      <c r="E91" s="128" t="s">
        <v>471</v>
      </c>
      <c r="F91" s="128" t="s">
        <v>471</v>
      </c>
      <c r="G91" s="129"/>
      <c r="H91" s="129"/>
      <c r="I91" s="128" t="s">
        <v>471</v>
      </c>
      <c r="J91" s="128" t="s">
        <v>471</v>
      </c>
      <c r="K91" s="129"/>
      <c r="L91" s="129"/>
      <c r="M91" s="129"/>
      <c r="N91" s="129"/>
      <c r="O91" s="128" t="s">
        <v>541</v>
      </c>
      <c r="P91" s="9"/>
    </row>
    <row r="92">
      <c r="A92" s="113"/>
      <c r="B92" s="128" t="s">
        <v>77</v>
      </c>
      <c r="C92" s="128" t="s">
        <v>36</v>
      </c>
      <c r="D92" s="128" t="s">
        <v>37</v>
      </c>
      <c r="E92" s="128" t="s">
        <v>471</v>
      </c>
      <c r="F92" s="130" t="s">
        <v>471</v>
      </c>
      <c r="G92" s="129"/>
      <c r="H92" s="129"/>
      <c r="I92" s="128" t="s">
        <v>471</v>
      </c>
      <c r="J92" s="128" t="s">
        <v>471</v>
      </c>
      <c r="K92" s="128" t="s">
        <v>36</v>
      </c>
      <c r="L92" s="128" t="s">
        <v>37</v>
      </c>
      <c r="M92" s="128" t="s">
        <v>471</v>
      </c>
      <c r="N92" s="128" t="s">
        <v>471</v>
      </c>
      <c r="O92" s="128" t="s">
        <v>542</v>
      </c>
      <c r="P92" s="9"/>
    </row>
    <row r="93">
      <c r="A93" s="113"/>
      <c r="B93" s="128" t="s">
        <v>76</v>
      </c>
      <c r="C93" s="128" t="s">
        <v>36</v>
      </c>
      <c r="D93" s="128" t="s">
        <v>27</v>
      </c>
      <c r="E93" s="128" t="s">
        <v>471</v>
      </c>
      <c r="F93" s="130" t="s">
        <v>471</v>
      </c>
      <c r="G93" s="129"/>
      <c r="H93" s="129"/>
      <c r="I93" s="128" t="s">
        <v>471</v>
      </c>
      <c r="J93" s="128" t="s">
        <v>471</v>
      </c>
      <c r="K93" s="131"/>
      <c r="L93" s="129"/>
      <c r="M93" s="129"/>
      <c r="N93" s="129"/>
      <c r="O93" s="128" t="s">
        <v>543</v>
      </c>
      <c r="P93" s="9"/>
    </row>
    <row r="94">
      <c r="A94" s="113"/>
      <c r="B94" s="128" t="s">
        <v>533</v>
      </c>
      <c r="C94" s="129"/>
      <c r="D94" s="129"/>
      <c r="E94" s="129"/>
      <c r="F94" s="129"/>
      <c r="G94" s="129"/>
      <c r="H94" s="129"/>
      <c r="I94" s="129"/>
      <c r="J94" s="129"/>
      <c r="K94" s="129"/>
      <c r="L94" s="129"/>
      <c r="M94" s="129"/>
      <c r="N94" s="129"/>
      <c r="O94" s="129"/>
      <c r="P94" s="9"/>
    </row>
    <row r="95">
      <c r="A95" s="113" t="s">
        <v>14</v>
      </c>
      <c r="B95" s="128" t="s">
        <v>78</v>
      </c>
      <c r="C95" s="128" t="s">
        <v>36</v>
      </c>
      <c r="D95" s="128" t="s">
        <v>37</v>
      </c>
      <c r="E95" s="128" t="s">
        <v>471</v>
      </c>
      <c r="F95" s="128" t="s">
        <v>471</v>
      </c>
      <c r="G95" s="129"/>
      <c r="H95" s="129"/>
      <c r="I95" s="128" t="s">
        <v>471</v>
      </c>
      <c r="J95" s="128" t="s">
        <v>471</v>
      </c>
      <c r="K95" s="128" t="s">
        <v>36</v>
      </c>
      <c r="L95" s="128" t="s">
        <v>37</v>
      </c>
      <c r="M95" s="128" t="s">
        <v>471</v>
      </c>
      <c r="N95" s="128" t="s">
        <v>471</v>
      </c>
      <c r="O95" s="128" t="s">
        <v>545</v>
      </c>
      <c r="P95" s="9"/>
    </row>
    <row r="96">
      <c r="A96" s="113"/>
      <c r="B96" s="128" t="s">
        <v>77</v>
      </c>
      <c r="C96" s="129"/>
      <c r="D96" s="129"/>
      <c r="E96" s="129"/>
      <c r="F96" s="129"/>
      <c r="G96" s="129"/>
      <c r="H96" s="129"/>
      <c r="I96" s="129"/>
      <c r="J96" s="129"/>
      <c r="K96" s="129"/>
      <c r="L96" s="129"/>
      <c r="M96" s="129"/>
      <c r="N96" s="129"/>
      <c r="O96" s="129"/>
      <c r="P96" s="9"/>
    </row>
    <row r="97">
      <c r="A97" s="113"/>
      <c r="B97" s="128" t="s">
        <v>76</v>
      </c>
      <c r="C97" s="129"/>
      <c r="D97" s="129"/>
      <c r="E97" s="129"/>
      <c r="F97" s="129"/>
      <c r="G97" s="129"/>
      <c r="H97" s="129"/>
      <c r="I97" s="129"/>
      <c r="J97" s="129"/>
      <c r="K97" s="129"/>
      <c r="L97" s="129"/>
      <c r="M97" s="129"/>
      <c r="N97" s="129"/>
      <c r="O97" s="129"/>
      <c r="P97" s="9"/>
    </row>
    <row r="98">
      <c r="A98" s="113"/>
      <c r="B98" s="128" t="s">
        <v>533</v>
      </c>
      <c r="C98" s="129"/>
      <c r="D98" s="129"/>
      <c r="E98" s="129"/>
      <c r="F98" s="131"/>
      <c r="G98" s="129"/>
      <c r="H98" s="129"/>
      <c r="I98" s="129"/>
      <c r="J98" s="129"/>
      <c r="K98" s="131"/>
      <c r="L98" s="129"/>
      <c r="M98" s="129"/>
      <c r="N98" s="129"/>
      <c r="O98" s="129"/>
      <c r="P98" s="9"/>
    </row>
    <row r="99">
      <c r="A99" s="119"/>
    </row>
    <row r="100">
      <c r="A100" s="120" t="s">
        <v>546</v>
      </c>
    </row>
    <row r="101">
      <c r="A101" s="120" t="s">
        <v>547</v>
      </c>
    </row>
    <row r="102">
      <c r="A102" s="120" t="s">
        <v>548</v>
      </c>
    </row>
    <row r="103">
      <c r="A103" s="119" t="s">
        <v>549</v>
      </c>
    </row>
    <row r="104">
      <c r="A104" s="119"/>
    </row>
    <row r="105">
      <c r="A105" s="120" t="s">
        <v>550</v>
      </c>
    </row>
    <row r="106">
      <c r="A106" s="104"/>
      <c r="B106" s="105" t="s">
        <v>425</v>
      </c>
      <c r="C106" s="106" t="s">
        <v>461</v>
      </c>
      <c r="D106" s="107"/>
      <c r="E106" s="107"/>
      <c r="F106" s="108"/>
      <c r="G106" s="106" t="s">
        <v>462</v>
      </c>
      <c r="H106" s="107"/>
      <c r="I106" s="107"/>
      <c r="J106" s="108"/>
      <c r="K106" s="106" t="s">
        <v>464</v>
      </c>
      <c r="L106" s="107"/>
      <c r="M106" s="107"/>
      <c r="N106" s="108"/>
      <c r="O106" s="109" t="s">
        <v>465</v>
      </c>
    </row>
    <row r="107">
      <c r="A107" s="110"/>
      <c r="B107" s="110"/>
      <c r="C107" s="111" t="s">
        <v>435</v>
      </c>
      <c r="D107" s="111" t="s">
        <v>436</v>
      </c>
      <c r="E107" s="111" t="s">
        <v>437</v>
      </c>
      <c r="F107" s="111" t="s">
        <v>466</v>
      </c>
      <c r="G107" s="111" t="s">
        <v>435</v>
      </c>
      <c r="H107" s="111" t="s">
        <v>436</v>
      </c>
      <c r="I107" s="111" t="s">
        <v>437</v>
      </c>
      <c r="J107" s="111" t="s">
        <v>466</v>
      </c>
      <c r="K107" s="111" t="s">
        <v>435</v>
      </c>
      <c r="L107" s="111" t="s">
        <v>436</v>
      </c>
      <c r="M107" s="111" t="s">
        <v>437</v>
      </c>
      <c r="N107" s="111" t="s">
        <v>466</v>
      </c>
      <c r="O107" s="112"/>
    </row>
    <row r="108">
      <c r="A108" s="115" t="s">
        <v>6</v>
      </c>
      <c r="B108" s="111" t="s">
        <v>68</v>
      </c>
      <c r="C108" s="111" t="s">
        <v>36</v>
      </c>
      <c r="D108" s="111" t="s">
        <v>70</v>
      </c>
      <c r="E108" s="111" t="s">
        <v>37</v>
      </c>
      <c r="F108" s="111" t="s">
        <v>471</v>
      </c>
      <c r="G108" s="117"/>
      <c r="H108" s="117"/>
      <c r="I108" s="117"/>
      <c r="J108" s="111" t="s">
        <v>471</v>
      </c>
      <c r="K108" s="111"/>
      <c r="L108" s="117"/>
      <c r="M108" s="117"/>
      <c r="N108" s="111" t="s">
        <v>471</v>
      </c>
      <c r="O108" s="111" t="s">
        <v>551</v>
      </c>
    </row>
    <row r="109">
      <c r="A109" s="115"/>
      <c r="B109" s="111" t="s">
        <v>6</v>
      </c>
      <c r="C109" s="111" t="s">
        <v>36</v>
      </c>
      <c r="D109" s="111" t="s">
        <v>70</v>
      </c>
      <c r="E109" s="111" t="s">
        <v>37</v>
      </c>
      <c r="F109" s="111" t="s">
        <v>471</v>
      </c>
      <c r="G109" s="117"/>
      <c r="H109" s="117"/>
      <c r="I109" s="117"/>
      <c r="J109" s="111" t="s">
        <v>471</v>
      </c>
      <c r="K109" s="111" t="s">
        <v>36</v>
      </c>
      <c r="L109" s="111" t="s">
        <v>70</v>
      </c>
      <c r="M109" s="111" t="s">
        <v>37</v>
      </c>
      <c r="N109" s="111" t="s">
        <v>471</v>
      </c>
      <c r="O109" s="111" t="s">
        <v>552</v>
      </c>
    </row>
    <row r="110">
      <c r="A110" s="115" t="s">
        <v>8</v>
      </c>
      <c r="B110" s="111" t="s">
        <v>68</v>
      </c>
      <c r="C110" s="117"/>
      <c r="D110" s="117"/>
      <c r="E110" s="117"/>
      <c r="F110" s="123"/>
      <c r="G110" s="117"/>
      <c r="H110" s="117"/>
      <c r="I110" s="117"/>
      <c r="J110" s="117"/>
      <c r="K110" s="123"/>
      <c r="L110" s="117"/>
      <c r="M110" s="117"/>
      <c r="N110" s="117"/>
      <c r="O110" s="117"/>
    </row>
    <row r="111">
      <c r="A111" s="115"/>
      <c r="B111" s="111" t="s">
        <v>6</v>
      </c>
      <c r="C111" s="111" t="s">
        <v>36</v>
      </c>
      <c r="D111" s="111" t="s">
        <v>70</v>
      </c>
      <c r="E111" s="111" t="s">
        <v>37</v>
      </c>
      <c r="F111" s="111" t="s">
        <v>471</v>
      </c>
      <c r="G111" s="117"/>
      <c r="H111" s="117"/>
      <c r="I111" s="117"/>
      <c r="J111" s="111" t="s">
        <v>471</v>
      </c>
      <c r="K111" s="111" t="s">
        <v>36</v>
      </c>
      <c r="L111" s="111" t="s">
        <v>70</v>
      </c>
      <c r="M111" s="111" t="s">
        <v>37</v>
      </c>
      <c r="N111" s="111" t="s">
        <v>471</v>
      </c>
      <c r="O111" s="111" t="s">
        <v>553</v>
      </c>
    </row>
    <row r="112">
      <c r="A112" s="115" t="s">
        <v>9</v>
      </c>
      <c r="B112" s="111" t="s">
        <v>68</v>
      </c>
      <c r="C112" s="111" t="s">
        <v>471</v>
      </c>
      <c r="D112" s="111" t="s">
        <v>471</v>
      </c>
      <c r="E112" s="111" t="s">
        <v>471</v>
      </c>
      <c r="F112" s="111" t="s">
        <v>471</v>
      </c>
      <c r="G112" s="111" t="s">
        <v>471</v>
      </c>
      <c r="H112" s="111" t="s">
        <v>471</v>
      </c>
      <c r="I112" s="111" t="s">
        <v>471</v>
      </c>
      <c r="J112" s="111" t="s">
        <v>471</v>
      </c>
      <c r="K112" s="111" t="s">
        <v>471</v>
      </c>
      <c r="L112" s="111" t="s">
        <v>471</v>
      </c>
      <c r="M112" s="111" t="s">
        <v>471</v>
      </c>
      <c r="N112" s="111" t="s">
        <v>471</v>
      </c>
      <c r="O112" s="117"/>
    </row>
    <row r="113">
      <c r="A113" s="115"/>
      <c r="B113" s="111" t="s">
        <v>6</v>
      </c>
      <c r="C113" s="111" t="s">
        <v>36</v>
      </c>
      <c r="D113" s="111" t="s">
        <v>70</v>
      </c>
      <c r="E113" s="111" t="s">
        <v>37</v>
      </c>
      <c r="F113" s="111" t="s">
        <v>471</v>
      </c>
      <c r="G113" s="117"/>
      <c r="H113" s="111" t="s">
        <v>40</v>
      </c>
      <c r="I113" s="117"/>
      <c r="J113" s="111" t="s">
        <v>471</v>
      </c>
      <c r="K113" s="111" t="s">
        <v>36</v>
      </c>
      <c r="L113" s="111" t="s">
        <v>70</v>
      </c>
      <c r="M113" s="111" t="s">
        <v>37</v>
      </c>
      <c r="N113" s="111" t="s">
        <v>471</v>
      </c>
      <c r="O113" s="111" t="s">
        <v>554</v>
      </c>
    </row>
    <row r="114">
      <c r="A114" s="115" t="s">
        <v>11</v>
      </c>
      <c r="B114" s="111" t="s">
        <v>68</v>
      </c>
      <c r="C114" s="111" t="s">
        <v>36</v>
      </c>
      <c r="D114" s="111" t="s">
        <v>27</v>
      </c>
      <c r="E114" s="111" t="s">
        <v>471</v>
      </c>
      <c r="F114" s="123" t="s">
        <v>471</v>
      </c>
      <c r="G114" s="117"/>
      <c r="H114" s="117"/>
      <c r="I114" s="111" t="s">
        <v>471</v>
      </c>
      <c r="J114" s="111" t="s">
        <v>471</v>
      </c>
      <c r="K114" s="123"/>
      <c r="L114" s="117"/>
      <c r="M114" s="111" t="s">
        <v>471</v>
      </c>
      <c r="N114" s="111" t="s">
        <v>471</v>
      </c>
      <c r="O114" s="111" t="s">
        <v>555</v>
      </c>
    </row>
    <row r="115">
      <c r="A115" s="115"/>
      <c r="B115" s="111" t="s">
        <v>6</v>
      </c>
      <c r="C115" s="111" t="s">
        <v>36</v>
      </c>
      <c r="D115" s="111" t="s">
        <v>70</v>
      </c>
      <c r="E115" s="111" t="s">
        <v>37</v>
      </c>
      <c r="F115" s="123" t="s">
        <v>471</v>
      </c>
      <c r="G115" s="117"/>
      <c r="H115" s="111" t="s">
        <v>40</v>
      </c>
      <c r="I115" s="117"/>
      <c r="J115" s="123" t="s">
        <v>471</v>
      </c>
      <c r="K115" s="111" t="s">
        <v>36</v>
      </c>
      <c r="L115" s="111" t="s">
        <v>70</v>
      </c>
      <c r="M115" s="111" t="s">
        <v>37</v>
      </c>
      <c r="N115" s="123" t="s">
        <v>471</v>
      </c>
      <c r="O115" s="111" t="s">
        <v>556</v>
      </c>
    </row>
    <row r="116">
      <c r="A116" s="115" t="s">
        <v>12</v>
      </c>
      <c r="B116" s="111" t="s">
        <v>68</v>
      </c>
      <c r="C116" s="111" t="s">
        <v>36</v>
      </c>
      <c r="D116" s="111" t="s">
        <v>27</v>
      </c>
      <c r="E116" s="111" t="s">
        <v>471</v>
      </c>
      <c r="F116" s="111" t="s">
        <v>471</v>
      </c>
      <c r="G116" s="117"/>
      <c r="H116" s="117"/>
      <c r="I116" s="111" t="s">
        <v>471</v>
      </c>
      <c r="J116" s="111" t="s">
        <v>471</v>
      </c>
      <c r="K116" s="111" t="s">
        <v>36</v>
      </c>
      <c r="L116" s="111" t="s">
        <v>27</v>
      </c>
      <c r="M116" s="111" t="s">
        <v>471</v>
      </c>
      <c r="N116" s="111" t="s">
        <v>471</v>
      </c>
      <c r="O116" s="111" t="s">
        <v>557</v>
      </c>
    </row>
    <row r="117">
      <c r="A117" s="115"/>
      <c r="B117" s="111" t="s">
        <v>6</v>
      </c>
      <c r="C117" s="111" t="s">
        <v>36</v>
      </c>
      <c r="D117" s="111" t="s">
        <v>27</v>
      </c>
      <c r="E117" s="111" t="s">
        <v>471</v>
      </c>
      <c r="F117" s="111" t="s">
        <v>471</v>
      </c>
      <c r="G117" s="117"/>
      <c r="H117" s="117"/>
      <c r="I117" s="111" t="s">
        <v>471</v>
      </c>
      <c r="J117" s="111" t="s">
        <v>471</v>
      </c>
      <c r="K117" s="123"/>
      <c r="L117" s="117"/>
      <c r="M117" s="111" t="s">
        <v>471</v>
      </c>
      <c r="N117" s="111" t="s">
        <v>471</v>
      </c>
      <c r="O117" s="111" t="s">
        <v>558</v>
      </c>
    </row>
    <row r="118">
      <c r="A118" s="115" t="s">
        <v>14</v>
      </c>
      <c r="B118" s="111" t="s">
        <v>68</v>
      </c>
      <c r="C118" s="111" t="s">
        <v>36</v>
      </c>
      <c r="D118" s="111" t="s">
        <v>27</v>
      </c>
      <c r="E118" s="111" t="s">
        <v>471</v>
      </c>
      <c r="F118" s="111" t="s">
        <v>471</v>
      </c>
      <c r="G118" s="117"/>
      <c r="H118" s="117"/>
      <c r="I118" s="111" t="s">
        <v>471</v>
      </c>
      <c r="J118" s="111" t="s">
        <v>471</v>
      </c>
      <c r="K118" s="111" t="s">
        <v>36</v>
      </c>
      <c r="L118" s="111" t="s">
        <v>27</v>
      </c>
      <c r="M118" s="111" t="s">
        <v>471</v>
      </c>
      <c r="N118" s="111" t="s">
        <v>471</v>
      </c>
      <c r="O118" s="111" t="s">
        <v>560</v>
      </c>
    </row>
    <row r="119">
      <c r="A119" s="115"/>
      <c r="B119" s="111" t="s">
        <v>6</v>
      </c>
      <c r="C119" s="117"/>
      <c r="D119" s="117"/>
      <c r="E119" s="117"/>
      <c r="F119" s="123"/>
      <c r="G119" s="117"/>
      <c r="H119" s="117"/>
      <c r="I119" s="117"/>
      <c r="J119" s="117"/>
      <c r="K119" s="123"/>
      <c r="L119" s="117"/>
      <c r="M119" s="117"/>
      <c r="N119" s="117"/>
      <c r="O119" s="117"/>
    </row>
    <row r="120">
      <c r="A120" s="119"/>
    </row>
    <row r="121">
      <c r="A121" s="120" t="s">
        <v>562</v>
      </c>
    </row>
    <row r="122">
      <c r="A122" s="120" t="s">
        <v>563</v>
      </c>
    </row>
    <row r="123">
      <c r="A123" s="119" t="s">
        <v>564</v>
      </c>
    </row>
    <row r="124">
      <c r="A124" s="119" t="s">
        <v>565</v>
      </c>
    </row>
    <row r="125">
      <c r="A125" s="119" t="s">
        <v>566</v>
      </c>
    </row>
    <row r="126">
      <c r="A126" s="119" t="s">
        <v>567</v>
      </c>
    </row>
    <row r="127">
      <c r="A127" s="120" t="s">
        <v>568</v>
      </c>
    </row>
    <row r="128">
      <c r="A128" s="120" t="s">
        <v>569</v>
      </c>
    </row>
    <row r="129">
      <c r="A129" s="119"/>
    </row>
    <row r="130">
      <c r="A130" s="119" t="s">
        <v>570</v>
      </c>
    </row>
    <row r="131">
      <c r="A131" s="117"/>
      <c r="B131" s="111" t="s">
        <v>10</v>
      </c>
      <c r="C131" s="111" t="s">
        <v>17</v>
      </c>
      <c r="D131" s="111" t="s">
        <v>20</v>
      </c>
      <c r="E131" s="111" t="s">
        <v>23</v>
      </c>
      <c r="F131" s="106" t="s">
        <v>465</v>
      </c>
      <c r="G131" s="107"/>
      <c r="H131" s="107"/>
      <c r="I131" s="107"/>
      <c r="J131" s="107"/>
      <c r="K131" s="107"/>
      <c r="L131" s="107"/>
      <c r="M131" s="107"/>
      <c r="N131" s="107"/>
      <c r="O131" s="108"/>
    </row>
    <row r="132">
      <c r="A132" s="133" t="s">
        <v>571</v>
      </c>
      <c r="B132" s="111" t="s">
        <v>36</v>
      </c>
      <c r="C132" s="111" t="s">
        <v>62</v>
      </c>
      <c r="D132" s="111" t="s">
        <v>40</v>
      </c>
      <c r="E132" s="111" t="s">
        <v>50</v>
      </c>
      <c r="F132" s="134" t="s">
        <v>572</v>
      </c>
      <c r="G132" s="107"/>
      <c r="H132" s="107"/>
      <c r="I132" s="107"/>
      <c r="J132" s="107"/>
      <c r="K132" s="107"/>
      <c r="L132" s="107"/>
      <c r="M132" s="107"/>
      <c r="N132" s="107"/>
      <c r="O132" s="108"/>
    </row>
    <row r="133">
      <c r="A133" s="119"/>
    </row>
    <row r="134">
      <c r="A134" s="119" t="s">
        <v>573</v>
      </c>
    </row>
    <row r="135">
      <c r="A135" s="120" t="s">
        <v>574</v>
      </c>
    </row>
    <row r="136">
      <c r="A136" s="119" t="s">
        <v>575</v>
      </c>
    </row>
    <row r="137">
      <c r="A137" s="119" t="s">
        <v>576</v>
      </c>
    </row>
    <row r="138">
      <c r="A138" s="119"/>
    </row>
    <row r="139">
      <c r="A139" s="120" t="s">
        <v>577</v>
      </c>
    </row>
    <row r="140">
      <c r="A140" s="135" t="s">
        <v>578</v>
      </c>
    </row>
    <row r="141">
      <c r="A141" s="135" t="s">
        <v>579</v>
      </c>
    </row>
    <row r="142">
      <c r="A142" s="120" t="s">
        <v>580</v>
      </c>
    </row>
    <row r="143">
      <c r="A143" s="120" t="s">
        <v>581</v>
      </c>
    </row>
    <row r="144">
      <c r="A144" s="119"/>
    </row>
    <row r="145">
      <c r="A145" s="119"/>
    </row>
    <row r="146">
      <c r="A146" s="119"/>
    </row>
    <row r="147">
      <c r="A147" s="119"/>
    </row>
    <row r="148">
      <c r="A148" s="119"/>
    </row>
    <row r="149">
      <c r="A149" s="119"/>
    </row>
    <row r="150">
      <c r="A150" s="119"/>
    </row>
    <row r="151">
      <c r="A151" s="119"/>
    </row>
  </sheetData>
  <mergeCells count="105">
    <mergeCell ref="A1:O1"/>
    <mergeCell ref="A2:O2"/>
    <mergeCell ref="A3:O3"/>
    <mergeCell ref="A4:O4"/>
    <mergeCell ref="A5:O5"/>
    <mergeCell ref="A6:O6"/>
    <mergeCell ref="A7:O7"/>
    <mergeCell ref="G12:J12"/>
    <mergeCell ref="K12:N12"/>
    <mergeCell ref="A8:O8"/>
    <mergeCell ref="A9:O9"/>
    <mergeCell ref="A10:O10"/>
    <mergeCell ref="A11:O11"/>
    <mergeCell ref="A12:A13"/>
    <mergeCell ref="B12:B13"/>
    <mergeCell ref="O12:O13"/>
    <mergeCell ref="C12:F12"/>
    <mergeCell ref="A20:O20"/>
    <mergeCell ref="A21:O21"/>
    <mergeCell ref="A22:O22"/>
    <mergeCell ref="A23:O23"/>
    <mergeCell ref="A24:O24"/>
    <mergeCell ref="A25:O25"/>
    <mergeCell ref="G30:J30"/>
    <mergeCell ref="K30:N30"/>
    <mergeCell ref="A26:O26"/>
    <mergeCell ref="A27:O27"/>
    <mergeCell ref="A28:O28"/>
    <mergeCell ref="A29:O29"/>
    <mergeCell ref="A30:A31"/>
    <mergeCell ref="B30:B31"/>
    <mergeCell ref="O30:O31"/>
    <mergeCell ref="G41:J41"/>
    <mergeCell ref="K41:N41"/>
    <mergeCell ref="A120:O120"/>
    <mergeCell ref="A121:O121"/>
    <mergeCell ref="A122:O122"/>
    <mergeCell ref="A123:O123"/>
    <mergeCell ref="A124:O124"/>
    <mergeCell ref="A125:O125"/>
    <mergeCell ref="A126:O126"/>
    <mergeCell ref="A127:O127"/>
    <mergeCell ref="A128:O128"/>
    <mergeCell ref="A129:O129"/>
    <mergeCell ref="A130:O130"/>
    <mergeCell ref="F131:O131"/>
    <mergeCell ref="F132:O132"/>
    <mergeCell ref="A133:O133"/>
    <mergeCell ref="A134:O134"/>
    <mergeCell ref="A135:O135"/>
    <mergeCell ref="A136:O136"/>
    <mergeCell ref="A137:O137"/>
    <mergeCell ref="A138:O138"/>
    <mergeCell ref="A139:O139"/>
    <mergeCell ref="A140:O140"/>
    <mergeCell ref="A148:O148"/>
    <mergeCell ref="A149:O149"/>
    <mergeCell ref="A150:O150"/>
    <mergeCell ref="A151:O151"/>
    <mergeCell ref="A141:O141"/>
    <mergeCell ref="A142:O142"/>
    <mergeCell ref="A143:O143"/>
    <mergeCell ref="A144:O144"/>
    <mergeCell ref="A145:O145"/>
    <mergeCell ref="A146:O146"/>
    <mergeCell ref="A147:O147"/>
    <mergeCell ref="C30:F30"/>
    <mergeCell ref="A38:O38"/>
    <mergeCell ref="A39:O39"/>
    <mergeCell ref="A40:O40"/>
    <mergeCell ref="A41:A42"/>
    <mergeCell ref="B41:B42"/>
    <mergeCell ref="O41:O42"/>
    <mergeCell ref="C41:F41"/>
    <mergeCell ref="A61:O61"/>
    <mergeCell ref="A62:O62"/>
    <mergeCell ref="A63:O63"/>
    <mergeCell ref="A64:O64"/>
    <mergeCell ref="A65:O65"/>
    <mergeCell ref="A66:O66"/>
    <mergeCell ref="B73:B74"/>
    <mergeCell ref="C73:F73"/>
    <mergeCell ref="G73:J73"/>
    <mergeCell ref="K73:N73"/>
    <mergeCell ref="A67:O67"/>
    <mergeCell ref="A68:O68"/>
    <mergeCell ref="A69:O69"/>
    <mergeCell ref="A70:O70"/>
    <mergeCell ref="A71:O71"/>
    <mergeCell ref="A72:O72"/>
    <mergeCell ref="A73:A74"/>
    <mergeCell ref="O73:O74"/>
    <mergeCell ref="A99:O99"/>
    <mergeCell ref="A100:O100"/>
    <mergeCell ref="A101:O101"/>
    <mergeCell ref="A102:O102"/>
    <mergeCell ref="A103:O103"/>
    <mergeCell ref="A104:O104"/>
    <mergeCell ref="A105:O105"/>
    <mergeCell ref="A106:A107"/>
    <mergeCell ref="B106:B107"/>
    <mergeCell ref="C106:F106"/>
    <mergeCell ref="G106:J106"/>
    <mergeCell ref="K106:N106"/>
    <mergeCell ref="O106:O107"/>
  </mergeCells>
  <hyperlinks>
    <hyperlink r:id="rId2" location="12" ref="A3"/>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outlineLevelRow="1"/>
  <cols>
    <col customWidth="1" min="3" max="3" width="5.38"/>
    <col customWidth="1" min="5" max="5" width="19.5"/>
    <col customWidth="1" min="8" max="8" width="7.88"/>
    <col customWidth="1" min="9" max="9" width="10.88"/>
    <col customWidth="1" min="10" max="10" width="9.88"/>
    <col customWidth="1" min="11" max="11" width="7.38"/>
    <col customWidth="1" min="12" max="12" width="8.13"/>
    <col customWidth="1" min="13" max="13" width="8.0"/>
    <col customWidth="1" min="14" max="14" width="7.88"/>
    <col customWidth="1" min="15" max="15" width="7.63"/>
    <col customWidth="1" min="16" max="16" width="9.63"/>
    <col customWidth="1" min="18" max="18" width="6.5"/>
    <col customWidth="1" min="20" max="20" width="6.38"/>
    <col customWidth="1" min="21" max="21" width="14.0"/>
    <col customWidth="1" min="22" max="22" width="9.0"/>
    <col customWidth="1" min="23" max="23" width="9.88"/>
    <col customWidth="1" min="24" max="24" width="5.13"/>
    <col customWidth="1" min="25" max="25" width="7.25"/>
    <col customWidth="1" min="26" max="27" width="5.88"/>
  </cols>
  <sheetData>
    <row r="1">
      <c r="A1" s="37"/>
      <c r="B1" s="37"/>
      <c r="C1" s="35"/>
      <c r="D1" s="35"/>
      <c r="E1" s="35"/>
      <c r="F1" s="37"/>
      <c r="G1" s="137"/>
      <c r="H1" s="138" t="s">
        <v>583</v>
      </c>
      <c r="I1" s="139"/>
      <c r="J1" s="139"/>
      <c r="K1" s="140"/>
      <c r="L1" s="138" t="s">
        <v>584</v>
      </c>
      <c r="M1" s="139"/>
      <c r="N1" s="139"/>
      <c r="O1" s="140"/>
      <c r="P1" s="141" t="s">
        <v>585</v>
      </c>
      <c r="Q1" s="139"/>
      <c r="R1" s="139"/>
      <c r="S1" s="139"/>
      <c r="T1" s="139"/>
      <c r="U1" s="139"/>
      <c r="V1" s="140"/>
      <c r="W1" s="138" t="s">
        <v>587</v>
      </c>
      <c r="X1" s="139"/>
      <c r="Y1" s="139"/>
      <c r="Z1" s="140"/>
      <c r="AA1" s="142"/>
    </row>
    <row r="2">
      <c r="A2" s="37"/>
      <c r="B2" s="37"/>
      <c r="C2" s="37" t="s">
        <v>15</v>
      </c>
      <c r="D2" s="37" t="s">
        <v>588</v>
      </c>
      <c r="E2" s="37" t="s">
        <v>589</v>
      </c>
      <c r="F2" s="37" t="s">
        <v>590</v>
      </c>
      <c r="G2" s="137" t="s">
        <v>591</v>
      </c>
      <c r="H2" s="143" t="s">
        <v>427</v>
      </c>
      <c r="I2" s="12" t="s">
        <v>592</v>
      </c>
      <c r="J2" s="12" t="s">
        <v>593</v>
      </c>
      <c r="K2" s="144" t="s">
        <v>594</v>
      </c>
      <c r="L2" s="143" t="s">
        <v>595</v>
      </c>
      <c r="M2" s="12" t="s">
        <v>596</v>
      </c>
      <c r="N2" s="12" t="s">
        <v>597</v>
      </c>
      <c r="O2" s="144" t="s">
        <v>598</v>
      </c>
      <c r="P2" s="145" t="s">
        <v>257</v>
      </c>
      <c r="Q2" s="146" t="s">
        <v>599</v>
      </c>
      <c r="R2" s="146" t="s">
        <v>68</v>
      </c>
      <c r="S2" s="146" t="s">
        <v>600</v>
      </c>
      <c r="T2" s="146" t="s">
        <v>6</v>
      </c>
      <c r="U2" s="146" t="s">
        <v>601</v>
      </c>
      <c r="V2" s="147" t="s">
        <v>602</v>
      </c>
      <c r="W2" s="145" t="s">
        <v>78</v>
      </c>
      <c r="X2" s="146" t="s">
        <v>77</v>
      </c>
      <c r="Y2" s="146" t="s">
        <v>76</v>
      </c>
      <c r="Z2" s="147" t="s">
        <v>533</v>
      </c>
      <c r="AA2" s="146"/>
    </row>
    <row r="3">
      <c r="A3" s="37">
        <v>1.0</v>
      </c>
      <c r="B3" s="37" t="s">
        <v>65</v>
      </c>
      <c r="C3" s="35">
        <v>10.0</v>
      </c>
      <c r="D3" s="35" t="s">
        <v>421</v>
      </c>
      <c r="E3" s="33" t="str">
        <f t="array" ref="E3">INDEX(ALLCLASSDATA,MATCH("ClassType",CLASSFEATUREHEADERS,0),MATCH(B3,CLASSNAMEHEADERS,0))</f>
        <v>Soldier</v>
      </c>
      <c r="F3" s="37" t="b">
        <v>1</v>
      </c>
      <c r="G3" s="137" t="b">
        <v>1</v>
      </c>
      <c r="H3" s="148">
        <v>2.0</v>
      </c>
      <c r="I3" s="149">
        <v>1.0</v>
      </c>
      <c r="J3" s="149">
        <v>1.0</v>
      </c>
      <c r="K3" s="150">
        <v>4.0</v>
      </c>
      <c r="L3" s="151" t="s">
        <v>605</v>
      </c>
      <c r="M3" s="35" t="s">
        <v>606</v>
      </c>
      <c r="N3" s="149" t="s">
        <v>605</v>
      </c>
      <c r="O3" s="150" t="s">
        <v>606</v>
      </c>
      <c r="P3" s="143" t="s">
        <v>607</v>
      </c>
      <c r="R3" s="12" t="s">
        <v>607</v>
      </c>
      <c r="T3" s="12" t="s">
        <v>607</v>
      </c>
      <c r="V3" s="150"/>
      <c r="W3" s="152" t="s">
        <v>608</v>
      </c>
      <c r="X3" s="13" t="s">
        <v>608</v>
      </c>
      <c r="Y3" s="13" t="s">
        <v>608</v>
      </c>
      <c r="Z3" s="153" t="s">
        <v>608</v>
      </c>
      <c r="AA3" s="9"/>
    </row>
    <row r="4">
      <c r="A4" s="37">
        <v>2.0</v>
      </c>
      <c r="B4" s="37" t="s">
        <v>95</v>
      </c>
      <c r="C4" s="35">
        <v>10.0</v>
      </c>
      <c r="D4" s="35" t="s">
        <v>421</v>
      </c>
      <c r="E4" s="33" t="str">
        <f t="array" ref="E4">INDEX(ALLCLASSDATA,MATCH("ClassType",CLASSFEATUREHEADERS,0),MATCH(B4,CLASSNAMEHEADERS,0))</f>
        <v>Skirmisher</v>
      </c>
      <c r="F4" s="37" t="b">
        <v>1</v>
      </c>
      <c r="G4" s="137"/>
      <c r="H4" s="148">
        <v>4.0</v>
      </c>
      <c r="J4" s="149">
        <v>0.0</v>
      </c>
      <c r="K4" s="150">
        <v>4.0</v>
      </c>
      <c r="L4" s="151" t="s">
        <v>605</v>
      </c>
      <c r="M4" s="35" t="s">
        <v>609</v>
      </c>
      <c r="N4" s="149" t="s">
        <v>609</v>
      </c>
      <c r="O4" s="150" t="s">
        <v>609</v>
      </c>
      <c r="P4" s="143" t="s">
        <v>607</v>
      </c>
      <c r="R4" s="12" t="s">
        <v>607</v>
      </c>
      <c r="V4" s="150"/>
      <c r="W4" s="152" t="s">
        <v>610</v>
      </c>
      <c r="X4" s="9"/>
      <c r="Y4" s="9"/>
      <c r="Z4" s="154"/>
      <c r="AA4" s="9"/>
    </row>
    <row r="5">
      <c r="A5" s="37">
        <v>3.0</v>
      </c>
      <c r="B5" s="37" t="s">
        <v>109</v>
      </c>
      <c r="C5" s="35">
        <v>10.0</v>
      </c>
      <c r="D5" s="35" t="s">
        <v>421</v>
      </c>
      <c r="E5" s="33" t="str">
        <f t="array" ref="E5">INDEX(ALLCLASSDATA,MATCH("ClassType",CLASSFEATUREHEADERS,0),MATCH(B5,CLASSNAMEHEADERS,0))</f>
        <v>Soldier</v>
      </c>
      <c r="F5" s="37" t="b">
        <v>1</v>
      </c>
      <c r="G5" s="137" t="b">
        <v>1</v>
      </c>
      <c r="H5" s="148">
        <v>4.0</v>
      </c>
      <c r="J5" s="149">
        <v>0.0</v>
      </c>
      <c r="K5" s="150">
        <v>4.0</v>
      </c>
      <c r="L5" s="151" t="s">
        <v>606</v>
      </c>
      <c r="M5" s="35" t="s">
        <v>606</v>
      </c>
      <c r="N5" s="149" t="s">
        <v>606</v>
      </c>
      <c r="O5" s="150" t="s">
        <v>605</v>
      </c>
      <c r="P5" s="143" t="s">
        <v>610</v>
      </c>
      <c r="Q5" s="12" t="s">
        <v>610</v>
      </c>
      <c r="R5" s="12" t="s">
        <v>610</v>
      </c>
      <c r="S5" s="12" t="s">
        <v>610</v>
      </c>
      <c r="T5" s="12" t="s">
        <v>610</v>
      </c>
      <c r="U5" s="12" t="s">
        <v>608</v>
      </c>
      <c r="V5" s="144" t="s">
        <v>607</v>
      </c>
      <c r="W5" s="152" t="s">
        <v>607</v>
      </c>
      <c r="X5" s="13" t="s">
        <v>607</v>
      </c>
      <c r="Y5" s="13" t="s">
        <v>607</v>
      </c>
      <c r="Z5" s="153" t="s">
        <v>607</v>
      </c>
      <c r="AA5" s="33"/>
    </row>
    <row r="6">
      <c r="A6" s="37">
        <v>4.0</v>
      </c>
      <c r="B6" s="37" t="s">
        <v>114</v>
      </c>
      <c r="C6" s="35">
        <v>12.0</v>
      </c>
      <c r="D6" s="35" t="s">
        <v>259</v>
      </c>
      <c r="E6" s="33" t="str">
        <f t="array" ref="E6">INDEX(ALLCLASSDATA,MATCH("ClassType",CLASSFEATUREHEADERS,0),MATCH(B6,CLASSNAMEHEADERS,0))</f>
        <v>Brute</v>
      </c>
      <c r="F6" s="37" t="b">
        <v>1</v>
      </c>
      <c r="G6" s="137"/>
      <c r="H6" s="148">
        <v>3.0</v>
      </c>
      <c r="J6" s="149">
        <v>1.0</v>
      </c>
      <c r="K6" s="150">
        <v>4.0</v>
      </c>
      <c r="L6" s="151" t="s">
        <v>606</v>
      </c>
      <c r="M6" s="35" t="s">
        <v>610</v>
      </c>
      <c r="N6" s="149" t="s">
        <v>605</v>
      </c>
      <c r="O6" s="150" t="s">
        <v>606</v>
      </c>
      <c r="P6" s="143" t="s">
        <v>607</v>
      </c>
      <c r="R6" s="12" t="s">
        <v>607</v>
      </c>
      <c r="T6" s="12" t="s">
        <v>607</v>
      </c>
      <c r="V6" s="150"/>
      <c r="W6" s="152" t="s">
        <v>607</v>
      </c>
      <c r="X6" s="13" t="s">
        <v>607</v>
      </c>
      <c r="Y6" s="13" t="s">
        <v>607</v>
      </c>
      <c r="Z6" s="154"/>
      <c r="AA6" s="9"/>
    </row>
    <row r="7">
      <c r="A7" s="37">
        <v>5.0</v>
      </c>
      <c r="B7" s="37" t="s">
        <v>124</v>
      </c>
      <c r="C7" s="35">
        <v>10.0</v>
      </c>
      <c r="D7" s="35" t="s">
        <v>421</v>
      </c>
      <c r="E7" s="33" t="str">
        <f t="array" ref="E7">INDEX(ALLCLASSDATA,MATCH("ClassType",CLASSFEATUREHEADERS,0),MATCH(B7,CLASSNAMEHEADERS,0))</f>
        <v>Sniper</v>
      </c>
      <c r="F7" s="37" t="b">
        <v>1</v>
      </c>
      <c r="G7" s="137"/>
      <c r="H7" s="148">
        <v>4.0</v>
      </c>
      <c r="J7" s="149">
        <v>2.0</v>
      </c>
      <c r="K7" s="150">
        <v>6.0</v>
      </c>
      <c r="L7" s="151" t="s">
        <v>610</v>
      </c>
      <c r="M7" s="35" t="s">
        <v>606</v>
      </c>
      <c r="N7" s="149" t="s">
        <v>610</v>
      </c>
      <c r="O7" s="150" t="s">
        <v>605</v>
      </c>
      <c r="P7" s="143" t="s">
        <v>607</v>
      </c>
      <c r="R7" s="12" t="s">
        <v>607</v>
      </c>
      <c r="T7" s="12" t="s">
        <v>607</v>
      </c>
      <c r="V7" s="150"/>
      <c r="W7" s="152" t="s">
        <v>607</v>
      </c>
      <c r="X7" s="13" t="s">
        <v>607</v>
      </c>
      <c r="Y7" s="13" t="s">
        <v>607</v>
      </c>
      <c r="Z7" s="154"/>
      <c r="AA7" s="9"/>
    </row>
    <row r="8">
      <c r="A8" s="37">
        <v>6.0</v>
      </c>
      <c r="B8" s="37" t="s">
        <v>138</v>
      </c>
      <c r="C8" s="35">
        <v>8.0</v>
      </c>
      <c r="D8" s="35" t="s">
        <v>422</v>
      </c>
      <c r="E8" s="33" t="str">
        <f t="array" ref="E8">INDEX(ALLCLASSDATA,MATCH("ClassType",CLASSFEATUREHEADERS,0),MATCH(B8,CLASSNAMEHEADERS,0))</f>
        <v>Skill Paragon</v>
      </c>
      <c r="F8" s="37" t="b">
        <v>1</v>
      </c>
      <c r="G8" s="137"/>
      <c r="H8" s="148">
        <v>7.0</v>
      </c>
      <c r="J8" s="149">
        <v>1.0</v>
      </c>
      <c r="K8" s="150">
        <v>8.0</v>
      </c>
      <c r="L8" s="151" t="s">
        <v>610</v>
      </c>
      <c r="M8" s="35" t="s">
        <v>605</v>
      </c>
      <c r="N8" s="149" t="s">
        <v>610</v>
      </c>
      <c r="O8" s="150" t="s">
        <v>609</v>
      </c>
      <c r="P8" s="143" t="s">
        <v>607</v>
      </c>
      <c r="R8" s="12" t="s">
        <v>607</v>
      </c>
      <c r="S8" s="12" t="s">
        <v>607</v>
      </c>
      <c r="V8" s="150"/>
      <c r="W8" s="152" t="s">
        <v>607</v>
      </c>
      <c r="X8" s="13" t="s">
        <v>607</v>
      </c>
      <c r="Y8" s="9"/>
      <c r="Z8" s="154"/>
      <c r="AA8" s="9"/>
    </row>
    <row r="9">
      <c r="A9" s="37">
        <v>7.0</v>
      </c>
      <c r="B9" s="37" t="s">
        <v>144</v>
      </c>
      <c r="C9" s="35">
        <v>8.0</v>
      </c>
      <c r="D9" s="35" t="s">
        <v>262</v>
      </c>
      <c r="E9" s="33" t="str">
        <f t="array" ref="E9">INDEX(ALLCLASSDATA,MATCH("ClassType",CLASSFEATUREHEADERS,0),MATCH(B9,CLASSNAMEHEADERS,0))</f>
        <v>Skirmisher</v>
      </c>
      <c r="F9" s="37" t="b">
        <v>1</v>
      </c>
      <c r="G9" s="137"/>
      <c r="H9" s="148">
        <v>4.0</v>
      </c>
      <c r="J9" s="149">
        <v>1.0</v>
      </c>
      <c r="K9" s="150">
        <v>5.0</v>
      </c>
      <c r="L9" s="151" t="s">
        <v>610</v>
      </c>
      <c r="M9" s="35" t="s">
        <v>605</v>
      </c>
      <c r="N9" s="149" t="s">
        <v>606</v>
      </c>
      <c r="O9" s="150" t="s">
        <v>610</v>
      </c>
      <c r="P9" s="143" t="s">
        <v>607</v>
      </c>
      <c r="R9" s="12" t="s">
        <v>607</v>
      </c>
      <c r="T9" s="12" t="s">
        <v>607</v>
      </c>
      <c r="V9" s="150"/>
      <c r="W9" s="152" t="s">
        <v>607</v>
      </c>
      <c r="X9" s="13" t="s">
        <v>607</v>
      </c>
      <c r="Y9" s="9"/>
      <c r="Z9" s="154"/>
      <c r="AA9" s="9"/>
    </row>
    <row r="10">
      <c r="A10" s="37">
        <v>8.0</v>
      </c>
      <c r="B10" s="37" t="s">
        <v>170</v>
      </c>
      <c r="C10" s="35">
        <v>8.0</v>
      </c>
      <c r="D10" s="35" t="s">
        <v>264</v>
      </c>
      <c r="E10" s="33" t="str">
        <f t="array" ref="E10">INDEX(ALLCLASSDATA,MATCH("ClassType",CLASSFEATUREHEADERS,0),MATCH(B10,CLASSNAMEHEADERS,0))</f>
        <v>Skill Paragon</v>
      </c>
      <c r="F10" s="37" t="b">
        <v>1</v>
      </c>
      <c r="G10" s="137"/>
      <c r="H10" s="12">
        <v>3.0</v>
      </c>
      <c r="J10" s="149">
        <v>4.0</v>
      </c>
      <c r="K10" s="144">
        <v>7.0</v>
      </c>
      <c r="L10" s="35" t="s">
        <v>606</v>
      </c>
      <c r="M10" s="35" t="s">
        <v>606</v>
      </c>
      <c r="N10" s="149" t="s">
        <v>605</v>
      </c>
      <c r="O10" s="150" t="s">
        <v>610</v>
      </c>
      <c r="P10" s="12" t="s">
        <v>607</v>
      </c>
      <c r="R10" s="12" t="s">
        <v>607</v>
      </c>
      <c r="T10" s="12" t="s">
        <v>607</v>
      </c>
      <c r="V10" s="150"/>
      <c r="W10" s="13" t="s">
        <v>607</v>
      </c>
      <c r="X10" s="13" t="s">
        <v>607</v>
      </c>
      <c r="Y10" s="13" t="s">
        <v>607</v>
      </c>
      <c r="Z10" s="154"/>
      <c r="AA10" s="9"/>
    </row>
    <row r="11">
      <c r="A11" s="37">
        <v>9.0</v>
      </c>
      <c r="B11" s="37" t="s">
        <v>176</v>
      </c>
      <c r="C11" s="35">
        <v>10.0</v>
      </c>
      <c r="D11" s="35" t="s">
        <v>260</v>
      </c>
      <c r="E11" s="33" t="str">
        <f t="array" ref="E11">INDEX(ALLCLASSDATA,MATCH("ClassType",CLASSFEATUREHEADERS,0),MATCH(B11,CLASSNAMEHEADERS,0))</f>
        <v>Skill Paragon</v>
      </c>
      <c r="F11" s="37" t="b">
        <v>1</v>
      </c>
      <c r="G11" s="137"/>
      <c r="H11" s="148">
        <v>4.0</v>
      </c>
      <c r="I11" s="149">
        <v>1.0</v>
      </c>
      <c r="J11" s="149">
        <v>1.0</v>
      </c>
      <c r="K11" s="150">
        <v>6.0</v>
      </c>
      <c r="L11" s="151" t="s">
        <v>606</v>
      </c>
      <c r="M11" s="35" t="s">
        <v>605</v>
      </c>
      <c r="N11" s="149" t="s">
        <v>610</v>
      </c>
      <c r="O11" s="150" t="s">
        <v>606</v>
      </c>
      <c r="P11" s="143" t="s">
        <v>607</v>
      </c>
      <c r="R11" s="12" t="s">
        <v>607</v>
      </c>
      <c r="T11" s="12" t="s">
        <v>607</v>
      </c>
      <c r="V11" s="150"/>
      <c r="W11" s="152" t="s">
        <v>607</v>
      </c>
      <c r="X11" s="13" t="s">
        <v>607</v>
      </c>
      <c r="Y11" s="9"/>
      <c r="Z11" s="154"/>
      <c r="AA11" s="9"/>
    </row>
    <row r="12">
      <c r="A12" s="37">
        <v>10.0</v>
      </c>
      <c r="B12" s="37" t="s">
        <v>180</v>
      </c>
      <c r="C12" s="35">
        <v>8.0</v>
      </c>
      <c r="D12" s="35" t="s">
        <v>260</v>
      </c>
      <c r="E12" s="33" t="str">
        <f t="array" ref="E12">INDEX(ALLCLASSDATA,MATCH("ClassType",CLASSFEATUREHEADERS,0),MATCH(B12,CLASSNAMEHEADERS,0))</f>
        <v>Sniper</v>
      </c>
      <c r="F12" s="37" t="b">
        <v>1</v>
      </c>
      <c r="G12" s="137"/>
      <c r="H12" s="148">
        <v>3.0</v>
      </c>
      <c r="I12" s="149">
        <v>1.0</v>
      </c>
      <c r="J12" s="149">
        <v>0.0</v>
      </c>
      <c r="K12" s="150">
        <v>4.0</v>
      </c>
      <c r="L12" s="151" t="s">
        <v>610</v>
      </c>
      <c r="M12" s="35" t="s">
        <v>606</v>
      </c>
      <c r="N12" s="149" t="s">
        <v>606</v>
      </c>
      <c r="O12" s="150" t="s">
        <v>605</v>
      </c>
      <c r="P12" s="143" t="s">
        <v>607</v>
      </c>
      <c r="Q12" s="12" t="s">
        <v>610</v>
      </c>
      <c r="R12" s="12" t="s">
        <v>607</v>
      </c>
      <c r="S12" s="12" t="s">
        <v>610</v>
      </c>
      <c r="T12" s="12" t="s">
        <v>607</v>
      </c>
      <c r="U12" s="12" t="s">
        <v>607</v>
      </c>
      <c r="V12" s="150"/>
      <c r="W12" s="152" t="s">
        <v>607</v>
      </c>
      <c r="X12" s="13" t="s">
        <v>607</v>
      </c>
      <c r="Y12" s="13" t="s">
        <v>607</v>
      </c>
      <c r="Z12" s="154"/>
      <c r="AA12" s="9"/>
    </row>
    <row r="13">
      <c r="A13" s="37">
        <v>11.0</v>
      </c>
      <c r="B13" s="37" t="s">
        <v>185</v>
      </c>
      <c r="C13" s="35">
        <v>8.0</v>
      </c>
      <c r="D13" s="35" t="s">
        <v>262</v>
      </c>
      <c r="E13" s="33" t="str">
        <f t="array" ref="E13">INDEX(ALLCLASSDATA,MATCH("ClassType",CLASSFEATUREHEADERS,0),MATCH(B13,CLASSNAMEHEADERS,0))</f>
        <v>Brute</v>
      </c>
      <c r="F13" s="37" t="b">
        <v>1</v>
      </c>
      <c r="G13" s="137" t="b">
        <v>1</v>
      </c>
      <c r="H13" s="148">
        <v>3.0</v>
      </c>
      <c r="J13" s="149">
        <v>1.0</v>
      </c>
      <c r="K13" s="150">
        <v>4.0</v>
      </c>
      <c r="L13" s="151" t="s">
        <v>605</v>
      </c>
      <c r="M13" s="35" t="s">
        <v>606</v>
      </c>
      <c r="N13" s="149" t="s">
        <v>605</v>
      </c>
      <c r="O13" s="150" t="s">
        <v>606</v>
      </c>
      <c r="P13" s="143" t="s">
        <v>607</v>
      </c>
      <c r="R13" s="12" t="s">
        <v>607</v>
      </c>
      <c r="T13" s="12" t="s">
        <v>607</v>
      </c>
      <c r="V13" s="150"/>
      <c r="W13" s="152" t="s">
        <v>607</v>
      </c>
      <c r="X13" s="13" t="s">
        <v>607</v>
      </c>
      <c r="Y13" s="13" t="s">
        <v>607</v>
      </c>
      <c r="Z13" s="154"/>
      <c r="AA13" s="9"/>
    </row>
    <row r="14">
      <c r="A14" s="37">
        <v>12.0</v>
      </c>
      <c r="B14" s="37" t="s">
        <v>189</v>
      </c>
      <c r="C14" s="35">
        <v>8.0</v>
      </c>
      <c r="D14" s="35" t="s">
        <v>262</v>
      </c>
      <c r="E14" s="33" t="str">
        <f t="array" ref="E14">INDEX(ALLCLASSDATA,MATCH("ClassType",CLASSFEATUREHEADERS,0),MATCH(B14,CLASSNAMEHEADERS,0))</f>
        <v>Brute</v>
      </c>
      <c r="F14" s="37" t="b">
        <v>1</v>
      </c>
      <c r="G14" s="137"/>
      <c r="H14" s="148">
        <v>3.0</v>
      </c>
      <c r="J14" s="149">
        <v>1.0</v>
      </c>
      <c r="K14" s="150">
        <v>4.0</v>
      </c>
      <c r="L14" s="151" t="s">
        <v>605</v>
      </c>
      <c r="M14" s="35" t="s">
        <v>606</v>
      </c>
      <c r="N14" s="149" t="s">
        <v>606</v>
      </c>
      <c r="O14" s="150" t="s">
        <v>605</v>
      </c>
      <c r="P14" s="143" t="s">
        <v>605</v>
      </c>
      <c r="R14" s="12" t="s">
        <v>605</v>
      </c>
      <c r="S14" s="12" t="s">
        <v>605</v>
      </c>
      <c r="V14" s="150"/>
      <c r="W14" s="152" t="s">
        <v>607</v>
      </c>
      <c r="X14" s="13" t="s">
        <v>607</v>
      </c>
      <c r="Y14" s="13" t="s">
        <v>607</v>
      </c>
      <c r="Z14" s="154"/>
      <c r="AA14" s="9"/>
    </row>
    <row r="15">
      <c r="A15" s="37">
        <v>13.0</v>
      </c>
      <c r="B15" s="37" t="s">
        <v>195</v>
      </c>
      <c r="C15" s="35">
        <v>10.0</v>
      </c>
      <c r="D15" s="35" t="s">
        <v>264</v>
      </c>
      <c r="E15" s="33" t="str">
        <f t="array" ref="E15">INDEX(ALLCLASSDATA,MATCH("ClassType",CLASSFEATUREHEADERS,0),MATCH(B15,CLASSNAMEHEADERS,0))</f>
        <v>Magical Striker</v>
      </c>
      <c r="F15" s="37" t="b">
        <v>1</v>
      </c>
      <c r="G15" s="137"/>
      <c r="H15" s="148">
        <v>3.0</v>
      </c>
      <c r="I15" s="149">
        <v>1.0</v>
      </c>
      <c r="J15" s="149">
        <v>0.0</v>
      </c>
      <c r="K15" s="150">
        <v>4.0</v>
      </c>
      <c r="L15" s="151" t="s">
        <v>605</v>
      </c>
      <c r="M15" s="35" t="s">
        <v>606</v>
      </c>
      <c r="N15" s="149" t="s">
        <v>605</v>
      </c>
      <c r="O15" s="150" t="s">
        <v>606</v>
      </c>
      <c r="P15" s="143" t="s">
        <v>605</v>
      </c>
      <c r="R15" s="12" t="s">
        <v>605</v>
      </c>
      <c r="V15" s="150"/>
      <c r="W15" s="152" t="s">
        <v>605</v>
      </c>
      <c r="X15" s="9"/>
      <c r="Y15" s="9"/>
      <c r="Z15" s="154"/>
      <c r="AA15" s="9"/>
    </row>
    <row r="16">
      <c r="A16" s="37">
        <v>14.0</v>
      </c>
      <c r="B16" s="37" t="s">
        <v>199</v>
      </c>
      <c r="C16" s="35">
        <v>8.0</v>
      </c>
      <c r="D16" s="35" t="s">
        <v>421</v>
      </c>
      <c r="E16" s="33" t="str">
        <f t="array" ref="E16">INDEX(ALLCLASSDATA,MATCH("ClassType",CLASSFEATUREHEADERS,0),MATCH(B16,CLASSNAMEHEADERS,0))</f>
        <v>Magical Striker</v>
      </c>
      <c r="F16" s="37"/>
      <c r="G16" s="137"/>
      <c r="H16" s="148">
        <v>2.0</v>
      </c>
      <c r="J16" s="149">
        <v>1.0</v>
      </c>
      <c r="K16" s="150">
        <v>3.0</v>
      </c>
      <c r="L16" s="151" t="s">
        <v>605</v>
      </c>
      <c r="M16" s="35" t="s">
        <v>606</v>
      </c>
      <c r="N16" s="149" t="s">
        <v>605</v>
      </c>
      <c r="O16" s="150" t="s">
        <v>606</v>
      </c>
      <c r="P16" s="143" t="s">
        <v>607</v>
      </c>
      <c r="R16" s="12" t="s">
        <v>607</v>
      </c>
      <c r="T16" s="12" t="s">
        <v>607</v>
      </c>
      <c r="V16" s="150"/>
      <c r="W16" s="152" t="s">
        <v>607</v>
      </c>
      <c r="X16" s="13" t="s">
        <v>607</v>
      </c>
      <c r="Y16" s="13" t="s">
        <v>607</v>
      </c>
      <c r="Z16" s="154"/>
      <c r="AA16" s="9"/>
    </row>
    <row r="17">
      <c r="A17" s="37">
        <v>15.0</v>
      </c>
      <c r="B17" s="37" t="s">
        <v>211</v>
      </c>
      <c r="C17" s="35">
        <v>8.0</v>
      </c>
      <c r="D17" s="35" t="s">
        <v>263</v>
      </c>
      <c r="E17" s="33" t="str">
        <f t="array" ref="E17">INDEX(ALLCLASSDATA,MATCH("ClassType",CLASSFEATUREHEADERS,0),MATCH(B17,CLASSNAMEHEADERS,0))</f>
        <v>Magical Striker</v>
      </c>
      <c r="F17" s="37"/>
      <c r="G17" s="137" t="b">
        <v>1</v>
      </c>
      <c r="H17" s="148">
        <v>2.0</v>
      </c>
      <c r="I17" s="149">
        <v>1.0</v>
      </c>
      <c r="J17" s="149">
        <v>1.0</v>
      </c>
      <c r="K17" s="150">
        <v>4.0</v>
      </c>
      <c r="L17" s="151" t="s">
        <v>605</v>
      </c>
      <c r="M17" s="35" t="s">
        <v>606</v>
      </c>
      <c r="N17" s="149" t="s">
        <v>605</v>
      </c>
      <c r="O17" s="150" t="s">
        <v>606</v>
      </c>
      <c r="P17" s="143" t="s">
        <v>605</v>
      </c>
      <c r="R17" s="12" t="s">
        <v>605</v>
      </c>
      <c r="S17" s="12" t="s">
        <v>605</v>
      </c>
      <c r="T17" s="12" t="s">
        <v>613</v>
      </c>
      <c r="V17" s="150"/>
      <c r="W17" s="152" t="s">
        <v>605</v>
      </c>
      <c r="X17" s="13" t="s">
        <v>605</v>
      </c>
      <c r="Y17" s="13" t="s">
        <v>605</v>
      </c>
      <c r="Z17" s="154"/>
      <c r="AA17" s="9"/>
    </row>
    <row r="18">
      <c r="A18" s="37">
        <v>16.0</v>
      </c>
      <c r="B18" s="37" t="s">
        <v>219</v>
      </c>
      <c r="C18" s="35">
        <v>8.0</v>
      </c>
      <c r="D18" s="35" t="s">
        <v>263</v>
      </c>
      <c r="E18" s="33" t="str">
        <f t="array" ref="E18">INDEX(ALLCLASSDATA,MATCH("ClassType",CLASSFEATUREHEADERS,0),MATCH(B18,CLASSNAMEHEADERS,0))</f>
        <v>Spellcaster</v>
      </c>
      <c r="F18" s="37"/>
      <c r="G18" s="137"/>
      <c r="H18" s="148">
        <v>2.0</v>
      </c>
      <c r="I18" s="149">
        <v>1.0</v>
      </c>
      <c r="J18" s="149">
        <v>1.0</v>
      </c>
      <c r="K18" s="150">
        <v>4.0</v>
      </c>
      <c r="L18" s="151" t="s">
        <v>605</v>
      </c>
      <c r="M18" s="35" t="s">
        <v>605</v>
      </c>
      <c r="N18" s="149" t="s">
        <v>605</v>
      </c>
      <c r="O18" s="150" t="s">
        <v>606</v>
      </c>
      <c r="P18" s="143" t="s">
        <v>605</v>
      </c>
      <c r="R18" s="12" t="s">
        <v>605</v>
      </c>
      <c r="S18" s="12" t="s">
        <v>605</v>
      </c>
      <c r="V18" s="150"/>
      <c r="W18" s="152" t="s">
        <v>605</v>
      </c>
      <c r="X18" s="9"/>
      <c r="Y18" s="9"/>
      <c r="Z18" s="154"/>
      <c r="AA18" s="9"/>
    </row>
    <row r="19">
      <c r="A19" s="37">
        <v>17.0</v>
      </c>
      <c r="B19" s="37" t="s">
        <v>221</v>
      </c>
      <c r="C19" s="35">
        <v>8.0</v>
      </c>
      <c r="D19" s="35" t="s">
        <v>264</v>
      </c>
      <c r="E19" s="33" t="str">
        <f t="array" ref="E19">INDEX(ALLCLASSDATA,MATCH("ClassType",CLASSFEATUREHEADERS,0),MATCH(B19,CLASSNAMEHEADERS,0))</f>
        <v>Spellcaster</v>
      </c>
      <c r="F19" s="37" t="b">
        <v>1</v>
      </c>
      <c r="G19" s="137"/>
      <c r="H19" s="148">
        <v>4.0</v>
      </c>
      <c r="J19" s="149">
        <v>2.0</v>
      </c>
      <c r="K19" s="150">
        <v>6.0</v>
      </c>
      <c r="L19" s="151" t="s">
        <v>606</v>
      </c>
      <c r="M19" s="35" t="s">
        <v>605</v>
      </c>
      <c r="N19" s="149" t="s">
        <v>605</v>
      </c>
      <c r="O19" s="150" t="s">
        <v>610</v>
      </c>
      <c r="P19" s="143" t="s">
        <v>605</v>
      </c>
      <c r="R19" s="12" t="s">
        <v>605</v>
      </c>
      <c r="S19" s="12" t="s">
        <v>605</v>
      </c>
      <c r="V19" s="150"/>
      <c r="W19" s="152" t="s">
        <v>605</v>
      </c>
      <c r="X19" s="13" t="s">
        <v>605</v>
      </c>
      <c r="Y19" s="9"/>
      <c r="Z19" s="154"/>
      <c r="AA19" s="9"/>
    </row>
    <row r="20">
      <c r="A20" s="37">
        <v>18.0</v>
      </c>
      <c r="B20" s="37" t="s">
        <v>223</v>
      </c>
      <c r="C20" s="35">
        <v>8.0</v>
      </c>
      <c r="D20" s="35" t="s">
        <v>264</v>
      </c>
      <c r="E20" s="33" t="str">
        <f t="array" ref="E20">INDEX(ALLCLASSDATA,MATCH("ClassType",CLASSFEATUREHEADERS,0),MATCH(B20,CLASSNAMEHEADERS,0))</f>
        <v>Spellcaster</v>
      </c>
      <c r="F20" s="37"/>
      <c r="G20" s="137"/>
      <c r="H20" s="148">
        <v>3.0</v>
      </c>
      <c r="I20" s="149">
        <v>1.0</v>
      </c>
      <c r="J20" s="149">
        <v>1.0</v>
      </c>
      <c r="K20" s="150">
        <v>5.0</v>
      </c>
      <c r="L20" s="151" t="s">
        <v>605</v>
      </c>
      <c r="M20" s="35" t="s">
        <v>605</v>
      </c>
      <c r="N20" s="149" t="s">
        <v>605</v>
      </c>
      <c r="O20" s="150" t="s">
        <v>610</v>
      </c>
      <c r="P20" s="143" t="s">
        <v>605</v>
      </c>
      <c r="R20" s="12" t="s">
        <v>605</v>
      </c>
      <c r="V20" s="150"/>
      <c r="W20" s="152" t="s">
        <v>605</v>
      </c>
      <c r="X20" s="13" t="s">
        <v>605</v>
      </c>
      <c r="Y20" s="9"/>
      <c r="Z20" s="154"/>
      <c r="AA20" s="9"/>
    </row>
    <row r="21">
      <c r="A21" s="37">
        <v>19.0</v>
      </c>
      <c r="B21" s="37" t="s">
        <v>225</v>
      </c>
      <c r="C21" s="35">
        <v>8.0</v>
      </c>
      <c r="D21" s="35" t="s">
        <v>263</v>
      </c>
      <c r="E21" s="33" t="str">
        <f t="array" ref="E21">INDEX(ALLCLASSDATA,MATCH("ClassType",CLASSFEATUREHEADERS,0),MATCH(B21,CLASSNAMEHEADERS,0))</f>
        <v>Spellcaster</v>
      </c>
      <c r="F21" s="37" t="b">
        <v>1</v>
      </c>
      <c r="G21" s="137" t="b">
        <v>1</v>
      </c>
      <c r="H21" s="148">
        <v>2.0</v>
      </c>
      <c r="I21" s="149">
        <v>1.0</v>
      </c>
      <c r="J21" s="149">
        <v>1.0</v>
      </c>
      <c r="K21" s="150">
        <v>4.0</v>
      </c>
      <c r="L21" s="151" t="s">
        <v>605</v>
      </c>
      <c r="M21" s="35" t="s">
        <v>605</v>
      </c>
      <c r="N21" s="149" t="s">
        <v>605</v>
      </c>
      <c r="O21" s="150" t="s">
        <v>606</v>
      </c>
      <c r="P21" s="143" t="s">
        <v>605</v>
      </c>
      <c r="R21" s="12" t="s">
        <v>605</v>
      </c>
      <c r="V21" s="150"/>
      <c r="W21" s="152" t="s">
        <v>605</v>
      </c>
      <c r="X21" s="13" t="s">
        <v>605</v>
      </c>
      <c r="Y21" s="13" t="s">
        <v>605</v>
      </c>
      <c r="Z21" s="154"/>
      <c r="AA21" s="9"/>
    </row>
    <row r="22">
      <c r="A22" s="37">
        <v>20.0</v>
      </c>
      <c r="B22" s="37" t="s">
        <v>227</v>
      </c>
      <c r="C22" s="35">
        <v>6.0</v>
      </c>
      <c r="D22" s="35" t="s">
        <v>423</v>
      </c>
      <c r="E22" s="33" t="str">
        <f t="array" ref="E22">INDEX(ALLCLASSDATA,MATCH("ClassType",CLASSFEATUREHEADERS,0),MATCH(B22,CLASSNAMEHEADERS,0))</f>
        <v>Spellcaster</v>
      </c>
      <c r="F22" s="37"/>
      <c r="G22" s="137"/>
      <c r="H22" s="148">
        <v>3.0</v>
      </c>
      <c r="J22" s="149">
        <v>1.0</v>
      </c>
      <c r="K22" s="150">
        <v>4.0</v>
      </c>
      <c r="L22" s="151" t="s">
        <v>605</v>
      </c>
      <c r="M22" s="35" t="s">
        <v>605</v>
      </c>
      <c r="N22" s="149" t="s">
        <v>605</v>
      </c>
      <c r="O22" s="150" t="s">
        <v>610</v>
      </c>
      <c r="P22" s="143" t="s">
        <v>605</v>
      </c>
      <c r="R22" s="12" t="s">
        <v>605</v>
      </c>
      <c r="V22" s="150"/>
      <c r="W22" s="152" t="s">
        <v>605</v>
      </c>
      <c r="X22" s="9"/>
      <c r="Y22" s="9"/>
      <c r="Z22" s="154"/>
      <c r="AA22" s="9"/>
    </row>
    <row r="23">
      <c r="A23" s="37">
        <v>21.0</v>
      </c>
      <c r="B23" s="37" t="s">
        <v>229</v>
      </c>
      <c r="C23" s="35">
        <v>6.0</v>
      </c>
      <c r="D23" s="35" t="s">
        <v>262</v>
      </c>
      <c r="E23" s="33" t="str">
        <f t="array" ref="E23">INDEX(ALLCLASSDATA,MATCH("ClassType",CLASSFEATUREHEADERS,0),MATCH(B23,CLASSNAMEHEADERS,0))</f>
        <v>Spellcaster</v>
      </c>
      <c r="F23" s="37"/>
      <c r="G23" s="137"/>
      <c r="H23" s="148">
        <v>2.0</v>
      </c>
      <c r="J23" s="149">
        <v>1.0</v>
      </c>
      <c r="K23" s="150">
        <v>3.0</v>
      </c>
      <c r="L23" s="151" t="s">
        <v>605</v>
      </c>
      <c r="M23" s="35" t="s">
        <v>605</v>
      </c>
      <c r="N23" s="149" t="s">
        <v>605</v>
      </c>
      <c r="O23" s="150" t="s">
        <v>606</v>
      </c>
      <c r="P23" s="143" t="s">
        <v>605</v>
      </c>
      <c r="Q23" s="12" t="s">
        <v>605</v>
      </c>
      <c r="V23" s="150"/>
      <c r="W23" s="152" t="s">
        <v>605</v>
      </c>
      <c r="X23" s="9"/>
      <c r="Y23" s="9"/>
      <c r="Z23" s="154"/>
      <c r="AA23" s="9"/>
    </row>
    <row r="24">
      <c r="A24" s="37">
        <v>22.0</v>
      </c>
      <c r="B24" s="37" t="s">
        <v>231</v>
      </c>
      <c r="C24" s="35">
        <v>6.0</v>
      </c>
      <c r="D24" s="35" t="s">
        <v>262</v>
      </c>
      <c r="E24" s="33" t="str">
        <f t="array" ref="E24">INDEX(ALLCLASSDATA,MATCH("ClassType",CLASSFEATUREHEADERS,0),MATCH(B24,CLASSNAMEHEADERS,0))</f>
        <v>Spellcaster</v>
      </c>
      <c r="F24" s="37"/>
      <c r="G24" s="137"/>
      <c r="H24" s="148">
        <v>3.0</v>
      </c>
      <c r="I24" s="149">
        <v>1.0</v>
      </c>
      <c r="J24" s="149">
        <v>0.0</v>
      </c>
      <c r="K24" s="150">
        <v>4.0</v>
      </c>
      <c r="L24" s="151" t="s">
        <v>605</v>
      </c>
      <c r="M24" s="35" t="s">
        <v>605</v>
      </c>
      <c r="N24" s="149" t="s">
        <v>605</v>
      </c>
      <c r="O24" s="150" t="s">
        <v>606</v>
      </c>
      <c r="P24" s="143" t="s">
        <v>605</v>
      </c>
      <c r="R24" s="12" t="s">
        <v>605</v>
      </c>
      <c r="V24" s="150"/>
      <c r="W24" s="152" t="s">
        <v>605</v>
      </c>
      <c r="X24" s="9"/>
      <c r="Y24" s="9"/>
      <c r="Z24" s="154"/>
      <c r="AA24" s="9"/>
    </row>
    <row r="25">
      <c r="A25" s="37">
        <v>23.0</v>
      </c>
      <c r="B25" s="37" t="s">
        <v>233</v>
      </c>
      <c r="C25" s="35">
        <v>6.0</v>
      </c>
      <c r="D25" s="35" t="s">
        <v>264</v>
      </c>
      <c r="E25" s="33" t="str">
        <f t="array" ref="E25">INDEX(ALLCLASSDATA,MATCH("ClassType",CLASSFEATUREHEADERS,0),MATCH(B25,CLASSNAMEHEADERS,0))</f>
        <v>Spellcaster</v>
      </c>
      <c r="F25" s="37"/>
      <c r="G25" s="137"/>
      <c r="H25" s="148">
        <v>2.0</v>
      </c>
      <c r="I25" s="149">
        <v>2.0</v>
      </c>
      <c r="J25" s="149">
        <v>0.0</v>
      </c>
      <c r="K25" s="150">
        <v>4.0</v>
      </c>
      <c r="L25" s="151" t="s">
        <v>605</v>
      </c>
      <c r="M25" s="35" t="s">
        <v>605</v>
      </c>
      <c r="N25" s="149" t="s">
        <v>605</v>
      </c>
      <c r="O25" s="150" t="s">
        <v>606</v>
      </c>
      <c r="P25" s="143" t="s">
        <v>605</v>
      </c>
      <c r="R25" s="12" t="s">
        <v>605</v>
      </c>
      <c r="V25" s="150"/>
      <c r="W25" s="152" t="s">
        <v>605</v>
      </c>
      <c r="X25" s="9"/>
      <c r="Y25" s="9"/>
      <c r="Z25" s="154"/>
      <c r="AA25" s="9"/>
    </row>
    <row r="26">
      <c r="G26" s="150"/>
      <c r="K26" s="150"/>
      <c r="O26" s="150"/>
      <c r="V26" s="150"/>
      <c r="Z26" s="150"/>
    </row>
    <row r="27">
      <c r="G27" s="150"/>
      <c r="K27" s="150"/>
      <c r="O27" s="150"/>
      <c r="V27" s="150"/>
      <c r="Z27" s="150"/>
    </row>
    <row r="28">
      <c r="G28" s="150"/>
      <c r="K28" s="150"/>
      <c r="O28" s="150"/>
      <c r="V28" s="150"/>
      <c r="Z28" s="150"/>
    </row>
    <row r="29">
      <c r="G29" s="150"/>
      <c r="K29" s="150"/>
      <c r="O29" s="150"/>
      <c r="V29" s="150"/>
      <c r="Z29" s="150"/>
    </row>
    <row r="30">
      <c r="G30" s="150"/>
      <c r="K30" s="150"/>
      <c r="O30" s="150"/>
      <c r="V30" s="150"/>
      <c r="Z30" s="150"/>
    </row>
    <row r="31">
      <c r="G31" s="150"/>
      <c r="K31" s="150"/>
      <c r="O31" s="150"/>
      <c r="V31" s="150"/>
      <c r="Z31" s="150"/>
    </row>
    <row r="32">
      <c r="G32" s="150"/>
      <c r="K32" s="150"/>
      <c r="O32" s="150"/>
      <c r="V32" s="150"/>
      <c r="Z32" s="150"/>
    </row>
    <row r="33">
      <c r="G33" s="150"/>
      <c r="K33" s="150"/>
      <c r="O33" s="150"/>
      <c r="V33" s="150"/>
      <c r="Z33" s="150"/>
    </row>
    <row r="34">
      <c r="G34" s="150"/>
      <c r="K34" s="150"/>
      <c r="O34" s="150"/>
      <c r="V34" s="150"/>
      <c r="Z34" s="150"/>
    </row>
    <row r="35">
      <c r="A35" s="12"/>
      <c r="B35" s="12" t="s">
        <v>623</v>
      </c>
      <c r="G35" s="150"/>
      <c r="K35" s="150"/>
      <c r="O35" s="150"/>
      <c r="V35" s="150"/>
      <c r="Z35" s="150"/>
    </row>
    <row r="36">
      <c r="A36" s="12"/>
      <c r="B36" s="12" t="s">
        <v>624</v>
      </c>
      <c r="G36" s="150"/>
      <c r="K36" s="150"/>
      <c r="O36" s="150"/>
      <c r="V36" s="150"/>
      <c r="Z36" s="150"/>
    </row>
    <row r="37">
      <c r="A37" s="12"/>
      <c r="B37" s="12" t="s">
        <v>625</v>
      </c>
      <c r="G37" s="150"/>
      <c r="K37" s="150"/>
      <c r="O37" s="150"/>
      <c r="V37" s="150"/>
      <c r="Z37" s="150"/>
    </row>
    <row r="38">
      <c r="G38" s="150"/>
      <c r="K38" s="150"/>
      <c r="O38" s="150"/>
      <c r="V38" s="150"/>
      <c r="Z38" s="150"/>
    </row>
    <row r="39">
      <c r="A39" s="12"/>
      <c r="B39" s="12" t="s">
        <v>626</v>
      </c>
      <c r="G39" s="150"/>
      <c r="K39" s="150"/>
      <c r="O39" s="150"/>
      <c r="V39" s="150"/>
      <c r="Z39" s="150"/>
    </row>
    <row r="40">
      <c r="G40" s="150"/>
      <c r="K40" s="150"/>
      <c r="O40" s="150"/>
      <c r="V40" s="150"/>
      <c r="Z40" s="150"/>
    </row>
    <row r="41">
      <c r="A41" s="12"/>
      <c r="B41" s="12" t="s">
        <v>627</v>
      </c>
      <c r="G41" s="150"/>
      <c r="K41" s="150"/>
      <c r="O41" s="150"/>
      <c r="V41" s="150"/>
      <c r="Z41" s="150"/>
    </row>
    <row r="42">
      <c r="A42" s="12"/>
      <c r="B42" s="12" t="s">
        <v>628</v>
      </c>
      <c r="G42" s="150"/>
      <c r="K42" s="150"/>
      <c r="O42" s="150"/>
      <c r="V42" s="150"/>
      <c r="Z42" s="150"/>
    </row>
    <row r="43">
      <c r="A43" s="12"/>
      <c r="B43" s="12" t="s">
        <v>629</v>
      </c>
      <c r="G43" s="150"/>
      <c r="K43" s="150"/>
      <c r="O43" s="150"/>
      <c r="V43" s="150"/>
      <c r="Z43" s="150"/>
    </row>
    <row r="44">
      <c r="B44" s="12" t="s">
        <v>630</v>
      </c>
      <c r="G44" s="150"/>
      <c r="K44" s="150"/>
      <c r="O44" s="150"/>
      <c r="V44" s="150"/>
      <c r="Z44" s="150"/>
    </row>
    <row r="45">
      <c r="B45" s="12" t="s">
        <v>631</v>
      </c>
      <c r="G45" s="150"/>
      <c r="K45" s="150"/>
      <c r="O45" s="150"/>
      <c r="V45" s="150"/>
      <c r="Z45" s="150"/>
    </row>
    <row r="46">
      <c r="B46" s="12" t="s">
        <v>632</v>
      </c>
      <c r="G46" s="150"/>
      <c r="K46" s="150"/>
      <c r="O46" s="150"/>
      <c r="V46" s="150"/>
      <c r="Z46" s="150"/>
    </row>
    <row r="47">
      <c r="G47" s="150"/>
      <c r="K47" s="150"/>
      <c r="O47" s="150"/>
      <c r="V47" s="150"/>
      <c r="Z47" s="150"/>
    </row>
    <row r="48">
      <c r="G48" s="150"/>
      <c r="K48" s="150"/>
      <c r="O48" s="150"/>
      <c r="V48" s="150"/>
      <c r="Z48" s="150"/>
    </row>
    <row r="49">
      <c r="G49" s="150"/>
      <c r="K49" s="150"/>
      <c r="O49" s="150"/>
      <c r="V49" s="150"/>
      <c r="Z49" s="150"/>
    </row>
    <row r="50">
      <c r="G50" s="150"/>
      <c r="K50" s="150"/>
      <c r="O50" s="150"/>
      <c r="V50" s="150"/>
      <c r="Z50" s="150"/>
    </row>
  </sheetData>
  <mergeCells count="4">
    <mergeCell ref="H1:K1"/>
    <mergeCell ref="L1:O1"/>
    <mergeCell ref="P1:V1"/>
    <mergeCell ref="W1:Z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outlineLevelRow="1"/>
  <cols>
    <col customWidth="1" min="1" max="1" width="14.38"/>
    <col customWidth="1" min="2" max="2" width="19.5"/>
    <col customWidth="1" min="3" max="4" width="9.88"/>
    <col customWidth="1" min="5" max="5" width="1.88"/>
    <col customWidth="1" min="6" max="6" width="10.0"/>
    <col customWidth="1" min="7" max="7" width="1.88"/>
    <col customWidth="1" min="8" max="8" width="9.75"/>
    <col customWidth="1" min="9" max="9" width="1.88"/>
    <col customWidth="1" min="10" max="10" width="10.5"/>
    <col customWidth="1" min="11" max="11" width="1.88"/>
    <col customWidth="1" min="12" max="12" width="16.38"/>
    <col customWidth="1" min="13" max="13" width="2.88"/>
    <col customWidth="1" min="14" max="14" width="10.88"/>
    <col customWidth="1" min="15" max="15" width="2.88"/>
    <col customWidth="1" min="16" max="16" width="10.38"/>
    <col customWidth="1" min="17" max="17" width="2.88"/>
    <col customWidth="1" min="18" max="18" width="16.88"/>
    <col customWidth="1" min="19" max="19" width="2.88"/>
    <col customWidth="1" min="20" max="20" width="9.88"/>
    <col customWidth="1" min="21" max="22" width="5.38"/>
    <col customWidth="1" min="23" max="23" width="4.63"/>
    <col customWidth="1" min="24" max="24" width="14.63"/>
    <col customWidth="1" min="25" max="25" width="7.38"/>
    <col customWidth="1" min="26" max="26" width="7.13"/>
    <col customWidth="1" min="27" max="27" width="6.75"/>
    <col customWidth="1" min="28" max="28" width="6.63"/>
    <col customWidth="1" min="29" max="29" width="6.5"/>
    <col customWidth="1" min="30" max="30" width="6.63"/>
  </cols>
  <sheetData>
    <row r="1">
      <c r="A1" s="12" t="s">
        <v>633</v>
      </c>
      <c r="B1" s="158"/>
      <c r="C1" s="158"/>
      <c r="D1" s="158" t="s">
        <v>634</v>
      </c>
      <c r="E1" s="159"/>
      <c r="F1" s="160"/>
      <c r="G1" s="159"/>
      <c r="H1" s="160"/>
      <c r="I1" s="159"/>
      <c r="J1" s="160"/>
      <c r="M1" s="159"/>
      <c r="N1" s="160"/>
      <c r="O1" s="159"/>
      <c r="P1" s="160"/>
      <c r="Q1" s="159"/>
      <c r="R1" s="160"/>
      <c r="S1" s="159"/>
      <c r="T1" s="160"/>
      <c r="U1" s="159"/>
      <c r="V1" s="160"/>
      <c r="W1" s="159"/>
      <c r="X1" s="9"/>
      <c r="Y1" s="9"/>
      <c r="Z1" s="161" t="s">
        <v>635</v>
      </c>
    </row>
    <row r="2">
      <c r="A2" s="162"/>
      <c r="B2" s="163"/>
      <c r="C2" s="163"/>
      <c r="D2" s="163">
        <v>1.0</v>
      </c>
      <c r="E2" s="163">
        <v>2.0</v>
      </c>
      <c r="F2" s="163">
        <v>3.0</v>
      </c>
      <c r="G2" s="163"/>
      <c r="H2" s="163">
        <v>5.0</v>
      </c>
      <c r="I2" s="163"/>
      <c r="J2" s="163">
        <v>7.0</v>
      </c>
      <c r="K2" s="163"/>
      <c r="L2" s="163">
        <v>9.0</v>
      </c>
      <c r="M2" s="163"/>
      <c r="N2" s="163">
        <v>11.0</v>
      </c>
      <c r="O2" s="163"/>
      <c r="P2" s="163">
        <v>13.0</v>
      </c>
      <c r="Q2" s="163"/>
      <c r="R2" s="163">
        <v>15.0</v>
      </c>
      <c r="S2" s="163"/>
      <c r="T2" s="163">
        <v>17.0</v>
      </c>
      <c r="U2" s="163"/>
      <c r="V2" s="158">
        <v>19.0</v>
      </c>
      <c r="W2" s="163"/>
      <c r="X2" s="12" t="s">
        <v>636</v>
      </c>
      <c r="Y2" s="158" t="s">
        <v>171</v>
      </c>
      <c r="Z2" s="158" t="s">
        <v>17</v>
      </c>
      <c r="AA2" s="158" t="s">
        <v>20</v>
      </c>
      <c r="AB2" s="164" t="s">
        <v>23</v>
      </c>
      <c r="AC2" s="164"/>
      <c r="AD2" s="164"/>
    </row>
    <row r="3">
      <c r="A3" s="165" t="s">
        <v>65</v>
      </c>
      <c r="B3" s="37" t="str">
        <f t="array" ref="B3">INDEX(ALLCLASSDATA,MATCH("ClassType",CLASSFEATUREHEADERS,0),MATCH(A3,CLASSNAMEHEADERS,0))</f>
        <v>Soldier</v>
      </c>
      <c r="C3" s="37" t="s">
        <v>637</v>
      </c>
      <c r="D3" s="37" t="s">
        <v>435</v>
      </c>
      <c r="E3" s="37"/>
      <c r="F3" s="37"/>
      <c r="G3" s="37"/>
      <c r="H3" s="37"/>
      <c r="I3" s="37"/>
      <c r="J3" s="37"/>
      <c r="K3" s="37"/>
      <c r="L3" s="37"/>
      <c r="M3" s="37"/>
      <c r="N3" s="37" t="s">
        <v>436</v>
      </c>
      <c r="O3" s="37"/>
      <c r="P3" s="37"/>
      <c r="Q3" s="37"/>
      <c r="R3" s="37"/>
      <c r="S3" s="37"/>
      <c r="T3" s="37"/>
      <c r="U3" s="37"/>
      <c r="V3" s="37"/>
      <c r="W3" s="37"/>
      <c r="X3" s="166"/>
      <c r="Y3" s="167" t="s">
        <v>436</v>
      </c>
      <c r="Z3" s="167">
        <v>11.0</v>
      </c>
      <c r="AA3" s="166"/>
      <c r="AB3" s="166"/>
      <c r="AC3" s="166"/>
      <c r="AD3" s="168"/>
    </row>
    <row r="4">
      <c r="A4" s="165" t="s">
        <v>65</v>
      </c>
      <c r="B4" s="37" t="str">
        <f t="array" ref="B4">INDEX(ALLCLASSDATA,MATCH("ClassType",CLASSFEATUREHEADERS,0),MATCH(A4,CLASSNAMEHEADERS,0))</f>
        <v>Soldier</v>
      </c>
      <c r="C4" s="37" t="s">
        <v>507</v>
      </c>
      <c r="D4" s="37" t="s">
        <v>436</v>
      </c>
      <c r="E4" s="37"/>
      <c r="F4" s="37"/>
      <c r="G4" s="37"/>
      <c r="H4" s="37"/>
      <c r="I4" s="37"/>
      <c r="J4" s="37"/>
      <c r="K4" s="37"/>
      <c r="L4" s="37" t="s">
        <v>437</v>
      </c>
      <c r="M4" s="37"/>
      <c r="N4" s="37"/>
      <c r="O4" s="37"/>
      <c r="P4" s="37"/>
      <c r="Q4" s="37"/>
      <c r="R4" s="37"/>
      <c r="S4" s="37"/>
      <c r="T4" s="37"/>
      <c r="U4" s="37"/>
      <c r="V4" s="37"/>
      <c r="W4" s="37"/>
      <c r="X4" s="166"/>
      <c r="Y4" s="167" t="s">
        <v>437</v>
      </c>
      <c r="Z4" s="169"/>
      <c r="AA4" s="158">
        <v>9.0</v>
      </c>
      <c r="AB4" s="166"/>
      <c r="AC4" s="166"/>
      <c r="AD4" s="168"/>
    </row>
    <row r="5">
      <c r="A5" s="165" t="s">
        <v>65</v>
      </c>
      <c r="B5" s="37" t="str">
        <f t="array" ref="B5">INDEX(ALLCLASSDATA,MATCH("ClassType",CLASSFEATUREHEADERS,0),MATCH(A5,CLASSNAMEHEADERS,0))</f>
        <v>Soldier</v>
      </c>
      <c r="C5" s="37" t="s">
        <v>509</v>
      </c>
      <c r="D5" s="37" t="s">
        <v>435</v>
      </c>
      <c r="E5" s="37"/>
      <c r="F5" s="37"/>
      <c r="G5" s="37"/>
      <c r="H5" s="37"/>
      <c r="I5" s="37"/>
      <c r="J5" s="37"/>
      <c r="K5" s="37"/>
      <c r="L5" s="37" t="s">
        <v>436</v>
      </c>
      <c r="M5" s="37"/>
      <c r="N5" s="37"/>
      <c r="O5" s="37"/>
      <c r="P5" s="37"/>
      <c r="Q5" s="37"/>
      <c r="R5" s="37"/>
      <c r="S5" s="37"/>
      <c r="T5" s="37"/>
      <c r="U5" s="37"/>
      <c r="V5" s="37"/>
      <c r="W5" s="37"/>
      <c r="X5" s="166"/>
      <c r="Y5" s="167" t="s">
        <v>436</v>
      </c>
      <c r="Z5" s="167">
        <v>9.0</v>
      </c>
      <c r="AA5" s="166"/>
      <c r="AB5" s="166"/>
      <c r="AC5" s="166"/>
      <c r="AD5" s="168"/>
    </row>
    <row r="6">
      <c r="A6" s="165" t="s">
        <v>65</v>
      </c>
      <c r="B6" s="37" t="str">
        <f t="array" ref="B6">INDEX(ALLCLASSDATA,MATCH("ClassType",CLASSFEATUREHEADERS,0),MATCH(A6,CLASSNAMEHEADERS,0))</f>
        <v>Soldier</v>
      </c>
      <c r="C6" s="37" t="s">
        <v>510</v>
      </c>
      <c r="D6" s="37" t="s">
        <v>436</v>
      </c>
      <c r="E6" s="37"/>
      <c r="F6" s="37"/>
      <c r="G6" s="37"/>
      <c r="H6" s="37"/>
      <c r="I6" s="37"/>
      <c r="J6" s="37"/>
      <c r="K6" s="37"/>
      <c r="L6" s="37"/>
      <c r="M6" s="37"/>
      <c r="N6" s="37" t="s">
        <v>437</v>
      </c>
      <c r="O6" s="37"/>
      <c r="P6" s="37"/>
      <c r="Q6" s="37"/>
      <c r="R6" s="37"/>
      <c r="S6" s="37"/>
      <c r="T6" s="37"/>
      <c r="U6" s="37"/>
      <c r="V6" s="37"/>
      <c r="W6" s="37"/>
      <c r="X6" s="166"/>
      <c r="Y6" s="167" t="s">
        <v>437</v>
      </c>
      <c r="Z6" s="169"/>
      <c r="AA6" s="158">
        <v>11.0</v>
      </c>
      <c r="AB6" s="166"/>
      <c r="AC6" s="166"/>
      <c r="AD6" s="168"/>
    </row>
    <row r="7">
      <c r="A7" s="165" t="s">
        <v>95</v>
      </c>
      <c r="B7" s="37" t="str">
        <f t="array" ref="B7">INDEX(ALLCLASSDATA,MATCH("ClassType",CLASSFEATUREHEADERS,0),MATCH(A7,CLASSNAMEHEADERS,0))</f>
        <v>Skirmisher</v>
      </c>
      <c r="C7" s="37" t="s">
        <v>637</v>
      </c>
      <c r="D7" s="37" t="s">
        <v>435</v>
      </c>
      <c r="E7" s="37"/>
      <c r="F7" s="37"/>
      <c r="G7" s="37"/>
      <c r="H7" s="37" t="s">
        <v>436</v>
      </c>
      <c r="I7" s="37"/>
      <c r="J7" s="37"/>
      <c r="K7" s="37"/>
      <c r="L7" s="37"/>
      <c r="M7" s="37"/>
      <c r="N7" s="37"/>
      <c r="O7" s="37"/>
      <c r="P7" s="37"/>
      <c r="Q7" s="37"/>
      <c r="R7" s="37"/>
      <c r="S7" s="37"/>
      <c r="T7" s="37"/>
      <c r="U7" s="37"/>
      <c r="V7" s="37"/>
      <c r="W7" s="37"/>
      <c r="X7" s="158"/>
      <c r="Y7" s="167" t="s">
        <v>436</v>
      </c>
      <c r="Z7" s="167">
        <v>5.0</v>
      </c>
      <c r="AA7" s="166"/>
      <c r="AB7" s="166"/>
      <c r="AC7" s="166"/>
      <c r="AD7" s="170"/>
    </row>
    <row r="8">
      <c r="A8" s="165" t="s">
        <v>95</v>
      </c>
      <c r="B8" s="37" t="str">
        <f t="array" ref="B8">INDEX(ALLCLASSDATA,MATCH("ClassType",CLASSFEATUREHEADERS,0),MATCH(A8,CLASSNAMEHEADERS,0))</f>
        <v>Skirmisher</v>
      </c>
      <c r="C8" s="37" t="s">
        <v>507</v>
      </c>
      <c r="D8" s="37" t="s">
        <v>436</v>
      </c>
      <c r="E8" s="37"/>
      <c r="F8" s="37"/>
      <c r="G8" s="37"/>
      <c r="H8" s="37"/>
      <c r="I8" s="37"/>
      <c r="J8" s="37" t="s">
        <v>639</v>
      </c>
      <c r="K8" s="37"/>
      <c r="L8" s="37"/>
      <c r="M8" s="37"/>
      <c r="N8" s="37" t="s">
        <v>640</v>
      </c>
      <c r="O8" s="37"/>
      <c r="P8" s="37"/>
      <c r="Q8" s="37"/>
      <c r="R8" s="37" t="s">
        <v>641</v>
      </c>
      <c r="S8" s="37"/>
      <c r="T8" s="37"/>
      <c r="U8" s="37"/>
      <c r="V8" s="37"/>
      <c r="W8" s="37"/>
      <c r="X8" s="158"/>
      <c r="Y8" s="37" t="s">
        <v>641</v>
      </c>
      <c r="Z8" s="169"/>
      <c r="AA8" s="166"/>
      <c r="AB8" s="166"/>
      <c r="AC8" s="166"/>
      <c r="AD8" s="168"/>
    </row>
    <row r="9">
      <c r="A9" s="165" t="s">
        <v>95</v>
      </c>
      <c r="B9" s="37" t="str">
        <f t="array" ref="B9">INDEX(ALLCLASSDATA,MATCH("ClassType",CLASSFEATUREHEADERS,0),MATCH(A9,CLASSNAMEHEADERS,0))</f>
        <v>Skirmisher</v>
      </c>
      <c r="C9" s="37" t="s">
        <v>509</v>
      </c>
      <c r="D9" s="37" t="s">
        <v>436</v>
      </c>
      <c r="E9" s="37"/>
      <c r="F9" s="37"/>
      <c r="G9" s="37"/>
      <c r="H9" s="37"/>
      <c r="I9" s="37"/>
      <c r="J9" s="37" t="s">
        <v>639</v>
      </c>
      <c r="K9" s="37"/>
      <c r="L9" s="37"/>
      <c r="M9" s="37"/>
      <c r="N9" s="37" t="s">
        <v>640</v>
      </c>
      <c r="O9" s="37"/>
      <c r="P9" s="37"/>
      <c r="Q9" s="37"/>
      <c r="R9" s="37" t="s">
        <v>641</v>
      </c>
      <c r="S9" s="37"/>
      <c r="T9" s="37"/>
      <c r="U9" s="37"/>
      <c r="V9" s="37"/>
      <c r="W9" s="37"/>
      <c r="X9" s="158"/>
      <c r="Y9" s="37" t="s">
        <v>641</v>
      </c>
      <c r="Z9" s="169"/>
      <c r="AA9" s="166"/>
      <c r="AB9" s="166"/>
      <c r="AC9" s="166"/>
      <c r="AD9" s="168"/>
    </row>
    <row r="10">
      <c r="A10" s="165" t="s">
        <v>95</v>
      </c>
      <c r="B10" s="37" t="str">
        <f t="array" ref="B10">INDEX(ALLCLASSDATA,MATCH("ClassType",CLASSFEATUREHEADERS,0),MATCH(A10,CLASSNAMEHEADERS,0))</f>
        <v>Skirmisher</v>
      </c>
      <c r="C10" s="37" t="s">
        <v>510</v>
      </c>
      <c r="D10" s="37" t="s">
        <v>436</v>
      </c>
      <c r="E10" s="37"/>
      <c r="F10" s="37"/>
      <c r="G10" s="37"/>
      <c r="H10" s="37"/>
      <c r="I10" s="37"/>
      <c r="J10" s="37" t="s">
        <v>639</v>
      </c>
      <c r="K10" s="37"/>
      <c r="L10" s="37"/>
      <c r="M10" s="37"/>
      <c r="N10" s="37" t="s">
        <v>640</v>
      </c>
      <c r="O10" s="37"/>
      <c r="P10" s="37"/>
      <c r="Q10" s="37"/>
      <c r="R10" s="37" t="s">
        <v>641</v>
      </c>
      <c r="S10" s="37"/>
      <c r="T10" s="37"/>
      <c r="U10" s="37"/>
      <c r="V10" s="37"/>
      <c r="W10" s="37"/>
      <c r="X10" s="158"/>
      <c r="Y10" s="37" t="s">
        <v>641</v>
      </c>
      <c r="Z10" s="169"/>
      <c r="AA10" s="166"/>
      <c r="AB10" s="166"/>
      <c r="AC10" s="166"/>
      <c r="AD10" s="168"/>
    </row>
    <row r="11">
      <c r="A11" s="165" t="s">
        <v>109</v>
      </c>
      <c r="B11" s="37" t="str">
        <f t="array" ref="B11">INDEX(ALLCLASSDATA,MATCH("ClassType",CLASSFEATUREHEADERS,0),MATCH(A11,CLASSNAMEHEADERS,0))</f>
        <v>Soldier</v>
      </c>
      <c r="C11" s="37" t="s">
        <v>637</v>
      </c>
      <c r="D11" s="37" t="s">
        <v>436</v>
      </c>
      <c r="E11" s="37"/>
      <c r="F11" s="37"/>
      <c r="G11" s="37"/>
      <c r="H11" s="37"/>
      <c r="I11" s="37"/>
      <c r="J11" s="37" t="s">
        <v>437</v>
      </c>
      <c r="K11" s="37"/>
      <c r="L11" s="37"/>
      <c r="M11" s="37"/>
      <c r="N11" s="37"/>
      <c r="O11" s="37"/>
      <c r="P11" s="37"/>
      <c r="Q11" s="37"/>
      <c r="R11" s="37"/>
      <c r="S11" s="37"/>
      <c r="T11" s="37"/>
      <c r="U11" s="37"/>
      <c r="V11" s="37"/>
      <c r="W11" s="37"/>
      <c r="X11" s="158"/>
      <c r="Y11" s="167" t="s">
        <v>437</v>
      </c>
      <c r="Z11" s="169"/>
      <c r="AA11" s="158">
        <v>7.0</v>
      </c>
      <c r="AB11" s="166"/>
      <c r="AC11" s="166"/>
      <c r="AD11" s="168"/>
    </row>
    <row r="12">
      <c r="A12" s="165" t="s">
        <v>109</v>
      </c>
      <c r="B12" s="37" t="str">
        <f t="array" ref="B12">INDEX(ALLCLASSDATA,MATCH("ClassType",CLASSFEATUREHEADERS,0),MATCH(A12,CLASSNAMEHEADERS,0))</f>
        <v>Soldier</v>
      </c>
      <c r="C12" s="37" t="s">
        <v>507</v>
      </c>
      <c r="D12" s="37" t="s">
        <v>436</v>
      </c>
      <c r="E12" s="37"/>
      <c r="F12" s="37"/>
      <c r="G12" s="37"/>
      <c r="H12" s="37"/>
      <c r="I12" s="37"/>
      <c r="J12" s="37"/>
      <c r="K12" s="37"/>
      <c r="L12" s="37" t="s">
        <v>437</v>
      </c>
      <c r="M12" s="37"/>
      <c r="N12" s="37"/>
      <c r="O12" s="37"/>
      <c r="P12" s="37"/>
      <c r="Q12" s="37"/>
      <c r="R12" s="37"/>
      <c r="S12" s="37"/>
      <c r="T12" s="37"/>
      <c r="U12" s="37"/>
      <c r="V12" s="37"/>
      <c r="W12" s="37"/>
      <c r="X12" s="158"/>
      <c r="Y12" s="167" t="s">
        <v>437</v>
      </c>
      <c r="Z12" s="169"/>
      <c r="AA12" s="158">
        <v>9.0</v>
      </c>
      <c r="AB12" s="166"/>
      <c r="AC12" s="166"/>
      <c r="AD12" s="168"/>
    </row>
    <row r="13">
      <c r="A13" s="165" t="s">
        <v>109</v>
      </c>
      <c r="B13" s="37" t="str">
        <f t="array" ref="B13">INDEX(ALLCLASSDATA,MATCH("ClassType",CLASSFEATUREHEADERS,0),MATCH(A13,CLASSNAMEHEADERS,0))</f>
        <v>Soldier</v>
      </c>
      <c r="C13" s="37" t="s">
        <v>509</v>
      </c>
      <c r="D13" s="37" t="s">
        <v>436</v>
      </c>
      <c r="E13" s="37"/>
      <c r="F13" s="37"/>
      <c r="G13" s="37"/>
      <c r="H13" s="37"/>
      <c r="I13" s="37"/>
      <c r="J13" s="37"/>
      <c r="K13" s="37"/>
      <c r="L13" s="37"/>
      <c r="M13" s="37"/>
      <c r="N13" s="37"/>
      <c r="O13" s="37"/>
      <c r="P13" s="37"/>
      <c r="Q13" s="37"/>
      <c r="R13" s="37" t="s">
        <v>437</v>
      </c>
      <c r="S13" s="37"/>
      <c r="T13" s="37"/>
      <c r="U13" s="37"/>
      <c r="V13" s="37"/>
      <c r="W13" s="37"/>
      <c r="X13" s="158"/>
      <c r="Y13" s="167" t="s">
        <v>437</v>
      </c>
      <c r="Z13" s="169"/>
      <c r="AA13" s="158">
        <v>15.0</v>
      </c>
      <c r="AB13" s="166"/>
      <c r="AC13" s="166"/>
      <c r="AD13" s="168"/>
    </row>
    <row r="14">
      <c r="A14" s="165" t="s">
        <v>109</v>
      </c>
      <c r="B14" s="37" t="str">
        <f t="array" ref="B14">INDEX(ALLCLASSDATA,MATCH("ClassType",CLASSFEATUREHEADERS,0),MATCH(A14,CLASSNAMEHEADERS,0))</f>
        <v>Soldier</v>
      </c>
      <c r="C14" s="37" t="s">
        <v>510</v>
      </c>
      <c r="D14" s="37" t="s">
        <v>435</v>
      </c>
      <c r="E14" s="37"/>
      <c r="F14" s="37" t="s">
        <v>436</v>
      </c>
      <c r="G14" s="37"/>
      <c r="H14" s="37"/>
      <c r="I14" s="37"/>
      <c r="J14" s="37"/>
      <c r="K14" s="37"/>
      <c r="L14" s="37"/>
      <c r="M14" s="37"/>
      <c r="N14" s="37"/>
      <c r="O14" s="37"/>
      <c r="P14" s="37"/>
      <c r="Q14" s="37"/>
      <c r="R14" s="37"/>
      <c r="S14" s="37"/>
      <c r="T14" s="37"/>
      <c r="U14" s="37"/>
      <c r="V14" s="37"/>
      <c r="W14" s="37"/>
      <c r="X14" s="158"/>
      <c r="Y14" s="167" t="s">
        <v>436</v>
      </c>
      <c r="Z14" s="167">
        <v>3.0</v>
      </c>
      <c r="AA14" s="166"/>
      <c r="AB14" s="166"/>
      <c r="AC14" s="166"/>
      <c r="AD14" s="168"/>
    </row>
    <row r="15">
      <c r="A15" s="165" t="s">
        <v>114</v>
      </c>
      <c r="B15" s="37" t="str">
        <f t="array" ref="B15">INDEX(ALLCLASSDATA,MATCH("ClassType",CLASSFEATUREHEADERS,0),MATCH(A15,CLASSNAMEHEADERS,0))</f>
        <v>Brute</v>
      </c>
      <c r="C15" s="37" t="s">
        <v>637</v>
      </c>
      <c r="D15" s="37" t="s">
        <v>436</v>
      </c>
      <c r="E15" s="37"/>
      <c r="F15" s="37"/>
      <c r="G15" s="37"/>
      <c r="H15" s="37"/>
      <c r="I15" s="37"/>
      <c r="J15" s="37"/>
      <c r="K15" s="37"/>
      <c r="L15" s="37"/>
      <c r="M15" s="37"/>
      <c r="N15" s="37"/>
      <c r="O15" s="37"/>
      <c r="P15" s="37"/>
      <c r="Q15" s="37"/>
      <c r="R15" s="37"/>
      <c r="S15" s="37"/>
      <c r="T15" s="37" t="s">
        <v>437</v>
      </c>
      <c r="U15" s="37"/>
      <c r="V15" s="37"/>
      <c r="W15" s="37"/>
      <c r="X15" s="166"/>
      <c r="Y15" s="167" t="s">
        <v>437</v>
      </c>
      <c r="Z15" s="169"/>
      <c r="AA15" s="158">
        <v>17.0</v>
      </c>
      <c r="AB15" s="166"/>
      <c r="AC15" s="158"/>
      <c r="AD15" s="168"/>
    </row>
    <row r="16">
      <c r="A16" s="165" t="s">
        <v>114</v>
      </c>
      <c r="B16" s="37" t="str">
        <f t="array" ref="B16">INDEX(ALLCLASSDATA,MATCH("ClassType",CLASSFEATUREHEADERS,0),MATCH(A16,CLASSNAMEHEADERS,0))</f>
        <v>Brute</v>
      </c>
      <c r="C16" s="37" t="s">
        <v>507</v>
      </c>
      <c r="D16" s="37" t="s">
        <v>436</v>
      </c>
      <c r="E16" s="37"/>
      <c r="F16" s="37"/>
      <c r="G16" s="37"/>
      <c r="H16" s="37"/>
      <c r="I16" s="37"/>
      <c r="J16" s="37" t="s">
        <v>437</v>
      </c>
      <c r="K16" s="37"/>
      <c r="L16" s="37"/>
      <c r="M16" s="37"/>
      <c r="N16" s="37"/>
      <c r="O16" s="37"/>
      <c r="P16" s="37" t="s">
        <v>466</v>
      </c>
      <c r="Q16" s="37"/>
      <c r="R16" s="37"/>
      <c r="S16" s="37"/>
      <c r="T16" s="37"/>
      <c r="U16" s="37"/>
      <c r="V16" s="37"/>
      <c r="W16" s="37"/>
      <c r="X16" s="166"/>
      <c r="Y16" s="167" t="s">
        <v>466</v>
      </c>
      <c r="Z16" s="169"/>
      <c r="AA16" s="158">
        <v>7.0</v>
      </c>
      <c r="AB16" s="158">
        <v>13.0</v>
      </c>
      <c r="AC16" s="166">
        <f>AB16-AA16</f>
        <v>6</v>
      </c>
      <c r="AD16" s="170"/>
    </row>
    <row r="17">
      <c r="A17" s="165" t="s">
        <v>114</v>
      </c>
      <c r="B17" s="37" t="str">
        <f t="array" ref="B17">INDEX(ALLCLASSDATA,MATCH("ClassType",CLASSFEATUREHEADERS,0),MATCH(A17,CLASSNAMEHEADERS,0))</f>
        <v>Brute</v>
      </c>
      <c r="C17" s="37" t="s">
        <v>509</v>
      </c>
      <c r="D17" s="37" t="s">
        <v>435</v>
      </c>
      <c r="E17" s="37"/>
      <c r="F17" s="37"/>
      <c r="G17" s="37"/>
      <c r="H17" s="37"/>
      <c r="I17" s="37"/>
      <c r="J17" s="37"/>
      <c r="K17" s="37"/>
      <c r="L17" s="37" t="s">
        <v>436</v>
      </c>
      <c r="M17" s="37"/>
      <c r="N17" s="37"/>
      <c r="O17" s="37"/>
      <c r="P17" s="37"/>
      <c r="Q17" s="37"/>
      <c r="R17" s="37"/>
      <c r="S17" s="37"/>
      <c r="T17" s="37"/>
      <c r="U17" s="37"/>
      <c r="V17" s="37"/>
      <c r="W17" s="37"/>
      <c r="X17" s="166"/>
      <c r="Y17" s="167" t="s">
        <v>436</v>
      </c>
      <c r="Z17" s="167">
        <v>9.0</v>
      </c>
      <c r="AA17" s="166"/>
      <c r="AB17" s="166"/>
      <c r="AC17" s="166"/>
      <c r="AD17" s="170"/>
    </row>
    <row r="18">
      <c r="A18" s="165" t="s">
        <v>114</v>
      </c>
      <c r="B18" s="37" t="str">
        <f t="array" ref="B18">INDEX(ALLCLASSDATA,MATCH("ClassType",CLASSFEATUREHEADERS,0),MATCH(A18,CLASSNAMEHEADERS,0))</f>
        <v>Brute</v>
      </c>
      <c r="C18" s="37" t="s">
        <v>510</v>
      </c>
      <c r="D18" s="37" t="s">
        <v>436</v>
      </c>
      <c r="E18" s="37"/>
      <c r="F18" s="37"/>
      <c r="G18" s="37"/>
      <c r="H18" s="37"/>
      <c r="I18" s="37"/>
      <c r="J18" s="37"/>
      <c r="K18" s="37"/>
      <c r="L18" s="37"/>
      <c r="M18" s="37"/>
      <c r="N18" s="37"/>
      <c r="O18" s="37"/>
      <c r="P18" s="37"/>
      <c r="Q18" s="37"/>
      <c r="R18" s="37" t="s">
        <v>437</v>
      </c>
      <c r="S18" s="37"/>
      <c r="T18" s="37"/>
      <c r="U18" s="37"/>
      <c r="V18" s="37"/>
      <c r="W18" s="37"/>
      <c r="X18" s="166"/>
      <c r="Y18" s="167" t="s">
        <v>437</v>
      </c>
      <c r="Z18" s="169"/>
      <c r="AA18" s="158">
        <v>15.0</v>
      </c>
      <c r="AB18" s="166"/>
      <c r="AC18" s="166"/>
      <c r="AD18" s="170"/>
    </row>
    <row r="19">
      <c r="A19" s="165" t="s">
        <v>124</v>
      </c>
      <c r="B19" s="37" t="str">
        <f t="array" ref="B19">INDEX(ALLCLASSDATA,MATCH("ClassType",CLASSFEATUREHEADERS,0),MATCH(A19,CLASSNAMEHEADERS,0))</f>
        <v>Sniper</v>
      </c>
      <c r="C19" s="37" t="s">
        <v>637</v>
      </c>
      <c r="D19" s="37" t="s">
        <v>436</v>
      </c>
      <c r="E19" s="37"/>
      <c r="F19" s="37"/>
      <c r="G19" s="37"/>
      <c r="H19" s="37"/>
      <c r="I19" s="37"/>
      <c r="J19" s="37" t="s">
        <v>437</v>
      </c>
      <c r="K19" s="37"/>
      <c r="L19" s="37"/>
      <c r="M19" s="37"/>
      <c r="N19" s="37"/>
      <c r="O19" s="37"/>
      <c r="P19" s="37"/>
      <c r="Q19" s="37"/>
      <c r="R19" s="37" t="s">
        <v>466</v>
      </c>
      <c r="S19" s="37"/>
      <c r="T19" s="37"/>
      <c r="U19" s="37"/>
      <c r="V19" s="37"/>
      <c r="W19" s="37"/>
      <c r="X19" s="158"/>
      <c r="Y19" s="167" t="s">
        <v>466</v>
      </c>
      <c r="Z19" s="169"/>
      <c r="AA19" s="158">
        <v>7.0</v>
      </c>
      <c r="AB19" s="158">
        <v>15.0</v>
      </c>
      <c r="AC19" s="166">
        <f>AB19-AA19</f>
        <v>8</v>
      </c>
      <c r="AD19" s="170"/>
    </row>
    <row r="20">
      <c r="A20" s="165" t="s">
        <v>124</v>
      </c>
      <c r="B20" s="37" t="str">
        <f t="array" ref="B20">INDEX(ALLCLASSDATA,MATCH("ClassType",CLASSFEATUREHEADERS,0),MATCH(A20,CLASSNAMEHEADERS,0))</f>
        <v>Sniper</v>
      </c>
      <c r="C20" s="37" t="s">
        <v>507</v>
      </c>
      <c r="D20" s="37" t="s">
        <v>436</v>
      </c>
      <c r="E20" s="37"/>
      <c r="F20" s="37"/>
      <c r="G20" s="37"/>
      <c r="H20" s="37"/>
      <c r="I20" s="37"/>
      <c r="J20" s="37"/>
      <c r="K20" s="37"/>
      <c r="L20" s="37"/>
      <c r="M20" s="37"/>
      <c r="N20" s="37" t="s">
        <v>437</v>
      </c>
      <c r="O20" s="37"/>
      <c r="P20" s="37"/>
      <c r="Q20" s="37"/>
      <c r="R20" s="37"/>
      <c r="S20" s="37"/>
      <c r="T20" s="37"/>
      <c r="U20" s="37"/>
      <c r="V20" s="37"/>
      <c r="W20" s="37"/>
      <c r="X20" s="158"/>
      <c r="Y20" s="167" t="s">
        <v>437</v>
      </c>
      <c r="Z20" s="169"/>
      <c r="AA20" s="158">
        <v>11.0</v>
      </c>
      <c r="AB20" s="166"/>
      <c r="AC20" s="166"/>
      <c r="AD20" s="170"/>
    </row>
    <row r="21">
      <c r="A21" s="165" t="s">
        <v>124</v>
      </c>
      <c r="B21" s="37" t="str">
        <f t="array" ref="B21">INDEX(ALLCLASSDATA,MATCH("ClassType",CLASSFEATUREHEADERS,0),MATCH(A21,CLASSNAMEHEADERS,0))</f>
        <v>Sniper</v>
      </c>
      <c r="C21" s="37" t="s">
        <v>509</v>
      </c>
      <c r="D21" s="37" t="s">
        <v>436</v>
      </c>
      <c r="E21" s="37"/>
      <c r="F21" s="37"/>
      <c r="G21" s="37"/>
      <c r="H21" s="37"/>
      <c r="I21" s="37"/>
      <c r="J21" s="37" t="s">
        <v>437</v>
      </c>
      <c r="K21" s="37"/>
      <c r="L21" s="37"/>
      <c r="M21" s="37"/>
      <c r="N21" s="37"/>
      <c r="O21" s="37"/>
      <c r="P21" s="37"/>
      <c r="Q21" s="37"/>
      <c r="R21" s="37" t="s">
        <v>466</v>
      </c>
      <c r="S21" s="37"/>
      <c r="T21" s="37"/>
      <c r="U21" s="37"/>
      <c r="V21" s="37"/>
      <c r="W21" s="37"/>
      <c r="X21" s="158"/>
      <c r="Y21" s="167" t="s">
        <v>466</v>
      </c>
      <c r="Z21" s="169"/>
      <c r="AA21" s="158">
        <v>7.0</v>
      </c>
      <c r="AB21" s="158">
        <v>15.0</v>
      </c>
      <c r="AC21" s="166">
        <f>AB21-AA21</f>
        <v>8</v>
      </c>
      <c r="AD21" s="170"/>
    </row>
    <row r="22">
      <c r="A22" s="165" t="s">
        <v>124</v>
      </c>
      <c r="B22" s="37" t="str">
        <f t="array" ref="B22">INDEX(ALLCLASSDATA,MATCH("ClassType",CLASSFEATUREHEADERS,0),MATCH(A22,CLASSNAMEHEADERS,0))</f>
        <v>Sniper</v>
      </c>
      <c r="C22" s="37" t="s">
        <v>510</v>
      </c>
      <c r="D22" s="37" t="s">
        <v>435</v>
      </c>
      <c r="E22" s="37"/>
      <c r="F22" s="37" t="s">
        <v>436</v>
      </c>
      <c r="G22" s="37"/>
      <c r="H22" s="37"/>
      <c r="I22" s="37"/>
      <c r="J22" s="37"/>
      <c r="K22" s="37"/>
      <c r="L22" s="37"/>
      <c r="M22" s="37"/>
      <c r="N22" s="37"/>
      <c r="O22" s="37"/>
      <c r="P22" s="37"/>
      <c r="Q22" s="37"/>
      <c r="R22" s="37"/>
      <c r="S22" s="37"/>
      <c r="T22" s="37"/>
      <c r="U22" s="37"/>
      <c r="V22" s="37"/>
      <c r="W22" s="37"/>
      <c r="X22" s="158"/>
      <c r="Y22" s="167" t="s">
        <v>436</v>
      </c>
      <c r="Z22" s="167">
        <v>3.0</v>
      </c>
      <c r="AA22" s="166"/>
      <c r="AB22" s="166"/>
      <c r="AC22" s="166"/>
      <c r="AD22" s="170"/>
    </row>
    <row r="23">
      <c r="A23" s="165" t="s">
        <v>138</v>
      </c>
      <c r="B23" s="37" t="str">
        <f t="array" ref="B23">INDEX(ALLCLASSDATA,MATCH("ClassType",CLASSFEATUREHEADERS,0),MATCH(A23,CLASSNAMEHEADERS,0))</f>
        <v>Skill Paragon</v>
      </c>
      <c r="C23" s="37" t="s">
        <v>637</v>
      </c>
      <c r="D23" s="37" t="s">
        <v>436</v>
      </c>
      <c r="E23" s="37"/>
      <c r="F23" s="37"/>
      <c r="G23" s="37"/>
      <c r="H23" s="37"/>
      <c r="I23" s="37"/>
      <c r="J23" s="37" t="s">
        <v>437</v>
      </c>
      <c r="K23" s="37"/>
      <c r="L23" s="37"/>
      <c r="M23" s="37"/>
      <c r="N23" s="37"/>
      <c r="O23" s="37"/>
      <c r="P23" s="37" t="s">
        <v>466</v>
      </c>
      <c r="Q23" s="37"/>
      <c r="R23" s="37"/>
      <c r="S23" s="37"/>
      <c r="T23" s="37"/>
      <c r="U23" s="37"/>
      <c r="V23" s="37"/>
      <c r="W23" s="37"/>
      <c r="X23" s="166"/>
      <c r="Y23" s="167" t="s">
        <v>466</v>
      </c>
      <c r="Z23" s="169"/>
      <c r="AA23" s="158">
        <v>7.0</v>
      </c>
      <c r="AB23" s="158">
        <v>13.0</v>
      </c>
      <c r="AC23" s="166">
        <f>AB23-AA23</f>
        <v>6</v>
      </c>
      <c r="AD23" s="170"/>
    </row>
    <row r="24">
      <c r="A24" s="165" t="s">
        <v>138</v>
      </c>
      <c r="B24" s="37" t="str">
        <f t="array" ref="B24">INDEX(ALLCLASSDATA,MATCH("ClassType",CLASSFEATUREHEADERS,0),MATCH(A24,CLASSNAMEHEADERS,0))</f>
        <v>Skill Paragon</v>
      </c>
      <c r="C24" s="37" t="s">
        <v>507</v>
      </c>
      <c r="D24" s="37" t="s">
        <v>435</v>
      </c>
      <c r="E24" s="37"/>
      <c r="F24" s="37"/>
      <c r="G24" s="37"/>
      <c r="H24" s="37"/>
      <c r="I24" s="37"/>
      <c r="J24" s="37"/>
      <c r="K24" s="37"/>
      <c r="L24" s="37" t="s">
        <v>436</v>
      </c>
      <c r="M24" s="37"/>
      <c r="N24" s="37"/>
      <c r="O24" s="37"/>
      <c r="P24" s="37"/>
      <c r="Q24" s="37"/>
      <c r="R24" s="37"/>
      <c r="S24" s="37"/>
      <c r="T24" s="37"/>
      <c r="U24" s="37"/>
      <c r="V24" s="37"/>
      <c r="W24" s="37"/>
      <c r="X24" s="166"/>
      <c r="Y24" s="167" t="s">
        <v>436</v>
      </c>
      <c r="Z24" s="167">
        <v>9.0</v>
      </c>
      <c r="AA24" s="166"/>
      <c r="AB24" s="166"/>
      <c r="AC24" s="166"/>
      <c r="AD24" s="170"/>
    </row>
    <row r="25">
      <c r="A25" s="165" t="s">
        <v>138</v>
      </c>
      <c r="B25" s="37" t="str">
        <f t="array" ref="B25">INDEX(ALLCLASSDATA,MATCH("ClassType",CLASSFEATUREHEADERS,0),MATCH(A25,CLASSNAMEHEADERS,0))</f>
        <v>Skill Paragon</v>
      </c>
      <c r="C25" s="37" t="s">
        <v>509</v>
      </c>
      <c r="D25" s="37" t="s">
        <v>436</v>
      </c>
      <c r="E25" s="37"/>
      <c r="F25" s="37"/>
      <c r="G25" s="37"/>
      <c r="H25" s="37"/>
      <c r="I25" s="37"/>
      <c r="J25" s="37" t="s">
        <v>437</v>
      </c>
      <c r="K25" s="37"/>
      <c r="L25" s="37"/>
      <c r="M25" s="37"/>
      <c r="N25" s="37"/>
      <c r="O25" s="37"/>
      <c r="P25" s="37" t="s">
        <v>466</v>
      </c>
      <c r="Q25" s="37"/>
      <c r="R25" s="37"/>
      <c r="S25" s="37"/>
      <c r="T25" s="37"/>
      <c r="U25" s="37"/>
      <c r="V25" s="37"/>
      <c r="W25" s="37"/>
      <c r="X25" s="166"/>
      <c r="Y25" s="167" t="s">
        <v>466</v>
      </c>
      <c r="Z25" s="169"/>
      <c r="AA25" s="158">
        <v>7.0</v>
      </c>
      <c r="AB25" s="158">
        <v>13.0</v>
      </c>
      <c r="AC25" s="166">
        <f>AB25-AA25</f>
        <v>6</v>
      </c>
      <c r="AD25" s="170"/>
    </row>
    <row r="26">
      <c r="A26" s="165" t="s">
        <v>138</v>
      </c>
      <c r="B26" s="37" t="str">
        <f t="array" ref="B26">INDEX(ALLCLASSDATA,MATCH("ClassType",CLASSFEATUREHEADERS,0),MATCH(A26,CLASSNAMEHEADERS,0))</f>
        <v>Skill Paragon</v>
      </c>
      <c r="C26" s="37" t="s">
        <v>510</v>
      </c>
      <c r="D26" s="37" t="s">
        <v>436</v>
      </c>
      <c r="E26" s="37"/>
      <c r="F26" s="37"/>
      <c r="G26" s="37"/>
      <c r="H26" s="37"/>
      <c r="I26" s="37"/>
      <c r="J26" s="37"/>
      <c r="K26" s="37"/>
      <c r="L26" s="37"/>
      <c r="M26" s="37"/>
      <c r="N26" s="37"/>
      <c r="O26" s="37"/>
      <c r="P26" s="37"/>
      <c r="Q26" s="37"/>
      <c r="R26" s="37"/>
      <c r="S26" s="37"/>
      <c r="T26" s="37" t="s">
        <v>437</v>
      </c>
      <c r="U26" s="37"/>
      <c r="V26" s="37"/>
      <c r="W26" s="37"/>
      <c r="X26" s="166"/>
      <c r="Y26" s="167" t="s">
        <v>437</v>
      </c>
      <c r="Z26" s="169"/>
      <c r="AA26" s="158">
        <v>17.0</v>
      </c>
      <c r="AB26" s="166"/>
      <c r="AC26" s="166"/>
      <c r="AD26" s="170"/>
    </row>
    <row r="27">
      <c r="A27" s="165" t="s">
        <v>144</v>
      </c>
      <c r="B27" s="37" t="str">
        <f t="array" ref="B27">INDEX(ALLCLASSDATA,MATCH("ClassType",CLASSFEATUREHEADERS,0),MATCH(A27,CLASSNAMEHEADERS,0))</f>
        <v>Skirmisher</v>
      </c>
      <c r="C27" s="37" t="s">
        <v>637</v>
      </c>
      <c r="D27" s="37" t="s">
        <v>436</v>
      </c>
      <c r="E27" s="37"/>
      <c r="F27" s="37"/>
      <c r="G27" s="37"/>
      <c r="H27" s="37"/>
      <c r="I27" s="37"/>
      <c r="J27" s="37" t="s">
        <v>437</v>
      </c>
      <c r="K27" s="37"/>
      <c r="L27" s="37"/>
      <c r="M27" s="37"/>
      <c r="N27" s="37"/>
      <c r="O27" s="37"/>
      <c r="P27" s="37" t="s">
        <v>466</v>
      </c>
      <c r="Q27" s="37"/>
      <c r="R27" s="37"/>
      <c r="S27" s="37"/>
      <c r="T27" s="37"/>
      <c r="U27" s="37"/>
      <c r="V27" s="37"/>
      <c r="W27" s="37"/>
      <c r="X27" s="166"/>
      <c r="Y27" s="167" t="s">
        <v>466</v>
      </c>
      <c r="Z27" s="169"/>
      <c r="AA27" s="158">
        <v>7.0</v>
      </c>
      <c r="AB27" s="158">
        <v>13.0</v>
      </c>
      <c r="AC27" s="166">
        <f>AB27-AA27</f>
        <v>6</v>
      </c>
      <c r="AD27" s="170"/>
    </row>
    <row r="28">
      <c r="A28" s="165" t="s">
        <v>144</v>
      </c>
      <c r="B28" s="37" t="str">
        <f t="array" ref="B28">INDEX(ALLCLASSDATA,MATCH("ClassType",CLASSFEATUREHEADERS,0),MATCH(A28,CLASSNAMEHEADERS,0))</f>
        <v>Skirmisher</v>
      </c>
      <c r="C28" s="37" t="s">
        <v>507</v>
      </c>
      <c r="D28" s="37" t="s">
        <v>435</v>
      </c>
      <c r="E28" s="37"/>
      <c r="F28" s="37"/>
      <c r="G28" s="37"/>
      <c r="H28" s="37"/>
      <c r="I28" s="37"/>
      <c r="J28" s="37"/>
      <c r="K28" s="37"/>
      <c r="L28" s="37" t="s">
        <v>436</v>
      </c>
      <c r="M28" s="37"/>
      <c r="N28" s="37"/>
      <c r="O28" s="37"/>
      <c r="P28" s="37"/>
      <c r="Q28" s="37"/>
      <c r="R28" s="37"/>
      <c r="S28" s="37"/>
      <c r="T28" s="37"/>
      <c r="U28" s="37"/>
      <c r="V28" s="37"/>
      <c r="W28" s="37"/>
      <c r="X28" s="158"/>
      <c r="Y28" s="167" t="s">
        <v>436</v>
      </c>
      <c r="Z28" s="167">
        <v>9.0</v>
      </c>
      <c r="AA28" s="166"/>
      <c r="AB28" s="166"/>
      <c r="AC28" s="166"/>
      <c r="AD28" s="170"/>
    </row>
    <row r="29">
      <c r="A29" s="165" t="s">
        <v>144</v>
      </c>
      <c r="B29" s="37" t="str">
        <f t="array" ref="B29">INDEX(ALLCLASSDATA,MATCH("ClassType",CLASSFEATUREHEADERS,0),MATCH(A29,CLASSNAMEHEADERS,0))</f>
        <v>Skirmisher</v>
      </c>
      <c r="C29" s="37" t="s">
        <v>509</v>
      </c>
      <c r="D29" s="37" t="s">
        <v>436</v>
      </c>
      <c r="E29" s="37"/>
      <c r="F29" s="37"/>
      <c r="G29" s="37"/>
      <c r="H29" s="37"/>
      <c r="I29" s="37"/>
      <c r="J29" s="37"/>
      <c r="K29" s="37"/>
      <c r="L29" s="37"/>
      <c r="M29" s="37"/>
      <c r="N29" s="37"/>
      <c r="O29" s="37"/>
      <c r="P29" s="37"/>
      <c r="Q29" s="37"/>
      <c r="R29" s="37" t="s">
        <v>437</v>
      </c>
      <c r="S29" s="37"/>
      <c r="T29" s="37"/>
      <c r="U29" s="37"/>
      <c r="V29" s="37"/>
      <c r="W29" s="37"/>
      <c r="X29" s="158"/>
      <c r="Y29" s="167" t="s">
        <v>437</v>
      </c>
      <c r="Z29" s="169"/>
      <c r="AA29" s="158">
        <v>15.0</v>
      </c>
      <c r="AB29" s="166"/>
      <c r="AC29" s="166"/>
      <c r="AD29" s="170"/>
    </row>
    <row r="30">
      <c r="A30" s="165" t="s">
        <v>144</v>
      </c>
      <c r="B30" s="37" t="str">
        <f t="array" ref="B30">INDEX(ALLCLASSDATA,MATCH("ClassType",CLASSFEATUREHEADERS,0),MATCH(A30,CLASSNAMEHEADERS,0))</f>
        <v>Skirmisher</v>
      </c>
      <c r="C30" s="37" t="s">
        <v>510</v>
      </c>
      <c r="D30" s="37" t="s">
        <v>436</v>
      </c>
      <c r="E30" s="37"/>
      <c r="F30" s="37"/>
      <c r="G30" s="37"/>
      <c r="H30" s="37"/>
      <c r="I30" s="37"/>
      <c r="J30" s="37"/>
      <c r="K30" s="37"/>
      <c r="L30" s="37"/>
      <c r="M30" s="37"/>
      <c r="N30" s="37" t="s">
        <v>437</v>
      </c>
      <c r="O30" s="37"/>
      <c r="P30" s="37"/>
      <c r="Q30" s="37"/>
      <c r="R30" s="37"/>
      <c r="S30" s="37"/>
      <c r="T30" s="37" t="s">
        <v>466</v>
      </c>
      <c r="U30" s="37"/>
      <c r="V30" s="37"/>
      <c r="W30" s="37"/>
      <c r="X30" s="158"/>
      <c r="Y30" s="167" t="s">
        <v>466</v>
      </c>
      <c r="Z30" s="169"/>
      <c r="AA30" s="158">
        <v>11.0</v>
      </c>
      <c r="AB30" s="158">
        <v>17.0</v>
      </c>
      <c r="AC30" s="166">
        <f>AB30-AA30</f>
        <v>6</v>
      </c>
      <c r="AD30" s="170"/>
    </row>
    <row r="31">
      <c r="A31" s="165" t="s">
        <v>176</v>
      </c>
      <c r="B31" s="37" t="str">
        <f t="array" ref="B31">INDEX(ALLCLASSDATA,MATCH("ClassType",CLASSFEATUREHEADERS,0),MATCH(A31,CLASSNAMEHEADERS,0))</f>
        <v>Skill Paragon</v>
      </c>
      <c r="C31" s="37" t="s">
        <v>637</v>
      </c>
      <c r="D31" s="37" t="s">
        <v>436</v>
      </c>
      <c r="E31" s="37"/>
      <c r="F31" s="37"/>
      <c r="G31" s="37"/>
      <c r="H31" s="37"/>
      <c r="I31" s="37"/>
      <c r="J31" s="37"/>
      <c r="K31" s="37"/>
      <c r="L31" s="37"/>
      <c r="M31" s="37"/>
      <c r="N31" s="37" t="s">
        <v>437</v>
      </c>
      <c r="O31" s="37"/>
      <c r="P31" s="37"/>
      <c r="Q31" s="37"/>
      <c r="R31" s="37"/>
      <c r="S31" s="37"/>
      <c r="T31" s="37"/>
      <c r="U31" s="37"/>
      <c r="V31" s="37"/>
      <c r="W31" s="37"/>
      <c r="X31" s="166"/>
      <c r="Y31" s="167" t="s">
        <v>437</v>
      </c>
      <c r="Z31" s="169"/>
      <c r="AA31" s="158">
        <v>11.0</v>
      </c>
      <c r="AB31" s="166"/>
      <c r="AC31" s="166"/>
      <c r="AD31" s="170"/>
    </row>
    <row r="32">
      <c r="A32" s="165" t="s">
        <v>176</v>
      </c>
      <c r="B32" s="37" t="str">
        <f t="array" ref="B32">INDEX(ALLCLASSDATA,MATCH("ClassType",CLASSFEATUREHEADERS,0),MATCH(A32,CLASSNAMEHEADERS,0))</f>
        <v>Skill Paragon</v>
      </c>
      <c r="C32" s="37" t="s">
        <v>507</v>
      </c>
      <c r="D32" s="37" t="s">
        <v>435</v>
      </c>
      <c r="E32" s="37"/>
      <c r="F32" s="37" t="s">
        <v>436</v>
      </c>
      <c r="G32" s="37"/>
      <c r="H32" s="37"/>
      <c r="I32" s="37"/>
      <c r="J32" s="37"/>
      <c r="K32" s="37"/>
      <c r="L32" s="37"/>
      <c r="M32" s="37"/>
      <c r="N32" s="37"/>
      <c r="O32" s="37"/>
      <c r="P32" s="37"/>
      <c r="Q32" s="37"/>
      <c r="R32" s="37"/>
      <c r="S32" s="37"/>
      <c r="T32" s="37"/>
      <c r="U32" s="37"/>
      <c r="V32" s="37"/>
      <c r="W32" s="37"/>
      <c r="X32" s="166"/>
      <c r="Y32" s="167" t="s">
        <v>436</v>
      </c>
      <c r="Z32" s="167">
        <v>3.0</v>
      </c>
      <c r="AA32" s="166"/>
      <c r="AB32" s="166"/>
      <c r="AC32" s="166"/>
      <c r="AD32" s="170"/>
    </row>
    <row r="33">
      <c r="A33" s="165" t="s">
        <v>176</v>
      </c>
      <c r="B33" s="37" t="str">
        <f t="array" ref="B33">INDEX(ALLCLASSDATA,MATCH("ClassType",CLASSFEATUREHEADERS,0),MATCH(A33,CLASSNAMEHEADERS,0))</f>
        <v>Skill Paragon</v>
      </c>
      <c r="C33" s="37" t="s">
        <v>509</v>
      </c>
      <c r="D33" s="37" t="s">
        <v>436</v>
      </c>
      <c r="E33" s="37"/>
      <c r="F33" s="37"/>
      <c r="G33" s="37"/>
      <c r="H33" s="37"/>
      <c r="I33" s="37"/>
      <c r="J33" s="37" t="s">
        <v>437</v>
      </c>
      <c r="K33" s="37"/>
      <c r="L33" s="37"/>
      <c r="M33" s="37"/>
      <c r="N33" s="37"/>
      <c r="O33" s="37"/>
      <c r="P33" s="37" t="s">
        <v>466</v>
      </c>
      <c r="Q33" s="37"/>
      <c r="R33" s="37"/>
      <c r="S33" s="37"/>
      <c r="T33" s="37"/>
      <c r="U33" s="37"/>
      <c r="V33" s="37"/>
      <c r="W33" s="37"/>
      <c r="X33" s="166"/>
      <c r="Y33" s="167" t="s">
        <v>466</v>
      </c>
      <c r="Z33" s="169"/>
      <c r="AA33" s="158">
        <v>7.0</v>
      </c>
      <c r="AB33" s="158">
        <v>13.0</v>
      </c>
      <c r="AC33" s="166">
        <f>AB33-AA33</f>
        <v>6</v>
      </c>
      <c r="AD33" s="170"/>
    </row>
    <row r="34">
      <c r="A34" s="165" t="s">
        <v>176</v>
      </c>
      <c r="B34" s="37" t="str">
        <f t="array" ref="B34">INDEX(ALLCLASSDATA,MATCH("ClassType",CLASSFEATUREHEADERS,0),MATCH(A34,CLASSNAMEHEADERS,0))</f>
        <v>Skill Paragon</v>
      </c>
      <c r="C34" s="37" t="s">
        <v>510</v>
      </c>
      <c r="D34" s="37" t="s">
        <v>436</v>
      </c>
      <c r="E34" s="37"/>
      <c r="F34" s="37"/>
      <c r="G34" s="37"/>
      <c r="H34" s="37"/>
      <c r="I34" s="37"/>
      <c r="J34" s="37"/>
      <c r="K34" s="37"/>
      <c r="L34" s="37"/>
      <c r="M34" s="37"/>
      <c r="N34" s="37"/>
      <c r="O34" s="37"/>
      <c r="P34" s="37"/>
      <c r="Q34" s="37"/>
      <c r="R34" s="37"/>
      <c r="S34" s="37"/>
      <c r="T34" s="37" t="s">
        <v>437</v>
      </c>
      <c r="U34" s="37"/>
      <c r="V34" s="37"/>
      <c r="W34" s="37"/>
      <c r="X34" s="166"/>
      <c r="Y34" s="167" t="s">
        <v>437</v>
      </c>
      <c r="Z34" s="169"/>
      <c r="AA34" s="158">
        <v>17.0</v>
      </c>
      <c r="AB34" s="166"/>
      <c r="AC34" s="166"/>
      <c r="AD34" s="170"/>
    </row>
    <row r="35">
      <c r="A35" s="165" t="s">
        <v>180</v>
      </c>
      <c r="B35" s="37" t="str">
        <f t="array" ref="B35">INDEX(ALLCLASSDATA,MATCH("ClassType",CLASSFEATUREHEADERS,0),MATCH(A35,CLASSNAMEHEADERS,0))</f>
        <v>Sniper</v>
      </c>
      <c r="C35" s="37" t="s">
        <v>637</v>
      </c>
      <c r="D35" s="37" t="s">
        <v>436</v>
      </c>
      <c r="E35" s="37"/>
      <c r="F35" s="37"/>
      <c r="G35" s="37"/>
      <c r="H35" s="37"/>
      <c r="I35" s="37"/>
      <c r="J35" s="37" t="s">
        <v>437</v>
      </c>
      <c r="K35" s="37"/>
      <c r="L35" s="37"/>
      <c r="M35" s="37"/>
      <c r="N35" s="37"/>
      <c r="O35" s="37"/>
      <c r="P35" s="37"/>
      <c r="Q35" s="37"/>
      <c r="R35" s="37"/>
      <c r="S35" s="37"/>
      <c r="T35" s="37"/>
      <c r="U35" s="37"/>
      <c r="V35" s="37" t="s">
        <v>466</v>
      </c>
      <c r="W35" s="37"/>
      <c r="X35" s="166"/>
      <c r="Y35" s="167" t="s">
        <v>466</v>
      </c>
      <c r="Z35" s="169"/>
      <c r="AA35" s="158">
        <v>7.0</v>
      </c>
      <c r="AB35" s="158">
        <v>19.0</v>
      </c>
      <c r="AC35" s="166">
        <f>AB35-AA35</f>
        <v>12</v>
      </c>
      <c r="AD35" s="170"/>
    </row>
    <row r="36">
      <c r="A36" s="165" t="s">
        <v>180</v>
      </c>
      <c r="B36" s="37" t="str">
        <f t="array" ref="B36">INDEX(ALLCLASSDATA,MATCH("ClassType",CLASSFEATUREHEADERS,0),MATCH(A36,CLASSNAMEHEADERS,0))</f>
        <v>Sniper</v>
      </c>
      <c r="C36" s="37" t="s">
        <v>507</v>
      </c>
      <c r="D36" s="37" t="s">
        <v>436</v>
      </c>
      <c r="E36" s="37"/>
      <c r="F36" s="37"/>
      <c r="G36" s="37"/>
      <c r="H36" s="37"/>
      <c r="I36" s="37"/>
      <c r="J36" s="37"/>
      <c r="K36" s="37"/>
      <c r="L36" s="37"/>
      <c r="M36" s="37"/>
      <c r="N36" s="37"/>
      <c r="O36" s="37"/>
      <c r="P36" s="37"/>
      <c r="Q36" s="37"/>
      <c r="R36" s="37"/>
      <c r="S36" s="37"/>
      <c r="T36" s="37" t="s">
        <v>437</v>
      </c>
      <c r="U36" s="37"/>
      <c r="V36" s="37"/>
      <c r="W36" s="37"/>
      <c r="X36" s="166"/>
      <c r="Y36" s="167" t="s">
        <v>437</v>
      </c>
      <c r="Z36" s="169"/>
      <c r="AA36" s="158">
        <v>17.0</v>
      </c>
      <c r="AB36" s="166"/>
      <c r="AC36" s="166"/>
      <c r="AD36" s="170"/>
    </row>
    <row r="37">
      <c r="A37" s="165" t="s">
        <v>180</v>
      </c>
      <c r="B37" s="37" t="str">
        <f t="array" ref="B37">INDEX(ALLCLASSDATA,MATCH("ClassType",CLASSFEATUREHEADERS,0),MATCH(A37,CLASSNAMEHEADERS,0))</f>
        <v>Sniper</v>
      </c>
      <c r="C37" s="37" t="s">
        <v>509</v>
      </c>
      <c r="D37" s="37" t="s">
        <v>436</v>
      </c>
      <c r="E37" s="37"/>
      <c r="F37" s="37"/>
      <c r="G37" s="37"/>
      <c r="H37" s="37"/>
      <c r="I37" s="37"/>
      <c r="J37" s="37"/>
      <c r="K37" s="37"/>
      <c r="L37" s="37"/>
      <c r="M37" s="37"/>
      <c r="N37" s="37" t="s">
        <v>437</v>
      </c>
      <c r="O37" s="37"/>
      <c r="P37" s="37"/>
      <c r="Q37" s="37"/>
      <c r="R37" s="37"/>
      <c r="S37" s="37"/>
      <c r="T37" s="37"/>
      <c r="U37" s="37"/>
      <c r="V37" s="37"/>
      <c r="W37" s="37"/>
      <c r="X37" s="166"/>
      <c r="Y37" s="167" t="s">
        <v>437</v>
      </c>
      <c r="Z37" s="169"/>
      <c r="AA37" s="158">
        <v>11.0</v>
      </c>
      <c r="AB37" s="166"/>
      <c r="AC37" s="166"/>
      <c r="AD37" s="170"/>
    </row>
    <row r="38">
      <c r="A38" s="165" t="s">
        <v>180</v>
      </c>
      <c r="B38" s="37" t="str">
        <f t="array" ref="B38">INDEX(ALLCLASSDATA,MATCH("ClassType",CLASSFEATUREHEADERS,0),MATCH(A38,CLASSNAMEHEADERS,0))</f>
        <v>Sniper</v>
      </c>
      <c r="C38" s="37" t="s">
        <v>510</v>
      </c>
      <c r="D38" s="37" t="s">
        <v>435</v>
      </c>
      <c r="E38" s="37"/>
      <c r="F38" s="37" t="s">
        <v>436</v>
      </c>
      <c r="G38" s="37"/>
      <c r="H38" s="37"/>
      <c r="I38" s="37"/>
      <c r="J38" s="37"/>
      <c r="K38" s="37"/>
      <c r="L38" s="37"/>
      <c r="M38" s="37"/>
      <c r="N38" s="37"/>
      <c r="O38" s="37"/>
      <c r="P38" s="37"/>
      <c r="Q38" s="37"/>
      <c r="R38" s="37"/>
      <c r="S38" s="37"/>
      <c r="T38" s="37"/>
      <c r="U38" s="37"/>
      <c r="V38" s="37"/>
      <c r="W38" s="37"/>
      <c r="X38" s="166"/>
      <c r="Y38" s="167" t="s">
        <v>436</v>
      </c>
      <c r="Z38" s="167">
        <v>3.0</v>
      </c>
      <c r="AA38" s="166"/>
      <c r="AB38" s="166"/>
      <c r="AC38" s="166"/>
      <c r="AD38" s="170"/>
    </row>
    <row r="39">
      <c r="A39" s="165" t="s">
        <v>185</v>
      </c>
      <c r="B39" s="37" t="str">
        <f t="array" ref="B39">INDEX(ALLCLASSDATA,MATCH("ClassType",CLASSFEATUREHEADERS,0),MATCH(A39,CLASSNAMEHEADERS,0))</f>
        <v>Brute</v>
      </c>
      <c r="C39" s="37" t="s">
        <v>637</v>
      </c>
      <c r="D39" s="37" t="s">
        <v>435</v>
      </c>
      <c r="E39" s="37"/>
      <c r="F39" s="37"/>
      <c r="G39" s="37"/>
      <c r="H39" s="37"/>
      <c r="I39" s="37"/>
      <c r="J39" s="37"/>
      <c r="K39" s="37"/>
      <c r="L39" s="37"/>
      <c r="M39" s="37"/>
      <c r="N39" s="37"/>
      <c r="O39" s="37"/>
      <c r="P39" s="37" t="s">
        <v>436</v>
      </c>
      <c r="Q39" s="37"/>
      <c r="R39" s="37"/>
      <c r="S39" s="37"/>
      <c r="T39" s="37"/>
      <c r="U39" s="37"/>
      <c r="V39" s="37"/>
      <c r="W39" s="37"/>
      <c r="X39" s="158"/>
      <c r="Y39" s="167" t="s">
        <v>436</v>
      </c>
      <c r="Z39" s="167">
        <v>13.0</v>
      </c>
      <c r="AA39" s="166"/>
      <c r="AB39" s="166"/>
      <c r="AC39" s="166"/>
      <c r="AD39" s="170"/>
    </row>
    <row r="40">
      <c r="A40" s="165" t="s">
        <v>185</v>
      </c>
      <c r="B40" s="37" t="str">
        <f t="array" ref="B40">INDEX(ALLCLASSDATA,MATCH("ClassType",CLASSFEATUREHEADERS,0),MATCH(A40,CLASSNAMEHEADERS,0))</f>
        <v>Brute</v>
      </c>
      <c r="C40" s="37" t="s">
        <v>507</v>
      </c>
      <c r="D40" s="37" t="s">
        <v>436</v>
      </c>
      <c r="E40" s="37"/>
      <c r="F40" s="37"/>
      <c r="G40" s="37"/>
      <c r="H40" s="37"/>
      <c r="I40" s="37"/>
      <c r="J40" s="37"/>
      <c r="K40" s="37"/>
      <c r="L40" s="37"/>
      <c r="M40" s="37"/>
      <c r="N40" s="37"/>
      <c r="O40" s="37"/>
      <c r="P40" s="37"/>
      <c r="Q40" s="37"/>
      <c r="R40" s="37"/>
      <c r="S40" s="37"/>
      <c r="T40" s="37" t="s">
        <v>437</v>
      </c>
      <c r="U40" s="37"/>
      <c r="V40" s="37"/>
      <c r="W40" s="37"/>
      <c r="X40" s="158"/>
      <c r="Y40" s="167" t="s">
        <v>437</v>
      </c>
      <c r="Z40" s="169"/>
      <c r="AA40" s="158">
        <v>17.0</v>
      </c>
      <c r="AB40" s="166"/>
      <c r="AC40" s="166"/>
      <c r="AD40" s="170"/>
    </row>
    <row r="41">
      <c r="A41" s="165" t="s">
        <v>185</v>
      </c>
      <c r="B41" s="37" t="str">
        <f t="array" ref="B41">INDEX(ALLCLASSDATA,MATCH("ClassType",CLASSFEATUREHEADERS,0),MATCH(A41,CLASSNAMEHEADERS,0))</f>
        <v>Brute</v>
      </c>
      <c r="C41" s="37" t="s">
        <v>509</v>
      </c>
      <c r="D41" s="37" t="s">
        <v>435</v>
      </c>
      <c r="E41" s="37"/>
      <c r="F41" s="37"/>
      <c r="G41" s="37"/>
      <c r="H41" s="37"/>
      <c r="I41" s="37"/>
      <c r="J41" s="37" t="s">
        <v>436</v>
      </c>
      <c r="K41" s="37"/>
      <c r="L41" s="37"/>
      <c r="M41" s="37"/>
      <c r="N41" s="37"/>
      <c r="O41" s="37"/>
      <c r="P41" s="37"/>
      <c r="Q41" s="37"/>
      <c r="R41" s="37"/>
      <c r="S41" s="37"/>
      <c r="T41" s="37"/>
      <c r="U41" s="37"/>
      <c r="V41" s="37"/>
      <c r="W41" s="37"/>
      <c r="X41" s="158"/>
      <c r="Y41" s="167" t="s">
        <v>436</v>
      </c>
      <c r="Z41" s="167">
        <v>7.0</v>
      </c>
      <c r="AA41" s="166"/>
      <c r="AB41" s="166"/>
      <c r="AC41" s="166"/>
      <c r="AD41" s="170"/>
    </row>
    <row r="42">
      <c r="A42" s="165" t="s">
        <v>185</v>
      </c>
      <c r="B42" s="37" t="str">
        <f t="array" ref="B42">INDEX(ALLCLASSDATA,MATCH("ClassType",CLASSFEATUREHEADERS,0),MATCH(A42,CLASSNAMEHEADERS,0))</f>
        <v>Brute</v>
      </c>
      <c r="C42" s="37" t="s">
        <v>510</v>
      </c>
      <c r="D42" s="37" t="s">
        <v>436</v>
      </c>
      <c r="E42" s="37"/>
      <c r="F42" s="37"/>
      <c r="G42" s="37"/>
      <c r="H42" s="37"/>
      <c r="I42" s="37"/>
      <c r="J42" s="37"/>
      <c r="K42" s="37"/>
      <c r="L42" s="37"/>
      <c r="M42" s="37"/>
      <c r="N42" s="37" t="s">
        <v>437</v>
      </c>
      <c r="O42" s="37"/>
      <c r="P42" s="37"/>
      <c r="Q42" s="37"/>
      <c r="R42" s="37"/>
      <c r="S42" s="37"/>
      <c r="T42" s="37"/>
      <c r="U42" s="37"/>
      <c r="V42" s="37"/>
      <c r="W42" s="37"/>
      <c r="X42" s="158"/>
      <c r="Y42" s="167" t="s">
        <v>437</v>
      </c>
      <c r="Z42" s="169"/>
      <c r="AA42" s="158">
        <v>11.0</v>
      </c>
      <c r="AB42" s="166"/>
      <c r="AC42" s="166"/>
      <c r="AD42" s="170"/>
    </row>
    <row r="43">
      <c r="A43" s="165" t="s">
        <v>189</v>
      </c>
      <c r="B43" s="37" t="str">
        <f t="array" ref="B43">INDEX(ALLCLASSDATA,MATCH("ClassType",CLASSFEATUREHEADERS,0),MATCH(A43,CLASSNAMEHEADERS,0))</f>
        <v>Brute</v>
      </c>
      <c r="C43" s="37" t="s">
        <v>637</v>
      </c>
      <c r="D43" s="37" t="s">
        <v>435</v>
      </c>
      <c r="E43" s="37"/>
      <c r="F43" s="37"/>
      <c r="G43" s="37"/>
      <c r="H43" s="37"/>
      <c r="I43" s="37"/>
      <c r="J43" s="37"/>
      <c r="K43" s="37"/>
      <c r="L43" s="37" t="s">
        <v>436</v>
      </c>
      <c r="M43" s="37"/>
      <c r="N43" s="37"/>
      <c r="O43" s="37"/>
      <c r="P43" s="37"/>
      <c r="Q43" s="37"/>
      <c r="R43" s="37"/>
      <c r="S43" s="37"/>
      <c r="T43" s="37"/>
      <c r="U43" s="37"/>
      <c r="V43" s="37"/>
      <c r="W43" s="37"/>
      <c r="X43" s="166"/>
      <c r="Y43" s="167" t="s">
        <v>436</v>
      </c>
      <c r="Z43" s="167">
        <v>9.0</v>
      </c>
      <c r="AA43" s="166"/>
      <c r="AB43" s="166"/>
      <c r="AC43" s="166"/>
      <c r="AD43" s="170"/>
    </row>
    <row r="44">
      <c r="A44" s="165" t="s">
        <v>189</v>
      </c>
      <c r="B44" s="37" t="str">
        <f t="array" ref="B44">INDEX(ALLCLASSDATA,MATCH("ClassType",CLASSFEATUREHEADERS,0),MATCH(A44,CLASSNAMEHEADERS,0))</f>
        <v>Brute</v>
      </c>
      <c r="C44" s="37" t="s">
        <v>507</v>
      </c>
      <c r="D44" s="37" t="s">
        <v>436</v>
      </c>
      <c r="E44" s="37"/>
      <c r="F44" s="37"/>
      <c r="G44" s="37"/>
      <c r="H44" s="37"/>
      <c r="I44" s="37"/>
      <c r="J44" s="37"/>
      <c r="K44" s="37"/>
      <c r="L44" s="37"/>
      <c r="M44" s="37"/>
      <c r="N44" s="37" t="s">
        <v>437</v>
      </c>
      <c r="O44" s="37"/>
      <c r="P44" s="37"/>
      <c r="Q44" s="37"/>
      <c r="R44" s="37"/>
      <c r="S44" s="37"/>
      <c r="T44" s="37"/>
      <c r="U44" s="37"/>
      <c r="V44" s="37"/>
      <c r="W44" s="37"/>
      <c r="X44" s="166"/>
      <c r="Y44" s="167" t="s">
        <v>437</v>
      </c>
      <c r="Z44" s="169"/>
      <c r="AA44" s="158">
        <v>11.0</v>
      </c>
      <c r="AB44" s="166"/>
      <c r="AC44" s="166"/>
      <c r="AD44" s="170"/>
    </row>
    <row r="45">
      <c r="A45" s="165" t="s">
        <v>189</v>
      </c>
      <c r="B45" s="37" t="str">
        <f t="array" ref="B45">INDEX(ALLCLASSDATA,MATCH("ClassType",CLASSFEATUREHEADERS,0),MATCH(A45,CLASSNAMEHEADERS,0))</f>
        <v>Brute</v>
      </c>
      <c r="C45" s="37" t="s">
        <v>509</v>
      </c>
      <c r="D45" s="37" t="s">
        <v>436</v>
      </c>
      <c r="E45" s="37"/>
      <c r="F45" s="37"/>
      <c r="G45" s="37"/>
      <c r="H45" s="37"/>
      <c r="I45" s="37"/>
      <c r="J45" s="37"/>
      <c r="K45" s="37"/>
      <c r="L45" s="37"/>
      <c r="M45" s="37"/>
      <c r="N45" s="37"/>
      <c r="O45" s="37"/>
      <c r="P45" s="37"/>
      <c r="Q45" s="37"/>
      <c r="R45" s="37" t="s">
        <v>437</v>
      </c>
      <c r="S45" s="37"/>
      <c r="T45" s="37"/>
      <c r="U45" s="37"/>
      <c r="V45" s="37"/>
      <c r="W45" s="37"/>
      <c r="X45" s="166"/>
      <c r="Y45" s="167" t="s">
        <v>437</v>
      </c>
      <c r="Z45" s="169"/>
      <c r="AA45" s="158">
        <v>15.0</v>
      </c>
      <c r="AB45" s="166"/>
      <c r="AC45" s="166"/>
      <c r="AD45" s="170"/>
    </row>
    <row r="46">
      <c r="A46" s="165" t="s">
        <v>189</v>
      </c>
      <c r="B46" s="37" t="str">
        <f t="array" ref="B46">INDEX(ALLCLASSDATA,MATCH("ClassType",CLASSFEATUREHEADERS,0),MATCH(A46,CLASSNAMEHEADERS,0))</f>
        <v>Brute</v>
      </c>
      <c r="C46" s="37" t="s">
        <v>510</v>
      </c>
      <c r="D46" s="37" t="s">
        <v>435</v>
      </c>
      <c r="E46" s="37"/>
      <c r="F46" s="37"/>
      <c r="G46" s="37"/>
      <c r="H46" s="37"/>
      <c r="I46" s="37"/>
      <c r="J46" s="37" t="s">
        <v>436</v>
      </c>
      <c r="K46" s="37"/>
      <c r="L46" s="37"/>
      <c r="M46" s="37"/>
      <c r="N46" s="37"/>
      <c r="O46" s="37"/>
      <c r="P46" s="37"/>
      <c r="Q46" s="37"/>
      <c r="R46" s="37"/>
      <c r="S46" s="37"/>
      <c r="T46" s="37"/>
      <c r="U46" s="37"/>
      <c r="V46" s="37"/>
      <c r="W46" s="37"/>
      <c r="X46" s="166"/>
      <c r="Y46" s="167" t="s">
        <v>436</v>
      </c>
      <c r="Z46" s="167">
        <v>7.0</v>
      </c>
      <c r="AA46" s="166"/>
      <c r="AB46" s="166"/>
      <c r="AC46" s="166"/>
      <c r="AD46" s="170"/>
    </row>
    <row r="47">
      <c r="A47" s="165" t="s">
        <v>195</v>
      </c>
      <c r="B47" s="37" t="str">
        <f t="array" ref="B47">INDEX(ALLCLASSDATA,MATCH("ClassType",CLASSFEATUREHEADERS,0),MATCH(A47,CLASSNAMEHEADERS,0))</f>
        <v>Magical Striker</v>
      </c>
      <c r="C47" s="37" t="s">
        <v>637</v>
      </c>
      <c r="D47" s="37" t="s">
        <v>435</v>
      </c>
      <c r="E47" s="37"/>
      <c r="F47" s="37" t="s">
        <v>436</v>
      </c>
      <c r="G47" s="37"/>
      <c r="H47" s="37"/>
      <c r="I47" s="37"/>
      <c r="J47" s="37"/>
      <c r="K47" s="37"/>
      <c r="L47" s="37"/>
      <c r="M47" s="37"/>
      <c r="N47" s="37"/>
      <c r="O47" s="37"/>
      <c r="P47" s="37"/>
      <c r="Q47" s="37"/>
      <c r="R47" s="37"/>
      <c r="S47" s="37"/>
      <c r="T47" s="37"/>
      <c r="U47" s="37"/>
      <c r="V47" s="37"/>
      <c r="W47" s="37"/>
      <c r="X47" s="166"/>
      <c r="Y47" s="167" t="s">
        <v>436</v>
      </c>
      <c r="Z47" s="167">
        <v>3.0</v>
      </c>
      <c r="AA47" s="166"/>
      <c r="AB47" s="166"/>
      <c r="AC47" s="166"/>
      <c r="AD47" s="170"/>
    </row>
    <row r="48">
      <c r="A48" s="165" t="s">
        <v>195</v>
      </c>
      <c r="B48" s="37" t="str">
        <f t="array" ref="B48">INDEX(ALLCLASSDATA,MATCH("ClassType",CLASSFEATUREHEADERS,0),MATCH(A48,CLASSNAMEHEADERS,0))</f>
        <v>Magical Striker</v>
      </c>
      <c r="C48" s="37" t="s">
        <v>507</v>
      </c>
      <c r="D48" s="37" t="s">
        <v>436</v>
      </c>
      <c r="E48" s="37"/>
      <c r="F48" s="37"/>
      <c r="G48" s="37"/>
      <c r="H48" s="37"/>
      <c r="I48" s="37"/>
      <c r="J48" s="37"/>
      <c r="K48" s="37"/>
      <c r="L48" s="37"/>
      <c r="M48" s="37"/>
      <c r="N48" s="37" t="s">
        <v>437</v>
      </c>
      <c r="O48" s="37"/>
      <c r="P48" s="37"/>
      <c r="Q48" s="37"/>
      <c r="R48" s="37"/>
      <c r="S48" s="37"/>
      <c r="T48" s="37"/>
      <c r="U48" s="37"/>
      <c r="V48" s="37"/>
      <c r="W48" s="37"/>
      <c r="X48" s="158"/>
      <c r="Y48" s="167" t="s">
        <v>437</v>
      </c>
      <c r="Z48" s="169"/>
      <c r="AA48" s="158">
        <v>11.0</v>
      </c>
      <c r="AB48" s="166"/>
      <c r="AC48" s="166"/>
      <c r="AD48" s="168"/>
    </row>
    <row r="49">
      <c r="A49" s="165" t="s">
        <v>195</v>
      </c>
      <c r="B49" s="37" t="str">
        <f t="array" ref="B49">INDEX(ALLCLASSDATA,MATCH("ClassType",CLASSFEATUREHEADERS,0),MATCH(A49,CLASSNAMEHEADERS,0))</f>
        <v>Magical Striker</v>
      </c>
      <c r="C49" s="37" t="s">
        <v>509</v>
      </c>
      <c r="D49" s="37" t="s">
        <v>435</v>
      </c>
      <c r="E49" s="37"/>
      <c r="F49" s="37"/>
      <c r="G49" s="37"/>
      <c r="H49" s="37"/>
      <c r="I49" s="37"/>
      <c r="J49" s="37"/>
      <c r="K49" s="37"/>
      <c r="L49" s="37" t="s">
        <v>436</v>
      </c>
      <c r="M49" s="37"/>
      <c r="N49" s="37"/>
      <c r="O49" s="37"/>
      <c r="P49" s="37"/>
      <c r="Q49" s="37"/>
      <c r="R49" s="37"/>
      <c r="S49" s="37"/>
      <c r="T49" s="37"/>
      <c r="U49" s="37"/>
      <c r="V49" s="37"/>
      <c r="W49" s="37"/>
      <c r="X49" s="158"/>
      <c r="Y49" s="167" t="s">
        <v>436</v>
      </c>
      <c r="Z49" s="167">
        <v>9.0</v>
      </c>
      <c r="AA49" s="166"/>
      <c r="AB49" s="166"/>
      <c r="AC49" s="166"/>
      <c r="AD49" s="168"/>
    </row>
    <row r="50">
      <c r="A50" s="165" t="s">
        <v>195</v>
      </c>
      <c r="B50" s="37" t="str">
        <f t="array" ref="B50">INDEX(ALLCLASSDATA,MATCH("ClassType",CLASSFEATUREHEADERS,0),MATCH(A50,CLASSNAMEHEADERS,0))</f>
        <v>Magical Striker</v>
      </c>
      <c r="C50" s="37" t="s">
        <v>510</v>
      </c>
      <c r="D50" s="37" t="s">
        <v>436</v>
      </c>
      <c r="E50" s="37"/>
      <c r="F50" s="37"/>
      <c r="G50" s="37"/>
      <c r="H50" s="37"/>
      <c r="I50" s="37"/>
      <c r="J50" s="37"/>
      <c r="K50" s="37"/>
      <c r="L50" s="37"/>
      <c r="M50" s="37"/>
      <c r="N50" s="37"/>
      <c r="O50" s="37"/>
      <c r="P50" s="37"/>
      <c r="Q50" s="37"/>
      <c r="R50" s="37" t="s">
        <v>437</v>
      </c>
      <c r="S50" s="37"/>
      <c r="T50" s="37"/>
      <c r="U50" s="37"/>
      <c r="V50" s="37"/>
      <c r="W50" s="37"/>
      <c r="X50" s="158"/>
      <c r="Y50" s="167" t="s">
        <v>437</v>
      </c>
      <c r="Z50" s="169"/>
      <c r="AA50" s="158">
        <v>15.0</v>
      </c>
      <c r="AB50" s="166"/>
      <c r="AC50" s="166"/>
      <c r="AD50" s="168"/>
    </row>
    <row r="51">
      <c r="A51" s="165" t="s">
        <v>199</v>
      </c>
      <c r="B51" s="37" t="str">
        <f t="array" ref="B51">INDEX(ALLCLASSDATA,MATCH("ClassType",CLASSFEATUREHEADERS,0),MATCH(A51,CLASSNAMEHEADERS,0))</f>
        <v>Magical Striker</v>
      </c>
      <c r="C51" s="37" t="s">
        <v>637</v>
      </c>
      <c r="D51" s="37" t="s">
        <v>435</v>
      </c>
      <c r="E51" s="37"/>
      <c r="F51" s="37"/>
      <c r="G51" s="37"/>
      <c r="H51" s="37"/>
      <c r="I51" s="37"/>
      <c r="J51" s="37"/>
      <c r="K51" s="37"/>
      <c r="L51" s="37" t="s">
        <v>436</v>
      </c>
      <c r="M51" s="37"/>
      <c r="N51" s="37"/>
      <c r="O51" s="37"/>
      <c r="P51" s="37"/>
      <c r="Q51" s="37"/>
      <c r="R51" s="37"/>
      <c r="S51" s="37"/>
      <c r="T51" s="37"/>
      <c r="U51" s="37"/>
      <c r="V51" s="37"/>
      <c r="W51" s="37"/>
      <c r="X51" s="166"/>
      <c r="Y51" s="167" t="s">
        <v>436</v>
      </c>
      <c r="Z51" s="167">
        <v>9.0</v>
      </c>
      <c r="AA51" s="166"/>
      <c r="AB51" s="166"/>
      <c r="AC51" s="166"/>
      <c r="AD51" s="168"/>
    </row>
    <row r="52">
      <c r="A52" s="165" t="s">
        <v>199</v>
      </c>
      <c r="B52" s="37" t="str">
        <f t="array" ref="B52">INDEX(ALLCLASSDATA,MATCH("ClassType",CLASSFEATUREHEADERS,0),MATCH(A52,CLASSNAMEHEADERS,0))</f>
        <v>Magical Striker</v>
      </c>
      <c r="C52" s="37" t="s">
        <v>507</v>
      </c>
      <c r="D52" s="37" t="s">
        <v>436</v>
      </c>
      <c r="E52" s="37"/>
      <c r="F52" s="37"/>
      <c r="G52" s="37"/>
      <c r="H52" s="37"/>
      <c r="I52" s="37"/>
      <c r="J52" s="37"/>
      <c r="K52" s="37"/>
      <c r="L52" s="37"/>
      <c r="M52" s="37"/>
      <c r="N52" s="37"/>
      <c r="O52" s="37"/>
      <c r="P52" s="37"/>
      <c r="Q52" s="37"/>
      <c r="R52" s="37" t="s">
        <v>437</v>
      </c>
      <c r="S52" s="37"/>
      <c r="T52" s="37"/>
      <c r="U52" s="37"/>
      <c r="V52" s="37"/>
      <c r="W52" s="37"/>
      <c r="X52" s="166"/>
      <c r="Y52" s="167" t="s">
        <v>437</v>
      </c>
      <c r="Z52" s="169"/>
      <c r="AA52" s="158">
        <v>15.0</v>
      </c>
      <c r="AB52" s="166"/>
      <c r="AC52" s="166"/>
      <c r="AD52" s="168"/>
    </row>
    <row r="53">
      <c r="A53" s="165" t="s">
        <v>199</v>
      </c>
      <c r="B53" s="37" t="str">
        <f t="array" ref="B53">INDEX(ALLCLASSDATA,MATCH("ClassType",CLASSFEATUREHEADERS,0),MATCH(A53,CLASSNAMEHEADERS,0))</f>
        <v>Magical Striker</v>
      </c>
      <c r="C53" s="37" t="s">
        <v>509</v>
      </c>
      <c r="D53" s="37" t="s">
        <v>435</v>
      </c>
      <c r="E53" s="37"/>
      <c r="F53" s="37"/>
      <c r="G53" s="37"/>
      <c r="H53" s="37" t="s">
        <v>436</v>
      </c>
      <c r="I53" s="37"/>
      <c r="J53" s="37"/>
      <c r="K53" s="37"/>
      <c r="L53" s="37"/>
      <c r="M53" s="37"/>
      <c r="N53" s="37"/>
      <c r="O53" s="37"/>
      <c r="P53" s="37"/>
      <c r="Q53" s="37"/>
      <c r="R53" s="37"/>
      <c r="S53" s="37"/>
      <c r="T53" s="37"/>
      <c r="U53" s="37"/>
      <c r="V53" s="37"/>
      <c r="W53" s="37"/>
      <c r="X53" s="166"/>
      <c r="Y53" s="167" t="s">
        <v>436</v>
      </c>
      <c r="Z53" s="167">
        <v>5.0</v>
      </c>
      <c r="AA53" s="166"/>
      <c r="AB53" s="166"/>
      <c r="AC53" s="166"/>
      <c r="AD53" s="168"/>
    </row>
    <row r="54">
      <c r="A54" s="165" t="s">
        <v>199</v>
      </c>
      <c r="B54" s="37" t="str">
        <f t="array" ref="B54">INDEX(ALLCLASSDATA,MATCH("ClassType",CLASSFEATUREHEADERS,0),MATCH(A54,CLASSNAMEHEADERS,0))</f>
        <v>Magical Striker</v>
      </c>
      <c r="C54" s="37" t="s">
        <v>510</v>
      </c>
      <c r="D54" s="37" t="s">
        <v>436</v>
      </c>
      <c r="E54" s="37"/>
      <c r="F54" s="37"/>
      <c r="G54" s="37"/>
      <c r="H54" s="37"/>
      <c r="I54" s="37"/>
      <c r="J54" s="37"/>
      <c r="K54" s="37"/>
      <c r="L54" s="37" t="s">
        <v>437</v>
      </c>
      <c r="M54" s="37"/>
      <c r="N54" s="37"/>
      <c r="O54" s="37"/>
      <c r="P54" s="37"/>
      <c r="Q54" s="37"/>
      <c r="R54" s="37"/>
      <c r="S54" s="37"/>
      <c r="T54" s="37"/>
      <c r="U54" s="37"/>
      <c r="V54" s="37"/>
      <c r="W54" s="37"/>
      <c r="X54" s="166"/>
      <c r="Y54" s="167" t="s">
        <v>437</v>
      </c>
      <c r="Z54" s="169"/>
      <c r="AA54" s="158">
        <v>9.0</v>
      </c>
      <c r="AB54" s="166"/>
      <c r="AC54" s="166"/>
      <c r="AD54" s="168"/>
    </row>
    <row r="55">
      <c r="A55" s="165" t="s">
        <v>660</v>
      </c>
      <c r="B55" s="37" t="str">
        <f t="array" ref="B55">INDEX(ALLCLASSDATA,MATCH("ClassType",CLASSFEATUREHEADERS,0),MATCH(A55,CLASSNAMEHEADERS,0))</f>
        <v>Magical Striker</v>
      </c>
      <c r="C55" s="37" t="s">
        <v>637</v>
      </c>
      <c r="D55" s="37" t="s">
        <v>435</v>
      </c>
      <c r="E55" s="37"/>
      <c r="F55" s="37"/>
      <c r="G55" s="37"/>
      <c r="H55" s="37" t="s">
        <v>436</v>
      </c>
      <c r="I55" s="37"/>
      <c r="J55" s="37"/>
      <c r="K55" s="37"/>
      <c r="L55" s="37"/>
      <c r="M55" s="37"/>
      <c r="N55" s="37"/>
      <c r="O55" s="37"/>
      <c r="P55" s="37"/>
      <c r="Q55" s="37"/>
      <c r="R55" s="37"/>
      <c r="S55" s="37"/>
      <c r="T55" s="37"/>
      <c r="U55" s="37"/>
      <c r="V55" s="37"/>
      <c r="W55" s="37"/>
      <c r="X55" s="166"/>
      <c r="Y55" s="167" t="s">
        <v>436</v>
      </c>
      <c r="Z55" s="167">
        <v>5.0</v>
      </c>
      <c r="AA55" s="158"/>
      <c r="AB55" s="158"/>
      <c r="AC55" s="158"/>
      <c r="AD55" s="168"/>
    </row>
    <row r="56">
      <c r="A56" s="165" t="s">
        <v>660</v>
      </c>
      <c r="B56" s="37" t="str">
        <f t="array" ref="B56">INDEX(ALLCLASSDATA,MATCH("ClassType",CLASSFEATUREHEADERS,0),MATCH(A56,CLASSNAMEHEADERS,0))</f>
        <v>Magical Striker</v>
      </c>
      <c r="C56" s="37" t="s">
        <v>507</v>
      </c>
      <c r="D56" s="37" t="s">
        <v>436</v>
      </c>
      <c r="E56" s="37"/>
      <c r="F56" s="37"/>
      <c r="G56" s="37"/>
      <c r="H56" s="37"/>
      <c r="I56" s="37"/>
      <c r="J56" s="37"/>
      <c r="K56" s="37"/>
      <c r="L56" s="37"/>
      <c r="M56" s="37"/>
      <c r="N56" s="37"/>
      <c r="O56" s="37"/>
      <c r="P56" s="37"/>
      <c r="Q56" s="37"/>
      <c r="R56" s="37" t="s">
        <v>437</v>
      </c>
      <c r="S56" s="37"/>
      <c r="T56" s="37"/>
      <c r="U56" s="37"/>
      <c r="V56" s="37"/>
      <c r="W56" s="37"/>
      <c r="X56" s="166"/>
      <c r="Y56" s="167" t="s">
        <v>437</v>
      </c>
      <c r="Z56" s="169"/>
      <c r="AA56" s="158">
        <v>15.0</v>
      </c>
      <c r="AB56" s="158"/>
      <c r="AC56" s="158"/>
      <c r="AD56" s="168"/>
    </row>
    <row r="57">
      <c r="A57" s="165" t="s">
        <v>660</v>
      </c>
      <c r="B57" s="37" t="str">
        <f t="array" ref="B57">INDEX(ALLCLASSDATA,MATCH("ClassType",CLASSFEATUREHEADERS,0),MATCH(A57,CLASSNAMEHEADERS,0))</f>
        <v>Magical Striker</v>
      </c>
      <c r="C57" s="37" t="s">
        <v>509</v>
      </c>
      <c r="D57" s="37" t="s">
        <v>435</v>
      </c>
      <c r="E57" s="37"/>
      <c r="F57" s="37"/>
      <c r="G57" s="37"/>
      <c r="H57" s="37"/>
      <c r="I57" s="37"/>
      <c r="J57" s="37"/>
      <c r="K57" s="37"/>
      <c r="L57" s="37"/>
      <c r="M57" s="37"/>
      <c r="N57" s="37" t="s">
        <v>436</v>
      </c>
      <c r="O57" s="37"/>
      <c r="P57" s="37"/>
      <c r="Q57" s="37"/>
      <c r="R57" s="37"/>
      <c r="S57" s="37"/>
      <c r="T57" s="37"/>
      <c r="U57" s="37"/>
      <c r="V57" s="37"/>
      <c r="W57" s="37"/>
      <c r="X57" s="166"/>
      <c r="Y57" s="167" t="s">
        <v>436</v>
      </c>
      <c r="Z57" s="167">
        <v>11.0</v>
      </c>
      <c r="AA57" s="158"/>
      <c r="AB57" s="158"/>
      <c r="AC57" s="158"/>
      <c r="AD57" s="168"/>
    </row>
    <row r="58">
      <c r="A58" s="165" t="s">
        <v>660</v>
      </c>
      <c r="B58" s="37" t="str">
        <f t="array" ref="B58">INDEX(ALLCLASSDATA,MATCH("ClassType",CLASSFEATUREHEADERS,0),MATCH(A58,CLASSNAMEHEADERS,0))</f>
        <v>Magical Striker</v>
      </c>
      <c r="C58" s="37" t="s">
        <v>510</v>
      </c>
      <c r="D58" s="12" t="s">
        <v>436</v>
      </c>
      <c r="F58" s="37"/>
      <c r="G58" s="37"/>
      <c r="H58" s="37"/>
      <c r="I58" s="37"/>
      <c r="J58" s="37"/>
      <c r="K58" s="37"/>
      <c r="L58" s="37" t="s">
        <v>437</v>
      </c>
      <c r="M58" s="37"/>
      <c r="N58" s="37"/>
      <c r="O58" s="37"/>
      <c r="P58" s="37"/>
      <c r="Q58" s="37"/>
      <c r="R58" s="37"/>
      <c r="S58" s="37"/>
      <c r="T58" s="37"/>
      <c r="Y58" s="12" t="s">
        <v>437</v>
      </c>
      <c r="AA58" s="158">
        <v>9.0</v>
      </c>
    </row>
    <row r="59">
      <c r="A59" s="165" t="s">
        <v>663</v>
      </c>
      <c r="B59" s="37" t="str">
        <f t="array" ref="B59">INDEX(ALLCLASSDATA,MATCH("ClassType",CLASSFEATUREHEADERS,0),MATCH(A59,CLASSNAMEHEADERS,0))</f>
        <v>Spellcaster</v>
      </c>
      <c r="C59" s="37" t="s">
        <v>637</v>
      </c>
      <c r="D59" s="37" t="s">
        <v>435</v>
      </c>
      <c r="E59" s="37"/>
      <c r="F59" s="37"/>
      <c r="G59" s="37"/>
      <c r="H59" s="37" t="s">
        <v>436</v>
      </c>
      <c r="I59" s="37"/>
      <c r="J59" s="37"/>
      <c r="K59" s="37"/>
      <c r="L59" s="37"/>
      <c r="M59" s="37"/>
      <c r="N59" s="37"/>
      <c r="O59" s="37"/>
      <c r="P59" s="37"/>
      <c r="Q59" s="37"/>
      <c r="R59" s="37"/>
      <c r="S59" s="37"/>
      <c r="T59" s="37"/>
      <c r="U59" s="37"/>
      <c r="V59" s="37"/>
      <c r="W59" s="37"/>
      <c r="X59" s="166"/>
      <c r="Y59" s="167" t="s">
        <v>436</v>
      </c>
      <c r="Z59" s="167">
        <v>5.0</v>
      </c>
      <c r="AA59" s="158"/>
      <c r="AB59" s="158"/>
      <c r="AC59" s="158"/>
      <c r="AD59" s="168"/>
    </row>
    <row r="60">
      <c r="A60" s="165" t="s">
        <v>663</v>
      </c>
      <c r="B60" s="37" t="str">
        <f t="array" ref="B60">INDEX(ALLCLASSDATA,MATCH("ClassType",CLASSFEATUREHEADERS,0),MATCH(A60,CLASSNAMEHEADERS,0))</f>
        <v>Spellcaster</v>
      </c>
      <c r="C60" s="37" t="s">
        <v>507</v>
      </c>
      <c r="D60" s="37" t="s">
        <v>435</v>
      </c>
      <c r="E60" s="37"/>
      <c r="F60" s="37" t="s">
        <v>436</v>
      </c>
      <c r="G60" s="37"/>
      <c r="H60" s="37"/>
      <c r="I60" s="37"/>
      <c r="J60" s="37"/>
      <c r="K60" s="37"/>
      <c r="L60" s="37"/>
      <c r="M60" s="37"/>
      <c r="N60" s="37"/>
      <c r="O60" s="37"/>
      <c r="P60" s="37"/>
      <c r="Q60" s="37"/>
      <c r="R60" s="37"/>
      <c r="S60" s="37"/>
      <c r="T60" s="37"/>
      <c r="U60" s="37"/>
      <c r="V60" s="37"/>
      <c r="W60" s="37"/>
      <c r="X60" s="166"/>
      <c r="Y60" s="167" t="s">
        <v>436</v>
      </c>
      <c r="Z60" s="167">
        <v>3.0</v>
      </c>
      <c r="AA60" s="158"/>
      <c r="AB60" s="158"/>
      <c r="AC60" s="158"/>
      <c r="AD60" s="168"/>
    </row>
    <row r="61">
      <c r="A61" s="165" t="s">
        <v>663</v>
      </c>
      <c r="B61" s="37" t="str">
        <f t="array" ref="B61">INDEX(ALLCLASSDATA,MATCH("ClassType",CLASSFEATUREHEADERS,0),MATCH(A61,CLASSNAMEHEADERS,0))</f>
        <v>Spellcaster</v>
      </c>
      <c r="C61" s="37" t="s">
        <v>509</v>
      </c>
      <c r="D61" s="37" t="s">
        <v>435</v>
      </c>
      <c r="E61" s="37"/>
      <c r="F61" s="37"/>
      <c r="G61" s="37"/>
      <c r="H61" s="37"/>
      <c r="I61" s="37"/>
      <c r="J61" s="37"/>
      <c r="K61" s="37"/>
      <c r="L61" s="37"/>
      <c r="M61" s="37"/>
      <c r="N61" s="37" t="s">
        <v>436</v>
      </c>
      <c r="O61" s="37"/>
      <c r="P61" s="37"/>
      <c r="Q61" s="37"/>
      <c r="R61" s="37"/>
      <c r="S61" s="37"/>
      <c r="T61" s="37"/>
      <c r="U61" s="37"/>
      <c r="V61" s="37"/>
      <c r="W61" s="37"/>
      <c r="X61" s="166"/>
      <c r="Y61" s="167" t="s">
        <v>436</v>
      </c>
      <c r="Z61" s="167">
        <v>11.0</v>
      </c>
      <c r="AA61" s="158"/>
      <c r="AB61" s="158"/>
      <c r="AC61" s="158"/>
      <c r="AD61" s="168"/>
    </row>
    <row r="62">
      <c r="A62" s="165" t="s">
        <v>663</v>
      </c>
      <c r="B62" s="37" t="str">
        <f t="array" ref="B62">INDEX(ALLCLASSDATA,MATCH("ClassType",CLASSFEATUREHEADERS,0),MATCH(A62,CLASSNAMEHEADERS,0))</f>
        <v>Spellcaster</v>
      </c>
      <c r="C62" s="37" t="s">
        <v>510</v>
      </c>
      <c r="D62" s="37" t="s">
        <v>436</v>
      </c>
      <c r="E62" s="37"/>
      <c r="F62" s="37"/>
      <c r="G62" s="37"/>
      <c r="H62" s="37"/>
      <c r="I62" s="37"/>
      <c r="J62" s="37"/>
      <c r="K62" s="37"/>
      <c r="L62" s="37" t="s">
        <v>437</v>
      </c>
      <c r="M62" s="37"/>
      <c r="N62" s="37"/>
      <c r="O62" s="37"/>
      <c r="P62" s="37"/>
      <c r="Q62" s="37"/>
      <c r="R62" s="37"/>
      <c r="S62" s="37"/>
      <c r="T62" s="37"/>
      <c r="U62" s="37"/>
      <c r="V62" s="37"/>
      <c r="W62" s="37"/>
      <c r="X62" s="166"/>
      <c r="Y62" s="167" t="s">
        <v>437</v>
      </c>
      <c r="Z62" s="169"/>
      <c r="AA62" s="158">
        <v>9.0</v>
      </c>
      <c r="AB62" s="158"/>
      <c r="AC62" s="158"/>
      <c r="AD62" s="168"/>
    </row>
    <row r="63">
      <c r="A63" s="165" t="s">
        <v>221</v>
      </c>
      <c r="B63" s="37" t="str">
        <f t="array" ref="B63">INDEX(ALLCLASSDATA,MATCH("ClassType",CLASSFEATUREHEADERS,0),MATCH(A63,CLASSNAMEHEADERS,0))</f>
        <v>Spellcaster</v>
      </c>
      <c r="C63" s="37" t="s">
        <v>637</v>
      </c>
      <c r="D63" s="37" t="s">
        <v>436</v>
      </c>
      <c r="E63" s="37"/>
      <c r="F63" s="37"/>
      <c r="G63" s="37"/>
      <c r="H63" s="37"/>
      <c r="I63" s="37"/>
      <c r="J63" s="37"/>
      <c r="K63" s="37"/>
      <c r="L63" s="37"/>
      <c r="M63" s="37"/>
      <c r="N63" s="37" t="s">
        <v>437</v>
      </c>
      <c r="O63" s="37"/>
      <c r="P63" s="37"/>
      <c r="Q63" s="37"/>
      <c r="R63" s="37"/>
      <c r="S63" s="37"/>
      <c r="T63" s="37"/>
      <c r="U63" s="37"/>
      <c r="V63" s="37"/>
      <c r="W63" s="37"/>
      <c r="X63" s="158"/>
      <c r="Y63" s="167" t="s">
        <v>437</v>
      </c>
      <c r="Z63" s="169"/>
      <c r="AA63" s="158">
        <v>11.0</v>
      </c>
      <c r="AB63" s="166"/>
      <c r="AC63" s="166"/>
      <c r="AD63" s="168"/>
    </row>
    <row r="64">
      <c r="A64" s="165" t="s">
        <v>221</v>
      </c>
      <c r="B64" s="37" t="str">
        <f t="array" ref="B64">INDEX(ALLCLASSDATA,MATCH("ClassType",CLASSFEATUREHEADERS,0),MATCH(A64,CLASSNAMEHEADERS,0))</f>
        <v>Spellcaster</v>
      </c>
      <c r="C64" s="37" t="s">
        <v>507</v>
      </c>
      <c r="D64" s="37" t="s">
        <v>435</v>
      </c>
      <c r="E64" s="37"/>
      <c r="F64" s="37"/>
      <c r="G64" s="37"/>
      <c r="H64" s="37"/>
      <c r="I64" s="37"/>
      <c r="J64" s="37"/>
      <c r="K64" s="37"/>
      <c r="L64" s="37" t="s">
        <v>436</v>
      </c>
      <c r="M64" s="37"/>
      <c r="N64" s="37"/>
      <c r="O64" s="37"/>
      <c r="P64" s="37"/>
      <c r="Q64" s="37"/>
      <c r="R64" s="37"/>
      <c r="S64" s="37"/>
      <c r="T64" s="37"/>
      <c r="U64" s="37"/>
      <c r="V64" s="37"/>
      <c r="W64" s="37"/>
      <c r="X64" s="166"/>
      <c r="Y64" s="167" t="s">
        <v>436</v>
      </c>
      <c r="Z64" s="167">
        <v>9.0</v>
      </c>
      <c r="AA64" s="166"/>
      <c r="AB64" s="166"/>
      <c r="AC64" s="166"/>
      <c r="AD64" s="168"/>
    </row>
    <row r="65">
      <c r="A65" s="165" t="s">
        <v>221</v>
      </c>
      <c r="B65" s="37" t="str">
        <f t="array" ref="B65">INDEX(ALLCLASSDATA,MATCH("ClassType",CLASSFEATUREHEADERS,0),MATCH(A65,CLASSNAMEHEADERS,0))</f>
        <v>Spellcaster</v>
      </c>
      <c r="C65" s="37" t="s">
        <v>509</v>
      </c>
      <c r="D65" s="37" t="s">
        <v>435</v>
      </c>
      <c r="E65" s="37"/>
      <c r="F65" s="37" t="s">
        <v>436</v>
      </c>
      <c r="G65" s="37"/>
      <c r="H65" s="37"/>
      <c r="I65" s="37"/>
      <c r="J65" s="37"/>
      <c r="K65" s="37"/>
      <c r="L65" s="37"/>
      <c r="M65" s="37"/>
      <c r="N65" s="37"/>
      <c r="O65" s="37"/>
      <c r="P65" s="37"/>
      <c r="Q65" s="37"/>
      <c r="R65" s="37"/>
      <c r="S65" s="37"/>
      <c r="T65" s="37"/>
      <c r="U65" s="37"/>
      <c r="V65" s="37"/>
      <c r="W65" s="37"/>
      <c r="X65" s="166"/>
      <c r="Y65" s="167" t="s">
        <v>436</v>
      </c>
      <c r="Z65" s="167">
        <v>3.0</v>
      </c>
      <c r="AA65" s="166"/>
      <c r="AB65" s="166"/>
      <c r="AC65" s="166"/>
      <c r="AD65" s="168"/>
    </row>
    <row r="66">
      <c r="A66" s="165" t="s">
        <v>221</v>
      </c>
      <c r="B66" s="37" t="str">
        <f t="array" ref="B66">INDEX(ALLCLASSDATA,MATCH("ClassType",CLASSFEATUREHEADERS,0),MATCH(A66,CLASSNAMEHEADERS,0))</f>
        <v>Spellcaster</v>
      </c>
      <c r="C66" s="37" t="s">
        <v>510</v>
      </c>
      <c r="D66" s="37" t="s">
        <v>436</v>
      </c>
      <c r="E66" s="37"/>
      <c r="F66" s="37"/>
      <c r="G66" s="37"/>
      <c r="H66" s="37"/>
      <c r="I66" s="37"/>
      <c r="J66" s="37"/>
      <c r="K66" s="37"/>
      <c r="L66" s="37" t="s">
        <v>437</v>
      </c>
      <c r="M66" s="37"/>
      <c r="N66" s="37"/>
      <c r="O66" s="37"/>
      <c r="P66" s="37"/>
      <c r="Q66" s="37"/>
      <c r="R66" s="37"/>
      <c r="S66" s="37"/>
      <c r="T66" s="37" t="s">
        <v>466</v>
      </c>
      <c r="U66" s="37"/>
      <c r="V66" s="37"/>
      <c r="W66" s="37"/>
      <c r="X66" s="166"/>
      <c r="Y66" s="167" t="s">
        <v>466</v>
      </c>
      <c r="Z66" s="169"/>
      <c r="AA66" s="158">
        <v>9.0</v>
      </c>
      <c r="AB66" s="158">
        <v>17.0</v>
      </c>
      <c r="AC66" s="166">
        <f>AB66-AA66</f>
        <v>8</v>
      </c>
      <c r="AD66" s="168"/>
    </row>
    <row r="67">
      <c r="A67" s="165" t="s">
        <v>223</v>
      </c>
      <c r="B67" s="37" t="str">
        <f t="array" ref="B67">INDEX(ALLCLASSDATA,MATCH("ClassType",CLASSFEATUREHEADERS,0),MATCH(A67,CLASSNAMEHEADERS,0))</f>
        <v>Spellcaster</v>
      </c>
      <c r="C67" s="37" t="s">
        <v>637</v>
      </c>
      <c r="D67" s="37" t="s">
        <v>435</v>
      </c>
      <c r="E67" s="37"/>
      <c r="F67" s="37"/>
      <c r="G67" s="37"/>
      <c r="H67" s="37"/>
      <c r="I67" s="37"/>
      <c r="J67" s="37"/>
      <c r="K67" s="37"/>
      <c r="L67" s="37"/>
      <c r="M67" s="37"/>
      <c r="N67" s="37" t="s">
        <v>436</v>
      </c>
      <c r="O67" s="37"/>
      <c r="P67" s="37"/>
      <c r="Q67" s="37"/>
      <c r="R67" s="37"/>
      <c r="S67" s="37"/>
      <c r="T67" s="37"/>
      <c r="U67" s="37"/>
      <c r="V67" s="37"/>
      <c r="W67" s="37"/>
      <c r="X67" s="158"/>
      <c r="Y67" s="167" t="s">
        <v>436</v>
      </c>
      <c r="Z67" s="167">
        <v>11.0</v>
      </c>
      <c r="AA67" s="166"/>
      <c r="AB67" s="166"/>
      <c r="AC67" s="166"/>
      <c r="AD67" s="168"/>
    </row>
    <row r="68">
      <c r="A68" s="165" t="s">
        <v>223</v>
      </c>
      <c r="B68" s="37" t="str">
        <f t="array" ref="B68">INDEX(ALLCLASSDATA,MATCH("ClassType",CLASSFEATUREHEADERS,0),MATCH(A68,CLASSNAMEHEADERS,0))</f>
        <v>Spellcaster</v>
      </c>
      <c r="C68" s="37" t="s">
        <v>507</v>
      </c>
      <c r="D68" s="37" t="s">
        <v>435</v>
      </c>
      <c r="E68" s="37"/>
      <c r="F68" s="37"/>
      <c r="G68" s="37"/>
      <c r="H68" s="37"/>
      <c r="I68" s="37"/>
      <c r="J68" s="37"/>
      <c r="K68" s="37"/>
      <c r="L68" s="37" t="s">
        <v>436</v>
      </c>
      <c r="M68" s="37"/>
      <c r="N68" s="37"/>
      <c r="O68" s="37"/>
      <c r="P68" s="37"/>
      <c r="Q68" s="37"/>
      <c r="R68" s="37"/>
      <c r="S68" s="37"/>
      <c r="T68" s="37"/>
      <c r="U68" s="37"/>
      <c r="V68" s="37"/>
      <c r="W68" s="37"/>
      <c r="X68" s="158"/>
      <c r="Y68" s="167" t="s">
        <v>436</v>
      </c>
      <c r="Z68" s="167">
        <v>9.0</v>
      </c>
      <c r="AA68" s="166"/>
      <c r="AB68" s="166"/>
      <c r="AC68" s="166"/>
      <c r="AD68" s="168"/>
    </row>
    <row r="69">
      <c r="A69" s="165" t="s">
        <v>223</v>
      </c>
      <c r="B69" s="37" t="str">
        <f t="array" ref="B69">INDEX(ALLCLASSDATA,MATCH("ClassType",CLASSFEATUREHEADERS,0),MATCH(A69,CLASSNAMEHEADERS,0))</f>
        <v>Spellcaster</v>
      </c>
      <c r="C69" s="37" t="s">
        <v>509</v>
      </c>
      <c r="D69" s="37" t="s">
        <v>435</v>
      </c>
      <c r="E69" s="37"/>
      <c r="F69" s="37"/>
      <c r="G69" s="37"/>
      <c r="H69" s="37"/>
      <c r="I69" s="37"/>
      <c r="J69" s="37"/>
      <c r="K69" s="37"/>
      <c r="L69" s="37"/>
      <c r="M69" s="37"/>
      <c r="N69" s="37"/>
      <c r="O69" s="37"/>
      <c r="P69" s="37" t="s">
        <v>436</v>
      </c>
      <c r="Q69" s="37"/>
      <c r="R69" s="37"/>
      <c r="S69" s="37"/>
      <c r="T69" s="37"/>
      <c r="U69" s="37"/>
      <c r="V69" s="37"/>
      <c r="W69" s="37"/>
      <c r="X69" s="158"/>
      <c r="Y69" s="167" t="s">
        <v>436</v>
      </c>
      <c r="Z69" s="167">
        <v>13.0</v>
      </c>
      <c r="AA69" s="166"/>
      <c r="AB69" s="166"/>
      <c r="AC69" s="166"/>
      <c r="AD69" s="168"/>
    </row>
    <row r="70">
      <c r="A70" s="165" t="s">
        <v>223</v>
      </c>
      <c r="B70" s="37" t="str">
        <f t="array" ref="B70">INDEX(ALLCLASSDATA,MATCH("ClassType",CLASSFEATUREHEADERS,0),MATCH(A70,CLASSNAMEHEADERS,0))</f>
        <v>Spellcaster</v>
      </c>
      <c r="C70" s="37" t="s">
        <v>510</v>
      </c>
      <c r="D70" s="37" t="s">
        <v>436</v>
      </c>
      <c r="E70" s="37"/>
      <c r="F70" s="37"/>
      <c r="G70" s="37"/>
      <c r="H70" s="37"/>
      <c r="I70" s="37"/>
      <c r="J70" s="37" t="s">
        <v>437</v>
      </c>
      <c r="K70" s="37"/>
      <c r="L70" s="37"/>
      <c r="M70" s="37"/>
      <c r="N70" s="37"/>
      <c r="O70" s="37"/>
      <c r="P70" s="37"/>
      <c r="Q70" s="37"/>
      <c r="R70" s="37"/>
      <c r="S70" s="37"/>
      <c r="T70" s="37" t="s">
        <v>466</v>
      </c>
      <c r="U70" s="37"/>
      <c r="V70" s="37"/>
      <c r="W70" s="37"/>
      <c r="X70" s="158"/>
      <c r="Y70" s="167" t="s">
        <v>466</v>
      </c>
      <c r="Z70" s="169"/>
      <c r="AA70" s="158">
        <v>7.0</v>
      </c>
      <c r="AB70" s="158">
        <v>17.0</v>
      </c>
      <c r="AC70" s="166">
        <f>AB70-AA70</f>
        <v>10</v>
      </c>
      <c r="AD70" s="168"/>
    </row>
    <row r="71">
      <c r="A71" s="165" t="s">
        <v>225</v>
      </c>
      <c r="B71" s="37" t="str">
        <f t="array" ref="B71">INDEX(ALLCLASSDATA,MATCH("ClassType",CLASSFEATUREHEADERS,0),MATCH(A71,CLASSNAMEHEADERS,0))</f>
        <v>Spellcaster</v>
      </c>
      <c r="C71" s="37" t="s">
        <v>637</v>
      </c>
      <c r="D71" s="37" t="s">
        <v>435</v>
      </c>
      <c r="E71" s="37"/>
      <c r="F71" s="37" t="s">
        <v>436</v>
      </c>
      <c r="G71" s="37"/>
      <c r="H71" s="37"/>
      <c r="I71" s="37"/>
      <c r="J71" s="37"/>
      <c r="K71" s="37"/>
      <c r="L71" s="37"/>
      <c r="M71" s="37"/>
      <c r="N71" s="37"/>
      <c r="O71" s="37"/>
      <c r="P71" s="37"/>
      <c r="Q71" s="37"/>
      <c r="R71" s="37"/>
      <c r="S71" s="37"/>
      <c r="T71" s="37"/>
      <c r="U71" s="37"/>
      <c r="V71" s="37"/>
      <c r="W71" s="37"/>
      <c r="X71" s="166"/>
      <c r="Y71" s="167" t="s">
        <v>436</v>
      </c>
      <c r="Z71" s="167">
        <v>3.0</v>
      </c>
      <c r="AA71" s="166"/>
      <c r="AB71" s="166"/>
      <c r="AC71" s="166"/>
      <c r="AD71" s="168"/>
    </row>
    <row r="72">
      <c r="A72" s="165" t="s">
        <v>225</v>
      </c>
      <c r="B72" s="37" t="str">
        <f t="array" ref="B72">INDEX(ALLCLASSDATA,MATCH("ClassType",CLASSFEATUREHEADERS,0),MATCH(A72,CLASSNAMEHEADERS,0))</f>
        <v>Spellcaster</v>
      </c>
      <c r="C72" s="37" t="s">
        <v>507</v>
      </c>
      <c r="D72" s="37" t="s">
        <v>435</v>
      </c>
      <c r="E72" s="37"/>
      <c r="F72" s="37" t="s">
        <v>436</v>
      </c>
      <c r="G72" s="37"/>
      <c r="H72" s="37"/>
      <c r="I72" s="37"/>
      <c r="J72" s="37"/>
      <c r="K72" s="37"/>
      <c r="L72" s="37"/>
      <c r="M72" s="37"/>
      <c r="N72" s="37"/>
      <c r="O72" s="37"/>
      <c r="P72" s="37"/>
      <c r="Q72" s="37"/>
      <c r="R72" s="37"/>
      <c r="S72" s="37"/>
      <c r="T72" s="37"/>
      <c r="U72" s="37"/>
      <c r="V72" s="37"/>
      <c r="W72" s="37"/>
      <c r="X72" s="166"/>
      <c r="Y72" s="167" t="s">
        <v>436</v>
      </c>
      <c r="Z72" s="167">
        <v>3.0</v>
      </c>
      <c r="AA72" s="166"/>
      <c r="AB72" s="166"/>
      <c r="AC72" s="166"/>
      <c r="AD72" s="168"/>
    </row>
    <row r="73">
      <c r="A73" s="165" t="s">
        <v>225</v>
      </c>
      <c r="B73" s="37" t="str">
        <f t="array" ref="B73">INDEX(ALLCLASSDATA,MATCH("ClassType",CLASSFEATUREHEADERS,0),MATCH(A73,CLASSNAMEHEADERS,0))</f>
        <v>Spellcaster</v>
      </c>
      <c r="C73" s="37" t="s">
        <v>509</v>
      </c>
      <c r="D73" s="37" t="s">
        <v>435</v>
      </c>
      <c r="E73" s="37"/>
      <c r="F73" s="37"/>
      <c r="G73" s="37"/>
      <c r="H73" s="37" t="s">
        <v>436</v>
      </c>
      <c r="I73" s="37"/>
      <c r="J73" s="37"/>
      <c r="K73" s="37"/>
      <c r="L73" s="37"/>
      <c r="M73" s="37"/>
      <c r="N73" s="37"/>
      <c r="O73" s="37"/>
      <c r="P73" s="37"/>
      <c r="Q73" s="37"/>
      <c r="R73" s="37"/>
      <c r="S73" s="37"/>
      <c r="T73" s="37"/>
      <c r="U73" s="37"/>
      <c r="V73" s="37"/>
      <c r="W73" s="37"/>
      <c r="X73" s="166"/>
      <c r="Y73" s="167" t="s">
        <v>436</v>
      </c>
      <c r="Z73" s="167">
        <v>5.0</v>
      </c>
      <c r="AA73" s="166"/>
      <c r="AB73" s="166"/>
      <c r="AC73" s="166"/>
      <c r="AD73" s="168"/>
    </row>
    <row r="74">
      <c r="A74" s="165" t="s">
        <v>225</v>
      </c>
      <c r="B74" s="37" t="str">
        <f t="array" ref="B74">INDEX(ALLCLASSDATA,MATCH("ClassType",CLASSFEATUREHEADERS,0),MATCH(A74,CLASSNAMEHEADERS,0))</f>
        <v>Spellcaster</v>
      </c>
      <c r="C74" s="37" t="s">
        <v>510</v>
      </c>
      <c r="D74" s="37" t="s">
        <v>436</v>
      </c>
      <c r="E74" s="37"/>
      <c r="F74" s="37"/>
      <c r="G74" s="37"/>
      <c r="H74" s="37"/>
      <c r="I74" s="37"/>
      <c r="J74" s="37"/>
      <c r="K74" s="37"/>
      <c r="L74" s="37"/>
      <c r="M74" s="37"/>
      <c r="N74" s="37" t="s">
        <v>437</v>
      </c>
      <c r="O74" s="37"/>
      <c r="P74" s="37"/>
      <c r="Q74" s="37"/>
      <c r="R74" s="37"/>
      <c r="S74" s="37"/>
      <c r="T74" s="37"/>
      <c r="U74" s="37"/>
      <c r="V74" s="37"/>
      <c r="W74" s="37"/>
      <c r="X74" s="166"/>
      <c r="Y74" s="167" t="s">
        <v>437</v>
      </c>
      <c r="Z74" s="169"/>
      <c r="AA74" s="158">
        <v>11.0</v>
      </c>
      <c r="AB74" s="166"/>
      <c r="AC74" s="166"/>
      <c r="AD74" s="168"/>
    </row>
    <row r="75">
      <c r="A75" s="165" t="s">
        <v>229</v>
      </c>
      <c r="B75" s="37" t="str">
        <f t="array" ref="B75">INDEX(ALLCLASSDATA,MATCH("ClassType",CLASSFEATUREHEADERS,0),MATCH(A75,CLASSNAMEHEADERS,0))</f>
        <v>Spellcaster</v>
      </c>
      <c r="C75" s="37" t="s">
        <v>637</v>
      </c>
      <c r="D75" s="37" t="s">
        <v>435</v>
      </c>
      <c r="E75" s="37"/>
      <c r="F75" s="37"/>
      <c r="G75" s="37"/>
      <c r="H75" s="37"/>
      <c r="I75" s="37"/>
      <c r="J75" s="37"/>
      <c r="K75" s="37"/>
      <c r="L75" s="37"/>
      <c r="M75" s="37"/>
      <c r="N75" s="37" t="s">
        <v>436</v>
      </c>
      <c r="O75" s="37"/>
      <c r="P75" s="37"/>
      <c r="Q75" s="37"/>
      <c r="R75" s="37"/>
      <c r="S75" s="37"/>
      <c r="T75" s="37"/>
      <c r="U75" s="37"/>
      <c r="V75" s="37"/>
      <c r="W75" s="37"/>
      <c r="X75" s="158"/>
      <c r="Y75" s="167" t="s">
        <v>436</v>
      </c>
      <c r="Z75" s="167">
        <v>11.0</v>
      </c>
      <c r="AA75" s="166"/>
      <c r="AB75" s="166"/>
      <c r="AC75" s="166"/>
      <c r="AD75" s="170"/>
    </row>
    <row r="76">
      <c r="A76" s="165" t="s">
        <v>229</v>
      </c>
      <c r="B76" s="37" t="str">
        <f t="array" ref="B76">INDEX(ALLCLASSDATA,MATCH("ClassType",CLASSFEATUREHEADERS,0),MATCH(A76,CLASSNAMEHEADERS,0))</f>
        <v>Spellcaster</v>
      </c>
      <c r="C76" s="37" t="s">
        <v>507</v>
      </c>
      <c r="D76" s="37" t="s">
        <v>435</v>
      </c>
      <c r="E76" s="37"/>
      <c r="F76" s="37"/>
      <c r="G76" s="37"/>
      <c r="H76" s="37"/>
      <c r="I76" s="37"/>
      <c r="J76" s="37"/>
      <c r="K76" s="37"/>
      <c r="L76" s="37" t="s">
        <v>436</v>
      </c>
      <c r="M76" s="37"/>
      <c r="N76" s="37"/>
      <c r="O76" s="37"/>
      <c r="P76" s="37"/>
      <c r="Q76" s="37"/>
      <c r="R76" s="37"/>
      <c r="S76" s="37"/>
      <c r="T76" s="37"/>
      <c r="U76" s="37"/>
      <c r="V76" s="37"/>
      <c r="W76" s="37"/>
      <c r="X76" s="158"/>
      <c r="Y76" s="167" t="s">
        <v>436</v>
      </c>
      <c r="Z76" s="167">
        <v>9.0</v>
      </c>
      <c r="AA76" s="166"/>
      <c r="AB76" s="166"/>
      <c r="AC76" s="166"/>
      <c r="AD76" s="170"/>
    </row>
    <row r="77">
      <c r="A77" s="165" t="s">
        <v>229</v>
      </c>
      <c r="B77" s="37" t="str">
        <f t="array" ref="B77">INDEX(ALLCLASSDATA,MATCH("ClassType",CLASSFEATUREHEADERS,0),MATCH(A77,CLASSNAMEHEADERS,0))</f>
        <v>Spellcaster</v>
      </c>
      <c r="C77" s="37" t="s">
        <v>509</v>
      </c>
      <c r="D77" s="37" t="s">
        <v>435</v>
      </c>
      <c r="E77" s="37"/>
      <c r="F77" s="37"/>
      <c r="G77" s="37"/>
      <c r="H77" s="37" t="s">
        <v>436</v>
      </c>
      <c r="I77" s="37"/>
      <c r="J77" s="37"/>
      <c r="K77" s="37"/>
      <c r="L77" s="37"/>
      <c r="M77" s="37"/>
      <c r="N77" s="37"/>
      <c r="O77" s="37"/>
      <c r="P77" s="37"/>
      <c r="Q77" s="37"/>
      <c r="R77" s="37"/>
      <c r="S77" s="37"/>
      <c r="T77" s="37"/>
      <c r="U77" s="37"/>
      <c r="V77" s="37"/>
      <c r="W77" s="37"/>
      <c r="X77" s="158"/>
      <c r="Y77" s="167" t="s">
        <v>436</v>
      </c>
      <c r="Z77" s="167">
        <v>5.0</v>
      </c>
      <c r="AA77" s="166"/>
      <c r="AB77" s="166"/>
      <c r="AC77" s="166"/>
      <c r="AD77" s="170"/>
    </row>
    <row r="78">
      <c r="A78" s="165" t="s">
        <v>229</v>
      </c>
      <c r="B78" s="37" t="str">
        <f t="array" ref="B78">INDEX(ALLCLASSDATA,MATCH("ClassType",CLASSFEATUREHEADERS,0),MATCH(A78,CLASSNAMEHEADERS,0))</f>
        <v>Spellcaster</v>
      </c>
      <c r="C78" s="37" t="s">
        <v>510</v>
      </c>
      <c r="D78" s="12" t="s">
        <v>436</v>
      </c>
      <c r="F78" s="37"/>
      <c r="G78" s="37"/>
      <c r="H78" s="37"/>
      <c r="I78" s="37"/>
      <c r="J78" s="37"/>
      <c r="K78" s="37"/>
      <c r="L78" s="37"/>
      <c r="M78" s="37"/>
      <c r="N78" s="37"/>
      <c r="O78" s="37"/>
      <c r="P78" s="37"/>
      <c r="Q78" s="37"/>
      <c r="R78" s="37"/>
      <c r="S78" s="37"/>
      <c r="T78" s="37" t="s">
        <v>437</v>
      </c>
      <c r="Y78" s="12" t="s">
        <v>437</v>
      </c>
      <c r="AA78" s="158">
        <v>17.0</v>
      </c>
    </row>
    <row r="79">
      <c r="A79" s="165" t="s">
        <v>231</v>
      </c>
      <c r="B79" s="37" t="str">
        <f t="array" ref="B79">INDEX(ALLCLASSDATA,MATCH("ClassType",CLASSFEATUREHEADERS,0),MATCH(A79,CLASSNAMEHEADERS,0))</f>
        <v>Spellcaster</v>
      </c>
      <c r="C79" s="37" t="s">
        <v>637</v>
      </c>
      <c r="D79" s="37" t="s">
        <v>435</v>
      </c>
      <c r="E79" s="37"/>
      <c r="F79" s="37"/>
      <c r="G79" s="37"/>
      <c r="H79" s="37"/>
      <c r="I79" s="37"/>
      <c r="J79" s="37"/>
      <c r="K79" s="37"/>
      <c r="L79" s="37"/>
      <c r="M79" s="37"/>
      <c r="N79" s="37" t="s">
        <v>436</v>
      </c>
      <c r="O79" s="37"/>
      <c r="P79" s="37"/>
      <c r="Q79" s="37"/>
      <c r="R79" s="37"/>
      <c r="S79" s="37"/>
      <c r="T79" s="37"/>
      <c r="U79" s="37"/>
      <c r="V79" s="37"/>
      <c r="W79" s="37"/>
      <c r="X79" s="158"/>
      <c r="Y79" s="167" t="s">
        <v>436</v>
      </c>
      <c r="Z79" s="167">
        <v>11.0</v>
      </c>
      <c r="AA79" s="166"/>
      <c r="AB79" s="166"/>
      <c r="AC79" s="166"/>
      <c r="AD79" s="170"/>
    </row>
    <row r="80">
      <c r="A80" s="165" t="s">
        <v>231</v>
      </c>
      <c r="B80" s="37" t="str">
        <f t="array" ref="B80">INDEX(ALLCLASSDATA,MATCH("ClassType",CLASSFEATUREHEADERS,0),MATCH(A80,CLASSNAMEHEADERS,0))</f>
        <v>Spellcaster</v>
      </c>
      <c r="C80" s="37" t="s">
        <v>507</v>
      </c>
      <c r="D80" s="37" t="s">
        <v>435</v>
      </c>
      <c r="E80" s="37"/>
      <c r="F80" s="37"/>
      <c r="G80" s="37"/>
      <c r="H80" s="37" t="s">
        <v>436</v>
      </c>
      <c r="I80" s="37"/>
      <c r="J80" s="37"/>
      <c r="K80" s="37"/>
      <c r="L80" s="37"/>
      <c r="M80" s="37"/>
      <c r="N80" s="37"/>
      <c r="O80" s="37"/>
      <c r="P80" s="37"/>
      <c r="Q80" s="37"/>
      <c r="R80" s="37"/>
      <c r="S80" s="37"/>
      <c r="T80" s="37"/>
      <c r="U80" s="37"/>
      <c r="V80" s="37"/>
      <c r="W80" s="37"/>
      <c r="X80" s="166"/>
      <c r="Y80" s="167" t="s">
        <v>436</v>
      </c>
      <c r="Z80" s="167">
        <v>5.0</v>
      </c>
      <c r="AA80" s="166"/>
      <c r="AB80" s="166"/>
      <c r="AC80" s="166"/>
      <c r="AD80" s="168"/>
    </row>
    <row r="81">
      <c r="A81" s="165" t="s">
        <v>231</v>
      </c>
      <c r="B81" s="37" t="str">
        <f t="array" ref="B81">INDEX(ALLCLASSDATA,MATCH("ClassType",CLASSFEATUREHEADERS,0),MATCH(A81,CLASSNAMEHEADERS,0))</f>
        <v>Spellcaster</v>
      </c>
      <c r="C81" s="37" t="s">
        <v>509</v>
      </c>
      <c r="D81" s="37" t="s">
        <v>435</v>
      </c>
      <c r="E81" s="37"/>
      <c r="F81" s="37"/>
      <c r="G81" s="37"/>
      <c r="H81" s="37"/>
      <c r="I81" s="37"/>
      <c r="J81" s="37"/>
      <c r="K81" s="37"/>
      <c r="L81" s="37" t="s">
        <v>436</v>
      </c>
      <c r="M81" s="37"/>
      <c r="N81" s="37"/>
      <c r="O81" s="37"/>
      <c r="P81" s="37"/>
      <c r="Q81" s="37"/>
      <c r="R81" s="37"/>
      <c r="S81" s="37"/>
      <c r="T81" s="37"/>
      <c r="U81" s="37"/>
      <c r="V81" s="37"/>
      <c r="W81" s="37"/>
      <c r="X81" s="166"/>
      <c r="Y81" s="167" t="s">
        <v>436</v>
      </c>
      <c r="Z81" s="167">
        <v>9.0</v>
      </c>
      <c r="AA81" s="166"/>
      <c r="AB81" s="166"/>
      <c r="AC81" s="166"/>
      <c r="AD81" s="168"/>
    </row>
    <row r="82">
      <c r="A82" s="165" t="s">
        <v>231</v>
      </c>
      <c r="B82" s="37" t="str">
        <f t="array" ref="B82">INDEX(ALLCLASSDATA,MATCH("ClassType",CLASSFEATUREHEADERS,0),MATCH(A82,CLASSNAMEHEADERS,0))</f>
        <v>Spellcaster</v>
      </c>
      <c r="C82" s="37" t="s">
        <v>510</v>
      </c>
      <c r="D82" s="37" t="s">
        <v>436</v>
      </c>
      <c r="E82" s="37"/>
      <c r="F82" s="37"/>
      <c r="G82" s="37"/>
      <c r="H82" s="37"/>
      <c r="I82" s="37"/>
      <c r="J82" s="37"/>
      <c r="K82" s="37"/>
      <c r="L82" s="37"/>
      <c r="M82" s="37"/>
      <c r="N82" s="37"/>
      <c r="O82" s="37"/>
      <c r="P82" s="37"/>
      <c r="Q82" s="37"/>
      <c r="R82" s="37"/>
      <c r="S82" s="37"/>
      <c r="T82" s="37" t="s">
        <v>437</v>
      </c>
      <c r="U82" s="37"/>
      <c r="V82" s="37"/>
      <c r="W82" s="37"/>
      <c r="X82" s="166"/>
      <c r="Y82" s="167" t="s">
        <v>437</v>
      </c>
      <c r="Z82" s="169"/>
      <c r="AA82" s="158">
        <v>17.0</v>
      </c>
      <c r="AB82" s="166"/>
      <c r="AC82" s="166"/>
      <c r="AD82" s="168"/>
    </row>
    <row r="83">
      <c r="A83" s="165" t="s">
        <v>233</v>
      </c>
      <c r="B83" s="37" t="str">
        <f t="array" ref="B83">INDEX(ALLCLASSDATA,MATCH("ClassType",CLASSFEATUREHEADERS,0),MATCH(A83,CLASSNAMEHEADERS,0))</f>
        <v>Spellcaster</v>
      </c>
      <c r="C83" s="37" t="s">
        <v>637</v>
      </c>
      <c r="D83" s="37" t="s">
        <v>435</v>
      </c>
      <c r="E83" s="37"/>
      <c r="F83" s="37"/>
      <c r="G83" s="37"/>
      <c r="H83" s="37"/>
      <c r="I83" s="37"/>
      <c r="J83" s="37"/>
      <c r="K83" s="37"/>
      <c r="L83" s="37"/>
      <c r="M83" s="37"/>
      <c r="N83" s="37" t="s">
        <v>436</v>
      </c>
      <c r="O83" s="37"/>
      <c r="P83" s="37"/>
      <c r="Q83" s="37"/>
      <c r="R83" s="37"/>
      <c r="S83" s="37"/>
      <c r="T83" s="37"/>
      <c r="U83" s="37"/>
      <c r="V83" s="37"/>
      <c r="W83" s="37"/>
      <c r="X83" s="158"/>
      <c r="Y83" s="167" t="s">
        <v>436</v>
      </c>
      <c r="Z83" s="167">
        <v>11.0</v>
      </c>
      <c r="AA83" s="166"/>
      <c r="AB83" s="166"/>
      <c r="AC83" s="166"/>
      <c r="AD83" s="168"/>
    </row>
    <row r="84">
      <c r="A84" s="165" t="s">
        <v>233</v>
      </c>
      <c r="B84" s="37" t="str">
        <f t="array" ref="B84">INDEX(ALLCLASSDATA,MATCH("ClassType",CLASSFEATUREHEADERS,0),MATCH(A84,CLASSNAMEHEADERS,0))</f>
        <v>Spellcaster</v>
      </c>
      <c r="C84" s="37" t="s">
        <v>507</v>
      </c>
      <c r="D84" s="37" t="s">
        <v>435</v>
      </c>
      <c r="E84" s="37"/>
      <c r="F84" s="37"/>
      <c r="G84" s="37"/>
      <c r="H84" s="37" t="s">
        <v>436</v>
      </c>
      <c r="I84" s="37"/>
      <c r="J84" s="37"/>
      <c r="K84" s="37"/>
      <c r="L84" s="37"/>
      <c r="M84" s="37"/>
      <c r="N84" s="37"/>
      <c r="O84" s="37"/>
      <c r="P84" s="37"/>
      <c r="Q84" s="37"/>
      <c r="R84" s="37"/>
      <c r="S84" s="37"/>
      <c r="T84" s="37"/>
      <c r="U84" s="37"/>
      <c r="V84" s="37"/>
      <c r="W84" s="37"/>
      <c r="X84" s="158"/>
      <c r="Y84" s="167" t="s">
        <v>436</v>
      </c>
      <c r="Z84" s="167">
        <v>5.0</v>
      </c>
      <c r="AA84" s="166"/>
      <c r="AB84" s="166"/>
      <c r="AC84" s="166"/>
      <c r="AD84" s="168"/>
    </row>
    <row r="85">
      <c r="A85" s="165" t="s">
        <v>233</v>
      </c>
      <c r="B85" s="37" t="str">
        <f t="array" ref="B85">INDEX(ALLCLASSDATA,MATCH("ClassType",CLASSFEATUREHEADERS,0),MATCH(A85,CLASSNAMEHEADERS,0))</f>
        <v>Spellcaster</v>
      </c>
      <c r="C85" s="37" t="s">
        <v>509</v>
      </c>
      <c r="D85" s="37" t="s">
        <v>435</v>
      </c>
      <c r="E85" s="37"/>
      <c r="F85" s="37"/>
      <c r="G85" s="37"/>
      <c r="H85" s="37"/>
      <c r="I85" s="37"/>
      <c r="J85" s="37"/>
      <c r="K85" s="37"/>
      <c r="L85" s="37" t="s">
        <v>436</v>
      </c>
      <c r="M85" s="37"/>
      <c r="N85" s="37"/>
      <c r="O85" s="37"/>
      <c r="P85" s="37"/>
      <c r="Q85" s="37"/>
      <c r="R85" s="37"/>
      <c r="S85" s="37"/>
      <c r="T85" s="37"/>
      <c r="U85" s="37"/>
      <c r="V85" s="37"/>
      <c r="W85" s="37"/>
      <c r="X85" s="158"/>
      <c r="Y85" s="167" t="s">
        <v>436</v>
      </c>
      <c r="Z85" s="167">
        <v>9.0</v>
      </c>
      <c r="AA85" s="166"/>
      <c r="AB85" s="166"/>
      <c r="AC85" s="166"/>
      <c r="AD85" s="168"/>
    </row>
    <row r="86">
      <c r="A86" s="165" t="s">
        <v>233</v>
      </c>
      <c r="B86" s="37" t="str">
        <f t="array" ref="B86">INDEX(ALLCLASSDATA,MATCH("ClassType",CLASSFEATUREHEADERS,0),MATCH(A86,CLASSNAMEHEADERS,0))</f>
        <v>Spellcaster</v>
      </c>
      <c r="C86" s="37" t="s">
        <v>510</v>
      </c>
      <c r="D86" s="37" t="s">
        <v>436</v>
      </c>
      <c r="E86" s="37"/>
      <c r="F86" s="37"/>
      <c r="G86" s="37"/>
      <c r="H86" s="37"/>
      <c r="I86" s="37"/>
      <c r="J86" s="37"/>
      <c r="K86" s="37"/>
      <c r="L86" s="37"/>
      <c r="M86" s="37"/>
      <c r="N86" s="37"/>
      <c r="O86" s="37"/>
      <c r="P86" s="37"/>
      <c r="Q86" s="37"/>
      <c r="R86" s="37"/>
      <c r="S86" s="37"/>
      <c r="T86" s="37" t="s">
        <v>437</v>
      </c>
      <c r="U86" s="37"/>
      <c r="V86" s="37"/>
      <c r="W86" s="37"/>
      <c r="X86" s="158"/>
      <c r="Y86" s="167" t="s">
        <v>437</v>
      </c>
      <c r="Z86" s="169"/>
      <c r="AA86" s="158">
        <v>17.0</v>
      </c>
      <c r="AB86" s="166"/>
      <c r="AC86" s="166"/>
      <c r="AD86" s="168"/>
    </row>
    <row r="87">
      <c r="A87" s="172"/>
    </row>
    <row r="88">
      <c r="A88" s="174" t="s">
        <v>636</v>
      </c>
      <c r="F88" s="12">
        <v>9.0</v>
      </c>
      <c r="H88" s="149">
        <v>7.0</v>
      </c>
      <c r="J88" s="12">
        <v>11.0</v>
      </c>
      <c r="L88" s="12">
        <v>18.0</v>
      </c>
      <c r="N88" s="12">
        <v>16.0</v>
      </c>
      <c r="P88" s="12">
        <v>6.0</v>
      </c>
      <c r="R88" s="12">
        <v>10.0</v>
      </c>
      <c r="T88" s="149">
        <v>9.0</v>
      </c>
      <c r="Y88" s="12"/>
    </row>
    <row r="89">
      <c r="A89" s="174" t="s">
        <v>668</v>
      </c>
      <c r="F89" s="12" t="s">
        <v>669</v>
      </c>
      <c r="H89" s="12" t="s">
        <v>670</v>
      </c>
      <c r="J89" s="12" t="s">
        <v>671</v>
      </c>
      <c r="L89" s="12" t="s">
        <v>671</v>
      </c>
      <c r="N89" s="12" t="s">
        <v>672</v>
      </c>
      <c r="P89" s="12" t="s">
        <v>673</v>
      </c>
      <c r="Y89" s="12"/>
    </row>
    <row r="90">
      <c r="A90" s="174" t="s">
        <v>674</v>
      </c>
      <c r="J90" s="12" t="s">
        <v>675</v>
      </c>
      <c r="L90" s="12" t="s">
        <v>676</v>
      </c>
      <c r="N90" s="12" t="s">
        <v>677</v>
      </c>
      <c r="R90" s="12" t="s">
        <v>678</v>
      </c>
      <c r="T90" s="12" t="s">
        <v>679</v>
      </c>
      <c r="Y90" s="12"/>
    </row>
    <row r="91">
      <c r="A91" s="174" t="s">
        <v>680</v>
      </c>
      <c r="P91" s="12" t="s">
        <v>681</v>
      </c>
      <c r="R91" s="12" t="s">
        <v>682</v>
      </c>
      <c r="T91" s="12" t="s">
        <v>683</v>
      </c>
      <c r="V91" s="12" t="s">
        <v>684</v>
      </c>
      <c r="Y91" s="12"/>
    </row>
    <row r="92">
      <c r="A92" s="172"/>
    </row>
    <row r="93">
      <c r="A93" s="172"/>
    </row>
    <row r="94">
      <c r="A94" s="174" t="s">
        <v>685</v>
      </c>
    </row>
    <row r="95">
      <c r="A95" s="174" t="s">
        <v>686</v>
      </c>
      <c r="N95" s="48" t="s">
        <v>687</v>
      </c>
    </row>
    <row r="96">
      <c r="A96" s="174" t="s">
        <v>688</v>
      </c>
      <c r="N96" s="12" t="s">
        <v>689</v>
      </c>
    </row>
    <row r="97">
      <c r="N97" s="12" t="s">
        <v>690</v>
      </c>
    </row>
    <row r="98">
      <c r="A98" s="174" t="s">
        <v>691</v>
      </c>
    </row>
    <row r="99">
      <c r="A99" s="174" t="s">
        <v>692</v>
      </c>
      <c r="N99" s="5" t="s">
        <v>693</v>
      </c>
      <c r="O99" s="5"/>
    </row>
    <row r="100">
      <c r="A100" s="172"/>
      <c r="N100" s="48"/>
      <c r="O100" s="48" t="s">
        <v>694</v>
      </c>
    </row>
    <row r="101">
      <c r="A101" s="174" t="s">
        <v>695</v>
      </c>
      <c r="N101" s="48"/>
      <c r="O101" s="48" t="s">
        <v>696</v>
      </c>
    </row>
    <row r="102">
      <c r="N102" s="12" t="s">
        <v>697</v>
      </c>
    </row>
    <row r="103">
      <c r="A103" s="174" t="s">
        <v>698</v>
      </c>
      <c r="N103" s="12" t="s">
        <v>699</v>
      </c>
    </row>
    <row r="104">
      <c r="A104" s="174" t="s">
        <v>700</v>
      </c>
    </row>
    <row r="105">
      <c r="A105" s="174" t="s">
        <v>629</v>
      </c>
      <c r="N105" s="5" t="s">
        <v>701</v>
      </c>
      <c r="O105" s="5"/>
    </row>
    <row r="106">
      <c r="N106" s="48"/>
      <c r="O106" s="48" t="s">
        <v>702</v>
      </c>
    </row>
    <row r="107">
      <c r="A107" s="172"/>
      <c r="N107" s="48"/>
      <c r="O107" s="48" t="s">
        <v>703</v>
      </c>
    </row>
    <row r="108">
      <c r="N108" s="12" t="s">
        <v>704</v>
      </c>
    </row>
    <row r="109">
      <c r="N109" s="12" t="s">
        <v>705</v>
      </c>
    </row>
    <row r="111">
      <c r="A111" s="172"/>
      <c r="N111" s="5" t="s">
        <v>706</v>
      </c>
      <c r="O111" s="5"/>
    </row>
    <row r="112">
      <c r="A112" s="172"/>
      <c r="N112" s="48"/>
      <c r="O112" s="48" t="s">
        <v>707</v>
      </c>
    </row>
    <row r="113">
      <c r="A113" s="5"/>
      <c r="B113" s="5"/>
      <c r="C113" s="5"/>
      <c r="N113" s="48"/>
      <c r="O113" s="48" t="s">
        <v>708</v>
      </c>
    </row>
    <row r="114">
      <c r="B114" s="48"/>
      <c r="C114" s="48"/>
      <c r="N114" s="12" t="s">
        <v>709</v>
      </c>
    </row>
    <row r="115">
      <c r="A115" s="5"/>
      <c r="B115" s="5"/>
      <c r="C115" s="5"/>
      <c r="N115" s="12" t="s">
        <v>710</v>
      </c>
    </row>
    <row r="117">
      <c r="A117" s="5" t="s">
        <v>711</v>
      </c>
    </row>
  </sheetData>
  <autoFilter ref="$A$2:$AD$87"/>
  <mergeCells count="1">
    <mergeCell ref="Z1:AB1"/>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Row="1"/>
  <cols>
    <col customWidth="1" min="1" max="1" width="14.38"/>
    <col customWidth="1" min="2" max="2" width="9.88"/>
    <col customWidth="1" min="3" max="3" width="1.88"/>
    <col customWidth="1" min="4" max="4" width="12.88"/>
    <col customWidth="1" min="5" max="5" width="1.88"/>
    <col customWidth="1" min="6" max="6" width="9.75"/>
    <col customWidth="1" min="7" max="7" width="1.88"/>
    <col customWidth="1" min="8" max="8" width="13.38"/>
    <col customWidth="1" min="9" max="9" width="1.88"/>
    <col customWidth="1" min="10" max="10" width="13.25"/>
    <col customWidth="1" min="11" max="11" width="2.88"/>
    <col customWidth="1" min="12" max="12" width="12.88"/>
    <col customWidth="1" min="13" max="13" width="2.88"/>
    <col customWidth="1" min="14" max="14" width="12.5"/>
    <col customWidth="1" min="15" max="15" width="2.88"/>
    <col customWidth="1" min="16" max="16" width="12.5"/>
    <col customWidth="1" min="17" max="17" width="2.88"/>
    <col customWidth="1" min="18" max="18" width="7.5"/>
    <col customWidth="1" min="19" max="19" width="2.88"/>
    <col customWidth="1" min="20" max="20" width="6.75"/>
    <col customWidth="1" min="21" max="21" width="2.88"/>
    <col customWidth="1" min="22" max="22" width="6.5"/>
    <col customWidth="1" min="23" max="23" width="10.75"/>
    <col customWidth="1" min="24" max="24" width="7.13"/>
    <col customWidth="1" min="25" max="25" width="6.75"/>
    <col customWidth="1" min="26" max="26" width="6.63"/>
    <col customWidth="1" min="27" max="27" width="6.5"/>
    <col customWidth="1" min="28" max="28" width="13.38"/>
  </cols>
  <sheetData>
    <row r="1">
      <c r="A1" s="12" t="s">
        <v>633</v>
      </c>
      <c r="B1" s="158" t="s">
        <v>634</v>
      </c>
      <c r="C1" s="159"/>
      <c r="D1" s="160"/>
      <c r="E1" s="159"/>
      <c r="F1" s="160"/>
      <c r="G1" s="159"/>
      <c r="H1" s="160"/>
      <c r="I1" s="159"/>
      <c r="J1" s="160"/>
      <c r="K1" s="159"/>
      <c r="L1" s="160"/>
      <c r="M1" s="159"/>
      <c r="N1" s="160"/>
      <c r="O1" s="159"/>
      <c r="P1" s="160"/>
      <c r="Q1" s="159"/>
      <c r="R1" s="160"/>
      <c r="S1" s="159"/>
      <c r="T1" s="160"/>
      <c r="U1" s="159"/>
      <c r="V1" s="9"/>
      <c r="W1" s="9"/>
      <c r="X1" s="9"/>
      <c r="Y1" s="9"/>
    </row>
    <row r="2">
      <c r="A2" s="163"/>
      <c r="B2" s="163">
        <v>1.0</v>
      </c>
      <c r="C2" s="163">
        <v>2.0</v>
      </c>
      <c r="D2" s="163">
        <v>3.0</v>
      </c>
      <c r="E2" s="163">
        <v>4.0</v>
      </c>
      <c r="F2" s="163">
        <v>5.0</v>
      </c>
      <c r="G2" s="163">
        <v>6.0</v>
      </c>
      <c r="H2" s="163">
        <v>7.0</v>
      </c>
      <c r="I2" s="163">
        <v>8.0</v>
      </c>
      <c r="J2" s="163">
        <v>9.0</v>
      </c>
      <c r="K2" s="163">
        <v>10.0</v>
      </c>
      <c r="L2" s="163">
        <v>11.0</v>
      </c>
      <c r="M2" s="163">
        <v>12.0</v>
      </c>
      <c r="N2" s="163">
        <v>13.0</v>
      </c>
      <c r="O2" s="163">
        <v>14.0</v>
      </c>
      <c r="P2" s="163">
        <v>15.0</v>
      </c>
      <c r="Q2" s="163">
        <v>16.0</v>
      </c>
      <c r="R2" s="163">
        <v>17.0</v>
      </c>
      <c r="S2" s="163">
        <v>18.0</v>
      </c>
      <c r="T2" s="163">
        <v>19.0</v>
      </c>
      <c r="U2" s="163">
        <v>20.0</v>
      </c>
      <c r="V2" s="12" t="s">
        <v>636</v>
      </c>
      <c r="W2" s="158" t="s">
        <v>171</v>
      </c>
      <c r="X2" s="158" t="s">
        <v>713</v>
      </c>
      <c r="Y2" s="158" t="s">
        <v>714</v>
      </c>
      <c r="Z2" s="164" t="s">
        <v>715</v>
      </c>
      <c r="AA2" s="164" t="s">
        <v>510</v>
      </c>
      <c r="AB2" s="164" t="s">
        <v>716</v>
      </c>
    </row>
    <row r="3">
      <c r="A3" s="163" t="s">
        <v>189</v>
      </c>
      <c r="B3" s="158" t="s">
        <v>717</v>
      </c>
      <c r="C3" s="163"/>
      <c r="H3" s="89" t="s">
        <v>718</v>
      </c>
      <c r="J3" s="89" t="s">
        <v>719</v>
      </c>
      <c r="L3" s="89" t="s">
        <v>720</v>
      </c>
      <c r="P3" s="89" t="s">
        <v>721</v>
      </c>
      <c r="S3" s="163"/>
      <c r="T3" s="163"/>
      <c r="U3" s="163"/>
      <c r="V3" s="166">
        <v>4.0</v>
      </c>
      <c r="W3" s="169" t="s">
        <v>723</v>
      </c>
      <c r="X3" s="169" t="s">
        <v>436</v>
      </c>
      <c r="Y3" s="166" t="s">
        <v>437</v>
      </c>
      <c r="Z3" s="166" t="s">
        <v>437</v>
      </c>
      <c r="AA3" s="166" t="s">
        <v>436</v>
      </c>
      <c r="AB3" s="170"/>
    </row>
    <row r="4">
      <c r="A4" s="175" t="s">
        <v>114</v>
      </c>
      <c r="B4" s="158" t="s">
        <v>724</v>
      </c>
      <c r="C4" s="163"/>
      <c r="H4" s="89" t="s">
        <v>720</v>
      </c>
      <c r="J4" s="89" t="s">
        <v>725</v>
      </c>
      <c r="N4" s="89" t="s">
        <v>726</v>
      </c>
      <c r="P4" s="89" t="s">
        <v>727</v>
      </c>
      <c r="R4" s="89" t="s">
        <v>728</v>
      </c>
      <c r="S4" s="163"/>
      <c r="T4" s="163"/>
      <c r="U4" s="163"/>
      <c r="V4" s="166">
        <v>5.0</v>
      </c>
      <c r="W4" s="169" t="s">
        <v>729</v>
      </c>
      <c r="X4" s="169" t="s">
        <v>437</v>
      </c>
      <c r="Y4" s="166" t="s">
        <v>466</v>
      </c>
      <c r="Z4" s="166" t="s">
        <v>436</v>
      </c>
      <c r="AA4" s="166" t="s">
        <v>437</v>
      </c>
      <c r="AB4" s="168" t="s">
        <v>730</v>
      </c>
    </row>
    <row r="5">
      <c r="A5" s="175" t="s">
        <v>221</v>
      </c>
      <c r="B5" s="158" t="s">
        <v>731</v>
      </c>
      <c r="C5" s="163"/>
      <c r="D5" s="89" t="s">
        <v>725</v>
      </c>
      <c r="J5" s="89" t="s">
        <v>732</v>
      </c>
      <c r="L5" s="89" t="s">
        <v>728</v>
      </c>
      <c r="R5" s="89" t="s">
        <v>733</v>
      </c>
      <c r="S5" s="163"/>
      <c r="T5" s="163"/>
      <c r="U5" s="163"/>
      <c r="V5" s="158">
        <v>5.0</v>
      </c>
      <c r="W5" s="169" t="s">
        <v>734</v>
      </c>
      <c r="X5" s="169" t="s">
        <v>437</v>
      </c>
      <c r="Y5" s="166" t="s">
        <v>436</v>
      </c>
      <c r="Z5" s="166" t="s">
        <v>436</v>
      </c>
      <c r="AA5" s="166" t="s">
        <v>466</v>
      </c>
      <c r="AB5" s="168" t="s">
        <v>735</v>
      </c>
    </row>
    <row r="6">
      <c r="A6" s="163" t="s">
        <v>65</v>
      </c>
      <c r="B6" s="158" t="s">
        <v>736</v>
      </c>
      <c r="C6" s="163"/>
      <c r="J6" s="89" t="s">
        <v>737</v>
      </c>
      <c r="L6" s="89" t="s">
        <v>738</v>
      </c>
      <c r="S6" s="163"/>
      <c r="T6" s="163"/>
      <c r="U6" s="163"/>
      <c r="V6" s="158">
        <v>4.0</v>
      </c>
      <c r="W6" s="169" t="s">
        <v>739</v>
      </c>
      <c r="X6" s="169" t="s">
        <v>436</v>
      </c>
      <c r="Y6" s="166" t="s">
        <v>437</v>
      </c>
      <c r="Z6" s="166" t="s">
        <v>436</v>
      </c>
      <c r="AA6" s="166" t="s">
        <v>437</v>
      </c>
      <c r="AB6" s="170"/>
    </row>
    <row r="7">
      <c r="A7" s="158" t="s">
        <v>740</v>
      </c>
      <c r="B7" s="158" t="s">
        <v>741</v>
      </c>
      <c r="C7" s="163"/>
      <c r="D7" s="89" t="s">
        <v>742</v>
      </c>
      <c r="F7" s="89" t="s">
        <v>719</v>
      </c>
      <c r="J7" s="89" t="s">
        <v>743</v>
      </c>
      <c r="L7" s="89" t="s">
        <v>727</v>
      </c>
      <c r="S7" s="163"/>
      <c r="T7" s="163"/>
      <c r="U7" s="163"/>
      <c r="V7" s="166">
        <v>4.0</v>
      </c>
      <c r="W7" s="169" t="s">
        <v>745</v>
      </c>
      <c r="X7" s="169" t="s">
        <v>436</v>
      </c>
      <c r="Y7" s="166" t="s">
        <v>436</v>
      </c>
      <c r="Z7" s="166" t="s">
        <v>436</v>
      </c>
      <c r="AA7" s="166" t="s">
        <v>437</v>
      </c>
      <c r="AB7" s="170"/>
    </row>
    <row r="8">
      <c r="A8" s="158" t="s">
        <v>746</v>
      </c>
      <c r="B8" s="158" t="s">
        <v>736</v>
      </c>
      <c r="C8" s="163"/>
      <c r="F8" s="89" t="s">
        <v>719</v>
      </c>
      <c r="J8" s="89" t="s">
        <v>743</v>
      </c>
      <c r="L8" s="89" t="s">
        <v>727</v>
      </c>
      <c r="P8" s="89" t="s">
        <v>720</v>
      </c>
      <c r="S8" s="163"/>
      <c r="T8" s="163"/>
      <c r="U8" s="163"/>
      <c r="V8" s="166">
        <v>4.0</v>
      </c>
      <c r="W8" s="169" t="s">
        <v>739</v>
      </c>
      <c r="X8" s="169" t="s">
        <v>436</v>
      </c>
      <c r="Y8" s="166" t="s">
        <v>437</v>
      </c>
      <c r="Z8" s="166" t="s">
        <v>436</v>
      </c>
      <c r="AA8" s="166" t="s">
        <v>437</v>
      </c>
      <c r="AB8" s="170"/>
    </row>
    <row r="9">
      <c r="A9" s="163" t="s">
        <v>225</v>
      </c>
      <c r="B9" s="158" t="s">
        <v>741</v>
      </c>
      <c r="C9" s="163"/>
      <c r="D9" s="89" t="s">
        <v>747</v>
      </c>
      <c r="F9" s="89" t="s">
        <v>725</v>
      </c>
      <c r="L9" s="89" t="s">
        <v>727</v>
      </c>
      <c r="S9" s="163"/>
      <c r="T9" s="163"/>
      <c r="U9" s="163"/>
      <c r="V9" s="158">
        <v>4.0</v>
      </c>
      <c r="W9" s="169" t="s">
        <v>745</v>
      </c>
      <c r="X9" s="169" t="s">
        <v>436</v>
      </c>
      <c r="Y9" s="166" t="s">
        <v>436</v>
      </c>
      <c r="Z9" s="166" t="s">
        <v>436</v>
      </c>
      <c r="AA9" s="166" t="s">
        <v>437</v>
      </c>
      <c r="AB9" s="170"/>
    </row>
    <row r="10">
      <c r="A10" s="163" t="s">
        <v>109</v>
      </c>
      <c r="B10" s="158" t="s">
        <v>748</v>
      </c>
      <c r="C10" s="163"/>
      <c r="D10" s="89" t="s">
        <v>718</v>
      </c>
      <c r="H10" s="89" t="s">
        <v>728</v>
      </c>
      <c r="J10" s="89" t="s">
        <v>720</v>
      </c>
      <c r="P10" s="89" t="s">
        <v>721</v>
      </c>
      <c r="S10" s="163"/>
      <c r="T10" s="163"/>
      <c r="U10" s="163"/>
      <c r="V10" s="166">
        <v>4.0</v>
      </c>
      <c r="W10" s="169" t="s">
        <v>749</v>
      </c>
      <c r="X10" s="169" t="s">
        <v>437</v>
      </c>
      <c r="Y10" s="166" t="s">
        <v>437</v>
      </c>
      <c r="Z10" s="166" t="s">
        <v>437</v>
      </c>
      <c r="AA10" s="166" t="s">
        <v>436</v>
      </c>
      <c r="AB10" s="170"/>
    </row>
    <row r="11">
      <c r="A11" s="176" t="s">
        <v>180</v>
      </c>
      <c r="B11" s="158" t="s">
        <v>748</v>
      </c>
      <c r="C11" s="163"/>
      <c r="D11" s="89" t="s">
        <v>718</v>
      </c>
      <c r="H11" s="89" t="s">
        <v>728</v>
      </c>
      <c r="J11" s="89"/>
      <c r="L11" s="89" t="s">
        <v>721</v>
      </c>
      <c r="N11" s="89"/>
      <c r="P11" s="89"/>
      <c r="R11" s="89" t="s">
        <v>720</v>
      </c>
      <c r="S11" s="163"/>
      <c r="T11" s="89" t="s">
        <v>750</v>
      </c>
      <c r="U11" s="163"/>
      <c r="V11" s="158">
        <v>5.0</v>
      </c>
      <c r="W11" s="167" t="s">
        <v>751</v>
      </c>
      <c r="X11" s="167" t="s">
        <v>466</v>
      </c>
      <c r="Y11" s="158" t="s">
        <v>437</v>
      </c>
      <c r="Z11" s="158" t="s">
        <v>437</v>
      </c>
      <c r="AA11" s="158" t="s">
        <v>436</v>
      </c>
      <c r="AB11" s="168" t="s">
        <v>752</v>
      </c>
    </row>
    <row r="12">
      <c r="A12" s="158" t="s">
        <v>185</v>
      </c>
      <c r="B12" s="158" t="s">
        <v>736</v>
      </c>
      <c r="C12" s="163"/>
      <c r="H12" s="89" t="s">
        <v>725</v>
      </c>
      <c r="J12" s="89"/>
      <c r="L12" s="89" t="s">
        <v>727</v>
      </c>
      <c r="N12" s="89" t="s">
        <v>719</v>
      </c>
      <c r="P12" s="89"/>
      <c r="R12" s="89" t="s">
        <v>720</v>
      </c>
      <c r="S12" s="163"/>
      <c r="T12" s="163"/>
      <c r="U12" s="163"/>
      <c r="V12" s="158">
        <v>4.0</v>
      </c>
      <c r="W12" s="169" t="s">
        <v>739</v>
      </c>
      <c r="X12" s="167" t="s">
        <v>436</v>
      </c>
      <c r="Y12" s="158" t="s">
        <v>437</v>
      </c>
      <c r="Z12" s="158" t="s">
        <v>436</v>
      </c>
      <c r="AA12" s="158" t="s">
        <v>437</v>
      </c>
      <c r="AB12" s="168"/>
    </row>
    <row r="13">
      <c r="A13" s="175" t="s">
        <v>144</v>
      </c>
      <c r="B13" s="158" t="s">
        <v>753</v>
      </c>
      <c r="C13" s="163"/>
      <c r="H13" s="89" t="s">
        <v>728</v>
      </c>
      <c r="J13" s="89" t="s">
        <v>742</v>
      </c>
      <c r="L13" s="89" t="s">
        <v>727</v>
      </c>
      <c r="N13" s="89" t="s">
        <v>750</v>
      </c>
      <c r="P13" s="89" t="s">
        <v>721</v>
      </c>
      <c r="R13" s="89" t="s">
        <v>733</v>
      </c>
      <c r="S13" s="163"/>
      <c r="T13" s="163"/>
      <c r="U13" s="163"/>
      <c r="V13" s="166">
        <v>6.0</v>
      </c>
      <c r="W13" s="169" t="s">
        <v>754</v>
      </c>
      <c r="X13" s="169" t="s">
        <v>466</v>
      </c>
      <c r="Y13" s="166" t="s">
        <v>436</v>
      </c>
      <c r="Z13" s="166" t="s">
        <v>437</v>
      </c>
      <c r="AA13" s="166" t="s">
        <v>466</v>
      </c>
      <c r="AB13" s="168" t="s">
        <v>755</v>
      </c>
    </row>
    <row r="14">
      <c r="A14" s="163" t="s">
        <v>199</v>
      </c>
      <c r="B14" s="158" t="s">
        <v>736</v>
      </c>
      <c r="C14" s="163"/>
      <c r="D14" s="89" t="s">
        <v>725</v>
      </c>
      <c r="J14" s="89" t="s">
        <v>738</v>
      </c>
      <c r="P14" s="89" t="s">
        <v>720</v>
      </c>
      <c r="S14" s="163"/>
      <c r="T14" s="163"/>
      <c r="U14" s="163"/>
      <c r="V14" s="158">
        <v>4.0</v>
      </c>
      <c r="W14" s="169" t="s">
        <v>739</v>
      </c>
      <c r="X14" s="9" t="s">
        <v>436</v>
      </c>
      <c r="Y14" s="166" t="s">
        <v>437</v>
      </c>
      <c r="Z14" s="166" t="s">
        <v>436</v>
      </c>
      <c r="AA14" s="166" t="s">
        <v>437</v>
      </c>
      <c r="AB14" s="170"/>
    </row>
    <row r="15">
      <c r="A15" s="175" t="s">
        <v>95</v>
      </c>
      <c r="B15" s="158" t="s">
        <v>757</v>
      </c>
      <c r="C15" s="163"/>
      <c r="F15" s="89" t="s">
        <v>719</v>
      </c>
      <c r="H15" s="89" t="s">
        <v>758</v>
      </c>
      <c r="L15" s="89" t="s">
        <v>758</v>
      </c>
      <c r="P15" s="89" t="s">
        <v>759</v>
      </c>
      <c r="S15" s="163"/>
      <c r="T15" s="163"/>
      <c r="U15" s="163"/>
      <c r="V15" s="166">
        <v>4.0</v>
      </c>
      <c r="W15" s="167" t="s">
        <v>760</v>
      </c>
      <c r="X15" s="169" t="s">
        <v>436</v>
      </c>
      <c r="Y15" s="158" t="s">
        <v>761</v>
      </c>
      <c r="Z15" s="158" t="s">
        <v>761</v>
      </c>
      <c r="AA15" s="158" t="s">
        <v>761</v>
      </c>
      <c r="AB15" s="168" t="s">
        <v>762</v>
      </c>
    </row>
    <row r="16">
      <c r="A16" s="175" t="s">
        <v>223</v>
      </c>
      <c r="B16" s="158" t="s">
        <v>741</v>
      </c>
      <c r="C16" s="163"/>
      <c r="H16" s="89" t="s">
        <v>727</v>
      </c>
      <c r="J16" s="89" t="s">
        <v>742</v>
      </c>
      <c r="L16" s="89" t="s">
        <v>719</v>
      </c>
      <c r="N16" s="89" t="s">
        <v>725</v>
      </c>
      <c r="R16" s="89" t="s">
        <v>733</v>
      </c>
      <c r="S16" s="163"/>
      <c r="T16" s="163"/>
      <c r="U16" s="163"/>
      <c r="V16" s="166">
        <v>5.0</v>
      </c>
      <c r="W16" s="169" t="s">
        <v>763</v>
      </c>
      <c r="X16" s="169" t="s">
        <v>436</v>
      </c>
      <c r="Y16" s="166" t="s">
        <v>436</v>
      </c>
      <c r="Z16" s="166" t="s">
        <v>436</v>
      </c>
      <c r="AA16" s="166" t="s">
        <v>466</v>
      </c>
      <c r="AB16" s="168" t="s">
        <v>735</v>
      </c>
    </row>
    <row r="17">
      <c r="A17" s="175" t="s">
        <v>124</v>
      </c>
      <c r="B17" s="158" t="s">
        <v>748</v>
      </c>
      <c r="C17" s="163"/>
      <c r="D17" s="89" t="s">
        <v>718</v>
      </c>
      <c r="H17" s="89" t="s">
        <v>764</v>
      </c>
      <c r="L17" s="89" t="s">
        <v>720</v>
      </c>
      <c r="P17" s="89" t="s">
        <v>765</v>
      </c>
      <c r="S17" s="163"/>
      <c r="T17" s="163"/>
      <c r="U17" s="163"/>
      <c r="V17" s="158">
        <v>6.0</v>
      </c>
      <c r="W17" s="169" t="s">
        <v>766</v>
      </c>
      <c r="X17" s="169" t="s">
        <v>466</v>
      </c>
      <c r="Y17" s="166" t="s">
        <v>437</v>
      </c>
      <c r="Z17" s="166" t="s">
        <v>466</v>
      </c>
      <c r="AA17" s="166" t="s">
        <v>436</v>
      </c>
      <c r="AB17" s="168" t="s">
        <v>767</v>
      </c>
    </row>
    <row r="18">
      <c r="A18" s="175" t="s">
        <v>138</v>
      </c>
      <c r="B18" s="158" t="s">
        <v>753</v>
      </c>
      <c r="C18" s="163"/>
      <c r="H18" s="89" t="s">
        <v>764</v>
      </c>
      <c r="J18" s="89" t="s">
        <v>742</v>
      </c>
      <c r="N18" s="89" t="s">
        <v>765</v>
      </c>
      <c r="R18" s="89" t="s">
        <v>727</v>
      </c>
      <c r="S18" s="163"/>
      <c r="T18" s="163"/>
      <c r="U18" s="163"/>
      <c r="V18" s="158">
        <v>6.0</v>
      </c>
      <c r="W18" s="169" t="s">
        <v>768</v>
      </c>
      <c r="X18" s="169" t="s">
        <v>466</v>
      </c>
      <c r="Y18" s="166" t="s">
        <v>436</v>
      </c>
      <c r="Z18" s="166" t="s">
        <v>466</v>
      </c>
      <c r="AA18" s="166" t="s">
        <v>437</v>
      </c>
      <c r="AB18" s="168" t="s">
        <v>767</v>
      </c>
    </row>
    <row r="19">
      <c r="A19" s="163" t="s">
        <v>233</v>
      </c>
      <c r="B19" s="158" t="s">
        <v>741</v>
      </c>
      <c r="C19" s="163"/>
      <c r="F19" s="89" t="s">
        <v>742</v>
      </c>
      <c r="J19" s="89" t="s">
        <v>725</v>
      </c>
      <c r="L19" s="89" t="s">
        <v>719</v>
      </c>
      <c r="R19" s="89" t="s">
        <v>727</v>
      </c>
      <c r="S19" s="163"/>
      <c r="T19" s="163"/>
      <c r="U19" s="163"/>
      <c r="V19" s="166">
        <v>4.0</v>
      </c>
      <c r="W19" s="169" t="s">
        <v>745</v>
      </c>
      <c r="X19" s="169" t="s">
        <v>436</v>
      </c>
      <c r="Y19" s="166" t="s">
        <v>436</v>
      </c>
      <c r="Z19" s="166" t="s">
        <v>436</v>
      </c>
      <c r="AA19" s="166" t="s">
        <v>437</v>
      </c>
      <c r="AB19" s="170"/>
    </row>
    <row r="20">
      <c r="A20" s="163" t="s">
        <v>195</v>
      </c>
      <c r="B20" s="158" t="s">
        <v>736</v>
      </c>
      <c r="C20" s="163"/>
      <c r="D20" s="89" t="s">
        <v>719</v>
      </c>
      <c r="J20" s="89" t="s">
        <v>725</v>
      </c>
      <c r="L20" s="89" t="s">
        <v>720</v>
      </c>
      <c r="P20" s="89" t="s">
        <v>727</v>
      </c>
      <c r="S20" s="163"/>
      <c r="T20" s="163"/>
      <c r="U20" s="163"/>
      <c r="V20" s="166">
        <v>4.0</v>
      </c>
      <c r="W20" s="169" t="s">
        <v>739</v>
      </c>
      <c r="X20" s="9" t="s">
        <v>436</v>
      </c>
      <c r="Y20" s="166" t="s">
        <v>437</v>
      </c>
      <c r="Z20" s="166" t="s">
        <v>436</v>
      </c>
      <c r="AA20" s="166" t="s">
        <v>437</v>
      </c>
      <c r="AB20" s="170"/>
    </row>
    <row r="21">
      <c r="A21" s="175" t="s">
        <v>176</v>
      </c>
      <c r="B21" s="158" t="s">
        <v>753</v>
      </c>
      <c r="C21" s="163"/>
      <c r="D21" s="89" t="s">
        <v>742</v>
      </c>
      <c r="H21" s="89" t="s">
        <v>721</v>
      </c>
      <c r="L21" s="89" t="s">
        <v>728</v>
      </c>
      <c r="N21" s="89" t="s">
        <v>769</v>
      </c>
      <c r="R21" s="89" t="s">
        <v>727</v>
      </c>
      <c r="S21" s="163"/>
      <c r="T21" s="163"/>
      <c r="U21" s="163"/>
      <c r="V21" s="166">
        <v>5.0</v>
      </c>
      <c r="W21" s="169" t="s">
        <v>770</v>
      </c>
      <c r="X21" s="169" t="s">
        <v>437</v>
      </c>
      <c r="Y21" s="166" t="s">
        <v>436</v>
      </c>
      <c r="Z21" s="166" t="s">
        <v>466</v>
      </c>
      <c r="AA21" s="166" t="s">
        <v>437</v>
      </c>
      <c r="AB21" s="168" t="s">
        <v>771</v>
      </c>
    </row>
    <row r="22">
      <c r="A22" s="163" t="s">
        <v>231</v>
      </c>
      <c r="B22" s="158" t="s">
        <v>741</v>
      </c>
      <c r="C22" s="163"/>
      <c r="F22" s="89" t="s">
        <v>742</v>
      </c>
      <c r="J22" s="89" t="s">
        <v>725</v>
      </c>
      <c r="L22" s="89" t="s">
        <v>719</v>
      </c>
      <c r="R22" s="89" t="s">
        <v>727</v>
      </c>
      <c r="S22" s="163"/>
      <c r="T22" s="163"/>
      <c r="U22" s="163"/>
      <c r="V22" s="166">
        <v>4.0</v>
      </c>
      <c r="W22" s="169" t="s">
        <v>745</v>
      </c>
      <c r="X22" s="169" t="s">
        <v>436</v>
      </c>
      <c r="Y22" s="166" t="s">
        <v>436</v>
      </c>
      <c r="Z22" s="166" t="s">
        <v>436</v>
      </c>
      <c r="AA22" s="166" t="s">
        <v>437</v>
      </c>
      <c r="AB22" s="170"/>
    </row>
    <row r="23">
      <c r="A23" s="163" t="s">
        <v>229</v>
      </c>
      <c r="B23" s="158" t="s">
        <v>741</v>
      </c>
      <c r="C23" s="163"/>
      <c r="F23" s="89" t="s">
        <v>725</v>
      </c>
      <c r="J23" s="89" t="s">
        <v>742</v>
      </c>
      <c r="L23" s="89" t="s">
        <v>719</v>
      </c>
      <c r="R23" s="89" t="s">
        <v>727</v>
      </c>
      <c r="S23" s="163"/>
      <c r="T23" s="163"/>
      <c r="U23" s="163"/>
      <c r="V23" s="166">
        <v>4.0</v>
      </c>
      <c r="W23" s="169" t="s">
        <v>745</v>
      </c>
      <c r="X23" s="169" t="s">
        <v>436</v>
      </c>
      <c r="Y23" s="166" t="s">
        <v>436</v>
      </c>
      <c r="Z23" s="166" t="s">
        <v>436</v>
      </c>
      <c r="AA23" s="166" t="s">
        <v>437</v>
      </c>
      <c r="AB23" s="170"/>
    </row>
    <row r="25">
      <c r="A25" s="12" t="s">
        <v>636</v>
      </c>
      <c r="D25" s="12">
        <v>9.0</v>
      </c>
      <c r="F25" s="149">
        <v>7.0</v>
      </c>
      <c r="H25" s="12">
        <v>11.0</v>
      </c>
      <c r="J25" s="12">
        <v>18.0</v>
      </c>
      <c r="L25" s="12">
        <v>16.0</v>
      </c>
      <c r="N25" s="12">
        <v>6.0</v>
      </c>
      <c r="P25" s="12">
        <v>10.0</v>
      </c>
      <c r="R25" s="149">
        <v>9.0</v>
      </c>
      <c r="W25" s="12"/>
      <c r="X25" s="12" t="s">
        <v>772</v>
      </c>
      <c r="Y25" s="12" t="s">
        <v>773</v>
      </c>
      <c r="Z25" s="12" t="s">
        <v>772</v>
      </c>
      <c r="AA25" s="12" t="s">
        <v>774</v>
      </c>
    </row>
    <row r="26">
      <c r="D26" s="12" t="s">
        <v>669</v>
      </c>
      <c r="F26" s="12" t="s">
        <v>670</v>
      </c>
      <c r="J26" s="12" t="s">
        <v>775</v>
      </c>
      <c r="L26" s="12" t="s">
        <v>776</v>
      </c>
      <c r="W26" s="12"/>
      <c r="X26" s="12" t="s">
        <v>777</v>
      </c>
      <c r="Y26" s="12" t="s">
        <v>778</v>
      </c>
      <c r="Z26" s="12" t="s">
        <v>779</v>
      </c>
      <c r="AA26" s="12" t="s">
        <v>780</v>
      </c>
    </row>
    <row r="27">
      <c r="H27" s="12" t="s">
        <v>781</v>
      </c>
      <c r="L27" s="12" t="s">
        <v>677</v>
      </c>
      <c r="P27" s="12" t="s">
        <v>678</v>
      </c>
      <c r="R27" s="12" t="s">
        <v>782</v>
      </c>
      <c r="W27" s="12"/>
      <c r="X27" s="12" t="s">
        <v>783</v>
      </c>
      <c r="Y27" s="12" t="s">
        <v>784</v>
      </c>
      <c r="Z27" s="12" t="s">
        <v>785</v>
      </c>
      <c r="AA27" s="12" t="s">
        <v>785</v>
      </c>
    </row>
    <row r="28">
      <c r="N28" s="12" t="s">
        <v>681</v>
      </c>
      <c r="P28" s="12" t="s">
        <v>682</v>
      </c>
      <c r="R28" s="12" t="s">
        <v>683</v>
      </c>
      <c r="W28" s="12"/>
      <c r="X28" s="12"/>
    </row>
    <row r="31">
      <c r="A31" s="12" t="s">
        <v>685</v>
      </c>
    </row>
    <row r="32">
      <c r="A32" s="12" t="s">
        <v>686</v>
      </c>
    </row>
    <row r="33">
      <c r="A33" s="12" t="s">
        <v>688</v>
      </c>
    </row>
    <row r="34">
      <c r="A34" s="12" t="s">
        <v>786</v>
      </c>
    </row>
    <row r="35">
      <c r="A35" s="12" t="s">
        <v>691</v>
      </c>
    </row>
    <row r="36">
      <c r="A36" s="12" t="s">
        <v>787</v>
      </c>
    </row>
    <row r="38">
      <c r="A38" s="12" t="s">
        <v>788</v>
      </c>
    </row>
    <row r="39">
      <c r="A39" s="12" t="s">
        <v>789</v>
      </c>
    </row>
    <row r="41">
      <c r="A41" s="12" t="s">
        <v>790</v>
      </c>
    </row>
    <row r="42">
      <c r="A42" s="12" t="s">
        <v>791</v>
      </c>
    </row>
    <row r="43">
      <c r="A43" s="12" t="s">
        <v>792</v>
      </c>
    </row>
    <row r="45">
      <c r="A45" s="12" t="s">
        <v>793</v>
      </c>
    </row>
  </sheetData>
  <autoFilter ref="$A$2:$AB$24"/>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outlineLevelRow="1"/>
  <cols>
    <col customWidth="1" min="1" max="1" width="11.38"/>
    <col customWidth="1" min="2" max="5" width="41.5"/>
    <col customWidth="1" min="6" max="6" width="15.25"/>
    <col customWidth="1" min="7" max="26" width="7.38"/>
    <col customWidth="1" min="27" max="27" width="3.63"/>
  </cols>
  <sheetData>
    <row r="1" ht="58.5" customHeight="1">
      <c r="A1" s="177" t="s">
        <v>795</v>
      </c>
      <c r="B1" s="22"/>
      <c r="C1" s="22" t="s">
        <v>467</v>
      </c>
      <c r="D1" s="178" t="s">
        <v>796</v>
      </c>
      <c r="E1" s="179" t="s">
        <v>146</v>
      </c>
      <c r="F1" s="22" t="s">
        <v>425</v>
      </c>
      <c r="G1" s="22">
        <v>1.0</v>
      </c>
      <c r="H1" s="22">
        <v>2.0</v>
      </c>
      <c r="I1" s="22">
        <v>3.0</v>
      </c>
      <c r="J1" s="22">
        <v>4.0</v>
      </c>
      <c r="K1" s="22">
        <v>5.0</v>
      </c>
      <c r="L1" s="22">
        <v>6.0</v>
      </c>
      <c r="M1" s="22">
        <v>7.0</v>
      </c>
      <c r="N1" s="22">
        <v>8.0</v>
      </c>
      <c r="O1" s="22">
        <v>9.0</v>
      </c>
      <c r="P1" s="22">
        <v>10.0</v>
      </c>
      <c r="Q1" s="22">
        <v>11.0</v>
      </c>
      <c r="R1" s="22">
        <v>12.0</v>
      </c>
      <c r="S1" s="22">
        <v>13.0</v>
      </c>
      <c r="T1" s="22">
        <v>14.0</v>
      </c>
      <c r="U1" s="22">
        <v>15.0</v>
      </c>
      <c r="V1" s="22">
        <v>16.0</v>
      </c>
      <c r="W1" s="22">
        <v>17.0</v>
      </c>
      <c r="X1" s="22">
        <v>18.0</v>
      </c>
      <c r="Y1" s="22">
        <v>19.0</v>
      </c>
      <c r="Z1" s="22">
        <v>20.0</v>
      </c>
      <c r="AA1" s="179"/>
    </row>
    <row r="2">
      <c r="A2" s="180" t="s">
        <v>114</v>
      </c>
      <c r="B2" s="37" t="s">
        <v>259</v>
      </c>
      <c r="C2" s="37" t="s">
        <v>797</v>
      </c>
      <c r="D2" s="37" t="s">
        <v>798</v>
      </c>
      <c r="E2" s="181" t="s">
        <v>799</v>
      </c>
      <c r="F2" s="35"/>
      <c r="G2" s="35"/>
      <c r="H2" s="35"/>
      <c r="I2" s="37" t="s">
        <v>800</v>
      </c>
      <c r="J2" s="35"/>
      <c r="K2" s="37" t="s">
        <v>801</v>
      </c>
      <c r="L2" s="35"/>
      <c r="M2" s="37" t="s">
        <v>802</v>
      </c>
      <c r="N2" s="35"/>
      <c r="O2" s="37" t="s">
        <v>803</v>
      </c>
      <c r="P2" s="35"/>
      <c r="Q2" s="37" t="s">
        <v>804</v>
      </c>
      <c r="R2" s="35"/>
      <c r="S2" s="35"/>
      <c r="T2" s="35"/>
      <c r="U2" s="37" t="s">
        <v>371</v>
      </c>
      <c r="V2" s="35"/>
      <c r="W2" s="37" t="s">
        <v>805</v>
      </c>
      <c r="X2" s="35"/>
      <c r="Y2" s="37" t="s">
        <v>806</v>
      </c>
      <c r="Z2" s="35"/>
      <c r="AA2" s="182"/>
    </row>
    <row r="3">
      <c r="B3" s="90" t="s">
        <v>807</v>
      </c>
      <c r="C3" s="37" t="s">
        <v>809</v>
      </c>
      <c r="D3" s="183" t="s">
        <v>810</v>
      </c>
      <c r="E3" s="181" t="s">
        <v>811</v>
      </c>
      <c r="F3" s="37"/>
      <c r="G3" s="37"/>
      <c r="H3" s="37"/>
      <c r="I3" s="37" t="s">
        <v>812</v>
      </c>
      <c r="J3" s="37"/>
      <c r="K3" s="37" t="s">
        <v>813</v>
      </c>
      <c r="L3" s="37"/>
      <c r="M3" s="37" t="s">
        <v>814</v>
      </c>
      <c r="N3" s="37"/>
      <c r="O3" s="37" t="s">
        <v>815</v>
      </c>
      <c r="P3" s="37"/>
      <c r="Q3" s="37"/>
      <c r="R3" s="37"/>
      <c r="S3" s="37"/>
      <c r="T3" s="37"/>
      <c r="U3" s="37" t="s">
        <v>816</v>
      </c>
      <c r="V3" s="37"/>
      <c r="W3" s="37" t="s">
        <v>817</v>
      </c>
      <c r="X3" s="37"/>
      <c r="Y3" s="37" t="s">
        <v>818</v>
      </c>
      <c r="Z3" s="37"/>
      <c r="AA3" s="182"/>
    </row>
    <row r="4" ht="15.75" customHeight="1">
      <c r="B4" s="37" t="s">
        <v>819</v>
      </c>
      <c r="C4" s="35"/>
      <c r="D4" s="183" t="s">
        <v>820</v>
      </c>
      <c r="E4" s="181" t="s">
        <v>821</v>
      </c>
      <c r="F4" s="37" t="s">
        <v>822</v>
      </c>
      <c r="G4" s="37" t="s">
        <v>435</v>
      </c>
      <c r="H4" s="37" t="s">
        <v>435</v>
      </c>
      <c r="I4" s="37" t="s">
        <v>435</v>
      </c>
      <c r="J4" s="37" t="s">
        <v>435</v>
      </c>
      <c r="K4" s="37" t="s">
        <v>823</v>
      </c>
      <c r="L4" s="37" t="s">
        <v>436</v>
      </c>
      <c r="M4" s="37" t="s">
        <v>824</v>
      </c>
      <c r="N4" s="37" t="s">
        <v>436</v>
      </c>
      <c r="O4" s="37" t="s">
        <v>436</v>
      </c>
      <c r="P4" s="37" t="s">
        <v>436</v>
      </c>
      <c r="Q4" s="37" t="s">
        <v>436</v>
      </c>
      <c r="R4" s="37" t="s">
        <v>436</v>
      </c>
      <c r="S4" s="37" t="s">
        <v>437</v>
      </c>
      <c r="T4" s="37" t="s">
        <v>437</v>
      </c>
      <c r="U4" s="37" t="s">
        <v>828</v>
      </c>
      <c r="V4" s="37" t="s">
        <v>437</v>
      </c>
      <c r="W4" s="37" t="s">
        <v>437</v>
      </c>
      <c r="X4" s="37" t="s">
        <v>437</v>
      </c>
      <c r="Y4" s="37" t="s">
        <v>437</v>
      </c>
      <c r="Z4" s="37" t="s">
        <v>437</v>
      </c>
      <c r="AA4" s="182"/>
    </row>
    <row r="5">
      <c r="B5" s="37" t="s">
        <v>830</v>
      </c>
      <c r="C5" s="37"/>
      <c r="D5" s="183" t="s">
        <v>831</v>
      </c>
      <c r="E5" s="181" t="s">
        <v>832</v>
      </c>
      <c r="F5" s="37" t="s">
        <v>833</v>
      </c>
      <c r="G5" s="37" t="s">
        <v>435</v>
      </c>
      <c r="H5" s="37" t="s">
        <v>435</v>
      </c>
      <c r="I5" s="37" t="s">
        <v>435</v>
      </c>
      <c r="J5" s="37" t="s">
        <v>435</v>
      </c>
      <c r="K5" s="37" t="s">
        <v>435</v>
      </c>
      <c r="L5" s="37" t="s">
        <v>435</v>
      </c>
      <c r="M5" s="37" t="s">
        <v>435</v>
      </c>
      <c r="N5" s="37" t="s">
        <v>435</v>
      </c>
      <c r="O5" s="37" t="s">
        <v>435</v>
      </c>
      <c r="P5" s="37" t="s">
        <v>435</v>
      </c>
      <c r="Q5" s="37" t="s">
        <v>435</v>
      </c>
      <c r="R5" s="37" t="s">
        <v>435</v>
      </c>
      <c r="S5" s="37" t="s">
        <v>436</v>
      </c>
      <c r="T5" s="37" t="s">
        <v>436</v>
      </c>
      <c r="U5" s="37" t="s">
        <v>436</v>
      </c>
      <c r="V5" s="37" t="s">
        <v>436</v>
      </c>
      <c r="W5" s="37" t="s">
        <v>436</v>
      </c>
      <c r="X5" s="37" t="s">
        <v>436</v>
      </c>
      <c r="Y5" s="37" t="s">
        <v>437</v>
      </c>
      <c r="Z5" s="37" t="s">
        <v>437</v>
      </c>
      <c r="AA5" s="182"/>
    </row>
    <row r="6">
      <c r="B6" s="37" t="s">
        <v>836</v>
      </c>
      <c r="C6" s="37"/>
      <c r="D6" s="183"/>
      <c r="E6" s="181" t="s">
        <v>837</v>
      </c>
      <c r="F6" s="35"/>
      <c r="G6" s="37" t="s">
        <v>838</v>
      </c>
      <c r="H6" s="37" t="s">
        <v>838</v>
      </c>
      <c r="I6" s="37" t="s">
        <v>838</v>
      </c>
      <c r="J6" s="37" t="s">
        <v>838</v>
      </c>
      <c r="K6" s="37" t="s">
        <v>838</v>
      </c>
      <c r="L6" s="37" t="s">
        <v>838</v>
      </c>
      <c r="M6" s="37" t="s">
        <v>839</v>
      </c>
      <c r="N6" s="37" t="s">
        <v>840</v>
      </c>
      <c r="O6" s="37" t="s">
        <v>841</v>
      </c>
      <c r="P6" s="37" t="s">
        <v>841</v>
      </c>
      <c r="Q6" s="37" t="s">
        <v>841</v>
      </c>
      <c r="R6" s="37" t="s">
        <v>841</v>
      </c>
      <c r="S6" s="37" t="s">
        <v>842</v>
      </c>
      <c r="T6" s="37" t="s">
        <v>843</v>
      </c>
      <c r="U6" s="37" t="s">
        <v>844</v>
      </c>
      <c r="V6" s="37" t="s">
        <v>844</v>
      </c>
      <c r="W6" s="37" t="s">
        <v>844</v>
      </c>
      <c r="X6" s="37" t="s">
        <v>844</v>
      </c>
      <c r="Y6" s="37" t="s">
        <v>844</v>
      </c>
      <c r="Z6" s="37" t="s">
        <v>844</v>
      </c>
      <c r="AA6" s="182"/>
    </row>
    <row r="7">
      <c r="B7" s="37" t="s">
        <v>845</v>
      </c>
      <c r="C7" s="37"/>
      <c r="D7" s="183"/>
      <c r="E7" s="181" t="s">
        <v>637</v>
      </c>
      <c r="F7" s="35"/>
      <c r="G7" s="37" t="s">
        <v>436</v>
      </c>
      <c r="H7" s="37" t="s">
        <v>436</v>
      </c>
      <c r="I7" s="37" t="s">
        <v>436</v>
      </c>
      <c r="J7" s="37" t="s">
        <v>436</v>
      </c>
      <c r="K7" s="37" t="s">
        <v>436</v>
      </c>
      <c r="L7" s="37" t="s">
        <v>436</v>
      </c>
      <c r="M7" s="37" t="s">
        <v>436</v>
      </c>
      <c r="N7" s="37" t="s">
        <v>436</v>
      </c>
      <c r="O7" s="37" t="s">
        <v>436</v>
      </c>
      <c r="P7" s="37" t="s">
        <v>436</v>
      </c>
      <c r="Q7" s="37" t="s">
        <v>436</v>
      </c>
      <c r="R7" s="37" t="s">
        <v>436</v>
      </c>
      <c r="S7" s="37" t="s">
        <v>436</v>
      </c>
      <c r="T7" s="37" t="s">
        <v>436</v>
      </c>
      <c r="U7" s="37" t="s">
        <v>436</v>
      </c>
      <c r="V7" s="37" t="s">
        <v>436</v>
      </c>
      <c r="W7" s="37" t="s">
        <v>437</v>
      </c>
      <c r="X7" s="37" t="s">
        <v>437</v>
      </c>
      <c r="Y7" s="37" t="s">
        <v>437</v>
      </c>
      <c r="Z7" s="37" t="s">
        <v>437</v>
      </c>
      <c r="AA7" s="182"/>
    </row>
    <row r="8">
      <c r="B8" s="184"/>
      <c r="C8" s="184"/>
      <c r="D8" s="185"/>
      <c r="E8" s="186" t="s">
        <v>470</v>
      </c>
      <c r="F8" s="187"/>
      <c r="G8" s="184" t="s">
        <v>435</v>
      </c>
      <c r="H8" s="184" t="s">
        <v>435</v>
      </c>
      <c r="I8" s="184" t="s">
        <v>435</v>
      </c>
      <c r="J8" s="184" t="s">
        <v>435</v>
      </c>
      <c r="K8" s="184" t="s">
        <v>435</v>
      </c>
      <c r="L8" s="184" t="s">
        <v>435</v>
      </c>
      <c r="M8" s="184" t="s">
        <v>435</v>
      </c>
      <c r="N8" s="184" t="s">
        <v>435</v>
      </c>
      <c r="O8" s="184" t="s">
        <v>435</v>
      </c>
      <c r="P8" s="184" t="s">
        <v>435</v>
      </c>
      <c r="Q8" s="184" t="s">
        <v>436</v>
      </c>
      <c r="R8" s="184" t="s">
        <v>436</v>
      </c>
      <c r="S8" s="184" t="s">
        <v>436</v>
      </c>
      <c r="T8" s="184" t="s">
        <v>436</v>
      </c>
      <c r="U8" s="184" t="s">
        <v>436</v>
      </c>
      <c r="V8" s="184" t="s">
        <v>436</v>
      </c>
      <c r="W8" s="184" t="s">
        <v>436</v>
      </c>
      <c r="X8" s="184" t="s">
        <v>436</v>
      </c>
      <c r="Y8" s="184" t="s">
        <v>437</v>
      </c>
      <c r="Z8" s="184" t="s">
        <v>437</v>
      </c>
      <c r="AA8" s="182"/>
    </row>
    <row r="9">
      <c r="A9" s="180" t="s">
        <v>65</v>
      </c>
      <c r="B9" s="37" t="s">
        <v>421</v>
      </c>
      <c r="C9" s="37" t="s">
        <v>846</v>
      </c>
      <c r="D9" s="188"/>
      <c r="E9" s="181" t="s">
        <v>799</v>
      </c>
      <c r="F9" s="35"/>
      <c r="G9" s="35"/>
      <c r="H9" s="35"/>
      <c r="I9" s="37" t="s">
        <v>827</v>
      </c>
      <c r="J9" s="35"/>
      <c r="K9" s="35"/>
      <c r="L9" s="35"/>
      <c r="M9" s="37" t="s">
        <v>848</v>
      </c>
      <c r="N9" s="35"/>
      <c r="O9" s="37" t="s">
        <v>849</v>
      </c>
      <c r="P9" s="35"/>
      <c r="Q9" s="37" t="s">
        <v>850</v>
      </c>
      <c r="R9" s="35"/>
      <c r="S9" s="35"/>
      <c r="T9" s="35"/>
      <c r="U9" s="35"/>
      <c r="V9" s="35"/>
      <c r="W9" s="35"/>
      <c r="X9" s="35"/>
      <c r="Y9" s="37" t="s">
        <v>835</v>
      </c>
      <c r="Z9" s="35"/>
      <c r="AA9" s="182"/>
    </row>
    <row r="10">
      <c r="B10" s="90" t="s">
        <v>851</v>
      </c>
      <c r="C10" s="37" t="s">
        <v>852</v>
      </c>
      <c r="D10" s="188"/>
      <c r="E10" s="181" t="s">
        <v>811</v>
      </c>
      <c r="F10" s="37"/>
      <c r="G10" s="37"/>
      <c r="H10" s="37"/>
      <c r="I10" s="37" t="s">
        <v>853</v>
      </c>
      <c r="J10" s="37"/>
      <c r="K10" s="37"/>
      <c r="L10" s="37"/>
      <c r="M10" s="37" t="s">
        <v>377</v>
      </c>
      <c r="N10" s="37"/>
      <c r="O10" s="37" t="s">
        <v>854</v>
      </c>
      <c r="P10" s="37"/>
      <c r="Q10" s="37" t="s">
        <v>855</v>
      </c>
      <c r="R10" s="37"/>
      <c r="S10" s="37"/>
      <c r="T10" s="37"/>
      <c r="U10" s="37"/>
      <c r="V10" s="37"/>
      <c r="W10" s="37"/>
      <c r="X10" s="37"/>
      <c r="Y10" s="37" t="s">
        <v>856</v>
      </c>
      <c r="Z10" s="37"/>
      <c r="AA10" s="182"/>
    </row>
    <row r="11">
      <c r="B11" s="39" t="s">
        <v>857</v>
      </c>
      <c r="C11" s="35"/>
      <c r="D11" s="183" t="s">
        <v>858</v>
      </c>
      <c r="E11" s="181" t="s">
        <v>821</v>
      </c>
      <c r="F11" s="37" t="s">
        <v>822</v>
      </c>
      <c r="G11" s="37" t="s">
        <v>435</v>
      </c>
      <c r="H11" s="37" t="s">
        <v>435</v>
      </c>
      <c r="I11" s="37" t="s">
        <v>435</v>
      </c>
      <c r="J11" s="37" t="s">
        <v>435</v>
      </c>
      <c r="K11" s="37" t="s">
        <v>436</v>
      </c>
      <c r="L11" s="37" t="s">
        <v>436</v>
      </c>
      <c r="M11" s="37" t="s">
        <v>824</v>
      </c>
      <c r="N11" s="37" t="s">
        <v>436</v>
      </c>
      <c r="O11" s="37" t="s">
        <v>436</v>
      </c>
      <c r="P11" s="37" t="s">
        <v>436</v>
      </c>
      <c r="Q11" s="37" t="s">
        <v>436</v>
      </c>
      <c r="R11" s="37" t="s">
        <v>436</v>
      </c>
      <c r="S11" s="37" t="s">
        <v>437</v>
      </c>
      <c r="T11" s="37" t="s">
        <v>437</v>
      </c>
      <c r="U11" s="37" t="s">
        <v>828</v>
      </c>
      <c r="V11" s="37" t="s">
        <v>437</v>
      </c>
      <c r="W11" s="37" t="s">
        <v>437</v>
      </c>
      <c r="X11" s="37" t="s">
        <v>437</v>
      </c>
      <c r="Y11" s="37" t="s">
        <v>437</v>
      </c>
      <c r="Z11" s="37" t="s">
        <v>437</v>
      </c>
      <c r="AA11" s="182"/>
    </row>
    <row r="12">
      <c r="B12" s="37" t="s">
        <v>859</v>
      </c>
      <c r="C12" s="39" t="s">
        <v>860</v>
      </c>
      <c r="D12" s="183" t="s">
        <v>861</v>
      </c>
      <c r="E12" s="181" t="s">
        <v>832</v>
      </c>
      <c r="F12" s="37" t="s">
        <v>862</v>
      </c>
      <c r="G12" s="37" t="s">
        <v>435</v>
      </c>
      <c r="H12" s="37" t="s">
        <v>435</v>
      </c>
      <c r="I12" s="37" t="s">
        <v>435</v>
      </c>
      <c r="J12" s="37" t="s">
        <v>435</v>
      </c>
      <c r="K12" s="37" t="s">
        <v>435</v>
      </c>
      <c r="L12" s="37" t="s">
        <v>435</v>
      </c>
      <c r="M12" s="37" t="s">
        <v>863</v>
      </c>
      <c r="N12" s="37" t="s">
        <v>436</v>
      </c>
      <c r="O12" s="37" t="s">
        <v>436</v>
      </c>
      <c r="P12" s="37" t="s">
        <v>436</v>
      </c>
      <c r="Q12" s="37" t="s">
        <v>436</v>
      </c>
      <c r="R12" s="37" t="s">
        <v>436</v>
      </c>
      <c r="S12" s="37" t="s">
        <v>437</v>
      </c>
      <c r="T12" s="37" t="s">
        <v>437</v>
      </c>
      <c r="U12" s="37" t="s">
        <v>437</v>
      </c>
      <c r="V12" s="37" t="s">
        <v>437</v>
      </c>
      <c r="W12" s="37" t="s">
        <v>466</v>
      </c>
      <c r="X12" s="37" t="s">
        <v>466</v>
      </c>
      <c r="Y12" s="37" t="s">
        <v>466</v>
      </c>
      <c r="Z12" s="37" t="s">
        <v>466</v>
      </c>
      <c r="AA12" s="182"/>
    </row>
    <row r="13">
      <c r="B13" s="37" t="s">
        <v>836</v>
      </c>
      <c r="C13" s="37"/>
      <c r="D13" s="183"/>
      <c r="E13" s="181" t="s">
        <v>837</v>
      </c>
      <c r="F13" s="35"/>
      <c r="G13" s="37" t="s">
        <v>838</v>
      </c>
      <c r="H13" s="37" t="s">
        <v>838</v>
      </c>
      <c r="I13" s="37" t="s">
        <v>838</v>
      </c>
      <c r="J13" s="37" t="s">
        <v>838</v>
      </c>
      <c r="K13" s="37" t="s">
        <v>838</v>
      </c>
      <c r="L13" s="37" t="s">
        <v>838</v>
      </c>
      <c r="M13" s="37" t="s">
        <v>838</v>
      </c>
      <c r="N13" s="37" t="s">
        <v>838</v>
      </c>
      <c r="O13" s="37" t="s">
        <v>841</v>
      </c>
      <c r="P13" s="37" t="s">
        <v>841</v>
      </c>
      <c r="Q13" s="37" t="s">
        <v>864</v>
      </c>
      <c r="R13" s="37" t="s">
        <v>864</v>
      </c>
      <c r="S13" s="37" t="s">
        <v>864</v>
      </c>
      <c r="T13" s="37" t="s">
        <v>864</v>
      </c>
      <c r="U13" s="37" t="s">
        <v>864</v>
      </c>
      <c r="V13" s="37" t="s">
        <v>864</v>
      </c>
      <c r="W13" s="37" t="s">
        <v>864</v>
      </c>
      <c r="X13" s="37" t="s">
        <v>864</v>
      </c>
      <c r="Y13" s="37" t="s">
        <v>864</v>
      </c>
      <c r="Z13" s="37" t="s">
        <v>864</v>
      </c>
      <c r="AA13" s="182"/>
    </row>
    <row r="14">
      <c r="B14" s="37" t="s">
        <v>865</v>
      </c>
      <c r="C14" s="35"/>
      <c r="D14" s="183"/>
      <c r="E14" s="181" t="s">
        <v>637</v>
      </c>
      <c r="F14" s="35"/>
      <c r="G14" s="37" t="s">
        <v>435</v>
      </c>
      <c r="H14" s="37" t="s">
        <v>435</v>
      </c>
      <c r="I14" s="37" t="s">
        <v>435</v>
      </c>
      <c r="J14" s="37" t="s">
        <v>435</v>
      </c>
      <c r="K14" s="37" t="s">
        <v>435</v>
      </c>
      <c r="L14" s="37" t="s">
        <v>435</v>
      </c>
      <c r="M14" s="37" t="s">
        <v>435</v>
      </c>
      <c r="N14" s="37" t="s">
        <v>435</v>
      </c>
      <c r="O14" s="37" t="s">
        <v>435</v>
      </c>
      <c r="P14" s="37" t="s">
        <v>435</v>
      </c>
      <c r="Q14" s="37" t="s">
        <v>436</v>
      </c>
      <c r="R14" s="37" t="s">
        <v>436</v>
      </c>
      <c r="S14" s="37" t="s">
        <v>436</v>
      </c>
      <c r="T14" s="37" t="s">
        <v>436</v>
      </c>
      <c r="U14" s="37" t="s">
        <v>436</v>
      </c>
      <c r="V14" s="37" t="s">
        <v>436</v>
      </c>
      <c r="W14" s="37" t="s">
        <v>436</v>
      </c>
      <c r="X14" s="37" t="s">
        <v>436</v>
      </c>
      <c r="Y14" s="37" t="s">
        <v>436</v>
      </c>
      <c r="Z14" s="37" t="s">
        <v>436</v>
      </c>
      <c r="AA14" s="182"/>
    </row>
    <row r="15">
      <c r="B15" s="184"/>
      <c r="C15" s="184" t="s">
        <v>866</v>
      </c>
      <c r="D15" s="185" t="s">
        <v>867</v>
      </c>
      <c r="E15" s="186" t="s">
        <v>470</v>
      </c>
      <c r="F15" s="187"/>
      <c r="G15" s="184" t="s">
        <v>435</v>
      </c>
      <c r="H15" s="184" t="s">
        <v>435</v>
      </c>
      <c r="I15" s="184" t="s">
        <v>435</v>
      </c>
      <c r="J15" s="184" t="s">
        <v>435</v>
      </c>
      <c r="K15" s="184" t="s">
        <v>435</v>
      </c>
      <c r="L15" s="184" t="s">
        <v>435</v>
      </c>
      <c r="M15" s="184" t="s">
        <v>435</v>
      </c>
      <c r="N15" s="184" t="s">
        <v>435</v>
      </c>
      <c r="O15" s="184" t="s">
        <v>436</v>
      </c>
      <c r="P15" s="184" t="s">
        <v>436</v>
      </c>
      <c r="Q15" s="184" t="s">
        <v>436</v>
      </c>
      <c r="R15" s="184" t="s">
        <v>436</v>
      </c>
      <c r="S15" s="184" t="s">
        <v>436</v>
      </c>
      <c r="T15" s="184" t="s">
        <v>436</v>
      </c>
      <c r="U15" s="184" t="s">
        <v>436</v>
      </c>
      <c r="V15" s="184" t="s">
        <v>436</v>
      </c>
      <c r="W15" s="184" t="s">
        <v>437</v>
      </c>
      <c r="X15" s="184" t="s">
        <v>437</v>
      </c>
      <c r="Y15" s="184" t="s">
        <v>437</v>
      </c>
      <c r="Z15" s="184" t="s">
        <v>437</v>
      </c>
      <c r="AA15" s="182"/>
    </row>
    <row r="16">
      <c r="A16" s="180" t="s">
        <v>109</v>
      </c>
      <c r="B16" s="37" t="s">
        <v>421</v>
      </c>
      <c r="C16" s="35"/>
      <c r="D16" s="188"/>
      <c r="E16" s="181" t="s">
        <v>799</v>
      </c>
      <c r="F16" s="35"/>
      <c r="G16" s="35"/>
      <c r="H16" s="35"/>
      <c r="I16" s="37" t="s">
        <v>868</v>
      </c>
      <c r="J16" s="35"/>
      <c r="K16" s="37" t="s">
        <v>869</v>
      </c>
      <c r="L16" s="35"/>
      <c r="M16" s="37" t="s">
        <v>870</v>
      </c>
      <c r="N16" s="35"/>
      <c r="O16" s="37" t="s">
        <v>871</v>
      </c>
      <c r="P16" s="35"/>
      <c r="Q16" s="37" t="s">
        <v>848</v>
      </c>
      <c r="R16" s="35"/>
      <c r="S16" s="37" t="s">
        <v>365</v>
      </c>
      <c r="T16" s="35"/>
      <c r="U16" s="37" t="s">
        <v>873</v>
      </c>
      <c r="V16" s="35"/>
      <c r="W16" s="35"/>
      <c r="X16" s="35"/>
      <c r="Y16" s="37" t="s">
        <v>874</v>
      </c>
      <c r="Z16" s="35"/>
      <c r="AA16" s="182"/>
    </row>
    <row r="17">
      <c r="B17" s="37" t="s">
        <v>875</v>
      </c>
      <c r="C17" s="37"/>
      <c r="D17" s="183"/>
      <c r="E17" s="181" t="s">
        <v>811</v>
      </c>
      <c r="F17" s="37"/>
      <c r="G17" s="37"/>
      <c r="H17" s="37"/>
      <c r="I17" s="37" t="s">
        <v>876</v>
      </c>
      <c r="J17" s="37"/>
      <c r="K17" s="37" t="s">
        <v>877</v>
      </c>
      <c r="L17" s="37"/>
      <c r="M17" s="37" t="s">
        <v>878</v>
      </c>
      <c r="N17" s="37"/>
      <c r="O17" s="37" t="s">
        <v>879</v>
      </c>
      <c r="P17" s="37"/>
      <c r="Q17" s="37" t="s">
        <v>377</v>
      </c>
      <c r="R17" s="37"/>
      <c r="S17" s="37" t="s">
        <v>880</v>
      </c>
      <c r="T17" s="37"/>
      <c r="U17" s="37" t="s">
        <v>881</v>
      </c>
      <c r="V17" s="37"/>
      <c r="W17" s="37"/>
      <c r="X17" s="37"/>
      <c r="Y17" s="37" t="s">
        <v>882</v>
      </c>
      <c r="Z17" s="37"/>
      <c r="AA17" s="182"/>
    </row>
    <row r="18">
      <c r="B18" s="37" t="s">
        <v>883</v>
      </c>
      <c r="C18" s="35"/>
      <c r="D18" s="183" t="s">
        <v>884</v>
      </c>
      <c r="E18" s="181" t="s">
        <v>821</v>
      </c>
      <c r="F18" s="37" t="s">
        <v>885</v>
      </c>
      <c r="G18" s="37" t="s">
        <v>886</v>
      </c>
      <c r="H18" s="37" t="s">
        <v>886</v>
      </c>
      <c r="I18" s="37" t="s">
        <v>886</v>
      </c>
      <c r="J18" s="37" t="s">
        <v>886</v>
      </c>
      <c r="K18" s="37" t="s">
        <v>887</v>
      </c>
      <c r="L18" s="37" t="s">
        <v>888</v>
      </c>
      <c r="M18" s="37" t="s">
        <v>889</v>
      </c>
      <c r="N18" s="37" t="s">
        <v>888</v>
      </c>
      <c r="O18" s="37" t="s">
        <v>888</v>
      </c>
      <c r="P18" s="37" t="s">
        <v>888</v>
      </c>
      <c r="Q18" s="37" t="s">
        <v>888</v>
      </c>
      <c r="R18" s="37" t="s">
        <v>888</v>
      </c>
      <c r="S18" s="37" t="s">
        <v>890</v>
      </c>
      <c r="T18" s="37" t="s">
        <v>891</v>
      </c>
      <c r="U18" s="37" t="s">
        <v>892</v>
      </c>
      <c r="V18" s="37" t="s">
        <v>891</v>
      </c>
      <c r="W18" s="37" t="s">
        <v>891</v>
      </c>
      <c r="X18" s="37" t="s">
        <v>891</v>
      </c>
      <c r="Y18" s="37" t="s">
        <v>893</v>
      </c>
      <c r="Z18" s="37" t="s">
        <v>893</v>
      </c>
      <c r="AA18" s="182"/>
    </row>
    <row r="19">
      <c r="B19" s="37" t="s">
        <v>859</v>
      </c>
      <c r="C19" s="37" t="s">
        <v>860</v>
      </c>
      <c r="D19" s="183" t="s">
        <v>894</v>
      </c>
      <c r="E19" s="181" t="s">
        <v>832</v>
      </c>
      <c r="F19" s="37" t="s">
        <v>862</v>
      </c>
      <c r="G19" s="37" t="s">
        <v>435</v>
      </c>
      <c r="H19" s="37" t="s">
        <v>435</v>
      </c>
      <c r="I19" s="37" t="s">
        <v>435</v>
      </c>
      <c r="J19" s="37" t="s">
        <v>435</v>
      </c>
      <c r="K19" s="37" t="s">
        <v>435</v>
      </c>
      <c r="L19" s="37" t="s">
        <v>435</v>
      </c>
      <c r="M19" s="37" t="s">
        <v>435</v>
      </c>
      <c r="N19" s="37" t="s">
        <v>435</v>
      </c>
      <c r="O19" s="37" t="s">
        <v>435</v>
      </c>
      <c r="P19" s="37" t="s">
        <v>435</v>
      </c>
      <c r="Q19" s="37" t="s">
        <v>863</v>
      </c>
      <c r="R19" s="37" t="s">
        <v>436</v>
      </c>
      <c r="S19" s="37" t="s">
        <v>436</v>
      </c>
      <c r="T19" s="37" t="s">
        <v>436</v>
      </c>
      <c r="U19" s="37" t="s">
        <v>436</v>
      </c>
      <c r="V19" s="37" t="s">
        <v>436</v>
      </c>
      <c r="W19" s="37" t="s">
        <v>437</v>
      </c>
      <c r="X19" s="37" t="s">
        <v>437</v>
      </c>
      <c r="Y19" s="37" t="s">
        <v>437</v>
      </c>
      <c r="Z19" s="37" t="s">
        <v>437</v>
      </c>
      <c r="AA19" s="182"/>
    </row>
    <row r="20">
      <c r="B20" s="37" t="s">
        <v>895</v>
      </c>
      <c r="C20" s="35"/>
      <c r="D20" s="183" t="s">
        <v>896</v>
      </c>
      <c r="E20" s="181" t="s">
        <v>837</v>
      </c>
      <c r="F20" s="35"/>
      <c r="G20" s="37" t="s">
        <v>897</v>
      </c>
      <c r="H20" s="37" t="s">
        <v>897</v>
      </c>
      <c r="I20" s="37" t="s">
        <v>898</v>
      </c>
      <c r="J20" s="37" t="s">
        <v>898</v>
      </c>
      <c r="K20" s="37" t="s">
        <v>898</v>
      </c>
      <c r="L20" s="37" t="s">
        <v>898</v>
      </c>
      <c r="M20" s="37" t="s">
        <v>898</v>
      </c>
      <c r="N20" s="37" t="s">
        <v>898</v>
      </c>
      <c r="O20" s="37" t="s">
        <v>841</v>
      </c>
      <c r="P20" s="37" t="s">
        <v>841</v>
      </c>
      <c r="Q20" s="37" t="s">
        <v>841</v>
      </c>
      <c r="R20" s="37" t="s">
        <v>841</v>
      </c>
      <c r="S20" s="37" t="s">
        <v>841</v>
      </c>
      <c r="T20" s="37" t="s">
        <v>841</v>
      </c>
      <c r="U20" s="37" t="s">
        <v>899</v>
      </c>
      <c r="V20" s="37" t="s">
        <v>899</v>
      </c>
      <c r="W20" s="37" t="s">
        <v>899</v>
      </c>
      <c r="X20" s="37" t="s">
        <v>899</v>
      </c>
      <c r="Y20" s="37" t="s">
        <v>899</v>
      </c>
      <c r="Z20" s="37" t="s">
        <v>899</v>
      </c>
      <c r="AA20" s="182"/>
    </row>
    <row r="21">
      <c r="B21" s="37" t="s">
        <v>900</v>
      </c>
      <c r="C21" s="37"/>
      <c r="D21" s="183"/>
      <c r="E21" s="181" t="s">
        <v>637</v>
      </c>
      <c r="F21" s="35"/>
      <c r="G21" s="37" t="s">
        <v>436</v>
      </c>
      <c r="H21" s="37" t="s">
        <v>436</v>
      </c>
      <c r="I21" s="37" t="s">
        <v>436</v>
      </c>
      <c r="J21" s="37" t="s">
        <v>436</v>
      </c>
      <c r="K21" s="37" t="s">
        <v>436</v>
      </c>
      <c r="L21" s="37" t="s">
        <v>436</v>
      </c>
      <c r="M21" s="37" t="s">
        <v>437</v>
      </c>
      <c r="N21" s="37" t="s">
        <v>437</v>
      </c>
      <c r="O21" s="37" t="s">
        <v>437</v>
      </c>
      <c r="P21" s="37" t="s">
        <v>437</v>
      </c>
      <c r="Q21" s="37" t="s">
        <v>437</v>
      </c>
      <c r="R21" s="37" t="s">
        <v>437</v>
      </c>
      <c r="S21" s="37" t="s">
        <v>437</v>
      </c>
      <c r="T21" s="37" t="s">
        <v>437</v>
      </c>
      <c r="U21" s="37" t="s">
        <v>437</v>
      </c>
      <c r="V21" s="37" t="s">
        <v>437</v>
      </c>
      <c r="W21" s="37" t="s">
        <v>437</v>
      </c>
      <c r="X21" s="37" t="s">
        <v>437</v>
      </c>
      <c r="Y21" s="37" t="s">
        <v>437</v>
      </c>
      <c r="Z21" s="37" t="s">
        <v>437</v>
      </c>
      <c r="AA21" s="182"/>
    </row>
    <row r="22">
      <c r="B22" s="184"/>
      <c r="C22" s="184"/>
      <c r="D22" s="185"/>
      <c r="E22" s="186" t="s">
        <v>470</v>
      </c>
      <c r="F22" s="187"/>
      <c r="G22" s="184" t="s">
        <v>435</v>
      </c>
      <c r="H22" s="184" t="s">
        <v>435</v>
      </c>
      <c r="I22" s="184" t="s">
        <v>435</v>
      </c>
      <c r="J22" s="184" t="s">
        <v>435</v>
      </c>
      <c r="K22" s="184" t="s">
        <v>435</v>
      </c>
      <c r="L22" s="184" t="s">
        <v>435</v>
      </c>
      <c r="M22" s="184" t="s">
        <v>435</v>
      </c>
      <c r="N22" s="184" t="s">
        <v>435</v>
      </c>
      <c r="O22" s="184" t="s">
        <v>435</v>
      </c>
      <c r="P22" s="184" t="s">
        <v>435</v>
      </c>
      <c r="Q22" s="184" t="s">
        <v>436</v>
      </c>
      <c r="R22" s="184" t="s">
        <v>436</v>
      </c>
      <c r="S22" s="184" t="s">
        <v>436</v>
      </c>
      <c r="T22" s="184" t="s">
        <v>436</v>
      </c>
      <c r="U22" s="184" t="s">
        <v>436</v>
      </c>
      <c r="V22" s="184" t="s">
        <v>436</v>
      </c>
      <c r="W22" s="184" t="s">
        <v>436</v>
      </c>
      <c r="X22" s="184" t="s">
        <v>436</v>
      </c>
      <c r="Y22" s="184" t="s">
        <v>437</v>
      </c>
      <c r="Z22" s="184" t="s">
        <v>437</v>
      </c>
      <c r="AA22" s="182"/>
    </row>
    <row r="23">
      <c r="A23" s="180" t="s">
        <v>95</v>
      </c>
      <c r="B23" s="37" t="s">
        <v>421</v>
      </c>
      <c r="C23" s="37"/>
      <c r="D23" s="37" t="s">
        <v>901</v>
      </c>
      <c r="E23" s="181" t="s">
        <v>799</v>
      </c>
      <c r="F23" s="35"/>
      <c r="G23" s="35"/>
      <c r="H23" s="35"/>
      <c r="I23" s="37" t="s">
        <v>903</v>
      </c>
      <c r="J23" s="35"/>
      <c r="K23" s="35"/>
      <c r="L23" s="35"/>
      <c r="M23" s="37" t="s">
        <v>904</v>
      </c>
      <c r="N23" s="35"/>
      <c r="O23" s="37" t="s">
        <v>905</v>
      </c>
      <c r="P23" s="35"/>
      <c r="Q23" s="37" t="s">
        <v>906</v>
      </c>
      <c r="R23" s="35"/>
      <c r="S23" s="35"/>
      <c r="T23" s="35"/>
      <c r="U23" s="37" t="s">
        <v>907</v>
      </c>
      <c r="V23" s="35"/>
      <c r="W23" s="37" t="s">
        <v>908</v>
      </c>
      <c r="X23" s="35"/>
      <c r="Y23" s="37" t="s">
        <v>909</v>
      </c>
      <c r="Z23" s="35"/>
      <c r="AA23" s="182"/>
    </row>
    <row r="24">
      <c r="B24" s="37" t="s">
        <v>910</v>
      </c>
      <c r="C24" s="37"/>
      <c r="D24" s="183" t="s">
        <v>911</v>
      </c>
      <c r="E24" s="181" t="s">
        <v>811</v>
      </c>
      <c r="F24" s="37"/>
      <c r="G24" s="37"/>
      <c r="H24" s="37"/>
      <c r="I24" s="37" t="s">
        <v>912</v>
      </c>
      <c r="J24" s="37"/>
      <c r="K24" s="37"/>
      <c r="L24" s="37"/>
      <c r="M24" s="37" t="s">
        <v>913</v>
      </c>
      <c r="N24" s="37"/>
      <c r="O24" s="37" t="s">
        <v>914</v>
      </c>
      <c r="P24" s="37"/>
      <c r="Q24" s="37" t="s">
        <v>915</v>
      </c>
      <c r="R24" s="37"/>
      <c r="S24" s="37"/>
      <c r="T24" s="37"/>
      <c r="U24" s="37" t="s">
        <v>916</v>
      </c>
      <c r="V24" s="37"/>
      <c r="W24" s="37" t="s">
        <v>917</v>
      </c>
      <c r="X24" s="37"/>
      <c r="Y24" s="37" t="s">
        <v>918</v>
      </c>
      <c r="Z24" s="37"/>
      <c r="AA24" s="182"/>
    </row>
    <row r="25">
      <c r="B25" s="37" t="s">
        <v>919</v>
      </c>
      <c r="C25" s="37" t="s">
        <v>920</v>
      </c>
      <c r="D25" s="188"/>
      <c r="E25" s="181" t="s">
        <v>821</v>
      </c>
      <c r="F25" s="37" t="s">
        <v>921</v>
      </c>
      <c r="G25" s="37" t="s">
        <v>435</v>
      </c>
      <c r="H25" s="37" t="s">
        <v>435</v>
      </c>
      <c r="I25" s="37" t="s">
        <v>435</v>
      </c>
      <c r="J25" s="37" t="s">
        <v>435</v>
      </c>
      <c r="K25" s="37" t="s">
        <v>436</v>
      </c>
      <c r="L25" s="37" t="s">
        <v>436</v>
      </c>
      <c r="M25" s="37" t="s">
        <v>824</v>
      </c>
      <c r="N25" s="37" t="s">
        <v>436</v>
      </c>
      <c r="O25" s="37" t="s">
        <v>436</v>
      </c>
      <c r="P25" s="37" t="s">
        <v>436</v>
      </c>
      <c r="Q25" s="37" t="s">
        <v>436</v>
      </c>
      <c r="R25" s="37" t="s">
        <v>436</v>
      </c>
      <c r="S25" s="37" t="s">
        <v>437</v>
      </c>
      <c r="T25" s="37" t="s">
        <v>437</v>
      </c>
      <c r="U25" s="37" t="s">
        <v>828</v>
      </c>
      <c r="V25" s="37" t="s">
        <v>437</v>
      </c>
      <c r="W25" s="37" t="s">
        <v>437</v>
      </c>
      <c r="X25" s="37" t="s">
        <v>437</v>
      </c>
      <c r="Y25" s="37" t="s">
        <v>437</v>
      </c>
      <c r="Z25" s="37" t="s">
        <v>437</v>
      </c>
      <c r="AA25" s="182"/>
    </row>
    <row r="26">
      <c r="B26" s="37" t="s">
        <v>859</v>
      </c>
      <c r="C26" s="37"/>
      <c r="D26" s="183" t="s">
        <v>922</v>
      </c>
      <c r="E26" s="181" t="s">
        <v>832</v>
      </c>
      <c r="F26" s="37" t="s">
        <v>434</v>
      </c>
      <c r="G26" s="37" t="s">
        <v>436</v>
      </c>
      <c r="H26" s="37" t="s">
        <v>436</v>
      </c>
      <c r="I26" s="37" t="s">
        <v>436</v>
      </c>
      <c r="J26" s="37" t="s">
        <v>436</v>
      </c>
      <c r="K26" s="37" t="s">
        <v>436</v>
      </c>
      <c r="L26" s="37" t="s">
        <v>436</v>
      </c>
      <c r="M26" s="37" t="s">
        <v>436</v>
      </c>
      <c r="N26" s="37" t="s">
        <v>436</v>
      </c>
      <c r="O26" s="37" t="s">
        <v>436</v>
      </c>
      <c r="P26" s="37" t="s">
        <v>436</v>
      </c>
      <c r="Q26" s="37" t="s">
        <v>437</v>
      </c>
      <c r="R26" s="37" t="s">
        <v>437</v>
      </c>
      <c r="S26" s="37" t="s">
        <v>437</v>
      </c>
      <c r="T26" s="37" t="s">
        <v>437</v>
      </c>
      <c r="U26" s="37" t="s">
        <v>437</v>
      </c>
      <c r="V26" s="37" t="s">
        <v>437</v>
      </c>
      <c r="W26" s="37" t="s">
        <v>466</v>
      </c>
      <c r="X26" s="37" t="s">
        <v>466</v>
      </c>
      <c r="Y26" s="37" t="s">
        <v>466</v>
      </c>
      <c r="Z26" s="37" t="s">
        <v>466</v>
      </c>
      <c r="AA26" s="182"/>
    </row>
    <row r="27">
      <c r="B27" s="37" t="s">
        <v>836</v>
      </c>
      <c r="C27" s="37"/>
      <c r="D27" s="183"/>
      <c r="E27" s="181" t="s">
        <v>837</v>
      </c>
      <c r="F27" s="35"/>
      <c r="G27" s="37" t="s">
        <v>898</v>
      </c>
      <c r="H27" s="37" t="s">
        <v>898</v>
      </c>
      <c r="I27" s="37" t="s">
        <v>898</v>
      </c>
      <c r="J27" s="37" t="s">
        <v>898</v>
      </c>
      <c r="K27" s="37" t="s">
        <v>898</v>
      </c>
      <c r="L27" s="37" t="s">
        <v>898</v>
      </c>
      <c r="M27" s="37" t="s">
        <v>639</v>
      </c>
      <c r="N27" s="37" t="s">
        <v>639</v>
      </c>
      <c r="O27" s="37" t="s">
        <v>639</v>
      </c>
      <c r="P27" s="37" t="s">
        <v>639</v>
      </c>
      <c r="Q27" s="37" t="s">
        <v>640</v>
      </c>
      <c r="R27" s="37" t="s">
        <v>640</v>
      </c>
      <c r="S27" s="37" t="s">
        <v>640</v>
      </c>
      <c r="T27" s="37" t="s">
        <v>640</v>
      </c>
      <c r="U27" s="37" t="s">
        <v>923</v>
      </c>
      <c r="V27" s="37" t="s">
        <v>923</v>
      </c>
      <c r="W27" s="37" t="s">
        <v>923</v>
      </c>
      <c r="X27" s="37" t="s">
        <v>923</v>
      </c>
      <c r="Y27" s="37" t="s">
        <v>923</v>
      </c>
      <c r="Z27" s="37" t="s">
        <v>923</v>
      </c>
      <c r="AA27" s="182"/>
    </row>
    <row r="28">
      <c r="B28" s="37" t="s">
        <v>924</v>
      </c>
      <c r="C28" s="37"/>
      <c r="D28" s="183"/>
      <c r="E28" s="181" t="s">
        <v>637</v>
      </c>
      <c r="F28" s="35"/>
      <c r="G28" s="37" t="s">
        <v>435</v>
      </c>
      <c r="H28" s="37" t="s">
        <v>435</v>
      </c>
      <c r="I28" s="37" t="s">
        <v>435</v>
      </c>
      <c r="J28" s="37" t="s">
        <v>435</v>
      </c>
      <c r="K28" s="37" t="s">
        <v>436</v>
      </c>
      <c r="L28" s="37" t="s">
        <v>436</v>
      </c>
      <c r="M28" s="37" t="s">
        <v>436</v>
      </c>
      <c r="N28" s="37" t="s">
        <v>436</v>
      </c>
      <c r="O28" s="37" t="s">
        <v>436</v>
      </c>
      <c r="P28" s="37" t="s">
        <v>436</v>
      </c>
      <c r="Q28" s="37" t="s">
        <v>436</v>
      </c>
      <c r="R28" s="37" t="s">
        <v>436</v>
      </c>
      <c r="S28" s="37" t="s">
        <v>436</v>
      </c>
      <c r="T28" s="37" t="s">
        <v>436</v>
      </c>
      <c r="U28" s="37" t="s">
        <v>436</v>
      </c>
      <c r="V28" s="37" t="s">
        <v>436</v>
      </c>
      <c r="W28" s="37" t="s">
        <v>436</v>
      </c>
      <c r="X28" s="37" t="s">
        <v>436</v>
      </c>
      <c r="Y28" s="37" t="s">
        <v>436</v>
      </c>
      <c r="Z28" s="37" t="s">
        <v>436</v>
      </c>
      <c r="AA28" s="182"/>
    </row>
    <row r="29">
      <c r="B29" s="184"/>
      <c r="C29" s="184" t="s">
        <v>925</v>
      </c>
      <c r="D29" s="185"/>
      <c r="E29" s="186" t="s">
        <v>470</v>
      </c>
      <c r="F29" s="187"/>
      <c r="G29" s="184" t="s">
        <v>435</v>
      </c>
      <c r="H29" s="184" t="s">
        <v>435</v>
      </c>
      <c r="I29" s="184" t="s">
        <v>435</v>
      </c>
      <c r="J29" s="184" t="s">
        <v>435</v>
      </c>
      <c r="K29" s="184" t="s">
        <v>435</v>
      </c>
      <c r="L29" s="184" t="s">
        <v>435</v>
      </c>
      <c r="M29" s="184" t="s">
        <v>435</v>
      </c>
      <c r="N29" s="184" t="s">
        <v>435</v>
      </c>
      <c r="O29" s="184" t="s">
        <v>436</v>
      </c>
      <c r="P29" s="184" t="s">
        <v>436</v>
      </c>
      <c r="Q29" s="184" t="s">
        <v>436</v>
      </c>
      <c r="R29" s="184" t="s">
        <v>436</v>
      </c>
      <c r="S29" s="184" t="s">
        <v>436</v>
      </c>
      <c r="T29" s="184" t="s">
        <v>436</v>
      </c>
      <c r="U29" s="184" t="s">
        <v>436</v>
      </c>
      <c r="V29" s="184" t="s">
        <v>436</v>
      </c>
      <c r="W29" s="184" t="s">
        <v>437</v>
      </c>
      <c r="X29" s="184" t="s">
        <v>437</v>
      </c>
      <c r="Y29" s="184" t="s">
        <v>437</v>
      </c>
      <c r="Z29" s="184" t="s">
        <v>437</v>
      </c>
      <c r="AA29" s="182"/>
    </row>
    <row r="30">
      <c r="A30" s="180" t="s">
        <v>124</v>
      </c>
      <c r="B30" s="37" t="s">
        <v>421</v>
      </c>
      <c r="C30" s="35"/>
      <c r="D30" s="188"/>
      <c r="E30" s="181" t="s">
        <v>799</v>
      </c>
      <c r="F30" s="35"/>
      <c r="G30" s="35"/>
      <c r="H30" s="35"/>
      <c r="I30" s="35"/>
      <c r="J30" s="35"/>
      <c r="K30" s="37" t="s">
        <v>927</v>
      </c>
      <c r="L30" s="35"/>
      <c r="M30" s="35"/>
      <c r="N30" s="35"/>
      <c r="O30" s="37" t="s">
        <v>928</v>
      </c>
      <c r="P30" s="35"/>
      <c r="Q30" s="37" t="s">
        <v>929</v>
      </c>
      <c r="R30" s="35"/>
      <c r="S30" s="35"/>
      <c r="T30" s="35"/>
      <c r="U30" s="35"/>
      <c r="V30" s="35"/>
      <c r="W30" s="37" t="s">
        <v>931</v>
      </c>
      <c r="X30" s="35"/>
      <c r="Y30" s="37" t="s">
        <v>932</v>
      </c>
      <c r="Z30" s="35"/>
      <c r="AA30" s="182"/>
    </row>
    <row r="31">
      <c r="B31" s="90" t="s">
        <v>933</v>
      </c>
      <c r="C31" s="37"/>
      <c r="D31" s="183" t="s">
        <v>934</v>
      </c>
      <c r="E31" s="181" t="s">
        <v>811</v>
      </c>
      <c r="F31" s="37"/>
      <c r="G31" s="37"/>
      <c r="H31" s="37"/>
      <c r="I31" s="37"/>
      <c r="J31" s="37"/>
      <c r="K31" s="37" t="s">
        <v>935</v>
      </c>
      <c r="L31" s="37"/>
      <c r="M31" s="37"/>
      <c r="N31" s="37"/>
      <c r="O31" s="37" t="s">
        <v>936</v>
      </c>
      <c r="P31" s="37"/>
      <c r="Q31" s="37" t="s">
        <v>937</v>
      </c>
      <c r="R31" s="37"/>
      <c r="S31" s="37"/>
      <c r="T31" s="37"/>
      <c r="U31" s="37"/>
      <c r="V31" s="37"/>
      <c r="W31" s="37" t="s">
        <v>938</v>
      </c>
      <c r="X31" s="37"/>
      <c r="Y31" s="37" t="s">
        <v>939</v>
      </c>
      <c r="Z31" s="37"/>
      <c r="AA31" s="182"/>
    </row>
    <row r="32">
      <c r="B32" s="37" t="s">
        <v>940</v>
      </c>
      <c r="C32" s="37" t="s">
        <v>941</v>
      </c>
      <c r="D32" s="183" t="s">
        <v>820</v>
      </c>
      <c r="E32" s="181" t="s">
        <v>821</v>
      </c>
      <c r="F32" s="37" t="s">
        <v>822</v>
      </c>
      <c r="G32" s="37" t="s">
        <v>435</v>
      </c>
      <c r="H32" s="37" t="s">
        <v>435</v>
      </c>
      <c r="I32" s="37" t="s">
        <v>435</v>
      </c>
      <c r="J32" s="37" t="s">
        <v>435</v>
      </c>
      <c r="K32" s="37" t="s">
        <v>436</v>
      </c>
      <c r="L32" s="37" t="s">
        <v>436</v>
      </c>
      <c r="M32" s="37" t="s">
        <v>824</v>
      </c>
      <c r="N32" s="37" t="s">
        <v>436</v>
      </c>
      <c r="O32" s="37" t="s">
        <v>436</v>
      </c>
      <c r="P32" s="37" t="s">
        <v>436</v>
      </c>
      <c r="Q32" s="37" t="s">
        <v>436</v>
      </c>
      <c r="R32" s="37" t="s">
        <v>436</v>
      </c>
      <c r="S32" s="37" t="s">
        <v>437</v>
      </c>
      <c r="T32" s="37" t="s">
        <v>437</v>
      </c>
      <c r="U32" s="37" t="s">
        <v>828</v>
      </c>
      <c r="V32" s="37" t="s">
        <v>437</v>
      </c>
      <c r="W32" s="37" t="s">
        <v>437</v>
      </c>
      <c r="X32" s="37" t="s">
        <v>437</v>
      </c>
      <c r="Y32" s="37" t="s">
        <v>437</v>
      </c>
      <c r="Z32" s="37" t="s">
        <v>437</v>
      </c>
      <c r="AA32" s="182"/>
    </row>
    <row r="33">
      <c r="B33" s="37" t="s">
        <v>859</v>
      </c>
      <c r="C33" s="37"/>
      <c r="D33" s="188"/>
      <c r="E33" s="181" t="s">
        <v>832</v>
      </c>
      <c r="F33" s="37" t="s">
        <v>833</v>
      </c>
      <c r="G33" s="37" t="s">
        <v>435</v>
      </c>
      <c r="H33" s="37" t="s">
        <v>435</v>
      </c>
      <c r="I33" s="37" t="s">
        <v>435</v>
      </c>
      <c r="J33" s="37" t="s">
        <v>435</v>
      </c>
      <c r="K33" s="37" t="s">
        <v>435</v>
      </c>
      <c r="L33" s="37" t="s">
        <v>435</v>
      </c>
      <c r="M33" s="37" t="s">
        <v>435</v>
      </c>
      <c r="N33" s="37" t="s">
        <v>435</v>
      </c>
      <c r="O33" s="37" t="s">
        <v>435</v>
      </c>
      <c r="P33" s="37" t="s">
        <v>435</v>
      </c>
      <c r="Q33" s="37" t="s">
        <v>436</v>
      </c>
      <c r="R33" s="37" t="s">
        <v>436</v>
      </c>
      <c r="S33" s="37" t="s">
        <v>436</v>
      </c>
      <c r="T33" s="37" t="s">
        <v>436</v>
      </c>
      <c r="U33" s="37" t="s">
        <v>436</v>
      </c>
      <c r="V33" s="37" t="s">
        <v>436</v>
      </c>
      <c r="W33" s="37" t="s">
        <v>436</v>
      </c>
      <c r="X33" s="37" t="s">
        <v>436</v>
      </c>
      <c r="Y33" s="37" t="s">
        <v>436</v>
      </c>
      <c r="Z33" s="37" t="s">
        <v>436</v>
      </c>
      <c r="AA33" s="182"/>
    </row>
    <row r="34">
      <c r="B34" s="37" t="s">
        <v>836</v>
      </c>
      <c r="C34" s="37"/>
      <c r="D34" s="188"/>
      <c r="E34" s="181" t="s">
        <v>837</v>
      </c>
      <c r="F34" s="35"/>
      <c r="G34" s="37" t="s">
        <v>897</v>
      </c>
      <c r="H34" s="37" t="s">
        <v>898</v>
      </c>
      <c r="I34" s="37" t="s">
        <v>898</v>
      </c>
      <c r="J34" s="37" t="s">
        <v>898</v>
      </c>
      <c r="K34" s="37" t="s">
        <v>898</v>
      </c>
      <c r="L34" s="37" t="s">
        <v>898</v>
      </c>
      <c r="M34" s="37" t="s">
        <v>942</v>
      </c>
      <c r="N34" s="37" t="s">
        <v>942</v>
      </c>
      <c r="O34" s="37" t="s">
        <v>942</v>
      </c>
      <c r="P34" s="37" t="s">
        <v>942</v>
      </c>
      <c r="Q34" s="37" t="s">
        <v>899</v>
      </c>
      <c r="R34" s="37" t="s">
        <v>899</v>
      </c>
      <c r="S34" s="37" t="s">
        <v>899</v>
      </c>
      <c r="T34" s="37" t="s">
        <v>899</v>
      </c>
      <c r="U34" s="37" t="s">
        <v>943</v>
      </c>
      <c r="V34" s="37" t="s">
        <v>943</v>
      </c>
      <c r="W34" s="37" t="s">
        <v>943</v>
      </c>
      <c r="X34" s="37" t="s">
        <v>943</v>
      </c>
      <c r="Y34" s="37" t="s">
        <v>943</v>
      </c>
      <c r="Z34" s="37" t="s">
        <v>943</v>
      </c>
      <c r="AA34" s="182"/>
    </row>
    <row r="35">
      <c r="B35" s="37" t="s">
        <v>944</v>
      </c>
      <c r="C35" s="37"/>
      <c r="D35" s="183"/>
      <c r="E35" s="181" t="s">
        <v>637</v>
      </c>
      <c r="F35" s="35"/>
      <c r="G35" s="37" t="s">
        <v>436</v>
      </c>
      <c r="H35" s="37" t="s">
        <v>436</v>
      </c>
      <c r="I35" s="37" t="s">
        <v>436</v>
      </c>
      <c r="J35" s="37" t="s">
        <v>436</v>
      </c>
      <c r="K35" s="37" t="s">
        <v>436</v>
      </c>
      <c r="L35" s="37" t="s">
        <v>436</v>
      </c>
      <c r="M35" s="37" t="s">
        <v>437</v>
      </c>
      <c r="N35" s="37" t="s">
        <v>437</v>
      </c>
      <c r="O35" s="37" t="s">
        <v>437</v>
      </c>
      <c r="P35" s="37" t="s">
        <v>437</v>
      </c>
      <c r="Q35" s="37" t="s">
        <v>437</v>
      </c>
      <c r="R35" s="37" t="s">
        <v>437</v>
      </c>
      <c r="S35" s="37" t="s">
        <v>437</v>
      </c>
      <c r="T35" s="37" t="s">
        <v>437</v>
      </c>
      <c r="U35" s="37" t="s">
        <v>466</v>
      </c>
      <c r="V35" s="37" t="s">
        <v>466</v>
      </c>
      <c r="W35" s="37" t="s">
        <v>466</v>
      </c>
      <c r="X35" s="37" t="s">
        <v>466</v>
      </c>
      <c r="Y35" s="37" t="s">
        <v>466</v>
      </c>
      <c r="Z35" s="37" t="s">
        <v>466</v>
      </c>
      <c r="AA35" s="182"/>
    </row>
    <row r="36">
      <c r="B36" s="184"/>
      <c r="C36" s="184" t="s">
        <v>945</v>
      </c>
      <c r="D36" s="185"/>
      <c r="E36" s="186" t="s">
        <v>470</v>
      </c>
      <c r="F36" s="187"/>
      <c r="G36" s="184" t="s">
        <v>435</v>
      </c>
      <c r="H36" s="184" t="s">
        <v>435</v>
      </c>
      <c r="I36" s="184" t="s">
        <v>435</v>
      </c>
      <c r="J36" s="184" t="s">
        <v>435</v>
      </c>
      <c r="K36" s="184" t="s">
        <v>435</v>
      </c>
      <c r="L36" s="184" t="s">
        <v>435</v>
      </c>
      <c r="M36" s="184" t="s">
        <v>435</v>
      </c>
      <c r="N36" s="184" t="s">
        <v>435</v>
      </c>
      <c r="O36" s="184" t="s">
        <v>436</v>
      </c>
      <c r="P36" s="184" t="s">
        <v>436</v>
      </c>
      <c r="Q36" s="184" t="s">
        <v>436</v>
      </c>
      <c r="R36" s="184" t="s">
        <v>436</v>
      </c>
      <c r="S36" s="184" t="s">
        <v>436</v>
      </c>
      <c r="T36" s="184" t="s">
        <v>436</v>
      </c>
      <c r="U36" s="184" t="s">
        <v>436</v>
      </c>
      <c r="V36" s="184" t="s">
        <v>436</v>
      </c>
      <c r="W36" s="184" t="s">
        <v>436</v>
      </c>
      <c r="X36" s="184" t="s">
        <v>436</v>
      </c>
      <c r="Y36" s="184" t="s">
        <v>436</v>
      </c>
      <c r="Z36" s="184" t="s">
        <v>436</v>
      </c>
      <c r="AA36" s="182"/>
    </row>
    <row r="37">
      <c r="A37" s="180" t="s">
        <v>138</v>
      </c>
      <c r="B37" s="12" t="s">
        <v>947</v>
      </c>
      <c r="C37" s="35"/>
      <c r="D37" s="188"/>
      <c r="E37" s="181" t="s">
        <v>799</v>
      </c>
      <c r="F37" s="35"/>
      <c r="G37" s="35"/>
      <c r="H37" s="35"/>
      <c r="I37" s="37" t="s">
        <v>800</v>
      </c>
      <c r="J37" s="35"/>
      <c r="K37" s="37" t="s">
        <v>949</v>
      </c>
      <c r="L37" s="35"/>
      <c r="M37" s="35"/>
      <c r="N37" s="35"/>
      <c r="O37" s="37" t="s">
        <v>950</v>
      </c>
      <c r="P37" s="35"/>
      <c r="Q37" s="37" t="s">
        <v>951</v>
      </c>
      <c r="R37" s="35"/>
      <c r="S37" s="35"/>
      <c r="T37" s="35"/>
      <c r="U37" s="37" t="s">
        <v>952</v>
      </c>
      <c r="V37" s="35"/>
      <c r="W37" s="37" t="s">
        <v>951</v>
      </c>
      <c r="X37" s="35"/>
      <c r="Y37" s="37" t="s">
        <v>953</v>
      </c>
      <c r="Z37" s="35"/>
      <c r="AA37" s="182"/>
    </row>
    <row r="38">
      <c r="B38" s="90" t="s">
        <v>954</v>
      </c>
      <c r="C38" s="37" t="s">
        <v>955</v>
      </c>
      <c r="D38" s="183" t="s">
        <v>956</v>
      </c>
      <c r="E38" s="181" t="s">
        <v>811</v>
      </c>
      <c r="F38" s="35"/>
      <c r="G38" s="37"/>
      <c r="H38" s="37"/>
      <c r="I38" s="37" t="s">
        <v>957</v>
      </c>
      <c r="J38" s="37"/>
      <c r="K38" s="37" t="s">
        <v>958</v>
      </c>
      <c r="L38" s="37"/>
      <c r="M38" s="189" t="s">
        <v>959</v>
      </c>
      <c r="N38" s="37"/>
      <c r="O38" s="37" t="s">
        <v>960</v>
      </c>
      <c r="P38" s="37"/>
      <c r="Q38" s="37" t="s">
        <v>961</v>
      </c>
      <c r="R38" s="37"/>
      <c r="S38" s="37" t="s">
        <v>959</v>
      </c>
      <c r="T38" s="37"/>
      <c r="U38" s="37" t="s">
        <v>962</v>
      </c>
      <c r="V38" s="37"/>
      <c r="W38" s="37" t="s">
        <v>961</v>
      </c>
      <c r="X38" s="37"/>
      <c r="Y38" s="37" t="s">
        <v>963</v>
      </c>
      <c r="Z38" s="37"/>
      <c r="AA38" s="182"/>
    </row>
    <row r="39">
      <c r="B39" s="37" t="s">
        <v>964</v>
      </c>
      <c r="C39" s="37" t="s">
        <v>965</v>
      </c>
      <c r="D39" s="183" t="s">
        <v>966</v>
      </c>
      <c r="E39" s="181" t="s">
        <v>821</v>
      </c>
      <c r="F39" s="37" t="s">
        <v>967</v>
      </c>
      <c r="G39" s="37" t="s">
        <v>435</v>
      </c>
      <c r="H39" s="37" t="s">
        <v>435</v>
      </c>
      <c r="I39" s="37" t="s">
        <v>435</v>
      </c>
      <c r="J39" s="37" t="s">
        <v>435</v>
      </c>
      <c r="K39" s="37" t="s">
        <v>969</v>
      </c>
      <c r="L39" s="37" t="s">
        <v>436</v>
      </c>
      <c r="M39" s="37" t="s">
        <v>824</v>
      </c>
      <c r="N39" s="37" t="s">
        <v>436</v>
      </c>
      <c r="O39" s="37" t="s">
        <v>436</v>
      </c>
      <c r="P39" s="37" t="s">
        <v>436</v>
      </c>
      <c r="Q39" s="37" t="s">
        <v>436</v>
      </c>
      <c r="R39" s="37" t="s">
        <v>436</v>
      </c>
      <c r="S39" s="37" t="s">
        <v>437</v>
      </c>
      <c r="T39" s="37" t="s">
        <v>437</v>
      </c>
      <c r="U39" s="37" t="s">
        <v>828</v>
      </c>
      <c r="V39" s="37" t="s">
        <v>437</v>
      </c>
      <c r="W39" s="37" t="s">
        <v>437</v>
      </c>
      <c r="X39" s="37" t="s">
        <v>437</v>
      </c>
      <c r="Y39" s="37" t="s">
        <v>437</v>
      </c>
      <c r="Z39" s="37" t="s">
        <v>437</v>
      </c>
      <c r="AA39" s="182"/>
    </row>
    <row r="40">
      <c r="B40" s="37" t="s">
        <v>970</v>
      </c>
      <c r="C40" s="35"/>
      <c r="D40" s="188"/>
      <c r="E40" s="181" t="s">
        <v>832</v>
      </c>
      <c r="F40" s="37" t="s">
        <v>466</v>
      </c>
      <c r="G40" s="37" t="s">
        <v>435</v>
      </c>
      <c r="H40" s="37" t="s">
        <v>435</v>
      </c>
      <c r="I40" s="37" t="s">
        <v>435</v>
      </c>
      <c r="J40" s="37" t="s">
        <v>435</v>
      </c>
      <c r="K40" s="37" t="s">
        <v>435</v>
      </c>
      <c r="L40" s="37" t="s">
        <v>435</v>
      </c>
      <c r="M40" s="37" t="s">
        <v>435</v>
      </c>
      <c r="N40" s="37" t="s">
        <v>435</v>
      </c>
      <c r="O40" s="37" t="s">
        <v>435</v>
      </c>
      <c r="P40" s="37" t="s">
        <v>435</v>
      </c>
      <c r="Q40" s="37" t="s">
        <v>435</v>
      </c>
      <c r="R40" s="37" t="s">
        <v>435</v>
      </c>
      <c r="S40" s="37" t="s">
        <v>436</v>
      </c>
      <c r="T40" s="37" t="s">
        <v>436</v>
      </c>
      <c r="U40" s="37" t="s">
        <v>436</v>
      </c>
      <c r="V40" s="37" t="s">
        <v>436</v>
      </c>
      <c r="W40" s="37" t="s">
        <v>436</v>
      </c>
      <c r="X40" s="37" t="s">
        <v>436</v>
      </c>
      <c r="Y40" s="37" t="s">
        <v>437</v>
      </c>
      <c r="Z40" s="37" t="s">
        <v>437</v>
      </c>
      <c r="AA40" s="182"/>
    </row>
    <row r="41">
      <c r="B41" s="37" t="s">
        <v>836</v>
      </c>
      <c r="C41" s="35"/>
      <c r="D41" s="188"/>
      <c r="E41" s="181" t="s">
        <v>837</v>
      </c>
      <c r="F41" s="35"/>
      <c r="G41" s="37" t="s">
        <v>971</v>
      </c>
      <c r="H41" s="37" t="s">
        <v>971</v>
      </c>
      <c r="I41" s="37" t="s">
        <v>971</v>
      </c>
      <c r="J41" s="37" t="s">
        <v>971</v>
      </c>
      <c r="K41" s="37" t="s">
        <v>971</v>
      </c>
      <c r="L41" s="37" t="s">
        <v>971</v>
      </c>
      <c r="M41" s="37" t="s">
        <v>972</v>
      </c>
      <c r="N41" s="37" t="s">
        <v>972</v>
      </c>
      <c r="O41" s="37" t="s">
        <v>942</v>
      </c>
      <c r="P41" s="37" t="s">
        <v>942</v>
      </c>
      <c r="Q41" s="37" t="s">
        <v>942</v>
      </c>
      <c r="R41" s="37" t="s">
        <v>942</v>
      </c>
      <c r="S41" s="37" t="s">
        <v>973</v>
      </c>
      <c r="T41" s="37" t="s">
        <v>973</v>
      </c>
      <c r="U41" s="37" t="s">
        <v>973</v>
      </c>
      <c r="V41" s="37" t="s">
        <v>973</v>
      </c>
      <c r="W41" s="37" t="s">
        <v>974</v>
      </c>
      <c r="X41" s="37" t="s">
        <v>974</v>
      </c>
      <c r="Y41" s="37" t="s">
        <v>974</v>
      </c>
      <c r="Z41" s="37" t="s">
        <v>974</v>
      </c>
      <c r="AA41" s="182"/>
    </row>
    <row r="42">
      <c r="B42" s="37" t="s">
        <v>975</v>
      </c>
      <c r="C42" s="37" t="s">
        <v>976</v>
      </c>
      <c r="D42" s="190" t="s">
        <v>977</v>
      </c>
      <c r="E42" s="181" t="s">
        <v>637</v>
      </c>
      <c r="F42" s="35"/>
      <c r="G42" s="37" t="s">
        <v>436</v>
      </c>
      <c r="H42" s="37" t="s">
        <v>436</v>
      </c>
      <c r="I42" s="37" t="s">
        <v>436</v>
      </c>
      <c r="J42" s="37" t="s">
        <v>436</v>
      </c>
      <c r="K42" s="37" t="s">
        <v>436</v>
      </c>
      <c r="L42" s="37" t="s">
        <v>436</v>
      </c>
      <c r="M42" s="37" t="s">
        <v>437</v>
      </c>
      <c r="N42" s="37" t="s">
        <v>437</v>
      </c>
      <c r="O42" s="37" t="s">
        <v>437</v>
      </c>
      <c r="P42" s="37" t="s">
        <v>437</v>
      </c>
      <c r="Q42" s="37" t="s">
        <v>437</v>
      </c>
      <c r="R42" s="37" t="s">
        <v>437</v>
      </c>
      <c r="S42" s="37" t="s">
        <v>466</v>
      </c>
      <c r="T42" s="37" t="s">
        <v>466</v>
      </c>
      <c r="U42" s="37" t="s">
        <v>466</v>
      </c>
      <c r="V42" s="37" t="s">
        <v>466</v>
      </c>
      <c r="W42" s="37" t="s">
        <v>466</v>
      </c>
      <c r="X42" s="37" t="s">
        <v>466</v>
      </c>
      <c r="Y42" s="37" t="s">
        <v>466</v>
      </c>
      <c r="Z42" s="37" t="s">
        <v>466</v>
      </c>
      <c r="AA42" s="182"/>
    </row>
    <row r="43">
      <c r="B43" s="37" t="s">
        <v>978</v>
      </c>
      <c r="C43" s="37"/>
      <c r="D43" s="183"/>
      <c r="E43" s="181" t="s">
        <v>470</v>
      </c>
      <c r="F43" s="35"/>
      <c r="G43" s="37" t="s">
        <v>435</v>
      </c>
      <c r="H43" s="37" t="s">
        <v>435</v>
      </c>
      <c r="I43" s="37" t="s">
        <v>435</v>
      </c>
      <c r="J43" s="37" t="s">
        <v>435</v>
      </c>
      <c r="K43" s="37" t="s">
        <v>435</v>
      </c>
      <c r="L43" s="37" t="s">
        <v>435</v>
      </c>
      <c r="M43" s="37" t="s">
        <v>435</v>
      </c>
      <c r="N43" s="37" t="s">
        <v>435</v>
      </c>
      <c r="O43" s="37" t="s">
        <v>435</v>
      </c>
      <c r="P43" s="37" t="s">
        <v>435</v>
      </c>
      <c r="Q43" s="37" t="s">
        <v>436</v>
      </c>
      <c r="R43" s="37" t="s">
        <v>436</v>
      </c>
      <c r="S43" s="37" t="s">
        <v>436</v>
      </c>
      <c r="T43" s="37" t="s">
        <v>436</v>
      </c>
      <c r="U43" s="37" t="s">
        <v>436</v>
      </c>
      <c r="V43" s="37" t="s">
        <v>436</v>
      </c>
      <c r="W43" s="37" t="s">
        <v>436</v>
      </c>
      <c r="X43" s="37" t="s">
        <v>436</v>
      </c>
      <c r="Y43" s="37" t="s">
        <v>436</v>
      </c>
      <c r="Z43" s="37" t="s">
        <v>436</v>
      </c>
      <c r="AA43" s="182"/>
    </row>
    <row r="44">
      <c r="B44" s="184"/>
      <c r="C44" s="184" t="s">
        <v>979</v>
      </c>
      <c r="D44" s="185" t="s">
        <v>980</v>
      </c>
      <c r="E44" s="191" t="s">
        <v>981</v>
      </c>
      <c r="F44" s="184" t="s">
        <v>982</v>
      </c>
      <c r="G44" s="184" t="s">
        <v>983</v>
      </c>
      <c r="H44" s="184"/>
      <c r="I44" s="184"/>
      <c r="J44" s="184"/>
      <c r="K44" s="184"/>
      <c r="L44" s="184"/>
      <c r="M44" s="184"/>
      <c r="N44" s="184"/>
      <c r="O44" s="184"/>
      <c r="P44" s="184"/>
      <c r="Q44" s="184"/>
      <c r="R44" s="184"/>
      <c r="S44" s="184"/>
      <c r="T44" s="184"/>
      <c r="U44" s="184"/>
      <c r="V44" s="184"/>
      <c r="W44" s="184"/>
      <c r="X44" s="184"/>
      <c r="Y44" s="184"/>
      <c r="Z44" s="184"/>
      <c r="AA44" s="192"/>
    </row>
    <row r="45">
      <c r="A45" s="180" t="s">
        <v>984</v>
      </c>
      <c r="B45" s="37" t="s">
        <v>260</v>
      </c>
      <c r="C45" s="37"/>
      <c r="D45" s="37" t="s">
        <v>985</v>
      </c>
      <c r="E45" s="181" t="s">
        <v>799</v>
      </c>
      <c r="F45" s="35"/>
      <c r="G45" s="35"/>
      <c r="H45" s="35"/>
      <c r="I45" s="37" t="s">
        <v>987</v>
      </c>
      <c r="J45" s="35"/>
      <c r="K45" s="35"/>
      <c r="L45" s="35"/>
      <c r="M45" s="35"/>
      <c r="N45" s="35"/>
      <c r="O45" s="37" t="s">
        <v>988</v>
      </c>
      <c r="P45" s="35"/>
      <c r="Q45" s="35"/>
      <c r="R45" s="35"/>
      <c r="S45" s="35"/>
      <c r="T45" s="35"/>
      <c r="U45" s="37" t="s">
        <v>989</v>
      </c>
      <c r="V45" s="35"/>
      <c r="W45" s="37" t="s">
        <v>990</v>
      </c>
      <c r="X45" s="35"/>
      <c r="Y45" s="35"/>
      <c r="Z45" s="35"/>
      <c r="AA45" s="182"/>
    </row>
    <row r="46">
      <c r="B46" s="90" t="s">
        <v>991</v>
      </c>
      <c r="C46" s="37"/>
      <c r="D46" s="183" t="s">
        <v>992</v>
      </c>
      <c r="E46" s="181" t="s">
        <v>811</v>
      </c>
      <c r="F46" s="37"/>
      <c r="G46" s="37"/>
      <c r="H46" s="37"/>
      <c r="I46" s="37" t="s">
        <v>993</v>
      </c>
      <c r="J46" s="37"/>
      <c r="K46" s="37"/>
      <c r="L46" s="37"/>
      <c r="M46" s="37"/>
      <c r="N46" s="37"/>
      <c r="O46" s="37" t="s">
        <v>994</v>
      </c>
      <c r="P46" s="37"/>
      <c r="Q46" s="37"/>
      <c r="R46" s="37"/>
      <c r="S46" s="37"/>
      <c r="T46" s="37"/>
      <c r="U46" s="37" t="s">
        <v>994</v>
      </c>
      <c r="V46" s="37"/>
      <c r="W46" s="37" t="s">
        <v>995</v>
      </c>
      <c r="X46" s="37"/>
      <c r="Y46" s="37"/>
      <c r="Z46" s="37"/>
      <c r="AA46" s="182"/>
    </row>
    <row r="47">
      <c r="B47" s="37" t="s">
        <v>996</v>
      </c>
      <c r="C47" s="37" t="s">
        <v>997</v>
      </c>
      <c r="D47" s="183" t="s">
        <v>998</v>
      </c>
      <c r="E47" s="181" t="s">
        <v>821</v>
      </c>
      <c r="F47" s="37" t="s">
        <v>999</v>
      </c>
      <c r="G47" s="37" t="s">
        <v>1000</v>
      </c>
      <c r="H47" s="37" t="s">
        <v>1000</v>
      </c>
      <c r="I47" s="37" t="s">
        <v>1000</v>
      </c>
      <c r="J47" s="37" t="s">
        <v>1000</v>
      </c>
      <c r="K47" s="37" t="s">
        <v>1001</v>
      </c>
      <c r="L47" s="37" t="s">
        <v>1002</v>
      </c>
      <c r="M47" s="37" t="s">
        <v>1003</v>
      </c>
      <c r="N47" s="37" t="s">
        <v>1002</v>
      </c>
      <c r="O47" s="37" t="s">
        <v>1002</v>
      </c>
      <c r="P47" s="37" t="s">
        <v>1002</v>
      </c>
      <c r="Q47" s="37" t="s">
        <v>1002</v>
      </c>
      <c r="R47" s="37" t="s">
        <v>1002</v>
      </c>
      <c r="S47" s="37" t="s">
        <v>1004</v>
      </c>
      <c r="T47" s="37" t="s">
        <v>1004</v>
      </c>
      <c r="U47" s="37" t="s">
        <v>1005</v>
      </c>
      <c r="V47" s="37" t="s">
        <v>1004</v>
      </c>
      <c r="W47" s="37" t="s">
        <v>1004</v>
      </c>
      <c r="X47" s="37" t="s">
        <v>1004</v>
      </c>
      <c r="Y47" s="37" t="s">
        <v>1004</v>
      </c>
      <c r="Z47" s="37" t="s">
        <v>1004</v>
      </c>
      <c r="AA47" s="182"/>
    </row>
    <row r="48">
      <c r="B48" s="37" t="s">
        <v>970</v>
      </c>
      <c r="C48" s="37"/>
      <c r="D48" s="183"/>
      <c r="E48" s="181" t="s">
        <v>832</v>
      </c>
      <c r="F48" s="37" t="s">
        <v>833</v>
      </c>
      <c r="G48" s="37" t="s">
        <v>435</v>
      </c>
      <c r="H48" s="37" t="s">
        <v>435</v>
      </c>
      <c r="I48" s="37" t="s">
        <v>435</v>
      </c>
      <c r="J48" s="37" t="s">
        <v>435</v>
      </c>
      <c r="K48" s="37" t="s">
        <v>435</v>
      </c>
      <c r="L48" s="37" t="s">
        <v>435</v>
      </c>
      <c r="M48" s="37" t="s">
        <v>435</v>
      </c>
      <c r="N48" s="37" t="s">
        <v>435</v>
      </c>
      <c r="O48" s="37" t="s">
        <v>435</v>
      </c>
      <c r="P48" s="37" t="s">
        <v>435</v>
      </c>
      <c r="Q48" s="37" t="s">
        <v>435</v>
      </c>
      <c r="R48" s="37" t="s">
        <v>435</v>
      </c>
      <c r="S48" s="37" t="s">
        <v>436</v>
      </c>
      <c r="T48" s="37" t="s">
        <v>436</v>
      </c>
      <c r="U48" s="37" t="s">
        <v>436</v>
      </c>
      <c r="V48" s="37" t="s">
        <v>436</v>
      </c>
      <c r="W48" s="37" t="s">
        <v>436</v>
      </c>
      <c r="X48" s="37" t="s">
        <v>436</v>
      </c>
      <c r="Y48" s="37" t="s">
        <v>437</v>
      </c>
      <c r="Z48" s="37" t="s">
        <v>437</v>
      </c>
      <c r="AA48" s="182"/>
    </row>
    <row r="49">
      <c r="B49" s="37" t="s">
        <v>836</v>
      </c>
      <c r="C49" s="37"/>
      <c r="D49" s="188"/>
      <c r="E49" s="181" t="s">
        <v>837</v>
      </c>
      <c r="F49" s="35"/>
      <c r="G49" s="37" t="s">
        <v>897</v>
      </c>
      <c r="H49" s="37" t="s">
        <v>897</v>
      </c>
      <c r="I49" s="37" t="s">
        <v>898</v>
      </c>
      <c r="J49" s="37" t="s">
        <v>898</v>
      </c>
      <c r="K49" s="37" t="s">
        <v>898</v>
      </c>
      <c r="L49" s="37" t="s">
        <v>898</v>
      </c>
      <c r="M49" s="37" t="s">
        <v>898</v>
      </c>
      <c r="N49" s="37" t="s">
        <v>898</v>
      </c>
      <c r="O49" s="37" t="s">
        <v>898</v>
      </c>
      <c r="P49" s="37" t="s">
        <v>898</v>
      </c>
      <c r="Q49" s="37" t="s">
        <v>942</v>
      </c>
      <c r="R49" s="37" t="s">
        <v>942</v>
      </c>
      <c r="S49" s="37" t="s">
        <v>942</v>
      </c>
      <c r="T49" s="37" t="s">
        <v>942</v>
      </c>
      <c r="U49" s="37" t="s">
        <v>942</v>
      </c>
      <c r="V49" s="37" t="s">
        <v>942</v>
      </c>
      <c r="W49" s="37" t="s">
        <v>899</v>
      </c>
      <c r="X49" s="37" t="s">
        <v>899</v>
      </c>
      <c r="Y49" s="37" t="s">
        <v>899</v>
      </c>
      <c r="Z49" s="37" t="s">
        <v>899</v>
      </c>
      <c r="AA49" s="182"/>
    </row>
    <row r="50">
      <c r="B50" s="37" t="s">
        <v>1006</v>
      </c>
      <c r="C50" s="37"/>
      <c r="D50" s="188"/>
      <c r="E50" s="181" t="s">
        <v>637</v>
      </c>
      <c r="F50" s="35"/>
      <c r="G50" s="37" t="s">
        <v>436</v>
      </c>
      <c r="H50" s="37" t="s">
        <v>436</v>
      </c>
      <c r="I50" s="37" t="s">
        <v>436</v>
      </c>
      <c r="J50" s="37" t="s">
        <v>436</v>
      </c>
      <c r="K50" s="37" t="s">
        <v>436</v>
      </c>
      <c r="L50" s="37" t="s">
        <v>436</v>
      </c>
      <c r="M50" s="37" t="s">
        <v>437</v>
      </c>
      <c r="N50" s="37" t="s">
        <v>437</v>
      </c>
      <c r="O50" s="37" t="s">
        <v>437</v>
      </c>
      <c r="P50" s="37" t="s">
        <v>437</v>
      </c>
      <c r="Q50" s="37" t="s">
        <v>437</v>
      </c>
      <c r="R50" s="37" t="s">
        <v>437</v>
      </c>
      <c r="S50" s="37" t="s">
        <v>437</v>
      </c>
      <c r="T50" s="37" t="s">
        <v>437</v>
      </c>
      <c r="U50" s="37" t="s">
        <v>437</v>
      </c>
      <c r="V50" s="37" t="s">
        <v>437</v>
      </c>
      <c r="W50" s="37" t="s">
        <v>437</v>
      </c>
      <c r="X50" s="37" t="s">
        <v>437</v>
      </c>
      <c r="Y50" s="37" t="s">
        <v>466</v>
      </c>
      <c r="Z50" s="37" t="s">
        <v>466</v>
      </c>
      <c r="AA50" s="182"/>
    </row>
    <row r="51">
      <c r="B51" s="184"/>
      <c r="C51" s="184"/>
      <c r="D51" s="185"/>
      <c r="E51" s="186" t="s">
        <v>470</v>
      </c>
      <c r="F51" s="187"/>
      <c r="G51" s="184" t="s">
        <v>435</v>
      </c>
      <c r="H51" s="184" t="s">
        <v>435</v>
      </c>
      <c r="I51" s="184" t="s">
        <v>435</v>
      </c>
      <c r="J51" s="184" t="s">
        <v>435</v>
      </c>
      <c r="K51" s="184" t="s">
        <v>435</v>
      </c>
      <c r="L51" s="184" t="s">
        <v>435</v>
      </c>
      <c r="M51" s="184" t="s">
        <v>435</v>
      </c>
      <c r="N51" s="184" t="s">
        <v>435</v>
      </c>
      <c r="O51" s="184" t="s">
        <v>436</v>
      </c>
      <c r="P51" s="184" t="s">
        <v>436</v>
      </c>
      <c r="Q51" s="184" t="s">
        <v>436</v>
      </c>
      <c r="R51" s="184" t="s">
        <v>436</v>
      </c>
      <c r="S51" s="184" t="s">
        <v>436</v>
      </c>
      <c r="T51" s="184" t="s">
        <v>436</v>
      </c>
      <c r="U51" s="184" t="s">
        <v>436</v>
      </c>
      <c r="V51" s="184" t="s">
        <v>436</v>
      </c>
      <c r="W51" s="184" t="s">
        <v>437</v>
      </c>
      <c r="X51" s="184" t="s">
        <v>437</v>
      </c>
      <c r="Y51" s="184" t="s">
        <v>437</v>
      </c>
      <c r="Z51" s="184" t="s">
        <v>437</v>
      </c>
      <c r="AA51" s="182"/>
    </row>
    <row r="52">
      <c r="A52" s="180" t="s">
        <v>176</v>
      </c>
      <c r="B52" s="37" t="s">
        <v>260</v>
      </c>
      <c r="C52" s="37"/>
      <c r="D52" s="37" t="s">
        <v>1011</v>
      </c>
      <c r="E52" s="181" t="s">
        <v>799</v>
      </c>
      <c r="F52" s="35"/>
      <c r="G52" s="35"/>
      <c r="H52" s="35"/>
      <c r="I52" s="37" t="s">
        <v>1012</v>
      </c>
      <c r="J52" s="35"/>
      <c r="K52" s="37" t="s">
        <v>1013</v>
      </c>
      <c r="L52" s="35"/>
      <c r="M52" s="193" t="s">
        <v>1014</v>
      </c>
      <c r="N52" s="35"/>
      <c r="O52" s="37" t="s">
        <v>1015</v>
      </c>
      <c r="P52" s="35"/>
      <c r="Q52" s="193" t="s">
        <v>1016</v>
      </c>
      <c r="R52" s="35"/>
      <c r="S52" s="37" t="s">
        <v>1013</v>
      </c>
      <c r="T52" s="35"/>
      <c r="U52" s="193" t="s">
        <v>1017</v>
      </c>
      <c r="V52" s="35"/>
      <c r="W52" s="37" t="s">
        <v>1013</v>
      </c>
      <c r="X52" s="35"/>
      <c r="Y52" s="193" t="s">
        <v>1018</v>
      </c>
      <c r="Z52" s="35"/>
      <c r="AA52" s="182"/>
    </row>
    <row r="53">
      <c r="B53" s="90" t="s">
        <v>1019</v>
      </c>
      <c r="C53" s="37" t="s">
        <v>1020</v>
      </c>
      <c r="D53" s="183" t="s">
        <v>1021</v>
      </c>
      <c r="E53" s="181" t="s">
        <v>811</v>
      </c>
      <c r="F53" s="37"/>
      <c r="G53" s="37"/>
      <c r="H53" s="37"/>
      <c r="I53" s="37" t="s">
        <v>1022</v>
      </c>
      <c r="J53" s="37"/>
      <c r="K53" s="37" t="s">
        <v>1023</v>
      </c>
      <c r="L53" s="37"/>
      <c r="M53" s="37" t="s">
        <v>1024</v>
      </c>
      <c r="N53" s="37"/>
      <c r="O53" s="37" t="s">
        <v>1025</v>
      </c>
      <c r="P53" s="37"/>
      <c r="Q53" s="37" t="s">
        <v>1026</v>
      </c>
      <c r="R53" s="37"/>
      <c r="S53" s="37" t="s">
        <v>1023</v>
      </c>
      <c r="T53" s="37"/>
      <c r="U53" s="37" t="s">
        <v>1027</v>
      </c>
      <c r="V53" s="37"/>
      <c r="W53" s="37" t="s">
        <v>1023</v>
      </c>
      <c r="X53" s="37"/>
      <c r="Y53" s="37" t="s">
        <v>1028</v>
      </c>
      <c r="Z53" s="37"/>
      <c r="AA53" s="182"/>
    </row>
    <row r="54">
      <c r="B54" s="37" t="s">
        <v>1029</v>
      </c>
      <c r="C54" s="37" t="s">
        <v>1030</v>
      </c>
      <c r="D54" s="183" t="s">
        <v>1031</v>
      </c>
      <c r="E54" s="181" t="s">
        <v>821</v>
      </c>
      <c r="F54" s="37" t="s">
        <v>822</v>
      </c>
      <c r="G54" s="37" t="s">
        <v>435</v>
      </c>
      <c r="H54" s="37" t="s">
        <v>435</v>
      </c>
      <c r="I54" s="37" t="s">
        <v>435</v>
      </c>
      <c r="J54" s="37" t="s">
        <v>435</v>
      </c>
      <c r="K54" s="37" t="s">
        <v>1032</v>
      </c>
      <c r="L54" s="37" t="s">
        <v>436</v>
      </c>
      <c r="M54" s="37" t="s">
        <v>824</v>
      </c>
      <c r="N54" s="37" t="s">
        <v>436</v>
      </c>
      <c r="O54" s="37" t="s">
        <v>436</v>
      </c>
      <c r="P54" s="37" t="s">
        <v>436</v>
      </c>
      <c r="Q54" s="37" t="s">
        <v>436</v>
      </c>
      <c r="R54" s="37" t="s">
        <v>436</v>
      </c>
      <c r="S54" s="37" t="s">
        <v>437</v>
      </c>
      <c r="T54" s="37" t="s">
        <v>437</v>
      </c>
      <c r="U54" s="37" t="s">
        <v>828</v>
      </c>
      <c r="V54" s="37" t="s">
        <v>437</v>
      </c>
      <c r="W54" s="37" t="s">
        <v>437</v>
      </c>
      <c r="X54" s="37" t="s">
        <v>437</v>
      </c>
      <c r="Y54" s="37" t="s">
        <v>437</v>
      </c>
      <c r="Z54" s="37" t="s">
        <v>437</v>
      </c>
      <c r="AA54" s="182"/>
    </row>
    <row r="55">
      <c r="B55" s="37" t="s">
        <v>859</v>
      </c>
      <c r="C55" s="37"/>
      <c r="D55" s="183"/>
      <c r="E55" s="181" t="s">
        <v>832</v>
      </c>
      <c r="F55" s="37" t="s">
        <v>466</v>
      </c>
      <c r="G55" s="37" t="s">
        <v>435</v>
      </c>
      <c r="H55" s="37" t="s">
        <v>435</v>
      </c>
      <c r="I55" s="37" t="s">
        <v>435</v>
      </c>
      <c r="J55" s="37" t="s">
        <v>435</v>
      </c>
      <c r="K55" s="37" t="s">
        <v>435</v>
      </c>
      <c r="L55" s="37" t="s">
        <v>435</v>
      </c>
      <c r="M55" s="37" t="s">
        <v>435</v>
      </c>
      <c r="N55" s="37" t="s">
        <v>435</v>
      </c>
      <c r="O55" s="37" t="s">
        <v>435</v>
      </c>
      <c r="P55" s="37" t="s">
        <v>435</v>
      </c>
      <c r="Q55" s="37" t="s">
        <v>435</v>
      </c>
      <c r="R55" s="37" t="s">
        <v>435</v>
      </c>
      <c r="S55" s="37" t="s">
        <v>436</v>
      </c>
      <c r="T55" s="37" t="s">
        <v>436</v>
      </c>
      <c r="U55" s="37" t="s">
        <v>436</v>
      </c>
      <c r="V55" s="37" t="s">
        <v>436</v>
      </c>
      <c r="W55" s="37" t="s">
        <v>436</v>
      </c>
      <c r="X55" s="37" t="s">
        <v>436</v>
      </c>
      <c r="Y55" s="37" t="s">
        <v>437</v>
      </c>
      <c r="Z55" s="37" t="s">
        <v>437</v>
      </c>
      <c r="AA55" s="182"/>
    </row>
    <row r="56">
      <c r="B56" s="37" t="s">
        <v>836</v>
      </c>
      <c r="C56" s="37"/>
      <c r="D56" s="183"/>
      <c r="E56" s="181" t="s">
        <v>837</v>
      </c>
      <c r="F56" s="35"/>
      <c r="G56" s="37" t="s">
        <v>971</v>
      </c>
      <c r="H56" s="37" t="s">
        <v>971</v>
      </c>
      <c r="I56" s="37" t="s">
        <v>898</v>
      </c>
      <c r="J56" s="37" t="s">
        <v>898</v>
      </c>
      <c r="K56" s="37" t="s">
        <v>898</v>
      </c>
      <c r="L56" s="37" t="s">
        <v>898</v>
      </c>
      <c r="M56" s="37" t="s">
        <v>942</v>
      </c>
      <c r="N56" s="37" t="s">
        <v>942</v>
      </c>
      <c r="O56" s="37" t="s">
        <v>942</v>
      </c>
      <c r="P56" s="37" t="s">
        <v>942</v>
      </c>
      <c r="Q56" s="37" t="s">
        <v>942</v>
      </c>
      <c r="R56" s="37" t="s">
        <v>942</v>
      </c>
      <c r="S56" s="37" t="s">
        <v>973</v>
      </c>
      <c r="T56" s="37" t="s">
        <v>973</v>
      </c>
      <c r="U56" s="37" t="s">
        <v>973</v>
      </c>
      <c r="V56" s="37" t="s">
        <v>973</v>
      </c>
      <c r="W56" s="37" t="s">
        <v>974</v>
      </c>
      <c r="X56" s="37" t="s">
        <v>974</v>
      </c>
      <c r="Y56" s="37" t="s">
        <v>974</v>
      </c>
      <c r="Z56" s="37" t="s">
        <v>974</v>
      </c>
      <c r="AA56" s="182"/>
    </row>
    <row r="57">
      <c r="B57" s="37" t="s">
        <v>1033</v>
      </c>
      <c r="C57" s="37" t="s">
        <v>1034</v>
      </c>
      <c r="D57" s="183"/>
      <c r="E57" s="181" t="s">
        <v>637</v>
      </c>
      <c r="F57" s="35"/>
      <c r="G57" s="37" t="s">
        <v>436</v>
      </c>
      <c r="H57" s="37" t="s">
        <v>436</v>
      </c>
      <c r="I57" s="37" t="s">
        <v>436</v>
      </c>
      <c r="J57" s="37" t="s">
        <v>436</v>
      </c>
      <c r="K57" s="37" t="s">
        <v>436</v>
      </c>
      <c r="L57" s="37" t="s">
        <v>436</v>
      </c>
      <c r="M57" s="37" t="s">
        <v>436</v>
      </c>
      <c r="N57" s="37" t="s">
        <v>436</v>
      </c>
      <c r="O57" s="37" t="s">
        <v>436</v>
      </c>
      <c r="P57" s="37" t="s">
        <v>436</v>
      </c>
      <c r="Q57" s="37" t="s">
        <v>437</v>
      </c>
      <c r="R57" s="37" t="s">
        <v>437</v>
      </c>
      <c r="S57" s="37" t="s">
        <v>437</v>
      </c>
      <c r="T57" s="37" t="s">
        <v>437</v>
      </c>
      <c r="U57" s="37" t="s">
        <v>437</v>
      </c>
      <c r="V57" s="37" t="s">
        <v>437</v>
      </c>
      <c r="W57" s="37" t="s">
        <v>437</v>
      </c>
      <c r="X57" s="37" t="s">
        <v>437</v>
      </c>
      <c r="Y57" s="37" t="s">
        <v>437</v>
      </c>
      <c r="Z57" s="37" t="s">
        <v>437</v>
      </c>
      <c r="AA57" s="182"/>
    </row>
    <row r="58">
      <c r="B58" s="184"/>
      <c r="C58" s="184"/>
      <c r="D58" s="185"/>
      <c r="E58" s="186" t="s">
        <v>470</v>
      </c>
      <c r="F58" s="187"/>
      <c r="G58" s="184" t="s">
        <v>435</v>
      </c>
      <c r="H58" s="184" t="s">
        <v>435</v>
      </c>
      <c r="I58" s="184" t="s">
        <v>435</v>
      </c>
      <c r="J58" s="184" t="s">
        <v>435</v>
      </c>
      <c r="K58" s="184" t="s">
        <v>435</v>
      </c>
      <c r="L58" s="184" t="s">
        <v>435</v>
      </c>
      <c r="M58" s="184" t="s">
        <v>435</v>
      </c>
      <c r="N58" s="184" t="s">
        <v>435</v>
      </c>
      <c r="O58" s="184" t="s">
        <v>436</v>
      </c>
      <c r="P58" s="184" t="s">
        <v>436</v>
      </c>
      <c r="Q58" s="184" t="s">
        <v>436</v>
      </c>
      <c r="R58" s="184" t="s">
        <v>436</v>
      </c>
      <c r="S58" s="184" t="s">
        <v>436</v>
      </c>
      <c r="T58" s="184" t="s">
        <v>436</v>
      </c>
      <c r="U58" s="184" t="s">
        <v>436</v>
      </c>
      <c r="V58" s="184" t="s">
        <v>436</v>
      </c>
      <c r="W58" s="184" t="s">
        <v>436</v>
      </c>
      <c r="X58" s="184" t="s">
        <v>436</v>
      </c>
      <c r="Y58" s="184" t="s">
        <v>437</v>
      </c>
      <c r="Z58" s="184" t="s">
        <v>437</v>
      </c>
      <c r="AA58" s="182"/>
    </row>
    <row r="59">
      <c r="A59" s="180" t="s">
        <v>185</v>
      </c>
      <c r="B59" s="37" t="s">
        <v>262</v>
      </c>
      <c r="C59" s="37"/>
      <c r="D59" s="37" t="s">
        <v>798</v>
      </c>
      <c r="E59" s="181" t="s">
        <v>799</v>
      </c>
      <c r="F59" s="35"/>
      <c r="G59" s="35"/>
      <c r="H59" s="35"/>
      <c r="I59" s="37" t="s">
        <v>1036</v>
      </c>
      <c r="J59" s="37" t="s">
        <v>1037</v>
      </c>
      <c r="K59" s="37" t="s">
        <v>1038</v>
      </c>
      <c r="L59" s="37" t="s">
        <v>1037</v>
      </c>
      <c r="M59" s="37" t="s">
        <v>1039</v>
      </c>
      <c r="N59" s="37" t="s">
        <v>1037</v>
      </c>
      <c r="O59" s="37" t="s">
        <v>1040</v>
      </c>
      <c r="P59" s="37" t="s">
        <v>1037</v>
      </c>
      <c r="Q59" s="37" t="s">
        <v>1041</v>
      </c>
      <c r="R59" s="37" t="s">
        <v>1037</v>
      </c>
      <c r="S59" s="37" t="s">
        <v>1042</v>
      </c>
      <c r="T59" s="37" t="s">
        <v>1037</v>
      </c>
      <c r="U59" s="37" t="s">
        <v>1043</v>
      </c>
      <c r="V59" s="37" t="s">
        <v>1037</v>
      </c>
      <c r="W59" s="37" t="s">
        <v>1037</v>
      </c>
      <c r="X59" s="37" t="s">
        <v>1037</v>
      </c>
      <c r="Y59" s="37" t="s">
        <v>1044</v>
      </c>
      <c r="Z59" s="37" t="s">
        <v>1037</v>
      </c>
      <c r="AA59" s="182"/>
    </row>
    <row r="60">
      <c r="B60" s="90" t="s">
        <v>1045</v>
      </c>
      <c r="C60" s="37" t="s">
        <v>1046</v>
      </c>
      <c r="D60" s="183" t="s">
        <v>1047</v>
      </c>
      <c r="E60" s="181" t="s">
        <v>811</v>
      </c>
      <c r="F60" s="35"/>
      <c r="G60" s="35"/>
      <c r="H60" s="35"/>
      <c r="I60" s="37" t="s">
        <v>1048</v>
      </c>
      <c r="J60" s="189" t="s">
        <v>1049</v>
      </c>
      <c r="K60" s="37" t="s">
        <v>1050</v>
      </c>
      <c r="L60" s="189" t="s">
        <v>1049</v>
      </c>
      <c r="M60" s="37" t="s">
        <v>1051</v>
      </c>
      <c r="N60" s="189" t="s">
        <v>1049</v>
      </c>
      <c r="O60" s="37" t="s">
        <v>1052</v>
      </c>
      <c r="P60" s="189" t="s">
        <v>1049</v>
      </c>
      <c r="Q60" s="37" t="s">
        <v>1053</v>
      </c>
      <c r="R60" s="189" t="s">
        <v>1049</v>
      </c>
      <c r="S60" s="37" t="s">
        <v>1054</v>
      </c>
      <c r="T60" s="189" t="s">
        <v>1049</v>
      </c>
      <c r="U60" s="37" t="s">
        <v>1051</v>
      </c>
      <c r="V60" s="189" t="s">
        <v>1049</v>
      </c>
      <c r="W60" s="189" t="s">
        <v>1049</v>
      </c>
      <c r="X60" s="189" t="s">
        <v>1049</v>
      </c>
      <c r="Y60" s="37" t="s">
        <v>1055</v>
      </c>
      <c r="Z60" s="189" t="s">
        <v>1049</v>
      </c>
      <c r="AA60" s="182"/>
    </row>
    <row r="61">
      <c r="B61" s="37" t="s">
        <v>1056</v>
      </c>
      <c r="C61" s="35"/>
      <c r="D61" s="183" t="s">
        <v>1057</v>
      </c>
      <c r="E61" s="181" t="s">
        <v>821</v>
      </c>
      <c r="F61" s="37" t="s">
        <v>822</v>
      </c>
      <c r="G61" s="37" t="s">
        <v>435</v>
      </c>
      <c r="H61" s="37" t="s">
        <v>435</v>
      </c>
      <c r="I61" s="37" t="s">
        <v>435</v>
      </c>
      <c r="J61" s="37" t="s">
        <v>435</v>
      </c>
      <c r="K61" s="37" t="s">
        <v>969</v>
      </c>
      <c r="L61" s="37" t="s">
        <v>436</v>
      </c>
      <c r="M61" s="37" t="s">
        <v>1059</v>
      </c>
      <c r="N61" s="37" t="s">
        <v>436</v>
      </c>
      <c r="O61" s="37" t="s">
        <v>436</v>
      </c>
      <c r="P61" s="37" t="s">
        <v>436</v>
      </c>
      <c r="Q61" s="37" t="s">
        <v>436</v>
      </c>
      <c r="R61" s="37" t="s">
        <v>436</v>
      </c>
      <c r="S61" s="37" t="s">
        <v>437</v>
      </c>
      <c r="T61" s="37" t="s">
        <v>437</v>
      </c>
      <c r="U61" s="37" t="s">
        <v>1060</v>
      </c>
      <c r="V61" s="37" t="s">
        <v>437</v>
      </c>
      <c r="W61" s="37" t="s">
        <v>437</v>
      </c>
      <c r="X61" s="37" t="s">
        <v>437</v>
      </c>
      <c r="Y61" s="37" t="s">
        <v>437</v>
      </c>
      <c r="Z61" s="37" t="s">
        <v>437</v>
      </c>
      <c r="AA61" s="182"/>
    </row>
    <row r="62">
      <c r="B62" s="37" t="s">
        <v>970</v>
      </c>
      <c r="C62" s="39" t="s">
        <v>860</v>
      </c>
      <c r="D62" s="183" t="s">
        <v>1061</v>
      </c>
      <c r="E62" s="181" t="s">
        <v>832</v>
      </c>
      <c r="F62" s="37" t="s">
        <v>833</v>
      </c>
      <c r="G62" s="37" t="s">
        <v>435</v>
      </c>
      <c r="H62" s="37" t="s">
        <v>435</v>
      </c>
      <c r="I62" s="37" t="s">
        <v>435</v>
      </c>
      <c r="J62" s="37" t="s">
        <v>435</v>
      </c>
      <c r="K62" s="37" t="s">
        <v>435</v>
      </c>
      <c r="L62" s="37" t="s">
        <v>435</v>
      </c>
      <c r="M62" s="37" t="s">
        <v>435</v>
      </c>
      <c r="N62" s="37" t="s">
        <v>435</v>
      </c>
      <c r="O62" s="37" t="s">
        <v>435</v>
      </c>
      <c r="P62" s="37" t="s">
        <v>435</v>
      </c>
      <c r="Q62" s="37" t="s">
        <v>969</v>
      </c>
      <c r="R62" s="37" t="s">
        <v>436</v>
      </c>
      <c r="S62" s="37" t="s">
        <v>436</v>
      </c>
      <c r="T62" s="37" t="s">
        <v>436</v>
      </c>
      <c r="U62" s="37" t="s">
        <v>436</v>
      </c>
      <c r="V62" s="37" t="s">
        <v>436</v>
      </c>
      <c r="W62" s="37" t="s">
        <v>436</v>
      </c>
      <c r="X62" s="37" t="s">
        <v>436</v>
      </c>
      <c r="Y62" s="37" t="s">
        <v>437</v>
      </c>
      <c r="Z62" s="37" t="s">
        <v>437</v>
      </c>
      <c r="AA62" s="182"/>
    </row>
    <row r="63">
      <c r="B63" s="37" t="s">
        <v>836</v>
      </c>
      <c r="C63" s="37"/>
      <c r="D63" s="183"/>
      <c r="E63" s="181" t="s">
        <v>837</v>
      </c>
      <c r="F63" s="35"/>
      <c r="G63" s="37" t="s">
        <v>838</v>
      </c>
      <c r="H63" s="37" t="s">
        <v>838</v>
      </c>
      <c r="I63" s="37" t="s">
        <v>838</v>
      </c>
      <c r="J63" s="37" t="s">
        <v>838</v>
      </c>
      <c r="K63" s="37" t="s">
        <v>838</v>
      </c>
      <c r="L63" s="37" t="s">
        <v>838</v>
      </c>
      <c r="M63" s="37" t="s">
        <v>898</v>
      </c>
      <c r="N63" s="37" t="s">
        <v>898</v>
      </c>
      <c r="O63" s="37" t="s">
        <v>898</v>
      </c>
      <c r="P63" s="37" t="s">
        <v>898</v>
      </c>
      <c r="Q63" s="37" t="s">
        <v>1062</v>
      </c>
      <c r="R63" s="37" t="s">
        <v>1062</v>
      </c>
      <c r="S63" s="37" t="s">
        <v>1062</v>
      </c>
      <c r="T63" s="37" t="s">
        <v>1062</v>
      </c>
      <c r="U63" s="37" t="s">
        <v>1062</v>
      </c>
      <c r="V63" s="37" t="s">
        <v>1062</v>
      </c>
      <c r="W63" s="37" t="s">
        <v>864</v>
      </c>
      <c r="X63" s="37" t="s">
        <v>864</v>
      </c>
      <c r="Y63" s="37" t="s">
        <v>864</v>
      </c>
      <c r="Z63" s="37" t="s">
        <v>864</v>
      </c>
      <c r="AA63" s="182"/>
    </row>
    <row r="64">
      <c r="B64" s="37" t="s">
        <v>1063</v>
      </c>
      <c r="C64" s="37" t="s">
        <v>1064</v>
      </c>
      <c r="D64" s="183"/>
      <c r="E64" s="181" t="s">
        <v>637</v>
      </c>
      <c r="F64" s="35"/>
      <c r="G64" s="37" t="s">
        <v>435</v>
      </c>
      <c r="H64" s="37" t="s">
        <v>435</v>
      </c>
      <c r="I64" s="37" t="s">
        <v>435</v>
      </c>
      <c r="J64" s="37" t="s">
        <v>435</v>
      </c>
      <c r="K64" s="37" t="s">
        <v>435</v>
      </c>
      <c r="L64" s="37" t="s">
        <v>435</v>
      </c>
      <c r="M64" s="37" t="s">
        <v>435</v>
      </c>
      <c r="N64" s="37" t="s">
        <v>435</v>
      </c>
      <c r="O64" s="37" t="s">
        <v>435</v>
      </c>
      <c r="P64" s="37" t="s">
        <v>435</v>
      </c>
      <c r="Q64" s="37" t="s">
        <v>435</v>
      </c>
      <c r="R64" s="37" t="s">
        <v>435</v>
      </c>
      <c r="S64" s="37" t="s">
        <v>436</v>
      </c>
      <c r="T64" s="37" t="s">
        <v>436</v>
      </c>
      <c r="U64" s="37" t="s">
        <v>436</v>
      </c>
      <c r="V64" s="37" t="s">
        <v>436</v>
      </c>
      <c r="W64" s="37" t="s">
        <v>436</v>
      </c>
      <c r="X64" s="37" t="s">
        <v>436</v>
      </c>
      <c r="Y64" s="37" t="s">
        <v>436</v>
      </c>
      <c r="Z64" s="37" t="s">
        <v>436</v>
      </c>
      <c r="AA64" s="182"/>
    </row>
    <row r="65">
      <c r="B65" s="184"/>
      <c r="C65" s="184" t="s">
        <v>1065</v>
      </c>
      <c r="D65" s="185"/>
      <c r="E65" s="186" t="s">
        <v>470</v>
      </c>
      <c r="F65" s="187"/>
      <c r="G65" s="184" t="s">
        <v>435</v>
      </c>
      <c r="H65" s="184" t="s">
        <v>435</v>
      </c>
      <c r="I65" s="184" t="s">
        <v>435</v>
      </c>
      <c r="J65" s="184" t="s">
        <v>435</v>
      </c>
      <c r="K65" s="184" t="s">
        <v>435</v>
      </c>
      <c r="L65" s="184" t="s">
        <v>435</v>
      </c>
      <c r="M65" s="184" t="s">
        <v>435</v>
      </c>
      <c r="N65" s="184" t="s">
        <v>435</v>
      </c>
      <c r="O65" s="184" t="s">
        <v>436</v>
      </c>
      <c r="P65" s="184" t="s">
        <v>436</v>
      </c>
      <c r="Q65" s="184" t="s">
        <v>436</v>
      </c>
      <c r="R65" s="184" t="s">
        <v>436</v>
      </c>
      <c r="S65" s="184" t="s">
        <v>436</v>
      </c>
      <c r="T65" s="184" t="s">
        <v>436</v>
      </c>
      <c r="U65" s="184" t="s">
        <v>436</v>
      </c>
      <c r="V65" s="184" t="s">
        <v>436</v>
      </c>
      <c r="W65" s="184" t="s">
        <v>437</v>
      </c>
      <c r="X65" s="184" t="s">
        <v>437</v>
      </c>
      <c r="Y65" s="184" t="s">
        <v>437</v>
      </c>
      <c r="Z65" s="184" t="s">
        <v>437</v>
      </c>
      <c r="AA65" s="182"/>
    </row>
    <row r="66">
      <c r="A66" s="180" t="s">
        <v>144</v>
      </c>
      <c r="B66" s="37" t="s">
        <v>262</v>
      </c>
      <c r="C66" s="37" t="s">
        <v>1066</v>
      </c>
      <c r="D66" s="183" t="s">
        <v>1067</v>
      </c>
      <c r="E66" s="181" t="s">
        <v>799</v>
      </c>
      <c r="F66" s="35"/>
      <c r="G66" s="35"/>
      <c r="H66" s="35"/>
      <c r="I66" s="37" t="s">
        <v>1068</v>
      </c>
      <c r="J66" s="35"/>
      <c r="K66" s="35"/>
      <c r="L66" s="35"/>
      <c r="M66" s="35"/>
      <c r="N66" s="35"/>
      <c r="O66" s="37" t="s">
        <v>1069</v>
      </c>
      <c r="P66" s="35"/>
      <c r="Q66" s="37" t="s">
        <v>1070</v>
      </c>
      <c r="R66" s="35"/>
      <c r="S66" s="35"/>
      <c r="T66" s="35"/>
      <c r="U66" s="35"/>
      <c r="V66" s="35"/>
      <c r="W66" s="35"/>
      <c r="X66" s="35"/>
      <c r="Y66" s="37" t="s">
        <v>1071</v>
      </c>
      <c r="Z66" s="35"/>
      <c r="AA66" s="182"/>
    </row>
    <row r="67">
      <c r="B67" s="90" t="s">
        <v>1072</v>
      </c>
      <c r="C67" s="37" t="s">
        <v>1074</v>
      </c>
      <c r="D67" s="194" t="s">
        <v>1075</v>
      </c>
      <c r="E67" s="181" t="s">
        <v>811</v>
      </c>
      <c r="F67" s="37"/>
      <c r="G67" s="37"/>
      <c r="H67" s="37"/>
      <c r="I67" s="37" t="s">
        <v>1076</v>
      </c>
      <c r="J67" s="37"/>
      <c r="K67" s="37" t="s">
        <v>1077</v>
      </c>
      <c r="L67" s="37"/>
      <c r="M67" s="189" t="s">
        <v>959</v>
      </c>
      <c r="N67" s="37"/>
      <c r="O67" s="37" t="s">
        <v>1078</v>
      </c>
      <c r="P67" s="37"/>
      <c r="Q67" s="189" t="s">
        <v>1079</v>
      </c>
      <c r="R67" s="37"/>
      <c r="S67" s="37" t="s">
        <v>1077</v>
      </c>
      <c r="T67" s="37"/>
      <c r="U67" s="189" t="s">
        <v>959</v>
      </c>
      <c r="V67" s="37"/>
      <c r="W67" s="37" t="s">
        <v>1077</v>
      </c>
      <c r="X67" s="37"/>
      <c r="Y67" s="189" t="s">
        <v>1080</v>
      </c>
      <c r="Z67" s="37"/>
      <c r="AA67" s="182"/>
    </row>
    <row r="68">
      <c r="B68" s="37" t="s">
        <v>1081</v>
      </c>
      <c r="C68" s="37" t="s">
        <v>1082</v>
      </c>
      <c r="D68" s="183"/>
      <c r="E68" s="181" t="s">
        <v>821</v>
      </c>
      <c r="F68" s="37" t="s">
        <v>822</v>
      </c>
      <c r="G68" s="37" t="s">
        <v>435</v>
      </c>
      <c r="H68" s="37" t="s">
        <v>435</v>
      </c>
      <c r="I68" s="37" t="s">
        <v>435</v>
      </c>
      <c r="J68" s="37" t="s">
        <v>435</v>
      </c>
      <c r="K68" s="37" t="s">
        <v>436</v>
      </c>
      <c r="L68" s="37" t="s">
        <v>436</v>
      </c>
      <c r="M68" s="37" t="s">
        <v>824</v>
      </c>
      <c r="N68" s="37" t="s">
        <v>436</v>
      </c>
      <c r="O68" s="37" t="s">
        <v>436</v>
      </c>
      <c r="P68" s="37" t="s">
        <v>436</v>
      </c>
      <c r="Q68" s="37" t="s">
        <v>436</v>
      </c>
      <c r="R68" s="37" t="s">
        <v>436</v>
      </c>
      <c r="S68" s="37" t="s">
        <v>437</v>
      </c>
      <c r="T68" s="37" t="s">
        <v>437</v>
      </c>
      <c r="U68" s="37" t="s">
        <v>828</v>
      </c>
      <c r="V68" s="37" t="s">
        <v>437</v>
      </c>
      <c r="W68" s="37" t="s">
        <v>437</v>
      </c>
      <c r="X68" s="37" t="s">
        <v>437</v>
      </c>
      <c r="Y68" s="37" t="s">
        <v>437</v>
      </c>
      <c r="Z68" s="37" t="s">
        <v>437</v>
      </c>
      <c r="AA68" s="182"/>
    </row>
    <row r="69">
      <c r="B69" s="37" t="s">
        <v>970</v>
      </c>
      <c r="C69" s="37"/>
      <c r="D69" s="183"/>
      <c r="E69" s="181" t="s">
        <v>832</v>
      </c>
      <c r="F69" s="37" t="s">
        <v>466</v>
      </c>
      <c r="G69" s="37" t="s">
        <v>435</v>
      </c>
      <c r="H69" s="37" t="s">
        <v>435</v>
      </c>
      <c r="I69" s="37" t="s">
        <v>435</v>
      </c>
      <c r="J69" s="37" t="s">
        <v>435</v>
      </c>
      <c r="K69" s="37" t="s">
        <v>435</v>
      </c>
      <c r="L69" s="37" t="s">
        <v>435</v>
      </c>
      <c r="M69" s="37" t="s">
        <v>435</v>
      </c>
      <c r="N69" s="37" t="s">
        <v>435</v>
      </c>
      <c r="O69" s="37" t="s">
        <v>435</v>
      </c>
      <c r="P69" s="37" t="s">
        <v>435</v>
      </c>
      <c r="Q69" s="37" t="s">
        <v>435</v>
      </c>
      <c r="R69" s="37" t="s">
        <v>435</v>
      </c>
      <c r="S69" s="37" t="s">
        <v>436</v>
      </c>
      <c r="T69" s="37" t="s">
        <v>436</v>
      </c>
      <c r="U69" s="37" t="s">
        <v>436</v>
      </c>
      <c r="V69" s="37" t="s">
        <v>436</v>
      </c>
      <c r="W69" s="37" t="s">
        <v>436</v>
      </c>
      <c r="X69" s="37" t="s">
        <v>436</v>
      </c>
      <c r="Y69" s="37" t="s">
        <v>437</v>
      </c>
      <c r="Z69" s="37" t="s">
        <v>437</v>
      </c>
      <c r="AA69" s="182"/>
    </row>
    <row r="70">
      <c r="B70" s="37" t="s">
        <v>836</v>
      </c>
      <c r="C70" s="37"/>
      <c r="D70" s="183"/>
      <c r="E70" s="181" t="s">
        <v>837</v>
      </c>
      <c r="F70" s="35"/>
      <c r="G70" s="37" t="s">
        <v>971</v>
      </c>
      <c r="H70" s="37" t="s">
        <v>971</v>
      </c>
      <c r="I70" s="37" t="s">
        <v>971</v>
      </c>
      <c r="J70" s="37" t="s">
        <v>971</v>
      </c>
      <c r="K70" s="37" t="s">
        <v>971</v>
      </c>
      <c r="L70" s="37" t="s">
        <v>971</v>
      </c>
      <c r="M70" s="37" t="s">
        <v>971</v>
      </c>
      <c r="N70" s="37" t="s">
        <v>971</v>
      </c>
      <c r="O70" s="37" t="s">
        <v>898</v>
      </c>
      <c r="P70" s="37" t="s">
        <v>898</v>
      </c>
      <c r="Q70" s="37" t="s">
        <v>1062</v>
      </c>
      <c r="R70" s="37" t="s">
        <v>1062</v>
      </c>
      <c r="S70" s="37" t="s">
        <v>1062</v>
      </c>
      <c r="T70" s="37" t="s">
        <v>1062</v>
      </c>
      <c r="U70" s="37" t="s">
        <v>1083</v>
      </c>
      <c r="V70" s="37" t="s">
        <v>1083</v>
      </c>
      <c r="W70" s="37" t="s">
        <v>1084</v>
      </c>
      <c r="X70" s="37" t="s">
        <v>1084</v>
      </c>
      <c r="Y70" s="37" t="s">
        <v>1084</v>
      </c>
      <c r="Z70" s="37" t="s">
        <v>1084</v>
      </c>
      <c r="AA70" s="182"/>
    </row>
    <row r="71">
      <c r="B71" s="37" t="s">
        <v>1085</v>
      </c>
      <c r="C71" s="37" t="s">
        <v>1086</v>
      </c>
      <c r="D71" s="183"/>
      <c r="E71" s="181" t="s">
        <v>637</v>
      </c>
      <c r="F71" s="35"/>
      <c r="G71" s="37" t="s">
        <v>436</v>
      </c>
      <c r="H71" s="37" t="s">
        <v>436</v>
      </c>
      <c r="I71" s="37" t="s">
        <v>436</v>
      </c>
      <c r="J71" s="37" t="s">
        <v>436</v>
      </c>
      <c r="K71" s="37" t="s">
        <v>436</v>
      </c>
      <c r="L71" s="37" t="s">
        <v>436</v>
      </c>
      <c r="M71" s="37" t="s">
        <v>437</v>
      </c>
      <c r="N71" s="37" t="s">
        <v>437</v>
      </c>
      <c r="O71" s="37" t="s">
        <v>437</v>
      </c>
      <c r="P71" s="37" t="s">
        <v>437</v>
      </c>
      <c r="Q71" s="37" t="s">
        <v>437</v>
      </c>
      <c r="R71" s="37" t="s">
        <v>437</v>
      </c>
      <c r="S71" s="37" t="s">
        <v>466</v>
      </c>
      <c r="T71" s="37" t="s">
        <v>466</v>
      </c>
      <c r="U71" s="37" t="s">
        <v>466</v>
      </c>
      <c r="V71" s="37" t="s">
        <v>466</v>
      </c>
      <c r="W71" s="37" t="s">
        <v>466</v>
      </c>
      <c r="X71" s="37" t="s">
        <v>466</v>
      </c>
      <c r="Y71" s="37" t="s">
        <v>466</v>
      </c>
      <c r="Z71" s="37" t="s">
        <v>466</v>
      </c>
      <c r="AA71" s="182"/>
    </row>
    <row r="72">
      <c r="B72" s="37"/>
      <c r="C72" s="37"/>
      <c r="D72" s="183"/>
      <c r="E72" s="181" t="s">
        <v>470</v>
      </c>
      <c r="F72" s="35"/>
      <c r="G72" s="37" t="s">
        <v>435</v>
      </c>
      <c r="H72" s="37" t="s">
        <v>435</v>
      </c>
      <c r="I72" s="37" t="s">
        <v>435</v>
      </c>
      <c r="J72" s="37" t="s">
        <v>435</v>
      </c>
      <c r="K72" s="37" t="s">
        <v>435</v>
      </c>
      <c r="L72" s="37" t="s">
        <v>435</v>
      </c>
      <c r="M72" s="37" t="s">
        <v>435</v>
      </c>
      <c r="N72" s="37" t="s">
        <v>435</v>
      </c>
      <c r="O72" s="37" t="s">
        <v>435</v>
      </c>
      <c r="P72" s="37" t="s">
        <v>435</v>
      </c>
      <c r="Q72" s="37" t="s">
        <v>436</v>
      </c>
      <c r="R72" s="37" t="s">
        <v>436</v>
      </c>
      <c r="S72" s="37" t="s">
        <v>436</v>
      </c>
      <c r="T72" s="37" t="s">
        <v>436</v>
      </c>
      <c r="U72" s="37" t="s">
        <v>436</v>
      </c>
      <c r="V72" s="37" t="s">
        <v>436</v>
      </c>
      <c r="W72" s="37" t="s">
        <v>436</v>
      </c>
      <c r="X72" s="37" t="s">
        <v>436</v>
      </c>
      <c r="Y72" s="37" t="s">
        <v>437</v>
      </c>
      <c r="Z72" s="37" t="s">
        <v>437</v>
      </c>
      <c r="AA72" s="182"/>
    </row>
    <row r="73">
      <c r="B73" s="37"/>
      <c r="C73" s="37" t="s">
        <v>1087</v>
      </c>
      <c r="D73" s="183"/>
      <c r="E73" s="181" t="s">
        <v>1088</v>
      </c>
      <c r="F73" s="37" t="s">
        <v>1089</v>
      </c>
      <c r="G73" s="37">
        <v>4.0</v>
      </c>
      <c r="H73" s="37">
        <v>4.0</v>
      </c>
      <c r="I73" s="37">
        <v>4.0</v>
      </c>
      <c r="J73" s="37">
        <v>4.0</v>
      </c>
      <c r="K73" s="37" t="s">
        <v>1090</v>
      </c>
      <c r="L73" s="37" t="s">
        <v>1090</v>
      </c>
      <c r="M73" s="37" t="s">
        <v>1090</v>
      </c>
      <c r="N73" s="37" t="s">
        <v>1090</v>
      </c>
      <c r="O73" s="37" t="s">
        <v>1090</v>
      </c>
      <c r="P73" s="37" t="s">
        <v>1090</v>
      </c>
      <c r="Q73" s="37" t="s">
        <v>1090</v>
      </c>
      <c r="R73" s="37" t="s">
        <v>1090</v>
      </c>
      <c r="S73" s="37" t="s">
        <v>1090</v>
      </c>
      <c r="T73" s="37" t="s">
        <v>1090</v>
      </c>
      <c r="U73" s="37" t="s">
        <v>1090</v>
      </c>
      <c r="V73" s="37" t="s">
        <v>1090</v>
      </c>
      <c r="W73" s="37" t="s">
        <v>1090</v>
      </c>
      <c r="X73" s="37" t="s">
        <v>1090</v>
      </c>
      <c r="Y73" s="37" t="s">
        <v>1090</v>
      </c>
      <c r="Z73" s="37" t="s">
        <v>1090</v>
      </c>
      <c r="AA73" s="182"/>
    </row>
    <row r="74">
      <c r="B74" s="184"/>
      <c r="C74" s="184" t="s">
        <v>1087</v>
      </c>
      <c r="D74" s="185"/>
      <c r="E74" s="186" t="s">
        <v>1092</v>
      </c>
      <c r="F74" s="187"/>
      <c r="G74" s="184">
        <v>2.0</v>
      </c>
      <c r="H74" s="184">
        <v>3.0</v>
      </c>
      <c r="I74" s="184">
        <v>4.0</v>
      </c>
      <c r="J74" s="184">
        <v>5.0</v>
      </c>
      <c r="K74" s="184">
        <v>6.0</v>
      </c>
      <c r="L74" s="184">
        <v>7.0</v>
      </c>
      <c r="M74" s="184">
        <v>8.0</v>
      </c>
      <c r="N74" s="184">
        <v>9.0</v>
      </c>
      <c r="O74" s="184">
        <v>10.0</v>
      </c>
      <c r="P74" s="184">
        <v>11.0</v>
      </c>
      <c r="Q74" s="184">
        <v>12.0</v>
      </c>
      <c r="R74" s="184">
        <v>13.0</v>
      </c>
      <c r="S74" s="184">
        <v>14.0</v>
      </c>
      <c r="T74" s="184">
        <v>15.0</v>
      </c>
      <c r="U74" s="184">
        <v>16.0</v>
      </c>
      <c r="V74" s="184">
        <v>17.0</v>
      </c>
      <c r="W74" s="184">
        <v>18.0</v>
      </c>
      <c r="X74" s="184">
        <v>19.0</v>
      </c>
      <c r="Y74" s="184">
        <v>20.0</v>
      </c>
      <c r="Z74" s="184">
        <v>21.0</v>
      </c>
      <c r="AA74" s="192"/>
    </row>
    <row r="75">
      <c r="A75" s="180" t="s">
        <v>189</v>
      </c>
      <c r="B75" s="37" t="s">
        <v>262</v>
      </c>
      <c r="C75" s="37" t="s">
        <v>483</v>
      </c>
      <c r="D75" s="183"/>
      <c r="E75" s="181" t="s">
        <v>799</v>
      </c>
      <c r="F75" s="35"/>
      <c r="G75" s="35"/>
      <c r="H75" s="35"/>
      <c r="I75" s="35"/>
      <c r="J75" s="35"/>
      <c r="K75" s="37" t="s">
        <v>1093</v>
      </c>
      <c r="L75" s="35"/>
      <c r="M75" s="37" t="s">
        <v>1094</v>
      </c>
      <c r="N75" s="35"/>
      <c r="O75" s="37" t="s">
        <v>1095</v>
      </c>
      <c r="P75" s="35"/>
      <c r="Q75" s="37" t="s">
        <v>1096</v>
      </c>
      <c r="R75" s="35"/>
      <c r="S75" s="37" t="s">
        <v>1097</v>
      </c>
      <c r="T75" s="35"/>
      <c r="U75" s="37" t="s">
        <v>1098</v>
      </c>
      <c r="V75" s="35"/>
      <c r="W75" s="37" t="s">
        <v>1099</v>
      </c>
      <c r="X75" s="35"/>
      <c r="Y75" s="35"/>
      <c r="Z75" s="35"/>
      <c r="AA75" s="182"/>
    </row>
    <row r="76">
      <c r="B76" s="90" t="s">
        <v>1100</v>
      </c>
      <c r="C76" s="37"/>
      <c r="D76" s="183"/>
      <c r="E76" s="181" t="s">
        <v>811</v>
      </c>
      <c r="F76" s="37"/>
      <c r="G76" s="37"/>
      <c r="H76" s="37"/>
      <c r="I76" s="37"/>
      <c r="J76" s="37"/>
      <c r="K76" s="37" t="s">
        <v>1101</v>
      </c>
      <c r="L76" s="37"/>
      <c r="M76" s="37" t="s">
        <v>1102</v>
      </c>
      <c r="N76" s="37"/>
      <c r="O76" s="37" t="s">
        <v>1103</v>
      </c>
      <c r="P76" s="37"/>
      <c r="Q76" s="37" t="s">
        <v>1104</v>
      </c>
      <c r="R76" s="37"/>
      <c r="S76" s="37" t="s">
        <v>1106</v>
      </c>
      <c r="T76" s="37"/>
      <c r="U76" s="37" t="s">
        <v>1107</v>
      </c>
      <c r="V76" s="37"/>
      <c r="W76" s="37" t="s">
        <v>1108</v>
      </c>
      <c r="X76" s="37"/>
      <c r="Y76" s="37"/>
      <c r="Z76" s="37"/>
      <c r="AA76" s="182"/>
    </row>
    <row r="77">
      <c r="B77" s="37" t="s">
        <v>1109</v>
      </c>
      <c r="C77" s="37" t="s">
        <v>1110</v>
      </c>
      <c r="D77" s="183" t="s">
        <v>1111</v>
      </c>
      <c r="E77" s="181" t="s">
        <v>821</v>
      </c>
      <c r="F77" s="37" t="s">
        <v>967</v>
      </c>
      <c r="G77" s="37" t="s">
        <v>435</v>
      </c>
      <c r="H77" s="37" t="s">
        <v>435</v>
      </c>
      <c r="I77" s="37" t="s">
        <v>435</v>
      </c>
      <c r="J77" s="37" t="s">
        <v>435</v>
      </c>
      <c r="K77" s="37" t="s">
        <v>435</v>
      </c>
      <c r="L77" s="37" t="s">
        <v>435</v>
      </c>
      <c r="M77" s="37" t="s">
        <v>436</v>
      </c>
      <c r="N77" s="37" t="s">
        <v>436</v>
      </c>
      <c r="O77" s="37" t="s">
        <v>436</v>
      </c>
      <c r="P77" s="37" t="s">
        <v>436</v>
      </c>
      <c r="Q77" s="37" t="s">
        <v>436</v>
      </c>
      <c r="R77" s="37" t="s">
        <v>436</v>
      </c>
      <c r="S77" s="37" t="s">
        <v>824</v>
      </c>
      <c r="T77" s="37" t="s">
        <v>436</v>
      </c>
      <c r="U77" s="37" t="s">
        <v>436</v>
      </c>
      <c r="V77" s="37" t="s">
        <v>436</v>
      </c>
      <c r="W77" s="37" t="s">
        <v>436</v>
      </c>
      <c r="X77" s="37" t="s">
        <v>436</v>
      </c>
      <c r="Y77" s="37" t="s">
        <v>436</v>
      </c>
      <c r="Z77" s="37" t="s">
        <v>436</v>
      </c>
      <c r="AA77" s="182"/>
    </row>
    <row r="78">
      <c r="B78" s="37" t="s">
        <v>970</v>
      </c>
      <c r="C78" s="37"/>
      <c r="D78" s="183" t="s">
        <v>1112</v>
      </c>
      <c r="E78" s="181" t="s">
        <v>832</v>
      </c>
      <c r="F78" s="37" t="s">
        <v>833</v>
      </c>
      <c r="G78" s="37" t="s">
        <v>435</v>
      </c>
      <c r="H78" s="37" t="s">
        <v>435</v>
      </c>
      <c r="I78" s="37" t="s">
        <v>435</v>
      </c>
      <c r="J78" s="37" t="s">
        <v>435</v>
      </c>
      <c r="K78" s="37" t="s">
        <v>435</v>
      </c>
      <c r="L78" s="37" t="s">
        <v>435</v>
      </c>
      <c r="M78" s="37" t="s">
        <v>435</v>
      </c>
      <c r="N78" s="37" t="s">
        <v>435</v>
      </c>
      <c r="O78" s="37" t="s">
        <v>435</v>
      </c>
      <c r="P78" s="37" t="s">
        <v>435</v>
      </c>
      <c r="Q78" s="37" t="s">
        <v>435</v>
      </c>
      <c r="R78" s="37" t="s">
        <v>435</v>
      </c>
      <c r="S78" s="37" t="s">
        <v>436</v>
      </c>
      <c r="T78" s="37" t="s">
        <v>436</v>
      </c>
      <c r="U78" s="37" t="s">
        <v>436</v>
      </c>
      <c r="V78" s="37" t="s">
        <v>436</v>
      </c>
      <c r="W78" s="37" t="s">
        <v>436</v>
      </c>
      <c r="X78" s="37" t="s">
        <v>436</v>
      </c>
      <c r="Y78" s="37" t="s">
        <v>437</v>
      </c>
      <c r="Z78" s="37" t="s">
        <v>437</v>
      </c>
      <c r="AA78" s="182"/>
    </row>
    <row r="79">
      <c r="B79" s="37" t="s">
        <v>836</v>
      </c>
      <c r="C79" s="37"/>
      <c r="D79" s="183"/>
      <c r="E79" s="181" t="s">
        <v>837</v>
      </c>
      <c r="F79" s="35"/>
      <c r="G79" s="37" t="s">
        <v>897</v>
      </c>
      <c r="H79" s="37" t="s">
        <v>897</v>
      </c>
      <c r="I79" s="37" t="s">
        <v>897</v>
      </c>
      <c r="J79" s="37" t="s">
        <v>897</v>
      </c>
      <c r="K79" s="37" t="s">
        <v>897</v>
      </c>
      <c r="L79" s="37" t="s">
        <v>897</v>
      </c>
      <c r="M79" s="37" t="s">
        <v>898</v>
      </c>
      <c r="N79" s="37" t="s">
        <v>898</v>
      </c>
      <c r="O79" s="37" t="s">
        <v>898</v>
      </c>
      <c r="P79" s="37" t="s">
        <v>898</v>
      </c>
      <c r="Q79" s="37" t="s">
        <v>841</v>
      </c>
      <c r="R79" s="37" t="s">
        <v>841</v>
      </c>
      <c r="S79" s="37" t="s">
        <v>841</v>
      </c>
      <c r="T79" s="37" t="s">
        <v>841</v>
      </c>
      <c r="U79" s="37" t="s">
        <v>899</v>
      </c>
      <c r="V79" s="37" t="s">
        <v>899</v>
      </c>
      <c r="W79" s="37" t="s">
        <v>899</v>
      </c>
      <c r="X79" s="37" t="s">
        <v>899</v>
      </c>
      <c r="Y79" s="37" t="s">
        <v>899</v>
      </c>
      <c r="Z79" s="37" t="s">
        <v>899</v>
      </c>
      <c r="AA79" s="182"/>
    </row>
    <row r="80">
      <c r="B80" s="37" t="s">
        <v>1063</v>
      </c>
      <c r="C80" s="37" t="s">
        <v>1113</v>
      </c>
      <c r="D80" s="183"/>
      <c r="E80" s="181" t="s">
        <v>637</v>
      </c>
      <c r="F80" s="35"/>
      <c r="G80" s="37" t="s">
        <v>435</v>
      </c>
      <c r="H80" s="37" t="s">
        <v>435</v>
      </c>
      <c r="I80" s="37" t="s">
        <v>435</v>
      </c>
      <c r="J80" s="37" t="s">
        <v>435</v>
      </c>
      <c r="K80" s="37" t="s">
        <v>435</v>
      </c>
      <c r="L80" s="37" t="s">
        <v>435</v>
      </c>
      <c r="M80" s="37" t="s">
        <v>435</v>
      </c>
      <c r="N80" s="37" t="s">
        <v>435</v>
      </c>
      <c r="O80" s="37" t="s">
        <v>436</v>
      </c>
      <c r="P80" s="37" t="s">
        <v>436</v>
      </c>
      <c r="Q80" s="37" t="s">
        <v>436</v>
      </c>
      <c r="R80" s="37" t="s">
        <v>436</v>
      </c>
      <c r="S80" s="37" t="s">
        <v>436</v>
      </c>
      <c r="T80" s="37" t="s">
        <v>436</v>
      </c>
      <c r="U80" s="37" t="s">
        <v>436</v>
      </c>
      <c r="V80" s="37" t="s">
        <v>436</v>
      </c>
      <c r="W80" s="37" t="s">
        <v>436</v>
      </c>
      <c r="X80" s="37" t="s">
        <v>436</v>
      </c>
      <c r="Y80" s="37" t="s">
        <v>436</v>
      </c>
      <c r="Z80" s="37" t="s">
        <v>436</v>
      </c>
      <c r="AA80" s="182"/>
    </row>
    <row r="81">
      <c r="B81" s="37"/>
      <c r="C81" s="37"/>
      <c r="D81" s="183"/>
      <c r="E81" s="181" t="s">
        <v>470</v>
      </c>
      <c r="F81" s="35"/>
      <c r="G81" s="37" t="s">
        <v>435</v>
      </c>
      <c r="H81" s="37" t="s">
        <v>435</v>
      </c>
      <c r="I81" s="37" t="s">
        <v>435</v>
      </c>
      <c r="J81" s="37" t="s">
        <v>435</v>
      </c>
      <c r="K81" s="37" t="s">
        <v>435</v>
      </c>
      <c r="L81" s="37" t="s">
        <v>435</v>
      </c>
      <c r="M81" s="37" t="s">
        <v>435</v>
      </c>
      <c r="N81" s="37" t="s">
        <v>435</v>
      </c>
      <c r="O81" s="37" t="s">
        <v>436</v>
      </c>
      <c r="P81" s="37" t="s">
        <v>436</v>
      </c>
      <c r="Q81" s="37" t="s">
        <v>436</v>
      </c>
      <c r="R81" s="37" t="s">
        <v>436</v>
      </c>
      <c r="S81" s="37" t="s">
        <v>436</v>
      </c>
      <c r="T81" s="37" t="s">
        <v>436</v>
      </c>
      <c r="U81" s="37" t="s">
        <v>436</v>
      </c>
      <c r="V81" s="37" t="s">
        <v>436</v>
      </c>
      <c r="W81" s="37" t="s">
        <v>437</v>
      </c>
      <c r="X81" s="37" t="s">
        <v>437</v>
      </c>
      <c r="Y81" s="37" t="s">
        <v>437</v>
      </c>
      <c r="Z81" s="37" t="s">
        <v>437</v>
      </c>
      <c r="AA81" s="182"/>
    </row>
    <row r="82">
      <c r="B82" s="37"/>
      <c r="C82" s="37"/>
      <c r="D82" s="183" t="s">
        <v>1114</v>
      </c>
      <c r="E82" s="181" t="s">
        <v>1115</v>
      </c>
      <c r="F82" s="195" t="s">
        <v>1116</v>
      </c>
      <c r="G82" s="37">
        <v>5.0</v>
      </c>
      <c r="H82" s="37">
        <v>6.0</v>
      </c>
      <c r="I82" s="37">
        <v>7.0</v>
      </c>
      <c r="J82" s="37">
        <v>8.0</v>
      </c>
      <c r="K82" s="37" t="s">
        <v>1117</v>
      </c>
      <c r="L82" s="37" t="s">
        <v>1118</v>
      </c>
      <c r="M82" s="37" t="s">
        <v>1119</v>
      </c>
      <c r="N82" s="37" t="s">
        <v>1120</v>
      </c>
      <c r="O82" s="37" t="s">
        <v>1121</v>
      </c>
      <c r="P82" s="37" t="s">
        <v>1122</v>
      </c>
      <c r="Q82" s="37" t="s">
        <v>1123</v>
      </c>
      <c r="R82" s="37" t="s">
        <v>1124</v>
      </c>
      <c r="S82" s="37" t="s">
        <v>1125</v>
      </c>
      <c r="T82" s="37" t="s">
        <v>1126</v>
      </c>
      <c r="U82" s="37" t="s">
        <v>1127</v>
      </c>
      <c r="V82" s="37" t="s">
        <v>1128</v>
      </c>
      <c r="W82" s="37" t="s">
        <v>1129</v>
      </c>
      <c r="X82" s="37" t="s">
        <v>1130</v>
      </c>
      <c r="Y82" s="37" t="s">
        <v>1131</v>
      </c>
      <c r="Z82" s="37" t="s">
        <v>1132</v>
      </c>
      <c r="AA82" s="182"/>
    </row>
    <row r="83">
      <c r="B83" s="184"/>
      <c r="C83" s="184"/>
      <c r="D83" s="185"/>
      <c r="E83" s="186" t="s">
        <v>1092</v>
      </c>
      <c r="F83" s="187"/>
      <c r="G83" s="184">
        <v>8.0</v>
      </c>
      <c r="H83" s="184">
        <v>10.0</v>
      </c>
      <c r="I83" s="184">
        <v>12.0</v>
      </c>
      <c r="J83" s="184">
        <v>14.0</v>
      </c>
      <c r="K83" s="184">
        <v>16.0</v>
      </c>
      <c r="L83" s="184">
        <v>18.0</v>
      </c>
      <c r="M83" s="184">
        <v>22.0</v>
      </c>
      <c r="N83" s="184">
        <v>24.0</v>
      </c>
      <c r="O83" s="184">
        <v>26.0</v>
      </c>
      <c r="P83" s="184">
        <v>28.0</v>
      </c>
      <c r="Q83" s="184">
        <v>32.0</v>
      </c>
      <c r="R83" s="184">
        <v>34.0</v>
      </c>
      <c r="S83" s="184">
        <v>36.0</v>
      </c>
      <c r="T83" s="184">
        <v>38.0</v>
      </c>
      <c r="U83" s="184">
        <v>40.0</v>
      </c>
      <c r="V83" s="184">
        <v>42.0</v>
      </c>
      <c r="W83" s="184">
        <v>46.0</v>
      </c>
      <c r="X83" s="184">
        <v>48.0</v>
      </c>
      <c r="Y83" s="184">
        <v>50.0</v>
      </c>
      <c r="Z83" s="184">
        <v>52.0</v>
      </c>
      <c r="AA83" s="192"/>
    </row>
    <row r="84">
      <c r="A84" s="180" t="s">
        <v>199</v>
      </c>
      <c r="B84" s="37" t="s">
        <v>421</v>
      </c>
      <c r="C84" s="35"/>
      <c r="D84" s="188"/>
      <c r="E84" s="181" t="s">
        <v>799</v>
      </c>
      <c r="F84" s="35"/>
      <c r="G84" s="35"/>
      <c r="H84" s="35"/>
      <c r="I84" s="35"/>
      <c r="J84" s="35"/>
      <c r="K84" s="35"/>
      <c r="L84" s="35"/>
      <c r="M84" s="37" t="s">
        <v>1134</v>
      </c>
      <c r="N84" s="35"/>
      <c r="O84" s="35"/>
      <c r="P84" s="35"/>
      <c r="Q84" s="37" t="s">
        <v>1134</v>
      </c>
      <c r="R84" s="35"/>
      <c r="S84" s="37" t="s">
        <v>1134</v>
      </c>
      <c r="T84" s="35"/>
      <c r="U84" s="35"/>
      <c r="V84" s="35"/>
      <c r="W84" s="35"/>
      <c r="X84" s="35"/>
      <c r="Y84" s="37" t="s">
        <v>1135</v>
      </c>
      <c r="Z84" s="35"/>
      <c r="AA84" s="182"/>
    </row>
    <row r="85">
      <c r="B85" s="90" t="s">
        <v>1136</v>
      </c>
      <c r="C85" s="37"/>
      <c r="D85" s="188"/>
      <c r="E85" s="181" t="s">
        <v>811</v>
      </c>
      <c r="F85" s="37"/>
      <c r="G85" s="37"/>
      <c r="H85" s="37"/>
      <c r="I85" s="37"/>
      <c r="J85" s="37"/>
      <c r="K85" s="37"/>
      <c r="L85" s="37"/>
      <c r="M85" s="37" t="s">
        <v>1137</v>
      </c>
      <c r="N85" s="37"/>
      <c r="O85" s="37"/>
      <c r="P85" s="37"/>
      <c r="Q85" s="37" t="s">
        <v>1138</v>
      </c>
      <c r="R85" s="37"/>
      <c r="S85" s="37" t="s">
        <v>1138</v>
      </c>
      <c r="T85" s="37"/>
      <c r="U85" s="37"/>
      <c r="V85" s="37"/>
      <c r="W85" s="37"/>
      <c r="X85" s="37"/>
      <c r="Y85" s="37" t="s">
        <v>1139</v>
      </c>
      <c r="Z85" s="37"/>
      <c r="AA85" s="182"/>
    </row>
    <row r="86">
      <c r="B86" s="37" t="s">
        <v>1140</v>
      </c>
      <c r="C86" s="35"/>
      <c r="D86" s="183" t="s">
        <v>1141</v>
      </c>
      <c r="E86" s="181" t="s">
        <v>821</v>
      </c>
      <c r="F86" s="37" t="s">
        <v>822</v>
      </c>
      <c r="G86" s="37" t="s">
        <v>435</v>
      </c>
      <c r="H86" s="37" t="s">
        <v>435</v>
      </c>
      <c r="I86" s="37" t="s">
        <v>435</v>
      </c>
      <c r="J86" s="37" t="s">
        <v>435</v>
      </c>
      <c r="K86" s="37" t="s">
        <v>436</v>
      </c>
      <c r="L86" s="37" t="s">
        <v>436</v>
      </c>
      <c r="M86" s="37" t="s">
        <v>824</v>
      </c>
      <c r="N86" s="37" t="s">
        <v>436</v>
      </c>
      <c r="O86" s="37" t="s">
        <v>436</v>
      </c>
      <c r="P86" s="37" t="s">
        <v>436</v>
      </c>
      <c r="Q86" s="37" t="s">
        <v>436</v>
      </c>
      <c r="R86" s="37" t="s">
        <v>436</v>
      </c>
      <c r="S86" s="37" t="s">
        <v>437</v>
      </c>
      <c r="T86" s="37" t="s">
        <v>437</v>
      </c>
      <c r="U86" s="37" t="s">
        <v>828</v>
      </c>
      <c r="V86" s="37" t="s">
        <v>437</v>
      </c>
      <c r="W86" s="37" t="s">
        <v>437</v>
      </c>
      <c r="X86" s="37" t="s">
        <v>437</v>
      </c>
      <c r="Y86" s="37" t="s">
        <v>437</v>
      </c>
      <c r="Z86" s="37" t="s">
        <v>437</v>
      </c>
      <c r="AA86" s="182"/>
    </row>
    <row r="87">
      <c r="B87" s="37" t="s">
        <v>970</v>
      </c>
      <c r="C87" s="37"/>
      <c r="D87" s="183"/>
      <c r="E87" s="181" t="s">
        <v>832</v>
      </c>
      <c r="F87" s="37" t="s">
        <v>833</v>
      </c>
      <c r="G87" s="37" t="s">
        <v>435</v>
      </c>
      <c r="H87" s="37" t="s">
        <v>435</v>
      </c>
      <c r="I87" s="37" t="s">
        <v>435</v>
      </c>
      <c r="J87" s="37" t="s">
        <v>435</v>
      </c>
      <c r="K87" s="37" t="s">
        <v>435</v>
      </c>
      <c r="L87" s="37" t="s">
        <v>435</v>
      </c>
      <c r="M87" s="37" t="s">
        <v>435</v>
      </c>
      <c r="N87" s="37" t="s">
        <v>435</v>
      </c>
      <c r="O87" s="37" t="s">
        <v>435</v>
      </c>
      <c r="P87" s="37" t="s">
        <v>435</v>
      </c>
      <c r="Q87" s="37" t="s">
        <v>436</v>
      </c>
      <c r="R87" s="37" t="s">
        <v>436</v>
      </c>
      <c r="S87" s="37" t="s">
        <v>436</v>
      </c>
      <c r="T87" s="37" t="s">
        <v>436</v>
      </c>
      <c r="U87" s="37" t="s">
        <v>436</v>
      </c>
      <c r="V87" s="37" t="s">
        <v>436</v>
      </c>
      <c r="W87" s="37" t="s">
        <v>437</v>
      </c>
      <c r="X87" s="37" t="s">
        <v>437</v>
      </c>
      <c r="Y87" s="37" t="s">
        <v>437</v>
      </c>
      <c r="Z87" s="37" t="s">
        <v>437</v>
      </c>
      <c r="AA87" s="182"/>
    </row>
    <row r="88">
      <c r="B88" s="37" t="s">
        <v>1142</v>
      </c>
      <c r="C88" s="37"/>
      <c r="D88" s="183"/>
      <c r="E88" s="181" t="s">
        <v>837</v>
      </c>
      <c r="F88" s="35"/>
      <c r="G88" s="37" t="s">
        <v>838</v>
      </c>
      <c r="H88" s="37" t="s">
        <v>838</v>
      </c>
      <c r="I88" s="37" t="s">
        <v>838</v>
      </c>
      <c r="J88" s="37" t="s">
        <v>838</v>
      </c>
      <c r="K88" s="37" t="s">
        <v>898</v>
      </c>
      <c r="L88" s="37" t="s">
        <v>898</v>
      </c>
      <c r="M88" s="37" t="s">
        <v>898</v>
      </c>
      <c r="N88" s="37" t="s">
        <v>898</v>
      </c>
      <c r="O88" s="37" t="s">
        <v>1062</v>
      </c>
      <c r="P88" s="37" t="s">
        <v>1062</v>
      </c>
      <c r="Q88" s="37" t="s">
        <v>1062</v>
      </c>
      <c r="R88" s="37" t="s">
        <v>1062</v>
      </c>
      <c r="S88" s="37" t="s">
        <v>1062</v>
      </c>
      <c r="T88" s="37" t="s">
        <v>1062</v>
      </c>
      <c r="U88" s="37" t="s">
        <v>864</v>
      </c>
      <c r="V88" s="37" t="s">
        <v>864</v>
      </c>
      <c r="W88" s="37" t="s">
        <v>864</v>
      </c>
      <c r="X88" s="37" t="s">
        <v>864</v>
      </c>
      <c r="Y88" s="37" t="s">
        <v>864</v>
      </c>
      <c r="Z88" s="37" t="s">
        <v>864</v>
      </c>
      <c r="AA88" s="182"/>
    </row>
    <row r="89">
      <c r="B89" s="37" t="s">
        <v>1143</v>
      </c>
      <c r="C89" s="35"/>
      <c r="D89" s="183"/>
      <c r="E89" s="181" t="s">
        <v>637</v>
      </c>
      <c r="F89" s="35"/>
      <c r="G89" s="37" t="s">
        <v>435</v>
      </c>
      <c r="H89" s="37" t="s">
        <v>435</v>
      </c>
      <c r="I89" s="37" t="s">
        <v>435</v>
      </c>
      <c r="J89" s="37" t="s">
        <v>435</v>
      </c>
      <c r="K89" s="37" t="s">
        <v>435</v>
      </c>
      <c r="L89" s="37" t="s">
        <v>435</v>
      </c>
      <c r="M89" s="37" t="s">
        <v>435</v>
      </c>
      <c r="N89" s="37" t="s">
        <v>435</v>
      </c>
      <c r="O89" s="37" t="s">
        <v>436</v>
      </c>
      <c r="P89" s="37" t="s">
        <v>436</v>
      </c>
      <c r="Q89" s="37" t="s">
        <v>436</v>
      </c>
      <c r="R89" s="37" t="s">
        <v>436</v>
      </c>
      <c r="S89" s="37" t="s">
        <v>436</v>
      </c>
      <c r="T89" s="37" t="s">
        <v>436</v>
      </c>
      <c r="U89" s="37" t="s">
        <v>436</v>
      </c>
      <c r="V89" s="37" t="s">
        <v>436</v>
      </c>
      <c r="W89" s="37" t="s">
        <v>436</v>
      </c>
      <c r="X89" s="37" t="s">
        <v>436</v>
      </c>
      <c r="Y89" s="37" t="s">
        <v>436</v>
      </c>
      <c r="Z89" s="37" t="s">
        <v>436</v>
      </c>
      <c r="AA89" s="182"/>
    </row>
    <row r="90">
      <c r="B90" s="37" t="s">
        <v>1145</v>
      </c>
      <c r="C90" s="37" t="s">
        <v>1146</v>
      </c>
      <c r="D90" s="183"/>
      <c r="E90" s="181" t="s">
        <v>480</v>
      </c>
      <c r="F90" s="35"/>
      <c r="G90" s="37" t="s">
        <v>435</v>
      </c>
      <c r="H90" s="37" t="s">
        <v>435</v>
      </c>
      <c r="I90" s="37" t="s">
        <v>435</v>
      </c>
      <c r="J90" s="37" t="s">
        <v>435</v>
      </c>
      <c r="K90" s="37" t="s">
        <v>435</v>
      </c>
      <c r="L90" s="37" t="s">
        <v>435</v>
      </c>
      <c r="M90" s="37" t="s">
        <v>435</v>
      </c>
      <c r="N90" s="37" t="s">
        <v>435</v>
      </c>
      <c r="O90" s="37" t="s">
        <v>436</v>
      </c>
      <c r="P90" s="37" t="s">
        <v>436</v>
      </c>
      <c r="Q90" s="37" t="s">
        <v>436</v>
      </c>
      <c r="R90" s="37" t="s">
        <v>436</v>
      </c>
      <c r="S90" s="37" t="s">
        <v>436</v>
      </c>
      <c r="T90" s="37" t="s">
        <v>436</v>
      </c>
      <c r="U90" s="37" t="s">
        <v>436</v>
      </c>
      <c r="V90" s="37" t="s">
        <v>436</v>
      </c>
      <c r="W90" s="37" t="s">
        <v>437</v>
      </c>
      <c r="X90" s="37" t="s">
        <v>437</v>
      </c>
      <c r="Y90" s="37" t="s">
        <v>437</v>
      </c>
      <c r="Z90" s="37" t="s">
        <v>437</v>
      </c>
      <c r="AA90" s="182"/>
    </row>
    <row r="91">
      <c r="B91" s="37"/>
      <c r="C91" s="37" t="s">
        <v>1149</v>
      </c>
      <c r="D91" s="183"/>
      <c r="E91" s="181" t="s">
        <v>1150</v>
      </c>
      <c r="F91" s="37" t="s">
        <v>1151</v>
      </c>
      <c r="G91" s="37">
        <v>1.0</v>
      </c>
      <c r="H91" s="37">
        <v>2.0</v>
      </c>
      <c r="I91" s="37">
        <v>3.0</v>
      </c>
      <c r="J91" s="37">
        <v>4.0</v>
      </c>
      <c r="K91" s="37">
        <v>4.0</v>
      </c>
      <c r="L91" s="37">
        <v>4.0</v>
      </c>
      <c r="M91" s="37">
        <v>6.0</v>
      </c>
      <c r="N91" s="37">
        <v>6.0</v>
      </c>
      <c r="O91" s="37">
        <v>6.0</v>
      </c>
      <c r="P91" s="37">
        <v>6.0</v>
      </c>
      <c r="Q91" s="37">
        <v>6.0</v>
      </c>
      <c r="R91" s="37">
        <v>6.0</v>
      </c>
      <c r="S91" s="37">
        <v>6.0</v>
      </c>
      <c r="T91" s="37">
        <v>6.0</v>
      </c>
      <c r="U91" s="37">
        <v>6.0</v>
      </c>
      <c r="V91" s="37">
        <v>6.0</v>
      </c>
      <c r="W91" s="37">
        <v>6.0</v>
      </c>
      <c r="X91" s="37">
        <v>6.0</v>
      </c>
      <c r="Y91" s="37">
        <v>6.0</v>
      </c>
      <c r="Z91" s="37">
        <v>6.0</v>
      </c>
      <c r="AA91" s="182"/>
    </row>
    <row r="92">
      <c r="B92" s="184"/>
      <c r="C92" s="184"/>
      <c r="D92" s="185" t="s">
        <v>1152</v>
      </c>
      <c r="E92" s="186" t="s">
        <v>1153</v>
      </c>
      <c r="F92" s="184" t="s">
        <v>1154</v>
      </c>
      <c r="G92" s="184">
        <v>4.0</v>
      </c>
      <c r="H92" s="184">
        <v>6.0</v>
      </c>
      <c r="I92" s="184">
        <v>8.0</v>
      </c>
      <c r="J92" s="184">
        <v>10.0</v>
      </c>
      <c r="K92" s="184">
        <v>12.0</v>
      </c>
      <c r="L92" s="184">
        <v>14.0</v>
      </c>
      <c r="M92" s="184">
        <v>20.0</v>
      </c>
      <c r="N92" s="184">
        <v>22.0</v>
      </c>
      <c r="O92" s="184">
        <v>24.0</v>
      </c>
      <c r="P92" s="184">
        <v>26.0</v>
      </c>
      <c r="Q92" s="184">
        <v>30.0</v>
      </c>
      <c r="R92" s="184">
        <v>32.0</v>
      </c>
      <c r="S92" s="184">
        <v>34.0</v>
      </c>
      <c r="T92" s="184">
        <v>36.0</v>
      </c>
      <c r="U92" s="184">
        <v>38.0</v>
      </c>
      <c r="V92" s="184">
        <v>40.0</v>
      </c>
      <c r="W92" s="184">
        <v>46.0</v>
      </c>
      <c r="X92" s="184">
        <v>48.0</v>
      </c>
      <c r="Y92" s="184">
        <v>50.0</v>
      </c>
      <c r="Z92" s="184">
        <v>52.0</v>
      </c>
      <c r="AA92" s="192"/>
    </row>
    <row r="93">
      <c r="A93" s="180" t="s">
        <v>231</v>
      </c>
      <c r="B93" s="37" t="s">
        <v>262</v>
      </c>
      <c r="C93" s="37"/>
      <c r="D93" s="183"/>
      <c r="E93" s="181" t="s">
        <v>799</v>
      </c>
      <c r="F93" s="35"/>
      <c r="G93" s="35"/>
      <c r="H93" s="35"/>
      <c r="I93" s="35"/>
      <c r="J93" s="35"/>
      <c r="K93" s="35"/>
      <c r="L93" s="37" t="s">
        <v>1155</v>
      </c>
      <c r="M93" s="35"/>
      <c r="N93" s="35"/>
      <c r="O93" s="35"/>
      <c r="P93" s="35"/>
      <c r="Q93" s="35"/>
      <c r="R93" s="37" t="s">
        <v>1155</v>
      </c>
      <c r="S93" s="35"/>
      <c r="T93" s="35"/>
      <c r="U93" s="35"/>
      <c r="V93" s="35"/>
      <c r="W93" s="35"/>
      <c r="X93" s="37" t="s">
        <v>1155</v>
      </c>
      <c r="Y93" s="37" t="s">
        <v>1156</v>
      </c>
      <c r="Z93" s="35"/>
      <c r="AA93" s="182"/>
    </row>
    <row r="94">
      <c r="B94" s="90" t="s">
        <v>1157</v>
      </c>
      <c r="D94" s="37" t="s">
        <v>1158</v>
      </c>
      <c r="E94" s="181" t="s">
        <v>811</v>
      </c>
      <c r="F94" s="35"/>
      <c r="G94" s="35"/>
      <c r="H94" s="35"/>
      <c r="I94" s="35"/>
      <c r="J94" s="35"/>
      <c r="K94" s="35"/>
      <c r="L94" s="37" t="s">
        <v>1159</v>
      </c>
      <c r="M94" s="35"/>
      <c r="N94" s="35"/>
      <c r="O94" s="35"/>
      <c r="P94" s="35"/>
      <c r="Q94" s="35"/>
      <c r="R94" s="37" t="s">
        <v>1159</v>
      </c>
      <c r="S94" s="35"/>
      <c r="T94" s="35"/>
      <c r="U94" s="35"/>
      <c r="V94" s="35"/>
      <c r="W94" s="35"/>
      <c r="X94" s="37" t="s">
        <v>1159</v>
      </c>
      <c r="Y94" s="37" t="s">
        <v>1160</v>
      </c>
      <c r="Z94" s="35"/>
      <c r="AA94" s="182"/>
    </row>
    <row r="95">
      <c r="B95" s="12" t="s">
        <v>1161</v>
      </c>
      <c r="C95" s="37"/>
      <c r="D95" s="183"/>
      <c r="E95" s="181" t="s">
        <v>821</v>
      </c>
      <c r="F95" s="37" t="s">
        <v>921</v>
      </c>
      <c r="G95" s="37" t="s">
        <v>435</v>
      </c>
      <c r="H95" s="37" t="s">
        <v>435</v>
      </c>
      <c r="I95" s="37" t="s">
        <v>435</v>
      </c>
      <c r="J95" s="37" t="s">
        <v>435</v>
      </c>
      <c r="K95" s="37" t="s">
        <v>435</v>
      </c>
      <c r="L95" s="37" t="s">
        <v>435</v>
      </c>
      <c r="M95" s="37" t="s">
        <v>435</v>
      </c>
      <c r="N95" s="37" t="s">
        <v>435</v>
      </c>
      <c r="O95" s="37" t="s">
        <v>435</v>
      </c>
      <c r="P95" s="37" t="s">
        <v>435</v>
      </c>
      <c r="Q95" s="37" t="s">
        <v>436</v>
      </c>
      <c r="R95" s="37" t="s">
        <v>436</v>
      </c>
      <c r="S95" s="37" t="s">
        <v>824</v>
      </c>
      <c r="T95" s="37" t="s">
        <v>436</v>
      </c>
      <c r="U95" s="37" t="s">
        <v>436</v>
      </c>
      <c r="V95" s="37" t="s">
        <v>436</v>
      </c>
      <c r="W95" s="37" t="s">
        <v>436</v>
      </c>
      <c r="X95" s="37" t="s">
        <v>436</v>
      </c>
      <c r="Y95" s="37" t="s">
        <v>436</v>
      </c>
      <c r="Z95" s="37" t="s">
        <v>436</v>
      </c>
      <c r="AA95" s="182"/>
    </row>
    <row r="96">
      <c r="B96" s="37" t="s">
        <v>1162</v>
      </c>
      <c r="C96" s="37"/>
      <c r="D96" s="183"/>
      <c r="E96" s="181" t="s">
        <v>832</v>
      </c>
      <c r="F96" s="37" t="s">
        <v>434</v>
      </c>
      <c r="G96" s="37" t="s">
        <v>435</v>
      </c>
      <c r="H96" s="37" t="s">
        <v>435</v>
      </c>
      <c r="I96" s="37" t="s">
        <v>435</v>
      </c>
      <c r="J96" s="37" t="s">
        <v>435</v>
      </c>
      <c r="K96" s="37" t="s">
        <v>435</v>
      </c>
      <c r="L96" s="37" t="s">
        <v>435</v>
      </c>
      <c r="M96" s="37" t="s">
        <v>435</v>
      </c>
      <c r="N96" s="37" t="s">
        <v>435</v>
      </c>
      <c r="O96" s="37" t="s">
        <v>435</v>
      </c>
      <c r="P96" s="37" t="s">
        <v>435</v>
      </c>
      <c r="Q96" s="37" t="s">
        <v>435</v>
      </c>
      <c r="R96" s="37" t="s">
        <v>435</v>
      </c>
      <c r="S96" s="37" t="s">
        <v>436</v>
      </c>
      <c r="T96" s="37" t="s">
        <v>436</v>
      </c>
      <c r="U96" s="37" t="s">
        <v>436</v>
      </c>
      <c r="V96" s="37" t="s">
        <v>436</v>
      </c>
      <c r="W96" s="37" t="s">
        <v>436</v>
      </c>
      <c r="X96" s="37" t="s">
        <v>436</v>
      </c>
      <c r="Y96" s="37" t="s">
        <v>436</v>
      </c>
      <c r="Z96" s="37" t="s">
        <v>436</v>
      </c>
      <c r="AA96" s="182"/>
    </row>
    <row r="97">
      <c r="B97" s="37" t="s">
        <v>1142</v>
      </c>
      <c r="C97" s="37"/>
      <c r="D97" s="183"/>
      <c r="E97" s="181" t="s">
        <v>837</v>
      </c>
      <c r="F97" s="35"/>
      <c r="G97" s="37" t="s">
        <v>1163</v>
      </c>
      <c r="H97" s="37" t="s">
        <v>1163</v>
      </c>
      <c r="I97" s="37" t="s">
        <v>1163</v>
      </c>
      <c r="J97" s="37" t="s">
        <v>1163</v>
      </c>
      <c r="K97" s="37" t="s">
        <v>838</v>
      </c>
      <c r="L97" s="37" t="s">
        <v>838</v>
      </c>
      <c r="M97" s="37" t="s">
        <v>838</v>
      </c>
      <c r="N97" s="37" t="s">
        <v>838</v>
      </c>
      <c r="O97" s="37" t="s">
        <v>898</v>
      </c>
      <c r="P97" s="37" t="s">
        <v>898</v>
      </c>
      <c r="Q97" s="37" t="s">
        <v>898</v>
      </c>
      <c r="R97" s="37" t="s">
        <v>898</v>
      </c>
      <c r="S97" s="37" t="s">
        <v>898</v>
      </c>
      <c r="T97" s="37" t="s">
        <v>898</v>
      </c>
      <c r="U97" s="37" t="s">
        <v>898</v>
      </c>
      <c r="V97" s="37" t="s">
        <v>898</v>
      </c>
      <c r="W97" s="37" t="s">
        <v>1062</v>
      </c>
      <c r="X97" s="37" t="s">
        <v>1062</v>
      </c>
      <c r="Y97" s="37" t="s">
        <v>1062</v>
      </c>
      <c r="Z97" s="37" t="s">
        <v>1062</v>
      </c>
      <c r="AA97" s="182"/>
    </row>
    <row r="98">
      <c r="B98" s="37" t="s">
        <v>1006</v>
      </c>
      <c r="C98" s="37"/>
      <c r="D98" s="183"/>
      <c r="E98" s="181" t="s">
        <v>637</v>
      </c>
      <c r="F98" s="35"/>
      <c r="G98" s="37" t="s">
        <v>435</v>
      </c>
      <c r="H98" s="37" t="s">
        <v>435</v>
      </c>
      <c r="I98" s="37" t="s">
        <v>435</v>
      </c>
      <c r="J98" s="37" t="s">
        <v>435</v>
      </c>
      <c r="K98" s="37" t="s">
        <v>435</v>
      </c>
      <c r="L98" s="37" t="s">
        <v>435</v>
      </c>
      <c r="M98" s="37" t="s">
        <v>435</v>
      </c>
      <c r="N98" s="37" t="s">
        <v>435</v>
      </c>
      <c r="O98" s="37" t="s">
        <v>435</v>
      </c>
      <c r="P98" s="37" t="s">
        <v>435</v>
      </c>
      <c r="Q98" s="37" t="s">
        <v>436</v>
      </c>
      <c r="R98" s="37" t="s">
        <v>436</v>
      </c>
      <c r="S98" s="37" t="s">
        <v>436</v>
      </c>
      <c r="T98" s="37" t="s">
        <v>436</v>
      </c>
      <c r="U98" s="37" t="s">
        <v>436</v>
      </c>
      <c r="V98" s="37" t="s">
        <v>436</v>
      </c>
      <c r="W98" s="37" t="s">
        <v>436</v>
      </c>
      <c r="X98" s="37" t="s">
        <v>436</v>
      </c>
      <c r="Y98" s="37" t="s">
        <v>436</v>
      </c>
      <c r="Z98" s="37" t="s">
        <v>436</v>
      </c>
      <c r="AA98" s="182"/>
    </row>
    <row r="99">
      <c r="B99" s="37" t="s">
        <v>1164</v>
      </c>
      <c r="C99" s="37" t="s">
        <v>1165</v>
      </c>
      <c r="D99" s="37" t="s">
        <v>1166</v>
      </c>
      <c r="E99" s="181" t="s">
        <v>480</v>
      </c>
      <c r="F99" s="35"/>
      <c r="G99" s="37" t="s">
        <v>435</v>
      </c>
      <c r="H99" s="37" t="s">
        <v>435</v>
      </c>
      <c r="I99" s="37" t="s">
        <v>435</v>
      </c>
      <c r="J99" s="37" t="s">
        <v>435</v>
      </c>
      <c r="K99" s="37" t="s">
        <v>435</v>
      </c>
      <c r="L99" s="37" t="s">
        <v>435</v>
      </c>
      <c r="M99" s="37" t="s">
        <v>436</v>
      </c>
      <c r="N99" s="37" t="s">
        <v>436</v>
      </c>
      <c r="O99" s="37" t="s">
        <v>436</v>
      </c>
      <c r="P99" s="37" t="s">
        <v>436</v>
      </c>
      <c r="Q99" s="37" t="s">
        <v>436</v>
      </c>
      <c r="R99" s="37" t="s">
        <v>436</v>
      </c>
      <c r="S99" s="37" t="s">
        <v>436</v>
      </c>
      <c r="T99" s="37" t="s">
        <v>436</v>
      </c>
      <c r="U99" s="37" t="s">
        <v>437</v>
      </c>
      <c r="V99" s="37" t="s">
        <v>437</v>
      </c>
      <c r="W99" s="37" t="s">
        <v>437</v>
      </c>
      <c r="X99" s="37" t="s">
        <v>437</v>
      </c>
      <c r="Y99" s="37" t="s">
        <v>466</v>
      </c>
      <c r="Z99" s="37" t="s">
        <v>466</v>
      </c>
      <c r="AA99" s="182"/>
    </row>
    <row r="100">
      <c r="B100" s="37"/>
      <c r="C100" s="12" t="s">
        <v>1167</v>
      </c>
      <c r="D100" s="183" t="s">
        <v>1168</v>
      </c>
      <c r="E100" s="181" t="s">
        <v>1150</v>
      </c>
      <c r="F100" s="37" t="s">
        <v>1169</v>
      </c>
      <c r="G100" s="37">
        <v>2.0</v>
      </c>
      <c r="H100" s="37">
        <v>3.0</v>
      </c>
      <c r="I100" s="37">
        <v>5.0</v>
      </c>
      <c r="J100" s="37">
        <v>6.0</v>
      </c>
      <c r="K100" s="37">
        <v>8.0</v>
      </c>
      <c r="L100" s="37">
        <v>9.0</v>
      </c>
      <c r="M100" s="37">
        <v>11.0</v>
      </c>
      <c r="N100" s="37">
        <v>12.0</v>
      </c>
      <c r="O100" s="37">
        <v>14.0</v>
      </c>
      <c r="P100" s="37">
        <v>15.0</v>
      </c>
      <c r="Q100" s="37">
        <v>17.0</v>
      </c>
      <c r="R100" s="37">
        <v>18.0</v>
      </c>
      <c r="S100" s="37">
        <v>20.0</v>
      </c>
      <c r="T100" s="37">
        <v>21.0</v>
      </c>
      <c r="U100" s="37">
        <v>23.0</v>
      </c>
      <c r="V100" s="37">
        <v>24.0</v>
      </c>
      <c r="W100" s="37">
        <v>26.0</v>
      </c>
      <c r="X100" s="37">
        <v>27.0</v>
      </c>
      <c r="Y100" s="37">
        <v>28.0</v>
      </c>
      <c r="Z100" s="37">
        <v>28.0</v>
      </c>
      <c r="AA100" s="182"/>
    </row>
    <row r="101">
      <c r="B101" s="184"/>
      <c r="C101" s="184"/>
      <c r="D101" s="185" t="s">
        <v>1170</v>
      </c>
      <c r="E101" s="186" t="s">
        <v>1171</v>
      </c>
      <c r="F101" s="184" t="s">
        <v>1172</v>
      </c>
      <c r="G101" s="184">
        <v>6.0</v>
      </c>
      <c r="H101" s="184">
        <v>8.0</v>
      </c>
      <c r="I101" s="184">
        <v>10.0</v>
      </c>
      <c r="J101" s="184">
        <v>12.0</v>
      </c>
      <c r="K101" s="184">
        <v>14.0</v>
      </c>
      <c r="L101" s="184">
        <v>16.0</v>
      </c>
      <c r="M101" s="184">
        <v>18.0</v>
      </c>
      <c r="N101" s="184">
        <v>20.0</v>
      </c>
      <c r="O101" s="184">
        <v>22.0</v>
      </c>
      <c r="P101" s="184">
        <v>24.0</v>
      </c>
      <c r="Q101" s="184">
        <v>26.0</v>
      </c>
      <c r="R101" s="184">
        <v>28.0</v>
      </c>
      <c r="S101" s="184">
        <v>30.0</v>
      </c>
      <c r="T101" s="184">
        <v>32.0</v>
      </c>
      <c r="U101" s="184">
        <v>34.0</v>
      </c>
      <c r="V101" s="184">
        <v>36.0</v>
      </c>
      <c r="W101" s="184">
        <v>38.0</v>
      </c>
      <c r="X101" s="184">
        <v>40.0</v>
      </c>
      <c r="Y101" s="184">
        <v>42.0</v>
      </c>
      <c r="Z101" s="184">
        <v>44.0</v>
      </c>
      <c r="AA101" s="192"/>
    </row>
    <row r="102">
      <c r="A102" s="180" t="s">
        <v>229</v>
      </c>
      <c r="B102" s="37" t="s">
        <v>262</v>
      </c>
      <c r="C102" s="37"/>
      <c r="D102" s="183"/>
      <c r="E102" s="181" t="s">
        <v>799</v>
      </c>
      <c r="F102" s="35"/>
      <c r="G102" s="35"/>
      <c r="H102" s="35"/>
      <c r="I102" s="35"/>
      <c r="J102" s="35"/>
      <c r="K102" s="35"/>
      <c r="L102" s="35"/>
      <c r="M102" s="35"/>
      <c r="N102" s="35"/>
      <c r="O102" s="35"/>
      <c r="P102" s="35"/>
      <c r="Q102" s="35"/>
      <c r="R102" s="35"/>
      <c r="S102" s="35"/>
      <c r="T102" s="35"/>
      <c r="U102" s="35"/>
      <c r="V102" s="35"/>
      <c r="W102" s="35"/>
      <c r="X102" s="35"/>
      <c r="Y102" s="37" t="s">
        <v>1173</v>
      </c>
      <c r="Z102" s="35"/>
      <c r="AA102" s="182"/>
    </row>
    <row r="103">
      <c r="B103" s="90" t="s">
        <v>1174</v>
      </c>
      <c r="C103" s="37" t="s">
        <v>1175</v>
      </c>
      <c r="D103" s="183"/>
      <c r="E103" s="181" t="s">
        <v>811</v>
      </c>
      <c r="F103" s="35"/>
      <c r="G103" s="35"/>
      <c r="H103" s="35"/>
      <c r="I103" s="35"/>
      <c r="J103" s="35"/>
      <c r="K103" s="35"/>
      <c r="L103" s="35"/>
      <c r="M103" s="35"/>
      <c r="N103" s="35"/>
      <c r="O103" s="35"/>
      <c r="P103" s="35"/>
      <c r="Q103" s="35"/>
      <c r="R103" s="35"/>
      <c r="S103" s="35"/>
      <c r="T103" s="35"/>
      <c r="U103" s="35"/>
      <c r="V103" s="35"/>
      <c r="W103" s="35"/>
      <c r="X103" s="35"/>
      <c r="Y103" s="37" t="s">
        <v>1160</v>
      </c>
      <c r="Z103" s="35"/>
      <c r="AA103" s="182"/>
    </row>
    <row r="104">
      <c r="B104" s="37" t="s">
        <v>1176</v>
      </c>
      <c r="C104" s="37"/>
      <c r="D104" s="183"/>
      <c r="E104" s="181" t="s">
        <v>821</v>
      </c>
      <c r="F104" s="37" t="s">
        <v>1177</v>
      </c>
      <c r="G104" s="37" t="s">
        <v>435</v>
      </c>
      <c r="H104" s="37" t="s">
        <v>435</v>
      </c>
      <c r="I104" s="37" t="s">
        <v>435</v>
      </c>
      <c r="J104" s="37" t="s">
        <v>435</v>
      </c>
      <c r="K104" s="37" t="s">
        <v>435</v>
      </c>
      <c r="L104" s="37" t="s">
        <v>435</v>
      </c>
      <c r="M104" s="37" t="s">
        <v>435</v>
      </c>
      <c r="N104" s="37" t="s">
        <v>435</v>
      </c>
      <c r="O104" s="37" t="s">
        <v>435</v>
      </c>
      <c r="P104" s="37" t="s">
        <v>435</v>
      </c>
      <c r="Q104" s="37" t="s">
        <v>436</v>
      </c>
      <c r="R104" s="37" t="s">
        <v>436</v>
      </c>
      <c r="S104" s="37" t="s">
        <v>824</v>
      </c>
      <c r="T104" s="37" t="s">
        <v>436</v>
      </c>
      <c r="U104" s="37" t="s">
        <v>436</v>
      </c>
      <c r="V104" s="37" t="s">
        <v>436</v>
      </c>
      <c r="W104" s="37" t="s">
        <v>436</v>
      </c>
      <c r="X104" s="37" t="s">
        <v>436</v>
      </c>
      <c r="Y104" s="37" t="s">
        <v>436</v>
      </c>
      <c r="Z104" s="37" t="s">
        <v>436</v>
      </c>
      <c r="AA104" s="182"/>
    </row>
    <row r="105">
      <c r="B105" s="37" t="s">
        <v>1162</v>
      </c>
      <c r="C105" s="37"/>
      <c r="D105" s="183"/>
      <c r="E105" s="181" t="s">
        <v>832</v>
      </c>
      <c r="F105" s="37" t="s">
        <v>434</v>
      </c>
      <c r="G105" s="37" t="s">
        <v>435</v>
      </c>
      <c r="H105" s="37" t="s">
        <v>435</v>
      </c>
      <c r="I105" s="37" t="s">
        <v>435</v>
      </c>
      <c r="J105" s="37" t="s">
        <v>435</v>
      </c>
      <c r="K105" s="37" t="s">
        <v>435</v>
      </c>
      <c r="L105" s="37" t="s">
        <v>435</v>
      </c>
      <c r="M105" s="37" t="s">
        <v>435</v>
      </c>
      <c r="N105" s="37" t="s">
        <v>435</v>
      </c>
      <c r="O105" s="37" t="s">
        <v>435</v>
      </c>
      <c r="P105" s="37" t="s">
        <v>435</v>
      </c>
      <c r="Q105" s="37" t="s">
        <v>435</v>
      </c>
      <c r="R105" s="37" t="s">
        <v>435</v>
      </c>
      <c r="S105" s="37" t="s">
        <v>436</v>
      </c>
      <c r="T105" s="37" t="s">
        <v>436</v>
      </c>
      <c r="U105" s="37" t="s">
        <v>436</v>
      </c>
      <c r="V105" s="37" t="s">
        <v>436</v>
      </c>
      <c r="W105" s="37" t="s">
        <v>436</v>
      </c>
      <c r="X105" s="37" t="s">
        <v>436</v>
      </c>
      <c r="Y105" s="37" t="s">
        <v>436</v>
      </c>
      <c r="Z105" s="37" t="s">
        <v>436</v>
      </c>
      <c r="AA105" s="182"/>
    </row>
    <row r="106">
      <c r="B106" s="37" t="s">
        <v>1178</v>
      </c>
      <c r="C106" s="37"/>
      <c r="D106" s="183"/>
      <c r="E106" s="181" t="s">
        <v>837</v>
      </c>
      <c r="F106" s="35"/>
      <c r="G106" s="37" t="s">
        <v>1163</v>
      </c>
      <c r="H106" s="37" t="s">
        <v>1163</v>
      </c>
      <c r="I106" s="37" t="s">
        <v>1163</v>
      </c>
      <c r="J106" s="37" t="s">
        <v>1163</v>
      </c>
      <c r="K106" s="37" t="s">
        <v>971</v>
      </c>
      <c r="L106" s="37" t="s">
        <v>971</v>
      </c>
      <c r="M106" s="37" t="s">
        <v>971</v>
      </c>
      <c r="N106" s="37" t="s">
        <v>971</v>
      </c>
      <c r="O106" s="37" t="s">
        <v>898</v>
      </c>
      <c r="P106" s="37" t="s">
        <v>898</v>
      </c>
      <c r="Q106" s="37" t="s">
        <v>898</v>
      </c>
      <c r="R106" s="37" t="s">
        <v>898</v>
      </c>
      <c r="S106" s="37" t="s">
        <v>898</v>
      </c>
      <c r="T106" s="37" t="s">
        <v>898</v>
      </c>
      <c r="U106" s="37" t="s">
        <v>898</v>
      </c>
      <c r="V106" s="37" t="s">
        <v>898</v>
      </c>
      <c r="W106" s="37" t="s">
        <v>1062</v>
      </c>
      <c r="X106" s="37" t="s">
        <v>1062</v>
      </c>
      <c r="Y106" s="37" t="s">
        <v>1062</v>
      </c>
      <c r="Z106" s="37" t="s">
        <v>1062</v>
      </c>
      <c r="AA106" s="182"/>
    </row>
    <row r="107">
      <c r="B107" s="37" t="s">
        <v>1143</v>
      </c>
      <c r="C107" s="37"/>
      <c r="D107" s="183"/>
      <c r="E107" s="181" t="s">
        <v>637</v>
      </c>
      <c r="F107" s="35"/>
      <c r="G107" s="37" t="s">
        <v>435</v>
      </c>
      <c r="H107" s="37" t="s">
        <v>435</v>
      </c>
      <c r="I107" s="37" t="s">
        <v>435</v>
      </c>
      <c r="J107" s="37" t="s">
        <v>435</v>
      </c>
      <c r="K107" s="37" t="s">
        <v>435</v>
      </c>
      <c r="L107" s="37" t="s">
        <v>435</v>
      </c>
      <c r="M107" s="37" t="s">
        <v>435</v>
      </c>
      <c r="N107" s="37" t="s">
        <v>435</v>
      </c>
      <c r="O107" s="37" t="s">
        <v>435</v>
      </c>
      <c r="P107" s="37" t="s">
        <v>435</v>
      </c>
      <c r="Q107" s="37" t="s">
        <v>436</v>
      </c>
      <c r="R107" s="37" t="s">
        <v>436</v>
      </c>
      <c r="S107" s="37" t="s">
        <v>436</v>
      </c>
      <c r="T107" s="37" t="s">
        <v>436</v>
      </c>
      <c r="U107" s="37" t="s">
        <v>436</v>
      </c>
      <c r="V107" s="37" t="s">
        <v>436</v>
      </c>
      <c r="W107" s="37" t="s">
        <v>436</v>
      </c>
      <c r="X107" s="37" t="s">
        <v>436</v>
      </c>
      <c r="Y107" s="37" t="s">
        <v>436</v>
      </c>
      <c r="Z107" s="37" t="s">
        <v>436</v>
      </c>
      <c r="AA107" s="182"/>
    </row>
    <row r="108">
      <c r="B108" s="37" t="s">
        <v>1179</v>
      </c>
      <c r="C108" s="37" t="s">
        <v>1180</v>
      </c>
      <c r="D108" s="183" t="s">
        <v>1181</v>
      </c>
      <c r="E108" s="181" t="s">
        <v>480</v>
      </c>
      <c r="F108" s="35"/>
      <c r="G108" s="37" t="s">
        <v>435</v>
      </c>
      <c r="H108" s="37" t="s">
        <v>435</v>
      </c>
      <c r="I108" s="37" t="s">
        <v>435</v>
      </c>
      <c r="J108" s="37" t="s">
        <v>435</v>
      </c>
      <c r="K108" s="37" t="s">
        <v>435</v>
      </c>
      <c r="L108" s="37" t="s">
        <v>435</v>
      </c>
      <c r="M108" s="37" t="s">
        <v>436</v>
      </c>
      <c r="N108" s="37" t="s">
        <v>436</v>
      </c>
      <c r="O108" s="37" t="s">
        <v>436</v>
      </c>
      <c r="P108" s="37" t="s">
        <v>436</v>
      </c>
      <c r="Q108" s="37" t="s">
        <v>436</v>
      </c>
      <c r="R108" s="37" t="s">
        <v>436</v>
      </c>
      <c r="S108" s="37" t="s">
        <v>436</v>
      </c>
      <c r="T108" s="37" t="s">
        <v>436</v>
      </c>
      <c r="U108" s="37" t="s">
        <v>437</v>
      </c>
      <c r="V108" s="37" t="s">
        <v>437</v>
      </c>
      <c r="W108" s="37" t="s">
        <v>437</v>
      </c>
      <c r="X108" s="37" t="s">
        <v>437</v>
      </c>
      <c r="Y108" s="37" t="s">
        <v>466</v>
      </c>
      <c r="Z108" s="37" t="s">
        <v>466</v>
      </c>
      <c r="AA108" s="182"/>
    </row>
    <row r="109">
      <c r="B109" s="37"/>
      <c r="C109" s="12" t="s">
        <v>1167</v>
      </c>
      <c r="D109" s="183"/>
      <c r="E109" s="181" t="s">
        <v>1150</v>
      </c>
      <c r="F109" s="37" t="s">
        <v>1151</v>
      </c>
      <c r="G109" s="37">
        <v>2.0</v>
      </c>
      <c r="H109" s="37">
        <v>3.0</v>
      </c>
      <c r="I109" s="37">
        <v>5.0</v>
      </c>
      <c r="J109" s="37">
        <v>6.0</v>
      </c>
      <c r="K109" s="37">
        <v>8.0</v>
      </c>
      <c r="L109" s="37">
        <v>9.0</v>
      </c>
      <c r="M109" s="37">
        <v>11.0</v>
      </c>
      <c r="N109" s="37">
        <v>12.0</v>
      </c>
      <c r="O109" s="37">
        <v>14.0</v>
      </c>
      <c r="P109" s="37">
        <v>15.0</v>
      </c>
      <c r="Q109" s="37">
        <v>17.0</v>
      </c>
      <c r="R109" s="37">
        <v>18.0</v>
      </c>
      <c r="S109" s="37">
        <v>20.0</v>
      </c>
      <c r="T109" s="37">
        <v>21.0</v>
      </c>
      <c r="U109" s="37">
        <v>23.0</v>
      </c>
      <c r="V109" s="37">
        <v>24.0</v>
      </c>
      <c r="W109" s="37">
        <v>26.0</v>
      </c>
      <c r="X109" s="37">
        <v>27.0</v>
      </c>
      <c r="Y109" s="37">
        <v>28.0</v>
      </c>
      <c r="Z109" s="37">
        <v>28.0</v>
      </c>
      <c r="AA109" s="182"/>
    </row>
    <row r="110">
      <c r="B110" s="184"/>
      <c r="C110" s="184"/>
      <c r="D110" s="185" t="s">
        <v>1184</v>
      </c>
      <c r="E110" s="186" t="s">
        <v>1153</v>
      </c>
      <c r="F110" s="184" t="s">
        <v>1185</v>
      </c>
      <c r="G110" s="184">
        <v>6.0</v>
      </c>
      <c r="H110" s="184">
        <v>8.0</v>
      </c>
      <c r="I110" s="184">
        <v>10.0</v>
      </c>
      <c r="J110" s="184">
        <v>12.0</v>
      </c>
      <c r="K110" s="184">
        <v>14.0</v>
      </c>
      <c r="L110" s="184">
        <v>16.0</v>
      </c>
      <c r="M110" s="184">
        <v>18.0</v>
      </c>
      <c r="N110" s="184">
        <v>20.0</v>
      </c>
      <c r="O110" s="184">
        <v>22.0</v>
      </c>
      <c r="P110" s="184">
        <v>24.0</v>
      </c>
      <c r="Q110" s="184">
        <v>26.0</v>
      </c>
      <c r="R110" s="184">
        <v>28.0</v>
      </c>
      <c r="S110" s="184">
        <v>30.0</v>
      </c>
      <c r="T110" s="184">
        <v>32.0</v>
      </c>
      <c r="U110" s="184">
        <v>34.0</v>
      </c>
      <c r="V110" s="184">
        <v>36.0</v>
      </c>
      <c r="W110" s="184">
        <v>38.0</v>
      </c>
      <c r="X110" s="184">
        <v>40.0</v>
      </c>
      <c r="Y110" s="184">
        <v>42.0</v>
      </c>
      <c r="Z110" s="184">
        <v>44.0</v>
      </c>
      <c r="AA110" s="192"/>
    </row>
    <row r="111">
      <c r="A111" s="180" t="s">
        <v>1186</v>
      </c>
      <c r="B111" s="37" t="s">
        <v>263</v>
      </c>
      <c r="C111" s="37" t="s">
        <v>797</v>
      </c>
      <c r="D111" s="183"/>
      <c r="E111" s="181" t="s">
        <v>1187</v>
      </c>
      <c r="F111" s="35"/>
      <c r="G111" s="37" t="s">
        <v>648</v>
      </c>
      <c r="H111" s="35"/>
      <c r="I111" s="37" t="s">
        <v>1188</v>
      </c>
      <c r="J111" s="35"/>
      <c r="K111" s="35"/>
      <c r="L111" s="35"/>
      <c r="M111" s="37" t="s">
        <v>1189</v>
      </c>
      <c r="N111" s="35"/>
      <c r="O111" s="35"/>
      <c r="P111" s="35"/>
      <c r="Q111" s="37" t="s">
        <v>1190</v>
      </c>
      <c r="R111" s="35"/>
      <c r="S111" s="35"/>
      <c r="T111" s="35"/>
      <c r="U111" s="37" t="s">
        <v>1191</v>
      </c>
      <c r="V111" s="35"/>
      <c r="W111" s="35"/>
      <c r="X111" s="35"/>
      <c r="Y111" s="37" t="s">
        <v>1192</v>
      </c>
      <c r="Z111" s="35"/>
      <c r="AA111" s="182"/>
    </row>
    <row r="112">
      <c r="B112" s="90" t="s">
        <v>1193</v>
      </c>
      <c r="C112" s="37"/>
      <c r="D112" s="183"/>
      <c r="E112" s="181" t="s">
        <v>1194</v>
      </c>
      <c r="F112" s="35"/>
      <c r="G112" s="37" t="s">
        <v>1195</v>
      </c>
      <c r="H112" s="35"/>
      <c r="I112" s="37" t="s">
        <v>1196</v>
      </c>
      <c r="J112" s="35"/>
      <c r="K112" s="35"/>
      <c r="L112" s="35"/>
      <c r="M112" s="37" t="s">
        <v>1197</v>
      </c>
      <c r="N112" s="35"/>
      <c r="O112" s="35"/>
      <c r="P112" s="35"/>
      <c r="Q112" s="37" t="s">
        <v>1198</v>
      </c>
      <c r="R112" s="35"/>
      <c r="S112" s="35"/>
      <c r="T112" s="35"/>
      <c r="U112" s="37" t="s">
        <v>1197</v>
      </c>
      <c r="V112" s="35"/>
      <c r="W112" s="35"/>
      <c r="X112" s="35"/>
      <c r="Y112" s="37" t="s">
        <v>1199</v>
      </c>
      <c r="Z112" s="35"/>
      <c r="AA112" s="182"/>
    </row>
    <row r="113">
      <c r="B113" s="37"/>
      <c r="C113" s="37"/>
      <c r="D113" s="183"/>
      <c r="E113" s="181" t="s">
        <v>1200</v>
      </c>
      <c r="F113" s="37"/>
      <c r="G113" s="37" t="s">
        <v>648</v>
      </c>
      <c r="H113" s="35"/>
      <c r="I113" s="37" t="s">
        <v>1188</v>
      </c>
      <c r="J113" s="35"/>
      <c r="K113" s="35"/>
      <c r="L113" s="35"/>
      <c r="M113" s="37" t="s">
        <v>1189</v>
      </c>
      <c r="N113" s="35"/>
      <c r="O113" s="35"/>
      <c r="P113" s="35"/>
      <c r="Q113" s="37" t="s">
        <v>1190</v>
      </c>
      <c r="R113" s="35"/>
      <c r="S113" s="35"/>
      <c r="T113" s="35"/>
      <c r="U113" s="37" t="s">
        <v>1191</v>
      </c>
      <c r="V113" s="35"/>
      <c r="W113" s="35"/>
      <c r="X113" s="35"/>
      <c r="Y113" s="37" t="s">
        <v>1192</v>
      </c>
      <c r="Z113" s="35"/>
      <c r="AA113" s="182"/>
    </row>
    <row r="114">
      <c r="B114" s="37"/>
      <c r="C114" s="37"/>
      <c r="D114" s="183"/>
      <c r="E114" s="181" t="s">
        <v>1201</v>
      </c>
      <c r="F114" s="37"/>
      <c r="G114" s="37" t="s">
        <v>1202</v>
      </c>
      <c r="H114" s="35"/>
      <c r="I114" s="37" t="s">
        <v>1203</v>
      </c>
      <c r="J114" s="35"/>
      <c r="K114" s="35"/>
      <c r="L114" s="35"/>
      <c r="M114" s="37" t="s">
        <v>1198</v>
      </c>
      <c r="N114" s="35"/>
      <c r="O114" s="35"/>
      <c r="P114" s="35"/>
      <c r="Q114" s="37" t="s">
        <v>1197</v>
      </c>
      <c r="R114" s="35"/>
      <c r="S114" s="35"/>
      <c r="T114" s="35"/>
      <c r="U114" s="37" t="s">
        <v>1196</v>
      </c>
      <c r="V114" s="35"/>
      <c r="W114" s="35"/>
      <c r="X114" s="35"/>
      <c r="Y114" s="37" t="s">
        <v>1204</v>
      </c>
      <c r="Z114" s="35"/>
      <c r="AA114" s="182"/>
    </row>
    <row r="115">
      <c r="B115" s="37" t="s">
        <v>1205</v>
      </c>
      <c r="C115" s="37"/>
      <c r="D115" s="183" t="s">
        <v>1206</v>
      </c>
      <c r="E115" s="181" t="s">
        <v>1207</v>
      </c>
      <c r="F115" s="37" t="s">
        <v>1208</v>
      </c>
      <c r="G115" s="37" t="s">
        <v>435</v>
      </c>
      <c r="H115" s="37" t="s">
        <v>435</v>
      </c>
      <c r="I115" s="37" t="s">
        <v>435</v>
      </c>
      <c r="J115" s="37" t="s">
        <v>435</v>
      </c>
      <c r="K115" s="37" t="s">
        <v>435</v>
      </c>
      <c r="L115" s="37" t="s">
        <v>435</v>
      </c>
      <c r="M115" s="37" t="s">
        <v>435</v>
      </c>
      <c r="N115" s="37" t="s">
        <v>435</v>
      </c>
      <c r="O115" s="37" t="s">
        <v>435</v>
      </c>
      <c r="P115" s="37" t="s">
        <v>435</v>
      </c>
      <c r="Q115" s="37" t="s">
        <v>1209</v>
      </c>
      <c r="R115" s="37" t="s">
        <v>1210</v>
      </c>
      <c r="S115" s="37" t="s">
        <v>1211</v>
      </c>
      <c r="T115" s="37" t="s">
        <v>1210</v>
      </c>
      <c r="U115" s="37" t="s">
        <v>1210</v>
      </c>
      <c r="V115" s="37" t="s">
        <v>1210</v>
      </c>
      <c r="W115" s="37" t="s">
        <v>1210</v>
      </c>
      <c r="X115" s="37" t="s">
        <v>1210</v>
      </c>
      <c r="Y115" s="37" t="s">
        <v>1210</v>
      </c>
      <c r="Z115" s="37" t="s">
        <v>1210</v>
      </c>
      <c r="AA115" s="182"/>
    </row>
    <row r="116">
      <c r="B116" s="37"/>
      <c r="C116" s="37"/>
      <c r="D116" s="183"/>
      <c r="E116" s="181" t="s">
        <v>1212</v>
      </c>
      <c r="F116" s="37" t="s">
        <v>1208</v>
      </c>
      <c r="G116" s="37" t="s">
        <v>435</v>
      </c>
      <c r="H116" s="37" t="s">
        <v>435</v>
      </c>
      <c r="I116" s="37" t="s">
        <v>1213</v>
      </c>
      <c r="J116" s="37" t="s">
        <v>1213</v>
      </c>
      <c r="K116" s="37" t="s">
        <v>1213</v>
      </c>
      <c r="L116" s="37" t="s">
        <v>1213</v>
      </c>
      <c r="M116" s="37" t="s">
        <v>1209</v>
      </c>
      <c r="N116" s="37" t="s">
        <v>1210</v>
      </c>
      <c r="O116" s="37" t="s">
        <v>1210</v>
      </c>
      <c r="P116" s="37" t="s">
        <v>1210</v>
      </c>
      <c r="Q116" s="37" t="s">
        <v>1210</v>
      </c>
      <c r="R116" s="37" t="s">
        <v>1210</v>
      </c>
      <c r="S116" s="37" t="s">
        <v>1211</v>
      </c>
      <c r="T116" s="37" t="s">
        <v>1210</v>
      </c>
      <c r="U116" s="37" t="s">
        <v>1210</v>
      </c>
      <c r="V116" s="37" t="s">
        <v>1210</v>
      </c>
      <c r="W116" s="37" t="s">
        <v>1210</v>
      </c>
      <c r="X116" s="37" t="s">
        <v>1210</v>
      </c>
      <c r="Y116" s="37" t="s">
        <v>1210</v>
      </c>
      <c r="Z116" s="37" t="s">
        <v>1210</v>
      </c>
      <c r="AA116" s="182"/>
    </row>
    <row r="117">
      <c r="B117" s="37" t="s">
        <v>970</v>
      </c>
      <c r="C117" s="37"/>
      <c r="D117" s="183"/>
      <c r="E117" s="181" t="s">
        <v>1214</v>
      </c>
      <c r="F117" s="37" t="s">
        <v>434</v>
      </c>
      <c r="G117" s="37" t="s">
        <v>435</v>
      </c>
      <c r="H117" s="37" t="s">
        <v>435</v>
      </c>
      <c r="I117" s="37" t="s">
        <v>435</v>
      </c>
      <c r="J117" s="37" t="s">
        <v>435</v>
      </c>
      <c r="K117" s="37" t="s">
        <v>435</v>
      </c>
      <c r="L117" s="37" t="s">
        <v>435</v>
      </c>
      <c r="M117" s="37" t="s">
        <v>435</v>
      </c>
      <c r="N117" s="37" t="s">
        <v>435</v>
      </c>
      <c r="O117" s="37" t="s">
        <v>435</v>
      </c>
      <c r="P117" s="37" t="s">
        <v>435</v>
      </c>
      <c r="Q117" s="37" t="s">
        <v>435</v>
      </c>
      <c r="R117" s="37" t="s">
        <v>435</v>
      </c>
      <c r="S117" s="37" t="s">
        <v>436</v>
      </c>
      <c r="T117" s="37" t="s">
        <v>436</v>
      </c>
      <c r="U117" s="37" t="s">
        <v>436</v>
      </c>
      <c r="V117" s="37" t="s">
        <v>436</v>
      </c>
      <c r="W117" s="37" t="s">
        <v>436</v>
      </c>
      <c r="X117" s="37" t="s">
        <v>436</v>
      </c>
      <c r="Y117" s="37" t="s">
        <v>436</v>
      </c>
      <c r="Z117" s="37" t="s">
        <v>436</v>
      </c>
      <c r="AA117" s="182"/>
    </row>
    <row r="118">
      <c r="B118" s="37"/>
      <c r="C118" s="44" t="s">
        <v>1215</v>
      </c>
      <c r="D118" s="183"/>
      <c r="E118" s="181" t="s">
        <v>1216</v>
      </c>
      <c r="F118" s="37" t="s">
        <v>833</v>
      </c>
      <c r="G118" s="37" t="s">
        <v>435</v>
      </c>
      <c r="H118" s="37" t="s">
        <v>435</v>
      </c>
      <c r="I118" s="37" t="s">
        <v>435</v>
      </c>
      <c r="J118" s="37" t="s">
        <v>435</v>
      </c>
      <c r="K118" s="37" t="s">
        <v>435</v>
      </c>
      <c r="L118" s="37" t="s">
        <v>435</v>
      </c>
      <c r="M118" s="37" t="s">
        <v>435</v>
      </c>
      <c r="N118" s="37" t="s">
        <v>435</v>
      </c>
      <c r="O118" s="37" t="s">
        <v>435</v>
      </c>
      <c r="P118" s="37" t="s">
        <v>435</v>
      </c>
      <c r="Q118" s="37" t="s">
        <v>435</v>
      </c>
      <c r="R118" s="37" t="s">
        <v>435</v>
      </c>
      <c r="S118" s="37" t="s">
        <v>436</v>
      </c>
      <c r="T118" s="37" t="s">
        <v>436</v>
      </c>
      <c r="U118" s="37" t="s">
        <v>436</v>
      </c>
      <c r="V118" s="37" t="s">
        <v>436</v>
      </c>
      <c r="W118" s="37" t="s">
        <v>436</v>
      </c>
      <c r="X118" s="37" t="s">
        <v>436</v>
      </c>
      <c r="Y118" s="37" t="s">
        <v>436</v>
      </c>
      <c r="Z118" s="37" t="s">
        <v>436</v>
      </c>
      <c r="AA118" s="182"/>
    </row>
    <row r="119">
      <c r="B119" s="37" t="s">
        <v>1217</v>
      </c>
      <c r="C119" s="37"/>
      <c r="D119" s="183"/>
      <c r="E119" s="181" t="s">
        <v>1218</v>
      </c>
      <c r="F119" s="35"/>
      <c r="G119" s="37" t="s">
        <v>1163</v>
      </c>
      <c r="H119" s="37" t="s">
        <v>1163</v>
      </c>
      <c r="I119" s="37" t="s">
        <v>838</v>
      </c>
      <c r="J119" s="37" t="s">
        <v>838</v>
      </c>
      <c r="K119" s="37" t="s">
        <v>838</v>
      </c>
      <c r="L119" s="37" t="s">
        <v>838</v>
      </c>
      <c r="M119" s="37" t="s">
        <v>838</v>
      </c>
      <c r="N119" s="37" t="s">
        <v>838</v>
      </c>
      <c r="O119" s="37" t="s">
        <v>1220</v>
      </c>
      <c r="P119" s="37" t="s">
        <v>1220</v>
      </c>
      <c r="Q119" s="37" t="s">
        <v>1062</v>
      </c>
      <c r="R119" s="37" t="s">
        <v>1062</v>
      </c>
      <c r="S119" s="37" t="s">
        <v>1062</v>
      </c>
      <c r="T119" s="37" t="s">
        <v>1062</v>
      </c>
      <c r="U119" s="37" t="s">
        <v>1062</v>
      </c>
      <c r="V119" s="37" t="s">
        <v>1062</v>
      </c>
      <c r="W119" s="37" t="s">
        <v>1062</v>
      </c>
      <c r="X119" s="37" t="s">
        <v>1062</v>
      </c>
      <c r="Y119" s="37" t="s">
        <v>1062</v>
      </c>
      <c r="Z119" s="37" t="s">
        <v>1062</v>
      </c>
      <c r="AA119" s="182"/>
    </row>
    <row r="120">
      <c r="B120" s="37"/>
      <c r="C120" s="37"/>
      <c r="D120" s="183"/>
      <c r="E120" s="181" t="s">
        <v>1221</v>
      </c>
      <c r="F120" s="35"/>
      <c r="G120" s="37" t="s">
        <v>838</v>
      </c>
      <c r="H120" s="37" t="s">
        <v>838</v>
      </c>
      <c r="I120" s="37" t="s">
        <v>838</v>
      </c>
      <c r="J120" s="37" t="s">
        <v>838</v>
      </c>
      <c r="K120" s="37" t="s">
        <v>838</v>
      </c>
      <c r="L120" s="37" t="s">
        <v>838</v>
      </c>
      <c r="M120" s="37" t="s">
        <v>838</v>
      </c>
      <c r="N120" s="37" t="s">
        <v>838</v>
      </c>
      <c r="O120" s="37" t="s">
        <v>1220</v>
      </c>
      <c r="P120" s="37" t="s">
        <v>1220</v>
      </c>
      <c r="Q120" s="37" t="s">
        <v>1062</v>
      </c>
      <c r="R120" s="37" t="s">
        <v>1062</v>
      </c>
      <c r="S120" s="37" t="s">
        <v>1062</v>
      </c>
      <c r="T120" s="37" t="s">
        <v>1062</v>
      </c>
      <c r="U120" s="37" t="s">
        <v>864</v>
      </c>
      <c r="V120" s="37" t="s">
        <v>864</v>
      </c>
      <c r="W120" s="37" t="s">
        <v>864</v>
      </c>
      <c r="X120" s="37" t="s">
        <v>864</v>
      </c>
      <c r="Y120" s="37" t="s">
        <v>864</v>
      </c>
      <c r="Z120" s="37" t="s">
        <v>864</v>
      </c>
      <c r="AA120" s="182"/>
    </row>
    <row r="121">
      <c r="B121" s="37" t="s">
        <v>1222</v>
      </c>
      <c r="C121" s="37"/>
      <c r="D121" s="183"/>
      <c r="E121" s="181" t="s">
        <v>637</v>
      </c>
      <c r="F121" s="35"/>
      <c r="G121" s="37" t="s">
        <v>435</v>
      </c>
      <c r="H121" s="37" t="s">
        <v>435</v>
      </c>
      <c r="I121" s="37" t="s">
        <v>435</v>
      </c>
      <c r="J121" s="37" t="s">
        <v>435</v>
      </c>
      <c r="K121" s="37" t="s">
        <v>436</v>
      </c>
      <c r="L121" s="37" t="s">
        <v>436</v>
      </c>
      <c r="M121" s="37" t="s">
        <v>436</v>
      </c>
      <c r="N121" s="37" t="s">
        <v>436</v>
      </c>
      <c r="O121" s="37" t="s">
        <v>436</v>
      </c>
      <c r="P121" s="37" t="s">
        <v>436</v>
      </c>
      <c r="Q121" s="37" t="s">
        <v>436</v>
      </c>
      <c r="R121" s="37" t="s">
        <v>436</v>
      </c>
      <c r="S121" s="37" t="s">
        <v>436</v>
      </c>
      <c r="T121" s="37" t="s">
        <v>436</v>
      </c>
      <c r="U121" s="37" t="s">
        <v>436</v>
      </c>
      <c r="V121" s="37" t="s">
        <v>436</v>
      </c>
      <c r="W121" s="37" t="s">
        <v>436</v>
      </c>
      <c r="X121" s="37" t="s">
        <v>436</v>
      </c>
      <c r="Y121" s="37" t="s">
        <v>436</v>
      </c>
      <c r="Z121" s="37" t="s">
        <v>436</v>
      </c>
      <c r="AA121" s="182"/>
    </row>
    <row r="122">
      <c r="B122" s="37"/>
      <c r="C122" s="37" t="s">
        <v>1223</v>
      </c>
      <c r="D122" s="183"/>
      <c r="E122" s="181" t="s">
        <v>1224</v>
      </c>
      <c r="F122" s="35"/>
      <c r="G122" s="37" t="s">
        <v>435</v>
      </c>
      <c r="H122" s="37" t="s">
        <v>435</v>
      </c>
      <c r="I122" s="37" t="s">
        <v>435</v>
      </c>
      <c r="J122" s="37" t="s">
        <v>435</v>
      </c>
      <c r="K122" s="37" t="s">
        <v>435</v>
      </c>
      <c r="L122" s="37" t="s">
        <v>435</v>
      </c>
      <c r="M122" s="37" t="s">
        <v>436</v>
      </c>
      <c r="N122" s="37" t="s">
        <v>436</v>
      </c>
      <c r="O122" s="37" t="s">
        <v>436</v>
      </c>
      <c r="P122" s="37" t="s">
        <v>436</v>
      </c>
      <c r="Q122" s="37" t="s">
        <v>436</v>
      </c>
      <c r="R122" s="37" t="s">
        <v>436</v>
      </c>
      <c r="S122" s="37" t="s">
        <v>436</v>
      </c>
      <c r="T122" s="37" t="s">
        <v>436</v>
      </c>
      <c r="U122" s="37" t="s">
        <v>437</v>
      </c>
      <c r="V122" s="37" t="s">
        <v>437</v>
      </c>
      <c r="W122" s="37" t="s">
        <v>437</v>
      </c>
      <c r="X122" s="37" t="s">
        <v>437</v>
      </c>
      <c r="Y122" s="37" t="s">
        <v>466</v>
      </c>
      <c r="Z122" s="37" t="s">
        <v>466</v>
      </c>
      <c r="AA122" s="182"/>
    </row>
    <row r="123">
      <c r="B123" s="37"/>
      <c r="C123" s="37"/>
      <c r="D123" s="183"/>
      <c r="E123" s="181" t="s">
        <v>1225</v>
      </c>
      <c r="F123" s="37"/>
      <c r="G123" s="37" t="s">
        <v>435</v>
      </c>
      <c r="H123" s="37" t="s">
        <v>435</v>
      </c>
      <c r="I123" s="37" t="s">
        <v>435</v>
      </c>
      <c r="J123" s="37" t="s">
        <v>435</v>
      </c>
      <c r="K123" s="37" t="s">
        <v>435</v>
      </c>
      <c r="L123" s="37" t="s">
        <v>435</v>
      </c>
      <c r="M123" s="37" t="s">
        <v>435</v>
      </c>
      <c r="N123" s="37" t="s">
        <v>435</v>
      </c>
      <c r="O123" s="37" t="s">
        <v>435</v>
      </c>
      <c r="P123" s="37" t="s">
        <v>435</v>
      </c>
      <c r="Q123" s="37" t="s">
        <v>436</v>
      </c>
      <c r="R123" s="37" t="s">
        <v>436</v>
      </c>
      <c r="S123" s="37" t="s">
        <v>436</v>
      </c>
      <c r="T123" s="37" t="s">
        <v>436</v>
      </c>
      <c r="U123" s="37" t="s">
        <v>436</v>
      </c>
      <c r="V123" s="37" t="s">
        <v>436</v>
      </c>
      <c r="W123" s="37" t="s">
        <v>436</v>
      </c>
      <c r="X123" s="37" t="s">
        <v>436</v>
      </c>
      <c r="Y123" s="37" t="s">
        <v>437</v>
      </c>
      <c r="Z123" s="37" t="s">
        <v>437</v>
      </c>
      <c r="AA123" s="182"/>
    </row>
    <row r="124">
      <c r="B124" s="37"/>
      <c r="C124" s="37" t="s">
        <v>1226</v>
      </c>
      <c r="D124" s="183"/>
      <c r="E124" s="181" t="s">
        <v>1150</v>
      </c>
      <c r="F124" s="37" t="s">
        <v>1151</v>
      </c>
      <c r="G124" s="37" t="s">
        <v>1227</v>
      </c>
      <c r="H124" s="37" t="s">
        <v>1090</v>
      </c>
      <c r="I124" s="37" t="s">
        <v>1228</v>
      </c>
      <c r="J124" s="37" t="s">
        <v>1229</v>
      </c>
      <c r="K124" s="37" t="s">
        <v>1117</v>
      </c>
      <c r="L124" s="37" t="s">
        <v>1118</v>
      </c>
      <c r="M124" s="37" t="s">
        <v>1120</v>
      </c>
      <c r="N124" s="37" t="s">
        <v>1121</v>
      </c>
      <c r="O124" s="37" t="s">
        <v>1123</v>
      </c>
      <c r="P124" s="37" t="s">
        <v>1124</v>
      </c>
      <c r="Q124" s="37" t="s">
        <v>1126</v>
      </c>
      <c r="R124" s="37" t="s">
        <v>1127</v>
      </c>
      <c r="S124" s="37" t="s">
        <v>1129</v>
      </c>
      <c r="T124" s="37" t="s">
        <v>1130</v>
      </c>
      <c r="U124" s="37" t="s">
        <v>1132</v>
      </c>
      <c r="V124" s="37" t="s">
        <v>1230</v>
      </c>
      <c r="W124" s="37" t="s">
        <v>1231</v>
      </c>
      <c r="X124" s="37" t="s">
        <v>1232</v>
      </c>
      <c r="Y124" s="37" t="s">
        <v>1233</v>
      </c>
      <c r="Z124" s="35"/>
      <c r="AA124" s="182"/>
    </row>
    <row r="125">
      <c r="B125" s="184"/>
      <c r="C125" s="184"/>
      <c r="D125" s="185" t="s">
        <v>1234</v>
      </c>
      <c r="E125" s="186" t="s">
        <v>1235</v>
      </c>
      <c r="F125" s="184" t="s">
        <v>499</v>
      </c>
      <c r="G125" s="184" t="s">
        <v>499</v>
      </c>
      <c r="H125" s="184" t="s">
        <v>499</v>
      </c>
      <c r="I125" s="184" t="s">
        <v>499</v>
      </c>
      <c r="J125" s="184" t="s">
        <v>499</v>
      </c>
      <c r="K125" s="184" t="s">
        <v>499</v>
      </c>
      <c r="L125" s="184" t="s">
        <v>499</v>
      </c>
      <c r="M125" s="184" t="s">
        <v>499</v>
      </c>
      <c r="N125" s="184" t="s">
        <v>499</v>
      </c>
      <c r="O125" s="184" t="s">
        <v>499</v>
      </c>
      <c r="P125" s="184" t="s">
        <v>499</v>
      </c>
      <c r="Q125" s="184" t="s">
        <v>499</v>
      </c>
      <c r="R125" s="184" t="s">
        <v>499</v>
      </c>
      <c r="S125" s="184" t="s">
        <v>499</v>
      </c>
      <c r="T125" s="184" t="s">
        <v>499</v>
      </c>
      <c r="U125" s="184" t="s">
        <v>499</v>
      </c>
      <c r="V125" s="184" t="s">
        <v>499</v>
      </c>
      <c r="W125" s="184" t="s">
        <v>499</v>
      </c>
      <c r="X125" s="184" t="s">
        <v>499</v>
      </c>
      <c r="Y125" s="184" t="s">
        <v>499</v>
      </c>
      <c r="Z125" s="184" t="s">
        <v>499</v>
      </c>
      <c r="AA125" s="192"/>
    </row>
    <row r="126">
      <c r="A126" s="180" t="s">
        <v>225</v>
      </c>
      <c r="B126" s="37" t="s">
        <v>263</v>
      </c>
      <c r="C126" s="37" t="s">
        <v>797</v>
      </c>
      <c r="D126" s="183" t="s">
        <v>1236</v>
      </c>
      <c r="E126" s="181" t="s">
        <v>799</v>
      </c>
      <c r="F126" s="35"/>
      <c r="G126" s="35"/>
      <c r="H126" s="35"/>
      <c r="I126" s="35"/>
      <c r="J126" s="35"/>
      <c r="K126" s="35"/>
      <c r="L126" s="35"/>
      <c r="M126" s="35"/>
      <c r="N126" s="35"/>
      <c r="O126" s="35"/>
      <c r="P126" s="35"/>
      <c r="Q126" s="35"/>
      <c r="R126" s="35"/>
      <c r="S126" s="35"/>
      <c r="T126" s="35"/>
      <c r="U126" s="35"/>
      <c r="V126" s="35"/>
      <c r="W126" s="35"/>
      <c r="X126" s="35"/>
      <c r="Y126" s="37" t="s">
        <v>1237</v>
      </c>
      <c r="Z126" s="35"/>
      <c r="AA126" s="182"/>
    </row>
    <row r="127">
      <c r="B127" s="90" t="s">
        <v>1240</v>
      </c>
      <c r="C127" s="37"/>
      <c r="D127" s="183"/>
      <c r="E127" s="181" t="s">
        <v>811</v>
      </c>
      <c r="F127" s="35"/>
      <c r="G127" s="35"/>
      <c r="H127" s="35"/>
      <c r="I127" s="35"/>
      <c r="J127" s="35"/>
      <c r="K127" s="35"/>
      <c r="L127" s="35"/>
      <c r="M127" s="35"/>
      <c r="N127" s="35"/>
      <c r="O127" s="35"/>
      <c r="P127" s="35"/>
      <c r="Q127" s="35"/>
      <c r="R127" s="35"/>
      <c r="S127" s="35"/>
      <c r="T127" s="35"/>
      <c r="U127" s="35"/>
      <c r="V127" s="35"/>
      <c r="W127" s="35"/>
      <c r="X127" s="35"/>
      <c r="Y127" s="37" t="s">
        <v>1160</v>
      </c>
      <c r="Z127" s="35"/>
      <c r="AA127" s="182"/>
    </row>
    <row r="128">
      <c r="B128" s="37" t="s">
        <v>1241</v>
      </c>
      <c r="C128" s="37"/>
      <c r="D128" s="183"/>
      <c r="E128" s="181" t="s">
        <v>821</v>
      </c>
      <c r="F128" s="37" t="s">
        <v>921</v>
      </c>
      <c r="G128" s="37" t="s">
        <v>435</v>
      </c>
      <c r="H128" s="37" t="s">
        <v>435</v>
      </c>
      <c r="I128" s="37" t="s">
        <v>435</v>
      </c>
      <c r="J128" s="37" t="s">
        <v>435</v>
      </c>
      <c r="K128" s="37" t="s">
        <v>435</v>
      </c>
      <c r="L128" s="37" t="s">
        <v>435</v>
      </c>
      <c r="M128" s="37" t="s">
        <v>435</v>
      </c>
      <c r="N128" s="37" t="s">
        <v>435</v>
      </c>
      <c r="O128" s="37" t="s">
        <v>435</v>
      </c>
      <c r="P128" s="37" t="s">
        <v>435</v>
      </c>
      <c r="Q128" s="37" t="s">
        <v>436</v>
      </c>
      <c r="R128" s="37" t="s">
        <v>436</v>
      </c>
      <c r="S128" s="37" t="s">
        <v>824</v>
      </c>
      <c r="T128" s="37" t="s">
        <v>436</v>
      </c>
      <c r="U128" s="37" t="s">
        <v>436</v>
      </c>
      <c r="V128" s="37" t="s">
        <v>436</v>
      </c>
      <c r="W128" s="37" t="s">
        <v>436</v>
      </c>
      <c r="X128" s="37" t="s">
        <v>436</v>
      </c>
      <c r="Y128" s="37" t="s">
        <v>436</v>
      </c>
      <c r="Z128" s="37" t="s">
        <v>436</v>
      </c>
      <c r="AA128" s="182"/>
    </row>
    <row r="129">
      <c r="B129" s="37" t="s">
        <v>970</v>
      </c>
      <c r="C129" s="39" t="s">
        <v>860</v>
      </c>
      <c r="D129" s="183"/>
      <c r="E129" s="181" t="s">
        <v>832</v>
      </c>
      <c r="F129" s="37" t="s">
        <v>833</v>
      </c>
      <c r="G129" s="37" t="s">
        <v>435</v>
      </c>
      <c r="H129" s="37" t="s">
        <v>435</v>
      </c>
      <c r="I129" s="37" t="s">
        <v>435</v>
      </c>
      <c r="J129" s="37" t="s">
        <v>435</v>
      </c>
      <c r="K129" s="37" t="s">
        <v>435</v>
      </c>
      <c r="L129" s="37" t="s">
        <v>435</v>
      </c>
      <c r="M129" s="37" t="s">
        <v>435</v>
      </c>
      <c r="N129" s="37" t="s">
        <v>435</v>
      </c>
      <c r="O129" s="37" t="s">
        <v>435</v>
      </c>
      <c r="P129" s="37" t="s">
        <v>435</v>
      </c>
      <c r="Q129" s="37" t="s">
        <v>435</v>
      </c>
      <c r="R129" s="37" t="s">
        <v>435</v>
      </c>
      <c r="S129" s="37" t="s">
        <v>436</v>
      </c>
      <c r="T129" s="37" t="s">
        <v>436</v>
      </c>
      <c r="U129" s="37" t="s">
        <v>436</v>
      </c>
      <c r="V129" s="37" t="s">
        <v>436</v>
      </c>
      <c r="W129" s="37" t="s">
        <v>436</v>
      </c>
      <c r="X129" s="37" t="s">
        <v>436</v>
      </c>
      <c r="Y129" s="37" t="s">
        <v>436</v>
      </c>
      <c r="Z129" s="37" t="s">
        <v>436</v>
      </c>
      <c r="AA129" s="182"/>
    </row>
    <row r="130">
      <c r="B130" s="37" t="s">
        <v>1242</v>
      </c>
      <c r="C130" s="37"/>
      <c r="D130" s="183"/>
      <c r="E130" s="181" t="s">
        <v>837</v>
      </c>
      <c r="F130" s="35"/>
      <c r="G130" s="37" t="s">
        <v>1163</v>
      </c>
      <c r="H130" s="37" t="s">
        <v>1163</v>
      </c>
      <c r="I130" s="37" t="s">
        <v>838</v>
      </c>
      <c r="J130" s="37" t="s">
        <v>838</v>
      </c>
      <c r="K130" s="37" t="s">
        <v>898</v>
      </c>
      <c r="L130" s="37" t="s">
        <v>898</v>
      </c>
      <c r="M130" s="37" t="s">
        <v>898</v>
      </c>
      <c r="N130" s="37" t="s">
        <v>898</v>
      </c>
      <c r="O130" s="37" t="s">
        <v>898</v>
      </c>
      <c r="P130" s="37" t="s">
        <v>898</v>
      </c>
      <c r="Q130" s="37" t="s">
        <v>1062</v>
      </c>
      <c r="R130" s="37" t="s">
        <v>1062</v>
      </c>
      <c r="S130" s="37" t="s">
        <v>1062</v>
      </c>
      <c r="T130" s="37" t="s">
        <v>1062</v>
      </c>
      <c r="U130" s="37" t="s">
        <v>1062</v>
      </c>
      <c r="V130" s="37" t="s">
        <v>1062</v>
      </c>
      <c r="W130" s="37" t="s">
        <v>1062</v>
      </c>
      <c r="X130" s="37" t="s">
        <v>1062</v>
      </c>
      <c r="Y130" s="37" t="s">
        <v>1062</v>
      </c>
      <c r="Z130" s="37" t="s">
        <v>1062</v>
      </c>
      <c r="AA130" s="182"/>
    </row>
    <row r="131">
      <c r="B131" s="37" t="s">
        <v>1243</v>
      </c>
      <c r="C131" s="37"/>
      <c r="D131" s="183"/>
      <c r="E131" s="181" t="s">
        <v>637</v>
      </c>
      <c r="F131" s="35"/>
      <c r="G131" s="37" t="s">
        <v>435</v>
      </c>
      <c r="H131" s="37" t="s">
        <v>435</v>
      </c>
      <c r="I131" s="37" t="s">
        <v>436</v>
      </c>
      <c r="J131" s="37" t="s">
        <v>436</v>
      </c>
      <c r="K131" s="37" t="s">
        <v>436</v>
      </c>
      <c r="L131" s="37" t="s">
        <v>436</v>
      </c>
      <c r="M131" s="37" t="s">
        <v>436</v>
      </c>
      <c r="N131" s="37" t="s">
        <v>436</v>
      </c>
      <c r="O131" s="37" t="s">
        <v>436</v>
      </c>
      <c r="P131" s="37" t="s">
        <v>436</v>
      </c>
      <c r="Q131" s="37" t="s">
        <v>436</v>
      </c>
      <c r="R131" s="37" t="s">
        <v>436</v>
      </c>
      <c r="S131" s="37" t="s">
        <v>436</v>
      </c>
      <c r="T131" s="37" t="s">
        <v>436</v>
      </c>
      <c r="U131" s="37" t="s">
        <v>436</v>
      </c>
      <c r="V131" s="37" t="s">
        <v>436</v>
      </c>
      <c r="W131" s="37" t="s">
        <v>436</v>
      </c>
      <c r="X131" s="37" t="s">
        <v>436</v>
      </c>
      <c r="Y131" s="37" t="s">
        <v>436</v>
      </c>
      <c r="Z131" s="37" t="s">
        <v>436</v>
      </c>
      <c r="AA131" s="182"/>
    </row>
    <row r="132">
      <c r="B132" s="37"/>
      <c r="C132" s="37" t="s">
        <v>1244</v>
      </c>
      <c r="D132" s="183" t="s">
        <v>1245</v>
      </c>
      <c r="E132" s="181" t="s">
        <v>480</v>
      </c>
      <c r="F132" s="35"/>
      <c r="G132" s="37" t="s">
        <v>435</v>
      </c>
      <c r="H132" s="37" t="s">
        <v>435</v>
      </c>
      <c r="I132" s="37" t="s">
        <v>435</v>
      </c>
      <c r="J132" s="37" t="s">
        <v>435</v>
      </c>
      <c r="K132" s="37" t="s">
        <v>435</v>
      </c>
      <c r="L132" s="37" t="s">
        <v>435</v>
      </c>
      <c r="M132" s="37" t="s">
        <v>436</v>
      </c>
      <c r="N132" s="37" t="s">
        <v>436</v>
      </c>
      <c r="O132" s="37" t="s">
        <v>436</v>
      </c>
      <c r="P132" s="37" t="s">
        <v>436</v>
      </c>
      <c r="Q132" s="37" t="s">
        <v>436</v>
      </c>
      <c r="R132" s="37" t="s">
        <v>436</v>
      </c>
      <c r="S132" s="37" t="s">
        <v>436</v>
      </c>
      <c r="T132" s="37" t="s">
        <v>436</v>
      </c>
      <c r="U132" s="37" t="s">
        <v>437</v>
      </c>
      <c r="V132" s="37" t="s">
        <v>437</v>
      </c>
      <c r="W132" s="37" t="s">
        <v>437</v>
      </c>
      <c r="X132" s="37" t="s">
        <v>437</v>
      </c>
      <c r="Y132" s="37" t="s">
        <v>466</v>
      </c>
      <c r="Z132" s="37" t="s">
        <v>466</v>
      </c>
      <c r="AA132" s="182"/>
    </row>
    <row r="133">
      <c r="B133" s="37"/>
      <c r="C133" s="37" t="s">
        <v>1246</v>
      </c>
      <c r="D133" s="183"/>
      <c r="E133" s="181" t="s">
        <v>1150</v>
      </c>
      <c r="F133" s="37" t="s">
        <v>1151</v>
      </c>
      <c r="G133" s="37">
        <v>2.0</v>
      </c>
      <c r="H133" s="37">
        <v>3.0</v>
      </c>
      <c r="I133" s="37">
        <v>5.0</v>
      </c>
      <c r="J133" s="37">
        <v>6.0</v>
      </c>
      <c r="K133" s="37">
        <v>8.0</v>
      </c>
      <c r="L133" s="37">
        <v>9.0</v>
      </c>
      <c r="M133" s="37">
        <v>11.0</v>
      </c>
      <c r="N133" s="37">
        <v>12.0</v>
      </c>
      <c r="O133" s="37">
        <v>14.0</v>
      </c>
      <c r="P133" s="37">
        <v>15.0</v>
      </c>
      <c r="Q133" s="37">
        <v>17.0</v>
      </c>
      <c r="R133" s="37">
        <v>18.0</v>
      </c>
      <c r="S133" s="37">
        <v>20.0</v>
      </c>
      <c r="T133" s="37">
        <v>21.0</v>
      </c>
      <c r="U133" s="37">
        <v>23.0</v>
      </c>
      <c r="V133" s="37">
        <v>24.0</v>
      </c>
      <c r="W133" s="37">
        <v>26.0</v>
      </c>
      <c r="X133" s="37">
        <v>27.0</v>
      </c>
      <c r="Y133" s="37">
        <v>28.0</v>
      </c>
      <c r="Z133" s="37">
        <v>28.0</v>
      </c>
      <c r="AA133" s="182"/>
    </row>
    <row r="134">
      <c r="B134" s="184"/>
      <c r="C134" s="184"/>
      <c r="D134" s="185" t="s">
        <v>1247</v>
      </c>
      <c r="E134" s="186" t="s">
        <v>1248</v>
      </c>
      <c r="F134" s="184" t="s">
        <v>1249</v>
      </c>
      <c r="G134" s="184" t="s">
        <v>1249</v>
      </c>
      <c r="H134" s="184" t="s">
        <v>1249</v>
      </c>
      <c r="I134" s="184" t="s">
        <v>1249</v>
      </c>
      <c r="J134" s="184" t="s">
        <v>1249</v>
      </c>
      <c r="K134" s="184" t="s">
        <v>1249</v>
      </c>
      <c r="L134" s="184" t="s">
        <v>1249</v>
      </c>
      <c r="M134" s="184" t="s">
        <v>1249</v>
      </c>
      <c r="N134" s="184" t="s">
        <v>1249</v>
      </c>
      <c r="O134" s="184" t="s">
        <v>1249</v>
      </c>
      <c r="P134" s="184" t="s">
        <v>1249</v>
      </c>
      <c r="Q134" s="184" t="s">
        <v>1249</v>
      </c>
      <c r="R134" s="184" t="s">
        <v>1249</v>
      </c>
      <c r="S134" s="184" t="s">
        <v>1249</v>
      </c>
      <c r="T134" s="184" t="s">
        <v>1249</v>
      </c>
      <c r="U134" s="184" t="s">
        <v>1249</v>
      </c>
      <c r="V134" s="184" t="s">
        <v>1249</v>
      </c>
      <c r="W134" s="184" t="s">
        <v>1249</v>
      </c>
      <c r="X134" s="184" t="s">
        <v>1249</v>
      </c>
      <c r="Y134" s="184" t="s">
        <v>1249</v>
      </c>
      <c r="Z134" s="184" t="s">
        <v>1249</v>
      </c>
      <c r="AA134" s="192"/>
    </row>
    <row r="135">
      <c r="A135" s="180" t="s">
        <v>221</v>
      </c>
      <c r="B135" s="37" t="s">
        <v>264</v>
      </c>
      <c r="C135" s="37"/>
      <c r="D135" s="183"/>
      <c r="E135" s="181" t="s">
        <v>799</v>
      </c>
      <c r="F135" s="35"/>
      <c r="G135" s="35"/>
      <c r="H135" s="35"/>
      <c r="I135" s="37" t="s">
        <v>1251</v>
      </c>
      <c r="J135" s="35"/>
      <c r="K135" s="35"/>
      <c r="L135" s="35"/>
      <c r="M135" s="35"/>
      <c r="N135" s="35"/>
      <c r="O135" s="35"/>
      <c r="P135" s="35"/>
      <c r="Q135" s="35"/>
      <c r="R135" s="35"/>
      <c r="S135" s="35"/>
      <c r="T135" s="35"/>
      <c r="U135" s="35"/>
      <c r="V135" s="35"/>
      <c r="W135" s="35"/>
      <c r="X135" s="35"/>
      <c r="Y135" s="37" t="s">
        <v>1252</v>
      </c>
      <c r="Z135" s="35"/>
      <c r="AA135" s="182"/>
    </row>
    <row r="136">
      <c r="B136" s="90" t="s">
        <v>1253</v>
      </c>
      <c r="C136" s="37"/>
      <c r="D136" s="183"/>
      <c r="E136" s="181" t="s">
        <v>811</v>
      </c>
      <c r="F136" s="35"/>
      <c r="G136" s="35"/>
      <c r="H136" s="35"/>
      <c r="I136" s="37" t="s">
        <v>1254</v>
      </c>
      <c r="J136" s="35"/>
      <c r="K136" s="35"/>
      <c r="L136" s="35"/>
      <c r="M136" s="35"/>
      <c r="N136" s="35"/>
      <c r="O136" s="35"/>
      <c r="P136" s="35"/>
      <c r="Q136" s="35"/>
      <c r="R136" s="35"/>
      <c r="S136" s="35"/>
      <c r="T136" s="35"/>
      <c r="U136" s="35"/>
      <c r="V136" s="35"/>
      <c r="W136" s="35"/>
      <c r="X136" s="35"/>
      <c r="Y136" s="37" t="s">
        <v>1160</v>
      </c>
      <c r="Z136" s="35"/>
      <c r="AA136" s="182"/>
    </row>
    <row r="137">
      <c r="B137" s="37" t="s">
        <v>1255</v>
      </c>
      <c r="C137" s="37" t="s">
        <v>1256</v>
      </c>
      <c r="D137" s="183"/>
      <c r="E137" s="181" t="s">
        <v>821</v>
      </c>
      <c r="F137" s="37" t="s">
        <v>967</v>
      </c>
      <c r="G137" s="37" t="s">
        <v>435</v>
      </c>
      <c r="H137" s="37" t="s">
        <v>435</v>
      </c>
      <c r="I137" s="37" t="s">
        <v>435</v>
      </c>
      <c r="J137" s="37" t="s">
        <v>435</v>
      </c>
      <c r="K137" s="37" t="s">
        <v>435</v>
      </c>
      <c r="L137" s="37" t="s">
        <v>435</v>
      </c>
      <c r="M137" s="37" t="s">
        <v>435</v>
      </c>
      <c r="N137" s="37" t="s">
        <v>435</v>
      </c>
      <c r="O137" s="37" t="s">
        <v>435</v>
      </c>
      <c r="P137" s="37" t="s">
        <v>435</v>
      </c>
      <c r="Q137" s="37" t="s">
        <v>823</v>
      </c>
      <c r="R137" s="37" t="s">
        <v>436</v>
      </c>
      <c r="S137" s="37" t="s">
        <v>824</v>
      </c>
      <c r="T137" s="37" t="s">
        <v>436</v>
      </c>
      <c r="U137" s="37" t="s">
        <v>436</v>
      </c>
      <c r="V137" s="37" t="s">
        <v>436</v>
      </c>
      <c r="W137" s="37" t="s">
        <v>436</v>
      </c>
      <c r="X137" s="37" t="s">
        <v>436</v>
      </c>
      <c r="Y137" s="37" t="s">
        <v>436</v>
      </c>
      <c r="Z137" s="37" t="s">
        <v>436</v>
      </c>
      <c r="AA137" s="182"/>
    </row>
    <row r="138">
      <c r="B138" s="37" t="s">
        <v>970</v>
      </c>
      <c r="C138" s="37"/>
      <c r="D138" s="183"/>
      <c r="E138" s="181" t="s">
        <v>832</v>
      </c>
      <c r="F138" s="37" t="s">
        <v>466</v>
      </c>
      <c r="G138" s="37" t="s">
        <v>435</v>
      </c>
      <c r="H138" s="37" t="s">
        <v>435</v>
      </c>
      <c r="I138" s="37" t="s">
        <v>435</v>
      </c>
      <c r="J138" s="37" t="s">
        <v>435</v>
      </c>
      <c r="K138" s="37" t="s">
        <v>435</v>
      </c>
      <c r="L138" s="37" t="s">
        <v>435</v>
      </c>
      <c r="M138" s="37" t="s">
        <v>435</v>
      </c>
      <c r="N138" s="37" t="s">
        <v>435</v>
      </c>
      <c r="O138" s="37" t="s">
        <v>435</v>
      </c>
      <c r="P138" s="37" t="s">
        <v>435</v>
      </c>
      <c r="Q138" s="37" t="s">
        <v>435</v>
      </c>
      <c r="R138" s="37" t="s">
        <v>435</v>
      </c>
      <c r="S138" s="37" t="s">
        <v>436</v>
      </c>
      <c r="T138" s="37" t="s">
        <v>436</v>
      </c>
      <c r="U138" s="37" t="s">
        <v>436</v>
      </c>
      <c r="V138" s="37" t="s">
        <v>436</v>
      </c>
      <c r="W138" s="37" t="s">
        <v>436</v>
      </c>
      <c r="X138" s="37" t="s">
        <v>436</v>
      </c>
      <c r="Y138" s="37" t="s">
        <v>436</v>
      </c>
      <c r="Z138" s="37" t="s">
        <v>436</v>
      </c>
      <c r="AA138" s="182"/>
    </row>
    <row r="139">
      <c r="B139" s="37" t="s">
        <v>1242</v>
      </c>
      <c r="C139" s="37"/>
      <c r="D139" s="183"/>
      <c r="E139" s="181" t="s">
        <v>837</v>
      </c>
      <c r="F139" s="35"/>
      <c r="G139" s="37" t="s">
        <v>1163</v>
      </c>
      <c r="H139" s="37" t="s">
        <v>1163</v>
      </c>
      <c r="I139" s="37" t="s">
        <v>971</v>
      </c>
      <c r="J139" s="37" t="s">
        <v>971</v>
      </c>
      <c r="K139" s="37" t="s">
        <v>971</v>
      </c>
      <c r="L139" s="37" t="s">
        <v>971</v>
      </c>
      <c r="M139" s="37" t="s">
        <v>971</v>
      </c>
      <c r="N139" s="37" t="s">
        <v>971</v>
      </c>
      <c r="O139" s="37" t="s">
        <v>1062</v>
      </c>
      <c r="P139" s="37" t="s">
        <v>1062</v>
      </c>
      <c r="Q139" s="37" t="s">
        <v>1062</v>
      </c>
      <c r="R139" s="37" t="s">
        <v>1062</v>
      </c>
      <c r="S139" s="37" t="s">
        <v>1062</v>
      </c>
      <c r="T139" s="37" t="s">
        <v>1062</v>
      </c>
      <c r="U139" s="37" t="s">
        <v>1062</v>
      </c>
      <c r="V139" s="37" t="s">
        <v>1062</v>
      </c>
      <c r="W139" s="37" t="s">
        <v>1257</v>
      </c>
      <c r="X139" s="37" t="s">
        <v>1257</v>
      </c>
      <c r="Y139" s="37" t="s">
        <v>1257</v>
      </c>
      <c r="Z139" s="37" t="s">
        <v>1257</v>
      </c>
      <c r="AA139" s="182"/>
    </row>
    <row r="140">
      <c r="B140" s="37" t="s">
        <v>1258</v>
      </c>
      <c r="C140" s="37"/>
      <c r="D140" s="183"/>
      <c r="E140" s="181" t="s">
        <v>637</v>
      </c>
      <c r="F140" s="35"/>
      <c r="G140" s="37" t="s">
        <v>436</v>
      </c>
      <c r="H140" s="37" t="s">
        <v>436</v>
      </c>
      <c r="I140" s="37" t="s">
        <v>436</v>
      </c>
      <c r="J140" s="37" t="s">
        <v>436</v>
      </c>
      <c r="K140" s="37" t="s">
        <v>436</v>
      </c>
      <c r="L140" s="37" t="s">
        <v>436</v>
      </c>
      <c r="M140" s="37" t="s">
        <v>436</v>
      </c>
      <c r="N140" s="37" t="s">
        <v>436</v>
      </c>
      <c r="O140" s="37" t="s">
        <v>436</v>
      </c>
      <c r="P140" s="37" t="s">
        <v>436</v>
      </c>
      <c r="Q140" s="37" t="s">
        <v>437</v>
      </c>
      <c r="R140" s="37" t="s">
        <v>437</v>
      </c>
      <c r="S140" s="37" t="s">
        <v>437</v>
      </c>
      <c r="T140" s="37" t="s">
        <v>437</v>
      </c>
      <c r="U140" s="37" t="s">
        <v>437</v>
      </c>
      <c r="V140" s="37" t="s">
        <v>437</v>
      </c>
      <c r="W140" s="37" t="s">
        <v>437</v>
      </c>
      <c r="X140" s="37" t="s">
        <v>437</v>
      </c>
      <c r="Y140" s="37" t="s">
        <v>437</v>
      </c>
      <c r="Z140" s="37" t="s">
        <v>437</v>
      </c>
      <c r="AA140" s="182"/>
    </row>
    <row r="141">
      <c r="B141" s="37"/>
      <c r="C141" s="37" t="s">
        <v>1259</v>
      </c>
      <c r="D141" s="37" t="s">
        <v>1260</v>
      </c>
      <c r="E141" s="181" t="s">
        <v>480</v>
      </c>
      <c r="F141" s="35"/>
      <c r="G141" s="37" t="s">
        <v>435</v>
      </c>
      <c r="H141" s="37" t="s">
        <v>435</v>
      </c>
      <c r="I141" s="37" t="s">
        <v>435</v>
      </c>
      <c r="J141" s="37" t="s">
        <v>435</v>
      </c>
      <c r="K141" s="37" t="s">
        <v>435</v>
      </c>
      <c r="L141" s="37" t="s">
        <v>435</v>
      </c>
      <c r="M141" s="37" t="s">
        <v>436</v>
      </c>
      <c r="N141" s="37" t="s">
        <v>436</v>
      </c>
      <c r="O141" s="37" t="s">
        <v>436</v>
      </c>
      <c r="P141" s="37" t="s">
        <v>436</v>
      </c>
      <c r="Q141" s="37" t="s">
        <v>436</v>
      </c>
      <c r="R141" s="37" t="s">
        <v>436</v>
      </c>
      <c r="S141" s="37" t="s">
        <v>436</v>
      </c>
      <c r="T141" s="37" t="s">
        <v>436</v>
      </c>
      <c r="U141" s="37" t="s">
        <v>437</v>
      </c>
      <c r="V141" s="37" t="s">
        <v>437</v>
      </c>
      <c r="W141" s="37" t="s">
        <v>437</v>
      </c>
      <c r="X141" s="37" t="s">
        <v>437</v>
      </c>
      <c r="Y141" s="37" t="s">
        <v>466</v>
      </c>
      <c r="Z141" s="37" t="s">
        <v>466</v>
      </c>
      <c r="AA141" s="182"/>
    </row>
    <row r="142">
      <c r="B142" s="37"/>
      <c r="C142" s="37" t="s">
        <v>1261</v>
      </c>
      <c r="D142" s="37" t="s">
        <v>1262</v>
      </c>
      <c r="E142" s="181" t="s">
        <v>1265</v>
      </c>
      <c r="F142" s="37" t="s">
        <v>1151</v>
      </c>
      <c r="G142" s="37">
        <v>2.0</v>
      </c>
      <c r="H142" s="37">
        <v>3.0</v>
      </c>
      <c r="I142" s="37">
        <v>5.0</v>
      </c>
      <c r="J142" s="37">
        <v>6.0</v>
      </c>
      <c r="K142" s="37">
        <v>8.0</v>
      </c>
      <c r="L142" s="37">
        <v>9.0</v>
      </c>
      <c r="M142" s="37">
        <v>11.0</v>
      </c>
      <c r="N142" s="37">
        <v>12.0</v>
      </c>
      <c r="O142" s="37">
        <v>14.0</v>
      </c>
      <c r="P142" s="37">
        <v>15.0</v>
      </c>
      <c r="Q142" s="37">
        <v>17.0</v>
      </c>
      <c r="R142" s="37">
        <v>18.0</v>
      </c>
      <c r="S142" s="37">
        <v>20.0</v>
      </c>
      <c r="T142" s="37">
        <v>21.0</v>
      </c>
      <c r="U142" s="37">
        <v>23.0</v>
      </c>
      <c r="V142" s="37">
        <v>24.0</v>
      </c>
      <c r="W142" s="37">
        <v>26.0</v>
      </c>
      <c r="X142" s="37">
        <v>27.0</v>
      </c>
      <c r="Y142" s="37">
        <v>28.0</v>
      </c>
      <c r="Z142" s="37">
        <v>28.0</v>
      </c>
      <c r="AA142" s="182"/>
    </row>
    <row r="143">
      <c r="B143" s="184"/>
      <c r="C143" s="184"/>
      <c r="D143" s="185" t="s">
        <v>1266</v>
      </c>
      <c r="E143" s="186" t="s">
        <v>1267</v>
      </c>
      <c r="F143" s="184" t="s">
        <v>1268</v>
      </c>
      <c r="G143" s="184">
        <v>3.0</v>
      </c>
      <c r="H143" s="187">
        <v>4.0</v>
      </c>
      <c r="I143" s="187">
        <v>6.0</v>
      </c>
      <c r="J143" s="187">
        <v>7.0</v>
      </c>
      <c r="K143" s="187">
        <v>9.0</v>
      </c>
      <c r="L143" s="187">
        <v>10.0</v>
      </c>
      <c r="M143" s="187">
        <v>12.0</v>
      </c>
      <c r="N143" s="187">
        <v>13.0</v>
      </c>
      <c r="O143" s="187">
        <v>15.0</v>
      </c>
      <c r="P143" s="187">
        <v>16.0</v>
      </c>
      <c r="Q143" s="187">
        <v>18.0</v>
      </c>
      <c r="R143" s="187">
        <v>19.0</v>
      </c>
      <c r="S143" s="187">
        <v>21.0</v>
      </c>
      <c r="T143" s="187">
        <v>22.0</v>
      </c>
      <c r="U143" s="187">
        <v>24.0</v>
      </c>
      <c r="V143" s="187">
        <v>25.0</v>
      </c>
      <c r="W143" s="187">
        <v>27.0</v>
      </c>
      <c r="X143" s="187">
        <v>28.0</v>
      </c>
      <c r="Y143" s="184">
        <v>30.0</v>
      </c>
      <c r="Z143" s="184">
        <v>30.0</v>
      </c>
      <c r="AA143" s="192"/>
    </row>
    <row r="144">
      <c r="A144" s="180" t="s">
        <v>223</v>
      </c>
      <c r="B144" s="37" t="s">
        <v>264</v>
      </c>
      <c r="C144" s="37"/>
      <c r="D144" s="183"/>
      <c r="E144" s="181" t="s">
        <v>799</v>
      </c>
      <c r="F144" s="35"/>
      <c r="G144" s="35"/>
      <c r="H144" s="35"/>
      <c r="I144" s="37" t="s">
        <v>1251</v>
      </c>
      <c r="J144" s="35"/>
      <c r="K144" s="35"/>
      <c r="L144" s="35"/>
      <c r="M144" s="35"/>
      <c r="N144" s="35"/>
      <c r="O144" s="35"/>
      <c r="P144" s="35"/>
      <c r="Q144" s="37" t="s">
        <v>1269</v>
      </c>
      <c r="R144" s="35"/>
      <c r="S144" s="35"/>
      <c r="T144" s="35"/>
      <c r="U144" s="35"/>
      <c r="V144" s="35"/>
      <c r="W144" s="37" t="s">
        <v>1270</v>
      </c>
      <c r="X144" s="35"/>
      <c r="Y144" s="37" t="s">
        <v>1271</v>
      </c>
      <c r="Z144" s="35"/>
      <c r="AA144" s="182"/>
    </row>
    <row r="145">
      <c r="B145" s="90" t="s">
        <v>1272</v>
      </c>
      <c r="C145" s="37" t="s">
        <v>1274</v>
      </c>
      <c r="D145" s="37" t="s">
        <v>1275</v>
      </c>
      <c r="E145" s="181" t="s">
        <v>811</v>
      </c>
      <c r="F145" s="35"/>
      <c r="G145" s="35"/>
      <c r="H145" s="35"/>
      <c r="I145" s="37" t="s">
        <v>1254</v>
      </c>
      <c r="J145" s="35"/>
      <c r="K145" s="35"/>
      <c r="L145" s="35"/>
      <c r="M145" s="35"/>
      <c r="N145" s="35"/>
      <c r="O145" s="35"/>
      <c r="P145" s="35"/>
      <c r="Q145" s="37" t="s">
        <v>1276</v>
      </c>
      <c r="R145" s="35"/>
      <c r="S145" s="35"/>
      <c r="T145" s="35"/>
      <c r="U145" s="35"/>
      <c r="V145" s="35"/>
      <c r="W145" s="37" t="s">
        <v>1277</v>
      </c>
      <c r="X145" s="35"/>
      <c r="Y145" s="37" t="s">
        <v>1160</v>
      </c>
      <c r="Z145" s="35"/>
      <c r="AA145" s="182"/>
    </row>
    <row r="146">
      <c r="B146" s="37" t="s">
        <v>1278</v>
      </c>
      <c r="C146" s="37" t="s">
        <v>1279</v>
      </c>
      <c r="D146" s="183" t="s">
        <v>1280</v>
      </c>
      <c r="E146" s="181" t="s">
        <v>821</v>
      </c>
      <c r="F146" s="37" t="s">
        <v>921</v>
      </c>
      <c r="G146" s="37" t="s">
        <v>435</v>
      </c>
      <c r="H146" s="37" t="s">
        <v>435</v>
      </c>
      <c r="I146" s="37" t="s">
        <v>435</v>
      </c>
      <c r="J146" s="37" t="s">
        <v>435</v>
      </c>
      <c r="K146" s="37" t="s">
        <v>435</v>
      </c>
      <c r="L146" s="37" t="s">
        <v>435</v>
      </c>
      <c r="M146" s="37" t="s">
        <v>435</v>
      </c>
      <c r="N146" s="37" t="s">
        <v>435</v>
      </c>
      <c r="O146" s="37" t="s">
        <v>435</v>
      </c>
      <c r="P146" s="37" t="s">
        <v>435</v>
      </c>
      <c r="Q146" s="37" t="s">
        <v>436</v>
      </c>
      <c r="R146" s="37" t="s">
        <v>436</v>
      </c>
      <c r="S146" s="37" t="s">
        <v>824</v>
      </c>
      <c r="T146" s="37" t="s">
        <v>436</v>
      </c>
      <c r="U146" s="37" t="s">
        <v>436</v>
      </c>
      <c r="V146" s="37" t="s">
        <v>436</v>
      </c>
      <c r="W146" s="37" t="s">
        <v>436</v>
      </c>
      <c r="X146" s="37" t="s">
        <v>436</v>
      </c>
      <c r="Y146" s="37" t="s">
        <v>436</v>
      </c>
      <c r="Z146" s="37" t="s">
        <v>436</v>
      </c>
      <c r="AA146" s="182"/>
    </row>
    <row r="147">
      <c r="B147" s="37" t="s">
        <v>970</v>
      </c>
      <c r="C147" s="37"/>
      <c r="D147" s="183"/>
      <c r="E147" s="181" t="s">
        <v>832</v>
      </c>
      <c r="F147" s="37" t="s">
        <v>466</v>
      </c>
      <c r="G147" s="37" t="s">
        <v>435</v>
      </c>
      <c r="H147" s="37" t="s">
        <v>435</v>
      </c>
      <c r="I147" s="37" t="s">
        <v>435</v>
      </c>
      <c r="J147" s="37" t="s">
        <v>435</v>
      </c>
      <c r="K147" s="37" t="s">
        <v>435</v>
      </c>
      <c r="L147" s="37" t="s">
        <v>435</v>
      </c>
      <c r="M147" s="37" t="s">
        <v>435</v>
      </c>
      <c r="N147" s="37" t="s">
        <v>435</v>
      </c>
      <c r="O147" s="37" t="s">
        <v>435</v>
      </c>
      <c r="P147" s="37" t="s">
        <v>435</v>
      </c>
      <c r="Q147" s="37" t="s">
        <v>435</v>
      </c>
      <c r="R147" s="37" t="s">
        <v>435</v>
      </c>
      <c r="S147" s="37" t="s">
        <v>436</v>
      </c>
      <c r="T147" s="37" t="s">
        <v>436</v>
      </c>
      <c r="U147" s="37" t="s">
        <v>436</v>
      </c>
      <c r="V147" s="37" t="s">
        <v>436</v>
      </c>
      <c r="W147" s="37" t="s">
        <v>436</v>
      </c>
      <c r="X147" s="37" t="s">
        <v>436</v>
      </c>
      <c r="Y147" s="37" t="s">
        <v>436</v>
      </c>
      <c r="Z147" s="37" t="s">
        <v>436</v>
      </c>
      <c r="AA147" s="182"/>
    </row>
    <row r="148">
      <c r="B148" s="37" t="s">
        <v>1142</v>
      </c>
      <c r="C148" s="37"/>
      <c r="D148" s="183"/>
      <c r="E148" s="181" t="s">
        <v>837</v>
      </c>
      <c r="F148" s="35"/>
      <c r="G148" s="37" t="s">
        <v>1163</v>
      </c>
      <c r="H148" s="37" t="s">
        <v>1163</v>
      </c>
      <c r="I148" s="37" t="s">
        <v>1163</v>
      </c>
      <c r="J148" s="37" t="s">
        <v>1163</v>
      </c>
      <c r="K148" s="37" t="s">
        <v>1163</v>
      </c>
      <c r="L148" s="37" t="s">
        <v>1163</v>
      </c>
      <c r="M148" s="37" t="s">
        <v>1282</v>
      </c>
      <c r="N148" s="37" t="s">
        <v>1282</v>
      </c>
      <c r="O148" s="37" t="s">
        <v>1220</v>
      </c>
      <c r="P148" s="37" t="s">
        <v>1220</v>
      </c>
      <c r="Q148" s="37" t="s">
        <v>1220</v>
      </c>
      <c r="R148" s="37" t="s">
        <v>1220</v>
      </c>
      <c r="S148" s="37" t="s">
        <v>1062</v>
      </c>
      <c r="T148" s="37" t="s">
        <v>1062</v>
      </c>
      <c r="U148" s="37" t="s">
        <v>1062</v>
      </c>
      <c r="V148" s="37" t="s">
        <v>1062</v>
      </c>
      <c r="W148" s="37" t="s">
        <v>1257</v>
      </c>
      <c r="X148" s="37" t="s">
        <v>1257</v>
      </c>
      <c r="Y148" s="37" t="s">
        <v>1257</v>
      </c>
      <c r="Z148" s="37" t="s">
        <v>1257</v>
      </c>
      <c r="AA148" s="182"/>
    </row>
    <row r="149">
      <c r="B149" s="37" t="s">
        <v>1283</v>
      </c>
      <c r="C149" s="37"/>
      <c r="D149" s="183"/>
      <c r="E149" s="181" t="s">
        <v>637</v>
      </c>
      <c r="F149" s="35"/>
      <c r="G149" s="37" t="s">
        <v>435</v>
      </c>
      <c r="H149" s="37" t="s">
        <v>435</v>
      </c>
      <c r="I149" s="37" t="s">
        <v>435</v>
      </c>
      <c r="J149" s="37" t="s">
        <v>435</v>
      </c>
      <c r="K149" s="37" t="s">
        <v>435</v>
      </c>
      <c r="L149" s="37" t="s">
        <v>435</v>
      </c>
      <c r="M149" s="37" t="s">
        <v>435</v>
      </c>
      <c r="N149" s="37" t="s">
        <v>435</v>
      </c>
      <c r="O149" s="37" t="s">
        <v>435</v>
      </c>
      <c r="P149" s="37" t="s">
        <v>435</v>
      </c>
      <c r="Q149" s="37" t="s">
        <v>436</v>
      </c>
      <c r="R149" s="37" t="s">
        <v>436</v>
      </c>
      <c r="S149" s="37" t="s">
        <v>436</v>
      </c>
      <c r="T149" s="37" t="s">
        <v>436</v>
      </c>
      <c r="U149" s="37" t="s">
        <v>436</v>
      </c>
      <c r="V149" s="37" t="s">
        <v>436</v>
      </c>
      <c r="W149" s="37" t="s">
        <v>436</v>
      </c>
      <c r="X149" s="37" t="s">
        <v>436</v>
      </c>
      <c r="Y149" s="37" t="s">
        <v>436</v>
      </c>
      <c r="Z149" s="37" t="s">
        <v>436</v>
      </c>
      <c r="AA149" s="182"/>
    </row>
    <row r="150">
      <c r="B150" s="37"/>
      <c r="C150" s="37" t="s">
        <v>1284</v>
      </c>
      <c r="D150" s="37" t="s">
        <v>1285</v>
      </c>
      <c r="E150" s="181" t="s">
        <v>480</v>
      </c>
      <c r="F150" s="35"/>
      <c r="G150" s="37" t="s">
        <v>435</v>
      </c>
      <c r="H150" s="37" t="s">
        <v>435</v>
      </c>
      <c r="I150" s="37" t="s">
        <v>435</v>
      </c>
      <c r="J150" s="37" t="s">
        <v>435</v>
      </c>
      <c r="K150" s="37" t="s">
        <v>435</v>
      </c>
      <c r="L150" s="37" t="s">
        <v>435</v>
      </c>
      <c r="M150" s="37" t="s">
        <v>436</v>
      </c>
      <c r="N150" s="37" t="s">
        <v>436</v>
      </c>
      <c r="O150" s="37" t="s">
        <v>436</v>
      </c>
      <c r="P150" s="37" t="s">
        <v>436</v>
      </c>
      <c r="Q150" s="37" t="s">
        <v>436</v>
      </c>
      <c r="R150" s="37" t="s">
        <v>436</v>
      </c>
      <c r="S150" s="37" t="s">
        <v>436</v>
      </c>
      <c r="T150" s="37" t="s">
        <v>436</v>
      </c>
      <c r="U150" s="37" t="s">
        <v>437</v>
      </c>
      <c r="V150" s="37" t="s">
        <v>437</v>
      </c>
      <c r="W150" s="37" t="s">
        <v>437</v>
      </c>
      <c r="X150" s="37" t="s">
        <v>437</v>
      </c>
      <c r="Y150" s="37" t="s">
        <v>466</v>
      </c>
      <c r="Z150" s="37" t="s">
        <v>466</v>
      </c>
      <c r="AA150" s="182"/>
    </row>
    <row r="151">
      <c r="B151" s="37"/>
      <c r="C151" s="37" t="s">
        <v>1286</v>
      </c>
      <c r="D151" s="183"/>
      <c r="E151" s="181" t="s">
        <v>1265</v>
      </c>
      <c r="F151" s="37" t="s">
        <v>1151</v>
      </c>
      <c r="G151" s="37">
        <v>2.0</v>
      </c>
      <c r="H151" s="37">
        <v>3.0</v>
      </c>
      <c r="I151" s="37">
        <v>5.0</v>
      </c>
      <c r="J151" s="37">
        <v>6.0</v>
      </c>
      <c r="K151" s="37">
        <v>8.0</v>
      </c>
      <c r="L151" s="37">
        <v>9.0</v>
      </c>
      <c r="M151" s="37">
        <v>11.0</v>
      </c>
      <c r="N151" s="37">
        <v>12.0</v>
      </c>
      <c r="O151" s="37">
        <v>14.0</v>
      </c>
      <c r="P151" s="37">
        <v>15.0</v>
      </c>
      <c r="Q151" s="37">
        <v>17.0</v>
      </c>
      <c r="R151" s="37">
        <v>18.0</v>
      </c>
      <c r="S151" s="37">
        <v>20.0</v>
      </c>
      <c r="T151" s="37">
        <v>21.0</v>
      </c>
      <c r="U151" s="37">
        <v>23.0</v>
      </c>
      <c r="V151" s="37">
        <v>24.0</v>
      </c>
      <c r="W151" s="37">
        <v>26.0</v>
      </c>
      <c r="X151" s="37">
        <v>27.0</v>
      </c>
      <c r="Y151" s="37">
        <v>28.0</v>
      </c>
      <c r="Z151" s="37">
        <v>28.0</v>
      </c>
      <c r="AA151" s="182"/>
    </row>
    <row r="152">
      <c r="B152" s="184"/>
      <c r="C152" s="184"/>
      <c r="D152" s="185" t="s">
        <v>1234</v>
      </c>
      <c r="E152" s="186" t="s">
        <v>1267</v>
      </c>
      <c r="F152" s="184" t="s">
        <v>1268</v>
      </c>
      <c r="G152" s="184">
        <v>2.0</v>
      </c>
      <c r="H152" s="184">
        <v>3.0</v>
      </c>
      <c r="I152" s="184">
        <v>5.0</v>
      </c>
      <c r="J152" s="184">
        <v>6.0</v>
      </c>
      <c r="K152" s="184">
        <v>8.0</v>
      </c>
      <c r="L152" s="184">
        <v>9.0</v>
      </c>
      <c r="M152" s="184">
        <v>11.0</v>
      </c>
      <c r="N152" s="184">
        <v>12.0</v>
      </c>
      <c r="O152" s="184">
        <v>14.0</v>
      </c>
      <c r="P152" s="184">
        <v>15.0</v>
      </c>
      <c r="Q152" s="184">
        <v>17.0</v>
      </c>
      <c r="R152" s="184">
        <v>18.0</v>
      </c>
      <c r="S152" s="184">
        <v>20.0</v>
      </c>
      <c r="T152" s="184">
        <v>21.0</v>
      </c>
      <c r="U152" s="184">
        <v>23.0</v>
      </c>
      <c r="V152" s="184">
        <v>24.0</v>
      </c>
      <c r="W152" s="184">
        <v>26.0</v>
      </c>
      <c r="X152" s="184">
        <v>27.0</v>
      </c>
      <c r="Y152" s="184">
        <v>29.0</v>
      </c>
      <c r="Z152" s="184">
        <v>29.0</v>
      </c>
      <c r="AA152" s="192"/>
    </row>
    <row r="153">
      <c r="A153" s="180" t="s">
        <v>233</v>
      </c>
      <c r="B153" s="37" t="s">
        <v>264</v>
      </c>
      <c r="C153" s="37"/>
      <c r="D153" s="183"/>
      <c r="E153" s="181" t="s">
        <v>799</v>
      </c>
      <c r="F153" s="35"/>
      <c r="G153" s="35"/>
      <c r="H153" s="35"/>
      <c r="I153" s="37" t="s">
        <v>1251</v>
      </c>
      <c r="J153" s="35"/>
      <c r="K153" s="35"/>
      <c r="L153" s="35"/>
      <c r="M153" s="35"/>
      <c r="N153" s="35"/>
      <c r="O153" s="35"/>
      <c r="P153" s="35"/>
      <c r="Q153" s="35"/>
      <c r="R153" s="35"/>
      <c r="S153" s="35"/>
      <c r="T153" s="35"/>
      <c r="U153" s="35"/>
      <c r="V153" s="35"/>
      <c r="W153" s="35"/>
      <c r="X153" s="35"/>
      <c r="Y153" s="37" t="s">
        <v>1287</v>
      </c>
      <c r="Z153" s="35"/>
      <c r="AA153" s="182"/>
    </row>
    <row r="154">
      <c r="B154" s="90" t="s">
        <v>1288</v>
      </c>
      <c r="C154" s="37"/>
      <c r="D154" s="183"/>
      <c r="E154" s="181" t="s">
        <v>811</v>
      </c>
      <c r="F154" s="35"/>
      <c r="G154" s="35"/>
      <c r="H154" s="35"/>
      <c r="I154" s="37" t="s">
        <v>1254</v>
      </c>
      <c r="J154" s="35"/>
      <c r="K154" s="35"/>
      <c r="L154" s="35"/>
      <c r="M154" s="35"/>
      <c r="N154" s="35"/>
      <c r="O154" s="35"/>
      <c r="P154" s="35"/>
      <c r="Q154" s="35"/>
      <c r="R154" s="35"/>
      <c r="S154" s="35"/>
      <c r="T154" s="35"/>
      <c r="U154" s="35"/>
      <c r="V154" s="35"/>
      <c r="W154" s="35"/>
      <c r="X154" s="35"/>
      <c r="Y154" s="37" t="s">
        <v>1291</v>
      </c>
      <c r="Z154" s="35"/>
      <c r="AA154" s="182"/>
    </row>
    <row r="155">
      <c r="B155" s="37" t="s">
        <v>1292</v>
      </c>
      <c r="C155" s="37"/>
      <c r="D155" s="183"/>
      <c r="E155" s="181" t="s">
        <v>821</v>
      </c>
      <c r="F155" s="37" t="s">
        <v>921</v>
      </c>
      <c r="G155" s="37" t="s">
        <v>435</v>
      </c>
      <c r="H155" s="37" t="s">
        <v>435</v>
      </c>
      <c r="I155" s="37" t="s">
        <v>435</v>
      </c>
      <c r="J155" s="37" t="s">
        <v>435</v>
      </c>
      <c r="K155" s="37" t="s">
        <v>435</v>
      </c>
      <c r="L155" s="37" t="s">
        <v>435</v>
      </c>
      <c r="M155" s="37" t="s">
        <v>435</v>
      </c>
      <c r="N155" s="37" t="s">
        <v>435</v>
      </c>
      <c r="O155" s="37" t="s">
        <v>435</v>
      </c>
      <c r="P155" s="37" t="s">
        <v>435</v>
      </c>
      <c r="Q155" s="37" t="s">
        <v>436</v>
      </c>
      <c r="R155" s="37" t="s">
        <v>436</v>
      </c>
      <c r="S155" s="37" t="s">
        <v>824</v>
      </c>
      <c r="T155" s="37" t="s">
        <v>436</v>
      </c>
      <c r="U155" s="37" t="s">
        <v>436</v>
      </c>
      <c r="V155" s="37" t="s">
        <v>436</v>
      </c>
      <c r="W155" s="37" t="s">
        <v>436</v>
      </c>
      <c r="X155" s="37" t="s">
        <v>436</v>
      </c>
      <c r="Y155" s="37" t="s">
        <v>436</v>
      </c>
      <c r="Z155" s="37" t="s">
        <v>436</v>
      </c>
      <c r="AA155" s="182"/>
    </row>
    <row r="156">
      <c r="B156" s="37" t="s">
        <v>1162</v>
      </c>
      <c r="C156" s="37"/>
      <c r="D156" s="183"/>
      <c r="E156" s="181" t="s">
        <v>832</v>
      </c>
      <c r="F156" s="37" t="s">
        <v>434</v>
      </c>
      <c r="G156" s="37" t="s">
        <v>435</v>
      </c>
      <c r="H156" s="37" t="s">
        <v>435</v>
      </c>
      <c r="I156" s="37" t="s">
        <v>435</v>
      </c>
      <c r="J156" s="37" t="s">
        <v>435</v>
      </c>
      <c r="K156" s="37" t="s">
        <v>435</v>
      </c>
      <c r="L156" s="37" t="s">
        <v>435</v>
      </c>
      <c r="M156" s="37" t="s">
        <v>435</v>
      </c>
      <c r="N156" s="37" t="s">
        <v>435</v>
      </c>
      <c r="O156" s="37" t="s">
        <v>435</v>
      </c>
      <c r="P156" s="37" t="s">
        <v>435</v>
      </c>
      <c r="Q156" s="37" t="s">
        <v>435</v>
      </c>
      <c r="R156" s="37" t="s">
        <v>435</v>
      </c>
      <c r="S156" s="37" t="s">
        <v>436</v>
      </c>
      <c r="T156" s="37" t="s">
        <v>436</v>
      </c>
      <c r="U156" s="37" t="s">
        <v>436</v>
      </c>
      <c r="V156" s="37" t="s">
        <v>436</v>
      </c>
      <c r="W156" s="37" t="s">
        <v>436</v>
      </c>
      <c r="X156" s="37" t="s">
        <v>436</v>
      </c>
      <c r="Y156" s="37" t="s">
        <v>436</v>
      </c>
      <c r="Z156" s="37" t="s">
        <v>436</v>
      </c>
      <c r="AA156" s="182"/>
    </row>
    <row r="157">
      <c r="B157" s="37" t="s">
        <v>1142</v>
      </c>
      <c r="C157" s="37"/>
      <c r="D157" s="183"/>
      <c r="E157" s="181" t="s">
        <v>837</v>
      </c>
      <c r="F157" s="35"/>
      <c r="G157" s="37" t="s">
        <v>1163</v>
      </c>
      <c r="H157" s="37" t="s">
        <v>1163</v>
      </c>
      <c r="I157" s="37" t="s">
        <v>1163</v>
      </c>
      <c r="J157" s="37" t="s">
        <v>1163</v>
      </c>
      <c r="K157" s="37" t="s">
        <v>838</v>
      </c>
      <c r="L157" s="37" t="s">
        <v>838</v>
      </c>
      <c r="M157" s="37" t="s">
        <v>838</v>
      </c>
      <c r="N157" s="37" t="s">
        <v>838</v>
      </c>
      <c r="O157" s="37" t="s">
        <v>898</v>
      </c>
      <c r="P157" s="37" t="s">
        <v>898</v>
      </c>
      <c r="Q157" s="37" t="s">
        <v>898</v>
      </c>
      <c r="R157" s="37" t="s">
        <v>898</v>
      </c>
      <c r="S157" s="37" t="s">
        <v>898</v>
      </c>
      <c r="T157" s="37" t="s">
        <v>898</v>
      </c>
      <c r="U157" s="37" t="s">
        <v>898</v>
      </c>
      <c r="V157" s="37" t="s">
        <v>898</v>
      </c>
      <c r="W157" s="37" t="s">
        <v>1062</v>
      </c>
      <c r="X157" s="37" t="s">
        <v>1062</v>
      </c>
      <c r="Y157" s="37" t="s">
        <v>1062</v>
      </c>
      <c r="Z157" s="37" t="s">
        <v>1062</v>
      </c>
      <c r="AA157" s="182"/>
    </row>
    <row r="158">
      <c r="B158" s="37" t="s">
        <v>1293</v>
      </c>
      <c r="C158" s="37"/>
      <c r="D158" s="183"/>
      <c r="E158" s="181" t="s">
        <v>637</v>
      </c>
      <c r="F158" s="35"/>
      <c r="G158" s="37" t="s">
        <v>435</v>
      </c>
      <c r="H158" s="37" t="s">
        <v>435</v>
      </c>
      <c r="I158" s="37" t="s">
        <v>435</v>
      </c>
      <c r="J158" s="37" t="s">
        <v>435</v>
      </c>
      <c r="K158" s="37" t="s">
        <v>435</v>
      </c>
      <c r="L158" s="37" t="s">
        <v>435</v>
      </c>
      <c r="M158" s="37" t="s">
        <v>435</v>
      </c>
      <c r="N158" s="37" t="s">
        <v>435</v>
      </c>
      <c r="O158" s="37" t="s">
        <v>435</v>
      </c>
      <c r="P158" s="37" t="s">
        <v>435</v>
      </c>
      <c r="Q158" s="37" t="s">
        <v>436</v>
      </c>
      <c r="R158" s="37" t="s">
        <v>436</v>
      </c>
      <c r="S158" s="37" t="s">
        <v>436</v>
      </c>
      <c r="T158" s="37" t="s">
        <v>436</v>
      </c>
      <c r="U158" s="37" t="s">
        <v>436</v>
      </c>
      <c r="V158" s="37" t="s">
        <v>436</v>
      </c>
      <c r="W158" s="37" t="s">
        <v>436</v>
      </c>
      <c r="X158" s="37" t="s">
        <v>436</v>
      </c>
      <c r="Y158" s="37" t="s">
        <v>436</v>
      </c>
      <c r="Z158" s="37" t="s">
        <v>436</v>
      </c>
      <c r="AA158" s="182"/>
    </row>
    <row r="159">
      <c r="B159" s="37"/>
      <c r="C159" s="37" t="s">
        <v>1294</v>
      </c>
      <c r="D159" s="183" t="s">
        <v>1245</v>
      </c>
      <c r="E159" s="181" t="s">
        <v>480</v>
      </c>
      <c r="F159" s="35"/>
      <c r="G159" s="37" t="s">
        <v>435</v>
      </c>
      <c r="H159" s="37" t="s">
        <v>435</v>
      </c>
      <c r="I159" s="37" t="s">
        <v>435</v>
      </c>
      <c r="J159" s="37" t="s">
        <v>435</v>
      </c>
      <c r="K159" s="37" t="s">
        <v>435</v>
      </c>
      <c r="L159" s="37" t="s">
        <v>435</v>
      </c>
      <c r="M159" s="37" t="s">
        <v>436</v>
      </c>
      <c r="N159" s="37" t="s">
        <v>436</v>
      </c>
      <c r="O159" s="37" t="s">
        <v>436</v>
      </c>
      <c r="P159" s="37" t="s">
        <v>436</v>
      </c>
      <c r="Q159" s="37" t="s">
        <v>436</v>
      </c>
      <c r="R159" s="37" t="s">
        <v>436</v>
      </c>
      <c r="S159" s="37" t="s">
        <v>436</v>
      </c>
      <c r="T159" s="37" t="s">
        <v>436</v>
      </c>
      <c r="U159" s="37" t="s">
        <v>437</v>
      </c>
      <c r="V159" s="37" t="s">
        <v>437</v>
      </c>
      <c r="W159" s="37" t="s">
        <v>437</v>
      </c>
      <c r="X159" s="37" t="s">
        <v>437</v>
      </c>
      <c r="Y159" s="37" t="s">
        <v>466</v>
      </c>
      <c r="Z159" s="37" t="s">
        <v>466</v>
      </c>
      <c r="AA159" s="182"/>
    </row>
    <row r="160">
      <c r="B160" s="37"/>
      <c r="C160" s="37" t="s">
        <v>1286</v>
      </c>
      <c r="D160" s="183"/>
      <c r="E160" s="181" t="s">
        <v>1265</v>
      </c>
      <c r="F160" s="37" t="s">
        <v>1151</v>
      </c>
      <c r="G160" s="37">
        <v>3.0</v>
      </c>
      <c r="H160" s="37">
        <v>4.0</v>
      </c>
      <c r="I160" s="37">
        <v>7.0</v>
      </c>
      <c r="J160" s="37">
        <v>8.0</v>
      </c>
      <c r="K160" s="37">
        <v>11.0</v>
      </c>
      <c r="L160" s="37">
        <v>12.0</v>
      </c>
      <c r="M160" s="37">
        <v>15.0</v>
      </c>
      <c r="N160" s="37">
        <v>16.0</v>
      </c>
      <c r="O160" s="37">
        <v>19.0</v>
      </c>
      <c r="P160" s="37">
        <v>20.0</v>
      </c>
      <c r="Q160" s="37">
        <v>23.0</v>
      </c>
      <c r="R160" s="37">
        <v>24.0</v>
      </c>
      <c r="S160" s="37">
        <v>27.0</v>
      </c>
      <c r="T160" s="37">
        <v>28.0</v>
      </c>
      <c r="U160" s="37">
        <v>31.0</v>
      </c>
      <c r="V160" s="37">
        <v>32.0</v>
      </c>
      <c r="W160" s="37">
        <v>35.0</v>
      </c>
      <c r="X160" s="37">
        <v>36.0</v>
      </c>
      <c r="Y160" s="37">
        <v>37.0</v>
      </c>
      <c r="Z160" s="37">
        <v>37.0</v>
      </c>
      <c r="AA160" s="182"/>
    </row>
    <row r="161">
      <c r="B161" s="184"/>
      <c r="C161" s="184"/>
      <c r="D161" s="185" t="s">
        <v>1170</v>
      </c>
      <c r="E161" s="186" t="s">
        <v>1267</v>
      </c>
      <c r="F161" s="184" t="s">
        <v>1151</v>
      </c>
      <c r="G161" s="184">
        <v>3.0</v>
      </c>
      <c r="H161" s="184">
        <v>4.0</v>
      </c>
      <c r="I161" s="184">
        <v>7.0</v>
      </c>
      <c r="J161" s="184">
        <v>8.0</v>
      </c>
      <c r="K161" s="184">
        <v>11.0</v>
      </c>
      <c r="L161" s="184">
        <v>12.0</v>
      </c>
      <c r="M161" s="184">
        <v>15.0</v>
      </c>
      <c r="N161" s="184">
        <v>16.0</v>
      </c>
      <c r="O161" s="184">
        <v>19.0</v>
      </c>
      <c r="P161" s="184">
        <v>20.0</v>
      </c>
      <c r="Q161" s="184">
        <v>23.0</v>
      </c>
      <c r="R161" s="184">
        <v>24.0</v>
      </c>
      <c r="S161" s="184">
        <v>27.0</v>
      </c>
      <c r="T161" s="184">
        <v>28.0</v>
      </c>
      <c r="U161" s="184">
        <v>31.0</v>
      </c>
      <c r="V161" s="184">
        <v>32.0</v>
      </c>
      <c r="W161" s="184">
        <v>35.0</v>
      </c>
      <c r="X161" s="184">
        <v>36.0</v>
      </c>
      <c r="Y161" s="184">
        <v>38.0</v>
      </c>
      <c r="Z161" s="184">
        <v>38.0</v>
      </c>
      <c r="AA161" s="192"/>
    </row>
    <row r="162">
      <c r="A162" s="180" t="s">
        <v>195</v>
      </c>
      <c r="B162" s="37" t="s">
        <v>264</v>
      </c>
      <c r="C162" s="37" t="s">
        <v>1296</v>
      </c>
      <c r="D162" s="183"/>
      <c r="E162" s="181" t="s">
        <v>799</v>
      </c>
      <c r="F162" s="35"/>
      <c r="G162" s="35"/>
      <c r="H162" s="35"/>
      <c r="I162" s="37" t="s">
        <v>1297</v>
      </c>
      <c r="J162" s="35"/>
      <c r="K162" s="35"/>
      <c r="L162" s="35"/>
      <c r="M162" s="37" t="s">
        <v>1298</v>
      </c>
      <c r="N162" s="35"/>
      <c r="O162" s="35"/>
      <c r="P162" s="35"/>
      <c r="Q162" s="35"/>
      <c r="R162" s="35"/>
      <c r="S162" s="35"/>
      <c r="T162" s="35"/>
      <c r="U162" s="35"/>
      <c r="V162" s="35"/>
      <c r="W162" s="37" t="s">
        <v>1299</v>
      </c>
      <c r="X162" s="35"/>
      <c r="Y162" s="37" t="s">
        <v>1300</v>
      </c>
      <c r="Z162" s="35"/>
      <c r="AA162" s="182"/>
    </row>
    <row r="163">
      <c r="B163" s="90" t="s">
        <v>1301</v>
      </c>
      <c r="C163" s="37" t="s">
        <v>1302</v>
      </c>
      <c r="D163" s="183"/>
      <c r="E163" s="181" t="s">
        <v>811</v>
      </c>
      <c r="F163" s="35"/>
      <c r="G163" s="35"/>
      <c r="H163" s="35"/>
      <c r="I163" s="37" t="s">
        <v>1303</v>
      </c>
      <c r="J163" s="35"/>
      <c r="K163" s="35"/>
      <c r="L163" s="35"/>
      <c r="M163" s="37" t="s">
        <v>1304</v>
      </c>
      <c r="N163" s="35"/>
      <c r="O163" s="35"/>
      <c r="P163" s="35"/>
      <c r="Q163" s="35"/>
      <c r="R163" s="35"/>
      <c r="S163" s="35"/>
      <c r="T163" s="35"/>
      <c r="U163" s="35"/>
      <c r="V163" s="35"/>
      <c r="W163" s="37" t="s">
        <v>1305</v>
      </c>
      <c r="X163" s="35"/>
      <c r="Y163" s="37" t="s">
        <v>1306</v>
      </c>
      <c r="Z163" s="35"/>
      <c r="AA163" s="182"/>
    </row>
    <row r="164">
      <c r="B164" s="37" t="s">
        <v>1307</v>
      </c>
      <c r="C164" s="37" t="s">
        <v>1308</v>
      </c>
      <c r="D164" s="183" t="s">
        <v>1309</v>
      </c>
      <c r="E164" s="181" t="s">
        <v>1310</v>
      </c>
      <c r="F164" s="37" t="s">
        <v>921</v>
      </c>
      <c r="G164" s="37" t="s">
        <v>435</v>
      </c>
      <c r="H164" s="37" t="s">
        <v>435</v>
      </c>
      <c r="I164" s="37" t="s">
        <v>435</v>
      </c>
      <c r="J164" s="37" t="s">
        <v>435</v>
      </c>
      <c r="K164" s="37" t="s">
        <v>435</v>
      </c>
      <c r="L164" s="37" t="s">
        <v>435</v>
      </c>
      <c r="M164" s="37" t="s">
        <v>435</v>
      </c>
      <c r="N164" s="37" t="s">
        <v>435</v>
      </c>
      <c r="O164" s="37" t="s">
        <v>435</v>
      </c>
      <c r="P164" s="37" t="s">
        <v>435</v>
      </c>
      <c r="Q164" s="37" t="s">
        <v>436</v>
      </c>
      <c r="R164" s="37" t="s">
        <v>436</v>
      </c>
      <c r="S164" s="37" t="s">
        <v>824</v>
      </c>
      <c r="T164" s="37" t="s">
        <v>436</v>
      </c>
      <c r="U164" s="37" t="s">
        <v>436</v>
      </c>
      <c r="V164" s="37" t="s">
        <v>436</v>
      </c>
      <c r="W164" s="37" t="s">
        <v>436</v>
      </c>
      <c r="X164" s="37" t="s">
        <v>436</v>
      </c>
      <c r="Y164" s="37" t="s">
        <v>436</v>
      </c>
      <c r="Z164" s="37" t="s">
        <v>436</v>
      </c>
      <c r="AA164" s="182"/>
    </row>
    <row r="165">
      <c r="B165" s="37"/>
      <c r="C165" s="37"/>
      <c r="D165" s="183"/>
      <c r="E165" s="181" t="s">
        <v>1311</v>
      </c>
      <c r="F165" s="37" t="s">
        <v>434</v>
      </c>
      <c r="G165" s="37" t="s">
        <v>435</v>
      </c>
      <c r="H165" s="37" t="s">
        <v>435</v>
      </c>
      <c r="I165" s="37" t="s">
        <v>435</v>
      </c>
      <c r="J165" s="37" t="s">
        <v>435</v>
      </c>
      <c r="K165" s="37" t="s">
        <v>436</v>
      </c>
      <c r="L165" s="37" t="s">
        <v>436</v>
      </c>
      <c r="M165" s="37" t="s">
        <v>824</v>
      </c>
      <c r="N165" s="37" t="s">
        <v>436</v>
      </c>
      <c r="O165" s="37" t="s">
        <v>436</v>
      </c>
      <c r="P165" s="37" t="s">
        <v>436</v>
      </c>
      <c r="Q165" s="37" t="s">
        <v>436</v>
      </c>
      <c r="R165" s="37" t="s">
        <v>436</v>
      </c>
      <c r="S165" s="37" t="s">
        <v>437</v>
      </c>
      <c r="T165" s="37" t="s">
        <v>437</v>
      </c>
      <c r="U165" s="37" t="s">
        <v>828</v>
      </c>
      <c r="V165" s="37" t="s">
        <v>437</v>
      </c>
      <c r="W165" s="37" t="s">
        <v>437</v>
      </c>
      <c r="X165" s="37" t="s">
        <v>437</v>
      </c>
      <c r="Y165" s="37" t="s">
        <v>437</v>
      </c>
      <c r="Z165" s="37" t="s">
        <v>437</v>
      </c>
      <c r="AA165" s="182"/>
    </row>
    <row r="166">
      <c r="B166" s="37" t="s">
        <v>859</v>
      </c>
      <c r="C166" s="37" t="s">
        <v>1312</v>
      </c>
      <c r="D166" s="183"/>
      <c r="E166" s="181" t="s">
        <v>1313</v>
      </c>
      <c r="F166" s="37" t="s">
        <v>434</v>
      </c>
      <c r="G166" s="37" t="s">
        <v>435</v>
      </c>
      <c r="H166" s="37" t="s">
        <v>435</v>
      </c>
      <c r="I166" s="37" t="s">
        <v>435</v>
      </c>
      <c r="J166" s="37" t="s">
        <v>435</v>
      </c>
      <c r="K166" s="37" t="s">
        <v>435</v>
      </c>
      <c r="L166" s="37" t="s">
        <v>435</v>
      </c>
      <c r="M166" s="37" t="s">
        <v>435</v>
      </c>
      <c r="N166" s="37" t="s">
        <v>435</v>
      </c>
      <c r="O166" s="37" t="s">
        <v>435</v>
      </c>
      <c r="P166" s="37" t="s">
        <v>435</v>
      </c>
      <c r="Q166" s="37" t="s">
        <v>435</v>
      </c>
      <c r="R166" s="37" t="s">
        <v>435</v>
      </c>
      <c r="S166" s="37" t="s">
        <v>436</v>
      </c>
      <c r="T166" s="37" t="s">
        <v>436</v>
      </c>
      <c r="U166" s="37" t="s">
        <v>436</v>
      </c>
      <c r="V166" s="37" t="s">
        <v>436</v>
      </c>
      <c r="W166" s="37" t="s">
        <v>436</v>
      </c>
      <c r="X166" s="37" t="s">
        <v>436</v>
      </c>
      <c r="Y166" s="37" t="s">
        <v>436</v>
      </c>
      <c r="Z166" s="37" t="s">
        <v>436</v>
      </c>
      <c r="AA166" s="182"/>
    </row>
    <row r="167">
      <c r="B167" s="37"/>
      <c r="C167" s="37"/>
      <c r="D167" s="183"/>
      <c r="E167" s="181" t="s">
        <v>1317</v>
      </c>
      <c r="F167" s="37" t="s">
        <v>434</v>
      </c>
      <c r="G167" s="37" t="s">
        <v>435</v>
      </c>
      <c r="H167" s="37" t="s">
        <v>435</v>
      </c>
      <c r="I167" s="37" t="s">
        <v>435</v>
      </c>
      <c r="J167" s="37" t="s">
        <v>435</v>
      </c>
      <c r="K167" s="37" t="s">
        <v>435</v>
      </c>
      <c r="L167" s="37" t="s">
        <v>435</v>
      </c>
      <c r="M167" s="37" t="s">
        <v>435</v>
      </c>
      <c r="N167" s="37" t="s">
        <v>435</v>
      </c>
      <c r="O167" s="37" t="s">
        <v>435</v>
      </c>
      <c r="P167" s="37" t="s">
        <v>435</v>
      </c>
      <c r="Q167" s="37" t="s">
        <v>436</v>
      </c>
      <c r="R167" s="37" t="s">
        <v>436</v>
      </c>
      <c r="S167" s="37" t="s">
        <v>436</v>
      </c>
      <c r="T167" s="37" t="s">
        <v>436</v>
      </c>
      <c r="U167" s="37" t="s">
        <v>436</v>
      </c>
      <c r="V167" s="37" t="s">
        <v>436</v>
      </c>
      <c r="W167" s="37" t="s">
        <v>436</v>
      </c>
      <c r="X167" s="37" t="s">
        <v>436</v>
      </c>
      <c r="Y167" s="37" t="s">
        <v>437</v>
      </c>
      <c r="Z167" s="37" t="s">
        <v>437</v>
      </c>
      <c r="AA167" s="182"/>
    </row>
    <row r="168">
      <c r="B168" s="37" t="s">
        <v>1318</v>
      </c>
      <c r="C168" s="37"/>
      <c r="D168" s="183"/>
      <c r="E168" s="181" t="s">
        <v>837</v>
      </c>
      <c r="F168" s="35"/>
      <c r="G168" s="37" t="s">
        <v>838</v>
      </c>
      <c r="H168" s="37" t="s">
        <v>838</v>
      </c>
      <c r="I168" s="37" t="s">
        <v>838</v>
      </c>
      <c r="J168" s="37" t="s">
        <v>838</v>
      </c>
      <c r="K168" s="37" t="s">
        <v>838</v>
      </c>
      <c r="L168" s="37" t="s">
        <v>838</v>
      </c>
      <c r="M168" s="37" t="s">
        <v>838</v>
      </c>
      <c r="N168" s="37" t="s">
        <v>838</v>
      </c>
      <c r="O168" s="37" t="s">
        <v>898</v>
      </c>
      <c r="P168" s="37" t="s">
        <v>898</v>
      </c>
      <c r="Q168" s="37" t="s">
        <v>841</v>
      </c>
      <c r="R168" s="37" t="s">
        <v>841</v>
      </c>
      <c r="S168" s="37" t="s">
        <v>841</v>
      </c>
      <c r="T168" s="37" t="s">
        <v>841</v>
      </c>
      <c r="U168" s="37" t="s">
        <v>864</v>
      </c>
      <c r="V168" s="37" t="s">
        <v>864</v>
      </c>
      <c r="W168" s="37" t="s">
        <v>864</v>
      </c>
      <c r="X168" s="37" t="s">
        <v>864</v>
      </c>
      <c r="Y168" s="37" t="s">
        <v>864</v>
      </c>
      <c r="Z168" s="37" t="s">
        <v>864</v>
      </c>
      <c r="AA168" s="182"/>
    </row>
    <row r="169">
      <c r="B169" s="37" t="s">
        <v>1319</v>
      </c>
      <c r="C169" s="37"/>
      <c r="D169" s="183"/>
      <c r="E169" s="181" t="s">
        <v>637</v>
      </c>
      <c r="F169" s="35"/>
      <c r="G169" s="37" t="s">
        <v>435</v>
      </c>
      <c r="H169" s="37" t="s">
        <v>435</v>
      </c>
      <c r="I169" s="37" t="s">
        <v>436</v>
      </c>
      <c r="J169" s="37" t="s">
        <v>436</v>
      </c>
      <c r="K169" s="37" t="s">
        <v>436</v>
      </c>
      <c r="L169" s="37" t="s">
        <v>436</v>
      </c>
      <c r="M169" s="37" t="s">
        <v>436</v>
      </c>
      <c r="N169" s="37" t="s">
        <v>436</v>
      </c>
      <c r="O169" s="37" t="s">
        <v>436</v>
      </c>
      <c r="P169" s="37" t="s">
        <v>436</v>
      </c>
      <c r="Q169" s="37" t="s">
        <v>436</v>
      </c>
      <c r="R169" s="37" t="s">
        <v>436</v>
      </c>
      <c r="S169" s="37" t="s">
        <v>436</v>
      </c>
      <c r="T169" s="37" t="s">
        <v>436</v>
      </c>
      <c r="U169" s="37" t="s">
        <v>436</v>
      </c>
      <c r="V169" s="37" t="s">
        <v>436</v>
      </c>
      <c r="W169" s="37" t="s">
        <v>436</v>
      </c>
      <c r="X169" s="37" t="s">
        <v>436</v>
      </c>
      <c r="Y169" s="37" t="s">
        <v>436</v>
      </c>
      <c r="Z169" s="37" t="s">
        <v>436</v>
      </c>
      <c r="AA169" s="182"/>
    </row>
    <row r="170">
      <c r="B170" s="37"/>
      <c r="C170" s="37" t="s">
        <v>1320</v>
      </c>
      <c r="D170" s="37" t="s">
        <v>1321</v>
      </c>
      <c r="E170" s="181" t="s">
        <v>480</v>
      </c>
      <c r="F170" s="35"/>
      <c r="G170" s="37" t="s">
        <v>435</v>
      </c>
      <c r="H170" s="37" t="s">
        <v>435</v>
      </c>
      <c r="I170" s="37" t="s">
        <v>435</v>
      </c>
      <c r="J170" s="37" t="s">
        <v>435</v>
      </c>
      <c r="K170" s="37" t="s">
        <v>435</v>
      </c>
      <c r="L170" s="37" t="s">
        <v>435</v>
      </c>
      <c r="M170" s="37" t="s">
        <v>435</v>
      </c>
      <c r="N170" s="37" t="s">
        <v>435</v>
      </c>
      <c r="O170" s="37" t="s">
        <v>436</v>
      </c>
      <c r="P170" s="37" t="s">
        <v>436</v>
      </c>
      <c r="Q170" s="37" t="s">
        <v>436</v>
      </c>
      <c r="R170" s="37" t="s">
        <v>436</v>
      </c>
      <c r="S170" s="37" t="s">
        <v>436</v>
      </c>
      <c r="T170" s="37" t="s">
        <v>436</v>
      </c>
      <c r="U170" s="37" t="s">
        <v>436</v>
      </c>
      <c r="V170" s="37" t="s">
        <v>436</v>
      </c>
      <c r="W170" s="37" t="s">
        <v>437</v>
      </c>
      <c r="X170" s="37" t="s">
        <v>437</v>
      </c>
      <c r="Y170" s="37" t="s">
        <v>437</v>
      </c>
      <c r="Z170" s="37" t="s">
        <v>437</v>
      </c>
      <c r="AA170" s="182"/>
    </row>
    <row r="171">
      <c r="B171" s="37"/>
      <c r="C171" s="37"/>
      <c r="D171" s="37" t="s">
        <v>1322</v>
      </c>
      <c r="E171" s="181" t="s">
        <v>1323</v>
      </c>
      <c r="F171" s="37" t="s">
        <v>1151</v>
      </c>
      <c r="G171" s="37">
        <v>1.0</v>
      </c>
      <c r="H171" s="37">
        <v>2.0</v>
      </c>
      <c r="I171" s="37">
        <v>3.0</v>
      </c>
      <c r="J171" s="37">
        <v>4.0</v>
      </c>
      <c r="K171" s="37">
        <v>4.0</v>
      </c>
      <c r="L171" s="37">
        <v>4.0</v>
      </c>
      <c r="M171" s="37">
        <v>4.0</v>
      </c>
      <c r="N171" s="37">
        <v>4.0</v>
      </c>
      <c r="O171" s="37">
        <v>4.0</v>
      </c>
      <c r="P171" s="37">
        <v>4.0</v>
      </c>
      <c r="Q171" s="37">
        <v>4.0</v>
      </c>
      <c r="R171" s="37">
        <v>4.0</v>
      </c>
      <c r="S171" s="37">
        <v>4.0</v>
      </c>
      <c r="T171" s="37">
        <v>4.0</v>
      </c>
      <c r="U171" s="37">
        <v>4.0</v>
      </c>
      <c r="V171" s="37">
        <v>4.0</v>
      </c>
      <c r="W171" s="37">
        <v>4.0</v>
      </c>
      <c r="X171" s="37">
        <v>4.0</v>
      </c>
      <c r="Y171" s="37">
        <v>4.0</v>
      </c>
      <c r="Z171" s="37">
        <v>4.0</v>
      </c>
      <c r="AA171" s="182"/>
    </row>
    <row r="172">
      <c r="B172" s="184"/>
      <c r="C172" s="184"/>
      <c r="D172" s="185" t="s">
        <v>1170</v>
      </c>
      <c r="E172" s="186" t="s">
        <v>1267</v>
      </c>
      <c r="F172" s="184" t="s">
        <v>1151</v>
      </c>
      <c r="G172" s="184">
        <v>2.0</v>
      </c>
      <c r="H172" s="184">
        <v>3.0</v>
      </c>
      <c r="I172" s="184">
        <v>4.0</v>
      </c>
      <c r="J172" s="184">
        <v>5.0</v>
      </c>
      <c r="K172" s="184">
        <v>5.0</v>
      </c>
      <c r="L172" s="184">
        <v>5.0</v>
      </c>
      <c r="M172" s="184">
        <v>5.0</v>
      </c>
      <c r="N172" s="184">
        <v>5.0</v>
      </c>
      <c r="O172" s="184">
        <v>5.0</v>
      </c>
      <c r="P172" s="184">
        <v>5.0</v>
      </c>
      <c r="Q172" s="184">
        <v>5.0</v>
      </c>
      <c r="R172" s="184">
        <v>5.0</v>
      </c>
      <c r="S172" s="184">
        <v>5.0</v>
      </c>
      <c r="T172" s="184">
        <v>5.0</v>
      </c>
      <c r="U172" s="184">
        <v>5.0</v>
      </c>
      <c r="V172" s="184">
        <v>5.0</v>
      </c>
      <c r="W172" s="184">
        <v>5.0</v>
      </c>
      <c r="X172" s="184">
        <v>5.0</v>
      </c>
      <c r="Y172" s="184">
        <v>5.0</v>
      </c>
      <c r="Z172" s="184">
        <v>5.0</v>
      </c>
      <c r="AA172" s="192"/>
    </row>
    <row r="173">
      <c r="A173" s="196"/>
      <c r="B173" s="35"/>
      <c r="C173" s="35"/>
      <c r="D173" s="188"/>
      <c r="E173" s="181"/>
      <c r="F173" s="35"/>
      <c r="G173" s="35"/>
      <c r="H173" s="35"/>
      <c r="I173" s="35"/>
      <c r="J173" s="35"/>
      <c r="K173" s="35"/>
      <c r="L173" s="35"/>
      <c r="M173" s="35"/>
      <c r="N173" s="35"/>
      <c r="O173" s="35"/>
      <c r="P173" s="35"/>
      <c r="Q173" s="35"/>
      <c r="R173" s="35"/>
      <c r="S173" s="35"/>
      <c r="T173" s="35"/>
      <c r="U173" s="35"/>
      <c r="V173" s="35"/>
      <c r="W173" s="35"/>
      <c r="X173" s="35"/>
      <c r="Y173" s="35"/>
      <c r="Z173" s="35"/>
      <c r="AA173" s="182"/>
    </row>
    <row r="174" ht="50.25" customHeight="1">
      <c r="A174" s="177"/>
      <c r="B174" s="21" t="s">
        <v>1324</v>
      </c>
      <c r="C174" s="21"/>
      <c r="D174" s="197"/>
      <c r="E174" s="198"/>
      <c r="F174" s="21"/>
      <c r="G174" s="12" t="s">
        <v>1325</v>
      </c>
      <c r="H174" s="22" t="s">
        <v>1326</v>
      </c>
      <c r="I174" s="22" t="s">
        <v>1328</v>
      </c>
      <c r="J174" s="22" t="s">
        <v>1326</v>
      </c>
      <c r="K174" s="22" t="s">
        <v>1329</v>
      </c>
      <c r="L174" s="22" t="s">
        <v>1326</v>
      </c>
      <c r="M174" s="22" t="s">
        <v>1328</v>
      </c>
      <c r="N174" s="22" t="s">
        <v>1326</v>
      </c>
      <c r="O174" s="22" t="s">
        <v>1329</v>
      </c>
      <c r="P174" s="22" t="s">
        <v>1326</v>
      </c>
      <c r="Q174" s="22" t="s">
        <v>1328</v>
      </c>
      <c r="R174" s="22" t="s">
        <v>1326</v>
      </c>
      <c r="S174" s="22" t="s">
        <v>1329</v>
      </c>
      <c r="T174" s="22" t="s">
        <v>1326</v>
      </c>
      <c r="U174" s="22" t="s">
        <v>1328</v>
      </c>
      <c r="V174" s="22" t="s">
        <v>1326</v>
      </c>
      <c r="W174" s="22" t="s">
        <v>1329</v>
      </c>
      <c r="X174" s="22" t="s">
        <v>1326</v>
      </c>
      <c r="Y174" s="22" t="s">
        <v>1328</v>
      </c>
      <c r="Z174" s="22" t="s">
        <v>1326</v>
      </c>
      <c r="AA174" s="198"/>
    </row>
    <row r="175" ht="50.25" customHeight="1">
      <c r="A175" s="177"/>
      <c r="B175" s="21"/>
      <c r="C175" s="21"/>
      <c r="D175" s="197"/>
      <c r="E175" s="198"/>
      <c r="F175" s="21"/>
      <c r="G175" s="22" t="s">
        <v>1330</v>
      </c>
      <c r="H175" s="22"/>
      <c r="I175" s="22" t="s">
        <v>1331</v>
      </c>
      <c r="J175" s="22"/>
      <c r="K175" s="22" t="s">
        <v>1331</v>
      </c>
      <c r="L175" s="22"/>
      <c r="M175" s="22" t="s">
        <v>1332</v>
      </c>
      <c r="N175" s="22"/>
      <c r="O175" s="22" t="s">
        <v>1332</v>
      </c>
      <c r="P175" s="22"/>
      <c r="Q175" s="22" t="s">
        <v>1332</v>
      </c>
      <c r="R175" s="22"/>
      <c r="S175" s="22" t="s">
        <v>1332</v>
      </c>
      <c r="T175" s="22"/>
      <c r="U175" s="22" t="s">
        <v>1333</v>
      </c>
      <c r="V175" s="22"/>
      <c r="W175" s="22" t="s">
        <v>1333</v>
      </c>
      <c r="X175" s="22"/>
      <c r="Y175" s="22" t="s">
        <v>1333</v>
      </c>
      <c r="Z175" s="22"/>
      <c r="AA175" s="198"/>
    </row>
    <row r="176" ht="50.25" customHeight="1">
      <c r="A176" s="199"/>
      <c r="B176" s="21" t="s">
        <v>1334</v>
      </c>
      <c r="C176" s="21"/>
      <c r="D176" s="197"/>
      <c r="E176" s="198"/>
      <c r="F176" s="21"/>
      <c r="G176" s="22"/>
      <c r="H176" s="22"/>
      <c r="I176" s="22"/>
      <c r="J176" s="22"/>
      <c r="K176" s="22" t="s">
        <v>1335</v>
      </c>
      <c r="L176" s="22"/>
      <c r="M176" s="22"/>
      <c r="N176" s="22"/>
      <c r="O176" s="22"/>
      <c r="P176" s="22" t="s">
        <v>1335</v>
      </c>
      <c r="Q176" s="22"/>
      <c r="R176" s="22"/>
      <c r="S176" s="22"/>
      <c r="T176" s="22"/>
      <c r="U176" s="22" t="s">
        <v>1335</v>
      </c>
      <c r="V176" s="22"/>
      <c r="W176" s="22"/>
      <c r="X176" s="22"/>
      <c r="Y176" s="22"/>
      <c r="Z176" s="22" t="s">
        <v>1335</v>
      </c>
      <c r="AA176" s="198"/>
    </row>
    <row r="177">
      <c r="A177" s="199"/>
      <c r="B177" s="5"/>
      <c r="C177" s="5"/>
      <c r="D177" s="200"/>
      <c r="E177" s="201"/>
      <c r="F177" s="5"/>
      <c r="G177" s="5"/>
      <c r="H177" s="5"/>
      <c r="I177" s="5"/>
      <c r="J177" s="5"/>
      <c r="K177" s="5"/>
      <c r="L177" s="5"/>
      <c r="M177" s="5"/>
      <c r="N177" s="5"/>
      <c r="O177" s="5"/>
      <c r="P177" s="5"/>
      <c r="Q177" s="5"/>
      <c r="R177" s="5"/>
      <c r="S177" s="5"/>
      <c r="T177" s="5"/>
      <c r="U177" s="5"/>
      <c r="V177" s="5"/>
      <c r="W177" s="5"/>
      <c r="X177" s="5"/>
      <c r="Y177" s="5"/>
      <c r="Z177" s="5"/>
      <c r="AA177" s="201"/>
    </row>
    <row r="178">
      <c r="A178" s="199"/>
      <c r="B178" s="5" t="s">
        <v>465</v>
      </c>
      <c r="C178" s="5"/>
      <c r="D178" s="200"/>
      <c r="E178" s="201"/>
      <c r="F178" s="5"/>
      <c r="G178" s="5"/>
      <c r="H178" s="5"/>
      <c r="I178" s="5"/>
      <c r="J178" s="5"/>
      <c r="K178" s="5"/>
      <c r="L178" s="5"/>
      <c r="M178" s="5"/>
      <c r="N178" s="5"/>
      <c r="O178" s="5"/>
      <c r="P178" s="5"/>
      <c r="Q178" s="5"/>
      <c r="R178" s="5"/>
      <c r="S178" s="5"/>
      <c r="T178" s="5"/>
      <c r="U178" s="5"/>
      <c r="V178" s="5"/>
      <c r="W178" s="5"/>
      <c r="X178" s="5"/>
      <c r="Y178" s="5"/>
      <c r="Z178" s="5"/>
      <c r="AA178" s="201"/>
    </row>
    <row r="179">
      <c r="A179" s="199"/>
      <c r="B179" s="5" t="s">
        <v>1336</v>
      </c>
      <c r="C179" s="5"/>
      <c r="D179" s="200"/>
      <c r="E179" s="201"/>
      <c r="F179" s="5"/>
      <c r="G179" s="5"/>
      <c r="H179" s="5"/>
      <c r="I179" s="5"/>
      <c r="J179" s="5"/>
      <c r="K179" s="5"/>
      <c r="L179" s="5"/>
      <c r="M179" s="5"/>
      <c r="N179" s="5"/>
      <c r="O179" s="5"/>
      <c r="P179" s="5"/>
      <c r="Q179" s="5"/>
      <c r="R179" s="5"/>
      <c r="S179" s="5"/>
      <c r="T179" s="5"/>
      <c r="U179" s="5"/>
      <c r="V179" s="5"/>
      <c r="W179" s="5"/>
      <c r="X179" s="5"/>
      <c r="Y179" s="5"/>
      <c r="Z179" s="5"/>
      <c r="AA179" s="201"/>
    </row>
    <row r="180">
      <c r="A180" s="199"/>
      <c r="B180" s="5" t="s">
        <v>1337</v>
      </c>
      <c r="C180" s="5"/>
      <c r="D180" s="200"/>
      <c r="E180" s="201"/>
      <c r="F180" s="5"/>
      <c r="G180" s="5"/>
      <c r="H180" s="5"/>
      <c r="I180" s="5"/>
      <c r="J180" s="5"/>
      <c r="K180" s="5"/>
      <c r="L180" s="5"/>
      <c r="M180" s="5"/>
      <c r="N180" s="5"/>
      <c r="O180" s="5"/>
      <c r="P180" s="5"/>
      <c r="Q180" s="5"/>
      <c r="R180" s="5"/>
      <c r="S180" s="5"/>
      <c r="T180" s="5"/>
      <c r="U180" s="5"/>
      <c r="V180" s="5"/>
      <c r="W180" s="5"/>
      <c r="X180" s="5"/>
      <c r="Y180" s="5"/>
      <c r="Z180" s="5"/>
      <c r="AA180" s="201"/>
    </row>
    <row r="181">
      <c r="A181" s="199"/>
      <c r="B181" s="5" t="s">
        <v>1338</v>
      </c>
      <c r="C181" s="5"/>
      <c r="D181" s="200"/>
      <c r="E181" s="201"/>
      <c r="F181" s="5"/>
      <c r="G181" s="5"/>
      <c r="H181" s="5"/>
      <c r="I181" s="5"/>
      <c r="J181" s="5"/>
      <c r="K181" s="5"/>
      <c r="L181" s="5"/>
      <c r="M181" s="48" t="s">
        <v>1339</v>
      </c>
      <c r="N181" s="5"/>
      <c r="O181" s="5"/>
      <c r="P181" s="5"/>
      <c r="Q181" s="5"/>
      <c r="R181" s="5"/>
      <c r="S181" s="5"/>
      <c r="T181" s="5"/>
      <c r="U181" s="5"/>
      <c r="V181" s="5"/>
      <c r="W181" s="5"/>
      <c r="X181" s="5"/>
      <c r="Y181" s="5"/>
      <c r="Z181" s="5"/>
      <c r="AA181" s="201"/>
    </row>
    <row r="182">
      <c r="A182" s="199"/>
      <c r="B182" s="5" t="s">
        <v>1340</v>
      </c>
      <c r="C182" s="5"/>
      <c r="D182" s="200"/>
      <c r="E182" s="201"/>
      <c r="F182" s="5"/>
      <c r="G182" s="5"/>
      <c r="H182" s="5"/>
      <c r="I182" s="5"/>
      <c r="J182" s="5"/>
      <c r="K182" s="5"/>
      <c r="L182" s="5"/>
      <c r="M182" s="48" t="s">
        <v>1341</v>
      </c>
      <c r="N182" s="5"/>
      <c r="O182" s="5"/>
      <c r="P182" s="5"/>
      <c r="Q182" s="5"/>
      <c r="R182" s="5"/>
      <c r="S182" s="5"/>
      <c r="T182" s="5"/>
      <c r="U182" s="5"/>
      <c r="V182" s="5"/>
      <c r="W182" s="5"/>
      <c r="X182" s="5"/>
      <c r="Y182" s="5"/>
      <c r="Z182" s="5"/>
      <c r="AA182" s="201"/>
    </row>
    <row r="183">
      <c r="A183" s="199"/>
      <c r="B183" s="5" t="s">
        <v>1342</v>
      </c>
      <c r="C183" s="5"/>
      <c r="D183" s="200"/>
      <c r="E183" s="201"/>
      <c r="F183" s="5"/>
      <c r="G183" s="5"/>
      <c r="H183" s="5"/>
      <c r="I183" s="5"/>
      <c r="J183" s="5"/>
      <c r="K183" s="5"/>
      <c r="L183" s="5"/>
      <c r="M183" s="5"/>
      <c r="N183" s="5"/>
      <c r="O183" s="5"/>
      <c r="P183" s="5"/>
      <c r="Q183" s="5"/>
      <c r="R183" s="5"/>
      <c r="S183" s="5"/>
      <c r="T183" s="5"/>
      <c r="U183" s="5"/>
      <c r="V183" s="5"/>
      <c r="W183" s="5"/>
      <c r="X183" s="5"/>
      <c r="Y183" s="5"/>
      <c r="Z183" s="5"/>
      <c r="AA183" s="201"/>
    </row>
    <row r="184">
      <c r="A184" s="199"/>
      <c r="B184" s="5" t="s">
        <v>1343</v>
      </c>
      <c r="C184" s="5"/>
      <c r="D184" s="200"/>
      <c r="E184" s="201"/>
      <c r="F184" s="5"/>
      <c r="G184" s="5"/>
      <c r="H184" s="5"/>
      <c r="I184" s="5"/>
      <c r="J184" s="5"/>
      <c r="K184" s="5"/>
      <c r="L184" s="5"/>
      <c r="M184" s="5"/>
      <c r="N184" s="5"/>
      <c r="O184" s="5"/>
      <c r="P184" s="5"/>
      <c r="Q184" s="5"/>
      <c r="R184" s="5"/>
      <c r="S184" s="5"/>
      <c r="T184" s="5"/>
      <c r="U184" s="5"/>
      <c r="V184" s="5"/>
      <c r="W184" s="5"/>
      <c r="X184" s="5"/>
      <c r="Y184" s="5"/>
      <c r="Z184" s="5"/>
      <c r="AA184" s="201"/>
    </row>
    <row r="185">
      <c r="A185" s="199"/>
      <c r="B185" s="5"/>
      <c r="C185" s="5"/>
      <c r="D185" s="200"/>
      <c r="E185" s="201"/>
      <c r="F185" s="5"/>
      <c r="G185" s="5"/>
      <c r="H185" s="5"/>
      <c r="I185" s="5"/>
      <c r="J185" s="5"/>
      <c r="K185" s="5"/>
      <c r="L185" s="5"/>
      <c r="M185" s="5"/>
      <c r="N185" s="5"/>
      <c r="O185" s="5"/>
      <c r="P185" s="5"/>
      <c r="Q185" s="5"/>
      <c r="R185" s="5"/>
      <c r="S185" s="5"/>
      <c r="T185" s="5"/>
      <c r="U185" s="5"/>
      <c r="V185" s="5"/>
      <c r="W185" s="5"/>
      <c r="X185" s="5"/>
      <c r="Y185" s="5"/>
      <c r="Z185" s="5"/>
      <c r="AA185" s="201"/>
    </row>
    <row r="186">
      <c r="A186" s="202"/>
      <c r="B186" s="48" t="s">
        <v>1346</v>
      </c>
      <c r="C186" s="5"/>
      <c r="D186" s="200"/>
      <c r="E186" s="201"/>
      <c r="F186" s="5"/>
      <c r="G186" s="5"/>
      <c r="H186" s="5"/>
      <c r="I186" s="5"/>
      <c r="J186" s="5"/>
      <c r="K186" s="5"/>
      <c r="L186" s="5"/>
      <c r="M186" s="5"/>
      <c r="N186" s="5"/>
      <c r="O186" s="5"/>
      <c r="P186" s="5"/>
      <c r="Q186" s="5"/>
      <c r="R186" s="5"/>
      <c r="S186" s="5"/>
      <c r="T186" s="5"/>
      <c r="U186" s="5"/>
      <c r="V186" s="5"/>
      <c r="W186" s="5"/>
      <c r="X186" s="5"/>
      <c r="Y186" s="5"/>
      <c r="Z186" s="5"/>
      <c r="AA186" s="201"/>
    </row>
    <row r="187">
      <c r="A187" s="202"/>
      <c r="B187" s="5"/>
      <c r="C187" s="5"/>
      <c r="D187" s="200"/>
      <c r="E187" s="201"/>
      <c r="F187" s="5"/>
      <c r="G187" s="5"/>
      <c r="H187" s="5"/>
      <c r="I187" s="5"/>
      <c r="J187" s="5"/>
      <c r="K187" s="5"/>
      <c r="L187" s="5"/>
      <c r="M187" s="5"/>
      <c r="N187" s="5"/>
      <c r="O187" s="5"/>
      <c r="P187" s="5"/>
      <c r="Q187" s="5"/>
      <c r="R187" s="5"/>
      <c r="S187" s="5"/>
      <c r="T187" s="5"/>
      <c r="U187" s="5"/>
      <c r="V187" s="5"/>
      <c r="W187" s="5"/>
      <c r="X187" s="5"/>
      <c r="Y187" s="5"/>
      <c r="Z187" s="5"/>
      <c r="AA187" s="201"/>
    </row>
    <row r="188">
      <c r="A188" s="202"/>
      <c r="B188" s="48" t="s">
        <v>1347</v>
      </c>
      <c r="C188" s="5"/>
      <c r="D188" s="200"/>
      <c r="E188" s="201"/>
      <c r="F188" s="5"/>
      <c r="G188" s="5"/>
      <c r="H188" s="5"/>
      <c r="I188" s="5"/>
      <c r="J188" s="5"/>
      <c r="K188" s="5"/>
      <c r="L188" s="5"/>
      <c r="M188" s="5"/>
      <c r="N188" s="5"/>
      <c r="O188" s="5"/>
      <c r="P188" s="5"/>
      <c r="Q188" s="5"/>
      <c r="R188" s="5"/>
      <c r="S188" s="5"/>
      <c r="T188" s="5"/>
      <c r="U188" s="5"/>
      <c r="V188" s="5"/>
      <c r="W188" s="5"/>
      <c r="X188" s="5"/>
      <c r="Y188" s="5"/>
      <c r="Z188" s="5"/>
      <c r="AA188" s="201"/>
    </row>
    <row r="189">
      <c r="A189" s="202"/>
      <c r="B189" s="12" t="s">
        <v>1348</v>
      </c>
      <c r="C189" s="5"/>
      <c r="D189" s="200"/>
      <c r="E189" s="201"/>
      <c r="F189" s="5"/>
      <c r="G189" s="5"/>
      <c r="H189" s="5"/>
      <c r="I189" s="5"/>
      <c r="J189" s="5"/>
      <c r="K189" s="5"/>
      <c r="L189" s="5"/>
      <c r="M189" s="5"/>
      <c r="N189" s="5"/>
      <c r="O189" s="5"/>
      <c r="P189" s="5"/>
      <c r="Q189" s="5"/>
      <c r="R189" s="5"/>
      <c r="S189" s="5"/>
      <c r="T189" s="5"/>
      <c r="U189" s="5"/>
      <c r="V189" s="5"/>
      <c r="W189" s="5"/>
      <c r="X189" s="5"/>
      <c r="Y189" s="5"/>
      <c r="Z189" s="5"/>
      <c r="AA189" s="201"/>
    </row>
    <row r="190">
      <c r="A190" s="202"/>
      <c r="B190" s="69" t="s">
        <v>1349</v>
      </c>
      <c r="C190" s="5"/>
      <c r="D190" s="200"/>
      <c r="E190" s="201"/>
      <c r="F190" s="5"/>
      <c r="G190" s="5"/>
      <c r="H190" s="5"/>
      <c r="I190" s="5"/>
      <c r="J190" s="5"/>
      <c r="K190" s="5"/>
      <c r="L190" s="5"/>
      <c r="M190" s="5"/>
      <c r="N190" s="5"/>
      <c r="O190" s="5"/>
      <c r="P190" s="5"/>
      <c r="Q190" s="5"/>
      <c r="R190" s="5"/>
      <c r="S190" s="5"/>
      <c r="T190" s="5"/>
      <c r="U190" s="5"/>
      <c r="V190" s="5"/>
      <c r="W190" s="5"/>
      <c r="X190" s="5"/>
      <c r="Y190" s="5"/>
      <c r="Z190" s="5"/>
      <c r="AA190" s="201"/>
    </row>
    <row r="191">
      <c r="A191" s="202"/>
      <c r="B191" s="48" t="s">
        <v>1350</v>
      </c>
      <c r="C191" s="5"/>
      <c r="D191" s="200"/>
      <c r="E191" s="201"/>
      <c r="F191" s="5"/>
      <c r="G191" s="5"/>
      <c r="H191" s="5"/>
      <c r="I191" s="5"/>
      <c r="J191" s="5"/>
      <c r="K191" s="5"/>
      <c r="L191" s="5"/>
      <c r="M191" s="5"/>
      <c r="N191" s="5"/>
      <c r="O191" s="5"/>
      <c r="P191" s="5"/>
      <c r="Q191" s="5"/>
      <c r="R191" s="5"/>
      <c r="S191" s="5"/>
      <c r="T191" s="5"/>
      <c r="U191" s="5"/>
      <c r="V191" s="5"/>
      <c r="W191" s="5"/>
      <c r="X191" s="5"/>
      <c r="Y191" s="5"/>
      <c r="Z191" s="5"/>
      <c r="AA191" s="201"/>
    </row>
    <row r="192">
      <c r="A192" s="202"/>
      <c r="B192" s="48" t="s">
        <v>1351</v>
      </c>
      <c r="C192" s="5"/>
      <c r="D192" s="200"/>
      <c r="E192" s="201"/>
      <c r="F192" s="5"/>
      <c r="G192" s="5"/>
      <c r="H192" s="5"/>
      <c r="I192" s="5"/>
      <c r="J192" s="5"/>
      <c r="K192" s="5"/>
      <c r="L192" s="5"/>
      <c r="M192" s="5"/>
      <c r="N192" s="5"/>
      <c r="O192" s="5"/>
      <c r="P192" s="5"/>
      <c r="Q192" s="5"/>
      <c r="R192" s="5"/>
      <c r="S192" s="5"/>
      <c r="T192" s="5"/>
      <c r="U192" s="5"/>
      <c r="V192" s="5"/>
      <c r="W192" s="5"/>
      <c r="X192" s="5"/>
      <c r="Y192" s="5"/>
      <c r="Z192" s="5"/>
      <c r="AA192" s="201"/>
    </row>
    <row r="193">
      <c r="A193" s="202"/>
      <c r="B193" s="48"/>
      <c r="C193" s="5"/>
      <c r="D193" s="200"/>
      <c r="E193" s="201"/>
      <c r="F193" s="5"/>
      <c r="G193" s="5"/>
      <c r="H193" s="5"/>
      <c r="I193" s="5"/>
      <c r="J193" s="5"/>
      <c r="K193" s="5"/>
      <c r="L193" s="5"/>
      <c r="M193" s="5"/>
      <c r="N193" s="5"/>
      <c r="O193" s="5"/>
      <c r="P193" s="5"/>
      <c r="Q193" s="5"/>
      <c r="R193" s="5"/>
      <c r="S193" s="5"/>
      <c r="T193" s="5"/>
      <c r="U193" s="5"/>
      <c r="V193" s="5"/>
      <c r="W193" s="5"/>
      <c r="X193" s="5"/>
      <c r="Y193" s="5"/>
      <c r="Z193" s="5"/>
      <c r="AA193" s="201"/>
    </row>
    <row r="194">
      <c r="A194" s="202"/>
      <c r="B194" s="5"/>
      <c r="C194" s="5"/>
      <c r="D194" s="200"/>
      <c r="E194" s="201"/>
      <c r="F194" s="5"/>
      <c r="G194" s="5"/>
      <c r="H194" s="5"/>
      <c r="I194" s="5"/>
      <c r="J194" s="5"/>
      <c r="K194" s="5"/>
      <c r="L194" s="5"/>
      <c r="M194" s="5"/>
      <c r="N194" s="5"/>
      <c r="O194" s="5"/>
      <c r="P194" s="5"/>
      <c r="Q194" s="5"/>
      <c r="R194" s="5"/>
      <c r="S194" s="5"/>
      <c r="T194" s="5"/>
      <c r="U194" s="5"/>
      <c r="V194" s="5"/>
      <c r="W194" s="5"/>
      <c r="X194" s="5"/>
      <c r="Y194" s="5"/>
      <c r="Z194" s="5"/>
      <c r="AA194" s="201"/>
    </row>
    <row r="195">
      <c r="A195" s="202"/>
      <c r="B195" s="5"/>
      <c r="C195" s="5"/>
      <c r="D195" s="200"/>
      <c r="E195" s="201"/>
      <c r="F195" s="5"/>
      <c r="G195" s="5"/>
      <c r="H195" s="5"/>
      <c r="I195" s="5"/>
      <c r="J195" s="5"/>
      <c r="K195" s="5"/>
      <c r="L195" s="5"/>
      <c r="M195" s="5"/>
      <c r="N195" s="5"/>
      <c r="O195" s="5"/>
      <c r="P195" s="5"/>
      <c r="Q195" s="5"/>
      <c r="R195" s="5"/>
      <c r="S195" s="5"/>
      <c r="T195" s="5"/>
      <c r="U195" s="5"/>
      <c r="V195" s="5"/>
      <c r="W195" s="5"/>
      <c r="X195" s="5"/>
      <c r="Y195" s="5"/>
      <c r="Z195" s="5"/>
      <c r="AA195" s="201"/>
    </row>
    <row r="196">
      <c r="A196" s="202"/>
      <c r="B196" s="5"/>
      <c r="C196" s="5"/>
      <c r="D196" s="200"/>
      <c r="E196" s="201"/>
      <c r="F196" s="5"/>
      <c r="G196" s="5"/>
      <c r="H196" s="5"/>
      <c r="I196" s="5"/>
      <c r="J196" s="5"/>
      <c r="K196" s="5"/>
      <c r="L196" s="5"/>
      <c r="M196" s="5"/>
      <c r="N196" s="5"/>
      <c r="O196" s="5"/>
      <c r="P196" s="5"/>
      <c r="Q196" s="5"/>
      <c r="R196" s="5"/>
      <c r="S196" s="5"/>
      <c r="T196" s="5"/>
      <c r="U196" s="5"/>
      <c r="V196" s="5"/>
      <c r="W196" s="5"/>
      <c r="X196" s="5"/>
      <c r="Y196" s="5"/>
      <c r="Z196" s="5"/>
      <c r="AA196" s="201"/>
    </row>
    <row r="197">
      <c r="A197" s="202"/>
      <c r="B197" s="5"/>
      <c r="C197" s="5"/>
      <c r="D197" s="200"/>
      <c r="E197" s="201"/>
      <c r="F197" s="5"/>
      <c r="G197" s="5"/>
      <c r="H197" s="5"/>
      <c r="I197" s="5"/>
      <c r="J197" s="5"/>
      <c r="K197" s="5"/>
      <c r="L197" s="5"/>
      <c r="M197" s="5"/>
      <c r="N197" s="5"/>
      <c r="O197" s="5"/>
      <c r="P197" s="5"/>
      <c r="Q197" s="5"/>
      <c r="R197" s="5"/>
      <c r="S197" s="5"/>
      <c r="T197" s="5"/>
      <c r="U197" s="5"/>
      <c r="V197" s="5"/>
      <c r="W197" s="5"/>
      <c r="X197" s="5"/>
      <c r="Y197" s="5"/>
      <c r="Z197" s="5"/>
      <c r="AA197" s="201"/>
    </row>
    <row r="198">
      <c r="A198" s="202"/>
      <c r="B198" s="5"/>
      <c r="C198" s="5"/>
      <c r="D198" s="200"/>
      <c r="E198" s="201"/>
      <c r="F198" s="5"/>
      <c r="G198" s="5"/>
      <c r="H198" s="5"/>
      <c r="I198" s="5"/>
      <c r="J198" s="5"/>
      <c r="K198" s="5"/>
      <c r="L198" s="5"/>
      <c r="M198" s="5"/>
      <c r="N198" s="5"/>
      <c r="O198" s="5"/>
      <c r="P198" s="5"/>
      <c r="Q198" s="5"/>
      <c r="R198" s="5"/>
      <c r="S198" s="5"/>
      <c r="T198" s="5"/>
      <c r="U198" s="5"/>
      <c r="V198" s="5"/>
      <c r="W198" s="5"/>
      <c r="X198" s="5"/>
      <c r="Y198" s="5"/>
      <c r="Z198" s="5"/>
      <c r="AA198" s="201"/>
    </row>
    <row r="199">
      <c r="A199" s="202"/>
      <c r="B199" s="5"/>
      <c r="C199" s="5"/>
      <c r="D199" s="200"/>
      <c r="E199" s="201"/>
      <c r="F199" s="5"/>
      <c r="G199" s="5"/>
      <c r="H199" s="5"/>
      <c r="I199" s="5"/>
      <c r="J199" s="5"/>
      <c r="K199" s="5"/>
      <c r="L199" s="5"/>
      <c r="M199" s="5"/>
      <c r="N199" s="5"/>
      <c r="O199" s="5"/>
      <c r="P199" s="5"/>
      <c r="Q199" s="5"/>
      <c r="R199" s="5"/>
      <c r="S199" s="5"/>
      <c r="T199" s="5"/>
      <c r="U199" s="5"/>
      <c r="V199" s="5"/>
      <c r="W199" s="5"/>
      <c r="X199" s="5"/>
      <c r="Y199" s="5"/>
      <c r="Z199" s="5"/>
      <c r="AA199" s="201"/>
    </row>
    <row r="200">
      <c r="A200" s="202"/>
      <c r="B200" s="5"/>
      <c r="C200" s="5"/>
      <c r="D200" s="200"/>
      <c r="E200" s="201"/>
      <c r="F200" s="5"/>
      <c r="G200" s="5"/>
      <c r="H200" s="5"/>
      <c r="I200" s="5"/>
      <c r="J200" s="5"/>
      <c r="K200" s="5"/>
      <c r="L200" s="5"/>
      <c r="M200" s="5"/>
      <c r="N200" s="5"/>
      <c r="O200" s="5"/>
      <c r="P200" s="5"/>
      <c r="Q200" s="5"/>
      <c r="R200" s="5"/>
      <c r="S200" s="5"/>
      <c r="T200" s="5"/>
      <c r="U200" s="5"/>
      <c r="V200" s="5"/>
      <c r="W200" s="5"/>
      <c r="X200" s="5"/>
      <c r="Y200" s="5"/>
      <c r="Z200" s="5"/>
      <c r="AA200" s="201"/>
    </row>
  </sheetData>
  <autoFilter ref="$B$1:$Z$172"/>
  <mergeCells count="20">
    <mergeCell ref="A2:A8"/>
    <mergeCell ref="A9:A15"/>
    <mergeCell ref="A16:A22"/>
    <mergeCell ref="A23:A29"/>
    <mergeCell ref="A30:A36"/>
    <mergeCell ref="A37:A44"/>
    <mergeCell ref="A45:A51"/>
    <mergeCell ref="A111:A125"/>
    <mergeCell ref="A126:A134"/>
    <mergeCell ref="A135:A143"/>
    <mergeCell ref="A144:A152"/>
    <mergeCell ref="A153:A161"/>
    <mergeCell ref="A162:A172"/>
    <mergeCell ref="A52:A58"/>
    <mergeCell ref="A59:A65"/>
    <mergeCell ref="A66:A74"/>
    <mergeCell ref="A75:A83"/>
    <mergeCell ref="A84:A92"/>
    <mergeCell ref="A93:A101"/>
    <mergeCell ref="A102:A110"/>
  </mergeCells>
  <hyperlinks>
    <hyperlink r:id="rId2" ref="A2"/>
    <hyperlink r:id="rId3" ref="B3"/>
    <hyperlink r:id="rId4" ref="A9"/>
    <hyperlink r:id="rId5" ref="B10"/>
    <hyperlink r:id="rId6" ref="A16"/>
    <hyperlink r:id="rId7" ref="A23"/>
    <hyperlink r:id="rId8" ref="A30"/>
    <hyperlink r:id="rId9" ref="B31"/>
    <hyperlink r:id="rId10" ref="A37"/>
    <hyperlink r:id="rId11" ref="B38"/>
    <hyperlink r:id="rId12" ref="A45"/>
    <hyperlink r:id="rId13" ref="B46"/>
    <hyperlink r:id="rId14" ref="A52"/>
    <hyperlink r:id="rId15" ref="B53"/>
    <hyperlink r:id="rId16" ref="A59"/>
    <hyperlink r:id="rId17" ref="B60"/>
    <hyperlink r:id="rId18" ref="A66"/>
    <hyperlink r:id="rId19" ref="B67"/>
    <hyperlink r:id="rId20" ref="A75"/>
    <hyperlink r:id="rId21" ref="B76"/>
    <hyperlink r:id="rId22" ref="A84"/>
    <hyperlink r:id="rId23" ref="B85"/>
    <hyperlink r:id="rId24" ref="A93"/>
    <hyperlink r:id="rId25" ref="B94"/>
    <hyperlink r:id="rId26" ref="A102"/>
    <hyperlink r:id="rId27" ref="B103"/>
    <hyperlink r:id="rId28" ref="A111"/>
    <hyperlink r:id="rId29" ref="B112"/>
    <hyperlink r:id="rId30" ref="A126"/>
    <hyperlink r:id="rId31" ref="B127"/>
    <hyperlink r:id="rId32" ref="A135"/>
    <hyperlink r:id="rId33" ref="B136"/>
    <hyperlink r:id="rId34" ref="A144"/>
    <hyperlink r:id="rId35" ref="B145"/>
    <hyperlink r:id="rId36" ref="A153"/>
    <hyperlink r:id="rId37" ref="B154"/>
    <hyperlink r:id="rId38" ref="A162"/>
    <hyperlink r:id="rId39" ref="B163"/>
  </hyperlinks>
  <drawing r:id="rId40"/>
  <legacyDrawing r:id="rId4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4.5"/>
    <col customWidth="1" min="2" max="2" width="9.0"/>
    <col customWidth="1" min="3" max="3" width="6.13"/>
    <col customWidth="1" min="4" max="4" width="8.88"/>
    <col customWidth="1" min="5" max="5" width="5.75"/>
    <col customWidth="1" min="6" max="6" width="6.88"/>
    <col customWidth="1" min="7" max="7" width="8.5"/>
    <col customWidth="1" min="8" max="10" width="9.63"/>
    <col customWidth="1" min="11" max="11" width="8.63"/>
    <col customWidth="1" min="12" max="12" width="12.25"/>
    <col customWidth="1" min="13" max="13" width="10.0"/>
    <col customWidth="1" min="14" max="14" width="10.38"/>
    <col customWidth="1" min="15" max="15" width="10.0"/>
    <col customWidth="1" min="16" max="16" width="9.75"/>
    <col customWidth="1" min="17" max="17" width="10.13"/>
  </cols>
  <sheetData>
    <row r="1">
      <c r="A1" s="203"/>
      <c r="B1" s="22" t="s">
        <v>1329</v>
      </c>
      <c r="C1" s="22"/>
      <c r="D1" s="22" t="s">
        <v>1369</v>
      </c>
      <c r="E1" s="204" t="s">
        <v>15</v>
      </c>
      <c r="F1" s="22" t="s">
        <v>1371</v>
      </c>
      <c r="G1" s="22" t="s">
        <v>1372</v>
      </c>
      <c r="H1" s="22" t="s">
        <v>1373</v>
      </c>
      <c r="I1" s="22" t="s">
        <v>1374</v>
      </c>
      <c r="J1" s="22" t="s">
        <v>1375</v>
      </c>
      <c r="K1" s="22" t="s">
        <v>1376</v>
      </c>
      <c r="L1" s="22" t="s">
        <v>1377</v>
      </c>
      <c r="M1" s="22" t="s">
        <v>1378</v>
      </c>
      <c r="N1" s="22" t="s">
        <v>1379</v>
      </c>
      <c r="O1" s="22" t="s">
        <v>1380</v>
      </c>
      <c r="P1" s="22" t="s">
        <v>1381</v>
      </c>
      <c r="Q1" s="22" t="s">
        <v>1382</v>
      </c>
      <c r="R1" s="21"/>
      <c r="S1" s="21"/>
      <c r="T1" s="21"/>
      <c r="U1" s="21"/>
      <c r="V1" s="21"/>
      <c r="W1" s="21"/>
      <c r="X1" s="21"/>
      <c r="Y1" s="21"/>
      <c r="Z1" s="21"/>
      <c r="AA1" s="21"/>
      <c r="AB1" s="21"/>
      <c r="AC1" s="21"/>
      <c r="AD1" s="21"/>
      <c r="AE1" s="21"/>
    </row>
    <row r="2">
      <c r="A2" s="205" t="s">
        <v>1383</v>
      </c>
      <c r="B2" s="37" t="s">
        <v>1384</v>
      </c>
      <c r="C2" s="12" t="s">
        <v>1385</v>
      </c>
      <c r="D2" s="21"/>
      <c r="E2" s="204">
        <v>10.0</v>
      </c>
      <c r="F2" s="22" t="s">
        <v>1386</v>
      </c>
      <c r="G2" s="22">
        <v>20.0</v>
      </c>
      <c r="H2" s="22" t="s">
        <v>261</v>
      </c>
      <c r="I2" s="22" t="s">
        <v>263</v>
      </c>
      <c r="J2" s="22" t="s">
        <v>1387</v>
      </c>
      <c r="K2" s="22" t="s">
        <v>264</v>
      </c>
      <c r="L2" s="22">
        <v>2.0</v>
      </c>
      <c r="M2" s="22" t="s">
        <v>1388</v>
      </c>
      <c r="N2" s="22" t="s">
        <v>1389</v>
      </c>
      <c r="O2" s="21"/>
      <c r="P2" s="22" t="s">
        <v>1390</v>
      </c>
      <c r="Q2" s="21"/>
    </row>
    <row r="3">
      <c r="C3" s="206" t="s">
        <v>1391</v>
      </c>
      <c r="D3" s="207">
        <f>sum(E3:Q3)</f>
        <v>130</v>
      </c>
      <c r="E3" s="208">
        <f>E2*HPvalue</f>
        <v>100</v>
      </c>
      <c r="F3" s="207"/>
      <c r="G3" s="207">
        <f>((G2-25)/5)*10</f>
        <v>-10</v>
      </c>
      <c r="H3" s="207"/>
      <c r="I3" s="207"/>
      <c r="J3" s="207"/>
      <c r="K3" s="207"/>
      <c r="L3" s="209">
        <v>10.0</v>
      </c>
      <c r="M3" s="209">
        <v>20.0</v>
      </c>
      <c r="N3" s="207"/>
      <c r="O3" s="207"/>
      <c r="P3" s="207"/>
      <c r="Q3" s="209">
        <v>10.0</v>
      </c>
      <c r="R3" s="210"/>
      <c r="S3" s="210"/>
      <c r="T3" s="210"/>
      <c r="U3" s="210"/>
      <c r="V3" s="210"/>
      <c r="W3" s="210"/>
      <c r="X3" s="210"/>
      <c r="Y3" s="210"/>
      <c r="Z3" s="210"/>
      <c r="AA3" s="210"/>
      <c r="AB3" s="210"/>
      <c r="AC3" s="210"/>
      <c r="AD3" s="210"/>
      <c r="AE3" s="210"/>
    </row>
    <row r="4">
      <c r="B4" s="37" t="s">
        <v>1393</v>
      </c>
      <c r="C4" s="12" t="s">
        <v>1385</v>
      </c>
      <c r="D4" s="21"/>
      <c r="E4" s="204">
        <v>6.0</v>
      </c>
      <c r="F4" s="22" t="s">
        <v>1386</v>
      </c>
      <c r="G4" s="22">
        <v>30.0</v>
      </c>
      <c r="H4" s="22" t="s">
        <v>260</v>
      </c>
      <c r="I4" s="22" t="s">
        <v>262</v>
      </c>
      <c r="J4" s="22" t="s">
        <v>1387</v>
      </c>
      <c r="K4" s="22" t="s">
        <v>261</v>
      </c>
      <c r="L4" s="22">
        <v>2.0</v>
      </c>
      <c r="M4" s="22" t="s">
        <v>1394</v>
      </c>
      <c r="N4" s="21"/>
      <c r="O4" s="21"/>
      <c r="P4" s="22" t="s">
        <v>1390</v>
      </c>
      <c r="Q4" s="21"/>
    </row>
    <row r="5">
      <c r="C5" s="206" t="s">
        <v>1391</v>
      </c>
      <c r="D5" s="207">
        <f>sum(E5:Q5)</f>
        <v>100</v>
      </c>
      <c r="E5" s="208">
        <f>E4*HPvalue</f>
        <v>60</v>
      </c>
      <c r="F5" s="207"/>
      <c r="G5" s="207">
        <f>((G4-25)/5)*10</f>
        <v>10</v>
      </c>
      <c r="H5" s="207"/>
      <c r="I5" s="207"/>
      <c r="J5" s="207"/>
      <c r="K5" s="207"/>
      <c r="L5" s="209">
        <v>10.0</v>
      </c>
      <c r="M5" s="209">
        <v>10.0</v>
      </c>
      <c r="N5" s="207"/>
      <c r="O5" s="207"/>
      <c r="P5" s="207"/>
      <c r="Q5" s="209">
        <v>10.0</v>
      </c>
      <c r="R5" s="210"/>
      <c r="S5" s="210"/>
      <c r="T5" s="210"/>
      <c r="U5" s="210"/>
      <c r="V5" s="210"/>
      <c r="W5" s="210"/>
      <c r="X5" s="210"/>
      <c r="Y5" s="210"/>
      <c r="Z5" s="210"/>
      <c r="AA5" s="210"/>
      <c r="AB5" s="210"/>
      <c r="AC5" s="210"/>
      <c r="AD5" s="210"/>
      <c r="AE5" s="210"/>
    </row>
    <row r="6">
      <c r="B6" s="37" t="s">
        <v>1396</v>
      </c>
      <c r="C6" s="12" t="s">
        <v>1385</v>
      </c>
      <c r="D6" s="21"/>
      <c r="E6" s="204">
        <v>8.0</v>
      </c>
      <c r="F6" s="22" t="s">
        <v>1397</v>
      </c>
      <c r="G6" s="22">
        <v>25.0</v>
      </c>
      <c r="H6" s="22" t="s">
        <v>261</v>
      </c>
      <c r="I6" s="22" t="s">
        <v>264</v>
      </c>
      <c r="J6" s="22" t="s">
        <v>1387</v>
      </c>
      <c r="K6" s="22" t="s">
        <v>259</v>
      </c>
      <c r="L6" s="22">
        <v>3.0</v>
      </c>
      <c r="M6" s="22" t="s">
        <v>1394</v>
      </c>
      <c r="N6" s="21"/>
      <c r="O6" s="21"/>
      <c r="P6" s="22" t="s">
        <v>1390</v>
      </c>
      <c r="Q6" s="21"/>
    </row>
    <row r="7">
      <c r="C7" s="206" t="s">
        <v>1391</v>
      </c>
      <c r="D7" s="207">
        <f>sum(E7:Q7)</f>
        <v>115</v>
      </c>
      <c r="E7" s="208">
        <f>E6*HPvalue</f>
        <v>80</v>
      </c>
      <c r="F7" s="207"/>
      <c r="G7" s="207">
        <f>((G6-25)/5)*10</f>
        <v>0</v>
      </c>
      <c r="H7" s="207"/>
      <c r="I7" s="207"/>
      <c r="J7" s="207"/>
      <c r="K7" s="207"/>
      <c r="L7" s="209">
        <v>15.0</v>
      </c>
      <c r="M7" s="209">
        <v>10.0</v>
      </c>
      <c r="N7" s="207"/>
      <c r="O7" s="207"/>
      <c r="P7" s="207"/>
      <c r="Q7" s="209">
        <v>10.0</v>
      </c>
      <c r="R7" s="210"/>
      <c r="S7" s="210"/>
      <c r="T7" s="210"/>
      <c r="U7" s="210"/>
      <c r="V7" s="210"/>
      <c r="W7" s="210"/>
      <c r="X7" s="210"/>
      <c r="Y7" s="210"/>
      <c r="Z7" s="210"/>
      <c r="AA7" s="210"/>
      <c r="AB7" s="210"/>
      <c r="AC7" s="210"/>
      <c r="AD7" s="210"/>
      <c r="AE7" s="210"/>
    </row>
    <row r="8">
      <c r="B8" s="37" t="s">
        <v>1398</v>
      </c>
      <c r="C8" s="12" t="s">
        <v>1385</v>
      </c>
      <c r="D8" s="21"/>
      <c r="E8" s="204">
        <v>6.0</v>
      </c>
      <c r="F8" s="22" t="s">
        <v>1397</v>
      </c>
      <c r="G8" s="22">
        <v>25.0</v>
      </c>
      <c r="H8" s="22" t="s">
        <v>260</v>
      </c>
      <c r="I8" s="22" t="s">
        <v>264</v>
      </c>
      <c r="J8" s="22" t="s">
        <v>1387</v>
      </c>
      <c r="K8" s="22" t="s">
        <v>263</v>
      </c>
      <c r="L8" s="22">
        <v>2.0</v>
      </c>
      <c r="M8" s="22" t="s">
        <v>1388</v>
      </c>
      <c r="N8" s="21"/>
      <c r="O8" s="21"/>
      <c r="P8" s="22" t="s">
        <v>1390</v>
      </c>
      <c r="Q8" s="21"/>
    </row>
    <row r="9">
      <c r="C9" s="206" t="s">
        <v>1391</v>
      </c>
      <c r="D9" s="207">
        <f>sum(E9:Q9)</f>
        <v>100</v>
      </c>
      <c r="E9" s="208">
        <f>E8*HPvalue</f>
        <v>60</v>
      </c>
      <c r="F9" s="207"/>
      <c r="G9" s="207">
        <f>((G8-25)/5)*10</f>
        <v>0</v>
      </c>
      <c r="H9" s="207"/>
      <c r="I9" s="207"/>
      <c r="J9" s="207"/>
      <c r="K9" s="207"/>
      <c r="L9" s="209">
        <v>10.0</v>
      </c>
      <c r="M9" s="209">
        <v>20.0</v>
      </c>
      <c r="N9" s="207"/>
      <c r="O9" s="207"/>
      <c r="P9" s="207"/>
      <c r="Q9" s="209">
        <v>10.0</v>
      </c>
      <c r="R9" s="210"/>
      <c r="S9" s="210"/>
      <c r="T9" s="210"/>
      <c r="U9" s="210"/>
      <c r="V9" s="210"/>
      <c r="W9" s="210"/>
      <c r="X9" s="210"/>
      <c r="Y9" s="210"/>
      <c r="Z9" s="210"/>
      <c r="AA9" s="210"/>
      <c r="AB9" s="210"/>
      <c r="AC9" s="210"/>
      <c r="AD9" s="210"/>
      <c r="AE9" s="210"/>
    </row>
    <row r="10">
      <c r="B10" s="37" t="s">
        <v>1400</v>
      </c>
      <c r="C10" s="12" t="s">
        <v>1385</v>
      </c>
      <c r="D10" s="21"/>
      <c r="E10" s="204">
        <v>6.0</v>
      </c>
      <c r="F10" s="22" t="s">
        <v>1397</v>
      </c>
      <c r="G10" s="22">
        <v>25.0</v>
      </c>
      <c r="H10" s="22" t="s">
        <v>260</v>
      </c>
      <c r="I10" s="22" t="s">
        <v>263</v>
      </c>
      <c r="J10" s="22" t="s">
        <v>1387</v>
      </c>
      <c r="K10" s="22" t="s">
        <v>259</v>
      </c>
      <c r="L10" s="22">
        <v>2.0</v>
      </c>
      <c r="M10" s="22" t="s">
        <v>1401</v>
      </c>
      <c r="N10" s="21"/>
      <c r="O10" s="21"/>
      <c r="P10" s="22" t="s">
        <v>1390</v>
      </c>
      <c r="Q10" s="21"/>
    </row>
    <row r="11">
      <c r="C11" s="206" t="s">
        <v>1391</v>
      </c>
      <c r="D11" s="207">
        <f>sum(E11:Q11)</f>
        <v>100</v>
      </c>
      <c r="E11" s="208">
        <f>E10*HPvalue</f>
        <v>60</v>
      </c>
      <c r="F11" s="207"/>
      <c r="G11" s="207">
        <f>((G10-25)/5)*10</f>
        <v>0</v>
      </c>
      <c r="H11" s="207"/>
      <c r="I11" s="207"/>
      <c r="J11" s="207"/>
      <c r="K11" s="207"/>
      <c r="L11" s="209">
        <v>10.0</v>
      </c>
      <c r="M11" s="209">
        <v>20.0</v>
      </c>
      <c r="N11" s="207"/>
      <c r="O11" s="207"/>
      <c r="P11" s="207"/>
      <c r="Q11" s="209">
        <v>10.0</v>
      </c>
      <c r="R11" s="210"/>
      <c r="S11" s="210"/>
      <c r="T11" s="210"/>
      <c r="U11" s="210"/>
      <c r="V11" s="210"/>
      <c r="W11" s="210"/>
      <c r="X11" s="210"/>
      <c r="Y11" s="210"/>
      <c r="Z11" s="210"/>
      <c r="AA11" s="210"/>
      <c r="AB11" s="210"/>
      <c r="AC11" s="210"/>
      <c r="AD11" s="210"/>
      <c r="AE11" s="210"/>
    </row>
    <row r="12">
      <c r="B12" s="37" t="s">
        <v>1402</v>
      </c>
      <c r="C12" s="12" t="s">
        <v>1385</v>
      </c>
      <c r="D12" s="21"/>
      <c r="E12" s="204">
        <v>8.0</v>
      </c>
      <c r="F12" s="22" t="s">
        <v>1386</v>
      </c>
      <c r="G12" s="22">
        <v>25.0</v>
      </c>
      <c r="H12" s="22" t="s">
        <v>1387</v>
      </c>
      <c r="I12" s="22" t="s">
        <v>1387</v>
      </c>
      <c r="J12" s="21"/>
      <c r="K12" s="21"/>
      <c r="L12" s="22">
        <v>2.0</v>
      </c>
      <c r="M12" s="21"/>
      <c r="N12" s="21"/>
      <c r="O12" s="21"/>
      <c r="P12" s="22" t="s">
        <v>1390</v>
      </c>
      <c r="Q12" s="21"/>
    </row>
    <row r="13">
      <c r="A13" s="211"/>
      <c r="B13" s="211"/>
      <c r="C13" s="212" t="s">
        <v>1391</v>
      </c>
      <c r="D13" s="213">
        <f>sum(E13:Q13)</f>
        <v>100</v>
      </c>
      <c r="E13" s="214">
        <f>E12*HPvalue</f>
        <v>80</v>
      </c>
      <c r="F13" s="213"/>
      <c r="G13" s="213">
        <f>((G12-25)/5)*10</f>
        <v>0</v>
      </c>
      <c r="H13" s="213"/>
      <c r="I13" s="213"/>
      <c r="J13" s="213"/>
      <c r="K13" s="213"/>
      <c r="L13" s="216">
        <v>10.0</v>
      </c>
      <c r="M13" s="213"/>
      <c r="N13" s="213"/>
      <c r="O13" s="213"/>
      <c r="P13" s="213"/>
      <c r="Q13" s="216">
        <v>10.0</v>
      </c>
      <c r="R13" s="217"/>
      <c r="S13" s="217"/>
      <c r="T13" s="217"/>
      <c r="U13" s="217"/>
      <c r="V13" s="217"/>
      <c r="W13" s="217"/>
      <c r="X13" s="217"/>
      <c r="Y13" s="217"/>
      <c r="Z13" s="217"/>
      <c r="AA13" s="217"/>
      <c r="AB13" s="217"/>
      <c r="AC13" s="217"/>
      <c r="AD13" s="217"/>
      <c r="AE13" s="217"/>
    </row>
    <row r="14">
      <c r="A14" s="205" t="s">
        <v>1404</v>
      </c>
      <c r="B14" s="37" t="s">
        <v>1405</v>
      </c>
      <c r="C14" s="12" t="s">
        <v>1385</v>
      </c>
      <c r="D14" s="21"/>
      <c r="E14" s="204">
        <v>8.0</v>
      </c>
      <c r="F14" s="22" t="s">
        <v>1386</v>
      </c>
      <c r="G14" s="22">
        <v>20.0</v>
      </c>
      <c r="H14" s="22" t="s">
        <v>261</v>
      </c>
      <c r="I14" s="22" t="s">
        <v>264</v>
      </c>
      <c r="J14" s="22" t="s">
        <v>1387</v>
      </c>
      <c r="K14" s="22" t="s">
        <v>263</v>
      </c>
      <c r="L14" s="22">
        <v>2.0</v>
      </c>
      <c r="M14" s="22" t="s">
        <v>1394</v>
      </c>
      <c r="N14" s="22" t="s">
        <v>1406</v>
      </c>
      <c r="O14" s="22" t="s">
        <v>1407</v>
      </c>
      <c r="P14" s="22" t="s">
        <v>1408</v>
      </c>
      <c r="Q14" s="21"/>
    </row>
    <row r="15">
      <c r="C15" s="206" t="s">
        <v>1391</v>
      </c>
      <c r="D15" s="207">
        <f>sum(E15:Q15)</f>
        <v>140</v>
      </c>
      <c r="E15" s="208">
        <f>E14*HPvalue</f>
        <v>80</v>
      </c>
      <c r="F15" s="207"/>
      <c r="G15" s="207">
        <f>((G14-25)/5)*10</f>
        <v>-10</v>
      </c>
      <c r="H15" s="207"/>
      <c r="I15" s="207"/>
      <c r="J15" s="207"/>
      <c r="K15" s="207"/>
      <c r="L15" s="209">
        <v>10.0</v>
      </c>
      <c r="M15" s="209">
        <v>10.0</v>
      </c>
      <c r="N15" s="209">
        <v>40.0</v>
      </c>
      <c r="O15" s="209" t="s">
        <v>1409</v>
      </c>
      <c r="P15" s="207"/>
      <c r="Q15" s="209">
        <v>10.0</v>
      </c>
      <c r="R15" s="210"/>
      <c r="S15" s="210"/>
      <c r="T15" s="210"/>
      <c r="U15" s="210"/>
      <c r="V15" s="210"/>
      <c r="W15" s="210"/>
      <c r="X15" s="210"/>
      <c r="Y15" s="210"/>
      <c r="Z15" s="210"/>
      <c r="AA15" s="210"/>
      <c r="AB15" s="210"/>
      <c r="AC15" s="210"/>
      <c r="AD15" s="210"/>
      <c r="AE15" s="210"/>
    </row>
    <row r="16">
      <c r="B16" s="37" t="s">
        <v>1410</v>
      </c>
      <c r="C16" s="12" t="s">
        <v>1385</v>
      </c>
      <c r="D16" s="21"/>
      <c r="E16" s="204">
        <v>8.0</v>
      </c>
      <c r="F16" s="22" t="s">
        <v>1386</v>
      </c>
      <c r="G16" s="22">
        <v>25.0</v>
      </c>
      <c r="H16" s="22" t="s">
        <v>260</v>
      </c>
      <c r="I16" s="22" t="s">
        <v>264</v>
      </c>
      <c r="J16" s="22" t="s">
        <v>1387</v>
      </c>
      <c r="K16" s="22" t="s">
        <v>263</v>
      </c>
      <c r="L16" s="22">
        <v>2.0</v>
      </c>
      <c r="M16" s="22" t="s">
        <v>1394</v>
      </c>
      <c r="N16" s="22" t="s">
        <v>1411</v>
      </c>
      <c r="O16" s="21"/>
      <c r="P16" s="22" t="s">
        <v>1390</v>
      </c>
      <c r="Q16" s="21"/>
    </row>
    <row r="17">
      <c r="C17" s="206" t="s">
        <v>1391</v>
      </c>
      <c r="D17" s="207">
        <f>sum(E17:Q17)</f>
        <v>110</v>
      </c>
      <c r="E17" s="208">
        <f>E16*HPvalue</f>
        <v>80</v>
      </c>
      <c r="F17" s="207"/>
      <c r="G17" s="207">
        <f>((G16-25)/5)*10</f>
        <v>0</v>
      </c>
      <c r="H17" s="207"/>
      <c r="I17" s="207"/>
      <c r="J17" s="207"/>
      <c r="K17" s="207"/>
      <c r="L17" s="209">
        <v>10.0</v>
      </c>
      <c r="M17" s="209">
        <v>10.0</v>
      </c>
      <c r="N17" s="209" t="s">
        <v>1413</v>
      </c>
      <c r="O17" s="207"/>
      <c r="P17" s="207"/>
      <c r="Q17" s="209">
        <v>10.0</v>
      </c>
      <c r="R17" s="210"/>
      <c r="S17" s="210"/>
      <c r="T17" s="210"/>
      <c r="U17" s="210"/>
      <c r="V17" s="210"/>
      <c r="W17" s="210"/>
      <c r="X17" s="210"/>
      <c r="Y17" s="210"/>
      <c r="Z17" s="210"/>
      <c r="AA17" s="210"/>
      <c r="AB17" s="210"/>
      <c r="AC17" s="210"/>
      <c r="AD17" s="210"/>
      <c r="AE17" s="210"/>
    </row>
    <row r="18">
      <c r="B18" s="37" t="s">
        <v>1414</v>
      </c>
      <c r="C18" s="12" t="s">
        <v>1385</v>
      </c>
      <c r="D18" s="21"/>
      <c r="E18" s="204">
        <v>8.0</v>
      </c>
      <c r="F18" s="22" t="s">
        <v>1386</v>
      </c>
      <c r="G18" s="22">
        <v>25.0</v>
      </c>
      <c r="H18" s="22" t="s">
        <v>260</v>
      </c>
      <c r="I18" s="22" t="s">
        <v>1387</v>
      </c>
      <c r="J18" s="21"/>
      <c r="K18" s="21"/>
      <c r="L18" s="22">
        <v>2.0</v>
      </c>
      <c r="M18" s="22" t="s">
        <v>1388</v>
      </c>
      <c r="N18" s="21"/>
      <c r="O18" s="21"/>
      <c r="P18" s="22" t="s">
        <v>1390</v>
      </c>
      <c r="Q18" s="21"/>
    </row>
    <row r="19">
      <c r="C19" s="206" t="s">
        <v>1391</v>
      </c>
      <c r="D19" s="207">
        <f>sum(E19:Q19)</f>
        <v>120</v>
      </c>
      <c r="E19" s="208">
        <f>E18*HPvalue</f>
        <v>80</v>
      </c>
      <c r="F19" s="207"/>
      <c r="G19" s="207">
        <f>((G18-25)/5)*10</f>
        <v>0</v>
      </c>
      <c r="H19" s="207"/>
      <c r="I19" s="207"/>
      <c r="J19" s="207"/>
      <c r="K19" s="207"/>
      <c r="L19" s="209">
        <v>10.0</v>
      </c>
      <c r="M19" s="209">
        <v>20.0</v>
      </c>
      <c r="N19" s="207"/>
      <c r="O19" s="207"/>
      <c r="P19" s="207"/>
      <c r="Q19" s="209">
        <v>10.0</v>
      </c>
      <c r="R19" s="210"/>
      <c r="S19" s="210"/>
      <c r="T19" s="210"/>
      <c r="U19" s="210"/>
      <c r="V19" s="210"/>
      <c r="W19" s="210"/>
      <c r="X19" s="210"/>
      <c r="Y19" s="210"/>
      <c r="Z19" s="210"/>
      <c r="AA19" s="210"/>
      <c r="AB19" s="210"/>
      <c r="AC19" s="210"/>
      <c r="AD19" s="210"/>
      <c r="AE19" s="210"/>
    </row>
    <row r="20">
      <c r="B20" s="37" t="s">
        <v>1415</v>
      </c>
      <c r="C20" s="12" t="s">
        <v>1385</v>
      </c>
      <c r="D20" s="21"/>
      <c r="E20" s="204">
        <v>8.0</v>
      </c>
      <c r="F20" s="22" t="s">
        <v>1386</v>
      </c>
      <c r="G20" s="22">
        <v>25.0</v>
      </c>
      <c r="H20" s="22" t="s">
        <v>259</v>
      </c>
      <c r="I20" s="22" t="s">
        <v>262</v>
      </c>
      <c r="J20" s="22" t="s">
        <v>1387</v>
      </c>
      <c r="K20" s="22" t="s">
        <v>263</v>
      </c>
      <c r="L20" s="22">
        <v>2.0</v>
      </c>
      <c r="M20" s="22" t="s">
        <v>1394</v>
      </c>
      <c r="N20" s="22" t="s">
        <v>1416</v>
      </c>
      <c r="O20" s="21"/>
      <c r="P20" s="22" t="s">
        <v>1390</v>
      </c>
      <c r="Q20" s="21"/>
    </row>
    <row r="21">
      <c r="C21" s="206" t="s">
        <v>1391</v>
      </c>
      <c r="D21" s="207">
        <f>sum(E21:Q21)</f>
        <v>110</v>
      </c>
      <c r="E21" s="208">
        <f>E20*HPvalue</f>
        <v>80</v>
      </c>
      <c r="F21" s="207"/>
      <c r="G21" s="207">
        <f>((G20-25)/5)*10</f>
        <v>0</v>
      </c>
      <c r="H21" s="207"/>
      <c r="I21" s="207"/>
      <c r="J21" s="207"/>
      <c r="K21" s="207"/>
      <c r="L21" s="209">
        <v>10.0</v>
      </c>
      <c r="M21" s="209">
        <v>10.0</v>
      </c>
      <c r="N21" s="209" t="s">
        <v>1413</v>
      </c>
      <c r="O21" s="207"/>
      <c r="P21" s="207"/>
      <c r="Q21" s="209">
        <v>10.0</v>
      </c>
      <c r="R21" s="210"/>
      <c r="S21" s="210"/>
      <c r="T21" s="210"/>
      <c r="U21" s="210"/>
      <c r="V21" s="210"/>
      <c r="W21" s="210"/>
      <c r="X21" s="210"/>
      <c r="Y21" s="210"/>
      <c r="Z21" s="210"/>
      <c r="AA21" s="210"/>
      <c r="AB21" s="210"/>
      <c r="AC21" s="210"/>
      <c r="AD21" s="210"/>
      <c r="AE21" s="210"/>
    </row>
    <row r="22">
      <c r="B22" s="37" t="s">
        <v>1418</v>
      </c>
      <c r="C22" s="12" t="s">
        <v>1385</v>
      </c>
      <c r="D22" s="21"/>
      <c r="E22" s="204">
        <v>6.0</v>
      </c>
      <c r="F22" s="22" t="s">
        <v>1397</v>
      </c>
      <c r="G22" s="22">
        <v>25.0</v>
      </c>
      <c r="H22" s="22" t="s">
        <v>260</v>
      </c>
      <c r="I22" s="22" t="s">
        <v>263</v>
      </c>
      <c r="J22" s="22" t="s">
        <v>1387</v>
      </c>
      <c r="K22" s="22" t="s">
        <v>259</v>
      </c>
      <c r="L22" s="22">
        <v>2.0</v>
      </c>
      <c r="M22" s="22" t="s">
        <v>1394</v>
      </c>
      <c r="N22" s="21"/>
      <c r="O22" s="21"/>
      <c r="P22" s="22" t="s">
        <v>1390</v>
      </c>
      <c r="Q22" s="21"/>
    </row>
    <row r="23">
      <c r="C23" s="206" t="s">
        <v>1391</v>
      </c>
      <c r="D23" s="207">
        <f>sum(E23:Q23)</f>
        <v>90</v>
      </c>
      <c r="E23" s="208">
        <f>E22*HPvalue</f>
        <v>60</v>
      </c>
      <c r="F23" s="207"/>
      <c r="G23" s="207">
        <f>((G22-25)/5)*10</f>
        <v>0</v>
      </c>
      <c r="H23" s="207"/>
      <c r="I23" s="207"/>
      <c r="J23" s="207"/>
      <c r="K23" s="207"/>
      <c r="L23" s="209">
        <v>10.0</v>
      </c>
      <c r="M23" s="209">
        <v>10.0</v>
      </c>
      <c r="N23" s="207"/>
      <c r="O23" s="207"/>
      <c r="P23" s="207"/>
      <c r="Q23" s="209">
        <v>10.0</v>
      </c>
      <c r="R23" s="210"/>
      <c r="S23" s="210"/>
      <c r="T23" s="210"/>
      <c r="U23" s="210"/>
      <c r="V23" s="210"/>
      <c r="W23" s="210"/>
      <c r="X23" s="210"/>
      <c r="Y23" s="210"/>
      <c r="Z23" s="210"/>
      <c r="AA23" s="210"/>
      <c r="AB23" s="210"/>
      <c r="AC23" s="210"/>
      <c r="AD23" s="210"/>
      <c r="AE23" s="210"/>
    </row>
    <row r="24">
      <c r="B24" s="37" t="s">
        <v>1419</v>
      </c>
      <c r="C24" s="12" t="s">
        <v>1385</v>
      </c>
      <c r="D24" s="21"/>
      <c r="E24" s="204">
        <v>8.0</v>
      </c>
      <c r="F24" s="22" t="s">
        <v>1386</v>
      </c>
      <c r="G24" s="22">
        <v>25.0</v>
      </c>
      <c r="H24" s="22" t="s">
        <v>261</v>
      </c>
      <c r="I24" s="22" t="s">
        <v>262</v>
      </c>
      <c r="J24" s="22" t="s">
        <v>1387</v>
      </c>
      <c r="K24" s="22" t="s">
        <v>263</v>
      </c>
      <c r="L24" s="22">
        <v>2.0</v>
      </c>
      <c r="M24" s="22" t="s">
        <v>1388</v>
      </c>
      <c r="N24" s="21"/>
      <c r="O24" s="21"/>
      <c r="P24" s="22" t="s">
        <v>1390</v>
      </c>
      <c r="Q24" s="21"/>
    </row>
    <row r="25">
      <c r="C25" s="206" t="s">
        <v>1391</v>
      </c>
      <c r="D25" s="207">
        <f>sum(E25:Q25)</f>
        <v>120</v>
      </c>
      <c r="E25" s="208">
        <f>E24*HPvalue</f>
        <v>80</v>
      </c>
      <c r="F25" s="207"/>
      <c r="G25" s="207">
        <f>((G24-25)/5)*10</f>
        <v>0</v>
      </c>
      <c r="H25" s="207"/>
      <c r="I25" s="207"/>
      <c r="J25" s="207"/>
      <c r="K25" s="207"/>
      <c r="L25" s="209">
        <v>10.0</v>
      </c>
      <c r="M25" s="209">
        <v>20.0</v>
      </c>
      <c r="N25" s="207"/>
      <c r="O25" s="207"/>
      <c r="P25" s="207"/>
      <c r="Q25" s="209">
        <v>10.0</v>
      </c>
      <c r="R25" s="210"/>
      <c r="S25" s="210"/>
      <c r="T25" s="210"/>
      <c r="U25" s="210"/>
      <c r="V25" s="210"/>
      <c r="W25" s="210"/>
      <c r="X25" s="210"/>
      <c r="Y25" s="210"/>
      <c r="Z25" s="210"/>
      <c r="AA25" s="210"/>
      <c r="AB25" s="210"/>
      <c r="AC25" s="210"/>
      <c r="AD25" s="210"/>
      <c r="AE25" s="210"/>
    </row>
    <row r="26">
      <c r="B26" s="37" t="s">
        <v>1420</v>
      </c>
      <c r="C26" s="12" t="s">
        <v>1385</v>
      </c>
      <c r="D26" s="21"/>
      <c r="E26" s="204">
        <v>8.0</v>
      </c>
      <c r="F26" s="22" t="s">
        <v>1386</v>
      </c>
      <c r="G26" s="22">
        <v>25.0</v>
      </c>
      <c r="H26" s="22" t="s">
        <v>264</v>
      </c>
      <c r="I26" s="22" t="s">
        <v>1387</v>
      </c>
      <c r="J26" s="21"/>
      <c r="K26" s="21"/>
      <c r="L26" s="22">
        <v>1.0</v>
      </c>
      <c r="M26" s="22" t="s">
        <v>1394</v>
      </c>
      <c r="N26" s="22" t="s">
        <v>1421</v>
      </c>
      <c r="O26" s="21"/>
      <c r="P26" s="22" t="s">
        <v>1390</v>
      </c>
      <c r="Q26" s="21"/>
    </row>
    <row r="27">
      <c r="C27" s="206" t="s">
        <v>1391</v>
      </c>
      <c r="D27" s="207">
        <f>sum(E27:Q27)</f>
        <v>105</v>
      </c>
      <c r="E27" s="208">
        <f>E26*HPvalue</f>
        <v>80</v>
      </c>
      <c r="F27" s="207"/>
      <c r="G27" s="207">
        <f>((G26-25)/5)*10</f>
        <v>0</v>
      </c>
      <c r="H27" s="207"/>
      <c r="I27" s="207"/>
      <c r="J27" s="207"/>
      <c r="K27" s="207"/>
      <c r="L27" s="209">
        <v>5.0</v>
      </c>
      <c r="M27" s="209">
        <v>10.0</v>
      </c>
      <c r="N27" s="209" t="s">
        <v>1413</v>
      </c>
      <c r="O27" s="207"/>
      <c r="P27" s="207"/>
      <c r="Q27" s="209">
        <v>10.0</v>
      </c>
      <c r="R27" s="210"/>
      <c r="S27" s="210"/>
      <c r="T27" s="210"/>
      <c r="U27" s="210"/>
      <c r="V27" s="210"/>
      <c r="W27" s="210"/>
      <c r="X27" s="210"/>
      <c r="Y27" s="210"/>
      <c r="Z27" s="210"/>
      <c r="AA27" s="210"/>
      <c r="AB27" s="210"/>
      <c r="AC27" s="210"/>
      <c r="AD27" s="210"/>
      <c r="AE27" s="210"/>
    </row>
    <row r="28">
      <c r="B28" s="37" t="s">
        <v>1423</v>
      </c>
      <c r="C28" s="12" t="s">
        <v>1385</v>
      </c>
      <c r="D28" s="21"/>
      <c r="E28" s="204">
        <v>6.0</v>
      </c>
      <c r="F28" s="22" t="s">
        <v>1397</v>
      </c>
      <c r="G28" s="22">
        <v>25.0</v>
      </c>
      <c r="H28" s="22" t="s">
        <v>260</v>
      </c>
      <c r="I28" s="22" t="s">
        <v>264</v>
      </c>
      <c r="J28" s="22" t="s">
        <v>1387</v>
      </c>
      <c r="K28" s="22" t="s">
        <v>261</v>
      </c>
      <c r="L28" s="22">
        <v>2.0</v>
      </c>
      <c r="M28" s="22" t="s">
        <v>1388</v>
      </c>
      <c r="N28" s="22" t="s">
        <v>1424</v>
      </c>
      <c r="O28" s="21"/>
      <c r="P28" s="22" t="s">
        <v>1390</v>
      </c>
      <c r="Q28" s="21"/>
    </row>
    <row r="29">
      <c r="C29" s="206" t="s">
        <v>1391</v>
      </c>
      <c r="D29" s="207">
        <f>sum(E29:Q29)</f>
        <v>100</v>
      </c>
      <c r="E29" s="208">
        <f>E28*HPvalue</f>
        <v>60</v>
      </c>
      <c r="F29" s="207"/>
      <c r="G29" s="207">
        <f>((G28-25)/5)*10</f>
        <v>0</v>
      </c>
      <c r="H29" s="207"/>
      <c r="I29" s="207"/>
      <c r="J29" s="207"/>
      <c r="K29" s="207"/>
      <c r="L29" s="209">
        <v>10.0</v>
      </c>
      <c r="M29" s="209">
        <v>20.0</v>
      </c>
      <c r="N29" s="209" t="s">
        <v>1413</v>
      </c>
      <c r="O29" s="207"/>
      <c r="P29" s="207"/>
      <c r="Q29" s="209">
        <v>10.0</v>
      </c>
      <c r="R29" s="210"/>
      <c r="S29" s="210"/>
      <c r="T29" s="210"/>
      <c r="U29" s="210"/>
      <c r="V29" s="210"/>
      <c r="W29" s="210"/>
      <c r="X29" s="210"/>
      <c r="Y29" s="210"/>
      <c r="Z29" s="210"/>
      <c r="AA29" s="210"/>
      <c r="AB29" s="210"/>
      <c r="AC29" s="210"/>
      <c r="AD29" s="210"/>
      <c r="AE29" s="210"/>
    </row>
    <row r="30">
      <c r="B30" s="37" t="s">
        <v>1425</v>
      </c>
      <c r="C30" s="12" t="s">
        <v>1385</v>
      </c>
      <c r="D30" s="21"/>
      <c r="E30" s="204">
        <v>8.0</v>
      </c>
      <c r="F30" s="22" t="s">
        <v>1397</v>
      </c>
      <c r="G30" s="22">
        <v>25.0</v>
      </c>
      <c r="H30" s="22" t="s">
        <v>261</v>
      </c>
      <c r="I30" s="22" t="s">
        <v>263</v>
      </c>
      <c r="J30" s="22" t="s">
        <v>1387</v>
      </c>
      <c r="K30" s="22" t="s">
        <v>262</v>
      </c>
      <c r="L30" s="22">
        <v>2.0</v>
      </c>
      <c r="M30" s="22" t="s">
        <v>1394</v>
      </c>
      <c r="N30" s="22" t="s">
        <v>1426</v>
      </c>
      <c r="O30" s="21"/>
      <c r="P30" s="22" t="s">
        <v>1427</v>
      </c>
      <c r="Q30" s="21"/>
    </row>
    <row r="31">
      <c r="C31" s="206" t="s">
        <v>1391</v>
      </c>
      <c r="D31" s="207">
        <f>sum(E31:Q31)</f>
        <v>110</v>
      </c>
      <c r="E31" s="208">
        <f>E30*HPvalue</f>
        <v>80</v>
      </c>
      <c r="F31" s="207"/>
      <c r="G31" s="207">
        <f>((G30-25)/5)*10</f>
        <v>0</v>
      </c>
      <c r="H31" s="207"/>
      <c r="I31" s="207"/>
      <c r="J31" s="207"/>
      <c r="K31" s="207"/>
      <c r="L31" s="209">
        <v>10.0</v>
      </c>
      <c r="M31" s="209">
        <v>10.0</v>
      </c>
      <c r="N31" s="209" t="s">
        <v>1413</v>
      </c>
      <c r="O31" s="207"/>
      <c r="P31" s="207"/>
      <c r="Q31" s="209">
        <v>10.0</v>
      </c>
      <c r="R31" s="210"/>
      <c r="S31" s="210"/>
      <c r="T31" s="210"/>
      <c r="U31" s="210"/>
      <c r="V31" s="210"/>
      <c r="W31" s="210"/>
      <c r="X31" s="210"/>
      <c r="Y31" s="210"/>
      <c r="Z31" s="210"/>
      <c r="AA31" s="210"/>
      <c r="AB31" s="210"/>
      <c r="AC31" s="210"/>
      <c r="AD31" s="210"/>
      <c r="AE31" s="210"/>
    </row>
    <row r="32">
      <c r="B32" s="37" t="s">
        <v>1429</v>
      </c>
      <c r="C32" s="12" t="s">
        <v>1385</v>
      </c>
      <c r="D32" s="21"/>
      <c r="E32" s="204">
        <v>8.0</v>
      </c>
      <c r="F32" s="22" t="s">
        <v>1386</v>
      </c>
      <c r="G32" s="22">
        <v>25.0</v>
      </c>
      <c r="H32" s="22" t="s">
        <v>259</v>
      </c>
      <c r="I32" s="22" t="s">
        <v>263</v>
      </c>
      <c r="J32" s="22" t="s">
        <v>1387</v>
      </c>
      <c r="K32" s="22" t="s">
        <v>262</v>
      </c>
      <c r="L32" s="22">
        <v>2.0</v>
      </c>
      <c r="M32" s="22" t="s">
        <v>1430</v>
      </c>
      <c r="N32" s="22" t="s">
        <v>1431</v>
      </c>
      <c r="O32" s="21"/>
      <c r="P32" s="22" t="s">
        <v>1390</v>
      </c>
      <c r="Q32" s="21"/>
    </row>
    <row r="33">
      <c r="C33" s="206" t="s">
        <v>1391</v>
      </c>
      <c r="D33" s="207">
        <f>sum(E33:Q33)</f>
        <v>110</v>
      </c>
      <c r="E33" s="208">
        <f>E32*HPvalue</f>
        <v>80</v>
      </c>
      <c r="F33" s="207"/>
      <c r="G33" s="207">
        <f>((G32-25)/5)*10</f>
        <v>0</v>
      </c>
      <c r="H33" s="207"/>
      <c r="I33" s="207"/>
      <c r="J33" s="207"/>
      <c r="K33" s="207"/>
      <c r="L33" s="209">
        <v>10.0</v>
      </c>
      <c r="M33" s="209">
        <v>10.0</v>
      </c>
      <c r="N33" s="209" t="s">
        <v>1413</v>
      </c>
      <c r="O33" s="207"/>
      <c r="P33" s="207"/>
      <c r="Q33" s="209">
        <v>10.0</v>
      </c>
      <c r="R33" s="210"/>
      <c r="S33" s="210"/>
      <c r="T33" s="210"/>
      <c r="U33" s="210"/>
      <c r="V33" s="210"/>
      <c r="W33" s="210"/>
      <c r="X33" s="210"/>
      <c r="Y33" s="210"/>
      <c r="Z33" s="210"/>
      <c r="AA33" s="210"/>
      <c r="AB33" s="210"/>
      <c r="AC33" s="210"/>
      <c r="AD33" s="210"/>
      <c r="AE33" s="210"/>
    </row>
    <row r="34">
      <c r="B34" s="37" t="s">
        <v>1432</v>
      </c>
      <c r="C34" s="12" t="s">
        <v>1385</v>
      </c>
      <c r="D34" s="21"/>
      <c r="E34" s="204">
        <v>10.0</v>
      </c>
      <c r="F34" s="22" t="s">
        <v>1386</v>
      </c>
      <c r="G34" s="22">
        <v>25.0</v>
      </c>
      <c r="H34" s="22" t="s">
        <v>259</v>
      </c>
      <c r="I34" s="22" t="s">
        <v>1387</v>
      </c>
      <c r="J34" s="21"/>
      <c r="K34" s="21"/>
      <c r="L34" s="22">
        <v>2.0</v>
      </c>
      <c r="M34" s="22" t="s">
        <v>1388</v>
      </c>
      <c r="N34" s="21"/>
      <c r="O34" s="21"/>
      <c r="P34" s="22" t="s">
        <v>1390</v>
      </c>
      <c r="Q34" s="21"/>
    </row>
    <row r="35">
      <c r="C35" s="206" t="s">
        <v>1391</v>
      </c>
      <c r="D35" s="207">
        <f>sum(E35:Q35)</f>
        <v>140</v>
      </c>
      <c r="E35" s="208">
        <f>E34*HPvalue</f>
        <v>100</v>
      </c>
      <c r="F35" s="207"/>
      <c r="G35" s="207">
        <f>((G34-25)/5)*10</f>
        <v>0</v>
      </c>
      <c r="H35" s="207"/>
      <c r="I35" s="207"/>
      <c r="J35" s="207"/>
      <c r="K35" s="207"/>
      <c r="L35" s="209">
        <v>10.0</v>
      </c>
      <c r="M35" s="209">
        <v>20.0</v>
      </c>
      <c r="N35" s="207"/>
      <c r="O35" s="207"/>
      <c r="P35" s="207"/>
      <c r="Q35" s="209">
        <v>10.0</v>
      </c>
      <c r="R35" s="210"/>
      <c r="S35" s="210"/>
      <c r="T35" s="210"/>
      <c r="U35" s="210"/>
      <c r="V35" s="210"/>
      <c r="W35" s="210"/>
      <c r="X35" s="210"/>
      <c r="Y35" s="210"/>
      <c r="Z35" s="210"/>
      <c r="AA35" s="210"/>
      <c r="AB35" s="210"/>
      <c r="AC35" s="210"/>
      <c r="AD35" s="210"/>
      <c r="AE35" s="210"/>
    </row>
    <row r="36">
      <c r="B36" s="37" t="s">
        <v>1434</v>
      </c>
      <c r="C36" s="12" t="s">
        <v>1385</v>
      </c>
      <c r="D36" s="21"/>
      <c r="E36" s="204">
        <v>6.0</v>
      </c>
      <c r="F36" s="22" t="s">
        <v>1397</v>
      </c>
      <c r="G36" s="22">
        <v>25.0</v>
      </c>
      <c r="H36" s="22" t="s">
        <v>260</v>
      </c>
      <c r="I36" s="22" t="s">
        <v>262</v>
      </c>
      <c r="J36" s="22" t="s">
        <v>1387</v>
      </c>
      <c r="K36" s="22" t="s">
        <v>259</v>
      </c>
      <c r="L36" s="22">
        <v>2.0</v>
      </c>
      <c r="M36" s="22" t="s">
        <v>1394</v>
      </c>
      <c r="N36" s="21"/>
      <c r="O36" s="21"/>
      <c r="P36" s="22" t="s">
        <v>1390</v>
      </c>
      <c r="Q36" s="21"/>
    </row>
    <row r="37">
      <c r="C37" s="206" t="s">
        <v>1391</v>
      </c>
      <c r="D37" s="207">
        <f>sum(E37:Q37)</f>
        <v>90</v>
      </c>
      <c r="E37" s="208">
        <f>E36*HPvalue</f>
        <v>60</v>
      </c>
      <c r="F37" s="207"/>
      <c r="G37" s="207">
        <f>((G36-25)/5)*10</f>
        <v>0</v>
      </c>
      <c r="H37" s="207"/>
      <c r="I37" s="207"/>
      <c r="J37" s="207"/>
      <c r="K37" s="207"/>
      <c r="L37" s="209">
        <v>10.0</v>
      </c>
      <c r="M37" s="209">
        <v>10.0</v>
      </c>
      <c r="N37" s="207"/>
      <c r="O37" s="207"/>
      <c r="P37" s="207"/>
      <c r="Q37" s="209">
        <v>10.0</v>
      </c>
      <c r="R37" s="210"/>
      <c r="S37" s="210"/>
      <c r="T37" s="210"/>
      <c r="U37" s="210"/>
      <c r="V37" s="210"/>
      <c r="W37" s="210"/>
      <c r="X37" s="210"/>
      <c r="Y37" s="210"/>
      <c r="Z37" s="210"/>
      <c r="AA37" s="210"/>
      <c r="AB37" s="210"/>
      <c r="AC37" s="210"/>
      <c r="AD37" s="210"/>
      <c r="AE37" s="210"/>
    </row>
    <row r="38">
      <c r="B38" s="37" t="s">
        <v>1435</v>
      </c>
      <c r="C38" s="12" t="s">
        <v>1385</v>
      </c>
      <c r="D38" s="21"/>
      <c r="E38" s="204">
        <v>6.0</v>
      </c>
      <c r="F38" s="22" t="s">
        <v>1386</v>
      </c>
      <c r="G38" s="22">
        <v>25.0</v>
      </c>
      <c r="H38" s="22" t="s">
        <v>260</v>
      </c>
      <c r="I38" s="22" t="s">
        <v>1387</v>
      </c>
      <c r="J38" s="21"/>
      <c r="K38" s="21"/>
      <c r="L38" s="22">
        <v>2.0</v>
      </c>
      <c r="M38" s="22" t="s">
        <v>1394</v>
      </c>
      <c r="N38" s="22" t="s">
        <v>1436</v>
      </c>
      <c r="O38" s="21"/>
      <c r="P38" s="21"/>
      <c r="Q38" s="21"/>
    </row>
    <row r="39">
      <c r="A39" s="211"/>
      <c r="B39" s="211"/>
      <c r="C39" s="212" t="s">
        <v>1391</v>
      </c>
      <c r="D39" s="213">
        <f>sum(E39:Q39)</f>
        <v>90</v>
      </c>
      <c r="E39" s="214">
        <f>E38*HPvalue</f>
        <v>60</v>
      </c>
      <c r="F39" s="213"/>
      <c r="G39" s="213">
        <f>((G38-25)/5)*10</f>
        <v>0</v>
      </c>
      <c r="H39" s="213"/>
      <c r="I39" s="213"/>
      <c r="J39" s="213"/>
      <c r="K39" s="213"/>
      <c r="L39" s="216">
        <v>10.0</v>
      </c>
      <c r="M39" s="216">
        <v>10.0</v>
      </c>
      <c r="N39" s="216" t="s">
        <v>1413</v>
      </c>
      <c r="O39" s="213"/>
      <c r="P39" s="213"/>
      <c r="Q39" s="216">
        <v>10.0</v>
      </c>
      <c r="R39" s="217"/>
      <c r="S39" s="217"/>
      <c r="T39" s="217"/>
      <c r="U39" s="217"/>
      <c r="V39" s="217"/>
      <c r="W39" s="217"/>
      <c r="X39" s="217"/>
      <c r="Y39" s="217"/>
      <c r="Z39" s="217"/>
      <c r="AA39" s="217"/>
      <c r="AB39" s="217"/>
      <c r="AC39" s="217"/>
      <c r="AD39" s="217"/>
      <c r="AE39" s="217"/>
    </row>
    <row r="40">
      <c r="A40" s="218" t="s">
        <v>1438</v>
      </c>
      <c r="B40" s="37" t="s">
        <v>1439</v>
      </c>
      <c r="C40" s="12" t="s">
        <v>1385</v>
      </c>
      <c r="D40" s="21"/>
      <c r="E40" s="219"/>
      <c r="F40" s="21"/>
      <c r="G40" s="21"/>
      <c r="H40" s="21"/>
      <c r="I40" s="21"/>
      <c r="J40" s="21"/>
      <c r="K40" s="21"/>
      <c r="L40" s="21"/>
      <c r="M40" s="21"/>
      <c r="N40" s="21"/>
      <c r="O40" s="21"/>
      <c r="P40" s="21"/>
      <c r="Q40" s="21"/>
    </row>
    <row r="41">
      <c r="C41" s="206" t="s">
        <v>1391</v>
      </c>
      <c r="D41" s="207">
        <f>sum(E41:Q41)</f>
        <v>-50</v>
      </c>
      <c r="E41" s="208">
        <f>E40*HPvalue</f>
        <v>0</v>
      </c>
      <c r="F41" s="207"/>
      <c r="G41" s="207">
        <f>((G40-25)/5)*10</f>
        <v>-50</v>
      </c>
      <c r="H41" s="207"/>
      <c r="I41" s="207"/>
      <c r="J41" s="207"/>
      <c r="K41" s="207"/>
      <c r="L41" s="207"/>
      <c r="M41" s="207"/>
      <c r="N41" s="207"/>
      <c r="O41" s="207"/>
      <c r="P41" s="207"/>
      <c r="Q41" s="207"/>
      <c r="R41" s="210"/>
      <c r="S41" s="210"/>
      <c r="T41" s="210"/>
      <c r="U41" s="210"/>
      <c r="V41" s="210"/>
      <c r="W41" s="210"/>
      <c r="X41" s="210"/>
      <c r="Y41" s="210"/>
      <c r="Z41" s="210"/>
      <c r="AA41" s="210"/>
      <c r="AB41" s="210"/>
      <c r="AC41" s="210"/>
      <c r="AD41" s="210"/>
      <c r="AE41" s="210"/>
    </row>
    <row r="42">
      <c r="B42" s="37" t="s">
        <v>1440</v>
      </c>
      <c r="C42" s="12" t="s">
        <v>1385</v>
      </c>
      <c r="D42" s="21"/>
      <c r="E42" s="219"/>
      <c r="F42" s="21"/>
      <c r="G42" s="21"/>
      <c r="H42" s="21"/>
      <c r="I42" s="21"/>
      <c r="J42" s="21"/>
      <c r="K42" s="21"/>
      <c r="L42" s="21"/>
      <c r="M42" s="21"/>
      <c r="N42" s="21"/>
      <c r="O42" s="21"/>
      <c r="P42" s="21"/>
      <c r="Q42" s="21"/>
    </row>
    <row r="43">
      <c r="C43" s="206" t="s">
        <v>1391</v>
      </c>
      <c r="D43" s="207">
        <f>sum(E43:Q43)</f>
        <v>-50</v>
      </c>
      <c r="E43" s="208">
        <f>E42*HPvalue</f>
        <v>0</v>
      </c>
      <c r="F43" s="207"/>
      <c r="G43" s="207">
        <f>((G42-25)/5)*10</f>
        <v>-50</v>
      </c>
      <c r="H43" s="207"/>
      <c r="I43" s="207"/>
      <c r="J43" s="207"/>
      <c r="K43" s="207"/>
      <c r="L43" s="207"/>
      <c r="M43" s="207"/>
      <c r="N43" s="207"/>
      <c r="O43" s="207"/>
      <c r="P43" s="207"/>
      <c r="Q43" s="207"/>
      <c r="R43" s="210"/>
      <c r="S43" s="210"/>
      <c r="T43" s="210"/>
      <c r="U43" s="210"/>
      <c r="V43" s="210"/>
      <c r="W43" s="210"/>
      <c r="X43" s="210"/>
      <c r="Y43" s="210"/>
      <c r="Z43" s="210"/>
      <c r="AA43" s="210"/>
      <c r="AB43" s="210"/>
      <c r="AC43" s="210"/>
      <c r="AD43" s="210"/>
      <c r="AE43" s="210"/>
    </row>
    <row r="44">
      <c r="B44" s="37" t="s">
        <v>1442</v>
      </c>
      <c r="C44" s="12" t="s">
        <v>1385</v>
      </c>
      <c r="D44" s="21"/>
      <c r="E44" s="219"/>
      <c r="F44" s="21"/>
      <c r="G44" s="21"/>
      <c r="H44" s="21"/>
      <c r="I44" s="21"/>
      <c r="J44" s="21"/>
      <c r="K44" s="21"/>
      <c r="L44" s="21"/>
      <c r="M44" s="21"/>
      <c r="N44" s="21"/>
      <c r="O44" s="21"/>
      <c r="P44" s="21"/>
      <c r="Q44" s="21"/>
    </row>
    <row r="45">
      <c r="C45" s="206" t="s">
        <v>1391</v>
      </c>
      <c r="D45" s="207">
        <f>sum(E45:Q45)</f>
        <v>-50</v>
      </c>
      <c r="E45" s="208">
        <f>E44*HPvalue</f>
        <v>0</v>
      </c>
      <c r="F45" s="207"/>
      <c r="G45" s="207">
        <f>((G44-25)/5)*10</f>
        <v>-50</v>
      </c>
      <c r="H45" s="207"/>
      <c r="I45" s="207"/>
      <c r="J45" s="207"/>
      <c r="K45" s="207"/>
      <c r="L45" s="207"/>
      <c r="M45" s="207"/>
      <c r="N45" s="207"/>
      <c r="O45" s="207"/>
      <c r="P45" s="207"/>
      <c r="Q45" s="207"/>
      <c r="R45" s="210"/>
      <c r="S45" s="210"/>
      <c r="T45" s="210"/>
      <c r="U45" s="210"/>
      <c r="V45" s="210"/>
      <c r="W45" s="210"/>
      <c r="X45" s="210"/>
      <c r="Y45" s="210"/>
      <c r="Z45" s="210"/>
      <c r="AA45" s="210"/>
      <c r="AB45" s="210"/>
      <c r="AC45" s="210"/>
      <c r="AD45" s="210"/>
      <c r="AE45" s="210"/>
    </row>
    <row r="46">
      <c r="B46" s="37" t="s">
        <v>1443</v>
      </c>
      <c r="C46" s="12" t="s">
        <v>1385</v>
      </c>
      <c r="D46" s="21"/>
      <c r="E46" s="219"/>
      <c r="F46" s="21"/>
      <c r="G46" s="21"/>
      <c r="H46" s="21"/>
      <c r="I46" s="21"/>
      <c r="J46" s="21"/>
      <c r="K46" s="21"/>
      <c r="L46" s="21"/>
      <c r="M46" s="21"/>
      <c r="N46" s="21"/>
      <c r="O46" s="21"/>
      <c r="P46" s="21"/>
      <c r="Q46" s="21"/>
    </row>
    <row r="47">
      <c r="C47" s="206" t="s">
        <v>1391</v>
      </c>
      <c r="D47" s="207">
        <f>sum(E47:Q47)</f>
        <v>-50</v>
      </c>
      <c r="E47" s="208">
        <f>E46*HPvalue</f>
        <v>0</v>
      </c>
      <c r="F47" s="207"/>
      <c r="G47" s="207">
        <f>((G46-25)/5)*10</f>
        <v>-50</v>
      </c>
      <c r="H47" s="207"/>
      <c r="I47" s="207"/>
      <c r="J47" s="207"/>
      <c r="K47" s="207"/>
      <c r="L47" s="207"/>
      <c r="M47" s="207"/>
      <c r="N47" s="207"/>
      <c r="O47" s="207"/>
      <c r="P47" s="207"/>
      <c r="Q47" s="207"/>
      <c r="R47" s="210"/>
      <c r="S47" s="210"/>
      <c r="T47" s="210"/>
      <c r="U47" s="210"/>
      <c r="V47" s="210"/>
      <c r="W47" s="210"/>
      <c r="X47" s="210"/>
      <c r="Y47" s="210"/>
      <c r="Z47" s="210"/>
      <c r="AA47" s="210"/>
      <c r="AB47" s="210"/>
      <c r="AC47" s="210"/>
      <c r="AD47" s="210"/>
      <c r="AE47" s="210"/>
    </row>
    <row r="48">
      <c r="B48" s="37" t="s">
        <v>1444</v>
      </c>
      <c r="C48" s="12" t="s">
        <v>1385</v>
      </c>
      <c r="D48" s="21"/>
      <c r="E48" s="219"/>
      <c r="F48" s="21"/>
      <c r="G48" s="21"/>
      <c r="H48" s="21"/>
      <c r="I48" s="21"/>
      <c r="J48" s="21"/>
      <c r="K48" s="21"/>
      <c r="L48" s="21"/>
      <c r="M48" s="21"/>
      <c r="N48" s="21"/>
      <c r="O48" s="21"/>
      <c r="P48" s="21"/>
      <c r="Q48" s="21"/>
    </row>
    <row r="49">
      <c r="C49" s="206" t="s">
        <v>1391</v>
      </c>
      <c r="D49" s="207">
        <f>sum(E49:Q49)</f>
        <v>-50</v>
      </c>
      <c r="E49" s="208">
        <f>E48*HPvalue</f>
        <v>0</v>
      </c>
      <c r="F49" s="207"/>
      <c r="G49" s="207">
        <f>((G48-25)/5)*10</f>
        <v>-50</v>
      </c>
      <c r="H49" s="207"/>
      <c r="I49" s="207"/>
      <c r="J49" s="207"/>
      <c r="K49" s="207"/>
      <c r="L49" s="207"/>
      <c r="M49" s="207"/>
      <c r="N49" s="207"/>
      <c r="O49" s="207"/>
      <c r="P49" s="207"/>
      <c r="Q49" s="207"/>
      <c r="R49" s="210"/>
      <c r="S49" s="210"/>
      <c r="T49" s="210"/>
      <c r="U49" s="210"/>
      <c r="V49" s="210"/>
      <c r="W49" s="210"/>
      <c r="X49" s="210"/>
      <c r="Y49" s="210"/>
      <c r="Z49" s="210"/>
      <c r="AA49" s="210"/>
      <c r="AB49" s="210"/>
      <c r="AC49" s="210"/>
      <c r="AD49" s="210"/>
      <c r="AE49" s="210"/>
    </row>
    <row r="50">
      <c r="B50" s="37" t="s">
        <v>1446</v>
      </c>
      <c r="C50" s="12" t="s">
        <v>1385</v>
      </c>
      <c r="D50" s="21"/>
      <c r="E50" s="219"/>
      <c r="F50" s="21"/>
      <c r="G50" s="21"/>
      <c r="H50" s="21"/>
      <c r="I50" s="21"/>
      <c r="J50" s="21"/>
      <c r="K50" s="21"/>
      <c r="L50" s="21"/>
      <c r="M50" s="21"/>
      <c r="N50" s="21"/>
      <c r="O50" s="21"/>
      <c r="P50" s="21"/>
      <c r="Q50" s="21"/>
    </row>
    <row r="51">
      <c r="C51" s="206" t="s">
        <v>1391</v>
      </c>
      <c r="D51" s="207">
        <f>sum(E51:Q51)</f>
        <v>-50</v>
      </c>
      <c r="E51" s="208">
        <f>E50*HPvalue</f>
        <v>0</v>
      </c>
      <c r="F51" s="207"/>
      <c r="G51" s="207">
        <f>((G50-25)/5)*10</f>
        <v>-50</v>
      </c>
      <c r="H51" s="207"/>
      <c r="I51" s="207"/>
      <c r="J51" s="207"/>
      <c r="K51" s="207"/>
      <c r="L51" s="207"/>
      <c r="M51" s="207"/>
      <c r="N51" s="207"/>
      <c r="O51" s="207"/>
      <c r="P51" s="207"/>
      <c r="Q51" s="207"/>
      <c r="R51" s="210"/>
      <c r="S51" s="210"/>
      <c r="T51" s="210"/>
      <c r="U51" s="210"/>
      <c r="V51" s="210"/>
      <c r="W51" s="210"/>
      <c r="X51" s="210"/>
      <c r="Y51" s="210"/>
      <c r="Z51" s="210"/>
      <c r="AA51" s="210"/>
      <c r="AB51" s="210"/>
      <c r="AC51" s="210"/>
      <c r="AD51" s="210"/>
      <c r="AE51" s="210"/>
    </row>
    <row r="52">
      <c r="B52" s="37" t="s">
        <v>1447</v>
      </c>
      <c r="C52" s="12" t="s">
        <v>1385</v>
      </c>
      <c r="D52" s="21"/>
      <c r="E52" s="219"/>
      <c r="F52" s="21"/>
      <c r="G52" s="21"/>
      <c r="H52" s="21"/>
      <c r="I52" s="21"/>
      <c r="J52" s="21"/>
      <c r="K52" s="21"/>
      <c r="L52" s="21"/>
      <c r="M52" s="21"/>
      <c r="N52" s="21"/>
      <c r="O52" s="21"/>
      <c r="P52" s="21"/>
      <c r="Q52" s="21"/>
    </row>
    <row r="53">
      <c r="C53" s="206" t="s">
        <v>1391</v>
      </c>
      <c r="D53" s="207">
        <f>sum(E53:Q53)</f>
        <v>-50</v>
      </c>
      <c r="E53" s="208">
        <f>E52*HPvalue</f>
        <v>0</v>
      </c>
      <c r="F53" s="207"/>
      <c r="G53" s="207">
        <f>((G52-25)/5)*10</f>
        <v>-50</v>
      </c>
      <c r="H53" s="207"/>
      <c r="I53" s="207"/>
      <c r="J53" s="207"/>
      <c r="K53" s="207"/>
      <c r="L53" s="207"/>
      <c r="M53" s="207"/>
      <c r="N53" s="207"/>
      <c r="O53" s="207"/>
      <c r="P53" s="207"/>
      <c r="Q53" s="207"/>
      <c r="R53" s="210"/>
      <c r="S53" s="210"/>
      <c r="T53" s="210"/>
      <c r="U53" s="210"/>
      <c r="V53" s="210"/>
      <c r="W53" s="210"/>
      <c r="X53" s="210"/>
      <c r="Y53" s="210"/>
      <c r="Z53" s="210"/>
      <c r="AA53" s="210"/>
      <c r="AB53" s="210"/>
      <c r="AC53" s="210"/>
      <c r="AD53" s="210"/>
      <c r="AE53" s="210"/>
    </row>
    <row r="54">
      <c r="B54" s="37" t="s">
        <v>1449</v>
      </c>
      <c r="C54" s="12" t="s">
        <v>1385</v>
      </c>
      <c r="D54" s="21"/>
      <c r="E54" s="219"/>
      <c r="F54" s="21"/>
      <c r="G54" s="21"/>
      <c r="H54" s="21"/>
      <c r="I54" s="21"/>
      <c r="J54" s="21"/>
      <c r="K54" s="21"/>
      <c r="L54" s="21"/>
      <c r="M54" s="21"/>
      <c r="N54" s="21"/>
      <c r="O54" s="21"/>
      <c r="P54" s="21"/>
      <c r="Q54" s="21"/>
    </row>
    <row r="55">
      <c r="C55" s="206" t="s">
        <v>1391</v>
      </c>
      <c r="D55" s="207">
        <f>sum(E55:Q55)</f>
        <v>-50</v>
      </c>
      <c r="E55" s="208">
        <f>E54*HPvalue</f>
        <v>0</v>
      </c>
      <c r="F55" s="207"/>
      <c r="G55" s="207">
        <f>((G54-25)/5)*10</f>
        <v>-50</v>
      </c>
      <c r="H55" s="207"/>
      <c r="I55" s="207"/>
      <c r="J55" s="207"/>
      <c r="K55" s="207"/>
      <c r="L55" s="207"/>
      <c r="M55" s="207"/>
      <c r="N55" s="207"/>
      <c r="O55" s="207"/>
      <c r="P55" s="207"/>
      <c r="Q55" s="207"/>
      <c r="R55" s="210"/>
      <c r="S55" s="210"/>
      <c r="T55" s="210"/>
      <c r="U55" s="210"/>
      <c r="V55" s="210"/>
      <c r="W55" s="210"/>
      <c r="X55" s="210"/>
      <c r="Y55" s="210"/>
      <c r="Z55" s="210"/>
      <c r="AA55" s="210"/>
      <c r="AB55" s="210"/>
      <c r="AC55" s="210"/>
      <c r="AD55" s="210"/>
      <c r="AE55" s="210"/>
    </row>
    <row r="56">
      <c r="B56" s="37" t="s">
        <v>1450</v>
      </c>
      <c r="C56" s="12" t="s">
        <v>1385</v>
      </c>
      <c r="D56" s="21"/>
      <c r="E56" s="219"/>
      <c r="F56" s="21"/>
      <c r="G56" s="21"/>
      <c r="H56" s="21"/>
      <c r="I56" s="21"/>
      <c r="J56" s="21"/>
      <c r="K56" s="21"/>
      <c r="L56" s="21"/>
      <c r="M56" s="21"/>
      <c r="N56" s="21"/>
      <c r="O56" s="21"/>
      <c r="P56" s="21"/>
      <c r="Q56" s="21"/>
    </row>
    <row r="57">
      <c r="C57" s="206" t="s">
        <v>1391</v>
      </c>
      <c r="D57" s="207">
        <f>sum(E57:Q57)</f>
        <v>-50</v>
      </c>
      <c r="E57" s="208">
        <f>E56*HPvalue</f>
        <v>0</v>
      </c>
      <c r="F57" s="207"/>
      <c r="G57" s="207">
        <f>((G56-25)/5)*10</f>
        <v>-50</v>
      </c>
      <c r="H57" s="207"/>
      <c r="I57" s="207"/>
      <c r="J57" s="207"/>
      <c r="K57" s="207"/>
      <c r="L57" s="207"/>
      <c r="M57" s="207"/>
      <c r="N57" s="207"/>
      <c r="O57" s="207"/>
      <c r="P57" s="207"/>
      <c r="Q57" s="207"/>
      <c r="R57" s="210"/>
      <c r="S57" s="210"/>
      <c r="T57" s="210"/>
      <c r="U57" s="210"/>
      <c r="V57" s="210"/>
      <c r="W57" s="210"/>
      <c r="X57" s="210"/>
      <c r="Y57" s="210"/>
      <c r="Z57" s="210"/>
      <c r="AA57" s="210"/>
      <c r="AB57" s="210"/>
      <c r="AC57" s="210"/>
      <c r="AD57" s="210"/>
      <c r="AE57" s="210"/>
    </row>
    <row r="58">
      <c r="B58" s="37" t="s">
        <v>1451</v>
      </c>
      <c r="C58" s="12" t="s">
        <v>1385</v>
      </c>
      <c r="D58" s="21"/>
      <c r="E58" s="219"/>
      <c r="F58" s="21"/>
      <c r="G58" s="21"/>
      <c r="H58" s="21"/>
      <c r="I58" s="21"/>
      <c r="J58" s="21"/>
      <c r="K58" s="21"/>
      <c r="L58" s="21"/>
      <c r="M58" s="21"/>
      <c r="N58" s="21"/>
      <c r="O58" s="21"/>
      <c r="P58" s="21"/>
      <c r="Q58" s="21"/>
    </row>
    <row r="59">
      <c r="C59" s="206" t="s">
        <v>1391</v>
      </c>
      <c r="D59" s="207">
        <f>sum(E59:Q59)</f>
        <v>-50</v>
      </c>
      <c r="E59" s="208">
        <f>E58*HPvalue</f>
        <v>0</v>
      </c>
      <c r="F59" s="207"/>
      <c r="G59" s="207">
        <f>((G58-25)/5)*10</f>
        <v>-50</v>
      </c>
      <c r="H59" s="207"/>
      <c r="I59" s="207"/>
      <c r="J59" s="207"/>
      <c r="K59" s="207"/>
      <c r="L59" s="207"/>
      <c r="M59" s="207"/>
      <c r="N59" s="207"/>
      <c r="O59" s="207"/>
      <c r="P59" s="207"/>
      <c r="Q59" s="207"/>
      <c r="R59" s="210"/>
      <c r="S59" s="210"/>
      <c r="T59" s="210"/>
      <c r="U59" s="210"/>
      <c r="V59" s="210"/>
      <c r="W59" s="210"/>
      <c r="X59" s="210"/>
      <c r="Y59" s="210"/>
      <c r="Z59" s="210"/>
      <c r="AA59" s="210"/>
      <c r="AB59" s="210"/>
      <c r="AC59" s="210"/>
      <c r="AD59" s="210"/>
      <c r="AE59" s="210"/>
    </row>
    <row r="60">
      <c r="B60" s="37" t="s">
        <v>1453</v>
      </c>
      <c r="C60" s="12" t="s">
        <v>1385</v>
      </c>
      <c r="D60" s="21"/>
      <c r="E60" s="219"/>
      <c r="F60" s="21"/>
      <c r="G60" s="21"/>
      <c r="H60" s="21"/>
      <c r="I60" s="21"/>
      <c r="J60" s="21"/>
      <c r="K60" s="21"/>
      <c r="L60" s="21"/>
      <c r="M60" s="21"/>
      <c r="N60" s="21"/>
      <c r="O60" s="21"/>
      <c r="P60" s="21"/>
      <c r="Q60" s="21"/>
    </row>
    <row r="61">
      <c r="C61" s="206" t="s">
        <v>1391</v>
      </c>
      <c r="D61" s="207">
        <f>sum(E61:Q61)</f>
        <v>-50</v>
      </c>
      <c r="E61" s="208">
        <f>E60*HPvalue</f>
        <v>0</v>
      </c>
      <c r="F61" s="207"/>
      <c r="G61" s="207">
        <f>((G60-25)/5)*10</f>
        <v>-50</v>
      </c>
      <c r="H61" s="207"/>
      <c r="I61" s="207"/>
      <c r="J61" s="207"/>
      <c r="K61" s="207"/>
      <c r="L61" s="207"/>
      <c r="M61" s="207"/>
      <c r="N61" s="207"/>
      <c r="O61" s="207"/>
      <c r="P61" s="207"/>
      <c r="Q61" s="207"/>
      <c r="R61" s="210"/>
      <c r="S61" s="210"/>
      <c r="T61" s="210"/>
      <c r="U61" s="210"/>
      <c r="V61" s="210"/>
      <c r="W61" s="210"/>
      <c r="X61" s="210"/>
      <c r="Y61" s="210"/>
      <c r="Z61" s="210"/>
      <c r="AA61" s="210"/>
      <c r="AB61" s="210"/>
      <c r="AC61" s="210"/>
      <c r="AD61" s="210"/>
      <c r="AE61" s="210"/>
    </row>
    <row r="62">
      <c r="B62" s="37" t="s">
        <v>1454</v>
      </c>
      <c r="C62" s="12" t="s">
        <v>1385</v>
      </c>
      <c r="D62" s="21"/>
      <c r="E62" s="219"/>
      <c r="F62" s="21"/>
      <c r="G62" s="21"/>
      <c r="H62" s="21"/>
      <c r="I62" s="21"/>
      <c r="J62" s="21"/>
      <c r="K62" s="21"/>
      <c r="L62" s="21"/>
      <c r="M62" s="21"/>
      <c r="N62" s="21"/>
      <c r="O62" s="21"/>
      <c r="P62" s="21"/>
      <c r="Q62" s="21"/>
    </row>
    <row r="63">
      <c r="A63" s="40"/>
      <c r="B63" s="40"/>
      <c r="C63" s="206" t="s">
        <v>1391</v>
      </c>
      <c r="D63" s="207">
        <f>sum(E63:Q63)</f>
        <v>-50</v>
      </c>
      <c r="E63" s="208">
        <f>E62*HPvalue</f>
        <v>0</v>
      </c>
      <c r="F63" s="207"/>
      <c r="G63" s="207">
        <f>((G62-25)/5)*10</f>
        <v>-50</v>
      </c>
      <c r="H63" s="207"/>
      <c r="I63" s="207"/>
      <c r="J63" s="207"/>
      <c r="K63" s="207"/>
      <c r="L63" s="207"/>
      <c r="M63" s="207"/>
      <c r="N63" s="207"/>
      <c r="O63" s="207"/>
      <c r="P63" s="207"/>
      <c r="Q63" s="207"/>
      <c r="R63" s="210"/>
      <c r="S63" s="210"/>
      <c r="T63" s="210"/>
      <c r="U63" s="210"/>
      <c r="V63" s="210"/>
      <c r="W63" s="210"/>
      <c r="X63" s="210"/>
      <c r="Y63" s="210"/>
      <c r="Z63" s="210"/>
      <c r="AA63" s="210"/>
      <c r="AB63" s="210"/>
      <c r="AC63" s="210"/>
      <c r="AD63" s="210"/>
      <c r="AE63" s="210"/>
    </row>
    <row r="64">
      <c r="A64" s="220"/>
      <c r="B64" s="37"/>
      <c r="D64" s="21"/>
      <c r="E64" s="219"/>
      <c r="F64" s="21"/>
      <c r="G64" s="21"/>
      <c r="H64" s="21"/>
      <c r="I64" s="21"/>
      <c r="J64" s="21"/>
      <c r="K64" s="21"/>
      <c r="L64" s="21"/>
      <c r="M64" s="21"/>
      <c r="N64" s="21"/>
      <c r="O64" s="21"/>
      <c r="P64" s="21"/>
      <c r="Q64" s="21"/>
    </row>
    <row r="65">
      <c r="A65" s="220"/>
      <c r="B65" s="37"/>
      <c r="D65" s="21"/>
      <c r="E65" s="219"/>
      <c r="F65" s="21"/>
      <c r="G65" s="21"/>
      <c r="H65" s="21"/>
      <c r="I65" s="21"/>
      <c r="J65" s="21"/>
      <c r="K65" s="21"/>
      <c r="L65" s="21"/>
      <c r="M65" s="21"/>
      <c r="N65" s="21"/>
      <c r="O65" s="21"/>
      <c r="P65" s="21"/>
      <c r="Q65" s="21"/>
    </row>
    <row r="66">
      <c r="A66" s="220"/>
      <c r="B66" s="37"/>
      <c r="D66" s="21"/>
      <c r="E66" s="219"/>
      <c r="F66" s="21"/>
      <c r="G66" s="21"/>
      <c r="H66" s="21"/>
      <c r="I66" s="21"/>
      <c r="J66" s="21"/>
      <c r="K66" s="21"/>
      <c r="L66" s="21"/>
      <c r="M66" s="21"/>
      <c r="N66" s="21"/>
      <c r="O66" s="21"/>
      <c r="P66" s="21"/>
      <c r="Q66" s="21"/>
    </row>
    <row r="67">
      <c r="A67" s="220"/>
      <c r="B67" s="37"/>
      <c r="D67" s="21"/>
      <c r="E67" s="219"/>
      <c r="F67" s="21"/>
      <c r="G67" s="21"/>
      <c r="H67" s="21"/>
      <c r="I67" s="21"/>
      <c r="J67" s="21"/>
      <c r="K67" s="21"/>
      <c r="L67" s="21"/>
      <c r="M67" s="21"/>
      <c r="N67" s="21"/>
      <c r="O67" s="21"/>
      <c r="P67" s="21"/>
      <c r="Q67" s="21"/>
    </row>
    <row r="68">
      <c r="A68" s="220"/>
      <c r="B68" s="35"/>
      <c r="D68" s="21"/>
      <c r="E68" s="219"/>
      <c r="F68" s="21"/>
      <c r="G68" s="21"/>
      <c r="H68" s="21"/>
      <c r="I68" s="21"/>
      <c r="J68" s="21"/>
      <c r="K68" s="21"/>
      <c r="L68" s="21"/>
      <c r="M68" s="21"/>
      <c r="N68" s="21"/>
      <c r="O68" s="21"/>
      <c r="P68" s="21"/>
      <c r="Q68" s="21"/>
    </row>
    <row r="69">
      <c r="A69" s="220"/>
      <c r="B69" s="35"/>
      <c r="D69" s="21"/>
      <c r="E69" s="219"/>
      <c r="F69" s="21"/>
      <c r="G69" s="21"/>
      <c r="H69" s="21"/>
      <c r="I69" s="21"/>
      <c r="J69" s="21"/>
      <c r="K69" s="21"/>
      <c r="L69" s="21"/>
      <c r="M69" s="21"/>
      <c r="N69" s="21"/>
      <c r="O69" s="21"/>
      <c r="P69" s="21"/>
      <c r="Q69" s="21"/>
    </row>
    <row r="70">
      <c r="A70" s="220"/>
      <c r="B70" s="35"/>
      <c r="D70" s="21"/>
      <c r="E70" s="219"/>
      <c r="F70" s="21"/>
      <c r="G70" s="21"/>
      <c r="H70" s="21"/>
      <c r="I70" s="21"/>
      <c r="J70" s="21"/>
      <c r="K70" s="21"/>
      <c r="L70" s="21"/>
      <c r="M70" s="21"/>
      <c r="N70" s="21"/>
      <c r="O70" s="21"/>
      <c r="P70" s="21"/>
      <c r="Q70" s="21"/>
    </row>
    <row r="71">
      <c r="A71" s="220"/>
      <c r="B71" s="35"/>
      <c r="D71" s="21"/>
      <c r="E71" s="219"/>
      <c r="F71" s="21"/>
      <c r="G71" s="21"/>
      <c r="H71" s="21"/>
      <c r="I71" s="21"/>
      <c r="J71" s="21"/>
      <c r="K71" s="21"/>
      <c r="L71" s="21"/>
      <c r="M71" s="21"/>
      <c r="N71" s="21"/>
      <c r="O71" s="21"/>
      <c r="P71" s="21"/>
      <c r="Q71" s="21"/>
    </row>
    <row r="72">
      <c r="A72" s="220"/>
      <c r="B72" s="35"/>
      <c r="D72" s="21"/>
      <c r="E72" s="219"/>
      <c r="F72" s="21"/>
      <c r="G72" s="21"/>
      <c r="H72" s="21"/>
      <c r="I72" s="21"/>
      <c r="J72" s="21"/>
      <c r="K72" s="21"/>
      <c r="L72" s="21"/>
      <c r="M72" s="21"/>
      <c r="N72" s="21"/>
      <c r="O72" s="21"/>
      <c r="P72" s="21"/>
      <c r="Q72" s="21"/>
    </row>
    <row r="73">
      <c r="A73" s="220"/>
      <c r="B73" s="35"/>
      <c r="D73" s="21"/>
      <c r="E73" s="219"/>
      <c r="F73" s="21"/>
      <c r="G73" s="21"/>
      <c r="H73" s="21"/>
      <c r="I73" s="21"/>
      <c r="J73" s="21"/>
      <c r="K73" s="21"/>
      <c r="L73" s="21"/>
      <c r="M73" s="21"/>
      <c r="N73" s="21"/>
      <c r="O73" s="21"/>
      <c r="P73" s="21"/>
      <c r="Q73" s="21"/>
    </row>
    <row r="74">
      <c r="A74" s="220"/>
      <c r="B74" s="35"/>
      <c r="D74" s="21"/>
      <c r="E74" s="219"/>
      <c r="F74" s="21"/>
      <c r="G74" s="21"/>
      <c r="H74" s="21"/>
      <c r="I74" s="21"/>
      <c r="J74" s="21"/>
      <c r="K74" s="21"/>
      <c r="L74" s="21"/>
      <c r="M74" s="21"/>
      <c r="N74" s="21"/>
      <c r="O74" s="21"/>
      <c r="P74" s="21"/>
      <c r="Q74" s="21"/>
    </row>
    <row r="75">
      <c r="A75" s="220"/>
      <c r="B75" s="35"/>
      <c r="D75" s="21"/>
      <c r="E75" s="219"/>
      <c r="F75" s="21"/>
      <c r="G75" s="21"/>
      <c r="H75" s="21"/>
      <c r="I75" s="21"/>
      <c r="J75" s="21"/>
      <c r="K75" s="21"/>
      <c r="L75" s="21"/>
      <c r="M75" s="21"/>
      <c r="N75" s="21"/>
      <c r="O75" s="21"/>
      <c r="P75" s="21"/>
      <c r="Q75" s="21"/>
    </row>
    <row r="76">
      <c r="A76" s="220"/>
      <c r="B76" s="35"/>
      <c r="D76" s="21"/>
      <c r="E76" s="219"/>
      <c r="F76" s="21"/>
      <c r="G76" s="21"/>
      <c r="H76" s="21"/>
      <c r="I76" s="21"/>
      <c r="J76" s="21"/>
      <c r="K76" s="21"/>
      <c r="L76" s="21"/>
      <c r="M76" s="21"/>
      <c r="N76" s="21"/>
      <c r="O76" s="21"/>
      <c r="P76" s="21"/>
      <c r="Q76" s="21"/>
    </row>
    <row r="77">
      <c r="A77" s="220"/>
      <c r="B77" s="35"/>
      <c r="D77" s="21"/>
      <c r="E77" s="219"/>
      <c r="F77" s="21"/>
      <c r="G77" s="21"/>
      <c r="H77" s="21"/>
      <c r="I77" s="21"/>
      <c r="J77" s="21"/>
      <c r="K77" s="21"/>
      <c r="L77" s="21"/>
      <c r="M77" s="21"/>
      <c r="N77" s="21"/>
      <c r="O77" s="21"/>
      <c r="P77" s="21"/>
      <c r="Q77" s="21"/>
    </row>
    <row r="78">
      <c r="A78" s="220"/>
      <c r="B78" s="35"/>
      <c r="D78" s="21"/>
      <c r="E78" s="219"/>
      <c r="F78" s="21"/>
      <c r="G78" s="21"/>
      <c r="H78" s="21"/>
      <c r="I78" s="21"/>
      <c r="J78" s="21"/>
      <c r="K78" s="21"/>
      <c r="L78" s="21"/>
      <c r="M78" s="21"/>
      <c r="N78" s="21"/>
      <c r="O78" s="21"/>
      <c r="P78" s="21"/>
      <c r="Q78" s="21"/>
    </row>
    <row r="79">
      <c r="A79" s="220"/>
      <c r="B79" s="35"/>
      <c r="D79" s="21"/>
      <c r="E79" s="219"/>
      <c r="F79" s="21"/>
      <c r="G79" s="21"/>
      <c r="H79" s="21"/>
      <c r="I79" s="21"/>
      <c r="J79" s="21"/>
      <c r="K79" s="21"/>
      <c r="L79" s="21"/>
      <c r="M79" s="21"/>
      <c r="N79" s="21"/>
      <c r="O79" s="21"/>
      <c r="P79" s="21"/>
      <c r="Q79" s="21"/>
    </row>
    <row r="80">
      <c r="A80" s="220"/>
      <c r="B80" s="35"/>
      <c r="D80" s="21"/>
      <c r="E80" s="219"/>
      <c r="F80" s="21"/>
      <c r="G80" s="21"/>
      <c r="H80" s="21"/>
      <c r="I80" s="21"/>
      <c r="J80" s="21"/>
      <c r="K80" s="21"/>
      <c r="L80" s="21"/>
      <c r="M80" s="21"/>
      <c r="N80" s="21"/>
      <c r="O80" s="21"/>
      <c r="P80" s="21"/>
      <c r="Q80" s="21"/>
    </row>
    <row r="81">
      <c r="A81" s="220"/>
      <c r="B81" s="35"/>
      <c r="D81" s="21"/>
      <c r="E81" s="219"/>
      <c r="F81" s="21"/>
      <c r="G81" s="21"/>
      <c r="H81" s="21"/>
      <c r="I81" s="21"/>
      <c r="J81" s="21"/>
      <c r="K81" s="21"/>
      <c r="L81" s="21"/>
      <c r="M81" s="21"/>
      <c r="N81" s="21"/>
      <c r="O81" s="21"/>
      <c r="P81" s="21"/>
      <c r="Q81" s="21"/>
    </row>
    <row r="82">
      <c r="A82" s="220"/>
      <c r="B82" s="35"/>
      <c r="D82" s="21"/>
      <c r="E82" s="219"/>
      <c r="F82" s="21"/>
      <c r="G82" s="21"/>
      <c r="H82" s="21"/>
      <c r="I82" s="21"/>
      <c r="J82" s="21"/>
      <c r="K82" s="21"/>
      <c r="L82" s="21"/>
      <c r="M82" s="21"/>
      <c r="N82" s="21"/>
      <c r="O82" s="21"/>
      <c r="P82" s="21"/>
      <c r="Q82" s="21"/>
    </row>
    <row r="83">
      <c r="A83" s="220"/>
      <c r="B83" s="35"/>
      <c r="D83" s="21"/>
      <c r="E83" s="219"/>
      <c r="F83" s="21"/>
      <c r="G83" s="21"/>
      <c r="H83" s="21"/>
      <c r="I83" s="21"/>
      <c r="J83" s="21"/>
      <c r="K83" s="21"/>
      <c r="L83" s="21"/>
      <c r="M83" s="21"/>
      <c r="N83" s="21"/>
      <c r="O83" s="21"/>
      <c r="P83" s="21"/>
      <c r="Q83" s="21"/>
    </row>
    <row r="84">
      <c r="A84" s="220"/>
      <c r="B84" s="35"/>
      <c r="D84" s="21"/>
      <c r="E84" s="219"/>
      <c r="F84" s="21"/>
      <c r="G84" s="21"/>
      <c r="H84" s="21"/>
      <c r="I84" s="21"/>
      <c r="J84" s="21"/>
      <c r="K84" s="21"/>
      <c r="L84" s="21"/>
      <c r="M84" s="21"/>
      <c r="N84" s="21"/>
      <c r="O84" s="21"/>
      <c r="P84" s="21"/>
      <c r="Q84" s="21"/>
    </row>
    <row r="85">
      <c r="A85" s="220"/>
      <c r="B85" s="35"/>
      <c r="D85" s="21"/>
      <c r="E85" s="219"/>
      <c r="F85" s="21"/>
      <c r="G85" s="21"/>
      <c r="H85" s="21"/>
      <c r="I85" s="21"/>
      <c r="J85" s="21"/>
      <c r="K85" s="21"/>
      <c r="L85" s="21"/>
      <c r="M85" s="21"/>
      <c r="N85" s="21"/>
      <c r="O85" s="21"/>
      <c r="P85" s="21"/>
      <c r="Q85" s="21"/>
    </row>
    <row r="86">
      <c r="A86" s="220"/>
      <c r="B86" s="35"/>
      <c r="D86" s="21"/>
      <c r="E86" s="219"/>
      <c r="F86" s="21"/>
      <c r="G86" s="21"/>
      <c r="H86" s="21"/>
      <c r="I86" s="21"/>
      <c r="J86" s="21"/>
      <c r="K86" s="21"/>
      <c r="L86" s="21"/>
      <c r="M86" s="21"/>
      <c r="N86" s="21"/>
      <c r="O86" s="21"/>
      <c r="P86" s="21"/>
      <c r="Q86" s="21"/>
    </row>
    <row r="87">
      <c r="A87" s="220"/>
      <c r="B87" s="35"/>
      <c r="D87" s="21"/>
      <c r="E87" s="219"/>
      <c r="F87" s="21"/>
      <c r="G87" s="21"/>
      <c r="H87" s="21"/>
      <c r="I87" s="21"/>
      <c r="J87" s="21"/>
      <c r="K87" s="21"/>
      <c r="L87" s="21"/>
      <c r="M87" s="21"/>
      <c r="N87" s="21"/>
      <c r="O87" s="21"/>
      <c r="P87" s="21"/>
      <c r="Q87" s="21"/>
    </row>
    <row r="88">
      <c r="A88" s="220"/>
      <c r="B88" s="35"/>
      <c r="D88" s="21"/>
      <c r="E88" s="219"/>
      <c r="F88" s="21"/>
      <c r="G88" s="21"/>
      <c r="H88" s="21"/>
      <c r="I88" s="21"/>
      <c r="J88" s="21"/>
      <c r="K88" s="21"/>
      <c r="L88" s="21"/>
      <c r="M88" s="21"/>
      <c r="N88" s="21"/>
      <c r="O88" s="21"/>
      <c r="P88" s="21"/>
      <c r="Q88" s="21"/>
    </row>
    <row r="89">
      <c r="A89" s="220"/>
      <c r="B89" s="35"/>
      <c r="D89" s="21"/>
      <c r="E89" s="219"/>
      <c r="F89" s="21"/>
      <c r="G89" s="21"/>
      <c r="H89" s="21"/>
      <c r="I89" s="21"/>
      <c r="J89" s="21"/>
      <c r="K89" s="21"/>
      <c r="L89" s="21"/>
      <c r="M89" s="21"/>
      <c r="N89" s="21"/>
      <c r="O89" s="21"/>
      <c r="P89" s="21"/>
      <c r="Q89" s="21"/>
    </row>
    <row r="90">
      <c r="A90" s="220"/>
      <c r="B90" s="35"/>
      <c r="D90" s="21"/>
      <c r="E90" s="219"/>
      <c r="F90" s="21"/>
      <c r="G90" s="21"/>
      <c r="H90" s="21"/>
      <c r="I90" s="21"/>
      <c r="J90" s="21"/>
      <c r="K90" s="21"/>
      <c r="L90" s="21"/>
      <c r="M90" s="21"/>
      <c r="N90" s="21"/>
      <c r="O90" s="21"/>
      <c r="P90" s="21"/>
      <c r="Q90" s="21"/>
    </row>
    <row r="91">
      <c r="A91" s="220"/>
      <c r="B91" s="35"/>
      <c r="D91" s="21"/>
      <c r="E91" s="219"/>
      <c r="F91" s="21"/>
      <c r="G91" s="21"/>
      <c r="H91" s="21"/>
      <c r="I91" s="21"/>
      <c r="J91" s="21"/>
      <c r="K91" s="21"/>
      <c r="L91" s="21"/>
      <c r="M91" s="21"/>
      <c r="N91" s="21"/>
      <c r="O91" s="21"/>
      <c r="P91" s="21"/>
      <c r="Q91" s="21"/>
    </row>
    <row r="92">
      <c r="A92" s="220"/>
      <c r="B92" s="35"/>
      <c r="D92" s="21"/>
      <c r="E92" s="219"/>
      <c r="F92" s="21"/>
      <c r="G92" s="21"/>
      <c r="H92" s="21"/>
      <c r="I92" s="21"/>
      <c r="J92" s="21"/>
      <c r="K92" s="21"/>
      <c r="L92" s="21"/>
      <c r="M92" s="21"/>
      <c r="N92" s="21"/>
      <c r="O92" s="21"/>
      <c r="P92" s="21"/>
      <c r="Q92" s="21"/>
    </row>
    <row r="93">
      <c r="A93" s="220"/>
      <c r="B93" s="35"/>
      <c r="D93" s="21"/>
      <c r="E93" s="219"/>
      <c r="F93" s="21"/>
      <c r="G93" s="21"/>
      <c r="H93" s="21"/>
      <c r="I93" s="21"/>
      <c r="J93" s="21"/>
      <c r="K93" s="21"/>
      <c r="L93" s="21"/>
      <c r="M93" s="21"/>
      <c r="N93" s="21"/>
      <c r="O93" s="21"/>
      <c r="P93" s="21"/>
      <c r="Q93" s="21"/>
    </row>
    <row r="94">
      <c r="A94" s="220"/>
      <c r="B94" s="35"/>
      <c r="D94" s="21"/>
      <c r="E94" s="219"/>
      <c r="F94" s="21"/>
      <c r="G94" s="21"/>
      <c r="H94" s="21"/>
      <c r="I94" s="21"/>
      <c r="J94" s="21"/>
      <c r="K94" s="21"/>
      <c r="L94" s="21"/>
      <c r="M94" s="21"/>
      <c r="N94" s="21"/>
      <c r="O94" s="21"/>
      <c r="P94" s="21"/>
      <c r="Q94" s="21"/>
    </row>
    <row r="95">
      <c r="A95" s="220"/>
      <c r="B95" s="35"/>
      <c r="D95" s="21"/>
      <c r="E95" s="219"/>
      <c r="F95" s="21"/>
      <c r="G95" s="21"/>
      <c r="H95" s="21"/>
      <c r="I95" s="21"/>
      <c r="J95" s="21"/>
      <c r="K95" s="21"/>
      <c r="L95" s="21"/>
      <c r="M95" s="21"/>
      <c r="N95" s="21"/>
      <c r="O95" s="21"/>
      <c r="P95" s="21"/>
      <c r="Q95" s="21"/>
    </row>
    <row r="96">
      <c r="A96" s="220"/>
      <c r="B96" s="35"/>
      <c r="D96" s="21"/>
      <c r="E96" s="219"/>
      <c r="F96" s="21"/>
      <c r="G96" s="21"/>
      <c r="H96" s="21"/>
      <c r="I96" s="21"/>
      <c r="J96" s="21"/>
      <c r="K96" s="21"/>
      <c r="L96" s="21"/>
      <c r="M96" s="21"/>
      <c r="N96" s="21"/>
      <c r="O96" s="21"/>
      <c r="P96" s="21"/>
      <c r="Q96" s="21"/>
    </row>
    <row r="97">
      <c r="A97" s="220"/>
      <c r="B97" s="35"/>
      <c r="D97" s="21"/>
      <c r="E97" s="219"/>
      <c r="F97" s="21"/>
      <c r="G97" s="21"/>
      <c r="H97" s="21"/>
      <c r="I97" s="21"/>
      <c r="J97" s="21"/>
      <c r="K97" s="21"/>
      <c r="L97" s="21"/>
      <c r="M97" s="21"/>
      <c r="N97" s="21"/>
      <c r="O97" s="21"/>
      <c r="P97" s="21"/>
      <c r="Q97" s="21"/>
    </row>
    <row r="98">
      <c r="A98" s="220"/>
      <c r="B98" s="35"/>
      <c r="D98" s="21"/>
      <c r="E98" s="219"/>
      <c r="F98" s="21"/>
      <c r="G98" s="21"/>
      <c r="H98" s="21"/>
      <c r="I98" s="21"/>
      <c r="J98" s="21"/>
      <c r="K98" s="21"/>
      <c r="L98" s="21"/>
      <c r="M98" s="21"/>
      <c r="N98" s="21"/>
      <c r="O98" s="21"/>
      <c r="P98" s="21"/>
      <c r="Q98" s="21"/>
    </row>
    <row r="99">
      <c r="A99" s="220"/>
      <c r="B99" s="35"/>
      <c r="D99" s="21"/>
      <c r="E99" s="219"/>
      <c r="F99" s="21"/>
      <c r="G99" s="21"/>
      <c r="H99" s="21"/>
      <c r="I99" s="21"/>
      <c r="J99" s="21"/>
      <c r="K99" s="21"/>
      <c r="L99" s="21"/>
      <c r="M99" s="21"/>
      <c r="N99" s="21"/>
      <c r="O99" s="21"/>
      <c r="P99" s="21"/>
      <c r="Q99" s="21"/>
    </row>
    <row r="100">
      <c r="A100" s="220"/>
      <c r="B100" s="35"/>
      <c r="D100" s="21"/>
      <c r="E100" s="219"/>
      <c r="F100" s="21"/>
      <c r="G100" s="21"/>
      <c r="H100" s="21"/>
      <c r="I100" s="21"/>
      <c r="J100" s="21"/>
      <c r="K100" s="21"/>
      <c r="L100" s="21"/>
      <c r="M100" s="21"/>
      <c r="N100" s="21"/>
      <c r="O100" s="21"/>
      <c r="P100" s="21"/>
      <c r="Q100" s="21"/>
    </row>
    <row r="101">
      <c r="A101" s="220"/>
      <c r="B101" s="35"/>
      <c r="D101" s="21"/>
      <c r="E101" s="219"/>
      <c r="F101" s="21"/>
      <c r="G101" s="21"/>
      <c r="H101" s="21"/>
      <c r="I101" s="21"/>
      <c r="J101" s="21"/>
      <c r="K101" s="21"/>
      <c r="L101" s="21"/>
      <c r="M101" s="21"/>
      <c r="N101" s="21"/>
      <c r="O101" s="21"/>
      <c r="P101" s="21"/>
      <c r="Q101" s="21"/>
    </row>
    <row r="102">
      <c r="A102" s="220"/>
      <c r="B102" s="35"/>
      <c r="D102" s="21"/>
      <c r="E102" s="219"/>
      <c r="F102" s="21"/>
      <c r="G102" s="21"/>
      <c r="H102" s="21"/>
      <c r="I102" s="21"/>
      <c r="J102" s="21"/>
      <c r="K102" s="21"/>
      <c r="L102" s="21"/>
      <c r="M102" s="21"/>
      <c r="N102" s="21"/>
      <c r="O102" s="21"/>
      <c r="P102" s="21"/>
      <c r="Q102" s="21"/>
    </row>
    <row r="103">
      <c r="A103" s="220"/>
      <c r="B103" s="35"/>
      <c r="D103" s="21"/>
      <c r="E103" s="219"/>
      <c r="F103" s="21"/>
      <c r="G103" s="21"/>
      <c r="H103" s="21"/>
      <c r="I103" s="21"/>
      <c r="J103" s="21"/>
      <c r="K103" s="21"/>
      <c r="L103" s="21"/>
      <c r="M103" s="21"/>
      <c r="N103" s="21"/>
      <c r="O103" s="21"/>
      <c r="P103" s="21"/>
      <c r="Q103" s="21"/>
    </row>
    <row r="104">
      <c r="A104" s="220"/>
      <c r="B104" s="35"/>
      <c r="D104" s="21"/>
      <c r="E104" s="219"/>
      <c r="F104" s="21"/>
      <c r="G104" s="21"/>
      <c r="H104" s="21"/>
      <c r="I104" s="21"/>
      <c r="J104" s="21"/>
      <c r="K104" s="21"/>
      <c r="L104" s="21"/>
      <c r="M104" s="21"/>
      <c r="N104" s="21"/>
      <c r="O104" s="21"/>
      <c r="P104" s="21"/>
      <c r="Q104" s="21"/>
    </row>
    <row r="105">
      <c r="A105" s="220"/>
      <c r="B105" s="35"/>
      <c r="D105" s="21"/>
      <c r="E105" s="219"/>
      <c r="F105" s="21"/>
      <c r="G105" s="21"/>
      <c r="H105" s="21"/>
      <c r="I105" s="21"/>
      <c r="J105" s="21"/>
      <c r="K105" s="21"/>
      <c r="L105" s="21"/>
      <c r="M105" s="21"/>
      <c r="N105" s="21"/>
      <c r="O105" s="21"/>
      <c r="P105" s="21"/>
      <c r="Q105" s="21"/>
    </row>
    <row r="106">
      <c r="A106" s="220"/>
      <c r="B106" s="35"/>
      <c r="D106" s="21"/>
      <c r="E106" s="219"/>
      <c r="F106" s="21"/>
      <c r="G106" s="21"/>
      <c r="H106" s="21"/>
      <c r="I106" s="21"/>
      <c r="J106" s="21"/>
      <c r="K106" s="21"/>
      <c r="L106" s="21"/>
      <c r="M106" s="21"/>
      <c r="N106" s="21"/>
      <c r="O106" s="21"/>
      <c r="P106" s="21"/>
      <c r="Q106" s="21"/>
    </row>
    <row r="107">
      <c r="A107" s="220"/>
      <c r="B107" s="35"/>
      <c r="D107" s="21"/>
      <c r="E107" s="219"/>
      <c r="F107" s="21"/>
      <c r="G107" s="21"/>
      <c r="H107" s="21"/>
      <c r="I107" s="21"/>
      <c r="J107" s="21"/>
      <c r="K107" s="21"/>
      <c r="L107" s="21"/>
      <c r="M107" s="21"/>
      <c r="N107" s="21"/>
      <c r="O107" s="21"/>
      <c r="P107" s="21"/>
      <c r="Q107" s="21"/>
    </row>
    <row r="108">
      <c r="A108" s="220"/>
      <c r="B108" s="35"/>
      <c r="D108" s="21"/>
      <c r="E108" s="219"/>
      <c r="F108" s="21"/>
      <c r="G108" s="21"/>
      <c r="H108" s="21"/>
      <c r="I108" s="21"/>
      <c r="J108" s="21"/>
      <c r="K108" s="21"/>
      <c r="L108" s="21"/>
      <c r="M108" s="21"/>
      <c r="N108" s="21"/>
      <c r="O108" s="21"/>
      <c r="P108" s="21"/>
      <c r="Q108" s="21"/>
    </row>
    <row r="109">
      <c r="A109" s="220"/>
      <c r="B109" s="35"/>
      <c r="D109" s="21"/>
      <c r="E109" s="219"/>
      <c r="F109" s="21"/>
      <c r="G109" s="21"/>
      <c r="H109" s="21"/>
      <c r="I109" s="21"/>
      <c r="J109" s="21"/>
      <c r="K109" s="21"/>
      <c r="L109" s="21"/>
      <c r="M109" s="21"/>
      <c r="N109" s="21"/>
      <c r="O109" s="21"/>
      <c r="P109" s="21"/>
      <c r="Q109" s="21"/>
    </row>
    <row r="110">
      <c r="A110" s="220"/>
      <c r="B110" s="35"/>
      <c r="D110" s="21"/>
      <c r="E110" s="219"/>
      <c r="F110" s="21"/>
      <c r="G110" s="21"/>
      <c r="H110" s="21"/>
      <c r="I110" s="21"/>
      <c r="J110" s="21"/>
      <c r="K110" s="21"/>
      <c r="L110" s="21"/>
      <c r="M110" s="21"/>
      <c r="N110" s="21"/>
      <c r="O110" s="21"/>
      <c r="P110" s="21"/>
      <c r="Q110" s="21"/>
    </row>
    <row r="111">
      <c r="A111" s="220"/>
      <c r="B111" s="35"/>
      <c r="D111" s="21"/>
      <c r="E111" s="219"/>
      <c r="F111" s="21"/>
      <c r="G111" s="21"/>
      <c r="H111" s="21"/>
      <c r="I111" s="21"/>
      <c r="J111" s="21"/>
      <c r="K111" s="21"/>
      <c r="L111" s="21"/>
      <c r="M111" s="21"/>
      <c r="N111" s="21"/>
      <c r="O111" s="21"/>
      <c r="P111" s="21"/>
      <c r="Q111" s="21"/>
    </row>
    <row r="112">
      <c r="A112" s="220"/>
      <c r="B112" s="35"/>
      <c r="D112" s="21"/>
      <c r="E112" s="219"/>
      <c r="F112" s="21"/>
      <c r="G112" s="21"/>
      <c r="H112" s="21"/>
      <c r="I112" s="21"/>
      <c r="J112" s="21"/>
      <c r="K112" s="21"/>
      <c r="L112" s="21"/>
      <c r="M112" s="21"/>
      <c r="N112" s="21"/>
      <c r="O112" s="21"/>
      <c r="P112" s="21"/>
      <c r="Q112" s="21"/>
    </row>
    <row r="113">
      <c r="A113" s="220"/>
      <c r="B113" s="35"/>
      <c r="D113" s="21"/>
      <c r="E113" s="219"/>
      <c r="F113" s="21"/>
      <c r="G113" s="21"/>
      <c r="H113" s="21"/>
      <c r="I113" s="21"/>
      <c r="J113" s="21"/>
      <c r="K113" s="21"/>
      <c r="L113" s="21"/>
      <c r="M113" s="21"/>
      <c r="N113" s="21"/>
      <c r="O113" s="21"/>
      <c r="P113" s="21"/>
      <c r="Q113" s="21"/>
    </row>
    <row r="114">
      <c r="A114" s="220"/>
      <c r="B114" s="35"/>
      <c r="D114" s="21"/>
      <c r="E114" s="219"/>
      <c r="F114" s="21"/>
      <c r="G114" s="21"/>
      <c r="H114" s="21"/>
      <c r="I114" s="21"/>
      <c r="J114" s="21"/>
      <c r="K114" s="21"/>
      <c r="L114" s="21"/>
      <c r="M114" s="21"/>
      <c r="N114" s="21"/>
      <c r="O114" s="21"/>
      <c r="P114" s="21"/>
      <c r="Q114" s="21"/>
    </row>
    <row r="115">
      <c r="A115" s="220"/>
      <c r="B115" s="35"/>
      <c r="D115" s="21"/>
      <c r="E115" s="219"/>
      <c r="F115" s="21"/>
      <c r="G115" s="21"/>
      <c r="H115" s="21"/>
      <c r="I115" s="21"/>
      <c r="J115" s="21"/>
      <c r="K115" s="21"/>
      <c r="L115" s="21"/>
      <c r="M115" s="21"/>
      <c r="N115" s="21"/>
      <c r="O115" s="21"/>
      <c r="P115" s="21"/>
      <c r="Q115" s="21"/>
    </row>
    <row r="116">
      <c r="A116" s="220"/>
      <c r="B116" s="35"/>
      <c r="D116" s="21"/>
      <c r="E116" s="219"/>
      <c r="F116" s="21"/>
      <c r="G116" s="21"/>
      <c r="H116" s="21"/>
      <c r="I116" s="21"/>
      <c r="J116" s="21"/>
      <c r="K116" s="21"/>
      <c r="L116" s="21"/>
      <c r="M116" s="21"/>
      <c r="N116" s="21"/>
      <c r="O116" s="21"/>
      <c r="P116" s="21"/>
      <c r="Q116" s="21"/>
    </row>
    <row r="117">
      <c r="A117" s="220"/>
      <c r="B117" s="35"/>
      <c r="D117" s="21"/>
      <c r="E117" s="219"/>
      <c r="F117" s="21"/>
      <c r="G117" s="21"/>
      <c r="H117" s="21"/>
      <c r="I117" s="21"/>
      <c r="J117" s="21"/>
      <c r="K117" s="21"/>
      <c r="L117" s="21"/>
      <c r="M117" s="21"/>
      <c r="N117" s="21"/>
      <c r="O117" s="21"/>
      <c r="P117" s="21"/>
      <c r="Q117" s="21"/>
    </row>
    <row r="118">
      <c r="A118" s="220"/>
      <c r="B118" s="35"/>
      <c r="D118" s="21"/>
      <c r="E118" s="219"/>
      <c r="F118" s="21"/>
      <c r="G118" s="21"/>
      <c r="H118" s="21"/>
      <c r="I118" s="21"/>
      <c r="J118" s="21"/>
      <c r="K118" s="21"/>
      <c r="L118" s="21"/>
      <c r="M118" s="21"/>
      <c r="N118" s="21"/>
      <c r="O118" s="21"/>
      <c r="P118" s="21"/>
      <c r="Q118" s="21"/>
    </row>
    <row r="119">
      <c r="A119" s="220"/>
      <c r="B119" s="35"/>
      <c r="D119" s="21"/>
      <c r="E119" s="219"/>
      <c r="F119" s="21"/>
      <c r="G119" s="21"/>
      <c r="H119" s="21"/>
      <c r="I119" s="21"/>
      <c r="J119" s="21"/>
      <c r="K119" s="21"/>
      <c r="L119" s="21"/>
      <c r="M119" s="21"/>
      <c r="N119" s="21"/>
      <c r="O119" s="21"/>
      <c r="P119" s="21"/>
      <c r="Q119" s="21"/>
    </row>
    <row r="120">
      <c r="A120" s="220"/>
      <c r="B120" s="35"/>
      <c r="D120" s="21"/>
      <c r="E120" s="219"/>
      <c r="F120" s="21"/>
      <c r="G120" s="21"/>
      <c r="H120" s="21"/>
      <c r="I120" s="21"/>
      <c r="J120" s="21"/>
      <c r="K120" s="21"/>
      <c r="L120" s="21"/>
      <c r="M120" s="21"/>
      <c r="N120" s="21"/>
      <c r="O120" s="21"/>
      <c r="P120" s="21"/>
      <c r="Q120" s="21"/>
    </row>
    <row r="121">
      <c r="A121" s="220"/>
      <c r="B121" s="35"/>
      <c r="D121" s="21"/>
      <c r="E121" s="219"/>
      <c r="F121" s="21"/>
      <c r="G121" s="21"/>
      <c r="H121" s="21"/>
      <c r="I121" s="21"/>
      <c r="J121" s="21"/>
      <c r="K121" s="21"/>
      <c r="L121" s="21"/>
      <c r="M121" s="21"/>
      <c r="N121" s="21"/>
      <c r="O121" s="21"/>
      <c r="P121" s="21"/>
      <c r="Q121" s="21"/>
    </row>
    <row r="122">
      <c r="A122" s="220"/>
      <c r="B122" s="35"/>
      <c r="D122" s="21"/>
      <c r="E122" s="219"/>
      <c r="F122" s="21"/>
      <c r="G122" s="21"/>
      <c r="H122" s="21"/>
      <c r="I122" s="21"/>
      <c r="J122" s="21"/>
      <c r="K122" s="21"/>
      <c r="L122" s="21"/>
      <c r="M122" s="21"/>
      <c r="N122" s="21"/>
      <c r="O122" s="21"/>
      <c r="P122" s="21"/>
      <c r="Q122" s="21"/>
    </row>
    <row r="123">
      <c r="A123" s="220"/>
      <c r="B123" s="35"/>
      <c r="D123" s="21"/>
      <c r="E123" s="219"/>
      <c r="F123" s="21"/>
      <c r="G123" s="21"/>
      <c r="H123" s="21"/>
      <c r="I123" s="21"/>
      <c r="J123" s="21"/>
      <c r="K123" s="21"/>
      <c r="L123" s="21"/>
      <c r="M123" s="21"/>
      <c r="N123" s="21"/>
      <c r="O123" s="21"/>
      <c r="P123" s="21"/>
      <c r="Q123" s="21"/>
    </row>
    <row r="124">
      <c r="A124" s="220"/>
      <c r="B124" s="35"/>
      <c r="D124" s="21"/>
      <c r="E124" s="219"/>
      <c r="F124" s="21"/>
      <c r="G124" s="21"/>
      <c r="H124" s="21"/>
      <c r="I124" s="21"/>
      <c r="J124" s="21"/>
      <c r="K124" s="21"/>
      <c r="L124" s="21"/>
      <c r="M124" s="21"/>
      <c r="N124" s="21"/>
      <c r="O124" s="21"/>
      <c r="P124" s="21"/>
      <c r="Q124" s="21"/>
    </row>
    <row r="125">
      <c r="A125" s="220"/>
      <c r="B125" s="35"/>
      <c r="D125" s="21"/>
      <c r="E125" s="219"/>
      <c r="F125" s="21"/>
      <c r="G125" s="21"/>
      <c r="H125" s="21"/>
      <c r="I125" s="21"/>
      <c r="J125" s="21"/>
      <c r="K125" s="21"/>
      <c r="L125" s="21"/>
      <c r="M125" s="21"/>
      <c r="N125" s="21"/>
      <c r="O125" s="21"/>
      <c r="P125" s="21"/>
      <c r="Q125" s="21"/>
    </row>
    <row r="126">
      <c r="A126" s="220"/>
      <c r="B126" s="35"/>
      <c r="D126" s="21"/>
      <c r="E126" s="219"/>
      <c r="F126" s="21"/>
      <c r="G126" s="21"/>
      <c r="H126" s="21"/>
      <c r="I126" s="21"/>
      <c r="J126" s="21"/>
      <c r="K126" s="21"/>
      <c r="L126" s="21"/>
      <c r="M126" s="21"/>
      <c r="N126" s="21"/>
      <c r="O126" s="21"/>
      <c r="P126" s="21"/>
      <c r="Q126" s="21"/>
    </row>
    <row r="127">
      <c r="A127" s="220"/>
      <c r="B127" s="35"/>
      <c r="D127" s="21"/>
      <c r="E127" s="219"/>
      <c r="F127" s="21"/>
      <c r="G127" s="21"/>
      <c r="H127" s="21"/>
      <c r="I127" s="21"/>
      <c r="J127" s="21"/>
      <c r="K127" s="21"/>
      <c r="L127" s="21"/>
      <c r="M127" s="21"/>
      <c r="N127" s="21"/>
      <c r="O127" s="21"/>
      <c r="P127" s="21"/>
      <c r="Q127" s="21"/>
    </row>
    <row r="128">
      <c r="A128" s="220"/>
      <c r="B128" s="35"/>
      <c r="D128" s="21"/>
      <c r="E128" s="219"/>
      <c r="F128" s="21"/>
      <c r="G128" s="21"/>
      <c r="H128" s="21"/>
      <c r="I128" s="21"/>
      <c r="J128" s="21"/>
      <c r="K128" s="21"/>
      <c r="L128" s="21"/>
      <c r="M128" s="21"/>
      <c r="N128" s="21"/>
      <c r="O128" s="21"/>
      <c r="P128" s="21"/>
      <c r="Q128" s="21"/>
    </row>
    <row r="129">
      <c r="A129" s="220"/>
      <c r="B129" s="35"/>
      <c r="D129" s="21"/>
      <c r="E129" s="219"/>
      <c r="F129" s="21"/>
      <c r="G129" s="21"/>
      <c r="H129" s="21"/>
      <c r="I129" s="21"/>
      <c r="J129" s="21"/>
      <c r="K129" s="21"/>
      <c r="L129" s="21"/>
      <c r="M129" s="21"/>
      <c r="N129" s="21"/>
      <c r="O129" s="21"/>
      <c r="P129" s="21"/>
      <c r="Q129" s="21"/>
    </row>
    <row r="130">
      <c r="A130" s="220"/>
      <c r="B130" s="35"/>
      <c r="D130" s="21"/>
      <c r="E130" s="219"/>
      <c r="F130" s="21"/>
      <c r="G130" s="21"/>
      <c r="H130" s="21"/>
      <c r="I130" s="21"/>
      <c r="J130" s="21"/>
      <c r="K130" s="21"/>
      <c r="L130" s="21"/>
      <c r="M130" s="21"/>
      <c r="N130" s="21"/>
      <c r="O130" s="21"/>
      <c r="P130" s="21"/>
      <c r="Q130" s="21"/>
    </row>
    <row r="131">
      <c r="A131" s="220"/>
      <c r="B131" s="35"/>
      <c r="D131" s="21"/>
      <c r="E131" s="219"/>
      <c r="F131" s="21"/>
      <c r="G131" s="21"/>
      <c r="H131" s="21"/>
      <c r="I131" s="21"/>
      <c r="J131" s="21"/>
      <c r="K131" s="21"/>
      <c r="L131" s="21"/>
      <c r="M131" s="21"/>
      <c r="N131" s="21"/>
      <c r="O131" s="21"/>
      <c r="P131" s="21"/>
      <c r="Q131" s="21"/>
    </row>
    <row r="132">
      <c r="A132" s="220"/>
      <c r="B132" s="35"/>
      <c r="D132" s="21"/>
      <c r="E132" s="219"/>
      <c r="F132" s="21"/>
      <c r="G132" s="21"/>
      <c r="H132" s="21"/>
      <c r="I132" s="21"/>
      <c r="J132" s="21"/>
      <c r="K132" s="21"/>
      <c r="L132" s="21"/>
      <c r="M132" s="21"/>
      <c r="N132" s="21"/>
      <c r="O132" s="21"/>
      <c r="P132" s="21"/>
      <c r="Q132" s="21"/>
    </row>
    <row r="133">
      <c r="A133" s="220"/>
      <c r="B133" s="35"/>
      <c r="D133" s="21"/>
      <c r="E133" s="219"/>
      <c r="F133" s="21"/>
      <c r="G133" s="21"/>
      <c r="H133" s="21"/>
      <c r="I133" s="21"/>
      <c r="J133" s="21"/>
      <c r="K133" s="21"/>
      <c r="L133" s="21"/>
      <c r="M133" s="21"/>
      <c r="N133" s="21"/>
      <c r="O133" s="21"/>
      <c r="P133" s="21"/>
      <c r="Q133" s="21"/>
    </row>
    <row r="134">
      <c r="A134" s="220"/>
      <c r="B134" s="35"/>
      <c r="D134" s="21"/>
      <c r="E134" s="219"/>
      <c r="F134" s="21"/>
      <c r="G134" s="21"/>
      <c r="H134" s="21"/>
      <c r="I134" s="21"/>
      <c r="J134" s="21"/>
      <c r="K134" s="21"/>
      <c r="L134" s="21"/>
      <c r="M134" s="21"/>
      <c r="N134" s="21"/>
      <c r="O134" s="21"/>
      <c r="P134" s="21"/>
      <c r="Q134" s="21"/>
    </row>
    <row r="135">
      <c r="A135" s="220"/>
      <c r="B135" s="35"/>
      <c r="D135" s="21"/>
      <c r="E135" s="219"/>
      <c r="F135" s="21"/>
      <c r="G135" s="21"/>
      <c r="H135" s="21"/>
      <c r="I135" s="21"/>
      <c r="J135" s="21"/>
      <c r="K135" s="21"/>
      <c r="L135" s="21"/>
      <c r="M135" s="21"/>
      <c r="N135" s="21"/>
      <c r="O135" s="21"/>
      <c r="P135" s="21"/>
      <c r="Q135" s="21"/>
    </row>
    <row r="136">
      <c r="A136" s="220"/>
      <c r="B136" s="35"/>
      <c r="D136" s="21"/>
      <c r="E136" s="219"/>
      <c r="F136" s="21"/>
      <c r="G136" s="21"/>
      <c r="H136" s="21"/>
      <c r="I136" s="21"/>
      <c r="J136" s="21"/>
      <c r="K136" s="21"/>
      <c r="L136" s="21"/>
      <c r="M136" s="21"/>
      <c r="N136" s="21"/>
      <c r="O136" s="21"/>
      <c r="P136" s="21"/>
      <c r="Q136" s="21"/>
    </row>
    <row r="137">
      <c r="A137" s="220"/>
      <c r="B137" s="35"/>
      <c r="D137" s="21"/>
      <c r="E137" s="219"/>
      <c r="F137" s="21"/>
      <c r="G137" s="21"/>
      <c r="H137" s="21"/>
      <c r="I137" s="21"/>
      <c r="J137" s="21"/>
      <c r="K137" s="21"/>
      <c r="L137" s="21"/>
      <c r="M137" s="21"/>
      <c r="N137" s="21"/>
      <c r="O137" s="21"/>
      <c r="P137" s="21"/>
      <c r="Q137" s="21"/>
    </row>
    <row r="138">
      <c r="A138" s="220"/>
      <c r="B138" s="35"/>
      <c r="D138" s="21"/>
      <c r="E138" s="219"/>
      <c r="F138" s="21"/>
      <c r="G138" s="21"/>
      <c r="H138" s="21"/>
      <c r="I138" s="21"/>
      <c r="J138" s="21"/>
      <c r="K138" s="21"/>
      <c r="L138" s="21"/>
      <c r="M138" s="21"/>
      <c r="N138" s="21"/>
      <c r="O138" s="21"/>
      <c r="P138" s="21"/>
      <c r="Q138" s="21"/>
    </row>
    <row r="139">
      <c r="A139" s="220"/>
      <c r="B139" s="35"/>
      <c r="D139" s="21"/>
      <c r="E139" s="219"/>
      <c r="F139" s="21"/>
      <c r="G139" s="21"/>
      <c r="H139" s="21"/>
      <c r="I139" s="21"/>
      <c r="J139" s="21"/>
      <c r="K139" s="21"/>
      <c r="L139" s="21"/>
      <c r="M139" s="21"/>
      <c r="N139" s="21"/>
      <c r="O139" s="21"/>
      <c r="P139" s="21"/>
      <c r="Q139" s="21"/>
    </row>
    <row r="140">
      <c r="A140" s="220"/>
      <c r="B140" s="35"/>
      <c r="D140" s="21"/>
      <c r="E140" s="219"/>
      <c r="F140" s="21"/>
      <c r="G140" s="21"/>
      <c r="H140" s="21"/>
      <c r="I140" s="21"/>
      <c r="J140" s="21"/>
      <c r="K140" s="21"/>
      <c r="L140" s="21"/>
      <c r="M140" s="21"/>
      <c r="N140" s="21"/>
      <c r="O140" s="21"/>
      <c r="P140" s="21"/>
      <c r="Q140" s="21"/>
    </row>
    <row r="141">
      <c r="A141" s="220"/>
      <c r="B141" s="35"/>
      <c r="D141" s="21"/>
      <c r="E141" s="219"/>
      <c r="F141" s="21"/>
      <c r="G141" s="21"/>
      <c r="H141" s="21"/>
      <c r="I141" s="21"/>
      <c r="J141" s="21"/>
      <c r="K141" s="21"/>
      <c r="L141" s="21"/>
      <c r="M141" s="21"/>
      <c r="N141" s="21"/>
      <c r="O141" s="21"/>
      <c r="P141" s="21"/>
      <c r="Q141" s="21"/>
    </row>
    <row r="142">
      <c r="A142" s="220"/>
      <c r="B142" s="35"/>
      <c r="D142" s="21"/>
      <c r="E142" s="219"/>
      <c r="F142" s="21"/>
      <c r="G142" s="21"/>
      <c r="H142" s="21"/>
      <c r="I142" s="21"/>
      <c r="J142" s="21"/>
      <c r="K142" s="21"/>
      <c r="L142" s="21"/>
      <c r="M142" s="21"/>
      <c r="N142" s="21"/>
      <c r="O142" s="21"/>
      <c r="P142" s="21"/>
      <c r="Q142" s="21"/>
    </row>
    <row r="143">
      <c r="A143" s="220"/>
      <c r="B143" s="35"/>
      <c r="D143" s="21"/>
      <c r="E143" s="219"/>
      <c r="F143" s="21"/>
      <c r="G143" s="21"/>
      <c r="H143" s="21"/>
      <c r="I143" s="21"/>
      <c r="J143" s="21"/>
      <c r="K143" s="21"/>
      <c r="L143" s="21"/>
      <c r="M143" s="21"/>
      <c r="N143" s="21"/>
      <c r="O143" s="21"/>
      <c r="P143" s="21"/>
      <c r="Q143" s="21"/>
    </row>
    <row r="144">
      <c r="A144" s="220"/>
      <c r="B144" s="35"/>
      <c r="D144" s="21"/>
      <c r="E144" s="219"/>
      <c r="F144" s="21"/>
      <c r="G144" s="21"/>
      <c r="H144" s="21"/>
      <c r="I144" s="21"/>
      <c r="J144" s="21"/>
      <c r="K144" s="21"/>
      <c r="L144" s="21"/>
      <c r="M144" s="21"/>
      <c r="N144" s="21"/>
      <c r="O144" s="21"/>
      <c r="P144" s="21"/>
      <c r="Q144" s="21"/>
    </row>
    <row r="145">
      <c r="A145" s="220"/>
      <c r="B145" s="35"/>
      <c r="D145" s="21"/>
      <c r="E145" s="219"/>
      <c r="F145" s="21"/>
      <c r="G145" s="21"/>
      <c r="H145" s="21"/>
      <c r="I145" s="21"/>
      <c r="J145" s="21"/>
      <c r="K145" s="21"/>
      <c r="L145" s="21"/>
      <c r="M145" s="21"/>
      <c r="N145" s="21"/>
      <c r="O145" s="21"/>
      <c r="P145" s="21"/>
      <c r="Q145" s="21"/>
    </row>
    <row r="146">
      <c r="A146" s="220"/>
      <c r="B146" s="35"/>
      <c r="D146" s="21"/>
      <c r="E146" s="219"/>
      <c r="F146" s="21"/>
      <c r="G146" s="21"/>
      <c r="H146" s="21"/>
      <c r="I146" s="21"/>
      <c r="J146" s="21"/>
      <c r="K146" s="21"/>
      <c r="L146" s="21"/>
      <c r="M146" s="21"/>
      <c r="N146" s="21"/>
      <c r="O146" s="21"/>
      <c r="P146" s="21"/>
      <c r="Q146" s="21"/>
    </row>
    <row r="147">
      <c r="A147" s="220"/>
      <c r="B147" s="35"/>
      <c r="D147" s="21"/>
      <c r="E147" s="219"/>
      <c r="F147" s="21"/>
      <c r="G147" s="21"/>
      <c r="H147" s="21"/>
      <c r="I147" s="21"/>
      <c r="J147" s="21"/>
      <c r="K147" s="21"/>
      <c r="L147" s="21"/>
      <c r="M147" s="21"/>
      <c r="N147" s="21"/>
      <c r="O147" s="21"/>
      <c r="P147" s="21"/>
      <c r="Q147" s="21"/>
    </row>
    <row r="148">
      <c r="A148" s="220"/>
      <c r="B148" s="35"/>
      <c r="D148" s="21"/>
      <c r="E148" s="219"/>
      <c r="F148" s="21"/>
      <c r="G148" s="21"/>
      <c r="H148" s="21"/>
      <c r="I148" s="21"/>
      <c r="J148" s="21"/>
      <c r="K148" s="21"/>
      <c r="L148" s="21"/>
      <c r="M148" s="21"/>
      <c r="N148" s="21"/>
      <c r="O148" s="21"/>
      <c r="P148" s="21"/>
      <c r="Q148" s="21"/>
    </row>
    <row r="149">
      <c r="A149" s="220"/>
      <c r="B149" s="35"/>
      <c r="D149" s="21"/>
      <c r="E149" s="219"/>
      <c r="F149" s="21"/>
      <c r="G149" s="21"/>
      <c r="H149" s="21"/>
      <c r="I149" s="21"/>
      <c r="J149" s="21"/>
      <c r="K149" s="21"/>
      <c r="L149" s="21"/>
      <c r="M149" s="21"/>
      <c r="N149" s="21"/>
      <c r="O149" s="21"/>
      <c r="P149" s="21"/>
      <c r="Q149" s="21"/>
    </row>
    <row r="150">
      <c r="A150" s="220"/>
      <c r="B150" s="35"/>
      <c r="D150" s="21"/>
      <c r="E150" s="219"/>
      <c r="F150" s="21"/>
      <c r="G150" s="21"/>
      <c r="H150" s="21"/>
      <c r="I150" s="21"/>
      <c r="J150" s="21"/>
      <c r="K150" s="21"/>
      <c r="L150" s="21"/>
      <c r="M150" s="21"/>
      <c r="N150" s="21"/>
      <c r="O150" s="21"/>
      <c r="P150" s="21"/>
      <c r="Q150" s="21"/>
    </row>
    <row r="151">
      <c r="A151" s="220"/>
      <c r="B151" s="35"/>
      <c r="D151" s="21"/>
      <c r="E151" s="219"/>
      <c r="F151" s="21"/>
      <c r="G151" s="21"/>
      <c r="H151" s="21"/>
      <c r="I151" s="21"/>
      <c r="J151" s="21"/>
      <c r="K151" s="21"/>
      <c r="L151" s="21"/>
      <c r="M151" s="21"/>
      <c r="N151" s="21"/>
      <c r="O151" s="21"/>
      <c r="P151" s="21"/>
      <c r="Q151" s="21"/>
    </row>
    <row r="152">
      <c r="A152" s="220"/>
      <c r="B152" s="35"/>
      <c r="D152" s="21"/>
      <c r="E152" s="219"/>
      <c r="F152" s="21"/>
      <c r="G152" s="21"/>
      <c r="H152" s="21"/>
      <c r="I152" s="21"/>
      <c r="J152" s="21"/>
      <c r="K152" s="21"/>
      <c r="L152" s="21"/>
      <c r="M152" s="21"/>
      <c r="N152" s="21"/>
      <c r="O152" s="21"/>
      <c r="P152" s="21"/>
      <c r="Q152" s="21"/>
    </row>
    <row r="153">
      <c r="A153" s="220"/>
      <c r="B153" s="35"/>
      <c r="D153" s="21"/>
      <c r="E153" s="219"/>
      <c r="F153" s="21"/>
      <c r="G153" s="21"/>
      <c r="H153" s="21"/>
      <c r="I153" s="21"/>
      <c r="J153" s="21"/>
      <c r="K153" s="21"/>
      <c r="L153" s="21"/>
      <c r="M153" s="21"/>
      <c r="N153" s="21"/>
      <c r="O153" s="21"/>
      <c r="P153" s="21"/>
      <c r="Q153" s="21"/>
    </row>
    <row r="154">
      <c r="A154" s="220"/>
      <c r="B154" s="35"/>
      <c r="D154" s="21"/>
      <c r="E154" s="219"/>
      <c r="F154" s="21"/>
      <c r="G154" s="21"/>
      <c r="H154" s="21"/>
      <c r="I154" s="21"/>
      <c r="J154" s="21"/>
      <c r="K154" s="21"/>
      <c r="L154" s="21"/>
      <c r="M154" s="21"/>
      <c r="N154" s="21"/>
      <c r="O154" s="21"/>
      <c r="P154" s="21"/>
      <c r="Q154" s="21"/>
    </row>
    <row r="155">
      <c r="A155" s="220"/>
      <c r="B155" s="35"/>
      <c r="D155" s="21"/>
      <c r="E155" s="219"/>
      <c r="F155" s="21"/>
      <c r="G155" s="21"/>
      <c r="H155" s="21"/>
      <c r="I155" s="21"/>
      <c r="J155" s="21"/>
      <c r="K155" s="21"/>
      <c r="L155" s="21"/>
      <c r="M155" s="21"/>
      <c r="N155" s="21"/>
      <c r="O155" s="21"/>
      <c r="P155" s="21"/>
      <c r="Q155" s="21"/>
    </row>
    <row r="156">
      <c r="A156" s="220"/>
      <c r="B156" s="35"/>
      <c r="D156" s="21"/>
      <c r="E156" s="219"/>
      <c r="F156" s="21"/>
      <c r="G156" s="21"/>
      <c r="H156" s="21"/>
      <c r="I156" s="21"/>
      <c r="J156" s="21"/>
      <c r="K156" s="21"/>
      <c r="L156" s="21"/>
      <c r="M156" s="21"/>
      <c r="N156" s="21"/>
      <c r="O156" s="21"/>
      <c r="P156" s="21"/>
      <c r="Q156" s="21"/>
    </row>
    <row r="157">
      <c r="A157" s="220"/>
      <c r="B157" s="35"/>
      <c r="D157" s="21"/>
      <c r="E157" s="219"/>
      <c r="F157" s="21"/>
      <c r="G157" s="21"/>
      <c r="H157" s="21"/>
      <c r="I157" s="21"/>
      <c r="J157" s="21"/>
      <c r="K157" s="21"/>
      <c r="L157" s="21"/>
      <c r="M157" s="21"/>
      <c r="N157" s="21"/>
      <c r="O157" s="21"/>
      <c r="P157" s="21"/>
      <c r="Q157" s="21"/>
    </row>
    <row r="158">
      <c r="A158" s="220"/>
      <c r="B158" s="35"/>
      <c r="D158" s="21"/>
      <c r="E158" s="219"/>
      <c r="F158" s="21"/>
      <c r="G158" s="21"/>
      <c r="H158" s="21"/>
      <c r="I158" s="21"/>
      <c r="J158" s="21"/>
      <c r="K158" s="21"/>
      <c r="L158" s="21"/>
      <c r="M158" s="21"/>
      <c r="N158" s="21"/>
      <c r="O158" s="21"/>
      <c r="P158" s="21"/>
      <c r="Q158" s="21"/>
    </row>
    <row r="159">
      <c r="A159" s="220"/>
      <c r="B159" s="35"/>
      <c r="D159" s="21"/>
      <c r="E159" s="219"/>
      <c r="F159" s="21"/>
      <c r="G159" s="21"/>
      <c r="H159" s="21"/>
      <c r="I159" s="21"/>
      <c r="J159" s="21"/>
      <c r="K159" s="21"/>
      <c r="L159" s="21"/>
      <c r="M159" s="21"/>
      <c r="N159" s="21"/>
      <c r="O159" s="21"/>
      <c r="P159" s="21"/>
      <c r="Q159" s="21"/>
    </row>
    <row r="160">
      <c r="A160" s="220"/>
      <c r="B160" s="35"/>
      <c r="D160" s="21"/>
      <c r="E160" s="219"/>
      <c r="F160" s="21"/>
      <c r="G160" s="21"/>
      <c r="H160" s="21"/>
      <c r="I160" s="21"/>
      <c r="J160" s="21"/>
      <c r="K160" s="21"/>
      <c r="L160" s="21"/>
      <c r="M160" s="21"/>
      <c r="N160" s="21"/>
      <c r="O160" s="21"/>
      <c r="P160" s="21"/>
      <c r="Q160" s="21"/>
    </row>
    <row r="161">
      <c r="A161" s="220"/>
      <c r="B161" s="35"/>
      <c r="D161" s="21"/>
      <c r="E161" s="219"/>
      <c r="F161" s="21"/>
      <c r="G161" s="21"/>
      <c r="H161" s="21"/>
      <c r="I161" s="21"/>
      <c r="J161" s="21"/>
      <c r="K161" s="21"/>
      <c r="L161" s="21"/>
      <c r="M161" s="21"/>
      <c r="N161" s="21"/>
      <c r="O161" s="21"/>
      <c r="P161" s="21"/>
      <c r="Q161" s="21"/>
    </row>
    <row r="162">
      <c r="A162" s="220"/>
      <c r="B162" s="35"/>
      <c r="D162" s="21"/>
      <c r="E162" s="219"/>
      <c r="F162" s="21"/>
      <c r="G162" s="21"/>
      <c r="H162" s="21"/>
      <c r="I162" s="21"/>
      <c r="J162" s="21"/>
      <c r="K162" s="21"/>
      <c r="L162" s="21"/>
      <c r="M162" s="21"/>
      <c r="N162" s="21"/>
      <c r="O162" s="21"/>
      <c r="P162" s="21"/>
      <c r="Q162" s="21"/>
    </row>
    <row r="163">
      <c r="A163" s="220"/>
      <c r="B163" s="35"/>
      <c r="D163" s="21"/>
      <c r="E163" s="219"/>
      <c r="F163" s="21"/>
      <c r="G163" s="21"/>
      <c r="H163" s="21"/>
      <c r="I163" s="21"/>
      <c r="J163" s="21"/>
      <c r="K163" s="21"/>
      <c r="L163" s="21"/>
      <c r="M163" s="21"/>
      <c r="N163" s="21"/>
      <c r="O163" s="21"/>
      <c r="P163" s="21"/>
      <c r="Q163" s="21"/>
    </row>
    <row r="164">
      <c r="A164" s="220"/>
      <c r="B164" s="35"/>
      <c r="D164" s="21"/>
      <c r="E164" s="219"/>
      <c r="F164" s="21"/>
      <c r="G164" s="21"/>
      <c r="H164" s="21"/>
      <c r="I164" s="21"/>
      <c r="J164" s="21"/>
      <c r="K164" s="21"/>
      <c r="L164" s="21"/>
      <c r="M164" s="21"/>
      <c r="N164" s="21"/>
      <c r="O164" s="21"/>
      <c r="P164" s="21"/>
      <c r="Q164" s="21"/>
    </row>
    <row r="165">
      <c r="A165" s="220"/>
      <c r="B165" s="35"/>
      <c r="D165" s="21"/>
      <c r="E165" s="219"/>
      <c r="F165" s="21"/>
      <c r="G165" s="21"/>
      <c r="H165" s="21"/>
      <c r="I165" s="21"/>
      <c r="J165" s="21"/>
      <c r="K165" s="21"/>
      <c r="L165" s="21"/>
      <c r="M165" s="21"/>
      <c r="N165" s="21"/>
      <c r="O165" s="21"/>
      <c r="P165" s="21"/>
      <c r="Q165" s="21"/>
    </row>
    <row r="166">
      <c r="A166" s="220"/>
      <c r="B166" s="35"/>
      <c r="D166" s="21"/>
      <c r="E166" s="219"/>
      <c r="F166" s="21"/>
      <c r="G166" s="21"/>
      <c r="H166" s="21"/>
      <c r="I166" s="21"/>
      <c r="J166" s="21"/>
      <c r="K166" s="21"/>
      <c r="L166" s="21"/>
      <c r="M166" s="21"/>
      <c r="N166" s="21"/>
      <c r="O166" s="21"/>
      <c r="P166" s="21"/>
      <c r="Q166" s="21"/>
    </row>
    <row r="167">
      <c r="A167" s="220"/>
      <c r="B167" s="35"/>
      <c r="D167" s="21"/>
      <c r="E167" s="219"/>
      <c r="F167" s="21"/>
      <c r="G167" s="21"/>
      <c r="H167" s="21"/>
      <c r="I167" s="21"/>
      <c r="J167" s="21"/>
      <c r="K167" s="21"/>
      <c r="L167" s="21"/>
      <c r="M167" s="21"/>
      <c r="N167" s="21"/>
      <c r="O167" s="21"/>
      <c r="P167" s="21"/>
      <c r="Q167" s="21"/>
    </row>
    <row r="168">
      <c r="A168" s="220"/>
      <c r="B168" s="35"/>
      <c r="D168" s="21"/>
      <c r="E168" s="219"/>
      <c r="F168" s="21"/>
      <c r="G168" s="21"/>
      <c r="H168" s="21"/>
      <c r="I168" s="21"/>
      <c r="J168" s="21"/>
      <c r="K168" s="21"/>
      <c r="L168" s="21"/>
      <c r="M168" s="21"/>
      <c r="N168" s="21"/>
      <c r="O168" s="21"/>
      <c r="P168" s="21"/>
      <c r="Q168" s="21"/>
    </row>
    <row r="169">
      <c r="A169" s="220"/>
      <c r="B169" s="35"/>
      <c r="D169" s="21"/>
      <c r="E169" s="219"/>
      <c r="F169" s="21"/>
      <c r="G169" s="21"/>
      <c r="H169" s="21"/>
      <c r="I169" s="21"/>
      <c r="J169" s="21"/>
      <c r="K169" s="21"/>
      <c r="L169" s="21"/>
      <c r="M169" s="21"/>
      <c r="N169" s="21"/>
      <c r="O169" s="21"/>
      <c r="P169" s="21"/>
      <c r="Q169" s="21"/>
    </row>
    <row r="170">
      <c r="A170" s="220"/>
      <c r="B170" s="35"/>
      <c r="D170" s="21"/>
      <c r="E170" s="219"/>
      <c r="F170" s="21"/>
      <c r="G170" s="21"/>
      <c r="H170" s="21"/>
      <c r="I170" s="21"/>
      <c r="J170" s="21"/>
      <c r="K170" s="21"/>
      <c r="L170" s="21"/>
      <c r="M170" s="21"/>
      <c r="N170" s="21"/>
      <c r="O170" s="21"/>
      <c r="P170" s="21"/>
      <c r="Q170" s="21"/>
    </row>
    <row r="171">
      <c r="A171" s="220"/>
      <c r="B171" s="35"/>
      <c r="D171" s="21"/>
      <c r="E171" s="219"/>
      <c r="F171" s="21"/>
      <c r="G171" s="21"/>
      <c r="H171" s="21"/>
      <c r="I171" s="21"/>
      <c r="J171" s="21"/>
      <c r="K171" s="21"/>
      <c r="L171" s="21"/>
      <c r="M171" s="21"/>
      <c r="N171" s="21"/>
      <c r="O171" s="21"/>
      <c r="P171" s="21"/>
      <c r="Q171" s="21"/>
    </row>
    <row r="172">
      <c r="A172" s="220"/>
      <c r="B172" s="35"/>
      <c r="D172" s="21"/>
      <c r="E172" s="219"/>
      <c r="F172" s="21"/>
      <c r="G172" s="21"/>
      <c r="H172" s="21"/>
      <c r="I172" s="21"/>
      <c r="J172" s="21"/>
      <c r="K172" s="21"/>
      <c r="L172" s="21"/>
      <c r="M172" s="21"/>
      <c r="N172" s="21"/>
      <c r="O172" s="21"/>
      <c r="P172" s="21"/>
      <c r="Q172" s="21"/>
    </row>
    <row r="173">
      <c r="A173" s="220"/>
      <c r="B173" s="35"/>
      <c r="D173" s="21"/>
      <c r="E173" s="219"/>
      <c r="F173" s="21"/>
      <c r="G173" s="21"/>
      <c r="H173" s="21"/>
      <c r="I173" s="21"/>
      <c r="J173" s="21"/>
      <c r="K173" s="21"/>
      <c r="L173" s="21"/>
      <c r="M173" s="21"/>
      <c r="N173" s="21"/>
      <c r="O173" s="21"/>
      <c r="P173" s="21"/>
      <c r="Q173" s="21"/>
    </row>
    <row r="174">
      <c r="A174" s="220"/>
      <c r="B174" s="35"/>
      <c r="D174" s="21"/>
      <c r="E174" s="219"/>
      <c r="F174" s="21"/>
      <c r="G174" s="21"/>
      <c r="H174" s="21"/>
      <c r="I174" s="21"/>
      <c r="J174" s="21"/>
      <c r="K174" s="21"/>
      <c r="L174" s="21"/>
      <c r="M174" s="21"/>
      <c r="N174" s="21"/>
      <c r="O174" s="21"/>
      <c r="P174" s="21"/>
      <c r="Q174" s="21"/>
    </row>
    <row r="175">
      <c r="A175" s="220"/>
      <c r="B175" s="35"/>
      <c r="D175" s="21"/>
      <c r="E175" s="219"/>
      <c r="F175" s="21"/>
      <c r="G175" s="21"/>
      <c r="H175" s="21"/>
      <c r="I175" s="21"/>
      <c r="J175" s="21"/>
      <c r="K175" s="21"/>
      <c r="L175" s="21"/>
      <c r="M175" s="21"/>
      <c r="N175" s="21"/>
      <c r="O175" s="21"/>
      <c r="P175" s="21"/>
      <c r="Q175" s="21"/>
    </row>
    <row r="176">
      <c r="A176" s="220"/>
      <c r="B176" s="35"/>
      <c r="D176" s="21"/>
      <c r="E176" s="219"/>
      <c r="F176" s="21"/>
      <c r="G176" s="21"/>
      <c r="H176" s="21"/>
      <c r="I176" s="21"/>
      <c r="J176" s="21"/>
      <c r="K176" s="21"/>
      <c r="L176" s="21"/>
      <c r="M176" s="21"/>
      <c r="N176" s="21"/>
      <c r="O176" s="21"/>
      <c r="P176" s="21"/>
      <c r="Q176" s="21"/>
    </row>
    <row r="177">
      <c r="A177" s="220"/>
      <c r="B177" s="35"/>
      <c r="D177" s="21"/>
      <c r="E177" s="219"/>
      <c r="F177" s="21"/>
      <c r="G177" s="21"/>
      <c r="H177" s="21"/>
      <c r="I177" s="21"/>
      <c r="J177" s="21"/>
      <c r="K177" s="21"/>
      <c r="L177" s="21"/>
      <c r="M177" s="21"/>
      <c r="N177" s="21"/>
      <c r="O177" s="21"/>
      <c r="P177" s="21"/>
      <c r="Q177" s="21"/>
    </row>
    <row r="178">
      <c r="A178" s="220"/>
      <c r="B178" s="35"/>
      <c r="D178" s="21"/>
      <c r="E178" s="219"/>
      <c r="F178" s="21"/>
      <c r="G178" s="21"/>
      <c r="H178" s="21"/>
      <c r="I178" s="21"/>
      <c r="J178" s="21"/>
      <c r="K178" s="21"/>
      <c r="L178" s="21"/>
      <c r="M178" s="21"/>
      <c r="N178" s="21"/>
      <c r="O178" s="21"/>
      <c r="P178" s="21"/>
      <c r="Q178" s="21"/>
    </row>
    <row r="179">
      <c r="A179" s="220"/>
      <c r="B179" s="35"/>
      <c r="D179" s="21"/>
      <c r="E179" s="219"/>
      <c r="F179" s="21"/>
      <c r="G179" s="21"/>
      <c r="H179" s="21"/>
      <c r="I179" s="21"/>
      <c r="J179" s="21"/>
      <c r="K179" s="21"/>
      <c r="L179" s="21"/>
      <c r="M179" s="21"/>
      <c r="N179" s="21"/>
      <c r="O179" s="21"/>
      <c r="P179" s="21"/>
      <c r="Q179" s="21"/>
    </row>
    <row r="180">
      <c r="A180" s="220"/>
      <c r="B180" s="35"/>
      <c r="D180" s="21"/>
      <c r="E180" s="219"/>
      <c r="F180" s="21"/>
      <c r="G180" s="21"/>
      <c r="H180" s="21"/>
      <c r="I180" s="21"/>
      <c r="J180" s="21"/>
      <c r="K180" s="21"/>
      <c r="L180" s="21"/>
      <c r="M180" s="21"/>
      <c r="N180" s="21"/>
      <c r="O180" s="21"/>
      <c r="P180" s="21"/>
      <c r="Q180" s="21"/>
    </row>
    <row r="181">
      <c r="A181" s="220"/>
      <c r="B181" s="35"/>
      <c r="D181" s="21"/>
      <c r="E181" s="219"/>
      <c r="F181" s="21"/>
      <c r="G181" s="21"/>
      <c r="H181" s="21"/>
      <c r="I181" s="21"/>
      <c r="J181" s="21"/>
      <c r="K181" s="21"/>
      <c r="L181" s="21"/>
      <c r="M181" s="21"/>
      <c r="N181" s="21"/>
      <c r="O181" s="21"/>
      <c r="P181" s="21"/>
      <c r="Q181" s="21"/>
    </row>
    <row r="182">
      <c r="A182" s="220"/>
      <c r="B182" s="35"/>
      <c r="D182" s="21"/>
      <c r="E182" s="219"/>
      <c r="F182" s="21"/>
      <c r="G182" s="21"/>
      <c r="H182" s="21"/>
      <c r="I182" s="21"/>
      <c r="J182" s="21"/>
      <c r="K182" s="21"/>
      <c r="L182" s="21"/>
      <c r="M182" s="21"/>
      <c r="N182" s="21"/>
      <c r="O182" s="21"/>
      <c r="P182" s="21"/>
      <c r="Q182" s="21"/>
    </row>
    <row r="183">
      <c r="A183" s="220"/>
      <c r="B183" s="35"/>
      <c r="D183" s="21"/>
      <c r="E183" s="219"/>
      <c r="F183" s="21"/>
      <c r="G183" s="21"/>
      <c r="H183" s="21"/>
      <c r="I183" s="21"/>
      <c r="J183" s="21"/>
      <c r="K183" s="21"/>
      <c r="L183" s="21"/>
      <c r="M183" s="21"/>
      <c r="N183" s="21"/>
      <c r="O183" s="21"/>
      <c r="P183" s="21"/>
      <c r="Q183" s="21"/>
    </row>
    <row r="184">
      <c r="A184" s="220"/>
      <c r="B184" s="35"/>
      <c r="D184" s="21"/>
      <c r="E184" s="219"/>
      <c r="F184" s="21"/>
      <c r="G184" s="21"/>
      <c r="H184" s="21"/>
      <c r="I184" s="21"/>
      <c r="J184" s="21"/>
      <c r="K184" s="21"/>
      <c r="L184" s="21"/>
      <c r="M184" s="21"/>
      <c r="N184" s="21"/>
      <c r="O184" s="21"/>
      <c r="P184" s="21"/>
      <c r="Q184" s="21"/>
    </row>
    <row r="185">
      <c r="A185" s="220"/>
      <c r="B185" s="35"/>
      <c r="D185" s="21"/>
      <c r="E185" s="219"/>
      <c r="F185" s="21"/>
      <c r="G185" s="21"/>
      <c r="H185" s="21"/>
      <c r="I185" s="21"/>
      <c r="J185" s="21"/>
      <c r="K185" s="21"/>
      <c r="L185" s="21"/>
      <c r="M185" s="21"/>
      <c r="N185" s="21"/>
      <c r="O185" s="21"/>
      <c r="P185" s="21"/>
      <c r="Q185" s="21"/>
    </row>
    <row r="186">
      <c r="A186" s="220"/>
      <c r="B186" s="35"/>
      <c r="D186" s="21"/>
      <c r="E186" s="219"/>
      <c r="F186" s="21"/>
      <c r="G186" s="21"/>
      <c r="H186" s="21"/>
      <c r="I186" s="21"/>
      <c r="J186" s="21"/>
      <c r="K186" s="21"/>
      <c r="L186" s="21"/>
      <c r="M186" s="21"/>
      <c r="N186" s="21"/>
      <c r="O186" s="21"/>
      <c r="P186" s="21"/>
      <c r="Q186" s="21"/>
    </row>
    <row r="187">
      <c r="A187" s="220"/>
      <c r="B187" s="35"/>
      <c r="D187" s="21"/>
      <c r="E187" s="219"/>
      <c r="F187" s="21"/>
      <c r="G187" s="21"/>
      <c r="H187" s="21"/>
      <c r="I187" s="21"/>
      <c r="J187" s="21"/>
      <c r="K187" s="21"/>
      <c r="L187" s="21"/>
      <c r="M187" s="21"/>
      <c r="N187" s="21"/>
      <c r="O187" s="21"/>
      <c r="P187" s="21"/>
      <c r="Q187" s="21"/>
    </row>
    <row r="188">
      <c r="A188" s="220"/>
      <c r="B188" s="35"/>
      <c r="D188" s="21"/>
      <c r="E188" s="219"/>
      <c r="F188" s="21"/>
      <c r="G188" s="21"/>
      <c r="H188" s="21"/>
      <c r="I188" s="21"/>
      <c r="J188" s="21"/>
      <c r="K188" s="21"/>
      <c r="L188" s="21"/>
      <c r="M188" s="21"/>
      <c r="N188" s="21"/>
      <c r="O188" s="21"/>
      <c r="P188" s="21"/>
      <c r="Q188" s="21"/>
    </row>
    <row r="189">
      <c r="A189" s="220"/>
      <c r="B189" s="35"/>
      <c r="D189" s="21"/>
      <c r="E189" s="219"/>
      <c r="F189" s="21"/>
      <c r="G189" s="21"/>
      <c r="H189" s="21"/>
      <c r="I189" s="21"/>
      <c r="J189" s="21"/>
      <c r="K189" s="21"/>
      <c r="L189" s="21"/>
      <c r="M189" s="21"/>
      <c r="N189" s="21"/>
      <c r="O189" s="21"/>
      <c r="P189" s="21"/>
      <c r="Q189" s="21"/>
    </row>
    <row r="190">
      <c r="A190" s="220"/>
      <c r="B190" s="35"/>
      <c r="D190" s="21"/>
      <c r="E190" s="219"/>
      <c r="F190" s="21"/>
      <c r="G190" s="21"/>
      <c r="H190" s="21"/>
      <c r="I190" s="21"/>
      <c r="J190" s="21"/>
      <c r="K190" s="21"/>
      <c r="L190" s="21"/>
      <c r="M190" s="21"/>
      <c r="N190" s="21"/>
      <c r="O190" s="21"/>
      <c r="P190" s="21"/>
      <c r="Q190" s="21"/>
    </row>
    <row r="191">
      <c r="A191" s="220"/>
      <c r="B191" s="35"/>
      <c r="D191" s="21"/>
      <c r="E191" s="219"/>
      <c r="F191" s="21"/>
      <c r="G191" s="21"/>
      <c r="H191" s="21"/>
      <c r="I191" s="21"/>
      <c r="J191" s="21"/>
      <c r="K191" s="21"/>
      <c r="L191" s="21"/>
      <c r="M191" s="21"/>
      <c r="N191" s="21"/>
      <c r="O191" s="21"/>
      <c r="P191" s="21"/>
      <c r="Q191" s="21"/>
    </row>
    <row r="192">
      <c r="A192" s="220"/>
      <c r="B192" s="35"/>
      <c r="D192" s="21"/>
      <c r="E192" s="219"/>
      <c r="F192" s="21"/>
      <c r="G192" s="21"/>
      <c r="H192" s="21"/>
      <c r="I192" s="21"/>
      <c r="J192" s="21"/>
      <c r="K192" s="21"/>
      <c r="L192" s="21"/>
      <c r="M192" s="21"/>
      <c r="N192" s="21"/>
      <c r="O192" s="21"/>
      <c r="P192" s="21"/>
      <c r="Q192" s="21"/>
    </row>
    <row r="193">
      <c r="A193" s="220"/>
      <c r="B193" s="35"/>
      <c r="D193" s="21"/>
      <c r="E193" s="219"/>
      <c r="F193" s="21"/>
      <c r="G193" s="21"/>
      <c r="H193" s="21"/>
      <c r="I193" s="21"/>
      <c r="J193" s="21"/>
      <c r="K193" s="21"/>
      <c r="L193" s="21"/>
      <c r="M193" s="21"/>
      <c r="N193" s="21"/>
      <c r="O193" s="21"/>
      <c r="P193" s="21"/>
      <c r="Q193" s="21"/>
    </row>
    <row r="194">
      <c r="A194" s="220"/>
      <c r="B194" s="35"/>
      <c r="D194" s="21"/>
      <c r="E194" s="219"/>
      <c r="F194" s="21"/>
      <c r="G194" s="21"/>
      <c r="H194" s="21"/>
      <c r="I194" s="21"/>
      <c r="J194" s="21"/>
      <c r="K194" s="21"/>
      <c r="L194" s="21"/>
      <c r="M194" s="21"/>
      <c r="N194" s="21"/>
      <c r="O194" s="21"/>
      <c r="P194" s="21"/>
      <c r="Q194" s="21"/>
    </row>
    <row r="195">
      <c r="A195" s="220"/>
      <c r="B195" s="35"/>
      <c r="D195" s="21"/>
      <c r="E195" s="219"/>
      <c r="F195" s="21"/>
      <c r="G195" s="21"/>
      <c r="H195" s="21"/>
      <c r="I195" s="21"/>
      <c r="J195" s="21"/>
      <c r="K195" s="21"/>
      <c r="L195" s="21"/>
      <c r="M195" s="21"/>
      <c r="N195" s="21"/>
      <c r="O195" s="21"/>
      <c r="P195" s="21"/>
      <c r="Q195" s="21"/>
    </row>
    <row r="196">
      <c r="A196" s="220"/>
      <c r="B196" s="35"/>
      <c r="D196" s="21"/>
      <c r="E196" s="219"/>
      <c r="F196" s="21"/>
      <c r="G196" s="21"/>
      <c r="H196" s="21"/>
      <c r="I196" s="21"/>
      <c r="J196" s="21"/>
      <c r="K196" s="21"/>
      <c r="L196" s="21"/>
      <c r="M196" s="21"/>
      <c r="N196" s="21"/>
      <c r="O196" s="21"/>
      <c r="P196" s="21"/>
      <c r="Q196" s="21"/>
    </row>
    <row r="197">
      <c r="A197" s="220"/>
      <c r="B197" s="35"/>
      <c r="D197" s="21"/>
      <c r="E197" s="219"/>
      <c r="F197" s="21"/>
      <c r="G197" s="21"/>
      <c r="H197" s="21"/>
      <c r="I197" s="21"/>
      <c r="J197" s="21"/>
      <c r="K197" s="21"/>
      <c r="L197" s="21"/>
      <c r="M197" s="21"/>
      <c r="N197" s="21"/>
      <c r="O197" s="21"/>
      <c r="P197" s="21"/>
      <c r="Q197" s="21"/>
    </row>
    <row r="198">
      <c r="A198" s="220"/>
      <c r="B198" s="35"/>
      <c r="D198" s="21"/>
      <c r="E198" s="219"/>
      <c r="F198" s="21"/>
      <c r="G198" s="21"/>
      <c r="H198" s="21"/>
      <c r="I198" s="21"/>
      <c r="J198" s="21"/>
      <c r="K198" s="21"/>
      <c r="L198" s="21"/>
      <c r="M198" s="21"/>
      <c r="N198" s="21"/>
      <c r="O198" s="21"/>
      <c r="P198" s="21"/>
      <c r="Q198" s="21"/>
    </row>
    <row r="199">
      <c r="A199" s="220"/>
      <c r="B199" s="35"/>
      <c r="D199" s="21"/>
      <c r="E199" s="219"/>
      <c r="F199" s="21"/>
      <c r="G199" s="21"/>
      <c r="H199" s="21"/>
      <c r="I199" s="21"/>
      <c r="J199" s="21"/>
      <c r="K199" s="21"/>
      <c r="L199" s="21"/>
      <c r="M199" s="21"/>
      <c r="N199" s="21"/>
      <c r="O199" s="21"/>
      <c r="P199" s="21"/>
      <c r="Q199" s="21"/>
    </row>
    <row r="200">
      <c r="A200" s="220"/>
      <c r="B200" s="35"/>
      <c r="D200" s="21"/>
      <c r="E200" s="219"/>
      <c r="F200" s="21"/>
      <c r="G200" s="21"/>
      <c r="H200" s="21"/>
      <c r="I200" s="21"/>
      <c r="J200" s="21"/>
      <c r="K200" s="21"/>
      <c r="L200" s="21"/>
      <c r="M200" s="21"/>
      <c r="N200" s="21"/>
      <c r="O200" s="21"/>
      <c r="P200" s="21"/>
      <c r="Q200" s="21"/>
    </row>
    <row r="201">
      <c r="A201" s="220"/>
      <c r="B201" s="35"/>
      <c r="D201" s="21"/>
      <c r="E201" s="219"/>
      <c r="F201" s="21"/>
      <c r="G201" s="21"/>
      <c r="H201" s="21"/>
      <c r="I201" s="21"/>
      <c r="J201" s="21"/>
      <c r="K201" s="21"/>
      <c r="L201" s="21"/>
      <c r="M201" s="21"/>
      <c r="N201" s="21"/>
      <c r="O201" s="21"/>
      <c r="P201" s="21"/>
      <c r="Q201" s="21"/>
    </row>
    <row r="202">
      <c r="A202" s="220"/>
      <c r="B202" s="35"/>
      <c r="D202" s="21"/>
      <c r="E202" s="219"/>
      <c r="F202" s="21"/>
      <c r="G202" s="21"/>
      <c r="H202" s="21"/>
      <c r="I202" s="21"/>
      <c r="J202" s="21"/>
      <c r="K202" s="21"/>
      <c r="L202" s="21"/>
      <c r="M202" s="21"/>
      <c r="N202" s="21"/>
      <c r="O202" s="21"/>
      <c r="P202" s="21"/>
      <c r="Q202" s="21"/>
    </row>
    <row r="203">
      <c r="A203" s="220"/>
      <c r="B203" s="35"/>
      <c r="D203" s="21"/>
      <c r="E203" s="219"/>
      <c r="F203" s="21"/>
      <c r="G203" s="21"/>
      <c r="H203" s="21"/>
      <c r="I203" s="21"/>
      <c r="J203" s="21"/>
      <c r="K203" s="21"/>
      <c r="L203" s="21"/>
      <c r="M203" s="21"/>
      <c r="N203" s="21"/>
      <c r="O203" s="21"/>
      <c r="P203" s="21"/>
      <c r="Q203" s="21"/>
    </row>
    <row r="204">
      <c r="A204" s="220"/>
      <c r="B204" s="35"/>
      <c r="D204" s="21"/>
      <c r="E204" s="219"/>
      <c r="F204" s="21"/>
      <c r="G204" s="21"/>
      <c r="H204" s="21"/>
      <c r="I204" s="21"/>
      <c r="J204" s="21"/>
      <c r="K204" s="21"/>
      <c r="L204" s="21"/>
      <c r="M204" s="21"/>
      <c r="N204" s="21"/>
      <c r="O204" s="21"/>
      <c r="P204" s="21"/>
      <c r="Q204" s="21"/>
    </row>
    <row r="205">
      <c r="A205" s="220"/>
      <c r="B205" s="35"/>
      <c r="D205" s="21"/>
      <c r="E205" s="219"/>
      <c r="F205" s="21"/>
      <c r="G205" s="21"/>
      <c r="H205" s="21"/>
      <c r="I205" s="21"/>
      <c r="J205" s="21"/>
      <c r="K205" s="21"/>
      <c r="L205" s="21"/>
      <c r="M205" s="21"/>
      <c r="N205" s="21"/>
      <c r="O205" s="21"/>
      <c r="P205" s="21"/>
      <c r="Q205" s="21"/>
    </row>
    <row r="206">
      <c r="A206" s="220"/>
      <c r="B206" s="35"/>
      <c r="D206" s="21"/>
      <c r="E206" s="219"/>
      <c r="F206" s="21"/>
      <c r="G206" s="21"/>
      <c r="H206" s="21"/>
      <c r="I206" s="21"/>
      <c r="J206" s="21"/>
      <c r="K206" s="21"/>
      <c r="L206" s="21"/>
      <c r="M206" s="21"/>
      <c r="N206" s="21"/>
      <c r="O206" s="21"/>
      <c r="P206" s="21"/>
      <c r="Q206" s="21"/>
    </row>
    <row r="207">
      <c r="A207" s="220"/>
      <c r="B207" s="35"/>
      <c r="D207" s="21"/>
      <c r="E207" s="219"/>
      <c r="F207" s="21"/>
      <c r="G207" s="21"/>
      <c r="H207" s="21"/>
      <c r="I207" s="21"/>
      <c r="J207" s="21"/>
      <c r="K207" s="21"/>
      <c r="L207" s="21"/>
      <c r="M207" s="21"/>
      <c r="N207" s="21"/>
      <c r="O207" s="21"/>
      <c r="P207" s="21"/>
      <c r="Q207" s="21"/>
    </row>
    <row r="208">
      <c r="A208" s="220"/>
      <c r="B208" s="35"/>
      <c r="D208" s="21"/>
      <c r="E208" s="219"/>
      <c r="F208" s="21"/>
      <c r="G208" s="21"/>
      <c r="H208" s="21"/>
      <c r="I208" s="21"/>
      <c r="J208" s="21"/>
      <c r="K208" s="21"/>
      <c r="L208" s="21"/>
      <c r="M208" s="21"/>
      <c r="N208" s="21"/>
      <c r="O208" s="21"/>
      <c r="P208" s="21"/>
      <c r="Q208" s="21"/>
    </row>
    <row r="209">
      <c r="A209" s="220"/>
      <c r="B209" s="35"/>
      <c r="D209" s="21"/>
      <c r="E209" s="219"/>
      <c r="F209" s="21"/>
      <c r="G209" s="21"/>
      <c r="H209" s="21"/>
      <c r="I209" s="21"/>
      <c r="J209" s="21"/>
      <c r="K209" s="21"/>
      <c r="L209" s="21"/>
      <c r="M209" s="21"/>
      <c r="N209" s="21"/>
      <c r="O209" s="21"/>
      <c r="P209" s="21"/>
      <c r="Q209" s="21"/>
    </row>
    <row r="210">
      <c r="A210" s="220"/>
      <c r="B210" s="35"/>
      <c r="D210" s="21"/>
      <c r="E210" s="219"/>
      <c r="F210" s="21"/>
      <c r="G210" s="21"/>
      <c r="H210" s="21"/>
      <c r="I210" s="21"/>
      <c r="J210" s="21"/>
      <c r="K210" s="21"/>
      <c r="L210" s="21"/>
      <c r="M210" s="21"/>
      <c r="N210" s="21"/>
      <c r="O210" s="21"/>
      <c r="P210" s="21"/>
      <c r="Q210" s="21"/>
    </row>
    <row r="211">
      <c r="A211" s="220"/>
      <c r="B211" s="35"/>
      <c r="D211" s="21"/>
      <c r="E211" s="219"/>
      <c r="F211" s="21"/>
      <c r="G211" s="21"/>
      <c r="H211" s="21"/>
      <c r="I211" s="21"/>
      <c r="J211" s="21"/>
      <c r="K211" s="21"/>
      <c r="L211" s="21"/>
      <c r="M211" s="21"/>
      <c r="N211" s="21"/>
      <c r="O211" s="21"/>
      <c r="P211" s="21"/>
      <c r="Q211" s="21"/>
    </row>
    <row r="212">
      <c r="A212" s="220"/>
      <c r="B212" s="35"/>
      <c r="D212" s="21"/>
      <c r="E212" s="219"/>
      <c r="F212" s="21"/>
      <c r="G212" s="21"/>
      <c r="H212" s="21"/>
      <c r="I212" s="21"/>
      <c r="J212" s="21"/>
      <c r="K212" s="21"/>
      <c r="L212" s="21"/>
      <c r="M212" s="21"/>
      <c r="N212" s="21"/>
      <c r="O212" s="21"/>
      <c r="P212" s="21"/>
      <c r="Q212" s="21"/>
    </row>
    <row r="213">
      <c r="A213" s="220"/>
      <c r="B213" s="35"/>
      <c r="D213" s="21"/>
      <c r="E213" s="219"/>
      <c r="F213" s="21"/>
      <c r="G213" s="21"/>
      <c r="H213" s="21"/>
      <c r="I213" s="21"/>
      <c r="J213" s="21"/>
      <c r="K213" s="21"/>
      <c r="L213" s="21"/>
      <c r="M213" s="21"/>
      <c r="N213" s="21"/>
      <c r="O213" s="21"/>
      <c r="P213" s="21"/>
      <c r="Q213" s="21"/>
    </row>
    <row r="214">
      <c r="A214" s="220"/>
      <c r="B214" s="35"/>
      <c r="D214" s="21"/>
      <c r="E214" s="219"/>
      <c r="F214" s="21"/>
      <c r="G214" s="21"/>
      <c r="H214" s="21"/>
      <c r="I214" s="21"/>
      <c r="J214" s="21"/>
      <c r="K214" s="21"/>
      <c r="L214" s="21"/>
      <c r="M214" s="21"/>
      <c r="N214" s="21"/>
      <c r="O214" s="21"/>
      <c r="P214" s="21"/>
      <c r="Q214" s="21"/>
    </row>
    <row r="215">
      <c r="A215" s="220"/>
      <c r="B215" s="35"/>
      <c r="D215" s="21"/>
      <c r="E215" s="219"/>
      <c r="F215" s="21"/>
      <c r="G215" s="21"/>
      <c r="H215" s="21"/>
      <c r="I215" s="21"/>
      <c r="J215" s="21"/>
      <c r="K215" s="21"/>
      <c r="L215" s="21"/>
      <c r="M215" s="21"/>
      <c r="N215" s="21"/>
      <c r="O215" s="21"/>
      <c r="P215" s="21"/>
      <c r="Q215" s="21"/>
    </row>
    <row r="216">
      <c r="A216" s="220"/>
      <c r="B216" s="35"/>
      <c r="D216" s="21"/>
      <c r="E216" s="219"/>
      <c r="F216" s="21"/>
      <c r="G216" s="21"/>
      <c r="H216" s="21"/>
      <c r="I216" s="21"/>
      <c r="J216" s="21"/>
      <c r="K216" s="21"/>
      <c r="L216" s="21"/>
      <c r="M216" s="21"/>
      <c r="N216" s="21"/>
      <c r="O216" s="21"/>
      <c r="P216" s="21"/>
      <c r="Q216" s="21"/>
    </row>
    <row r="217">
      <c r="A217" s="220"/>
      <c r="B217" s="35"/>
      <c r="D217" s="21"/>
      <c r="E217" s="219"/>
      <c r="F217" s="21"/>
      <c r="G217" s="21"/>
      <c r="H217" s="21"/>
      <c r="I217" s="21"/>
      <c r="J217" s="21"/>
      <c r="K217" s="21"/>
      <c r="L217" s="21"/>
      <c r="M217" s="21"/>
      <c r="N217" s="21"/>
      <c r="O217" s="21"/>
      <c r="P217" s="21"/>
      <c r="Q217" s="21"/>
    </row>
    <row r="218">
      <c r="A218" s="220"/>
      <c r="B218" s="35"/>
      <c r="D218" s="21"/>
      <c r="E218" s="219"/>
      <c r="F218" s="21"/>
      <c r="G218" s="21"/>
      <c r="H218" s="21"/>
      <c r="I218" s="21"/>
      <c r="J218" s="21"/>
      <c r="K218" s="21"/>
      <c r="L218" s="21"/>
      <c r="M218" s="21"/>
      <c r="N218" s="21"/>
      <c r="O218" s="21"/>
      <c r="P218" s="21"/>
      <c r="Q218" s="21"/>
    </row>
    <row r="219">
      <c r="A219" s="220"/>
      <c r="B219" s="35"/>
      <c r="D219" s="21"/>
      <c r="E219" s="219"/>
      <c r="F219" s="21"/>
      <c r="G219" s="21"/>
      <c r="H219" s="21"/>
      <c r="I219" s="21"/>
      <c r="J219" s="21"/>
      <c r="K219" s="21"/>
      <c r="L219" s="21"/>
      <c r="M219" s="21"/>
      <c r="N219" s="21"/>
      <c r="O219" s="21"/>
      <c r="P219" s="21"/>
      <c r="Q219" s="21"/>
    </row>
    <row r="220">
      <c r="A220" s="220"/>
      <c r="B220" s="35"/>
      <c r="D220" s="21"/>
      <c r="E220" s="219"/>
      <c r="F220" s="21"/>
      <c r="G220" s="21"/>
      <c r="H220" s="21"/>
      <c r="I220" s="21"/>
      <c r="J220" s="21"/>
      <c r="K220" s="21"/>
      <c r="L220" s="21"/>
      <c r="M220" s="21"/>
      <c r="N220" s="21"/>
      <c r="O220" s="21"/>
      <c r="P220" s="21"/>
      <c r="Q220" s="21"/>
    </row>
    <row r="221">
      <c r="A221" s="220"/>
      <c r="B221" s="35"/>
      <c r="D221" s="21"/>
      <c r="E221" s="219"/>
      <c r="F221" s="21"/>
      <c r="G221" s="21"/>
      <c r="H221" s="21"/>
      <c r="I221" s="21"/>
      <c r="J221" s="21"/>
      <c r="K221" s="21"/>
      <c r="L221" s="21"/>
      <c r="M221" s="21"/>
      <c r="N221" s="21"/>
      <c r="O221" s="21"/>
      <c r="P221" s="21"/>
      <c r="Q221" s="21"/>
    </row>
    <row r="222">
      <c r="A222" s="220"/>
      <c r="B222" s="35"/>
      <c r="D222" s="21"/>
      <c r="E222" s="219"/>
      <c r="F222" s="21"/>
      <c r="G222" s="21"/>
      <c r="H222" s="21"/>
      <c r="I222" s="21"/>
      <c r="J222" s="21"/>
      <c r="K222" s="21"/>
      <c r="L222" s="21"/>
      <c r="M222" s="21"/>
      <c r="N222" s="21"/>
      <c r="O222" s="21"/>
      <c r="P222" s="21"/>
      <c r="Q222" s="21"/>
    </row>
    <row r="223">
      <c r="A223" s="220"/>
      <c r="B223" s="35"/>
      <c r="D223" s="21"/>
      <c r="E223" s="219"/>
      <c r="F223" s="21"/>
      <c r="G223" s="21"/>
      <c r="H223" s="21"/>
      <c r="I223" s="21"/>
      <c r="J223" s="21"/>
      <c r="K223" s="21"/>
      <c r="L223" s="21"/>
      <c r="M223" s="21"/>
      <c r="N223" s="21"/>
      <c r="O223" s="21"/>
      <c r="P223" s="21"/>
      <c r="Q223" s="21"/>
    </row>
    <row r="224">
      <c r="A224" s="220"/>
      <c r="B224" s="35"/>
      <c r="D224" s="21"/>
      <c r="E224" s="219"/>
      <c r="F224" s="21"/>
      <c r="G224" s="21"/>
      <c r="H224" s="21"/>
      <c r="I224" s="21"/>
      <c r="J224" s="21"/>
      <c r="K224" s="21"/>
      <c r="L224" s="21"/>
      <c r="M224" s="21"/>
      <c r="N224" s="21"/>
      <c r="O224" s="21"/>
      <c r="P224" s="21"/>
      <c r="Q224" s="21"/>
    </row>
    <row r="225">
      <c r="A225" s="220"/>
      <c r="B225" s="35"/>
      <c r="D225" s="21"/>
      <c r="E225" s="219"/>
      <c r="F225" s="21"/>
      <c r="G225" s="21"/>
      <c r="H225" s="21"/>
      <c r="I225" s="21"/>
      <c r="J225" s="21"/>
      <c r="K225" s="21"/>
      <c r="L225" s="21"/>
      <c r="M225" s="21"/>
      <c r="N225" s="21"/>
      <c r="O225" s="21"/>
      <c r="P225" s="21"/>
      <c r="Q225" s="21"/>
    </row>
    <row r="226">
      <c r="A226" s="220"/>
      <c r="B226" s="35"/>
      <c r="D226" s="21"/>
      <c r="E226" s="219"/>
      <c r="F226" s="21"/>
      <c r="G226" s="21"/>
      <c r="H226" s="21"/>
      <c r="I226" s="21"/>
      <c r="J226" s="21"/>
      <c r="K226" s="21"/>
      <c r="L226" s="21"/>
      <c r="M226" s="21"/>
      <c r="N226" s="21"/>
      <c r="O226" s="21"/>
      <c r="P226" s="21"/>
      <c r="Q226" s="21"/>
    </row>
    <row r="227">
      <c r="A227" s="220"/>
      <c r="B227" s="35"/>
      <c r="D227" s="21"/>
      <c r="E227" s="219"/>
      <c r="F227" s="21"/>
      <c r="G227" s="21"/>
      <c r="H227" s="21"/>
      <c r="I227" s="21"/>
      <c r="J227" s="21"/>
      <c r="K227" s="21"/>
      <c r="L227" s="21"/>
      <c r="M227" s="21"/>
      <c r="N227" s="21"/>
      <c r="O227" s="21"/>
      <c r="P227" s="21"/>
      <c r="Q227" s="21"/>
    </row>
    <row r="228">
      <c r="A228" s="220"/>
      <c r="B228" s="35"/>
      <c r="D228" s="21"/>
      <c r="E228" s="219"/>
      <c r="F228" s="21"/>
      <c r="G228" s="21"/>
      <c r="H228" s="21"/>
      <c r="I228" s="21"/>
      <c r="J228" s="21"/>
      <c r="K228" s="21"/>
      <c r="L228" s="21"/>
      <c r="M228" s="21"/>
      <c r="N228" s="21"/>
      <c r="O228" s="21"/>
      <c r="P228" s="21"/>
      <c r="Q228" s="21"/>
    </row>
    <row r="229">
      <c r="A229" s="220"/>
      <c r="B229" s="35"/>
      <c r="D229" s="21"/>
      <c r="E229" s="219"/>
      <c r="F229" s="21"/>
      <c r="G229" s="21"/>
      <c r="H229" s="21"/>
      <c r="I229" s="21"/>
      <c r="J229" s="21"/>
      <c r="K229" s="21"/>
      <c r="L229" s="21"/>
      <c r="M229" s="21"/>
      <c r="N229" s="21"/>
      <c r="O229" s="21"/>
      <c r="P229" s="21"/>
      <c r="Q229" s="21"/>
    </row>
    <row r="230">
      <c r="A230" s="220"/>
      <c r="B230" s="35"/>
      <c r="D230" s="21"/>
      <c r="E230" s="219"/>
      <c r="F230" s="21"/>
      <c r="G230" s="21"/>
      <c r="H230" s="21"/>
      <c r="I230" s="21"/>
      <c r="J230" s="21"/>
      <c r="K230" s="21"/>
      <c r="L230" s="21"/>
      <c r="M230" s="21"/>
      <c r="N230" s="21"/>
      <c r="O230" s="21"/>
      <c r="P230" s="21"/>
      <c r="Q230" s="21"/>
    </row>
    <row r="231">
      <c r="A231" s="220"/>
      <c r="B231" s="35"/>
      <c r="D231" s="21"/>
      <c r="E231" s="219"/>
      <c r="F231" s="21"/>
      <c r="G231" s="21"/>
      <c r="H231" s="21"/>
      <c r="I231" s="21"/>
      <c r="J231" s="21"/>
      <c r="K231" s="21"/>
      <c r="L231" s="21"/>
      <c r="M231" s="21"/>
      <c r="N231" s="21"/>
      <c r="O231" s="21"/>
      <c r="P231" s="21"/>
      <c r="Q231" s="21"/>
    </row>
    <row r="232">
      <c r="A232" s="220"/>
      <c r="B232" s="35"/>
      <c r="D232" s="21"/>
      <c r="E232" s="219"/>
      <c r="F232" s="21"/>
      <c r="G232" s="21"/>
      <c r="H232" s="21"/>
      <c r="I232" s="21"/>
      <c r="J232" s="21"/>
      <c r="K232" s="21"/>
      <c r="L232" s="21"/>
      <c r="M232" s="21"/>
      <c r="N232" s="21"/>
      <c r="O232" s="21"/>
      <c r="P232" s="21"/>
      <c r="Q232" s="21"/>
    </row>
    <row r="233">
      <c r="A233" s="220"/>
      <c r="B233" s="35"/>
      <c r="D233" s="21"/>
      <c r="E233" s="219"/>
      <c r="F233" s="21"/>
      <c r="G233" s="21"/>
      <c r="H233" s="21"/>
      <c r="I233" s="21"/>
      <c r="J233" s="21"/>
      <c r="K233" s="21"/>
      <c r="L233" s="21"/>
      <c r="M233" s="21"/>
      <c r="N233" s="21"/>
      <c r="O233" s="21"/>
      <c r="P233" s="21"/>
      <c r="Q233" s="21"/>
    </row>
    <row r="234">
      <c r="A234" s="220"/>
      <c r="B234" s="35"/>
      <c r="D234" s="21"/>
      <c r="E234" s="219"/>
      <c r="F234" s="21"/>
      <c r="G234" s="21"/>
      <c r="H234" s="21"/>
      <c r="I234" s="21"/>
      <c r="J234" s="21"/>
      <c r="K234" s="21"/>
      <c r="L234" s="21"/>
      <c r="M234" s="21"/>
      <c r="N234" s="21"/>
      <c r="O234" s="21"/>
      <c r="P234" s="21"/>
      <c r="Q234" s="21"/>
    </row>
    <row r="235">
      <c r="A235" s="220"/>
      <c r="B235" s="35"/>
      <c r="D235" s="21"/>
      <c r="E235" s="219"/>
      <c r="F235" s="21"/>
      <c r="G235" s="21"/>
      <c r="H235" s="21"/>
      <c r="I235" s="21"/>
      <c r="J235" s="21"/>
      <c r="K235" s="21"/>
      <c r="L235" s="21"/>
      <c r="M235" s="21"/>
      <c r="N235" s="21"/>
      <c r="O235" s="21"/>
      <c r="P235" s="21"/>
      <c r="Q235" s="21"/>
    </row>
    <row r="236">
      <c r="A236" s="220"/>
      <c r="B236" s="35"/>
      <c r="D236" s="21"/>
      <c r="E236" s="219"/>
      <c r="F236" s="21"/>
      <c r="G236" s="21"/>
      <c r="H236" s="21"/>
      <c r="I236" s="21"/>
      <c r="J236" s="21"/>
      <c r="K236" s="21"/>
      <c r="L236" s="21"/>
      <c r="M236" s="21"/>
      <c r="N236" s="21"/>
      <c r="O236" s="21"/>
      <c r="P236" s="21"/>
      <c r="Q236" s="21"/>
    </row>
    <row r="237">
      <c r="A237" s="220"/>
      <c r="B237" s="35"/>
      <c r="D237" s="21"/>
      <c r="E237" s="219"/>
      <c r="F237" s="21"/>
      <c r="G237" s="21"/>
      <c r="H237" s="21"/>
      <c r="I237" s="21"/>
      <c r="J237" s="21"/>
      <c r="K237" s="21"/>
      <c r="L237" s="21"/>
      <c r="M237" s="21"/>
      <c r="N237" s="21"/>
      <c r="O237" s="21"/>
      <c r="P237" s="21"/>
      <c r="Q237" s="21"/>
    </row>
    <row r="238">
      <c r="A238" s="220"/>
      <c r="B238" s="35"/>
      <c r="D238" s="21"/>
      <c r="E238" s="219"/>
      <c r="F238" s="21"/>
      <c r="G238" s="21"/>
      <c r="H238" s="21"/>
      <c r="I238" s="21"/>
      <c r="J238" s="21"/>
      <c r="K238" s="21"/>
      <c r="L238" s="21"/>
      <c r="M238" s="21"/>
      <c r="N238" s="21"/>
      <c r="O238" s="21"/>
      <c r="P238" s="21"/>
      <c r="Q238" s="21"/>
    </row>
    <row r="239">
      <c r="A239" s="220"/>
      <c r="B239" s="35"/>
      <c r="D239" s="21"/>
      <c r="E239" s="219"/>
      <c r="F239" s="21"/>
      <c r="G239" s="21"/>
      <c r="H239" s="21"/>
      <c r="I239" s="21"/>
      <c r="J239" s="21"/>
      <c r="K239" s="21"/>
      <c r="L239" s="21"/>
      <c r="M239" s="21"/>
      <c r="N239" s="21"/>
      <c r="O239" s="21"/>
      <c r="P239" s="21"/>
      <c r="Q239" s="21"/>
    </row>
    <row r="240">
      <c r="A240" s="220"/>
      <c r="B240" s="35"/>
      <c r="D240" s="21"/>
      <c r="E240" s="219"/>
      <c r="F240" s="21"/>
      <c r="G240" s="21"/>
      <c r="H240" s="21"/>
      <c r="I240" s="21"/>
      <c r="J240" s="21"/>
      <c r="K240" s="21"/>
      <c r="L240" s="21"/>
      <c r="M240" s="21"/>
      <c r="N240" s="21"/>
      <c r="O240" s="21"/>
      <c r="P240" s="21"/>
      <c r="Q240" s="21"/>
    </row>
    <row r="241">
      <c r="A241" s="220"/>
      <c r="B241" s="35"/>
      <c r="D241" s="21"/>
      <c r="E241" s="219"/>
      <c r="F241" s="21"/>
      <c r="G241" s="21"/>
      <c r="H241" s="21"/>
      <c r="I241" s="21"/>
      <c r="J241" s="21"/>
      <c r="K241" s="21"/>
      <c r="L241" s="21"/>
      <c r="M241" s="21"/>
      <c r="N241" s="21"/>
      <c r="O241" s="21"/>
      <c r="P241" s="21"/>
      <c r="Q241" s="21"/>
    </row>
    <row r="242">
      <c r="A242" s="220"/>
      <c r="B242" s="35"/>
      <c r="D242" s="21"/>
      <c r="E242" s="219"/>
      <c r="F242" s="21"/>
      <c r="G242" s="21"/>
      <c r="H242" s="21"/>
      <c r="I242" s="21"/>
      <c r="J242" s="21"/>
      <c r="K242" s="21"/>
      <c r="L242" s="21"/>
      <c r="M242" s="21"/>
      <c r="N242" s="21"/>
      <c r="O242" s="21"/>
      <c r="P242" s="21"/>
      <c r="Q242" s="21"/>
    </row>
    <row r="243">
      <c r="A243" s="220"/>
      <c r="B243" s="35"/>
      <c r="D243" s="21"/>
      <c r="E243" s="219"/>
      <c r="F243" s="21"/>
      <c r="G243" s="21"/>
      <c r="H243" s="21"/>
      <c r="I243" s="21"/>
      <c r="J243" s="21"/>
      <c r="K243" s="21"/>
      <c r="L243" s="21"/>
      <c r="M243" s="21"/>
      <c r="N243" s="21"/>
      <c r="O243" s="21"/>
      <c r="P243" s="21"/>
      <c r="Q243" s="21"/>
    </row>
    <row r="244">
      <c r="A244" s="220"/>
      <c r="B244" s="35"/>
      <c r="D244" s="21"/>
      <c r="E244" s="219"/>
      <c r="F244" s="21"/>
      <c r="G244" s="21"/>
      <c r="H244" s="21"/>
      <c r="I244" s="21"/>
      <c r="J244" s="21"/>
      <c r="K244" s="21"/>
      <c r="L244" s="21"/>
      <c r="M244" s="21"/>
      <c r="N244" s="21"/>
      <c r="O244" s="21"/>
      <c r="P244" s="21"/>
      <c r="Q244" s="21"/>
    </row>
    <row r="245">
      <c r="A245" s="220"/>
      <c r="B245" s="35"/>
      <c r="D245" s="21"/>
      <c r="E245" s="219"/>
      <c r="F245" s="21"/>
      <c r="G245" s="21"/>
      <c r="H245" s="21"/>
      <c r="I245" s="21"/>
      <c r="J245" s="21"/>
      <c r="K245" s="21"/>
      <c r="L245" s="21"/>
      <c r="M245" s="21"/>
      <c r="N245" s="21"/>
      <c r="O245" s="21"/>
      <c r="P245" s="21"/>
      <c r="Q245" s="21"/>
    </row>
    <row r="246">
      <c r="A246" s="220"/>
      <c r="B246" s="35"/>
      <c r="D246" s="21"/>
      <c r="E246" s="219"/>
      <c r="F246" s="21"/>
      <c r="G246" s="21"/>
      <c r="H246" s="21"/>
      <c r="I246" s="21"/>
      <c r="J246" s="21"/>
      <c r="K246" s="21"/>
      <c r="L246" s="21"/>
      <c r="M246" s="21"/>
      <c r="N246" s="21"/>
      <c r="O246" s="21"/>
      <c r="P246" s="21"/>
      <c r="Q246" s="21"/>
    </row>
    <row r="247">
      <c r="A247" s="220"/>
      <c r="B247" s="35"/>
      <c r="D247" s="21"/>
      <c r="E247" s="219"/>
      <c r="F247" s="21"/>
      <c r="G247" s="21"/>
      <c r="H247" s="21"/>
      <c r="I247" s="21"/>
      <c r="J247" s="21"/>
      <c r="K247" s="21"/>
      <c r="L247" s="21"/>
      <c r="M247" s="21"/>
      <c r="N247" s="21"/>
      <c r="O247" s="21"/>
      <c r="P247" s="21"/>
      <c r="Q247" s="21"/>
    </row>
    <row r="248">
      <c r="A248" s="220"/>
      <c r="B248" s="35"/>
      <c r="D248" s="21"/>
      <c r="E248" s="219"/>
      <c r="F248" s="21"/>
      <c r="G248" s="21"/>
      <c r="H248" s="21"/>
      <c r="I248" s="21"/>
      <c r="J248" s="21"/>
      <c r="K248" s="21"/>
      <c r="L248" s="21"/>
      <c r="M248" s="21"/>
      <c r="N248" s="21"/>
      <c r="O248" s="21"/>
      <c r="P248" s="21"/>
      <c r="Q248" s="21"/>
    </row>
    <row r="249">
      <c r="A249" s="220"/>
      <c r="B249" s="35"/>
      <c r="D249" s="21"/>
      <c r="E249" s="219"/>
      <c r="F249" s="21"/>
      <c r="G249" s="21"/>
      <c r="H249" s="21"/>
      <c r="I249" s="21"/>
      <c r="J249" s="21"/>
      <c r="K249" s="21"/>
      <c r="L249" s="21"/>
      <c r="M249" s="21"/>
      <c r="N249" s="21"/>
      <c r="O249" s="21"/>
      <c r="P249" s="21"/>
      <c r="Q249" s="21"/>
    </row>
    <row r="250">
      <c r="A250" s="220"/>
      <c r="B250" s="35"/>
      <c r="D250" s="21"/>
      <c r="E250" s="219"/>
      <c r="F250" s="21"/>
      <c r="G250" s="21"/>
      <c r="H250" s="21"/>
      <c r="I250" s="21"/>
      <c r="J250" s="21"/>
      <c r="K250" s="21"/>
      <c r="L250" s="21"/>
      <c r="M250" s="21"/>
      <c r="N250" s="21"/>
      <c r="O250" s="21"/>
      <c r="P250" s="21"/>
      <c r="Q250" s="21"/>
    </row>
    <row r="251">
      <c r="A251" s="220"/>
      <c r="B251" s="35"/>
      <c r="D251" s="21"/>
      <c r="E251" s="219"/>
      <c r="F251" s="21"/>
      <c r="G251" s="21"/>
      <c r="H251" s="21"/>
      <c r="I251" s="21"/>
      <c r="J251" s="21"/>
      <c r="K251" s="21"/>
      <c r="L251" s="21"/>
      <c r="M251" s="21"/>
      <c r="N251" s="21"/>
      <c r="O251" s="21"/>
      <c r="P251" s="21"/>
      <c r="Q251" s="21"/>
    </row>
    <row r="252">
      <c r="A252" s="220"/>
      <c r="B252" s="35"/>
      <c r="D252" s="21"/>
      <c r="E252" s="219"/>
      <c r="F252" s="21"/>
      <c r="G252" s="21"/>
      <c r="H252" s="21"/>
      <c r="I252" s="21"/>
      <c r="J252" s="21"/>
      <c r="K252" s="21"/>
      <c r="L252" s="21"/>
      <c r="M252" s="21"/>
      <c r="N252" s="21"/>
      <c r="O252" s="21"/>
      <c r="P252" s="21"/>
      <c r="Q252" s="21"/>
    </row>
    <row r="253">
      <c r="A253" s="220"/>
      <c r="B253" s="35"/>
      <c r="D253" s="21"/>
      <c r="E253" s="219"/>
      <c r="F253" s="21"/>
      <c r="G253" s="21"/>
      <c r="H253" s="21"/>
      <c r="I253" s="21"/>
      <c r="J253" s="21"/>
      <c r="K253" s="21"/>
      <c r="L253" s="21"/>
      <c r="M253" s="21"/>
      <c r="N253" s="21"/>
      <c r="O253" s="21"/>
      <c r="P253" s="21"/>
      <c r="Q253" s="21"/>
    </row>
    <row r="254">
      <c r="A254" s="220"/>
      <c r="B254" s="35"/>
      <c r="D254" s="21"/>
      <c r="E254" s="219"/>
      <c r="F254" s="21"/>
      <c r="G254" s="21"/>
      <c r="H254" s="21"/>
      <c r="I254" s="21"/>
      <c r="J254" s="21"/>
      <c r="K254" s="21"/>
      <c r="L254" s="21"/>
      <c r="M254" s="21"/>
      <c r="N254" s="21"/>
      <c r="O254" s="21"/>
      <c r="P254" s="21"/>
      <c r="Q254" s="21"/>
    </row>
    <row r="255">
      <c r="A255" s="220"/>
      <c r="B255" s="35"/>
      <c r="D255" s="21"/>
      <c r="E255" s="219"/>
      <c r="F255" s="21"/>
      <c r="G255" s="21"/>
      <c r="H255" s="21"/>
      <c r="I255" s="21"/>
      <c r="J255" s="21"/>
      <c r="K255" s="21"/>
      <c r="L255" s="21"/>
      <c r="M255" s="21"/>
      <c r="N255" s="21"/>
      <c r="O255" s="21"/>
      <c r="P255" s="21"/>
      <c r="Q255" s="21"/>
    </row>
    <row r="256">
      <c r="A256" s="220"/>
      <c r="B256" s="35"/>
      <c r="D256" s="21"/>
      <c r="E256" s="219"/>
      <c r="F256" s="21"/>
      <c r="G256" s="21"/>
      <c r="H256" s="21"/>
      <c r="I256" s="21"/>
      <c r="J256" s="21"/>
      <c r="K256" s="21"/>
      <c r="L256" s="21"/>
      <c r="M256" s="21"/>
      <c r="N256" s="21"/>
      <c r="O256" s="21"/>
      <c r="P256" s="21"/>
      <c r="Q256" s="21"/>
    </row>
    <row r="257">
      <c r="A257" s="220"/>
      <c r="B257" s="35"/>
      <c r="D257" s="21"/>
      <c r="E257" s="219"/>
      <c r="F257" s="21"/>
      <c r="G257" s="21"/>
      <c r="H257" s="21"/>
      <c r="I257" s="21"/>
      <c r="J257" s="21"/>
      <c r="K257" s="21"/>
      <c r="L257" s="21"/>
      <c r="M257" s="21"/>
      <c r="N257" s="21"/>
      <c r="O257" s="21"/>
      <c r="P257" s="21"/>
      <c r="Q257" s="21"/>
    </row>
    <row r="258">
      <c r="A258" s="220"/>
      <c r="B258" s="35"/>
      <c r="D258" s="21"/>
      <c r="E258" s="219"/>
      <c r="F258" s="21"/>
      <c r="G258" s="21"/>
      <c r="H258" s="21"/>
      <c r="I258" s="21"/>
      <c r="J258" s="21"/>
      <c r="K258" s="21"/>
      <c r="L258" s="21"/>
      <c r="M258" s="21"/>
      <c r="N258" s="21"/>
      <c r="O258" s="21"/>
      <c r="P258" s="21"/>
      <c r="Q258" s="21"/>
    </row>
    <row r="259">
      <c r="A259" s="220"/>
      <c r="B259" s="35"/>
      <c r="D259" s="21"/>
      <c r="E259" s="219"/>
      <c r="F259" s="21"/>
      <c r="G259" s="21"/>
      <c r="H259" s="21"/>
      <c r="I259" s="21"/>
      <c r="J259" s="21"/>
      <c r="K259" s="21"/>
      <c r="L259" s="21"/>
      <c r="M259" s="21"/>
      <c r="N259" s="21"/>
      <c r="O259" s="21"/>
      <c r="P259" s="21"/>
      <c r="Q259" s="21"/>
    </row>
    <row r="260">
      <c r="A260" s="220"/>
      <c r="B260" s="35"/>
      <c r="D260" s="21"/>
      <c r="E260" s="219"/>
      <c r="F260" s="21"/>
      <c r="G260" s="21"/>
      <c r="H260" s="21"/>
      <c r="I260" s="21"/>
      <c r="J260" s="21"/>
      <c r="K260" s="21"/>
      <c r="L260" s="21"/>
      <c r="M260" s="21"/>
      <c r="N260" s="21"/>
      <c r="O260" s="21"/>
      <c r="P260" s="21"/>
      <c r="Q260" s="21"/>
    </row>
    <row r="261">
      <c r="A261" s="220"/>
      <c r="B261" s="35"/>
      <c r="D261" s="21"/>
      <c r="E261" s="219"/>
      <c r="F261" s="21"/>
      <c r="G261" s="21"/>
      <c r="H261" s="21"/>
      <c r="I261" s="21"/>
      <c r="J261" s="21"/>
      <c r="K261" s="21"/>
      <c r="L261" s="21"/>
      <c r="M261" s="21"/>
      <c r="N261" s="21"/>
      <c r="O261" s="21"/>
      <c r="P261" s="21"/>
      <c r="Q261" s="21"/>
    </row>
    <row r="262">
      <c r="A262" s="220"/>
      <c r="B262" s="35"/>
      <c r="D262" s="21"/>
      <c r="E262" s="219"/>
      <c r="F262" s="21"/>
      <c r="G262" s="21"/>
      <c r="H262" s="21"/>
      <c r="I262" s="21"/>
      <c r="J262" s="21"/>
      <c r="K262" s="21"/>
      <c r="L262" s="21"/>
      <c r="M262" s="21"/>
      <c r="N262" s="21"/>
      <c r="O262" s="21"/>
      <c r="P262" s="21"/>
      <c r="Q262" s="21"/>
    </row>
    <row r="263">
      <c r="A263" s="220"/>
      <c r="B263" s="35"/>
      <c r="D263" s="21"/>
      <c r="E263" s="219"/>
      <c r="F263" s="21"/>
      <c r="G263" s="21"/>
      <c r="H263" s="21"/>
      <c r="I263" s="21"/>
      <c r="J263" s="21"/>
      <c r="K263" s="21"/>
      <c r="L263" s="21"/>
      <c r="M263" s="21"/>
      <c r="N263" s="21"/>
      <c r="O263" s="21"/>
      <c r="P263" s="21"/>
      <c r="Q263" s="21"/>
    </row>
    <row r="264">
      <c r="A264" s="220"/>
      <c r="B264" s="35"/>
      <c r="D264" s="21"/>
      <c r="E264" s="219"/>
      <c r="F264" s="21"/>
      <c r="G264" s="21"/>
      <c r="H264" s="21"/>
      <c r="I264" s="21"/>
      <c r="J264" s="21"/>
      <c r="K264" s="21"/>
      <c r="L264" s="21"/>
      <c r="M264" s="21"/>
      <c r="N264" s="21"/>
      <c r="O264" s="21"/>
      <c r="P264" s="21"/>
      <c r="Q264" s="21"/>
    </row>
    <row r="265">
      <c r="A265" s="220"/>
      <c r="B265" s="35"/>
      <c r="D265" s="21"/>
      <c r="E265" s="219"/>
      <c r="F265" s="21"/>
      <c r="G265" s="21"/>
      <c r="H265" s="21"/>
      <c r="I265" s="21"/>
      <c r="J265" s="21"/>
      <c r="K265" s="21"/>
      <c r="L265" s="21"/>
      <c r="M265" s="21"/>
      <c r="N265" s="21"/>
      <c r="O265" s="21"/>
      <c r="P265" s="21"/>
      <c r="Q265" s="21"/>
    </row>
    <row r="266">
      <c r="A266" s="220"/>
      <c r="B266" s="35"/>
      <c r="D266" s="21"/>
      <c r="E266" s="219"/>
      <c r="F266" s="21"/>
      <c r="G266" s="21"/>
      <c r="H266" s="21"/>
      <c r="I266" s="21"/>
      <c r="J266" s="21"/>
      <c r="K266" s="21"/>
      <c r="L266" s="21"/>
      <c r="M266" s="21"/>
      <c r="N266" s="21"/>
      <c r="O266" s="21"/>
      <c r="P266" s="21"/>
      <c r="Q266" s="21"/>
    </row>
    <row r="267">
      <c r="A267" s="220"/>
      <c r="B267" s="35"/>
      <c r="D267" s="21"/>
      <c r="E267" s="219"/>
      <c r="F267" s="21"/>
      <c r="G267" s="21"/>
      <c r="H267" s="21"/>
      <c r="I267" s="21"/>
      <c r="J267" s="21"/>
      <c r="K267" s="21"/>
      <c r="L267" s="21"/>
      <c r="M267" s="21"/>
      <c r="N267" s="21"/>
      <c r="O267" s="21"/>
      <c r="P267" s="21"/>
      <c r="Q267" s="21"/>
    </row>
    <row r="268">
      <c r="A268" s="220"/>
      <c r="B268" s="35"/>
      <c r="D268" s="21"/>
      <c r="E268" s="219"/>
      <c r="F268" s="21"/>
      <c r="G268" s="21"/>
      <c r="H268" s="21"/>
      <c r="I268" s="21"/>
      <c r="J268" s="21"/>
      <c r="K268" s="21"/>
      <c r="L268" s="21"/>
      <c r="M268" s="21"/>
      <c r="N268" s="21"/>
      <c r="O268" s="21"/>
      <c r="P268" s="21"/>
      <c r="Q268" s="21"/>
    </row>
    <row r="269">
      <c r="A269" s="220"/>
      <c r="B269" s="35"/>
      <c r="D269" s="21"/>
      <c r="E269" s="219"/>
      <c r="F269" s="21"/>
      <c r="G269" s="21"/>
      <c r="H269" s="21"/>
      <c r="I269" s="21"/>
      <c r="J269" s="21"/>
      <c r="K269" s="21"/>
      <c r="L269" s="21"/>
      <c r="M269" s="21"/>
      <c r="N269" s="21"/>
      <c r="O269" s="21"/>
      <c r="P269" s="21"/>
      <c r="Q269" s="21"/>
    </row>
    <row r="270">
      <c r="A270" s="220"/>
      <c r="B270" s="35"/>
      <c r="D270" s="21"/>
      <c r="E270" s="219"/>
      <c r="F270" s="21"/>
      <c r="G270" s="21"/>
      <c r="H270" s="21"/>
      <c r="I270" s="21"/>
      <c r="J270" s="21"/>
      <c r="K270" s="21"/>
      <c r="L270" s="21"/>
      <c r="M270" s="21"/>
      <c r="N270" s="21"/>
      <c r="O270" s="21"/>
      <c r="P270" s="21"/>
      <c r="Q270" s="21"/>
    </row>
    <row r="271">
      <c r="A271" s="220"/>
      <c r="B271" s="35"/>
      <c r="D271" s="21"/>
      <c r="E271" s="219"/>
      <c r="F271" s="21"/>
      <c r="G271" s="21"/>
      <c r="H271" s="21"/>
      <c r="I271" s="21"/>
      <c r="J271" s="21"/>
      <c r="K271" s="21"/>
      <c r="L271" s="21"/>
      <c r="M271" s="21"/>
      <c r="N271" s="21"/>
      <c r="O271" s="21"/>
      <c r="P271" s="21"/>
      <c r="Q271" s="21"/>
    </row>
    <row r="272">
      <c r="A272" s="220"/>
      <c r="B272" s="35"/>
      <c r="D272" s="21"/>
      <c r="E272" s="219"/>
      <c r="F272" s="21"/>
      <c r="G272" s="21"/>
      <c r="H272" s="21"/>
      <c r="I272" s="21"/>
      <c r="J272" s="21"/>
      <c r="K272" s="21"/>
      <c r="L272" s="21"/>
      <c r="M272" s="21"/>
      <c r="N272" s="21"/>
      <c r="O272" s="21"/>
      <c r="P272" s="21"/>
      <c r="Q272" s="21"/>
    </row>
    <row r="273">
      <c r="A273" s="220"/>
      <c r="B273" s="35"/>
      <c r="D273" s="21"/>
      <c r="E273" s="219"/>
      <c r="F273" s="21"/>
      <c r="G273" s="21"/>
      <c r="H273" s="21"/>
      <c r="I273" s="21"/>
      <c r="J273" s="21"/>
      <c r="K273" s="21"/>
      <c r="L273" s="21"/>
      <c r="M273" s="21"/>
      <c r="N273" s="21"/>
      <c r="O273" s="21"/>
      <c r="P273" s="21"/>
      <c r="Q273" s="21"/>
    </row>
    <row r="274">
      <c r="A274" s="220"/>
      <c r="B274" s="35"/>
      <c r="D274" s="21"/>
      <c r="E274" s="219"/>
      <c r="F274" s="21"/>
      <c r="G274" s="21"/>
      <c r="H274" s="21"/>
      <c r="I274" s="21"/>
      <c r="J274" s="21"/>
      <c r="K274" s="21"/>
      <c r="L274" s="21"/>
      <c r="M274" s="21"/>
      <c r="N274" s="21"/>
      <c r="O274" s="21"/>
      <c r="P274" s="21"/>
      <c r="Q274" s="21"/>
    </row>
    <row r="275">
      <c r="A275" s="220"/>
      <c r="B275" s="35"/>
      <c r="D275" s="21"/>
      <c r="E275" s="219"/>
      <c r="F275" s="21"/>
      <c r="G275" s="21"/>
      <c r="H275" s="21"/>
      <c r="I275" s="21"/>
      <c r="J275" s="21"/>
      <c r="K275" s="21"/>
      <c r="L275" s="21"/>
      <c r="M275" s="21"/>
      <c r="N275" s="21"/>
      <c r="O275" s="21"/>
      <c r="P275" s="21"/>
      <c r="Q275" s="21"/>
    </row>
    <row r="276">
      <c r="A276" s="220"/>
      <c r="B276" s="35"/>
      <c r="D276" s="21"/>
      <c r="E276" s="219"/>
      <c r="F276" s="21"/>
      <c r="G276" s="21"/>
      <c r="H276" s="21"/>
      <c r="I276" s="21"/>
      <c r="J276" s="21"/>
      <c r="K276" s="21"/>
      <c r="L276" s="21"/>
      <c r="M276" s="21"/>
      <c r="N276" s="21"/>
      <c r="O276" s="21"/>
      <c r="P276" s="21"/>
      <c r="Q276" s="21"/>
    </row>
    <row r="277">
      <c r="A277" s="220"/>
      <c r="B277" s="35"/>
      <c r="D277" s="21"/>
      <c r="E277" s="219"/>
      <c r="F277" s="21"/>
      <c r="G277" s="21"/>
      <c r="H277" s="21"/>
      <c r="I277" s="21"/>
      <c r="J277" s="21"/>
      <c r="K277" s="21"/>
      <c r="L277" s="21"/>
      <c r="M277" s="21"/>
      <c r="N277" s="21"/>
      <c r="O277" s="21"/>
      <c r="P277" s="21"/>
      <c r="Q277" s="21"/>
    </row>
    <row r="278">
      <c r="A278" s="220"/>
      <c r="B278" s="35"/>
      <c r="D278" s="21"/>
      <c r="E278" s="219"/>
      <c r="F278" s="21"/>
      <c r="G278" s="21"/>
      <c r="H278" s="21"/>
      <c r="I278" s="21"/>
      <c r="J278" s="21"/>
      <c r="K278" s="21"/>
      <c r="L278" s="21"/>
      <c r="M278" s="21"/>
      <c r="N278" s="21"/>
      <c r="O278" s="21"/>
      <c r="P278" s="21"/>
      <c r="Q278" s="21"/>
    </row>
    <row r="279">
      <c r="A279" s="220"/>
      <c r="B279" s="35"/>
      <c r="D279" s="21"/>
      <c r="E279" s="219"/>
      <c r="F279" s="21"/>
      <c r="G279" s="21"/>
      <c r="H279" s="21"/>
      <c r="I279" s="21"/>
      <c r="J279" s="21"/>
      <c r="K279" s="21"/>
      <c r="L279" s="21"/>
      <c r="M279" s="21"/>
      <c r="N279" s="21"/>
      <c r="O279" s="21"/>
      <c r="P279" s="21"/>
      <c r="Q279" s="21"/>
    </row>
    <row r="280">
      <c r="A280" s="220"/>
      <c r="B280" s="35"/>
      <c r="D280" s="21"/>
      <c r="E280" s="219"/>
      <c r="F280" s="21"/>
      <c r="G280" s="21"/>
      <c r="H280" s="21"/>
      <c r="I280" s="21"/>
      <c r="J280" s="21"/>
      <c r="K280" s="21"/>
      <c r="L280" s="21"/>
      <c r="M280" s="21"/>
      <c r="N280" s="21"/>
      <c r="O280" s="21"/>
      <c r="P280" s="21"/>
      <c r="Q280" s="21"/>
    </row>
    <row r="281">
      <c r="A281" s="220"/>
      <c r="B281" s="35"/>
      <c r="D281" s="21"/>
      <c r="E281" s="219"/>
      <c r="F281" s="21"/>
      <c r="G281" s="21"/>
      <c r="H281" s="21"/>
      <c r="I281" s="21"/>
      <c r="J281" s="21"/>
      <c r="K281" s="21"/>
      <c r="L281" s="21"/>
      <c r="M281" s="21"/>
      <c r="N281" s="21"/>
      <c r="O281" s="21"/>
      <c r="P281" s="21"/>
      <c r="Q281" s="21"/>
    </row>
    <row r="282">
      <c r="A282" s="220"/>
      <c r="B282" s="35"/>
      <c r="D282" s="21"/>
      <c r="E282" s="219"/>
      <c r="F282" s="21"/>
      <c r="G282" s="21"/>
      <c r="H282" s="21"/>
      <c r="I282" s="21"/>
      <c r="J282" s="21"/>
      <c r="K282" s="21"/>
      <c r="L282" s="21"/>
      <c r="M282" s="21"/>
      <c r="N282" s="21"/>
      <c r="O282" s="21"/>
      <c r="P282" s="21"/>
      <c r="Q282" s="21"/>
    </row>
    <row r="283">
      <c r="A283" s="220"/>
      <c r="B283" s="35"/>
      <c r="D283" s="21"/>
      <c r="E283" s="219"/>
      <c r="F283" s="21"/>
      <c r="G283" s="21"/>
      <c r="H283" s="21"/>
      <c r="I283" s="21"/>
      <c r="J283" s="21"/>
      <c r="K283" s="21"/>
      <c r="L283" s="21"/>
      <c r="M283" s="21"/>
      <c r="N283" s="21"/>
      <c r="O283" s="21"/>
      <c r="P283" s="21"/>
      <c r="Q283" s="21"/>
    </row>
    <row r="284">
      <c r="A284" s="220"/>
      <c r="B284" s="35"/>
      <c r="D284" s="21"/>
      <c r="E284" s="219"/>
      <c r="F284" s="21"/>
      <c r="G284" s="21"/>
      <c r="H284" s="21"/>
      <c r="I284" s="21"/>
      <c r="J284" s="21"/>
      <c r="K284" s="21"/>
      <c r="L284" s="21"/>
      <c r="M284" s="21"/>
      <c r="N284" s="21"/>
      <c r="O284" s="21"/>
      <c r="P284" s="21"/>
      <c r="Q284" s="21"/>
    </row>
    <row r="285">
      <c r="A285" s="220"/>
      <c r="B285" s="35"/>
      <c r="D285" s="21"/>
      <c r="E285" s="219"/>
      <c r="F285" s="21"/>
      <c r="G285" s="21"/>
      <c r="H285" s="21"/>
      <c r="I285" s="21"/>
      <c r="J285" s="21"/>
      <c r="K285" s="21"/>
      <c r="L285" s="21"/>
      <c r="M285" s="21"/>
      <c r="N285" s="21"/>
      <c r="O285" s="21"/>
      <c r="P285" s="21"/>
      <c r="Q285" s="21"/>
    </row>
    <row r="286">
      <c r="A286" s="220"/>
      <c r="B286" s="35"/>
      <c r="D286" s="21"/>
      <c r="E286" s="219"/>
      <c r="F286" s="21"/>
      <c r="G286" s="21"/>
      <c r="H286" s="21"/>
      <c r="I286" s="21"/>
      <c r="J286" s="21"/>
      <c r="K286" s="21"/>
      <c r="L286" s="21"/>
      <c r="M286" s="21"/>
      <c r="N286" s="21"/>
      <c r="O286" s="21"/>
      <c r="P286" s="21"/>
      <c r="Q286" s="21"/>
    </row>
    <row r="287">
      <c r="A287" s="220"/>
      <c r="B287" s="35"/>
      <c r="D287" s="21"/>
      <c r="E287" s="219"/>
      <c r="F287" s="21"/>
      <c r="G287" s="21"/>
      <c r="H287" s="21"/>
      <c r="I287" s="21"/>
      <c r="J287" s="21"/>
      <c r="K287" s="21"/>
      <c r="L287" s="21"/>
      <c r="M287" s="21"/>
      <c r="N287" s="21"/>
      <c r="O287" s="21"/>
      <c r="P287" s="21"/>
      <c r="Q287" s="21"/>
    </row>
    <row r="288">
      <c r="A288" s="220"/>
      <c r="B288" s="35"/>
      <c r="D288" s="21"/>
      <c r="E288" s="219"/>
      <c r="F288" s="21"/>
      <c r="G288" s="21"/>
      <c r="H288" s="21"/>
      <c r="I288" s="21"/>
      <c r="J288" s="21"/>
      <c r="K288" s="21"/>
      <c r="L288" s="21"/>
      <c r="M288" s="21"/>
      <c r="N288" s="21"/>
      <c r="O288" s="21"/>
      <c r="P288" s="21"/>
      <c r="Q288" s="21"/>
    </row>
    <row r="289">
      <c r="A289" s="220"/>
      <c r="B289" s="35"/>
      <c r="D289" s="21"/>
      <c r="E289" s="219"/>
      <c r="F289" s="21"/>
      <c r="G289" s="21"/>
      <c r="H289" s="21"/>
      <c r="I289" s="21"/>
      <c r="J289" s="21"/>
      <c r="K289" s="21"/>
      <c r="L289" s="21"/>
      <c r="M289" s="21"/>
      <c r="N289" s="21"/>
      <c r="O289" s="21"/>
      <c r="P289" s="21"/>
      <c r="Q289" s="21"/>
    </row>
    <row r="290">
      <c r="A290" s="220"/>
      <c r="B290" s="35"/>
      <c r="D290" s="21"/>
      <c r="E290" s="219"/>
      <c r="F290" s="21"/>
      <c r="G290" s="21"/>
      <c r="H290" s="21"/>
      <c r="I290" s="21"/>
      <c r="J290" s="21"/>
      <c r="K290" s="21"/>
      <c r="L290" s="21"/>
      <c r="M290" s="21"/>
      <c r="N290" s="21"/>
      <c r="O290" s="21"/>
      <c r="P290" s="21"/>
      <c r="Q290" s="21"/>
    </row>
    <row r="291">
      <c r="A291" s="220"/>
      <c r="B291" s="35"/>
      <c r="D291" s="21"/>
      <c r="E291" s="219"/>
      <c r="F291" s="21"/>
      <c r="G291" s="21"/>
      <c r="H291" s="21"/>
      <c r="I291" s="21"/>
      <c r="J291" s="21"/>
      <c r="K291" s="21"/>
      <c r="L291" s="21"/>
      <c r="M291" s="21"/>
      <c r="N291" s="21"/>
      <c r="O291" s="21"/>
      <c r="P291" s="21"/>
      <c r="Q291" s="21"/>
    </row>
    <row r="292">
      <c r="A292" s="220"/>
      <c r="B292" s="35"/>
      <c r="D292" s="21"/>
      <c r="E292" s="219"/>
      <c r="F292" s="21"/>
      <c r="G292" s="21"/>
      <c r="H292" s="21"/>
      <c r="I292" s="21"/>
      <c r="J292" s="21"/>
      <c r="K292" s="21"/>
      <c r="L292" s="21"/>
      <c r="M292" s="21"/>
      <c r="N292" s="21"/>
      <c r="O292" s="21"/>
      <c r="P292" s="21"/>
      <c r="Q292" s="21"/>
    </row>
    <row r="293">
      <c r="A293" s="220"/>
      <c r="B293" s="35"/>
      <c r="D293" s="21"/>
      <c r="E293" s="219"/>
      <c r="F293" s="21"/>
      <c r="G293" s="21"/>
      <c r="H293" s="21"/>
      <c r="I293" s="21"/>
      <c r="J293" s="21"/>
      <c r="K293" s="21"/>
      <c r="L293" s="21"/>
      <c r="M293" s="21"/>
      <c r="N293" s="21"/>
      <c r="O293" s="21"/>
      <c r="P293" s="21"/>
      <c r="Q293" s="21"/>
    </row>
    <row r="294">
      <c r="A294" s="220"/>
      <c r="B294" s="35"/>
      <c r="D294" s="21"/>
      <c r="E294" s="219"/>
      <c r="F294" s="21"/>
      <c r="G294" s="21"/>
      <c r="H294" s="21"/>
      <c r="I294" s="21"/>
      <c r="J294" s="21"/>
      <c r="K294" s="21"/>
      <c r="L294" s="21"/>
      <c r="M294" s="21"/>
      <c r="N294" s="21"/>
      <c r="O294" s="21"/>
      <c r="P294" s="21"/>
      <c r="Q294" s="21"/>
    </row>
    <row r="295">
      <c r="A295" s="220"/>
      <c r="B295" s="35"/>
      <c r="D295" s="21"/>
      <c r="E295" s="219"/>
      <c r="F295" s="21"/>
      <c r="G295" s="21"/>
      <c r="H295" s="21"/>
      <c r="I295" s="21"/>
      <c r="J295" s="21"/>
      <c r="K295" s="21"/>
      <c r="L295" s="21"/>
      <c r="M295" s="21"/>
      <c r="N295" s="21"/>
      <c r="O295" s="21"/>
      <c r="P295" s="21"/>
      <c r="Q295" s="21"/>
    </row>
    <row r="296">
      <c r="A296" s="220"/>
      <c r="B296" s="35"/>
      <c r="D296" s="21"/>
      <c r="E296" s="219"/>
      <c r="F296" s="21"/>
      <c r="G296" s="21"/>
      <c r="H296" s="21"/>
      <c r="I296" s="21"/>
      <c r="J296" s="21"/>
      <c r="K296" s="21"/>
      <c r="L296" s="21"/>
      <c r="M296" s="21"/>
      <c r="N296" s="21"/>
      <c r="O296" s="21"/>
      <c r="P296" s="21"/>
      <c r="Q296" s="21"/>
    </row>
    <row r="297">
      <c r="A297" s="220"/>
      <c r="B297" s="35"/>
      <c r="D297" s="21"/>
      <c r="E297" s="219"/>
      <c r="F297" s="21"/>
      <c r="G297" s="21"/>
      <c r="H297" s="21"/>
      <c r="I297" s="21"/>
      <c r="J297" s="21"/>
      <c r="K297" s="21"/>
      <c r="L297" s="21"/>
      <c r="M297" s="21"/>
      <c r="N297" s="21"/>
      <c r="O297" s="21"/>
      <c r="P297" s="21"/>
      <c r="Q297" s="21"/>
    </row>
    <row r="298">
      <c r="A298" s="220"/>
      <c r="B298" s="35"/>
      <c r="D298" s="21"/>
      <c r="E298" s="219"/>
      <c r="F298" s="21"/>
      <c r="G298" s="21"/>
      <c r="H298" s="21"/>
      <c r="I298" s="21"/>
      <c r="J298" s="21"/>
      <c r="K298" s="21"/>
      <c r="L298" s="21"/>
      <c r="M298" s="21"/>
      <c r="N298" s="21"/>
      <c r="O298" s="21"/>
      <c r="P298" s="21"/>
      <c r="Q298" s="21"/>
    </row>
    <row r="299">
      <c r="A299" s="220"/>
      <c r="B299" s="35"/>
      <c r="D299" s="21"/>
      <c r="E299" s="219"/>
      <c r="F299" s="21"/>
      <c r="G299" s="21"/>
      <c r="H299" s="21"/>
      <c r="I299" s="21"/>
      <c r="J299" s="21"/>
      <c r="K299" s="21"/>
      <c r="L299" s="21"/>
      <c r="M299" s="21"/>
      <c r="N299" s="21"/>
      <c r="O299" s="21"/>
      <c r="P299" s="21"/>
      <c r="Q299" s="21"/>
    </row>
    <row r="300">
      <c r="A300" s="220"/>
      <c r="B300" s="35"/>
      <c r="D300" s="21"/>
      <c r="E300" s="219"/>
      <c r="F300" s="21"/>
      <c r="G300" s="21"/>
      <c r="H300" s="21"/>
      <c r="I300" s="21"/>
      <c r="J300" s="21"/>
      <c r="K300" s="21"/>
      <c r="L300" s="21"/>
      <c r="M300" s="21"/>
      <c r="N300" s="21"/>
      <c r="O300" s="21"/>
      <c r="P300" s="21"/>
      <c r="Q300" s="21"/>
    </row>
    <row r="301">
      <c r="A301" s="220"/>
      <c r="B301" s="35"/>
      <c r="D301" s="21"/>
      <c r="E301" s="219"/>
      <c r="F301" s="21"/>
      <c r="G301" s="21"/>
      <c r="H301" s="21"/>
      <c r="I301" s="21"/>
      <c r="J301" s="21"/>
      <c r="K301" s="21"/>
      <c r="L301" s="21"/>
      <c r="M301" s="21"/>
      <c r="N301" s="21"/>
      <c r="O301" s="21"/>
      <c r="P301" s="21"/>
      <c r="Q301" s="21"/>
    </row>
    <row r="302">
      <c r="A302" s="220"/>
      <c r="B302" s="35"/>
      <c r="D302" s="21"/>
      <c r="E302" s="219"/>
      <c r="F302" s="21"/>
      <c r="G302" s="21"/>
      <c r="H302" s="21"/>
      <c r="I302" s="21"/>
      <c r="J302" s="21"/>
      <c r="K302" s="21"/>
      <c r="L302" s="21"/>
      <c r="M302" s="21"/>
      <c r="N302" s="21"/>
      <c r="O302" s="21"/>
      <c r="P302" s="21"/>
      <c r="Q302" s="21"/>
    </row>
    <row r="303">
      <c r="A303" s="220"/>
      <c r="B303" s="35"/>
      <c r="D303" s="21"/>
      <c r="E303" s="219"/>
      <c r="F303" s="21"/>
      <c r="G303" s="21"/>
      <c r="H303" s="21"/>
      <c r="I303" s="21"/>
      <c r="J303" s="21"/>
      <c r="K303" s="21"/>
      <c r="L303" s="21"/>
      <c r="M303" s="21"/>
      <c r="N303" s="21"/>
      <c r="O303" s="21"/>
      <c r="P303" s="21"/>
      <c r="Q303" s="21"/>
    </row>
    <row r="304">
      <c r="A304" s="220"/>
      <c r="B304" s="35"/>
      <c r="D304" s="21"/>
      <c r="E304" s="219"/>
      <c r="F304" s="21"/>
      <c r="G304" s="21"/>
      <c r="H304" s="21"/>
      <c r="I304" s="21"/>
      <c r="J304" s="21"/>
      <c r="K304" s="21"/>
      <c r="L304" s="21"/>
      <c r="M304" s="21"/>
      <c r="N304" s="21"/>
      <c r="O304" s="21"/>
      <c r="P304" s="21"/>
      <c r="Q304" s="21"/>
    </row>
    <row r="305">
      <c r="A305" s="220"/>
      <c r="B305" s="35"/>
      <c r="D305" s="21"/>
      <c r="E305" s="219"/>
      <c r="F305" s="21"/>
      <c r="G305" s="21"/>
      <c r="H305" s="21"/>
      <c r="I305" s="21"/>
      <c r="J305" s="21"/>
      <c r="K305" s="21"/>
      <c r="L305" s="21"/>
      <c r="M305" s="21"/>
      <c r="N305" s="21"/>
      <c r="O305" s="21"/>
      <c r="P305" s="21"/>
      <c r="Q305" s="21"/>
    </row>
    <row r="306">
      <c r="A306" s="220"/>
      <c r="B306" s="35"/>
      <c r="D306" s="21"/>
      <c r="E306" s="219"/>
      <c r="F306" s="21"/>
      <c r="G306" s="21"/>
      <c r="H306" s="21"/>
      <c r="I306" s="21"/>
      <c r="J306" s="21"/>
      <c r="K306" s="21"/>
      <c r="L306" s="21"/>
      <c r="M306" s="21"/>
      <c r="N306" s="21"/>
      <c r="O306" s="21"/>
      <c r="P306" s="21"/>
      <c r="Q306" s="21"/>
    </row>
    <row r="307">
      <c r="A307" s="220"/>
      <c r="B307" s="35"/>
      <c r="D307" s="21"/>
      <c r="E307" s="219"/>
      <c r="F307" s="21"/>
      <c r="G307" s="21"/>
      <c r="H307" s="21"/>
      <c r="I307" s="21"/>
      <c r="J307" s="21"/>
      <c r="K307" s="21"/>
      <c r="L307" s="21"/>
      <c r="M307" s="21"/>
      <c r="N307" s="21"/>
      <c r="O307" s="21"/>
      <c r="P307" s="21"/>
      <c r="Q307" s="21"/>
    </row>
    <row r="308">
      <c r="A308" s="220"/>
      <c r="B308" s="35"/>
      <c r="D308" s="21"/>
      <c r="E308" s="219"/>
      <c r="F308" s="21"/>
      <c r="G308" s="21"/>
      <c r="H308" s="21"/>
      <c r="I308" s="21"/>
      <c r="J308" s="21"/>
      <c r="K308" s="21"/>
      <c r="L308" s="21"/>
      <c r="M308" s="21"/>
      <c r="N308" s="21"/>
      <c r="O308" s="21"/>
      <c r="P308" s="21"/>
      <c r="Q308" s="21"/>
    </row>
    <row r="309">
      <c r="A309" s="220"/>
      <c r="B309" s="35"/>
      <c r="D309" s="21"/>
      <c r="E309" s="219"/>
      <c r="F309" s="21"/>
      <c r="G309" s="21"/>
      <c r="H309" s="21"/>
      <c r="I309" s="21"/>
      <c r="J309" s="21"/>
      <c r="K309" s="21"/>
      <c r="L309" s="21"/>
      <c r="M309" s="21"/>
      <c r="N309" s="21"/>
      <c r="O309" s="21"/>
      <c r="P309" s="21"/>
      <c r="Q309" s="21"/>
    </row>
    <row r="310">
      <c r="A310" s="220"/>
      <c r="B310" s="35"/>
      <c r="D310" s="21"/>
      <c r="E310" s="219"/>
      <c r="F310" s="21"/>
      <c r="G310" s="21"/>
      <c r="H310" s="21"/>
      <c r="I310" s="21"/>
      <c r="J310" s="21"/>
      <c r="K310" s="21"/>
      <c r="L310" s="21"/>
      <c r="M310" s="21"/>
      <c r="N310" s="21"/>
      <c r="O310" s="21"/>
      <c r="P310" s="21"/>
      <c r="Q310" s="21"/>
    </row>
    <row r="311">
      <c r="A311" s="220"/>
      <c r="B311" s="35"/>
      <c r="D311" s="21"/>
      <c r="E311" s="219"/>
      <c r="F311" s="21"/>
      <c r="G311" s="21"/>
      <c r="H311" s="21"/>
      <c r="I311" s="21"/>
      <c r="J311" s="21"/>
      <c r="K311" s="21"/>
      <c r="L311" s="21"/>
      <c r="M311" s="21"/>
      <c r="N311" s="21"/>
      <c r="O311" s="21"/>
      <c r="P311" s="21"/>
      <c r="Q311" s="21"/>
    </row>
    <row r="312">
      <c r="A312" s="220"/>
      <c r="B312" s="35"/>
      <c r="D312" s="21"/>
      <c r="E312" s="219"/>
      <c r="F312" s="21"/>
      <c r="G312" s="21"/>
      <c r="H312" s="21"/>
      <c r="I312" s="21"/>
      <c r="J312" s="21"/>
      <c r="K312" s="21"/>
      <c r="L312" s="21"/>
      <c r="M312" s="21"/>
      <c r="N312" s="21"/>
      <c r="O312" s="21"/>
      <c r="P312" s="21"/>
      <c r="Q312" s="21"/>
    </row>
    <row r="313">
      <c r="A313" s="220"/>
      <c r="B313" s="35"/>
      <c r="D313" s="21"/>
      <c r="E313" s="219"/>
      <c r="F313" s="21"/>
      <c r="G313" s="21"/>
      <c r="H313" s="21"/>
      <c r="I313" s="21"/>
      <c r="J313" s="21"/>
      <c r="K313" s="21"/>
      <c r="L313" s="21"/>
      <c r="M313" s="21"/>
      <c r="N313" s="21"/>
      <c r="O313" s="21"/>
      <c r="P313" s="21"/>
      <c r="Q313" s="21"/>
    </row>
    <row r="314">
      <c r="A314" s="220"/>
      <c r="B314" s="35"/>
      <c r="D314" s="21"/>
      <c r="E314" s="219"/>
      <c r="F314" s="21"/>
      <c r="G314" s="21"/>
      <c r="H314" s="21"/>
      <c r="I314" s="21"/>
      <c r="J314" s="21"/>
      <c r="K314" s="21"/>
      <c r="L314" s="21"/>
      <c r="M314" s="21"/>
      <c r="N314" s="21"/>
      <c r="O314" s="21"/>
      <c r="P314" s="21"/>
      <c r="Q314" s="21"/>
    </row>
    <row r="315">
      <c r="A315" s="220"/>
      <c r="B315" s="35"/>
      <c r="D315" s="21"/>
      <c r="E315" s="219"/>
      <c r="F315" s="21"/>
      <c r="G315" s="21"/>
      <c r="H315" s="21"/>
      <c r="I315" s="21"/>
      <c r="J315" s="21"/>
      <c r="K315" s="21"/>
      <c r="L315" s="21"/>
      <c r="M315" s="21"/>
      <c r="N315" s="21"/>
      <c r="O315" s="21"/>
      <c r="P315" s="21"/>
      <c r="Q315" s="21"/>
    </row>
    <row r="316">
      <c r="A316" s="220"/>
      <c r="B316" s="35"/>
      <c r="D316" s="21"/>
      <c r="E316" s="219"/>
      <c r="F316" s="21"/>
      <c r="G316" s="21"/>
      <c r="H316" s="21"/>
      <c r="I316" s="21"/>
      <c r="J316" s="21"/>
      <c r="K316" s="21"/>
      <c r="L316" s="21"/>
      <c r="M316" s="21"/>
      <c r="N316" s="21"/>
      <c r="O316" s="21"/>
      <c r="P316" s="21"/>
      <c r="Q316" s="21"/>
    </row>
    <row r="317">
      <c r="A317" s="220"/>
      <c r="B317" s="35"/>
      <c r="D317" s="21"/>
      <c r="E317" s="219"/>
      <c r="F317" s="21"/>
      <c r="G317" s="21"/>
      <c r="H317" s="21"/>
      <c r="I317" s="21"/>
      <c r="J317" s="21"/>
      <c r="K317" s="21"/>
      <c r="L317" s="21"/>
      <c r="M317" s="21"/>
      <c r="N317" s="21"/>
      <c r="O317" s="21"/>
      <c r="P317" s="21"/>
      <c r="Q317" s="21"/>
    </row>
    <row r="318">
      <c r="A318" s="220"/>
      <c r="B318" s="35"/>
      <c r="D318" s="21"/>
      <c r="E318" s="219"/>
      <c r="F318" s="21"/>
      <c r="G318" s="21"/>
      <c r="H318" s="21"/>
      <c r="I318" s="21"/>
      <c r="J318" s="21"/>
      <c r="K318" s="21"/>
      <c r="L318" s="21"/>
      <c r="M318" s="21"/>
      <c r="N318" s="21"/>
      <c r="O318" s="21"/>
      <c r="P318" s="21"/>
      <c r="Q318" s="21"/>
    </row>
    <row r="319">
      <c r="A319" s="220"/>
      <c r="B319" s="35"/>
      <c r="D319" s="21"/>
      <c r="E319" s="219"/>
      <c r="F319" s="21"/>
      <c r="G319" s="21"/>
      <c r="H319" s="21"/>
      <c r="I319" s="21"/>
      <c r="J319" s="21"/>
      <c r="K319" s="21"/>
      <c r="L319" s="21"/>
      <c r="M319" s="21"/>
      <c r="N319" s="21"/>
      <c r="O319" s="21"/>
      <c r="P319" s="21"/>
      <c r="Q319" s="21"/>
    </row>
    <row r="320">
      <c r="A320" s="220"/>
      <c r="B320" s="35"/>
      <c r="D320" s="21"/>
      <c r="E320" s="219"/>
      <c r="F320" s="21"/>
      <c r="G320" s="21"/>
      <c r="H320" s="21"/>
      <c r="I320" s="21"/>
      <c r="J320" s="21"/>
      <c r="K320" s="21"/>
      <c r="L320" s="21"/>
      <c r="M320" s="21"/>
      <c r="N320" s="21"/>
      <c r="O320" s="21"/>
      <c r="P320" s="21"/>
      <c r="Q320" s="21"/>
    </row>
    <row r="321">
      <c r="A321" s="220"/>
      <c r="B321" s="35"/>
      <c r="D321" s="21"/>
      <c r="E321" s="219"/>
      <c r="F321" s="21"/>
      <c r="G321" s="21"/>
      <c r="H321" s="21"/>
      <c r="I321" s="21"/>
      <c r="J321" s="21"/>
      <c r="K321" s="21"/>
      <c r="L321" s="21"/>
      <c r="M321" s="21"/>
      <c r="N321" s="21"/>
      <c r="O321" s="21"/>
      <c r="P321" s="21"/>
      <c r="Q321" s="21"/>
    </row>
    <row r="322">
      <c r="A322" s="220"/>
      <c r="B322" s="35"/>
      <c r="D322" s="21"/>
      <c r="E322" s="219"/>
      <c r="F322" s="21"/>
      <c r="G322" s="21"/>
      <c r="H322" s="21"/>
      <c r="I322" s="21"/>
      <c r="J322" s="21"/>
      <c r="K322" s="21"/>
      <c r="L322" s="21"/>
      <c r="M322" s="21"/>
      <c r="N322" s="21"/>
      <c r="O322" s="21"/>
      <c r="P322" s="21"/>
      <c r="Q322" s="21"/>
    </row>
    <row r="323">
      <c r="A323" s="220"/>
      <c r="B323" s="35"/>
      <c r="D323" s="21"/>
      <c r="E323" s="219"/>
      <c r="F323" s="21"/>
      <c r="G323" s="21"/>
      <c r="H323" s="21"/>
      <c r="I323" s="21"/>
      <c r="J323" s="21"/>
      <c r="K323" s="21"/>
      <c r="L323" s="21"/>
      <c r="M323" s="21"/>
      <c r="N323" s="21"/>
      <c r="O323" s="21"/>
      <c r="P323" s="21"/>
      <c r="Q323" s="21"/>
    </row>
    <row r="324">
      <c r="A324" s="220"/>
      <c r="B324" s="35"/>
      <c r="D324" s="21"/>
      <c r="E324" s="219"/>
      <c r="F324" s="21"/>
      <c r="G324" s="21"/>
      <c r="H324" s="21"/>
      <c r="I324" s="21"/>
      <c r="J324" s="21"/>
      <c r="K324" s="21"/>
      <c r="L324" s="21"/>
      <c r="M324" s="21"/>
      <c r="N324" s="21"/>
      <c r="O324" s="21"/>
      <c r="P324" s="21"/>
      <c r="Q324" s="21"/>
    </row>
    <row r="325">
      <c r="A325" s="220"/>
      <c r="B325" s="35"/>
      <c r="D325" s="21"/>
      <c r="E325" s="219"/>
      <c r="F325" s="21"/>
      <c r="G325" s="21"/>
      <c r="H325" s="21"/>
      <c r="I325" s="21"/>
      <c r="J325" s="21"/>
      <c r="K325" s="21"/>
      <c r="L325" s="21"/>
      <c r="M325" s="21"/>
      <c r="N325" s="21"/>
      <c r="O325" s="21"/>
      <c r="P325" s="21"/>
      <c r="Q325" s="21"/>
    </row>
    <row r="326">
      <c r="A326" s="220"/>
      <c r="B326" s="35"/>
      <c r="D326" s="21"/>
      <c r="E326" s="219"/>
      <c r="F326" s="21"/>
      <c r="G326" s="21"/>
      <c r="H326" s="21"/>
      <c r="I326" s="21"/>
      <c r="J326" s="21"/>
      <c r="K326" s="21"/>
      <c r="L326" s="21"/>
      <c r="M326" s="21"/>
      <c r="N326" s="21"/>
      <c r="O326" s="21"/>
      <c r="P326" s="21"/>
      <c r="Q326" s="21"/>
    </row>
    <row r="327">
      <c r="A327" s="220"/>
      <c r="B327" s="35"/>
      <c r="D327" s="21"/>
      <c r="E327" s="219"/>
      <c r="F327" s="21"/>
      <c r="G327" s="21"/>
      <c r="H327" s="21"/>
      <c r="I327" s="21"/>
      <c r="J327" s="21"/>
      <c r="K327" s="21"/>
      <c r="L327" s="21"/>
      <c r="M327" s="21"/>
      <c r="N327" s="21"/>
      <c r="O327" s="21"/>
      <c r="P327" s="21"/>
      <c r="Q327" s="21"/>
    </row>
    <row r="328">
      <c r="A328" s="220"/>
      <c r="B328" s="35"/>
      <c r="D328" s="21"/>
      <c r="E328" s="219"/>
      <c r="F328" s="21"/>
      <c r="G328" s="21"/>
      <c r="H328" s="21"/>
      <c r="I328" s="21"/>
      <c r="J328" s="21"/>
      <c r="K328" s="21"/>
      <c r="L328" s="21"/>
      <c r="M328" s="21"/>
      <c r="N328" s="21"/>
      <c r="O328" s="21"/>
      <c r="P328" s="21"/>
      <c r="Q328" s="21"/>
    </row>
    <row r="329">
      <c r="A329" s="220"/>
      <c r="B329" s="35"/>
      <c r="D329" s="21"/>
      <c r="E329" s="219"/>
      <c r="F329" s="21"/>
      <c r="G329" s="21"/>
      <c r="H329" s="21"/>
      <c r="I329" s="21"/>
      <c r="J329" s="21"/>
      <c r="K329" s="21"/>
      <c r="L329" s="21"/>
      <c r="M329" s="21"/>
      <c r="N329" s="21"/>
      <c r="O329" s="21"/>
      <c r="P329" s="21"/>
      <c r="Q329" s="21"/>
    </row>
    <row r="330">
      <c r="A330" s="220"/>
      <c r="B330" s="35"/>
      <c r="D330" s="21"/>
      <c r="E330" s="219"/>
      <c r="F330" s="21"/>
      <c r="G330" s="21"/>
      <c r="H330" s="21"/>
      <c r="I330" s="21"/>
      <c r="J330" s="21"/>
      <c r="K330" s="21"/>
      <c r="L330" s="21"/>
      <c r="M330" s="21"/>
      <c r="N330" s="21"/>
      <c r="O330" s="21"/>
      <c r="P330" s="21"/>
      <c r="Q330" s="21"/>
    </row>
    <row r="331">
      <c r="A331" s="220"/>
      <c r="B331" s="35"/>
      <c r="D331" s="21"/>
      <c r="E331" s="219"/>
      <c r="F331" s="21"/>
      <c r="G331" s="21"/>
      <c r="H331" s="21"/>
      <c r="I331" s="21"/>
      <c r="J331" s="21"/>
      <c r="K331" s="21"/>
      <c r="L331" s="21"/>
      <c r="M331" s="21"/>
      <c r="N331" s="21"/>
      <c r="O331" s="21"/>
      <c r="P331" s="21"/>
      <c r="Q331" s="21"/>
    </row>
    <row r="332">
      <c r="A332" s="220"/>
      <c r="B332" s="35"/>
      <c r="D332" s="21"/>
      <c r="E332" s="219"/>
      <c r="F332" s="21"/>
      <c r="G332" s="21"/>
      <c r="H332" s="21"/>
      <c r="I332" s="21"/>
      <c r="J332" s="21"/>
      <c r="K332" s="21"/>
      <c r="L332" s="21"/>
      <c r="M332" s="21"/>
      <c r="N332" s="21"/>
      <c r="O332" s="21"/>
      <c r="P332" s="21"/>
      <c r="Q332" s="21"/>
    </row>
    <row r="333">
      <c r="A333" s="220"/>
      <c r="B333" s="35"/>
      <c r="D333" s="21"/>
      <c r="E333" s="219"/>
      <c r="F333" s="21"/>
      <c r="G333" s="21"/>
      <c r="H333" s="21"/>
      <c r="I333" s="21"/>
      <c r="J333" s="21"/>
      <c r="K333" s="21"/>
      <c r="L333" s="21"/>
      <c r="M333" s="21"/>
      <c r="N333" s="21"/>
      <c r="O333" s="21"/>
      <c r="P333" s="21"/>
      <c r="Q333" s="21"/>
    </row>
    <row r="334">
      <c r="A334" s="220"/>
      <c r="B334" s="35"/>
      <c r="D334" s="21"/>
      <c r="E334" s="219"/>
      <c r="F334" s="21"/>
      <c r="G334" s="21"/>
      <c r="H334" s="21"/>
      <c r="I334" s="21"/>
      <c r="J334" s="21"/>
      <c r="K334" s="21"/>
      <c r="L334" s="21"/>
      <c r="M334" s="21"/>
      <c r="N334" s="21"/>
      <c r="O334" s="21"/>
      <c r="P334" s="21"/>
      <c r="Q334" s="21"/>
    </row>
    <row r="335">
      <c r="A335" s="220"/>
      <c r="B335" s="35"/>
      <c r="D335" s="21"/>
      <c r="E335" s="219"/>
      <c r="F335" s="21"/>
      <c r="G335" s="21"/>
      <c r="H335" s="21"/>
      <c r="I335" s="21"/>
      <c r="J335" s="21"/>
      <c r="K335" s="21"/>
      <c r="L335" s="21"/>
      <c r="M335" s="21"/>
      <c r="N335" s="21"/>
      <c r="O335" s="21"/>
      <c r="P335" s="21"/>
      <c r="Q335" s="21"/>
    </row>
    <row r="336">
      <c r="A336" s="220"/>
      <c r="B336" s="35"/>
      <c r="D336" s="21"/>
      <c r="E336" s="219"/>
      <c r="F336" s="21"/>
      <c r="G336" s="21"/>
      <c r="H336" s="21"/>
      <c r="I336" s="21"/>
      <c r="J336" s="21"/>
      <c r="K336" s="21"/>
      <c r="L336" s="21"/>
      <c r="M336" s="21"/>
      <c r="N336" s="21"/>
      <c r="O336" s="21"/>
      <c r="P336" s="21"/>
      <c r="Q336" s="21"/>
    </row>
    <row r="337">
      <c r="A337" s="220"/>
      <c r="B337" s="35"/>
      <c r="D337" s="21"/>
      <c r="E337" s="219"/>
      <c r="F337" s="21"/>
      <c r="G337" s="21"/>
      <c r="H337" s="21"/>
      <c r="I337" s="21"/>
      <c r="J337" s="21"/>
      <c r="K337" s="21"/>
      <c r="L337" s="21"/>
      <c r="M337" s="21"/>
      <c r="N337" s="21"/>
      <c r="O337" s="21"/>
      <c r="P337" s="21"/>
      <c r="Q337" s="21"/>
    </row>
    <row r="338">
      <c r="A338" s="220"/>
      <c r="B338" s="35"/>
      <c r="D338" s="21"/>
      <c r="E338" s="219"/>
      <c r="F338" s="21"/>
      <c r="G338" s="21"/>
      <c r="H338" s="21"/>
      <c r="I338" s="21"/>
      <c r="J338" s="21"/>
      <c r="K338" s="21"/>
      <c r="L338" s="21"/>
      <c r="M338" s="21"/>
      <c r="N338" s="21"/>
      <c r="O338" s="21"/>
      <c r="P338" s="21"/>
      <c r="Q338" s="21"/>
    </row>
    <row r="339">
      <c r="A339" s="220"/>
      <c r="B339" s="35"/>
      <c r="D339" s="21"/>
      <c r="E339" s="219"/>
      <c r="F339" s="21"/>
      <c r="G339" s="21"/>
      <c r="H339" s="21"/>
      <c r="I339" s="21"/>
      <c r="J339" s="21"/>
      <c r="K339" s="21"/>
      <c r="L339" s="21"/>
      <c r="M339" s="21"/>
      <c r="N339" s="21"/>
      <c r="O339" s="21"/>
      <c r="P339" s="21"/>
      <c r="Q339" s="21"/>
    </row>
    <row r="340">
      <c r="A340" s="220"/>
      <c r="B340" s="35"/>
      <c r="D340" s="21"/>
      <c r="E340" s="219"/>
      <c r="F340" s="21"/>
      <c r="G340" s="21"/>
      <c r="H340" s="21"/>
      <c r="I340" s="21"/>
      <c r="J340" s="21"/>
      <c r="K340" s="21"/>
      <c r="L340" s="21"/>
      <c r="M340" s="21"/>
      <c r="N340" s="21"/>
      <c r="O340" s="21"/>
      <c r="P340" s="21"/>
      <c r="Q340" s="21"/>
    </row>
    <row r="341">
      <c r="A341" s="220"/>
      <c r="B341" s="35"/>
      <c r="D341" s="21"/>
      <c r="E341" s="219"/>
      <c r="F341" s="21"/>
      <c r="G341" s="21"/>
      <c r="H341" s="21"/>
      <c r="I341" s="21"/>
      <c r="J341" s="21"/>
      <c r="K341" s="21"/>
      <c r="L341" s="21"/>
      <c r="M341" s="21"/>
      <c r="N341" s="21"/>
      <c r="O341" s="21"/>
      <c r="P341" s="21"/>
      <c r="Q341" s="21"/>
    </row>
    <row r="342">
      <c r="A342" s="220"/>
      <c r="B342" s="35"/>
      <c r="D342" s="21"/>
      <c r="E342" s="219"/>
      <c r="F342" s="21"/>
      <c r="G342" s="21"/>
      <c r="H342" s="21"/>
      <c r="I342" s="21"/>
      <c r="J342" s="21"/>
      <c r="K342" s="21"/>
      <c r="L342" s="21"/>
      <c r="M342" s="21"/>
      <c r="N342" s="21"/>
      <c r="O342" s="21"/>
      <c r="P342" s="21"/>
      <c r="Q342" s="21"/>
    </row>
    <row r="343">
      <c r="A343" s="220"/>
      <c r="B343" s="35"/>
      <c r="D343" s="21"/>
      <c r="E343" s="219"/>
      <c r="F343" s="21"/>
      <c r="G343" s="21"/>
      <c r="H343" s="21"/>
      <c r="I343" s="21"/>
      <c r="J343" s="21"/>
      <c r="K343" s="21"/>
      <c r="L343" s="21"/>
      <c r="M343" s="21"/>
      <c r="N343" s="21"/>
      <c r="O343" s="21"/>
      <c r="P343" s="21"/>
      <c r="Q343" s="21"/>
    </row>
    <row r="344">
      <c r="A344" s="220"/>
      <c r="B344" s="35"/>
      <c r="D344" s="21"/>
      <c r="E344" s="219"/>
      <c r="F344" s="21"/>
      <c r="G344" s="21"/>
      <c r="H344" s="21"/>
      <c r="I344" s="21"/>
      <c r="J344" s="21"/>
      <c r="K344" s="21"/>
      <c r="L344" s="21"/>
      <c r="M344" s="21"/>
      <c r="N344" s="21"/>
      <c r="O344" s="21"/>
      <c r="P344" s="21"/>
      <c r="Q344" s="21"/>
    </row>
    <row r="345">
      <c r="A345" s="220"/>
      <c r="B345" s="35"/>
      <c r="D345" s="21"/>
      <c r="E345" s="219"/>
      <c r="F345" s="21"/>
      <c r="G345" s="21"/>
      <c r="H345" s="21"/>
      <c r="I345" s="21"/>
      <c r="J345" s="21"/>
      <c r="K345" s="21"/>
      <c r="L345" s="21"/>
      <c r="M345" s="21"/>
      <c r="N345" s="21"/>
      <c r="O345" s="21"/>
      <c r="P345" s="21"/>
      <c r="Q345" s="21"/>
    </row>
    <row r="346">
      <c r="A346" s="220"/>
      <c r="B346" s="35"/>
      <c r="D346" s="21"/>
      <c r="E346" s="219"/>
      <c r="F346" s="21"/>
      <c r="G346" s="21"/>
      <c r="H346" s="21"/>
      <c r="I346" s="21"/>
      <c r="J346" s="21"/>
      <c r="K346" s="21"/>
      <c r="L346" s="21"/>
      <c r="M346" s="21"/>
      <c r="N346" s="21"/>
      <c r="O346" s="21"/>
      <c r="P346" s="21"/>
      <c r="Q346" s="21"/>
    </row>
    <row r="347">
      <c r="A347" s="220"/>
      <c r="B347" s="35"/>
      <c r="D347" s="21"/>
      <c r="E347" s="219"/>
      <c r="F347" s="21"/>
      <c r="G347" s="21"/>
      <c r="H347" s="21"/>
      <c r="I347" s="21"/>
      <c r="J347" s="21"/>
      <c r="K347" s="21"/>
      <c r="L347" s="21"/>
      <c r="M347" s="21"/>
      <c r="N347" s="21"/>
      <c r="O347" s="21"/>
      <c r="P347" s="21"/>
      <c r="Q347" s="21"/>
    </row>
    <row r="348">
      <c r="A348" s="220"/>
      <c r="B348" s="35"/>
      <c r="D348" s="21"/>
      <c r="E348" s="219"/>
      <c r="F348" s="21"/>
      <c r="G348" s="21"/>
      <c r="H348" s="21"/>
      <c r="I348" s="21"/>
      <c r="J348" s="21"/>
      <c r="K348" s="21"/>
      <c r="L348" s="21"/>
      <c r="M348" s="21"/>
      <c r="N348" s="21"/>
      <c r="O348" s="21"/>
      <c r="P348" s="21"/>
      <c r="Q348" s="21"/>
    </row>
    <row r="349">
      <c r="A349" s="220"/>
      <c r="B349" s="35"/>
      <c r="D349" s="21"/>
      <c r="E349" s="219"/>
      <c r="F349" s="21"/>
      <c r="G349" s="21"/>
      <c r="H349" s="21"/>
      <c r="I349" s="21"/>
      <c r="J349" s="21"/>
      <c r="K349" s="21"/>
      <c r="L349" s="21"/>
      <c r="M349" s="21"/>
      <c r="N349" s="21"/>
      <c r="O349" s="21"/>
      <c r="P349" s="21"/>
      <c r="Q349" s="21"/>
    </row>
    <row r="350">
      <c r="A350" s="220"/>
      <c r="B350" s="35"/>
      <c r="D350" s="21"/>
      <c r="E350" s="219"/>
      <c r="F350" s="21"/>
      <c r="G350" s="21"/>
      <c r="H350" s="21"/>
      <c r="I350" s="21"/>
      <c r="J350" s="21"/>
      <c r="K350" s="21"/>
      <c r="L350" s="21"/>
      <c r="M350" s="21"/>
      <c r="N350" s="21"/>
      <c r="O350" s="21"/>
      <c r="P350" s="21"/>
      <c r="Q350" s="21"/>
    </row>
    <row r="351">
      <c r="A351" s="220"/>
      <c r="B351" s="35"/>
      <c r="D351" s="21"/>
      <c r="E351" s="219"/>
      <c r="F351" s="21"/>
      <c r="G351" s="21"/>
      <c r="H351" s="21"/>
      <c r="I351" s="21"/>
      <c r="J351" s="21"/>
      <c r="K351" s="21"/>
      <c r="L351" s="21"/>
      <c r="M351" s="21"/>
      <c r="N351" s="21"/>
      <c r="O351" s="21"/>
      <c r="P351" s="21"/>
      <c r="Q351" s="21"/>
    </row>
    <row r="352">
      <c r="A352" s="220"/>
      <c r="B352" s="35"/>
      <c r="D352" s="21"/>
      <c r="E352" s="219"/>
      <c r="F352" s="21"/>
      <c r="G352" s="21"/>
      <c r="H352" s="21"/>
      <c r="I352" s="21"/>
      <c r="J352" s="21"/>
      <c r="K352" s="21"/>
      <c r="L352" s="21"/>
      <c r="M352" s="21"/>
      <c r="N352" s="21"/>
      <c r="O352" s="21"/>
      <c r="P352" s="21"/>
      <c r="Q352" s="21"/>
    </row>
    <row r="353">
      <c r="A353" s="220"/>
      <c r="B353" s="35"/>
      <c r="D353" s="21"/>
      <c r="E353" s="219"/>
      <c r="F353" s="21"/>
      <c r="G353" s="21"/>
      <c r="H353" s="21"/>
      <c r="I353" s="21"/>
      <c r="J353" s="21"/>
      <c r="K353" s="21"/>
      <c r="L353" s="21"/>
      <c r="M353" s="21"/>
      <c r="N353" s="21"/>
      <c r="O353" s="21"/>
      <c r="P353" s="21"/>
      <c r="Q353" s="21"/>
    </row>
    <row r="354">
      <c r="A354" s="220"/>
      <c r="B354" s="35"/>
      <c r="D354" s="21"/>
      <c r="E354" s="219"/>
      <c r="F354" s="21"/>
      <c r="G354" s="21"/>
      <c r="H354" s="21"/>
      <c r="I354" s="21"/>
      <c r="J354" s="21"/>
      <c r="K354" s="21"/>
      <c r="L354" s="21"/>
      <c r="M354" s="21"/>
      <c r="N354" s="21"/>
      <c r="O354" s="21"/>
      <c r="P354" s="21"/>
      <c r="Q354" s="21"/>
    </row>
    <row r="355">
      <c r="A355" s="220"/>
      <c r="B355" s="35"/>
      <c r="D355" s="21"/>
      <c r="E355" s="219"/>
      <c r="F355" s="21"/>
      <c r="G355" s="21"/>
      <c r="H355" s="21"/>
      <c r="I355" s="21"/>
      <c r="J355" s="21"/>
      <c r="K355" s="21"/>
      <c r="L355" s="21"/>
      <c r="M355" s="21"/>
      <c r="N355" s="21"/>
      <c r="O355" s="21"/>
      <c r="P355" s="21"/>
      <c r="Q355" s="21"/>
    </row>
    <row r="356">
      <c r="A356" s="220"/>
      <c r="B356" s="35"/>
      <c r="D356" s="21"/>
      <c r="E356" s="219"/>
      <c r="F356" s="21"/>
      <c r="G356" s="21"/>
      <c r="H356" s="21"/>
      <c r="I356" s="21"/>
      <c r="J356" s="21"/>
      <c r="K356" s="21"/>
      <c r="L356" s="21"/>
      <c r="M356" s="21"/>
      <c r="N356" s="21"/>
      <c r="O356" s="21"/>
      <c r="P356" s="21"/>
      <c r="Q356" s="21"/>
    </row>
    <row r="357">
      <c r="A357" s="220"/>
      <c r="B357" s="35"/>
      <c r="D357" s="21"/>
      <c r="E357" s="219"/>
      <c r="F357" s="21"/>
      <c r="G357" s="21"/>
      <c r="H357" s="21"/>
      <c r="I357" s="21"/>
      <c r="J357" s="21"/>
      <c r="K357" s="21"/>
      <c r="L357" s="21"/>
      <c r="M357" s="21"/>
      <c r="N357" s="21"/>
      <c r="O357" s="21"/>
      <c r="P357" s="21"/>
      <c r="Q357" s="21"/>
    </row>
    <row r="358">
      <c r="A358" s="220"/>
      <c r="B358" s="35"/>
      <c r="D358" s="21"/>
      <c r="E358" s="219"/>
      <c r="F358" s="21"/>
      <c r="G358" s="21"/>
      <c r="H358" s="21"/>
      <c r="I358" s="21"/>
      <c r="J358" s="21"/>
      <c r="K358" s="21"/>
      <c r="L358" s="21"/>
      <c r="M358" s="21"/>
      <c r="N358" s="21"/>
      <c r="O358" s="21"/>
      <c r="P358" s="21"/>
      <c r="Q358" s="21"/>
    </row>
    <row r="359">
      <c r="A359" s="220"/>
      <c r="B359" s="35"/>
      <c r="D359" s="21"/>
      <c r="E359" s="219"/>
      <c r="F359" s="21"/>
      <c r="G359" s="21"/>
      <c r="H359" s="21"/>
      <c r="I359" s="21"/>
      <c r="J359" s="21"/>
      <c r="K359" s="21"/>
      <c r="L359" s="21"/>
      <c r="M359" s="21"/>
      <c r="N359" s="21"/>
      <c r="O359" s="21"/>
      <c r="P359" s="21"/>
      <c r="Q359" s="21"/>
    </row>
    <row r="360">
      <c r="A360" s="220"/>
      <c r="B360" s="35"/>
      <c r="D360" s="21"/>
      <c r="E360" s="219"/>
      <c r="F360" s="21"/>
      <c r="G360" s="21"/>
      <c r="H360" s="21"/>
      <c r="I360" s="21"/>
      <c r="J360" s="21"/>
      <c r="K360" s="21"/>
      <c r="L360" s="21"/>
      <c r="M360" s="21"/>
      <c r="N360" s="21"/>
      <c r="O360" s="21"/>
      <c r="P360" s="21"/>
      <c r="Q360" s="21"/>
    </row>
    <row r="361">
      <c r="A361" s="220"/>
      <c r="B361" s="35"/>
      <c r="D361" s="21"/>
      <c r="E361" s="219"/>
      <c r="F361" s="21"/>
      <c r="G361" s="21"/>
      <c r="H361" s="21"/>
      <c r="I361" s="21"/>
      <c r="J361" s="21"/>
      <c r="K361" s="21"/>
      <c r="L361" s="21"/>
      <c r="M361" s="21"/>
      <c r="N361" s="21"/>
      <c r="O361" s="21"/>
      <c r="P361" s="21"/>
      <c r="Q361" s="21"/>
    </row>
    <row r="362">
      <c r="A362" s="220"/>
      <c r="B362" s="35"/>
      <c r="D362" s="21"/>
      <c r="E362" s="219"/>
      <c r="F362" s="21"/>
      <c r="G362" s="21"/>
      <c r="H362" s="21"/>
      <c r="I362" s="21"/>
      <c r="J362" s="21"/>
      <c r="K362" s="21"/>
      <c r="L362" s="21"/>
      <c r="M362" s="21"/>
      <c r="N362" s="21"/>
      <c r="O362" s="21"/>
      <c r="P362" s="21"/>
      <c r="Q362" s="21"/>
    </row>
    <row r="363">
      <c r="A363" s="220"/>
      <c r="B363" s="35"/>
      <c r="D363" s="21"/>
      <c r="E363" s="219"/>
      <c r="F363" s="21"/>
      <c r="G363" s="21"/>
      <c r="H363" s="21"/>
      <c r="I363" s="21"/>
      <c r="J363" s="21"/>
      <c r="K363" s="21"/>
      <c r="L363" s="21"/>
      <c r="M363" s="21"/>
      <c r="N363" s="21"/>
      <c r="O363" s="21"/>
      <c r="P363" s="21"/>
      <c r="Q363" s="21"/>
    </row>
    <row r="364">
      <c r="A364" s="220"/>
      <c r="B364" s="35"/>
      <c r="D364" s="21"/>
      <c r="E364" s="219"/>
      <c r="F364" s="21"/>
      <c r="G364" s="21"/>
      <c r="H364" s="21"/>
      <c r="I364" s="21"/>
      <c r="J364" s="21"/>
      <c r="K364" s="21"/>
      <c r="L364" s="21"/>
      <c r="M364" s="21"/>
      <c r="N364" s="21"/>
      <c r="O364" s="21"/>
      <c r="P364" s="21"/>
      <c r="Q364" s="21"/>
    </row>
    <row r="365">
      <c r="A365" s="220"/>
      <c r="B365" s="35"/>
      <c r="D365" s="21"/>
      <c r="E365" s="219"/>
      <c r="F365" s="21"/>
      <c r="G365" s="21"/>
      <c r="H365" s="21"/>
      <c r="I365" s="21"/>
      <c r="J365" s="21"/>
      <c r="K365" s="21"/>
      <c r="L365" s="21"/>
      <c r="M365" s="21"/>
      <c r="N365" s="21"/>
      <c r="O365" s="21"/>
      <c r="P365" s="21"/>
      <c r="Q365" s="21"/>
    </row>
    <row r="366">
      <c r="A366" s="220"/>
      <c r="B366" s="35"/>
      <c r="D366" s="21"/>
      <c r="E366" s="219"/>
      <c r="F366" s="21"/>
      <c r="G366" s="21"/>
      <c r="H366" s="21"/>
      <c r="I366" s="21"/>
      <c r="J366" s="21"/>
      <c r="K366" s="21"/>
      <c r="L366" s="21"/>
      <c r="M366" s="21"/>
      <c r="N366" s="21"/>
      <c r="O366" s="21"/>
      <c r="P366" s="21"/>
      <c r="Q366" s="21"/>
    </row>
    <row r="367">
      <c r="A367" s="220"/>
      <c r="B367" s="35"/>
      <c r="D367" s="21"/>
      <c r="E367" s="219"/>
      <c r="F367" s="21"/>
      <c r="G367" s="21"/>
      <c r="H367" s="21"/>
      <c r="I367" s="21"/>
      <c r="J367" s="21"/>
      <c r="K367" s="21"/>
      <c r="L367" s="21"/>
      <c r="M367" s="21"/>
      <c r="N367" s="21"/>
      <c r="O367" s="21"/>
      <c r="P367" s="21"/>
      <c r="Q367" s="21"/>
    </row>
    <row r="368">
      <c r="A368" s="220"/>
      <c r="B368" s="35"/>
      <c r="D368" s="21"/>
      <c r="E368" s="219"/>
      <c r="F368" s="21"/>
      <c r="G368" s="21"/>
      <c r="H368" s="21"/>
      <c r="I368" s="21"/>
      <c r="J368" s="21"/>
      <c r="K368" s="21"/>
      <c r="L368" s="21"/>
      <c r="M368" s="21"/>
      <c r="N368" s="21"/>
      <c r="O368" s="21"/>
      <c r="P368" s="21"/>
      <c r="Q368" s="21"/>
    </row>
    <row r="369">
      <c r="A369" s="220"/>
      <c r="B369" s="35"/>
      <c r="D369" s="21"/>
      <c r="E369" s="219"/>
      <c r="F369" s="21"/>
      <c r="G369" s="21"/>
      <c r="H369" s="21"/>
      <c r="I369" s="21"/>
      <c r="J369" s="21"/>
      <c r="K369" s="21"/>
      <c r="L369" s="21"/>
      <c r="M369" s="21"/>
      <c r="N369" s="21"/>
      <c r="O369" s="21"/>
      <c r="P369" s="21"/>
      <c r="Q369" s="21"/>
    </row>
    <row r="370">
      <c r="A370" s="220"/>
      <c r="B370" s="35"/>
      <c r="D370" s="21"/>
      <c r="E370" s="219"/>
      <c r="F370" s="21"/>
      <c r="G370" s="21"/>
      <c r="H370" s="21"/>
      <c r="I370" s="21"/>
      <c r="J370" s="21"/>
      <c r="K370" s="21"/>
      <c r="L370" s="21"/>
      <c r="M370" s="21"/>
      <c r="N370" s="21"/>
      <c r="O370" s="21"/>
      <c r="P370" s="21"/>
      <c r="Q370" s="21"/>
    </row>
    <row r="371">
      <c r="A371" s="220"/>
      <c r="B371" s="35"/>
      <c r="D371" s="21"/>
      <c r="E371" s="219"/>
      <c r="F371" s="21"/>
      <c r="G371" s="21"/>
      <c r="H371" s="21"/>
      <c r="I371" s="21"/>
      <c r="J371" s="21"/>
      <c r="K371" s="21"/>
      <c r="L371" s="21"/>
      <c r="M371" s="21"/>
      <c r="N371" s="21"/>
      <c r="O371" s="21"/>
      <c r="P371" s="21"/>
      <c r="Q371" s="21"/>
    </row>
    <row r="372">
      <c r="A372" s="220"/>
      <c r="B372" s="35"/>
      <c r="D372" s="21"/>
      <c r="E372" s="219"/>
      <c r="F372" s="21"/>
      <c r="G372" s="21"/>
      <c r="H372" s="21"/>
      <c r="I372" s="21"/>
      <c r="J372" s="21"/>
      <c r="K372" s="21"/>
      <c r="L372" s="21"/>
      <c r="M372" s="21"/>
      <c r="N372" s="21"/>
      <c r="O372" s="21"/>
      <c r="P372" s="21"/>
      <c r="Q372" s="21"/>
    </row>
    <row r="373">
      <c r="A373" s="220"/>
      <c r="B373" s="35"/>
      <c r="D373" s="21"/>
      <c r="E373" s="219"/>
      <c r="F373" s="21"/>
      <c r="G373" s="21"/>
      <c r="H373" s="21"/>
      <c r="I373" s="21"/>
      <c r="J373" s="21"/>
      <c r="K373" s="21"/>
      <c r="L373" s="21"/>
      <c r="M373" s="21"/>
      <c r="N373" s="21"/>
      <c r="O373" s="21"/>
      <c r="P373" s="21"/>
      <c r="Q373" s="21"/>
    </row>
    <row r="374">
      <c r="A374" s="220"/>
      <c r="B374" s="35"/>
      <c r="D374" s="21"/>
      <c r="E374" s="219"/>
      <c r="F374" s="21"/>
      <c r="G374" s="21"/>
      <c r="H374" s="21"/>
      <c r="I374" s="21"/>
      <c r="J374" s="21"/>
      <c r="K374" s="21"/>
      <c r="L374" s="21"/>
      <c r="M374" s="21"/>
      <c r="N374" s="21"/>
      <c r="O374" s="21"/>
      <c r="P374" s="21"/>
      <c r="Q374" s="21"/>
    </row>
    <row r="375">
      <c r="A375" s="220"/>
      <c r="B375" s="35"/>
      <c r="D375" s="21"/>
      <c r="E375" s="219"/>
      <c r="F375" s="21"/>
      <c r="G375" s="21"/>
      <c r="H375" s="21"/>
      <c r="I375" s="21"/>
      <c r="J375" s="21"/>
      <c r="K375" s="21"/>
      <c r="L375" s="21"/>
      <c r="M375" s="21"/>
      <c r="N375" s="21"/>
      <c r="O375" s="21"/>
      <c r="P375" s="21"/>
      <c r="Q375" s="21"/>
    </row>
    <row r="376">
      <c r="A376" s="220"/>
      <c r="B376" s="35"/>
      <c r="D376" s="21"/>
      <c r="E376" s="219"/>
      <c r="F376" s="21"/>
      <c r="G376" s="21"/>
      <c r="H376" s="21"/>
      <c r="I376" s="21"/>
      <c r="J376" s="21"/>
      <c r="K376" s="21"/>
      <c r="L376" s="21"/>
      <c r="M376" s="21"/>
      <c r="N376" s="21"/>
      <c r="O376" s="21"/>
      <c r="P376" s="21"/>
      <c r="Q376" s="21"/>
    </row>
    <row r="377">
      <c r="A377" s="220"/>
      <c r="B377" s="35"/>
      <c r="D377" s="21"/>
      <c r="E377" s="219"/>
      <c r="F377" s="21"/>
      <c r="G377" s="21"/>
      <c r="H377" s="21"/>
      <c r="I377" s="21"/>
      <c r="J377" s="21"/>
      <c r="K377" s="21"/>
      <c r="L377" s="21"/>
      <c r="M377" s="21"/>
      <c r="N377" s="21"/>
      <c r="O377" s="21"/>
      <c r="P377" s="21"/>
      <c r="Q377" s="21"/>
    </row>
    <row r="378">
      <c r="A378" s="220"/>
      <c r="B378" s="35"/>
      <c r="D378" s="21"/>
      <c r="E378" s="219"/>
      <c r="F378" s="21"/>
      <c r="G378" s="21"/>
      <c r="H378" s="21"/>
      <c r="I378" s="21"/>
      <c r="J378" s="21"/>
      <c r="K378" s="21"/>
      <c r="L378" s="21"/>
      <c r="M378" s="21"/>
      <c r="N378" s="21"/>
      <c r="O378" s="21"/>
      <c r="P378" s="21"/>
      <c r="Q378" s="21"/>
    </row>
    <row r="379">
      <c r="A379" s="220"/>
      <c r="B379" s="35"/>
      <c r="D379" s="21"/>
      <c r="E379" s="219"/>
      <c r="F379" s="21"/>
      <c r="G379" s="21"/>
      <c r="H379" s="21"/>
      <c r="I379" s="21"/>
      <c r="J379" s="21"/>
      <c r="K379" s="21"/>
      <c r="L379" s="21"/>
      <c r="M379" s="21"/>
      <c r="N379" s="21"/>
      <c r="O379" s="21"/>
      <c r="P379" s="21"/>
      <c r="Q379" s="21"/>
    </row>
    <row r="380">
      <c r="A380" s="220"/>
      <c r="B380" s="35"/>
      <c r="D380" s="21"/>
      <c r="E380" s="219"/>
      <c r="F380" s="21"/>
      <c r="G380" s="21"/>
      <c r="H380" s="21"/>
      <c r="I380" s="21"/>
      <c r="J380" s="21"/>
      <c r="K380" s="21"/>
      <c r="L380" s="21"/>
      <c r="M380" s="21"/>
      <c r="N380" s="21"/>
      <c r="O380" s="21"/>
      <c r="P380" s="21"/>
      <c r="Q380" s="21"/>
    </row>
    <row r="381">
      <c r="A381" s="220"/>
      <c r="B381" s="35"/>
      <c r="D381" s="21"/>
      <c r="E381" s="219"/>
      <c r="F381" s="21"/>
      <c r="G381" s="21"/>
      <c r="H381" s="21"/>
      <c r="I381" s="21"/>
      <c r="J381" s="21"/>
      <c r="K381" s="21"/>
      <c r="L381" s="21"/>
      <c r="M381" s="21"/>
      <c r="N381" s="21"/>
      <c r="O381" s="21"/>
      <c r="P381" s="21"/>
      <c r="Q381" s="21"/>
    </row>
    <row r="382">
      <c r="A382" s="220"/>
      <c r="B382" s="35"/>
      <c r="D382" s="21"/>
      <c r="E382" s="219"/>
      <c r="F382" s="21"/>
      <c r="G382" s="21"/>
      <c r="H382" s="21"/>
      <c r="I382" s="21"/>
      <c r="J382" s="21"/>
      <c r="K382" s="21"/>
      <c r="L382" s="21"/>
      <c r="M382" s="21"/>
      <c r="N382" s="21"/>
      <c r="O382" s="21"/>
      <c r="P382" s="21"/>
      <c r="Q382" s="21"/>
    </row>
    <row r="383">
      <c r="A383" s="220"/>
      <c r="B383" s="35"/>
      <c r="D383" s="21"/>
      <c r="E383" s="219"/>
      <c r="F383" s="21"/>
      <c r="G383" s="21"/>
      <c r="H383" s="21"/>
      <c r="I383" s="21"/>
      <c r="J383" s="21"/>
      <c r="K383" s="21"/>
      <c r="L383" s="21"/>
      <c r="M383" s="21"/>
      <c r="N383" s="21"/>
      <c r="O383" s="21"/>
      <c r="P383" s="21"/>
      <c r="Q383" s="21"/>
    </row>
    <row r="384">
      <c r="A384" s="220"/>
      <c r="B384" s="35"/>
      <c r="D384" s="21"/>
      <c r="E384" s="219"/>
      <c r="F384" s="21"/>
      <c r="G384" s="21"/>
      <c r="H384" s="21"/>
      <c r="I384" s="21"/>
      <c r="J384" s="21"/>
      <c r="K384" s="21"/>
      <c r="L384" s="21"/>
      <c r="M384" s="21"/>
      <c r="N384" s="21"/>
      <c r="O384" s="21"/>
      <c r="P384" s="21"/>
      <c r="Q384" s="21"/>
    </row>
    <row r="385">
      <c r="A385" s="220"/>
      <c r="B385" s="35"/>
      <c r="D385" s="21"/>
      <c r="E385" s="219"/>
      <c r="F385" s="21"/>
      <c r="G385" s="21"/>
      <c r="H385" s="21"/>
      <c r="I385" s="21"/>
      <c r="J385" s="21"/>
      <c r="K385" s="21"/>
      <c r="L385" s="21"/>
      <c r="M385" s="21"/>
      <c r="N385" s="21"/>
      <c r="O385" s="21"/>
      <c r="P385" s="21"/>
      <c r="Q385" s="21"/>
    </row>
    <row r="386">
      <c r="A386" s="220"/>
      <c r="B386" s="35"/>
      <c r="D386" s="21"/>
      <c r="E386" s="219"/>
      <c r="F386" s="21"/>
      <c r="G386" s="21"/>
      <c r="H386" s="21"/>
      <c r="I386" s="21"/>
      <c r="J386" s="21"/>
      <c r="K386" s="21"/>
      <c r="L386" s="21"/>
      <c r="M386" s="21"/>
      <c r="N386" s="21"/>
      <c r="O386" s="21"/>
      <c r="P386" s="21"/>
      <c r="Q386" s="21"/>
    </row>
    <row r="387">
      <c r="A387" s="220"/>
      <c r="B387" s="35"/>
      <c r="D387" s="21"/>
      <c r="E387" s="219"/>
      <c r="F387" s="21"/>
      <c r="G387" s="21"/>
      <c r="H387" s="21"/>
      <c r="I387" s="21"/>
      <c r="J387" s="21"/>
      <c r="K387" s="21"/>
      <c r="L387" s="21"/>
      <c r="M387" s="21"/>
      <c r="N387" s="21"/>
      <c r="O387" s="21"/>
      <c r="P387" s="21"/>
      <c r="Q387" s="21"/>
    </row>
    <row r="388">
      <c r="A388" s="220"/>
      <c r="B388" s="35"/>
      <c r="D388" s="21"/>
      <c r="E388" s="219"/>
      <c r="F388" s="21"/>
      <c r="G388" s="21"/>
      <c r="H388" s="21"/>
      <c r="I388" s="21"/>
      <c r="J388" s="21"/>
      <c r="K388" s="21"/>
      <c r="L388" s="21"/>
      <c r="M388" s="21"/>
      <c r="N388" s="21"/>
      <c r="O388" s="21"/>
      <c r="P388" s="21"/>
      <c r="Q388" s="21"/>
    </row>
    <row r="389">
      <c r="A389" s="220"/>
      <c r="B389" s="35"/>
      <c r="D389" s="21"/>
      <c r="E389" s="219"/>
      <c r="F389" s="21"/>
      <c r="G389" s="21"/>
      <c r="H389" s="21"/>
      <c r="I389" s="21"/>
      <c r="J389" s="21"/>
      <c r="K389" s="21"/>
      <c r="L389" s="21"/>
      <c r="M389" s="21"/>
      <c r="N389" s="21"/>
      <c r="O389" s="21"/>
      <c r="P389" s="21"/>
      <c r="Q389" s="21"/>
    </row>
    <row r="390">
      <c r="A390" s="220"/>
      <c r="B390" s="35"/>
      <c r="D390" s="21"/>
      <c r="E390" s="219"/>
      <c r="F390" s="21"/>
      <c r="G390" s="21"/>
      <c r="H390" s="21"/>
      <c r="I390" s="21"/>
      <c r="J390" s="21"/>
      <c r="K390" s="21"/>
      <c r="L390" s="21"/>
      <c r="M390" s="21"/>
      <c r="N390" s="21"/>
      <c r="O390" s="21"/>
      <c r="P390" s="21"/>
      <c r="Q390" s="21"/>
    </row>
    <row r="391">
      <c r="A391" s="220"/>
      <c r="B391" s="35"/>
      <c r="D391" s="21"/>
      <c r="E391" s="219"/>
      <c r="F391" s="21"/>
      <c r="G391" s="21"/>
      <c r="H391" s="21"/>
      <c r="I391" s="21"/>
      <c r="J391" s="21"/>
      <c r="K391" s="21"/>
      <c r="L391" s="21"/>
      <c r="M391" s="21"/>
      <c r="N391" s="21"/>
      <c r="O391" s="21"/>
      <c r="P391" s="21"/>
      <c r="Q391" s="21"/>
    </row>
    <row r="392">
      <c r="A392" s="220"/>
      <c r="B392" s="35"/>
      <c r="D392" s="21"/>
      <c r="E392" s="219"/>
      <c r="F392" s="21"/>
      <c r="G392" s="21"/>
      <c r="H392" s="21"/>
      <c r="I392" s="21"/>
      <c r="J392" s="21"/>
      <c r="K392" s="21"/>
      <c r="L392" s="21"/>
      <c r="M392" s="21"/>
      <c r="N392" s="21"/>
      <c r="O392" s="21"/>
      <c r="P392" s="21"/>
      <c r="Q392" s="21"/>
    </row>
    <row r="393">
      <c r="A393" s="220"/>
      <c r="B393" s="35"/>
      <c r="D393" s="21"/>
      <c r="E393" s="219"/>
      <c r="F393" s="21"/>
      <c r="G393" s="21"/>
      <c r="H393" s="21"/>
      <c r="I393" s="21"/>
      <c r="J393" s="21"/>
      <c r="K393" s="21"/>
      <c r="L393" s="21"/>
      <c r="M393" s="21"/>
      <c r="N393" s="21"/>
      <c r="O393" s="21"/>
      <c r="P393" s="21"/>
      <c r="Q393" s="21"/>
    </row>
    <row r="394">
      <c r="A394" s="220"/>
      <c r="B394" s="35"/>
      <c r="D394" s="21"/>
      <c r="E394" s="219"/>
      <c r="F394" s="21"/>
      <c r="G394" s="21"/>
      <c r="H394" s="21"/>
      <c r="I394" s="21"/>
      <c r="J394" s="21"/>
      <c r="K394" s="21"/>
      <c r="L394" s="21"/>
      <c r="M394" s="21"/>
      <c r="N394" s="21"/>
      <c r="O394" s="21"/>
      <c r="P394" s="21"/>
      <c r="Q394" s="21"/>
    </row>
    <row r="395">
      <c r="A395" s="220"/>
      <c r="B395" s="35"/>
      <c r="D395" s="21"/>
      <c r="E395" s="219"/>
      <c r="F395" s="21"/>
      <c r="G395" s="21"/>
      <c r="H395" s="21"/>
      <c r="I395" s="21"/>
      <c r="J395" s="21"/>
      <c r="K395" s="21"/>
      <c r="L395" s="21"/>
      <c r="M395" s="21"/>
      <c r="N395" s="21"/>
      <c r="O395" s="21"/>
      <c r="P395" s="21"/>
      <c r="Q395" s="21"/>
    </row>
    <row r="396">
      <c r="A396" s="220"/>
      <c r="B396" s="35"/>
      <c r="D396" s="21"/>
      <c r="E396" s="219"/>
      <c r="F396" s="21"/>
      <c r="G396" s="21"/>
      <c r="H396" s="21"/>
      <c r="I396" s="21"/>
      <c r="J396" s="21"/>
      <c r="K396" s="21"/>
      <c r="L396" s="21"/>
      <c r="M396" s="21"/>
      <c r="N396" s="21"/>
      <c r="O396" s="21"/>
      <c r="P396" s="21"/>
      <c r="Q396" s="21"/>
    </row>
    <row r="397">
      <c r="A397" s="220"/>
      <c r="B397" s="35"/>
      <c r="D397" s="21"/>
      <c r="E397" s="219"/>
      <c r="F397" s="21"/>
      <c r="G397" s="21"/>
      <c r="H397" s="21"/>
      <c r="I397" s="21"/>
      <c r="J397" s="21"/>
      <c r="K397" s="21"/>
      <c r="L397" s="21"/>
      <c r="M397" s="21"/>
      <c r="N397" s="21"/>
      <c r="O397" s="21"/>
      <c r="P397" s="21"/>
      <c r="Q397" s="21"/>
    </row>
    <row r="398">
      <c r="A398" s="220"/>
      <c r="B398" s="35"/>
      <c r="D398" s="21"/>
      <c r="E398" s="219"/>
      <c r="F398" s="21"/>
      <c r="G398" s="21"/>
      <c r="H398" s="21"/>
      <c r="I398" s="21"/>
      <c r="J398" s="21"/>
      <c r="K398" s="21"/>
      <c r="L398" s="21"/>
      <c r="M398" s="21"/>
      <c r="N398" s="21"/>
      <c r="O398" s="21"/>
      <c r="P398" s="21"/>
      <c r="Q398" s="21"/>
    </row>
    <row r="399">
      <c r="A399" s="220"/>
      <c r="B399" s="35"/>
      <c r="D399" s="21"/>
      <c r="E399" s="219"/>
      <c r="F399" s="21"/>
      <c r="G399" s="21"/>
      <c r="H399" s="21"/>
      <c r="I399" s="21"/>
      <c r="J399" s="21"/>
      <c r="K399" s="21"/>
      <c r="L399" s="21"/>
      <c r="M399" s="21"/>
      <c r="N399" s="21"/>
      <c r="O399" s="21"/>
      <c r="P399" s="21"/>
      <c r="Q399" s="21"/>
    </row>
    <row r="400">
      <c r="A400" s="220"/>
      <c r="B400" s="35"/>
      <c r="D400" s="21"/>
      <c r="E400" s="219"/>
      <c r="F400" s="21"/>
      <c r="G400" s="21"/>
      <c r="H400" s="21"/>
      <c r="I400" s="21"/>
      <c r="J400" s="21"/>
      <c r="K400" s="21"/>
      <c r="L400" s="21"/>
      <c r="M400" s="21"/>
      <c r="N400" s="21"/>
      <c r="O400" s="21"/>
      <c r="P400" s="21"/>
      <c r="Q400" s="21"/>
    </row>
    <row r="401">
      <c r="A401" s="220"/>
      <c r="B401" s="35"/>
      <c r="D401" s="21"/>
      <c r="E401" s="219"/>
      <c r="F401" s="21"/>
      <c r="G401" s="21"/>
      <c r="H401" s="21"/>
      <c r="I401" s="21"/>
      <c r="J401" s="21"/>
      <c r="K401" s="21"/>
      <c r="L401" s="21"/>
      <c r="M401" s="21"/>
      <c r="N401" s="21"/>
      <c r="O401" s="21"/>
      <c r="P401" s="21"/>
      <c r="Q401" s="21"/>
    </row>
    <row r="402">
      <c r="A402" s="220"/>
      <c r="B402" s="35"/>
      <c r="D402" s="21"/>
      <c r="E402" s="219"/>
      <c r="F402" s="21"/>
      <c r="G402" s="21"/>
      <c r="H402" s="21"/>
      <c r="I402" s="21"/>
      <c r="J402" s="21"/>
      <c r="K402" s="21"/>
      <c r="L402" s="21"/>
      <c r="M402" s="21"/>
      <c r="N402" s="21"/>
      <c r="O402" s="21"/>
      <c r="P402" s="21"/>
      <c r="Q402" s="21"/>
    </row>
    <row r="403">
      <c r="A403" s="220"/>
      <c r="B403" s="35"/>
      <c r="D403" s="21"/>
      <c r="E403" s="219"/>
      <c r="F403" s="21"/>
      <c r="G403" s="21"/>
      <c r="H403" s="21"/>
      <c r="I403" s="21"/>
      <c r="J403" s="21"/>
      <c r="K403" s="21"/>
      <c r="L403" s="21"/>
      <c r="M403" s="21"/>
      <c r="N403" s="21"/>
      <c r="O403" s="21"/>
      <c r="P403" s="21"/>
      <c r="Q403" s="21"/>
    </row>
    <row r="404">
      <c r="A404" s="220"/>
      <c r="B404" s="35"/>
      <c r="D404" s="21"/>
      <c r="E404" s="219"/>
      <c r="F404" s="21"/>
      <c r="G404" s="21"/>
      <c r="H404" s="21"/>
      <c r="I404" s="21"/>
      <c r="J404" s="21"/>
      <c r="K404" s="21"/>
      <c r="L404" s="21"/>
      <c r="M404" s="21"/>
      <c r="N404" s="21"/>
      <c r="O404" s="21"/>
      <c r="P404" s="21"/>
      <c r="Q404" s="21"/>
    </row>
    <row r="405">
      <c r="A405" s="220"/>
      <c r="B405" s="35"/>
      <c r="D405" s="21"/>
      <c r="E405" s="219"/>
      <c r="F405" s="21"/>
      <c r="G405" s="21"/>
      <c r="H405" s="21"/>
      <c r="I405" s="21"/>
      <c r="J405" s="21"/>
      <c r="K405" s="21"/>
      <c r="L405" s="21"/>
      <c r="M405" s="21"/>
      <c r="N405" s="21"/>
      <c r="O405" s="21"/>
      <c r="P405" s="21"/>
      <c r="Q405" s="21"/>
    </row>
    <row r="406">
      <c r="A406" s="220"/>
      <c r="B406" s="35"/>
      <c r="D406" s="21"/>
      <c r="E406" s="219"/>
      <c r="F406" s="21"/>
      <c r="G406" s="21"/>
      <c r="H406" s="21"/>
      <c r="I406" s="21"/>
      <c r="J406" s="21"/>
      <c r="K406" s="21"/>
      <c r="L406" s="21"/>
      <c r="M406" s="21"/>
      <c r="N406" s="21"/>
      <c r="O406" s="21"/>
      <c r="P406" s="21"/>
      <c r="Q406" s="21"/>
    </row>
    <row r="407">
      <c r="A407" s="220"/>
      <c r="B407" s="35"/>
      <c r="D407" s="21"/>
      <c r="E407" s="219"/>
      <c r="F407" s="21"/>
      <c r="G407" s="21"/>
      <c r="H407" s="21"/>
      <c r="I407" s="21"/>
      <c r="J407" s="21"/>
      <c r="K407" s="21"/>
      <c r="L407" s="21"/>
      <c r="M407" s="21"/>
      <c r="N407" s="21"/>
      <c r="O407" s="21"/>
      <c r="P407" s="21"/>
      <c r="Q407" s="21"/>
    </row>
    <row r="408">
      <c r="A408" s="220"/>
      <c r="B408" s="35"/>
      <c r="D408" s="21"/>
      <c r="E408" s="219"/>
      <c r="F408" s="21"/>
      <c r="G408" s="21"/>
      <c r="H408" s="21"/>
      <c r="I408" s="21"/>
      <c r="J408" s="21"/>
      <c r="K408" s="21"/>
      <c r="L408" s="21"/>
      <c r="M408" s="21"/>
      <c r="N408" s="21"/>
      <c r="O408" s="21"/>
      <c r="P408" s="21"/>
      <c r="Q408" s="21"/>
    </row>
    <row r="409">
      <c r="A409" s="220"/>
      <c r="B409" s="35"/>
      <c r="D409" s="21"/>
      <c r="E409" s="219"/>
      <c r="F409" s="21"/>
      <c r="G409" s="21"/>
      <c r="H409" s="21"/>
      <c r="I409" s="21"/>
      <c r="J409" s="21"/>
      <c r="K409" s="21"/>
      <c r="L409" s="21"/>
      <c r="M409" s="21"/>
      <c r="N409" s="21"/>
      <c r="O409" s="21"/>
      <c r="P409" s="21"/>
      <c r="Q409" s="21"/>
    </row>
    <row r="410">
      <c r="A410" s="220"/>
      <c r="B410" s="35"/>
      <c r="D410" s="21"/>
      <c r="E410" s="219"/>
      <c r="F410" s="21"/>
      <c r="G410" s="21"/>
      <c r="H410" s="21"/>
      <c r="I410" s="21"/>
      <c r="J410" s="21"/>
      <c r="K410" s="21"/>
      <c r="L410" s="21"/>
      <c r="M410" s="21"/>
      <c r="N410" s="21"/>
      <c r="O410" s="21"/>
      <c r="P410" s="21"/>
      <c r="Q410" s="21"/>
    </row>
    <row r="411">
      <c r="A411" s="220"/>
      <c r="B411" s="35"/>
      <c r="D411" s="21"/>
      <c r="E411" s="219"/>
      <c r="F411" s="21"/>
      <c r="G411" s="21"/>
      <c r="H411" s="21"/>
      <c r="I411" s="21"/>
      <c r="J411" s="21"/>
      <c r="K411" s="21"/>
      <c r="L411" s="21"/>
      <c r="M411" s="21"/>
      <c r="N411" s="21"/>
      <c r="O411" s="21"/>
      <c r="P411" s="21"/>
      <c r="Q411" s="21"/>
    </row>
    <row r="412">
      <c r="A412" s="220"/>
      <c r="B412" s="35"/>
      <c r="D412" s="21"/>
      <c r="E412" s="219"/>
      <c r="F412" s="21"/>
      <c r="G412" s="21"/>
      <c r="H412" s="21"/>
      <c r="I412" s="21"/>
      <c r="J412" s="21"/>
      <c r="K412" s="21"/>
      <c r="L412" s="21"/>
      <c r="M412" s="21"/>
      <c r="N412" s="21"/>
      <c r="O412" s="21"/>
      <c r="P412" s="21"/>
      <c r="Q412" s="21"/>
    </row>
    <row r="413">
      <c r="A413" s="220"/>
      <c r="B413" s="35"/>
      <c r="D413" s="21"/>
      <c r="E413" s="219"/>
      <c r="F413" s="21"/>
      <c r="G413" s="21"/>
      <c r="H413" s="21"/>
      <c r="I413" s="21"/>
      <c r="J413" s="21"/>
      <c r="K413" s="21"/>
      <c r="L413" s="21"/>
      <c r="M413" s="21"/>
      <c r="N413" s="21"/>
      <c r="O413" s="21"/>
      <c r="P413" s="21"/>
      <c r="Q413" s="21"/>
    </row>
    <row r="414">
      <c r="A414" s="220"/>
      <c r="B414" s="35"/>
      <c r="D414" s="21"/>
      <c r="E414" s="219"/>
      <c r="F414" s="21"/>
      <c r="G414" s="21"/>
      <c r="H414" s="21"/>
      <c r="I414" s="21"/>
      <c r="J414" s="21"/>
      <c r="K414" s="21"/>
      <c r="L414" s="21"/>
      <c r="M414" s="21"/>
      <c r="N414" s="21"/>
      <c r="O414" s="21"/>
      <c r="P414" s="21"/>
      <c r="Q414" s="21"/>
    </row>
    <row r="415">
      <c r="A415" s="220"/>
      <c r="B415" s="35"/>
      <c r="D415" s="21"/>
      <c r="E415" s="219"/>
      <c r="F415" s="21"/>
      <c r="G415" s="21"/>
      <c r="H415" s="21"/>
      <c r="I415" s="21"/>
      <c r="J415" s="21"/>
      <c r="K415" s="21"/>
      <c r="L415" s="21"/>
      <c r="M415" s="21"/>
      <c r="N415" s="21"/>
      <c r="O415" s="21"/>
      <c r="P415" s="21"/>
      <c r="Q415" s="21"/>
    </row>
    <row r="416">
      <c r="A416" s="220"/>
      <c r="B416" s="35"/>
      <c r="D416" s="21"/>
      <c r="E416" s="219"/>
      <c r="F416" s="21"/>
      <c r="G416" s="21"/>
      <c r="H416" s="21"/>
      <c r="I416" s="21"/>
      <c r="J416" s="21"/>
      <c r="K416" s="21"/>
      <c r="L416" s="21"/>
      <c r="M416" s="21"/>
      <c r="N416" s="21"/>
      <c r="O416" s="21"/>
      <c r="P416" s="21"/>
      <c r="Q416" s="21"/>
    </row>
    <row r="417">
      <c r="A417" s="220"/>
      <c r="B417" s="35"/>
      <c r="D417" s="21"/>
      <c r="E417" s="219"/>
      <c r="F417" s="21"/>
      <c r="G417" s="21"/>
      <c r="H417" s="21"/>
      <c r="I417" s="21"/>
      <c r="J417" s="21"/>
      <c r="K417" s="21"/>
      <c r="L417" s="21"/>
      <c r="M417" s="21"/>
      <c r="N417" s="21"/>
      <c r="O417" s="21"/>
      <c r="P417" s="21"/>
      <c r="Q417" s="21"/>
    </row>
    <row r="418">
      <c r="A418" s="220"/>
      <c r="B418" s="35"/>
      <c r="D418" s="21"/>
      <c r="E418" s="219"/>
      <c r="F418" s="21"/>
      <c r="G418" s="21"/>
      <c r="H418" s="21"/>
      <c r="I418" s="21"/>
      <c r="J418" s="21"/>
      <c r="K418" s="21"/>
      <c r="L418" s="21"/>
      <c r="M418" s="21"/>
      <c r="N418" s="21"/>
      <c r="O418" s="21"/>
      <c r="P418" s="21"/>
      <c r="Q418" s="21"/>
    </row>
    <row r="419">
      <c r="A419" s="220"/>
      <c r="B419" s="35"/>
      <c r="D419" s="21"/>
      <c r="E419" s="219"/>
      <c r="F419" s="21"/>
      <c r="G419" s="21"/>
      <c r="H419" s="21"/>
      <c r="I419" s="21"/>
      <c r="J419" s="21"/>
      <c r="K419" s="21"/>
      <c r="L419" s="21"/>
      <c r="M419" s="21"/>
      <c r="N419" s="21"/>
      <c r="O419" s="21"/>
      <c r="P419" s="21"/>
      <c r="Q419" s="21"/>
    </row>
    <row r="420">
      <c r="A420" s="220"/>
      <c r="B420" s="35"/>
      <c r="D420" s="21"/>
      <c r="E420" s="219"/>
      <c r="F420" s="21"/>
      <c r="G420" s="21"/>
      <c r="H420" s="21"/>
      <c r="I420" s="21"/>
      <c r="J420" s="21"/>
      <c r="K420" s="21"/>
      <c r="L420" s="21"/>
      <c r="M420" s="21"/>
      <c r="N420" s="21"/>
      <c r="O420" s="21"/>
      <c r="P420" s="21"/>
      <c r="Q420" s="21"/>
    </row>
    <row r="421">
      <c r="A421" s="220"/>
      <c r="B421" s="35"/>
      <c r="D421" s="21"/>
      <c r="E421" s="219"/>
      <c r="F421" s="21"/>
      <c r="G421" s="21"/>
      <c r="H421" s="21"/>
      <c r="I421" s="21"/>
      <c r="J421" s="21"/>
      <c r="K421" s="21"/>
      <c r="L421" s="21"/>
      <c r="M421" s="21"/>
      <c r="N421" s="21"/>
      <c r="O421" s="21"/>
      <c r="P421" s="21"/>
      <c r="Q421" s="21"/>
    </row>
    <row r="422">
      <c r="A422" s="220"/>
      <c r="B422" s="35"/>
      <c r="D422" s="21"/>
      <c r="E422" s="219"/>
      <c r="F422" s="21"/>
      <c r="G422" s="21"/>
      <c r="H422" s="21"/>
      <c r="I422" s="21"/>
      <c r="J422" s="21"/>
      <c r="K422" s="21"/>
      <c r="L422" s="21"/>
      <c r="M422" s="21"/>
      <c r="N422" s="21"/>
      <c r="O422" s="21"/>
      <c r="P422" s="21"/>
      <c r="Q422" s="21"/>
    </row>
    <row r="423">
      <c r="A423" s="220"/>
      <c r="B423" s="35"/>
      <c r="D423" s="21"/>
      <c r="E423" s="219"/>
      <c r="F423" s="21"/>
      <c r="G423" s="21"/>
      <c r="H423" s="21"/>
      <c r="I423" s="21"/>
      <c r="J423" s="21"/>
      <c r="K423" s="21"/>
      <c r="L423" s="21"/>
      <c r="M423" s="21"/>
      <c r="N423" s="21"/>
      <c r="O423" s="21"/>
      <c r="P423" s="21"/>
      <c r="Q423" s="21"/>
    </row>
    <row r="424">
      <c r="A424" s="220"/>
      <c r="B424" s="35"/>
      <c r="D424" s="21"/>
      <c r="E424" s="219"/>
      <c r="F424" s="21"/>
      <c r="G424" s="21"/>
      <c r="H424" s="21"/>
      <c r="I424" s="21"/>
      <c r="J424" s="21"/>
      <c r="K424" s="21"/>
      <c r="L424" s="21"/>
      <c r="M424" s="21"/>
      <c r="N424" s="21"/>
      <c r="O424" s="21"/>
      <c r="P424" s="21"/>
      <c r="Q424" s="21"/>
    </row>
    <row r="425">
      <c r="A425" s="220"/>
      <c r="B425" s="35"/>
      <c r="D425" s="21"/>
      <c r="E425" s="219"/>
      <c r="F425" s="21"/>
      <c r="G425" s="21"/>
      <c r="H425" s="21"/>
      <c r="I425" s="21"/>
      <c r="J425" s="21"/>
      <c r="K425" s="21"/>
      <c r="L425" s="21"/>
      <c r="M425" s="21"/>
      <c r="N425" s="21"/>
      <c r="O425" s="21"/>
      <c r="P425" s="21"/>
      <c r="Q425" s="21"/>
    </row>
    <row r="426">
      <c r="A426" s="220"/>
      <c r="B426" s="35"/>
      <c r="D426" s="21"/>
      <c r="E426" s="219"/>
      <c r="F426" s="21"/>
      <c r="G426" s="21"/>
      <c r="H426" s="21"/>
      <c r="I426" s="21"/>
      <c r="J426" s="21"/>
      <c r="K426" s="21"/>
      <c r="L426" s="21"/>
      <c r="M426" s="21"/>
      <c r="N426" s="21"/>
      <c r="O426" s="21"/>
      <c r="P426" s="21"/>
      <c r="Q426" s="21"/>
    </row>
    <row r="427">
      <c r="A427" s="220"/>
      <c r="B427" s="35"/>
      <c r="D427" s="21"/>
      <c r="E427" s="219"/>
      <c r="F427" s="21"/>
      <c r="G427" s="21"/>
      <c r="H427" s="21"/>
      <c r="I427" s="21"/>
      <c r="J427" s="21"/>
      <c r="K427" s="21"/>
      <c r="L427" s="21"/>
      <c r="M427" s="21"/>
      <c r="N427" s="21"/>
      <c r="O427" s="21"/>
      <c r="P427" s="21"/>
      <c r="Q427" s="21"/>
    </row>
    <row r="428">
      <c r="A428" s="220"/>
      <c r="B428" s="35"/>
      <c r="D428" s="21"/>
      <c r="E428" s="219"/>
      <c r="F428" s="21"/>
      <c r="G428" s="21"/>
      <c r="H428" s="21"/>
      <c r="I428" s="21"/>
      <c r="J428" s="21"/>
      <c r="K428" s="21"/>
      <c r="L428" s="21"/>
      <c r="M428" s="21"/>
      <c r="N428" s="21"/>
      <c r="O428" s="21"/>
      <c r="P428" s="21"/>
      <c r="Q428" s="21"/>
    </row>
    <row r="429">
      <c r="A429" s="220"/>
      <c r="B429" s="35"/>
      <c r="D429" s="21"/>
      <c r="E429" s="219"/>
      <c r="F429" s="21"/>
      <c r="G429" s="21"/>
      <c r="H429" s="21"/>
      <c r="I429" s="21"/>
      <c r="J429" s="21"/>
      <c r="K429" s="21"/>
      <c r="L429" s="21"/>
      <c r="M429" s="21"/>
      <c r="N429" s="21"/>
      <c r="O429" s="21"/>
      <c r="P429" s="21"/>
      <c r="Q429" s="21"/>
    </row>
    <row r="430">
      <c r="A430" s="220"/>
      <c r="B430" s="35"/>
      <c r="D430" s="21"/>
      <c r="E430" s="219"/>
      <c r="F430" s="21"/>
      <c r="G430" s="21"/>
      <c r="H430" s="21"/>
      <c r="I430" s="21"/>
      <c r="J430" s="21"/>
      <c r="K430" s="21"/>
      <c r="L430" s="21"/>
      <c r="M430" s="21"/>
      <c r="N430" s="21"/>
      <c r="O430" s="21"/>
      <c r="P430" s="21"/>
      <c r="Q430" s="21"/>
    </row>
    <row r="431">
      <c r="A431" s="220"/>
      <c r="B431" s="35"/>
      <c r="D431" s="21"/>
      <c r="E431" s="219"/>
      <c r="F431" s="21"/>
      <c r="G431" s="21"/>
      <c r="H431" s="21"/>
      <c r="I431" s="21"/>
      <c r="J431" s="21"/>
      <c r="K431" s="21"/>
      <c r="L431" s="21"/>
      <c r="M431" s="21"/>
      <c r="N431" s="21"/>
      <c r="O431" s="21"/>
      <c r="P431" s="21"/>
      <c r="Q431" s="21"/>
    </row>
    <row r="432">
      <c r="A432" s="220"/>
      <c r="B432" s="35"/>
      <c r="D432" s="21"/>
      <c r="E432" s="219"/>
      <c r="F432" s="21"/>
      <c r="G432" s="21"/>
      <c r="H432" s="21"/>
      <c r="I432" s="21"/>
      <c r="J432" s="21"/>
      <c r="K432" s="21"/>
      <c r="L432" s="21"/>
      <c r="M432" s="21"/>
      <c r="N432" s="21"/>
      <c r="O432" s="21"/>
      <c r="P432" s="21"/>
      <c r="Q432" s="21"/>
    </row>
    <row r="433">
      <c r="A433" s="220"/>
      <c r="B433" s="35"/>
      <c r="D433" s="21"/>
      <c r="E433" s="219"/>
      <c r="F433" s="21"/>
      <c r="G433" s="21"/>
      <c r="H433" s="21"/>
      <c r="I433" s="21"/>
      <c r="J433" s="21"/>
      <c r="K433" s="21"/>
      <c r="L433" s="21"/>
      <c r="M433" s="21"/>
      <c r="N433" s="21"/>
      <c r="O433" s="21"/>
      <c r="P433" s="21"/>
      <c r="Q433" s="21"/>
    </row>
    <row r="434">
      <c r="A434" s="220"/>
      <c r="B434" s="35"/>
      <c r="D434" s="21"/>
      <c r="E434" s="219"/>
      <c r="F434" s="21"/>
      <c r="G434" s="21"/>
      <c r="H434" s="21"/>
      <c r="I434" s="21"/>
      <c r="J434" s="21"/>
      <c r="K434" s="21"/>
      <c r="L434" s="21"/>
      <c r="M434" s="21"/>
      <c r="N434" s="21"/>
      <c r="O434" s="21"/>
      <c r="P434" s="21"/>
      <c r="Q434" s="21"/>
    </row>
    <row r="435">
      <c r="A435" s="220"/>
      <c r="B435" s="35"/>
      <c r="D435" s="21"/>
      <c r="E435" s="219"/>
      <c r="F435" s="21"/>
      <c r="G435" s="21"/>
      <c r="H435" s="21"/>
      <c r="I435" s="21"/>
      <c r="J435" s="21"/>
      <c r="K435" s="21"/>
      <c r="L435" s="21"/>
      <c r="M435" s="21"/>
      <c r="N435" s="21"/>
      <c r="O435" s="21"/>
      <c r="P435" s="21"/>
      <c r="Q435" s="21"/>
    </row>
    <row r="436">
      <c r="A436" s="220"/>
      <c r="B436" s="35"/>
      <c r="D436" s="21"/>
      <c r="E436" s="219"/>
      <c r="F436" s="21"/>
      <c r="G436" s="21"/>
      <c r="H436" s="21"/>
      <c r="I436" s="21"/>
      <c r="J436" s="21"/>
      <c r="K436" s="21"/>
      <c r="L436" s="21"/>
      <c r="M436" s="21"/>
      <c r="N436" s="21"/>
      <c r="O436" s="21"/>
      <c r="P436" s="21"/>
      <c r="Q436" s="21"/>
    </row>
    <row r="437">
      <c r="A437" s="220"/>
      <c r="B437" s="35"/>
      <c r="D437" s="21"/>
      <c r="E437" s="219"/>
      <c r="F437" s="21"/>
      <c r="G437" s="21"/>
      <c r="H437" s="21"/>
      <c r="I437" s="21"/>
      <c r="J437" s="21"/>
      <c r="K437" s="21"/>
      <c r="L437" s="21"/>
      <c r="M437" s="21"/>
      <c r="N437" s="21"/>
      <c r="O437" s="21"/>
      <c r="P437" s="21"/>
      <c r="Q437" s="21"/>
    </row>
    <row r="438">
      <c r="A438" s="220"/>
      <c r="B438" s="35"/>
      <c r="D438" s="21"/>
      <c r="E438" s="219"/>
      <c r="F438" s="21"/>
      <c r="G438" s="21"/>
      <c r="H438" s="21"/>
      <c r="I438" s="21"/>
      <c r="J438" s="21"/>
      <c r="K438" s="21"/>
      <c r="L438" s="21"/>
      <c r="M438" s="21"/>
      <c r="N438" s="21"/>
      <c r="O438" s="21"/>
      <c r="P438" s="21"/>
      <c r="Q438" s="21"/>
    </row>
    <row r="439">
      <c r="A439" s="220"/>
      <c r="B439" s="35"/>
      <c r="D439" s="21"/>
      <c r="E439" s="219"/>
      <c r="F439" s="21"/>
      <c r="G439" s="21"/>
      <c r="H439" s="21"/>
      <c r="I439" s="21"/>
      <c r="J439" s="21"/>
      <c r="K439" s="21"/>
      <c r="L439" s="21"/>
      <c r="M439" s="21"/>
      <c r="N439" s="21"/>
      <c r="O439" s="21"/>
      <c r="P439" s="21"/>
      <c r="Q439" s="21"/>
    </row>
    <row r="440">
      <c r="A440" s="220"/>
      <c r="B440" s="35"/>
      <c r="D440" s="21"/>
      <c r="E440" s="219"/>
      <c r="F440" s="21"/>
      <c r="G440" s="21"/>
      <c r="H440" s="21"/>
      <c r="I440" s="21"/>
      <c r="J440" s="21"/>
      <c r="K440" s="21"/>
      <c r="L440" s="21"/>
      <c r="M440" s="21"/>
      <c r="N440" s="21"/>
      <c r="O440" s="21"/>
      <c r="P440" s="21"/>
      <c r="Q440" s="21"/>
    </row>
    <row r="441">
      <c r="A441" s="220"/>
      <c r="B441" s="35"/>
      <c r="D441" s="21"/>
      <c r="E441" s="219"/>
      <c r="F441" s="21"/>
      <c r="G441" s="21"/>
      <c r="H441" s="21"/>
      <c r="I441" s="21"/>
      <c r="J441" s="21"/>
      <c r="K441" s="21"/>
      <c r="L441" s="21"/>
      <c r="M441" s="21"/>
      <c r="N441" s="21"/>
      <c r="O441" s="21"/>
      <c r="P441" s="21"/>
      <c r="Q441" s="21"/>
    </row>
    <row r="442">
      <c r="A442" s="220"/>
      <c r="B442" s="35"/>
      <c r="D442" s="21"/>
      <c r="E442" s="219"/>
      <c r="F442" s="21"/>
      <c r="G442" s="21"/>
      <c r="H442" s="21"/>
      <c r="I442" s="21"/>
      <c r="J442" s="21"/>
      <c r="K442" s="21"/>
      <c r="L442" s="21"/>
      <c r="M442" s="21"/>
      <c r="N442" s="21"/>
      <c r="O442" s="21"/>
      <c r="P442" s="21"/>
      <c r="Q442" s="21"/>
    </row>
    <row r="443">
      <c r="A443" s="220"/>
      <c r="B443" s="35"/>
      <c r="D443" s="21"/>
      <c r="E443" s="219"/>
      <c r="F443" s="21"/>
      <c r="G443" s="21"/>
      <c r="H443" s="21"/>
      <c r="I443" s="21"/>
      <c r="J443" s="21"/>
      <c r="K443" s="21"/>
      <c r="L443" s="21"/>
      <c r="M443" s="21"/>
      <c r="N443" s="21"/>
      <c r="O443" s="21"/>
      <c r="P443" s="21"/>
      <c r="Q443" s="21"/>
    </row>
    <row r="444">
      <c r="A444" s="220"/>
      <c r="B444" s="35"/>
      <c r="D444" s="21"/>
      <c r="E444" s="219"/>
      <c r="F444" s="21"/>
      <c r="G444" s="21"/>
      <c r="H444" s="21"/>
      <c r="I444" s="21"/>
      <c r="J444" s="21"/>
      <c r="K444" s="21"/>
      <c r="L444" s="21"/>
      <c r="M444" s="21"/>
      <c r="N444" s="21"/>
      <c r="O444" s="21"/>
      <c r="P444" s="21"/>
      <c r="Q444" s="21"/>
    </row>
    <row r="445">
      <c r="A445" s="220"/>
      <c r="B445" s="35"/>
      <c r="D445" s="21"/>
      <c r="E445" s="219"/>
      <c r="F445" s="21"/>
      <c r="G445" s="21"/>
      <c r="H445" s="21"/>
      <c r="I445" s="21"/>
      <c r="J445" s="21"/>
      <c r="K445" s="21"/>
      <c r="L445" s="21"/>
      <c r="M445" s="21"/>
      <c r="N445" s="21"/>
      <c r="O445" s="21"/>
      <c r="P445" s="21"/>
      <c r="Q445" s="21"/>
    </row>
    <row r="446">
      <c r="A446" s="220"/>
      <c r="B446" s="35"/>
      <c r="D446" s="21"/>
      <c r="E446" s="219"/>
      <c r="F446" s="21"/>
      <c r="G446" s="21"/>
      <c r="H446" s="21"/>
      <c r="I446" s="21"/>
      <c r="J446" s="21"/>
      <c r="K446" s="21"/>
      <c r="L446" s="21"/>
      <c r="M446" s="21"/>
      <c r="N446" s="21"/>
      <c r="O446" s="21"/>
      <c r="P446" s="21"/>
      <c r="Q446" s="21"/>
    </row>
    <row r="447">
      <c r="A447" s="220"/>
      <c r="B447" s="35"/>
      <c r="D447" s="21"/>
      <c r="E447" s="219"/>
      <c r="F447" s="21"/>
      <c r="G447" s="21"/>
      <c r="H447" s="21"/>
      <c r="I447" s="21"/>
      <c r="J447" s="21"/>
      <c r="K447" s="21"/>
      <c r="L447" s="21"/>
      <c r="M447" s="21"/>
      <c r="N447" s="21"/>
      <c r="O447" s="21"/>
      <c r="P447" s="21"/>
      <c r="Q447" s="21"/>
    </row>
    <row r="448">
      <c r="A448" s="220"/>
      <c r="B448" s="35"/>
      <c r="D448" s="21"/>
      <c r="E448" s="219"/>
      <c r="F448" s="21"/>
      <c r="G448" s="21"/>
      <c r="H448" s="21"/>
      <c r="I448" s="21"/>
      <c r="J448" s="21"/>
      <c r="K448" s="21"/>
      <c r="L448" s="21"/>
      <c r="M448" s="21"/>
      <c r="N448" s="21"/>
      <c r="O448" s="21"/>
      <c r="P448" s="21"/>
      <c r="Q448" s="21"/>
    </row>
    <row r="449">
      <c r="A449" s="220"/>
      <c r="B449" s="35"/>
      <c r="D449" s="21"/>
      <c r="E449" s="219"/>
      <c r="F449" s="21"/>
      <c r="G449" s="21"/>
      <c r="H449" s="21"/>
      <c r="I449" s="21"/>
      <c r="J449" s="21"/>
      <c r="K449" s="21"/>
      <c r="L449" s="21"/>
      <c r="M449" s="21"/>
      <c r="N449" s="21"/>
      <c r="O449" s="21"/>
      <c r="P449" s="21"/>
      <c r="Q449" s="21"/>
    </row>
    <row r="450">
      <c r="A450" s="220"/>
      <c r="B450" s="35"/>
      <c r="D450" s="21"/>
      <c r="E450" s="219"/>
      <c r="F450" s="21"/>
      <c r="G450" s="21"/>
      <c r="H450" s="21"/>
      <c r="I450" s="21"/>
      <c r="J450" s="21"/>
      <c r="K450" s="21"/>
      <c r="L450" s="21"/>
      <c r="M450" s="21"/>
      <c r="N450" s="21"/>
      <c r="O450" s="21"/>
      <c r="P450" s="21"/>
      <c r="Q450" s="21"/>
    </row>
    <row r="451">
      <c r="A451" s="220"/>
      <c r="B451" s="35"/>
      <c r="D451" s="21"/>
      <c r="E451" s="219"/>
      <c r="F451" s="21"/>
      <c r="G451" s="21"/>
      <c r="H451" s="21"/>
      <c r="I451" s="21"/>
      <c r="J451" s="21"/>
      <c r="K451" s="21"/>
      <c r="L451" s="21"/>
      <c r="M451" s="21"/>
      <c r="N451" s="21"/>
      <c r="O451" s="21"/>
      <c r="P451" s="21"/>
      <c r="Q451" s="21"/>
    </row>
    <row r="452">
      <c r="A452" s="220"/>
      <c r="B452" s="35"/>
      <c r="D452" s="21"/>
      <c r="E452" s="219"/>
      <c r="F452" s="21"/>
      <c r="G452" s="21"/>
      <c r="H452" s="21"/>
      <c r="I452" s="21"/>
      <c r="J452" s="21"/>
      <c r="K452" s="21"/>
      <c r="L452" s="21"/>
      <c r="M452" s="21"/>
      <c r="N452" s="21"/>
      <c r="O452" s="21"/>
      <c r="P452" s="21"/>
      <c r="Q452" s="21"/>
    </row>
    <row r="453">
      <c r="A453" s="220"/>
      <c r="B453" s="35"/>
      <c r="D453" s="21"/>
      <c r="E453" s="219"/>
      <c r="F453" s="21"/>
      <c r="G453" s="21"/>
      <c r="H453" s="21"/>
      <c r="I453" s="21"/>
      <c r="J453" s="21"/>
      <c r="K453" s="21"/>
      <c r="L453" s="21"/>
      <c r="M453" s="21"/>
      <c r="N453" s="21"/>
      <c r="O453" s="21"/>
      <c r="P453" s="21"/>
      <c r="Q453" s="21"/>
    </row>
    <row r="454">
      <c r="A454" s="220"/>
      <c r="B454" s="35"/>
      <c r="D454" s="21"/>
      <c r="E454" s="219"/>
      <c r="F454" s="21"/>
      <c r="G454" s="21"/>
      <c r="H454" s="21"/>
      <c r="I454" s="21"/>
      <c r="J454" s="21"/>
      <c r="K454" s="21"/>
      <c r="L454" s="21"/>
      <c r="M454" s="21"/>
      <c r="N454" s="21"/>
      <c r="O454" s="21"/>
      <c r="P454" s="21"/>
      <c r="Q454" s="21"/>
    </row>
    <row r="455">
      <c r="A455" s="220"/>
      <c r="B455" s="35"/>
      <c r="D455" s="21"/>
      <c r="E455" s="219"/>
      <c r="F455" s="21"/>
      <c r="G455" s="21"/>
      <c r="H455" s="21"/>
      <c r="I455" s="21"/>
      <c r="J455" s="21"/>
      <c r="K455" s="21"/>
      <c r="L455" s="21"/>
      <c r="M455" s="21"/>
      <c r="N455" s="21"/>
      <c r="O455" s="21"/>
      <c r="P455" s="21"/>
      <c r="Q455" s="21"/>
    </row>
    <row r="456">
      <c r="A456" s="220"/>
      <c r="B456" s="35"/>
      <c r="D456" s="21"/>
      <c r="E456" s="219"/>
      <c r="F456" s="21"/>
      <c r="G456" s="21"/>
      <c r="H456" s="21"/>
      <c r="I456" s="21"/>
      <c r="J456" s="21"/>
      <c r="K456" s="21"/>
      <c r="L456" s="21"/>
      <c r="M456" s="21"/>
      <c r="N456" s="21"/>
      <c r="O456" s="21"/>
      <c r="P456" s="21"/>
      <c r="Q456" s="21"/>
    </row>
    <row r="457">
      <c r="A457" s="220"/>
      <c r="B457" s="35"/>
      <c r="D457" s="21"/>
      <c r="E457" s="219"/>
      <c r="F457" s="21"/>
      <c r="G457" s="21"/>
      <c r="H457" s="21"/>
      <c r="I457" s="21"/>
      <c r="J457" s="21"/>
      <c r="K457" s="21"/>
      <c r="L457" s="21"/>
      <c r="M457" s="21"/>
      <c r="N457" s="21"/>
      <c r="O457" s="21"/>
      <c r="P457" s="21"/>
      <c r="Q457" s="21"/>
    </row>
    <row r="458">
      <c r="A458" s="220"/>
      <c r="B458" s="35"/>
      <c r="D458" s="21"/>
      <c r="E458" s="219"/>
      <c r="F458" s="21"/>
      <c r="G458" s="21"/>
      <c r="H458" s="21"/>
      <c r="I458" s="21"/>
      <c r="J458" s="21"/>
      <c r="K458" s="21"/>
      <c r="L458" s="21"/>
      <c r="M458" s="21"/>
      <c r="N458" s="21"/>
      <c r="O458" s="21"/>
      <c r="P458" s="21"/>
      <c r="Q458" s="21"/>
    </row>
    <row r="459">
      <c r="A459" s="220"/>
      <c r="B459" s="35"/>
      <c r="D459" s="21"/>
      <c r="E459" s="219"/>
      <c r="F459" s="21"/>
      <c r="G459" s="21"/>
      <c r="H459" s="21"/>
      <c r="I459" s="21"/>
      <c r="J459" s="21"/>
      <c r="K459" s="21"/>
      <c r="L459" s="21"/>
      <c r="M459" s="21"/>
      <c r="N459" s="21"/>
      <c r="O459" s="21"/>
      <c r="P459" s="21"/>
      <c r="Q459" s="21"/>
    </row>
    <row r="460">
      <c r="A460" s="220"/>
      <c r="B460" s="35"/>
      <c r="D460" s="21"/>
      <c r="E460" s="219"/>
      <c r="F460" s="21"/>
      <c r="G460" s="21"/>
      <c r="H460" s="21"/>
      <c r="I460" s="21"/>
      <c r="J460" s="21"/>
      <c r="K460" s="21"/>
      <c r="L460" s="21"/>
      <c r="M460" s="21"/>
      <c r="N460" s="21"/>
      <c r="O460" s="21"/>
      <c r="P460" s="21"/>
      <c r="Q460" s="21"/>
    </row>
    <row r="461">
      <c r="A461" s="220"/>
      <c r="B461" s="35"/>
      <c r="D461" s="21"/>
      <c r="E461" s="219"/>
      <c r="F461" s="21"/>
      <c r="G461" s="21"/>
      <c r="H461" s="21"/>
      <c r="I461" s="21"/>
      <c r="J461" s="21"/>
      <c r="K461" s="21"/>
      <c r="L461" s="21"/>
      <c r="M461" s="21"/>
      <c r="N461" s="21"/>
      <c r="O461" s="21"/>
      <c r="P461" s="21"/>
      <c r="Q461" s="21"/>
    </row>
    <row r="462">
      <c r="A462" s="220"/>
      <c r="B462" s="35"/>
      <c r="D462" s="21"/>
      <c r="E462" s="219"/>
      <c r="F462" s="21"/>
      <c r="G462" s="21"/>
      <c r="H462" s="21"/>
      <c r="I462" s="21"/>
      <c r="J462" s="21"/>
      <c r="K462" s="21"/>
      <c r="L462" s="21"/>
      <c r="M462" s="21"/>
      <c r="N462" s="21"/>
      <c r="O462" s="21"/>
      <c r="P462" s="21"/>
      <c r="Q462" s="21"/>
    </row>
    <row r="463">
      <c r="A463" s="220"/>
      <c r="B463" s="35"/>
      <c r="D463" s="21"/>
      <c r="E463" s="219"/>
      <c r="F463" s="21"/>
      <c r="G463" s="21"/>
      <c r="H463" s="21"/>
      <c r="I463" s="21"/>
      <c r="J463" s="21"/>
      <c r="K463" s="21"/>
      <c r="L463" s="21"/>
      <c r="M463" s="21"/>
      <c r="N463" s="21"/>
      <c r="O463" s="21"/>
      <c r="P463" s="21"/>
      <c r="Q463" s="21"/>
    </row>
    <row r="464">
      <c r="A464" s="220"/>
      <c r="B464" s="35"/>
      <c r="D464" s="21"/>
      <c r="E464" s="219"/>
      <c r="F464" s="21"/>
      <c r="G464" s="21"/>
      <c r="H464" s="21"/>
      <c r="I464" s="21"/>
      <c r="J464" s="21"/>
      <c r="K464" s="21"/>
      <c r="L464" s="21"/>
      <c r="M464" s="21"/>
      <c r="N464" s="21"/>
      <c r="O464" s="21"/>
      <c r="P464" s="21"/>
      <c r="Q464" s="21"/>
    </row>
    <row r="465">
      <c r="A465" s="220"/>
      <c r="B465" s="35"/>
      <c r="D465" s="21"/>
      <c r="E465" s="219"/>
      <c r="F465" s="21"/>
      <c r="G465" s="21"/>
      <c r="H465" s="21"/>
      <c r="I465" s="21"/>
      <c r="J465" s="21"/>
      <c r="K465" s="21"/>
      <c r="L465" s="21"/>
      <c r="M465" s="21"/>
      <c r="N465" s="21"/>
      <c r="O465" s="21"/>
      <c r="P465" s="21"/>
      <c r="Q465" s="21"/>
    </row>
    <row r="466">
      <c r="A466" s="220"/>
      <c r="B466" s="35"/>
      <c r="D466" s="21"/>
      <c r="E466" s="219"/>
      <c r="F466" s="21"/>
      <c r="G466" s="21"/>
      <c r="H466" s="21"/>
      <c r="I466" s="21"/>
      <c r="J466" s="21"/>
      <c r="K466" s="21"/>
      <c r="L466" s="21"/>
      <c r="M466" s="21"/>
      <c r="N466" s="21"/>
      <c r="O466" s="21"/>
      <c r="P466" s="21"/>
      <c r="Q466" s="21"/>
    </row>
    <row r="467">
      <c r="A467" s="220"/>
      <c r="B467" s="35"/>
      <c r="D467" s="21"/>
      <c r="E467" s="219"/>
      <c r="F467" s="21"/>
      <c r="G467" s="21"/>
      <c r="H467" s="21"/>
      <c r="I467" s="21"/>
      <c r="J467" s="21"/>
      <c r="K467" s="21"/>
      <c r="L467" s="21"/>
      <c r="M467" s="21"/>
      <c r="N467" s="21"/>
      <c r="O467" s="21"/>
      <c r="P467" s="21"/>
      <c r="Q467" s="21"/>
    </row>
    <row r="468">
      <c r="A468" s="220"/>
      <c r="B468" s="35"/>
      <c r="D468" s="21"/>
      <c r="E468" s="219"/>
      <c r="F468" s="21"/>
      <c r="G468" s="21"/>
      <c r="H468" s="21"/>
      <c r="I468" s="21"/>
      <c r="J468" s="21"/>
      <c r="K468" s="21"/>
      <c r="L468" s="21"/>
      <c r="M468" s="21"/>
      <c r="N468" s="21"/>
      <c r="O468" s="21"/>
      <c r="P468" s="21"/>
      <c r="Q468" s="21"/>
    </row>
    <row r="469">
      <c r="A469" s="220"/>
      <c r="B469" s="35"/>
      <c r="D469" s="21"/>
      <c r="E469" s="219"/>
      <c r="F469" s="21"/>
      <c r="G469" s="21"/>
      <c r="H469" s="21"/>
      <c r="I469" s="21"/>
      <c r="J469" s="21"/>
      <c r="K469" s="21"/>
      <c r="L469" s="21"/>
      <c r="M469" s="21"/>
      <c r="N469" s="21"/>
      <c r="O469" s="21"/>
      <c r="P469" s="21"/>
      <c r="Q469" s="21"/>
    </row>
    <row r="470">
      <c r="A470" s="220"/>
      <c r="B470" s="35"/>
      <c r="D470" s="21"/>
      <c r="E470" s="219"/>
      <c r="F470" s="21"/>
      <c r="G470" s="21"/>
      <c r="H470" s="21"/>
      <c r="I470" s="21"/>
      <c r="J470" s="21"/>
      <c r="K470" s="21"/>
      <c r="L470" s="21"/>
      <c r="M470" s="21"/>
      <c r="N470" s="21"/>
      <c r="O470" s="21"/>
      <c r="P470" s="21"/>
      <c r="Q470" s="21"/>
    </row>
    <row r="471">
      <c r="A471" s="220"/>
      <c r="B471" s="35"/>
      <c r="D471" s="21"/>
      <c r="E471" s="219"/>
      <c r="F471" s="21"/>
      <c r="G471" s="21"/>
      <c r="H471" s="21"/>
      <c r="I471" s="21"/>
      <c r="J471" s="21"/>
      <c r="K471" s="21"/>
      <c r="L471" s="21"/>
      <c r="M471" s="21"/>
      <c r="N471" s="21"/>
      <c r="O471" s="21"/>
      <c r="P471" s="21"/>
      <c r="Q471" s="21"/>
    </row>
    <row r="472">
      <c r="A472" s="220"/>
      <c r="B472" s="35"/>
      <c r="D472" s="21"/>
      <c r="E472" s="219"/>
      <c r="F472" s="21"/>
      <c r="G472" s="21"/>
      <c r="H472" s="21"/>
      <c r="I472" s="21"/>
      <c r="J472" s="21"/>
      <c r="K472" s="21"/>
      <c r="L472" s="21"/>
      <c r="M472" s="21"/>
      <c r="N472" s="21"/>
      <c r="O472" s="21"/>
      <c r="P472" s="21"/>
      <c r="Q472" s="21"/>
    </row>
    <row r="473">
      <c r="A473" s="220"/>
      <c r="B473" s="35"/>
      <c r="D473" s="21"/>
      <c r="E473" s="219"/>
      <c r="F473" s="21"/>
      <c r="G473" s="21"/>
      <c r="H473" s="21"/>
      <c r="I473" s="21"/>
      <c r="J473" s="21"/>
      <c r="K473" s="21"/>
      <c r="L473" s="21"/>
      <c r="M473" s="21"/>
      <c r="N473" s="21"/>
      <c r="O473" s="21"/>
      <c r="P473" s="21"/>
      <c r="Q473" s="21"/>
    </row>
    <row r="474">
      <c r="A474" s="220"/>
      <c r="B474" s="35"/>
      <c r="D474" s="21"/>
      <c r="E474" s="219"/>
      <c r="F474" s="21"/>
      <c r="G474" s="21"/>
      <c r="H474" s="21"/>
      <c r="I474" s="21"/>
      <c r="J474" s="21"/>
      <c r="K474" s="21"/>
      <c r="L474" s="21"/>
      <c r="M474" s="21"/>
      <c r="N474" s="21"/>
      <c r="O474" s="21"/>
      <c r="P474" s="21"/>
      <c r="Q474" s="21"/>
    </row>
    <row r="475">
      <c r="A475" s="220"/>
      <c r="B475" s="35"/>
      <c r="D475" s="21"/>
      <c r="E475" s="219"/>
      <c r="F475" s="21"/>
      <c r="G475" s="21"/>
      <c r="H475" s="21"/>
      <c r="I475" s="21"/>
      <c r="J475" s="21"/>
      <c r="K475" s="21"/>
      <c r="L475" s="21"/>
      <c r="M475" s="21"/>
      <c r="N475" s="21"/>
      <c r="O475" s="21"/>
      <c r="P475" s="21"/>
      <c r="Q475" s="21"/>
    </row>
    <row r="476">
      <c r="A476" s="220"/>
      <c r="B476" s="35"/>
      <c r="D476" s="21"/>
      <c r="E476" s="219"/>
      <c r="F476" s="21"/>
      <c r="G476" s="21"/>
      <c r="H476" s="21"/>
      <c r="I476" s="21"/>
      <c r="J476" s="21"/>
      <c r="K476" s="21"/>
      <c r="L476" s="21"/>
      <c r="M476" s="21"/>
      <c r="N476" s="21"/>
      <c r="O476" s="21"/>
      <c r="P476" s="21"/>
      <c r="Q476" s="21"/>
    </row>
    <row r="477">
      <c r="A477" s="220"/>
      <c r="B477" s="35"/>
      <c r="D477" s="21"/>
      <c r="E477" s="219"/>
      <c r="F477" s="21"/>
      <c r="G477" s="21"/>
      <c r="H477" s="21"/>
      <c r="I477" s="21"/>
      <c r="J477" s="21"/>
      <c r="K477" s="21"/>
      <c r="L477" s="21"/>
      <c r="M477" s="21"/>
      <c r="N477" s="21"/>
      <c r="O477" s="21"/>
      <c r="P477" s="21"/>
      <c r="Q477" s="21"/>
    </row>
    <row r="478">
      <c r="A478" s="220"/>
      <c r="B478" s="35"/>
      <c r="D478" s="21"/>
      <c r="E478" s="219"/>
      <c r="F478" s="21"/>
      <c r="G478" s="21"/>
      <c r="H478" s="21"/>
      <c r="I478" s="21"/>
      <c r="J478" s="21"/>
      <c r="K478" s="21"/>
      <c r="L478" s="21"/>
      <c r="M478" s="21"/>
      <c r="N478" s="21"/>
      <c r="O478" s="21"/>
      <c r="P478" s="21"/>
      <c r="Q478" s="21"/>
    </row>
    <row r="479">
      <c r="A479" s="220"/>
      <c r="B479" s="35"/>
      <c r="D479" s="21"/>
      <c r="E479" s="219"/>
      <c r="F479" s="21"/>
      <c r="G479" s="21"/>
      <c r="H479" s="21"/>
      <c r="I479" s="21"/>
      <c r="J479" s="21"/>
      <c r="K479" s="21"/>
      <c r="L479" s="21"/>
      <c r="M479" s="21"/>
      <c r="N479" s="21"/>
      <c r="O479" s="21"/>
      <c r="P479" s="21"/>
      <c r="Q479" s="21"/>
    </row>
    <row r="480">
      <c r="A480" s="220"/>
      <c r="B480" s="35"/>
      <c r="D480" s="21"/>
      <c r="E480" s="219"/>
      <c r="F480" s="21"/>
      <c r="G480" s="21"/>
      <c r="H480" s="21"/>
      <c r="I480" s="21"/>
      <c r="J480" s="21"/>
      <c r="K480" s="21"/>
      <c r="L480" s="21"/>
      <c r="M480" s="21"/>
      <c r="N480" s="21"/>
      <c r="O480" s="21"/>
      <c r="P480" s="21"/>
      <c r="Q480" s="21"/>
    </row>
    <row r="481">
      <c r="A481" s="220"/>
      <c r="B481" s="35"/>
      <c r="D481" s="21"/>
      <c r="E481" s="219"/>
      <c r="F481" s="21"/>
      <c r="G481" s="21"/>
      <c r="H481" s="21"/>
      <c r="I481" s="21"/>
      <c r="J481" s="21"/>
      <c r="K481" s="21"/>
      <c r="L481" s="21"/>
      <c r="M481" s="21"/>
      <c r="N481" s="21"/>
      <c r="O481" s="21"/>
      <c r="P481" s="21"/>
      <c r="Q481" s="21"/>
    </row>
    <row r="482">
      <c r="A482" s="220"/>
      <c r="B482" s="35"/>
      <c r="D482" s="21"/>
      <c r="E482" s="219"/>
      <c r="F482" s="21"/>
      <c r="G482" s="21"/>
      <c r="H482" s="21"/>
      <c r="I482" s="21"/>
      <c r="J482" s="21"/>
      <c r="K482" s="21"/>
      <c r="L482" s="21"/>
      <c r="M482" s="21"/>
      <c r="N482" s="21"/>
      <c r="O482" s="21"/>
      <c r="P482" s="21"/>
      <c r="Q482" s="21"/>
    </row>
    <row r="483">
      <c r="A483" s="220"/>
      <c r="B483" s="35"/>
      <c r="D483" s="21"/>
      <c r="E483" s="219"/>
      <c r="F483" s="21"/>
      <c r="G483" s="21"/>
      <c r="H483" s="21"/>
      <c r="I483" s="21"/>
      <c r="J483" s="21"/>
      <c r="K483" s="21"/>
      <c r="L483" s="21"/>
      <c r="M483" s="21"/>
      <c r="N483" s="21"/>
      <c r="O483" s="21"/>
      <c r="P483" s="21"/>
      <c r="Q483" s="21"/>
    </row>
    <row r="484">
      <c r="A484" s="220"/>
      <c r="B484" s="35"/>
      <c r="D484" s="21"/>
      <c r="E484" s="219"/>
      <c r="F484" s="21"/>
      <c r="G484" s="21"/>
      <c r="H484" s="21"/>
      <c r="I484" s="21"/>
      <c r="J484" s="21"/>
      <c r="K484" s="21"/>
      <c r="L484" s="21"/>
      <c r="M484" s="21"/>
      <c r="N484" s="21"/>
      <c r="O484" s="21"/>
      <c r="P484" s="21"/>
      <c r="Q484" s="21"/>
    </row>
    <row r="485">
      <c r="A485" s="220"/>
      <c r="B485" s="35"/>
      <c r="D485" s="21"/>
      <c r="E485" s="219"/>
      <c r="F485" s="21"/>
      <c r="G485" s="21"/>
      <c r="H485" s="21"/>
      <c r="I485" s="21"/>
      <c r="J485" s="21"/>
      <c r="K485" s="21"/>
      <c r="L485" s="21"/>
      <c r="M485" s="21"/>
      <c r="N485" s="21"/>
      <c r="O485" s="21"/>
      <c r="P485" s="21"/>
      <c r="Q485" s="21"/>
    </row>
    <row r="486">
      <c r="A486" s="220"/>
      <c r="B486" s="35"/>
      <c r="D486" s="21"/>
      <c r="E486" s="219"/>
      <c r="F486" s="21"/>
      <c r="G486" s="21"/>
      <c r="H486" s="21"/>
      <c r="I486" s="21"/>
      <c r="J486" s="21"/>
      <c r="K486" s="21"/>
      <c r="L486" s="21"/>
      <c r="M486" s="21"/>
      <c r="N486" s="21"/>
      <c r="O486" s="21"/>
      <c r="P486" s="21"/>
      <c r="Q486" s="21"/>
    </row>
    <row r="487">
      <c r="A487" s="220"/>
      <c r="B487" s="35"/>
      <c r="D487" s="21"/>
      <c r="E487" s="219"/>
      <c r="F487" s="21"/>
      <c r="G487" s="21"/>
      <c r="H487" s="21"/>
      <c r="I487" s="21"/>
      <c r="J487" s="21"/>
      <c r="K487" s="21"/>
      <c r="L487" s="21"/>
      <c r="M487" s="21"/>
      <c r="N487" s="21"/>
      <c r="O487" s="21"/>
      <c r="P487" s="21"/>
      <c r="Q487" s="21"/>
    </row>
    <row r="488">
      <c r="A488" s="220"/>
      <c r="B488" s="35"/>
      <c r="D488" s="21"/>
      <c r="E488" s="219"/>
      <c r="F488" s="21"/>
      <c r="G488" s="21"/>
      <c r="H488" s="21"/>
      <c r="I488" s="21"/>
      <c r="J488" s="21"/>
      <c r="K488" s="21"/>
      <c r="L488" s="21"/>
      <c r="M488" s="21"/>
      <c r="N488" s="21"/>
      <c r="O488" s="21"/>
      <c r="P488" s="21"/>
      <c r="Q488" s="21"/>
    </row>
    <row r="489">
      <c r="A489" s="220"/>
      <c r="B489" s="35"/>
      <c r="D489" s="21"/>
      <c r="E489" s="219"/>
      <c r="F489" s="21"/>
      <c r="G489" s="21"/>
      <c r="H489" s="21"/>
      <c r="I489" s="21"/>
      <c r="J489" s="21"/>
      <c r="K489" s="21"/>
      <c r="L489" s="21"/>
      <c r="M489" s="21"/>
      <c r="N489" s="21"/>
      <c r="O489" s="21"/>
      <c r="P489" s="21"/>
      <c r="Q489" s="21"/>
    </row>
    <row r="490">
      <c r="A490" s="220"/>
      <c r="B490" s="35"/>
      <c r="D490" s="21"/>
      <c r="E490" s="219"/>
      <c r="F490" s="21"/>
      <c r="G490" s="21"/>
      <c r="H490" s="21"/>
      <c r="I490" s="21"/>
      <c r="J490" s="21"/>
      <c r="K490" s="21"/>
      <c r="L490" s="21"/>
      <c r="M490" s="21"/>
      <c r="N490" s="21"/>
      <c r="O490" s="21"/>
      <c r="P490" s="21"/>
      <c r="Q490" s="21"/>
    </row>
    <row r="491">
      <c r="A491" s="220"/>
      <c r="B491" s="35"/>
      <c r="D491" s="21"/>
      <c r="E491" s="219"/>
      <c r="F491" s="21"/>
      <c r="G491" s="21"/>
      <c r="H491" s="21"/>
      <c r="I491" s="21"/>
      <c r="J491" s="21"/>
      <c r="K491" s="21"/>
      <c r="L491" s="21"/>
      <c r="M491" s="21"/>
      <c r="N491" s="21"/>
      <c r="O491" s="21"/>
      <c r="P491" s="21"/>
      <c r="Q491" s="21"/>
    </row>
    <row r="492">
      <c r="A492" s="220"/>
      <c r="B492" s="35"/>
      <c r="D492" s="21"/>
      <c r="E492" s="219"/>
      <c r="F492" s="21"/>
      <c r="G492" s="21"/>
      <c r="H492" s="21"/>
      <c r="I492" s="21"/>
      <c r="J492" s="21"/>
      <c r="K492" s="21"/>
      <c r="L492" s="21"/>
      <c r="M492" s="21"/>
      <c r="N492" s="21"/>
      <c r="O492" s="21"/>
      <c r="P492" s="21"/>
      <c r="Q492" s="21"/>
    </row>
    <row r="493">
      <c r="A493" s="220"/>
      <c r="B493" s="35"/>
      <c r="D493" s="21"/>
      <c r="E493" s="219"/>
      <c r="F493" s="21"/>
      <c r="G493" s="21"/>
      <c r="H493" s="21"/>
      <c r="I493" s="21"/>
      <c r="J493" s="21"/>
      <c r="K493" s="21"/>
      <c r="L493" s="21"/>
      <c r="M493" s="21"/>
      <c r="N493" s="21"/>
      <c r="O493" s="21"/>
      <c r="P493" s="21"/>
      <c r="Q493" s="21"/>
    </row>
    <row r="494">
      <c r="A494" s="220"/>
      <c r="B494" s="35"/>
      <c r="D494" s="21"/>
      <c r="E494" s="219"/>
      <c r="F494" s="21"/>
      <c r="G494" s="21"/>
      <c r="H494" s="21"/>
      <c r="I494" s="21"/>
      <c r="J494" s="21"/>
      <c r="K494" s="21"/>
      <c r="L494" s="21"/>
      <c r="M494" s="21"/>
      <c r="N494" s="21"/>
      <c r="O494" s="21"/>
      <c r="P494" s="21"/>
      <c r="Q494" s="21"/>
    </row>
    <row r="495">
      <c r="A495" s="220"/>
      <c r="B495" s="35"/>
      <c r="D495" s="21"/>
      <c r="E495" s="219"/>
      <c r="F495" s="21"/>
      <c r="G495" s="21"/>
      <c r="H495" s="21"/>
      <c r="I495" s="21"/>
      <c r="J495" s="21"/>
      <c r="K495" s="21"/>
      <c r="L495" s="21"/>
      <c r="M495" s="21"/>
      <c r="N495" s="21"/>
      <c r="O495" s="21"/>
      <c r="P495" s="21"/>
      <c r="Q495" s="21"/>
    </row>
    <row r="496">
      <c r="A496" s="220"/>
      <c r="B496" s="35"/>
      <c r="D496" s="21"/>
      <c r="E496" s="219"/>
      <c r="F496" s="21"/>
      <c r="G496" s="21"/>
      <c r="H496" s="21"/>
      <c r="I496" s="21"/>
      <c r="J496" s="21"/>
      <c r="K496" s="21"/>
      <c r="L496" s="21"/>
      <c r="M496" s="21"/>
      <c r="N496" s="21"/>
      <c r="O496" s="21"/>
      <c r="P496" s="21"/>
      <c r="Q496" s="21"/>
    </row>
    <row r="497">
      <c r="A497" s="220"/>
      <c r="B497" s="35"/>
      <c r="D497" s="21"/>
      <c r="E497" s="219"/>
      <c r="F497" s="21"/>
      <c r="G497" s="21"/>
      <c r="H497" s="21"/>
      <c r="I497" s="21"/>
      <c r="J497" s="21"/>
      <c r="K497" s="21"/>
      <c r="L497" s="21"/>
      <c r="M497" s="21"/>
      <c r="N497" s="21"/>
      <c r="O497" s="21"/>
      <c r="P497" s="21"/>
      <c r="Q497" s="21"/>
    </row>
    <row r="498">
      <c r="A498" s="220"/>
      <c r="B498" s="35"/>
      <c r="D498" s="21"/>
      <c r="E498" s="219"/>
      <c r="F498" s="21"/>
      <c r="G498" s="21"/>
      <c r="H498" s="21"/>
      <c r="I498" s="21"/>
      <c r="J498" s="21"/>
      <c r="K498" s="21"/>
      <c r="L498" s="21"/>
      <c r="M498" s="21"/>
      <c r="N498" s="21"/>
      <c r="O498" s="21"/>
      <c r="P498" s="21"/>
      <c r="Q498" s="21"/>
    </row>
    <row r="499">
      <c r="A499" s="220"/>
      <c r="B499" s="35"/>
      <c r="D499" s="21"/>
      <c r="E499" s="219"/>
      <c r="F499" s="21"/>
      <c r="G499" s="21"/>
      <c r="H499" s="21"/>
      <c r="I499" s="21"/>
      <c r="J499" s="21"/>
      <c r="K499" s="21"/>
      <c r="L499" s="21"/>
      <c r="M499" s="21"/>
      <c r="N499" s="21"/>
      <c r="O499" s="21"/>
      <c r="P499" s="21"/>
      <c r="Q499" s="21"/>
    </row>
    <row r="500">
      <c r="A500" s="220"/>
      <c r="B500" s="35"/>
      <c r="D500" s="21"/>
      <c r="E500" s="219"/>
      <c r="F500" s="21"/>
      <c r="G500" s="21"/>
      <c r="H500" s="21"/>
      <c r="I500" s="21"/>
      <c r="J500" s="21"/>
      <c r="K500" s="21"/>
      <c r="L500" s="21"/>
      <c r="M500" s="21"/>
      <c r="N500" s="21"/>
      <c r="O500" s="21"/>
      <c r="P500" s="21"/>
      <c r="Q500" s="21"/>
    </row>
    <row r="501">
      <c r="A501" s="220"/>
      <c r="B501" s="35"/>
      <c r="D501" s="21"/>
      <c r="E501" s="219"/>
      <c r="F501" s="21"/>
      <c r="G501" s="21"/>
      <c r="H501" s="21"/>
      <c r="I501" s="21"/>
      <c r="J501" s="21"/>
      <c r="K501" s="21"/>
      <c r="L501" s="21"/>
      <c r="M501" s="21"/>
      <c r="N501" s="21"/>
      <c r="O501" s="21"/>
      <c r="P501" s="21"/>
      <c r="Q501" s="21"/>
    </row>
    <row r="502">
      <c r="A502" s="220"/>
      <c r="B502" s="35"/>
      <c r="D502" s="21"/>
      <c r="E502" s="219"/>
      <c r="F502" s="21"/>
      <c r="G502" s="21"/>
      <c r="H502" s="21"/>
      <c r="I502" s="21"/>
      <c r="J502" s="21"/>
      <c r="K502" s="21"/>
      <c r="L502" s="21"/>
      <c r="M502" s="21"/>
      <c r="N502" s="21"/>
      <c r="O502" s="21"/>
      <c r="P502" s="21"/>
      <c r="Q502" s="21"/>
    </row>
    <row r="503">
      <c r="A503" s="220"/>
      <c r="B503" s="35"/>
      <c r="D503" s="21"/>
      <c r="E503" s="219"/>
      <c r="F503" s="21"/>
      <c r="G503" s="21"/>
      <c r="H503" s="21"/>
      <c r="I503" s="21"/>
      <c r="J503" s="21"/>
      <c r="K503" s="21"/>
      <c r="L503" s="21"/>
      <c r="M503" s="21"/>
      <c r="N503" s="21"/>
      <c r="O503" s="21"/>
      <c r="P503" s="21"/>
      <c r="Q503" s="21"/>
    </row>
    <row r="504">
      <c r="A504" s="220"/>
      <c r="B504" s="35"/>
      <c r="D504" s="21"/>
      <c r="E504" s="219"/>
      <c r="F504" s="21"/>
      <c r="G504" s="21"/>
      <c r="H504" s="21"/>
      <c r="I504" s="21"/>
      <c r="J504" s="21"/>
      <c r="K504" s="21"/>
      <c r="L504" s="21"/>
      <c r="M504" s="21"/>
      <c r="N504" s="21"/>
      <c r="O504" s="21"/>
      <c r="P504" s="21"/>
      <c r="Q504" s="21"/>
    </row>
    <row r="505">
      <c r="A505" s="220"/>
      <c r="B505" s="35"/>
      <c r="D505" s="21"/>
      <c r="E505" s="219"/>
      <c r="F505" s="21"/>
      <c r="G505" s="21"/>
      <c r="H505" s="21"/>
      <c r="I505" s="21"/>
      <c r="J505" s="21"/>
      <c r="K505" s="21"/>
      <c r="L505" s="21"/>
      <c r="M505" s="21"/>
      <c r="N505" s="21"/>
      <c r="O505" s="21"/>
      <c r="P505" s="21"/>
      <c r="Q505" s="21"/>
    </row>
    <row r="506">
      <c r="A506" s="220"/>
      <c r="B506" s="35"/>
      <c r="D506" s="21"/>
      <c r="E506" s="219"/>
      <c r="F506" s="21"/>
      <c r="G506" s="21"/>
      <c r="H506" s="21"/>
      <c r="I506" s="21"/>
      <c r="J506" s="21"/>
      <c r="K506" s="21"/>
      <c r="L506" s="21"/>
      <c r="M506" s="21"/>
      <c r="N506" s="21"/>
      <c r="O506" s="21"/>
      <c r="P506" s="21"/>
      <c r="Q506" s="21"/>
    </row>
    <row r="507">
      <c r="A507" s="220"/>
      <c r="B507" s="35"/>
      <c r="D507" s="21"/>
      <c r="E507" s="219"/>
      <c r="F507" s="21"/>
      <c r="G507" s="21"/>
      <c r="H507" s="21"/>
      <c r="I507" s="21"/>
      <c r="J507" s="21"/>
      <c r="K507" s="21"/>
      <c r="L507" s="21"/>
      <c r="M507" s="21"/>
      <c r="N507" s="21"/>
      <c r="O507" s="21"/>
      <c r="P507" s="21"/>
      <c r="Q507" s="21"/>
    </row>
    <row r="508">
      <c r="A508" s="220"/>
      <c r="B508" s="35"/>
      <c r="D508" s="21"/>
      <c r="E508" s="219"/>
      <c r="F508" s="21"/>
      <c r="G508" s="21"/>
      <c r="H508" s="21"/>
      <c r="I508" s="21"/>
      <c r="J508" s="21"/>
      <c r="K508" s="21"/>
      <c r="L508" s="21"/>
      <c r="M508" s="21"/>
      <c r="N508" s="21"/>
      <c r="O508" s="21"/>
      <c r="P508" s="21"/>
      <c r="Q508" s="21"/>
    </row>
    <row r="509">
      <c r="A509" s="220"/>
      <c r="B509" s="35"/>
      <c r="D509" s="21"/>
      <c r="E509" s="219"/>
      <c r="F509" s="21"/>
      <c r="G509" s="21"/>
      <c r="H509" s="21"/>
      <c r="I509" s="21"/>
      <c r="J509" s="21"/>
      <c r="K509" s="21"/>
      <c r="L509" s="21"/>
      <c r="M509" s="21"/>
      <c r="N509" s="21"/>
      <c r="O509" s="21"/>
      <c r="P509" s="21"/>
      <c r="Q509" s="21"/>
    </row>
    <row r="510">
      <c r="A510" s="220"/>
      <c r="B510" s="35"/>
      <c r="D510" s="21"/>
      <c r="E510" s="219"/>
      <c r="F510" s="21"/>
      <c r="G510" s="21"/>
      <c r="H510" s="21"/>
      <c r="I510" s="21"/>
      <c r="J510" s="21"/>
      <c r="K510" s="21"/>
      <c r="L510" s="21"/>
      <c r="M510" s="21"/>
      <c r="N510" s="21"/>
      <c r="O510" s="21"/>
      <c r="P510" s="21"/>
      <c r="Q510" s="21"/>
    </row>
    <row r="511">
      <c r="A511" s="220"/>
      <c r="B511" s="35"/>
      <c r="D511" s="21"/>
      <c r="E511" s="219"/>
      <c r="F511" s="21"/>
      <c r="G511" s="21"/>
      <c r="H511" s="21"/>
      <c r="I511" s="21"/>
      <c r="J511" s="21"/>
      <c r="K511" s="21"/>
      <c r="L511" s="21"/>
      <c r="M511" s="21"/>
      <c r="N511" s="21"/>
      <c r="O511" s="21"/>
      <c r="P511" s="21"/>
      <c r="Q511" s="21"/>
    </row>
    <row r="512">
      <c r="A512" s="220"/>
      <c r="B512" s="35"/>
      <c r="D512" s="21"/>
      <c r="E512" s="219"/>
      <c r="F512" s="21"/>
      <c r="G512" s="21"/>
      <c r="H512" s="21"/>
      <c r="I512" s="21"/>
      <c r="J512" s="21"/>
      <c r="K512" s="21"/>
      <c r="L512" s="21"/>
      <c r="M512" s="21"/>
      <c r="N512" s="21"/>
      <c r="O512" s="21"/>
      <c r="P512" s="21"/>
      <c r="Q512" s="21"/>
    </row>
    <row r="513">
      <c r="A513" s="220"/>
      <c r="B513" s="35"/>
      <c r="D513" s="21"/>
      <c r="E513" s="219"/>
      <c r="F513" s="21"/>
      <c r="G513" s="21"/>
      <c r="H513" s="21"/>
      <c r="I513" s="21"/>
      <c r="J513" s="21"/>
      <c r="K513" s="21"/>
      <c r="L513" s="21"/>
      <c r="M513" s="21"/>
      <c r="N513" s="21"/>
      <c r="O513" s="21"/>
      <c r="P513" s="21"/>
      <c r="Q513" s="21"/>
    </row>
    <row r="514">
      <c r="A514" s="220"/>
      <c r="B514" s="35"/>
      <c r="D514" s="21"/>
      <c r="E514" s="219"/>
      <c r="F514" s="21"/>
      <c r="G514" s="21"/>
      <c r="H514" s="21"/>
      <c r="I514" s="21"/>
      <c r="J514" s="21"/>
      <c r="K514" s="21"/>
      <c r="L514" s="21"/>
      <c r="M514" s="21"/>
      <c r="N514" s="21"/>
      <c r="O514" s="21"/>
      <c r="P514" s="21"/>
      <c r="Q514" s="21"/>
    </row>
    <row r="515">
      <c r="A515" s="220"/>
      <c r="B515" s="35"/>
      <c r="D515" s="21"/>
      <c r="E515" s="219"/>
      <c r="F515" s="21"/>
      <c r="G515" s="21"/>
      <c r="H515" s="21"/>
      <c r="I515" s="21"/>
      <c r="J515" s="21"/>
      <c r="K515" s="21"/>
      <c r="L515" s="21"/>
      <c r="M515" s="21"/>
      <c r="N515" s="21"/>
      <c r="O515" s="21"/>
      <c r="P515" s="21"/>
      <c r="Q515" s="21"/>
    </row>
    <row r="516">
      <c r="A516" s="220"/>
      <c r="B516" s="35"/>
      <c r="D516" s="21"/>
      <c r="E516" s="219"/>
      <c r="F516" s="21"/>
      <c r="G516" s="21"/>
      <c r="H516" s="21"/>
      <c r="I516" s="21"/>
      <c r="J516" s="21"/>
      <c r="K516" s="21"/>
      <c r="L516" s="21"/>
      <c r="M516" s="21"/>
      <c r="N516" s="21"/>
      <c r="O516" s="21"/>
      <c r="P516" s="21"/>
      <c r="Q516" s="21"/>
    </row>
    <row r="517">
      <c r="A517" s="220"/>
      <c r="B517" s="35"/>
      <c r="D517" s="21"/>
      <c r="E517" s="219"/>
      <c r="F517" s="21"/>
      <c r="G517" s="21"/>
      <c r="H517" s="21"/>
      <c r="I517" s="21"/>
      <c r="J517" s="21"/>
      <c r="K517" s="21"/>
      <c r="L517" s="21"/>
      <c r="M517" s="21"/>
      <c r="N517" s="21"/>
      <c r="O517" s="21"/>
      <c r="P517" s="21"/>
      <c r="Q517" s="21"/>
    </row>
    <row r="518">
      <c r="A518" s="220"/>
      <c r="B518" s="35"/>
      <c r="D518" s="21"/>
      <c r="E518" s="219"/>
      <c r="F518" s="21"/>
      <c r="G518" s="21"/>
      <c r="H518" s="21"/>
      <c r="I518" s="21"/>
      <c r="J518" s="21"/>
      <c r="K518" s="21"/>
      <c r="L518" s="21"/>
      <c r="M518" s="21"/>
      <c r="N518" s="21"/>
      <c r="O518" s="21"/>
      <c r="P518" s="21"/>
      <c r="Q518" s="21"/>
    </row>
    <row r="519">
      <c r="A519" s="220"/>
      <c r="B519" s="35"/>
      <c r="D519" s="21"/>
      <c r="E519" s="219"/>
      <c r="F519" s="21"/>
      <c r="G519" s="21"/>
      <c r="H519" s="21"/>
      <c r="I519" s="21"/>
      <c r="J519" s="21"/>
      <c r="K519" s="21"/>
      <c r="L519" s="21"/>
      <c r="M519" s="21"/>
      <c r="N519" s="21"/>
      <c r="O519" s="21"/>
      <c r="P519" s="21"/>
      <c r="Q519" s="21"/>
    </row>
    <row r="520">
      <c r="A520" s="220"/>
      <c r="B520" s="35"/>
      <c r="D520" s="21"/>
      <c r="E520" s="219"/>
      <c r="F520" s="21"/>
      <c r="G520" s="21"/>
      <c r="H520" s="21"/>
      <c r="I520" s="21"/>
      <c r="J520" s="21"/>
      <c r="K520" s="21"/>
      <c r="L520" s="21"/>
      <c r="M520" s="21"/>
      <c r="N520" s="21"/>
      <c r="O520" s="21"/>
      <c r="P520" s="21"/>
      <c r="Q520" s="21"/>
    </row>
    <row r="521">
      <c r="A521" s="220"/>
      <c r="B521" s="35"/>
      <c r="D521" s="21"/>
      <c r="E521" s="219"/>
      <c r="F521" s="21"/>
      <c r="G521" s="21"/>
      <c r="H521" s="21"/>
      <c r="I521" s="21"/>
      <c r="J521" s="21"/>
      <c r="K521" s="21"/>
      <c r="L521" s="21"/>
      <c r="M521" s="21"/>
      <c r="N521" s="21"/>
      <c r="O521" s="21"/>
      <c r="P521" s="21"/>
      <c r="Q521" s="21"/>
    </row>
    <row r="522">
      <c r="A522" s="220"/>
      <c r="B522" s="35"/>
      <c r="D522" s="21"/>
      <c r="E522" s="219"/>
      <c r="F522" s="21"/>
      <c r="G522" s="21"/>
      <c r="H522" s="21"/>
      <c r="I522" s="21"/>
      <c r="J522" s="21"/>
      <c r="K522" s="21"/>
      <c r="L522" s="21"/>
      <c r="M522" s="21"/>
      <c r="N522" s="21"/>
      <c r="O522" s="21"/>
      <c r="P522" s="21"/>
      <c r="Q522" s="21"/>
    </row>
    <row r="523">
      <c r="A523" s="220"/>
      <c r="B523" s="35"/>
      <c r="D523" s="21"/>
      <c r="E523" s="219"/>
      <c r="F523" s="21"/>
      <c r="G523" s="21"/>
      <c r="H523" s="21"/>
      <c r="I523" s="21"/>
      <c r="J523" s="21"/>
      <c r="K523" s="21"/>
      <c r="L523" s="21"/>
      <c r="M523" s="21"/>
      <c r="N523" s="21"/>
      <c r="O523" s="21"/>
      <c r="P523" s="21"/>
      <c r="Q523" s="21"/>
    </row>
    <row r="524">
      <c r="A524" s="220"/>
      <c r="B524" s="35"/>
      <c r="D524" s="21"/>
      <c r="E524" s="219"/>
      <c r="F524" s="21"/>
      <c r="G524" s="21"/>
      <c r="H524" s="21"/>
      <c r="I524" s="21"/>
      <c r="J524" s="21"/>
      <c r="K524" s="21"/>
      <c r="L524" s="21"/>
      <c r="M524" s="21"/>
      <c r="N524" s="21"/>
      <c r="O524" s="21"/>
      <c r="P524" s="21"/>
      <c r="Q524" s="21"/>
    </row>
    <row r="525">
      <c r="A525" s="220"/>
      <c r="B525" s="35"/>
      <c r="D525" s="21"/>
      <c r="E525" s="219"/>
      <c r="F525" s="21"/>
      <c r="G525" s="21"/>
      <c r="H525" s="21"/>
      <c r="I525" s="21"/>
      <c r="J525" s="21"/>
      <c r="K525" s="21"/>
      <c r="L525" s="21"/>
      <c r="M525" s="21"/>
      <c r="N525" s="21"/>
      <c r="O525" s="21"/>
      <c r="P525" s="21"/>
      <c r="Q525" s="21"/>
    </row>
    <row r="526">
      <c r="A526" s="220"/>
      <c r="B526" s="35"/>
      <c r="D526" s="21"/>
      <c r="E526" s="219"/>
      <c r="F526" s="21"/>
      <c r="G526" s="21"/>
      <c r="H526" s="21"/>
      <c r="I526" s="21"/>
      <c r="J526" s="21"/>
      <c r="K526" s="21"/>
      <c r="L526" s="21"/>
      <c r="M526" s="21"/>
      <c r="N526" s="21"/>
      <c r="O526" s="21"/>
      <c r="P526" s="21"/>
      <c r="Q526" s="21"/>
    </row>
    <row r="527">
      <c r="A527" s="220"/>
      <c r="B527" s="35"/>
      <c r="D527" s="21"/>
      <c r="E527" s="219"/>
      <c r="F527" s="21"/>
      <c r="G527" s="21"/>
      <c r="H527" s="21"/>
      <c r="I527" s="21"/>
      <c r="J527" s="21"/>
      <c r="K527" s="21"/>
      <c r="L527" s="21"/>
      <c r="M527" s="21"/>
      <c r="N527" s="21"/>
      <c r="O527" s="21"/>
      <c r="P527" s="21"/>
      <c r="Q527" s="21"/>
    </row>
    <row r="528">
      <c r="A528" s="220"/>
      <c r="B528" s="35"/>
      <c r="D528" s="21"/>
      <c r="E528" s="219"/>
      <c r="F528" s="21"/>
      <c r="G528" s="21"/>
      <c r="H528" s="21"/>
      <c r="I528" s="21"/>
      <c r="J528" s="21"/>
      <c r="K528" s="21"/>
      <c r="L528" s="21"/>
      <c r="M528" s="21"/>
      <c r="N528" s="21"/>
      <c r="O528" s="21"/>
      <c r="P528" s="21"/>
      <c r="Q528" s="21"/>
    </row>
    <row r="529">
      <c r="A529" s="220"/>
      <c r="B529" s="35"/>
      <c r="D529" s="21"/>
      <c r="E529" s="219"/>
      <c r="F529" s="21"/>
      <c r="G529" s="21"/>
      <c r="H529" s="21"/>
      <c r="I529" s="21"/>
      <c r="J529" s="21"/>
      <c r="K529" s="21"/>
      <c r="L529" s="21"/>
      <c r="M529" s="21"/>
      <c r="N529" s="21"/>
      <c r="O529" s="21"/>
      <c r="P529" s="21"/>
      <c r="Q529" s="21"/>
    </row>
    <row r="530">
      <c r="A530" s="220"/>
      <c r="B530" s="35"/>
      <c r="D530" s="21"/>
      <c r="E530" s="219"/>
      <c r="F530" s="21"/>
      <c r="G530" s="21"/>
      <c r="H530" s="21"/>
      <c r="I530" s="21"/>
      <c r="J530" s="21"/>
      <c r="K530" s="21"/>
      <c r="L530" s="21"/>
      <c r="M530" s="21"/>
      <c r="N530" s="21"/>
      <c r="O530" s="21"/>
      <c r="P530" s="21"/>
      <c r="Q530" s="21"/>
    </row>
    <row r="531">
      <c r="A531" s="220"/>
      <c r="B531" s="35"/>
      <c r="D531" s="21"/>
      <c r="E531" s="219"/>
      <c r="F531" s="21"/>
      <c r="G531" s="21"/>
      <c r="H531" s="21"/>
      <c r="I531" s="21"/>
      <c r="J531" s="21"/>
      <c r="K531" s="21"/>
      <c r="L531" s="21"/>
      <c r="M531" s="21"/>
      <c r="N531" s="21"/>
      <c r="O531" s="21"/>
      <c r="P531" s="21"/>
      <c r="Q531" s="21"/>
    </row>
    <row r="532">
      <c r="A532" s="220"/>
      <c r="B532" s="35"/>
      <c r="D532" s="21"/>
      <c r="E532" s="219"/>
      <c r="F532" s="21"/>
      <c r="G532" s="21"/>
      <c r="H532" s="21"/>
      <c r="I532" s="21"/>
      <c r="J532" s="21"/>
      <c r="K532" s="21"/>
      <c r="L532" s="21"/>
      <c r="M532" s="21"/>
      <c r="N532" s="21"/>
      <c r="O532" s="21"/>
      <c r="P532" s="21"/>
      <c r="Q532" s="21"/>
    </row>
    <row r="533">
      <c r="A533" s="220"/>
      <c r="B533" s="35"/>
      <c r="D533" s="21"/>
      <c r="E533" s="219"/>
      <c r="F533" s="21"/>
      <c r="G533" s="21"/>
      <c r="H533" s="21"/>
      <c r="I533" s="21"/>
      <c r="J533" s="21"/>
      <c r="K533" s="21"/>
      <c r="L533" s="21"/>
      <c r="M533" s="21"/>
      <c r="N533" s="21"/>
      <c r="O533" s="21"/>
      <c r="P533" s="21"/>
      <c r="Q533" s="21"/>
    </row>
    <row r="534">
      <c r="A534" s="220"/>
      <c r="B534" s="35"/>
      <c r="D534" s="21"/>
      <c r="E534" s="219"/>
      <c r="F534" s="21"/>
      <c r="G534" s="21"/>
      <c r="H534" s="21"/>
      <c r="I534" s="21"/>
      <c r="J534" s="21"/>
      <c r="K534" s="21"/>
      <c r="L534" s="21"/>
      <c r="M534" s="21"/>
      <c r="N534" s="21"/>
      <c r="O534" s="21"/>
      <c r="P534" s="21"/>
      <c r="Q534" s="21"/>
    </row>
    <row r="535">
      <c r="A535" s="220"/>
      <c r="B535" s="35"/>
      <c r="D535" s="21"/>
      <c r="E535" s="219"/>
      <c r="F535" s="21"/>
      <c r="G535" s="21"/>
      <c r="H535" s="21"/>
      <c r="I535" s="21"/>
      <c r="J535" s="21"/>
      <c r="K535" s="21"/>
      <c r="L535" s="21"/>
      <c r="M535" s="21"/>
      <c r="N535" s="21"/>
      <c r="O535" s="21"/>
      <c r="P535" s="21"/>
      <c r="Q535" s="21"/>
    </row>
    <row r="536">
      <c r="A536" s="220"/>
      <c r="B536" s="35"/>
      <c r="D536" s="21"/>
      <c r="E536" s="219"/>
      <c r="F536" s="21"/>
      <c r="G536" s="21"/>
      <c r="H536" s="21"/>
      <c r="I536" s="21"/>
      <c r="J536" s="21"/>
      <c r="K536" s="21"/>
      <c r="L536" s="21"/>
      <c r="M536" s="21"/>
      <c r="N536" s="21"/>
      <c r="O536" s="21"/>
      <c r="P536" s="21"/>
      <c r="Q536" s="21"/>
    </row>
    <row r="537">
      <c r="A537" s="220"/>
      <c r="B537" s="35"/>
      <c r="D537" s="21"/>
      <c r="E537" s="219"/>
      <c r="F537" s="21"/>
      <c r="G537" s="21"/>
      <c r="H537" s="21"/>
      <c r="I537" s="21"/>
      <c r="J537" s="21"/>
      <c r="K537" s="21"/>
      <c r="L537" s="21"/>
      <c r="M537" s="21"/>
      <c r="N537" s="21"/>
      <c r="O537" s="21"/>
      <c r="P537" s="21"/>
      <c r="Q537" s="21"/>
    </row>
    <row r="538">
      <c r="A538" s="220"/>
      <c r="B538" s="35"/>
      <c r="D538" s="21"/>
      <c r="E538" s="219"/>
      <c r="F538" s="21"/>
      <c r="G538" s="21"/>
      <c r="H538" s="21"/>
      <c r="I538" s="21"/>
      <c r="J538" s="21"/>
      <c r="K538" s="21"/>
      <c r="L538" s="21"/>
      <c r="M538" s="21"/>
      <c r="N538" s="21"/>
      <c r="O538" s="21"/>
      <c r="P538" s="21"/>
      <c r="Q538" s="21"/>
    </row>
    <row r="539">
      <c r="A539" s="220"/>
      <c r="B539" s="35"/>
      <c r="D539" s="21"/>
      <c r="E539" s="219"/>
      <c r="F539" s="21"/>
      <c r="G539" s="21"/>
      <c r="H539" s="21"/>
      <c r="I539" s="21"/>
      <c r="J539" s="21"/>
      <c r="K539" s="21"/>
      <c r="L539" s="21"/>
      <c r="M539" s="21"/>
      <c r="N539" s="21"/>
      <c r="O539" s="21"/>
      <c r="P539" s="21"/>
      <c r="Q539" s="21"/>
    </row>
    <row r="540">
      <c r="A540" s="220"/>
      <c r="B540" s="35"/>
      <c r="D540" s="21"/>
      <c r="E540" s="219"/>
      <c r="F540" s="21"/>
      <c r="G540" s="21"/>
      <c r="H540" s="21"/>
      <c r="I540" s="21"/>
      <c r="J540" s="21"/>
      <c r="K540" s="21"/>
      <c r="L540" s="21"/>
      <c r="M540" s="21"/>
      <c r="N540" s="21"/>
      <c r="O540" s="21"/>
      <c r="P540" s="21"/>
      <c r="Q540" s="21"/>
    </row>
    <row r="541">
      <c r="A541" s="220"/>
      <c r="B541" s="35"/>
      <c r="D541" s="21"/>
      <c r="E541" s="219"/>
      <c r="F541" s="21"/>
      <c r="G541" s="21"/>
      <c r="H541" s="21"/>
      <c r="I541" s="21"/>
      <c r="J541" s="21"/>
      <c r="K541" s="21"/>
      <c r="L541" s="21"/>
      <c r="M541" s="21"/>
      <c r="N541" s="21"/>
      <c r="O541" s="21"/>
      <c r="P541" s="21"/>
      <c r="Q541" s="21"/>
    </row>
    <row r="542">
      <c r="A542" s="220"/>
      <c r="B542" s="35"/>
      <c r="D542" s="21"/>
      <c r="E542" s="219"/>
      <c r="F542" s="21"/>
      <c r="G542" s="21"/>
      <c r="H542" s="21"/>
      <c r="I542" s="21"/>
      <c r="J542" s="21"/>
      <c r="K542" s="21"/>
      <c r="L542" s="21"/>
      <c r="M542" s="21"/>
      <c r="N542" s="21"/>
      <c r="O542" s="21"/>
      <c r="P542" s="21"/>
      <c r="Q542" s="21"/>
    </row>
    <row r="543">
      <c r="A543" s="220"/>
      <c r="B543" s="35"/>
      <c r="D543" s="21"/>
      <c r="E543" s="219"/>
      <c r="F543" s="21"/>
      <c r="G543" s="21"/>
      <c r="H543" s="21"/>
      <c r="I543" s="21"/>
      <c r="J543" s="21"/>
      <c r="K543" s="21"/>
      <c r="L543" s="21"/>
      <c r="M543" s="21"/>
      <c r="N543" s="21"/>
      <c r="O543" s="21"/>
      <c r="P543" s="21"/>
      <c r="Q543" s="21"/>
    </row>
    <row r="544">
      <c r="A544" s="220"/>
      <c r="B544" s="35"/>
      <c r="D544" s="21"/>
      <c r="E544" s="219"/>
      <c r="F544" s="21"/>
      <c r="G544" s="21"/>
      <c r="H544" s="21"/>
      <c r="I544" s="21"/>
      <c r="J544" s="21"/>
      <c r="K544" s="21"/>
      <c r="L544" s="21"/>
      <c r="M544" s="21"/>
      <c r="N544" s="21"/>
      <c r="O544" s="21"/>
      <c r="P544" s="21"/>
      <c r="Q544" s="21"/>
    </row>
    <row r="545">
      <c r="A545" s="220"/>
      <c r="B545" s="35"/>
      <c r="D545" s="21"/>
      <c r="E545" s="219"/>
      <c r="F545" s="21"/>
      <c r="G545" s="21"/>
      <c r="H545" s="21"/>
      <c r="I545" s="21"/>
      <c r="J545" s="21"/>
      <c r="K545" s="21"/>
      <c r="L545" s="21"/>
      <c r="M545" s="21"/>
      <c r="N545" s="21"/>
      <c r="O545" s="21"/>
      <c r="P545" s="21"/>
      <c r="Q545" s="21"/>
    </row>
    <row r="546">
      <c r="A546" s="220"/>
      <c r="B546" s="35"/>
      <c r="D546" s="21"/>
      <c r="E546" s="219"/>
      <c r="F546" s="21"/>
      <c r="G546" s="21"/>
      <c r="H546" s="21"/>
      <c r="I546" s="21"/>
      <c r="J546" s="21"/>
      <c r="K546" s="21"/>
      <c r="L546" s="21"/>
      <c r="M546" s="21"/>
      <c r="N546" s="21"/>
      <c r="O546" s="21"/>
      <c r="P546" s="21"/>
      <c r="Q546" s="21"/>
    </row>
    <row r="547">
      <c r="A547" s="220"/>
      <c r="B547" s="35"/>
      <c r="D547" s="21"/>
      <c r="E547" s="219"/>
      <c r="F547" s="21"/>
      <c r="G547" s="21"/>
      <c r="H547" s="21"/>
      <c r="I547" s="21"/>
      <c r="J547" s="21"/>
      <c r="K547" s="21"/>
      <c r="L547" s="21"/>
      <c r="M547" s="21"/>
      <c r="N547" s="21"/>
      <c r="O547" s="21"/>
      <c r="P547" s="21"/>
      <c r="Q547" s="21"/>
    </row>
    <row r="548">
      <c r="A548" s="220"/>
      <c r="B548" s="35"/>
      <c r="D548" s="21"/>
      <c r="E548" s="219"/>
      <c r="F548" s="21"/>
      <c r="G548" s="21"/>
      <c r="H548" s="21"/>
      <c r="I548" s="21"/>
      <c r="J548" s="21"/>
      <c r="K548" s="21"/>
      <c r="L548" s="21"/>
      <c r="M548" s="21"/>
      <c r="N548" s="21"/>
      <c r="O548" s="21"/>
      <c r="P548" s="21"/>
      <c r="Q548" s="21"/>
    </row>
    <row r="549">
      <c r="A549" s="220"/>
      <c r="B549" s="35"/>
      <c r="D549" s="21"/>
      <c r="E549" s="219"/>
      <c r="F549" s="21"/>
      <c r="G549" s="21"/>
      <c r="H549" s="21"/>
      <c r="I549" s="21"/>
      <c r="J549" s="21"/>
      <c r="K549" s="21"/>
      <c r="L549" s="21"/>
      <c r="M549" s="21"/>
      <c r="N549" s="21"/>
      <c r="O549" s="21"/>
      <c r="P549" s="21"/>
      <c r="Q549" s="21"/>
    </row>
    <row r="550">
      <c r="A550" s="220"/>
      <c r="B550" s="35"/>
      <c r="D550" s="21"/>
      <c r="E550" s="219"/>
      <c r="F550" s="21"/>
      <c r="G550" s="21"/>
      <c r="H550" s="21"/>
      <c r="I550" s="21"/>
      <c r="J550" s="21"/>
      <c r="K550" s="21"/>
      <c r="L550" s="21"/>
      <c r="M550" s="21"/>
      <c r="N550" s="21"/>
      <c r="O550" s="21"/>
      <c r="P550" s="21"/>
      <c r="Q550" s="21"/>
    </row>
    <row r="551">
      <c r="A551" s="220"/>
      <c r="B551" s="35"/>
      <c r="D551" s="21"/>
      <c r="E551" s="219"/>
      <c r="F551" s="21"/>
      <c r="G551" s="21"/>
      <c r="H551" s="21"/>
      <c r="I551" s="21"/>
      <c r="J551" s="21"/>
      <c r="K551" s="21"/>
      <c r="L551" s="21"/>
      <c r="M551" s="21"/>
      <c r="N551" s="21"/>
      <c r="O551" s="21"/>
      <c r="P551" s="21"/>
      <c r="Q551" s="21"/>
    </row>
    <row r="552">
      <c r="A552" s="220"/>
      <c r="B552" s="35"/>
      <c r="D552" s="21"/>
      <c r="E552" s="219"/>
      <c r="F552" s="21"/>
      <c r="G552" s="21"/>
      <c r="H552" s="21"/>
      <c r="I552" s="21"/>
      <c r="J552" s="21"/>
      <c r="K552" s="21"/>
      <c r="L552" s="21"/>
      <c r="M552" s="21"/>
      <c r="N552" s="21"/>
      <c r="O552" s="21"/>
      <c r="P552" s="21"/>
      <c r="Q552" s="21"/>
    </row>
    <row r="553">
      <c r="A553" s="220"/>
      <c r="B553" s="35"/>
      <c r="D553" s="21"/>
      <c r="E553" s="219"/>
      <c r="F553" s="21"/>
      <c r="G553" s="21"/>
      <c r="H553" s="21"/>
      <c r="I553" s="21"/>
      <c r="J553" s="21"/>
      <c r="K553" s="21"/>
      <c r="L553" s="21"/>
      <c r="M553" s="21"/>
      <c r="N553" s="21"/>
      <c r="O553" s="21"/>
      <c r="P553" s="21"/>
      <c r="Q553" s="21"/>
    </row>
    <row r="554">
      <c r="A554" s="220"/>
      <c r="B554" s="35"/>
      <c r="D554" s="21"/>
      <c r="E554" s="219"/>
      <c r="F554" s="21"/>
      <c r="G554" s="21"/>
      <c r="H554" s="21"/>
      <c r="I554" s="21"/>
      <c r="J554" s="21"/>
      <c r="K554" s="21"/>
      <c r="L554" s="21"/>
      <c r="M554" s="21"/>
      <c r="N554" s="21"/>
      <c r="O554" s="21"/>
      <c r="P554" s="21"/>
      <c r="Q554" s="21"/>
    </row>
    <row r="555">
      <c r="A555" s="220"/>
      <c r="B555" s="35"/>
      <c r="D555" s="21"/>
      <c r="E555" s="219"/>
      <c r="F555" s="21"/>
      <c r="G555" s="21"/>
      <c r="H555" s="21"/>
      <c r="I555" s="21"/>
      <c r="J555" s="21"/>
      <c r="K555" s="21"/>
      <c r="L555" s="21"/>
      <c r="M555" s="21"/>
      <c r="N555" s="21"/>
      <c r="O555" s="21"/>
      <c r="P555" s="21"/>
      <c r="Q555" s="21"/>
    </row>
    <row r="556">
      <c r="A556" s="220"/>
      <c r="B556" s="35"/>
      <c r="D556" s="21"/>
      <c r="E556" s="219"/>
      <c r="F556" s="21"/>
      <c r="G556" s="21"/>
      <c r="H556" s="21"/>
      <c r="I556" s="21"/>
      <c r="J556" s="21"/>
      <c r="K556" s="21"/>
      <c r="L556" s="21"/>
      <c r="M556" s="21"/>
      <c r="N556" s="21"/>
      <c r="O556" s="21"/>
      <c r="P556" s="21"/>
      <c r="Q556" s="21"/>
    </row>
    <row r="557">
      <c r="A557" s="220"/>
      <c r="B557" s="35"/>
      <c r="D557" s="21"/>
      <c r="E557" s="219"/>
      <c r="F557" s="21"/>
      <c r="G557" s="21"/>
      <c r="H557" s="21"/>
      <c r="I557" s="21"/>
      <c r="J557" s="21"/>
      <c r="K557" s="21"/>
      <c r="L557" s="21"/>
      <c r="M557" s="21"/>
      <c r="N557" s="21"/>
      <c r="O557" s="21"/>
      <c r="P557" s="21"/>
      <c r="Q557" s="21"/>
    </row>
    <row r="558">
      <c r="A558" s="220"/>
      <c r="B558" s="35"/>
      <c r="D558" s="21"/>
      <c r="E558" s="219"/>
      <c r="F558" s="21"/>
      <c r="G558" s="21"/>
      <c r="H558" s="21"/>
      <c r="I558" s="21"/>
      <c r="J558" s="21"/>
      <c r="K558" s="21"/>
      <c r="L558" s="21"/>
      <c r="M558" s="21"/>
      <c r="N558" s="21"/>
      <c r="O558" s="21"/>
      <c r="P558" s="21"/>
      <c r="Q558" s="21"/>
    </row>
    <row r="559">
      <c r="A559" s="220"/>
      <c r="B559" s="35"/>
      <c r="D559" s="21"/>
      <c r="E559" s="219"/>
      <c r="F559" s="21"/>
      <c r="G559" s="21"/>
      <c r="H559" s="21"/>
      <c r="I559" s="21"/>
      <c r="J559" s="21"/>
      <c r="K559" s="21"/>
      <c r="L559" s="21"/>
      <c r="M559" s="21"/>
      <c r="N559" s="21"/>
      <c r="O559" s="21"/>
      <c r="P559" s="21"/>
      <c r="Q559" s="21"/>
    </row>
    <row r="560">
      <c r="A560" s="220"/>
      <c r="B560" s="35"/>
      <c r="D560" s="21"/>
      <c r="E560" s="219"/>
      <c r="F560" s="21"/>
      <c r="G560" s="21"/>
      <c r="H560" s="21"/>
      <c r="I560" s="21"/>
      <c r="J560" s="21"/>
      <c r="K560" s="21"/>
      <c r="L560" s="21"/>
      <c r="M560" s="21"/>
      <c r="N560" s="21"/>
      <c r="O560" s="21"/>
      <c r="P560" s="21"/>
      <c r="Q560" s="21"/>
    </row>
    <row r="561">
      <c r="A561" s="220"/>
      <c r="B561" s="35"/>
      <c r="D561" s="21"/>
      <c r="E561" s="219"/>
      <c r="F561" s="21"/>
      <c r="G561" s="21"/>
      <c r="H561" s="21"/>
      <c r="I561" s="21"/>
      <c r="J561" s="21"/>
      <c r="K561" s="21"/>
      <c r="L561" s="21"/>
      <c r="M561" s="21"/>
      <c r="N561" s="21"/>
      <c r="O561" s="21"/>
      <c r="P561" s="21"/>
      <c r="Q561" s="21"/>
    </row>
    <row r="562">
      <c r="A562" s="220"/>
      <c r="B562" s="35"/>
      <c r="D562" s="21"/>
      <c r="E562" s="219"/>
      <c r="F562" s="21"/>
      <c r="G562" s="21"/>
      <c r="H562" s="21"/>
      <c r="I562" s="21"/>
      <c r="J562" s="21"/>
      <c r="K562" s="21"/>
      <c r="L562" s="21"/>
      <c r="M562" s="21"/>
      <c r="N562" s="21"/>
      <c r="O562" s="21"/>
      <c r="P562" s="21"/>
      <c r="Q562" s="21"/>
    </row>
    <row r="563">
      <c r="A563" s="220"/>
      <c r="B563" s="35"/>
      <c r="D563" s="21"/>
      <c r="E563" s="219"/>
      <c r="F563" s="21"/>
      <c r="G563" s="21"/>
      <c r="H563" s="21"/>
      <c r="I563" s="21"/>
      <c r="J563" s="21"/>
      <c r="K563" s="21"/>
      <c r="L563" s="21"/>
      <c r="M563" s="21"/>
      <c r="N563" s="21"/>
      <c r="O563" s="21"/>
      <c r="P563" s="21"/>
      <c r="Q563" s="21"/>
    </row>
    <row r="564">
      <c r="A564" s="220"/>
      <c r="B564" s="35"/>
      <c r="D564" s="21"/>
      <c r="E564" s="219"/>
      <c r="F564" s="21"/>
      <c r="G564" s="21"/>
      <c r="H564" s="21"/>
      <c r="I564" s="21"/>
      <c r="J564" s="21"/>
      <c r="K564" s="21"/>
      <c r="L564" s="21"/>
      <c r="M564" s="21"/>
      <c r="N564" s="21"/>
      <c r="O564" s="21"/>
      <c r="P564" s="21"/>
      <c r="Q564" s="21"/>
    </row>
    <row r="565">
      <c r="A565" s="220"/>
      <c r="B565" s="35"/>
      <c r="D565" s="21"/>
      <c r="E565" s="219"/>
      <c r="F565" s="21"/>
      <c r="G565" s="21"/>
      <c r="H565" s="21"/>
      <c r="I565" s="21"/>
      <c r="J565" s="21"/>
      <c r="K565" s="21"/>
      <c r="L565" s="21"/>
      <c r="M565" s="21"/>
      <c r="N565" s="21"/>
      <c r="O565" s="21"/>
      <c r="P565" s="21"/>
      <c r="Q565" s="21"/>
    </row>
    <row r="566">
      <c r="A566" s="220"/>
      <c r="B566" s="35"/>
      <c r="D566" s="21"/>
      <c r="E566" s="219"/>
      <c r="F566" s="21"/>
      <c r="G566" s="21"/>
      <c r="H566" s="21"/>
      <c r="I566" s="21"/>
      <c r="J566" s="21"/>
      <c r="K566" s="21"/>
      <c r="L566" s="21"/>
      <c r="M566" s="21"/>
      <c r="N566" s="21"/>
      <c r="O566" s="21"/>
      <c r="P566" s="21"/>
      <c r="Q566" s="21"/>
    </row>
    <row r="567">
      <c r="A567" s="220"/>
      <c r="B567" s="35"/>
      <c r="D567" s="21"/>
      <c r="E567" s="219"/>
      <c r="F567" s="21"/>
      <c r="G567" s="21"/>
      <c r="H567" s="21"/>
      <c r="I567" s="21"/>
      <c r="J567" s="21"/>
      <c r="K567" s="21"/>
      <c r="L567" s="21"/>
      <c r="M567" s="21"/>
      <c r="N567" s="21"/>
      <c r="O567" s="21"/>
      <c r="P567" s="21"/>
      <c r="Q567" s="21"/>
    </row>
    <row r="568">
      <c r="A568" s="220"/>
      <c r="B568" s="35"/>
      <c r="D568" s="21"/>
      <c r="E568" s="219"/>
      <c r="F568" s="21"/>
      <c r="G568" s="21"/>
      <c r="H568" s="21"/>
      <c r="I568" s="21"/>
      <c r="J568" s="21"/>
      <c r="K568" s="21"/>
      <c r="L568" s="21"/>
      <c r="M568" s="21"/>
      <c r="N568" s="21"/>
      <c r="O568" s="21"/>
      <c r="P568" s="21"/>
      <c r="Q568" s="21"/>
    </row>
    <row r="569">
      <c r="A569" s="220"/>
      <c r="B569" s="35"/>
      <c r="D569" s="21"/>
      <c r="E569" s="219"/>
      <c r="F569" s="21"/>
      <c r="G569" s="21"/>
      <c r="H569" s="21"/>
      <c r="I569" s="21"/>
      <c r="J569" s="21"/>
      <c r="K569" s="21"/>
      <c r="L569" s="21"/>
      <c r="M569" s="21"/>
      <c r="N569" s="21"/>
      <c r="O569" s="21"/>
      <c r="P569" s="21"/>
      <c r="Q569" s="21"/>
    </row>
    <row r="570">
      <c r="A570" s="220"/>
      <c r="B570" s="35"/>
      <c r="D570" s="21"/>
      <c r="E570" s="219"/>
      <c r="F570" s="21"/>
      <c r="G570" s="21"/>
      <c r="H570" s="21"/>
      <c r="I570" s="21"/>
      <c r="J570" s="21"/>
      <c r="K570" s="21"/>
      <c r="L570" s="21"/>
      <c r="M570" s="21"/>
      <c r="N570" s="21"/>
      <c r="O570" s="21"/>
      <c r="P570" s="21"/>
      <c r="Q570" s="21"/>
    </row>
    <row r="571">
      <c r="A571" s="220"/>
      <c r="B571" s="35"/>
      <c r="D571" s="21"/>
      <c r="E571" s="219"/>
      <c r="F571" s="21"/>
      <c r="G571" s="21"/>
      <c r="H571" s="21"/>
      <c r="I571" s="21"/>
      <c r="J571" s="21"/>
      <c r="K571" s="21"/>
      <c r="L571" s="21"/>
      <c r="M571" s="21"/>
      <c r="N571" s="21"/>
      <c r="O571" s="21"/>
      <c r="P571" s="21"/>
      <c r="Q571" s="21"/>
    </row>
    <row r="572">
      <c r="A572" s="220"/>
      <c r="B572" s="35"/>
      <c r="D572" s="21"/>
      <c r="E572" s="219"/>
      <c r="F572" s="21"/>
      <c r="G572" s="21"/>
      <c r="H572" s="21"/>
      <c r="I572" s="21"/>
      <c r="J572" s="21"/>
      <c r="K572" s="21"/>
      <c r="L572" s="21"/>
      <c r="M572" s="21"/>
      <c r="N572" s="21"/>
      <c r="O572" s="21"/>
      <c r="P572" s="21"/>
      <c r="Q572" s="21"/>
    </row>
    <row r="573">
      <c r="A573" s="220"/>
      <c r="B573" s="35"/>
      <c r="D573" s="21"/>
      <c r="E573" s="219"/>
      <c r="F573" s="21"/>
      <c r="G573" s="21"/>
      <c r="H573" s="21"/>
      <c r="I573" s="21"/>
      <c r="J573" s="21"/>
      <c r="K573" s="21"/>
      <c r="L573" s="21"/>
      <c r="M573" s="21"/>
      <c r="N573" s="21"/>
      <c r="O573" s="21"/>
      <c r="P573" s="21"/>
      <c r="Q573" s="21"/>
    </row>
    <row r="574">
      <c r="A574" s="220"/>
      <c r="B574" s="35"/>
      <c r="D574" s="21"/>
      <c r="E574" s="219"/>
      <c r="F574" s="21"/>
      <c r="G574" s="21"/>
      <c r="H574" s="21"/>
      <c r="I574" s="21"/>
      <c r="J574" s="21"/>
      <c r="K574" s="21"/>
      <c r="L574" s="21"/>
      <c r="M574" s="21"/>
      <c r="N574" s="21"/>
      <c r="O574" s="21"/>
      <c r="P574" s="21"/>
      <c r="Q574" s="21"/>
    </row>
    <row r="575">
      <c r="A575" s="220"/>
      <c r="B575" s="35"/>
      <c r="D575" s="21"/>
      <c r="E575" s="219"/>
      <c r="F575" s="21"/>
      <c r="G575" s="21"/>
      <c r="H575" s="21"/>
      <c r="I575" s="21"/>
      <c r="J575" s="21"/>
      <c r="K575" s="21"/>
      <c r="L575" s="21"/>
      <c r="M575" s="21"/>
      <c r="N575" s="21"/>
      <c r="O575" s="21"/>
      <c r="P575" s="21"/>
      <c r="Q575" s="21"/>
    </row>
    <row r="576">
      <c r="A576" s="220"/>
      <c r="B576" s="35"/>
      <c r="D576" s="21"/>
      <c r="E576" s="219"/>
      <c r="F576" s="21"/>
      <c r="G576" s="21"/>
      <c r="H576" s="21"/>
      <c r="I576" s="21"/>
      <c r="J576" s="21"/>
      <c r="K576" s="21"/>
      <c r="L576" s="21"/>
      <c r="M576" s="21"/>
      <c r="N576" s="21"/>
      <c r="O576" s="21"/>
      <c r="P576" s="21"/>
      <c r="Q576" s="21"/>
    </row>
    <row r="577">
      <c r="A577" s="220"/>
      <c r="B577" s="35"/>
      <c r="D577" s="21"/>
      <c r="E577" s="219"/>
      <c r="F577" s="21"/>
      <c r="G577" s="21"/>
      <c r="H577" s="21"/>
      <c r="I577" s="21"/>
      <c r="J577" s="21"/>
      <c r="K577" s="21"/>
      <c r="L577" s="21"/>
      <c r="M577" s="21"/>
      <c r="N577" s="21"/>
      <c r="O577" s="21"/>
      <c r="P577" s="21"/>
      <c r="Q577" s="21"/>
    </row>
    <row r="578">
      <c r="A578" s="220"/>
      <c r="B578" s="35"/>
      <c r="D578" s="21"/>
      <c r="E578" s="219"/>
      <c r="F578" s="21"/>
      <c r="G578" s="21"/>
      <c r="H578" s="21"/>
      <c r="I578" s="21"/>
      <c r="J578" s="21"/>
      <c r="K578" s="21"/>
      <c r="L578" s="21"/>
      <c r="M578" s="21"/>
      <c r="N578" s="21"/>
      <c r="O578" s="21"/>
      <c r="P578" s="21"/>
      <c r="Q578" s="21"/>
    </row>
    <row r="579">
      <c r="A579" s="220"/>
      <c r="B579" s="35"/>
      <c r="D579" s="21"/>
      <c r="E579" s="219"/>
      <c r="F579" s="21"/>
      <c r="G579" s="21"/>
      <c r="H579" s="21"/>
      <c r="I579" s="21"/>
      <c r="J579" s="21"/>
      <c r="K579" s="21"/>
      <c r="L579" s="21"/>
      <c r="M579" s="21"/>
      <c r="N579" s="21"/>
      <c r="O579" s="21"/>
      <c r="P579" s="21"/>
      <c r="Q579" s="21"/>
    </row>
    <row r="580">
      <c r="A580" s="220"/>
      <c r="B580" s="35"/>
      <c r="D580" s="21"/>
      <c r="E580" s="219"/>
      <c r="F580" s="21"/>
      <c r="G580" s="21"/>
      <c r="H580" s="21"/>
      <c r="I580" s="21"/>
      <c r="J580" s="21"/>
      <c r="K580" s="21"/>
      <c r="L580" s="21"/>
      <c r="M580" s="21"/>
      <c r="N580" s="21"/>
      <c r="O580" s="21"/>
      <c r="P580" s="21"/>
      <c r="Q580" s="21"/>
    </row>
    <row r="581">
      <c r="A581" s="220"/>
      <c r="B581" s="35"/>
      <c r="D581" s="21"/>
      <c r="E581" s="219"/>
      <c r="F581" s="21"/>
      <c r="G581" s="21"/>
      <c r="H581" s="21"/>
      <c r="I581" s="21"/>
      <c r="J581" s="21"/>
      <c r="K581" s="21"/>
      <c r="L581" s="21"/>
      <c r="M581" s="21"/>
      <c r="N581" s="21"/>
      <c r="O581" s="21"/>
      <c r="P581" s="21"/>
      <c r="Q581" s="21"/>
    </row>
    <row r="582">
      <c r="A582" s="220"/>
      <c r="B582" s="35"/>
      <c r="D582" s="21"/>
      <c r="E582" s="219"/>
      <c r="F582" s="21"/>
      <c r="G582" s="21"/>
      <c r="H582" s="21"/>
      <c r="I582" s="21"/>
      <c r="J582" s="21"/>
      <c r="K582" s="21"/>
      <c r="L582" s="21"/>
      <c r="M582" s="21"/>
      <c r="N582" s="21"/>
      <c r="O582" s="21"/>
      <c r="P582" s="21"/>
      <c r="Q582" s="21"/>
    </row>
    <row r="583">
      <c r="A583" s="220"/>
      <c r="B583" s="35"/>
      <c r="D583" s="21"/>
      <c r="E583" s="219"/>
      <c r="F583" s="21"/>
      <c r="G583" s="21"/>
      <c r="H583" s="21"/>
      <c r="I583" s="21"/>
      <c r="J583" s="21"/>
      <c r="K583" s="21"/>
      <c r="L583" s="21"/>
      <c r="M583" s="21"/>
      <c r="N583" s="21"/>
      <c r="O583" s="21"/>
      <c r="P583" s="21"/>
      <c r="Q583" s="21"/>
    </row>
    <row r="584">
      <c r="A584" s="220"/>
      <c r="B584" s="35"/>
      <c r="D584" s="21"/>
      <c r="E584" s="219"/>
      <c r="F584" s="21"/>
      <c r="G584" s="21"/>
      <c r="H584" s="21"/>
      <c r="I584" s="21"/>
      <c r="J584" s="21"/>
      <c r="K584" s="21"/>
      <c r="L584" s="21"/>
      <c r="M584" s="21"/>
      <c r="N584" s="21"/>
      <c r="O584" s="21"/>
      <c r="P584" s="21"/>
      <c r="Q584" s="21"/>
    </row>
    <row r="585">
      <c r="A585" s="220"/>
      <c r="B585" s="35"/>
      <c r="D585" s="21"/>
      <c r="E585" s="219"/>
      <c r="F585" s="21"/>
      <c r="G585" s="21"/>
      <c r="H585" s="21"/>
      <c r="I585" s="21"/>
      <c r="J585" s="21"/>
      <c r="K585" s="21"/>
      <c r="L585" s="21"/>
      <c r="M585" s="21"/>
      <c r="N585" s="21"/>
      <c r="O585" s="21"/>
      <c r="P585" s="21"/>
      <c r="Q585" s="21"/>
    </row>
    <row r="586">
      <c r="A586" s="220"/>
      <c r="B586" s="35"/>
      <c r="D586" s="21"/>
      <c r="E586" s="219"/>
      <c r="F586" s="21"/>
      <c r="G586" s="21"/>
      <c r="H586" s="21"/>
      <c r="I586" s="21"/>
      <c r="J586" s="21"/>
      <c r="K586" s="21"/>
      <c r="L586" s="21"/>
      <c r="M586" s="21"/>
      <c r="N586" s="21"/>
      <c r="O586" s="21"/>
      <c r="P586" s="21"/>
      <c r="Q586" s="21"/>
    </row>
    <row r="587">
      <c r="A587" s="220"/>
      <c r="B587" s="35"/>
      <c r="D587" s="21"/>
      <c r="E587" s="219"/>
      <c r="F587" s="21"/>
      <c r="G587" s="21"/>
      <c r="H587" s="21"/>
      <c r="I587" s="21"/>
      <c r="J587" s="21"/>
      <c r="K587" s="21"/>
      <c r="L587" s="21"/>
      <c r="M587" s="21"/>
      <c r="N587" s="21"/>
      <c r="O587" s="21"/>
      <c r="P587" s="21"/>
      <c r="Q587" s="21"/>
    </row>
    <row r="588">
      <c r="A588" s="220"/>
      <c r="B588" s="35"/>
      <c r="D588" s="21"/>
      <c r="E588" s="219"/>
      <c r="F588" s="21"/>
      <c r="G588" s="21"/>
      <c r="H588" s="21"/>
      <c r="I588" s="21"/>
      <c r="J588" s="21"/>
      <c r="K588" s="21"/>
      <c r="L588" s="21"/>
      <c r="M588" s="21"/>
      <c r="N588" s="21"/>
      <c r="O588" s="21"/>
      <c r="P588" s="21"/>
      <c r="Q588" s="21"/>
    </row>
    <row r="589">
      <c r="A589" s="220"/>
      <c r="B589" s="35"/>
      <c r="D589" s="21"/>
      <c r="E589" s="219"/>
      <c r="F589" s="21"/>
      <c r="G589" s="21"/>
      <c r="H589" s="21"/>
      <c r="I589" s="21"/>
      <c r="J589" s="21"/>
      <c r="K589" s="21"/>
      <c r="L589" s="21"/>
      <c r="M589" s="21"/>
      <c r="N589" s="21"/>
      <c r="O589" s="21"/>
      <c r="P589" s="21"/>
      <c r="Q589" s="21"/>
    </row>
    <row r="590">
      <c r="A590" s="220"/>
      <c r="B590" s="35"/>
      <c r="D590" s="21"/>
      <c r="E590" s="219"/>
      <c r="F590" s="21"/>
      <c r="G590" s="21"/>
      <c r="H590" s="21"/>
      <c r="I590" s="21"/>
      <c r="J590" s="21"/>
      <c r="K590" s="21"/>
      <c r="L590" s="21"/>
      <c r="M590" s="21"/>
      <c r="N590" s="21"/>
      <c r="O590" s="21"/>
      <c r="P590" s="21"/>
      <c r="Q590" s="21"/>
    </row>
    <row r="591">
      <c r="A591" s="220"/>
      <c r="B591" s="35"/>
      <c r="D591" s="21"/>
      <c r="E591" s="219"/>
      <c r="F591" s="21"/>
      <c r="G591" s="21"/>
      <c r="H591" s="21"/>
      <c r="I591" s="21"/>
      <c r="J591" s="21"/>
      <c r="K591" s="21"/>
      <c r="L591" s="21"/>
      <c r="M591" s="21"/>
      <c r="N591" s="21"/>
      <c r="O591" s="21"/>
      <c r="P591" s="21"/>
      <c r="Q591" s="21"/>
    </row>
    <row r="592">
      <c r="A592" s="220"/>
      <c r="B592" s="35"/>
      <c r="D592" s="21"/>
      <c r="E592" s="219"/>
      <c r="F592" s="21"/>
      <c r="G592" s="21"/>
      <c r="H592" s="21"/>
      <c r="I592" s="21"/>
      <c r="J592" s="21"/>
      <c r="K592" s="21"/>
      <c r="L592" s="21"/>
      <c r="M592" s="21"/>
      <c r="N592" s="21"/>
      <c r="O592" s="21"/>
      <c r="P592" s="21"/>
      <c r="Q592" s="21"/>
    </row>
    <row r="593">
      <c r="A593" s="220"/>
      <c r="B593" s="35"/>
      <c r="D593" s="21"/>
      <c r="E593" s="219"/>
      <c r="F593" s="21"/>
      <c r="G593" s="21"/>
      <c r="H593" s="21"/>
      <c r="I593" s="21"/>
      <c r="J593" s="21"/>
      <c r="K593" s="21"/>
      <c r="L593" s="21"/>
      <c r="M593" s="21"/>
      <c r="N593" s="21"/>
      <c r="O593" s="21"/>
      <c r="P593" s="21"/>
      <c r="Q593" s="21"/>
    </row>
    <row r="594">
      <c r="A594" s="220"/>
      <c r="B594" s="35"/>
      <c r="D594" s="21"/>
      <c r="E594" s="219"/>
      <c r="F594" s="21"/>
      <c r="G594" s="21"/>
      <c r="H594" s="21"/>
      <c r="I594" s="21"/>
      <c r="J594" s="21"/>
      <c r="K594" s="21"/>
      <c r="L594" s="21"/>
      <c r="M594" s="21"/>
      <c r="N594" s="21"/>
      <c r="O594" s="21"/>
      <c r="P594" s="21"/>
      <c r="Q594" s="21"/>
    </row>
    <row r="595">
      <c r="A595" s="220"/>
      <c r="B595" s="35"/>
      <c r="D595" s="21"/>
      <c r="E595" s="219"/>
      <c r="F595" s="21"/>
      <c r="G595" s="21"/>
      <c r="H595" s="21"/>
      <c r="I595" s="21"/>
      <c r="J595" s="21"/>
      <c r="K595" s="21"/>
      <c r="L595" s="21"/>
      <c r="M595" s="21"/>
      <c r="N595" s="21"/>
      <c r="O595" s="21"/>
      <c r="P595" s="21"/>
      <c r="Q595" s="21"/>
    </row>
    <row r="596">
      <c r="A596" s="220"/>
      <c r="B596" s="35"/>
      <c r="D596" s="21"/>
      <c r="E596" s="219"/>
      <c r="F596" s="21"/>
      <c r="G596" s="21"/>
      <c r="H596" s="21"/>
      <c r="I596" s="21"/>
      <c r="J596" s="21"/>
      <c r="K596" s="21"/>
      <c r="L596" s="21"/>
      <c r="M596" s="21"/>
      <c r="N596" s="21"/>
      <c r="O596" s="21"/>
      <c r="P596" s="21"/>
      <c r="Q596" s="21"/>
    </row>
    <row r="597">
      <c r="A597" s="220"/>
      <c r="B597" s="35"/>
      <c r="D597" s="21"/>
      <c r="E597" s="219"/>
      <c r="F597" s="21"/>
      <c r="G597" s="21"/>
      <c r="H597" s="21"/>
      <c r="I597" s="21"/>
      <c r="J597" s="21"/>
      <c r="K597" s="21"/>
      <c r="L597" s="21"/>
      <c r="M597" s="21"/>
      <c r="N597" s="21"/>
      <c r="O597" s="21"/>
      <c r="P597" s="21"/>
      <c r="Q597" s="21"/>
    </row>
    <row r="598">
      <c r="A598" s="220"/>
      <c r="B598" s="35"/>
      <c r="D598" s="21"/>
      <c r="E598" s="219"/>
      <c r="F598" s="21"/>
      <c r="G598" s="21"/>
      <c r="H598" s="21"/>
      <c r="I598" s="21"/>
      <c r="J598" s="21"/>
      <c r="K598" s="21"/>
      <c r="L598" s="21"/>
      <c r="M598" s="21"/>
      <c r="N598" s="21"/>
      <c r="O598" s="21"/>
      <c r="P598" s="21"/>
      <c r="Q598" s="21"/>
    </row>
    <row r="599">
      <c r="A599" s="220"/>
      <c r="B599" s="35"/>
      <c r="D599" s="21"/>
      <c r="E599" s="219"/>
      <c r="F599" s="21"/>
      <c r="G599" s="21"/>
      <c r="H599" s="21"/>
      <c r="I599" s="21"/>
      <c r="J599" s="21"/>
      <c r="K599" s="21"/>
      <c r="L599" s="21"/>
      <c r="M599" s="21"/>
      <c r="N599" s="21"/>
      <c r="O599" s="21"/>
      <c r="P599" s="21"/>
      <c r="Q599" s="21"/>
    </row>
    <row r="600">
      <c r="A600" s="220"/>
      <c r="B600" s="35"/>
      <c r="D600" s="21"/>
      <c r="E600" s="219"/>
      <c r="F600" s="21"/>
      <c r="G600" s="21"/>
      <c r="H600" s="21"/>
      <c r="I600" s="21"/>
      <c r="J600" s="21"/>
      <c r="K600" s="21"/>
      <c r="L600" s="21"/>
      <c r="M600" s="21"/>
      <c r="N600" s="21"/>
      <c r="O600" s="21"/>
      <c r="P600" s="21"/>
      <c r="Q600" s="21"/>
    </row>
    <row r="601">
      <c r="A601" s="220"/>
      <c r="B601" s="35"/>
      <c r="D601" s="21"/>
      <c r="E601" s="219"/>
      <c r="F601" s="21"/>
      <c r="G601" s="21"/>
      <c r="H601" s="21"/>
      <c r="I601" s="21"/>
      <c r="J601" s="21"/>
      <c r="K601" s="21"/>
      <c r="L601" s="21"/>
      <c r="M601" s="21"/>
      <c r="N601" s="21"/>
      <c r="O601" s="21"/>
      <c r="P601" s="21"/>
      <c r="Q601" s="21"/>
    </row>
    <row r="602">
      <c r="A602" s="220"/>
      <c r="B602" s="35"/>
      <c r="D602" s="21"/>
      <c r="E602" s="219"/>
      <c r="F602" s="21"/>
      <c r="G602" s="21"/>
      <c r="H602" s="21"/>
      <c r="I602" s="21"/>
      <c r="J602" s="21"/>
      <c r="K602" s="21"/>
      <c r="L602" s="21"/>
      <c r="M602" s="21"/>
      <c r="N602" s="21"/>
      <c r="O602" s="21"/>
      <c r="P602" s="21"/>
      <c r="Q602" s="21"/>
    </row>
    <row r="603">
      <c r="A603" s="220"/>
      <c r="B603" s="35"/>
      <c r="D603" s="21"/>
      <c r="E603" s="219"/>
      <c r="F603" s="21"/>
      <c r="G603" s="21"/>
      <c r="H603" s="21"/>
      <c r="I603" s="21"/>
      <c r="J603" s="21"/>
      <c r="K603" s="21"/>
      <c r="L603" s="21"/>
      <c r="M603" s="21"/>
      <c r="N603" s="21"/>
      <c r="O603" s="21"/>
      <c r="P603" s="21"/>
      <c r="Q603" s="21"/>
    </row>
    <row r="604">
      <c r="A604" s="220"/>
      <c r="B604" s="35"/>
      <c r="D604" s="21"/>
      <c r="E604" s="219"/>
      <c r="F604" s="21"/>
      <c r="G604" s="21"/>
      <c r="H604" s="21"/>
      <c r="I604" s="21"/>
      <c r="J604" s="21"/>
      <c r="K604" s="21"/>
      <c r="L604" s="21"/>
      <c r="M604" s="21"/>
      <c r="N604" s="21"/>
      <c r="O604" s="21"/>
      <c r="P604" s="21"/>
      <c r="Q604" s="21"/>
    </row>
    <row r="605">
      <c r="A605" s="220"/>
      <c r="B605" s="35"/>
      <c r="D605" s="21"/>
      <c r="E605" s="219"/>
      <c r="F605" s="21"/>
      <c r="G605" s="21"/>
      <c r="H605" s="21"/>
      <c r="I605" s="21"/>
      <c r="J605" s="21"/>
      <c r="K605" s="21"/>
      <c r="L605" s="21"/>
      <c r="M605" s="21"/>
      <c r="N605" s="21"/>
      <c r="O605" s="21"/>
      <c r="P605" s="21"/>
      <c r="Q605" s="21"/>
    </row>
    <row r="606">
      <c r="A606" s="220"/>
      <c r="B606" s="35"/>
      <c r="D606" s="21"/>
      <c r="E606" s="219"/>
      <c r="F606" s="21"/>
      <c r="G606" s="21"/>
      <c r="H606" s="21"/>
      <c r="I606" s="21"/>
      <c r="J606" s="21"/>
      <c r="K606" s="21"/>
      <c r="L606" s="21"/>
      <c r="M606" s="21"/>
      <c r="N606" s="21"/>
      <c r="O606" s="21"/>
      <c r="P606" s="21"/>
      <c r="Q606" s="21"/>
    </row>
    <row r="607">
      <c r="A607" s="220"/>
      <c r="B607" s="35"/>
      <c r="D607" s="21"/>
      <c r="E607" s="219"/>
      <c r="F607" s="21"/>
      <c r="G607" s="21"/>
      <c r="H607" s="21"/>
      <c r="I607" s="21"/>
      <c r="J607" s="21"/>
      <c r="K607" s="21"/>
      <c r="L607" s="21"/>
      <c r="M607" s="21"/>
      <c r="N607" s="21"/>
      <c r="O607" s="21"/>
      <c r="P607" s="21"/>
      <c r="Q607" s="21"/>
    </row>
    <row r="608">
      <c r="A608" s="220"/>
      <c r="B608" s="35"/>
      <c r="D608" s="21"/>
      <c r="E608" s="219"/>
      <c r="F608" s="21"/>
      <c r="G608" s="21"/>
      <c r="H608" s="21"/>
      <c r="I608" s="21"/>
      <c r="J608" s="21"/>
      <c r="K608" s="21"/>
      <c r="L608" s="21"/>
      <c r="M608" s="21"/>
      <c r="N608" s="21"/>
      <c r="O608" s="21"/>
      <c r="P608" s="21"/>
      <c r="Q608" s="21"/>
    </row>
    <row r="609">
      <c r="A609" s="220"/>
      <c r="B609" s="35"/>
      <c r="D609" s="21"/>
      <c r="E609" s="219"/>
      <c r="F609" s="21"/>
      <c r="G609" s="21"/>
      <c r="H609" s="21"/>
      <c r="I609" s="21"/>
      <c r="J609" s="21"/>
      <c r="K609" s="21"/>
      <c r="L609" s="21"/>
      <c r="M609" s="21"/>
      <c r="N609" s="21"/>
      <c r="O609" s="21"/>
      <c r="P609" s="21"/>
      <c r="Q609" s="21"/>
    </row>
    <row r="610">
      <c r="A610" s="220"/>
      <c r="B610" s="35"/>
      <c r="D610" s="21"/>
      <c r="E610" s="219"/>
      <c r="F610" s="21"/>
      <c r="G610" s="21"/>
      <c r="H610" s="21"/>
      <c r="I610" s="21"/>
      <c r="J610" s="21"/>
      <c r="K610" s="21"/>
      <c r="L610" s="21"/>
      <c r="M610" s="21"/>
      <c r="N610" s="21"/>
      <c r="O610" s="21"/>
      <c r="P610" s="21"/>
      <c r="Q610" s="21"/>
    </row>
    <row r="611">
      <c r="A611" s="220"/>
      <c r="B611" s="35"/>
      <c r="D611" s="21"/>
      <c r="E611" s="219"/>
      <c r="F611" s="21"/>
      <c r="G611" s="21"/>
      <c r="H611" s="21"/>
      <c r="I611" s="21"/>
      <c r="J611" s="21"/>
      <c r="K611" s="21"/>
      <c r="L611" s="21"/>
      <c r="M611" s="21"/>
      <c r="N611" s="21"/>
      <c r="O611" s="21"/>
      <c r="P611" s="21"/>
      <c r="Q611" s="21"/>
    </row>
    <row r="612">
      <c r="A612" s="220"/>
      <c r="B612" s="35"/>
      <c r="D612" s="21"/>
      <c r="E612" s="219"/>
      <c r="F612" s="21"/>
      <c r="G612" s="21"/>
      <c r="H612" s="21"/>
      <c r="I612" s="21"/>
      <c r="J612" s="21"/>
      <c r="K612" s="21"/>
      <c r="L612" s="21"/>
      <c r="M612" s="21"/>
      <c r="N612" s="21"/>
      <c r="O612" s="21"/>
      <c r="P612" s="21"/>
      <c r="Q612" s="21"/>
    </row>
    <row r="613">
      <c r="A613" s="220"/>
      <c r="B613" s="35"/>
      <c r="D613" s="21"/>
      <c r="E613" s="219"/>
      <c r="F613" s="21"/>
      <c r="G613" s="21"/>
      <c r="H613" s="21"/>
      <c r="I613" s="21"/>
      <c r="J613" s="21"/>
      <c r="K613" s="21"/>
      <c r="L613" s="21"/>
      <c r="M613" s="21"/>
      <c r="N613" s="21"/>
      <c r="O613" s="21"/>
      <c r="P613" s="21"/>
      <c r="Q613" s="21"/>
    </row>
    <row r="614">
      <c r="A614" s="220"/>
      <c r="B614" s="35"/>
      <c r="D614" s="21"/>
      <c r="E614" s="219"/>
      <c r="F614" s="21"/>
      <c r="G614" s="21"/>
      <c r="H614" s="21"/>
      <c r="I614" s="21"/>
      <c r="J614" s="21"/>
      <c r="K614" s="21"/>
      <c r="L614" s="21"/>
      <c r="M614" s="21"/>
      <c r="N614" s="21"/>
      <c r="O614" s="21"/>
      <c r="P614" s="21"/>
      <c r="Q614" s="21"/>
    </row>
    <row r="615">
      <c r="A615" s="220"/>
      <c r="B615" s="35"/>
      <c r="D615" s="21"/>
      <c r="E615" s="219"/>
      <c r="F615" s="21"/>
      <c r="G615" s="21"/>
      <c r="H615" s="21"/>
      <c r="I615" s="21"/>
      <c r="J615" s="21"/>
      <c r="K615" s="21"/>
      <c r="L615" s="21"/>
      <c r="M615" s="21"/>
      <c r="N615" s="21"/>
      <c r="O615" s="21"/>
      <c r="P615" s="21"/>
      <c r="Q615" s="21"/>
    </row>
    <row r="616">
      <c r="A616" s="220"/>
      <c r="B616" s="35"/>
      <c r="D616" s="21"/>
      <c r="E616" s="219"/>
      <c r="F616" s="21"/>
      <c r="G616" s="21"/>
      <c r="H616" s="21"/>
      <c r="I616" s="21"/>
      <c r="J616" s="21"/>
      <c r="K616" s="21"/>
      <c r="L616" s="21"/>
      <c r="M616" s="21"/>
      <c r="N616" s="21"/>
      <c r="O616" s="21"/>
      <c r="P616" s="21"/>
      <c r="Q616" s="21"/>
    </row>
    <row r="617">
      <c r="A617" s="220"/>
      <c r="B617" s="35"/>
      <c r="D617" s="21"/>
      <c r="E617" s="219"/>
      <c r="F617" s="21"/>
      <c r="G617" s="21"/>
      <c r="H617" s="21"/>
      <c r="I617" s="21"/>
      <c r="J617" s="21"/>
      <c r="K617" s="21"/>
      <c r="L617" s="21"/>
      <c r="M617" s="21"/>
      <c r="N617" s="21"/>
      <c r="O617" s="21"/>
      <c r="P617" s="21"/>
      <c r="Q617" s="21"/>
    </row>
    <row r="618">
      <c r="A618" s="220"/>
      <c r="B618" s="35"/>
      <c r="D618" s="21"/>
      <c r="E618" s="219"/>
      <c r="F618" s="21"/>
      <c r="G618" s="21"/>
      <c r="H618" s="21"/>
      <c r="I618" s="21"/>
      <c r="J618" s="21"/>
      <c r="K618" s="21"/>
      <c r="L618" s="21"/>
      <c r="M618" s="21"/>
      <c r="N618" s="21"/>
      <c r="O618" s="21"/>
      <c r="P618" s="21"/>
      <c r="Q618" s="21"/>
    </row>
    <row r="619">
      <c r="A619" s="220"/>
      <c r="B619" s="35"/>
      <c r="D619" s="21"/>
      <c r="E619" s="219"/>
      <c r="F619" s="21"/>
      <c r="G619" s="21"/>
      <c r="H619" s="21"/>
      <c r="I619" s="21"/>
      <c r="J619" s="21"/>
      <c r="K619" s="21"/>
      <c r="L619" s="21"/>
      <c r="M619" s="21"/>
      <c r="N619" s="21"/>
      <c r="O619" s="21"/>
      <c r="P619" s="21"/>
      <c r="Q619" s="21"/>
    </row>
    <row r="620">
      <c r="A620" s="220"/>
      <c r="B620" s="35"/>
      <c r="D620" s="21"/>
      <c r="E620" s="219"/>
      <c r="F620" s="21"/>
      <c r="G620" s="21"/>
      <c r="H620" s="21"/>
      <c r="I620" s="21"/>
      <c r="J620" s="21"/>
      <c r="K620" s="21"/>
      <c r="L620" s="21"/>
      <c r="M620" s="21"/>
      <c r="N620" s="21"/>
      <c r="O620" s="21"/>
      <c r="P620" s="21"/>
      <c r="Q620" s="21"/>
    </row>
    <row r="621">
      <c r="A621" s="220"/>
      <c r="B621" s="35"/>
      <c r="D621" s="21"/>
      <c r="E621" s="219"/>
      <c r="F621" s="21"/>
      <c r="G621" s="21"/>
      <c r="H621" s="21"/>
      <c r="I621" s="21"/>
      <c r="J621" s="21"/>
      <c r="K621" s="21"/>
      <c r="L621" s="21"/>
      <c r="M621" s="21"/>
      <c r="N621" s="21"/>
      <c r="O621" s="21"/>
      <c r="P621" s="21"/>
      <c r="Q621" s="21"/>
    </row>
    <row r="622">
      <c r="A622" s="220"/>
      <c r="B622" s="35"/>
      <c r="D622" s="21"/>
      <c r="E622" s="219"/>
      <c r="F622" s="21"/>
      <c r="G622" s="21"/>
      <c r="H622" s="21"/>
      <c r="I622" s="21"/>
      <c r="J622" s="21"/>
      <c r="K622" s="21"/>
      <c r="L622" s="21"/>
      <c r="M622" s="21"/>
      <c r="N622" s="21"/>
      <c r="O622" s="21"/>
      <c r="P622" s="21"/>
      <c r="Q622" s="21"/>
    </row>
    <row r="623">
      <c r="A623" s="220"/>
      <c r="B623" s="35"/>
      <c r="D623" s="21"/>
      <c r="E623" s="219"/>
      <c r="F623" s="21"/>
      <c r="G623" s="21"/>
      <c r="H623" s="21"/>
      <c r="I623" s="21"/>
      <c r="J623" s="21"/>
      <c r="K623" s="21"/>
      <c r="L623" s="21"/>
      <c r="M623" s="21"/>
      <c r="N623" s="21"/>
      <c r="O623" s="21"/>
      <c r="P623" s="21"/>
      <c r="Q623" s="21"/>
    </row>
    <row r="624">
      <c r="A624" s="220"/>
      <c r="B624" s="35"/>
      <c r="D624" s="21"/>
      <c r="E624" s="219"/>
      <c r="F624" s="21"/>
      <c r="G624" s="21"/>
      <c r="H624" s="21"/>
      <c r="I624" s="21"/>
      <c r="J624" s="21"/>
      <c r="K624" s="21"/>
      <c r="L624" s="21"/>
      <c r="M624" s="21"/>
      <c r="N624" s="21"/>
      <c r="O624" s="21"/>
      <c r="P624" s="21"/>
      <c r="Q624" s="21"/>
    </row>
    <row r="625">
      <c r="A625" s="220"/>
      <c r="B625" s="35"/>
      <c r="D625" s="21"/>
      <c r="E625" s="219"/>
      <c r="F625" s="21"/>
      <c r="G625" s="21"/>
      <c r="H625" s="21"/>
      <c r="I625" s="21"/>
      <c r="J625" s="21"/>
      <c r="K625" s="21"/>
      <c r="L625" s="21"/>
      <c r="M625" s="21"/>
      <c r="N625" s="21"/>
      <c r="O625" s="21"/>
      <c r="P625" s="21"/>
      <c r="Q625" s="21"/>
    </row>
    <row r="626">
      <c r="A626" s="220"/>
      <c r="B626" s="35"/>
      <c r="D626" s="21"/>
      <c r="E626" s="219"/>
      <c r="F626" s="21"/>
      <c r="G626" s="21"/>
      <c r="H626" s="21"/>
      <c r="I626" s="21"/>
      <c r="J626" s="21"/>
      <c r="K626" s="21"/>
      <c r="L626" s="21"/>
      <c r="M626" s="21"/>
      <c r="N626" s="21"/>
      <c r="O626" s="21"/>
      <c r="P626" s="21"/>
      <c r="Q626" s="21"/>
    </row>
    <row r="627">
      <c r="A627" s="220"/>
      <c r="B627" s="35"/>
      <c r="D627" s="21"/>
      <c r="E627" s="219"/>
      <c r="F627" s="21"/>
      <c r="G627" s="21"/>
      <c r="H627" s="21"/>
      <c r="I627" s="21"/>
      <c r="J627" s="21"/>
      <c r="K627" s="21"/>
      <c r="L627" s="21"/>
      <c r="M627" s="21"/>
      <c r="N627" s="21"/>
      <c r="O627" s="21"/>
      <c r="P627" s="21"/>
      <c r="Q627" s="21"/>
    </row>
    <row r="628">
      <c r="A628" s="220"/>
      <c r="B628" s="35"/>
      <c r="D628" s="21"/>
      <c r="E628" s="219"/>
      <c r="F628" s="21"/>
      <c r="G628" s="21"/>
      <c r="H628" s="21"/>
      <c r="I628" s="21"/>
      <c r="J628" s="21"/>
      <c r="K628" s="21"/>
      <c r="L628" s="21"/>
      <c r="M628" s="21"/>
      <c r="N628" s="21"/>
      <c r="O628" s="21"/>
      <c r="P628" s="21"/>
      <c r="Q628" s="21"/>
    </row>
    <row r="629">
      <c r="A629" s="220"/>
      <c r="B629" s="35"/>
      <c r="D629" s="21"/>
      <c r="E629" s="219"/>
      <c r="F629" s="21"/>
      <c r="G629" s="21"/>
      <c r="H629" s="21"/>
      <c r="I629" s="21"/>
      <c r="J629" s="21"/>
      <c r="K629" s="21"/>
      <c r="L629" s="21"/>
      <c r="M629" s="21"/>
      <c r="N629" s="21"/>
      <c r="O629" s="21"/>
      <c r="P629" s="21"/>
      <c r="Q629" s="21"/>
    </row>
    <row r="630">
      <c r="A630" s="220"/>
      <c r="B630" s="35"/>
      <c r="D630" s="21"/>
      <c r="E630" s="219"/>
      <c r="F630" s="21"/>
      <c r="G630" s="21"/>
      <c r="H630" s="21"/>
      <c r="I630" s="21"/>
      <c r="J630" s="21"/>
      <c r="K630" s="21"/>
      <c r="L630" s="21"/>
      <c r="M630" s="21"/>
      <c r="N630" s="21"/>
      <c r="O630" s="21"/>
      <c r="P630" s="21"/>
      <c r="Q630" s="21"/>
    </row>
    <row r="631">
      <c r="A631" s="220"/>
      <c r="B631" s="35"/>
      <c r="D631" s="21"/>
      <c r="E631" s="219"/>
      <c r="F631" s="21"/>
      <c r="G631" s="21"/>
      <c r="H631" s="21"/>
      <c r="I631" s="21"/>
      <c r="J631" s="21"/>
      <c r="K631" s="21"/>
      <c r="L631" s="21"/>
      <c r="M631" s="21"/>
      <c r="N631" s="21"/>
      <c r="O631" s="21"/>
      <c r="P631" s="21"/>
      <c r="Q631" s="21"/>
    </row>
    <row r="632">
      <c r="A632" s="220"/>
      <c r="B632" s="35"/>
      <c r="D632" s="21"/>
      <c r="E632" s="219"/>
      <c r="F632" s="21"/>
      <c r="G632" s="21"/>
      <c r="H632" s="21"/>
      <c r="I632" s="21"/>
      <c r="J632" s="21"/>
      <c r="K632" s="21"/>
      <c r="L632" s="21"/>
      <c r="M632" s="21"/>
      <c r="N632" s="21"/>
      <c r="O632" s="21"/>
      <c r="P632" s="21"/>
      <c r="Q632" s="21"/>
    </row>
    <row r="633">
      <c r="A633" s="220"/>
      <c r="B633" s="35"/>
      <c r="D633" s="21"/>
      <c r="E633" s="219"/>
      <c r="F633" s="21"/>
      <c r="G633" s="21"/>
      <c r="H633" s="21"/>
      <c r="I633" s="21"/>
      <c r="J633" s="21"/>
      <c r="K633" s="21"/>
      <c r="L633" s="21"/>
      <c r="M633" s="21"/>
      <c r="N633" s="21"/>
      <c r="O633" s="21"/>
      <c r="P633" s="21"/>
      <c r="Q633" s="21"/>
    </row>
    <row r="634">
      <c r="A634" s="220"/>
      <c r="B634" s="35"/>
      <c r="D634" s="21"/>
      <c r="E634" s="219"/>
      <c r="F634" s="21"/>
      <c r="G634" s="21"/>
      <c r="H634" s="21"/>
      <c r="I634" s="21"/>
      <c r="J634" s="21"/>
      <c r="K634" s="21"/>
      <c r="L634" s="21"/>
      <c r="M634" s="21"/>
      <c r="N634" s="21"/>
      <c r="O634" s="21"/>
      <c r="P634" s="21"/>
      <c r="Q634" s="21"/>
    </row>
    <row r="635">
      <c r="A635" s="220"/>
      <c r="B635" s="35"/>
      <c r="D635" s="21"/>
      <c r="E635" s="219"/>
      <c r="F635" s="21"/>
      <c r="G635" s="21"/>
      <c r="H635" s="21"/>
      <c r="I635" s="21"/>
      <c r="J635" s="21"/>
      <c r="K635" s="21"/>
      <c r="L635" s="21"/>
      <c r="M635" s="21"/>
      <c r="N635" s="21"/>
      <c r="O635" s="21"/>
      <c r="P635" s="21"/>
      <c r="Q635" s="21"/>
    </row>
    <row r="636">
      <c r="A636" s="220"/>
      <c r="B636" s="35"/>
      <c r="D636" s="21"/>
      <c r="E636" s="219"/>
      <c r="F636" s="21"/>
      <c r="G636" s="21"/>
      <c r="H636" s="21"/>
      <c r="I636" s="21"/>
      <c r="J636" s="21"/>
      <c r="K636" s="21"/>
      <c r="L636" s="21"/>
      <c r="M636" s="21"/>
      <c r="N636" s="21"/>
      <c r="O636" s="21"/>
      <c r="P636" s="21"/>
      <c r="Q636" s="21"/>
    </row>
    <row r="637">
      <c r="A637" s="220"/>
      <c r="B637" s="35"/>
      <c r="D637" s="21"/>
      <c r="E637" s="219"/>
      <c r="F637" s="21"/>
      <c r="G637" s="21"/>
      <c r="H637" s="21"/>
      <c r="I637" s="21"/>
      <c r="J637" s="21"/>
      <c r="K637" s="21"/>
      <c r="L637" s="21"/>
      <c r="M637" s="21"/>
      <c r="N637" s="21"/>
      <c r="O637" s="21"/>
      <c r="P637" s="21"/>
      <c r="Q637" s="21"/>
    </row>
    <row r="638">
      <c r="A638" s="220"/>
      <c r="B638" s="35"/>
      <c r="D638" s="21"/>
      <c r="E638" s="219"/>
      <c r="F638" s="21"/>
      <c r="G638" s="21"/>
      <c r="H638" s="21"/>
      <c r="I638" s="21"/>
      <c r="J638" s="21"/>
      <c r="K638" s="21"/>
      <c r="L638" s="21"/>
      <c r="M638" s="21"/>
      <c r="N638" s="21"/>
      <c r="O638" s="21"/>
      <c r="P638" s="21"/>
      <c r="Q638" s="21"/>
    </row>
    <row r="639">
      <c r="A639" s="220"/>
      <c r="B639" s="35"/>
      <c r="D639" s="21"/>
      <c r="E639" s="219"/>
      <c r="F639" s="21"/>
      <c r="G639" s="21"/>
      <c r="H639" s="21"/>
      <c r="I639" s="21"/>
      <c r="J639" s="21"/>
      <c r="K639" s="21"/>
      <c r="L639" s="21"/>
      <c r="M639" s="21"/>
      <c r="N639" s="21"/>
      <c r="O639" s="21"/>
      <c r="P639" s="21"/>
      <c r="Q639" s="21"/>
    </row>
    <row r="640">
      <c r="A640" s="220"/>
      <c r="B640" s="35"/>
      <c r="D640" s="21"/>
      <c r="E640" s="219"/>
      <c r="F640" s="21"/>
      <c r="G640" s="21"/>
      <c r="H640" s="21"/>
      <c r="I640" s="21"/>
      <c r="J640" s="21"/>
      <c r="K640" s="21"/>
      <c r="L640" s="21"/>
      <c r="M640" s="21"/>
      <c r="N640" s="21"/>
      <c r="O640" s="21"/>
      <c r="P640" s="21"/>
      <c r="Q640" s="21"/>
    </row>
    <row r="641">
      <c r="A641" s="220"/>
      <c r="B641" s="35"/>
      <c r="D641" s="21"/>
      <c r="E641" s="219"/>
      <c r="F641" s="21"/>
      <c r="G641" s="21"/>
      <c r="H641" s="21"/>
      <c r="I641" s="21"/>
      <c r="J641" s="21"/>
      <c r="K641" s="21"/>
      <c r="L641" s="21"/>
      <c r="M641" s="21"/>
      <c r="N641" s="21"/>
      <c r="O641" s="21"/>
      <c r="P641" s="21"/>
      <c r="Q641" s="21"/>
    </row>
    <row r="642">
      <c r="A642" s="220"/>
      <c r="B642" s="35"/>
      <c r="D642" s="21"/>
      <c r="E642" s="219"/>
      <c r="F642" s="21"/>
      <c r="G642" s="21"/>
      <c r="H642" s="21"/>
      <c r="I642" s="21"/>
      <c r="J642" s="21"/>
      <c r="K642" s="21"/>
      <c r="L642" s="21"/>
      <c r="M642" s="21"/>
      <c r="N642" s="21"/>
      <c r="O642" s="21"/>
      <c r="P642" s="21"/>
      <c r="Q642" s="21"/>
    </row>
    <row r="643">
      <c r="A643" s="220"/>
      <c r="B643" s="35"/>
      <c r="D643" s="21"/>
      <c r="E643" s="219"/>
      <c r="F643" s="21"/>
      <c r="G643" s="21"/>
      <c r="H643" s="21"/>
      <c r="I643" s="21"/>
      <c r="J643" s="21"/>
      <c r="K643" s="21"/>
      <c r="L643" s="21"/>
      <c r="M643" s="21"/>
      <c r="N643" s="21"/>
      <c r="O643" s="21"/>
      <c r="P643" s="21"/>
      <c r="Q643" s="21"/>
    </row>
    <row r="644">
      <c r="A644" s="220"/>
      <c r="B644" s="35"/>
      <c r="D644" s="21"/>
      <c r="E644" s="219"/>
      <c r="F644" s="21"/>
      <c r="G644" s="21"/>
      <c r="H644" s="21"/>
      <c r="I644" s="21"/>
      <c r="J644" s="21"/>
      <c r="K644" s="21"/>
      <c r="L644" s="21"/>
      <c r="M644" s="21"/>
      <c r="N644" s="21"/>
      <c r="O644" s="21"/>
      <c r="P644" s="21"/>
      <c r="Q644" s="21"/>
    </row>
    <row r="645">
      <c r="A645" s="220"/>
      <c r="B645" s="35"/>
      <c r="D645" s="21"/>
      <c r="E645" s="219"/>
      <c r="F645" s="21"/>
      <c r="G645" s="21"/>
      <c r="H645" s="21"/>
      <c r="I645" s="21"/>
      <c r="J645" s="21"/>
      <c r="K645" s="21"/>
      <c r="L645" s="21"/>
      <c r="M645" s="21"/>
      <c r="N645" s="21"/>
      <c r="O645" s="21"/>
      <c r="P645" s="21"/>
      <c r="Q645" s="21"/>
    </row>
    <row r="646">
      <c r="A646" s="220"/>
      <c r="B646" s="35"/>
      <c r="D646" s="21"/>
      <c r="E646" s="219"/>
      <c r="F646" s="21"/>
      <c r="G646" s="21"/>
      <c r="H646" s="21"/>
      <c r="I646" s="21"/>
      <c r="J646" s="21"/>
      <c r="K646" s="21"/>
      <c r="L646" s="21"/>
      <c r="M646" s="21"/>
      <c r="N646" s="21"/>
      <c r="O646" s="21"/>
      <c r="P646" s="21"/>
      <c r="Q646" s="21"/>
    </row>
    <row r="647">
      <c r="A647" s="220"/>
      <c r="B647" s="35"/>
      <c r="D647" s="21"/>
      <c r="E647" s="219"/>
      <c r="F647" s="21"/>
      <c r="G647" s="21"/>
      <c r="H647" s="21"/>
      <c r="I647" s="21"/>
      <c r="J647" s="21"/>
      <c r="K647" s="21"/>
      <c r="L647" s="21"/>
      <c r="M647" s="21"/>
      <c r="N647" s="21"/>
      <c r="O647" s="21"/>
      <c r="P647" s="21"/>
      <c r="Q647" s="21"/>
    </row>
    <row r="648">
      <c r="A648" s="220"/>
      <c r="B648" s="35"/>
      <c r="D648" s="21"/>
      <c r="E648" s="219"/>
      <c r="F648" s="21"/>
      <c r="G648" s="21"/>
      <c r="H648" s="21"/>
      <c r="I648" s="21"/>
      <c r="J648" s="21"/>
      <c r="K648" s="21"/>
      <c r="L648" s="21"/>
      <c r="M648" s="21"/>
      <c r="N648" s="21"/>
      <c r="O648" s="21"/>
      <c r="P648" s="21"/>
      <c r="Q648" s="21"/>
    </row>
    <row r="649">
      <c r="A649" s="220"/>
      <c r="B649" s="35"/>
      <c r="D649" s="21"/>
      <c r="E649" s="219"/>
      <c r="F649" s="21"/>
      <c r="G649" s="21"/>
      <c r="H649" s="21"/>
      <c r="I649" s="21"/>
      <c r="J649" s="21"/>
      <c r="K649" s="21"/>
      <c r="L649" s="21"/>
      <c r="M649" s="21"/>
      <c r="N649" s="21"/>
      <c r="O649" s="21"/>
      <c r="P649" s="21"/>
      <c r="Q649" s="21"/>
    </row>
    <row r="650">
      <c r="A650" s="220"/>
      <c r="B650" s="35"/>
      <c r="D650" s="21"/>
      <c r="E650" s="219"/>
      <c r="F650" s="21"/>
      <c r="G650" s="21"/>
      <c r="H650" s="21"/>
      <c r="I650" s="21"/>
      <c r="J650" s="21"/>
      <c r="K650" s="21"/>
      <c r="L650" s="21"/>
      <c r="M650" s="21"/>
      <c r="N650" s="21"/>
      <c r="O650" s="21"/>
      <c r="P650" s="21"/>
      <c r="Q650" s="21"/>
    </row>
    <row r="651">
      <c r="A651" s="220"/>
      <c r="B651" s="35"/>
      <c r="D651" s="21"/>
      <c r="E651" s="219"/>
      <c r="F651" s="21"/>
      <c r="G651" s="21"/>
      <c r="H651" s="21"/>
      <c r="I651" s="21"/>
      <c r="J651" s="21"/>
      <c r="K651" s="21"/>
      <c r="L651" s="21"/>
      <c r="M651" s="21"/>
      <c r="N651" s="21"/>
      <c r="O651" s="21"/>
      <c r="P651" s="21"/>
      <c r="Q651" s="21"/>
    </row>
    <row r="652">
      <c r="A652" s="220"/>
      <c r="B652" s="35"/>
      <c r="D652" s="21"/>
      <c r="E652" s="219"/>
      <c r="F652" s="21"/>
      <c r="G652" s="21"/>
      <c r="H652" s="21"/>
      <c r="I652" s="21"/>
      <c r="J652" s="21"/>
      <c r="K652" s="21"/>
      <c r="L652" s="21"/>
      <c r="M652" s="21"/>
      <c r="N652" s="21"/>
      <c r="O652" s="21"/>
      <c r="P652" s="21"/>
      <c r="Q652" s="21"/>
    </row>
    <row r="653">
      <c r="A653" s="220"/>
      <c r="B653" s="35"/>
      <c r="D653" s="21"/>
      <c r="E653" s="219"/>
      <c r="F653" s="21"/>
      <c r="G653" s="21"/>
      <c r="H653" s="21"/>
      <c r="I653" s="21"/>
      <c r="J653" s="21"/>
      <c r="K653" s="21"/>
      <c r="L653" s="21"/>
      <c r="M653" s="21"/>
      <c r="N653" s="21"/>
      <c r="O653" s="21"/>
      <c r="P653" s="21"/>
      <c r="Q653" s="21"/>
    </row>
    <row r="654">
      <c r="A654" s="220"/>
      <c r="B654" s="35"/>
      <c r="D654" s="21"/>
      <c r="E654" s="219"/>
      <c r="F654" s="21"/>
      <c r="G654" s="21"/>
      <c r="H654" s="21"/>
      <c r="I654" s="21"/>
      <c r="J654" s="21"/>
      <c r="K654" s="21"/>
      <c r="L654" s="21"/>
      <c r="M654" s="21"/>
      <c r="N654" s="21"/>
      <c r="O654" s="21"/>
      <c r="P654" s="21"/>
      <c r="Q654" s="21"/>
    </row>
    <row r="655">
      <c r="A655" s="220"/>
      <c r="B655" s="35"/>
      <c r="D655" s="21"/>
      <c r="E655" s="219"/>
      <c r="F655" s="21"/>
      <c r="G655" s="21"/>
      <c r="H655" s="21"/>
      <c r="I655" s="21"/>
      <c r="J655" s="21"/>
      <c r="K655" s="21"/>
      <c r="L655" s="21"/>
      <c r="M655" s="21"/>
      <c r="N655" s="21"/>
      <c r="O655" s="21"/>
      <c r="P655" s="21"/>
      <c r="Q655" s="21"/>
    </row>
    <row r="656">
      <c r="A656" s="220"/>
      <c r="B656" s="35"/>
      <c r="D656" s="21"/>
      <c r="E656" s="219"/>
      <c r="F656" s="21"/>
      <c r="G656" s="21"/>
      <c r="H656" s="21"/>
      <c r="I656" s="21"/>
      <c r="J656" s="21"/>
      <c r="K656" s="21"/>
      <c r="L656" s="21"/>
      <c r="M656" s="21"/>
      <c r="N656" s="21"/>
      <c r="O656" s="21"/>
      <c r="P656" s="21"/>
      <c r="Q656" s="21"/>
    </row>
    <row r="657">
      <c r="A657" s="220"/>
      <c r="B657" s="35"/>
      <c r="D657" s="21"/>
      <c r="E657" s="219"/>
      <c r="F657" s="21"/>
      <c r="G657" s="21"/>
      <c r="H657" s="21"/>
      <c r="I657" s="21"/>
      <c r="J657" s="21"/>
      <c r="K657" s="21"/>
      <c r="L657" s="21"/>
      <c r="M657" s="21"/>
      <c r="N657" s="21"/>
      <c r="O657" s="21"/>
      <c r="P657" s="21"/>
      <c r="Q657" s="21"/>
    </row>
    <row r="658">
      <c r="A658" s="220"/>
      <c r="B658" s="35"/>
      <c r="D658" s="21"/>
      <c r="E658" s="219"/>
      <c r="F658" s="21"/>
      <c r="G658" s="21"/>
      <c r="H658" s="21"/>
      <c r="I658" s="21"/>
      <c r="J658" s="21"/>
      <c r="K658" s="21"/>
      <c r="L658" s="21"/>
      <c r="M658" s="21"/>
      <c r="N658" s="21"/>
      <c r="O658" s="21"/>
      <c r="P658" s="21"/>
      <c r="Q658" s="21"/>
    </row>
    <row r="659">
      <c r="A659" s="220"/>
      <c r="B659" s="35"/>
      <c r="D659" s="21"/>
      <c r="E659" s="219"/>
      <c r="F659" s="21"/>
      <c r="G659" s="21"/>
      <c r="H659" s="21"/>
      <c r="I659" s="21"/>
      <c r="J659" s="21"/>
      <c r="K659" s="21"/>
      <c r="L659" s="21"/>
      <c r="M659" s="21"/>
      <c r="N659" s="21"/>
      <c r="O659" s="21"/>
      <c r="P659" s="21"/>
      <c r="Q659" s="21"/>
    </row>
    <row r="660">
      <c r="A660" s="220"/>
      <c r="B660" s="35"/>
      <c r="D660" s="21"/>
      <c r="E660" s="219"/>
      <c r="F660" s="21"/>
      <c r="G660" s="21"/>
      <c r="H660" s="21"/>
      <c r="I660" s="21"/>
      <c r="J660" s="21"/>
      <c r="K660" s="21"/>
      <c r="L660" s="21"/>
      <c r="M660" s="21"/>
      <c r="N660" s="21"/>
      <c r="O660" s="21"/>
      <c r="P660" s="21"/>
      <c r="Q660" s="21"/>
    </row>
    <row r="661">
      <c r="A661" s="220"/>
      <c r="B661" s="35"/>
      <c r="D661" s="21"/>
      <c r="E661" s="219"/>
      <c r="F661" s="21"/>
      <c r="G661" s="21"/>
      <c r="H661" s="21"/>
      <c r="I661" s="21"/>
      <c r="J661" s="21"/>
      <c r="K661" s="21"/>
      <c r="L661" s="21"/>
      <c r="M661" s="21"/>
      <c r="N661" s="21"/>
      <c r="O661" s="21"/>
      <c r="P661" s="21"/>
      <c r="Q661" s="21"/>
    </row>
    <row r="662">
      <c r="A662" s="220"/>
      <c r="B662" s="35"/>
      <c r="D662" s="21"/>
      <c r="E662" s="219"/>
      <c r="F662" s="21"/>
      <c r="G662" s="21"/>
      <c r="H662" s="21"/>
      <c r="I662" s="21"/>
      <c r="J662" s="21"/>
      <c r="K662" s="21"/>
      <c r="L662" s="21"/>
      <c r="M662" s="21"/>
      <c r="N662" s="21"/>
      <c r="O662" s="21"/>
      <c r="P662" s="21"/>
      <c r="Q662" s="21"/>
    </row>
    <row r="663">
      <c r="A663" s="220"/>
      <c r="B663" s="35"/>
      <c r="D663" s="21"/>
      <c r="E663" s="219"/>
      <c r="F663" s="21"/>
      <c r="G663" s="21"/>
      <c r="H663" s="21"/>
      <c r="I663" s="21"/>
      <c r="J663" s="21"/>
      <c r="K663" s="21"/>
      <c r="L663" s="21"/>
      <c r="M663" s="21"/>
      <c r="N663" s="21"/>
      <c r="O663" s="21"/>
      <c r="P663" s="21"/>
      <c r="Q663" s="21"/>
    </row>
    <row r="664">
      <c r="A664" s="220"/>
      <c r="B664" s="35"/>
      <c r="D664" s="21"/>
      <c r="E664" s="219"/>
      <c r="F664" s="21"/>
      <c r="G664" s="21"/>
      <c r="H664" s="21"/>
      <c r="I664" s="21"/>
      <c r="J664" s="21"/>
      <c r="K664" s="21"/>
      <c r="L664" s="21"/>
      <c r="M664" s="21"/>
      <c r="N664" s="21"/>
      <c r="O664" s="21"/>
      <c r="P664" s="21"/>
      <c r="Q664" s="21"/>
    </row>
    <row r="665">
      <c r="A665" s="220"/>
      <c r="B665" s="35"/>
      <c r="D665" s="21"/>
      <c r="E665" s="219"/>
      <c r="F665" s="21"/>
      <c r="G665" s="21"/>
      <c r="H665" s="21"/>
      <c r="I665" s="21"/>
      <c r="J665" s="21"/>
      <c r="K665" s="21"/>
      <c r="L665" s="21"/>
      <c r="M665" s="21"/>
      <c r="N665" s="21"/>
      <c r="O665" s="21"/>
      <c r="P665" s="21"/>
      <c r="Q665" s="21"/>
    </row>
    <row r="666">
      <c r="A666" s="220"/>
      <c r="B666" s="35"/>
      <c r="D666" s="21"/>
      <c r="E666" s="219"/>
      <c r="F666" s="21"/>
      <c r="G666" s="21"/>
      <c r="H666" s="21"/>
      <c r="I666" s="21"/>
      <c r="J666" s="21"/>
      <c r="K666" s="21"/>
      <c r="L666" s="21"/>
      <c r="M666" s="21"/>
      <c r="N666" s="21"/>
      <c r="O666" s="21"/>
      <c r="P666" s="21"/>
      <c r="Q666" s="21"/>
    </row>
    <row r="667">
      <c r="A667" s="220"/>
      <c r="B667" s="35"/>
      <c r="D667" s="21"/>
      <c r="E667" s="219"/>
      <c r="F667" s="21"/>
      <c r="G667" s="21"/>
      <c r="H667" s="21"/>
      <c r="I667" s="21"/>
      <c r="J667" s="21"/>
      <c r="K667" s="21"/>
      <c r="L667" s="21"/>
      <c r="M667" s="21"/>
      <c r="N667" s="21"/>
      <c r="O667" s="21"/>
      <c r="P667" s="21"/>
      <c r="Q667" s="21"/>
    </row>
    <row r="668">
      <c r="A668" s="220"/>
      <c r="B668" s="35"/>
      <c r="D668" s="21"/>
      <c r="E668" s="219"/>
      <c r="F668" s="21"/>
      <c r="G668" s="21"/>
      <c r="H668" s="21"/>
      <c r="I668" s="21"/>
      <c r="J668" s="21"/>
      <c r="K668" s="21"/>
      <c r="L668" s="21"/>
      <c r="M668" s="21"/>
      <c r="N668" s="21"/>
      <c r="O668" s="21"/>
      <c r="P668" s="21"/>
      <c r="Q668" s="21"/>
    </row>
    <row r="669">
      <c r="A669" s="220"/>
      <c r="B669" s="35"/>
      <c r="D669" s="21"/>
      <c r="E669" s="219"/>
      <c r="F669" s="21"/>
      <c r="G669" s="21"/>
      <c r="H669" s="21"/>
      <c r="I669" s="21"/>
      <c r="J669" s="21"/>
      <c r="K669" s="21"/>
      <c r="L669" s="21"/>
      <c r="M669" s="21"/>
      <c r="N669" s="21"/>
      <c r="O669" s="21"/>
      <c r="P669" s="21"/>
      <c r="Q669" s="21"/>
    </row>
    <row r="670">
      <c r="A670" s="220"/>
      <c r="B670" s="35"/>
      <c r="D670" s="21"/>
      <c r="E670" s="219"/>
      <c r="F670" s="21"/>
      <c r="G670" s="21"/>
      <c r="H670" s="21"/>
      <c r="I670" s="21"/>
      <c r="J670" s="21"/>
      <c r="K670" s="21"/>
      <c r="L670" s="21"/>
      <c r="M670" s="21"/>
      <c r="N670" s="21"/>
      <c r="O670" s="21"/>
      <c r="P670" s="21"/>
      <c r="Q670" s="21"/>
    </row>
    <row r="671">
      <c r="A671" s="220"/>
      <c r="B671" s="35"/>
      <c r="D671" s="21"/>
      <c r="E671" s="219"/>
      <c r="F671" s="21"/>
      <c r="G671" s="21"/>
      <c r="H671" s="21"/>
      <c r="I671" s="21"/>
      <c r="J671" s="21"/>
      <c r="K671" s="21"/>
      <c r="L671" s="21"/>
      <c r="M671" s="21"/>
      <c r="N671" s="21"/>
      <c r="O671" s="21"/>
      <c r="P671" s="21"/>
      <c r="Q671" s="21"/>
    </row>
    <row r="672">
      <c r="A672" s="220"/>
      <c r="B672" s="35"/>
      <c r="D672" s="21"/>
      <c r="E672" s="219"/>
      <c r="F672" s="21"/>
      <c r="G672" s="21"/>
      <c r="H672" s="21"/>
      <c r="I672" s="21"/>
      <c r="J672" s="21"/>
      <c r="K672" s="21"/>
      <c r="L672" s="21"/>
      <c r="M672" s="21"/>
      <c r="N672" s="21"/>
      <c r="O672" s="21"/>
      <c r="P672" s="21"/>
      <c r="Q672" s="21"/>
    </row>
    <row r="673">
      <c r="A673" s="220"/>
      <c r="B673" s="35"/>
      <c r="D673" s="21"/>
      <c r="E673" s="219"/>
      <c r="F673" s="21"/>
      <c r="G673" s="21"/>
      <c r="H673" s="21"/>
      <c r="I673" s="21"/>
      <c r="J673" s="21"/>
      <c r="K673" s="21"/>
      <c r="L673" s="21"/>
      <c r="M673" s="21"/>
      <c r="N673" s="21"/>
      <c r="O673" s="21"/>
      <c r="P673" s="21"/>
      <c r="Q673" s="21"/>
    </row>
    <row r="674">
      <c r="A674" s="220"/>
      <c r="B674" s="35"/>
      <c r="D674" s="21"/>
      <c r="E674" s="219"/>
      <c r="F674" s="21"/>
      <c r="G674" s="21"/>
      <c r="H674" s="21"/>
      <c r="I674" s="21"/>
      <c r="J674" s="21"/>
      <c r="K674" s="21"/>
      <c r="L674" s="21"/>
      <c r="M674" s="21"/>
      <c r="N674" s="21"/>
      <c r="O674" s="21"/>
      <c r="P674" s="21"/>
      <c r="Q674" s="21"/>
    </row>
    <row r="675">
      <c r="A675" s="220"/>
      <c r="B675" s="35"/>
      <c r="D675" s="21"/>
      <c r="E675" s="219"/>
      <c r="F675" s="21"/>
      <c r="G675" s="21"/>
      <c r="H675" s="21"/>
      <c r="I675" s="21"/>
      <c r="J675" s="21"/>
      <c r="K675" s="21"/>
      <c r="L675" s="21"/>
      <c r="M675" s="21"/>
      <c r="N675" s="21"/>
      <c r="O675" s="21"/>
      <c r="P675" s="21"/>
      <c r="Q675" s="21"/>
    </row>
    <row r="676">
      <c r="A676" s="220"/>
      <c r="B676" s="35"/>
      <c r="D676" s="21"/>
      <c r="E676" s="219"/>
      <c r="F676" s="21"/>
      <c r="G676" s="21"/>
      <c r="H676" s="21"/>
      <c r="I676" s="21"/>
      <c r="J676" s="21"/>
      <c r="K676" s="21"/>
      <c r="L676" s="21"/>
      <c r="M676" s="21"/>
      <c r="N676" s="21"/>
      <c r="O676" s="21"/>
      <c r="P676" s="21"/>
      <c r="Q676" s="21"/>
    </row>
    <row r="677">
      <c r="A677" s="220"/>
      <c r="B677" s="35"/>
      <c r="D677" s="21"/>
      <c r="E677" s="219"/>
      <c r="F677" s="21"/>
      <c r="G677" s="21"/>
      <c r="H677" s="21"/>
      <c r="I677" s="21"/>
      <c r="J677" s="21"/>
      <c r="K677" s="21"/>
      <c r="L677" s="21"/>
      <c r="M677" s="21"/>
      <c r="N677" s="21"/>
      <c r="O677" s="21"/>
      <c r="P677" s="21"/>
      <c r="Q677" s="21"/>
    </row>
    <row r="678">
      <c r="A678" s="220"/>
      <c r="B678" s="35"/>
      <c r="D678" s="21"/>
      <c r="E678" s="219"/>
      <c r="F678" s="21"/>
      <c r="G678" s="21"/>
      <c r="H678" s="21"/>
      <c r="I678" s="21"/>
      <c r="J678" s="21"/>
      <c r="K678" s="21"/>
      <c r="L678" s="21"/>
      <c r="M678" s="21"/>
      <c r="N678" s="21"/>
      <c r="O678" s="21"/>
      <c r="P678" s="21"/>
      <c r="Q678" s="21"/>
    </row>
    <row r="679">
      <c r="A679" s="220"/>
      <c r="B679" s="35"/>
      <c r="D679" s="21"/>
      <c r="E679" s="219"/>
      <c r="F679" s="21"/>
      <c r="G679" s="21"/>
      <c r="H679" s="21"/>
      <c r="I679" s="21"/>
      <c r="J679" s="21"/>
      <c r="K679" s="21"/>
      <c r="L679" s="21"/>
      <c r="M679" s="21"/>
      <c r="N679" s="21"/>
      <c r="O679" s="21"/>
      <c r="P679" s="21"/>
      <c r="Q679" s="21"/>
    </row>
    <row r="680">
      <c r="A680" s="220"/>
      <c r="B680" s="35"/>
      <c r="D680" s="21"/>
      <c r="E680" s="219"/>
      <c r="F680" s="21"/>
      <c r="G680" s="21"/>
      <c r="H680" s="21"/>
      <c r="I680" s="21"/>
      <c r="J680" s="21"/>
      <c r="K680" s="21"/>
      <c r="L680" s="21"/>
      <c r="M680" s="21"/>
      <c r="N680" s="21"/>
      <c r="O680" s="21"/>
      <c r="P680" s="21"/>
      <c r="Q680" s="21"/>
    </row>
    <row r="681">
      <c r="A681" s="220"/>
      <c r="B681" s="35"/>
      <c r="D681" s="21"/>
      <c r="E681" s="219"/>
      <c r="F681" s="21"/>
      <c r="G681" s="21"/>
      <c r="H681" s="21"/>
      <c r="I681" s="21"/>
      <c r="J681" s="21"/>
      <c r="K681" s="21"/>
      <c r="L681" s="21"/>
      <c r="M681" s="21"/>
      <c r="N681" s="21"/>
      <c r="O681" s="21"/>
      <c r="P681" s="21"/>
      <c r="Q681" s="21"/>
    </row>
    <row r="682">
      <c r="A682" s="220"/>
      <c r="B682" s="35"/>
      <c r="D682" s="21"/>
      <c r="E682" s="219"/>
      <c r="F682" s="21"/>
      <c r="G682" s="21"/>
      <c r="H682" s="21"/>
      <c r="I682" s="21"/>
      <c r="J682" s="21"/>
      <c r="K682" s="21"/>
      <c r="L682" s="21"/>
      <c r="M682" s="21"/>
      <c r="N682" s="21"/>
      <c r="O682" s="21"/>
      <c r="P682" s="21"/>
      <c r="Q682" s="21"/>
    </row>
    <row r="683">
      <c r="A683" s="220"/>
      <c r="B683" s="35"/>
      <c r="D683" s="21"/>
      <c r="E683" s="219"/>
      <c r="F683" s="21"/>
      <c r="G683" s="21"/>
      <c r="H683" s="21"/>
      <c r="I683" s="21"/>
      <c r="J683" s="21"/>
      <c r="K683" s="21"/>
      <c r="L683" s="21"/>
      <c r="M683" s="21"/>
      <c r="N683" s="21"/>
      <c r="O683" s="21"/>
      <c r="P683" s="21"/>
      <c r="Q683" s="21"/>
    </row>
    <row r="684">
      <c r="A684" s="220"/>
      <c r="B684" s="35"/>
      <c r="D684" s="21"/>
      <c r="E684" s="219"/>
      <c r="F684" s="21"/>
      <c r="G684" s="21"/>
      <c r="H684" s="21"/>
      <c r="I684" s="21"/>
      <c r="J684" s="21"/>
      <c r="K684" s="21"/>
      <c r="L684" s="21"/>
      <c r="M684" s="21"/>
      <c r="N684" s="21"/>
      <c r="O684" s="21"/>
      <c r="P684" s="21"/>
      <c r="Q684" s="21"/>
    </row>
    <row r="685">
      <c r="A685" s="220"/>
      <c r="B685" s="35"/>
      <c r="D685" s="21"/>
      <c r="E685" s="219"/>
      <c r="F685" s="21"/>
      <c r="G685" s="21"/>
      <c r="H685" s="21"/>
      <c r="I685" s="21"/>
      <c r="J685" s="21"/>
      <c r="K685" s="21"/>
      <c r="L685" s="21"/>
      <c r="M685" s="21"/>
      <c r="N685" s="21"/>
      <c r="O685" s="21"/>
      <c r="P685" s="21"/>
      <c r="Q685" s="21"/>
    </row>
    <row r="686">
      <c r="A686" s="220"/>
      <c r="B686" s="35"/>
      <c r="D686" s="21"/>
      <c r="E686" s="219"/>
      <c r="F686" s="21"/>
      <c r="G686" s="21"/>
      <c r="H686" s="21"/>
      <c r="I686" s="21"/>
      <c r="J686" s="21"/>
      <c r="K686" s="21"/>
      <c r="L686" s="21"/>
      <c r="M686" s="21"/>
      <c r="N686" s="21"/>
      <c r="O686" s="21"/>
      <c r="P686" s="21"/>
      <c r="Q686" s="21"/>
    </row>
    <row r="687">
      <c r="A687" s="220"/>
      <c r="B687" s="35"/>
      <c r="D687" s="21"/>
      <c r="E687" s="219"/>
      <c r="F687" s="21"/>
      <c r="G687" s="21"/>
      <c r="H687" s="21"/>
      <c r="I687" s="21"/>
      <c r="J687" s="21"/>
      <c r="K687" s="21"/>
      <c r="L687" s="21"/>
      <c r="M687" s="21"/>
      <c r="N687" s="21"/>
      <c r="O687" s="21"/>
      <c r="P687" s="21"/>
      <c r="Q687" s="21"/>
    </row>
    <row r="688">
      <c r="A688" s="220"/>
      <c r="B688" s="35"/>
      <c r="D688" s="21"/>
      <c r="E688" s="219"/>
      <c r="F688" s="21"/>
      <c r="G688" s="21"/>
      <c r="H688" s="21"/>
      <c r="I688" s="21"/>
      <c r="J688" s="21"/>
      <c r="K688" s="21"/>
      <c r="L688" s="21"/>
      <c r="M688" s="21"/>
      <c r="N688" s="21"/>
      <c r="O688" s="21"/>
      <c r="P688" s="21"/>
      <c r="Q688" s="21"/>
    </row>
    <row r="689">
      <c r="A689" s="220"/>
      <c r="B689" s="35"/>
      <c r="D689" s="21"/>
      <c r="E689" s="219"/>
      <c r="F689" s="21"/>
      <c r="G689" s="21"/>
      <c r="H689" s="21"/>
      <c r="I689" s="21"/>
      <c r="J689" s="21"/>
      <c r="K689" s="21"/>
      <c r="L689" s="21"/>
      <c r="M689" s="21"/>
      <c r="N689" s="21"/>
      <c r="O689" s="21"/>
      <c r="P689" s="21"/>
      <c r="Q689" s="21"/>
    </row>
    <row r="690">
      <c r="A690" s="220"/>
      <c r="B690" s="35"/>
      <c r="D690" s="21"/>
      <c r="E690" s="219"/>
      <c r="F690" s="21"/>
      <c r="G690" s="21"/>
      <c r="H690" s="21"/>
      <c r="I690" s="21"/>
      <c r="J690" s="21"/>
      <c r="K690" s="21"/>
      <c r="L690" s="21"/>
      <c r="M690" s="21"/>
      <c r="N690" s="21"/>
      <c r="O690" s="21"/>
      <c r="P690" s="21"/>
      <c r="Q690" s="21"/>
    </row>
    <row r="691">
      <c r="A691" s="220"/>
      <c r="B691" s="35"/>
      <c r="D691" s="21"/>
      <c r="E691" s="219"/>
      <c r="F691" s="21"/>
      <c r="G691" s="21"/>
      <c r="H691" s="21"/>
      <c r="I691" s="21"/>
      <c r="J691" s="21"/>
      <c r="K691" s="21"/>
      <c r="L691" s="21"/>
      <c r="M691" s="21"/>
      <c r="N691" s="21"/>
      <c r="O691" s="21"/>
      <c r="P691" s="21"/>
      <c r="Q691" s="21"/>
    </row>
    <row r="692">
      <c r="A692" s="220"/>
      <c r="B692" s="35"/>
      <c r="D692" s="21"/>
      <c r="E692" s="219"/>
      <c r="F692" s="21"/>
      <c r="G692" s="21"/>
      <c r="H692" s="21"/>
      <c r="I692" s="21"/>
      <c r="J692" s="21"/>
      <c r="K692" s="21"/>
      <c r="L692" s="21"/>
      <c r="M692" s="21"/>
      <c r="N692" s="21"/>
      <c r="O692" s="21"/>
      <c r="P692" s="21"/>
      <c r="Q692" s="21"/>
    </row>
    <row r="693">
      <c r="A693" s="220"/>
      <c r="B693" s="35"/>
      <c r="D693" s="21"/>
      <c r="E693" s="219"/>
      <c r="F693" s="21"/>
      <c r="G693" s="21"/>
      <c r="H693" s="21"/>
      <c r="I693" s="21"/>
      <c r="J693" s="21"/>
      <c r="K693" s="21"/>
      <c r="L693" s="21"/>
      <c r="M693" s="21"/>
      <c r="N693" s="21"/>
      <c r="O693" s="21"/>
      <c r="P693" s="21"/>
      <c r="Q693" s="21"/>
    </row>
    <row r="694">
      <c r="A694" s="220"/>
      <c r="B694" s="35"/>
      <c r="D694" s="21"/>
      <c r="E694" s="219"/>
      <c r="F694" s="21"/>
      <c r="G694" s="21"/>
      <c r="H694" s="21"/>
      <c r="I694" s="21"/>
      <c r="J694" s="21"/>
      <c r="K694" s="21"/>
      <c r="L694" s="21"/>
      <c r="M694" s="21"/>
      <c r="N694" s="21"/>
      <c r="O694" s="21"/>
      <c r="P694" s="21"/>
      <c r="Q694" s="21"/>
    </row>
    <row r="695">
      <c r="A695" s="220"/>
      <c r="B695" s="35"/>
      <c r="D695" s="21"/>
      <c r="E695" s="219"/>
      <c r="F695" s="21"/>
      <c r="G695" s="21"/>
      <c r="H695" s="21"/>
      <c r="I695" s="21"/>
      <c r="J695" s="21"/>
      <c r="K695" s="21"/>
      <c r="L695" s="21"/>
      <c r="M695" s="21"/>
      <c r="N695" s="21"/>
      <c r="O695" s="21"/>
      <c r="P695" s="21"/>
      <c r="Q695" s="21"/>
    </row>
    <row r="696">
      <c r="A696" s="220"/>
      <c r="B696" s="35"/>
      <c r="D696" s="21"/>
      <c r="E696" s="219"/>
      <c r="F696" s="21"/>
      <c r="G696" s="21"/>
      <c r="H696" s="21"/>
      <c r="I696" s="21"/>
      <c r="J696" s="21"/>
      <c r="K696" s="21"/>
      <c r="L696" s="21"/>
      <c r="M696" s="21"/>
      <c r="N696" s="21"/>
      <c r="O696" s="21"/>
      <c r="P696" s="21"/>
      <c r="Q696" s="21"/>
    </row>
    <row r="697">
      <c r="A697" s="220"/>
      <c r="B697" s="35"/>
      <c r="D697" s="21"/>
      <c r="E697" s="219"/>
      <c r="F697" s="21"/>
      <c r="G697" s="21"/>
      <c r="H697" s="21"/>
      <c r="I697" s="21"/>
      <c r="J697" s="21"/>
      <c r="K697" s="21"/>
      <c r="L697" s="21"/>
      <c r="M697" s="21"/>
      <c r="N697" s="21"/>
      <c r="O697" s="21"/>
      <c r="P697" s="21"/>
      <c r="Q697" s="21"/>
    </row>
    <row r="698">
      <c r="A698" s="220"/>
      <c r="B698" s="35"/>
      <c r="D698" s="21"/>
      <c r="E698" s="219"/>
      <c r="F698" s="21"/>
      <c r="G698" s="21"/>
      <c r="H698" s="21"/>
      <c r="I698" s="21"/>
      <c r="J698" s="21"/>
      <c r="K698" s="21"/>
      <c r="L698" s="21"/>
      <c r="M698" s="21"/>
      <c r="N698" s="21"/>
      <c r="O698" s="21"/>
      <c r="P698" s="21"/>
      <c r="Q698" s="21"/>
    </row>
    <row r="699">
      <c r="A699" s="220"/>
      <c r="B699" s="35"/>
      <c r="D699" s="21"/>
      <c r="E699" s="219"/>
      <c r="F699" s="21"/>
      <c r="G699" s="21"/>
      <c r="H699" s="21"/>
      <c r="I699" s="21"/>
      <c r="J699" s="21"/>
      <c r="K699" s="21"/>
      <c r="L699" s="21"/>
      <c r="M699" s="21"/>
      <c r="N699" s="21"/>
      <c r="O699" s="21"/>
      <c r="P699" s="21"/>
      <c r="Q699" s="21"/>
    </row>
    <row r="700">
      <c r="A700" s="220"/>
      <c r="B700" s="35"/>
      <c r="D700" s="21"/>
      <c r="E700" s="219"/>
      <c r="F700" s="21"/>
      <c r="G700" s="21"/>
      <c r="H700" s="21"/>
      <c r="I700" s="21"/>
      <c r="J700" s="21"/>
      <c r="K700" s="21"/>
      <c r="L700" s="21"/>
      <c r="M700" s="21"/>
      <c r="N700" s="21"/>
      <c r="O700" s="21"/>
      <c r="P700" s="21"/>
      <c r="Q700" s="21"/>
    </row>
    <row r="701">
      <c r="A701" s="220"/>
      <c r="B701" s="35"/>
      <c r="D701" s="21"/>
      <c r="E701" s="219"/>
      <c r="F701" s="21"/>
      <c r="G701" s="21"/>
      <c r="H701" s="21"/>
      <c r="I701" s="21"/>
      <c r="J701" s="21"/>
      <c r="K701" s="21"/>
      <c r="L701" s="21"/>
      <c r="M701" s="21"/>
      <c r="N701" s="21"/>
      <c r="O701" s="21"/>
      <c r="P701" s="21"/>
      <c r="Q701" s="21"/>
    </row>
    <row r="702">
      <c r="A702" s="220"/>
      <c r="B702" s="35"/>
      <c r="D702" s="21"/>
      <c r="E702" s="219"/>
      <c r="F702" s="21"/>
      <c r="G702" s="21"/>
      <c r="H702" s="21"/>
      <c r="I702" s="21"/>
      <c r="J702" s="21"/>
      <c r="K702" s="21"/>
      <c r="L702" s="21"/>
      <c r="M702" s="21"/>
      <c r="N702" s="21"/>
      <c r="O702" s="21"/>
      <c r="P702" s="21"/>
      <c r="Q702" s="21"/>
    </row>
    <row r="703">
      <c r="A703" s="220"/>
      <c r="B703" s="35"/>
      <c r="D703" s="21"/>
      <c r="E703" s="219"/>
      <c r="F703" s="21"/>
      <c r="G703" s="21"/>
      <c r="H703" s="21"/>
      <c r="I703" s="21"/>
      <c r="J703" s="21"/>
      <c r="K703" s="21"/>
      <c r="L703" s="21"/>
      <c r="M703" s="21"/>
      <c r="N703" s="21"/>
      <c r="O703" s="21"/>
      <c r="P703" s="21"/>
      <c r="Q703" s="21"/>
    </row>
    <row r="704">
      <c r="A704" s="220"/>
      <c r="B704" s="35"/>
      <c r="D704" s="21"/>
      <c r="E704" s="219"/>
      <c r="F704" s="21"/>
      <c r="G704" s="21"/>
      <c r="H704" s="21"/>
      <c r="I704" s="21"/>
      <c r="J704" s="21"/>
      <c r="K704" s="21"/>
      <c r="L704" s="21"/>
      <c r="M704" s="21"/>
      <c r="N704" s="21"/>
      <c r="O704" s="21"/>
      <c r="P704" s="21"/>
      <c r="Q704" s="21"/>
    </row>
    <row r="705">
      <c r="A705" s="220"/>
      <c r="B705" s="35"/>
      <c r="D705" s="21"/>
      <c r="E705" s="219"/>
      <c r="F705" s="21"/>
      <c r="G705" s="21"/>
      <c r="H705" s="21"/>
      <c r="I705" s="21"/>
      <c r="J705" s="21"/>
      <c r="K705" s="21"/>
      <c r="L705" s="21"/>
      <c r="M705" s="21"/>
      <c r="N705" s="21"/>
      <c r="O705" s="21"/>
      <c r="P705" s="21"/>
      <c r="Q705" s="21"/>
    </row>
    <row r="706">
      <c r="A706" s="220"/>
      <c r="B706" s="35"/>
      <c r="D706" s="21"/>
      <c r="E706" s="219"/>
      <c r="F706" s="21"/>
      <c r="G706" s="21"/>
      <c r="H706" s="21"/>
      <c r="I706" s="21"/>
      <c r="J706" s="21"/>
      <c r="K706" s="21"/>
      <c r="L706" s="21"/>
      <c r="M706" s="21"/>
      <c r="N706" s="21"/>
      <c r="O706" s="21"/>
      <c r="P706" s="21"/>
      <c r="Q706" s="21"/>
    </row>
    <row r="707">
      <c r="A707" s="220"/>
      <c r="B707" s="35"/>
      <c r="D707" s="21"/>
      <c r="E707" s="219"/>
      <c r="F707" s="21"/>
      <c r="G707" s="21"/>
      <c r="H707" s="21"/>
      <c r="I707" s="21"/>
      <c r="J707" s="21"/>
      <c r="K707" s="21"/>
      <c r="L707" s="21"/>
      <c r="M707" s="21"/>
      <c r="N707" s="21"/>
      <c r="O707" s="21"/>
      <c r="P707" s="21"/>
      <c r="Q707" s="21"/>
    </row>
    <row r="708">
      <c r="A708" s="220"/>
      <c r="B708" s="35"/>
      <c r="D708" s="21"/>
      <c r="E708" s="219"/>
      <c r="F708" s="21"/>
      <c r="G708" s="21"/>
      <c r="H708" s="21"/>
      <c r="I708" s="21"/>
      <c r="J708" s="21"/>
      <c r="K708" s="21"/>
      <c r="L708" s="21"/>
      <c r="M708" s="21"/>
      <c r="N708" s="21"/>
      <c r="O708" s="21"/>
      <c r="P708" s="21"/>
      <c r="Q708" s="21"/>
    </row>
    <row r="709">
      <c r="A709" s="220"/>
      <c r="B709" s="35"/>
      <c r="D709" s="21"/>
      <c r="E709" s="219"/>
      <c r="F709" s="21"/>
      <c r="G709" s="21"/>
      <c r="H709" s="21"/>
      <c r="I709" s="21"/>
      <c r="J709" s="21"/>
      <c r="K709" s="21"/>
      <c r="L709" s="21"/>
      <c r="M709" s="21"/>
      <c r="N709" s="21"/>
      <c r="O709" s="21"/>
      <c r="P709" s="21"/>
      <c r="Q709" s="21"/>
    </row>
    <row r="710">
      <c r="A710" s="220"/>
      <c r="B710" s="35"/>
      <c r="D710" s="21"/>
      <c r="E710" s="219"/>
      <c r="F710" s="21"/>
      <c r="G710" s="21"/>
      <c r="H710" s="21"/>
      <c r="I710" s="21"/>
      <c r="J710" s="21"/>
      <c r="K710" s="21"/>
      <c r="L710" s="21"/>
      <c r="M710" s="21"/>
      <c r="N710" s="21"/>
      <c r="O710" s="21"/>
      <c r="P710" s="21"/>
      <c r="Q710" s="21"/>
    </row>
    <row r="711">
      <c r="A711" s="220"/>
      <c r="B711" s="35"/>
      <c r="D711" s="21"/>
      <c r="E711" s="219"/>
      <c r="F711" s="21"/>
      <c r="G711" s="21"/>
      <c r="H711" s="21"/>
      <c r="I711" s="21"/>
      <c r="J711" s="21"/>
      <c r="K711" s="21"/>
      <c r="L711" s="21"/>
      <c r="M711" s="21"/>
      <c r="N711" s="21"/>
      <c r="O711" s="21"/>
      <c r="P711" s="21"/>
      <c r="Q711" s="21"/>
    </row>
    <row r="712">
      <c r="A712" s="220"/>
      <c r="B712" s="35"/>
      <c r="D712" s="21"/>
      <c r="E712" s="219"/>
      <c r="F712" s="21"/>
      <c r="G712" s="21"/>
      <c r="H712" s="21"/>
      <c r="I712" s="21"/>
      <c r="J712" s="21"/>
      <c r="K712" s="21"/>
      <c r="L712" s="21"/>
      <c r="M712" s="21"/>
      <c r="N712" s="21"/>
      <c r="O712" s="21"/>
      <c r="P712" s="21"/>
      <c r="Q712" s="21"/>
    </row>
    <row r="713">
      <c r="A713" s="220"/>
      <c r="B713" s="35"/>
      <c r="D713" s="21"/>
      <c r="E713" s="219"/>
      <c r="F713" s="21"/>
      <c r="G713" s="21"/>
      <c r="H713" s="21"/>
      <c r="I713" s="21"/>
      <c r="J713" s="21"/>
      <c r="K713" s="21"/>
      <c r="L713" s="21"/>
      <c r="M713" s="21"/>
      <c r="N713" s="21"/>
      <c r="O713" s="21"/>
      <c r="P713" s="21"/>
      <c r="Q713" s="21"/>
    </row>
    <row r="714">
      <c r="A714" s="220"/>
      <c r="B714" s="35"/>
      <c r="D714" s="21"/>
      <c r="E714" s="219"/>
      <c r="F714" s="21"/>
      <c r="G714" s="21"/>
      <c r="H714" s="21"/>
      <c r="I714" s="21"/>
      <c r="J714" s="21"/>
      <c r="K714" s="21"/>
      <c r="L714" s="21"/>
      <c r="M714" s="21"/>
      <c r="N714" s="21"/>
      <c r="O714" s="21"/>
      <c r="P714" s="21"/>
      <c r="Q714" s="21"/>
    </row>
    <row r="715">
      <c r="A715" s="220"/>
      <c r="B715" s="35"/>
      <c r="D715" s="21"/>
      <c r="E715" s="219"/>
      <c r="F715" s="21"/>
      <c r="G715" s="21"/>
      <c r="H715" s="21"/>
      <c r="I715" s="21"/>
      <c r="J715" s="21"/>
      <c r="K715" s="21"/>
      <c r="L715" s="21"/>
      <c r="M715" s="21"/>
      <c r="N715" s="21"/>
      <c r="O715" s="21"/>
      <c r="P715" s="21"/>
      <c r="Q715" s="21"/>
    </row>
    <row r="716">
      <c r="A716" s="220"/>
      <c r="B716" s="35"/>
      <c r="D716" s="21"/>
      <c r="E716" s="219"/>
      <c r="F716" s="21"/>
      <c r="G716" s="21"/>
      <c r="H716" s="21"/>
      <c r="I716" s="21"/>
      <c r="J716" s="21"/>
      <c r="K716" s="21"/>
      <c r="L716" s="21"/>
      <c r="M716" s="21"/>
      <c r="N716" s="21"/>
      <c r="O716" s="21"/>
      <c r="P716" s="21"/>
      <c r="Q716" s="21"/>
    </row>
    <row r="717">
      <c r="A717" s="220"/>
      <c r="B717" s="35"/>
      <c r="D717" s="21"/>
      <c r="E717" s="219"/>
      <c r="F717" s="21"/>
      <c r="G717" s="21"/>
      <c r="H717" s="21"/>
      <c r="I717" s="21"/>
      <c r="J717" s="21"/>
      <c r="K717" s="21"/>
      <c r="L717" s="21"/>
      <c r="M717" s="21"/>
      <c r="N717" s="21"/>
      <c r="O717" s="21"/>
      <c r="P717" s="21"/>
      <c r="Q717" s="21"/>
    </row>
    <row r="718">
      <c r="A718" s="220"/>
      <c r="B718" s="35"/>
      <c r="D718" s="21"/>
      <c r="E718" s="219"/>
      <c r="F718" s="21"/>
      <c r="G718" s="21"/>
      <c r="H718" s="21"/>
      <c r="I718" s="21"/>
      <c r="J718" s="21"/>
      <c r="K718" s="21"/>
      <c r="L718" s="21"/>
      <c r="M718" s="21"/>
      <c r="N718" s="21"/>
      <c r="O718" s="21"/>
      <c r="P718" s="21"/>
      <c r="Q718" s="21"/>
    </row>
    <row r="719">
      <c r="A719" s="220"/>
      <c r="B719" s="35"/>
      <c r="D719" s="21"/>
      <c r="E719" s="219"/>
      <c r="F719" s="21"/>
      <c r="G719" s="21"/>
      <c r="H719" s="21"/>
      <c r="I719" s="21"/>
      <c r="J719" s="21"/>
      <c r="K719" s="21"/>
      <c r="L719" s="21"/>
      <c r="M719" s="21"/>
      <c r="N719" s="21"/>
      <c r="O719" s="21"/>
      <c r="P719" s="21"/>
      <c r="Q719" s="21"/>
    </row>
    <row r="720">
      <c r="A720" s="220"/>
      <c r="B720" s="35"/>
      <c r="D720" s="21"/>
      <c r="E720" s="219"/>
      <c r="F720" s="21"/>
      <c r="G720" s="21"/>
      <c r="H720" s="21"/>
      <c r="I720" s="21"/>
      <c r="J720" s="21"/>
      <c r="K720" s="21"/>
      <c r="L720" s="21"/>
      <c r="M720" s="21"/>
      <c r="N720" s="21"/>
      <c r="O720" s="21"/>
      <c r="P720" s="21"/>
      <c r="Q720" s="21"/>
    </row>
    <row r="721">
      <c r="A721" s="220"/>
      <c r="B721" s="35"/>
      <c r="D721" s="21"/>
      <c r="E721" s="219"/>
      <c r="F721" s="21"/>
      <c r="G721" s="21"/>
      <c r="H721" s="21"/>
      <c r="I721" s="21"/>
      <c r="J721" s="21"/>
      <c r="K721" s="21"/>
      <c r="L721" s="21"/>
      <c r="M721" s="21"/>
      <c r="N721" s="21"/>
      <c r="O721" s="21"/>
      <c r="P721" s="21"/>
      <c r="Q721" s="21"/>
    </row>
    <row r="722">
      <c r="A722" s="220"/>
      <c r="B722" s="35"/>
      <c r="D722" s="21"/>
      <c r="E722" s="219"/>
      <c r="F722" s="21"/>
      <c r="G722" s="21"/>
      <c r="H722" s="21"/>
      <c r="I722" s="21"/>
      <c r="J722" s="21"/>
      <c r="K722" s="21"/>
      <c r="L722" s="21"/>
      <c r="M722" s="21"/>
      <c r="N722" s="21"/>
      <c r="O722" s="21"/>
      <c r="P722" s="21"/>
      <c r="Q722" s="21"/>
    </row>
    <row r="723">
      <c r="A723" s="220"/>
      <c r="B723" s="35"/>
      <c r="D723" s="21"/>
      <c r="E723" s="219"/>
      <c r="F723" s="21"/>
      <c r="G723" s="21"/>
      <c r="H723" s="21"/>
      <c r="I723" s="21"/>
      <c r="J723" s="21"/>
      <c r="K723" s="21"/>
      <c r="L723" s="21"/>
      <c r="M723" s="21"/>
      <c r="N723" s="21"/>
      <c r="O723" s="21"/>
      <c r="P723" s="21"/>
      <c r="Q723" s="21"/>
    </row>
    <row r="724">
      <c r="A724" s="220"/>
      <c r="B724" s="35"/>
      <c r="D724" s="21"/>
      <c r="E724" s="219"/>
      <c r="F724" s="21"/>
      <c r="G724" s="21"/>
      <c r="H724" s="21"/>
      <c r="I724" s="21"/>
      <c r="J724" s="21"/>
      <c r="K724" s="21"/>
      <c r="L724" s="21"/>
      <c r="M724" s="21"/>
      <c r="N724" s="21"/>
      <c r="O724" s="21"/>
      <c r="P724" s="21"/>
      <c r="Q724" s="21"/>
    </row>
    <row r="725">
      <c r="A725" s="220"/>
      <c r="B725" s="35"/>
      <c r="D725" s="21"/>
      <c r="E725" s="219"/>
      <c r="F725" s="21"/>
      <c r="G725" s="21"/>
      <c r="H725" s="21"/>
      <c r="I725" s="21"/>
      <c r="J725" s="21"/>
      <c r="K725" s="21"/>
      <c r="L725" s="21"/>
      <c r="M725" s="21"/>
      <c r="N725" s="21"/>
      <c r="O725" s="21"/>
      <c r="P725" s="21"/>
      <c r="Q725" s="21"/>
    </row>
    <row r="726">
      <c r="A726" s="220"/>
      <c r="B726" s="35"/>
      <c r="D726" s="21"/>
      <c r="E726" s="219"/>
      <c r="F726" s="21"/>
      <c r="G726" s="21"/>
      <c r="H726" s="21"/>
      <c r="I726" s="21"/>
      <c r="J726" s="21"/>
      <c r="K726" s="21"/>
      <c r="L726" s="21"/>
      <c r="M726" s="21"/>
      <c r="N726" s="21"/>
      <c r="O726" s="21"/>
      <c r="P726" s="21"/>
      <c r="Q726" s="21"/>
    </row>
    <row r="727">
      <c r="A727" s="220"/>
      <c r="B727" s="35"/>
      <c r="D727" s="21"/>
      <c r="E727" s="219"/>
      <c r="F727" s="21"/>
      <c r="G727" s="21"/>
      <c r="H727" s="21"/>
      <c r="I727" s="21"/>
      <c r="J727" s="21"/>
      <c r="K727" s="21"/>
      <c r="L727" s="21"/>
      <c r="M727" s="21"/>
      <c r="N727" s="21"/>
      <c r="O727" s="21"/>
      <c r="P727" s="21"/>
      <c r="Q727" s="21"/>
    </row>
    <row r="728">
      <c r="A728" s="220"/>
      <c r="B728" s="35"/>
      <c r="D728" s="21"/>
      <c r="E728" s="219"/>
      <c r="F728" s="21"/>
      <c r="G728" s="21"/>
      <c r="H728" s="21"/>
      <c r="I728" s="21"/>
      <c r="J728" s="21"/>
      <c r="K728" s="21"/>
      <c r="L728" s="21"/>
      <c r="M728" s="21"/>
      <c r="N728" s="21"/>
      <c r="O728" s="21"/>
      <c r="P728" s="21"/>
      <c r="Q728" s="21"/>
    </row>
    <row r="729">
      <c r="A729" s="220"/>
      <c r="B729" s="35"/>
      <c r="D729" s="21"/>
      <c r="E729" s="219"/>
      <c r="F729" s="21"/>
      <c r="G729" s="21"/>
      <c r="H729" s="21"/>
      <c r="I729" s="21"/>
      <c r="J729" s="21"/>
      <c r="K729" s="21"/>
      <c r="L729" s="21"/>
      <c r="M729" s="21"/>
      <c r="N729" s="21"/>
      <c r="O729" s="21"/>
      <c r="P729" s="21"/>
      <c r="Q729" s="21"/>
    </row>
    <row r="730">
      <c r="A730" s="220"/>
      <c r="B730" s="35"/>
      <c r="D730" s="21"/>
      <c r="E730" s="219"/>
      <c r="F730" s="21"/>
      <c r="G730" s="21"/>
      <c r="H730" s="21"/>
      <c r="I730" s="21"/>
      <c r="J730" s="21"/>
      <c r="K730" s="21"/>
      <c r="L730" s="21"/>
      <c r="M730" s="21"/>
      <c r="N730" s="21"/>
      <c r="O730" s="21"/>
      <c r="P730" s="21"/>
      <c r="Q730" s="21"/>
    </row>
    <row r="731">
      <c r="A731" s="220"/>
      <c r="B731" s="35"/>
      <c r="D731" s="21"/>
      <c r="E731" s="219"/>
      <c r="F731" s="21"/>
      <c r="G731" s="21"/>
      <c r="H731" s="21"/>
      <c r="I731" s="21"/>
      <c r="J731" s="21"/>
      <c r="K731" s="21"/>
      <c r="L731" s="21"/>
      <c r="M731" s="21"/>
      <c r="N731" s="21"/>
      <c r="O731" s="21"/>
      <c r="P731" s="21"/>
      <c r="Q731" s="21"/>
    </row>
    <row r="732">
      <c r="A732" s="220"/>
      <c r="B732" s="35"/>
      <c r="D732" s="21"/>
      <c r="E732" s="219"/>
      <c r="F732" s="21"/>
      <c r="G732" s="21"/>
      <c r="H732" s="21"/>
      <c r="I732" s="21"/>
      <c r="J732" s="21"/>
      <c r="K732" s="21"/>
      <c r="L732" s="21"/>
      <c r="M732" s="21"/>
      <c r="N732" s="21"/>
      <c r="O732" s="21"/>
      <c r="P732" s="21"/>
      <c r="Q732" s="21"/>
    </row>
    <row r="733">
      <c r="A733" s="220"/>
      <c r="B733" s="35"/>
      <c r="D733" s="21"/>
      <c r="E733" s="219"/>
      <c r="F733" s="21"/>
      <c r="G733" s="21"/>
      <c r="H733" s="21"/>
      <c r="I733" s="21"/>
      <c r="J733" s="21"/>
      <c r="K733" s="21"/>
      <c r="L733" s="21"/>
      <c r="M733" s="21"/>
      <c r="N733" s="21"/>
      <c r="O733" s="21"/>
      <c r="P733" s="21"/>
      <c r="Q733" s="21"/>
    </row>
    <row r="734">
      <c r="A734" s="220"/>
      <c r="B734" s="35"/>
      <c r="D734" s="21"/>
      <c r="E734" s="219"/>
      <c r="F734" s="21"/>
      <c r="G734" s="21"/>
      <c r="H734" s="21"/>
      <c r="I734" s="21"/>
      <c r="J734" s="21"/>
      <c r="K734" s="21"/>
      <c r="L734" s="21"/>
      <c r="M734" s="21"/>
      <c r="N734" s="21"/>
      <c r="O734" s="21"/>
      <c r="P734" s="21"/>
      <c r="Q734" s="21"/>
    </row>
    <row r="735">
      <c r="A735" s="220"/>
      <c r="B735" s="35"/>
      <c r="D735" s="21"/>
      <c r="E735" s="219"/>
      <c r="F735" s="21"/>
      <c r="G735" s="21"/>
      <c r="H735" s="21"/>
      <c r="I735" s="21"/>
      <c r="J735" s="21"/>
      <c r="K735" s="21"/>
      <c r="L735" s="21"/>
      <c r="M735" s="21"/>
      <c r="N735" s="21"/>
      <c r="O735" s="21"/>
      <c r="P735" s="21"/>
      <c r="Q735" s="21"/>
    </row>
    <row r="736">
      <c r="A736" s="220"/>
      <c r="B736" s="35"/>
      <c r="D736" s="21"/>
      <c r="E736" s="219"/>
      <c r="F736" s="21"/>
      <c r="G736" s="21"/>
      <c r="H736" s="21"/>
      <c r="I736" s="21"/>
      <c r="J736" s="21"/>
      <c r="K736" s="21"/>
      <c r="L736" s="21"/>
      <c r="M736" s="21"/>
      <c r="N736" s="21"/>
      <c r="O736" s="21"/>
      <c r="P736" s="21"/>
      <c r="Q736" s="21"/>
    </row>
    <row r="737">
      <c r="A737" s="220"/>
      <c r="B737" s="35"/>
      <c r="D737" s="21"/>
      <c r="E737" s="219"/>
      <c r="F737" s="21"/>
      <c r="G737" s="21"/>
      <c r="H737" s="21"/>
      <c r="I737" s="21"/>
      <c r="J737" s="21"/>
      <c r="K737" s="21"/>
      <c r="L737" s="21"/>
      <c r="M737" s="21"/>
      <c r="N737" s="21"/>
      <c r="O737" s="21"/>
      <c r="P737" s="21"/>
      <c r="Q737" s="21"/>
    </row>
    <row r="738">
      <c r="A738" s="220"/>
      <c r="B738" s="35"/>
      <c r="D738" s="21"/>
      <c r="E738" s="219"/>
      <c r="F738" s="21"/>
      <c r="G738" s="21"/>
      <c r="H738" s="21"/>
      <c r="I738" s="21"/>
      <c r="J738" s="21"/>
      <c r="K738" s="21"/>
      <c r="L738" s="21"/>
      <c r="M738" s="21"/>
      <c r="N738" s="21"/>
      <c r="O738" s="21"/>
      <c r="P738" s="21"/>
      <c r="Q738" s="21"/>
    </row>
    <row r="739">
      <c r="A739" s="220"/>
      <c r="B739" s="35"/>
      <c r="D739" s="21"/>
      <c r="E739" s="219"/>
      <c r="F739" s="21"/>
      <c r="G739" s="21"/>
      <c r="H739" s="21"/>
      <c r="I739" s="21"/>
      <c r="J739" s="21"/>
      <c r="K739" s="21"/>
      <c r="L739" s="21"/>
      <c r="M739" s="21"/>
      <c r="N739" s="21"/>
      <c r="O739" s="21"/>
      <c r="P739" s="21"/>
      <c r="Q739" s="21"/>
    </row>
    <row r="740">
      <c r="A740" s="220"/>
      <c r="B740" s="35"/>
      <c r="D740" s="21"/>
      <c r="E740" s="219"/>
      <c r="F740" s="21"/>
      <c r="G740" s="21"/>
      <c r="H740" s="21"/>
      <c r="I740" s="21"/>
      <c r="J740" s="21"/>
      <c r="K740" s="21"/>
      <c r="L740" s="21"/>
      <c r="M740" s="21"/>
      <c r="N740" s="21"/>
      <c r="O740" s="21"/>
      <c r="P740" s="21"/>
      <c r="Q740" s="21"/>
    </row>
    <row r="741">
      <c r="A741" s="220"/>
      <c r="B741" s="35"/>
      <c r="D741" s="21"/>
      <c r="E741" s="219"/>
      <c r="F741" s="21"/>
      <c r="G741" s="21"/>
      <c r="H741" s="21"/>
      <c r="I741" s="21"/>
      <c r="J741" s="21"/>
      <c r="K741" s="21"/>
      <c r="L741" s="21"/>
      <c r="M741" s="21"/>
      <c r="N741" s="21"/>
      <c r="O741" s="21"/>
      <c r="P741" s="21"/>
      <c r="Q741" s="21"/>
    </row>
    <row r="742">
      <c r="A742" s="220"/>
      <c r="B742" s="35"/>
      <c r="D742" s="21"/>
      <c r="E742" s="219"/>
      <c r="F742" s="21"/>
      <c r="G742" s="21"/>
      <c r="H742" s="21"/>
      <c r="I742" s="21"/>
      <c r="J742" s="21"/>
      <c r="K742" s="21"/>
      <c r="L742" s="21"/>
      <c r="M742" s="21"/>
      <c r="N742" s="21"/>
      <c r="O742" s="21"/>
      <c r="P742" s="21"/>
      <c r="Q742" s="21"/>
    </row>
    <row r="743">
      <c r="A743" s="220"/>
      <c r="B743" s="35"/>
      <c r="D743" s="21"/>
      <c r="E743" s="219"/>
      <c r="F743" s="21"/>
      <c r="G743" s="21"/>
      <c r="H743" s="21"/>
      <c r="I743" s="21"/>
      <c r="J743" s="21"/>
      <c r="K743" s="21"/>
      <c r="L743" s="21"/>
      <c r="M743" s="21"/>
      <c r="N743" s="21"/>
      <c r="O743" s="21"/>
      <c r="P743" s="21"/>
      <c r="Q743" s="21"/>
    </row>
    <row r="744">
      <c r="A744" s="220"/>
      <c r="B744" s="35"/>
      <c r="D744" s="21"/>
      <c r="E744" s="219"/>
      <c r="F744" s="21"/>
      <c r="G744" s="21"/>
      <c r="H744" s="21"/>
      <c r="I744" s="21"/>
      <c r="J744" s="21"/>
      <c r="K744" s="21"/>
      <c r="L744" s="21"/>
      <c r="M744" s="21"/>
      <c r="N744" s="21"/>
      <c r="O744" s="21"/>
      <c r="P744" s="21"/>
      <c r="Q744" s="21"/>
    </row>
    <row r="745">
      <c r="A745" s="220"/>
      <c r="B745" s="35"/>
      <c r="D745" s="21"/>
      <c r="E745" s="219"/>
      <c r="F745" s="21"/>
      <c r="G745" s="21"/>
      <c r="H745" s="21"/>
      <c r="I745" s="21"/>
      <c r="J745" s="21"/>
      <c r="K745" s="21"/>
      <c r="L745" s="21"/>
      <c r="M745" s="21"/>
      <c r="N745" s="21"/>
      <c r="O745" s="21"/>
      <c r="P745" s="21"/>
      <c r="Q745" s="21"/>
    </row>
    <row r="746">
      <c r="A746" s="220"/>
      <c r="B746" s="35"/>
      <c r="D746" s="21"/>
      <c r="E746" s="219"/>
      <c r="F746" s="21"/>
      <c r="G746" s="21"/>
      <c r="H746" s="21"/>
      <c r="I746" s="21"/>
      <c r="J746" s="21"/>
      <c r="K746" s="21"/>
      <c r="L746" s="21"/>
      <c r="M746" s="21"/>
      <c r="N746" s="21"/>
      <c r="O746" s="21"/>
      <c r="P746" s="21"/>
      <c r="Q746" s="21"/>
    </row>
    <row r="747">
      <c r="A747" s="220"/>
      <c r="B747" s="35"/>
      <c r="D747" s="21"/>
      <c r="E747" s="219"/>
      <c r="F747" s="21"/>
      <c r="G747" s="21"/>
      <c r="H747" s="21"/>
      <c r="I747" s="21"/>
      <c r="J747" s="21"/>
      <c r="K747" s="21"/>
      <c r="L747" s="21"/>
      <c r="M747" s="21"/>
      <c r="N747" s="21"/>
      <c r="O747" s="21"/>
      <c r="P747" s="21"/>
      <c r="Q747" s="21"/>
    </row>
    <row r="748">
      <c r="A748" s="220"/>
      <c r="B748" s="35"/>
      <c r="D748" s="21"/>
      <c r="E748" s="219"/>
      <c r="F748" s="21"/>
      <c r="G748" s="21"/>
      <c r="H748" s="21"/>
      <c r="I748" s="21"/>
      <c r="J748" s="21"/>
      <c r="K748" s="21"/>
      <c r="L748" s="21"/>
      <c r="M748" s="21"/>
      <c r="N748" s="21"/>
      <c r="O748" s="21"/>
      <c r="P748" s="21"/>
      <c r="Q748" s="21"/>
    </row>
    <row r="749">
      <c r="A749" s="220"/>
      <c r="B749" s="35"/>
      <c r="D749" s="21"/>
      <c r="E749" s="219"/>
      <c r="F749" s="21"/>
      <c r="G749" s="21"/>
      <c r="H749" s="21"/>
      <c r="I749" s="21"/>
      <c r="J749" s="21"/>
      <c r="K749" s="21"/>
      <c r="L749" s="21"/>
      <c r="M749" s="21"/>
      <c r="N749" s="21"/>
      <c r="O749" s="21"/>
      <c r="P749" s="21"/>
      <c r="Q749" s="21"/>
    </row>
    <row r="750">
      <c r="A750" s="220"/>
      <c r="B750" s="35"/>
      <c r="D750" s="21"/>
      <c r="E750" s="219"/>
      <c r="F750" s="21"/>
      <c r="G750" s="21"/>
      <c r="H750" s="21"/>
      <c r="I750" s="21"/>
      <c r="J750" s="21"/>
      <c r="K750" s="21"/>
      <c r="L750" s="21"/>
      <c r="M750" s="21"/>
      <c r="N750" s="21"/>
      <c r="O750" s="21"/>
      <c r="P750" s="21"/>
      <c r="Q750" s="21"/>
    </row>
    <row r="751">
      <c r="A751" s="220"/>
      <c r="B751" s="35"/>
      <c r="D751" s="21"/>
      <c r="E751" s="219"/>
      <c r="F751" s="21"/>
      <c r="G751" s="21"/>
      <c r="H751" s="21"/>
      <c r="I751" s="21"/>
      <c r="J751" s="21"/>
      <c r="K751" s="21"/>
      <c r="L751" s="21"/>
      <c r="M751" s="21"/>
      <c r="N751" s="21"/>
      <c r="O751" s="21"/>
      <c r="P751" s="21"/>
      <c r="Q751" s="21"/>
    </row>
    <row r="752">
      <c r="A752" s="220"/>
      <c r="B752" s="35"/>
      <c r="D752" s="21"/>
      <c r="E752" s="219"/>
      <c r="F752" s="21"/>
      <c r="G752" s="21"/>
      <c r="H752" s="21"/>
      <c r="I752" s="21"/>
      <c r="J752" s="21"/>
      <c r="K752" s="21"/>
      <c r="L752" s="21"/>
      <c r="M752" s="21"/>
      <c r="N752" s="21"/>
      <c r="O752" s="21"/>
      <c r="P752" s="21"/>
      <c r="Q752" s="21"/>
    </row>
    <row r="753">
      <c r="A753" s="220"/>
      <c r="B753" s="35"/>
      <c r="D753" s="21"/>
      <c r="E753" s="219"/>
      <c r="F753" s="21"/>
      <c r="G753" s="21"/>
      <c r="H753" s="21"/>
      <c r="I753" s="21"/>
      <c r="J753" s="21"/>
      <c r="K753" s="21"/>
      <c r="L753" s="21"/>
      <c r="M753" s="21"/>
      <c r="N753" s="21"/>
      <c r="O753" s="21"/>
      <c r="P753" s="21"/>
      <c r="Q753" s="21"/>
    </row>
    <row r="754">
      <c r="A754" s="220"/>
      <c r="B754" s="35"/>
      <c r="D754" s="21"/>
      <c r="E754" s="219"/>
      <c r="F754" s="21"/>
      <c r="G754" s="21"/>
      <c r="H754" s="21"/>
      <c r="I754" s="21"/>
      <c r="J754" s="21"/>
      <c r="K754" s="21"/>
      <c r="L754" s="21"/>
      <c r="M754" s="21"/>
      <c r="N754" s="21"/>
      <c r="O754" s="21"/>
      <c r="P754" s="21"/>
      <c r="Q754" s="21"/>
    </row>
    <row r="755">
      <c r="A755" s="220"/>
      <c r="B755" s="35"/>
      <c r="D755" s="21"/>
      <c r="E755" s="219"/>
      <c r="F755" s="21"/>
      <c r="G755" s="21"/>
      <c r="H755" s="21"/>
      <c r="I755" s="21"/>
      <c r="J755" s="21"/>
      <c r="K755" s="21"/>
      <c r="L755" s="21"/>
      <c r="M755" s="21"/>
      <c r="N755" s="21"/>
      <c r="O755" s="21"/>
      <c r="P755" s="21"/>
      <c r="Q755" s="21"/>
    </row>
    <row r="756">
      <c r="A756" s="220"/>
      <c r="B756" s="35"/>
      <c r="D756" s="21"/>
      <c r="E756" s="219"/>
      <c r="F756" s="21"/>
      <c r="G756" s="21"/>
      <c r="H756" s="21"/>
      <c r="I756" s="21"/>
      <c r="J756" s="21"/>
      <c r="K756" s="21"/>
      <c r="L756" s="21"/>
      <c r="M756" s="21"/>
      <c r="N756" s="21"/>
      <c r="O756" s="21"/>
      <c r="P756" s="21"/>
      <c r="Q756" s="21"/>
    </row>
    <row r="757">
      <c r="A757" s="220"/>
      <c r="B757" s="35"/>
      <c r="D757" s="21"/>
      <c r="E757" s="219"/>
      <c r="F757" s="21"/>
      <c r="G757" s="21"/>
      <c r="H757" s="21"/>
      <c r="I757" s="21"/>
      <c r="J757" s="21"/>
      <c r="K757" s="21"/>
      <c r="L757" s="21"/>
      <c r="M757" s="21"/>
      <c r="N757" s="21"/>
      <c r="O757" s="21"/>
      <c r="P757" s="21"/>
      <c r="Q757" s="21"/>
    </row>
    <row r="758">
      <c r="A758" s="220"/>
      <c r="B758" s="35"/>
      <c r="D758" s="21"/>
      <c r="E758" s="219"/>
      <c r="F758" s="21"/>
      <c r="G758" s="21"/>
      <c r="H758" s="21"/>
      <c r="I758" s="21"/>
      <c r="J758" s="21"/>
      <c r="K758" s="21"/>
      <c r="L758" s="21"/>
      <c r="M758" s="21"/>
      <c r="N758" s="21"/>
      <c r="O758" s="21"/>
      <c r="P758" s="21"/>
      <c r="Q758" s="21"/>
    </row>
    <row r="759">
      <c r="A759" s="220"/>
      <c r="B759" s="35"/>
      <c r="D759" s="21"/>
      <c r="E759" s="219"/>
      <c r="F759" s="21"/>
      <c r="G759" s="21"/>
      <c r="H759" s="21"/>
      <c r="I759" s="21"/>
      <c r="J759" s="21"/>
      <c r="K759" s="21"/>
      <c r="L759" s="21"/>
      <c r="M759" s="21"/>
      <c r="N759" s="21"/>
      <c r="O759" s="21"/>
      <c r="P759" s="21"/>
      <c r="Q759" s="21"/>
    </row>
    <row r="760">
      <c r="A760" s="220"/>
      <c r="B760" s="35"/>
      <c r="D760" s="21"/>
      <c r="E760" s="219"/>
      <c r="F760" s="21"/>
      <c r="G760" s="21"/>
      <c r="H760" s="21"/>
      <c r="I760" s="21"/>
      <c r="J760" s="21"/>
      <c r="K760" s="21"/>
      <c r="L760" s="21"/>
      <c r="M760" s="21"/>
      <c r="N760" s="21"/>
      <c r="O760" s="21"/>
      <c r="P760" s="21"/>
      <c r="Q760" s="21"/>
    </row>
    <row r="761">
      <c r="A761" s="220"/>
      <c r="B761" s="35"/>
      <c r="D761" s="21"/>
      <c r="E761" s="219"/>
      <c r="F761" s="21"/>
      <c r="G761" s="21"/>
      <c r="H761" s="21"/>
      <c r="I761" s="21"/>
      <c r="J761" s="21"/>
      <c r="K761" s="21"/>
      <c r="L761" s="21"/>
      <c r="M761" s="21"/>
      <c r="N761" s="21"/>
      <c r="O761" s="21"/>
      <c r="P761" s="21"/>
      <c r="Q761" s="21"/>
    </row>
    <row r="762">
      <c r="A762" s="220"/>
      <c r="B762" s="35"/>
      <c r="D762" s="21"/>
      <c r="E762" s="219"/>
      <c r="F762" s="21"/>
      <c r="G762" s="21"/>
      <c r="H762" s="21"/>
      <c r="I762" s="21"/>
      <c r="J762" s="21"/>
      <c r="K762" s="21"/>
      <c r="L762" s="21"/>
      <c r="M762" s="21"/>
      <c r="N762" s="21"/>
      <c r="O762" s="21"/>
      <c r="P762" s="21"/>
      <c r="Q762" s="21"/>
    </row>
    <row r="763">
      <c r="A763" s="220"/>
      <c r="B763" s="35"/>
      <c r="D763" s="21"/>
      <c r="E763" s="219"/>
      <c r="F763" s="21"/>
      <c r="G763" s="21"/>
      <c r="H763" s="21"/>
      <c r="I763" s="21"/>
      <c r="J763" s="21"/>
      <c r="K763" s="21"/>
      <c r="L763" s="21"/>
      <c r="M763" s="21"/>
      <c r="N763" s="21"/>
      <c r="O763" s="21"/>
      <c r="P763" s="21"/>
      <c r="Q763" s="21"/>
    </row>
    <row r="764">
      <c r="A764" s="220"/>
      <c r="B764" s="35"/>
      <c r="D764" s="21"/>
      <c r="E764" s="219"/>
      <c r="F764" s="21"/>
      <c r="G764" s="21"/>
      <c r="H764" s="21"/>
      <c r="I764" s="21"/>
      <c r="J764" s="21"/>
      <c r="K764" s="21"/>
      <c r="L764" s="21"/>
      <c r="M764" s="21"/>
      <c r="N764" s="21"/>
      <c r="O764" s="21"/>
      <c r="P764" s="21"/>
      <c r="Q764" s="21"/>
    </row>
    <row r="765">
      <c r="A765" s="220"/>
      <c r="B765" s="35"/>
      <c r="D765" s="21"/>
      <c r="E765" s="219"/>
      <c r="F765" s="21"/>
      <c r="G765" s="21"/>
      <c r="H765" s="21"/>
      <c r="I765" s="21"/>
      <c r="J765" s="21"/>
      <c r="K765" s="21"/>
      <c r="L765" s="21"/>
      <c r="M765" s="21"/>
      <c r="N765" s="21"/>
      <c r="O765" s="21"/>
      <c r="P765" s="21"/>
      <c r="Q765" s="21"/>
    </row>
    <row r="766">
      <c r="A766" s="220"/>
      <c r="B766" s="35"/>
      <c r="D766" s="21"/>
      <c r="E766" s="219"/>
      <c r="F766" s="21"/>
      <c r="G766" s="21"/>
      <c r="H766" s="21"/>
      <c r="I766" s="21"/>
      <c r="J766" s="21"/>
      <c r="K766" s="21"/>
      <c r="L766" s="21"/>
      <c r="M766" s="21"/>
      <c r="N766" s="21"/>
      <c r="O766" s="21"/>
      <c r="P766" s="21"/>
      <c r="Q766" s="21"/>
    </row>
    <row r="767">
      <c r="A767" s="220"/>
      <c r="B767" s="35"/>
      <c r="D767" s="21"/>
      <c r="E767" s="219"/>
      <c r="F767" s="21"/>
      <c r="G767" s="21"/>
      <c r="H767" s="21"/>
      <c r="I767" s="21"/>
      <c r="J767" s="21"/>
      <c r="K767" s="21"/>
      <c r="L767" s="21"/>
      <c r="M767" s="21"/>
      <c r="N767" s="21"/>
      <c r="O767" s="21"/>
      <c r="P767" s="21"/>
      <c r="Q767" s="21"/>
    </row>
    <row r="768">
      <c r="A768" s="220"/>
      <c r="B768" s="35"/>
      <c r="D768" s="21"/>
      <c r="E768" s="219"/>
      <c r="F768" s="21"/>
      <c r="G768" s="21"/>
      <c r="H768" s="21"/>
      <c r="I768" s="21"/>
      <c r="J768" s="21"/>
      <c r="K768" s="21"/>
      <c r="L768" s="21"/>
      <c r="M768" s="21"/>
      <c r="N768" s="21"/>
      <c r="O768" s="21"/>
      <c r="P768" s="21"/>
      <c r="Q768" s="21"/>
    </row>
    <row r="769">
      <c r="A769" s="220"/>
      <c r="B769" s="35"/>
      <c r="D769" s="21"/>
      <c r="E769" s="219"/>
      <c r="F769" s="21"/>
      <c r="G769" s="21"/>
      <c r="H769" s="21"/>
      <c r="I769" s="21"/>
      <c r="J769" s="21"/>
      <c r="K769" s="21"/>
      <c r="L769" s="21"/>
      <c r="M769" s="21"/>
      <c r="N769" s="21"/>
      <c r="O769" s="21"/>
      <c r="P769" s="21"/>
      <c r="Q769" s="21"/>
    </row>
    <row r="770">
      <c r="A770" s="220"/>
      <c r="B770" s="35"/>
      <c r="D770" s="21"/>
      <c r="E770" s="219"/>
      <c r="F770" s="21"/>
      <c r="G770" s="21"/>
      <c r="H770" s="21"/>
      <c r="I770" s="21"/>
      <c r="J770" s="21"/>
      <c r="K770" s="21"/>
      <c r="L770" s="21"/>
      <c r="M770" s="21"/>
      <c r="N770" s="21"/>
      <c r="O770" s="21"/>
      <c r="P770" s="21"/>
      <c r="Q770" s="21"/>
    </row>
    <row r="771">
      <c r="A771" s="220"/>
      <c r="B771" s="35"/>
      <c r="D771" s="21"/>
      <c r="E771" s="219"/>
      <c r="F771" s="21"/>
      <c r="G771" s="21"/>
      <c r="H771" s="21"/>
      <c r="I771" s="21"/>
      <c r="J771" s="21"/>
      <c r="K771" s="21"/>
      <c r="L771" s="21"/>
      <c r="M771" s="21"/>
      <c r="N771" s="21"/>
      <c r="O771" s="21"/>
      <c r="P771" s="21"/>
      <c r="Q771" s="21"/>
    </row>
    <row r="772">
      <c r="A772" s="220"/>
      <c r="B772" s="35"/>
      <c r="D772" s="21"/>
      <c r="E772" s="219"/>
      <c r="F772" s="21"/>
      <c r="G772" s="21"/>
      <c r="H772" s="21"/>
      <c r="I772" s="21"/>
      <c r="J772" s="21"/>
      <c r="K772" s="21"/>
      <c r="L772" s="21"/>
      <c r="M772" s="21"/>
      <c r="N772" s="21"/>
      <c r="O772" s="21"/>
      <c r="P772" s="21"/>
      <c r="Q772" s="21"/>
    </row>
    <row r="773">
      <c r="A773" s="220"/>
      <c r="B773" s="35"/>
      <c r="D773" s="21"/>
      <c r="E773" s="219"/>
      <c r="F773" s="21"/>
      <c r="G773" s="21"/>
      <c r="H773" s="21"/>
      <c r="I773" s="21"/>
      <c r="J773" s="21"/>
      <c r="K773" s="21"/>
      <c r="L773" s="21"/>
      <c r="M773" s="21"/>
      <c r="N773" s="21"/>
      <c r="O773" s="21"/>
      <c r="P773" s="21"/>
      <c r="Q773" s="21"/>
    </row>
    <row r="774">
      <c r="A774" s="220"/>
      <c r="B774" s="35"/>
      <c r="D774" s="21"/>
      <c r="E774" s="219"/>
      <c r="F774" s="21"/>
      <c r="G774" s="21"/>
      <c r="H774" s="21"/>
      <c r="I774" s="21"/>
      <c r="J774" s="21"/>
      <c r="K774" s="21"/>
      <c r="L774" s="21"/>
      <c r="M774" s="21"/>
      <c r="N774" s="21"/>
      <c r="O774" s="21"/>
      <c r="P774" s="21"/>
      <c r="Q774" s="21"/>
    </row>
    <row r="775">
      <c r="A775" s="220"/>
      <c r="B775" s="35"/>
      <c r="D775" s="21"/>
      <c r="E775" s="219"/>
      <c r="F775" s="21"/>
      <c r="G775" s="21"/>
      <c r="H775" s="21"/>
      <c r="I775" s="21"/>
      <c r="J775" s="21"/>
      <c r="K775" s="21"/>
      <c r="L775" s="21"/>
      <c r="M775" s="21"/>
      <c r="N775" s="21"/>
      <c r="O775" s="21"/>
      <c r="P775" s="21"/>
      <c r="Q775" s="21"/>
    </row>
    <row r="776">
      <c r="A776" s="220"/>
      <c r="B776" s="35"/>
      <c r="D776" s="21"/>
      <c r="E776" s="219"/>
      <c r="F776" s="21"/>
      <c r="G776" s="21"/>
      <c r="H776" s="21"/>
      <c r="I776" s="21"/>
      <c r="J776" s="21"/>
      <c r="K776" s="21"/>
      <c r="L776" s="21"/>
      <c r="M776" s="21"/>
      <c r="N776" s="21"/>
      <c r="O776" s="21"/>
      <c r="P776" s="21"/>
      <c r="Q776" s="21"/>
    </row>
    <row r="777">
      <c r="A777" s="220"/>
      <c r="B777" s="35"/>
      <c r="D777" s="21"/>
      <c r="E777" s="219"/>
      <c r="F777" s="21"/>
      <c r="G777" s="21"/>
      <c r="H777" s="21"/>
      <c r="I777" s="21"/>
      <c r="J777" s="21"/>
      <c r="K777" s="21"/>
      <c r="L777" s="21"/>
      <c r="M777" s="21"/>
      <c r="N777" s="21"/>
      <c r="O777" s="21"/>
      <c r="P777" s="21"/>
      <c r="Q777" s="21"/>
    </row>
    <row r="778">
      <c r="A778" s="220"/>
      <c r="B778" s="35"/>
      <c r="D778" s="21"/>
      <c r="E778" s="219"/>
      <c r="F778" s="21"/>
      <c r="G778" s="21"/>
      <c r="H778" s="21"/>
      <c r="I778" s="21"/>
      <c r="J778" s="21"/>
      <c r="K778" s="21"/>
      <c r="L778" s="21"/>
      <c r="M778" s="21"/>
      <c r="N778" s="21"/>
      <c r="O778" s="21"/>
      <c r="P778" s="21"/>
      <c r="Q778" s="21"/>
    </row>
    <row r="779">
      <c r="A779" s="220"/>
      <c r="B779" s="35"/>
      <c r="D779" s="21"/>
      <c r="E779" s="219"/>
      <c r="F779" s="21"/>
      <c r="G779" s="21"/>
      <c r="H779" s="21"/>
      <c r="I779" s="21"/>
      <c r="J779" s="21"/>
      <c r="K779" s="21"/>
      <c r="L779" s="21"/>
      <c r="M779" s="21"/>
      <c r="N779" s="21"/>
      <c r="O779" s="21"/>
      <c r="P779" s="21"/>
      <c r="Q779" s="21"/>
    </row>
    <row r="780">
      <c r="A780" s="220"/>
      <c r="B780" s="35"/>
      <c r="D780" s="21"/>
      <c r="E780" s="219"/>
      <c r="F780" s="21"/>
      <c r="G780" s="21"/>
      <c r="H780" s="21"/>
      <c r="I780" s="21"/>
      <c r="J780" s="21"/>
      <c r="K780" s="21"/>
      <c r="L780" s="21"/>
      <c r="M780" s="21"/>
      <c r="N780" s="21"/>
      <c r="O780" s="21"/>
      <c r="P780" s="21"/>
      <c r="Q780" s="21"/>
    </row>
    <row r="781">
      <c r="A781" s="220"/>
      <c r="B781" s="35"/>
      <c r="D781" s="21"/>
      <c r="E781" s="219"/>
      <c r="F781" s="21"/>
      <c r="G781" s="21"/>
      <c r="H781" s="21"/>
      <c r="I781" s="21"/>
      <c r="J781" s="21"/>
      <c r="K781" s="21"/>
      <c r="L781" s="21"/>
      <c r="M781" s="21"/>
      <c r="N781" s="21"/>
      <c r="O781" s="21"/>
      <c r="P781" s="21"/>
      <c r="Q781" s="21"/>
    </row>
    <row r="782">
      <c r="A782" s="220"/>
      <c r="B782" s="35"/>
      <c r="D782" s="21"/>
      <c r="E782" s="219"/>
      <c r="F782" s="21"/>
      <c r="G782" s="21"/>
      <c r="H782" s="21"/>
      <c r="I782" s="21"/>
      <c r="J782" s="21"/>
      <c r="K782" s="21"/>
      <c r="L782" s="21"/>
      <c r="M782" s="21"/>
      <c r="N782" s="21"/>
      <c r="O782" s="21"/>
      <c r="P782" s="21"/>
      <c r="Q782" s="21"/>
    </row>
    <row r="783">
      <c r="A783" s="220"/>
      <c r="B783" s="35"/>
      <c r="D783" s="21"/>
      <c r="E783" s="219"/>
      <c r="F783" s="21"/>
      <c r="G783" s="21"/>
      <c r="H783" s="21"/>
      <c r="I783" s="21"/>
      <c r="J783" s="21"/>
      <c r="K783" s="21"/>
      <c r="L783" s="21"/>
      <c r="M783" s="21"/>
      <c r="N783" s="21"/>
      <c r="O783" s="21"/>
      <c r="P783" s="21"/>
      <c r="Q783" s="21"/>
    </row>
    <row r="784">
      <c r="A784" s="220"/>
      <c r="B784" s="35"/>
      <c r="D784" s="21"/>
      <c r="E784" s="219"/>
      <c r="F784" s="21"/>
      <c r="G784" s="21"/>
      <c r="H784" s="21"/>
      <c r="I784" s="21"/>
      <c r="J784" s="21"/>
      <c r="K784" s="21"/>
      <c r="L784" s="21"/>
      <c r="M784" s="21"/>
      <c r="N784" s="21"/>
      <c r="O784" s="21"/>
      <c r="P784" s="21"/>
      <c r="Q784" s="21"/>
    </row>
    <row r="785">
      <c r="A785" s="220"/>
      <c r="B785" s="35"/>
      <c r="D785" s="21"/>
      <c r="E785" s="219"/>
      <c r="F785" s="21"/>
      <c r="G785" s="21"/>
      <c r="H785" s="21"/>
      <c r="I785" s="21"/>
      <c r="J785" s="21"/>
      <c r="K785" s="21"/>
      <c r="L785" s="21"/>
      <c r="M785" s="21"/>
      <c r="N785" s="21"/>
      <c r="O785" s="21"/>
      <c r="P785" s="21"/>
      <c r="Q785" s="21"/>
    </row>
    <row r="786">
      <c r="A786" s="220"/>
      <c r="B786" s="35"/>
      <c r="D786" s="21"/>
      <c r="E786" s="219"/>
      <c r="F786" s="21"/>
      <c r="G786" s="21"/>
      <c r="H786" s="21"/>
      <c r="I786" s="21"/>
      <c r="J786" s="21"/>
      <c r="K786" s="21"/>
      <c r="L786" s="21"/>
      <c r="M786" s="21"/>
      <c r="N786" s="21"/>
      <c r="O786" s="21"/>
      <c r="P786" s="21"/>
      <c r="Q786" s="21"/>
    </row>
    <row r="787">
      <c r="A787" s="220"/>
      <c r="B787" s="35"/>
      <c r="D787" s="21"/>
      <c r="E787" s="219"/>
      <c r="F787" s="21"/>
      <c r="G787" s="21"/>
      <c r="H787" s="21"/>
      <c r="I787" s="21"/>
      <c r="J787" s="21"/>
      <c r="K787" s="21"/>
      <c r="L787" s="21"/>
      <c r="M787" s="21"/>
      <c r="N787" s="21"/>
      <c r="O787" s="21"/>
      <c r="P787" s="21"/>
      <c r="Q787" s="21"/>
    </row>
    <row r="788">
      <c r="A788" s="220"/>
      <c r="B788" s="35"/>
      <c r="D788" s="21"/>
      <c r="E788" s="219"/>
      <c r="F788" s="21"/>
      <c r="G788" s="21"/>
      <c r="H788" s="21"/>
      <c r="I788" s="21"/>
      <c r="J788" s="21"/>
      <c r="K788" s="21"/>
      <c r="L788" s="21"/>
      <c r="M788" s="21"/>
      <c r="N788" s="21"/>
      <c r="O788" s="21"/>
      <c r="P788" s="21"/>
      <c r="Q788" s="21"/>
    </row>
    <row r="789">
      <c r="A789" s="220"/>
      <c r="B789" s="35"/>
      <c r="D789" s="21"/>
      <c r="E789" s="219"/>
      <c r="F789" s="21"/>
      <c r="G789" s="21"/>
      <c r="H789" s="21"/>
      <c r="I789" s="21"/>
      <c r="J789" s="21"/>
      <c r="K789" s="21"/>
      <c r="L789" s="21"/>
      <c r="M789" s="21"/>
      <c r="N789" s="21"/>
      <c r="O789" s="21"/>
      <c r="P789" s="21"/>
      <c r="Q789" s="21"/>
    </row>
    <row r="790">
      <c r="A790" s="220"/>
      <c r="B790" s="35"/>
      <c r="D790" s="21"/>
      <c r="E790" s="219"/>
      <c r="F790" s="21"/>
      <c r="G790" s="21"/>
      <c r="H790" s="21"/>
      <c r="I790" s="21"/>
      <c r="J790" s="21"/>
      <c r="K790" s="21"/>
      <c r="L790" s="21"/>
      <c r="M790" s="21"/>
      <c r="N790" s="21"/>
      <c r="O790" s="21"/>
      <c r="P790" s="21"/>
      <c r="Q790" s="21"/>
    </row>
    <row r="791">
      <c r="A791" s="220"/>
      <c r="B791" s="35"/>
      <c r="D791" s="21"/>
      <c r="E791" s="219"/>
      <c r="F791" s="21"/>
      <c r="G791" s="21"/>
      <c r="H791" s="21"/>
      <c r="I791" s="21"/>
      <c r="J791" s="21"/>
      <c r="K791" s="21"/>
      <c r="L791" s="21"/>
      <c r="M791" s="21"/>
      <c r="N791" s="21"/>
      <c r="O791" s="21"/>
      <c r="P791" s="21"/>
      <c r="Q791" s="21"/>
    </row>
    <row r="792">
      <c r="A792" s="220"/>
      <c r="B792" s="35"/>
      <c r="D792" s="21"/>
      <c r="E792" s="219"/>
      <c r="F792" s="21"/>
      <c r="G792" s="21"/>
      <c r="H792" s="21"/>
      <c r="I792" s="21"/>
      <c r="J792" s="21"/>
      <c r="K792" s="21"/>
      <c r="L792" s="21"/>
      <c r="M792" s="21"/>
      <c r="N792" s="21"/>
      <c r="O792" s="21"/>
      <c r="P792" s="21"/>
      <c r="Q792" s="21"/>
    </row>
    <row r="793">
      <c r="A793" s="220"/>
      <c r="B793" s="35"/>
      <c r="D793" s="21"/>
      <c r="E793" s="219"/>
      <c r="F793" s="21"/>
      <c r="G793" s="21"/>
      <c r="H793" s="21"/>
      <c r="I793" s="21"/>
      <c r="J793" s="21"/>
      <c r="K793" s="21"/>
      <c r="L793" s="21"/>
      <c r="M793" s="21"/>
      <c r="N793" s="21"/>
      <c r="O793" s="21"/>
      <c r="P793" s="21"/>
      <c r="Q793" s="21"/>
    </row>
    <row r="794">
      <c r="A794" s="220"/>
      <c r="B794" s="35"/>
      <c r="D794" s="21"/>
      <c r="E794" s="219"/>
      <c r="F794" s="21"/>
      <c r="G794" s="21"/>
      <c r="H794" s="21"/>
      <c r="I794" s="21"/>
      <c r="J794" s="21"/>
      <c r="K794" s="21"/>
      <c r="L794" s="21"/>
      <c r="M794" s="21"/>
      <c r="N794" s="21"/>
      <c r="O794" s="21"/>
      <c r="P794" s="21"/>
      <c r="Q794" s="21"/>
    </row>
    <row r="795">
      <c r="A795" s="220"/>
      <c r="B795" s="35"/>
      <c r="D795" s="21"/>
      <c r="E795" s="219"/>
      <c r="F795" s="21"/>
      <c r="G795" s="21"/>
      <c r="H795" s="21"/>
      <c r="I795" s="21"/>
      <c r="J795" s="21"/>
      <c r="K795" s="21"/>
      <c r="L795" s="21"/>
      <c r="M795" s="21"/>
      <c r="N795" s="21"/>
      <c r="O795" s="21"/>
      <c r="P795" s="21"/>
      <c r="Q795" s="21"/>
    </row>
    <row r="796">
      <c r="A796" s="220"/>
      <c r="B796" s="35"/>
      <c r="D796" s="21"/>
      <c r="E796" s="219"/>
      <c r="F796" s="21"/>
      <c r="G796" s="21"/>
      <c r="H796" s="21"/>
      <c r="I796" s="21"/>
      <c r="J796" s="21"/>
      <c r="K796" s="21"/>
      <c r="L796" s="21"/>
      <c r="M796" s="21"/>
      <c r="N796" s="21"/>
      <c r="O796" s="21"/>
      <c r="P796" s="21"/>
      <c r="Q796" s="21"/>
    </row>
    <row r="797">
      <c r="A797" s="220"/>
      <c r="B797" s="35"/>
      <c r="D797" s="21"/>
      <c r="E797" s="219"/>
      <c r="F797" s="21"/>
      <c r="G797" s="21"/>
      <c r="H797" s="21"/>
      <c r="I797" s="21"/>
      <c r="J797" s="21"/>
      <c r="K797" s="21"/>
      <c r="L797" s="21"/>
      <c r="M797" s="21"/>
      <c r="N797" s="21"/>
      <c r="O797" s="21"/>
      <c r="P797" s="21"/>
      <c r="Q797" s="21"/>
    </row>
    <row r="798">
      <c r="A798" s="220"/>
      <c r="B798" s="35"/>
      <c r="D798" s="21"/>
      <c r="E798" s="219"/>
      <c r="F798" s="21"/>
      <c r="G798" s="21"/>
      <c r="H798" s="21"/>
      <c r="I798" s="21"/>
      <c r="J798" s="21"/>
      <c r="K798" s="21"/>
      <c r="L798" s="21"/>
      <c r="M798" s="21"/>
      <c r="N798" s="21"/>
      <c r="O798" s="21"/>
      <c r="P798" s="21"/>
      <c r="Q798" s="21"/>
    </row>
    <row r="799">
      <c r="A799" s="220"/>
      <c r="B799" s="35"/>
      <c r="D799" s="21"/>
      <c r="E799" s="219"/>
      <c r="F799" s="21"/>
      <c r="G799" s="21"/>
      <c r="H799" s="21"/>
      <c r="I799" s="21"/>
      <c r="J799" s="21"/>
      <c r="K799" s="21"/>
      <c r="L799" s="21"/>
      <c r="M799" s="21"/>
      <c r="N799" s="21"/>
      <c r="O799" s="21"/>
      <c r="P799" s="21"/>
      <c r="Q799" s="21"/>
    </row>
    <row r="800">
      <c r="A800" s="220"/>
      <c r="B800" s="35"/>
      <c r="D800" s="21"/>
      <c r="E800" s="219"/>
      <c r="F800" s="21"/>
      <c r="G800" s="21"/>
      <c r="H800" s="21"/>
      <c r="I800" s="21"/>
      <c r="J800" s="21"/>
      <c r="K800" s="21"/>
      <c r="L800" s="21"/>
      <c r="M800" s="21"/>
      <c r="N800" s="21"/>
      <c r="O800" s="21"/>
      <c r="P800" s="21"/>
      <c r="Q800" s="21"/>
    </row>
    <row r="801">
      <c r="A801" s="220"/>
      <c r="B801" s="35"/>
      <c r="D801" s="21"/>
      <c r="E801" s="219"/>
      <c r="F801" s="21"/>
      <c r="G801" s="21"/>
      <c r="H801" s="21"/>
      <c r="I801" s="21"/>
      <c r="J801" s="21"/>
      <c r="K801" s="21"/>
      <c r="L801" s="21"/>
      <c r="M801" s="21"/>
      <c r="N801" s="21"/>
      <c r="O801" s="21"/>
      <c r="P801" s="21"/>
      <c r="Q801" s="21"/>
    </row>
    <row r="802">
      <c r="A802" s="220"/>
      <c r="B802" s="35"/>
      <c r="D802" s="21"/>
      <c r="E802" s="219"/>
      <c r="F802" s="21"/>
      <c r="G802" s="21"/>
      <c r="H802" s="21"/>
      <c r="I802" s="21"/>
      <c r="J802" s="21"/>
      <c r="K802" s="21"/>
      <c r="L802" s="21"/>
      <c r="M802" s="21"/>
      <c r="N802" s="21"/>
      <c r="O802" s="21"/>
      <c r="P802" s="21"/>
      <c r="Q802" s="21"/>
    </row>
    <row r="803">
      <c r="A803" s="220"/>
      <c r="B803" s="35"/>
      <c r="D803" s="21"/>
      <c r="E803" s="219"/>
      <c r="F803" s="21"/>
      <c r="G803" s="21"/>
      <c r="H803" s="21"/>
      <c r="I803" s="21"/>
      <c r="J803" s="21"/>
      <c r="K803" s="21"/>
      <c r="L803" s="21"/>
      <c r="M803" s="21"/>
      <c r="N803" s="21"/>
      <c r="O803" s="21"/>
      <c r="P803" s="21"/>
      <c r="Q803" s="21"/>
    </row>
    <row r="804">
      <c r="A804" s="220"/>
      <c r="B804" s="35"/>
      <c r="D804" s="21"/>
      <c r="E804" s="219"/>
      <c r="F804" s="21"/>
      <c r="G804" s="21"/>
      <c r="H804" s="21"/>
      <c r="I804" s="21"/>
      <c r="J804" s="21"/>
      <c r="K804" s="21"/>
      <c r="L804" s="21"/>
      <c r="M804" s="21"/>
      <c r="N804" s="21"/>
      <c r="O804" s="21"/>
      <c r="P804" s="21"/>
      <c r="Q804" s="21"/>
    </row>
    <row r="805">
      <c r="A805" s="220"/>
      <c r="B805" s="35"/>
      <c r="D805" s="21"/>
      <c r="E805" s="219"/>
      <c r="F805" s="21"/>
      <c r="G805" s="21"/>
      <c r="H805" s="21"/>
      <c r="I805" s="21"/>
      <c r="J805" s="21"/>
      <c r="K805" s="21"/>
      <c r="L805" s="21"/>
      <c r="M805" s="21"/>
      <c r="N805" s="21"/>
      <c r="O805" s="21"/>
      <c r="P805" s="21"/>
      <c r="Q805" s="21"/>
    </row>
    <row r="806">
      <c r="A806" s="220"/>
      <c r="B806" s="35"/>
      <c r="D806" s="21"/>
      <c r="E806" s="219"/>
      <c r="F806" s="21"/>
      <c r="G806" s="21"/>
      <c r="H806" s="21"/>
      <c r="I806" s="21"/>
      <c r="J806" s="21"/>
      <c r="K806" s="21"/>
      <c r="L806" s="21"/>
      <c r="M806" s="21"/>
      <c r="N806" s="21"/>
      <c r="O806" s="21"/>
      <c r="P806" s="21"/>
      <c r="Q806" s="21"/>
    </row>
    <row r="807">
      <c r="A807" s="220"/>
      <c r="B807" s="35"/>
      <c r="D807" s="21"/>
      <c r="E807" s="219"/>
      <c r="F807" s="21"/>
      <c r="G807" s="21"/>
      <c r="H807" s="21"/>
      <c r="I807" s="21"/>
      <c r="J807" s="21"/>
      <c r="K807" s="21"/>
      <c r="L807" s="21"/>
      <c r="M807" s="21"/>
      <c r="N807" s="21"/>
      <c r="O807" s="21"/>
      <c r="P807" s="21"/>
      <c r="Q807" s="21"/>
    </row>
    <row r="808">
      <c r="A808" s="220"/>
      <c r="B808" s="35"/>
      <c r="D808" s="21"/>
      <c r="E808" s="219"/>
      <c r="F808" s="21"/>
      <c r="G808" s="21"/>
      <c r="H808" s="21"/>
      <c r="I808" s="21"/>
      <c r="J808" s="21"/>
      <c r="K808" s="21"/>
      <c r="L808" s="21"/>
      <c r="M808" s="21"/>
      <c r="N808" s="21"/>
      <c r="O808" s="21"/>
      <c r="P808" s="21"/>
      <c r="Q808" s="21"/>
    </row>
    <row r="809">
      <c r="A809" s="220"/>
      <c r="B809" s="35"/>
      <c r="D809" s="21"/>
      <c r="E809" s="219"/>
      <c r="F809" s="21"/>
      <c r="G809" s="21"/>
      <c r="H809" s="21"/>
      <c r="I809" s="21"/>
      <c r="J809" s="21"/>
      <c r="K809" s="21"/>
      <c r="L809" s="21"/>
      <c r="M809" s="21"/>
      <c r="N809" s="21"/>
      <c r="O809" s="21"/>
      <c r="P809" s="21"/>
      <c r="Q809" s="21"/>
    </row>
    <row r="810">
      <c r="A810" s="220"/>
      <c r="B810" s="35"/>
      <c r="D810" s="21"/>
      <c r="E810" s="219"/>
      <c r="F810" s="21"/>
      <c r="G810" s="21"/>
      <c r="H810" s="21"/>
      <c r="I810" s="21"/>
      <c r="J810" s="21"/>
      <c r="K810" s="21"/>
      <c r="L810" s="21"/>
      <c r="M810" s="21"/>
      <c r="N810" s="21"/>
      <c r="O810" s="21"/>
      <c r="P810" s="21"/>
      <c r="Q810" s="21"/>
    </row>
    <row r="811">
      <c r="A811" s="220"/>
      <c r="B811" s="35"/>
      <c r="D811" s="21"/>
      <c r="E811" s="219"/>
      <c r="F811" s="21"/>
      <c r="G811" s="21"/>
      <c r="H811" s="21"/>
      <c r="I811" s="21"/>
      <c r="J811" s="21"/>
      <c r="K811" s="21"/>
      <c r="L811" s="21"/>
      <c r="M811" s="21"/>
      <c r="N811" s="21"/>
      <c r="O811" s="21"/>
      <c r="P811" s="21"/>
      <c r="Q811" s="21"/>
    </row>
    <row r="812">
      <c r="A812" s="220"/>
      <c r="B812" s="35"/>
      <c r="D812" s="21"/>
      <c r="E812" s="219"/>
      <c r="F812" s="21"/>
      <c r="G812" s="21"/>
      <c r="H812" s="21"/>
      <c r="I812" s="21"/>
      <c r="J812" s="21"/>
      <c r="K812" s="21"/>
      <c r="L812" s="21"/>
      <c r="M812" s="21"/>
      <c r="N812" s="21"/>
      <c r="O812" s="21"/>
      <c r="P812" s="21"/>
      <c r="Q812" s="21"/>
    </row>
    <row r="813">
      <c r="A813" s="220"/>
      <c r="B813" s="35"/>
      <c r="D813" s="21"/>
      <c r="E813" s="219"/>
      <c r="F813" s="21"/>
      <c r="G813" s="21"/>
      <c r="H813" s="21"/>
      <c r="I813" s="21"/>
      <c r="J813" s="21"/>
      <c r="K813" s="21"/>
      <c r="L813" s="21"/>
      <c r="M813" s="21"/>
      <c r="N813" s="21"/>
      <c r="O813" s="21"/>
      <c r="P813" s="21"/>
      <c r="Q813" s="21"/>
    </row>
    <row r="814">
      <c r="A814" s="220"/>
      <c r="B814" s="35"/>
      <c r="D814" s="21"/>
      <c r="E814" s="219"/>
      <c r="F814" s="21"/>
      <c r="G814" s="21"/>
      <c r="H814" s="21"/>
      <c r="I814" s="21"/>
      <c r="J814" s="21"/>
      <c r="K814" s="21"/>
      <c r="L814" s="21"/>
      <c r="M814" s="21"/>
      <c r="N814" s="21"/>
      <c r="O814" s="21"/>
      <c r="P814" s="21"/>
      <c r="Q814" s="21"/>
    </row>
    <row r="815">
      <c r="A815" s="220"/>
      <c r="B815" s="35"/>
      <c r="D815" s="21"/>
      <c r="E815" s="219"/>
      <c r="F815" s="21"/>
      <c r="G815" s="21"/>
      <c r="H815" s="21"/>
      <c r="I815" s="21"/>
      <c r="J815" s="21"/>
      <c r="K815" s="21"/>
      <c r="L815" s="21"/>
      <c r="M815" s="21"/>
      <c r="N815" s="21"/>
      <c r="O815" s="21"/>
      <c r="P815" s="21"/>
      <c r="Q815" s="21"/>
    </row>
    <row r="816">
      <c r="A816" s="220"/>
      <c r="B816" s="35"/>
      <c r="D816" s="21"/>
      <c r="E816" s="219"/>
      <c r="F816" s="21"/>
      <c r="G816" s="21"/>
      <c r="H816" s="21"/>
      <c r="I816" s="21"/>
      <c r="J816" s="21"/>
      <c r="K816" s="21"/>
      <c r="L816" s="21"/>
      <c r="M816" s="21"/>
      <c r="N816" s="21"/>
      <c r="O816" s="21"/>
      <c r="P816" s="21"/>
      <c r="Q816" s="21"/>
    </row>
    <row r="817">
      <c r="A817" s="220"/>
      <c r="B817" s="35"/>
      <c r="D817" s="21"/>
      <c r="E817" s="219"/>
      <c r="F817" s="21"/>
      <c r="G817" s="21"/>
      <c r="H817" s="21"/>
      <c r="I817" s="21"/>
      <c r="J817" s="21"/>
      <c r="K817" s="21"/>
      <c r="L817" s="21"/>
      <c r="M817" s="21"/>
      <c r="N817" s="21"/>
      <c r="O817" s="21"/>
      <c r="P817" s="21"/>
      <c r="Q817" s="21"/>
    </row>
    <row r="818">
      <c r="A818" s="220"/>
      <c r="B818" s="35"/>
      <c r="D818" s="21"/>
      <c r="E818" s="219"/>
      <c r="F818" s="21"/>
      <c r="G818" s="21"/>
      <c r="H818" s="21"/>
      <c r="I818" s="21"/>
      <c r="J818" s="21"/>
      <c r="K818" s="21"/>
      <c r="L818" s="21"/>
      <c r="M818" s="21"/>
      <c r="N818" s="21"/>
      <c r="O818" s="21"/>
      <c r="P818" s="21"/>
      <c r="Q818" s="21"/>
    </row>
    <row r="819">
      <c r="A819" s="220"/>
      <c r="B819" s="35"/>
      <c r="D819" s="21"/>
      <c r="E819" s="219"/>
      <c r="F819" s="21"/>
      <c r="G819" s="21"/>
      <c r="H819" s="21"/>
      <c r="I819" s="21"/>
      <c r="J819" s="21"/>
      <c r="K819" s="21"/>
      <c r="L819" s="21"/>
      <c r="M819" s="21"/>
      <c r="N819" s="21"/>
      <c r="O819" s="21"/>
      <c r="P819" s="21"/>
      <c r="Q819" s="21"/>
    </row>
    <row r="820">
      <c r="A820" s="220"/>
      <c r="B820" s="35"/>
      <c r="D820" s="21"/>
      <c r="E820" s="219"/>
      <c r="F820" s="21"/>
      <c r="G820" s="21"/>
      <c r="H820" s="21"/>
      <c r="I820" s="21"/>
      <c r="J820" s="21"/>
      <c r="K820" s="21"/>
      <c r="L820" s="21"/>
      <c r="M820" s="21"/>
      <c r="N820" s="21"/>
      <c r="O820" s="21"/>
      <c r="P820" s="21"/>
      <c r="Q820" s="21"/>
    </row>
    <row r="821">
      <c r="A821" s="220"/>
      <c r="B821" s="35"/>
      <c r="D821" s="21"/>
      <c r="E821" s="219"/>
      <c r="F821" s="21"/>
      <c r="G821" s="21"/>
      <c r="H821" s="21"/>
      <c r="I821" s="21"/>
      <c r="J821" s="21"/>
      <c r="K821" s="21"/>
      <c r="L821" s="21"/>
      <c r="M821" s="21"/>
      <c r="N821" s="21"/>
      <c r="O821" s="21"/>
      <c r="P821" s="21"/>
      <c r="Q821" s="21"/>
    </row>
    <row r="822">
      <c r="A822" s="220"/>
      <c r="B822" s="35"/>
      <c r="D822" s="21"/>
      <c r="E822" s="219"/>
      <c r="F822" s="21"/>
      <c r="G822" s="21"/>
      <c r="H822" s="21"/>
      <c r="I822" s="21"/>
      <c r="J822" s="21"/>
      <c r="K822" s="21"/>
      <c r="L822" s="21"/>
      <c r="M822" s="21"/>
      <c r="N822" s="21"/>
      <c r="O822" s="21"/>
      <c r="P822" s="21"/>
      <c r="Q822" s="21"/>
    </row>
    <row r="823">
      <c r="A823" s="220"/>
      <c r="B823" s="35"/>
      <c r="D823" s="21"/>
      <c r="E823" s="219"/>
      <c r="F823" s="21"/>
      <c r="G823" s="21"/>
      <c r="H823" s="21"/>
      <c r="I823" s="21"/>
      <c r="J823" s="21"/>
      <c r="K823" s="21"/>
      <c r="L823" s="21"/>
      <c r="M823" s="21"/>
      <c r="N823" s="21"/>
      <c r="O823" s="21"/>
      <c r="P823" s="21"/>
      <c r="Q823" s="21"/>
    </row>
    <row r="824">
      <c r="A824" s="220"/>
      <c r="B824" s="35"/>
      <c r="D824" s="21"/>
      <c r="E824" s="219"/>
      <c r="F824" s="21"/>
      <c r="G824" s="21"/>
      <c r="H824" s="21"/>
      <c r="I824" s="21"/>
      <c r="J824" s="21"/>
      <c r="K824" s="21"/>
      <c r="L824" s="21"/>
      <c r="M824" s="21"/>
      <c r="N824" s="21"/>
      <c r="O824" s="21"/>
      <c r="P824" s="21"/>
      <c r="Q824" s="21"/>
    </row>
    <row r="825">
      <c r="A825" s="220"/>
      <c r="B825" s="35"/>
      <c r="D825" s="21"/>
      <c r="E825" s="219"/>
      <c r="F825" s="21"/>
      <c r="G825" s="21"/>
      <c r="H825" s="21"/>
      <c r="I825" s="21"/>
      <c r="J825" s="21"/>
      <c r="K825" s="21"/>
      <c r="L825" s="21"/>
      <c r="M825" s="21"/>
      <c r="N825" s="21"/>
      <c r="O825" s="21"/>
      <c r="P825" s="21"/>
      <c r="Q825" s="21"/>
    </row>
    <row r="826">
      <c r="A826" s="220"/>
      <c r="B826" s="35"/>
      <c r="D826" s="21"/>
      <c r="E826" s="219"/>
      <c r="F826" s="21"/>
      <c r="G826" s="21"/>
      <c r="H826" s="21"/>
      <c r="I826" s="21"/>
      <c r="J826" s="21"/>
      <c r="K826" s="21"/>
      <c r="L826" s="21"/>
      <c r="M826" s="21"/>
      <c r="N826" s="21"/>
      <c r="O826" s="21"/>
      <c r="P826" s="21"/>
      <c r="Q826" s="21"/>
    </row>
    <row r="827">
      <c r="A827" s="220"/>
      <c r="B827" s="35"/>
      <c r="D827" s="21"/>
      <c r="E827" s="219"/>
      <c r="F827" s="21"/>
      <c r="G827" s="21"/>
      <c r="H827" s="21"/>
      <c r="I827" s="21"/>
      <c r="J827" s="21"/>
      <c r="K827" s="21"/>
      <c r="L827" s="21"/>
      <c r="M827" s="21"/>
      <c r="N827" s="21"/>
      <c r="O827" s="21"/>
      <c r="P827" s="21"/>
      <c r="Q827" s="21"/>
    </row>
    <row r="828">
      <c r="A828" s="220"/>
      <c r="B828" s="35"/>
      <c r="D828" s="21"/>
      <c r="E828" s="219"/>
      <c r="F828" s="21"/>
      <c r="G828" s="21"/>
      <c r="H828" s="21"/>
      <c r="I828" s="21"/>
      <c r="J828" s="21"/>
      <c r="K828" s="21"/>
      <c r="L828" s="21"/>
      <c r="M828" s="21"/>
      <c r="N828" s="21"/>
      <c r="O828" s="21"/>
      <c r="P828" s="21"/>
      <c r="Q828" s="21"/>
    </row>
    <row r="829">
      <c r="A829" s="220"/>
      <c r="B829" s="35"/>
      <c r="D829" s="21"/>
      <c r="E829" s="219"/>
      <c r="F829" s="21"/>
      <c r="G829" s="21"/>
      <c r="H829" s="21"/>
      <c r="I829" s="21"/>
      <c r="J829" s="21"/>
      <c r="K829" s="21"/>
      <c r="L829" s="21"/>
      <c r="M829" s="21"/>
      <c r="N829" s="21"/>
      <c r="O829" s="21"/>
      <c r="P829" s="21"/>
      <c r="Q829" s="21"/>
    </row>
    <row r="830">
      <c r="A830" s="220"/>
      <c r="B830" s="35"/>
      <c r="D830" s="21"/>
      <c r="E830" s="219"/>
      <c r="F830" s="21"/>
      <c r="G830" s="21"/>
      <c r="H830" s="21"/>
      <c r="I830" s="21"/>
      <c r="J830" s="21"/>
      <c r="K830" s="21"/>
      <c r="L830" s="21"/>
      <c r="M830" s="21"/>
      <c r="N830" s="21"/>
      <c r="O830" s="21"/>
      <c r="P830" s="21"/>
      <c r="Q830" s="21"/>
    </row>
    <row r="831">
      <c r="A831" s="220"/>
      <c r="B831" s="35"/>
      <c r="D831" s="21"/>
      <c r="E831" s="219"/>
      <c r="F831" s="21"/>
      <c r="G831" s="21"/>
      <c r="H831" s="21"/>
      <c r="I831" s="21"/>
      <c r="J831" s="21"/>
      <c r="K831" s="21"/>
      <c r="L831" s="21"/>
      <c r="M831" s="21"/>
      <c r="N831" s="21"/>
      <c r="O831" s="21"/>
      <c r="P831" s="21"/>
      <c r="Q831" s="21"/>
    </row>
    <row r="832">
      <c r="A832" s="220"/>
      <c r="B832" s="35"/>
      <c r="D832" s="21"/>
      <c r="E832" s="219"/>
      <c r="F832" s="21"/>
      <c r="G832" s="21"/>
      <c r="H832" s="21"/>
      <c r="I832" s="21"/>
      <c r="J832" s="21"/>
      <c r="K832" s="21"/>
      <c r="L832" s="21"/>
      <c r="M832" s="21"/>
      <c r="N832" s="21"/>
      <c r="O832" s="21"/>
      <c r="P832" s="21"/>
      <c r="Q832" s="21"/>
    </row>
    <row r="833">
      <c r="A833" s="220"/>
      <c r="B833" s="35"/>
      <c r="D833" s="21"/>
      <c r="E833" s="219"/>
      <c r="F833" s="21"/>
      <c r="G833" s="21"/>
      <c r="H833" s="21"/>
      <c r="I833" s="21"/>
      <c r="J833" s="21"/>
      <c r="K833" s="21"/>
      <c r="L833" s="21"/>
      <c r="M833" s="21"/>
      <c r="N833" s="21"/>
      <c r="O833" s="21"/>
      <c r="P833" s="21"/>
      <c r="Q833" s="21"/>
    </row>
    <row r="834">
      <c r="A834" s="220"/>
      <c r="B834" s="35"/>
      <c r="D834" s="21"/>
      <c r="E834" s="219"/>
      <c r="F834" s="21"/>
      <c r="G834" s="21"/>
      <c r="H834" s="21"/>
      <c r="I834" s="21"/>
      <c r="J834" s="21"/>
      <c r="K834" s="21"/>
      <c r="L834" s="21"/>
      <c r="M834" s="21"/>
      <c r="N834" s="21"/>
      <c r="O834" s="21"/>
      <c r="P834" s="21"/>
      <c r="Q834" s="21"/>
    </row>
    <row r="835">
      <c r="A835" s="220"/>
      <c r="B835" s="35"/>
      <c r="D835" s="21"/>
      <c r="E835" s="219"/>
      <c r="F835" s="21"/>
      <c r="G835" s="21"/>
      <c r="H835" s="21"/>
      <c r="I835" s="21"/>
      <c r="J835" s="21"/>
      <c r="K835" s="21"/>
      <c r="L835" s="21"/>
      <c r="M835" s="21"/>
      <c r="N835" s="21"/>
      <c r="O835" s="21"/>
      <c r="P835" s="21"/>
      <c r="Q835" s="21"/>
    </row>
    <row r="836">
      <c r="A836" s="220"/>
      <c r="B836" s="35"/>
      <c r="D836" s="21"/>
      <c r="E836" s="219"/>
      <c r="F836" s="21"/>
      <c r="G836" s="21"/>
      <c r="H836" s="21"/>
      <c r="I836" s="21"/>
      <c r="J836" s="21"/>
      <c r="K836" s="21"/>
      <c r="L836" s="21"/>
      <c r="M836" s="21"/>
      <c r="N836" s="21"/>
      <c r="O836" s="21"/>
      <c r="P836" s="21"/>
      <c r="Q836" s="21"/>
    </row>
    <row r="837">
      <c r="A837" s="220"/>
      <c r="B837" s="35"/>
      <c r="D837" s="21"/>
      <c r="E837" s="219"/>
      <c r="F837" s="21"/>
      <c r="G837" s="21"/>
      <c r="H837" s="21"/>
      <c r="I837" s="21"/>
      <c r="J837" s="21"/>
      <c r="K837" s="21"/>
      <c r="L837" s="21"/>
      <c r="M837" s="21"/>
      <c r="N837" s="21"/>
      <c r="O837" s="21"/>
      <c r="P837" s="21"/>
      <c r="Q837" s="21"/>
    </row>
    <row r="838">
      <c r="A838" s="220"/>
      <c r="B838" s="35"/>
      <c r="D838" s="21"/>
      <c r="E838" s="219"/>
      <c r="F838" s="21"/>
      <c r="G838" s="21"/>
      <c r="H838" s="21"/>
      <c r="I838" s="21"/>
      <c r="J838" s="21"/>
      <c r="K838" s="21"/>
      <c r="L838" s="21"/>
      <c r="M838" s="21"/>
      <c r="N838" s="21"/>
      <c r="O838" s="21"/>
      <c r="P838" s="21"/>
      <c r="Q838" s="21"/>
    </row>
    <row r="839">
      <c r="A839" s="220"/>
      <c r="B839" s="35"/>
      <c r="D839" s="21"/>
      <c r="E839" s="219"/>
      <c r="F839" s="21"/>
      <c r="G839" s="21"/>
      <c r="H839" s="21"/>
      <c r="I839" s="21"/>
      <c r="J839" s="21"/>
      <c r="K839" s="21"/>
      <c r="L839" s="21"/>
      <c r="M839" s="21"/>
      <c r="N839" s="21"/>
      <c r="O839" s="21"/>
      <c r="P839" s="21"/>
      <c r="Q839" s="21"/>
    </row>
    <row r="840">
      <c r="A840" s="220"/>
      <c r="B840" s="35"/>
      <c r="D840" s="21"/>
      <c r="E840" s="219"/>
      <c r="F840" s="21"/>
      <c r="G840" s="21"/>
      <c r="H840" s="21"/>
      <c r="I840" s="21"/>
      <c r="J840" s="21"/>
      <c r="K840" s="21"/>
      <c r="L840" s="21"/>
      <c r="M840" s="21"/>
      <c r="N840" s="21"/>
      <c r="O840" s="21"/>
      <c r="P840" s="21"/>
      <c r="Q840" s="21"/>
    </row>
    <row r="841">
      <c r="A841" s="220"/>
      <c r="B841" s="35"/>
      <c r="D841" s="21"/>
      <c r="E841" s="219"/>
      <c r="F841" s="21"/>
      <c r="G841" s="21"/>
      <c r="H841" s="21"/>
      <c r="I841" s="21"/>
      <c r="J841" s="21"/>
      <c r="K841" s="21"/>
      <c r="L841" s="21"/>
      <c r="M841" s="21"/>
      <c r="N841" s="21"/>
      <c r="O841" s="21"/>
      <c r="P841" s="21"/>
      <c r="Q841" s="21"/>
    </row>
    <row r="842">
      <c r="A842" s="220"/>
      <c r="B842" s="35"/>
      <c r="D842" s="21"/>
      <c r="E842" s="219"/>
      <c r="F842" s="21"/>
      <c r="G842" s="21"/>
      <c r="H842" s="21"/>
      <c r="I842" s="21"/>
      <c r="J842" s="21"/>
      <c r="K842" s="21"/>
      <c r="L842" s="21"/>
      <c r="M842" s="21"/>
      <c r="N842" s="21"/>
      <c r="O842" s="21"/>
      <c r="P842" s="21"/>
      <c r="Q842" s="21"/>
    </row>
    <row r="843">
      <c r="A843" s="220"/>
      <c r="B843" s="35"/>
      <c r="D843" s="21"/>
      <c r="E843" s="219"/>
      <c r="F843" s="21"/>
      <c r="G843" s="21"/>
      <c r="H843" s="21"/>
      <c r="I843" s="21"/>
      <c r="J843" s="21"/>
      <c r="K843" s="21"/>
      <c r="L843" s="21"/>
      <c r="M843" s="21"/>
      <c r="N843" s="21"/>
      <c r="O843" s="21"/>
      <c r="P843" s="21"/>
      <c r="Q843" s="21"/>
    </row>
    <row r="844">
      <c r="A844" s="220"/>
      <c r="B844" s="35"/>
      <c r="D844" s="21"/>
      <c r="E844" s="219"/>
      <c r="F844" s="21"/>
      <c r="G844" s="21"/>
      <c r="H844" s="21"/>
      <c r="I844" s="21"/>
      <c r="J844" s="21"/>
      <c r="K844" s="21"/>
      <c r="L844" s="21"/>
      <c r="M844" s="21"/>
      <c r="N844" s="21"/>
      <c r="O844" s="21"/>
      <c r="P844" s="21"/>
      <c r="Q844" s="21"/>
    </row>
    <row r="845">
      <c r="A845" s="220"/>
      <c r="B845" s="35"/>
      <c r="D845" s="21"/>
      <c r="E845" s="219"/>
      <c r="F845" s="21"/>
      <c r="G845" s="21"/>
      <c r="H845" s="21"/>
      <c r="I845" s="21"/>
      <c r="J845" s="21"/>
      <c r="K845" s="21"/>
      <c r="L845" s="21"/>
      <c r="M845" s="21"/>
      <c r="N845" s="21"/>
      <c r="O845" s="21"/>
      <c r="P845" s="21"/>
      <c r="Q845" s="21"/>
    </row>
    <row r="846">
      <c r="A846" s="220"/>
      <c r="B846" s="35"/>
      <c r="D846" s="21"/>
      <c r="E846" s="219"/>
      <c r="F846" s="21"/>
      <c r="G846" s="21"/>
      <c r="H846" s="21"/>
      <c r="I846" s="21"/>
      <c r="J846" s="21"/>
      <c r="K846" s="21"/>
      <c r="L846" s="21"/>
      <c r="M846" s="21"/>
      <c r="N846" s="21"/>
      <c r="O846" s="21"/>
      <c r="P846" s="21"/>
      <c r="Q846" s="21"/>
    </row>
    <row r="847">
      <c r="A847" s="220"/>
      <c r="B847" s="35"/>
      <c r="D847" s="21"/>
      <c r="E847" s="219"/>
      <c r="F847" s="21"/>
      <c r="G847" s="21"/>
      <c r="H847" s="21"/>
      <c r="I847" s="21"/>
      <c r="J847" s="21"/>
      <c r="K847" s="21"/>
      <c r="L847" s="21"/>
      <c r="M847" s="21"/>
      <c r="N847" s="21"/>
      <c r="O847" s="21"/>
      <c r="P847" s="21"/>
      <c r="Q847" s="21"/>
    </row>
    <row r="848">
      <c r="A848" s="220"/>
      <c r="B848" s="35"/>
      <c r="D848" s="21"/>
      <c r="E848" s="219"/>
      <c r="F848" s="21"/>
      <c r="G848" s="21"/>
      <c r="H848" s="21"/>
      <c r="I848" s="21"/>
      <c r="J848" s="21"/>
      <c r="K848" s="21"/>
      <c r="L848" s="21"/>
      <c r="M848" s="21"/>
      <c r="N848" s="21"/>
      <c r="O848" s="21"/>
      <c r="P848" s="21"/>
      <c r="Q848" s="21"/>
    </row>
    <row r="849">
      <c r="A849" s="220"/>
      <c r="B849" s="35"/>
      <c r="D849" s="21"/>
      <c r="E849" s="219"/>
      <c r="F849" s="21"/>
      <c r="G849" s="21"/>
      <c r="H849" s="21"/>
      <c r="I849" s="21"/>
      <c r="J849" s="21"/>
      <c r="K849" s="21"/>
      <c r="L849" s="21"/>
      <c r="M849" s="21"/>
      <c r="N849" s="21"/>
      <c r="O849" s="21"/>
      <c r="P849" s="21"/>
      <c r="Q849" s="21"/>
    </row>
    <row r="850">
      <c r="A850" s="220"/>
      <c r="B850" s="35"/>
      <c r="D850" s="21"/>
      <c r="E850" s="219"/>
      <c r="F850" s="21"/>
      <c r="G850" s="21"/>
      <c r="H850" s="21"/>
      <c r="I850" s="21"/>
      <c r="J850" s="21"/>
      <c r="K850" s="21"/>
      <c r="L850" s="21"/>
      <c r="M850" s="21"/>
      <c r="N850" s="21"/>
      <c r="O850" s="21"/>
      <c r="P850" s="21"/>
      <c r="Q850" s="21"/>
    </row>
    <row r="851">
      <c r="A851" s="220"/>
      <c r="B851" s="35"/>
      <c r="D851" s="21"/>
      <c r="E851" s="219"/>
      <c r="F851" s="21"/>
      <c r="G851" s="21"/>
      <c r="H851" s="21"/>
      <c r="I851" s="21"/>
      <c r="J851" s="21"/>
      <c r="K851" s="21"/>
      <c r="L851" s="21"/>
      <c r="M851" s="21"/>
      <c r="N851" s="21"/>
      <c r="O851" s="21"/>
      <c r="P851" s="21"/>
      <c r="Q851" s="21"/>
    </row>
    <row r="852">
      <c r="A852" s="220"/>
      <c r="B852" s="35"/>
      <c r="D852" s="21"/>
      <c r="E852" s="219"/>
      <c r="F852" s="21"/>
      <c r="G852" s="21"/>
      <c r="H852" s="21"/>
      <c r="I852" s="21"/>
      <c r="J852" s="21"/>
      <c r="K852" s="21"/>
      <c r="L852" s="21"/>
      <c r="M852" s="21"/>
      <c r="N852" s="21"/>
      <c r="O852" s="21"/>
      <c r="P852" s="21"/>
      <c r="Q852" s="21"/>
    </row>
    <row r="853">
      <c r="A853" s="220"/>
      <c r="B853" s="35"/>
      <c r="D853" s="21"/>
      <c r="E853" s="219"/>
      <c r="F853" s="21"/>
      <c r="G853" s="21"/>
      <c r="H853" s="21"/>
      <c r="I853" s="21"/>
      <c r="J853" s="21"/>
      <c r="K853" s="21"/>
      <c r="L853" s="21"/>
      <c r="M853" s="21"/>
      <c r="N853" s="21"/>
      <c r="O853" s="21"/>
      <c r="P853" s="21"/>
      <c r="Q853" s="21"/>
    </row>
    <row r="854">
      <c r="A854" s="220"/>
      <c r="B854" s="35"/>
      <c r="D854" s="21"/>
      <c r="E854" s="219"/>
      <c r="F854" s="21"/>
      <c r="G854" s="21"/>
      <c r="H854" s="21"/>
      <c r="I854" s="21"/>
      <c r="J854" s="21"/>
      <c r="K854" s="21"/>
      <c r="L854" s="21"/>
      <c r="M854" s="21"/>
      <c r="N854" s="21"/>
      <c r="O854" s="21"/>
      <c r="P854" s="21"/>
      <c r="Q854" s="21"/>
    </row>
    <row r="855">
      <c r="A855" s="220"/>
      <c r="B855" s="35"/>
      <c r="D855" s="21"/>
      <c r="E855" s="219"/>
      <c r="F855" s="21"/>
      <c r="G855" s="21"/>
      <c r="H855" s="21"/>
      <c r="I855" s="21"/>
      <c r="J855" s="21"/>
      <c r="K855" s="21"/>
      <c r="L855" s="21"/>
      <c r="M855" s="21"/>
      <c r="N855" s="21"/>
      <c r="O855" s="21"/>
      <c r="P855" s="21"/>
      <c r="Q855" s="21"/>
    </row>
    <row r="856">
      <c r="A856" s="220"/>
      <c r="B856" s="35"/>
      <c r="D856" s="21"/>
      <c r="E856" s="219"/>
      <c r="F856" s="21"/>
      <c r="G856" s="21"/>
      <c r="H856" s="21"/>
      <c r="I856" s="21"/>
      <c r="J856" s="21"/>
      <c r="K856" s="21"/>
      <c r="L856" s="21"/>
      <c r="M856" s="21"/>
      <c r="N856" s="21"/>
      <c r="O856" s="21"/>
      <c r="P856" s="21"/>
      <c r="Q856" s="21"/>
    </row>
    <row r="857">
      <c r="A857" s="220"/>
      <c r="B857" s="35"/>
      <c r="D857" s="21"/>
      <c r="E857" s="219"/>
      <c r="F857" s="21"/>
      <c r="G857" s="21"/>
      <c r="H857" s="21"/>
      <c r="I857" s="21"/>
      <c r="J857" s="21"/>
      <c r="K857" s="21"/>
      <c r="L857" s="21"/>
      <c r="M857" s="21"/>
      <c r="N857" s="21"/>
      <c r="O857" s="21"/>
      <c r="P857" s="21"/>
      <c r="Q857" s="21"/>
    </row>
    <row r="858">
      <c r="A858" s="220"/>
      <c r="B858" s="35"/>
      <c r="D858" s="21"/>
      <c r="E858" s="219"/>
      <c r="F858" s="21"/>
      <c r="G858" s="21"/>
      <c r="H858" s="21"/>
      <c r="I858" s="21"/>
      <c r="J858" s="21"/>
      <c r="K858" s="21"/>
      <c r="L858" s="21"/>
      <c r="M858" s="21"/>
      <c r="N858" s="21"/>
      <c r="O858" s="21"/>
      <c r="P858" s="21"/>
      <c r="Q858" s="21"/>
    </row>
    <row r="859">
      <c r="A859" s="220"/>
      <c r="B859" s="35"/>
      <c r="D859" s="21"/>
      <c r="E859" s="219"/>
      <c r="F859" s="21"/>
      <c r="G859" s="21"/>
      <c r="H859" s="21"/>
      <c r="I859" s="21"/>
      <c r="J859" s="21"/>
      <c r="K859" s="21"/>
      <c r="L859" s="21"/>
      <c r="M859" s="21"/>
      <c r="N859" s="21"/>
      <c r="O859" s="21"/>
      <c r="P859" s="21"/>
      <c r="Q859" s="21"/>
    </row>
    <row r="860">
      <c r="A860" s="220"/>
      <c r="B860" s="35"/>
      <c r="D860" s="21"/>
      <c r="E860" s="219"/>
      <c r="F860" s="21"/>
      <c r="G860" s="21"/>
      <c r="H860" s="21"/>
      <c r="I860" s="21"/>
      <c r="J860" s="21"/>
      <c r="K860" s="21"/>
      <c r="L860" s="21"/>
      <c r="M860" s="21"/>
      <c r="N860" s="21"/>
      <c r="O860" s="21"/>
      <c r="P860" s="21"/>
      <c r="Q860" s="21"/>
    </row>
    <row r="861">
      <c r="A861" s="220"/>
      <c r="B861" s="35"/>
      <c r="D861" s="21"/>
      <c r="E861" s="219"/>
      <c r="F861" s="21"/>
      <c r="G861" s="21"/>
      <c r="H861" s="21"/>
      <c r="I861" s="21"/>
      <c r="J861" s="21"/>
      <c r="K861" s="21"/>
      <c r="L861" s="21"/>
      <c r="M861" s="21"/>
      <c r="N861" s="21"/>
      <c r="O861" s="21"/>
      <c r="P861" s="21"/>
      <c r="Q861" s="21"/>
    </row>
    <row r="862">
      <c r="A862" s="220"/>
      <c r="B862" s="35"/>
      <c r="D862" s="21"/>
      <c r="E862" s="219"/>
      <c r="F862" s="21"/>
      <c r="G862" s="21"/>
      <c r="H862" s="21"/>
      <c r="I862" s="21"/>
      <c r="J862" s="21"/>
      <c r="K862" s="21"/>
      <c r="L862" s="21"/>
      <c r="M862" s="21"/>
      <c r="N862" s="21"/>
      <c r="O862" s="21"/>
      <c r="P862" s="21"/>
      <c r="Q862" s="21"/>
    </row>
    <row r="863">
      <c r="A863" s="220"/>
      <c r="B863" s="35"/>
      <c r="D863" s="21"/>
      <c r="E863" s="219"/>
      <c r="F863" s="21"/>
      <c r="G863" s="21"/>
      <c r="H863" s="21"/>
      <c r="I863" s="21"/>
      <c r="J863" s="21"/>
      <c r="K863" s="21"/>
      <c r="L863" s="21"/>
      <c r="M863" s="21"/>
      <c r="N863" s="21"/>
      <c r="O863" s="21"/>
      <c r="P863" s="21"/>
      <c r="Q863" s="21"/>
    </row>
    <row r="864">
      <c r="A864" s="220"/>
      <c r="B864" s="35"/>
      <c r="D864" s="21"/>
      <c r="E864" s="219"/>
      <c r="F864" s="21"/>
      <c r="G864" s="21"/>
      <c r="H864" s="21"/>
      <c r="I864" s="21"/>
      <c r="J864" s="21"/>
      <c r="K864" s="21"/>
      <c r="L864" s="21"/>
      <c r="M864" s="21"/>
      <c r="N864" s="21"/>
      <c r="O864" s="21"/>
      <c r="P864" s="21"/>
      <c r="Q864" s="21"/>
    </row>
    <row r="865">
      <c r="A865" s="220"/>
      <c r="B865" s="35"/>
      <c r="D865" s="21"/>
      <c r="E865" s="219"/>
      <c r="F865" s="21"/>
      <c r="G865" s="21"/>
      <c r="H865" s="21"/>
      <c r="I865" s="21"/>
      <c r="J865" s="21"/>
      <c r="K865" s="21"/>
      <c r="L865" s="21"/>
      <c r="M865" s="21"/>
      <c r="N865" s="21"/>
      <c r="O865" s="21"/>
      <c r="P865" s="21"/>
      <c r="Q865" s="21"/>
    </row>
    <row r="866">
      <c r="A866" s="220"/>
      <c r="B866" s="35"/>
      <c r="D866" s="21"/>
      <c r="E866" s="219"/>
      <c r="F866" s="21"/>
      <c r="G866" s="21"/>
      <c r="H866" s="21"/>
      <c r="I866" s="21"/>
      <c r="J866" s="21"/>
      <c r="K866" s="21"/>
      <c r="L866" s="21"/>
      <c r="M866" s="21"/>
      <c r="N866" s="21"/>
      <c r="O866" s="21"/>
      <c r="P866" s="21"/>
      <c r="Q866" s="21"/>
    </row>
    <row r="867">
      <c r="A867" s="220"/>
      <c r="B867" s="35"/>
      <c r="D867" s="21"/>
      <c r="E867" s="219"/>
      <c r="F867" s="21"/>
      <c r="G867" s="21"/>
      <c r="H867" s="21"/>
      <c r="I867" s="21"/>
      <c r="J867" s="21"/>
      <c r="K867" s="21"/>
      <c r="L867" s="21"/>
      <c r="M867" s="21"/>
      <c r="N867" s="21"/>
      <c r="O867" s="21"/>
      <c r="P867" s="21"/>
      <c r="Q867" s="21"/>
    </row>
    <row r="868">
      <c r="A868" s="220"/>
      <c r="B868" s="35"/>
      <c r="D868" s="21"/>
      <c r="E868" s="219"/>
      <c r="F868" s="21"/>
      <c r="G868" s="21"/>
      <c r="H868" s="21"/>
      <c r="I868" s="21"/>
      <c r="J868" s="21"/>
      <c r="K868" s="21"/>
      <c r="L868" s="21"/>
      <c r="M868" s="21"/>
      <c r="N868" s="21"/>
      <c r="O868" s="21"/>
      <c r="P868" s="21"/>
      <c r="Q868" s="21"/>
    </row>
    <row r="869">
      <c r="A869" s="220"/>
      <c r="B869" s="35"/>
      <c r="D869" s="21"/>
      <c r="E869" s="219"/>
      <c r="F869" s="21"/>
      <c r="G869" s="21"/>
      <c r="H869" s="21"/>
      <c r="I869" s="21"/>
      <c r="J869" s="21"/>
      <c r="K869" s="21"/>
      <c r="L869" s="21"/>
      <c r="M869" s="21"/>
      <c r="N869" s="21"/>
      <c r="O869" s="21"/>
      <c r="P869" s="21"/>
      <c r="Q869" s="21"/>
    </row>
    <row r="870">
      <c r="A870" s="220"/>
      <c r="B870" s="35"/>
      <c r="D870" s="21"/>
      <c r="E870" s="219"/>
      <c r="F870" s="21"/>
      <c r="G870" s="21"/>
      <c r="H870" s="21"/>
      <c r="I870" s="21"/>
      <c r="J870" s="21"/>
      <c r="K870" s="21"/>
      <c r="L870" s="21"/>
      <c r="M870" s="21"/>
      <c r="N870" s="21"/>
      <c r="O870" s="21"/>
      <c r="P870" s="21"/>
      <c r="Q870" s="21"/>
    </row>
    <row r="871">
      <c r="A871" s="220"/>
      <c r="B871" s="35"/>
      <c r="D871" s="21"/>
      <c r="E871" s="219"/>
      <c r="F871" s="21"/>
      <c r="G871" s="21"/>
      <c r="H871" s="21"/>
      <c r="I871" s="21"/>
      <c r="J871" s="21"/>
      <c r="K871" s="21"/>
      <c r="L871" s="21"/>
      <c r="M871" s="21"/>
      <c r="N871" s="21"/>
      <c r="O871" s="21"/>
      <c r="P871" s="21"/>
      <c r="Q871" s="21"/>
    </row>
    <row r="872">
      <c r="A872" s="220"/>
      <c r="B872" s="35"/>
      <c r="D872" s="21"/>
      <c r="E872" s="219"/>
      <c r="F872" s="21"/>
      <c r="G872" s="21"/>
      <c r="H872" s="21"/>
      <c r="I872" s="21"/>
      <c r="J872" s="21"/>
      <c r="K872" s="21"/>
      <c r="L872" s="21"/>
      <c r="M872" s="21"/>
      <c r="N872" s="21"/>
      <c r="O872" s="21"/>
      <c r="P872" s="21"/>
      <c r="Q872" s="21"/>
    </row>
    <row r="873">
      <c r="A873" s="220"/>
      <c r="B873" s="35"/>
      <c r="D873" s="21"/>
      <c r="E873" s="219"/>
      <c r="F873" s="21"/>
      <c r="G873" s="21"/>
      <c r="H873" s="21"/>
      <c r="I873" s="21"/>
      <c r="J873" s="21"/>
      <c r="K873" s="21"/>
      <c r="L873" s="21"/>
      <c r="M873" s="21"/>
      <c r="N873" s="21"/>
      <c r="O873" s="21"/>
      <c r="P873" s="21"/>
      <c r="Q873" s="21"/>
    </row>
    <row r="874">
      <c r="A874" s="220"/>
      <c r="B874" s="35"/>
      <c r="D874" s="21"/>
      <c r="E874" s="219"/>
      <c r="F874" s="21"/>
      <c r="G874" s="21"/>
      <c r="H874" s="21"/>
      <c r="I874" s="21"/>
      <c r="J874" s="21"/>
      <c r="K874" s="21"/>
      <c r="L874" s="21"/>
      <c r="M874" s="21"/>
      <c r="N874" s="21"/>
      <c r="O874" s="21"/>
      <c r="P874" s="21"/>
      <c r="Q874" s="21"/>
    </row>
    <row r="875">
      <c r="A875" s="220"/>
      <c r="B875" s="35"/>
      <c r="D875" s="21"/>
      <c r="E875" s="219"/>
      <c r="F875" s="21"/>
      <c r="G875" s="21"/>
      <c r="H875" s="21"/>
      <c r="I875" s="21"/>
      <c r="J875" s="21"/>
      <c r="K875" s="21"/>
      <c r="L875" s="21"/>
      <c r="M875" s="21"/>
      <c r="N875" s="21"/>
      <c r="O875" s="21"/>
      <c r="P875" s="21"/>
      <c r="Q875" s="21"/>
    </row>
    <row r="876">
      <c r="A876" s="220"/>
      <c r="B876" s="35"/>
      <c r="D876" s="21"/>
      <c r="E876" s="219"/>
      <c r="F876" s="21"/>
      <c r="G876" s="21"/>
      <c r="H876" s="21"/>
      <c r="I876" s="21"/>
      <c r="J876" s="21"/>
      <c r="K876" s="21"/>
      <c r="L876" s="21"/>
      <c r="M876" s="21"/>
      <c r="N876" s="21"/>
      <c r="O876" s="21"/>
      <c r="P876" s="21"/>
      <c r="Q876" s="21"/>
    </row>
    <row r="877">
      <c r="A877" s="220"/>
      <c r="B877" s="35"/>
      <c r="D877" s="21"/>
      <c r="E877" s="219"/>
      <c r="F877" s="21"/>
      <c r="G877" s="21"/>
      <c r="H877" s="21"/>
      <c r="I877" s="21"/>
      <c r="J877" s="21"/>
      <c r="K877" s="21"/>
      <c r="L877" s="21"/>
      <c r="M877" s="21"/>
      <c r="N877" s="21"/>
      <c r="O877" s="21"/>
      <c r="P877" s="21"/>
      <c r="Q877" s="21"/>
    </row>
    <row r="878">
      <c r="A878" s="220"/>
      <c r="B878" s="35"/>
      <c r="D878" s="21"/>
      <c r="E878" s="219"/>
      <c r="F878" s="21"/>
      <c r="G878" s="21"/>
      <c r="H878" s="21"/>
      <c r="I878" s="21"/>
      <c r="J878" s="21"/>
      <c r="K878" s="21"/>
      <c r="L878" s="21"/>
      <c r="M878" s="21"/>
      <c r="N878" s="21"/>
      <c r="O878" s="21"/>
      <c r="P878" s="21"/>
      <c r="Q878" s="21"/>
    </row>
    <row r="879">
      <c r="A879" s="220"/>
      <c r="B879" s="35"/>
      <c r="D879" s="21"/>
      <c r="E879" s="219"/>
      <c r="F879" s="21"/>
      <c r="G879" s="21"/>
      <c r="H879" s="21"/>
      <c r="I879" s="21"/>
      <c r="J879" s="21"/>
      <c r="K879" s="21"/>
      <c r="L879" s="21"/>
      <c r="M879" s="21"/>
      <c r="N879" s="21"/>
      <c r="O879" s="21"/>
      <c r="P879" s="21"/>
      <c r="Q879" s="21"/>
    </row>
    <row r="880">
      <c r="A880" s="220"/>
      <c r="B880" s="35"/>
      <c r="D880" s="21"/>
      <c r="E880" s="219"/>
      <c r="F880" s="21"/>
      <c r="G880" s="21"/>
      <c r="H880" s="21"/>
      <c r="I880" s="21"/>
      <c r="J880" s="21"/>
      <c r="K880" s="21"/>
      <c r="L880" s="21"/>
      <c r="M880" s="21"/>
      <c r="N880" s="21"/>
      <c r="O880" s="21"/>
      <c r="P880" s="21"/>
      <c r="Q880" s="21"/>
    </row>
    <row r="881">
      <c r="A881" s="220"/>
      <c r="B881" s="35"/>
      <c r="D881" s="21"/>
      <c r="E881" s="219"/>
      <c r="F881" s="21"/>
      <c r="G881" s="21"/>
      <c r="H881" s="21"/>
      <c r="I881" s="21"/>
      <c r="J881" s="21"/>
      <c r="K881" s="21"/>
      <c r="L881" s="21"/>
      <c r="M881" s="21"/>
      <c r="N881" s="21"/>
      <c r="O881" s="21"/>
      <c r="P881" s="21"/>
      <c r="Q881" s="21"/>
    </row>
    <row r="882">
      <c r="A882" s="220"/>
      <c r="B882" s="35"/>
      <c r="D882" s="21"/>
      <c r="E882" s="219"/>
      <c r="F882" s="21"/>
      <c r="G882" s="21"/>
      <c r="H882" s="21"/>
      <c r="I882" s="21"/>
      <c r="J882" s="21"/>
      <c r="K882" s="21"/>
      <c r="L882" s="21"/>
      <c r="M882" s="21"/>
      <c r="N882" s="21"/>
      <c r="O882" s="21"/>
      <c r="P882" s="21"/>
      <c r="Q882" s="21"/>
    </row>
    <row r="883">
      <c r="A883" s="220"/>
      <c r="B883" s="35"/>
      <c r="D883" s="21"/>
      <c r="E883" s="219"/>
      <c r="F883" s="21"/>
      <c r="G883" s="21"/>
      <c r="H883" s="21"/>
      <c r="I883" s="21"/>
      <c r="J883" s="21"/>
      <c r="K883" s="21"/>
      <c r="L883" s="21"/>
      <c r="M883" s="21"/>
      <c r="N883" s="21"/>
      <c r="O883" s="21"/>
      <c r="P883" s="21"/>
      <c r="Q883" s="21"/>
    </row>
    <row r="884">
      <c r="A884" s="220"/>
      <c r="B884" s="35"/>
      <c r="D884" s="21"/>
      <c r="E884" s="219"/>
      <c r="F884" s="21"/>
      <c r="G884" s="21"/>
      <c r="H884" s="21"/>
      <c r="I884" s="21"/>
      <c r="J884" s="21"/>
      <c r="K884" s="21"/>
      <c r="L884" s="21"/>
      <c r="M884" s="21"/>
      <c r="N884" s="21"/>
      <c r="O884" s="21"/>
      <c r="P884" s="21"/>
      <c r="Q884" s="21"/>
    </row>
    <row r="885">
      <c r="A885" s="220"/>
      <c r="B885" s="35"/>
      <c r="D885" s="21"/>
      <c r="E885" s="219"/>
      <c r="F885" s="21"/>
      <c r="G885" s="21"/>
      <c r="H885" s="21"/>
      <c r="I885" s="21"/>
      <c r="J885" s="21"/>
      <c r="K885" s="21"/>
      <c r="L885" s="21"/>
      <c r="M885" s="21"/>
      <c r="N885" s="21"/>
      <c r="O885" s="21"/>
      <c r="P885" s="21"/>
      <c r="Q885" s="21"/>
    </row>
    <row r="886">
      <c r="A886" s="220"/>
      <c r="B886" s="35"/>
      <c r="D886" s="21"/>
      <c r="E886" s="219"/>
      <c r="F886" s="21"/>
      <c r="G886" s="21"/>
      <c r="H886" s="21"/>
      <c r="I886" s="21"/>
      <c r="J886" s="21"/>
      <c r="K886" s="21"/>
      <c r="L886" s="21"/>
      <c r="M886" s="21"/>
      <c r="N886" s="21"/>
      <c r="O886" s="21"/>
      <c r="P886" s="21"/>
      <c r="Q886" s="21"/>
    </row>
    <row r="887">
      <c r="A887" s="220"/>
      <c r="B887" s="35"/>
      <c r="D887" s="21"/>
      <c r="E887" s="219"/>
      <c r="F887" s="21"/>
      <c r="G887" s="21"/>
      <c r="H887" s="21"/>
      <c r="I887" s="21"/>
      <c r="J887" s="21"/>
      <c r="K887" s="21"/>
      <c r="L887" s="21"/>
      <c r="M887" s="21"/>
      <c r="N887" s="21"/>
      <c r="O887" s="21"/>
      <c r="P887" s="21"/>
      <c r="Q887" s="21"/>
    </row>
    <row r="888">
      <c r="A888" s="220"/>
      <c r="B888" s="35"/>
      <c r="D888" s="21"/>
      <c r="E888" s="219"/>
      <c r="F888" s="21"/>
      <c r="G888" s="21"/>
      <c r="H888" s="21"/>
      <c r="I888" s="21"/>
      <c r="J888" s="21"/>
      <c r="K888" s="21"/>
      <c r="L888" s="21"/>
      <c r="M888" s="21"/>
      <c r="N888" s="21"/>
      <c r="O888" s="21"/>
      <c r="P888" s="21"/>
      <c r="Q888" s="21"/>
    </row>
    <row r="889">
      <c r="A889" s="220"/>
      <c r="B889" s="35"/>
      <c r="D889" s="21"/>
      <c r="E889" s="219"/>
      <c r="F889" s="21"/>
      <c r="G889" s="21"/>
      <c r="H889" s="21"/>
      <c r="I889" s="21"/>
      <c r="J889" s="21"/>
      <c r="K889" s="21"/>
      <c r="L889" s="21"/>
      <c r="M889" s="21"/>
      <c r="N889" s="21"/>
      <c r="O889" s="21"/>
      <c r="P889" s="21"/>
      <c r="Q889" s="21"/>
    </row>
    <row r="890">
      <c r="A890" s="220"/>
      <c r="B890" s="35"/>
      <c r="D890" s="21"/>
      <c r="E890" s="219"/>
      <c r="F890" s="21"/>
      <c r="G890" s="21"/>
      <c r="H890" s="21"/>
      <c r="I890" s="21"/>
      <c r="J890" s="21"/>
      <c r="K890" s="21"/>
      <c r="L890" s="21"/>
      <c r="M890" s="21"/>
      <c r="N890" s="21"/>
      <c r="O890" s="21"/>
      <c r="P890" s="21"/>
      <c r="Q890" s="21"/>
    </row>
    <row r="891">
      <c r="A891" s="220"/>
      <c r="B891" s="35"/>
      <c r="D891" s="21"/>
      <c r="E891" s="219"/>
      <c r="F891" s="21"/>
      <c r="G891" s="21"/>
      <c r="H891" s="21"/>
      <c r="I891" s="21"/>
      <c r="J891" s="21"/>
      <c r="K891" s="21"/>
      <c r="L891" s="21"/>
      <c r="M891" s="21"/>
      <c r="N891" s="21"/>
      <c r="O891" s="21"/>
      <c r="P891" s="21"/>
      <c r="Q891" s="21"/>
    </row>
    <row r="892">
      <c r="A892" s="220"/>
      <c r="B892" s="35"/>
      <c r="D892" s="21"/>
      <c r="E892" s="219"/>
      <c r="F892" s="21"/>
      <c r="G892" s="21"/>
      <c r="H892" s="21"/>
      <c r="I892" s="21"/>
      <c r="J892" s="21"/>
      <c r="K892" s="21"/>
      <c r="L892" s="21"/>
      <c r="M892" s="21"/>
      <c r="N892" s="21"/>
      <c r="O892" s="21"/>
      <c r="P892" s="21"/>
      <c r="Q892" s="21"/>
    </row>
    <row r="893">
      <c r="A893" s="220"/>
      <c r="B893" s="35"/>
      <c r="D893" s="21"/>
      <c r="E893" s="219"/>
      <c r="F893" s="21"/>
      <c r="G893" s="21"/>
      <c r="H893" s="21"/>
      <c r="I893" s="21"/>
      <c r="J893" s="21"/>
      <c r="K893" s="21"/>
      <c r="L893" s="21"/>
      <c r="M893" s="21"/>
      <c r="N893" s="21"/>
      <c r="O893" s="21"/>
      <c r="P893" s="21"/>
      <c r="Q893" s="21"/>
    </row>
    <row r="894">
      <c r="A894" s="220"/>
      <c r="B894" s="35"/>
      <c r="D894" s="21"/>
      <c r="E894" s="219"/>
      <c r="F894" s="21"/>
      <c r="G894" s="21"/>
      <c r="H894" s="21"/>
      <c r="I894" s="21"/>
      <c r="J894" s="21"/>
      <c r="K894" s="21"/>
      <c r="L894" s="21"/>
      <c r="M894" s="21"/>
      <c r="N894" s="21"/>
      <c r="O894" s="21"/>
      <c r="P894" s="21"/>
      <c r="Q894" s="21"/>
    </row>
    <row r="895">
      <c r="A895" s="220"/>
      <c r="B895" s="35"/>
      <c r="D895" s="21"/>
      <c r="E895" s="219"/>
      <c r="F895" s="21"/>
      <c r="G895" s="21"/>
      <c r="H895" s="21"/>
      <c r="I895" s="21"/>
      <c r="J895" s="21"/>
      <c r="K895" s="21"/>
      <c r="L895" s="21"/>
      <c r="M895" s="21"/>
      <c r="N895" s="21"/>
      <c r="O895" s="21"/>
      <c r="P895" s="21"/>
      <c r="Q895" s="21"/>
    </row>
    <row r="896">
      <c r="A896" s="220"/>
      <c r="B896" s="35"/>
      <c r="D896" s="21"/>
      <c r="E896" s="219"/>
      <c r="F896" s="21"/>
      <c r="G896" s="21"/>
      <c r="H896" s="21"/>
      <c r="I896" s="21"/>
      <c r="J896" s="21"/>
      <c r="K896" s="21"/>
      <c r="L896" s="21"/>
      <c r="M896" s="21"/>
      <c r="N896" s="21"/>
      <c r="O896" s="21"/>
      <c r="P896" s="21"/>
      <c r="Q896" s="21"/>
    </row>
    <row r="897">
      <c r="A897" s="220"/>
      <c r="B897" s="35"/>
      <c r="D897" s="21"/>
      <c r="E897" s="219"/>
      <c r="F897" s="21"/>
      <c r="G897" s="21"/>
      <c r="H897" s="21"/>
      <c r="I897" s="21"/>
      <c r="J897" s="21"/>
      <c r="K897" s="21"/>
      <c r="L897" s="21"/>
      <c r="M897" s="21"/>
      <c r="N897" s="21"/>
      <c r="O897" s="21"/>
      <c r="P897" s="21"/>
      <c r="Q897" s="21"/>
    </row>
    <row r="898">
      <c r="A898" s="220"/>
      <c r="B898" s="35"/>
      <c r="D898" s="21"/>
      <c r="E898" s="219"/>
      <c r="F898" s="21"/>
      <c r="G898" s="21"/>
      <c r="H898" s="21"/>
      <c r="I898" s="21"/>
      <c r="J898" s="21"/>
      <c r="K898" s="21"/>
      <c r="L898" s="21"/>
      <c r="M898" s="21"/>
      <c r="N898" s="21"/>
      <c r="O898" s="21"/>
      <c r="P898" s="21"/>
      <c r="Q898" s="21"/>
    </row>
    <row r="899">
      <c r="A899" s="220"/>
      <c r="B899" s="35"/>
      <c r="D899" s="21"/>
      <c r="E899" s="219"/>
      <c r="F899" s="21"/>
      <c r="G899" s="21"/>
      <c r="H899" s="21"/>
      <c r="I899" s="21"/>
      <c r="J899" s="21"/>
      <c r="K899" s="21"/>
      <c r="L899" s="21"/>
      <c r="M899" s="21"/>
      <c r="N899" s="21"/>
      <c r="O899" s="21"/>
      <c r="P899" s="21"/>
      <c r="Q899" s="21"/>
    </row>
    <row r="900">
      <c r="A900" s="220"/>
      <c r="B900" s="35"/>
      <c r="D900" s="21"/>
      <c r="E900" s="219"/>
      <c r="F900" s="21"/>
      <c r="G900" s="21"/>
      <c r="H900" s="21"/>
      <c r="I900" s="21"/>
      <c r="J900" s="21"/>
      <c r="K900" s="21"/>
      <c r="L900" s="21"/>
      <c r="M900" s="21"/>
      <c r="N900" s="21"/>
      <c r="O900" s="21"/>
      <c r="P900" s="21"/>
      <c r="Q900" s="21"/>
    </row>
    <row r="901">
      <c r="A901" s="220"/>
      <c r="B901" s="35"/>
      <c r="D901" s="21"/>
      <c r="E901" s="219"/>
      <c r="F901" s="21"/>
      <c r="G901" s="21"/>
      <c r="H901" s="21"/>
      <c r="I901" s="21"/>
      <c r="J901" s="21"/>
      <c r="K901" s="21"/>
      <c r="L901" s="21"/>
      <c r="M901" s="21"/>
      <c r="N901" s="21"/>
      <c r="O901" s="21"/>
      <c r="P901" s="21"/>
      <c r="Q901" s="21"/>
    </row>
    <row r="902">
      <c r="A902" s="220"/>
      <c r="B902" s="35"/>
      <c r="D902" s="21"/>
      <c r="E902" s="219"/>
      <c r="F902" s="21"/>
      <c r="G902" s="21"/>
      <c r="H902" s="21"/>
      <c r="I902" s="21"/>
      <c r="J902" s="21"/>
      <c r="K902" s="21"/>
      <c r="L902" s="21"/>
      <c r="M902" s="21"/>
      <c r="N902" s="21"/>
      <c r="O902" s="21"/>
      <c r="P902" s="21"/>
      <c r="Q902" s="21"/>
    </row>
    <row r="903">
      <c r="A903" s="220"/>
      <c r="B903" s="35"/>
      <c r="D903" s="21"/>
      <c r="E903" s="219"/>
      <c r="F903" s="21"/>
      <c r="G903" s="21"/>
      <c r="H903" s="21"/>
      <c r="I903" s="21"/>
      <c r="J903" s="21"/>
      <c r="K903" s="21"/>
      <c r="L903" s="21"/>
      <c r="M903" s="21"/>
      <c r="N903" s="21"/>
      <c r="O903" s="21"/>
      <c r="P903" s="21"/>
      <c r="Q903" s="21"/>
    </row>
    <row r="904">
      <c r="A904" s="220"/>
      <c r="B904" s="35"/>
      <c r="D904" s="21"/>
      <c r="E904" s="219"/>
      <c r="F904" s="21"/>
      <c r="G904" s="21"/>
      <c r="H904" s="21"/>
      <c r="I904" s="21"/>
      <c r="J904" s="21"/>
      <c r="K904" s="21"/>
      <c r="L904" s="21"/>
      <c r="M904" s="21"/>
      <c r="N904" s="21"/>
      <c r="O904" s="21"/>
      <c r="P904" s="21"/>
      <c r="Q904" s="21"/>
    </row>
    <row r="905">
      <c r="A905" s="220"/>
      <c r="B905" s="35"/>
      <c r="D905" s="21"/>
      <c r="E905" s="219"/>
      <c r="F905" s="21"/>
      <c r="G905" s="21"/>
      <c r="H905" s="21"/>
      <c r="I905" s="21"/>
      <c r="J905" s="21"/>
      <c r="K905" s="21"/>
      <c r="L905" s="21"/>
      <c r="M905" s="21"/>
      <c r="N905" s="21"/>
      <c r="O905" s="21"/>
      <c r="P905" s="21"/>
      <c r="Q905" s="21"/>
    </row>
    <row r="906">
      <c r="A906" s="220"/>
      <c r="B906" s="35"/>
      <c r="D906" s="21"/>
      <c r="E906" s="219"/>
      <c r="F906" s="21"/>
      <c r="G906" s="21"/>
      <c r="H906" s="21"/>
      <c r="I906" s="21"/>
      <c r="J906" s="21"/>
      <c r="K906" s="21"/>
      <c r="L906" s="21"/>
      <c r="M906" s="21"/>
      <c r="N906" s="21"/>
      <c r="O906" s="21"/>
      <c r="P906" s="21"/>
      <c r="Q906" s="21"/>
    </row>
  </sheetData>
  <autoFilter ref="$C$1:$Q$906"/>
  <mergeCells count="34">
    <mergeCell ref="B36:B37"/>
    <mergeCell ref="B38:B39"/>
    <mergeCell ref="A2:A13"/>
    <mergeCell ref="B2:B3"/>
    <mergeCell ref="B4:B5"/>
    <mergeCell ref="B6:B7"/>
    <mergeCell ref="B8:B9"/>
    <mergeCell ref="B10:B11"/>
    <mergeCell ref="A14:A39"/>
    <mergeCell ref="B56:B57"/>
    <mergeCell ref="B58:B59"/>
    <mergeCell ref="B60:B61"/>
    <mergeCell ref="B62:B63"/>
    <mergeCell ref="A40:A63"/>
    <mergeCell ref="B40:B41"/>
    <mergeCell ref="B42:B43"/>
    <mergeCell ref="B44:B45"/>
    <mergeCell ref="B46:B47"/>
    <mergeCell ref="B48:B49"/>
    <mergeCell ref="B50:B51"/>
    <mergeCell ref="B12:B13"/>
    <mergeCell ref="B14:B15"/>
    <mergeCell ref="B16:B17"/>
    <mergeCell ref="B18:B19"/>
    <mergeCell ref="B20:B21"/>
    <mergeCell ref="B22:B23"/>
    <mergeCell ref="B24:B25"/>
    <mergeCell ref="B26:B27"/>
    <mergeCell ref="B28:B29"/>
    <mergeCell ref="B30:B31"/>
    <mergeCell ref="B32:B33"/>
    <mergeCell ref="B34:B35"/>
    <mergeCell ref="B52:B53"/>
    <mergeCell ref="B54:B55"/>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outlineLevelRow="1"/>
  <cols>
    <col customWidth="1" min="1" max="1" width="24.75"/>
    <col customWidth="1" min="2" max="2" width="6.63"/>
    <col customWidth="1" min="3" max="3" width="6.88"/>
    <col customWidth="1" min="6" max="6" width="3.5"/>
    <col customWidth="1" min="9" max="9" width="3.5"/>
    <col customWidth="1" min="10" max="10" width="18.38"/>
    <col customWidth="1" min="11" max="11" width="15.88"/>
    <col customWidth="1" min="12" max="12" width="7.25"/>
    <col customWidth="1" min="13" max="13" width="18.38"/>
    <col customWidth="1" min="14" max="14" width="15.88"/>
    <col customWidth="1" min="15" max="15" width="7.25"/>
  </cols>
  <sheetData>
    <row r="1">
      <c r="A1" s="21"/>
      <c r="B1" s="21"/>
      <c r="C1" s="21"/>
      <c r="D1" s="232" t="s">
        <v>1497</v>
      </c>
      <c r="J1" s="233" t="s">
        <v>1499</v>
      </c>
      <c r="M1" s="233" t="s">
        <v>1500</v>
      </c>
    </row>
    <row r="2">
      <c r="A2" s="3" t="s">
        <v>1501</v>
      </c>
      <c r="D2" s="234" t="s">
        <v>109</v>
      </c>
      <c r="G2" s="234" t="s">
        <v>229</v>
      </c>
      <c r="J2" s="235" t="str">
        <f>D2 &amp; "-" &amp; G2</f>
        <v>Fighter-Wizard</v>
      </c>
      <c r="M2" s="235" t="str">
        <f>D2 &amp; "-" &amp; G2</f>
        <v>Fighter-Wizard</v>
      </c>
    </row>
    <row r="3">
      <c r="A3" s="236" t="s">
        <v>1502</v>
      </c>
      <c r="B3" s="44" t="s">
        <v>1503</v>
      </c>
      <c r="C3" s="44" t="s">
        <v>1504</v>
      </c>
      <c r="D3" s="143" t="s">
        <v>55</v>
      </c>
      <c r="E3" s="12" t="s">
        <v>1505</v>
      </c>
      <c r="G3" s="143" t="s">
        <v>55</v>
      </c>
      <c r="H3" s="12" t="s">
        <v>1505</v>
      </c>
      <c r="J3" s="237" t="s">
        <v>1507</v>
      </c>
      <c r="K3" s="12" t="s">
        <v>1508</v>
      </c>
      <c r="L3" s="12" t="s">
        <v>1509</v>
      </c>
      <c r="M3" s="237" t="s">
        <v>1507</v>
      </c>
      <c r="N3" s="12" t="s">
        <v>1508</v>
      </c>
      <c r="O3" s="12" t="s">
        <v>1509</v>
      </c>
    </row>
    <row r="4">
      <c r="A4" s="35" t="str">
        <f>CLASSDATA!A4</f>
        <v>BALANCETOTAL:</v>
      </c>
      <c r="B4" s="35" t="str">
        <f>CLASSDATA!B4</f>
        <v/>
      </c>
      <c r="C4" s="35" t="str">
        <f>CLASSDATA!C4</f>
        <v/>
      </c>
      <c r="D4" s="148"/>
      <c r="E4" s="149">
        <f>E12+E21+E39+E26+E101+E133+E151+E154+E175+E196+E203+E250+SUM(E7:E11)</f>
        <v>2100</v>
      </c>
      <c r="G4" s="148"/>
      <c r="H4" s="149">
        <f>H12+H21+H39+H26+H101+H133+H151+H154+H175+H196+H203+H250+SUM(H7:H11)</f>
        <v>2100</v>
      </c>
      <c r="J4" s="238"/>
      <c r="L4" s="239">
        <f>L12+L21+L39+L26+L101+L133+L151+L154+L175+L196+L203+L250+SUM(L7:L11)</f>
        <v>3750</v>
      </c>
      <c r="M4" s="238"/>
      <c r="O4" s="239">
        <f>O12+O21+O39+O26+O101+O133+O151+O154+O175+O196+O203+O250+SUM(O7:O11)</f>
        <v>2300</v>
      </c>
    </row>
    <row r="5">
      <c r="A5" s="240" t="s">
        <v>385</v>
      </c>
      <c r="B5" s="35" t="str">
        <f>CLASSDATA!B5</f>
        <v>L00</v>
      </c>
      <c r="C5" s="35" t="str">
        <f>CLASSDATA!C5</f>
        <v/>
      </c>
      <c r="D5" s="148" t="str">
        <f t="array" ref="D5">INDEX(ALLCLASSDATA,MATCH(A5,CLASSFEATUREHEADERS,0),MATCH($D$2,CLASSNAMEHEADERS,0))</f>
        <v>Soldier</v>
      </c>
      <c r="E5" s="149" t="str">
        <f t="array" ref="E5">INDEX(ALLCLASSDATA,MATCH(A5,CLASSFEATUREHEADERS,0),MATCH(($D$2 &amp; "Points"),CLASSNAMEHEADERS,0))</f>
        <v/>
      </c>
      <c r="G5" s="148" t="str">
        <f t="array" ref="G5">INDEX(ALLCLASSDATA,MATCH(A5,CLASSFEATUREHEADERS,0),MATCH($G$2,CLASSNAMEHEADERS,0))</f>
        <v>Spellcaster</v>
      </c>
      <c r="H5" s="149" t="str">
        <f t="array" ref="H5">INDEX(ALLCLASSDATA,MATCH(A5,CLASSFEATUREHEADERS,0),MATCH(($G$2 &amp; "Points"),CLASSNAMEHEADERS,0))</f>
        <v/>
      </c>
      <c r="J5" s="238" t="str">
        <f t="shared" ref="J5:J6" si="1">D5 &amp; "/" &amp; G5</f>
        <v>Soldier/Spellcaster</v>
      </c>
      <c r="M5" s="238" t="str">
        <f>D5 &amp; "/" &amp; G5</f>
        <v>Soldier/Spellcaster</v>
      </c>
      <c r="N5" s="12" t="s">
        <v>1513</v>
      </c>
      <c r="O5" s="12" t="s">
        <v>259</v>
      </c>
    </row>
    <row r="6">
      <c r="A6" s="240" t="str">
        <f>CLASSDATA!A6</f>
        <v>KEYABILITY</v>
      </c>
      <c r="B6" s="35" t="str">
        <f>CLASSDATA!B6</f>
        <v>L00</v>
      </c>
      <c r="C6" s="35" t="str">
        <f>CLASSDATA!C6</f>
        <v/>
      </c>
      <c r="D6" s="148" t="str">
        <f t="array" ref="D6">INDEX(ALLCLASSDATA,MATCH(A6,CLASSFEATUREHEADERS,0),MATCH($D$2,CLASSNAMEHEADERS,0))</f>
        <v>STR/DEX</v>
      </c>
      <c r="E6" s="149" t="str">
        <f t="array" ref="E6">INDEX(ALLCLASSDATA,MATCH(A6,CLASSFEATUREHEADERS,0),MATCH(($D$2 &amp; "Points"),CLASSNAMEHEADERS,0))</f>
        <v/>
      </c>
      <c r="G6" s="148" t="str">
        <f t="array" ref="G6">INDEX(ALLCLASSDATA,MATCH(A6,CLASSFEATUREHEADERS,0),MATCH($G$2,CLASSNAMEHEADERS,0))</f>
        <v>INT</v>
      </c>
      <c r="H6" s="149" t="str">
        <f t="array" ref="H6">INDEX(ALLCLASSDATA,MATCH(A6,CLASSFEATUREHEADERS,0),MATCH(($G$2 &amp; "Points"),CLASSNAMEHEADERS,0))</f>
        <v/>
      </c>
      <c r="J6" s="238" t="str">
        <f t="shared" si="1"/>
        <v>STR/DEX/INT</v>
      </c>
      <c r="M6" s="238"/>
      <c r="N6" s="12" t="s">
        <v>1515</v>
      </c>
      <c r="O6" s="12" t="s">
        <v>264</v>
      </c>
    </row>
    <row r="7">
      <c r="A7" s="240" t="str">
        <f>CLASSDATA!A7</f>
        <v>HP</v>
      </c>
      <c r="B7" s="35" t="str">
        <f>CLASSDATA!B7</f>
        <v>L00</v>
      </c>
      <c r="C7" s="35" t="str">
        <f>CLASSDATA!C7</f>
        <v/>
      </c>
      <c r="D7" s="148">
        <f t="array" ref="D7">INDEX(ALLCLASSDATA,MATCH(A7,CLASSFEATUREHEADERS,0),MATCH($D$2,CLASSNAMEHEADERS,0))</f>
        <v>10</v>
      </c>
      <c r="E7" s="149">
        <f t="array" ref="E7">INDEX(ALLCLASSDATA,MATCH(A7,CLASSFEATUREHEADERS,0),MATCH(($D$2 &amp; "Points"),CLASSNAMEHEADERS,0))</f>
        <v>100</v>
      </c>
      <c r="F7" s="12" t="b">
        <v>1</v>
      </c>
      <c r="G7" s="148">
        <f t="array" ref="G7">INDEX(ALLCLASSDATA,MATCH(A7,CLASSFEATUREHEADERS,0),MATCH($G$2,CLASSNAMEHEADERS,0))</f>
        <v>6</v>
      </c>
      <c r="H7" s="149">
        <f t="array" ref="H7">INDEX(ALLCLASSDATA,MATCH(A7,CLASSFEATUREHEADERS,0),MATCH(($G$2 &amp; "Points"),CLASSNAMEHEADERS,0))</f>
        <v>60</v>
      </c>
      <c r="I7" s="12" t="b">
        <v>0</v>
      </c>
      <c r="J7" s="238">
        <f>IF(D7&gt;G7,D7,G7)</f>
        <v>10</v>
      </c>
      <c r="L7" s="149">
        <f>J7*HPvalue</f>
        <v>100</v>
      </c>
      <c r="M7" s="238">
        <f>IF(F7=TRUE,D7,(IF(I7=TRUE,G7,"")))</f>
        <v>10</v>
      </c>
      <c r="O7" s="149">
        <f>M7*HPvalue</f>
        <v>100</v>
      </c>
    </row>
    <row r="8">
      <c r="A8" s="240" t="str">
        <f>CLASSDATA!A8</f>
        <v>ClassFeatL01</v>
      </c>
      <c r="B8" s="35" t="str">
        <f>CLASSDATA!B8</f>
        <v>L01</v>
      </c>
      <c r="C8" s="35" t="str">
        <f>CLASSDATA!C8</f>
        <v/>
      </c>
      <c r="D8" s="148" t="b">
        <f t="array" ref="D8">INDEX(ALLCLASSDATA,MATCH(A8,CLASSFEATUREHEADERS,0),MATCH($D$2,CLASSNAMEHEADERS,0))</f>
        <v>1</v>
      </c>
      <c r="E8" s="149">
        <f t="array" ref="E8">INDEX(ALLCLASSDATA,MATCH(A8,CLASSFEATUREHEADERS,0),MATCH(($D$2 &amp; "Points"),CLASSNAMEHEADERS,0))</f>
        <v>10</v>
      </c>
      <c r="F8" s="12" t="b">
        <v>1</v>
      </c>
      <c r="G8" s="148" t="b">
        <f t="array" ref="G8">INDEX(ALLCLASSDATA,MATCH(A8,CLASSFEATUREHEADERS,0),MATCH($G$2,CLASSNAMEHEADERS,0))</f>
        <v>0</v>
      </c>
      <c r="H8" s="149" t="str">
        <f t="array" ref="H8">INDEX(ALLCLASSDATA,MATCH(A8,CLASSFEATUREHEADERS,0),MATCH(($G$2 &amp; "Points"),CLASSNAMEHEADERS,0))</f>
        <v/>
      </c>
      <c r="I8" s="12" t="b">
        <v>0</v>
      </c>
      <c r="J8" s="238" t="str">
        <f>IF(D8=TRUE,$D$2 &amp; " Class Feat 1","")</f>
        <v>Fighter Class Feat 1</v>
      </c>
      <c r="K8" s="149" t="str">
        <f>IF(G8=TRUE,$G$2 &amp; " Class Feat 1","")</f>
        <v/>
      </c>
      <c r="L8" s="149">
        <f>E8+H8</f>
        <v>10</v>
      </c>
      <c r="M8" s="238" t="str">
        <f>IF(F8=TRUE,($D$2 &amp; " Class Feat 1"),"")</f>
        <v>Fighter Class Feat 1</v>
      </c>
      <c r="N8" s="149" t="str">
        <f>IF(I8=TRUE,($G$2 &amp; " Class Feat 1"),"")</f>
        <v/>
      </c>
      <c r="O8" s="149">
        <f>IF(F8=TRUE,10,0)+IF(I8=TRUE,10,0)</f>
        <v>10</v>
      </c>
    </row>
    <row r="9">
      <c r="A9" s="240" t="str">
        <f>CLASSDATA!A9</f>
        <v>ShieldBlockL01</v>
      </c>
      <c r="B9" s="35" t="str">
        <f>CLASSDATA!B9</f>
        <v>L01</v>
      </c>
      <c r="C9" s="35" t="str">
        <f>CLASSDATA!C9</f>
        <v/>
      </c>
      <c r="D9" s="148" t="b">
        <f t="array" ref="D9">INDEX(ALLCLASSDATA,MATCH(A9,CLASSFEATUREHEADERS,0),MATCH($D$2,CLASSNAMEHEADERS,0))</f>
        <v>1</v>
      </c>
      <c r="E9" s="149">
        <f t="array" ref="E9">INDEX(ALLCLASSDATA,MATCH(A9,CLASSFEATUREHEADERS,0),MATCH(($D$2 &amp; "Points"),CLASSNAMEHEADERS,0))</f>
        <v>10</v>
      </c>
      <c r="F9" s="12" t="b">
        <v>1</v>
      </c>
      <c r="G9" s="148" t="b">
        <f t="array" ref="G9">INDEX(ALLCLASSDATA,MATCH(A9,CLASSFEATUREHEADERS,0),MATCH($G$2,CLASSNAMEHEADERS,0))</f>
        <v>0</v>
      </c>
      <c r="H9" s="149" t="str">
        <f t="array" ref="H9">INDEX(ALLCLASSDATA,MATCH(A9,CLASSFEATUREHEADERS,0),MATCH(($G$2 &amp; "Points"),CLASSNAMEHEADERS,0))</f>
        <v/>
      </c>
      <c r="I9" s="12" t="b">
        <v>0</v>
      </c>
      <c r="J9" s="238" t="str">
        <f>IF(D9=TRUE,"Shield Block Feat",(IF(G9=TRUE,"Shield Block Feat","")))</f>
        <v>Shield Block Feat</v>
      </c>
      <c r="L9" s="149">
        <f>IF(J9="Shield Block Feat",10,"")</f>
        <v>10</v>
      </c>
      <c r="M9" s="238" t="str">
        <f>IF(F9=TRUE,"Shield Block Feat",(IF(I9=TRUE,"Shield Block Feat","")))</f>
        <v>Shield Block Feat</v>
      </c>
      <c r="O9" s="149">
        <f>IF(M9="Shield Block Feat",10,"")</f>
        <v>10</v>
      </c>
    </row>
    <row r="10">
      <c r="A10" s="240" t="str">
        <f>CLASSDATA!A10</f>
        <v>CasterType</v>
      </c>
      <c r="B10" s="35"/>
      <c r="C10" s="35"/>
      <c r="D10" s="241" t="str">
        <f t="array" ref="D10">INDEX(ALLCLASSDATA,MATCH(A10,CLASSFEATUREHEADERS,0),MATCH($D$2,CLASSNAMEHEADERS,0))</f>
        <v/>
      </c>
      <c r="F10" s="12" t="b">
        <v>0</v>
      </c>
      <c r="G10" s="241" t="str">
        <f t="array" ref="G10">INDEX(ALLCLASSDATA,MATCH(A10,CLASSFEATUREHEADERS,0),MATCH($G$2,CLASSNAMEHEADERS,0))</f>
        <v>Prepared</v>
      </c>
      <c r="I10" s="12" t="b">
        <v>1</v>
      </c>
      <c r="J10" s="238"/>
      <c r="M10" s="242" t="str">
        <f t="shared" ref="M10:M11" si="2">IF(F10=TRUE,D10,"")</f>
        <v/>
      </c>
      <c r="N10" s="243" t="str">
        <f t="shared" ref="N10:N11" si="3">IF(I10=TRUE,G10,"")</f>
        <v>Prepared</v>
      </c>
    </row>
    <row r="11">
      <c r="A11" s="240" t="str">
        <f>CLASSDATA!A11</f>
        <v>SpellList</v>
      </c>
      <c r="B11" s="35"/>
      <c r="C11" s="35"/>
      <c r="D11" s="148"/>
      <c r="F11" s="12" t="b">
        <v>0</v>
      </c>
      <c r="G11" s="241" t="str">
        <f t="array" ref="G11">INDEX(ALLCLASSDATA,MATCH(A11,CLASSFEATUREHEADERS,0),MATCH($G$2,CLASSNAMEHEADERS,0))</f>
        <v>Arcane</v>
      </c>
      <c r="I11" s="12" t="b">
        <v>1</v>
      </c>
      <c r="J11" s="238"/>
      <c r="M11" s="242" t="str">
        <f t="shared" si="2"/>
        <v/>
      </c>
      <c r="N11" s="243" t="str">
        <f t="shared" si="3"/>
        <v>Arcane</v>
      </c>
    </row>
    <row r="12">
      <c r="A12" s="244" t="str">
        <f>CLASSDATA!A12</f>
        <v>DC TOTAL:</v>
      </c>
      <c r="B12" s="173" t="str">
        <f>CLASSDATA!B30</f>
        <v/>
      </c>
      <c r="C12" s="173" t="str">
        <f>CLASSDATA!C30</f>
        <v/>
      </c>
      <c r="D12" s="245" t="str">
        <f t="array" ref="D12">INDEX(ALLCLASSDATA,MATCH(A12,CLASSFEATUREHEADERS,0),MATCH($D$2,CLASSNAMEHEADERS,0))</f>
        <v/>
      </c>
      <c r="E12" s="246">
        <f t="array" ref="E12">INDEX(ALLCLASSDATA,MATCH(A12,CLASSFEATUREHEADERS,0),MATCH(($D$2 &amp; "Points"),CLASSNAMEHEADERS,0))</f>
        <v>170</v>
      </c>
      <c r="F12" s="246"/>
      <c r="G12" s="245" t="str">
        <f t="array" ref="G12">INDEX(ALLCLASSDATA,MATCH(A12,CLASSFEATUREHEADERS,0),MATCH($G$2,CLASSNAMEHEADERS,0))</f>
        <v/>
      </c>
      <c r="H12" s="246">
        <f t="array" ref="H12">INDEX(ALLCLASSDATA,MATCH(A12,CLASSFEATUREHEADERS,0),MATCH(($G$2 &amp; "Points"),CLASSNAMEHEADERS,0))</f>
        <v>360</v>
      </c>
      <c r="I12" s="246"/>
      <c r="J12" s="247"/>
      <c r="K12" s="246"/>
      <c r="L12" s="75">
        <f>sum(L13:L20)</f>
        <v>530</v>
      </c>
      <c r="M12" s="247"/>
      <c r="N12" s="246"/>
      <c r="O12" s="75">
        <f>sum(O13:O20)</f>
        <v>170</v>
      </c>
      <c r="P12" s="246"/>
    </row>
    <row r="13">
      <c r="A13" s="35" t="str">
        <f>CLASSDATA!A13</f>
        <v>ClassDCTrained</v>
      </c>
      <c r="B13" s="35" t="str">
        <f>CLASSDATA!B13</f>
        <v/>
      </c>
      <c r="C13" s="35" t="str">
        <f>CLASSDATA!C13</f>
        <v/>
      </c>
      <c r="D13" s="241" t="str">
        <f t="array" ref="D13">INDEX(ALLCLASSDATA,MATCH(A13,CLASSFEATUREHEADERS,0),MATCH($D$2,CLASSNAMEHEADERS,0))</f>
        <v>01</v>
      </c>
      <c r="E13" s="149">
        <f t="array" ref="E13">INDEX(ALLCLASSDATA,MATCH(A13,CLASSFEATUREHEADERS,0),MATCH(($D$2 &amp; "Points"),CLASSNAMEHEADERS,0))</f>
        <v>10</v>
      </c>
      <c r="F13" s="12" t="b">
        <v>1</v>
      </c>
      <c r="G13" s="241" t="str">
        <f t="array" ref="G13">INDEX(ALLCLASSDATA,MATCH(A13,CLASSFEATUREHEADERS,0),MATCH($G$2,CLASSNAMEHEADERS,0))</f>
        <v/>
      </c>
      <c r="H13" s="149" t="str">
        <f t="array" ref="H13">INDEX(ALLCLASSDATA,MATCH(A13,CLASSFEATUREHEADERS,0),MATCH(($G$2 &amp; "Points"),CLASSNAMEHEADERS,0))</f>
        <v/>
      </c>
      <c r="I13" s="12" t="b">
        <v>1</v>
      </c>
      <c r="J13" s="238" t="str">
        <f t="shared" ref="J13:J20" si="4">IF(ISBLANK(K13),"",A13)</f>
        <v>ClassDCTrained</v>
      </c>
      <c r="K13" s="243" t="str">
        <f>IF(COUNTA(D13:D16)&gt;COUNTA(G13:G16),D13,(IF(COUNTA(D13:D16)&lt;COUNTA(G13:G16),G13,(IF((D13+D14+D15+D16)&lt;(G13+G14+G15+G16),D13,G13)))))</f>
        <v>01</v>
      </c>
      <c r="L13" s="149">
        <f>IF(COUNTA(D13:D16)&gt;COUNTA(G13:G16),E13,(IF(COUNTA(D13:D16)&lt;COUNTA(G13:G16),H13,(IF((D13+D14+D15+D16)&lt;(G13+G14+G15+G16),E13,H13)))))</f>
        <v>10</v>
      </c>
      <c r="M13" s="238" t="str">
        <f t="shared" ref="M13:M20" si="5">IF(ISBLANK(N13),"",A13)</f>
        <v>ClassDCTrained</v>
      </c>
      <c r="N13" s="243" t="str">
        <f>IF(F13=TRUE,D13,(IF(I13=TRUE,G13,"")))</f>
        <v>01</v>
      </c>
      <c r="O13" s="149">
        <f>IF(F13=TRUE,E13,(IF(I13=TRUE,H13,"")))</f>
        <v>10</v>
      </c>
    </row>
    <row r="14">
      <c r="A14" s="35" t="str">
        <f>CLASSDATA!A14</f>
        <v>ClassDCExpert</v>
      </c>
      <c r="B14" s="35" t="str">
        <f>CLASSDATA!B14</f>
        <v/>
      </c>
      <c r="C14" s="35" t="str">
        <f>CLASSDATA!C14</f>
        <v/>
      </c>
      <c r="D14" s="241" t="str">
        <f t="array" ref="D14">INDEX(ALLCLASSDATA,MATCH(A14,CLASSFEATUREHEADERS,0),MATCH($D$2,CLASSNAMEHEADERS,0))</f>
        <v>11</v>
      </c>
      <c r="E14" s="149">
        <f t="array" ref="E14">INDEX(ALLCLASSDATA,MATCH(A14,CLASSFEATUREHEADERS,0),MATCH(($D$2 &amp; "Points"),CLASSNAMEHEADERS,0))</f>
        <v>50</v>
      </c>
      <c r="G14" s="241" t="str">
        <f t="array" ref="G14">INDEX(ALLCLASSDATA,MATCH(A14,CLASSFEATUREHEADERS,0),MATCH($G$2,CLASSNAMEHEADERS,0))</f>
        <v/>
      </c>
      <c r="H14" s="149" t="str">
        <f t="array" ref="H14">INDEX(ALLCLASSDATA,MATCH(A14,CLASSFEATUREHEADERS,0),MATCH(($G$2 &amp; "Points"),CLASSNAMEHEADERS,0))</f>
        <v/>
      </c>
      <c r="J14" s="238" t="str">
        <f t="shared" si="4"/>
        <v>ClassDCExpert</v>
      </c>
      <c r="K14" s="243" t="str">
        <f>IF(COUNTA(D13:D16)&gt;COUNTA(G13:G16),D14,(IF(COUNTA(D13:D16)&lt;COUNTA(G13:G16),G14,(IF((D13+D14+D15+D16)&lt;(G13+G14+G15+G16),D14,G14)))))</f>
        <v>11</v>
      </c>
      <c r="L14" s="149">
        <f>IF(COUNTA(D13:D16)&gt;COUNTA(G13:G16),E14,(IF(COUNTA(D13:D16)&lt;COUNTA(G13:G16),H14,(IF((D13+D14+D15+D16)&lt;(G13+G14+G15+G16),E14,H14)))))</f>
        <v>50</v>
      </c>
      <c r="M14" s="238" t="str">
        <f t="shared" si="5"/>
        <v>ClassDCExpert</v>
      </c>
      <c r="N14" s="243" t="str">
        <f>IF(F13=TRUE,D14,(IF(I13=TRUE,G14,"")))</f>
        <v>11</v>
      </c>
      <c r="O14" s="149">
        <f>IF(F13=TRUE,E14,(IF(I13=TRUE,H14,"")))</f>
        <v>50</v>
      </c>
    </row>
    <row r="15">
      <c r="A15" s="35" t="str">
        <f>CLASSDATA!A15</f>
        <v>ClassDCMaster</v>
      </c>
      <c r="B15" s="35" t="str">
        <f>CLASSDATA!B15</f>
        <v/>
      </c>
      <c r="C15" s="35" t="str">
        <f>CLASSDATA!C15</f>
        <v/>
      </c>
      <c r="D15" s="241" t="str">
        <f t="array" ref="D15">INDEX(ALLCLASSDATA,MATCH(A15,CLASSFEATUREHEADERS,0),MATCH($D$2,CLASSNAMEHEADERS,0))</f>
        <v>19</v>
      </c>
      <c r="E15" s="149">
        <f t="array" ref="E15">INDEX(ALLCLASSDATA,MATCH(A15,CLASSFEATUREHEADERS,0),MATCH(($D$2 &amp; "Points"),CLASSNAMEHEADERS,0))</f>
        <v>110</v>
      </c>
      <c r="G15" s="241" t="str">
        <f t="array" ref="G15">INDEX(ALLCLASSDATA,MATCH(A15,CLASSFEATUREHEADERS,0),MATCH($G$2,CLASSNAMEHEADERS,0))</f>
        <v/>
      </c>
      <c r="H15" s="149" t="str">
        <f t="array" ref="H15">INDEX(ALLCLASSDATA,MATCH(A15,CLASSFEATUREHEADERS,0),MATCH(($G$2 &amp; "Points"),CLASSNAMEHEADERS,0))</f>
        <v/>
      </c>
      <c r="J15" s="238" t="str">
        <f t="shared" si="4"/>
        <v>ClassDCMaster</v>
      </c>
      <c r="K15" s="243" t="str">
        <f>IF(COUNTA(D13:D16)&gt;COUNTA(G13:G16),D15,(IF(COUNTA(D13:D16)&lt;COUNTA(G13:G16),G15,(IF((D13+D14+D15+D16)&lt;(G13+G14+G15+G16),D15,G15)))))</f>
        <v>19</v>
      </c>
      <c r="L15" s="149">
        <f>IF(COUNTA(D13:D16)&gt;COUNTA(G13:G16),E15,(IF(COUNTA(D13:D16)&lt;COUNTA(G13:G16),H15,(IF((D13+D14+D15+D16)&lt;(G13+G14+G15+G16),E15,H15)))))</f>
        <v>110</v>
      </c>
      <c r="M15" s="238" t="str">
        <f t="shared" si="5"/>
        <v>ClassDCMaster</v>
      </c>
      <c r="N15" s="243" t="str">
        <f>IF(F13=TRUE,D15,(IF(I13=TRUE,G15,"")))</f>
        <v>19</v>
      </c>
      <c r="O15" s="149">
        <f>IF(F13=TRUE,E15,(IF(I13=TRUE,H15,"")))</f>
        <v>110</v>
      </c>
    </row>
    <row r="16">
      <c r="A16" s="35" t="str">
        <f>CLASSDATA!A16</f>
        <v>ClassDCLegendary</v>
      </c>
      <c r="B16" s="35" t="str">
        <f>CLASSDATA!B16</f>
        <v/>
      </c>
      <c r="C16" s="35" t="str">
        <f>CLASSDATA!C16</f>
        <v/>
      </c>
      <c r="D16" s="241" t="str">
        <f t="array" ref="D16">INDEX(ALLCLASSDATA,MATCH(A16,CLASSFEATUREHEADERS,0),MATCH($D$2,CLASSNAMEHEADERS,0))</f>
        <v/>
      </c>
      <c r="E16" s="149" t="str">
        <f t="array" ref="E16">INDEX(ALLCLASSDATA,MATCH(A16,CLASSFEATUREHEADERS,0),MATCH(($D$2 &amp; "Points"),CLASSNAMEHEADERS,0))</f>
        <v/>
      </c>
      <c r="G16" s="241" t="str">
        <f t="array" ref="G16">INDEX(ALLCLASSDATA,MATCH(A16,CLASSFEATUREHEADERS,0),MATCH($G$2,CLASSNAMEHEADERS,0))</f>
        <v/>
      </c>
      <c r="H16" s="149" t="str">
        <f t="array" ref="H16">INDEX(ALLCLASSDATA,MATCH(A16,CLASSFEATUREHEADERS,0),MATCH(($G$2 &amp; "Points"),CLASSNAMEHEADERS,0))</f>
        <v/>
      </c>
      <c r="J16" s="238" t="str">
        <f t="shared" si="4"/>
        <v/>
      </c>
      <c r="K16" s="243" t="str">
        <f>IF(COUNTA(D13:D16)&gt;COUNTA(G13:G16),D16,(IF(COUNTA(D13:D16)&lt;COUNTA(G13:G16),G16,(IF((D13+D14+D15+D16)&lt;(G13+G14+G15+G16),D16,G16)))))</f>
        <v/>
      </c>
      <c r="L16" s="149" t="str">
        <f>IF(COUNTA(D13:D16)&gt;COUNTA(G13:G16),E16,(IF(COUNTA(D13:D16)&lt;COUNTA(G13:G16),H16,(IF((D13+D14+D15+D16)&lt;(G13+G14+G15+G16),E16,H16)))))</f>
        <v/>
      </c>
      <c r="M16" s="238" t="str">
        <f t="shared" si="5"/>
        <v/>
      </c>
      <c r="N16" s="243" t="str">
        <f>IF(F13=TRUE,D16,(IF(I13=TRUE,G16,"")))</f>
        <v/>
      </c>
      <c r="O16" s="149" t="str">
        <f>IF(F13=TRUE,E16,(IF(I13=TRUE,H16,"")))</f>
        <v/>
      </c>
    </row>
    <row r="17">
      <c r="A17" s="35" t="str">
        <f>CLASSDATA!A17</f>
        <v>SpellDCTrained</v>
      </c>
      <c r="B17" s="35" t="str">
        <f>CLASSDATA!B17</f>
        <v/>
      </c>
      <c r="C17" s="35" t="str">
        <f>CLASSDATA!C17</f>
        <v/>
      </c>
      <c r="D17" s="241" t="str">
        <f t="array" ref="D17">INDEX(ALLCLASSDATA,MATCH(A17,CLASSFEATUREHEADERS,0),MATCH($D$2,CLASSNAMEHEADERS,0))</f>
        <v/>
      </c>
      <c r="E17" s="149" t="str">
        <f t="array" ref="E17">INDEX(ALLCLASSDATA,MATCH(A17,CLASSFEATUREHEADERS,0),MATCH(($D$2 &amp; "Points"),CLASSNAMEHEADERS,0))</f>
        <v/>
      </c>
      <c r="F17" s="12" t="b">
        <v>1</v>
      </c>
      <c r="G17" s="241" t="str">
        <f t="array" ref="G17">INDEX(ALLCLASSDATA,MATCH(A17,CLASSFEATUREHEADERS,0),MATCH($G$2,CLASSNAMEHEADERS,0))</f>
        <v>01</v>
      </c>
      <c r="H17" s="149">
        <f t="array" ref="H17">INDEX(ALLCLASSDATA,MATCH(A17,CLASSFEATUREHEADERS,0),MATCH(($G$2 &amp; "Points"),CLASSNAMEHEADERS,0))</f>
        <v>10</v>
      </c>
      <c r="I17" s="12" t="b">
        <v>0</v>
      </c>
      <c r="J17" s="238" t="str">
        <f t="shared" si="4"/>
        <v>SpellDCTrained</v>
      </c>
      <c r="K17" s="243" t="str">
        <f>IF(COUNTA(D17:D20)&gt;COUNTA(G17:G20),D17,(IF(COUNTA(D17:D20)&lt;COUNTA(G17:G20),G17,(IF((D17+D18+D19+D20)&lt;(G17+G18+G19+G20),D17,G17)))))</f>
        <v>01</v>
      </c>
      <c r="L17" s="149">
        <f>IF(COUNTA(D17:D20)&gt;COUNTA(G17:G20),E17,(IF(COUNTA(D17:D20)&lt;COUNTA(G17:G20),H17,(IF((D17+D18+D19+D20)&lt;(G17+G18+G19+G20),E17,H17)))))</f>
        <v>10</v>
      </c>
      <c r="M17" s="238" t="str">
        <f t="shared" si="5"/>
        <v/>
      </c>
      <c r="N17" s="243" t="str">
        <f>IF(F17=TRUE,D17,(IF(I17=TRUE,G17,"")))</f>
        <v/>
      </c>
      <c r="O17" s="149" t="str">
        <f>IF(F17=TRUE,E17,(IF(I17=TRUE,H17,"")))</f>
        <v/>
      </c>
    </row>
    <row r="18">
      <c r="A18" s="35" t="str">
        <f>CLASSDATA!A18</f>
        <v>SpellDCExpert</v>
      </c>
      <c r="B18" s="35" t="str">
        <f>CLASSDATA!B18</f>
        <v/>
      </c>
      <c r="C18" s="35" t="str">
        <f>CLASSDATA!C18</f>
        <v/>
      </c>
      <c r="D18" s="241" t="str">
        <f t="array" ref="D18">INDEX(ALLCLASSDATA,MATCH(A18,CLASSFEATUREHEADERS,0),MATCH($D$2,CLASSNAMEHEADERS,0))</f>
        <v/>
      </c>
      <c r="E18" s="149" t="str">
        <f t="array" ref="E18">INDEX(ALLCLASSDATA,MATCH(A18,CLASSFEATUREHEADERS,0),MATCH(($D$2 &amp; "Points"),CLASSNAMEHEADERS,0))</f>
        <v/>
      </c>
      <c r="G18" s="241" t="str">
        <f t="array" ref="G18">INDEX(ALLCLASSDATA,MATCH(A18,CLASSFEATUREHEADERS,0),MATCH($G$2,CLASSNAMEHEADERS,0))</f>
        <v>07</v>
      </c>
      <c r="H18" s="149">
        <f t="array" ref="H18">INDEX(ALLCLASSDATA,MATCH(A18,CLASSFEATUREHEADERS,0),MATCH(($G$2 &amp; "Points"),CLASSNAMEHEADERS,0))</f>
        <v>50</v>
      </c>
      <c r="J18" s="238" t="str">
        <f t="shared" si="4"/>
        <v>SpellDCExpert</v>
      </c>
      <c r="K18" s="243" t="str">
        <f>IF(COUNTA(D17:D20)&gt;COUNTA(G17:G20),D18,(IF(COUNTA(D17:D20)&lt;COUNTA(G17:G20),G18,(IF((D17+D18+D19+D20)&lt;(G17+G18+G19+G20),D18,G18)))))</f>
        <v>07</v>
      </c>
      <c r="L18" s="149">
        <f>IF(COUNTA(D17:D20)&gt;COUNTA(G17:G20),E18,(IF(COUNTA(D17:D20)&lt;COUNTA(G17:G20),H18,(IF((D17+D18+D19+D20)&lt;(G17+G18+G19+G20),E18,H18)))))</f>
        <v>50</v>
      </c>
      <c r="M18" s="238" t="str">
        <f t="shared" si="5"/>
        <v/>
      </c>
      <c r="N18" s="243" t="str">
        <f>IF(F17=TRUE,D18,(IF(I17=TRUE,G18,"")))</f>
        <v/>
      </c>
      <c r="O18" s="149" t="str">
        <f>IF(F17=TRUE,E18,(IF(I17=TRUE,H18,"")))</f>
        <v/>
      </c>
    </row>
    <row r="19">
      <c r="A19" s="35" t="str">
        <f>CLASSDATA!A19</f>
        <v>SpellDCMaster</v>
      </c>
      <c r="B19" s="35" t="str">
        <f>CLASSDATA!B19</f>
        <v/>
      </c>
      <c r="C19" s="35" t="str">
        <f>CLASSDATA!C19</f>
        <v/>
      </c>
      <c r="D19" s="241" t="str">
        <f t="array" ref="D19">INDEX(ALLCLASSDATA,MATCH(A19,CLASSFEATUREHEADERS,0),MATCH($D$2,CLASSNAMEHEADERS,0))</f>
        <v/>
      </c>
      <c r="E19" s="149" t="str">
        <f t="array" ref="E19">INDEX(ALLCLASSDATA,MATCH(A19,CLASSFEATUREHEADERS,0),MATCH(($D$2 &amp; "Points"),CLASSNAMEHEADERS,0))</f>
        <v/>
      </c>
      <c r="G19" s="241" t="str">
        <f t="array" ref="G19">INDEX(ALLCLASSDATA,MATCH(A19,CLASSFEATUREHEADERS,0),MATCH($G$2,CLASSNAMEHEADERS,0))</f>
        <v>15</v>
      </c>
      <c r="H19" s="149">
        <f t="array" ref="H19">INDEX(ALLCLASSDATA,MATCH(A19,CLASSFEATUREHEADERS,0),MATCH(($G$2 &amp; "Points"),CLASSNAMEHEADERS,0))</f>
        <v>110</v>
      </c>
      <c r="J19" s="238" t="str">
        <f t="shared" si="4"/>
        <v>SpellDCMaster</v>
      </c>
      <c r="K19" s="243" t="str">
        <f>IF(COUNTA(D17:D20)&gt;COUNTA(G17:G20),D19,(IF(COUNTA(D17:D20)&lt;COUNTA(G17:G20),G19,(IF((D17+D18+D19+D20)&lt;(G17+G18+G19+G20),D19,G19)))))</f>
        <v>15</v>
      </c>
      <c r="L19" s="149">
        <f>IF(COUNTA(D17:D20)&gt;COUNTA(G17:G20),E19,(IF(COUNTA(D17:D20)&lt;COUNTA(G17:G20),H19,(IF((D17+D18+D19+D20)&lt;(G17+G18+G19+G20),E19,H19)))))</f>
        <v>110</v>
      </c>
      <c r="M19" s="238" t="str">
        <f t="shared" si="5"/>
        <v/>
      </c>
      <c r="N19" s="243" t="str">
        <f>IF(F17=TRUE,D19,(IF(I17=TRUE,G19,"")))</f>
        <v/>
      </c>
      <c r="O19" s="149" t="str">
        <f>IF(F17=TRUE,E19,(IF(I17=TRUE,H19,"")))</f>
        <v/>
      </c>
    </row>
    <row r="20">
      <c r="A20" s="35" t="str">
        <f>CLASSDATA!A20</f>
        <v>SpellDCLegendary</v>
      </c>
      <c r="B20" s="35" t="str">
        <f>CLASSDATA!B20</f>
        <v/>
      </c>
      <c r="C20" s="35" t="str">
        <f>CLASSDATA!C20</f>
        <v/>
      </c>
      <c r="D20" s="241" t="str">
        <f t="array" ref="D20">INDEX(ALLCLASSDATA,MATCH(A20,CLASSFEATUREHEADERS,0),MATCH($D$2,CLASSNAMEHEADERS,0))</f>
        <v/>
      </c>
      <c r="E20" s="149" t="str">
        <f t="array" ref="E20">INDEX(ALLCLASSDATA,MATCH(A20,CLASSFEATUREHEADERS,0),MATCH(($D$2 &amp; "Points"),CLASSNAMEHEADERS,0))</f>
        <v/>
      </c>
      <c r="G20" s="241" t="str">
        <f t="array" ref="G20">INDEX(ALLCLASSDATA,MATCH(A20,CLASSFEATUREHEADERS,0),MATCH($G$2,CLASSNAMEHEADERS,0))</f>
        <v>19</v>
      </c>
      <c r="H20" s="149">
        <f t="array" ref="H20">INDEX(ALLCLASSDATA,MATCH(A20,CLASSFEATUREHEADERS,0),MATCH(($G$2 &amp; "Points"),CLASSNAMEHEADERS,0))</f>
        <v>190</v>
      </c>
      <c r="J20" s="238" t="str">
        <f t="shared" si="4"/>
        <v>SpellDCLegendary</v>
      </c>
      <c r="K20" s="243" t="str">
        <f>IF(COUNTA(D17:D20)&gt;COUNTA(G17:G20),D20,(IF(COUNTA(D17:D20)&lt;COUNTA(G17:G20),G20,(IF((D17+D18+D19+D20)&lt;(G17+G18+G19+G20),D20,G20)))))</f>
        <v>19</v>
      </c>
      <c r="L20" s="149">
        <f>IF(COUNTA(D17:D20)&gt;COUNTA(G17:G20),E20,(IF(COUNTA(D17:D20)&lt;COUNTA(G17:G20),H20,(IF((D17+D18+D19+D20)&lt;(G17+G18+G19+G20),E20,H20)))))</f>
        <v>190</v>
      </c>
      <c r="M20" s="238" t="str">
        <f t="shared" si="5"/>
        <v/>
      </c>
      <c r="N20" s="243" t="str">
        <f>IF(F17=TRUE,D20,(IF(I17=TRUE,G20,"")))</f>
        <v/>
      </c>
      <c r="O20" s="149" t="str">
        <f>IF(F17=TRUE,E20,(IF(I17=TRUE,H20,"")))</f>
        <v/>
      </c>
    </row>
    <row r="21">
      <c r="A21" s="244" t="str">
        <f>CLASSDATA!A21</f>
        <v>PERCEPTION TOTAL:</v>
      </c>
      <c r="B21" s="249" t="str">
        <f>CLASSDATA!B34</f>
        <v/>
      </c>
      <c r="C21" s="173" t="str">
        <f>CLASSDATA!C34</f>
        <v/>
      </c>
      <c r="D21" s="245" t="str">
        <f t="array" ref="D21">INDEX(ALLCLASSDATA,MATCH(A21,CLASSFEATUREHEADERS,0),MATCH($D$2,CLASSNAMEHEADERS,0))</f>
        <v/>
      </c>
      <c r="E21" s="246">
        <f t="array" ref="E21">INDEX(ALLCLASSDATA,MATCH(A21,CLASSFEATUREHEADERS,0),MATCH(($D$2 &amp; "Points"),CLASSNAMEHEADERS,0))</f>
        <v>170</v>
      </c>
      <c r="F21" s="246"/>
      <c r="G21" s="245" t="str">
        <f t="array" ref="G21">INDEX(ALLCLASSDATA,MATCH(A21,CLASSFEATUREHEADERS,0),MATCH($G$2,CLASSNAMEHEADERS,0))</f>
        <v/>
      </c>
      <c r="H21" s="246">
        <f t="array" ref="H21">INDEX(ALLCLASSDATA,MATCH(A21,CLASSFEATUREHEADERS,0),MATCH(($G$2 &amp; "Points"),CLASSNAMEHEADERS,0))</f>
        <v>60</v>
      </c>
      <c r="I21" s="246"/>
      <c r="J21" s="247"/>
      <c r="K21" s="246"/>
      <c r="L21" s="75">
        <f>sum(L22:L25)</f>
        <v>170</v>
      </c>
      <c r="M21" s="247"/>
      <c r="N21" s="246"/>
      <c r="O21" s="75">
        <f>sum(O22:O25)</f>
        <v>60</v>
      </c>
      <c r="P21" s="246"/>
    </row>
    <row r="22">
      <c r="A22" s="35" t="str">
        <f>CLASSDATA!A22</f>
        <v>PerceptionTrained</v>
      </c>
      <c r="B22" s="35" t="str">
        <f>CLASSDATA!B22</f>
        <v/>
      </c>
      <c r="C22" s="35" t="str">
        <f>CLASSDATA!C22</f>
        <v/>
      </c>
      <c r="D22" s="241" t="str">
        <f t="array" ref="D22">INDEX(ALLCLASSDATA,MATCH(A22,CLASSFEATUREHEADERS,0),MATCH($D$2,CLASSNAMEHEADERS,0))</f>
        <v>00</v>
      </c>
      <c r="E22" s="149">
        <f t="array" ref="E22">INDEX(ALLCLASSDATA,MATCH(A22,CLASSFEATUREHEADERS,0),MATCH(($D$2 &amp; "Points"),CLASSNAMEHEADERS,0))</f>
        <v>10</v>
      </c>
      <c r="F22" s="12" t="b">
        <v>0</v>
      </c>
      <c r="G22" s="241" t="str">
        <f t="array" ref="G22">INDEX(ALLCLASSDATA,MATCH(A22,CLASSFEATUREHEADERS,0),MATCH($G$2,CLASSNAMEHEADERS,0))</f>
        <v>01</v>
      </c>
      <c r="H22" s="149">
        <f t="array" ref="H22">INDEX(ALLCLASSDATA,MATCH(A22,CLASSFEATUREHEADERS,0),MATCH(($G$2 &amp; "Points"),CLASSNAMEHEADERS,0))</f>
        <v>10</v>
      </c>
      <c r="I22" s="12" t="b">
        <v>1</v>
      </c>
      <c r="J22" s="238" t="str">
        <f t="shared" ref="J22:J25" si="6">IF(ISBLANK(K22),"",A22)</f>
        <v>PerceptionTrained</v>
      </c>
      <c r="K22" s="243" t="str">
        <f>IF(COUNTA(D22:D25)&gt;COUNTA(G22:G25),D22,(IF(COUNTA(D22:D25)&lt;COUNTA(G22:G25),G22,(IF((D22+D23+D24+D25)&lt;(G22+G23+G24+G25),D22,G22)))))</f>
        <v>00</v>
      </c>
      <c r="L22" s="149">
        <f>IF(COUNTA(D22:D25)&gt;COUNTA(G22:G25),E22,(IF(COUNTA(D22:D25)&lt;COUNTA(G22:G25),H22,(IF((D22+D23+D24+D25)&lt;(G22+G23+G24+G25),E22,H22)))))</f>
        <v>10</v>
      </c>
      <c r="M22" s="238" t="str">
        <f t="shared" ref="M22:M25" si="7">IF(ISBLANK(N22),"",A22)</f>
        <v>PerceptionTrained</v>
      </c>
      <c r="N22" s="243" t="str">
        <f>IF(F22=TRUE,D22,(IF(I22=TRUE,G22,"")))</f>
        <v>01</v>
      </c>
      <c r="O22" s="149">
        <f>IF(F22=TRUE,E22,(IF(I22=TRUE,H22,"")))</f>
        <v>10</v>
      </c>
    </row>
    <row r="23">
      <c r="A23" s="35" t="str">
        <f>CLASSDATA!A23</f>
        <v>PerceptionExpert</v>
      </c>
      <c r="B23" s="35" t="str">
        <f>CLASSDATA!B23</f>
        <v/>
      </c>
      <c r="C23" s="35" t="str">
        <f>CLASSDATA!C23</f>
        <v/>
      </c>
      <c r="D23" s="241" t="str">
        <f t="array" ref="D23">INDEX(ALLCLASSDATA,MATCH(A23,CLASSFEATUREHEADERS,0),MATCH($D$2,CLASSNAMEHEADERS,0))</f>
        <v>01</v>
      </c>
      <c r="E23" s="149">
        <f t="array" ref="E23">INDEX(ALLCLASSDATA,MATCH(A23,CLASSFEATUREHEADERS,0),MATCH(($D$2 &amp; "Points"),CLASSNAMEHEADERS,0))</f>
        <v>50</v>
      </c>
      <c r="G23" s="241" t="str">
        <f t="array" ref="G23">INDEX(ALLCLASSDATA,MATCH(A23,CLASSFEATUREHEADERS,0),MATCH($G$2,CLASSNAMEHEADERS,0))</f>
        <v>11</v>
      </c>
      <c r="H23" s="149">
        <f t="array" ref="H23">INDEX(ALLCLASSDATA,MATCH(A23,CLASSFEATUREHEADERS,0),MATCH(($G$2 &amp; "Points"),CLASSNAMEHEADERS,0))</f>
        <v>50</v>
      </c>
      <c r="J23" s="238" t="str">
        <f t="shared" si="6"/>
        <v>PerceptionExpert</v>
      </c>
      <c r="K23" s="243" t="str">
        <f>IF(COUNTA(D22:D25)&gt;COUNTA(G22:G25),D23,(IF(COUNTA(D22:D25)&lt;COUNTA(G22:G25),G23,(IF((D22+D23+D24+D25)&lt;(G22+G23+G24+G25),D23,G23)))))</f>
        <v>01</v>
      </c>
      <c r="L23" s="149">
        <f>IF(COUNTA(D22:D25)&gt;COUNTA(G22:G25),E23,(IF(COUNTA(D22:D25)&lt;COUNTA(G22:G25),H23,(IF((D22+D23+D24+D25)&lt;(G22+G23+G24+G25),E23,H23)))))</f>
        <v>50</v>
      </c>
      <c r="M23" s="238" t="str">
        <f t="shared" si="7"/>
        <v>PerceptionExpert</v>
      </c>
      <c r="N23" s="243" t="str">
        <f>IF(F22=TRUE,D23,(IF(I22=TRUE,G23,"")))</f>
        <v>11</v>
      </c>
      <c r="O23" s="149">
        <f>IF(F22=TRUE,E23,(IF(I22=TRUE,H23,"")))</f>
        <v>50</v>
      </c>
    </row>
    <row r="24">
      <c r="A24" s="35" t="str">
        <f>CLASSDATA!A24</f>
        <v>PerceptionMaster</v>
      </c>
      <c r="B24" s="35" t="str">
        <f>CLASSDATA!B24</f>
        <v/>
      </c>
      <c r="C24" s="35" t="str">
        <f>CLASSDATA!C24</f>
        <v/>
      </c>
      <c r="D24" s="241" t="str">
        <f t="array" ref="D24">INDEX(ALLCLASSDATA,MATCH(A24,CLASSFEATUREHEADERS,0),MATCH($D$2,CLASSNAMEHEADERS,0))</f>
        <v>07</v>
      </c>
      <c r="E24" s="149">
        <f t="array" ref="E24">INDEX(ALLCLASSDATA,MATCH(A24,CLASSFEATUREHEADERS,0),MATCH(($D$2 &amp; "Points"),CLASSNAMEHEADERS,0))</f>
        <v>110</v>
      </c>
      <c r="G24" s="241" t="str">
        <f t="array" ref="G24">INDEX(ALLCLASSDATA,MATCH(A24,CLASSFEATUREHEADERS,0),MATCH($G$2,CLASSNAMEHEADERS,0))</f>
        <v/>
      </c>
      <c r="H24" s="149" t="str">
        <f t="array" ref="H24">INDEX(ALLCLASSDATA,MATCH(A24,CLASSFEATUREHEADERS,0),MATCH(($G$2 &amp; "Points"),CLASSNAMEHEADERS,0))</f>
        <v/>
      </c>
      <c r="J24" s="238" t="str">
        <f t="shared" si="6"/>
        <v>PerceptionMaster</v>
      </c>
      <c r="K24" s="243" t="str">
        <f>IF(COUNTA(D22:D25)&gt;COUNTA(G22:G25),D24,(IF(COUNTA(D22:D25)&lt;COUNTA(G22:G25),G24,(IF((D22+D23+D24+D25)&lt;(G22+G23+G24+G25),D24,G24)))))</f>
        <v>07</v>
      </c>
      <c r="L24" s="149">
        <f>IF(COUNTA(D22:D25)&gt;COUNTA(G22:G25),E24,(IF(COUNTA(D22:D25)&lt;COUNTA(G22:G25),H24,(IF((D22+D23+D24+D25)&lt;(G22+G23+G24+G25),E24,H24)))))</f>
        <v>110</v>
      </c>
      <c r="M24" s="238" t="str">
        <f t="shared" si="7"/>
        <v/>
      </c>
      <c r="N24" s="243" t="str">
        <f>IF(F22=TRUE,D24,(IF(I22=TRUE,G24,"")))</f>
        <v/>
      </c>
      <c r="O24" s="149" t="str">
        <f>IF(F22=TRUE,E24,(IF(I22=TRUE,H24,"")))</f>
        <v/>
      </c>
    </row>
    <row r="25">
      <c r="A25" s="35" t="str">
        <f>CLASSDATA!A25</f>
        <v>PerceptionLegendary</v>
      </c>
      <c r="B25" s="35" t="str">
        <f>CLASSDATA!B25</f>
        <v/>
      </c>
      <c r="C25" s="35" t="str">
        <f>CLASSDATA!C25</f>
        <v/>
      </c>
      <c r="D25" s="241" t="str">
        <f t="array" ref="D25">INDEX(ALLCLASSDATA,MATCH(A25,CLASSFEATUREHEADERS,0),MATCH($D$2,CLASSNAMEHEADERS,0))</f>
        <v/>
      </c>
      <c r="E25" s="149" t="str">
        <f t="array" ref="E25">INDEX(ALLCLASSDATA,MATCH(A25,CLASSFEATUREHEADERS,0),MATCH(($D$2 &amp; "Points"),CLASSNAMEHEADERS,0))</f>
        <v/>
      </c>
      <c r="G25" s="241" t="str">
        <f t="array" ref="G25">INDEX(ALLCLASSDATA,MATCH(A25,CLASSFEATUREHEADERS,0),MATCH($G$2,CLASSNAMEHEADERS,0))</f>
        <v/>
      </c>
      <c r="H25" s="149" t="str">
        <f t="array" ref="H25">INDEX(ALLCLASSDATA,MATCH(A25,CLASSFEATUREHEADERS,0),MATCH(($G$2 &amp; "Points"),CLASSNAMEHEADERS,0))</f>
        <v/>
      </c>
      <c r="J25" s="238" t="str">
        <f t="shared" si="6"/>
        <v/>
      </c>
      <c r="K25" s="243" t="str">
        <f>IF(COUNTA(D22:D25)&gt;COUNTA(G22:G25),D25,(IF(COUNTA(D22:D25)&lt;COUNTA(G22:G25),G25,(IF((D22+D23+D24+D25)&lt;(G22+G23+G24+G25),D25,G25)))))</f>
        <v/>
      </c>
      <c r="L25" s="149" t="str">
        <f>IF(COUNTA(D22:D25)&gt;COUNTA(G22:G25),E25,(IF(COUNTA(D22:D25)&lt;COUNTA(G22:G25),H25,(IF((D22+D23+D24+D25)&lt;(G22+G23+G24+G25),E25,H25)))))</f>
        <v/>
      </c>
      <c r="M25" s="238" t="str">
        <f t="shared" si="7"/>
        <v/>
      </c>
      <c r="N25" s="243" t="str">
        <f>IF(F22=TRUE,D25,(IF(I22=TRUE,G25,"")))</f>
        <v/>
      </c>
      <c r="O25" s="149" t="str">
        <f>IF(F22=TRUE,E25,(IF(I22=TRUE,H25,"")))</f>
        <v/>
      </c>
    </row>
    <row r="26">
      <c r="A26" s="244" t="str">
        <f>CLASSDATA!A26</f>
        <v>SAVES TOTAL:</v>
      </c>
      <c r="B26" s="249" t="str">
        <f>CLASSDATA!B26</f>
        <v/>
      </c>
      <c r="C26" s="173" t="str">
        <f>CLASSDATA!C26</f>
        <v/>
      </c>
      <c r="D26" s="245" t="str">
        <f t="array" ref="D26">INDEX(ALLCLASSDATA,MATCH(A26,CLASSFEATUREHEADERS,0),MATCH($D$2,CLASSNAMEHEADERS,0))</f>
        <v/>
      </c>
      <c r="E26" s="246">
        <f t="array" ref="E26">INDEX(ALLCLASSDATA,MATCH(A26,CLASSFEATUREHEADERS,0),MATCH(($D$2 &amp; "Points"),CLASSNAMEHEADERS,0))</f>
        <v>400</v>
      </c>
      <c r="F26" s="246"/>
      <c r="G26" s="245" t="str">
        <f t="array" ref="G26">INDEX(ALLCLASSDATA,MATCH(A26,CLASSFEATUREHEADERS,0),MATCH($G$2,CLASSNAMEHEADERS,0))</f>
        <v/>
      </c>
      <c r="H26" s="246">
        <f t="array" ref="H26">INDEX(ALLCLASSDATA,MATCH(A26,CLASSFEATUREHEADERS,0),MATCH(($G$2 &amp; "Points"),CLASSNAMEHEADERS,0))</f>
        <v>290</v>
      </c>
      <c r="I26" s="246"/>
      <c r="J26" s="247"/>
      <c r="K26" s="246"/>
      <c r="L26" s="75">
        <f>sum(L27:L38)</f>
        <v>510</v>
      </c>
      <c r="M26" s="247"/>
      <c r="N26" s="246"/>
      <c r="O26" s="75">
        <f>sum(O27:O38)</f>
        <v>180</v>
      </c>
      <c r="P26" s="246"/>
    </row>
    <row r="27">
      <c r="A27" s="35" t="str">
        <f>CLASSDATA!A27</f>
        <v>FortitudeSaveTrained</v>
      </c>
      <c r="B27" s="35" t="str">
        <f>CLASSDATA!B27</f>
        <v/>
      </c>
      <c r="C27" s="35" t="str">
        <f>CLASSDATA!C27</f>
        <v/>
      </c>
      <c r="D27" s="241" t="str">
        <f t="array" ref="D27">INDEX(ALLCLASSDATA,MATCH(A27,CLASSFEATUREHEADERS,0),MATCH($D$2,CLASSNAMEHEADERS,0))</f>
        <v>00</v>
      </c>
      <c r="E27" s="149">
        <f t="array" ref="E27">INDEX(ALLCLASSDATA,MATCH(A27,CLASSFEATUREHEADERS,0),MATCH(($D$2 &amp; "Points"),CLASSNAMEHEADERS,0))</f>
        <v>10</v>
      </c>
      <c r="F27" s="12" t="b">
        <v>0</v>
      </c>
      <c r="G27" s="241" t="str">
        <f t="array" ref="G27">INDEX(ALLCLASSDATA,MATCH(A27,CLASSFEATUREHEADERS,0),MATCH($G$2,CLASSNAMEHEADERS,0))</f>
        <v>01</v>
      </c>
      <c r="H27" s="149">
        <f t="array" ref="H27">INDEX(ALLCLASSDATA,MATCH(A27,CLASSFEATUREHEADERS,0),MATCH(($G$2 &amp; "Points"),CLASSNAMEHEADERS,0))</f>
        <v>10</v>
      </c>
      <c r="I27" s="12" t="b">
        <v>1</v>
      </c>
      <c r="J27" s="238" t="str">
        <f t="shared" ref="J27:J38" si="8">IF(ISBLANK(K27),"",A27)</f>
        <v>FortitudeSaveTrained</v>
      </c>
      <c r="K27" s="243" t="str">
        <f>IF(COUNTA(D27:D30)&gt;COUNTA(G27:G30),D27,(IF(COUNTA(D27:D30)&lt;COUNTA(G27:G30),G27,(IF((D27+D28+D29+D30)&lt;(G27+G28+G29+G30),D27,G27)))))</f>
        <v>00</v>
      </c>
      <c r="L27" s="149">
        <f>IF(COUNTA(D27:D30)&gt;COUNTA(G27:G30),E27,(IF(COUNTA(D27:D30)&lt;COUNTA(G27:G30),H27,(IF((D27+D28+D29+D30)&lt;(G27+G28+G29+G30),E27,H27)))))</f>
        <v>10</v>
      </c>
      <c r="M27" s="238" t="str">
        <f t="shared" ref="M27:M38" si="9">IF(ISBLANK(N27),"",A27)</f>
        <v>FortitudeSaveTrained</v>
      </c>
      <c r="N27" s="243" t="str">
        <f>IF(F27=TRUE,D27,(IF(I27=TRUE,G27,"")))</f>
        <v>01</v>
      </c>
      <c r="O27" s="149">
        <f>IF(F27=TRUE,E27,(IF(I27=TRUE,H27,"")))</f>
        <v>10</v>
      </c>
    </row>
    <row r="28">
      <c r="A28" s="35" t="str">
        <f>CLASSDATA!A28</f>
        <v>FortitudeSaveExpert</v>
      </c>
      <c r="B28" s="35" t="str">
        <f>CLASSDATA!B28</f>
        <v/>
      </c>
      <c r="C28" s="35" t="str">
        <f>CLASSDATA!C28</f>
        <v/>
      </c>
      <c r="D28" s="241" t="str">
        <f t="array" ref="D28">INDEX(ALLCLASSDATA,MATCH(A28,CLASSFEATUREHEADERS,0),MATCH($D$2,CLASSNAMEHEADERS,0))</f>
        <v>01</v>
      </c>
      <c r="E28" s="149">
        <f t="array" ref="E28">INDEX(ALLCLASSDATA,MATCH(A28,CLASSFEATUREHEADERS,0),MATCH(($D$2 &amp; "Points"),CLASSNAMEHEADERS,0))</f>
        <v>50</v>
      </c>
      <c r="G28" s="241" t="str">
        <f t="array" ref="G28">INDEX(ALLCLASSDATA,MATCH(A28,CLASSFEATUREHEADERS,0),MATCH($G$2,CLASSNAMEHEADERS,0))</f>
        <v>09</v>
      </c>
      <c r="H28" s="149">
        <f t="array" ref="H28">INDEX(ALLCLASSDATA,MATCH(A28,CLASSFEATUREHEADERS,0),MATCH(($G$2 &amp; "Points"),CLASSNAMEHEADERS,0))</f>
        <v>50</v>
      </c>
      <c r="J28" s="238" t="str">
        <f t="shared" si="8"/>
        <v>FortitudeSaveExpert</v>
      </c>
      <c r="K28" s="243" t="str">
        <f>IF(COUNTA(D27:D30)&gt;COUNTA(G27:G30),D28,(IF(COUNTA(D27:D30)&lt;COUNTA(G27:G30),G28,(IF((D27+D28+D29+D30)&lt;(G27+G28+G29+G30),D28,G28)))))</f>
        <v>01</v>
      </c>
      <c r="L28" s="149">
        <f>IF(COUNTA(D27:D30)&gt;COUNTA(G27:G30),E28,(IF(COUNTA(D27:D30)&lt;COUNTA(G27:G30),H28,(IF((D27+D28+D29+D30)&lt;(G27+G28+G29+G30),E28,H28)))))</f>
        <v>50</v>
      </c>
      <c r="M28" s="238" t="str">
        <f t="shared" si="9"/>
        <v>FortitudeSaveExpert</v>
      </c>
      <c r="N28" s="243" t="str">
        <f>IF(F27=TRUE,D28,(IF(I27=TRUE,G28,"")))</f>
        <v>09</v>
      </c>
      <c r="O28" s="149">
        <f>IF(F27=TRUE,E28,(IF(I27=TRUE,H28,"")))</f>
        <v>50</v>
      </c>
    </row>
    <row r="29">
      <c r="A29" s="35" t="str">
        <f>CLASSDATA!A29</f>
        <v>FortitudeSaveMaster</v>
      </c>
      <c r="B29" s="35" t="str">
        <f>CLASSDATA!B29</f>
        <v/>
      </c>
      <c r="C29" s="35" t="str">
        <f>CLASSDATA!C29</f>
        <v/>
      </c>
      <c r="D29" s="241" t="str">
        <f t="array" ref="D29">INDEX(ALLCLASSDATA,MATCH(A29,CLASSFEATUREHEADERS,0),MATCH($D$2,CLASSNAMEHEADERS,0))</f>
        <v>09</v>
      </c>
      <c r="E29" s="149">
        <f t="array" ref="E29">INDEX(ALLCLASSDATA,MATCH(A29,CLASSFEATUREHEADERS,0),MATCH(($D$2 &amp; "Points"),CLASSNAMEHEADERS,0))</f>
        <v>110</v>
      </c>
      <c r="G29" s="241" t="str">
        <f t="array" ref="G29">INDEX(ALLCLASSDATA,MATCH(A29,CLASSFEATUREHEADERS,0),MATCH($G$2,CLASSNAMEHEADERS,0))</f>
        <v/>
      </c>
      <c r="H29" s="149" t="str">
        <f t="array" ref="H29">INDEX(ALLCLASSDATA,MATCH(A29,CLASSFEATUREHEADERS,0),MATCH(($G$2 &amp; "Points"),CLASSNAMEHEADERS,0))</f>
        <v/>
      </c>
      <c r="J29" s="238" t="str">
        <f t="shared" si="8"/>
        <v>FortitudeSaveMaster</v>
      </c>
      <c r="K29" s="243" t="str">
        <f>IF(COUNTA(D27:D30)&gt;COUNTA(G27:G30),D29,(IF(COUNTA(D27:D30)&lt;COUNTA(G27:G30),G29,(IF((D27+D28+D29+D30)&lt;(G27+G28+G29+G30),D29,G29)))))</f>
        <v>09</v>
      </c>
      <c r="L29" s="149">
        <f>IF(COUNTA(D27:D30)&gt;COUNTA(G27:G30),E29,(IF(COUNTA(D27:D30)&lt;COUNTA(G27:G30),H29,(IF((D27+D28+D29+D30)&lt;(G27+G28+G29+G30),E29,H29)))))</f>
        <v>110</v>
      </c>
      <c r="M29" s="238" t="str">
        <f t="shared" si="9"/>
        <v/>
      </c>
      <c r="N29" s="243" t="str">
        <f>IF(F27=TRUE,D29,(IF(I27=TRUE,G29,"")))</f>
        <v/>
      </c>
      <c r="O29" s="149" t="str">
        <f>IF(F27=TRUE,E29,(IF(I27=TRUE,H29,"")))</f>
        <v/>
      </c>
    </row>
    <row r="30">
      <c r="A30" s="35" t="str">
        <f>CLASSDATA!A30</f>
        <v>FortitudeSaveLegendary</v>
      </c>
      <c r="B30" s="35" t="str">
        <f>CLASSDATA!B30</f>
        <v/>
      </c>
      <c r="C30" s="35" t="str">
        <f>CLASSDATA!C30</f>
        <v/>
      </c>
      <c r="D30" s="241" t="str">
        <f t="array" ref="D30">INDEX(ALLCLASSDATA,MATCH(A30,CLASSFEATUREHEADERS,0),MATCH($D$2,CLASSNAMEHEADERS,0))</f>
        <v/>
      </c>
      <c r="E30" s="149" t="str">
        <f t="array" ref="E30">INDEX(ALLCLASSDATA,MATCH(A30,CLASSFEATUREHEADERS,0),MATCH(($D$2 &amp; "Points"),CLASSNAMEHEADERS,0))</f>
        <v/>
      </c>
      <c r="G30" s="241" t="str">
        <f t="array" ref="G30">INDEX(ALLCLASSDATA,MATCH(A30,CLASSFEATUREHEADERS,0),MATCH($G$2,CLASSNAMEHEADERS,0))</f>
        <v/>
      </c>
      <c r="H30" s="149" t="str">
        <f t="array" ref="H30">INDEX(ALLCLASSDATA,MATCH(A30,CLASSFEATUREHEADERS,0),MATCH(($G$2 &amp; "Points"),CLASSNAMEHEADERS,0))</f>
        <v/>
      </c>
      <c r="J30" s="238" t="str">
        <f t="shared" si="8"/>
        <v/>
      </c>
      <c r="K30" s="243" t="str">
        <f>IF(COUNTA(D27:D30)&gt;COUNTA(G27:G30),D30,(IF(COUNTA(D27:D30)&lt;COUNTA(G27:G30),G30,(IF((D27+D28+D29+D30)&lt;(G27+G28+G29+G30),D30,G30)))))</f>
        <v/>
      </c>
      <c r="L30" s="149" t="str">
        <f>IF(COUNTA(D27:D30)&gt;COUNTA(G27:G30),E30,(IF(COUNTA(D27:D30)&lt;COUNTA(G27:G30),H30,(IF((D27+D28+D29+D30)&lt;(G27+G28+G29+G30),E30,H30)))))</f>
        <v/>
      </c>
      <c r="M30" s="238" t="str">
        <f t="shared" si="9"/>
        <v/>
      </c>
      <c r="N30" s="243" t="str">
        <f>IF(F27=TRUE,D30,(IF(I27=TRUE,G30,"")))</f>
        <v/>
      </c>
      <c r="O30" s="149" t="str">
        <f>IF(F27=TRUE,E30,(IF(I27=TRUE,H30,"")))</f>
        <v/>
      </c>
    </row>
    <row r="31">
      <c r="A31" s="35" t="str">
        <f>CLASSDATA!A31</f>
        <v>ReflexSaveTrained</v>
      </c>
      <c r="B31" s="250" t="str">
        <f>CLASSDATA!B31</f>
        <v/>
      </c>
      <c r="C31" s="35" t="str">
        <f>CLASSDATA!C31</f>
        <v/>
      </c>
      <c r="D31" s="241" t="str">
        <f t="array" ref="D31">INDEX(ALLCLASSDATA,MATCH(A31,CLASSFEATUREHEADERS,0),MATCH($D$2,CLASSNAMEHEADERS,0))</f>
        <v>00</v>
      </c>
      <c r="E31" s="149">
        <f t="array" ref="E31">INDEX(ALLCLASSDATA,MATCH(A31,CLASSFEATUREHEADERS,0),MATCH(($D$2 &amp; "Points"),CLASSNAMEHEADERS,0))</f>
        <v>10</v>
      </c>
      <c r="F31" s="12" t="b">
        <v>0</v>
      </c>
      <c r="G31" s="241" t="str">
        <f t="array" ref="G31">INDEX(ALLCLASSDATA,MATCH(A31,CLASSFEATUREHEADERS,0),MATCH($G$2,CLASSNAMEHEADERS,0))</f>
        <v>01</v>
      </c>
      <c r="H31" s="149">
        <f t="array" ref="H31">INDEX(ALLCLASSDATA,MATCH(A31,CLASSFEATUREHEADERS,0),MATCH(($G$2 &amp; "Points"),CLASSNAMEHEADERS,0))</f>
        <v>10</v>
      </c>
      <c r="I31" s="12" t="b">
        <v>1</v>
      </c>
      <c r="J31" s="238" t="str">
        <f t="shared" si="8"/>
        <v>ReflexSaveTrained</v>
      </c>
      <c r="K31" s="243" t="str">
        <f>IF(COUNTA(D31:D34)&gt;COUNTA(G31:G34),D31,(IF(COUNTA(D31:D34)&lt;COUNTA(G31:G34),G31,(IF((D31+D32+D33+D34)&lt;(G31+G32+G33+G34),D31,G31)))))</f>
        <v>00</v>
      </c>
      <c r="L31" s="149">
        <f>IF(COUNTA(D31:D34)&gt;COUNTA(G31:G34),E31,(IF(COUNTA(D31:D34)&lt;COUNTA(G31:G34),H31,(IF((D31+D32+D33+D34)&lt;(G31+G32+G33+G34),E31,H31)))))</f>
        <v>10</v>
      </c>
      <c r="M31" s="238" t="str">
        <f t="shared" si="9"/>
        <v>ReflexSaveTrained</v>
      </c>
      <c r="N31" s="243" t="str">
        <f>IF(F31=TRUE,D31,(IF(I31=TRUE,G31,"")))</f>
        <v>01</v>
      </c>
      <c r="O31" s="149">
        <f>IF(F31=TRUE,E31,(IF(I31=TRUE,H31,"")))</f>
        <v>10</v>
      </c>
    </row>
    <row r="32">
      <c r="A32" s="35" t="str">
        <f>CLASSDATA!A32</f>
        <v>ReflexSaveExpert</v>
      </c>
      <c r="B32" s="250" t="str">
        <f>CLASSDATA!B32</f>
        <v/>
      </c>
      <c r="C32" s="35" t="str">
        <f>CLASSDATA!C32</f>
        <v/>
      </c>
      <c r="D32" s="241" t="str">
        <f t="array" ref="D32">INDEX(ALLCLASSDATA,MATCH(A32,CLASSFEATUREHEADERS,0),MATCH($D$2,CLASSNAMEHEADERS,0))</f>
        <v>01</v>
      </c>
      <c r="E32" s="149">
        <f t="array" ref="E32">INDEX(ALLCLASSDATA,MATCH(A32,CLASSFEATUREHEADERS,0),MATCH(($D$2 &amp; "Points"),CLASSNAMEHEADERS,0))</f>
        <v>50</v>
      </c>
      <c r="G32" s="241" t="str">
        <f t="array" ref="G32">INDEX(ALLCLASSDATA,MATCH(A32,CLASSFEATUREHEADERS,0),MATCH($G$2,CLASSNAMEHEADERS,0))</f>
        <v>05</v>
      </c>
      <c r="H32" s="149">
        <f t="array" ref="H32">INDEX(ALLCLASSDATA,MATCH(A32,CLASSFEATUREHEADERS,0),MATCH(($G$2 &amp; "Points"),CLASSNAMEHEADERS,0))</f>
        <v>50</v>
      </c>
      <c r="J32" s="238" t="str">
        <f t="shared" si="8"/>
        <v>ReflexSaveExpert</v>
      </c>
      <c r="K32" s="243" t="str">
        <f>IF(COUNTA(D31:D34)&gt;COUNTA(G31:G34),D32,(IF(COUNTA(D31:D34)&lt;COUNTA(G31:G34),G32,(IF((D31+D32+D33+D34)&lt;(G31+G32+G33+G34),D32,G32)))))</f>
        <v>01</v>
      </c>
      <c r="L32" s="149">
        <f>IF(COUNTA(D31:D34)&gt;COUNTA(G31:G34),E32,(IF(COUNTA(D31:D34)&lt;COUNTA(G31:G34),H32,(IF((D31+D32+D33+D34)&lt;(G31+G32+G33+G34),E32,H32)))))</f>
        <v>50</v>
      </c>
      <c r="M32" s="238" t="str">
        <f t="shared" si="9"/>
        <v>ReflexSaveExpert</v>
      </c>
      <c r="N32" s="243" t="str">
        <f>IF(F31=TRUE,D32,(IF(I31=TRUE,G32,"")))</f>
        <v>05</v>
      </c>
      <c r="O32" s="149">
        <f>IF(F31=TRUE,E32,(IF(I31=TRUE,H32,"")))</f>
        <v>50</v>
      </c>
    </row>
    <row r="33">
      <c r="A33" s="35" t="str">
        <f>CLASSDATA!A33</f>
        <v>ReflexSaveMaster</v>
      </c>
      <c r="B33" s="250" t="str">
        <f>CLASSDATA!B33</f>
        <v/>
      </c>
      <c r="C33" s="35" t="str">
        <f>CLASSDATA!C33</f>
        <v/>
      </c>
      <c r="D33" s="241" t="str">
        <f t="array" ref="D33">INDEX(ALLCLASSDATA,MATCH(A33,CLASSFEATUREHEADERS,0),MATCH($D$2,CLASSNAMEHEADERS,0))</f>
        <v>15</v>
      </c>
      <c r="E33" s="149">
        <f t="array" ref="E33">INDEX(ALLCLASSDATA,MATCH(A33,CLASSFEATUREHEADERS,0),MATCH(($D$2 &amp; "Points"),CLASSNAMEHEADERS,0))</f>
        <v>110</v>
      </c>
      <c r="G33" s="241" t="str">
        <f t="array" ref="G33">INDEX(ALLCLASSDATA,MATCH(A33,CLASSFEATUREHEADERS,0),MATCH($G$2,CLASSNAMEHEADERS,0))</f>
        <v/>
      </c>
      <c r="H33" s="149" t="str">
        <f t="array" ref="H33">INDEX(ALLCLASSDATA,MATCH(A33,CLASSFEATUREHEADERS,0),MATCH(($G$2 &amp; "Points"),CLASSNAMEHEADERS,0))</f>
        <v/>
      </c>
      <c r="J33" s="238" t="str">
        <f t="shared" si="8"/>
        <v>ReflexSaveMaster</v>
      </c>
      <c r="K33" s="243" t="str">
        <f>IF(COUNTA(D31:D34)&gt;COUNTA(G31:G34),D33,(IF(COUNTA(D31:D34)&lt;COUNTA(G31:G34),G33,(IF((D31+D32+D33+D34)&lt;(G31+G32+G33+G34),D33,G33)))))</f>
        <v>15</v>
      </c>
      <c r="L33" s="149">
        <f>IF(COUNTA(D31:D34)&gt;COUNTA(G31:G34),E33,(IF(COUNTA(D31:D34)&lt;COUNTA(G31:G34),H33,(IF((D31+D32+D33+D34)&lt;(G31+G32+G33+G34),E33,H33)))))</f>
        <v>110</v>
      </c>
      <c r="M33" s="238" t="str">
        <f t="shared" si="9"/>
        <v/>
      </c>
      <c r="N33" s="243" t="str">
        <f>IF(F31=TRUE,D33,(IF(I31=TRUE,G33,"")))</f>
        <v/>
      </c>
      <c r="O33" s="149" t="str">
        <f>IF(F31=TRUE,E33,(IF(I31=TRUE,H33,"")))</f>
        <v/>
      </c>
    </row>
    <row r="34">
      <c r="A34" s="35" t="str">
        <f>CLASSDATA!A34</f>
        <v>ReflexSaveLegendary</v>
      </c>
      <c r="B34" s="250" t="str">
        <f>CLASSDATA!B34</f>
        <v/>
      </c>
      <c r="C34" s="35" t="str">
        <f>CLASSDATA!C34</f>
        <v/>
      </c>
      <c r="D34" s="241" t="str">
        <f t="array" ref="D34">INDEX(ALLCLASSDATA,MATCH(A34,CLASSFEATUREHEADERS,0),MATCH($D$2,CLASSNAMEHEADERS,0))</f>
        <v/>
      </c>
      <c r="E34" s="149" t="str">
        <f t="array" ref="E34">INDEX(ALLCLASSDATA,MATCH(A34,CLASSFEATUREHEADERS,0),MATCH(($D$2 &amp; "Points"),CLASSNAMEHEADERS,0))</f>
        <v/>
      </c>
      <c r="G34" s="241" t="str">
        <f t="array" ref="G34">INDEX(ALLCLASSDATA,MATCH(A34,CLASSFEATUREHEADERS,0),MATCH($G$2,CLASSNAMEHEADERS,0))</f>
        <v/>
      </c>
      <c r="H34" s="149" t="str">
        <f t="array" ref="H34">INDEX(ALLCLASSDATA,MATCH(A34,CLASSFEATUREHEADERS,0),MATCH(($G$2 &amp; "Points"),CLASSNAMEHEADERS,0))</f>
        <v/>
      </c>
      <c r="J34" s="238" t="str">
        <f t="shared" si="8"/>
        <v/>
      </c>
      <c r="K34" s="243" t="str">
        <f>IF(COUNTA(D31:D34)&gt;COUNTA(G31:G34),D34,(IF(COUNTA(D31:D34)&lt;COUNTA(G31:G34),G34,(IF((D31+D32+D33+D34)&lt;(G31+G32+G33+G34),D34,G34)))))</f>
        <v/>
      </c>
      <c r="L34" s="149" t="str">
        <f>IF(COUNTA(D31:D34)&gt;COUNTA(G31:G34),E34,(IF(COUNTA(D31:D34)&lt;COUNTA(G31:G34),H34,(IF((D31+D32+D33+D34)&lt;(G31+G32+G33+G34),E34,H34)))))</f>
        <v/>
      </c>
      <c r="M34" s="238" t="str">
        <f t="shared" si="9"/>
        <v/>
      </c>
      <c r="N34" s="243" t="str">
        <f>IF(F31=TRUE,D34,(IF(I31=TRUE,G34,"")))</f>
        <v/>
      </c>
      <c r="O34" s="149" t="str">
        <f>IF(F31=TRUE,E34,(IF(I31=TRUE,H34,"")))</f>
        <v/>
      </c>
    </row>
    <row r="35">
      <c r="A35" s="35" t="str">
        <f>CLASSDATA!A35</f>
        <v>WillSaveTrained</v>
      </c>
      <c r="B35" s="250" t="str">
        <f>CLASSDATA!B35</f>
        <v/>
      </c>
      <c r="C35" s="35" t="str">
        <f>CLASSDATA!C35</f>
        <v/>
      </c>
      <c r="D35" s="241" t="str">
        <f t="array" ref="D35">INDEX(ALLCLASSDATA,MATCH(A35,CLASSFEATUREHEADERS,0),MATCH($D$2,CLASSNAMEHEADERS,0))</f>
        <v>01</v>
      </c>
      <c r="E35" s="149">
        <f t="array" ref="E35">INDEX(ALLCLASSDATA,MATCH(A35,CLASSFEATUREHEADERS,0),MATCH(($D$2 &amp; "Points"),CLASSNAMEHEADERS,0))</f>
        <v>10</v>
      </c>
      <c r="F35" s="12" t="b">
        <v>1</v>
      </c>
      <c r="G35" s="241" t="str">
        <f t="array" ref="G35">INDEX(ALLCLASSDATA,MATCH(A35,CLASSFEATUREHEADERS,0),MATCH($G$2,CLASSNAMEHEADERS,0))</f>
        <v>00</v>
      </c>
      <c r="H35" s="149">
        <f t="array" ref="H35">INDEX(ALLCLASSDATA,MATCH(A35,CLASSFEATUREHEADERS,0),MATCH(($G$2 &amp; "Points"),CLASSNAMEHEADERS,0))</f>
        <v>10</v>
      </c>
      <c r="I35" s="12" t="b">
        <v>0</v>
      </c>
      <c r="J35" s="238" t="str">
        <f t="shared" si="8"/>
        <v>WillSaveTrained</v>
      </c>
      <c r="K35" s="243" t="str">
        <f>IF(COUNTA(D35:D38)&gt;COUNTA(G35:G38),D35,(IF(COUNTA(D35:D38)&lt;COUNTA(G35:G38),G35,(IF((D35+D36+D37+D38)&lt;(G35+G36+G37+G38),D35,G35)))))</f>
        <v>00</v>
      </c>
      <c r="L35" s="149">
        <f>IF(COUNTA(D35:D38)&gt;COUNTA(G35:G38),E35,(IF(COUNTA(D35:D38)&lt;COUNTA(G35:G38),H35,(IF((D35+D36+D37+D38)&lt;(G35+G36+G37+G38),E35,H35)))))</f>
        <v>10</v>
      </c>
      <c r="M35" s="238" t="str">
        <f t="shared" si="9"/>
        <v>WillSaveTrained</v>
      </c>
      <c r="N35" s="243" t="str">
        <f>IF(F35=TRUE,D35,(IF(I35=TRUE,G35,"")))</f>
        <v>01</v>
      </c>
      <c r="O35" s="149">
        <f>IF(F35=TRUE,E35,(IF(I35=TRUE,H35,"")))</f>
        <v>10</v>
      </c>
    </row>
    <row r="36">
      <c r="A36" s="35" t="str">
        <f>CLASSDATA!A36</f>
        <v>WillSaveExpert</v>
      </c>
      <c r="B36" s="250" t="str">
        <f>CLASSDATA!B36</f>
        <v/>
      </c>
      <c r="C36" s="35" t="str">
        <f>CLASSDATA!C36</f>
        <v/>
      </c>
      <c r="D36" s="241" t="str">
        <f t="array" ref="D36">INDEX(ALLCLASSDATA,MATCH(A36,CLASSFEATUREHEADERS,0),MATCH($D$2,CLASSNAMEHEADERS,0))</f>
        <v>03</v>
      </c>
      <c r="E36" s="149">
        <f t="array" ref="E36">INDEX(ALLCLASSDATA,MATCH(A36,CLASSFEATUREHEADERS,0),MATCH(($D$2 &amp; "Points"),CLASSNAMEHEADERS,0))</f>
        <v>50</v>
      </c>
      <c r="G36" s="241" t="str">
        <f t="array" ref="G36">INDEX(ALLCLASSDATA,MATCH(A36,CLASSFEATUREHEADERS,0),MATCH($G$2,CLASSNAMEHEADERS,0))</f>
        <v>01</v>
      </c>
      <c r="H36" s="149">
        <f t="array" ref="H36">INDEX(ALLCLASSDATA,MATCH(A36,CLASSFEATUREHEADERS,0),MATCH(($G$2 &amp; "Points"),CLASSNAMEHEADERS,0))</f>
        <v>50</v>
      </c>
      <c r="J36" s="238" t="str">
        <f t="shared" si="8"/>
        <v>WillSaveExpert</v>
      </c>
      <c r="K36" s="243" t="str">
        <f>IF(COUNTA(D35:D38)&gt;COUNTA(G35:G38),D36,(IF(COUNTA(D35:D38)&lt;COUNTA(G35:G38),G36,(IF((D35+D36+D37+D38)&lt;(G35+G36+G37+G38),D36,G36)))))</f>
        <v>01</v>
      </c>
      <c r="L36" s="149">
        <f>IF(COUNTA(D35:D38)&gt;COUNTA(G35:G38),E36,(IF(COUNTA(D35:D38)&lt;COUNTA(G35:G38),H36,(IF((D35+D36+D37+D38)&lt;(G35+G36+G37+G38),E36,H36)))))</f>
        <v>50</v>
      </c>
      <c r="M36" s="238" t="str">
        <f t="shared" si="9"/>
        <v>WillSaveExpert</v>
      </c>
      <c r="N36" s="243" t="str">
        <f>IF(F35=TRUE,D36,(IF(I35=TRUE,G36,"")))</f>
        <v>03</v>
      </c>
      <c r="O36" s="149">
        <f>IF(F35=TRUE,E36,(IF(I35=TRUE,H36,"")))</f>
        <v>50</v>
      </c>
    </row>
    <row r="37">
      <c r="A37" s="35" t="str">
        <f>CLASSDATA!A37</f>
        <v>WillSaveMaster</v>
      </c>
      <c r="B37" s="250" t="str">
        <f>CLASSDATA!B37</f>
        <v/>
      </c>
      <c r="C37" s="35" t="str">
        <f>CLASSDATA!C37</f>
        <v/>
      </c>
      <c r="D37" s="241" t="str">
        <f t="array" ref="D37">INDEX(ALLCLASSDATA,MATCH(A37,CLASSFEATUREHEADERS,0),MATCH($D$2,CLASSNAMEHEADERS,0))</f>
        <v/>
      </c>
      <c r="E37" s="149" t="str">
        <f t="array" ref="E37">INDEX(ALLCLASSDATA,MATCH(A37,CLASSFEATUREHEADERS,0),MATCH(($D$2 &amp; "Points"),CLASSNAMEHEADERS,0))</f>
        <v/>
      </c>
      <c r="G37" s="241" t="str">
        <f t="array" ref="G37">INDEX(ALLCLASSDATA,MATCH(A37,CLASSFEATUREHEADERS,0),MATCH($G$2,CLASSNAMEHEADERS,0))</f>
        <v>17</v>
      </c>
      <c r="H37" s="149">
        <f t="array" ref="H37">INDEX(ALLCLASSDATA,MATCH(A37,CLASSFEATUREHEADERS,0),MATCH(($G$2 &amp; "Points"),CLASSNAMEHEADERS,0))</f>
        <v>110</v>
      </c>
      <c r="J37" s="238" t="str">
        <f t="shared" si="8"/>
        <v>WillSaveMaster</v>
      </c>
      <c r="K37" s="243" t="str">
        <f>IF(COUNTA(D35:D38)&gt;COUNTA(G35:G38),D37,(IF(COUNTA(D35:D38)&lt;COUNTA(G35:G38),G37,(IF((D35+D36+D37+D38)&lt;(G35+G36+G37+G38),D37,G37)))))</f>
        <v>17</v>
      </c>
      <c r="L37" s="149">
        <f>IF(COUNTA(D35:D38)&gt;COUNTA(G35:G38),E37,(IF(COUNTA(D35:D38)&lt;COUNTA(G35:G38),H37,(IF((D35+D36+D37+D38)&lt;(G35+G36+G37+G38),E37,H37)))))</f>
        <v>110</v>
      </c>
      <c r="M37" s="238" t="str">
        <f t="shared" si="9"/>
        <v/>
      </c>
      <c r="N37" s="243" t="str">
        <f>IF(F35=TRUE,D37,(IF(I35=TRUE,G37,"")))</f>
        <v/>
      </c>
      <c r="O37" s="149" t="str">
        <f>IF(F35=TRUE,E37,(IF(I35=TRUE,H37,"")))</f>
        <v/>
      </c>
    </row>
    <row r="38">
      <c r="A38" s="35" t="str">
        <f>CLASSDATA!A38</f>
        <v>WillSaveLegendary</v>
      </c>
      <c r="B38" s="250" t="str">
        <f>CLASSDATA!B38</f>
        <v/>
      </c>
      <c r="C38" s="35" t="str">
        <f>CLASSDATA!C38</f>
        <v/>
      </c>
      <c r="D38" s="241" t="str">
        <f t="array" ref="D38">INDEX(ALLCLASSDATA,MATCH(A38,CLASSFEATUREHEADERS,0),MATCH($D$2,CLASSNAMEHEADERS,0))</f>
        <v/>
      </c>
      <c r="E38" s="149" t="str">
        <f t="array" ref="E38">INDEX(ALLCLASSDATA,MATCH(A38,CLASSFEATUREHEADERS,0),MATCH(($D$2 &amp; "Points"),CLASSNAMEHEADERS,0))</f>
        <v/>
      </c>
      <c r="G38" s="241" t="str">
        <f t="array" ref="G38">INDEX(ALLCLASSDATA,MATCH(A38,CLASSFEATUREHEADERS,0),MATCH($G$2,CLASSNAMEHEADERS,0))</f>
        <v/>
      </c>
      <c r="H38" s="149" t="str">
        <f t="array" ref="H38">INDEX(ALLCLASSDATA,MATCH(A38,CLASSFEATUREHEADERS,0),MATCH(($G$2 &amp; "Points"),CLASSNAMEHEADERS,0))</f>
        <v/>
      </c>
      <c r="J38" s="238" t="str">
        <f t="shared" si="8"/>
        <v/>
      </c>
      <c r="K38" s="243" t="str">
        <f>IF(COUNTA(D35:D38)&gt;COUNTA(G35:G38),D38,(IF(COUNTA(D35:D38)&lt;COUNTA(G35:G38),G38,(IF((D35+D36+D37+D38)&lt;(G35+G36+G37+G38),D38,G38)))))</f>
        <v/>
      </c>
      <c r="L38" s="149" t="str">
        <f>IF(COUNTA(D35:D38)&gt;COUNTA(G35:G38),E38,(IF(COUNTA(D35:D38)&lt;COUNTA(G35:G38),H38,(IF((D35+D36+D37+D38)&lt;(G35+G36+G37+G38),E38,H38)))))</f>
        <v/>
      </c>
      <c r="M38" s="238" t="str">
        <f t="shared" si="9"/>
        <v/>
      </c>
      <c r="N38" s="243" t="str">
        <f>IF(F35=TRUE,D38,(IF(I35=TRUE,G38,"")))</f>
        <v/>
      </c>
      <c r="O38" s="149" t="str">
        <f>IF(F35=TRUE,E38,(IF(I35=TRUE,H38,"")))</f>
        <v/>
      </c>
    </row>
    <row r="39">
      <c r="A39" s="244" t="str">
        <f>CLASSDATA!A39</f>
        <v>SKILLS TOTAL:</v>
      </c>
      <c r="B39" s="249" t="str">
        <f>CLASSDATA!B39</f>
        <v/>
      </c>
      <c r="C39" s="173" t="str">
        <f>CLASSDATA!C39</f>
        <v/>
      </c>
      <c r="D39" s="245" t="str">
        <f t="array" ref="D39">INDEX(ALLCLASSDATA,MATCH(A39,CLASSFEATUREHEADERS,0),MATCH($D$2,CLASSNAMEHEADERS,0))</f>
        <v/>
      </c>
      <c r="E39" s="246">
        <f t="array" ref="E39">INDEX(ALLCLASSDATA,MATCH(A39,CLASSFEATUREHEADERS,0),MATCH(($D$2 &amp; "Points"),CLASSNAMEHEADERS,0))</f>
        <v>20</v>
      </c>
      <c r="F39" s="246"/>
      <c r="G39" s="245" t="str">
        <f t="array" ref="G39">INDEX(ALLCLASSDATA,MATCH(A39,CLASSFEATUREHEADERS,0),MATCH($G$2,CLASSNAMEHEADERS,0))</f>
        <v/>
      </c>
      <c r="H39" s="246">
        <f t="array" ref="H39">INDEX(ALLCLASSDATA,MATCH(A39,CLASSFEATUREHEADERS,0),MATCH(($G$2 &amp; "Points"),CLASSNAMEHEADERS,0))</f>
        <v>15</v>
      </c>
      <c r="I39" s="246"/>
      <c r="J39" s="247"/>
      <c r="K39" s="246"/>
      <c r="L39" s="75">
        <f>L59+L79+L100</f>
        <v>25</v>
      </c>
      <c r="M39" s="247"/>
      <c r="N39" s="246"/>
      <c r="O39" s="75">
        <f>O59+O79+O100</f>
        <v>15</v>
      </c>
      <c r="P39" s="246"/>
    </row>
    <row r="40" outlineLevel="1">
      <c r="A40" s="35" t="str">
        <f>CLASSDATA!A40</f>
        <v>InitialSkillIncreases</v>
      </c>
      <c r="B40" s="35" t="str">
        <f>CLASSDATA!B40</f>
        <v>L00</v>
      </c>
      <c r="C40" s="35" t="str">
        <f>CLASSDATA!C40</f>
        <v/>
      </c>
      <c r="D40" s="148">
        <f t="array" ref="D40">INDEX(ALLCLASSDATA,MATCH(A40,CLASSFEATUREHEADERS,0),MATCH($D$2,CLASSNAMEHEADERS,0))</f>
        <v>3</v>
      </c>
      <c r="E40" s="149">
        <f t="array" ref="E40">INDEX(ALLCLASSDATA,MATCH(A40,CLASSFEATUREHEADERS,0),MATCH(($D$2 &amp; "Points"),CLASSNAMEHEADERS,0))</f>
        <v>15</v>
      </c>
      <c r="F40" s="12" t="b">
        <v>0</v>
      </c>
      <c r="G40" s="148">
        <f t="array" ref="G40">INDEX(ALLCLASSDATA,MATCH(A40,CLASSFEATUREHEADERS,0),MATCH($G$2,CLASSNAMEHEADERS,0))</f>
        <v>2</v>
      </c>
      <c r="H40" s="149">
        <f t="array" ref="H40">INDEX(ALLCLASSDATA,MATCH(A40,CLASSFEATUREHEADERS,0),MATCH(($G$2 &amp; "Points"),CLASSNAMEHEADERS,0))</f>
        <v>10</v>
      </c>
      <c r="I40" s="12" t="b">
        <v>1</v>
      </c>
      <c r="J40" s="238">
        <f>IF(D40&gt;G40,D40,G40)</f>
        <v>3</v>
      </c>
      <c r="L40" s="149">
        <f>J40*SkillIncrease</f>
        <v>15</v>
      </c>
      <c r="M40" s="238">
        <f t="shared" ref="M40:M58" si="10">IF(F40=TRUE,D40,(IF(I40=TRUE,G40,"")))</f>
        <v>2</v>
      </c>
      <c r="O40" s="149">
        <f>M40*SkillIncrease</f>
        <v>10</v>
      </c>
    </row>
    <row r="41" outlineLevel="1">
      <c r="A41" s="35" t="str">
        <f>CLASSDATA!A41</f>
        <v>SubclassSkillIncreases</v>
      </c>
      <c r="B41" s="35" t="str">
        <f>CLASSDATA!B41</f>
        <v>L00</v>
      </c>
      <c r="C41" s="35" t="str">
        <f>CLASSDATA!C41</f>
        <v/>
      </c>
      <c r="D41" s="148">
        <f t="array" ref="D41">INDEX(ALLCLASSDATA,MATCH(A41,CLASSFEATUREHEADERS,0),MATCH($D$2,CLASSNAMEHEADERS,0))</f>
        <v>1</v>
      </c>
      <c r="E41" s="149">
        <f t="array" ref="E41">INDEX(ALLCLASSDATA,MATCH(A41,CLASSFEATUREHEADERS,0),MATCH(($D$2 &amp; "Points"),CLASSNAMEHEADERS,0))</f>
        <v>5</v>
      </c>
      <c r="F41" s="12" t="b">
        <v>0</v>
      </c>
      <c r="G41" s="148" t="str">
        <f t="array" ref="G41">INDEX(ALLCLASSDATA,MATCH(A41,CLASSFEATUREHEADERS,0),MATCH($G$2,CLASSNAMEHEADERS,0))</f>
        <v/>
      </c>
      <c r="H41" s="149" t="str">
        <f t="array" ref="H41">INDEX(ALLCLASSDATA,MATCH(A41,CLASSFEATUREHEADERS,0),MATCH(($G$2 &amp; "Points"),CLASSNAMEHEADERS,0))</f>
        <v/>
      </c>
      <c r="I41" s="12" t="b">
        <v>0</v>
      </c>
      <c r="J41" s="238">
        <f>IF((D41+G41)=0,"",(D41+G41))</f>
        <v>1</v>
      </c>
      <c r="L41" s="149">
        <f>IF(ISNUMBER(J41),(J41*SkillIncrease),"")</f>
        <v>5</v>
      </c>
      <c r="M41" s="238" t="str">
        <f t="shared" si="10"/>
        <v/>
      </c>
      <c r="O41" s="149" t="str">
        <f>IF(ISNUMBER(M41),(M41*SkillIncrease),"")</f>
        <v/>
      </c>
    </row>
    <row r="42" outlineLevel="1">
      <c r="A42" s="35" t="str">
        <f>CLASSDATA!A42</f>
        <v>SkillGrantAcrobatics</v>
      </c>
      <c r="B42" s="35" t="str">
        <f>CLASSDATA!B42</f>
        <v>L00</v>
      </c>
      <c r="C42" s="35" t="str">
        <f>CLASSDATA!C42</f>
        <v/>
      </c>
      <c r="D42" s="148" t="str">
        <f t="array" ref="D42">INDEX(ALLCLASSDATA,MATCH(A42,CLASSFEATUREHEADERS,0),MATCH($D$2,CLASSNAMEHEADERS,0))</f>
        <v/>
      </c>
      <c r="E42" s="149" t="str">
        <f t="array" ref="E42">INDEX(ALLCLASSDATA,MATCH(A42,CLASSFEATUREHEADERS,0),MATCH(($D$2 &amp; "Points"),CLASSNAMEHEADERS,0))</f>
        <v/>
      </c>
      <c r="F42" s="12" t="b">
        <v>0</v>
      </c>
      <c r="G42" s="148" t="str">
        <f t="array" ref="G42">INDEX(ALLCLASSDATA,MATCH(A42,CLASSFEATUREHEADERS,0),MATCH($G$2,CLASSNAMEHEADERS,0))</f>
        <v/>
      </c>
      <c r="H42" s="149" t="str">
        <f t="array" ref="H42">INDEX(ALLCLASSDATA,MATCH(A42,CLASSFEATUREHEADERS,0),MATCH(($G$2 &amp; "Points"),CLASSNAMEHEADERS,0))</f>
        <v/>
      </c>
      <c r="I42" s="12" t="b">
        <v>0</v>
      </c>
      <c r="J42" s="238" t="str">
        <f t="shared" ref="J42:J58" si="11">IF(ISBLANK(D42),G42,D42)</f>
        <v/>
      </c>
      <c r="L42" s="149" t="str">
        <f>IF(ISBLANK(J42),"",SkillIncrease)</f>
        <v/>
      </c>
      <c r="M42" s="238" t="str">
        <f t="shared" si="10"/>
        <v/>
      </c>
      <c r="O42" s="149" t="str">
        <f t="shared" ref="O42:O58" si="12">IF(F42=TRUE,E42,(IF(I42=TRUE,H42,"")))</f>
        <v/>
      </c>
    </row>
    <row r="43" outlineLevel="1">
      <c r="A43" s="35" t="str">
        <f>CLASSDATA!A43</f>
        <v>SkillGrantArcana</v>
      </c>
      <c r="B43" s="35" t="str">
        <f>CLASSDATA!B43</f>
        <v>L00</v>
      </c>
      <c r="C43" s="35" t="str">
        <f>CLASSDATA!C43</f>
        <v/>
      </c>
      <c r="D43" s="148" t="str">
        <f t="array" ref="D43">INDEX(ALLCLASSDATA,MATCH(A43,CLASSFEATUREHEADERS,0),MATCH($D$2,CLASSNAMEHEADERS,0))</f>
        <v/>
      </c>
      <c r="E43" s="149" t="str">
        <f t="array" ref="E43">INDEX(ALLCLASSDATA,MATCH(A43,CLASSFEATUREHEADERS,0),MATCH(($D$2 &amp; "Points"),CLASSNAMEHEADERS,0))</f>
        <v/>
      </c>
      <c r="F43" s="12" t="b">
        <v>0</v>
      </c>
      <c r="G43" s="148" t="str">
        <f t="array" ref="G43">INDEX(ALLCLASSDATA,MATCH(A43,CLASSFEATUREHEADERS,0),MATCH($G$2,CLASSNAMEHEADERS,0))</f>
        <v>Arcana (Int)</v>
      </c>
      <c r="H43" s="149">
        <f t="array" ref="H43">INDEX(ALLCLASSDATA,MATCH(A43,CLASSFEATUREHEADERS,0),MATCH(($G$2 &amp; "Points"),CLASSNAMEHEADERS,0))</f>
        <v>5</v>
      </c>
      <c r="I43" s="12" t="b">
        <v>1</v>
      </c>
      <c r="J43" s="238" t="str">
        <f t="shared" si="11"/>
        <v>Arcana (Int)</v>
      </c>
      <c r="L43" s="149">
        <f>IF(ISBLANK(J43),"",SkillIncrease)</f>
        <v>5</v>
      </c>
      <c r="M43" s="238" t="str">
        <f t="shared" si="10"/>
        <v>Arcana (Int)</v>
      </c>
      <c r="O43" s="149">
        <f t="shared" si="12"/>
        <v>5</v>
      </c>
    </row>
    <row r="44" outlineLevel="1">
      <c r="A44" s="35" t="str">
        <f>CLASSDATA!A44</f>
        <v>SkillGrantAthletics</v>
      </c>
      <c r="B44" s="35" t="str">
        <f>CLASSDATA!B44</f>
        <v>L00</v>
      </c>
      <c r="C44" s="35" t="str">
        <f>CLASSDATA!C44</f>
        <v/>
      </c>
      <c r="D44" s="148" t="str">
        <f t="array" ref="D44">INDEX(ALLCLASSDATA,MATCH(A44,CLASSFEATUREHEADERS,0),MATCH($D$2,CLASSNAMEHEADERS,0))</f>
        <v/>
      </c>
      <c r="E44" s="149" t="str">
        <f t="array" ref="E44">INDEX(ALLCLASSDATA,MATCH(A44,CLASSFEATUREHEADERS,0),MATCH(($D$2 &amp; "Points"),CLASSNAMEHEADERS,0))</f>
        <v/>
      </c>
      <c r="F44" s="12" t="b">
        <v>0</v>
      </c>
      <c r="G44" s="148" t="str">
        <f t="array" ref="G44">INDEX(ALLCLASSDATA,MATCH(A44,CLASSFEATUREHEADERS,0),MATCH($G$2,CLASSNAMEHEADERS,0))</f>
        <v/>
      </c>
      <c r="H44" s="149" t="str">
        <f t="array" ref="H44">INDEX(ALLCLASSDATA,MATCH(A44,CLASSFEATUREHEADERS,0),MATCH(($G$2 &amp; "Points"),CLASSNAMEHEADERS,0))</f>
        <v/>
      </c>
      <c r="I44" s="12" t="b">
        <v>0</v>
      </c>
      <c r="J44" s="238" t="str">
        <f t="shared" si="11"/>
        <v/>
      </c>
      <c r="L44" s="149" t="str">
        <f>IF(ISBLANK(J44),"",SkillIncrease)</f>
        <v/>
      </c>
      <c r="M44" s="238" t="str">
        <f t="shared" si="10"/>
        <v/>
      </c>
      <c r="O44" s="149" t="str">
        <f t="shared" si="12"/>
        <v/>
      </c>
    </row>
    <row r="45" outlineLevel="1">
      <c r="A45" s="35" t="str">
        <f>CLASSDATA!A45</f>
        <v>SkillGrantCrafting</v>
      </c>
      <c r="B45" s="35" t="str">
        <f>CLASSDATA!B45</f>
        <v>L00</v>
      </c>
      <c r="C45" s="35" t="str">
        <f>CLASSDATA!C45</f>
        <v/>
      </c>
      <c r="D45" s="148" t="str">
        <f t="array" ref="D45">INDEX(ALLCLASSDATA,MATCH(A45,CLASSFEATUREHEADERS,0),MATCH($D$2,CLASSNAMEHEADERS,0))</f>
        <v/>
      </c>
      <c r="E45" s="149" t="str">
        <f t="array" ref="E45">INDEX(ALLCLASSDATA,MATCH(A45,CLASSFEATUREHEADERS,0),MATCH(($D$2 &amp; "Points"),CLASSNAMEHEADERS,0))</f>
        <v/>
      </c>
      <c r="F45" s="12" t="b">
        <v>0</v>
      </c>
      <c r="G45" s="148" t="str">
        <f t="array" ref="G45">INDEX(ALLCLASSDATA,MATCH(A45,CLASSFEATUREHEADERS,0),MATCH($G$2,CLASSNAMEHEADERS,0))</f>
        <v/>
      </c>
      <c r="H45" s="149" t="str">
        <f t="array" ref="H45">INDEX(ALLCLASSDATA,MATCH(A45,CLASSFEATUREHEADERS,0),MATCH(($G$2 &amp; "Points"),CLASSNAMEHEADERS,0))</f>
        <v/>
      </c>
      <c r="I45" s="12" t="b">
        <v>0</v>
      </c>
      <c r="J45" s="238" t="str">
        <f t="shared" si="11"/>
        <v/>
      </c>
      <c r="L45" s="149" t="str">
        <f>IF(ISBLANK(J45),"",SkillIncrease)</f>
        <v/>
      </c>
      <c r="M45" s="238" t="str">
        <f t="shared" si="10"/>
        <v/>
      </c>
      <c r="O45" s="149" t="str">
        <f t="shared" si="12"/>
        <v/>
      </c>
    </row>
    <row r="46" outlineLevel="1">
      <c r="A46" s="35" t="str">
        <f>CLASSDATA!A46</f>
        <v>SkillGrantDeception</v>
      </c>
      <c r="B46" s="35" t="str">
        <f>CLASSDATA!B46</f>
        <v>L00</v>
      </c>
      <c r="C46" s="35" t="str">
        <f>CLASSDATA!C46</f>
        <v/>
      </c>
      <c r="D46" s="148" t="str">
        <f t="array" ref="D46">INDEX(ALLCLASSDATA,MATCH(A46,CLASSFEATUREHEADERS,0),MATCH($D$2,CLASSNAMEHEADERS,0))</f>
        <v/>
      </c>
      <c r="E46" s="149" t="str">
        <f t="array" ref="E46">INDEX(ALLCLASSDATA,MATCH(A46,CLASSFEATUREHEADERS,0),MATCH(($D$2 &amp; "Points"),CLASSNAMEHEADERS,0))</f>
        <v/>
      </c>
      <c r="F46" s="12" t="b">
        <v>0</v>
      </c>
      <c r="G46" s="148" t="str">
        <f t="array" ref="G46">INDEX(ALLCLASSDATA,MATCH(A46,CLASSFEATUREHEADERS,0),MATCH($G$2,CLASSNAMEHEADERS,0))</f>
        <v/>
      </c>
      <c r="H46" s="149" t="str">
        <f t="array" ref="H46">INDEX(ALLCLASSDATA,MATCH(A46,CLASSFEATUREHEADERS,0),MATCH(($G$2 &amp; "Points"),CLASSNAMEHEADERS,0))</f>
        <v/>
      </c>
      <c r="I46" s="12" t="b">
        <v>0</v>
      </c>
      <c r="J46" s="238" t="str">
        <f t="shared" si="11"/>
        <v/>
      </c>
      <c r="L46" s="149" t="str">
        <f>IF(ISBLANK(J46),"",SkillIncrease)</f>
        <v/>
      </c>
      <c r="M46" s="238" t="str">
        <f t="shared" si="10"/>
        <v/>
      </c>
      <c r="O46" s="149" t="str">
        <f t="shared" si="12"/>
        <v/>
      </c>
    </row>
    <row r="47" outlineLevel="1">
      <c r="A47" s="35" t="str">
        <f>CLASSDATA!A47</f>
        <v>SkillGrantDiplomacy</v>
      </c>
      <c r="B47" s="35" t="str">
        <f>CLASSDATA!B47</f>
        <v>L00</v>
      </c>
      <c r="C47" s="35" t="str">
        <f>CLASSDATA!C47</f>
        <v/>
      </c>
      <c r="D47" s="148" t="str">
        <f t="array" ref="D47">INDEX(ALLCLASSDATA,MATCH(A47,CLASSFEATUREHEADERS,0),MATCH($D$2,CLASSNAMEHEADERS,0))</f>
        <v/>
      </c>
      <c r="E47" s="149" t="str">
        <f t="array" ref="E47">INDEX(ALLCLASSDATA,MATCH(A47,CLASSFEATUREHEADERS,0),MATCH(($D$2 &amp; "Points"),CLASSNAMEHEADERS,0))</f>
        <v/>
      </c>
      <c r="F47" s="12" t="b">
        <v>0</v>
      </c>
      <c r="G47" s="148" t="str">
        <f t="array" ref="G47">INDEX(ALLCLASSDATA,MATCH(A47,CLASSFEATUREHEADERS,0),MATCH($G$2,CLASSNAMEHEADERS,0))</f>
        <v/>
      </c>
      <c r="H47" s="149" t="str">
        <f t="array" ref="H47">INDEX(ALLCLASSDATA,MATCH(A47,CLASSFEATUREHEADERS,0),MATCH(($G$2 &amp; "Points"),CLASSNAMEHEADERS,0))</f>
        <v/>
      </c>
      <c r="I47" s="12" t="b">
        <v>0</v>
      </c>
      <c r="J47" s="238" t="str">
        <f t="shared" si="11"/>
        <v/>
      </c>
      <c r="L47" s="149" t="str">
        <f>IF(ISBLANK(J47),"",SkillIncrease)</f>
        <v/>
      </c>
      <c r="M47" s="238" t="str">
        <f t="shared" si="10"/>
        <v/>
      </c>
      <c r="O47" s="149" t="str">
        <f t="shared" si="12"/>
        <v/>
      </c>
    </row>
    <row r="48" outlineLevel="1">
      <c r="A48" s="35" t="str">
        <f>CLASSDATA!A48</f>
        <v>SkillGrantIntimidation</v>
      </c>
      <c r="B48" s="35" t="str">
        <f>CLASSDATA!B48</f>
        <v>L00</v>
      </c>
      <c r="C48" s="35" t="str">
        <f>CLASSDATA!C48</f>
        <v/>
      </c>
      <c r="D48" s="148" t="str">
        <f t="array" ref="D48">INDEX(ALLCLASSDATA,MATCH(A48,CLASSFEATUREHEADERS,0),MATCH($D$2,CLASSNAMEHEADERS,0))</f>
        <v/>
      </c>
      <c r="E48" s="149" t="str">
        <f t="array" ref="E48">INDEX(ALLCLASSDATA,MATCH(A48,CLASSFEATUREHEADERS,0),MATCH(($D$2 &amp; "Points"),CLASSNAMEHEADERS,0))</f>
        <v/>
      </c>
      <c r="F48" s="12" t="b">
        <v>0</v>
      </c>
      <c r="G48" s="148" t="str">
        <f t="array" ref="G48">INDEX(ALLCLASSDATA,MATCH(A48,CLASSFEATUREHEADERS,0),MATCH($G$2,CLASSNAMEHEADERS,0))</f>
        <v/>
      </c>
      <c r="H48" s="149" t="str">
        <f t="array" ref="H48">INDEX(ALLCLASSDATA,MATCH(A48,CLASSFEATUREHEADERS,0),MATCH(($G$2 &amp; "Points"),CLASSNAMEHEADERS,0))</f>
        <v/>
      </c>
      <c r="I48" s="12" t="b">
        <v>0</v>
      </c>
      <c r="J48" s="238" t="str">
        <f t="shared" si="11"/>
        <v/>
      </c>
      <c r="L48" s="149" t="str">
        <f>IF(ISBLANK(J48),"",SkillIncrease)</f>
        <v/>
      </c>
      <c r="M48" s="238" t="str">
        <f t="shared" si="10"/>
        <v/>
      </c>
      <c r="O48" s="149" t="str">
        <f t="shared" si="12"/>
        <v/>
      </c>
    </row>
    <row r="49" outlineLevel="1">
      <c r="A49" s="35" t="str">
        <f>CLASSDATA!A49</f>
        <v>SkillGrantLore</v>
      </c>
      <c r="B49" s="35" t="str">
        <f>CLASSDATA!B49</f>
        <v>L00</v>
      </c>
      <c r="C49" s="35" t="str">
        <f>CLASSDATA!C49</f>
        <v/>
      </c>
      <c r="D49" s="148" t="str">
        <f t="array" ref="D49">INDEX(ALLCLASSDATA,MATCH(A49,CLASSFEATUREHEADERS,0),MATCH($D$2,CLASSNAMEHEADERS,0))</f>
        <v/>
      </c>
      <c r="E49" s="149" t="str">
        <f t="array" ref="E49">INDEX(ALLCLASSDATA,MATCH(A49,CLASSFEATUREHEADERS,0),MATCH(($D$2 &amp; "Points"),CLASSNAMEHEADERS,0))</f>
        <v/>
      </c>
      <c r="F49" s="12" t="b">
        <v>0</v>
      </c>
      <c r="G49" s="148" t="str">
        <f t="array" ref="G49">INDEX(ALLCLASSDATA,MATCH(A49,CLASSFEATUREHEADERS,0),MATCH($G$2,CLASSNAMEHEADERS,0))</f>
        <v/>
      </c>
      <c r="H49" s="149" t="str">
        <f t="array" ref="H49">INDEX(ALLCLASSDATA,MATCH(A49,CLASSFEATUREHEADERS,0),MATCH(($G$2 &amp; "Points"),CLASSNAMEHEADERS,0))</f>
        <v/>
      </c>
      <c r="I49" s="12" t="b">
        <v>0</v>
      </c>
      <c r="J49" s="238" t="str">
        <f t="shared" si="11"/>
        <v/>
      </c>
      <c r="L49" s="149" t="str">
        <f>IF(ISBLANK(J49),"",SkillIncrease)</f>
        <v/>
      </c>
      <c r="M49" s="238" t="str">
        <f t="shared" si="10"/>
        <v/>
      </c>
      <c r="O49" s="149" t="str">
        <f t="shared" si="12"/>
        <v/>
      </c>
    </row>
    <row r="50" outlineLevel="1">
      <c r="A50" s="35" t="str">
        <f>CLASSDATA!A50</f>
        <v>SkillGrantMedicine</v>
      </c>
      <c r="B50" s="35" t="str">
        <f>CLASSDATA!B50</f>
        <v>L00</v>
      </c>
      <c r="C50" s="35" t="str">
        <f>CLASSDATA!C50</f>
        <v/>
      </c>
      <c r="D50" s="148" t="str">
        <f t="array" ref="D50">INDEX(ALLCLASSDATA,MATCH(A50,CLASSFEATUREHEADERS,0),MATCH($D$2,CLASSNAMEHEADERS,0))</f>
        <v/>
      </c>
      <c r="E50" s="149" t="str">
        <f t="array" ref="E50">INDEX(ALLCLASSDATA,MATCH(A50,CLASSFEATUREHEADERS,0),MATCH(($D$2 &amp; "Points"),CLASSNAMEHEADERS,0))</f>
        <v/>
      </c>
      <c r="F50" s="12" t="b">
        <v>0</v>
      </c>
      <c r="G50" s="148" t="str">
        <f t="array" ref="G50">INDEX(ALLCLASSDATA,MATCH(A50,CLASSFEATUREHEADERS,0),MATCH($G$2,CLASSNAMEHEADERS,0))</f>
        <v/>
      </c>
      <c r="H50" s="149" t="str">
        <f t="array" ref="H50">INDEX(ALLCLASSDATA,MATCH(A50,CLASSFEATUREHEADERS,0),MATCH(($G$2 &amp; "Points"),CLASSNAMEHEADERS,0))</f>
        <v/>
      </c>
      <c r="I50" s="12" t="b">
        <v>0</v>
      </c>
      <c r="J50" s="238" t="str">
        <f t="shared" si="11"/>
        <v/>
      </c>
      <c r="L50" s="149" t="str">
        <f>IF(ISBLANK(J50),"",SkillIncrease)</f>
        <v/>
      </c>
      <c r="M50" s="238" t="str">
        <f t="shared" si="10"/>
        <v/>
      </c>
      <c r="O50" s="149" t="str">
        <f t="shared" si="12"/>
        <v/>
      </c>
    </row>
    <row r="51" outlineLevel="1">
      <c r="A51" s="35" t="str">
        <f>CLASSDATA!A51</f>
        <v>SkillGrantNature</v>
      </c>
      <c r="B51" s="35" t="str">
        <f>CLASSDATA!B51</f>
        <v>L00</v>
      </c>
      <c r="C51" s="35" t="str">
        <f>CLASSDATA!C51</f>
        <v/>
      </c>
      <c r="D51" s="148" t="str">
        <f t="array" ref="D51">INDEX(ALLCLASSDATA,MATCH(A51,CLASSFEATUREHEADERS,0),MATCH($D$2,CLASSNAMEHEADERS,0))</f>
        <v/>
      </c>
      <c r="E51" s="149" t="str">
        <f t="array" ref="E51">INDEX(ALLCLASSDATA,MATCH(A51,CLASSFEATUREHEADERS,0),MATCH(($D$2 &amp; "Points"),CLASSNAMEHEADERS,0))</f>
        <v/>
      </c>
      <c r="F51" s="12" t="b">
        <v>0</v>
      </c>
      <c r="G51" s="148" t="str">
        <f t="array" ref="G51">INDEX(ALLCLASSDATA,MATCH(A51,CLASSFEATUREHEADERS,0),MATCH($G$2,CLASSNAMEHEADERS,0))</f>
        <v/>
      </c>
      <c r="H51" s="149" t="str">
        <f t="array" ref="H51">INDEX(ALLCLASSDATA,MATCH(A51,CLASSFEATUREHEADERS,0),MATCH(($G$2 &amp; "Points"),CLASSNAMEHEADERS,0))</f>
        <v/>
      </c>
      <c r="I51" s="12" t="b">
        <v>0</v>
      </c>
      <c r="J51" s="238" t="str">
        <f t="shared" si="11"/>
        <v/>
      </c>
      <c r="L51" s="149" t="str">
        <f>IF(ISBLANK(J51),"",SkillIncrease)</f>
        <v/>
      </c>
      <c r="M51" s="238" t="str">
        <f t="shared" si="10"/>
        <v/>
      </c>
      <c r="O51" s="149" t="str">
        <f t="shared" si="12"/>
        <v/>
      </c>
    </row>
    <row r="52" outlineLevel="1">
      <c r="A52" s="35" t="str">
        <f>CLASSDATA!A52</f>
        <v>SkillGrantOccultism</v>
      </c>
      <c r="B52" s="35" t="str">
        <f>CLASSDATA!B52</f>
        <v>L00</v>
      </c>
      <c r="C52" s="35" t="str">
        <f>CLASSDATA!C52</f>
        <v/>
      </c>
      <c r="D52" s="148" t="str">
        <f t="array" ref="D52">INDEX(ALLCLASSDATA,MATCH(A52,CLASSFEATUREHEADERS,0),MATCH($D$2,CLASSNAMEHEADERS,0))</f>
        <v/>
      </c>
      <c r="E52" s="149" t="str">
        <f t="array" ref="E52">INDEX(ALLCLASSDATA,MATCH(A52,CLASSFEATUREHEADERS,0),MATCH(($D$2 &amp; "Points"),CLASSNAMEHEADERS,0))</f>
        <v/>
      </c>
      <c r="F52" s="12" t="b">
        <v>0</v>
      </c>
      <c r="G52" s="148" t="str">
        <f t="array" ref="G52">INDEX(ALLCLASSDATA,MATCH(A52,CLASSFEATUREHEADERS,0),MATCH($G$2,CLASSNAMEHEADERS,0))</f>
        <v/>
      </c>
      <c r="H52" s="149" t="str">
        <f t="array" ref="H52">INDEX(ALLCLASSDATA,MATCH(A52,CLASSFEATUREHEADERS,0),MATCH(($G$2 &amp; "Points"),CLASSNAMEHEADERS,0))</f>
        <v/>
      </c>
      <c r="I52" s="12" t="b">
        <v>0</v>
      </c>
      <c r="J52" s="238" t="str">
        <f t="shared" si="11"/>
        <v/>
      </c>
      <c r="L52" s="149" t="str">
        <f>IF(ISBLANK(J52),"",SkillIncrease)</f>
        <v/>
      </c>
      <c r="M52" s="238" t="str">
        <f t="shared" si="10"/>
        <v/>
      </c>
      <c r="O52" s="149" t="str">
        <f t="shared" si="12"/>
        <v/>
      </c>
    </row>
    <row r="53" outlineLevel="1">
      <c r="A53" s="35" t="str">
        <f>CLASSDATA!A53</f>
        <v>SkillGrantPerformance</v>
      </c>
      <c r="B53" s="35" t="str">
        <f>CLASSDATA!B53</f>
        <v>L00</v>
      </c>
      <c r="C53" s="35" t="str">
        <f>CLASSDATA!C53</f>
        <v/>
      </c>
      <c r="D53" s="148" t="str">
        <f t="array" ref="D53">INDEX(ALLCLASSDATA,MATCH(A53,CLASSFEATUREHEADERS,0),MATCH($D$2,CLASSNAMEHEADERS,0))</f>
        <v/>
      </c>
      <c r="E53" s="149" t="str">
        <f t="array" ref="E53">INDEX(ALLCLASSDATA,MATCH(A53,CLASSFEATUREHEADERS,0),MATCH(($D$2 &amp; "Points"),CLASSNAMEHEADERS,0))</f>
        <v/>
      </c>
      <c r="F53" s="12" t="b">
        <v>0</v>
      </c>
      <c r="G53" s="148" t="str">
        <f t="array" ref="G53">INDEX(ALLCLASSDATA,MATCH(A53,CLASSFEATUREHEADERS,0),MATCH($G$2,CLASSNAMEHEADERS,0))</f>
        <v/>
      </c>
      <c r="H53" s="149" t="str">
        <f t="array" ref="H53">INDEX(ALLCLASSDATA,MATCH(A53,CLASSFEATUREHEADERS,0),MATCH(($G$2 &amp; "Points"),CLASSNAMEHEADERS,0))</f>
        <v/>
      </c>
      <c r="I53" s="12" t="b">
        <v>0</v>
      </c>
      <c r="J53" s="238" t="str">
        <f t="shared" si="11"/>
        <v/>
      </c>
      <c r="L53" s="149" t="str">
        <f>IF(ISBLANK(J53),"",SkillIncrease)</f>
        <v/>
      </c>
      <c r="M53" s="238" t="str">
        <f t="shared" si="10"/>
        <v/>
      </c>
      <c r="O53" s="149" t="str">
        <f t="shared" si="12"/>
        <v/>
      </c>
    </row>
    <row r="54" outlineLevel="1">
      <c r="A54" s="35" t="str">
        <f>CLASSDATA!A54</f>
        <v>SkillGrantReligion</v>
      </c>
      <c r="B54" s="35" t="str">
        <f>CLASSDATA!B54</f>
        <v>L00</v>
      </c>
      <c r="C54" s="35" t="str">
        <f>CLASSDATA!C54</f>
        <v/>
      </c>
      <c r="D54" s="148" t="str">
        <f t="array" ref="D54">INDEX(ALLCLASSDATA,MATCH(A54,CLASSFEATUREHEADERS,0),MATCH($D$2,CLASSNAMEHEADERS,0))</f>
        <v/>
      </c>
      <c r="E54" s="149" t="str">
        <f t="array" ref="E54">INDEX(ALLCLASSDATA,MATCH(A54,CLASSFEATUREHEADERS,0),MATCH(($D$2 &amp; "Points"),CLASSNAMEHEADERS,0))</f>
        <v/>
      </c>
      <c r="F54" s="12" t="b">
        <v>0</v>
      </c>
      <c r="G54" s="148" t="str">
        <f t="array" ref="G54">INDEX(ALLCLASSDATA,MATCH(A54,CLASSFEATUREHEADERS,0),MATCH($G$2,CLASSNAMEHEADERS,0))</f>
        <v/>
      </c>
      <c r="H54" s="149" t="str">
        <f t="array" ref="H54">INDEX(ALLCLASSDATA,MATCH(A54,CLASSFEATUREHEADERS,0),MATCH(($G$2 &amp; "Points"),CLASSNAMEHEADERS,0))</f>
        <v/>
      </c>
      <c r="I54" s="12" t="b">
        <v>0</v>
      </c>
      <c r="J54" s="238" t="str">
        <f t="shared" si="11"/>
        <v/>
      </c>
      <c r="L54" s="149" t="str">
        <f>IF(ISBLANK(J54),"",SkillIncrease)</f>
        <v/>
      </c>
      <c r="M54" s="238" t="str">
        <f t="shared" si="10"/>
        <v/>
      </c>
      <c r="O54" s="149" t="str">
        <f t="shared" si="12"/>
        <v/>
      </c>
    </row>
    <row r="55" outlineLevel="1">
      <c r="A55" s="35" t="str">
        <f>CLASSDATA!A55</f>
        <v>SkillGrantSociety</v>
      </c>
      <c r="B55" s="35" t="str">
        <f>CLASSDATA!B55</f>
        <v>L00</v>
      </c>
      <c r="C55" s="35" t="str">
        <f>CLASSDATA!C55</f>
        <v/>
      </c>
      <c r="D55" s="148" t="str">
        <f t="array" ref="D55">INDEX(ALLCLASSDATA,MATCH(A55,CLASSFEATUREHEADERS,0),MATCH($D$2,CLASSNAMEHEADERS,0))</f>
        <v/>
      </c>
      <c r="E55" s="149" t="str">
        <f t="array" ref="E55">INDEX(ALLCLASSDATA,MATCH(A55,CLASSFEATUREHEADERS,0),MATCH(($D$2 &amp; "Points"),CLASSNAMEHEADERS,0))</f>
        <v/>
      </c>
      <c r="F55" s="12" t="b">
        <v>0</v>
      </c>
      <c r="G55" s="148" t="str">
        <f t="array" ref="G55">INDEX(ALLCLASSDATA,MATCH(A55,CLASSFEATUREHEADERS,0),MATCH($G$2,CLASSNAMEHEADERS,0))</f>
        <v/>
      </c>
      <c r="H55" s="149" t="str">
        <f t="array" ref="H55">INDEX(ALLCLASSDATA,MATCH(A55,CLASSFEATUREHEADERS,0),MATCH(($G$2 &amp; "Points"),CLASSNAMEHEADERS,0))</f>
        <v/>
      </c>
      <c r="I55" s="12" t="b">
        <v>0</v>
      </c>
      <c r="J55" s="238" t="str">
        <f t="shared" si="11"/>
        <v/>
      </c>
      <c r="L55" s="149" t="str">
        <f>IF(ISBLANK(J55),"",SkillIncrease)</f>
        <v/>
      </c>
      <c r="M55" s="238" t="str">
        <f t="shared" si="10"/>
        <v/>
      </c>
      <c r="O55" s="149" t="str">
        <f t="shared" si="12"/>
        <v/>
      </c>
    </row>
    <row r="56" outlineLevel="1">
      <c r="A56" s="35" t="str">
        <f>CLASSDATA!A56</f>
        <v>SkillGrantStealth</v>
      </c>
      <c r="B56" s="35" t="str">
        <f>CLASSDATA!B56</f>
        <v>L00</v>
      </c>
      <c r="C56" s="35" t="str">
        <f>CLASSDATA!C56</f>
        <v/>
      </c>
      <c r="D56" s="148" t="str">
        <f t="array" ref="D56">INDEX(ALLCLASSDATA,MATCH(A56,CLASSFEATUREHEADERS,0),MATCH($D$2,CLASSNAMEHEADERS,0))</f>
        <v/>
      </c>
      <c r="E56" s="149" t="str">
        <f t="array" ref="E56">INDEX(ALLCLASSDATA,MATCH(A56,CLASSFEATUREHEADERS,0),MATCH(($D$2 &amp; "Points"),CLASSNAMEHEADERS,0))</f>
        <v/>
      </c>
      <c r="F56" s="12" t="b">
        <v>0</v>
      </c>
      <c r="G56" s="148" t="str">
        <f t="array" ref="G56">INDEX(ALLCLASSDATA,MATCH(A56,CLASSFEATUREHEADERS,0),MATCH($G$2,CLASSNAMEHEADERS,0))</f>
        <v/>
      </c>
      <c r="H56" s="149" t="str">
        <f t="array" ref="H56">INDEX(ALLCLASSDATA,MATCH(A56,CLASSFEATUREHEADERS,0),MATCH(($G$2 &amp; "Points"),CLASSNAMEHEADERS,0))</f>
        <v/>
      </c>
      <c r="I56" s="12" t="b">
        <v>0</v>
      </c>
      <c r="J56" s="238" t="str">
        <f t="shared" si="11"/>
        <v/>
      </c>
      <c r="L56" s="149" t="str">
        <f>IF(ISBLANK(J56),"",SkillIncrease)</f>
        <v/>
      </c>
      <c r="M56" s="238" t="str">
        <f t="shared" si="10"/>
        <v/>
      </c>
      <c r="O56" s="149" t="str">
        <f t="shared" si="12"/>
        <v/>
      </c>
    </row>
    <row r="57" outlineLevel="1">
      <c r="A57" s="35" t="str">
        <f>CLASSDATA!A57</f>
        <v>SkillGrantSurvival</v>
      </c>
      <c r="B57" s="35" t="str">
        <f>CLASSDATA!B57</f>
        <v>L00</v>
      </c>
      <c r="C57" s="35" t="str">
        <f>CLASSDATA!C57</f>
        <v/>
      </c>
      <c r="D57" s="148" t="str">
        <f t="array" ref="D57">INDEX(ALLCLASSDATA,MATCH(A57,CLASSFEATUREHEADERS,0),MATCH($D$2,CLASSNAMEHEADERS,0))</f>
        <v/>
      </c>
      <c r="E57" s="149" t="str">
        <f t="array" ref="E57">INDEX(ALLCLASSDATA,MATCH(A57,CLASSFEATUREHEADERS,0),MATCH(($D$2 &amp; "Points"),CLASSNAMEHEADERS,0))</f>
        <v/>
      </c>
      <c r="F57" s="12" t="b">
        <v>0</v>
      </c>
      <c r="G57" s="148" t="str">
        <f t="array" ref="G57">INDEX(ALLCLASSDATA,MATCH(A57,CLASSFEATUREHEADERS,0),MATCH($G$2,CLASSNAMEHEADERS,0))</f>
        <v/>
      </c>
      <c r="H57" s="149" t="str">
        <f t="array" ref="H57">INDEX(ALLCLASSDATA,MATCH(A57,CLASSFEATUREHEADERS,0),MATCH(($G$2 &amp; "Points"),CLASSNAMEHEADERS,0))</f>
        <v/>
      </c>
      <c r="I57" s="12" t="b">
        <v>0</v>
      </c>
      <c r="J57" s="238" t="str">
        <f t="shared" si="11"/>
        <v/>
      </c>
      <c r="L57" s="149" t="str">
        <f>IF(ISBLANK(J57),"",SkillIncrease)</f>
        <v/>
      </c>
      <c r="M57" s="238" t="str">
        <f t="shared" si="10"/>
        <v/>
      </c>
      <c r="O57" s="149" t="str">
        <f t="shared" si="12"/>
        <v/>
      </c>
    </row>
    <row r="58" outlineLevel="1">
      <c r="A58" s="35" t="str">
        <f>CLASSDATA!A58</f>
        <v>SkillGrantThievery</v>
      </c>
      <c r="B58" s="35" t="str">
        <f>CLASSDATA!B58</f>
        <v>L00</v>
      </c>
      <c r="C58" s="35" t="str">
        <f>CLASSDATA!C58</f>
        <v/>
      </c>
      <c r="D58" s="148" t="str">
        <f t="array" ref="D58">INDEX(ALLCLASSDATA,MATCH(A58,CLASSFEATUREHEADERS,0),MATCH($D$2,CLASSNAMEHEADERS,0))</f>
        <v/>
      </c>
      <c r="E58" s="149" t="str">
        <f t="array" ref="E58">INDEX(ALLCLASSDATA,MATCH(A58,CLASSFEATUREHEADERS,0),MATCH(($D$2 &amp; "Points"),CLASSNAMEHEADERS,0))</f>
        <v/>
      </c>
      <c r="F58" s="12" t="b">
        <v>0</v>
      </c>
      <c r="G58" s="148" t="str">
        <f t="array" ref="G58">INDEX(ALLCLASSDATA,MATCH(A58,CLASSFEATUREHEADERS,0),MATCH($G$2,CLASSNAMEHEADERS,0))</f>
        <v/>
      </c>
      <c r="H58" s="149" t="str">
        <f t="array" ref="H58">INDEX(ALLCLASSDATA,MATCH(A58,CLASSFEATUREHEADERS,0),MATCH(($G$2 &amp; "Points"),CLASSNAMEHEADERS,0))</f>
        <v/>
      </c>
      <c r="I58" s="12" t="b">
        <v>0</v>
      </c>
      <c r="J58" s="238" t="str">
        <f t="shared" si="11"/>
        <v/>
      </c>
      <c r="L58" s="149" t="str">
        <f>IF(ISBLANK(J58),"",SkillIncrease)</f>
        <v/>
      </c>
      <c r="M58" s="238" t="str">
        <f t="shared" si="10"/>
        <v/>
      </c>
      <c r="O58" s="149" t="str">
        <f t="shared" si="12"/>
        <v/>
      </c>
    </row>
    <row r="59" outlineLevel="1">
      <c r="A59" s="35" t="str">
        <f>CLASSDATA!A59</f>
        <v>SkillsGrantedTotal</v>
      </c>
      <c r="B59" s="35" t="str">
        <f>CLASSDATA!B59</f>
        <v>L00</v>
      </c>
      <c r="C59" s="35" t="str">
        <f>CLASSDATA!C59</f>
        <v/>
      </c>
      <c r="D59" s="148">
        <f t="array" ref="D59">INDEX(ALLCLASSDATA,MATCH(A59,CLASSFEATUREHEADERS,0),MATCH($D$2,CLASSNAMEHEADERS,0))</f>
        <v>4</v>
      </c>
      <c r="E59" s="149">
        <f t="array" ref="E59">INDEX(ALLCLASSDATA,MATCH(A59,CLASSFEATUREHEADERS,0),MATCH(($D$2 &amp; "Points"),CLASSNAMEHEADERS,0))</f>
        <v>20</v>
      </c>
      <c r="G59" s="148">
        <f t="array" ref="G59">INDEX(ALLCLASSDATA,MATCH(A59,CLASSFEATUREHEADERS,0),MATCH($G$2,CLASSNAMEHEADERS,0))</f>
        <v>3</v>
      </c>
      <c r="H59" s="149">
        <f t="array" ref="H59">INDEX(ALLCLASSDATA,MATCH(A59,CLASSFEATUREHEADERS,0),MATCH(($G$2 &amp; "Points"),CLASSNAMEHEADERS,0))</f>
        <v>15</v>
      </c>
      <c r="J59" s="252">
        <f t="shared" ref="J59:K59" si="13">COUNTA(J42:J58)</f>
        <v>1</v>
      </c>
      <c r="K59" s="35">
        <f t="shared" si="13"/>
        <v>0</v>
      </c>
      <c r="L59" s="35">
        <f>SUM(L40:L58)</f>
        <v>25</v>
      </c>
      <c r="M59" s="252"/>
      <c r="N59" s="35"/>
      <c r="O59" s="35">
        <f>SUM(O40:O58)</f>
        <v>15</v>
      </c>
    </row>
    <row r="60" outlineLevel="1">
      <c r="A60" s="35" t="str">
        <f>CLASSDATA!A60</f>
        <v>SkillIncreaseExtra-L02</v>
      </c>
      <c r="B60" s="35" t="str">
        <f>CLASSDATA!B60</f>
        <v>L02</v>
      </c>
      <c r="C60" s="35" t="str">
        <f>CLASSDATA!C60</f>
        <v/>
      </c>
      <c r="D60" s="148" t="str">
        <f t="array" ref="D60">INDEX(ALLCLASSDATA,MATCH(A60,CLASSFEATUREHEADERS,0),MATCH($D$2,CLASSNAMEHEADERS,0))</f>
        <v/>
      </c>
      <c r="E60" s="149" t="str">
        <f t="array" ref="E60">INDEX(ALLCLASSDATA,MATCH(A60,CLASSFEATUREHEADERS,0),MATCH(($D$2 &amp; "Points"),CLASSNAMEHEADERS,0))</f>
        <v/>
      </c>
      <c r="F60" s="12" t="b">
        <v>0</v>
      </c>
      <c r="G60" s="148" t="str">
        <f t="array" ref="G60">INDEX(ALLCLASSDATA,MATCH(A60,CLASSFEATUREHEADERS,0),MATCH($G$2,CLASSNAMEHEADERS,0))</f>
        <v/>
      </c>
      <c r="H60" s="149" t="str">
        <f t="array" ref="H60">INDEX(ALLCLASSDATA,MATCH(A60,CLASSFEATUREHEADERS,0),MATCH(($G$2 &amp; "Points"),CLASSNAMEHEADERS,0))</f>
        <v/>
      </c>
      <c r="I60" s="12" t="b">
        <v>0</v>
      </c>
      <c r="J60" s="238" t="str">
        <f t="shared" ref="J60:J78" si="14">IF((D60+G60)=0,"",(D60+G60))</f>
        <v/>
      </c>
      <c r="L60" s="149" t="str">
        <f>IF(ISNUMBER(J60),(J60*SkillIncrease),"")</f>
        <v/>
      </c>
      <c r="M60" s="238" t="str">
        <f t="shared" ref="M60:M78" si="15">IF(F60=TRUE,D60,(IF(I60=TRUE,G60,"")))</f>
        <v/>
      </c>
      <c r="O60" s="149" t="str">
        <f>IF(ISNUMBER(M60),(M60*SkillIncrease),"")</f>
        <v/>
      </c>
    </row>
    <row r="61" outlineLevel="1">
      <c r="A61" s="35" t="str">
        <f>CLASSDATA!A61</f>
        <v>SkillIncreaseExtra-L03</v>
      </c>
      <c r="B61" s="35" t="str">
        <f>CLASSDATA!B61</f>
        <v>L03</v>
      </c>
      <c r="C61" s="35" t="str">
        <f>CLASSDATA!C61</f>
        <v/>
      </c>
      <c r="D61" s="148" t="str">
        <f t="array" ref="D61">INDEX(ALLCLASSDATA,MATCH(A61,CLASSFEATUREHEADERS,0),MATCH($D$2,CLASSNAMEHEADERS,0))</f>
        <v/>
      </c>
      <c r="E61" s="149" t="str">
        <f t="array" ref="E61">INDEX(ALLCLASSDATA,MATCH(A61,CLASSFEATUREHEADERS,0),MATCH(($D$2 &amp; "Points"),CLASSNAMEHEADERS,0))</f>
        <v/>
      </c>
      <c r="F61" s="12" t="b">
        <v>0</v>
      </c>
      <c r="G61" s="148" t="str">
        <f t="array" ref="G61">INDEX(ALLCLASSDATA,MATCH(A61,CLASSFEATUREHEADERS,0),MATCH($G$2,CLASSNAMEHEADERS,0))</f>
        <v/>
      </c>
      <c r="H61" s="149" t="str">
        <f t="array" ref="H61">INDEX(ALLCLASSDATA,MATCH(A61,CLASSFEATUREHEADERS,0),MATCH(($G$2 &amp; "Points"),CLASSNAMEHEADERS,0))</f>
        <v/>
      </c>
      <c r="I61" s="12" t="b">
        <v>0</v>
      </c>
      <c r="J61" s="238" t="str">
        <f t="shared" si="14"/>
        <v/>
      </c>
      <c r="L61" s="149" t="str">
        <f>IF(ISNUMBER(J61),(J61*SkillIncrease),"")</f>
        <v/>
      </c>
      <c r="M61" s="238" t="str">
        <f t="shared" si="15"/>
        <v/>
      </c>
      <c r="O61" s="149" t="str">
        <f>IF(ISNUMBER(M61),(M61*SkillIncrease),"")</f>
        <v/>
      </c>
    </row>
    <row r="62" outlineLevel="1">
      <c r="A62" s="35" t="str">
        <f>CLASSDATA!A62</f>
        <v>SkillIncreaseExtra-L04</v>
      </c>
      <c r="B62" s="35" t="str">
        <f>CLASSDATA!B62</f>
        <v>L04</v>
      </c>
      <c r="C62" s="35" t="str">
        <f>CLASSDATA!C62</f>
        <v/>
      </c>
      <c r="D62" s="148" t="str">
        <f t="array" ref="D62">INDEX(ALLCLASSDATA,MATCH(A62,CLASSFEATUREHEADERS,0),MATCH($D$2,CLASSNAMEHEADERS,0))</f>
        <v/>
      </c>
      <c r="E62" s="149" t="str">
        <f t="array" ref="E62">INDEX(ALLCLASSDATA,MATCH(A62,CLASSFEATUREHEADERS,0),MATCH(($D$2 &amp; "Points"),CLASSNAMEHEADERS,0))</f>
        <v/>
      </c>
      <c r="F62" s="12" t="b">
        <v>0</v>
      </c>
      <c r="G62" s="148" t="str">
        <f t="array" ref="G62">INDEX(ALLCLASSDATA,MATCH(A62,CLASSFEATUREHEADERS,0),MATCH($G$2,CLASSNAMEHEADERS,0))</f>
        <v/>
      </c>
      <c r="H62" s="149" t="str">
        <f t="array" ref="H62">INDEX(ALLCLASSDATA,MATCH(A62,CLASSFEATUREHEADERS,0),MATCH(($G$2 &amp; "Points"),CLASSNAMEHEADERS,0))</f>
        <v/>
      </c>
      <c r="I62" s="12" t="b">
        <v>0</v>
      </c>
      <c r="J62" s="238" t="str">
        <f t="shared" si="14"/>
        <v/>
      </c>
      <c r="L62" s="149" t="str">
        <f>IF(ISNUMBER(J62),(J62*SkillIncrease),"")</f>
        <v/>
      </c>
      <c r="M62" s="238" t="str">
        <f t="shared" si="15"/>
        <v/>
      </c>
      <c r="O62" s="149" t="str">
        <f>IF(ISNUMBER(M62),(M62*SkillIncrease),"")</f>
        <v/>
      </c>
    </row>
    <row r="63" outlineLevel="1">
      <c r="A63" s="35" t="str">
        <f>CLASSDATA!A63</f>
        <v>SkillIncreaseExtra-L05</v>
      </c>
      <c r="B63" s="35" t="str">
        <f>CLASSDATA!B63</f>
        <v>L05</v>
      </c>
      <c r="C63" s="35" t="str">
        <f>CLASSDATA!C63</f>
        <v/>
      </c>
      <c r="D63" s="148" t="str">
        <f t="array" ref="D63">INDEX(ALLCLASSDATA,MATCH(A63,CLASSFEATUREHEADERS,0),MATCH($D$2,CLASSNAMEHEADERS,0))</f>
        <v/>
      </c>
      <c r="E63" s="149" t="str">
        <f t="array" ref="E63">INDEX(ALLCLASSDATA,MATCH(A63,CLASSFEATUREHEADERS,0),MATCH(($D$2 &amp; "Points"),CLASSNAMEHEADERS,0))</f>
        <v/>
      </c>
      <c r="F63" s="12" t="b">
        <v>0</v>
      </c>
      <c r="G63" s="148" t="str">
        <f t="array" ref="G63">INDEX(ALLCLASSDATA,MATCH(A63,CLASSFEATUREHEADERS,0),MATCH($G$2,CLASSNAMEHEADERS,0))</f>
        <v/>
      </c>
      <c r="H63" s="149" t="str">
        <f t="array" ref="H63">INDEX(ALLCLASSDATA,MATCH(A63,CLASSFEATUREHEADERS,0),MATCH(($G$2 &amp; "Points"),CLASSNAMEHEADERS,0))</f>
        <v/>
      </c>
      <c r="I63" s="12" t="b">
        <v>0</v>
      </c>
      <c r="J63" s="238" t="str">
        <f t="shared" si="14"/>
        <v/>
      </c>
      <c r="L63" s="149" t="str">
        <f>IF(ISNUMBER(J63),(J63*SkillIncrease),"")</f>
        <v/>
      </c>
      <c r="M63" s="238" t="str">
        <f t="shared" si="15"/>
        <v/>
      </c>
      <c r="O63" s="149" t="str">
        <f>IF(ISNUMBER(M63),(M63*SkillIncrease),"")</f>
        <v/>
      </c>
    </row>
    <row r="64" outlineLevel="1">
      <c r="A64" s="35" t="str">
        <f>CLASSDATA!A64</f>
        <v>SkillIncreaseExtra-L06</v>
      </c>
      <c r="B64" s="35" t="str">
        <f>CLASSDATA!B64</f>
        <v>L06</v>
      </c>
      <c r="C64" s="35" t="str">
        <f>CLASSDATA!C64</f>
        <v/>
      </c>
      <c r="D64" s="148" t="str">
        <f t="array" ref="D64">INDEX(ALLCLASSDATA,MATCH(A64,CLASSFEATUREHEADERS,0),MATCH($D$2,CLASSNAMEHEADERS,0))</f>
        <v/>
      </c>
      <c r="E64" s="149" t="str">
        <f t="array" ref="E64">INDEX(ALLCLASSDATA,MATCH(A64,CLASSFEATUREHEADERS,0),MATCH(($D$2 &amp; "Points"),CLASSNAMEHEADERS,0))</f>
        <v/>
      </c>
      <c r="F64" s="12" t="b">
        <v>0</v>
      </c>
      <c r="G64" s="148" t="str">
        <f t="array" ref="G64">INDEX(ALLCLASSDATA,MATCH(A64,CLASSFEATUREHEADERS,0),MATCH($G$2,CLASSNAMEHEADERS,0))</f>
        <v/>
      </c>
      <c r="H64" s="149" t="str">
        <f t="array" ref="H64">INDEX(ALLCLASSDATA,MATCH(A64,CLASSFEATUREHEADERS,0),MATCH(($G$2 &amp; "Points"),CLASSNAMEHEADERS,0))</f>
        <v/>
      </c>
      <c r="I64" s="12" t="b">
        <v>0</v>
      </c>
      <c r="J64" s="238" t="str">
        <f t="shared" si="14"/>
        <v/>
      </c>
      <c r="L64" s="149" t="str">
        <f>IF(ISNUMBER(J64),(J64*SkillIncrease),"")</f>
        <v/>
      </c>
      <c r="M64" s="238" t="str">
        <f t="shared" si="15"/>
        <v/>
      </c>
      <c r="O64" s="149" t="str">
        <f>IF(ISNUMBER(M64),(M64*SkillIncrease),"")</f>
        <v/>
      </c>
    </row>
    <row r="65" outlineLevel="1">
      <c r="A65" s="35" t="str">
        <f>CLASSDATA!A65</f>
        <v>SkillIncreaseExtra-L07</v>
      </c>
      <c r="B65" s="35" t="str">
        <f>CLASSDATA!B65</f>
        <v>L07</v>
      </c>
      <c r="C65" s="35" t="str">
        <f>CLASSDATA!C65</f>
        <v/>
      </c>
      <c r="D65" s="148" t="str">
        <f t="array" ref="D65">INDEX(ALLCLASSDATA,MATCH(A65,CLASSFEATUREHEADERS,0),MATCH($D$2,CLASSNAMEHEADERS,0))</f>
        <v/>
      </c>
      <c r="E65" s="149" t="str">
        <f t="array" ref="E65">INDEX(ALLCLASSDATA,MATCH(A65,CLASSFEATUREHEADERS,0),MATCH(($D$2 &amp; "Points"),CLASSNAMEHEADERS,0))</f>
        <v/>
      </c>
      <c r="F65" s="12" t="b">
        <v>0</v>
      </c>
      <c r="G65" s="148" t="str">
        <f t="array" ref="G65">INDEX(ALLCLASSDATA,MATCH(A65,CLASSFEATUREHEADERS,0),MATCH($G$2,CLASSNAMEHEADERS,0))</f>
        <v/>
      </c>
      <c r="H65" s="149" t="str">
        <f t="array" ref="H65">INDEX(ALLCLASSDATA,MATCH(A65,CLASSFEATUREHEADERS,0),MATCH(($G$2 &amp; "Points"),CLASSNAMEHEADERS,0))</f>
        <v/>
      </c>
      <c r="I65" s="12" t="b">
        <v>0</v>
      </c>
      <c r="J65" s="238" t="str">
        <f t="shared" si="14"/>
        <v/>
      </c>
      <c r="L65" s="149" t="str">
        <f>IF(ISNUMBER(J65),(J65*SkillIncrease),"")</f>
        <v/>
      </c>
      <c r="M65" s="238" t="str">
        <f t="shared" si="15"/>
        <v/>
      </c>
      <c r="O65" s="149" t="str">
        <f>IF(ISNUMBER(M65),(M65*SkillIncrease),"")</f>
        <v/>
      </c>
    </row>
    <row r="66" outlineLevel="1">
      <c r="A66" s="35" t="str">
        <f>CLASSDATA!A66</f>
        <v>SkillIncreaseExtra-L08</v>
      </c>
      <c r="B66" s="35" t="str">
        <f>CLASSDATA!B66</f>
        <v>L08</v>
      </c>
      <c r="C66" s="35" t="str">
        <f>CLASSDATA!C66</f>
        <v/>
      </c>
      <c r="D66" s="148" t="str">
        <f t="array" ref="D66">INDEX(ALLCLASSDATA,MATCH(A66,CLASSFEATUREHEADERS,0),MATCH($D$2,CLASSNAMEHEADERS,0))</f>
        <v/>
      </c>
      <c r="E66" s="149" t="str">
        <f t="array" ref="E66">INDEX(ALLCLASSDATA,MATCH(A66,CLASSFEATUREHEADERS,0),MATCH(($D$2 &amp; "Points"),CLASSNAMEHEADERS,0))</f>
        <v/>
      </c>
      <c r="F66" s="12" t="b">
        <v>0</v>
      </c>
      <c r="G66" s="148" t="str">
        <f t="array" ref="G66">INDEX(ALLCLASSDATA,MATCH(A66,CLASSFEATUREHEADERS,0),MATCH($G$2,CLASSNAMEHEADERS,0))</f>
        <v/>
      </c>
      <c r="H66" s="149" t="str">
        <f t="array" ref="H66">INDEX(ALLCLASSDATA,MATCH(A66,CLASSFEATUREHEADERS,0),MATCH(($G$2 &amp; "Points"),CLASSNAMEHEADERS,0))</f>
        <v/>
      </c>
      <c r="I66" s="12" t="b">
        <v>0</v>
      </c>
      <c r="J66" s="238" t="str">
        <f t="shared" si="14"/>
        <v/>
      </c>
      <c r="L66" s="149" t="str">
        <f>IF(ISNUMBER(J66),(J66*SkillIncrease),"")</f>
        <v/>
      </c>
      <c r="M66" s="238" t="str">
        <f t="shared" si="15"/>
        <v/>
      </c>
      <c r="O66" s="149" t="str">
        <f>IF(ISNUMBER(M66),(M66*SkillIncrease),"")</f>
        <v/>
      </c>
    </row>
    <row r="67" outlineLevel="1">
      <c r="A67" s="35" t="str">
        <f>CLASSDATA!A67</f>
        <v>SkillIncreaseExtra-L09</v>
      </c>
      <c r="B67" s="35" t="str">
        <f>CLASSDATA!B67</f>
        <v>L09</v>
      </c>
      <c r="C67" s="35" t="str">
        <f>CLASSDATA!C67</f>
        <v/>
      </c>
      <c r="D67" s="148" t="str">
        <f t="array" ref="D67">INDEX(ALLCLASSDATA,MATCH(A67,CLASSFEATUREHEADERS,0),MATCH($D$2,CLASSNAMEHEADERS,0))</f>
        <v/>
      </c>
      <c r="E67" s="149" t="str">
        <f t="array" ref="E67">INDEX(ALLCLASSDATA,MATCH(A67,CLASSFEATUREHEADERS,0),MATCH(($D$2 &amp; "Points"),CLASSNAMEHEADERS,0))</f>
        <v/>
      </c>
      <c r="F67" s="12" t="b">
        <v>0</v>
      </c>
      <c r="G67" s="148" t="str">
        <f t="array" ref="G67">INDEX(ALLCLASSDATA,MATCH(A67,CLASSFEATUREHEADERS,0),MATCH($G$2,CLASSNAMEHEADERS,0))</f>
        <v/>
      </c>
      <c r="H67" s="149" t="str">
        <f t="array" ref="H67">INDEX(ALLCLASSDATA,MATCH(A67,CLASSFEATUREHEADERS,0),MATCH(($G$2 &amp; "Points"),CLASSNAMEHEADERS,0))</f>
        <v/>
      </c>
      <c r="I67" s="12" t="b">
        <v>0</v>
      </c>
      <c r="J67" s="238" t="str">
        <f t="shared" si="14"/>
        <v/>
      </c>
      <c r="L67" s="149" t="str">
        <f>IF(ISNUMBER(J67),(J67*SkillIncrease),"")</f>
        <v/>
      </c>
      <c r="M67" s="238" t="str">
        <f t="shared" si="15"/>
        <v/>
      </c>
      <c r="O67" s="149" t="str">
        <f>IF(ISNUMBER(M67),(M67*SkillIncrease),"")</f>
        <v/>
      </c>
    </row>
    <row r="68" outlineLevel="1">
      <c r="A68" s="35" t="str">
        <f>CLASSDATA!A68</f>
        <v>SkillIncreaseExtra-L10</v>
      </c>
      <c r="B68" s="35" t="str">
        <f>CLASSDATA!B68</f>
        <v>L10</v>
      </c>
      <c r="C68" s="35" t="str">
        <f>CLASSDATA!C68</f>
        <v/>
      </c>
      <c r="D68" s="148" t="str">
        <f t="array" ref="D68">INDEX(ALLCLASSDATA,MATCH(A68,CLASSFEATUREHEADERS,0),MATCH($D$2,CLASSNAMEHEADERS,0))</f>
        <v/>
      </c>
      <c r="E68" s="149" t="str">
        <f t="array" ref="E68">INDEX(ALLCLASSDATA,MATCH(A68,CLASSFEATUREHEADERS,0),MATCH(($D$2 &amp; "Points"),CLASSNAMEHEADERS,0))</f>
        <v/>
      </c>
      <c r="F68" s="12" t="b">
        <v>0</v>
      </c>
      <c r="G68" s="148" t="str">
        <f t="array" ref="G68">INDEX(ALLCLASSDATA,MATCH(A68,CLASSFEATUREHEADERS,0),MATCH($G$2,CLASSNAMEHEADERS,0))</f>
        <v/>
      </c>
      <c r="H68" s="149" t="str">
        <f t="array" ref="H68">INDEX(ALLCLASSDATA,MATCH(A68,CLASSFEATUREHEADERS,0),MATCH(($G$2 &amp; "Points"),CLASSNAMEHEADERS,0))</f>
        <v/>
      </c>
      <c r="I68" s="12" t="b">
        <v>0</v>
      </c>
      <c r="J68" s="238" t="str">
        <f t="shared" si="14"/>
        <v/>
      </c>
      <c r="L68" s="149" t="str">
        <f>IF(ISNUMBER(J68),(J68*SkillIncrease),"")</f>
        <v/>
      </c>
      <c r="M68" s="238" t="str">
        <f t="shared" si="15"/>
        <v/>
      </c>
      <c r="O68" s="149" t="str">
        <f>IF(ISNUMBER(M68),(M68*SkillIncrease),"")</f>
        <v/>
      </c>
    </row>
    <row r="69" outlineLevel="1">
      <c r="A69" s="35" t="str">
        <f>CLASSDATA!A69</f>
        <v>SkillIncreaseExtra-L11</v>
      </c>
      <c r="B69" s="35" t="str">
        <f>CLASSDATA!B69</f>
        <v>L11</v>
      </c>
      <c r="C69" s="35" t="str">
        <f>CLASSDATA!C69</f>
        <v/>
      </c>
      <c r="D69" s="148" t="str">
        <f t="array" ref="D69">INDEX(ALLCLASSDATA,MATCH(A69,CLASSFEATUREHEADERS,0),MATCH($D$2,CLASSNAMEHEADERS,0))</f>
        <v/>
      </c>
      <c r="E69" s="149" t="str">
        <f t="array" ref="E69">INDEX(ALLCLASSDATA,MATCH(A69,CLASSFEATUREHEADERS,0),MATCH(($D$2 &amp; "Points"),CLASSNAMEHEADERS,0))</f>
        <v/>
      </c>
      <c r="F69" s="12" t="b">
        <v>0</v>
      </c>
      <c r="G69" s="148" t="str">
        <f t="array" ref="G69">INDEX(ALLCLASSDATA,MATCH(A69,CLASSFEATUREHEADERS,0),MATCH($G$2,CLASSNAMEHEADERS,0))</f>
        <v/>
      </c>
      <c r="H69" s="149" t="str">
        <f t="array" ref="H69">INDEX(ALLCLASSDATA,MATCH(A69,CLASSFEATUREHEADERS,0),MATCH(($G$2 &amp; "Points"),CLASSNAMEHEADERS,0))</f>
        <v/>
      </c>
      <c r="I69" s="12" t="b">
        <v>0</v>
      </c>
      <c r="J69" s="238" t="str">
        <f t="shared" si="14"/>
        <v/>
      </c>
      <c r="L69" s="149" t="str">
        <f>IF(ISNUMBER(J69),(J69*SkillIncrease),"")</f>
        <v/>
      </c>
      <c r="M69" s="238" t="str">
        <f t="shared" si="15"/>
        <v/>
      </c>
      <c r="O69" s="149" t="str">
        <f>IF(ISNUMBER(M69),(M69*SkillIncrease),"")</f>
        <v/>
      </c>
    </row>
    <row r="70" outlineLevel="1">
      <c r="A70" s="35" t="str">
        <f>CLASSDATA!A70</f>
        <v>SkillIncreaseExtra-L12</v>
      </c>
      <c r="B70" s="35" t="str">
        <f>CLASSDATA!B70</f>
        <v>L12</v>
      </c>
      <c r="C70" s="35" t="str">
        <f>CLASSDATA!C70</f>
        <v/>
      </c>
      <c r="D70" s="148" t="str">
        <f t="array" ref="D70">INDEX(ALLCLASSDATA,MATCH(A70,CLASSFEATUREHEADERS,0),MATCH($D$2,CLASSNAMEHEADERS,0))</f>
        <v/>
      </c>
      <c r="E70" s="149" t="str">
        <f t="array" ref="E70">INDEX(ALLCLASSDATA,MATCH(A70,CLASSFEATUREHEADERS,0),MATCH(($D$2 &amp; "Points"),CLASSNAMEHEADERS,0))</f>
        <v/>
      </c>
      <c r="F70" s="12" t="b">
        <v>0</v>
      </c>
      <c r="G70" s="148" t="str">
        <f t="array" ref="G70">INDEX(ALLCLASSDATA,MATCH(A70,CLASSFEATUREHEADERS,0),MATCH($G$2,CLASSNAMEHEADERS,0))</f>
        <v/>
      </c>
      <c r="H70" s="149" t="str">
        <f t="array" ref="H70">INDEX(ALLCLASSDATA,MATCH(A70,CLASSFEATUREHEADERS,0),MATCH(($G$2 &amp; "Points"),CLASSNAMEHEADERS,0))</f>
        <v/>
      </c>
      <c r="I70" s="12" t="b">
        <v>0</v>
      </c>
      <c r="J70" s="238" t="str">
        <f t="shared" si="14"/>
        <v/>
      </c>
      <c r="L70" s="149" t="str">
        <f>IF(ISNUMBER(J70),(J70*SkillIncrease),"")</f>
        <v/>
      </c>
      <c r="M70" s="238" t="str">
        <f t="shared" si="15"/>
        <v/>
      </c>
      <c r="O70" s="149" t="str">
        <f>IF(ISNUMBER(M70),(M70*SkillIncrease),"")</f>
        <v/>
      </c>
    </row>
    <row r="71" outlineLevel="1">
      <c r="A71" s="35" t="str">
        <f>CLASSDATA!A71</f>
        <v>SkillIncreaseExtra-L13</v>
      </c>
      <c r="B71" s="35" t="str">
        <f>CLASSDATA!B71</f>
        <v>L13</v>
      </c>
      <c r="C71" s="35" t="str">
        <f>CLASSDATA!C71</f>
        <v/>
      </c>
      <c r="D71" s="148" t="str">
        <f t="array" ref="D71">INDEX(ALLCLASSDATA,MATCH(A71,CLASSFEATUREHEADERS,0),MATCH($D$2,CLASSNAMEHEADERS,0))</f>
        <v/>
      </c>
      <c r="E71" s="149" t="str">
        <f t="array" ref="E71">INDEX(ALLCLASSDATA,MATCH(A71,CLASSFEATUREHEADERS,0),MATCH(($D$2 &amp; "Points"),CLASSNAMEHEADERS,0))</f>
        <v/>
      </c>
      <c r="F71" s="12" t="b">
        <v>0</v>
      </c>
      <c r="G71" s="148" t="str">
        <f t="array" ref="G71">INDEX(ALLCLASSDATA,MATCH(A71,CLASSFEATUREHEADERS,0),MATCH($G$2,CLASSNAMEHEADERS,0))</f>
        <v/>
      </c>
      <c r="H71" s="149" t="str">
        <f t="array" ref="H71">INDEX(ALLCLASSDATA,MATCH(A71,CLASSFEATUREHEADERS,0),MATCH(($G$2 &amp; "Points"),CLASSNAMEHEADERS,0))</f>
        <v/>
      </c>
      <c r="I71" s="12" t="b">
        <v>0</v>
      </c>
      <c r="J71" s="238" t="str">
        <f t="shared" si="14"/>
        <v/>
      </c>
      <c r="L71" s="149" t="str">
        <f>IF(ISNUMBER(J71),(J71*SkillIncrease),"")</f>
        <v/>
      </c>
      <c r="M71" s="238" t="str">
        <f t="shared" si="15"/>
        <v/>
      </c>
      <c r="O71" s="149" t="str">
        <f>IF(ISNUMBER(M71),(M71*SkillIncrease),"")</f>
        <v/>
      </c>
    </row>
    <row r="72" outlineLevel="1">
      <c r="A72" s="35" t="str">
        <f>CLASSDATA!A72</f>
        <v>SkillIncreaseExtra-L14</v>
      </c>
      <c r="B72" s="35" t="str">
        <f>CLASSDATA!B72</f>
        <v>L14</v>
      </c>
      <c r="C72" s="35" t="str">
        <f>CLASSDATA!C72</f>
        <v/>
      </c>
      <c r="D72" s="148" t="str">
        <f t="array" ref="D72">INDEX(ALLCLASSDATA,MATCH(A72,CLASSFEATUREHEADERS,0),MATCH($D$2,CLASSNAMEHEADERS,0))</f>
        <v/>
      </c>
      <c r="E72" s="149" t="str">
        <f t="array" ref="E72">INDEX(ALLCLASSDATA,MATCH(A72,CLASSFEATUREHEADERS,0),MATCH(($D$2 &amp; "Points"),CLASSNAMEHEADERS,0))</f>
        <v/>
      </c>
      <c r="F72" s="12" t="b">
        <v>0</v>
      </c>
      <c r="G72" s="148" t="str">
        <f t="array" ref="G72">INDEX(ALLCLASSDATA,MATCH(A72,CLASSFEATUREHEADERS,0),MATCH($G$2,CLASSNAMEHEADERS,0))</f>
        <v/>
      </c>
      <c r="H72" s="149" t="str">
        <f t="array" ref="H72">INDEX(ALLCLASSDATA,MATCH(A72,CLASSFEATUREHEADERS,0),MATCH(($G$2 &amp; "Points"),CLASSNAMEHEADERS,0))</f>
        <v/>
      </c>
      <c r="I72" s="12" t="b">
        <v>0</v>
      </c>
      <c r="J72" s="238" t="str">
        <f t="shared" si="14"/>
        <v/>
      </c>
      <c r="L72" s="149" t="str">
        <f>IF(ISNUMBER(J72),(J72*SkillIncrease),"")</f>
        <v/>
      </c>
      <c r="M72" s="238" t="str">
        <f t="shared" si="15"/>
        <v/>
      </c>
      <c r="O72" s="149" t="str">
        <f>IF(ISNUMBER(M72),(M72*SkillIncrease),"")</f>
        <v/>
      </c>
    </row>
    <row r="73" outlineLevel="1">
      <c r="A73" s="35" t="str">
        <f>CLASSDATA!A73</f>
        <v>SkillIncreaseExtra-L15</v>
      </c>
      <c r="B73" s="35" t="str">
        <f>CLASSDATA!B73</f>
        <v>L15</v>
      </c>
      <c r="C73" s="35" t="str">
        <f>CLASSDATA!C73</f>
        <v/>
      </c>
      <c r="D73" s="148" t="str">
        <f t="array" ref="D73">INDEX(ALLCLASSDATA,MATCH(A73,CLASSFEATUREHEADERS,0),MATCH($D$2,CLASSNAMEHEADERS,0))</f>
        <v/>
      </c>
      <c r="E73" s="149" t="str">
        <f t="array" ref="E73">INDEX(ALLCLASSDATA,MATCH(A73,CLASSFEATUREHEADERS,0),MATCH(($D$2 &amp; "Points"),CLASSNAMEHEADERS,0))</f>
        <v/>
      </c>
      <c r="F73" s="12" t="b">
        <v>0</v>
      </c>
      <c r="G73" s="148" t="str">
        <f t="array" ref="G73">INDEX(ALLCLASSDATA,MATCH(A73,CLASSFEATUREHEADERS,0),MATCH($G$2,CLASSNAMEHEADERS,0))</f>
        <v/>
      </c>
      <c r="H73" s="149" t="str">
        <f t="array" ref="H73">INDEX(ALLCLASSDATA,MATCH(A73,CLASSFEATUREHEADERS,0),MATCH(($G$2 &amp; "Points"),CLASSNAMEHEADERS,0))</f>
        <v/>
      </c>
      <c r="I73" s="12" t="b">
        <v>0</v>
      </c>
      <c r="J73" s="238" t="str">
        <f t="shared" si="14"/>
        <v/>
      </c>
      <c r="L73" s="149" t="str">
        <f>IF(ISNUMBER(J73),(J73*SkillIncrease),"")</f>
        <v/>
      </c>
      <c r="M73" s="238" t="str">
        <f t="shared" si="15"/>
        <v/>
      </c>
      <c r="O73" s="149" t="str">
        <f>IF(ISNUMBER(M73),(M73*SkillIncrease),"")</f>
        <v/>
      </c>
    </row>
    <row r="74" outlineLevel="1">
      <c r="A74" s="35" t="str">
        <f>CLASSDATA!A74</f>
        <v>SkillIncreaseExtra-L16</v>
      </c>
      <c r="B74" s="35" t="str">
        <f>CLASSDATA!B74</f>
        <v>L16</v>
      </c>
      <c r="C74" s="35" t="str">
        <f>CLASSDATA!C74</f>
        <v/>
      </c>
      <c r="D74" s="148" t="str">
        <f t="array" ref="D74">INDEX(ALLCLASSDATA,MATCH(A74,CLASSFEATUREHEADERS,0),MATCH($D$2,CLASSNAMEHEADERS,0))</f>
        <v/>
      </c>
      <c r="E74" s="149" t="str">
        <f t="array" ref="E74">INDEX(ALLCLASSDATA,MATCH(A74,CLASSFEATUREHEADERS,0),MATCH(($D$2 &amp; "Points"),CLASSNAMEHEADERS,0))</f>
        <v/>
      </c>
      <c r="F74" s="12" t="b">
        <v>0</v>
      </c>
      <c r="G74" s="148" t="str">
        <f t="array" ref="G74">INDEX(ALLCLASSDATA,MATCH(A74,CLASSFEATUREHEADERS,0),MATCH($G$2,CLASSNAMEHEADERS,0))</f>
        <v/>
      </c>
      <c r="H74" s="149" t="str">
        <f t="array" ref="H74">INDEX(ALLCLASSDATA,MATCH(A74,CLASSFEATUREHEADERS,0),MATCH(($G$2 &amp; "Points"),CLASSNAMEHEADERS,0))</f>
        <v/>
      </c>
      <c r="I74" s="12" t="b">
        <v>0</v>
      </c>
      <c r="J74" s="238" t="str">
        <f t="shared" si="14"/>
        <v/>
      </c>
      <c r="L74" s="149" t="str">
        <f>IF(ISNUMBER(J74),(J74*SkillIncrease),"")</f>
        <v/>
      </c>
      <c r="M74" s="238" t="str">
        <f t="shared" si="15"/>
        <v/>
      </c>
      <c r="O74" s="149" t="str">
        <f>IF(ISNUMBER(M74),(M74*SkillIncrease),"")</f>
        <v/>
      </c>
    </row>
    <row r="75" outlineLevel="1">
      <c r="A75" s="35" t="str">
        <f>CLASSDATA!A75</f>
        <v>SkillIncreaseExtra-L17</v>
      </c>
      <c r="B75" s="35" t="str">
        <f>CLASSDATA!B75</f>
        <v>L17</v>
      </c>
      <c r="C75" s="35" t="str">
        <f>CLASSDATA!C75</f>
        <v/>
      </c>
      <c r="D75" s="148" t="str">
        <f t="array" ref="D75">INDEX(ALLCLASSDATA,MATCH(A75,CLASSFEATUREHEADERS,0),MATCH($D$2,CLASSNAMEHEADERS,0))</f>
        <v/>
      </c>
      <c r="E75" s="149" t="str">
        <f t="array" ref="E75">INDEX(ALLCLASSDATA,MATCH(A75,CLASSFEATUREHEADERS,0),MATCH(($D$2 &amp; "Points"),CLASSNAMEHEADERS,0))</f>
        <v/>
      </c>
      <c r="F75" s="12" t="b">
        <v>0</v>
      </c>
      <c r="G75" s="148" t="str">
        <f t="array" ref="G75">INDEX(ALLCLASSDATA,MATCH(A75,CLASSFEATUREHEADERS,0),MATCH($G$2,CLASSNAMEHEADERS,0))</f>
        <v/>
      </c>
      <c r="H75" s="149" t="str">
        <f t="array" ref="H75">INDEX(ALLCLASSDATA,MATCH(A75,CLASSFEATUREHEADERS,0),MATCH(($G$2 &amp; "Points"),CLASSNAMEHEADERS,0))</f>
        <v/>
      </c>
      <c r="I75" s="12" t="b">
        <v>0</v>
      </c>
      <c r="J75" s="238" t="str">
        <f t="shared" si="14"/>
        <v/>
      </c>
      <c r="L75" s="149" t="str">
        <f>IF(ISNUMBER(J75),(J75*SkillIncrease),"")</f>
        <v/>
      </c>
      <c r="M75" s="238" t="str">
        <f t="shared" si="15"/>
        <v/>
      </c>
      <c r="O75" s="149" t="str">
        <f>IF(ISNUMBER(M75),(M75*SkillIncrease),"")</f>
        <v/>
      </c>
    </row>
    <row r="76" outlineLevel="1">
      <c r="A76" s="35" t="str">
        <f>CLASSDATA!A76</f>
        <v>SkillIncreaseExtra-L18</v>
      </c>
      <c r="B76" s="35" t="str">
        <f>CLASSDATA!B76</f>
        <v>L18</v>
      </c>
      <c r="C76" s="35" t="str">
        <f>CLASSDATA!C76</f>
        <v/>
      </c>
      <c r="D76" s="148" t="str">
        <f t="array" ref="D76">INDEX(ALLCLASSDATA,MATCH(A76,CLASSFEATUREHEADERS,0),MATCH($D$2,CLASSNAMEHEADERS,0))</f>
        <v/>
      </c>
      <c r="E76" s="149" t="str">
        <f t="array" ref="E76">INDEX(ALLCLASSDATA,MATCH(A76,CLASSFEATUREHEADERS,0),MATCH(($D$2 &amp; "Points"),CLASSNAMEHEADERS,0))</f>
        <v/>
      </c>
      <c r="F76" s="12" t="b">
        <v>0</v>
      </c>
      <c r="G76" s="148" t="str">
        <f t="array" ref="G76">INDEX(ALLCLASSDATA,MATCH(A76,CLASSFEATUREHEADERS,0),MATCH($G$2,CLASSNAMEHEADERS,0))</f>
        <v/>
      </c>
      <c r="H76" s="149" t="str">
        <f t="array" ref="H76">INDEX(ALLCLASSDATA,MATCH(A76,CLASSFEATUREHEADERS,0),MATCH(($G$2 &amp; "Points"),CLASSNAMEHEADERS,0))</f>
        <v/>
      </c>
      <c r="I76" s="12" t="b">
        <v>0</v>
      </c>
      <c r="J76" s="238" t="str">
        <f t="shared" si="14"/>
        <v/>
      </c>
      <c r="L76" s="149" t="str">
        <f>IF(ISNUMBER(J76),(J76*SkillIncrease),"")</f>
        <v/>
      </c>
      <c r="M76" s="238" t="str">
        <f t="shared" si="15"/>
        <v/>
      </c>
      <c r="O76" s="149" t="str">
        <f>IF(ISNUMBER(M76),(M76*SkillIncrease),"")</f>
        <v/>
      </c>
    </row>
    <row r="77" outlineLevel="1">
      <c r="A77" s="35" t="str">
        <f>CLASSDATA!A77</f>
        <v>SkillIncreaseExtra-L19</v>
      </c>
      <c r="B77" s="35" t="str">
        <f>CLASSDATA!B77</f>
        <v>L19</v>
      </c>
      <c r="C77" s="35" t="str">
        <f>CLASSDATA!C77</f>
        <v/>
      </c>
      <c r="D77" s="148" t="str">
        <f t="array" ref="D77">INDEX(ALLCLASSDATA,MATCH(A77,CLASSFEATUREHEADERS,0),MATCH($D$2,CLASSNAMEHEADERS,0))</f>
        <v/>
      </c>
      <c r="E77" s="149" t="str">
        <f t="array" ref="E77">INDEX(ALLCLASSDATA,MATCH(A77,CLASSFEATUREHEADERS,0),MATCH(($D$2 &amp; "Points"),CLASSNAMEHEADERS,0))</f>
        <v/>
      </c>
      <c r="F77" s="12" t="b">
        <v>0</v>
      </c>
      <c r="G77" s="148" t="str">
        <f t="array" ref="G77">INDEX(ALLCLASSDATA,MATCH(A77,CLASSFEATUREHEADERS,0),MATCH($G$2,CLASSNAMEHEADERS,0))</f>
        <v/>
      </c>
      <c r="H77" s="149" t="str">
        <f t="array" ref="H77">INDEX(ALLCLASSDATA,MATCH(A77,CLASSFEATUREHEADERS,0),MATCH(($G$2 &amp; "Points"),CLASSNAMEHEADERS,0))</f>
        <v/>
      </c>
      <c r="I77" s="12" t="b">
        <v>0</v>
      </c>
      <c r="J77" s="238" t="str">
        <f t="shared" si="14"/>
        <v/>
      </c>
      <c r="L77" s="149" t="str">
        <f>IF(ISNUMBER(J77),(J77*SkillIncrease),"")</f>
        <v/>
      </c>
      <c r="M77" s="238" t="str">
        <f t="shared" si="15"/>
        <v/>
      </c>
      <c r="O77" s="149" t="str">
        <f>IF(ISNUMBER(M77),(M77*SkillIncrease),"")</f>
        <v/>
      </c>
    </row>
    <row r="78" outlineLevel="1">
      <c r="A78" s="35" t="str">
        <f>CLASSDATA!A78</f>
        <v>SkillIncreaseExtra-L20</v>
      </c>
      <c r="B78" s="35" t="str">
        <f>CLASSDATA!B78</f>
        <v>L20</v>
      </c>
      <c r="C78" s="35" t="str">
        <f>CLASSDATA!C78</f>
        <v/>
      </c>
      <c r="D78" s="148" t="str">
        <f t="array" ref="D78">INDEX(ALLCLASSDATA,MATCH(A78,CLASSFEATUREHEADERS,0),MATCH($D$2,CLASSNAMEHEADERS,0))</f>
        <v/>
      </c>
      <c r="E78" s="149" t="str">
        <f t="array" ref="E78">INDEX(ALLCLASSDATA,MATCH(A78,CLASSFEATUREHEADERS,0),MATCH(($D$2 &amp; "Points"),CLASSNAMEHEADERS,0))</f>
        <v/>
      </c>
      <c r="F78" s="12" t="b">
        <v>0</v>
      </c>
      <c r="G78" s="148" t="str">
        <f t="array" ref="G78">INDEX(ALLCLASSDATA,MATCH(A78,CLASSFEATUREHEADERS,0),MATCH($G$2,CLASSNAMEHEADERS,0))</f>
        <v/>
      </c>
      <c r="H78" s="149" t="str">
        <f t="array" ref="H78">INDEX(ALLCLASSDATA,MATCH(A78,CLASSFEATUREHEADERS,0),MATCH(($G$2 &amp; "Points"),CLASSNAMEHEADERS,0))</f>
        <v/>
      </c>
      <c r="I78" s="12" t="b">
        <v>0</v>
      </c>
      <c r="J78" s="238" t="str">
        <f t="shared" si="14"/>
        <v/>
      </c>
      <c r="L78" s="149" t="str">
        <f>IF(ISNUMBER(J78),(J78*SkillIncrease),"")</f>
        <v/>
      </c>
      <c r="M78" s="238" t="str">
        <f t="shared" si="15"/>
        <v/>
      </c>
      <c r="O78" s="149" t="str">
        <f>IF(ISNUMBER(M78),(M78*SkillIncrease),"")</f>
        <v/>
      </c>
    </row>
    <row r="79" outlineLevel="1">
      <c r="A79" s="35" t="str">
        <f>CLASSDATA!A79</f>
        <v>SkillIncreaseExtraTotal</v>
      </c>
      <c r="B79" s="35" t="str">
        <f>CLASSDATA!B79</f>
        <v/>
      </c>
      <c r="C79" s="35" t="str">
        <f>CLASSDATA!C79</f>
        <v/>
      </c>
      <c r="D79" s="148">
        <f t="array" ref="D79">INDEX(ALLCLASSDATA,MATCH(A79,CLASSFEATUREHEADERS,0),MATCH($D$2,CLASSNAMEHEADERS,0))</f>
        <v>0</v>
      </c>
      <c r="E79" s="149">
        <f t="array" ref="E79">INDEX(ALLCLASSDATA,MATCH(A79,CLASSFEATUREHEADERS,0),MATCH(($D$2 &amp; "Points"),CLASSNAMEHEADERS,0))</f>
        <v>0</v>
      </c>
      <c r="G79" s="148">
        <f t="array" ref="G79">INDEX(ALLCLASSDATA,MATCH(A79,CLASSFEATUREHEADERS,0),MATCH($G$2,CLASSNAMEHEADERS,0))</f>
        <v>0</v>
      </c>
      <c r="H79" s="149">
        <f t="array" ref="H79">INDEX(ALLCLASSDATA,MATCH(A79,CLASSFEATUREHEADERS,0),MATCH(($G$2 &amp; "Points"),CLASSNAMEHEADERS,0))</f>
        <v>0</v>
      </c>
      <c r="J79" s="252">
        <f t="shared" ref="J79:L79" si="16">SUM(J60:J78)</f>
        <v>0</v>
      </c>
      <c r="K79" s="35">
        <f t="shared" si="16"/>
        <v>0</v>
      </c>
      <c r="L79" s="35">
        <f t="shared" si="16"/>
        <v>0</v>
      </c>
      <c r="M79" s="252"/>
      <c r="N79" s="35"/>
      <c r="O79" s="35">
        <f>SUM(O60:O78)</f>
        <v>0</v>
      </c>
    </row>
    <row r="80" outlineLevel="1">
      <c r="A80" s="35" t="str">
        <f>CLASSDATA!A80</f>
        <v>SkillFeatExtra-L01</v>
      </c>
      <c r="B80" s="35" t="str">
        <f>CLASSDATA!B80</f>
        <v>L01</v>
      </c>
      <c r="C80" s="35" t="str">
        <f>CLASSDATA!C80</f>
        <v/>
      </c>
      <c r="D80" s="148" t="str">
        <f t="array" ref="D80">INDEX(ALLCLASSDATA,MATCH(A80,CLASSFEATUREHEADERS,0),MATCH($D$2,CLASSNAMEHEADERS,0))</f>
        <v/>
      </c>
      <c r="E80" s="149" t="str">
        <f t="array" ref="E80">INDEX(ALLCLASSDATA,MATCH(A80,CLASSFEATUREHEADERS,0),MATCH(($D$2 &amp; "Points"),CLASSNAMEHEADERS,0))</f>
        <v/>
      </c>
      <c r="F80" s="12" t="b">
        <v>0</v>
      </c>
      <c r="G80" s="148" t="str">
        <f t="array" ref="G80">INDEX(ALLCLASSDATA,MATCH(A80,CLASSFEATUREHEADERS,0),MATCH($G$2,CLASSNAMEHEADERS,0))</f>
        <v/>
      </c>
      <c r="H80" s="149" t="str">
        <f t="array" ref="H80">INDEX(ALLCLASSDATA,MATCH(A80,CLASSFEATUREHEADERS,0),MATCH(($G$2 &amp; "Points"),CLASSNAMEHEADERS,0))</f>
        <v/>
      </c>
      <c r="I80" s="12" t="b">
        <v>0</v>
      </c>
      <c r="J80" s="238" t="str">
        <f t="shared" ref="J80:J99" si="17">IF((D80+G80)=0,"",(D80+G80))</f>
        <v/>
      </c>
      <c r="L80" s="149" t="str">
        <f>IF(ISNUMBER(J80),(J80*SkillIncrease),"")</f>
        <v/>
      </c>
      <c r="M80" s="238" t="str">
        <f t="shared" ref="M80:M99" si="18">IF(F80=TRUE,D80,(IF(I80=TRUE,G80,"")))</f>
        <v/>
      </c>
      <c r="O80" s="149" t="str">
        <f>IF(ISNUMBER(M80),(M80*SkillIncrease),"")</f>
        <v/>
      </c>
    </row>
    <row r="81" outlineLevel="1">
      <c r="A81" s="35" t="str">
        <f>CLASSDATA!A81</f>
        <v>SkillFeatExtra-L02</v>
      </c>
      <c r="B81" s="35" t="str">
        <f>CLASSDATA!B81</f>
        <v>L02</v>
      </c>
      <c r="C81" s="35" t="str">
        <f>CLASSDATA!C81</f>
        <v/>
      </c>
      <c r="D81" s="148" t="str">
        <f t="array" ref="D81">INDEX(ALLCLASSDATA,MATCH(A81,CLASSFEATUREHEADERS,0),MATCH($D$2,CLASSNAMEHEADERS,0))</f>
        <v/>
      </c>
      <c r="E81" s="149" t="str">
        <f t="array" ref="E81">INDEX(ALLCLASSDATA,MATCH(A81,CLASSFEATUREHEADERS,0),MATCH(($D$2 &amp; "Points"),CLASSNAMEHEADERS,0))</f>
        <v/>
      </c>
      <c r="F81" s="12" t="b">
        <v>0</v>
      </c>
      <c r="G81" s="148" t="str">
        <f t="array" ref="G81">INDEX(ALLCLASSDATA,MATCH(A81,CLASSFEATUREHEADERS,0),MATCH($G$2,CLASSNAMEHEADERS,0))</f>
        <v/>
      </c>
      <c r="H81" s="149" t="str">
        <f t="array" ref="H81">INDEX(ALLCLASSDATA,MATCH(A81,CLASSFEATUREHEADERS,0),MATCH(($G$2 &amp; "Points"),CLASSNAMEHEADERS,0))</f>
        <v/>
      </c>
      <c r="I81" s="12" t="b">
        <v>0</v>
      </c>
      <c r="J81" s="238" t="str">
        <f t="shared" si="17"/>
        <v/>
      </c>
      <c r="L81" s="149" t="str">
        <f>IF(ISNUMBER(J81),(J81*SkillIncrease),"")</f>
        <v/>
      </c>
      <c r="M81" s="238" t="str">
        <f t="shared" si="18"/>
        <v/>
      </c>
      <c r="O81" s="149" t="str">
        <f>IF(ISNUMBER(M81),(M81*SkillIncrease),"")</f>
        <v/>
      </c>
    </row>
    <row r="82" outlineLevel="1">
      <c r="A82" s="35" t="str">
        <f>CLASSDATA!A82</f>
        <v>SkillFeatExtra-L03</v>
      </c>
      <c r="B82" s="35" t="str">
        <f>CLASSDATA!B82</f>
        <v>L03</v>
      </c>
      <c r="C82" s="35" t="str">
        <f>CLASSDATA!C82</f>
        <v/>
      </c>
      <c r="D82" s="148" t="str">
        <f t="array" ref="D82">INDEX(ALLCLASSDATA,MATCH(A82,CLASSFEATUREHEADERS,0),MATCH($D$2,CLASSNAMEHEADERS,0))</f>
        <v/>
      </c>
      <c r="E82" s="149" t="str">
        <f t="array" ref="E82">INDEX(ALLCLASSDATA,MATCH(A82,CLASSFEATUREHEADERS,0),MATCH(($D$2 &amp; "Points"),CLASSNAMEHEADERS,0))</f>
        <v/>
      </c>
      <c r="F82" s="12" t="b">
        <v>0</v>
      </c>
      <c r="G82" s="148" t="str">
        <f t="array" ref="G82">INDEX(ALLCLASSDATA,MATCH(A82,CLASSFEATUREHEADERS,0),MATCH($G$2,CLASSNAMEHEADERS,0))</f>
        <v/>
      </c>
      <c r="H82" s="149" t="str">
        <f t="array" ref="H82">INDEX(ALLCLASSDATA,MATCH(A82,CLASSFEATUREHEADERS,0),MATCH(($G$2 &amp; "Points"),CLASSNAMEHEADERS,0))</f>
        <v/>
      </c>
      <c r="I82" s="12" t="b">
        <v>0</v>
      </c>
      <c r="J82" s="238" t="str">
        <f t="shared" si="17"/>
        <v/>
      </c>
      <c r="L82" s="149" t="str">
        <f>IF(ISNUMBER(J82),(J82*SkillIncrease),"")</f>
        <v/>
      </c>
      <c r="M82" s="238" t="str">
        <f t="shared" si="18"/>
        <v/>
      </c>
      <c r="O82" s="149" t="str">
        <f>IF(ISNUMBER(M82),(M82*SkillIncrease),"")</f>
        <v/>
      </c>
    </row>
    <row r="83" outlineLevel="1">
      <c r="A83" s="35" t="str">
        <f>CLASSDATA!A83</f>
        <v>SkillFeatExtra-L04</v>
      </c>
      <c r="B83" s="35" t="str">
        <f>CLASSDATA!B83</f>
        <v>L04</v>
      </c>
      <c r="C83" s="35" t="str">
        <f>CLASSDATA!C83</f>
        <v/>
      </c>
      <c r="D83" s="148" t="str">
        <f t="array" ref="D83">INDEX(ALLCLASSDATA,MATCH(A83,CLASSFEATUREHEADERS,0),MATCH($D$2,CLASSNAMEHEADERS,0))</f>
        <v/>
      </c>
      <c r="E83" s="149" t="str">
        <f t="array" ref="E83">INDEX(ALLCLASSDATA,MATCH(A83,CLASSFEATUREHEADERS,0),MATCH(($D$2 &amp; "Points"),CLASSNAMEHEADERS,0))</f>
        <v/>
      </c>
      <c r="F83" s="12" t="b">
        <v>0</v>
      </c>
      <c r="G83" s="148" t="str">
        <f t="array" ref="G83">INDEX(ALLCLASSDATA,MATCH(A83,CLASSFEATUREHEADERS,0),MATCH($G$2,CLASSNAMEHEADERS,0))</f>
        <v/>
      </c>
      <c r="H83" s="149" t="str">
        <f t="array" ref="H83">INDEX(ALLCLASSDATA,MATCH(A83,CLASSFEATUREHEADERS,0),MATCH(($G$2 &amp; "Points"),CLASSNAMEHEADERS,0))</f>
        <v/>
      </c>
      <c r="I83" s="12" t="b">
        <v>0</v>
      </c>
      <c r="J83" s="238" t="str">
        <f t="shared" si="17"/>
        <v/>
      </c>
      <c r="L83" s="149" t="str">
        <f>IF(ISNUMBER(J83),(J83*SkillIncrease),"")</f>
        <v/>
      </c>
      <c r="M83" s="238" t="str">
        <f t="shared" si="18"/>
        <v/>
      </c>
      <c r="O83" s="149" t="str">
        <f>IF(ISNUMBER(M83),(M83*SkillIncrease),"")</f>
        <v/>
      </c>
    </row>
    <row r="84" outlineLevel="1">
      <c r="A84" s="35" t="str">
        <f>CLASSDATA!A84</f>
        <v>SkillFeatExtra-L05</v>
      </c>
      <c r="B84" s="35" t="str">
        <f>CLASSDATA!B84</f>
        <v>L05</v>
      </c>
      <c r="C84" s="35" t="str">
        <f>CLASSDATA!C84</f>
        <v/>
      </c>
      <c r="D84" s="148" t="str">
        <f t="array" ref="D84">INDEX(ALLCLASSDATA,MATCH(A84,CLASSFEATUREHEADERS,0),MATCH($D$2,CLASSNAMEHEADERS,0))</f>
        <v/>
      </c>
      <c r="E84" s="149" t="str">
        <f t="array" ref="E84">INDEX(ALLCLASSDATA,MATCH(A84,CLASSFEATUREHEADERS,0),MATCH(($D$2 &amp; "Points"),CLASSNAMEHEADERS,0))</f>
        <v/>
      </c>
      <c r="F84" s="12" t="b">
        <v>0</v>
      </c>
      <c r="G84" s="148" t="str">
        <f t="array" ref="G84">INDEX(ALLCLASSDATA,MATCH(A84,CLASSFEATUREHEADERS,0),MATCH($G$2,CLASSNAMEHEADERS,0))</f>
        <v/>
      </c>
      <c r="H84" s="149" t="str">
        <f t="array" ref="H84">INDEX(ALLCLASSDATA,MATCH(A84,CLASSFEATUREHEADERS,0),MATCH(($G$2 &amp; "Points"),CLASSNAMEHEADERS,0))</f>
        <v/>
      </c>
      <c r="I84" s="12" t="b">
        <v>0</v>
      </c>
      <c r="J84" s="238" t="str">
        <f t="shared" si="17"/>
        <v/>
      </c>
      <c r="L84" s="149" t="str">
        <f>IF(ISNUMBER(J84),(J84*SkillIncrease),"")</f>
        <v/>
      </c>
      <c r="M84" s="238" t="str">
        <f t="shared" si="18"/>
        <v/>
      </c>
      <c r="O84" s="149" t="str">
        <f>IF(ISNUMBER(M84),(M84*SkillIncrease),"")</f>
        <v/>
      </c>
    </row>
    <row r="85" outlineLevel="1">
      <c r="A85" s="35" t="str">
        <f>CLASSDATA!A85</f>
        <v>SkillFeatExtra-L06</v>
      </c>
      <c r="B85" s="35" t="str">
        <f>CLASSDATA!B85</f>
        <v>L06</v>
      </c>
      <c r="C85" s="35" t="str">
        <f>CLASSDATA!C85</f>
        <v/>
      </c>
      <c r="D85" s="148" t="str">
        <f t="array" ref="D85">INDEX(ALLCLASSDATA,MATCH(A85,CLASSFEATUREHEADERS,0),MATCH($D$2,CLASSNAMEHEADERS,0))</f>
        <v/>
      </c>
      <c r="E85" s="149" t="str">
        <f t="array" ref="E85">INDEX(ALLCLASSDATA,MATCH(A85,CLASSFEATUREHEADERS,0),MATCH(($D$2 &amp; "Points"),CLASSNAMEHEADERS,0))</f>
        <v/>
      </c>
      <c r="F85" s="12" t="b">
        <v>0</v>
      </c>
      <c r="G85" s="148" t="str">
        <f t="array" ref="G85">INDEX(ALLCLASSDATA,MATCH(A85,CLASSFEATUREHEADERS,0),MATCH($G$2,CLASSNAMEHEADERS,0))</f>
        <v/>
      </c>
      <c r="H85" s="149" t="str">
        <f t="array" ref="H85">INDEX(ALLCLASSDATA,MATCH(A85,CLASSFEATUREHEADERS,0),MATCH(($G$2 &amp; "Points"),CLASSNAMEHEADERS,0))</f>
        <v/>
      </c>
      <c r="I85" s="12" t="b">
        <v>0</v>
      </c>
      <c r="J85" s="238" t="str">
        <f t="shared" si="17"/>
        <v/>
      </c>
      <c r="L85" s="149" t="str">
        <f>IF(ISNUMBER(J85),(J85*SkillIncrease),"")</f>
        <v/>
      </c>
      <c r="M85" s="238" t="str">
        <f t="shared" si="18"/>
        <v/>
      </c>
      <c r="O85" s="149" t="str">
        <f>IF(ISNUMBER(M85),(M85*SkillIncrease),"")</f>
        <v/>
      </c>
    </row>
    <row r="86" outlineLevel="1">
      <c r="A86" s="35" t="str">
        <f>CLASSDATA!A86</f>
        <v>SkillFeatExtra-L07</v>
      </c>
      <c r="B86" s="35" t="str">
        <f>CLASSDATA!B86</f>
        <v>L07</v>
      </c>
      <c r="C86" s="35" t="str">
        <f>CLASSDATA!C86</f>
        <v/>
      </c>
      <c r="D86" s="148" t="str">
        <f t="array" ref="D86">INDEX(ALLCLASSDATA,MATCH(A86,CLASSFEATUREHEADERS,0),MATCH($D$2,CLASSNAMEHEADERS,0))</f>
        <v/>
      </c>
      <c r="E86" s="149" t="str">
        <f t="array" ref="E86">INDEX(ALLCLASSDATA,MATCH(A86,CLASSFEATUREHEADERS,0),MATCH(($D$2 &amp; "Points"),CLASSNAMEHEADERS,0))</f>
        <v/>
      </c>
      <c r="F86" s="12" t="b">
        <v>0</v>
      </c>
      <c r="G86" s="148" t="str">
        <f t="array" ref="G86">INDEX(ALLCLASSDATA,MATCH(A86,CLASSFEATUREHEADERS,0),MATCH($G$2,CLASSNAMEHEADERS,0))</f>
        <v/>
      </c>
      <c r="H86" s="149" t="str">
        <f t="array" ref="H86">INDEX(ALLCLASSDATA,MATCH(A86,CLASSFEATUREHEADERS,0),MATCH(($G$2 &amp; "Points"),CLASSNAMEHEADERS,0))</f>
        <v/>
      </c>
      <c r="I86" s="12" t="b">
        <v>0</v>
      </c>
      <c r="J86" s="238" t="str">
        <f t="shared" si="17"/>
        <v/>
      </c>
      <c r="L86" s="149" t="str">
        <f>IF(ISNUMBER(J86),(J86*SkillIncrease),"")</f>
        <v/>
      </c>
      <c r="M86" s="238" t="str">
        <f t="shared" si="18"/>
        <v/>
      </c>
      <c r="O86" s="149" t="str">
        <f>IF(ISNUMBER(M86),(M86*SkillIncrease),"")</f>
        <v/>
      </c>
    </row>
    <row r="87" outlineLevel="1">
      <c r="A87" s="35" t="str">
        <f>CLASSDATA!A87</f>
        <v>SkillFeatExtra-L08</v>
      </c>
      <c r="B87" s="35" t="str">
        <f>CLASSDATA!B87</f>
        <v>L08</v>
      </c>
      <c r="C87" s="35" t="str">
        <f>CLASSDATA!C87</f>
        <v/>
      </c>
      <c r="D87" s="148" t="str">
        <f t="array" ref="D87">INDEX(ALLCLASSDATA,MATCH(A87,CLASSFEATUREHEADERS,0),MATCH($D$2,CLASSNAMEHEADERS,0))</f>
        <v/>
      </c>
      <c r="E87" s="149" t="str">
        <f t="array" ref="E87">INDEX(ALLCLASSDATA,MATCH(A87,CLASSFEATUREHEADERS,0),MATCH(($D$2 &amp; "Points"),CLASSNAMEHEADERS,0))</f>
        <v/>
      </c>
      <c r="F87" s="12" t="b">
        <v>0</v>
      </c>
      <c r="G87" s="148" t="str">
        <f t="array" ref="G87">INDEX(ALLCLASSDATA,MATCH(A87,CLASSFEATUREHEADERS,0),MATCH($G$2,CLASSNAMEHEADERS,0))</f>
        <v/>
      </c>
      <c r="H87" s="149" t="str">
        <f t="array" ref="H87">INDEX(ALLCLASSDATA,MATCH(A87,CLASSFEATUREHEADERS,0),MATCH(($G$2 &amp; "Points"),CLASSNAMEHEADERS,0))</f>
        <v/>
      </c>
      <c r="I87" s="12" t="b">
        <v>0</v>
      </c>
      <c r="J87" s="238" t="str">
        <f t="shared" si="17"/>
        <v/>
      </c>
      <c r="L87" s="149" t="str">
        <f>IF(ISNUMBER(J87),(J87*SkillIncrease),"")</f>
        <v/>
      </c>
      <c r="M87" s="238" t="str">
        <f t="shared" si="18"/>
        <v/>
      </c>
      <c r="O87" s="149" t="str">
        <f>IF(ISNUMBER(M87),(M87*SkillIncrease),"")</f>
        <v/>
      </c>
    </row>
    <row r="88" outlineLevel="1">
      <c r="A88" s="35" t="str">
        <f>CLASSDATA!A88</f>
        <v>SkillFeatExtra-L09</v>
      </c>
      <c r="B88" s="35" t="str">
        <f>CLASSDATA!B88</f>
        <v>L09</v>
      </c>
      <c r="C88" s="35" t="str">
        <f>CLASSDATA!C88</f>
        <v/>
      </c>
      <c r="D88" s="148" t="str">
        <f t="array" ref="D88">INDEX(ALLCLASSDATA,MATCH(A88,CLASSFEATUREHEADERS,0),MATCH($D$2,CLASSNAMEHEADERS,0))</f>
        <v/>
      </c>
      <c r="E88" s="149" t="str">
        <f t="array" ref="E88">INDEX(ALLCLASSDATA,MATCH(A88,CLASSFEATUREHEADERS,0),MATCH(($D$2 &amp; "Points"),CLASSNAMEHEADERS,0))</f>
        <v/>
      </c>
      <c r="F88" s="12" t="b">
        <v>0</v>
      </c>
      <c r="G88" s="148" t="str">
        <f t="array" ref="G88">INDEX(ALLCLASSDATA,MATCH(A88,CLASSFEATUREHEADERS,0),MATCH($G$2,CLASSNAMEHEADERS,0))</f>
        <v/>
      </c>
      <c r="H88" s="149" t="str">
        <f t="array" ref="H88">INDEX(ALLCLASSDATA,MATCH(A88,CLASSFEATUREHEADERS,0),MATCH(($G$2 &amp; "Points"),CLASSNAMEHEADERS,0))</f>
        <v/>
      </c>
      <c r="I88" s="12" t="b">
        <v>0</v>
      </c>
      <c r="J88" s="238" t="str">
        <f t="shared" si="17"/>
        <v/>
      </c>
      <c r="L88" s="149" t="str">
        <f>IF(ISNUMBER(J88),(J88*SkillIncrease),"")</f>
        <v/>
      </c>
      <c r="M88" s="238" t="str">
        <f t="shared" si="18"/>
        <v/>
      </c>
      <c r="O88" s="149" t="str">
        <f>IF(ISNUMBER(M88),(M88*SkillIncrease),"")</f>
        <v/>
      </c>
    </row>
    <row r="89" outlineLevel="1">
      <c r="A89" s="35" t="str">
        <f>CLASSDATA!A89</f>
        <v>SkillFeatExtra-L10</v>
      </c>
      <c r="B89" s="35" t="str">
        <f>CLASSDATA!B89</f>
        <v>L10</v>
      </c>
      <c r="C89" s="35" t="str">
        <f>CLASSDATA!C89</f>
        <v/>
      </c>
      <c r="D89" s="148" t="str">
        <f t="array" ref="D89">INDEX(ALLCLASSDATA,MATCH(A89,CLASSFEATUREHEADERS,0),MATCH($D$2,CLASSNAMEHEADERS,0))</f>
        <v/>
      </c>
      <c r="E89" s="149" t="str">
        <f t="array" ref="E89">INDEX(ALLCLASSDATA,MATCH(A89,CLASSFEATUREHEADERS,0),MATCH(($D$2 &amp; "Points"),CLASSNAMEHEADERS,0))</f>
        <v/>
      </c>
      <c r="F89" s="12" t="b">
        <v>0</v>
      </c>
      <c r="G89" s="148" t="str">
        <f t="array" ref="G89">INDEX(ALLCLASSDATA,MATCH(A89,CLASSFEATUREHEADERS,0),MATCH($G$2,CLASSNAMEHEADERS,0))</f>
        <v/>
      </c>
      <c r="H89" s="149" t="str">
        <f t="array" ref="H89">INDEX(ALLCLASSDATA,MATCH(A89,CLASSFEATUREHEADERS,0),MATCH(($G$2 &amp; "Points"),CLASSNAMEHEADERS,0))</f>
        <v/>
      </c>
      <c r="I89" s="12" t="b">
        <v>0</v>
      </c>
      <c r="J89" s="238" t="str">
        <f t="shared" si="17"/>
        <v/>
      </c>
      <c r="L89" s="149" t="str">
        <f>IF(ISNUMBER(J89),(J89*SkillIncrease),"")</f>
        <v/>
      </c>
      <c r="M89" s="238" t="str">
        <f t="shared" si="18"/>
        <v/>
      </c>
      <c r="O89" s="149" t="str">
        <f>IF(ISNUMBER(M89),(M89*SkillIncrease),"")</f>
        <v/>
      </c>
    </row>
    <row r="90" outlineLevel="1">
      <c r="A90" s="35" t="str">
        <f>CLASSDATA!A90</f>
        <v>SkillFeatExtra-L11</v>
      </c>
      <c r="B90" s="35" t="str">
        <f>CLASSDATA!B90</f>
        <v>L11</v>
      </c>
      <c r="C90" s="35" t="str">
        <f>CLASSDATA!C90</f>
        <v/>
      </c>
      <c r="D90" s="148" t="str">
        <f t="array" ref="D90">INDEX(ALLCLASSDATA,MATCH(A90,CLASSFEATUREHEADERS,0),MATCH($D$2,CLASSNAMEHEADERS,0))</f>
        <v/>
      </c>
      <c r="E90" s="149" t="str">
        <f t="array" ref="E90">INDEX(ALLCLASSDATA,MATCH(A90,CLASSFEATUREHEADERS,0),MATCH(($D$2 &amp; "Points"),CLASSNAMEHEADERS,0))</f>
        <v/>
      </c>
      <c r="F90" s="12" t="b">
        <v>0</v>
      </c>
      <c r="G90" s="148" t="str">
        <f t="array" ref="G90">INDEX(ALLCLASSDATA,MATCH(A90,CLASSFEATUREHEADERS,0),MATCH($G$2,CLASSNAMEHEADERS,0))</f>
        <v/>
      </c>
      <c r="H90" s="149" t="str">
        <f t="array" ref="H90">INDEX(ALLCLASSDATA,MATCH(A90,CLASSFEATUREHEADERS,0),MATCH(($G$2 &amp; "Points"),CLASSNAMEHEADERS,0))</f>
        <v/>
      </c>
      <c r="I90" s="12" t="b">
        <v>0</v>
      </c>
      <c r="J90" s="238" t="str">
        <f t="shared" si="17"/>
        <v/>
      </c>
      <c r="L90" s="149" t="str">
        <f>IF(ISNUMBER(J90),(J90*SkillIncrease),"")</f>
        <v/>
      </c>
      <c r="M90" s="238" t="str">
        <f t="shared" si="18"/>
        <v/>
      </c>
      <c r="O90" s="149" t="str">
        <f>IF(ISNUMBER(M90),(M90*SkillIncrease),"")</f>
        <v/>
      </c>
    </row>
    <row r="91" outlineLevel="1">
      <c r="A91" s="35" t="str">
        <f>CLASSDATA!A91</f>
        <v>SkillFeatExtra-L12</v>
      </c>
      <c r="B91" s="35" t="str">
        <f>CLASSDATA!B91</f>
        <v>L12</v>
      </c>
      <c r="C91" s="35" t="str">
        <f>CLASSDATA!C91</f>
        <v/>
      </c>
      <c r="D91" s="148" t="str">
        <f t="array" ref="D91">INDEX(ALLCLASSDATA,MATCH(A91,CLASSFEATUREHEADERS,0),MATCH($D$2,CLASSNAMEHEADERS,0))</f>
        <v/>
      </c>
      <c r="E91" s="149" t="str">
        <f t="array" ref="E91">INDEX(ALLCLASSDATA,MATCH(A91,CLASSFEATUREHEADERS,0),MATCH(($D$2 &amp; "Points"),CLASSNAMEHEADERS,0))</f>
        <v/>
      </c>
      <c r="F91" s="12" t="b">
        <v>0</v>
      </c>
      <c r="G91" s="148" t="str">
        <f t="array" ref="G91">INDEX(ALLCLASSDATA,MATCH(A91,CLASSFEATUREHEADERS,0),MATCH($G$2,CLASSNAMEHEADERS,0))</f>
        <v/>
      </c>
      <c r="H91" s="149" t="str">
        <f t="array" ref="H91">INDEX(ALLCLASSDATA,MATCH(A91,CLASSFEATUREHEADERS,0),MATCH(($G$2 &amp; "Points"),CLASSNAMEHEADERS,0))</f>
        <v/>
      </c>
      <c r="I91" s="12" t="b">
        <v>0</v>
      </c>
      <c r="J91" s="238" t="str">
        <f t="shared" si="17"/>
        <v/>
      </c>
      <c r="L91" s="149" t="str">
        <f>IF(ISNUMBER(J91),(J91*SkillIncrease),"")</f>
        <v/>
      </c>
      <c r="M91" s="238" t="str">
        <f t="shared" si="18"/>
        <v/>
      </c>
      <c r="O91" s="149" t="str">
        <f>IF(ISNUMBER(M91),(M91*SkillIncrease),"")</f>
        <v/>
      </c>
    </row>
    <row r="92" outlineLevel="1">
      <c r="A92" s="35" t="str">
        <f>CLASSDATA!A92</f>
        <v>SkillFeatExtra-L13</v>
      </c>
      <c r="B92" s="35" t="str">
        <f>CLASSDATA!B92</f>
        <v>L13</v>
      </c>
      <c r="C92" s="35" t="str">
        <f>CLASSDATA!C92</f>
        <v/>
      </c>
      <c r="D92" s="148" t="str">
        <f t="array" ref="D92">INDEX(ALLCLASSDATA,MATCH(A92,CLASSFEATUREHEADERS,0),MATCH($D$2,CLASSNAMEHEADERS,0))</f>
        <v/>
      </c>
      <c r="E92" s="149" t="str">
        <f t="array" ref="E92">INDEX(ALLCLASSDATA,MATCH(A92,CLASSFEATUREHEADERS,0),MATCH(($D$2 &amp; "Points"),CLASSNAMEHEADERS,0))</f>
        <v/>
      </c>
      <c r="F92" s="12" t="b">
        <v>0</v>
      </c>
      <c r="G92" s="148" t="str">
        <f t="array" ref="G92">INDEX(ALLCLASSDATA,MATCH(A92,CLASSFEATUREHEADERS,0),MATCH($G$2,CLASSNAMEHEADERS,0))</f>
        <v/>
      </c>
      <c r="H92" s="149" t="str">
        <f t="array" ref="H92">INDEX(ALLCLASSDATA,MATCH(A92,CLASSFEATUREHEADERS,0),MATCH(($G$2 &amp; "Points"),CLASSNAMEHEADERS,0))</f>
        <v/>
      </c>
      <c r="I92" s="12" t="b">
        <v>0</v>
      </c>
      <c r="J92" s="238" t="str">
        <f t="shared" si="17"/>
        <v/>
      </c>
      <c r="L92" s="149" t="str">
        <f>IF(ISNUMBER(J92),(J92*SkillIncrease),"")</f>
        <v/>
      </c>
      <c r="M92" s="238" t="str">
        <f t="shared" si="18"/>
        <v/>
      </c>
      <c r="O92" s="149" t="str">
        <f>IF(ISNUMBER(M92),(M92*SkillIncrease),"")</f>
        <v/>
      </c>
    </row>
    <row r="93" outlineLevel="1">
      <c r="A93" s="35" t="str">
        <f>CLASSDATA!A93</f>
        <v>SkillFeatExtra-L14</v>
      </c>
      <c r="B93" s="35" t="str">
        <f>CLASSDATA!B93</f>
        <v>L14</v>
      </c>
      <c r="C93" s="35" t="str">
        <f>CLASSDATA!C93</f>
        <v/>
      </c>
      <c r="D93" s="148" t="str">
        <f t="array" ref="D93">INDEX(ALLCLASSDATA,MATCH(A93,CLASSFEATUREHEADERS,0),MATCH($D$2,CLASSNAMEHEADERS,0))</f>
        <v/>
      </c>
      <c r="E93" s="149" t="str">
        <f t="array" ref="E93">INDEX(ALLCLASSDATA,MATCH(A93,CLASSFEATUREHEADERS,0),MATCH(($D$2 &amp; "Points"),CLASSNAMEHEADERS,0))</f>
        <v/>
      </c>
      <c r="F93" s="12" t="b">
        <v>0</v>
      </c>
      <c r="G93" s="148" t="str">
        <f t="array" ref="G93">INDEX(ALLCLASSDATA,MATCH(A93,CLASSFEATUREHEADERS,0),MATCH($G$2,CLASSNAMEHEADERS,0))</f>
        <v/>
      </c>
      <c r="H93" s="149" t="str">
        <f t="array" ref="H93">INDEX(ALLCLASSDATA,MATCH(A93,CLASSFEATUREHEADERS,0),MATCH(($G$2 &amp; "Points"),CLASSNAMEHEADERS,0))</f>
        <v/>
      </c>
      <c r="I93" s="12" t="b">
        <v>0</v>
      </c>
      <c r="J93" s="238" t="str">
        <f t="shared" si="17"/>
        <v/>
      </c>
      <c r="L93" s="149" t="str">
        <f>IF(ISNUMBER(J93),(J93*SkillIncrease),"")</f>
        <v/>
      </c>
      <c r="M93" s="238" t="str">
        <f t="shared" si="18"/>
        <v/>
      </c>
      <c r="O93" s="149" t="str">
        <f>IF(ISNUMBER(M93),(M93*SkillIncrease),"")</f>
        <v/>
      </c>
    </row>
    <row r="94" outlineLevel="1">
      <c r="A94" s="35" t="str">
        <f>CLASSDATA!A94</f>
        <v>SkillFeatExtra-L15</v>
      </c>
      <c r="B94" s="35" t="str">
        <f>CLASSDATA!B94</f>
        <v>L15</v>
      </c>
      <c r="C94" s="35" t="str">
        <f>CLASSDATA!C94</f>
        <v/>
      </c>
      <c r="D94" s="148" t="str">
        <f t="array" ref="D94">INDEX(ALLCLASSDATA,MATCH(A94,CLASSFEATUREHEADERS,0),MATCH($D$2,CLASSNAMEHEADERS,0))</f>
        <v/>
      </c>
      <c r="E94" s="149" t="str">
        <f t="array" ref="E94">INDEX(ALLCLASSDATA,MATCH(A94,CLASSFEATUREHEADERS,0),MATCH(($D$2 &amp; "Points"),CLASSNAMEHEADERS,0))</f>
        <v/>
      </c>
      <c r="F94" s="12" t="b">
        <v>0</v>
      </c>
      <c r="G94" s="148" t="str">
        <f t="array" ref="G94">INDEX(ALLCLASSDATA,MATCH(A94,CLASSFEATUREHEADERS,0),MATCH($G$2,CLASSNAMEHEADERS,0))</f>
        <v/>
      </c>
      <c r="H94" s="149" t="str">
        <f t="array" ref="H94">INDEX(ALLCLASSDATA,MATCH(A94,CLASSFEATUREHEADERS,0),MATCH(($G$2 &amp; "Points"),CLASSNAMEHEADERS,0))</f>
        <v/>
      </c>
      <c r="I94" s="12" t="b">
        <v>0</v>
      </c>
      <c r="J94" s="238" t="str">
        <f t="shared" si="17"/>
        <v/>
      </c>
      <c r="L94" s="149" t="str">
        <f>IF(ISNUMBER(J94),(J94*SkillIncrease),"")</f>
        <v/>
      </c>
      <c r="M94" s="238" t="str">
        <f t="shared" si="18"/>
        <v/>
      </c>
      <c r="O94" s="149" t="str">
        <f>IF(ISNUMBER(M94),(M94*SkillIncrease),"")</f>
        <v/>
      </c>
    </row>
    <row r="95" outlineLevel="1">
      <c r="A95" s="35" t="str">
        <f>CLASSDATA!A95</f>
        <v>SkillFeatExtra-L16</v>
      </c>
      <c r="B95" s="35" t="str">
        <f>CLASSDATA!B95</f>
        <v>L16</v>
      </c>
      <c r="C95" s="35" t="str">
        <f>CLASSDATA!C95</f>
        <v/>
      </c>
      <c r="D95" s="148" t="str">
        <f t="array" ref="D95">INDEX(ALLCLASSDATA,MATCH(A95,CLASSFEATUREHEADERS,0),MATCH($D$2,CLASSNAMEHEADERS,0))</f>
        <v/>
      </c>
      <c r="E95" s="149" t="str">
        <f t="array" ref="E95">INDEX(ALLCLASSDATA,MATCH(A95,CLASSFEATUREHEADERS,0),MATCH(($D$2 &amp; "Points"),CLASSNAMEHEADERS,0))</f>
        <v/>
      </c>
      <c r="F95" s="12" t="b">
        <v>0</v>
      </c>
      <c r="G95" s="148" t="str">
        <f t="array" ref="G95">INDEX(ALLCLASSDATA,MATCH(A95,CLASSFEATUREHEADERS,0),MATCH($G$2,CLASSNAMEHEADERS,0))</f>
        <v/>
      </c>
      <c r="H95" s="149" t="str">
        <f t="array" ref="H95">INDEX(ALLCLASSDATA,MATCH(A95,CLASSFEATUREHEADERS,0),MATCH(($G$2 &amp; "Points"),CLASSNAMEHEADERS,0))</f>
        <v/>
      </c>
      <c r="I95" s="12" t="b">
        <v>0</v>
      </c>
      <c r="J95" s="238" t="str">
        <f t="shared" si="17"/>
        <v/>
      </c>
      <c r="L95" s="149" t="str">
        <f>IF(ISNUMBER(J95),(J95*SkillIncrease),"")</f>
        <v/>
      </c>
      <c r="M95" s="238" t="str">
        <f t="shared" si="18"/>
        <v/>
      </c>
      <c r="O95" s="149" t="str">
        <f>IF(ISNUMBER(M95),(M95*SkillIncrease),"")</f>
        <v/>
      </c>
    </row>
    <row r="96" outlineLevel="1">
      <c r="A96" s="35" t="str">
        <f>CLASSDATA!A96</f>
        <v>SkillFeatExtra-L17</v>
      </c>
      <c r="B96" s="35" t="str">
        <f>CLASSDATA!B96</f>
        <v>L17</v>
      </c>
      <c r="C96" s="35" t="str">
        <f>CLASSDATA!C96</f>
        <v/>
      </c>
      <c r="D96" s="148" t="str">
        <f t="array" ref="D96">INDEX(ALLCLASSDATA,MATCH(A96,CLASSFEATUREHEADERS,0),MATCH($D$2,CLASSNAMEHEADERS,0))</f>
        <v/>
      </c>
      <c r="E96" s="149" t="str">
        <f t="array" ref="E96">INDEX(ALLCLASSDATA,MATCH(A96,CLASSFEATUREHEADERS,0),MATCH(($D$2 &amp; "Points"),CLASSNAMEHEADERS,0))</f>
        <v/>
      </c>
      <c r="F96" s="12" t="b">
        <v>0</v>
      </c>
      <c r="G96" s="148" t="str">
        <f t="array" ref="G96">INDEX(ALLCLASSDATA,MATCH(A96,CLASSFEATUREHEADERS,0),MATCH($G$2,CLASSNAMEHEADERS,0))</f>
        <v/>
      </c>
      <c r="H96" s="149" t="str">
        <f t="array" ref="H96">INDEX(ALLCLASSDATA,MATCH(A96,CLASSFEATUREHEADERS,0),MATCH(($G$2 &amp; "Points"),CLASSNAMEHEADERS,0))</f>
        <v/>
      </c>
      <c r="I96" s="12" t="b">
        <v>0</v>
      </c>
      <c r="J96" s="238" t="str">
        <f t="shared" si="17"/>
        <v/>
      </c>
      <c r="L96" s="149" t="str">
        <f>IF(ISNUMBER(J96),(J96*SkillIncrease),"")</f>
        <v/>
      </c>
      <c r="M96" s="238" t="str">
        <f t="shared" si="18"/>
        <v/>
      </c>
      <c r="O96" s="149" t="str">
        <f>IF(ISNUMBER(M96),(M96*SkillIncrease),"")</f>
        <v/>
      </c>
    </row>
    <row r="97" outlineLevel="1">
      <c r="A97" s="35" t="str">
        <f>CLASSDATA!A97</f>
        <v>SkillFeatExtra-L18</v>
      </c>
      <c r="B97" s="35" t="str">
        <f>CLASSDATA!B97</f>
        <v>L18</v>
      </c>
      <c r="C97" s="35" t="str">
        <f>CLASSDATA!C97</f>
        <v/>
      </c>
      <c r="D97" s="148" t="str">
        <f t="array" ref="D97">INDEX(ALLCLASSDATA,MATCH(A97,CLASSFEATUREHEADERS,0),MATCH($D$2,CLASSNAMEHEADERS,0))</f>
        <v/>
      </c>
      <c r="E97" s="149" t="str">
        <f t="array" ref="E97">INDEX(ALLCLASSDATA,MATCH(A97,CLASSFEATUREHEADERS,0),MATCH(($D$2 &amp; "Points"),CLASSNAMEHEADERS,0))</f>
        <v/>
      </c>
      <c r="F97" s="12" t="b">
        <v>0</v>
      </c>
      <c r="G97" s="148" t="str">
        <f t="array" ref="G97">INDEX(ALLCLASSDATA,MATCH(A97,CLASSFEATUREHEADERS,0),MATCH($G$2,CLASSNAMEHEADERS,0))</f>
        <v/>
      </c>
      <c r="H97" s="149" t="str">
        <f t="array" ref="H97">INDEX(ALLCLASSDATA,MATCH(A97,CLASSFEATUREHEADERS,0),MATCH(($G$2 &amp; "Points"),CLASSNAMEHEADERS,0))</f>
        <v/>
      </c>
      <c r="I97" s="12" t="b">
        <v>0</v>
      </c>
      <c r="J97" s="238" t="str">
        <f t="shared" si="17"/>
        <v/>
      </c>
      <c r="L97" s="149" t="str">
        <f>IF(ISNUMBER(J97),(J97*SkillIncrease),"")</f>
        <v/>
      </c>
      <c r="M97" s="238" t="str">
        <f t="shared" si="18"/>
        <v/>
      </c>
      <c r="O97" s="149" t="str">
        <f>IF(ISNUMBER(M97),(M97*SkillIncrease),"")</f>
        <v/>
      </c>
    </row>
    <row r="98" outlineLevel="1">
      <c r="A98" s="35" t="str">
        <f>CLASSDATA!A98</f>
        <v>SkillFeatExtra-L19</v>
      </c>
      <c r="B98" s="35" t="str">
        <f>CLASSDATA!B98</f>
        <v>L19</v>
      </c>
      <c r="C98" s="35" t="str">
        <f>CLASSDATA!C98</f>
        <v/>
      </c>
      <c r="D98" s="148" t="str">
        <f t="array" ref="D98">INDEX(ALLCLASSDATA,MATCH(A98,CLASSFEATUREHEADERS,0),MATCH($D$2,CLASSNAMEHEADERS,0))</f>
        <v/>
      </c>
      <c r="E98" s="149" t="str">
        <f t="array" ref="E98">INDEX(ALLCLASSDATA,MATCH(A98,CLASSFEATUREHEADERS,0),MATCH(($D$2 &amp; "Points"),CLASSNAMEHEADERS,0))</f>
        <v/>
      </c>
      <c r="F98" s="12" t="b">
        <v>0</v>
      </c>
      <c r="G98" s="148" t="str">
        <f t="array" ref="G98">INDEX(ALLCLASSDATA,MATCH(A98,CLASSFEATUREHEADERS,0),MATCH($G$2,CLASSNAMEHEADERS,0))</f>
        <v/>
      </c>
      <c r="H98" s="149" t="str">
        <f t="array" ref="H98">INDEX(ALLCLASSDATA,MATCH(A98,CLASSFEATUREHEADERS,0),MATCH(($G$2 &amp; "Points"),CLASSNAMEHEADERS,0))</f>
        <v/>
      </c>
      <c r="I98" s="12" t="b">
        <v>0</v>
      </c>
      <c r="J98" s="238" t="str">
        <f t="shared" si="17"/>
        <v/>
      </c>
      <c r="L98" s="149" t="str">
        <f>IF(ISNUMBER(J98),(J98*SkillIncrease),"")</f>
        <v/>
      </c>
      <c r="M98" s="238" t="str">
        <f t="shared" si="18"/>
        <v/>
      </c>
      <c r="O98" s="149" t="str">
        <f>IF(ISNUMBER(M98),(M98*SkillIncrease),"")</f>
        <v/>
      </c>
    </row>
    <row r="99" outlineLevel="1">
      <c r="A99" s="35" t="str">
        <f>CLASSDATA!A99</f>
        <v>SkillFeatExtra-L20</v>
      </c>
      <c r="B99" s="35" t="str">
        <f>CLASSDATA!B99</f>
        <v>L20</v>
      </c>
      <c r="C99" s="35" t="str">
        <f>CLASSDATA!C99</f>
        <v/>
      </c>
      <c r="D99" s="148" t="str">
        <f t="array" ref="D99">INDEX(ALLCLASSDATA,MATCH(A99,CLASSFEATUREHEADERS,0),MATCH($D$2,CLASSNAMEHEADERS,0))</f>
        <v/>
      </c>
      <c r="E99" s="149" t="str">
        <f t="array" ref="E99">INDEX(ALLCLASSDATA,MATCH(A99,CLASSFEATUREHEADERS,0),MATCH(($D$2 &amp; "Points"),CLASSNAMEHEADERS,0))</f>
        <v/>
      </c>
      <c r="F99" s="12" t="b">
        <v>0</v>
      </c>
      <c r="G99" s="148" t="str">
        <f t="array" ref="G99">INDEX(ALLCLASSDATA,MATCH(A99,CLASSFEATUREHEADERS,0),MATCH($G$2,CLASSNAMEHEADERS,0))</f>
        <v/>
      </c>
      <c r="H99" s="149" t="str">
        <f t="array" ref="H99">INDEX(ALLCLASSDATA,MATCH(A99,CLASSFEATUREHEADERS,0),MATCH(($G$2 &amp; "Points"),CLASSNAMEHEADERS,0))</f>
        <v/>
      </c>
      <c r="I99" s="12" t="b">
        <v>0</v>
      </c>
      <c r="J99" s="238" t="str">
        <f t="shared" si="17"/>
        <v/>
      </c>
      <c r="L99" s="149" t="str">
        <f>IF(ISNUMBER(J99),(J99*SkillIncrease),"")</f>
        <v/>
      </c>
      <c r="M99" s="238" t="str">
        <f t="shared" si="18"/>
        <v/>
      </c>
      <c r="O99" s="149" t="str">
        <f>IF(ISNUMBER(M99),(M99*SkillIncrease),"")</f>
        <v/>
      </c>
    </row>
    <row r="100" outlineLevel="1">
      <c r="A100" s="35" t="str">
        <f>CLASSDATA!A100</f>
        <v>SkillFeatExtraTotal</v>
      </c>
      <c r="B100" s="35" t="str">
        <f>CLASSDATA!B100</f>
        <v/>
      </c>
      <c r="C100" s="35" t="str">
        <f>CLASSDATA!C100</f>
        <v/>
      </c>
      <c r="D100" s="148">
        <f t="array" ref="D100">INDEX(ALLCLASSDATA,MATCH(A100,CLASSFEATUREHEADERS,0),MATCH($D$2,CLASSNAMEHEADERS,0))</f>
        <v>0</v>
      </c>
      <c r="E100" s="149">
        <f t="array" ref="E100">INDEX(ALLCLASSDATA,MATCH(A100,CLASSFEATUREHEADERS,0),MATCH(($D$2 &amp; "Points"),CLASSNAMEHEADERS,0))</f>
        <v>0</v>
      </c>
      <c r="G100" s="148">
        <f t="array" ref="G100">INDEX(ALLCLASSDATA,MATCH(A100,CLASSFEATUREHEADERS,0),MATCH($G$2,CLASSNAMEHEADERS,0))</f>
        <v>0</v>
      </c>
      <c r="H100" s="149">
        <f t="array" ref="H100">INDEX(ALLCLASSDATA,MATCH(A100,CLASSFEATUREHEADERS,0),MATCH(($G$2 &amp; "Points"),CLASSNAMEHEADERS,0))</f>
        <v>0</v>
      </c>
      <c r="J100" s="252">
        <f t="shared" ref="J100:L100" si="19">SUM(J80:J99)</f>
        <v>0</v>
      </c>
      <c r="K100" s="35">
        <f t="shared" si="19"/>
        <v>0</v>
      </c>
      <c r="L100" s="35">
        <f t="shared" si="19"/>
        <v>0</v>
      </c>
      <c r="M100" s="252"/>
      <c r="N100" s="35"/>
      <c r="O100" s="35">
        <f>SUM(O80:O99)</f>
        <v>0</v>
      </c>
    </row>
    <row r="101">
      <c r="A101" s="244" t="str">
        <f>CLASSDATA!A101</f>
        <v>ATTACK TOTAL:</v>
      </c>
      <c r="B101" s="249" t="str">
        <f>CLASSDATA!B101</f>
        <v/>
      </c>
      <c r="C101" s="173" t="str">
        <f>CLASSDATA!C101</f>
        <v/>
      </c>
      <c r="D101" s="260" t="str">
        <f t="array" ref="D101">INDEX(ALLCLASSDATA,MATCH(A101,CLASSFEATUREHEADERS,0),MATCH($D$2,CLASSNAMEHEADERS,0))</f>
        <v/>
      </c>
      <c r="E101" s="246">
        <f t="array" ref="E101">INDEX(ALLCLASSDATA,MATCH(A101,CLASSFEATUREHEADERS,0),MATCH(($D$2 &amp; "Points"),CLASSNAMEHEADERS,0))</f>
        <v>660</v>
      </c>
      <c r="F101" s="246"/>
      <c r="G101" s="260" t="str">
        <f t="array" ref="G101">INDEX(ALLCLASSDATA,MATCH(A101,CLASSFEATUREHEADERS,0),MATCH($G$2,CLASSNAMEHEADERS,0))</f>
        <v/>
      </c>
      <c r="H101" s="246">
        <f t="array" ref="H101">INDEX(ALLCLASSDATA,MATCH(A101,CLASSFEATUREHEADERS,0),MATCH(($G$2 &amp; "Points"),CLASSNAMEHEADERS,0))</f>
        <v>140</v>
      </c>
      <c r="I101" s="246"/>
      <c r="J101" s="247"/>
      <c r="K101" s="246"/>
      <c r="L101" s="75">
        <f>sum(L102:L132)</f>
        <v>720</v>
      </c>
      <c r="M101" s="247"/>
      <c r="N101" s="246"/>
      <c r="O101" s="75">
        <f>sum(O102:O132)</f>
        <v>660</v>
      </c>
      <c r="P101" s="246"/>
    </row>
    <row r="102" outlineLevel="1">
      <c r="A102" s="240" t="str">
        <f>CLASSDATA!A102</f>
        <v>WeaponCriticalSpecialization</v>
      </c>
      <c r="B102" s="35" t="str">
        <f>CLASSDATA!B102</f>
        <v/>
      </c>
      <c r="C102" s="35" t="str">
        <f>CLASSDATA!C102</f>
        <v/>
      </c>
      <c r="D102" s="241" t="str">
        <f t="array" ref="D102">INDEX(ALLCLASSDATA,MATCH(A102,CLASSFEATUREHEADERS,0),MATCH($D$2,CLASSNAMEHEADERS,0))</f>
        <v>05</v>
      </c>
      <c r="E102" s="149">
        <f t="array" ref="E102">INDEX(ALLCLASSDATA,MATCH(A102,CLASSFEATUREHEADERS,0),MATCH(($D$2 &amp; "Points"),CLASSNAMEHEADERS,0))</f>
        <v>50</v>
      </c>
      <c r="F102" s="12" t="b">
        <v>1</v>
      </c>
      <c r="G102" s="241" t="str">
        <f t="array" ref="G102">INDEX(ALLCLASSDATA,MATCH(A102,CLASSFEATUREHEADERS,0),MATCH($G$2,CLASSNAMEHEADERS,0))</f>
        <v/>
      </c>
      <c r="H102" s="149" t="str">
        <f t="array" ref="H102">INDEX(ALLCLASSDATA,MATCH(A102,CLASSFEATUREHEADERS,0),MATCH(($G$2 &amp; "Points"),CLASSNAMEHEADERS,0))</f>
        <v/>
      </c>
      <c r="I102" s="12" t="b">
        <v>0</v>
      </c>
      <c r="J102" s="261" t="str">
        <f t="shared" ref="J102:J132" si="20">IF(ISBLANK(K102),"",A102)</f>
        <v>WeaponCriticalSpecialization</v>
      </c>
      <c r="K102" s="243" t="str">
        <f t="shared" ref="K102:K104" si="21">IF(COUNTA(D102)&gt;COUNTA(G102),D102,(IF(COUNTA(D102)&lt;COUNTA(G102),G102,(IF(D102&lt;G102,D102,G102)))))</f>
        <v>05</v>
      </c>
      <c r="L102" s="149">
        <f>IF(ISBLANK(K102),"",WeaponCS)</f>
        <v>50</v>
      </c>
      <c r="M102" s="261" t="str">
        <f t="shared" ref="M102:M132" si="22">IF(ISBLANK(N102),"",A102)</f>
        <v>WeaponCriticalSpecialization</v>
      </c>
      <c r="N102" s="243" t="str">
        <f t="shared" ref="N102:N105" si="23">IF(F102=TRUE,D102,(IF(I102=TRUE,G102,"")))</f>
        <v>05</v>
      </c>
      <c r="O102" s="149">
        <f t="shared" ref="O102:O105" si="24">IF(F102=TRUE,E102,(IF(I102=TRUE,H102,"")))</f>
        <v>50</v>
      </c>
    </row>
    <row r="103" outlineLevel="1">
      <c r="A103" s="240" t="str">
        <f>CLASSDATA!A103</f>
        <v>WeaponSpecialization</v>
      </c>
      <c r="B103" s="35" t="str">
        <f>CLASSDATA!B103</f>
        <v/>
      </c>
      <c r="C103" s="35" t="str">
        <f>CLASSDATA!C103</f>
        <v/>
      </c>
      <c r="D103" s="241" t="str">
        <f t="array" ref="D103">INDEX(ALLCLASSDATA,MATCH(A103,CLASSFEATUREHEADERS,0),MATCH($D$2,CLASSNAMEHEADERS,0))</f>
        <v>07</v>
      </c>
      <c r="E103" s="149">
        <f t="array" ref="E103">INDEX(ALLCLASSDATA,MATCH(A103,CLASSFEATUREHEADERS,0),MATCH(($D$2 &amp; "Points"),CLASSNAMEHEADERS,0))</f>
        <v>70</v>
      </c>
      <c r="F103" s="12" t="b">
        <v>1</v>
      </c>
      <c r="G103" s="241" t="str">
        <f t="array" ref="G103">INDEX(ALLCLASSDATA,MATCH(A103,CLASSFEATUREHEADERS,0),MATCH($G$2,CLASSNAMEHEADERS,0))</f>
        <v>13</v>
      </c>
      <c r="H103" s="149">
        <f t="array" ref="H103">INDEX(ALLCLASSDATA,MATCH(A103,CLASSFEATUREHEADERS,0),MATCH(($G$2 &amp; "Points"),CLASSNAMEHEADERS,0))</f>
        <v>70</v>
      </c>
      <c r="I103" s="12" t="b">
        <v>0</v>
      </c>
      <c r="J103" s="261" t="str">
        <f t="shared" si="20"/>
        <v>WeaponSpecialization</v>
      </c>
      <c r="K103" s="243" t="str">
        <f t="shared" si="21"/>
        <v>07</v>
      </c>
      <c r="L103" s="149">
        <f>IF(ISBLANK(K103),"",WeaponWS)</f>
        <v>70</v>
      </c>
      <c r="M103" s="261" t="str">
        <f t="shared" si="22"/>
        <v>WeaponSpecialization</v>
      </c>
      <c r="N103" s="243" t="str">
        <f t="shared" si="23"/>
        <v>07</v>
      </c>
      <c r="O103" s="149">
        <f t="shared" si="24"/>
        <v>70</v>
      </c>
    </row>
    <row r="104" outlineLevel="1">
      <c r="A104" s="240" t="str">
        <f>CLASSDATA!A104</f>
        <v>WeaponGreaterSpecialization</v>
      </c>
      <c r="B104" s="35" t="str">
        <f>CLASSDATA!B104</f>
        <v/>
      </c>
      <c r="C104" s="35" t="str">
        <f>CLASSDATA!C104</f>
        <v/>
      </c>
      <c r="D104" s="241" t="str">
        <f t="array" ref="D104">INDEX(ALLCLASSDATA,MATCH(A104,CLASSFEATUREHEADERS,0),MATCH($D$2,CLASSNAMEHEADERS,0))</f>
        <v>15</v>
      </c>
      <c r="E104" s="149">
        <f t="array" ref="E104">INDEX(ALLCLASSDATA,MATCH(A104,CLASSFEATUREHEADERS,0),MATCH(($D$2 &amp; "Points"),CLASSNAMEHEADERS,0))</f>
        <v>150</v>
      </c>
      <c r="F104" s="12" t="b">
        <v>1</v>
      </c>
      <c r="G104" s="241" t="str">
        <f t="array" ref="G104">INDEX(ALLCLASSDATA,MATCH(A104,CLASSFEATUREHEADERS,0),MATCH($G$2,CLASSNAMEHEADERS,0))</f>
        <v/>
      </c>
      <c r="H104" s="149" t="str">
        <f t="array" ref="H104">INDEX(ALLCLASSDATA,MATCH(A104,CLASSFEATUREHEADERS,0),MATCH(($G$2 &amp; "Points"),CLASSNAMEHEADERS,0))</f>
        <v/>
      </c>
      <c r="I104" s="12" t="b">
        <v>0</v>
      </c>
      <c r="J104" s="261" t="str">
        <f t="shared" si="20"/>
        <v>WeaponGreaterSpecialization</v>
      </c>
      <c r="K104" s="243" t="str">
        <f t="shared" si="21"/>
        <v>15</v>
      </c>
      <c r="L104" s="149">
        <f>IF(ISBLANK(K104),"",WeaponGWS)</f>
        <v>150</v>
      </c>
      <c r="M104" s="261" t="str">
        <f t="shared" si="22"/>
        <v>WeaponGreaterSpecialization</v>
      </c>
      <c r="N104" s="243" t="str">
        <f t="shared" si="23"/>
        <v>15</v>
      </c>
      <c r="O104" s="149">
        <f t="shared" si="24"/>
        <v>150</v>
      </c>
    </row>
    <row r="105" outlineLevel="1">
      <c r="A105" s="240" t="str">
        <f>CLASSDATA!A105</f>
        <v>UnarmedTrained</v>
      </c>
      <c r="B105" s="35" t="str">
        <f>CLASSDATA!B105</f>
        <v/>
      </c>
      <c r="C105" s="35" t="str">
        <f>CLASSDATA!C105</f>
        <v/>
      </c>
      <c r="D105" s="241" t="str">
        <f t="array" ref="D105">INDEX(ALLCLASSDATA,MATCH(A105,CLASSFEATUREHEADERS,0),MATCH($D$2,CLASSNAMEHEADERS,0))</f>
        <v>00</v>
      </c>
      <c r="E105" s="149">
        <f t="array" ref="E105">INDEX(ALLCLASSDATA,MATCH(A105,CLASSFEATUREHEADERS,0),MATCH(($D$2 &amp; "Points"),CLASSNAMEHEADERS,0))</f>
        <v>10</v>
      </c>
      <c r="F105" s="12" t="b">
        <v>1</v>
      </c>
      <c r="G105" s="241" t="str">
        <f t="array" ref="G105">INDEX(ALLCLASSDATA,MATCH(A105,CLASSFEATUREHEADERS,0),MATCH($G$2,CLASSNAMEHEADERS,0))</f>
        <v>01</v>
      </c>
      <c r="H105" s="149">
        <f t="array" ref="H105">INDEX(ALLCLASSDATA,MATCH(A105,CLASSFEATUREHEADERS,0),MATCH(($G$2 &amp; "Points"),CLASSNAMEHEADERS,0))</f>
        <v>10</v>
      </c>
      <c r="I105" s="12" t="b">
        <v>0</v>
      </c>
      <c r="J105" s="261" t="str">
        <f t="shared" si="20"/>
        <v>UnarmedTrained</v>
      </c>
      <c r="K105" s="243" t="str">
        <f>IF(COUNTA(D105:D108)&gt;COUNTA(G105:G108),D105,(IF(COUNTA(D105:D108)&lt;COUNTA(G105:G108),G105,(IF((D105+D106+D107+D108)&lt;(G105+G106+G107+G108),D105,G105)))))</f>
        <v>00</v>
      </c>
      <c r="L105" s="149">
        <f>IF(COUNTA(D105:D108)&gt;COUNTA(G105:G108),E105,(IF(COUNTA(D105:D108)&lt;COUNTA(G105:G108),H105,(IF((D105+D106+D107+D108)&lt;(G105+G106+G107+G108),E105,H105)))))</f>
        <v>10</v>
      </c>
      <c r="M105" s="261" t="str">
        <f t="shared" si="22"/>
        <v>UnarmedTrained</v>
      </c>
      <c r="N105" s="243" t="str">
        <f t="shared" si="23"/>
        <v>00</v>
      </c>
      <c r="O105" s="149">
        <f t="shared" si="24"/>
        <v>10</v>
      </c>
    </row>
    <row r="106" outlineLevel="1">
      <c r="A106" s="35" t="str">
        <f>CLASSDATA!A106</f>
        <v>UnarmedExpert</v>
      </c>
      <c r="B106" s="35" t="str">
        <f>CLASSDATA!B106</f>
        <v/>
      </c>
      <c r="C106" s="35" t="str">
        <f>CLASSDATA!C106</f>
        <v/>
      </c>
      <c r="D106" s="241" t="str">
        <f t="array" ref="D106">INDEX(ALLCLASSDATA,MATCH(A106,CLASSFEATUREHEADERS,0),MATCH($D$2,CLASSNAMEHEADERS,0))</f>
        <v>01</v>
      </c>
      <c r="E106" s="149" t="str">
        <f t="array" ref="E106">INDEX(ALLCLASSDATA,MATCH(A106,CLASSFEATUREHEADERS,0),MATCH(($D$2 &amp; "Points"),CLASSNAMEHEADERS,0))</f>
        <v>E</v>
      </c>
      <c r="G106" s="241" t="str">
        <f t="array" ref="G106">INDEX(ALLCLASSDATA,MATCH(A106,CLASSFEATUREHEADERS,0),MATCH($G$2,CLASSNAMEHEADERS,0))</f>
        <v>11</v>
      </c>
      <c r="H106" s="149" t="str">
        <f t="array" ref="H106">INDEX(ALLCLASSDATA,MATCH(A106,CLASSFEATUREHEADERS,0),MATCH(($G$2 &amp; "Points"),CLASSNAMEHEADERS,0))</f>
        <v>E</v>
      </c>
      <c r="J106" s="238" t="str">
        <f t="shared" si="20"/>
        <v>UnarmedExpert</v>
      </c>
      <c r="K106" s="243" t="str">
        <f>IF(COUNTA(D105:D108)&gt;COUNTA(G105:G108),D106,(IF(COUNTA(D105:D108)&lt;COUNTA(G105:G108),G106,(IF((D105+D106+D107+D108)&lt;(G105+G106+G107+G108),D106,G106)))))</f>
        <v>01</v>
      </c>
      <c r="L106" s="149" t="str">
        <f>IF(COUNTA(D105:D108)&gt;COUNTA(G105:G108),E106,(IF(COUNTA(D105:D108)&lt;COUNTA(G105:G108),H106,(IF((D105+D106+D107+D108)&lt;(G105+G106+G107+G108),E106,H106)))))</f>
        <v>E</v>
      </c>
      <c r="M106" s="238" t="str">
        <f t="shared" si="22"/>
        <v>UnarmedExpert</v>
      </c>
      <c r="N106" s="243" t="str">
        <f>IF(F105=TRUE,D106,(IF(I105=TRUE,G106,"")))</f>
        <v>01</v>
      </c>
      <c r="O106" s="149" t="str">
        <f>IF(F105=TRUE,E106,(IF(I105=TRUE,H106,"")))</f>
        <v>E</v>
      </c>
    </row>
    <row r="107" outlineLevel="1">
      <c r="A107" s="35" t="str">
        <f>CLASSDATA!A107</f>
        <v>UnarmedMaster</v>
      </c>
      <c r="B107" s="35" t="str">
        <f>CLASSDATA!B107</f>
        <v/>
      </c>
      <c r="C107" s="35" t="str">
        <f>CLASSDATA!C107</f>
        <v/>
      </c>
      <c r="D107" s="241" t="str">
        <f t="array" ref="D107">INDEX(ALLCLASSDATA,MATCH(A107,CLASSFEATUREHEADERS,0),MATCH($D$2,CLASSNAMEHEADERS,0))</f>
        <v>13</v>
      </c>
      <c r="E107" s="149" t="str">
        <f t="array" ref="E107">INDEX(ALLCLASSDATA,MATCH(A107,CLASSFEATUREHEADERS,0),MATCH(($D$2 &amp; "Points"),CLASSNAMEHEADERS,0))</f>
        <v>M</v>
      </c>
      <c r="G107" s="241" t="str">
        <f t="array" ref="G107">INDEX(ALLCLASSDATA,MATCH(A107,CLASSFEATUREHEADERS,0),MATCH($G$2,CLASSNAMEHEADERS,0))</f>
        <v/>
      </c>
      <c r="H107" s="149" t="str">
        <f t="array" ref="H107">INDEX(ALLCLASSDATA,MATCH(A107,CLASSFEATUREHEADERS,0),MATCH(($G$2 &amp; "Points"),CLASSNAMEHEADERS,0))</f>
        <v/>
      </c>
      <c r="J107" s="238" t="str">
        <f t="shared" si="20"/>
        <v>UnarmedMaster</v>
      </c>
      <c r="K107" s="243" t="str">
        <f>IF(COUNTA(D105:D108)&gt;COUNTA(G105:G108),D107,(IF(COUNTA(D105:D108)&lt;COUNTA(G105:G108),G107,(IF((D105+D106+D107+D108)&lt;(G105+G106+G107+G108),D107,G107)))))</f>
        <v>13</v>
      </c>
      <c r="L107" s="149" t="str">
        <f>IF(COUNTA(D105:D108)&gt;COUNTA(G105:G108),E107,(IF(COUNTA(D105:D108)&lt;COUNTA(G105:G108),H107,(IF((D105+D106+D107+D108)&lt;(G105+G106+G107+G108),E107,H107)))))</f>
        <v>M</v>
      </c>
      <c r="M107" s="238" t="str">
        <f t="shared" si="22"/>
        <v>UnarmedMaster</v>
      </c>
      <c r="N107" s="243" t="str">
        <f>IF(F105=TRUE,D107,(IF(I105=TRUE,G107,"")))</f>
        <v>13</v>
      </c>
      <c r="O107" s="149" t="str">
        <f>IF(F105=TRUE,E107,(IF(I105=TRUE,H107,"")))</f>
        <v>M</v>
      </c>
    </row>
    <row r="108" outlineLevel="1">
      <c r="A108" s="35" t="str">
        <f>CLASSDATA!A108</f>
        <v>UnarmedLegendary</v>
      </c>
      <c r="B108" s="35" t="str">
        <f>CLASSDATA!B108</f>
        <v/>
      </c>
      <c r="C108" s="35" t="str">
        <f>CLASSDATA!C108</f>
        <v/>
      </c>
      <c r="D108" s="241" t="str">
        <f t="array" ref="D108">INDEX(ALLCLASSDATA,MATCH(A108,CLASSFEATUREHEADERS,0),MATCH($D$2,CLASSNAMEHEADERS,0))</f>
        <v>19</v>
      </c>
      <c r="E108" s="149" t="str">
        <f t="array" ref="E108">INDEX(ALLCLASSDATA,MATCH(A108,CLASSFEATUREHEADERS,0),MATCH(($D$2 &amp; "Points"),CLASSNAMEHEADERS,0))</f>
        <v>L</v>
      </c>
      <c r="G108" s="241" t="str">
        <f t="array" ref="G108">INDEX(ALLCLASSDATA,MATCH(A108,CLASSFEATUREHEADERS,0),MATCH($G$2,CLASSNAMEHEADERS,0))</f>
        <v/>
      </c>
      <c r="H108" s="149" t="str">
        <f t="array" ref="H108">INDEX(ALLCLASSDATA,MATCH(A108,CLASSFEATUREHEADERS,0),MATCH(($G$2 &amp; "Points"),CLASSNAMEHEADERS,0))</f>
        <v/>
      </c>
      <c r="J108" s="238" t="str">
        <f t="shared" si="20"/>
        <v>UnarmedLegendary</v>
      </c>
      <c r="K108" s="243" t="str">
        <f>IF(COUNTA(D105:D108)&gt;COUNTA(G105:G108),D108,(IF(COUNTA(D105:D108)&lt;COUNTA(G105:G108),G108,(IF((D105+D106+D107+D108)&lt;(G105+G106+G107+G108),D108,G108)))))</f>
        <v>19</v>
      </c>
      <c r="L108" s="149" t="str">
        <f>IF(COUNTA(D105:D108)&gt;COUNTA(G105:G108),E108,(IF(COUNTA(D105:D108)&lt;COUNTA(G105:G108),H108,(IF((D105+D106+D107+D108)&lt;(G105+G106+G107+G108),E108,H108)))))</f>
        <v>L</v>
      </c>
      <c r="M108" s="238" t="str">
        <f t="shared" si="22"/>
        <v>UnarmedLegendary</v>
      </c>
      <c r="N108" s="243" t="str">
        <f>IF(F105=TRUE,D108,(IF(I105=TRUE,G108,"")))</f>
        <v>19</v>
      </c>
      <c r="O108" s="149" t="str">
        <f>IF(F105=TRUE,E108,(IF(I105=TRUE,H108,"")))</f>
        <v>L</v>
      </c>
    </row>
    <row r="109" outlineLevel="1">
      <c r="A109" s="35" t="str">
        <f>CLASSDATA!A109</f>
        <v>SimpleLimitedTrained</v>
      </c>
      <c r="B109" s="35" t="str">
        <f>CLASSDATA!B109</f>
        <v/>
      </c>
      <c r="C109" s="35" t="str">
        <f>CLASSDATA!C109</f>
        <v/>
      </c>
      <c r="D109" s="241" t="str">
        <f t="array" ref="D109">INDEX(ALLCLASSDATA,MATCH(A109,CLASSFEATUREHEADERS,0),MATCH($D$2,CLASSNAMEHEADERS,0))</f>
        <v/>
      </c>
      <c r="E109" s="243" t="str">
        <f t="array" ref="E109">INDEX(ALLCLASSDATA,MATCH(A109,CLASSFEATUREHEADERS,0),MATCH(($D$2 &amp; "Points"),CLASSNAMEHEADERS,0))</f>
        <v/>
      </c>
      <c r="F109" s="12" t="b">
        <v>0</v>
      </c>
      <c r="G109" s="241" t="str">
        <f t="array" ref="G109">INDEX(ALLCLASSDATA,MATCH(A109,CLASSFEATUREHEADERS,0),MATCH($G$2,CLASSNAMEHEADERS,0))</f>
        <v>01</v>
      </c>
      <c r="H109" s="149">
        <f t="array" ref="H109">INDEX(ALLCLASSDATA,MATCH(A109,CLASSFEATUREHEADERS,0),MATCH(($G$2 &amp; "Points"),CLASSNAMEHEADERS,0))</f>
        <v>10</v>
      </c>
      <c r="I109" s="12" t="b">
        <v>0</v>
      </c>
      <c r="J109" s="238" t="str">
        <f t="shared" si="20"/>
        <v>SimpleLimitedTrained</v>
      </c>
      <c r="K109" s="243" t="str">
        <f>IF(COUNTA(D109:D112)&gt;COUNTA(G109:G112),D109,(IF(COUNTA(D109:D112)&lt;COUNTA(G109:G112),G109,(IF((D109+D110+D111+D112)&lt;(G109+G110+G111+G112),D109,G109)))))</f>
        <v>01</v>
      </c>
      <c r="L109" s="149">
        <f>IF(COUNTA(D109:D112)&gt;COUNTA(G109:G112),E109,(IF(COUNTA(D109:D112)&lt;COUNTA(G109:G112),H109,(IF((D109+D110+D111+D112)&lt;(G109+G110+G111+G112),E109,H109)))))</f>
        <v>10</v>
      </c>
      <c r="M109" s="238" t="str">
        <f t="shared" si="22"/>
        <v>SimpleLimitedTrained</v>
      </c>
      <c r="N109" s="149" t="str">
        <f>IF(F109=TRUE,D109,(IF(I109=TRUE,G109,"")))</f>
        <v/>
      </c>
      <c r="O109" s="149" t="str">
        <f>IF(F109=TRUE,E109,(IF(I109=TRUE,H109,"")))</f>
        <v/>
      </c>
    </row>
    <row r="110" outlineLevel="1">
      <c r="A110" s="35" t="str">
        <f>CLASSDATA!A110</f>
        <v>SimpleLimitedExpert</v>
      </c>
      <c r="B110" s="35" t="str">
        <f>CLASSDATA!B110</f>
        <v/>
      </c>
      <c r="C110" s="35" t="str">
        <f>CLASSDATA!C110</f>
        <v/>
      </c>
      <c r="D110" s="241" t="str">
        <f t="array" ref="D110">INDEX(ALLCLASSDATA,MATCH(A110,CLASSFEATUREHEADERS,0),MATCH($D$2,CLASSNAMEHEADERS,0))</f>
        <v/>
      </c>
      <c r="E110" s="243" t="str">
        <f t="array" ref="E110">INDEX(ALLCLASSDATA,MATCH(A110,CLASSFEATUREHEADERS,0),MATCH(($D$2 &amp; "Points"),CLASSNAMEHEADERS,0))</f>
        <v/>
      </c>
      <c r="G110" s="241" t="str">
        <f t="array" ref="G110">INDEX(ALLCLASSDATA,MATCH(A110,CLASSFEATUREHEADERS,0),MATCH($G$2,CLASSNAMEHEADERS,0))</f>
        <v>11</v>
      </c>
      <c r="H110" s="149">
        <f t="array" ref="H110">INDEX(ALLCLASSDATA,MATCH(A110,CLASSFEATUREHEADERS,0),MATCH(($G$2 &amp; "Points"),CLASSNAMEHEADERS,0))</f>
        <v>50</v>
      </c>
      <c r="J110" s="238" t="str">
        <f t="shared" si="20"/>
        <v>SimpleLimitedExpert</v>
      </c>
      <c r="K110" s="243" t="str">
        <f>IF(COUNTA(D109:D112)&gt;COUNTA(G109:G112),D110,(IF(COUNTA(D109:D112)&lt;COUNTA(G109:G112),G110,(IF((D109+D110+D111+D112)&lt;(G109+G110+G111+G112),D110,G110)))))</f>
        <v>11</v>
      </c>
      <c r="L110" s="149">
        <f>IF(COUNTA(D109:D112)&gt;COUNTA(G109:G112),E110,(IF(COUNTA(D109:D112)&lt;COUNTA(G109:G112),H110,(IF((D109+D110+D111+D112)&lt;(G109+G110+G111+G112),E110,H110)))))</f>
        <v>50</v>
      </c>
      <c r="M110" s="238" t="str">
        <f t="shared" si="22"/>
        <v>SimpleLimitedExpert</v>
      </c>
      <c r="N110" s="149" t="str">
        <f>IF(F109=TRUE,D110,(IF(I109=TRUE,G110,"")))</f>
        <v/>
      </c>
      <c r="O110" s="149" t="str">
        <f>IF(F109=TRUE,E110,(IF(I109=TRUE,H110,"")))</f>
        <v/>
      </c>
    </row>
    <row r="111" outlineLevel="1">
      <c r="A111" s="35" t="str">
        <f>CLASSDATA!A111</f>
        <v>SimpleLimitedMaster</v>
      </c>
      <c r="B111" s="35" t="str">
        <f>CLASSDATA!B111</f>
        <v/>
      </c>
      <c r="C111" s="35" t="str">
        <f>CLASSDATA!C111</f>
        <v/>
      </c>
      <c r="D111" s="241" t="str">
        <f t="array" ref="D111">INDEX(ALLCLASSDATA,MATCH(A111,CLASSFEATUREHEADERS,0),MATCH($D$2,CLASSNAMEHEADERS,0))</f>
        <v>05</v>
      </c>
      <c r="E111" s="149" t="str">
        <f t="array" ref="E111">INDEX(ALLCLASSDATA,MATCH(A111,CLASSFEATUREHEADERS,0),MATCH(($D$2 &amp; "Points"),CLASSNAMEHEADERS,0))</f>
        <v>M</v>
      </c>
      <c r="G111" s="241" t="str">
        <f t="array" ref="G111">INDEX(ALLCLASSDATA,MATCH(A111,CLASSFEATUREHEADERS,0),MATCH($G$2,CLASSNAMEHEADERS,0))</f>
        <v/>
      </c>
      <c r="H111" s="149" t="str">
        <f t="array" ref="H111">INDEX(ALLCLASSDATA,MATCH(A111,CLASSFEATUREHEADERS,0),MATCH(($G$2 &amp; "Points"),CLASSNAMEHEADERS,0))</f>
        <v/>
      </c>
      <c r="J111" s="238" t="str">
        <f t="shared" si="20"/>
        <v/>
      </c>
      <c r="K111" s="243" t="str">
        <f>IF(COUNTA(D109:D112)&gt;COUNTA(G109:G112),D111,(IF(COUNTA(D109:D112)&lt;COUNTA(G109:G112),G111,(IF((D109+D110+D111+D112)&lt;(G109+G110+G111+G112),D111,G111)))))</f>
        <v/>
      </c>
      <c r="L111" s="149" t="str">
        <f>IF(COUNTA(D109:D112)&gt;COUNTA(G109:G112),E111,(IF(COUNTA(D109:D112)&lt;COUNTA(G109:G112),H111,(IF((D109+D110+D111+D112)&lt;(G109+G110+G111+G112),E111,H111)))))</f>
        <v/>
      </c>
      <c r="M111" s="238" t="str">
        <f t="shared" si="22"/>
        <v>SimpleLimitedMaster</v>
      </c>
      <c r="N111" s="149" t="str">
        <f>IF(F109=TRUE,D111,(IF(I109=TRUE,G111,"")))</f>
        <v/>
      </c>
      <c r="O111" s="149" t="str">
        <f>IF(F109=TRUE,E111,(IF(I109=TRUE,H111,"")))</f>
        <v/>
      </c>
    </row>
    <row r="112" outlineLevel="1">
      <c r="A112" s="35" t="str">
        <f>CLASSDATA!A112</f>
        <v>SimpleLimitedLegendary</v>
      </c>
      <c r="B112" s="35" t="str">
        <f>CLASSDATA!B112</f>
        <v/>
      </c>
      <c r="C112" s="35" t="str">
        <f>CLASSDATA!C112</f>
        <v/>
      </c>
      <c r="D112" s="241" t="str">
        <f t="array" ref="D112">INDEX(ALLCLASSDATA,MATCH(A112,CLASSFEATUREHEADERS,0),MATCH($D$2,CLASSNAMEHEADERS,0))</f>
        <v>13</v>
      </c>
      <c r="E112" s="149" t="str">
        <f t="array" ref="E112">INDEX(ALLCLASSDATA,MATCH(A112,CLASSFEATUREHEADERS,0),MATCH(($D$2 &amp; "Points"),CLASSNAMEHEADERS,0))</f>
        <v>L</v>
      </c>
      <c r="G112" s="241" t="str">
        <f t="array" ref="G112">INDEX(ALLCLASSDATA,MATCH(A112,CLASSFEATUREHEADERS,0),MATCH($G$2,CLASSNAMEHEADERS,0))</f>
        <v/>
      </c>
      <c r="H112" s="149" t="str">
        <f t="array" ref="H112">INDEX(ALLCLASSDATA,MATCH(A112,CLASSFEATUREHEADERS,0),MATCH(($G$2 &amp; "Points"),CLASSNAMEHEADERS,0))</f>
        <v/>
      </c>
      <c r="J112" s="238" t="str">
        <f t="shared" si="20"/>
        <v/>
      </c>
      <c r="K112" s="243" t="str">
        <f>IF(COUNTA(D109:D112)&gt;COUNTA(G109:G112),D112,(IF(COUNTA(D109:D112)&lt;COUNTA(G109:G112),G112,(IF((D109+D110+D111+D112)&lt;(G109+G110+G111+G112),D112,G112)))))</f>
        <v/>
      </c>
      <c r="L112" s="149" t="str">
        <f>IF(COUNTA(D109:D112)&gt;COUNTA(G109:G112),E112,(IF(COUNTA(D109:D112)&lt;COUNTA(G109:G112),H112,(IF((D109+D110+D111+D112)&lt;(G109+G110+G111+G112),E112,H112)))))</f>
        <v/>
      </c>
      <c r="M112" s="238" t="str">
        <f t="shared" si="22"/>
        <v>SimpleLimitedLegendary</v>
      </c>
      <c r="N112" s="149" t="str">
        <f>IF(F109=TRUE,D112,(IF(I109=TRUE,G112,"")))</f>
        <v/>
      </c>
      <c r="O112" s="149" t="str">
        <f>IF(F109=TRUE,E112,(IF(I109=TRUE,H112,"")))</f>
        <v/>
      </c>
    </row>
    <row r="113" outlineLevel="1">
      <c r="A113" s="240" t="str">
        <f>CLASSDATA!A113</f>
        <v>SimpleTrained</v>
      </c>
      <c r="B113" s="35" t="str">
        <f>CLASSDATA!B113</f>
        <v/>
      </c>
      <c r="C113" s="35" t="str">
        <f>CLASSDATA!C113</f>
        <v/>
      </c>
      <c r="D113" s="241" t="str">
        <f t="array" ref="D113">INDEX(ALLCLASSDATA,MATCH(A113,CLASSFEATUREHEADERS,0),MATCH($D$2,CLASSNAMEHEADERS,0))</f>
        <v>00</v>
      </c>
      <c r="E113" s="149">
        <f t="array" ref="E113">INDEX(ALLCLASSDATA,MATCH(A113,CLASSFEATUREHEADERS,0),MATCH(($D$2 &amp; "Points"),CLASSNAMEHEADERS,0))</f>
        <v>10</v>
      </c>
      <c r="F113" s="12" t="b">
        <v>1</v>
      </c>
      <c r="G113" s="241" t="str">
        <f t="array" ref="G113">INDEX(ALLCLASSDATA,MATCH(A113,CLASSFEATUREHEADERS,0),MATCH($G$2,CLASSNAMEHEADERS,0))</f>
        <v/>
      </c>
      <c r="H113" s="149" t="str">
        <f t="array" ref="H113">INDEX(ALLCLASSDATA,MATCH(A113,CLASSFEATUREHEADERS,0),MATCH(($G$2 &amp; "Points"),CLASSNAMEHEADERS,0))</f>
        <v/>
      </c>
      <c r="I113" s="12" t="b">
        <v>0</v>
      </c>
      <c r="J113" s="261" t="str">
        <f t="shared" si="20"/>
        <v>SimpleTrained</v>
      </c>
      <c r="K113" s="243" t="str">
        <f>IF(COUNTA(D113:D116)&gt;COUNTA(G113:G116),D113,(IF(COUNTA(D113:D116)&lt;COUNTA(G113:G116),G113,(IF((D113+D114+D115+D116)&lt;(G113+G114+G115+G116),D113,G113)))))</f>
        <v>00</v>
      </c>
      <c r="L113" s="149">
        <f>IF(COUNTA(D113:D116)&gt;COUNTA(G113:G116),E113,(IF(COUNTA(D113:D116)&lt;COUNTA(G113:G116),H113,(IF((D113+D114+D115+D116)&lt;(G113+G114+G115+G116),E113,H113)))))</f>
        <v>10</v>
      </c>
      <c r="M113" s="261" t="str">
        <f t="shared" si="22"/>
        <v>SimpleTrained</v>
      </c>
      <c r="N113" s="243" t="str">
        <f>IF(F113=TRUE,D113,(IF(I113=TRUE,G113,"")))</f>
        <v>00</v>
      </c>
      <c r="O113" s="149">
        <f>IF(F113=TRUE,E113,(IF(I113=TRUE,H113,"")))</f>
        <v>10</v>
      </c>
    </row>
    <row r="114" outlineLevel="1">
      <c r="A114" s="35" t="str">
        <f>CLASSDATA!A114</f>
        <v>SimpleExpert</v>
      </c>
      <c r="B114" s="35" t="str">
        <f>CLASSDATA!B114</f>
        <v/>
      </c>
      <c r="C114" s="35" t="str">
        <f>CLASSDATA!C114</f>
        <v/>
      </c>
      <c r="D114" s="241" t="str">
        <f t="array" ref="D114">INDEX(ALLCLASSDATA,MATCH(A114,CLASSFEATUREHEADERS,0),MATCH($D$2,CLASSNAMEHEADERS,0))</f>
        <v>01</v>
      </c>
      <c r="E114" s="149" t="str">
        <f t="array" ref="E114">INDEX(ALLCLASSDATA,MATCH(A114,CLASSFEATUREHEADERS,0),MATCH(($D$2 &amp; "Points"),CLASSNAMEHEADERS,0))</f>
        <v>E</v>
      </c>
      <c r="G114" s="241" t="str">
        <f t="array" ref="G114">INDEX(ALLCLASSDATA,MATCH(A114,CLASSFEATUREHEADERS,0),MATCH($G$2,CLASSNAMEHEADERS,0))</f>
        <v/>
      </c>
      <c r="H114" s="149" t="str">
        <f t="array" ref="H114">INDEX(ALLCLASSDATA,MATCH(A114,CLASSFEATUREHEADERS,0),MATCH(($G$2 &amp; "Points"),CLASSNAMEHEADERS,0))</f>
        <v/>
      </c>
      <c r="J114" s="238" t="str">
        <f t="shared" si="20"/>
        <v>SimpleExpert</v>
      </c>
      <c r="K114" s="243" t="str">
        <f>IF(COUNTA(D113:D116)&gt;COUNTA(G113:G116),D114,(IF(COUNTA(D113:D116)&lt;COUNTA(G113:G116),G114,(IF((D113+D114+D115+D116)&lt;(G113+G114+G115+G116),D114,G114)))))</f>
        <v>01</v>
      </c>
      <c r="L114" s="149" t="str">
        <f>IF(COUNTA(D113:D116)&gt;COUNTA(G113:G116),E114,(IF(COUNTA(D113:D116)&lt;COUNTA(G113:G116),H114,(IF((D113+D114+D115+D116)&lt;(G113+G114+G115+G116),E114,H114)))))</f>
        <v>E</v>
      </c>
      <c r="M114" s="238" t="str">
        <f t="shared" si="22"/>
        <v>SimpleExpert</v>
      </c>
      <c r="N114" s="243" t="str">
        <f>IF(F113=TRUE,D114,(IF(I113=TRUE,G114,"")))</f>
        <v>01</v>
      </c>
      <c r="O114" s="149" t="str">
        <f>IF(F113=TRUE,E114,(IF(I113=TRUE,H114,"")))</f>
        <v>E</v>
      </c>
    </row>
    <row r="115" outlineLevel="1">
      <c r="A115" s="35" t="str">
        <f>CLASSDATA!A115</f>
        <v>SimpleMaster</v>
      </c>
      <c r="B115" s="35" t="str">
        <f>CLASSDATA!B115</f>
        <v/>
      </c>
      <c r="C115" s="35" t="str">
        <f>CLASSDATA!C115</f>
        <v/>
      </c>
      <c r="D115" s="241" t="str">
        <f t="array" ref="D115">INDEX(ALLCLASSDATA,MATCH(A115,CLASSFEATUREHEADERS,0),MATCH($D$2,CLASSNAMEHEADERS,0))</f>
        <v>13</v>
      </c>
      <c r="E115" s="149" t="str">
        <f t="array" ref="E115">INDEX(ALLCLASSDATA,MATCH(A115,CLASSFEATUREHEADERS,0),MATCH(($D$2 &amp; "Points"),CLASSNAMEHEADERS,0))</f>
        <v>M</v>
      </c>
      <c r="G115" s="241" t="str">
        <f t="array" ref="G115">INDEX(ALLCLASSDATA,MATCH(A115,CLASSFEATUREHEADERS,0),MATCH($G$2,CLASSNAMEHEADERS,0))</f>
        <v/>
      </c>
      <c r="H115" s="149" t="str">
        <f t="array" ref="H115">INDEX(ALLCLASSDATA,MATCH(A115,CLASSFEATUREHEADERS,0),MATCH(($G$2 &amp; "Points"),CLASSNAMEHEADERS,0))</f>
        <v/>
      </c>
      <c r="J115" s="238" t="str">
        <f t="shared" si="20"/>
        <v>SimpleMaster</v>
      </c>
      <c r="K115" s="243" t="str">
        <f>IF(COUNTA(D113:D116)&gt;COUNTA(G113:G116),D115,(IF(COUNTA(D113:D116)&lt;COUNTA(G113:G116),G115,(IF((D113+D114+D115+D116)&lt;(G113+G114+G115+G116),D115,G115)))))</f>
        <v>13</v>
      </c>
      <c r="L115" s="149" t="str">
        <f>IF(COUNTA(D113:D116)&gt;COUNTA(G113:G116),E115,(IF(COUNTA(D113:D116)&lt;COUNTA(G113:G116),H115,(IF((D113+D114+D115+D116)&lt;(G113+G114+G115+G116),E115,H115)))))</f>
        <v>M</v>
      </c>
      <c r="M115" s="238" t="str">
        <f t="shared" si="22"/>
        <v>SimpleMaster</v>
      </c>
      <c r="N115" s="243" t="str">
        <f>IF(F113=TRUE,D115,(IF(I113=TRUE,G115,"")))</f>
        <v>13</v>
      </c>
      <c r="O115" s="149" t="str">
        <f>IF(F113=TRUE,E115,(IF(I113=TRUE,H115,"")))</f>
        <v>M</v>
      </c>
    </row>
    <row r="116" outlineLevel="1">
      <c r="A116" s="35" t="str">
        <f>CLASSDATA!A116</f>
        <v>SimpleLegendary</v>
      </c>
      <c r="B116" s="35" t="str">
        <f>CLASSDATA!B116</f>
        <v/>
      </c>
      <c r="C116" s="35" t="str">
        <f>CLASSDATA!C116</f>
        <v/>
      </c>
      <c r="D116" s="241" t="str">
        <f t="array" ref="D116">INDEX(ALLCLASSDATA,MATCH(A116,CLASSFEATUREHEADERS,0),MATCH($D$2,CLASSNAMEHEADERS,0))</f>
        <v>19</v>
      </c>
      <c r="E116" s="149" t="str">
        <f t="array" ref="E116">INDEX(ALLCLASSDATA,MATCH(A116,CLASSFEATUREHEADERS,0),MATCH(($D$2 &amp; "Points"),CLASSNAMEHEADERS,0))</f>
        <v>L</v>
      </c>
      <c r="G116" s="241" t="str">
        <f t="array" ref="G116">INDEX(ALLCLASSDATA,MATCH(A116,CLASSFEATUREHEADERS,0),MATCH($G$2,CLASSNAMEHEADERS,0))</f>
        <v/>
      </c>
      <c r="H116" s="149" t="str">
        <f t="array" ref="H116">INDEX(ALLCLASSDATA,MATCH(A116,CLASSFEATUREHEADERS,0),MATCH(($G$2 &amp; "Points"),CLASSNAMEHEADERS,0))</f>
        <v/>
      </c>
      <c r="J116" s="238" t="str">
        <f t="shared" si="20"/>
        <v>SimpleLegendary</v>
      </c>
      <c r="K116" s="243" t="str">
        <f>IF(COUNTA(D113:D116)&gt;COUNTA(G113:G116),D116,(IF(COUNTA(D113:D116)&lt;COUNTA(G113:G116),G116,(IF((D113+D114+D115+D116)&lt;(G113+G114+G115+G116),D116,G116)))))</f>
        <v>19</v>
      </c>
      <c r="L116" s="149" t="str">
        <f>IF(COUNTA(D113:D116)&gt;COUNTA(G113:G116),E116,(IF(COUNTA(D113:D116)&lt;COUNTA(G113:G116),H116,(IF((D113+D114+D115+D116)&lt;(G113+G114+G115+G116),E116,H116)))))</f>
        <v>L</v>
      </c>
      <c r="M116" s="238" t="str">
        <f t="shared" si="22"/>
        <v>SimpleLegendary</v>
      </c>
      <c r="N116" s="243" t="str">
        <f>IF(F113=TRUE,D116,(IF(I113=TRUE,G116,"")))</f>
        <v>19</v>
      </c>
      <c r="O116" s="149" t="str">
        <f>IF(F113=TRUE,E116,(IF(I113=TRUE,H116,"")))</f>
        <v>L</v>
      </c>
    </row>
    <row r="117" outlineLevel="1">
      <c r="A117" s="35" t="str">
        <f>CLASSDATA!A117</f>
        <v>MartialLimitedTrained</v>
      </c>
      <c r="B117" s="35" t="str">
        <f>CLASSDATA!B117</f>
        <v/>
      </c>
      <c r="C117" s="35" t="str">
        <f>CLASSDATA!C117</f>
        <v/>
      </c>
      <c r="D117" s="241" t="str">
        <f t="array" ref="D117">INDEX(ALLCLASSDATA,MATCH(A117,CLASSFEATUREHEADERS,0),MATCH($D$2,CLASSNAMEHEADERS,0))</f>
        <v/>
      </c>
      <c r="E117" s="243" t="str">
        <f t="array" ref="E117">INDEX(ALLCLASSDATA,MATCH(A117,CLASSFEATUREHEADERS,0),MATCH(($D$2 &amp; "Points"),CLASSNAMEHEADERS,0))</f>
        <v/>
      </c>
      <c r="F117" s="12" t="b">
        <v>0</v>
      </c>
      <c r="G117" s="241" t="str">
        <f t="array" ref="G117">INDEX(ALLCLASSDATA,MATCH(A117,CLASSFEATUREHEADERS,0),MATCH($G$2,CLASSNAMEHEADERS,0))</f>
        <v/>
      </c>
      <c r="H117" s="149" t="str">
        <f t="array" ref="H117">INDEX(ALLCLASSDATA,MATCH(A117,CLASSFEATUREHEADERS,0),MATCH(($G$2 &amp; "Points"),CLASSNAMEHEADERS,0))</f>
        <v/>
      </c>
      <c r="I117" s="12" t="b">
        <v>0</v>
      </c>
      <c r="J117" s="238" t="str">
        <f t="shared" si="20"/>
        <v/>
      </c>
      <c r="K117" s="243" t="str">
        <f>IF(COUNTA(D117:D120)&gt;COUNTA(G117:G120),D117,(IF(COUNTA(D117:D120)&lt;COUNTA(G117:G120),G117,(IF((D117+D118+D119+D120)&lt;(G117+G118+G119+G120),D117,G117)))))</f>
        <v/>
      </c>
      <c r="L117" s="243" t="str">
        <f>IF(COUNTA(D117:D120)&gt;COUNTA(G117:G120),E117,(IF(COUNTA(D117:D120)&lt;COUNTA(G117:G120),H117,(IF((D117+D118+D119+D120)&lt;(G117+G118+G119+G120),E117,H117)))))</f>
        <v/>
      </c>
      <c r="M117" s="238" t="str">
        <f t="shared" si="22"/>
        <v>MartialLimitedTrained</v>
      </c>
      <c r="N117" s="149" t="str">
        <f>IF(F117=TRUE,D117,(IF(I117=TRUE,G117,"")))</f>
        <v/>
      </c>
      <c r="O117" s="149" t="str">
        <f>IF(F117=TRUE,E117,(IF(I117=TRUE,H117,"")))</f>
        <v/>
      </c>
    </row>
    <row r="118" outlineLevel="1">
      <c r="A118" s="35" t="str">
        <f>CLASSDATA!A118</f>
        <v>MartialLimitedExpert</v>
      </c>
      <c r="B118" s="35" t="str">
        <f>CLASSDATA!B118</f>
        <v/>
      </c>
      <c r="C118" s="35" t="str">
        <f>CLASSDATA!C118</f>
        <v/>
      </c>
      <c r="D118" s="241" t="str">
        <f t="array" ref="D118">INDEX(ALLCLASSDATA,MATCH(A118,CLASSFEATUREHEADERS,0),MATCH($D$2,CLASSNAMEHEADERS,0))</f>
        <v/>
      </c>
      <c r="E118" s="243" t="str">
        <f t="array" ref="E118">INDEX(ALLCLASSDATA,MATCH(A118,CLASSFEATUREHEADERS,0),MATCH(($D$2 &amp; "Points"),CLASSNAMEHEADERS,0))</f>
        <v/>
      </c>
      <c r="G118" s="241" t="str">
        <f t="array" ref="G118">INDEX(ALLCLASSDATA,MATCH(A118,CLASSFEATUREHEADERS,0),MATCH($G$2,CLASSNAMEHEADERS,0))</f>
        <v/>
      </c>
      <c r="H118" s="149" t="str">
        <f t="array" ref="H118">INDEX(ALLCLASSDATA,MATCH(A118,CLASSFEATUREHEADERS,0),MATCH(($G$2 &amp; "Points"),CLASSNAMEHEADERS,0))</f>
        <v/>
      </c>
      <c r="J118" s="238" t="str">
        <f t="shared" si="20"/>
        <v/>
      </c>
      <c r="K118" s="243" t="str">
        <f>IF(COUNTA(D117:D120)&gt;COUNTA(G117:G120),D118,(IF(COUNTA(D117:D120)&lt;COUNTA(G117:G120),G118,(IF((D117+D118+D119+D120)&lt;(G117+G118+G119+G120),D118,G118)))))</f>
        <v/>
      </c>
      <c r="L118" s="243" t="str">
        <f>IF(COUNTA(D117:D120)&gt;COUNTA(G117:G120),E118,(IF(COUNTA(D117:D120)&lt;COUNTA(G117:G120),H118,(IF((D117+D118+D119+D120)&lt;(G117+G118+G119+G120),E118,H118)))))</f>
        <v/>
      </c>
      <c r="M118" s="238" t="str">
        <f t="shared" si="22"/>
        <v>MartialLimitedExpert</v>
      </c>
      <c r="N118" s="149" t="str">
        <f>IF(F117=TRUE,D118,(IF(I117=TRUE,G118,"")))</f>
        <v/>
      </c>
      <c r="O118" s="149" t="str">
        <f>IF(F117=TRUE,E118,(IF(I117=TRUE,H118,"")))</f>
        <v/>
      </c>
    </row>
    <row r="119" outlineLevel="1">
      <c r="A119" s="35" t="str">
        <f>CLASSDATA!A119</f>
        <v>MartialLimitedMaster</v>
      </c>
      <c r="B119" s="35" t="str">
        <f>CLASSDATA!B119</f>
        <v/>
      </c>
      <c r="C119" s="35" t="str">
        <f>CLASSDATA!C119</f>
        <v/>
      </c>
      <c r="D119" s="241" t="str">
        <f t="array" ref="D119">INDEX(ALLCLASSDATA,MATCH(A119,CLASSFEATUREHEADERS,0),MATCH($D$2,CLASSNAMEHEADERS,0))</f>
        <v>05</v>
      </c>
      <c r="E119" s="149" t="str">
        <f t="array" ref="E119">INDEX(ALLCLASSDATA,MATCH(A119,CLASSFEATUREHEADERS,0),MATCH(($D$2 &amp; "Points"),CLASSNAMEHEADERS,0))</f>
        <v>M</v>
      </c>
      <c r="G119" s="241" t="str">
        <f t="array" ref="G119">INDEX(ALLCLASSDATA,MATCH(A119,CLASSFEATUREHEADERS,0),MATCH($G$2,CLASSNAMEHEADERS,0))</f>
        <v/>
      </c>
      <c r="H119" s="149" t="str">
        <f t="array" ref="H119">INDEX(ALLCLASSDATA,MATCH(A119,CLASSFEATUREHEADERS,0),MATCH(($G$2 &amp; "Points"),CLASSNAMEHEADERS,0))</f>
        <v/>
      </c>
      <c r="J119" s="238" t="str">
        <f t="shared" si="20"/>
        <v>MartialLimitedMaster</v>
      </c>
      <c r="K119" s="243" t="str">
        <f>IF(COUNTA(D117:D120)&gt;COUNTA(G117:G120),D119,(IF(COUNTA(D117:D120)&lt;COUNTA(G117:G120),G119,(IF((D117+D118+D119+D120)&lt;(G117+G118+G119+G120),D119,G119)))))</f>
        <v>05</v>
      </c>
      <c r="L119" s="149" t="str">
        <f>IF(COUNTA(D117:D120)&gt;COUNTA(G117:G120),E119,(IF(COUNTA(D117:D120)&lt;COUNTA(G117:G120),H119,(IF((D117+D118+D119+D120)&lt;(G117+G118+G119+G120),E119,H119)))))</f>
        <v>M</v>
      </c>
      <c r="M119" s="238" t="str">
        <f t="shared" si="22"/>
        <v>MartialLimitedMaster</v>
      </c>
      <c r="N119" s="149" t="str">
        <f>IF(F117=TRUE,D119,(IF(I117=TRUE,G119,"")))</f>
        <v/>
      </c>
      <c r="O119" s="149" t="str">
        <f>IF(F117=TRUE,E119,(IF(I117=TRUE,H119,"")))</f>
        <v/>
      </c>
    </row>
    <row r="120" outlineLevel="1">
      <c r="A120" s="35" t="str">
        <f>CLASSDATA!A120</f>
        <v>MartialLimitedLegendary</v>
      </c>
      <c r="B120" s="35" t="str">
        <f>CLASSDATA!B120</f>
        <v/>
      </c>
      <c r="C120" s="35" t="str">
        <f>CLASSDATA!C120</f>
        <v/>
      </c>
      <c r="D120" s="241" t="str">
        <f t="array" ref="D120">INDEX(ALLCLASSDATA,MATCH(A120,CLASSFEATUREHEADERS,0),MATCH($D$2,CLASSNAMEHEADERS,0))</f>
        <v>13</v>
      </c>
      <c r="E120" s="149" t="str">
        <f t="array" ref="E120">INDEX(ALLCLASSDATA,MATCH(A120,CLASSFEATUREHEADERS,0),MATCH(($D$2 &amp; "Points"),CLASSNAMEHEADERS,0))</f>
        <v>L</v>
      </c>
      <c r="G120" s="241" t="str">
        <f t="array" ref="G120">INDEX(ALLCLASSDATA,MATCH(A120,CLASSFEATUREHEADERS,0),MATCH($G$2,CLASSNAMEHEADERS,0))</f>
        <v/>
      </c>
      <c r="H120" s="149" t="str">
        <f t="array" ref="H120">INDEX(ALLCLASSDATA,MATCH(A120,CLASSFEATUREHEADERS,0),MATCH(($G$2 &amp; "Points"),CLASSNAMEHEADERS,0))</f>
        <v/>
      </c>
      <c r="J120" s="238" t="str">
        <f t="shared" si="20"/>
        <v>MartialLimitedLegendary</v>
      </c>
      <c r="K120" s="243" t="str">
        <f>IF(COUNTA(D117:D120)&gt;COUNTA(G117:G120),D120,(IF(COUNTA(D117:D120)&lt;COUNTA(G117:G120),G120,(IF((D117+D118+D119+D120)&lt;(G117+G118+G119+G120),D120,G120)))))</f>
        <v>13</v>
      </c>
      <c r="L120" s="149" t="str">
        <f>IF(COUNTA(D117:D120)&gt;COUNTA(G117:G120),E120,(IF(COUNTA(D117:D120)&lt;COUNTA(G117:G120),H120,(IF((D117+D118+D119+D120)&lt;(G117+G118+G119+G120),E120,H120)))))</f>
        <v>L</v>
      </c>
      <c r="M120" s="238" t="str">
        <f t="shared" si="22"/>
        <v>MartialLimitedLegendary</v>
      </c>
      <c r="N120" s="149" t="str">
        <f>IF(F117=TRUE,D120,(IF(I117=TRUE,G120,"")))</f>
        <v/>
      </c>
      <c r="O120" s="149" t="str">
        <f>IF(F117=TRUE,E120,(IF(I117=TRUE,H120,"")))</f>
        <v/>
      </c>
    </row>
    <row r="121" outlineLevel="1">
      <c r="A121" s="240" t="str">
        <f>CLASSDATA!A121</f>
        <v>MartialTrained</v>
      </c>
      <c r="B121" s="35" t="str">
        <f>CLASSDATA!B121</f>
        <v/>
      </c>
      <c r="C121" s="35" t="str">
        <f>CLASSDATA!C121</f>
        <v/>
      </c>
      <c r="D121" s="241" t="str">
        <f t="array" ref="D121">INDEX(ALLCLASSDATA,MATCH(A121,CLASSFEATUREHEADERS,0),MATCH($D$2,CLASSNAMEHEADERS,0))</f>
        <v>00</v>
      </c>
      <c r="E121" s="149">
        <f t="array" ref="E121">INDEX(ALLCLASSDATA,MATCH(A121,CLASSFEATUREHEADERS,0),MATCH(($D$2 &amp; "Points"),CLASSNAMEHEADERS,0))</f>
        <v>10</v>
      </c>
      <c r="F121" s="12" t="b">
        <v>1</v>
      </c>
      <c r="G121" s="241" t="str">
        <f t="array" ref="G121">INDEX(ALLCLASSDATA,MATCH(A121,CLASSFEATUREHEADERS,0),MATCH($G$2,CLASSNAMEHEADERS,0))</f>
        <v/>
      </c>
      <c r="H121" s="149" t="str">
        <f t="array" ref="H121">INDEX(ALLCLASSDATA,MATCH(A121,CLASSFEATUREHEADERS,0),MATCH(($G$2 &amp; "Points"),CLASSNAMEHEADERS,0))</f>
        <v/>
      </c>
      <c r="I121" s="12" t="b">
        <v>0</v>
      </c>
      <c r="J121" s="261" t="str">
        <f t="shared" si="20"/>
        <v>MartialTrained</v>
      </c>
      <c r="K121" s="243" t="str">
        <f>IF(COUNTA(D121:D124)&gt;COUNTA(G121:G124),D121,(IF(COUNTA(D121:D124)&lt;COUNTA(G121:G124),G121,(IF((D121+D122+D123+D124)&lt;(G121+G122+G123+G124),D121,G121)))))</f>
        <v>00</v>
      </c>
      <c r="L121" s="149">
        <f>IF(COUNTA(D121:D124)&gt;COUNTA(G121:G124),E121,(IF(COUNTA(D121:D124)&lt;COUNTA(G121:G124),H121,(IF((D121+D122+D123+D124)&lt;(G121+G122+G123+G124),E121,H121)))))</f>
        <v>10</v>
      </c>
      <c r="M121" s="261" t="str">
        <f t="shared" si="22"/>
        <v>MartialTrained</v>
      </c>
      <c r="N121" s="243" t="str">
        <f>IF(F121=TRUE,D121,(IF(I121=TRUE,G121,"")))</f>
        <v>00</v>
      </c>
      <c r="O121" s="149">
        <f>IF(F121=TRUE,E121,(IF(I121=TRUE,H121,"")))</f>
        <v>10</v>
      </c>
    </row>
    <row r="122" outlineLevel="1">
      <c r="A122" s="35" t="str">
        <f>CLASSDATA!A122</f>
        <v>MartialExpert</v>
      </c>
      <c r="B122" s="35" t="str">
        <f>CLASSDATA!B122</f>
        <v/>
      </c>
      <c r="C122" s="35" t="str">
        <f>CLASSDATA!C122</f>
        <v/>
      </c>
      <c r="D122" s="241" t="str">
        <f t="array" ref="D122">INDEX(ALLCLASSDATA,MATCH(A122,CLASSFEATUREHEADERS,0),MATCH($D$2,CLASSNAMEHEADERS,0))</f>
        <v>01</v>
      </c>
      <c r="E122" s="149">
        <f t="array" ref="E122">INDEX(ALLCLASSDATA,MATCH(A122,CLASSFEATUREHEADERS,0),MATCH(($D$2 &amp; "Points"),CLASSNAMEHEADERS,0))</f>
        <v>50</v>
      </c>
      <c r="G122" s="241" t="str">
        <f t="array" ref="G122">INDEX(ALLCLASSDATA,MATCH(A122,CLASSFEATUREHEADERS,0),MATCH($G$2,CLASSNAMEHEADERS,0))</f>
        <v/>
      </c>
      <c r="H122" s="149" t="str">
        <f t="array" ref="H122">INDEX(ALLCLASSDATA,MATCH(A122,CLASSFEATUREHEADERS,0),MATCH(($G$2 &amp; "Points"),CLASSNAMEHEADERS,0))</f>
        <v/>
      </c>
      <c r="J122" s="238" t="str">
        <f t="shared" si="20"/>
        <v>MartialExpert</v>
      </c>
      <c r="K122" s="243" t="str">
        <f>IF(COUNTA(D121:D124)&gt;COUNTA(G121:G124),D122,(IF(COUNTA(D121:D124)&lt;COUNTA(G121:G124),G122,(IF((D121+D122+D123+D124)&lt;(G121+G122+G123+G124),D122,G122)))))</f>
        <v>01</v>
      </c>
      <c r="L122" s="149">
        <f>IF(COUNTA(D121:D124)&gt;COUNTA(G121:G124),E122,(IF(COUNTA(D121:D124)&lt;COUNTA(G121:G124),H122,(IF((D121+D122+D123+D124)&lt;(G121+G122+G123+G124),E122,H122)))))</f>
        <v>50</v>
      </c>
      <c r="M122" s="238" t="str">
        <f t="shared" si="22"/>
        <v>MartialExpert</v>
      </c>
      <c r="N122" s="243" t="str">
        <f>IF(F121=TRUE,D122,(IF(I121=TRUE,G122,"")))</f>
        <v>01</v>
      </c>
      <c r="O122" s="149">
        <f>IF(F121=TRUE,E122,(IF(I121=TRUE,H122,"")))</f>
        <v>50</v>
      </c>
    </row>
    <row r="123" outlineLevel="1">
      <c r="A123" s="35" t="str">
        <f>CLASSDATA!A123</f>
        <v>MartialMaster</v>
      </c>
      <c r="B123" s="35" t="str">
        <f>CLASSDATA!B123</f>
        <v/>
      </c>
      <c r="C123" s="35" t="str">
        <f>CLASSDATA!C123</f>
        <v/>
      </c>
      <c r="D123" s="241" t="str">
        <f t="array" ref="D123">INDEX(ALLCLASSDATA,MATCH(A123,CLASSFEATUREHEADERS,0),MATCH($D$2,CLASSNAMEHEADERS,0))</f>
        <v>13</v>
      </c>
      <c r="E123" s="149">
        <f t="array" ref="E123">INDEX(ALLCLASSDATA,MATCH(A123,CLASSFEATUREHEADERS,0),MATCH(($D$2 &amp; "Points"),CLASSNAMEHEADERS,0))</f>
        <v>110</v>
      </c>
      <c r="G123" s="241" t="str">
        <f t="array" ref="G123">INDEX(ALLCLASSDATA,MATCH(A123,CLASSFEATUREHEADERS,0),MATCH($G$2,CLASSNAMEHEADERS,0))</f>
        <v/>
      </c>
      <c r="H123" s="149" t="str">
        <f t="array" ref="H123">INDEX(ALLCLASSDATA,MATCH(A123,CLASSFEATUREHEADERS,0),MATCH(($G$2 &amp; "Points"),CLASSNAMEHEADERS,0))</f>
        <v/>
      </c>
      <c r="J123" s="238" t="str">
        <f t="shared" si="20"/>
        <v>MartialMaster</v>
      </c>
      <c r="K123" s="243" t="str">
        <f>IF(COUNTA(D121:D124)&gt;COUNTA(G121:G124),D123,(IF(COUNTA(D121:D124)&lt;COUNTA(G121:G124),G123,(IF((D121+D122+D123+D124)&lt;(G121+G122+G123+G124),D123,G123)))))</f>
        <v>13</v>
      </c>
      <c r="L123" s="149">
        <f>IF(COUNTA(D121:D124)&gt;COUNTA(G121:G124),E123,(IF(COUNTA(D121:D124)&lt;COUNTA(G121:G124),H123,(IF((D121+D122+D123+D124)&lt;(G121+G122+G123+G124),E123,H123)))))</f>
        <v>110</v>
      </c>
      <c r="M123" s="238" t="str">
        <f t="shared" si="22"/>
        <v>MartialMaster</v>
      </c>
      <c r="N123" s="243" t="str">
        <f>IF(F121=TRUE,D123,(IF(I121=TRUE,G123,"")))</f>
        <v>13</v>
      </c>
      <c r="O123" s="149">
        <f>IF(F121=TRUE,E123,(IF(I121=TRUE,H123,"")))</f>
        <v>110</v>
      </c>
    </row>
    <row r="124" outlineLevel="1">
      <c r="A124" s="35" t="str">
        <f>CLASSDATA!A124</f>
        <v>MartialLegendary</v>
      </c>
      <c r="B124" s="35" t="str">
        <f>CLASSDATA!B124</f>
        <v/>
      </c>
      <c r="C124" s="35" t="str">
        <f>CLASSDATA!C124</f>
        <v/>
      </c>
      <c r="D124" s="241" t="str">
        <f t="array" ref="D124">INDEX(ALLCLASSDATA,MATCH(A124,CLASSFEATUREHEADERS,0),MATCH($D$2,CLASSNAMEHEADERS,0))</f>
        <v>19</v>
      </c>
      <c r="E124" s="149">
        <f t="array" ref="E124">INDEX(ALLCLASSDATA,MATCH(A124,CLASSFEATUREHEADERS,0),MATCH(($D$2 &amp; "Points"),CLASSNAMEHEADERS,0))</f>
        <v>190</v>
      </c>
      <c r="G124" s="241" t="str">
        <f t="array" ref="G124">INDEX(ALLCLASSDATA,MATCH(A124,CLASSFEATUREHEADERS,0),MATCH($G$2,CLASSNAMEHEADERS,0))</f>
        <v/>
      </c>
      <c r="H124" s="149" t="str">
        <f t="array" ref="H124">INDEX(ALLCLASSDATA,MATCH(A124,CLASSFEATUREHEADERS,0),MATCH(($G$2 &amp; "Points"),CLASSNAMEHEADERS,0))</f>
        <v/>
      </c>
      <c r="J124" s="238" t="str">
        <f t="shared" si="20"/>
        <v>MartialLegendary</v>
      </c>
      <c r="K124" s="243" t="str">
        <f>IF(COUNTA(D121:D124)&gt;COUNTA(G121:G124),D124,(IF(COUNTA(D121:D124)&lt;COUNTA(G121:G124),G124,(IF((D121+D122+D123+D124)&lt;(G121+G122+G123+G124),D124,G124)))))</f>
        <v>19</v>
      </c>
      <c r="L124" s="149">
        <f>IF(COUNTA(D121:D124)&gt;COUNTA(G121:G124),E124,(IF(COUNTA(D121:D124)&lt;COUNTA(G121:G124),H124,(IF((D121+D122+D123+D124)&lt;(G121+G122+G123+G124),E124,H124)))))</f>
        <v>190</v>
      </c>
      <c r="M124" s="238" t="str">
        <f t="shared" si="22"/>
        <v>MartialLegendary</v>
      </c>
      <c r="N124" s="243" t="str">
        <f>IF(F121=TRUE,D124,(IF(I121=TRUE,G124,"")))</f>
        <v>19</v>
      </c>
      <c r="O124" s="149">
        <f>IF(F121=TRUE,E124,(IF(I121=TRUE,H124,"")))</f>
        <v>190</v>
      </c>
    </row>
    <row r="125" outlineLevel="1">
      <c r="A125" s="35" t="str">
        <f>CLASSDATA!A125</f>
        <v>AdvancedGroupTrained</v>
      </c>
      <c r="B125" s="35" t="str">
        <f>CLASSDATA!B125</f>
        <v/>
      </c>
      <c r="C125" s="35" t="str">
        <f>CLASSDATA!C125</f>
        <v/>
      </c>
      <c r="D125" s="241" t="str">
        <f t="array" ref="D125">INDEX(ALLCLASSDATA,MATCH(A125,CLASSFEATUREHEADERS,0),MATCH($D$2,CLASSNAMEHEADERS,0))</f>
        <v/>
      </c>
      <c r="E125" s="149" t="str">
        <f t="array" ref="E125">INDEX(ALLCLASSDATA,MATCH(A125,CLASSFEATUREHEADERS,0),MATCH(($D$2 &amp; "Points"),CLASSNAMEHEADERS,0))</f>
        <v/>
      </c>
      <c r="F125" s="12" t="b">
        <v>0</v>
      </c>
      <c r="G125" s="241" t="str">
        <f t="array" ref="G125">INDEX(ALLCLASSDATA,MATCH(A125,CLASSFEATUREHEADERS,0),MATCH($G$2,CLASSNAMEHEADERS,0))</f>
        <v/>
      </c>
      <c r="H125" s="149" t="str">
        <f t="array" ref="H125">INDEX(ALLCLASSDATA,MATCH(A125,CLASSFEATUREHEADERS,0),MATCH(($G$2 &amp; "Points"),CLASSNAMEHEADERS,0))</f>
        <v/>
      </c>
      <c r="I125" s="12" t="b">
        <v>0</v>
      </c>
      <c r="J125" s="238" t="str">
        <f t="shared" si="20"/>
        <v/>
      </c>
      <c r="K125" s="243" t="str">
        <f>IF(COUNTA(D125:D128)&gt;COUNTA(G125:G128),D125,(IF(COUNTA(D125:D128)&lt;COUNTA(G125:G128),G125,(IF((D125+D126+D127+D128)&lt;(G125+G126+G127+G128),D125,G125)))))</f>
        <v/>
      </c>
      <c r="L125" s="149" t="str">
        <f>IF(COUNTA(D125:D128)&gt;COUNTA(G125:G128),E125,(IF(COUNTA(D125:D128)&lt;COUNTA(G125:G128),H125,(IF((D125+D126+D127+D128)&lt;(G125+G126+G127+G128),E125,H125)))))</f>
        <v/>
      </c>
      <c r="M125" s="238" t="str">
        <f t="shared" si="22"/>
        <v>AdvancedGroupTrained</v>
      </c>
      <c r="N125" s="149" t="str">
        <f>IF(F125=TRUE,D125,(IF(I125=TRUE,G125,"")))</f>
        <v/>
      </c>
      <c r="O125" s="149" t="str">
        <f>IF(F125=TRUE,E125,(IF(I125=TRUE,H125,"")))</f>
        <v/>
      </c>
    </row>
    <row r="126" outlineLevel="1">
      <c r="A126" s="35" t="str">
        <f>CLASSDATA!A126</f>
        <v>AdvancedGroupExpert</v>
      </c>
      <c r="B126" s="35" t="str">
        <f>CLASSDATA!B126</f>
        <v/>
      </c>
      <c r="C126" s="35" t="str">
        <f>CLASSDATA!C126</f>
        <v/>
      </c>
      <c r="D126" s="241" t="str">
        <f t="array" ref="D126">INDEX(ALLCLASSDATA,MATCH(A126,CLASSFEATUREHEADERS,0),MATCH($D$2,CLASSNAMEHEADERS,0))</f>
        <v>05</v>
      </c>
      <c r="E126" s="149" t="str">
        <f t="array" ref="E126">INDEX(ALLCLASSDATA,MATCH(A126,CLASSFEATUREHEADERS,0),MATCH(($D$2 &amp; "Points"),CLASSNAMEHEADERS,0))</f>
        <v>E</v>
      </c>
      <c r="G126" s="241" t="str">
        <f t="array" ref="G126">INDEX(ALLCLASSDATA,MATCH(A126,CLASSFEATUREHEADERS,0),MATCH($G$2,CLASSNAMEHEADERS,0))</f>
        <v/>
      </c>
      <c r="H126" s="149" t="str">
        <f t="array" ref="H126">INDEX(ALLCLASSDATA,MATCH(A126,CLASSFEATUREHEADERS,0),MATCH(($G$2 &amp; "Points"),CLASSNAMEHEADERS,0))</f>
        <v/>
      </c>
      <c r="J126" s="238" t="str">
        <f t="shared" si="20"/>
        <v>AdvancedGroupExpert</v>
      </c>
      <c r="K126" s="243" t="str">
        <f>IF(COUNTA(D125:D128)&gt;COUNTA(G125:G128),D126,(IF(COUNTA(D125:D128)&lt;COUNTA(G125:G128),G126,(IF((D125+D126+D127+D128)&lt;(G125+G126+G127+G128),D126,G126)))))</f>
        <v>05</v>
      </c>
      <c r="L126" s="149" t="str">
        <f>IF(COUNTA(D125:D128)&gt;COUNTA(G125:G128),E126,(IF(COUNTA(D125:D128)&lt;COUNTA(G125:G128),H126,(IF((D125+D126+D127+D128)&lt;(G125+G126+G127+G128),E126,H126)))))</f>
        <v>E</v>
      </c>
      <c r="M126" s="238" t="str">
        <f t="shared" si="22"/>
        <v>AdvancedGroupExpert</v>
      </c>
      <c r="N126" s="149" t="str">
        <f>IF(F125=TRUE,D126,(IF(I125=TRUE,G126,"")))</f>
        <v/>
      </c>
      <c r="O126" s="149" t="str">
        <f>IF(F125=TRUE,E126,(IF(I125=TRUE,H126,"")))</f>
        <v/>
      </c>
    </row>
    <row r="127" outlineLevel="1">
      <c r="A127" s="35" t="str">
        <f>CLASSDATA!A127</f>
        <v>AdvancedGroupMaster</v>
      </c>
      <c r="B127" s="35" t="str">
        <f>CLASSDATA!B127</f>
        <v/>
      </c>
      <c r="C127" s="35" t="str">
        <f>CLASSDATA!C127</f>
        <v/>
      </c>
      <c r="D127" s="241" t="str">
        <f t="array" ref="D127">INDEX(ALLCLASSDATA,MATCH(A127,CLASSFEATUREHEADERS,0),MATCH($D$2,CLASSNAMEHEADERS,0))</f>
        <v>13</v>
      </c>
      <c r="E127" s="149" t="str">
        <f t="array" ref="E127">INDEX(ALLCLASSDATA,MATCH(A127,CLASSFEATUREHEADERS,0),MATCH(($D$2 &amp; "Points"),CLASSNAMEHEADERS,0))</f>
        <v>M</v>
      </c>
      <c r="G127" s="241" t="str">
        <f t="array" ref="G127">INDEX(ALLCLASSDATA,MATCH(A127,CLASSFEATUREHEADERS,0),MATCH($G$2,CLASSNAMEHEADERS,0))</f>
        <v/>
      </c>
      <c r="H127" s="149" t="str">
        <f t="array" ref="H127">INDEX(ALLCLASSDATA,MATCH(A127,CLASSFEATUREHEADERS,0),MATCH(($G$2 &amp; "Points"),CLASSNAMEHEADERS,0))</f>
        <v/>
      </c>
      <c r="J127" s="238" t="str">
        <f t="shared" si="20"/>
        <v>AdvancedGroupMaster</v>
      </c>
      <c r="K127" s="243" t="str">
        <f>IF(COUNTA(D125:D128)&gt;COUNTA(G125:G128),D127,(IF(COUNTA(D125:D128)&lt;COUNTA(G125:G128),G127,(IF((D125+D126+D127+D128)&lt;(G125+G126+G127+G128),D127,G127)))))</f>
        <v>13</v>
      </c>
      <c r="L127" s="149" t="str">
        <f>IF(COUNTA(D125:D128)&gt;COUNTA(G125:G128),E127,(IF(COUNTA(D125:D128)&lt;COUNTA(G125:G128),H127,(IF((D125+D126+D127+D128)&lt;(G125+G126+G127+G128),E127,H127)))))</f>
        <v>M</v>
      </c>
      <c r="M127" s="238" t="str">
        <f t="shared" si="22"/>
        <v>AdvancedGroupMaster</v>
      </c>
      <c r="N127" s="149" t="str">
        <f>IF(F125=TRUE,D127,(IF(I125=TRUE,G127,"")))</f>
        <v/>
      </c>
      <c r="O127" s="149" t="str">
        <f>IF(F125=TRUE,E127,(IF(I125=TRUE,H127,"")))</f>
        <v/>
      </c>
    </row>
    <row r="128" outlineLevel="1">
      <c r="A128" s="35" t="str">
        <f>CLASSDATA!A128</f>
        <v>AdvancedGroupLegendary</v>
      </c>
      <c r="B128" s="35" t="str">
        <f>CLASSDATA!B128</f>
        <v/>
      </c>
      <c r="C128" s="35" t="str">
        <f>CLASSDATA!C128</f>
        <v/>
      </c>
      <c r="D128" s="241" t="str">
        <f t="array" ref="D128">INDEX(ALLCLASSDATA,MATCH(A128,CLASSFEATUREHEADERS,0),MATCH($D$2,CLASSNAMEHEADERS,0))</f>
        <v/>
      </c>
      <c r="E128" s="149" t="str">
        <f t="array" ref="E128">INDEX(ALLCLASSDATA,MATCH(A128,CLASSFEATUREHEADERS,0),MATCH(($D$2 &amp; "Points"),CLASSNAMEHEADERS,0))</f>
        <v/>
      </c>
      <c r="G128" s="241" t="str">
        <f t="array" ref="G128">INDEX(ALLCLASSDATA,MATCH(A128,CLASSFEATUREHEADERS,0),MATCH($G$2,CLASSNAMEHEADERS,0))</f>
        <v/>
      </c>
      <c r="H128" s="149" t="str">
        <f t="array" ref="H128">INDEX(ALLCLASSDATA,MATCH(A128,CLASSFEATUREHEADERS,0),MATCH(($G$2 &amp; "Points"),CLASSNAMEHEADERS,0))</f>
        <v/>
      </c>
      <c r="J128" s="238" t="str">
        <f t="shared" si="20"/>
        <v/>
      </c>
      <c r="K128" s="243" t="str">
        <f>IF(COUNTA(D125:D128)&gt;COUNTA(G125:G128),D128,(IF(COUNTA(D125:D128)&lt;COUNTA(G125:G128),G128,(IF((D125+D126+D127+D128)&lt;(G125+G126+G127+G128),D128,G128)))))</f>
        <v/>
      </c>
      <c r="L128" s="149" t="str">
        <f>IF(COUNTA(D125:D128)&gt;COUNTA(G125:G128),E128,(IF(COUNTA(D125:D128)&lt;COUNTA(G125:G128),H128,(IF((D125+D126+D127+D128)&lt;(G125+G126+G127+G128),E128,H128)))))</f>
        <v/>
      </c>
      <c r="M128" s="238" t="str">
        <f t="shared" si="22"/>
        <v>AdvancedGroupLegendary</v>
      </c>
      <c r="N128" s="149" t="str">
        <f>IF(F125=TRUE,D128,(IF(I125=TRUE,G128,"")))</f>
        <v/>
      </c>
      <c r="O128" s="149" t="str">
        <f>IF(F125=TRUE,E128,(IF(I125=TRUE,H128,"")))</f>
        <v/>
      </c>
    </row>
    <row r="129" outlineLevel="1">
      <c r="A129" s="240" t="str">
        <f>CLASSDATA!A129</f>
        <v>AdvancedTrained</v>
      </c>
      <c r="B129" s="35" t="str">
        <f>CLASSDATA!B129</f>
        <v/>
      </c>
      <c r="C129" s="35" t="str">
        <f>CLASSDATA!C129</f>
        <v/>
      </c>
      <c r="D129" s="241" t="str">
        <f t="array" ref="D129">INDEX(ALLCLASSDATA,MATCH(A129,CLASSFEATUREHEADERS,0),MATCH($D$2,CLASSNAMEHEADERS,0))</f>
        <v>01</v>
      </c>
      <c r="E129" s="149">
        <f t="array" ref="E129">INDEX(ALLCLASSDATA,MATCH(A129,CLASSFEATUREHEADERS,0),MATCH(($D$2 &amp; "Points"),CLASSNAMEHEADERS,0))</f>
        <v>10</v>
      </c>
      <c r="F129" s="12" t="b">
        <v>1</v>
      </c>
      <c r="G129" s="241" t="str">
        <f t="array" ref="G129">INDEX(ALLCLASSDATA,MATCH(A129,CLASSFEATUREHEADERS,0),MATCH($G$2,CLASSNAMEHEADERS,0))</f>
        <v/>
      </c>
      <c r="H129" s="149" t="str">
        <f t="array" ref="H129">INDEX(ALLCLASSDATA,MATCH(A129,CLASSFEATUREHEADERS,0),MATCH(($G$2 &amp; "Points"),CLASSNAMEHEADERS,0))</f>
        <v/>
      </c>
      <c r="I129" s="12" t="b">
        <v>0</v>
      </c>
      <c r="J129" s="261" t="str">
        <f t="shared" si="20"/>
        <v>AdvancedTrained</v>
      </c>
      <c r="K129" s="243" t="str">
        <f>IF(COUNTA(D129:D132)&gt;COUNTA(G129:G132),D129,(IF(COUNTA(D129:D132)&lt;COUNTA(G129:G132),G129,(IF((D129+D130+D131+D132)&lt;(G129+G130+G131+G132),D129,G129)))))</f>
        <v>01</v>
      </c>
      <c r="L129" s="149">
        <f>IF(COUNTA(D129:D132)&gt;COUNTA(G129:G132),E129,(IF(COUNTA(D129:D132)&lt;COUNTA(G129:G132),H129,(IF((D129+D130+D131+D132)&lt;(G129+G130+G131+G132),E129,H129)))))</f>
        <v>10</v>
      </c>
      <c r="M129" s="261" t="str">
        <f t="shared" si="22"/>
        <v>AdvancedTrained</v>
      </c>
      <c r="N129" s="243" t="str">
        <f>IF(F129=TRUE,D129,(IF(I129=TRUE,G129,"")))</f>
        <v>01</v>
      </c>
      <c r="O129" s="149">
        <f>IF(F129=TRUE,E129,(IF(I129=TRUE,H129,"")))</f>
        <v>10</v>
      </c>
    </row>
    <row r="130" outlineLevel="1">
      <c r="A130" s="35" t="str">
        <f>CLASSDATA!A130</f>
        <v>AdvancedExpert</v>
      </c>
      <c r="B130" s="35" t="str">
        <f>CLASSDATA!B130</f>
        <v/>
      </c>
      <c r="C130" s="35" t="str">
        <f>CLASSDATA!C130</f>
        <v/>
      </c>
      <c r="D130" s="241" t="str">
        <f t="array" ref="D130">INDEX(ALLCLASSDATA,MATCH(A130,CLASSFEATUREHEADERS,0),MATCH($D$2,CLASSNAMEHEADERS,0))</f>
        <v>13</v>
      </c>
      <c r="E130" s="149" t="str">
        <f t="array" ref="E130">INDEX(ALLCLASSDATA,MATCH(A130,CLASSFEATUREHEADERS,0),MATCH(($D$2 &amp; "Points"),CLASSNAMEHEADERS,0))</f>
        <v>E</v>
      </c>
      <c r="G130" s="241" t="str">
        <f t="array" ref="G130">INDEX(ALLCLASSDATA,MATCH(A130,CLASSFEATUREHEADERS,0),MATCH($G$2,CLASSNAMEHEADERS,0))</f>
        <v/>
      </c>
      <c r="H130" s="149" t="str">
        <f t="array" ref="H130">INDEX(ALLCLASSDATA,MATCH(A130,CLASSFEATUREHEADERS,0),MATCH(($G$2 &amp; "Points"),CLASSNAMEHEADERS,0))</f>
        <v/>
      </c>
      <c r="J130" s="238" t="str">
        <f t="shared" si="20"/>
        <v>AdvancedExpert</v>
      </c>
      <c r="K130" s="243" t="str">
        <f>IF(COUNTA(D129:D132)&gt;COUNTA(G129:G132),D130,(IF(COUNTA(D129:D132)&lt;COUNTA(G129:G132),G130,(IF((D129+D130+D131+D132)&lt;(G129+G130+G131+G132),D130,G130)))))</f>
        <v>13</v>
      </c>
      <c r="L130" s="149" t="str">
        <f>IF(COUNTA(D129:D132)&gt;COUNTA(G129:G132),E130,(IF(COUNTA(D129:D132)&lt;COUNTA(G129:G132),H130,(IF((D129+D130+D131+D132)&lt;(G129+G130+G131+G132),E130,H130)))))</f>
        <v>E</v>
      </c>
      <c r="M130" s="238" t="str">
        <f t="shared" si="22"/>
        <v>AdvancedExpert</v>
      </c>
      <c r="N130" s="243" t="str">
        <f>IF(F129=TRUE,D130,(IF(I129=TRUE,G130,"")))</f>
        <v>13</v>
      </c>
      <c r="O130" s="149" t="str">
        <f>IF(F129=TRUE,E130,(IF(I129=TRUE,H130,"")))</f>
        <v>E</v>
      </c>
    </row>
    <row r="131" outlineLevel="1">
      <c r="A131" s="35" t="str">
        <f>CLASSDATA!A131</f>
        <v>AdvancedMaster</v>
      </c>
      <c r="B131" s="35" t="str">
        <f>CLASSDATA!B131</f>
        <v/>
      </c>
      <c r="C131" s="35" t="str">
        <f>CLASSDATA!C131</f>
        <v/>
      </c>
      <c r="D131" s="241" t="str">
        <f t="array" ref="D131">INDEX(ALLCLASSDATA,MATCH(A131,CLASSFEATUREHEADERS,0),MATCH($D$2,CLASSNAMEHEADERS,0))</f>
        <v>19</v>
      </c>
      <c r="E131" s="149" t="str">
        <f t="array" ref="E131">INDEX(ALLCLASSDATA,MATCH(A131,CLASSFEATUREHEADERS,0),MATCH(($D$2 &amp; "Points"),CLASSNAMEHEADERS,0))</f>
        <v>M</v>
      </c>
      <c r="G131" s="241" t="str">
        <f t="array" ref="G131">INDEX(ALLCLASSDATA,MATCH(A131,CLASSFEATUREHEADERS,0),MATCH($G$2,CLASSNAMEHEADERS,0))</f>
        <v/>
      </c>
      <c r="H131" s="149" t="str">
        <f t="array" ref="H131">INDEX(ALLCLASSDATA,MATCH(A131,CLASSFEATUREHEADERS,0),MATCH(($G$2 &amp; "Points"),CLASSNAMEHEADERS,0))</f>
        <v/>
      </c>
      <c r="J131" s="238" t="str">
        <f t="shared" si="20"/>
        <v>AdvancedMaster</v>
      </c>
      <c r="K131" s="243" t="str">
        <f>IF(COUNTA(D129:D132)&gt;COUNTA(G129:G132),D131,(IF(COUNTA(D129:D132)&lt;COUNTA(G129:G132),G131,(IF((D129+D130+D131+D132)&lt;(G129+G130+G131+G132),D131,G131)))))</f>
        <v>19</v>
      </c>
      <c r="L131" s="149" t="str">
        <f>IF(COUNTA(D129:D132)&gt;COUNTA(G129:G132),E131,(IF(COUNTA(D129:D132)&lt;COUNTA(G129:G132),H131,(IF((D129+D130+D131+D132)&lt;(G129+G130+G131+G132),E131,H131)))))</f>
        <v>M</v>
      </c>
      <c r="M131" s="238" t="str">
        <f t="shared" si="22"/>
        <v>AdvancedMaster</v>
      </c>
      <c r="N131" s="243" t="str">
        <f>IF(F129=TRUE,D131,(IF(I129=TRUE,G131,"")))</f>
        <v>19</v>
      </c>
      <c r="O131" s="149" t="str">
        <f>IF(F129=TRUE,E131,(IF(I129=TRUE,H131,"")))</f>
        <v>M</v>
      </c>
    </row>
    <row r="132" outlineLevel="1">
      <c r="A132" s="35" t="str">
        <f>CLASSDATA!A132</f>
        <v>AdvancedLegendary</v>
      </c>
      <c r="B132" s="35" t="str">
        <f>CLASSDATA!B132</f>
        <v/>
      </c>
      <c r="C132" s="35" t="str">
        <f>CLASSDATA!C132</f>
        <v/>
      </c>
      <c r="D132" s="241" t="str">
        <f t="array" ref="D132">INDEX(ALLCLASSDATA,MATCH(A132,CLASSFEATUREHEADERS,0),MATCH($D$2,CLASSNAMEHEADERS,0))</f>
        <v/>
      </c>
      <c r="E132" s="149" t="str">
        <f t="array" ref="E132">INDEX(ALLCLASSDATA,MATCH(A132,CLASSFEATUREHEADERS,0),MATCH(($D$2 &amp; "Points"),CLASSNAMEHEADERS,0))</f>
        <v/>
      </c>
      <c r="G132" s="241" t="str">
        <f t="array" ref="G132">INDEX(ALLCLASSDATA,MATCH(A132,CLASSFEATUREHEADERS,0),MATCH($G$2,CLASSNAMEHEADERS,0))</f>
        <v/>
      </c>
      <c r="H132" s="149" t="str">
        <f t="array" ref="H132">INDEX(ALLCLASSDATA,MATCH(A132,CLASSFEATUREHEADERS,0),MATCH(($G$2 &amp; "Points"),CLASSNAMEHEADERS,0))</f>
        <v/>
      </c>
      <c r="J132" s="238" t="str">
        <f t="shared" si="20"/>
        <v/>
      </c>
      <c r="K132" s="243" t="str">
        <f>IF(COUNTA(D129:D132)&gt;COUNTA(G129:G132),D132,(IF(COUNTA(D129:D132)&lt;COUNTA(G129:G132),G132,(IF((D129+D130+D131+D132)&lt;(G129+G130+G131+G132),D132,G132)))))</f>
        <v/>
      </c>
      <c r="L132" s="149" t="str">
        <f>IF(COUNTA(D129:D132)&gt;COUNTA(G129:G132),E132,(IF(COUNTA(D129:D132)&lt;COUNTA(G129:G132),H132,(IF((D129+D130+D131+D132)&lt;(G129+G130+G131+G132),E132,H132)))))</f>
        <v/>
      </c>
      <c r="M132" s="238" t="str">
        <f t="shared" si="22"/>
        <v/>
      </c>
      <c r="N132" s="243" t="str">
        <f>IF(F129=TRUE,D132,(IF(I129=TRUE,G132,"")))</f>
        <v/>
      </c>
      <c r="O132" s="149" t="str">
        <f>IF(F129=TRUE,E132,(IF(I129=TRUE,H132,"")))</f>
        <v/>
      </c>
    </row>
    <row r="133">
      <c r="A133" s="244" t="str">
        <f>CLASSDATA!A133</f>
        <v>DEFENSE TOTAL:</v>
      </c>
      <c r="B133" s="249" t="str">
        <f>CLASSDATA!B133</f>
        <v/>
      </c>
      <c r="C133" s="173" t="str">
        <f>CLASSDATA!C133</f>
        <v/>
      </c>
      <c r="D133" s="260" t="str">
        <f t="array" ref="D133">INDEX(ALLCLASSDATA,MATCH(A133,CLASSFEATUREHEADERS,0),MATCH($D$2,CLASSNAMEHEADERS,0))</f>
        <v/>
      </c>
      <c r="E133" s="246">
        <f t="array" ref="E133">INDEX(ALLCLASSDATA,MATCH(A133,CLASSFEATUREHEADERS,0),MATCH(($D$2 &amp; "Points"),CLASSNAMEHEADERS,0))</f>
        <v>250</v>
      </c>
      <c r="F133" s="246"/>
      <c r="G133" s="260" t="str">
        <f t="array" ref="G133">INDEX(ALLCLASSDATA,MATCH(A133,CLASSFEATUREHEADERS,0),MATCH($G$2,CLASSNAMEHEADERS,0))</f>
        <v/>
      </c>
      <c r="H133" s="246">
        <f t="array" ref="H133">INDEX(ALLCLASSDATA,MATCH(A133,CLASSFEATUREHEADERS,0),MATCH(($G$2 &amp; "Points"),CLASSNAMEHEADERS,0))</f>
        <v>60</v>
      </c>
      <c r="I133" s="246"/>
      <c r="J133" s="247"/>
      <c r="K133" s="246"/>
      <c r="L133" s="75">
        <f>sum(L134:L150)</f>
        <v>250</v>
      </c>
      <c r="M133" s="247"/>
      <c r="N133" s="246"/>
      <c r="O133" s="75">
        <f>sum(O134:O150)</f>
        <v>200</v>
      </c>
      <c r="P133" s="246"/>
    </row>
    <row r="134" outlineLevel="1">
      <c r="A134" s="240" t="str">
        <f>CLASSDATA!A134</f>
        <v>ArmorSpecialization</v>
      </c>
      <c r="B134" s="250" t="str">
        <f>CLASSDATA!B134</f>
        <v/>
      </c>
      <c r="C134" s="35" t="str">
        <f>CLASSDATA!C134</f>
        <v/>
      </c>
      <c r="D134" s="241" t="str">
        <f t="array" ref="D134">INDEX(ALLCLASSDATA,MATCH(A134,CLASSFEATUREHEADERS,0),MATCH($D$2,CLASSNAMEHEADERS,0))</f>
        <v>11</v>
      </c>
      <c r="E134" s="149">
        <f t="array" ref="E134">INDEX(ALLCLASSDATA,MATCH(A134,CLASSFEATUREHEADERS,0),MATCH(($D$2 &amp; "Points"),CLASSNAMEHEADERS,0))</f>
        <v>50</v>
      </c>
      <c r="F134" s="12" t="b">
        <v>0</v>
      </c>
      <c r="G134" s="241" t="str">
        <f t="array" ref="G134">INDEX(ALLCLASSDATA,MATCH(A134,CLASSFEATUREHEADERS,0),MATCH($G$2,CLASSNAMEHEADERS,0))</f>
        <v/>
      </c>
      <c r="H134" s="149" t="str">
        <f t="array" ref="H134">INDEX(ALLCLASSDATA,MATCH(A134,CLASSFEATUREHEADERS,0),MATCH(($G$2 &amp; "Points"),CLASSNAMEHEADERS,0))</f>
        <v/>
      </c>
      <c r="I134" s="12" t="b">
        <v>0</v>
      </c>
      <c r="J134" s="261" t="str">
        <f t="shared" ref="J134:J150" si="25">IF(ISBLANK(K134),"",A134)</f>
        <v>ArmorSpecialization</v>
      </c>
      <c r="K134" s="243" t="str">
        <f>IF(COUNTA(D134)&gt;COUNTA(G134),D134,(IF(COUNTA(D134)&lt;COUNTA(G134),G134,(IF(D134&lt;G134,D134,G134)))))</f>
        <v>11</v>
      </c>
      <c r="L134" s="149">
        <f>IF(ISBLANK(K134),"",ArmorAS)</f>
        <v>50</v>
      </c>
      <c r="M134" s="261" t="str">
        <f t="shared" ref="M134:M150" si="26">IF(ISBLANK(N134),"",A134)</f>
        <v>ArmorSpecialization</v>
      </c>
      <c r="N134" s="149" t="str">
        <f t="shared" ref="N134:N135" si="27">IF(F134=TRUE,D134,(IF(I134=TRUE,G134,"")))</f>
        <v/>
      </c>
      <c r="O134" s="149" t="str">
        <f t="shared" ref="O134:O135" si="28">IF(F134=TRUE,E134,(IF(I134=TRUE,H134,"")))</f>
        <v/>
      </c>
    </row>
    <row r="135" outlineLevel="1">
      <c r="A135" s="240" t="str">
        <f>CLASSDATA!A135</f>
        <v>UnarmoredTrained</v>
      </c>
      <c r="B135" s="250" t="str">
        <f>CLASSDATA!B135</f>
        <v/>
      </c>
      <c r="C135" s="35" t="str">
        <f>CLASSDATA!C135</f>
        <v/>
      </c>
      <c r="D135" s="241" t="str">
        <f t="array" ref="D135">INDEX(ALLCLASSDATA,MATCH(A135,CLASSFEATUREHEADERS,0),MATCH($D$2,CLASSNAMEHEADERS,0))</f>
        <v>01</v>
      </c>
      <c r="E135" s="149">
        <f t="array" ref="E135">INDEX(ALLCLASSDATA,MATCH(A135,CLASSFEATUREHEADERS,0),MATCH(($D$2 &amp; "Points"),CLASSNAMEHEADERS,0))</f>
        <v>10</v>
      </c>
      <c r="F135" s="12" t="b">
        <v>1</v>
      </c>
      <c r="G135" s="241" t="str">
        <f t="array" ref="G135">INDEX(ALLCLASSDATA,MATCH(A135,CLASSFEATUREHEADERS,0),MATCH($G$2,CLASSNAMEHEADERS,0))</f>
        <v>01</v>
      </c>
      <c r="H135" s="149">
        <f t="array" ref="H135">INDEX(ALLCLASSDATA,MATCH(A135,CLASSFEATUREHEADERS,0),MATCH(($G$2 &amp; "Points"),CLASSNAMEHEADERS,0))</f>
        <v>10</v>
      </c>
      <c r="I135" s="12" t="b">
        <v>0</v>
      </c>
      <c r="J135" s="261" t="str">
        <f t="shared" si="25"/>
        <v>UnarmoredTrained</v>
      </c>
      <c r="K135" s="243" t="str">
        <f>IF(COUNTA(D135:D138)&gt;COUNTA(G135:G138),D135,(IF(COUNTA(D135:D138)&lt;COUNTA(G135:G138),G135,(IF((D135+D136+D137+D138)&lt;(G135+G136+G137+G138),D135,G135)))))</f>
        <v>01</v>
      </c>
      <c r="L135" s="149">
        <f>IF(COUNTA(D135:D138)&gt;COUNTA(G135:G138),E135,(IF(COUNTA(D135:D138)&lt;COUNTA(G135:G138),H135,(IF((D135+D136+D137+D138)&lt;(G135+G136+G137+G138),E135,H135)))))</f>
        <v>10</v>
      </c>
      <c r="M135" s="261" t="str">
        <f t="shared" si="26"/>
        <v>UnarmoredTrained</v>
      </c>
      <c r="N135" s="243" t="str">
        <f t="shared" si="27"/>
        <v>01</v>
      </c>
      <c r="O135" s="149">
        <f t="shared" si="28"/>
        <v>10</v>
      </c>
    </row>
    <row r="136" outlineLevel="1">
      <c r="A136" s="35" t="str">
        <f>CLASSDATA!A136</f>
        <v>UnarmoredExpert</v>
      </c>
      <c r="B136" s="250" t="str">
        <f>CLASSDATA!B136</f>
        <v/>
      </c>
      <c r="C136" s="35" t="str">
        <f>CLASSDATA!C136</f>
        <v/>
      </c>
      <c r="D136" s="241" t="str">
        <f t="array" ref="D136">INDEX(ALLCLASSDATA,MATCH(A136,CLASSFEATUREHEADERS,0),MATCH($D$2,CLASSNAMEHEADERS,0))</f>
        <v>11</v>
      </c>
      <c r="E136" s="149" t="str">
        <f t="array" ref="E136">INDEX(ALLCLASSDATA,MATCH(A136,CLASSFEATUREHEADERS,0),MATCH(($D$2 &amp; "Points"),CLASSNAMEHEADERS,0))</f>
        <v>E</v>
      </c>
      <c r="G136" s="241" t="str">
        <f t="array" ref="G136">INDEX(ALLCLASSDATA,MATCH(A136,CLASSFEATUREHEADERS,0),MATCH($G$2,CLASSNAMEHEADERS,0))</f>
        <v>13</v>
      </c>
      <c r="H136" s="149">
        <f t="array" ref="H136">INDEX(ALLCLASSDATA,MATCH(A136,CLASSFEATUREHEADERS,0),MATCH(($G$2 &amp; "Points"),CLASSNAMEHEADERS,0))</f>
        <v>50</v>
      </c>
      <c r="J136" s="238" t="str">
        <f t="shared" si="25"/>
        <v>UnarmoredExpert</v>
      </c>
      <c r="K136" s="243" t="str">
        <f>IF(COUNTA(D135:D138)&gt;COUNTA(G135:G138),D136,(IF(COUNTA(D135:D138)&lt;COUNTA(G135:G138),G136,(IF((D135+D136+D137+D138)&lt;(G135+G136+G137+G138),D136,G136)))))</f>
        <v>11</v>
      </c>
      <c r="L136" s="149" t="str">
        <f>IF(COUNTA(D135:D138)&gt;COUNTA(G135:G138),E136,(IF(COUNTA(D135:D138)&lt;COUNTA(G135:G138),H136,(IF((D135+D136+D137+D138)&lt;(G135+G136+G137+G138),E136,H136)))))</f>
        <v>E</v>
      </c>
      <c r="M136" s="238" t="str">
        <f t="shared" si="26"/>
        <v>UnarmoredExpert</v>
      </c>
      <c r="N136" s="243" t="str">
        <f>IF(F135=TRUE,D136,(IF(I135=TRUE,G136,"")))</f>
        <v>11</v>
      </c>
      <c r="O136" s="149" t="str">
        <f>IF(F135=TRUE,E136,(IF(I135=TRUE,H136,"")))</f>
        <v>E</v>
      </c>
    </row>
    <row r="137" outlineLevel="1">
      <c r="A137" s="35" t="str">
        <f>CLASSDATA!A137</f>
        <v>UnarmoredMaster</v>
      </c>
      <c r="B137" s="250" t="str">
        <f>CLASSDATA!B137</f>
        <v/>
      </c>
      <c r="C137" s="35" t="str">
        <f>CLASSDATA!C137</f>
        <v/>
      </c>
      <c r="D137" s="241" t="str">
        <f t="array" ref="D137">INDEX(ALLCLASSDATA,MATCH(A137,CLASSFEATUREHEADERS,0),MATCH($D$2,CLASSNAMEHEADERS,0))</f>
        <v>17</v>
      </c>
      <c r="E137" s="149" t="str">
        <f t="array" ref="E137">INDEX(ALLCLASSDATA,MATCH(A137,CLASSFEATUREHEADERS,0),MATCH(($D$2 &amp; "Points"),CLASSNAMEHEADERS,0))</f>
        <v>M</v>
      </c>
      <c r="G137" s="241" t="str">
        <f t="array" ref="G137">INDEX(ALLCLASSDATA,MATCH(A137,CLASSFEATUREHEADERS,0),MATCH($G$2,CLASSNAMEHEADERS,0))</f>
        <v/>
      </c>
      <c r="H137" s="149" t="str">
        <f t="array" ref="H137">INDEX(ALLCLASSDATA,MATCH(A137,CLASSFEATUREHEADERS,0),MATCH(($G$2 &amp; "Points"),CLASSNAMEHEADERS,0))</f>
        <v/>
      </c>
      <c r="J137" s="238" t="str">
        <f t="shared" si="25"/>
        <v>UnarmoredMaster</v>
      </c>
      <c r="K137" s="243" t="str">
        <f>IF(COUNTA(D135:D138)&gt;COUNTA(G135:G138),D137,(IF(COUNTA(D135:D138)&lt;COUNTA(G135:G138),G137,(IF((D135+D136+D137+D138)&lt;(G135+G136+G137+G138),D137,G137)))))</f>
        <v>17</v>
      </c>
      <c r="L137" s="149" t="str">
        <f>IF(COUNTA(D135:D138)&gt;COUNTA(G135:G138),E137,(IF(COUNTA(D135:D138)&lt;COUNTA(G135:G138),H137,(IF((D135+D136+D137+D138)&lt;(G135+G136+G137+G138),E137,H137)))))</f>
        <v>M</v>
      </c>
      <c r="M137" s="238" t="str">
        <f t="shared" si="26"/>
        <v>UnarmoredMaster</v>
      </c>
      <c r="N137" s="243" t="str">
        <f>IF(F135=TRUE,D137,(IF(I135=TRUE,G137,"")))</f>
        <v>17</v>
      </c>
      <c r="O137" s="149" t="str">
        <f>IF(F135=TRUE,E137,(IF(I135=TRUE,H137,"")))</f>
        <v>M</v>
      </c>
    </row>
    <row r="138" outlineLevel="1">
      <c r="A138" s="35" t="str">
        <f>CLASSDATA!A138</f>
        <v>UnarmoredLegendary</v>
      </c>
      <c r="B138" s="250" t="str">
        <f>CLASSDATA!B138</f>
        <v/>
      </c>
      <c r="C138" s="35" t="str">
        <f>CLASSDATA!C138</f>
        <v/>
      </c>
      <c r="D138" s="241" t="str">
        <f t="array" ref="D138">INDEX(ALLCLASSDATA,MATCH(A138,CLASSFEATUREHEADERS,0),MATCH($D$2,CLASSNAMEHEADERS,0))</f>
        <v/>
      </c>
      <c r="E138" s="149" t="str">
        <f t="array" ref="E138">INDEX(ALLCLASSDATA,MATCH(A138,CLASSFEATUREHEADERS,0),MATCH(($D$2 &amp; "Points"),CLASSNAMEHEADERS,0))</f>
        <v/>
      </c>
      <c r="G138" s="241" t="str">
        <f t="array" ref="G138">INDEX(ALLCLASSDATA,MATCH(A138,CLASSFEATUREHEADERS,0),MATCH($G$2,CLASSNAMEHEADERS,0))</f>
        <v/>
      </c>
      <c r="H138" s="149" t="str">
        <f t="array" ref="H138">INDEX(ALLCLASSDATA,MATCH(A138,CLASSFEATUREHEADERS,0),MATCH(($G$2 &amp; "Points"),CLASSNAMEHEADERS,0))</f>
        <v/>
      </c>
      <c r="J138" s="238" t="str">
        <f t="shared" si="25"/>
        <v/>
      </c>
      <c r="K138" s="243" t="str">
        <f>IF(COUNTA(D135:D138)&gt;COUNTA(G135:G138),D138,(IF(COUNTA(D135:D138)&lt;COUNTA(G135:G138),G138,(IF((D135+D136+D137+D138)&lt;(G135+G136+G137+G138),D138,G138)))))</f>
        <v/>
      </c>
      <c r="L138" s="149" t="str">
        <f>IF(COUNTA(D135:D138)&gt;COUNTA(G135:G138),E138,(IF(COUNTA(D135:D138)&lt;COUNTA(G135:G138),H138,(IF((D135+D136+D137+D138)&lt;(G135+G136+G137+G138),E138,H138)))))</f>
        <v/>
      </c>
      <c r="M138" s="238" t="str">
        <f t="shared" si="26"/>
        <v/>
      </c>
      <c r="N138" s="243" t="str">
        <f>IF(F135=TRUE,D138,(IF(I135=TRUE,G138,"")))</f>
        <v/>
      </c>
      <c r="O138" s="149" t="str">
        <f>IF(F135=TRUE,E138,(IF(I135=TRUE,H138,"")))</f>
        <v/>
      </c>
    </row>
    <row r="139" outlineLevel="1">
      <c r="A139" s="240" t="str">
        <f>CLASSDATA!A139</f>
        <v>LightTrained</v>
      </c>
      <c r="B139" s="250" t="str">
        <f>CLASSDATA!B139</f>
        <v/>
      </c>
      <c r="C139" s="35" t="str">
        <f>CLASSDATA!C139</f>
        <v/>
      </c>
      <c r="D139" s="241" t="str">
        <f t="array" ref="D139">INDEX(ALLCLASSDATA,MATCH(A139,CLASSFEATUREHEADERS,0),MATCH($D$2,CLASSNAMEHEADERS,0))</f>
        <v>01</v>
      </c>
      <c r="E139" s="149">
        <f t="array" ref="E139">INDEX(ALLCLASSDATA,MATCH(A139,CLASSFEATUREHEADERS,0),MATCH(($D$2 &amp; "Points"),CLASSNAMEHEADERS,0))</f>
        <v>10</v>
      </c>
      <c r="F139" s="12" t="b">
        <v>1</v>
      </c>
      <c r="G139" s="241" t="str">
        <f t="array" ref="G139">INDEX(ALLCLASSDATA,MATCH(A139,CLASSFEATUREHEADERS,0),MATCH($G$2,CLASSNAMEHEADERS,0))</f>
        <v/>
      </c>
      <c r="H139" s="149" t="str">
        <f t="array" ref="H139">INDEX(ALLCLASSDATA,MATCH(A139,CLASSFEATUREHEADERS,0),MATCH(($G$2 &amp; "Points"),CLASSNAMEHEADERS,0))</f>
        <v/>
      </c>
      <c r="I139" s="12" t="b">
        <v>0</v>
      </c>
      <c r="J139" s="261" t="str">
        <f t="shared" si="25"/>
        <v>LightTrained</v>
      </c>
      <c r="K139" s="243" t="str">
        <f>IF(COUNTA(D139:D142)&gt;COUNTA(G139:G142),D139,(IF(COUNTA(D139:D142)&lt;COUNTA(G139:G142),G139,(IF((D139+D140+D141+D142)&lt;(G139+G140+G141+G142),D139,G139)))))</f>
        <v>01</v>
      </c>
      <c r="L139" s="149">
        <f>IF(COUNTA(D139:D142)&gt;COUNTA(G139:G142),E139,(IF(COUNTA(D139:D142)&lt;COUNTA(G139:G142),H139,(IF((D139+D140+D141+D142)&lt;(G139+G140+G141+G142),E139,H139)))))</f>
        <v>10</v>
      </c>
      <c r="M139" s="261" t="str">
        <f t="shared" si="26"/>
        <v>LightTrained</v>
      </c>
      <c r="N139" s="243" t="str">
        <f>IF(F139=TRUE,D139,(IF(I139=TRUE,G139,"")))</f>
        <v>01</v>
      </c>
      <c r="O139" s="149">
        <f>IF(F139=TRUE,E139,(IF(I139=TRUE,H139,"")))</f>
        <v>10</v>
      </c>
    </row>
    <row r="140" outlineLevel="1">
      <c r="A140" s="35" t="str">
        <f>CLASSDATA!A140</f>
        <v>LightExpert</v>
      </c>
      <c r="B140" s="250" t="str">
        <f>CLASSDATA!B140</f>
        <v/>
      </c>
      <c r="C140" s="35" t="str">
        <f>CLASSDATA!C140</f>
        <v/>
      </c>
      <c r="D140" s="241" t="str">
        <f t="array" ref="D140">INDEX(ALLCLASSDATA,MATCH(A140,CLASSFEATUREHEADERS,0),MATCH($D$2,CLASSNAMEHEADERS,0))</f>
        <v>11</v>
      </c>
      <c r="E140" s="149" t="str">
        <f t="array" ref="E140">INDEX(ALLCLASSDATA,MATCH(A140,CLASSFEATUREHEADERS,0),MATCH(($D$2 &amp; "Points"),CLASSNAMEHEADERS,0))</f>
        <v>E</v>
      </c>
      <c r="G140" s="241" t="str">
        <f t="array" ref="G140">INDEX(ALLCLASSDATA,MATCH(A140,CLASSFEATUREHEADERS,0),MATCH($G$2,CLASSNAMEHEADERS,0))</f>
        <v/>
      </c>
      <c r="H140" s="149" t="str">
        <f t="array" ref="H140">INDEX(ALLCLASSDATA,MATCH(A140,CLASSFEATUREHEADERS,0),MATCH(($G$2 &amp; "Points"),CLASSNAMEHEADERS,0))</f>
        <v/>
      </c>
      <c r="J140" s="238" t="str">
        <f t="shared" si="25"/>
        <v>LightExpert</v>
      </c>
      <c r="K140" s="243" t="str">
        <f>IF(COUNTA(D139:D142)&gt;COUNTA(G139:G142),D140,(IF(COUNTA(D139:D142)&lt;COUNTA(G139:G142),G140,(IF((D139+D140+D141+D142)&lt;(G139+G140+G141+G142),D140,G140)))))</f>
        <v>11</v>
      </c>
      <c r="L140" s="149" t="str">
        <f>IF(COUNTA(D139:D142)&gt;COUNTA(G139:G142),E140,(IF(COUNTA(D139:D142)&lt;COUNTA(G139:G142),H140,(IF((D139+D140+D141+D142)&lt;(G139+G140+G141+G142),E140,H140)))))</f>
        <v>E</v>
      </c>
      <c r="M140" s="238" t="str">
        <f t="shared" si="26"/>
        <v>LightExpert</v>
      </c>
      <c r="N140" s="243" t="str">
        <f>IF(F139=TRUE,D140,(IF(I139=TRUE,G140,"")))</f>
        <v>11</v>
      </c>
      <c r="O140" s="149" t="str">
        <f>IF(F139=TRUE,E140,(IF(I139=TRUE,H140,"")))</f>
        <v>E</v>
      </c>
    </row>
    <row r="141" outlineLevel="1">
      <c r="A141" s="35" t="str">
        <f>CLASSDATA!A141</f>
        <v>LightMaster</v>
      </c>
      <c r="B141" s="250" t="str">
        <f>CLASSDATA!B141</f>
        <v/>
      </c>
      <c r="C141" s="35" t="str">
        <f>CLASSDATA!C141</f>
        <v/>
      </c>
      <c r="D141" s="241" t="str">
        <f t="array" ref="D141">INDEX(ALLCLASSDATA,MATCH(A141,CLASSFEATUREHEADERS,0),MATCH($D$2,CLASSNAMEHEADERS,0))</f>
        <v>17</v>
      </c>
      <c r="E141" s="149" t="str">
        <f t="array" ref="E141">INDEX(ALLCLASSDATA,MATCH(A141,CLASSFEATUREHEADERS,0),MATCH(($D$2 &amp; "Points"),CLASSNAMEHEADERS,0))</f>
        <v>M</v>
      </c>
      <c r="G141" s="241" t="str">
        <f t="array" ref="G141">INDEX(ALLCLASSDATA,MATCH(A141,CLASSFEATUREHEADERS,0),MATCH($G$2,CLASSNAMEHEADERS,0))</f>
        <v/>
      </c>
      <c r="H141" s="149" t="str">
        <f t="array" ref="H141">INDEX(ALLCLASSDATA,MATCH(A141,CLASSFEATUREHEADERS,0),MATCH(($G$2 &amp; "Points"),CLASSNAMEHEADERS,0))</f>
        <v/>
      </c>
      <c r="J141" s="238" t="str">
        <f t="shared" si="25"/>
        <v>LightMaster</v>
      </c>
      <c r="K141" s="243" t="str">
        <f>IF(COUNTA(D139:D142)&gt;COUNTA(G139:G142),D141,(IF(COUNTA(D139:D142)&lt;COUNTA(G139:G142),G141,(IF((D139+D140+D141+D142)&lt;(G139+G140+G141+G142),D141,G141)))))</f>
        <v>17</v>
      </c>
      <c r="L141" s="149" t="str">
        <f>IF(COUNTA(D139:D142)&gt;COUNTA(G139:G142),E141,(IF(COUNTA(D139:D142)&lt;COUNTA(G139:G142),H141,(IF((D139+D140+D141+D142)&lt;(G139+G140+G141+G142),E141,H141)))))</f>
        <v>M</v>
      </c>
      <c r="M141" s="238" t="str">
        <f t="shared" si="26"/>
        <v>LightMaster</v>
      </c>
      <c r="N141" s="243" t="str">
        <f>IF(F139=TRUE,D141,(IF(I139=TRUE,G141,"")))</f>
        <v>17</v>
      </c>
      <c r="O141" s="149" t="str">
        <f>IF(F139=TRUE,E141,(IF(I139=TRUE,H141,"")))</f>
        <v>M</v>
      </c>
    </row>
    <row r="142" outlineLevel="1">
      <c r="A142" s="35" t="str">
        <f>CLASSDATA!A142</f>
        <v>LightLegendary</v>
      </c>
      <c r="B142" s="250" t="str">
        <f>CLASSDATA!B142</f>
        <v/>
      </c>
      <c r="C142" s="35" t="str">
        <f>CLASSDATA!C142</f>
        <v/>
      </c>
      <c r="D142" s="241" t="str">
        <f t="array" ref="D142">INDEX(ALLCLASSDATA,MATCH(A142,CLASSFEATUREHEADERS,0),MATCH($D$2,CLASSNAMEHEADERS,0))</f>
        <v/>
      </c>
      <c r="E142" s="149" t="str">
        <f t="array" ref="E142">INDEX(ALLCLASSDATA,MATCH(A142,CLASSFEATUREHEADERS,0),MATCH(($D$2 &amp; "Points"),CLASSNAMEHEADERS,0))</f>
        <v/>
      </c>
      <c r="G142" s="241" t="str">
        <f t="array" ref="G142">INDEX(ALLCLASSDATA,MATCH(A142,CLASSFEATUREHEADERS,0),MATCH($G$2,CLASSNAMEHEADERS,0))</f>
        <v/>
      </c>
      <c r="H142" s="149" t="str">
        <f t="array" ref="H142">INDEX(ALLCLASSDATA,MATCH(A142,CLASSFEATUREHEADERS,0),MATCH(($G$2 &amp; "Points"),CLASSNAMEHEADERS,0))</f>
        <v/>
      </c>
      <c r="J142" s="238" t="str">
        <f t="shared" si="25"/>
        <v/>
      </c>
      <c r="K142" s="243" t="str">
        <f>IF(COUNTA(D139:D142)&gt;COUNTA(G139:G142),D142,(IF(COUNTA(D139:D142)&lt;COUNTA(G139:G142),G142,(IF((D139+D140+D141+D142)&lt;(G139+G140+G141+G142),D142,G142)))))</f>
        <v/>
      </c>
      <c r="L142" s="149" t="str">
        <f>IF(COUNTA(D139:D142)&gt;COUNTA(G139:G142),E142,(IF(COUNTA(D139:D142)&lt;COUNTA(G139:G142),H142,(IF((D139+D140+D141+D142)&lt;(G139+G140+G141+G142),E142,H142)))))</f>
        <v/>
      </c>
      <c r="M142" s="238" t="str">
        <f t="shared" si="26"/>
        <v/>
      </c>
      <c r="N142" s="243" t="str">
        <f>IF(F139=TRUE,D142,(IF(I139=TRUE,G142,"")))</f>
        <v/>
      </c>
      <c r="O142" s="149" t="str">
        <f>IF(F139=TRUE,E142,(IF(I139=TRUE,H142,"")))</f>
        <v/>
      </c>
    </row>
    <row r="143" outlineLevel="1">
      <c r="A143" s="240" t="str">
        <f>CLASSDATA!A143</f>
        <v>MediumTrained</v>
      </c>
      <c r="B143" s="250" t="str">
        <f>CLASSDATA!B143</f>
        <v/>
      </c>
      <c r="C143" s="35" t="str">
        <f>CLASSDATA!C143</f>
        <v/>
      </c>
      <c r="D143" s="241" t="str">
        <f t="array" ref="D143">INDEX(ALLCLASSDATA,MATCH(A143,CLASSFEATUREHEADERS,0),MATCH($D$2,CLASSNAMEHEADERS,0))</f>
        <v>01</v>
      </c>
      <c r="E143" s="149">
        <f t="array" ref="E143">INDEX(ALLCLASSDATA,MATCH(A143,CLASSFEATUREHEADERS,0),MATCH(($D$2 &amp; "Points"),CLASSNAMEHEADERS,0))</f>
        <v>10</v>
      </c>
      <c r="F143" s="12" t="b">
        <v>1</v>
      </c>
      <c r="G143" s="241" t="str">
        <f t="array" ref="G143">INDEX(ALLCLASSDATA,MATCH(A143,CLASSFEATUREHEADERS,0),MATCH($G$2,CLASSNAMEHEADERS,0))</f>
        <v/>
      </c>
      <c r="H143" s="149" t="str">
        <f t="array" ref="H143">INDEX(ALLCLASSDATA,MATCH(A143,CLASSFEATUREHEADERS,0),MATCH(($G$2 &amp; "Points"),CLASSNAMEHEADERS,0))</f>
        <v/>
      </c>
      <c r="I143" s="12" t="b">
        <v>0</v>
      </c>
      <c r="J143" s="261" t="str">
        <f t="shared" si="25"/>
        <v>MediumTrained</v>
      </c>
      <c r="K143" s="243" t="str">
        <f>IF(COUNTA(D143:D146)&gt;COUNTA(G143:G146),D143,(IF(COUNTA(D143:D146)&lt;COUNTA(G143:G146),G143,(IF((D143+D144+D145+D146)&lt;(G143+G144+G145+G146),D143,G143)))))</f>
        <v>01</v>
      </c>
      <c r="L143" s="149">
        <f>IF(COUNTA(D143:D146)&gt;COUNTA(G143:G146),E143,(IF(COUNTA(D143:D146)&lt;COUNTA(G143:G146),H143,(IF((D143+D144+D145+D146)&lt;(G143+G144+G145+G146),E143,H143)))))</f>
        <v>10</v>
      </c>
      <c r="M143" s="261" t="str">
        <f t="shared" si="26"/>
        <v>MediumTrained</v>
      </c>
      <c r="N143" s="243" t="str">
        <f>IF(F143=TRUE,D143,(IF(I143=TRUE,G143,"")))</f>
        <v>01</v>
      </c>
      <c r="O143" s="149">
        <f>IF(F143=TRUE,E143,(IF(I143=TRUE,H143,"")))</f>
        <v>10</v>
      </c>
    </row>
    <row r="144" outlineLevel="1">
      <c r="A144" s="35" t="str">
        <f>CLASSDATA!A144</f>
        <v>MediumExpert</v>
      </c>
      <c r="B144" s="250" t="str">
        <f>CLASSDATA!B144</f>
        <v/>
      </c>
      <c r="C144" s="35" t="str">
        <f>CLASSDATA!C144</f>
        <v/>
      </c>
      <c r="D144" s="241" t="str">
        <f t="array" ref="D144">INDEX(ALLCLASSDATA,MATCH(A144,CLASSFEATUREHEADERS,0),MATCH($D$2,CLASSNAMEHEADERS,0))</f>
        <v>11</v>
      </c>
      <c r="E144" s="149" t="str">
        <f t="array" ref="E144">INDEX(ALLCLASSDATA,MATCH(A144,CLASSFEATUREHEADERS,0),MATCH(($D$2 &amp; "Points"),CLASSNAMEHEADERS,0))</f>
        <v>E</v>
      </c>
      <c r="G144" s="241" t="str">
        <f t="array" ref="G144">INDEX(ALLCLASSDATA,MATCH(A144,CLASSFEATUREHEADERS,0),MATCH($G$2,CLASSNAMEHEADERS,0))</f>
        <v/>
      </c>
      <c r="H144" s="149" t="str">
        <f t="array" ref="H144">INDEX(ALLCLASSDATA,MATCH(A144,CLASSFEATUREHEADERS,0),MATCH(($G$2 &amp; "Points"),CLASSNAMEHEADERS,0))</f>
        <v/>
      </c>
      <c r="J144" s="238" t="str">
        <f t="shared" si="25"/>
        <v>MediumExpert</v>
      </c>
      <c r="K144" s="243" t="str">
        <f>IF(COUNTA(D143:D146)&gt;COUNTA(G143:G146),D144,(IF(COUNTA(D143:D146)&lt;COUNTA(G143:G146),G144,(IF((D143+D144+D145+D146)&lt;(G143+G144+G145+G146),D144,G144)))))</f>
        <v>11</v>
      </c>
      <c r="L144" s="149" t="str">
        <f>IF(COUNTA(D143:D146)&gt;COUNTA(G143:G146),E144,(IF(COUNTA(D143:D146)&lt;COUNTA(G143:G146),H144,(IF((D143+D144+D145+D146)&lt;(G143+G144+G145+G146),E144,H144)))))</f>
        <v>E</v>
      </c>
      <c r="M144" s="238" t="str">
        <f t="shared" si="26"/>
        <v>MediumExpert</v>
      </c>
      <c r="N144" s="243" t="str">
        <f>IF(F143=TRUE,D144,(IF(I143=TRUE,G144,"")))</f>
        <v>11</v>
      </c>
      <c r="O144" s="149" t="str">
        <f>IF(F143=TRUE,E144,(IF(I143=TRUE,H144,"")))</f>
        <v>E</v>
      </c>
    </row>
    <row r="145" outlineLevel="1">
      <c r="A145" s="35" t="str">
        <f>CLASSDATA!A145</f>
        <v>MediumMaster</v>
      </c>
      <c r="B145" s="250" t="str">
        <f>CLASSDATA!B145</f>
        <v/>
      </c>
      <c r="C145" s="35" t="str">
        <f>CLASSDATA!C145</f>
        <v/>
      </c>
      <c r="D145" s="241" t="str">
        <f t="array" ref="D145">INDEX(ALLCLASSDATA,MATCH(A145,CLASSFEATUREHEADERS,0),MATCH($D$2,CLASSNAMEHEADERS,0))</f>
        <v>17</v>
      </c>
      <c r="E145" s="149" t="str">
        <f t="array" ref="E145">INDEX(ALLCLASSDATA,MATCH(A145,CLASSFEATUREHEADERS,0),MATCH(($D$2 &amp; "Points"),CLASSNAMEHEADERS,0))</f>
        <v>M</v>
      </c>
      <c r="G145" s="241" t="str">
        <f t="array" ref="G145">INDEX(ALLCLASSDATA,MATCH(A145,CLASSFEATUREHEADERS,0),MATCH($G$2,CLASSNAMEHEADERS,0))</f>
        <v/>
      </c>
      <c r="H145" s="149" t="str">
        <f t="array" ref="H145">INDEX(ALLCLASSDATA,MATCH(A145,CLASSFEATUREHEADERS,0),MATCH(($G$2 &amp; "Points"),CLASSNAMEHEADERS,0))</f>
        <v/>
      </c>
      <c r="J145" s="238" t="str">
        <f t="shared" si="25"/>
        <v>MediumMaster</v>
      </c>
      <c r="K145" s="243" t="str">
        <f>IF(COUNTA(D143:D146)&gt;COUNTA(G143:G146),D145,(IF(COUNTA(D143:D146)&lt;COUNTA(G143:G146),G145,(IF((D143+D144+D145+D146)&lt;(G143+G144+G145+G146),D145,G145)))))</f>
        <v>17</v>
      </c>
      <c r="L145" s="149" t="str">
        <f>IF(COUNTA(D143:D146)&gt;COUNTA(G143:G146),E145,(IF(COUNTA(D143:D146)&lt;COUNTA(G143:G146),H145,(IF((D143+D144+D145+D146)&lt;(G143+G144+G145+G146),E145,H145)))))</f>
        <v>M</v>
      </c>
      <c r="M145" s="238" t="str">
        <f t="shared" si="26"/>
        <v>MediumMaster</v>
      </c>
      <c r="N145" s="243" t="str">
        <f>IF(F143=TRUE,D145,(IF(I143=TRUE,G145,"")))</f>
        <v>17</v>
      </c>
      <c r="O145" s="149" t="str">
        <f>IF(F143=TRUE,E145,(IF(I143=TRUE,H145,"")))</f>
        <v>M</v>
      </c>
    </row>
    <row r="146" outlineLevel="1">
      <c r="A146" s="35" t="str">
        <f>CLASSDATA!A146</f>
        <v>MediumLegendary</v>
      </c>
      <c r="B146" s="250" t="str">
        <f>CLASSDATA!B146</f>
        <v/>
      </c>
      <c r="C146" s="35" t="str">
        <f>CLASSDATA!C146</f>
        <v/>
      </c>
      <c r="D146" s="241" t="str">
        <f t="array" ref="D146">INDEX(ALLCLASSDATA,MATCH(A146,CLASSFEATUREHEADERS,0),MATCH($D$2,CLASSNAMEHEADERS,0))</f>
        <v/>
      </c>
      <c r="E146" s="149" t="str">
        <f t="array" ref="E146">INDEX(ALLCLASSDATA,MATCH(A146,CLASSFEATUREHEADERS,0),MATCH(($D$2 &amp; "Points"),CLASSNAMEHEADERS,0))</f>
        <v/>
      </c>
      <c r="G146" s="241" t="str">
        <f t="array" ref="G146">INDEX(ALLCLASSDATA,MATCH(A146,CLASSFEATUREHEADERS,0),MATCH($G$2,CLASSNAMEHEADERS,0))</f>
        <v/>
      </c>
      <c r="H146" s="149" t="str">
        <f t="array" ref="H146">INDEX(ALLCLASSDATA,MATCH(A146,CLASSFEATUREHEADERS,0),MATCH(($G$2 &amp; "Points"),CLASSNAMEHEADERS,0))</f>
        <v/>
      </c>
      <c r="J146" s="238" t="str">
        <f t="shared" si="25"/>
        <v/>
      </c>
      <c r="K146" s="243" t="str">
        <f>IF(COUNTA(D143:D146)&gt;COUNTA(G143:G146),D146,(IF(COUNTA(D143:D146)&lt;COUNTA(G143:G146),G146,(IF((D143+D144+D145+D146)&lt;(G143+G144+G145+G146),D146,G146)))))</f>
        <v/>
      </c>
      <c r="L146" s="149" t="str">
        <f>IF(COUNTA(D143:D146)&gt;COUNTA(G143:G146),E146,(IF(COUNTA(D143:D146)&lt;COUNTA(G143:G146),H146,(IF((D143+D144+D145+D146)&lt;(G143+G144+G145+G146),E146,H146)))))</f>
        <v/>
      </c>
      <c r="M146" s="238" t="str">
        <f t="shared" si="26"/>
        <v/>
      </c>
      <c r="N146" s="243" t="str">
        <f>IF(F143=TRUE,D146,(IF(I143=TRUE,G146,"")))</f>
        <v/>
      </c>
      <c r="O146" s="149" t="str">
        <f>IF(F143=TRUE,E146,(IF(I143=TRUE,H146,"")))</f>
        <v/>
      </c>
    </row>
    <row r="147" outlineLevel="1">
      <c r="A147" s="240" t="str">
        <f>CLASSDATA!A147</f>
        <v>HeavyTrained</v>
      </c>
      <c r="B147" s="250" t="str">
        <f>CLASSDATA!B147</f>
        <v/>
      </c>
      <c r="C147" s="35" t="str">
        <f>CLASSDATA!C147</f>
        <v/>
      </c>
      <c r="D147" s="241" t="str">
        <f t="array" ref="D147">INDEX(ALLCLASSDATA,MATCH(A147,CLASSFEATUREHEADERS,0),MATCH($D$2,CLASSNAMEHEADERS,0))</f>
        <v>01</v>
      </c>
      <c r="E147" s="149">
        <f t="array" ref="E147">INDEX(ALLCLASSDATA,MATCH(A147,CLASSFEATUREHEADERS,0),MATCH(($D$2 &amp; "Points"),CLASSNAMEHEADERS,0))</f>
        <v>10</v>
      </c>
      <c r="F147" s="12" t="b">
        <v>1</v>
      </c>
      <c r="G147" s="241" t="str">
        <f t="array" ref="G147">INDEX(ALLCLASSDATA,MATCH(A147,CLASSFEATUREHEADERS,0),MATCH($G$2,CLASSNAMEHEADERS,0))</f>
        <v/>
      </c>
      <c r="H147" s="149" t="str">
        <f t="array" ref="H147">INDEX(ALLCLASSDATA,MATCH(A147,CLASSFEATUREHEADERS,0),MATCH(($G$2 &amp; "Points"),CLASSNAMEHEADERS,0))</f>
        <v/>
      </c>
      <c r="I147" s="12" t="b">
        <v>0</v>
      </c>
      <c r="J147" s="261" t="str">
        <f t="shared" si="25"/>
        <v>HeavyTrained</v>
      </c>
      <c r="K147" s="243" t="str">
        <f>IF(COUNTA(D147:D150)&gt;COUNTA(G147:G150),D147,(IF(COUNTA(D147:D150)&lt;COUNTA(G147:G150),G147,(IF((D147+D148+D149+D150)&lt;(G147+G148+G149+G150),D147,G147)))))</f>
        <v>01</v>
      </c>
      <c r="L147" s="149">
        <f>IF(COUNTA(D147:D150)&gt;COUNTA(G147:G150),E147,(IF(COUNTA(D147:D150)&lt;COUNTA(G147:G150),H147,(IF((D147+D148+D149+D150)&lt;(G147+G148+G149+G150),E147,H147)))))</f>
        <v>10</v>
      </c>
      <c r="M147" s="261" t="str">
        <f t="shared" si="26"/>
        <v>HeavyTrained</v>
      </c>
      <c r="N147" s="243" t="str">
        <f>IF(F147=TRUE,D147,(IF(I147=TRUE,G147,"")))</f>
        <v>01</v>
      </c>
      <c r="O147" s="149">
        <f>IF(F147=TRUE,E147,(IF(I147=TRUE,H147,"")))</f>
        <v>10</v>
      </c>
    </row>
    <row r="148" outlineLevel="1">
      <c r="A148" s="35" t="str">
        <f>CLASSDATA!A148</f>
        <v>HeavyExpert</v>
      </c>
      <c r="B148" s="250" t="str">
        <f>CLASSDATA!B148</f>
        <v/>
      </c>
      <c r="C148" s="35" t="str">
        <f>CLASSDATA!C148</f>
        <v/>
      </c>
      <c r="D148" s="241" t="str">
        <f t="array" ref="D148">INDEX(ALLCLASSDATA,MATCH(A148,CLASSFEATUREHEADERS,0),MATCH($D$2,CLASSNAMEHEADERS,0))</f>
        <v>11</v>
      </c>
      <c r="E148" s="149">
        <f t="array" ref="E148">INDEX(ALLCLASSDATA,MATCH(A148,CLASSFEATUREHEADERS,0),MATCH(($D$2 &amp; "Points"),CLASSNAMEHEADERS,0))</f>
        <v>50</v>
      </c>
      <c r="G148" s="241" t="str">
        <f t="array" ref="G148">INDEX(ALLCLASSDATA,MATCH(A148,CLASSFEATUREHEADERS,0),MATCH($G$2,CLASSNAMEHEADERS,0))</f>
        <v/>
      </c>
      <c r="H148" s="149" t="str">
        <f t="array" ref="H148">INDEX(ALLCLASSDATA,MATCH(A148,CLASSFEATUREHEADERS,0),MATCH(($G$2 &amp; "Points"),CLASSNAMEHEADERS,0))</f>
        <v/>
      </c>
      <c r="J148" s="238" t="str">
        <f t="shared" si="25"/>
        <v>HeavyExpert</v>
      </c>
      <c r="K148" s="243" t="str">
        <f>IF(COUNTA(D147:D150)&gt;COUNTA(G147:G150),D148,(IF(COUNTA(D147:D150)&lt;COUNTA(G147:G150),G148,(IF((D147+D148+D149+D150)&lt;(G147+G148+G149+G150),D148,G148)))))</f>
        <v>11</v>
      </c>
      <c r="L148" s="149">
        <f>IF(COUNTA(D147:D150)&gt;COUNTA(G147:G150),E148,(IF(COUNTA(D147:D150)&lt;COUNTA(G147:G150),H148,(IF((D147+D148+D149+D150)&lt;(G147+G148+G149+G150),E148,H148)))))</f>
        <v>50</v>
      </c>
      <c r="M148" s="238" t="str">
        <f t="shared" si="26"/>
        <v>HeavyExpert</v>
      </c>
      <c r="N148" s="243" t="str">
        <f>IF(F147=TRUE,D148,(IF(I147=TRUE,G148,"")))</f>
        <v>11</v>
      </c>
      <c r="O148" s="149">
        <f>IF(F147=TRUE,E148,(IF(I147=TRUE,H148,"")))</f>
        <v>50</v>
      </c>
    </row>
    <row r="149" outlineLevel="1">
      <c r="A149" s="35" t="str">
        <f>CLASSDATA!A149</f>
        <v>HeavyMaster</v>
      </c>
      <c r="B149" s="250" t="str">
        <f>CLASSDATA!B149</f>
        <v/>
      </c>
      <c r="C149" s="35" t="str">
        <f>CLASSDATA!C149</f>
        <v/>
      </c>
      <c r="D149" s="241" t="str">
        <f t="array" ref="D149">INDEX(ALLCLASSDATA,MATCH(A149,CLASSFEATUREHEADERS,0),MATCH($D$2,CLASSNAMEHEADERS,0))</f>
        <v>17</v>
      </c>
      <c r="E149" s="149">
        <f t="array" ref="E149">INDEX(ALLCLASSDATA,MATCH(A149,CLASSFEATUREHEADERS,0),MATCH(($D$2 &amp; "Points"),CLASSNAMEHEADERS,0))</f>
        <v>110</v>
      </c>
      <c r="G149" s="241" t="str">
        <f t="array" ref="G149">INDEX(ALLCLASSDATA,MATCH(A149,CLASSFEATUREHEADERS,0),MATCH($G$2,CLASSNAMEHEADERS,0))</f>
        <v/>
      </c>
      <c r="H149" s="149" t="str">
        <f t="array" ref="H149">INDEX(ALLCLASSDATA,MATCH(A149,CLASSFEATUREHEADERS,0),MATCH(($G$2 &amp; "Points"),CLASSNAMEHEADERS,0))</f>
        <v/>
      </c>
      <c r="J149" s="238" t="str">
        <f t="shared" si="25"/>
        <v>HeavyMaster</v>
      </c>
      <c r="K149" s="243" t="str">
        <f>IF(COUNTA(D147:D150)&gt;COUNTA(G147:G150),D149,(IF(COUNTA(D147:D150)&lt;COUNTA(G147:G150),G149,(IF((D147+D148+D149+D150)&lt;(G147+G148+G149+G150),D149,G149)))))</f>
        <v>17</v>
      </c>
      <c r="L149" s="149">
        <f>IF(COUNTA(D147:D150)&gt;COUNTA(G147:G150),E149,(IF(COUNTA(D147:D150)&lt;COUNTA(G147:G150),H149,(IF((D147+D148+D149+D150)&lt;(G147+G148+G149+G150),E149,H149)))))</f>
        <v>110</v>
      </c>
      <c r="M149" s="238" t="str">
        <f t="shared" si="26"/>
        <v>HeavyMaster</v>
      </c>
      <c r="N149" s="243" t="str">
        <f>IF(F147=TRUE,D149,(IF(I147=TRUE,G149,"")))</f>
        <v>17</v>
      </c>
      <c r="O149" s="149">
        <f>IF(F147=TRUE,E149,(IF(I147=TRUE,H149,"")))</f>
        <v>110</v>
      </c>
    </row>
    <row r="150" outlineLevel="1">
      <c r="A150" s="35" t="str">
        <f>CLASSDATA!A150</f>
        <v>HeavyLegendary</v>
      </c>
      <c r="B150" s="250" t="str">
        <f>CLASSDATA!B150</f>
        <v/>
      </c>
      <c r="C150" s="35" t="str">
        <f>CLASSDATA!C150</f>
        <v/>
      </c>
      <c r="D150" s="241" t="str">
        <f t="array" ref="D150">INDEX(ALLCLASSDATA,MATCH(A150,CLASSFEATUREHEADERS,0),MATCH($D$2,CLASSNAMEHEADERS,0))</f>
        <v/>
      </c>
      <c r="E150" s="149" t="str">
        <f t="array" ref="E150">INDEX(ALLCLASSDATA,MATCH(A150,CLASSFEATUREHEADERS,0),MATCH(($D$2 &amp; "Points"),CLASSNAMEHEADERS,0))</f>
        <v/>
      </c>
      <c r="G150" s="241" t="str">
        <f t="array" ref="G150">INDEX(ALLCLASSDATA,MATCH(A150,CLASSFEATUREHEADERS,0),MATCH($G$2,CLASSNAMEHEADERS,0))</f>
        <v/>
      </c>
      <c r="H150" s="149" t="str">
        <f t="array" ref="H150">INDEX(ALLCLASSDATA,MATCH(A150,CLASSFEATUREHEADERS,0),MATCH(($G$2 &amp; "Points"),CLASSNAMEHEADERS,0))</f>
        <v/>
      </c>
      <c r="J150" s="238" t="str">
        <f t="shared" si="25"/>
        <v/>
      </c>
      <c r="K150" s="243" t="str">
        <f>IF(COUNTA(D147:D150)&gt;COUNTA(G147:G150),D150,(IF(COUNTA(D147:D150)&lt;COUNTA(G147:G150),G150,(IF((D147+D148+D149+D150)&lt;(G147+G148+G149+G150),D150,G150)))))</f>
        <v/>
      </c>
      <c r="L150" s="149" t="str">
        <f>IF(COUNTA(D147:D150)&gt;COUNTA(G147:G150),E150,(IF(COUNTA(D147:D150)&lt;COUNTA(G147:G150),H150,(IF((D147+D148+D149+D150)&lt;(G147+G148+G149+G150),E150,H150)))))</f>
        <v/>
      </c>
      <c r="M150" s="238" t="str">
        <f t="shared" si="26"/>
        <v/>
      </c>
      <c r="N150" s="243" t="str">
        <f>IF(F147=TRUE,D150,(IF(I147=TRUE,G150,"")))</f>
        <v/>
      </c>
      <c r="O150" s="149" t="str">
        <f>IF(F147=TRUE,E150,(IF(I147=TRUE,H150,"")))</f>
        <v/>
      </c>
    </row>
    <row r="151">
      <c r="A151" s="244" t="str">
        <f>CLASSDATA!A151</f>
        <v>CANTRIPS TOTAL:</v>
      </c>
      <c r="B151" s="249" t="str">
        <f>CLASSDATA!B151</f>
        <v/>
      </c>
      <c r="C151" s="173" t="str">
        <f>CLASSDATA!C151</f>
        <v/>
      </c>
      <c r="D151" s="260" t="str">
        <f t="array" ref="D151">INDEX(ALLCLASSDATA,MATCH(A151,CLASSFEATUREHEADERS,0),MATCH($D$2,CLASSNAMEHEADERS,0))</f>
        <v/>
      </c>
      <c r="E151" s="246">
        <f t="array" ref="E151">INDEX(ALLCLASSDATA,MATCH(A151,CLASSFEATUREHEADERS,0),MATCH(($D$2 &amp; "Points"),CLASSNAMEHEADERS,0))</f>
        <v>0</v>
      </c>
      <c r="F151" s="246"/>
      <c r="G151" s="260" t="str">
        <f t="array" ref="G151">INDEX(ALLCLASSDATA,MATCH(A151,CLASSFEATUREHEADERS,0),MATCH($G$2,CLASSNAMEHEADERS,0))</f>
        <v/>
      </c>
      <c r="H151" s="246">
        <f t="array" ref="H151">INDEX(ALLCLASSDATA,MATCH(A151,CLASSFEATUREHEADERS,0),MATCH(($G$2 &amp; "Points"),CLASSNAMEHEADERS,0))</f>
        <v>25</v>
      </c>
      <c r="I151" s="246"/>
      <c r="J151" s="247"/>
      <c r="K151" s="246"/>
      <c r="L151" s="75">
        <f>sum(L152:L153)</f>
        <v>25</v>
      </c>
      <c r="M151" s="247"/>
      <c r="N151" s="246"/>
      <c r="O151" s="75">
        <f>sum(O152:O153)</f>
        <v>25</v>
      </c>
      <c r="P151" s="246"/>
    </row>
    <row r="152" outlineLevel="1">
      <c r="A152" s="35" t="str">
        <f>CLASSDATA!A152</f>
        <v>CantripSlots-L00</v>
      </c>
      <c r="B152" s="35" t="str">
        <f>CLASSDATA!B152</f>
        <v>L00</v>
      </c>
      <c r="C152" s="35" t="str">
        <f>CLASSDATA!C152</f>
        <v>C</v>
      </c>
      <c r="D152" s="241" t="str">
        <f t="array" ref="D152">INDEX(ALLCLASSDATA,MATCH(A152,CLASSFEATUREHEADERS,0),MATCH($D$2,CLASSNAMEHEADERS,0))</f>
        <v/>
      </c>
      <c r="E152" s="149" t="str">
        <f t="array" ref="E152">INDEX(ALLCLASSDATA,MATCH(A152,CLASSFEATUREHEADERS,0),MATCH(($D$2 &amp; "Points"),CLASSNAMEHEADERS,0))</f>
        <v/>
      </c>
      <c r="F152" s="12" t="b">
        <v>0</v>
      </c>
      <c r="G152" s="241" t="str">
        <f t="array" ref="G152">INDEX(ALLCLASSDATA,MATCH(A152,CLASSFEATUREHEADERS,0),MATCH($G$2,CLASSNAMEHEADERS,0))</f>
        <v>5</v>
      </c>
      <c r="H152" s="149">
        <f t="array" ref="H152">INDEX(ALLCLASSDATA,MATCH(A152,CLASSFEATUREHEADERS,0),MATCH(($G$2 &amp; "Points"),CLASSNAMEHEADERS,0))</f>
        <v>0</v>
      </c>
      <c r="I152" s="12" t="b">
        <v>1</v>
      </c>
      <c r="J152" s="242" t="str">
        <f t="shared" ref="J152:J153" si="29">D152</f>
        <v/>
      </c>
      <c r="K152" s="243" t="str">
        <f t="shared" ref="K152:K195" si="30">G152</f>
        <v>5</v>
      </c>
      <c r="L152" s="149">
        <f>IF(ISBLANK(J152),"",((J152-5)*CantripSlot))+IF(ISBLANK(K152),"",((K152-5)*CantripSlot))</f>
        <v>0</v>
      </c>
      <c r="M152" s="242" t="str">
        <f t="shared" ref="M152:M153" si="31">IF(F152=TRUE,D152,"")</f>
        <v/>
      </c>
      <c r="N152" s="243" t="str">
        <f t="shared" ref="N152:N153" si="32">IF(I152=TRUE,G152,"")</f>
        <v>5</v>
      </c>
      <c r="O152" s="149">
        <f t="shared" ref="O152:O153" si="33">(IF(F152=TRUE,E152,0))+(IF(I152=TRUE,H152,0))</f>
        <v>0</v>
      </c>
    </row>
    <row r="153" outlineLevel="1">
      <c r="A153" s="35" t="str">
        <f>CLASSDATA!A153</f>
        <v>CantripsLearned-L00</v>
      </c>
      <c r="B153" s="35" t="str">
        <f>CLASSDATA!B153</f>
        <v>L00</v>
      </c>
      <c r="C153" s="35" t="str">
        <f>CLASSDATA!C153</f>
        <v>C</v>
      </c>
      <c r="D153" s="241" t="str">
        <f t="array" ref="D153">INDEX(ALLCLASSDATA,MATCH(A153,CLASSFEATUREHEADERS,0),MATCH($D$2,CLASSNAMEHEADERS,0))</f>
        <v/>
      </c>
      <c r="E153" s="149" t="str">
        <f t="array" ref="E153">INDEX(ALLCLASSDATA,MATCH(A153,CLASSFEATUREHEADERS,0),MATCH(($D$2 &amp; "Points"),CLASSNAMEHEADERS,0))</f>
        <v/>
      </c>
      <c r="F153" s="12" t="b">
        <v>0</v>
      </c>
      <c r="G153" s="241" t="str">
        <f t="array" ref="G153">INDEX(ALLCLASSDATA,MATCH(A153,CLASSFEATUREHEADERS,0),MATCH($G$2,CLASSNAMEHEADERS,0))</f>
        <v>10</v>
      </c>
      <c r="H153" s="149">
        <f t="array" ref="H153">INDEX(ALLCLASSDATA,MATCH(A153,CLASSFEATUREHEADERS,0),MATCH(($G$2 &amp; "Points"),CLASSNAMEHEADERS,0))</f>
        <v>25</v>
      </c>
      <c r="I153" s="12" t="b">
        <v>1</v>
      </c>
      <c r="J153" s="242" t="str">
        <f t="shared" si="29"/>
        <v/>
      </c>
      <c r="K153" s="243" t="str">
        <f t="shared" si="30"/>
        <v>10</v>
      </c>
      <c r="L153" s="149">
        <f>IF(ISBLANK(J153),"",((J153-5)*CantripLearned))+IF(ISBLANK(K153),"",((K153-5)*CantripLearned))</f>
        <v>25</v>
      </c>
      <c r="M153" s="242" t="str">
        <f t="shared" si="31"/>
        <v/>
      </c>
      <c r="N153" s="243" t="str">
        <f t="shared" si="32"/>
        <v>10</v>
      </c>
      <c r="O153" s="149">
        <f t="shared" si="33"/>
        <v>25</v>
      </c>
    </row>
    <row r="154">
      <c r="A154" s="244" t="str">
        <f>CLASSDATA!A154</f>
        <v>SPELL SLOTS TOTAL:</v>
      </c>
      <c r="B154" s="249" t="str">
        <f>CLASSDATA!B154</f>
        <v/>
      </c>
      <c r="C154" s="173" t="str">
        <f>CLASSDATA!C154</f>
        <v/>
      </c>
      <c r="D154" s="260" t="str">
        <f t="array" ref="D154">INDEX(ALLCLASSDATA,MATCH(A154,CLASSFEATUREHEADERS,0),MATCH($D$2,CLASSNAMEHEADERS,0))</f>
        <v/>
      </c>
      <c r="E154" s="246">
        <f t="array" ref="E154">INDEX(ALLCLASSDATA,MATCH(A154,CLASSFEATUREHEADERS,0),MATCH(($D$2 &amp; "Points"),CLASSNAMEHEADERS,0))</f>
        <v>0</v>
      </c>
      <c r="F154" s="246"/>
      <c r="G154" s="260" t="str">
        <f t="array" ref="G154">INDEX(ALLCLASSDATA,MATCH(A154,CLASSFEATUREHEADERS,0),MATCH($G$2,CLASSNAMEHEADERS,0))</f>
        <v/>
      </c>
      <c r="H154" s="246">
        <f t="array" ref="H154">INDEX(ALLCLASSDATA,MATCH(A154,CLASSFEATUREHEADERS,0),MATCH(($G$2 &amp; "Points"),CLASSNAMEHEADERS,0))</f>
        <v>550</v>
      </c>
      <c r="I154" s="246"/>
      <c r="J154" s="247"/>
      <c r="K154" s="273" t="str">
        <f t="shared" si="30"/>
        <v/>
      </c>
      <c r="L154" s="75">
        <f>sum(L155:L174)</f>
        <v>550</v>
      </c>
      <c r="M154" s="247"/>
      <c r="N154" s="273"/>
      <c r="O154" s="75">
        <f>sum(O155:O174)</f>
        <v>460</v>
      </c>
      <c r="P154" s="246"/>
    </row>
    <row r="155" outlineLevel="1">
      <c r="A155" s="35" t="str">
        <f>CLASSDATA!A155</f>
        <v>SPL01-L01</v>
      </c>
      <c r="B155" s="35" t="str">
        <f>CLASSDATA!B155</f>
        <v>L01</v>
      </c>
      <c r="C155" s="35" t="str">
        <f>CLASSDATA!C155</f>
        <v>S01</v>
      </c>
      <c r="D155" s="241" t="str">
        <f t="array" ref="D155">INDEX(ALLCLASSDATA,MATCH(A155,CLASSFEATUREHEADERS,0),MATCH($D$2,CLASSNAMEHEADERS,0))</f>
        <v/>
      </c>
      <c r="E155" s="149" t="str">
        <f t="array" ref="E155">INDEX(ALLCLASSDATA,MATCH(A155,CLASSFEATUREHEADERS,0),MATCH(($D$2 &amp; "Points"),CLASSNAMEHEADERS,0))</f>
        <v/>
      </c>
      <c r="F155" s="12" t="b">
        <v>0</v>
      </c>
      <c r="G155" s="241" t="str">
        <f t="array" ref="G155">INDEX(ALLCLASSDATA,MATCH(A155,CLASSFEATUREHEADERS,0),MATCH($G$2,CLASSNAMEHEADERS,0))</f>
        <v>3</v>
      </c>
      <c r="H155" s="149">
        <f t="array" ref="H155">INDEX(ALLCLASSDATA,MATCH(A155,CLASSFEATUREHEADERS,0),MATCH(($G$2 &amp; "Points"),CLASSNAMEHEADERS,0))</f>
        <v>30</v>
      </c>
      <c r="I155" s="12" t="b">
        <v>1</v>
      </c>
      <c r="J155" s="242" t="str">
        <f t="shared" ref="J155:J174" si="34">D155</f>
        <v/>
      </c>
      <c r="K155" s="243" t="str">
        <f t="shared" si="30"/>
        <v>3</v>
      </c>
      <c r="L155" s="149">
        <f t="shared" ref="L155:L174" si="35">SUM(E155,H155)</f>
        <v>30</v>
      </c>
      <c r="M155" s="242" t="str">
        <f t="shared" ref="M155:M174" si="36">IF(F155=TRUE,D155,"")</f>
        <v/>
      </c>
      <c r="N155" s="243" t="str">
        <f t="shared" ref="N155:N174" si="37">IF(I155=TRUE,G155,"")</f>
        <v>3</v>
      </c>
      <c r="O155" s="149">
        <f t="shared" ref="O155:O174" si="38">(IF(F155=TRUE,E155,0))+(IF(I155=TRUE,H155,0))</f>
        <v>30</v>
      </c>
    </row>
    <row r="156" outlineLevel="1">
      <c r="A156" s="35" t="str">
        <f>CLASSDATA!A156</f>
        <v>SPL01-L02</v>
      </c>
      <c r="B156" s="35" t="str">
        <f>CLASSDATA!B156</f>
        <v>L02</v>
      </c>
      <c r="C156" s="35" t="str">
        <f>CLASSDATA!C156</f>
        <v>S01</v>
      </c>
      <c r="D156" s="241" t="str">
        <f t="array" ref="D156">INDEX(ALLCLASSDATA,MATCH(A156,CLASSFEATUREHEADERS,0),MATCH($D$2,CLASSNAMEHEADERS,0))</f>
        <v/>
      </c>
      <c r="E156" s="149" t="str">
        <f t="array" ref="E156">INDEX(ALLCLASSDATA,MATCH(A156,CLASSFEATUREHEADERS,0),MATCH(($D$2 &amp; "Points"),CLASSNAMEHEADERS,0))</f>
        <v/>
      </c>
      <c r="F156" s="12" t="b">
        <v>0</v>
      </c>
      <c r="G156" s="241" t="str">
        <f t="array" ref="G156">INDEX(ALLCLASSDATA,MATCH(A156,CLASSFEATUREHEADERS,0),MATCH($G$2,CLASSNAMEHEADERS,0))</f>
        <v>1</v>
      </c>
      <c r="H156" s="149">
        <f t="array" ref="H156">INDEX(ALLCLASSDATA,MATCH(A156,CLASSFEATUREHEADERS,0),MATCH(($G$2 &amp; "Points"),CLASSNAMEHEADERS,0))</f>
        <v>10</v>
      </c>
      <c r="I156" s="12" t="b">
        <v>0</v>
      </c>
      <c r="J156" s="242" t="str">
        <f t="shared" si="34"/>
        <v/>
      </c>
      <c r="K156" s="243" t="str">
        <f t="shared" si="30"/>
        <v>1</v>
      </c>
      <c r="L156" s="149">
        <f t="shared" si="35"/>
        <v>10</v>
      </c>
      <c r="M156" s="242" t="str">
        <f t="shared" si="36"/>
        <v/>
      </c>
      <c r="N156" s="243" t="str">
        <f t="shared" si="37"/>
        <v/>
      </c>
      <c r="O156" s="149">
        <f t="shared" si="38"/>
        <v>0</v>
      </c>
    </row>
    <row r="157" outlineLevel="1">
      <c r="A157" s="35" t="str">
        <f>CLASSDATA!A157</f>
        <v>SPL02-L03</v>
      </c>
      <c r="B157" s="35" t="str">
        <f>CLASSDATA!B157</f>
        <v>L03</v>
      </c>
      <c r="C157" s="35" t="str">
        <f>CLASSDATA!C157</f>
        <v>S02</v>
      </c>
      <c r="D157" s="241" t="str">
        <f t="array" ref="D157">INDEX(ALLCLASSDATA,MATCH(A157,CLASSFEATUREHEADERS,0),MATCH($D$2,CLASSNAMEHEADERS,0))</f>
        <v/>
      </c>
      <c r="E157" s="149" t="str">
        <f t="array" ref="E157">INDEX(ALLCLASSDATA,MATCH(A157,CLASSFEATUREHEADERS,0),MATCH(($D$2 &amp; "Points"),CLASSNAMEHEADERS,0))</f>
        <v/>
      </c>
      <c r="F157" s="12" t="b">
        <v>0</v>
      </c>
      <c r="G157" s="241" t="str">
        <f t="array" ref="G157">INDEX(ALLCLASSDATA,MATCH(A157,CLASSFEATUREHEADERS,0),MATCH($G$2,CLASSNAMEHEADERS,0))</f>
        <v>3</v>
      </c>
      <c r="H157" s="149">
        <f t="array" ref="H157">INDEX(ALLCLASSDATA,MATCH(A157,CLASSFEATUREHEADERS,0),MATCH(($G$2 &amp; "Points"),CLASSNAMEHEADERS,0))</f>
        <v>30</v>
      </c>
      <c r="I157" s="12" t="b">
        <v>1</v>
      </c>
      <c r="J157" s="242" t="str">
        <f t="shared" si="34"/>
        <v/>
      </c>
      <c r="K157" s="243" t="str">
        <f t="shared" si="30"/>
        <v>3</v>
      </c>
      <c r="L157" s="149">
        <f t="shared" si="35"/>
        <v>30</v>
      </c>
      <c r="M157" s="242" t="str">
        <f t="shared" si="36"/>
        <v/>
      </c>
      <c r="N157" s="243" t="str">
        <f t="shared" si="37"/>
        <v>3</v>
      </c>
      <c r="O157" s="149">
        <f t="shared" si="38"/>
        <v>30</v>
      </c>
    </row>
    <row r="158" outlineLevel="1">
      <c r="A158" s="35" t="str">
        <f>CLASSDATA!A158</f>
        <v>SPL02-L04</v>
      </c>
      <c r="B158" s="35" t="str">
        <f>CLASSDATA!B158</f>
        <v>L04</v>
      </c>
      <c r="C158" s="35" t="str">
        <f>CLASSDATA!C158</f>
        <v>S02</v>
      </c>
      <c r="D158" s="241" t="str">
        <f t="array" ref="D158">INDEX(ALLCLASSDATA,MATCH(A158,CLASSFEATUREHEADERS,0),MATCH($D$2,CLASSNAMEHEADERS,0))</f>
        <v/>
      </c>
      <c r="E158" s="149" t="str">
        <f t="array" ref="E158">INDEX(ALLCLASSDATA,MATCH(A158,CLASSFEATUREHEADERS,0),MATCH(($D$2 &amp; "Points"),CLASSNAMEHEADERS,0))</f>
        <v/>
      </c>
      <c r="F158" s="12" t="b">
        <v>0</v>
      </c>
      <c r="G158" s="241" t="str">
        <f t="array" ref="G158">INDEX(ALLCLASSDATA,MATCH(A158,CLASSFEATUREHEADERS,0),MATCH($G$2,CLASSNAMEHEADERS,0))</f>
        <v>1</v>
      </c>
      <c r="H158" s="149">
        <f t="array" ref="H158">INDEX(ALLCLASSDATA,MATCH(A158,CLASSFEATUREHEADERS,0),MATCH(($G$2 &amp; "Points"),CLASSNAMEHEADERS,0))</f>
        <v>10</v>
      </c>
      <c r="I158" s="12" t="b">
        <v>0</v>
      </c>
      <c r="J158" s="242" t="str">
        <f t="shared" si="34"/>
        <v/>
      </c>
      <c r="K158" s="243" t="str">
        <f t="shared" si="30"/>
        <v>1</v>
      </c>
      <c r="L158" s="149">
        <f t="shared" si="35"/>
        <v>10</v>
      </c>
      <c r="M158" s="242" t="str">
        <f t="shared" si="36"/>
        <v/>
      </c>
      <c r="N158" s="243" t="str">
        <f t="shared" si="37"/>
        <v/>
      </c>
      <c r="O158" s="149">
        <f t="shared" si="38"/>
        <v>0</v>
      </c>
    </row>
    <row r="159" outlineLevel="1">
      <c r="A159" s="35" t="str">
        <f>CLASSDATA!A159</f>
        <v>SPL03-L05</v>
      </c>
      <c r="B159" s="35" t="str">
        <f>CLASSDATA!B159</f>
        <v>L05</v>
      </c>
      <c r="C159" s="35" t="str">
        <f>CLASSDATA!C159</f>
        <v>S03</v>
      </c>
      <c r="D159" s="241" t="str">
        <f t="array" ref="D159">INDEX(ALLCLASSDATA,MATCH(A159,CLASSFEATUREHEADERS,0),MATCH($D$2,CLASSNAMEHEADERS,0))</f>
        <v/>
      </c>
      <c r="E159" s="149" t="str">
        <f t="array" ref="E159">INDEX(ALLCLASSDATA,MATCH(A159,CLASSFEATUREHEADERS,0),MATCH(($D$2 &amp; "Points"),CLASSNAMEHEADERS,0))</f>
        <v/>
      </c>
      <c r="F159" s="12" t="b">
        <v>0</v>
      </c>
      <c r="G159" s="241" t="str">
        <f t="array" ref="G159">INDEX(ALLCLASSDATA,MATCH(A159,CLASSFEATUREHEADERS,0),MATCH($G$2,CLASSNAMEHEADERS,0))</f>
        <v>3</v>
      </c>
      <c r="H159" s="149">
        <f t="array" ref="H159">INDEX(ALLCLASSDATA,MATCH(A159,CLASSFEATUREHEADERS,0),MATCH(($G$2 &amp; "Points"),CLASSNAMEHEADERS,0))</f>
        <v>30</v>
      </c>
      <c r="I159" s="12" t="b">
        <v>1</v>
      </c>
      <c r="J159" s="242" t="str">
        <f t="shared" si="34"/>
        <v/>
      </c>
      <c r="K159" s="243" t="str">
        <f t="shared" si="30"/>
        <v>3</v>
      </c>
      <c r="L159" s="149">
        <f t="shared" si="35"/>
        <v>30</v>
      </c>
      <c r="M159" s="242" t="str">
        <f t="shared" si="36"/>
        <v/>
      </c>
      <c r="N159" s="243" t="str">
        <f t="shared" si="37"/>
        <v>3</v>
      </c>
      <c r="O159" s="149">
        <f t="shared" si="38"/>
        <v>30</v>
      </c>
    </row>
    <row r="160" outlineLevel="1">
      <c r="A160" s="35" t="str">
        <f>CLASSDATA!A160</f>
        <v>SPL03-L06</v>
      </c>
      <c r="B160" s="35" t="str">
        <f>CLASSDATA!B160</f>
        <v>L06</v>
      </c>
      <c r="C160" s="35" t="str">
        <f>CLASSDATA!C160</f>
        <v>S03</v>
      </c>
      <c r="D160" s="241" t="str">
        <f t="array" ref="D160">INDEX(ALLCLASSDATA,MATCH(A160,CLASSFEATUREHEADERS,0),MATCH($D$2,CLASSNAMEHEADERS,0))</f>
        <v/>
      </c>
      <c r="E160" s="149" t="str">
        <f t="array" ref="E160">INDEX(ALLCLASSDATA,MATCH(A160,CLASSFEATUREHEADERS,0),MATCH(($D$2 &amp; "Points"),CLASSNAMEHEADERS,0))</f>
        <v/>
      </c>
      <c r="F160" s="12" t="b">
        <v>0</v>
      </c>
      <c r="G160" s="241" t="str">
        <f t="array" ref="G160">INDEX(ALLCLASSDATA,MATCH(A160,CLASSFEATUREHEADERS,0),MATCH($G$2,CLASSNAMEHEADERS,0))</f>
        <v>1</v>
      </c>
      <c r="H160" s="149">
        <f t="array" ref="H160">INDEX(ALLCLASSDATA,MATCH(A160,CLASSFEATUREHEADERS,0),MATCH(($G$2 &amp; "Points"),CLASSNAMEHEADERS,0))</f>
        <v>10</v>
      </c>
      <c r="I160" s="12" t="b">
        <v>0</v>
      </c>
      <c r="J160" s="242" t="str">
        <f t="shared" si="34"/>
        <v/>
      </c>
      <c r="K160" s="243" t="str">
        <f t="shared" si="30"/>
        <v>1</v>
      </c>
      <c r="L160" s="149">
        <f t="shared" si="35"/>
        <v>10</v>
      </c>
      <c r="M160" s="242" t="str">
        <f t="shared" si="36"/>
        <v/>
      </c>
      <c r="N160" s="243" t="str">
        <f t="shared" si="37"/>
        <v/>
      </c>
      <c r="O160" s="149">
        <f t="shared" si="38"/>
        <v>0</v>
      </c>
    </row>
    <row r="161" outlineLevel="1">
      <c r="A161" s="35" t="str">
        <f>CLASSDATA!A161</f>
        <v>SPL04-L07</v>
      </c>
      <c r="B161" s="35" t="str">
        <f>CLASSDATA!B161</f>
        <v>L07</v>
      </c>
      <c r="C161" s="35" t="str">
        <f>CLASSDATA!C161</f>
        <v>S04</v>
      </c>
      <c r="D161" s="241" t="str">
        <f t="array" ref="D161">INDEX(ALLCLASSDATA,MATCH(A161,CLASSFEATUREHEADERS,0),MATCH($D$2,CLASSNAMEHEADERS,0))</f>
        <v/>
      </c>
      <c r="E161" s="149" t="str">
        <f t="array" ref="E161">INDEX(ALLCLASSDATA,MATCH(A161,CLASSFEATUREHEADERS,0),MATCH(($D$2 &amp; "Points"),CLASSNAMEHEADERS,0))</f>
        <v/>
      </c>
      <c r="F161" s="12" t="b">
        <v>0</v>
      </c>
      <c r="G161" s="241" t="str">
        <f t="array" ref="G161">INDEX(ALLCLASSDATA,MATCH(A161,CLASSFEATUREHEADERS,0),MATCH($G$2,CLASSNAMEHEADERS,0))</f>
        <v>3</v>
      </c>
      <c r="H161" s="149">
        <f t="array" ref="H161">INDEX(ALLCLASSDATA,MATCH(A161,CLASSFEATUREHEADERS,0),MATCH(($G$2 &amp; "Points"),CLASSNAMEHEADERS,0))</f>
        <v>30</v>
      </c>
      <c r="I161" s="12" t="b">
        <v>1</v>
      </c>
      <c r="J161" s="242" t="str">
        <f t="shared" si="34"/>
        <v/>
      </c>
      <c r="K161" s="243" t="str">
        <f t="shared" si="30"/>
        <v>3</v>
      </c>
      <c r="L161" s="149">
        <f t="shared" si="35"/>
        <v>30</v>
      </c>
      <c r="M161" s="242" t="str">
        <f t="shared" si="36"/>
        <v/>
      </c>
      <c r="N161" s="243" t="str">
        <f t="shared" si="37"/>
        <v>3</v>
      </c>
      <c r="O161" s="149">
        <f t="shared" si="38"/>
        <v>30</v>
      </c>
    </row>
    <row r="162" outlineLevel="1">
      <c r="A162" s="35" t="str">
        <f>CLASSDATA!A162</f>
        <v>SPL04-L08</v>
      </c>
      <c r="B162" s="35" t="str">
        <f>CLASSDATA!B162</f>
        <v>L08</v>
      </c>
      <c r="C162" s="35" t="str">
        <f>CLASSDATA!C162</f>
        <v>S04</v>
      </c>
      <c r="D162" s="241" t="str">
        <f t="array" ref="D162">INDEX(ALLCLASSDATA,MATCH(A162,CLASSFEATUREHEADERS,0),MATCH($D$2,CLASSNAMEHEADERS,0))</f>
        <v/>
      </c>
      <c r="E162" s="149" t="str">
        <f t="array" ref="E162">INDEX(ALLCLASSDATA,MATCH(A162,CLASSFEATUREHEADERS,0),MATCH(($D$2 &amp; "Points"),CLASSNAMEHEADERS,0))</f>
        <v/>
      </c>
      <c r="F162" s="12" t="b">
        <v>0</v>
      </c>
      <c r="G162" s="241" t="str">
        <f t="array" ref="G162">INDEX(ALLCLASSDATA,MATCH(A162,CLASSFEATUREHEADERS,0),MATCH($G$2,CLASSNAMEHEADERS,0))</f>
        <v>1</v>
      </c>
      <c r="H162" s="149">
        <f t="array" ref="H162">INDEX(ALLCLASSDATA,MATCH(A162,CLASSFEATUREHEADERS,0),MATCH(($G$2 &amp; "Points"),CLASSNAMEHEADERS,0))</f>
        <v>10</v>
      </c>
      <c r="I162" s="12" t="b">
        <v>0</v>
      </c>
      <c r="J162" s="242" t="str">
        <f t="shared" si="34"/>
        <v/>
      </c>
      <c r="K162" s="243" t="str">
        <f t="shared" si="30"/>
        <v>1</v>
      </c>
      <c r="L162" s="149">
        <f t="shared" si="35"/>
        <v>10</v>
      </c>
      <c r="M162" s="242" t="str">
        <f t="shared" si="36"/>
        <v/>
      </c>
      <c r="N162" s="243" t="str">
        <f t="shared" si="37"/>
        <v/>
      </c>
      <c r="O162" s="149">
        <f t="shared" si="38"/>
        <v>0</v>
      </c>
    </row>
    <row r="163" outlineLevel="1">
      <c r="A163" s="35" t="str">
        <f>CLASSDATA!A163</f>
        <v>SPL05-L09</v>
      </c>
      <c r="B163" s="35" t="str">
        <f>CLASSDATA!B163</f>
        <v>L09</v>
      </c>
      <c r="C163" s="35" t="str">
        <f>CLASSDATA!C163</f>
        <v>S05</v>
      </c>
      <c r="D163" s="241" t="str">
        <f t="array" ref="D163">INDEX(ALLCLASSDATA,MATCH(A163,CLASSFEATUREHEADERS,0),MATCH($D$2,CLASSNAMEHEADERS,0))</f>
        <v/>
      </c>
      <c r="E163" s="149" t="str">
        <f t="array" ref="E163">INDEX(ALLCLASSDATA,MATCH(A163,CLASSFEATUREHEADERS,0),MATCH(($D$2 &amp; "Points"),CLASSNAMEHEADERS,0))</f>
        <v/>
      </c>
      <c r="F163" s="12" t="b">
        <v>0</v>
      </c>
      <c r="G163" s="241" t="str">
        <f t="array" ref="G163">INDEX(ALLCLASSDATA,MATCH(A163,CLASSFEATUREHEADERS,0),MATCH($G$2,CLASSNAMEHEADERS,0))</f>
        <v>3</v>
      </c>
      <c r="H163" s="149">
        <f t="array" ref="H163">INDEX(ALLCLASSDATA,MATCH(A163,CLASSFEATUREHEADERS,0),MATCH(($G$2 &amp; "Points"),CLASSNAMEHEADERS,0))</f>
        <v>30</v>
      </c>
      <c r="I163" s="12" t="b">
        <v>1</v>
      </c>
      <c r="J163" s="242" t="str">
        <f t="shared" si="34"/>
        <v/>
      </c>
      <c r="K163" s="243" t="str">
        <f t="shared" si="30"/>
        <v>3</v>
      </c>
      <c r="L163" s="149">
        <f t="shared" si="35"/>
        <v>30</v>
      </c>
      <c r="M163" s="242" t="str">
        <f t="shared" si="36"/>
        <v/>
      </c>
      <c r="N163" s="243" t="str">
        <f t="shared" si="37"/>
        <v>3</v>
      </c>
      <c r="O163" s="149">
        <f t="shared" si="38"/>
        <v>30</v>
      </c>
    </row>
    <row r="164" outlineLevel="1">
      <c r="A164" s="35" t="str">
        <f>CLASSDATA!A164</f>
        <v>SPL05-L10</v>
      </c>
      <c r="B164" s="35" t="str">
        <f>CLASSDATA!B164</f>
        <v>L10</v>
      </c>
      <c r="C164" s="35" t="str">
        <f>CLASSDATA!C164</f>
        <v>S05</v>
      </c>
      <c r="D164" s="241" t="str">
        <f t="array" ref="D164">INDEX(ALLCLASSDATA,MATCH(A164,CLASSFEATUREHEADERS,0),MATCH($D$2,CLASSNAMEHEADERS,0))</f>
        <v/>
      </c>
      <c r="E164" s="149" t="str">
        <f t="array" ref="E164">INDEX(ALLCLASSDATA,MATCH(A164,CLASSFEATUREHEADERS,0),MATCH(($D$2 &amp; "Points"),CLASSNAMEHEADERS,0))</f>
        <v/>
      </c>
      <c r="F164" s="12" t="b">
        <v>0</v>
      </c>
      <c r="G164" s="241" t="str">
        <f t="array" ref="G164">INDEX(ALLCLASSDATA,MATCH(A164,CLASSFEATUREHEADERS,0),MATCH($G$2,CLASSNAMEHEADERS,0))</f>
        <v>1</v>
      </c>
      <c r="H164" s="149">
        <f t="array" ref="H164">INDEX(ALLCLASSDATA,MATCH(A164,CLASSFEATUREHEADERS,0),MATCH(($G$2 &amp; "Points"),CLASSNAMEHEADERS,0))</f>
        <v>10</v>
      </c>
      <c r="I164" s="12" t="b">
        <v>0</v>
      </c>
      <c r="J164" s="242" t="str">
        <f t="shared" si="34"/>
        <v/>
      </c>
      <c r="K164" s="243" t="str">
        <f t="shared" si="30"/>
        <v>1</v>
      </c>
      <c r="L164" s="149">
        <f t="shared" si="35"/>
        <v>10</v>
      </c>
      <c r="M164" s="242" t="str">
        <f t="shared" si="36"/>
        <v/>
      </c>
      <c r="N164" s="243" t="str">
        <f t="shared" si="37"/>
        <v/>
      </c>
      <c r="O164" s="149">
        <f t="shared" si="38"/>
        <v>0</v>
      </c>
    </row>
    <row r="165" outlineLevel="1">
      <c r="A165" s="35" t="str">
        <f>CLASSDATA!A165</f>
        <v>SPL06-L11</v>
      </c>
      <c r="B165" s="35" t="str">
        <f>CLASSDATA!B165</f>
        <v>L11</v>
      </c>
      <c r="C165" s="35" t="str">
        <f>CLASSDATA!C165</f>
        <v>S06</v>
      </c>
      <c r="D165" s="241" t="str">
        <f t="array" ref="D165">INDEX(ALLCLASSDATA,MATCH(A165,CLASSFEATUREHEADERS,0),MATCH($D$2,CLASSNAMEHEADERS,0))</f>
        <v/>
      </c>
      <c r="E165" s="149" t="str">
        <f t="array" ref="E165">INDEX(ALLCLASSDATA,MATCH(A165,CLASSFEATUREHEADERS,0),MATCH(($D$2 &amp; "Points"),CLASSNAMEHEADERS,0))</f>
        <v/>
      </c>
      <c r="F165" s="12" t="b">
        <v>0</v>
      </c>
      <c r="G165" s="241" t="str">
        <f t="array" ref="G165">INDEX(ALLCLASSDATA,MATCH(A165,CLASSFEATUREHEADERS,0),MATCH($G$2,CLASSNAMEHEADERS,0))</f>
        <v>3</v>
      </c>
      <c r="H165" s="149">
        <f t="array" ref="H165">INDEX(ALLCLASSDATA,MATCH(A165,CLASSFEATUREHEADERS,0),MATCH(($G$2 &amp; "Points"),CLASSNAMEHEADERS,0))</f>
        <v>30</v>
      </c>
      <c r="I165" s="12" t="b">
        <v>1</v>
      </c>
      <c r="J165" s="242" t="str">
        <f t="shared" si="34"/>
        <v/>
      </c>
      <c r="K165" s="243" t="str">
        <f t="shared" si="30"/>
        <v>3</v>
      </c>
      <c r="L165" s="149">
        <f t="shared" si="35"/>
        <v>30</v>
      </c>
      <c r="M165" s="242" t="str">
        <f t="shared" si="36"/>
        <v/>
      </c>
      <c r="N165" s="243" t="str">
        <f t="shared" si="37"/>
        <v>3</v>
      </c>
      <c r="O165" s="149">
        <f t="shared" si="38"/>
        <v>30</v>
      </c>
    </row>
    <row r="166" outlineLevel="1">
      <c r="A166" s="35" t="str">
        <f>CLASSDATA!A166</f>
        <v>SPL06-L12</v>
      </c>
      <c r="B166" s="35" t="str">
        <f>CLASSDATA!B166</f>
        <v>L12</v>
      </c>
      <c r="C166" s="35" t="str">
        <f>CLASSDATA!C166</f>
        <v>S06</v>
      </c>
      <c r="D166" s="241" t="str">
        <f t="array" ref="D166">INDEX(ALLCLASSDATA,MATCH(A166,CLASSFEATUREHEADERS,0),MATCH($D$2,CLASSNAMEHEADERS,0))</f>
        <v/>
      </c>
      <c r="E166" s="149" t="str">
        <f t="array" ref="E166">INDEX(ALLCLASSDATA,MATCH(A166,CLASSFEATUREHEADERS,0),MATCH(($D$2 &amp; "Points"),CLASSNAMEHEADERS,0))</f>
        <v/>
      </c>
      <c r="F166" s="12" t="b">
        <v>0</v>
      </c>
      <c r="G166" s="241" t="str">
        <f t="array" ref="G166">INDEX(ALLCLASSDATA,MATCH(A166,CLASSFEATUREHEADERS,0),MATCH($G$2,CLASSNAMEHEADERS,0))</f>
        <v>1</v>
      </c>
      <c r="H166" s="149">
        <f t="array" ref="H166">INDEX(ALLCLASSDATA,MATCH(A166,CLASSFEATUREHEADERS,0),MATCH(($G$2 &amp; "Points"),CLASSNAMEHEADERS,0))</f>
        <v>10</v>
      </c>
      <c r="I166" s="12" t="b">
        <v>0</v>
      </c>
      <c r="J166" s="242" t="str">
        <f t="shared" si="34"/>
        <v/>
      </c>
      <c r="K166" s="243" t="str">
        <f t="shared" si="30"/>
        <v>1</v>
      </c>
      <c r="L166" s="149">
        <f t="shared" si="35"/>
        <v>10</v>
      </c>
      <c r="M166" s="242" t="str">
        <f t="shared" si="36"/>
        <v/>
      </c>
      <c r="N166" s="243" t="str">
        <f t="shared" si="37"/>
        <v/>
      </c>
      <c r="O166" s="149">
        <f t="shared" si="38"/>
        <v>0</v>
      </c>
    </row>
    <row r="167" outlineLevel="1">
      <c r="A167" s="35" t="str">
        <f>CLASSDATA!A167</f>
        <v>SPL07-L13</v>
      </c>
      <c r="B167" s="35" t="str">
        <f>CLASSDATA!B167</f>
        <v>L13</v>
      </c>
      <c r="C167" s="35" t="str">
        <f>CLASSDATA!C167</f>
        <v>S07</v>
      </c>
      <c r="D167" s="241" t="str">
        <f t="array" ref="D167">INDEX(ALLCLASSDATA,MATCH(A167,CLASSFEATUREHEADERS,0),MATCH($D$2,CLASSNAMEHEADERS,0))</f>
        <v/>
      </c>
      <c r="E167" s="149" t="str">
        <f t="array" ref="E167">INDEX(ALLCLASSDATA,MATCH(A167,CLASSFEATUREHEADERS,0),MATCH(($D$2 &amp; "Points"),CLASSNAMEHEADERS,0))</f>
        <v/>
      </c>
      <c r="F167" s="12" t="b">
        <v>0</v>
      </c>
      <c r="G167" s="241" t="str">
        <f t="array" ref="G167">INDEX(ALLCLASSDATA,MATCH(A167,CLASSFEATUREHEADERS,0),MATCH($G$2,CLASSNAMEHEADERS,0))</f>
        <v>3</v>
      </c>
      <c r="H167" s="149">
        <f t="array" ref="H167">INDEX(ALLCLASSDATA,MATCH(A167,CLASSFEATUREHEADERS,0),MATCH(($G$2 &amp; "Points"),CLASSNAMEHEADERS,0))</f>
        <v>30</v>
      </c>
      <c r="I167" s="12" t="b">
        <v>1</v>
      </c>
      <c r="J167" s="242" t="str">
        <f t="shared" si="34"/>
        <v/>
      </c>
      <c r="K167" s="243" t="str">
        <f t="shared" si="30"/>
        <v>3</v>
      </c>
      <c r="L167" s="149">
        <f t="shared" si="35"/>
        <v>30</v>
      </c>
      <c r="M167" s="242" t="str">
        <f t="shared" si="36"/>
        <v/>
      </c>
      <c r="N167" s="243" t="str">
        <f t="shared" si="37"/>
        <v>3</v>
      </c>
      <c r="O167" s="149">
        <f t="shared" si="38"/>
        <v>30</v>
      </c>
    </row>
    <row r="168" outlineLevel="1">
      <c r="A168" s="35" t="str">
        <f>CLASSDATA!A168</f>
        <v>SPL07-L14</v>
      </c>
      <c r="B168" s="35" t="str">
        <f>CLASSDATA!B168</f>
        <v>L14</v>
      </c>
      <c r="C168" s="35" t="str">
        <f>CLASSDATA!C168</f>
        <v>S07</v>
      </c>
      <c r="D168" s="241" t="str">
        <f t="array" ref="D168">INDEX(ALLCLASSDATA,MATCH(A168,CLASSFEATUREHEADERS,0),MATCH($D$2,CLASSNAMEHEADERS,0))</f>
        <v/>
      </c>
      <c r="E168" s="149" t="str">
        <f t="array" ref="E168">INDEX(ALLCLASSDATA,MATCH(A168,CLASSFEATUREHEADERS,0),MATCH(($D$2 &amp; "Points"),CLASSNAMEHEADERS,0))</f>
        <v/>
      </c>
      <c r="F168" s="12" t="b">
        <v>0</v>
      </c>
      <c r="G168" s="241" t="str">
        <f t="array" ref="G168">INDEX(ALLCLASSDATA,MATCH(A168,CLASSFEATUREHEADERS,0),MATCH($G$2,CLASSNAMEHEADERS,0))</f>
        <v>1</v>
      </c>
      <c r="H168" s="149">
        <f t="array" ref="H168">INDEX(ALLCLASSDATA,MATCH(A168,CLASSFEATUREHEADERS,0),MATCH(($G$2 &amp; "Points"),CLASSNAMEHEADERS,0))</f>
        <v>10</v>
      </c>
      <c r="I168" s="12" t="b">
        <v>0</v>
      </c>
      <c r="J168" s="242" t="str">
        <f t="shared" si="34"/>
        <v/>
      </c>
      <c r="K168" s="243" t="str">
        <f t="shared" si="30"/>
        <v>1</v>
      </c>
      <c r="L168" s="149">
        <f t="shared" si="35"/>
        <v>10</v>
      </c>
      <c r="M168" s="242" t="str">
        <f t="shared" si="36"/>
        <v/>
      </c>
      <c r="N168" s="243" t="str">
        <f t="shared" si="37"/>
        <v/>
      </c>
      <c r="O168" s="149">
        <f t="shared" si="38"/>
        <v>0</v>
      </c>
    </row>
    <row r="169" outlineLevel="1">
      <c r="A169" s="35" t="str">
        <f>CLASSDATA!A169</f>
        <v>SPL08-L15</v>
      </c>
      <c r="B169" s="35" t="str">
        <f>CLASSDATA!B169</f>
        <v>L15</v>
      </c>
      <c r="C169" s="35" t="str">
        <f>CLASSDATA!C169</f>
        <v>S08</v>
      </c>
      <c r="D169" s="241" t="str">
        <f t="array" ref="D169">INDEX(ALLCLASSDATA,MATCH(A169,CLASSFEATUREHEADERS,0),MATCH($D$2,CLASSNAMEHEADERS,0))</f>
        <v/>
      </c>
      <c r="E169" s="149" t="str">
        <f t="array" ref="E169">INDEX(ALLCLASSDATA,MATCH(A169,CLASSFEATUREHEADERS,0),MATCH(($D$2 &amp; "Points"),CLASSNAMEHEADERS,0))</f>
        <v/>
      </c>
      <c r="F169" s="12" t="b">
        <v>0</v>
      </c>
      <c r="G169" s="241" t="str">
        <f t="array" ref="G169">INDEX(ALLCLASSDATA,MATCH(A169,CLASSFEATUREHEADERS,0),MATCH($G$2,CLASSNAMEHEADERS,0))</f>
        <v>3</v>
      </c>
      <c r="H169" s="149">
        <f t="array" ref="H169">INDEX(ALLCLASSDATA,MATCH(A169,CLASSFEATUREHEADERS,0),MATCH(($G$2 &amp; "Points"),CLASSNAMEHEADERS,0))</f>
        <v>30</v>
      </c>
      <c r="I169" s="12" t="b">
        <v>1</v>
      </c>
      <c r="J169" s="242" t="str">
        <f t="shared" si="34"/>
        <v/>
      </c>
      <c r="K169" s="243" t="str">
        <f t="shared" si="30"/>
        <v>3</v>
      </c>
      <c r="L169" s="149">
        <f t="shared" si="35"/>
        <v>30</v>
      </c>
      <c r="M169" s="242" t="str">
        <f t="shared" si="36"/>
        <v/>
      </c>
      <c r="N169" s="243" t="str">
        <f t="shared" si="37"/>
        <v>3</v>
      </c>
      <c r="O169" s="149">
        <f t="shared" si="38"/>
        <v>30</v>
      </c>
    </row>
    <row r="170" outlineLevel="1">
      <c r="A170" s="35" t="str">
        <f>CLASSDATA!A170</f>
        <v>SPL08-L16</v>
      </c>
      <c r="B170" s="35" t="str">
        <f>CLASSDATA!B170</f>
        <v>L16</v>
      </c>
      <c r="C170" s="35" t="str">
        <f>CLASSDATA!C170</f>
        <v>S08</v>
      </c>
      <c r="D170" s="241" t="str">
        <f t="array" ref="D170">INDEX(ALLCLASSDATA,MATCH(A170,CLASSFEATUREHEADERS,0),MATCH($D$2,CLASSNAMEHEADERS,0))</f>
        <v/>
      </c>
      <c r="E170" s="149" t="str">
        <f t="array" ref="E170">INDEX(ALLCLASSDATA,MATCH(A170,CLASSFEATUREHEADERS,0),MATCH(($D$2 &amp; "Points"),CLASSNAMEHEADERS,0))</f>
        <v/>
      </c>
      <c r="F170" s="12" t="b">
        <v>0</v>
      </c>
      <c r="G170" s="241" t="str">
        <f t="array" ref="G170">INDEX(ALLCLASSDATA,MATCH(A170,CLASSFEATUREHEADERS,0),MATCH($G$2,CLASSNAMEHEADERS,0))</f>
        <v>1</v>
      </c>
      <c r="H170" s="149">
        <f t="array" ref="H170">INDEX(ALLCLASSDATA,MATCH(A170,CLASSFEATUREHEADERS,0),MATCH(($G$2 &amp; "Points"),CLASSNAMEHEADERS,0))</f>
        <v>10</v>
      </c>
      <c r="I170" s="12" t="b">
        <v>0</v>
      </c>
      <c r="J170" s="242" t="str">
        <f t="shared" si="34"/>
        <v/>
      </c>
      <c r="K170" s="243" t="str">
        <f t="shared" si="30"/>
        <v>1</v>
      </c>
      <c r="L170" s="149">
        <f t="shared" si="35"/>
        <v>10</v>
      </c>
      <c r="M170" s="242" t="str">
        <f t="shared" si="36"/>
        <v/>
      </c>
      <c r="N170" s="243" t="str">
        <f t="shared" si="37"/>
        <v/>
      </c>
      <c r="O170" s="149">
        <f t="shared" si="38"/>
        <v>0</v>
      </c>
    </row>
    <row r="171" outlineLevel="1">
      <c r="A171" s="35" t="str">
        <f>CLASSDATA!A171</f>
        <v>SPL09-L17</v>
      </c>
      <c r="B171" s="35" t="str">
        <f>CLASSDATA!B171</f>
        <v>L17</v>
      </c>
      <c r="C171" s="35" t="str">
        <f>CLASSDATA!C171</f>
        <v>S09</v>
      </c>
      <c r="D171" s="241" t="str">
        <f t="array" ref="D171">INDEX(ALLCLASSDATA,MATCH(A171,CLASSFEATUREHEADERS,0),MATCH($D$2,CLASSNAMEHEADERS,0))</f>
        <v/>
      </c>
      <c r="E171" s="149" t="str">
        <f t="array" ref="E171">INDEX(ALLCLASSDATA,MATCH(A171,CLASSFEATUREHEADERS,0),MATCH(($D$2 &amp; "Points"),CLASSNAMEHEADERS,0))</f>
        <v/>
      </c>
      <c r="F171" s="12" t="b">
        <v>0</v>
      </c>
      <c r="G171" s="241" t="str">
        <f t="array" ref="G171">INDEX(ALLCLASSDATA,MATCH(A171,CLASSFEATUREHEADERS,0),MATCH($G$2,CLASSNAMEHEADERS,0))</f>
        <v>3</v>
      </c>
      <c r="H171" s="149">
        <f t="array" ref="H171">INDEX(ALLCLASSDATA,MATCH(A171,CLASSFEATUREHEADERS,0),MATCH(($G$2 &amp; "Points"),CLASSNAMEHEADERS,0))</f>
        <v>30</v>
      </c>
      <c r="I171" s="12" t="b">
        <v>1</v>
      </c>
      <c r="J171" s="242" t="str">
        <f t="shared" si="34"/>
        <v/>
      </c>
      <c r="K171" s="243" t="str">
        <f t="shared" si="30"/>
        <v>3</v>
      </c>
      <c r="L171" s="149">
        <f t="shared" si="35"/>
        <v>30</v>
      </c>
      <c r="M171" s="242" t="str">
        <f t="shared" si="36"/>
        <v/>
      </c>
      <c r="N171" s="243" t="str">
        <f t="shared" si="37"/>
        <v>3</v>
      </c>
      <c r="O171" s="149">
        <f t="shared" si="38"/>
        <v>30</v>
      </c>
    </row>
    <row r="172" outlineLevel="1">
      <c r="A172" s="35" t="str">
        <f>CLASSDATA!A172</f>
        <v>SPL09-L18</v>
      </c>
      <c r="B172" s="35" t="str">
        <f>CLASSDATA!B172</f>
        <v>L18</v>
      </c>
      <c r="C172" s="35" t="str">
        <f>CLASSDATA!C172</f>
        <v>S09</v>
      </c>
      <c r="D172" s="241" t="str">
        <f t="array" ref="D172">INDEX(ALLCLASSDATA,MATCH(A172,CLASSFEATUREHEADERS,0),MATCH($D$2,CLASSNAMEHEADERS,0))</f>
        <v/>
      </c>
      <c r="E172" s="149" t="str">
        <f t="array" ref="E172">INDEX(ALLCLASSDATA,MATCH(A172,CLASSFEATUREHEADERS,0),MATCH(($D$2 &amp; "Points"),CLASSNAMEHEADERS,0))</f>
        <v/>
      </c>
      <c r="F172" s="12" t="b">
        <v>0</v>
      </c>
      <c r="G172" s="241" t="str">
        <f t="array" ref="G172">INDEX(ALLCLASSDATA,MATCH(A172,CLASSFEATUREHEADERS,0),MATCH($G$2,CLASSNAMEHEADERS,0))</f>
        <v>1</v>
      </c>
      <c r="H172" s="149">
        <f t="array" ref="H172">INDEX(ALLCLASSDATA,MATCH(A172,CLASSFEATUREHEADERS,0),MATCH(($G$2 &amp; "Points"),CLASSNAMEHEADERS,0))</f>
        <v>10</v>
      </c>
      <c r="I172" s="12" t="b">
        <v>0</v>
      </c>
      <c r="J172" s="242" t="str">
        <f t="shared" si="34"/>
        <v/>
      </c>
      <c r="K172" s="243" t="str">
        <f t="shared" si="30"/>
        <v>1</v>
      </c>
      <c r="L172" s="149">
        <f t="shared" si="35"/>
        <v>10</v>
      </c>
      <c r="M172" s="242" t="str">
        <f t="shared" si="36"/>
        <v/>
      </c>
      <c r="N172" s="243" t="str">
        <f t="shared" si="37"/>
        <v/>
      </c>
      <c r="O172" s="149">
        <f t="shared" si="38"/>
        <v>0</v>
      </c>
    </row>
    <row r="173" outlineLevel="1">
      <c r="A173" s="35" t="str">
        <f>CLASSDATA!A173</f>
        <v>SPL10-L19</v>
      </c>
      <c r="B173" s="35" t="str">
        <f>CLASSDATA!B173</f>
        <v>L19</v>
      </c>
      <c r="C173" s="35" t="str">
        <f>CLASSDATA!C173</f>
        <v>S10</v>
      </c>
      <c r="D173" s="241" t="str">
        <f t="array" ref="D173">INDEX(ALLCLASSDATA,MATCH(A173,CLASSFEATUREHEADERS,0),MATCH($D$2,CLASSNAMEHEADERS,0))</f>
        <v/>
      </c>
      <c r="E173" s="149" t="str">
        <f t="array" ref="E173">INDEX(ALLCLASSDATA,MATCH(A173,CLASSFEATUREHEADERS,0),MATCH(($D$2 &amp; "Points"),CLASSNAMEHEADERS,0))</f>
        <v/>
      </c>
      <c r="F173" s="12" t="b">
        <v>0</v>
      </c>
      <c r="G173" s="241" t="str">
        <f t="array" ref="G173">INDEX(ALLCLASSDATA,MATCH(A173,CLASSFEATUREHEADERS,0),MATCH($G$2,CLASSNAMEHEADERS,0))</f>
        <v>1</v>
      </c>
      <c r="H173" s="149">
        <f t="array" ref="H173">INDEX(ALLCLASSDATA,MATCH(A173,CLASSFEATUREHEADERS,0),MATCH(($G$2 &amp; "Points"),CLASSNAMEHEADERS,0))</f>
        <v>190</v>
      </c>
      <c r="I173" s="12" t="b">
        <v>1</v>
      </c>
      <c r="J173" s="242" t="str">
        <f t="shared" si="34"/>
        <v/>
      </c>
      <c r="K173" s="243" t="str">
        <f t="shared" si="30"/>
        <v>1</v>
      </c>
      <c r="L173" s="149">
        <f t="shared" si="35"/>
        <v>190</v>
      </c>
      <c r="M173" s="242" t="str">
        <f t="shared" si="36"/>
        <v/>
      </c>
      <c r="N173" s="243" t="str">
        <f t="shared" si="37"/>
        <v>1</v>
      </c>
      <c r="O173" s="149">
        <f t="shared" si="38"/>
        <v>190</v>
      </c>
    </row>
    <row r="174" outlineLevel="1">
      <c r="A174" s="35" t="str">
        <f>CLASSDATA!A174</f>
        <v>SPL10-L20</v>
      </c>
      <c r="B174" s="35" t="str">
        <f>CLASSDATA!B174</f>
        <v>L20</v>
      </c>
      <c r="C174" s="35" t="str">
        <f>CLASSDATA!C174</f>
        <v>S10</v>
      </c>
      <c r="D174" s="241" t="str">
        <f t="array" ref="D174">INDEX(ALLCLASSDATA,MATCH(A174,CLASSFEATUREHEADERS,0),MATCH($D$2,CLASSNAMEHEADERS,0))</f>
        <v/>
      </c>
      <c r="E174" s="149" t="str">
        <f t="array" ref="E174">INDEX(ALLCLASSDATA,MATCH(A174,CLASSFEATUREHEADERS,0),MATCH(($D$2 &amp; "Points"),CLASSNAMEHEADERS,0))</f>
        <v/>
      </c>
      <c r="F174" s="12" t="b">
        <v>0</v>
      </c>
      <c r="G174" s="241" t="str">
        <f t="array" ref="G174">INDEX(ALLCLASSDATA,MATCH(A174,CLASSFEATUREHEADERS,0),MATCH($G$2,CLASSNAMEHEADERS,0))</f>
        <v/>
      </c>
      <c r="H174" s="149" t="str">
        <f t="array" ref="H174">INDEX(ALLCLASSDATA,MATCH(A174,CLASSFEATUREHEADERS,0),MATCH(($G$2 &amp; "Points"),CLASSNAMEHEADERS,0))</f>
        <v/>
      </c>
      <c r="I174" s="12" t="b">
        <v>0</v>
      </c>
      <c r="J174" s="242" t="str">
        <f t="shared" si="34"/>
        <v/>
      </c>
      <c r="K174" s="243" t="str">
        <f t="shared" si="30"/>
        <v/>
      </c>
      <c r="L174" s="149">
        <f t="shared" si="35"/>
        <v>0</v>
      </c>
      <c r="M174" s="242" t="str">
        <f t="shared" si="36"/>
        <v/>
      </c>
      <c r="N174" s="243" t="str">
        <f t="shared" si="37"/>
        <v/>
      </c>
      <c r="O174" s="149">
        <f t="shared" si="38"/>
        <v>0</v>
      </c>
    </row>
    <row r="175">
      <c r="A175" s="173" t="str">
        <f>CLASSDATA!A175</f>
        <v>LEARNED SPELLS/FORMULAS TOTAL:</v>
      </c>
      <c r="B175" s="249" t="str">
        <f>CLASSDATA!B175</f>
        <v/>
      </c>
      <c r="C175" s="173" t="str">
        <f>CLASSDATA!C175</f>
        <v/>
      </c>
      <c r="D175" s="260" t="str">
        <f t="array" ref="D175">INDEX(ALLCLASSDATA,MATCH(A175,CLASSFEATUREHEADERS,0),MATCH($D$2,CLASSNAMEHEADERS,0))</f>
        <v/>
      </c>
      <c r="E175" s="246">
        <f t="array" ref="E175">INDEX(ALLCLASSDATA,MATCH(A175,CLASSFEATUREHEADERS,0),MATCH(($D$2 &amp; "Points"),CLASSNAMEHEADERS,0))</f>
        <v>0</v>
      </c>
      <c r="F175" s="246"/>
      <c r="G175" s="260" t="str">
        <f t="array" ref="G175">INDEX(ALLCLASSDATA,MATCH(A175,CLASSFEATUREHEADERS,0),MATCH($G$2,CLASSNAMEHEADERS,0))</f>
        <v/>
      </c>
      <c r="H175" s="246">
        <f t="array" ref="H175">INDEX(ALLCLASSDATA,MATCH(A175,CLASSFEATUREHEADERS,0),MATCH(($G$2 &amp; "Points"),CLASSNAMEHEADERS,0))</f>
        <v>440</v>
      </c>
      <c r="I175" s="246"/>
      <c r="J175" s="247"/>
      <c r="K175" s="273" t="str">
        <f t="shared" si="30"/>
        <v/>
      </c>
      <c r="L175" s="75">
        <f>sum(L176:L195)</f>
        <v>440</v>
      </c>
      <c r="M175" s="247"/>
      <c r="N175" s="273"/>
      <c r="O175" s="75">
        <f>sum(O176:O195)</f>
        <v>240</v>
      </c>
      <c r="P175" s="246"/>
    </row>
    <row r="176" outlineLevel="1">
      <c r="A176" s="35" t="str">
        <f>CLASSDATA!A176</f>
        <v>Learned-L01</v>
      </c>
      <c r="B176" s="35" t="str">
        <f>CLASSDATA!B176</f>
        <v>L01</v>
      </c>
      <c r="C176" s="35" t="str">
        <f>CLASSDATA!C176</f>
        <v>S01</v>
      </c>
      <c r="D176" s="241" t="str">
        <f t="array" ref="D176">INDEX(ALLCLASSDATA,MATCH(A176,CLASSFEATUREHEADERS,0),MATCH($D$2,CLASSNAMEHEADERS,0))</f>
        <v/>
      </c>
      <c r="E176" s="149" t="str">
        <f t="array" ref="E176">INDEX(ALLCLASSDATA,MATCH(A176,CLASSFEATUREHEADERS,0),MATCH(($D$2 &amp; "Points"),CLASSNAMEHEADERS,0))</f>
        <v/>
      </c>
      <c r="F176" s="12" t="b">
        <v>0</v>
      </c>
      <c r="G176" s="241" t="str">
        <f t="array" ref="G176">INDEX(ALLCLASSDATA,MATCH(A176,CLASSFEATUREHEADERS,0),MATCH($G$2,CLASSNAMEHEADERS,0))</f>
        <v>6</v>
      </c>
      <c r="H176" s="149">
        <f t="array" ref="H176">INDEX(ALLCLASSDATA,MATCH(A176,CLASSFEATUREHEADERS,0),MATCH(($G$2 &amp; "Points"),CLASSNAMEHEADERS,0))</f>
        <v>60</v>
      </c>
      <c r="I176" s="12" t="b">
        <v>1</v>
      </c>
      <c r="J176" s="242" t="str">
        <f t="shared" ref="J176:J195" si="39">D176</f>
        <v/>
      </c>
      <c r="K176" s="243" t="str">
        <f t="shared" si="30"/>
        <v>6</v>
      </c>
      <c r="L176" s="149">
        <f t="shared" ref="L176:L195" si="40">SUM(E176,H176)</f>
        <v>60</v>
      </c>
      <c r="M176" s="242" t="str">
        <f t="shared" ref="M176:M195" si="41">IF(F176=TRUE,D176,"")</f>
        <v/>
      </c>
      <c r="N176" s="243" t="str">
        <f t="shared" ref="N176:N195" si="42">IF(I176=TRUE,G176,"")</f>
        <v>6</v>
      </c>
      <c r="O176" s="149">
        <f t="shared" ref="O176:O195" si="43">(IF(F176=TRUE,E176,0))+(IF(I176=TRUE,H176,0))</f>
        <v>60</v>
      </c>
    </row>
    <row r="177" outlineLevel="1">
      <c r="A177" s="35" t="str">
        <f>CLASSDATA!A177</f>
        <v>Learned-L02</v>
      </c>
      <c r="B177" s="35" t="str">
        <f>CLASSDATA!B177</f>
        <v>L02</v>
      </c>
      <c r="C177" s="35" t="str">
        <f>CLASSDATA!C177</f>
        <v>S01</v>
      </c>
      <c r="D177" s="241" t="str">
        <f t="array" ref="D177">INDEX(ALLCLASSDATA,MATCH(A177,CLASSFEATUREHEADERS,0),MATCH($D$2,CLASSNAMEHEADERS,0))</f>
        <v/>
      </c>
      <c r="E177" s="149" t="str">
        <f t="array" ref="E177">INDEX(ALLCLASSDATA,MATCH(A177,CLASSFEATUREHEADERS,0),MATCH(($D$2 &amp; "Points"),CLASSNAMEHEADERS,0))</f>
        <v/>
      </c>
      <c r="F177" s="12" t="b">
        <v>0</v>
      </c>
      <c r="G177" s="241" t="str">
        <f t="array" ref="G177">INDEX(ALLCLASSDATA,MATCH(A177,CLASSFEATUREHEADERS,0),MATCH($G$2,CLASSNAMEHEADERS,0))</f>
        <v>2</v>
      </c>
      <c r="H177" s="149">
        <f t="array" ref="H177">INDEX(ALLCLASSDATA,MATCH(A177,CLASSFEATUREHEADERS,0),MATCH(($G$2 &amp; "Points"),CLASSNAMEHEADERS,0))</f>
        <v>20</v>
      </c>
      <c r="I177" s="12" t="b">
        <v>0</v>
      </c>
      <c r="J177" s="242" t="str">
        <f t="shared" si="39"/>
        <v/>
      </c>
      <c r="K177" s="243" t="str">
        <f t="shared" si="30"/>
        <v>2</v>
      </c>
      <c r="L177" s="149">
        <f t="shared" si="40"/>
        <v>20</v>
      </c>
      <c r="M177" s="242" t="str">
        <f t="shared" si="41"/>
        <v/>
      </c>
      <c r="N177" s="243" t="str">
        <f t="shared" si="42"/>
        <v/>
      </c>
      <c r="O177" s="149">
        <f t="shared" si="43"/>
        <v>0</v>
      </c>
    </row>
    <row r="178" outlineLevel="1">
      <c r="A178" s="35" t="str">
        <f>CLASSDATA!A178</f>
        <v>Learned-L03</v>
      </c>
      <c r="B178" s="35" t="str">
        <f>CLASSDATA!B178</f>
        <v>L03</v>
      </c>
      <c r="C178" s="35" t="str">
        <f>CLASSDATA!C178</f>
        <v>S02</v>
      </c>
      <c r="D178" s="241" t="str">
        <f t="array" ref="D178">INDEX(ALLCLASSDATA,MATCH(A178,CLASSFEATUREHEADERS,0),MATCH($D$2,CLASSNAMEHEADERS,0))</f>
        <v/>
      </c>
      <c r="E178" s="149" t="str">
        <f t="array" ref="E178">INDEX(ALLCLASSDATA,MATCH(A178,CLASSFEATUREHEADERS,0),MATCH(($D$2 &amp; "Points"),CLASSNAMEHEADERS,0))</f>
        <v/>
      </c>
      <c r="F178" s="12" t="b">
        <v>0</v>
      </c>
      <c r="G178" s="241" t="str">
        <f t="array" ref="G178">INDEX(ALLCLASSDATA,MATCH(A178,CLASSFEATUREHEADERS,0),MATCH($G$2,CLASSNAMEHEADERS,0))</f>
        <v>2</v>
      </c>
      <c r="H178" s="149">
        <f t="array" ref="H178">INDEX(ALLCLASSDATA,MATCH(A178,CLASSFEATUREHEADERS,0),MATCH(($G$2 &amp; "Points"),CLASSNAMEHEADERS,0))</f>
        <v>20</v>
      </c>
      <c r="I178" s="12" t="b">
        <v>1</v>
      </c>
      <c r="J178" s="242" t="str">
        <f t="shared" si="39"/>
        <v/>
      </c>
      <c r="K178" s="243" t="str">
        <f t="shared" si="30"/>
        <v>2</v>
      </c>
      <c r="L178" s="149">
        <f t="shared" si="40"/>
        <v>20</v>
      </c>
      <c r="M178" s="242" t="str">
        <f t="shared" si="41"/>
        <v/>
      </c>
      <c r="N178" s="243" t="str">
        <f t="shared" si="42"/>
        <v>2</v>
      </c>
      <c r="O178" s="149">
        <f t="shared" si="43"/>
        <v>20</v>
      </c>
    </row>
    <row r="179" outlineLevel="1">
      <c r="A179" s="35" t="str">
        <f>CLASSDATA!A179</f>
        <v>Learned-L04</v>
      </c>
      <c r="B179" s="35" t="str">
        <f>CLASSDATA!B179</f>
        <v>L04</v>
      </c>
      <c r="C179" s="35" t="str">
        <f>CLASSDATA!C179</f>
        <v>S02</v>
      </c>
      <c r="D179" s="241" t="str">
        <f t="array" ref="D179">INDEX(ALLCLASSDATA,MATCH(A179,CLASSFEATUREHEADERS,0),MATCH($D$2,CLASSNAMEHEADERS,0))</f>
        <v/>
      </c>
      <c r="E179" s="149" t="str">
        <f t="array" ref="E179">INDEX(ALLCLASSDATA,MATCH(A179,CLASSFEATUREHEADERS,0),MATCH(($D$2 &amp; "Points"),CLASSNAMEHEADERS,0))</f>
        <v/>
      </c>
      <c r="F179" s="12" t="b">
        <v>0</v>
      </c>
      <c r="G179" s="241" t="str">
        <f t="array" ref="G179">INDEX(ALLCLASSDATA,MATCH(A179,CLASSFEATUREHEADERS,0),MATCH($G$2,CLASSNAMEHEADERS,0))</f>
        <v>2</v>
      </c>
      <c r="H179" s="149">
        <f t="array" ref="H179">INDEX(ALLCLASSDATA,MATCH(A179,CLASSFEATUREHEADERS,0),MATCH(($G$2 &amp; "Points"),CLASSNAMEHEADERS,0))</f>
        <v>20</v>
      </c>
      <c r="I179" s="12" t="b">
        <v>0</v>
      </c>
      <c r="J179" s="242" t="str">
        <f t="shared" si="39"/>
        <v/>
      </c>
      <c r="K179" s="243" t="str">
        <f t="shared" si="30"/>
        <v>2</v>
      </c>
      <c r="L179" s="149">
        <f t="shared" si="40"/>
        <v>20</v>
      </c>
      <c r="M179" s="242" t="str">
        <f t="shared" si="41"/>
        <v/>
      </c>
      <c r="N179" s="243" t="str">
        <f t="shared" si="42"/>
        <v/>
      </c>
      <c r="O179" s="149">
        <f t="shared" si="43"/>
        <v>0</v>
      </c>
    </row>
    <row r="180" outlineLevel="1">
      <c r="A180" s="35" t="str">
        <f>CLASSDATA!A180</f>
        <v>Learned-L05</v>
      </c>
      <c r="B180" s="35" t="str">
        <f>CLASSDATA!B180</f>
        <v>L05</v>
      </c>
      <c r="C180" s="35" t="str">
        <f>CLASSDATA!C180</f>
        <v>S03</v>
      </c>
      <c r="D180" s="241" t="str">
        <f t="array" ref="D180">INDEX(ALLCLASSDATA,MATCH(A180,CLASSFEATUREHEADERS,0),MATCH($D$2,CLASSNAMEHEADERS,0))</f>
        <v/>
      </c>
      <c r="E180" s="149" t="str">
        <f t="array" ref="E180">INDEX(ALLCLASSDATA,MATCH(A180,CLASSFEATUREHEADERS,0),MATCH(($D$2 &amp; "Points"),CLASSNAMEHEADERS,0))</f>
        <v/>
      </c>
      <c r="F180" s="12" t="b">
        <v>0</v>
      </c>
      <c r="G180" s="241" t="str">
        <f t="array" ref="G180">INDEX(ALLCLASSDATA,MATCH(A180,CLASSFEATUREHEADERS,0),MATCH($G$2,CLASSNAMEHEADERS,0))</f>
        <v>2</v>
      </c>
      <c r="H180" s="149">
        <f t="array" ref="H180">INDEX(ALLCLASSDATA,MATCH(A180,CLASSFEATUREHEADERS,0),MATCH(($G$2 &amp; "Points"),CLASSNAMEHEADERS,0))</f>
        <v>20</v>
      </c>
      <c r="I180" s="12" t="b">
        <v>1</v>
      </c>
      <c r="J180" s="242" t="str">
        <f t="shared" si="39"/>
        <v/>
      </c>
      <c r="K180" s="243" t="str">
        <f t="shared" si="30"/>
        <v>2</v>
      </c>
      <c r="L180" s="149">
        <f t="shared" si="40"/>
        <v>20</v>
      </c>
      <c r="M180" s="242" t="str">
        <f t="shared" si="41"/>
        <v/>
      </c>
      <c r="N180" s="243" t="str">
        <f t="shared" si="42"/>
        <v>2</v>
      </c>
      <c r="O180" s="149">
        <f t="shared" si="43"/>
        <v>20</v>
      </c>
    </row>
    <row r="181" outlineLevel="1">
      <c r="A181" s="35" t="str">
        <f>CLASSDATA!A181</f>
        <v>Learned-L06</v>
      </c>
      <c r="B181" s="35" t="str">
        <f>CLASSDATA!B181</f>
        <v>L06</v>
      </c>
      <c r="C181" s="35" t="str">
        <f>CLASSDATA!C181</f>
        <v>S03</v>
      </c>
      <c r="D181" s="241" t="str">
        <f t="array" ref="D181">INDEX(ALLCLASSDATA,MATCH(A181,CLASSFEATUREHEADERS,0),MATCH($D$2,CLASSNAMEHEADERS,0))</f>
        <v/>
      </c>
      <c r="E181" s="149" t="str">
        <f t="array" ref="E181">INDEX(ALLCLASSDATA,MATCH(A181,CLASSFEATUREHEADERS,0),MATCH(($D$2 &amp; "Points"),CLASSNAMEHEADERS,0))</f>
        <v/>
      </c>
      <c r="F181" s="12" t="b">
        <v>0</v>
      </c>
      <c r="G181" s="241" t="str">
        <f t="array" ref="G181">INDEX(ALLCLASSDATA,MATCH(A181,CLASSFEATUREHEADERS,0),MATCH($G$2,CLASSNAMEHEADERS,0))</f>
        <v>2</v>
      </c>
      <c r="H181" s="149">
        <f t="array" ref="H181">INDEX(ALLCLASSDATA,MATCH(A181,CLASSFEATUREHEADERS,0),MATCH(($G$2 &amp; "Points"),CLASSNAMEHEADERS,0))</f>
        <v>20</v>
      </c>
      <c r="I181" s="12" t="b">
        <v>0</v>
      </c>
      <c r="J181" s="242" t="str">
        <f t="shared" si="39"/>
        <v/>
      </c>
      <c r="K181" s="243" t="str">
        <f t="shared" si="30"/>
        <v>2</v>
      </c>
      <c r="L181" s="149">
        <f t="shared" si="40"/>
        <v>20</v>
      </c>
      <c r="M181" s="242" t="str">
        <f t="shared" si="41"/>
        <v/>
      </c>
      <c r="N181" s="243" t="str">
        <f t="shared" si="42"/>
        <v/>
      </c>
      <c r="O181" s="149">
        <f t="shared" si="43"/>
        <v>0</v>
      </c>
    </row>
    <row r="182" outlineLevel="1">
      <c r="A182" s="35" t="str">
        <f>CLASSDATA!A182</f>
        <v>Learned-L07</v>
      </c>
      <c r="B182" s="35" t="str">
        <f>CLASSDATA!B182</f>
        <v>L07</v>
      </c>
      <c r="C182" s="35" t="str">
        <f>CLASSDATA!C182</f>
        <v>S04</v>
      </c>
      <c r="D182" s="241" t="str">
        <f t="array" ref="D182">INDEX(ALLCLASSDATA,MATCH(A182,CLASSFEATUREHEADERS,0),MATCH($D$2,CLASSNAMEHEADERS,0))</f>
        <v/>
      </c>
      <c r="E182" s="149" t="str">
        <f t="array" ref="E182">INDEX(ALLCLASSDATA,MATCH(A182,CLASSFEATUREHEADERS,0),MATCH(($D$2 &amp; "Points"),CLASSNAMEHEADERS,0))</f>
        <v/>
      </c>
      <c r="F182" s="12" t="b">
        <v>0</v>
      </c>
      <c r="G182" s="241" t="str">
        <f t="array" ref="G182">INDEX(ALLCLASSDATA,MATCH(A182,CLASSFEATUREHEADERS,0),MATCH($G$2,CLASSNAMEHEADERS,0))</f>
        <v>2</v>
      </c>
      <c r="H182" s="149">
        <f t="array" ref="H182">INDEX(ALLCLASSDATA,MATCH(A182,CLASSFEATUREHEADERS,0),MATCH(($G$2 &amp; "Points"),CLASSNAMEHEADERS,0))</f>
        <v>20</v>
      </c>
      <c r="I182" s="12" t="b">
        <v>1</v>
      </c>
      <c r="J182" s="242" t="str">
        <f t="shared" si="39"/>
        <v/>
      </c>
      <c r="K182" s="243" t="str">
        <f t="shared" si="30"/>
        <v>2</v>
      </c>
      <c r="L182" s="149">
        <f t="shared" si="40"/>
        <v>20</v>
      </c>
      <c r="M182" s="242" t="str">
        <f t="shared" si="41"/>
        <v/>
      </c>
      <c r="N182" s="243" t="str">
        <f t="shared" si="42"/>
        <v>2</v>
      </c>
      <c r="O182" s="149">
        <f t="shared" si="43"/>
        <v>20</v>
      </c>
    </row>
    <row r="183" outlineLevel="1">
      <c r="A183" s="35" t="str">
        <f>CLASSDATA!A183</f>
        <v>Learned-L08</v>
      </c>
      <c r="B183" s="35" t="str">
        <f>CLASSDATA!B183</f>
        <v>L08</v>
      </c>
      <c r="C183" s="35" t="str">
        <f>CLASSDATA!C183</f>
        <v>S04</v>
      </c>
      <c r="D183" s="241" t="str">
        <f t="array" ref="D183">INDEX(ALLCLASSDATA,MATCH(A183,CLASSFEATUREHEADERS,0),MATCH($D$2,CLASSNAMEHEADERS,0))</f>
        <v/>
      </c>
      <c r="E183" s="149" t="str">
        <f t="array" ref="E183">INDEX(ALLCLASSDATA,MATCH(A183,CLASSFEATUREHEADERS,0),MATCH(($D$2 &amp; "Points"),CLASSNAMEHEADERS,0))</f>
        <v/>
      </c>
      <c r="F183" s="12" t="b">
        <v>0</v>
      </c>
      <c r="G183" s="241" t="str">
        <f t="array" ref="G183">INDEX(ALLCLASSDATA,MATCH(A183,CLASSFEATUREHEADERS,0),MATCH($G$2,CLASSNAMEHEADERS,0))</f>
        <v>2</v>
      </c>
      <c r="H183" s="149">
        <f t="array" ref="H183">INDEX(ALLCLASSDATA,MATCH(A183,CLASSFEATUREHEADERS,0),MATCH(($G$2 &amp; "Points"),CLASSNAMEHEADERS,0))</f>
        <v>20</v>
      </c>
      <c r="I183" s="12" t="b">
        <v>0</v>
      </c>
      <c r="J183" s="242" t="str">
        <f t="shared" si="39"/>
        <v/>
      </c>
      <c r="K183" s="243" t="str">
        <f t="shared" si="30"/>
        <v>2</v>
      </c>
      <c r="L183" s="149">
        <f t="shared" si="40"/>
        <v>20</v>
      </c>
      <c r="M183" s="242" t="str">
        <f t="shared" si="41"/>
        <v/>
      </c>
      <c r="N183" s="243" t="str">
        <f t="shared" si="42"/>
        <v/>
      </c>
      <c r="O183" s="149">
        <f t="shared" si="43"/>
        <v>0</v>
      </c>
    </row>
    <row r="184" outlineLevel="1">
      <c r="A184" s="35" t="str">
        <f>CLASSDATA!A184</f>
        <v>Learned-L09</v>
      </c>
      <c r="B184" s="35" t="str">
        <f>CLASSDATA!B184</f>
        <v>L09</v>
      </c>
      <c r="C184" s="35" t="str">
        <f>CLASSDATA!C184</f>
        <v>S05</v>
      </c>
      <c r="D184" s="241" t="str">
        <f t="array" ref="D184">INDEX(ALLCLASSDATA,MATCH(A184,CLASSFEATUREHEADERS,0),MATCH($D$2,CLASSNAMEHEADERS,0))</f>
        <v/>
      </c>
      <c r="E184" s="149" t="str">
        <f t="array" ref="E184">INDEX(ALLCLASSDATA,MATCH(A184,CLASSFEATUREHEADERS,0),MATCH(($D$2 &amp; "Points"),CLASSNAMEHEADERS,0))</f>
        <v/>
      </c>
      <c r="F184" s="12" t="b">
        <v>0</v>
      </c>
      <c r="G184" s="241" t="str">
        <f t="array" ref="G184">INDEX(ALLCLASSDATA,MATCH(A184,CLASSFEATUREHEADERS,0),MATCH($G$2,CLASSNAMEHEADERS,0))</f>
        <v>2</v>
      </c>
      <c r="H184" s="149">
        <f t="array" ref="H184">INDEX(ALLCLASSDATA,MATCH(A184,CLASSFEATUREHEADERS,0),MATCH(($G$2 &amp; "Points"),CLASSNAMEHEADERS,0))</f>
        <v>20</v>
      </c>
      <c r="I184" s="12" t="b">
        <v>1</v>
      </c>
      <c r="J184" s="242" t="str">
        <f t="shared" si="39"/>
        <v/>
      </c>
      <c r="K184" s="243" t="str">
        <f t="shared" si="30"/>
        <v>2</v>
      </c>
      <c r="L184" s="149">
        <f t="shared" si="40"/>
        <v>20</v>
      </c>
      <c r="M184" s="242" t="str">
        <f t="shared" si="41"/>
        <v/>
      </c>
      <c r="N184" s="243" t="str">
        <f t="shared" si="42"/>
        <v>2</v>
      </c>
      <c r="O184" s="149">
        <f t="shared" si="43"/>
        <v>20</v>
      </c>
    </row>
    <row r="185" outlineLevel="1">
      <c r="A185" s="35" t="str">
        <f>CLASSDATA!A185</f>
        <v>Learned-L10</v>
      </c>
      <c r="B185" s="35" t="str">
        <f>CLASSDATA!B185</f>
        <v>L10</v>
      </c>
      <c r="C185" s="35" t="str">
        <f>CLASSDATA!C185</f>
        <v>S05</v>
      </c>
      <c r="D185" s="241" t="str">
        <f t="array" ref="D185">INDEX(ALLCLASSDATA,MATCH(A185,CLASSFEATUREHEADERS,0),MATCH($D$2,CLASSNAMEHEADERS,0))</f>
        <v/>
      </c>
      <c r="E185" s="149" t="str">
        <f t="array" ref="E185">INDEX(ALLCLASSDATA,MATCH(A185,CLASSFEATUREHEADERS,0),MATCH(($D$2 &amp; "Points"),CLASSNAMEHEADERS,0))</f>
        <v/>
      </c>
      <c r="F185" s="12" t="b">
        <v>0</v>
      </c>
      <c r="G185" s="241" t="str">
        <f t="array" ref="G185">INDEX(ALLCLASSDATA,MATCH(A185,CLASSFEATUREHEADERS,0),MATCH($G$2,CLASSNAMEHEADERS,0))</f>
        <v>2</v>
      </c>
      <c r="H185" s="149">
        <f t="array" ref="H185">INDEX(ALLCLASSDATA,MATCH(A185,CLASSFEATUREHEADERS,0),MATCH(($G$2 &amp; "Points"),CLASSNAMEHEADERS,0))</f>
        <v>20</v>
      </c>
      <c r="I185" s="12" t="b">
        <v>0</v>
      </c>
      <c r="J185" s="242" t="str">
        <f t="shared" si="39"/>
        <v/>
      </c>
      <c r="K185" s="243" t="str">
        <f t="shared" si="30"/>
        <v>2</v>
      </c>
      <c r="L185" s="149">
        <f t="shared" si="40"/>
        <v>20</v>
      </c>
      <c r="M185" s="242" t="str">
        <f t="shared" si="41"/>
        <v/>
      </c>
      <c r="N185" s="243" t="str">
        <f t="shared" si="42"/>
        <v/>
      </c>
      <c r="O185" s="149">
        <f t="shared" si="43"/>
        <v>0</v>
      </c>
    </row>
    <row r="186" outlineLevel="1">
      <c r="A186" s="35" t="str">
        <f>CLASSDATA!A186</f>
        <v>Learned-L11</v>
      </c>
      <c r="B186" s="35" t="str">
        <f>CLASSDATA!B186</f>
        <v>L11</v>
      </c>
      <c r="C186" s="35" t="str">
        <f>CLASSDATA!C186</f>
        <v>S06</v>
      </c>
      <c r="D186" s="241" t="str">
        <f t="array" ref="D186">INDEX(ALLCLASSDATA,MATCH(A186,CLASSFEATUREHEADERS,0),MATCH($D$2,CLASSNAMEHEADERS,0))</f>
        <v/>
      </c>
      <c r="E186" s="149" t="str">
        <f t="array" ref="E186">INDEX(ALLCLASSDATA,MATCH(A186,CLASSFEATUREHEADERS,0),MATCH(($D$2 &amp; "Points"),CLASSNAMEHEADERS,0))</f>
        <v/>
      </c>
      <c r="F186" s="12" t="b">
        <v>0</v>
      </c>
      <c r="G186" s="241" t="str">
        <f t="array" ref="G186">INDEX(ALLCLASSDATA,MATCH(A186,CLASSFEATUREHEADERS,0),MATCH($G$2,CLASSNAMEHEADERS,0))</f>
        <v>2</v>
      </c>
      <c r="H186" s="149">
        <f t="array" ref="H186">INDEX(ALLCLASSDATA,MATCH(A186,CLASSFEATUREHEADERS,0),MATCH(($G$2 &amp; "Points"),CLASSNAMEHEADERS,0))</f>
        <v>20</v>
      </c>
      <c r="I186" s="12" t="b">
        <v>1</v>
      </c>
      <c r="J186" s="242" t="str">
        <f t="shared" si="39"/>
        <v/>
      </c>
      <c r="K186" s="243" t="str">
        <f t="shared" si="30"/>
        <v>2</v>
      </c>
      <c r="L186" s="149">
        <f t="shared" si="40"/>
        <v>20</v>
      </c>
      <c r="M186" s="242" t="str">
        <f t="shared" si="41"/>
        <v/>
      </c>
      <c r="N186" s="243" t="str">
        <f t="shared" si="42"/>
        <v>2</v>
      </c>
      <c r="O186" s="149">
        <f t="shared" si="43"/>
        <v>20</v>
      </c>
    </row>
    <row r="187" outlineLevel="1">
      <c r="A187" s="35" t="str">
        <f>CLASSDATA!A187</f>
        <v>Learned-L12</v>
      </c>
      <c r="B187" s="35" t="str">
        <f>CLASSDATA!B187</f>
        <v>L12</v>
      </c>
      <c r="C187" s="35" t="str">
        <f>CLASSDATA!C187</f>
        <v>S06</v>
      </c>
      <c r="D187" s="241" t="str">
        <f t="array" ref="D187">INDEX(ALLCLASSDATA,MATCH(A187,CLASSFEATUREHEADERS,0),MATCH($D$2,CLASSNAMEHEADERS,0))</f>
        <v/>
      </c>
      <c r="E187" s="149" t="str">
        <f t="array" ref="E187">INDEX(ALLCLASSDATA,MATCH(A187,CLASSFEATUREHEADERS,0),MATCH(($D$2 &amp; "Points"),CLASSNAMEHEADERS,0))</f>
        <v/>
      </c>
      <c r="F187" s="12" t="b">
        <v>0</v>
      </c>
      <c r="G187" s="241" t="str">
        <f t="array" ref="G187">INDEX(ALLCLASSDATA,MATCH(A187,CLASSFEATUREHEADERS,0),MATCH($G$2,CLASSNAMEHEADERS,0))</f>
        <v>2</v>
      </c>
      <c r="H187" s="149">
        <f t="array" ref="H187">INDEX(ALLCLASSDATA,MATCH(A187,CLASSFEATUREHEADERS,0),MATCH(($G$2 &amp; "Points"),CLASSNAMEHEADERS,0))</f>
        <v>20</v>
      </c>
      <c r="I187" s="12" t="b">
        <v>0</v>
      </c>
      <c r="J187" s="242" t="str">
        <f t="shared" si="39"/>
        <v/>
      </c>
      <c r="K187" s="243" t="str">
        <f t="shared" si="30"/>
        <v>2</v>
      </c>
      <c r="L187" s="149">
        <f t="shared" si="40"/>
        <v>20</v>
      </c>
      <c r="M187" s="242" t="str">
        <f t="shared" si="41"/>
        <v/>
      </c>
      <c r="N187" s="243" t="str">
        <f t="shared" si="42"/>
        <v/>
      </c>
      <c r="O187" s="149">
        <f t="shared" si="43"/>
        <v>0</v>
      </c>
    </row>
    <row r="188" outlineLevel="1">
      <c r="A188" s="35" t="str">
        <f>CLASSDATA!A188</f>
        <v>Learned-L13</v>
      </c>
      <c r="B188" s="35" t="str">
        <f>CLASSDATA!B188</f>
        <v>L13</v>
      </c>
      <c r="C188" s="35" t="str">
        <f>CLASSDATA!C188</f>
        <v>S07</v>
      </c>
      <c r="D188" s="241" t="str">
        <f t="array" ref="D188">INDEX(ALLCLASSDATA,MATCH(A188,CLASSFEATUREHEADERS,0),MATCH($D$2,CLASSNAMEHEADERS,0))</f>
        <v/>
      </c>
      <c r="E188" s="149" t="str">
        <f t="array" ref="E188">INDEX(ALLCLASSDATA,MATCH(A188,CLASSFEATUREHEADERS,0),MATCH(($D$2 &amp; "Points"),CLASSNAMEHEADERS,0))</f>
        <v/>
      </c>
      <c r="F188" s="12" t="b">
        <v>0</v>
      </c>
      <c r="G188" s="241" t="str">
        <f t="array" ref="G188">INDEX(ALLCLASSDATA,MATCH(A188,CLASSFEATUREHEADERS,0),MATCH($G$2,CLASSNAMEHEADERS,0))</f>
        <v>2</v>
      </c>
      <c r="H188" s="149">
        <f t="array" ref="H188">INDEX(ALLCLASSDATA,MATCH(A188,CLASSFEATUREHEADERS,0),MATCH(($G$2 &amp; "Points"),CLASSNAMEHEADERS,0))</f>
        <v>20</v>
      </c>
      <c r="I188" s="12" t="b">
        <v>1</v>
      </c>
      <c r="J188" s="242" t="str">
        <f t="shared" si="39"/>
        <v/>
      </c>
      <c r="K188" s="243" t="str">
        <f t="shared" si="30"/>
        <v>2</v>
      </c>
      <c r="L188" s="149">
        <f t="shared" si="40"/>
        <v>20</v>
      </c>
      <c r="M188" s="242" t="str">
        <f t="shared" si="41"/>
        <v/>
      </c>
      <c r="N188" s="243" t="str">
        <f t="shared" si="42"/>
        <v>2</v>
      </c>
      <c r="O188" s="149">
        <f t="shared" si="43"/>
        <v>20</v>
      </c>
    </row>
    <row r="189" outlineLevel="1">
      <c r="A189" s="35" t="str">
        <f>CLASSDATA!A189</f>
        <v>Learned-L14</v>
      </c>
      <c r="B189" s="35" t="str">
        <f>CLASSDATA!B189</f>
        <v>L14</v>
      </c>
      <c r="C189" s="35" t="str">
        <f>CLASSDATA!C189</f>
        <v>S07</v>
      </c>
      <c r="D189" s="241" t="str">
        <f t="array" ref="D189">INDEX(ALLCLASSDATA,MATCH(A189,CLASSFEATUREHEADERS,0),MATCH($D$2,CLASSNAMEHEADERS,0))</f>
        <v/>
      </c>
      <c r="E189" s="149" t="str">
        <f t="array" ref="E189">INDEX(ALLCLASSDATA,MATCH(A189,CLASSFEATUREHEADERS,0),MATCH(($D$2 &amp; "Points"),CLASSNAMEHEADERS,0))</f>
        <v/>
      </c>
      <c r="F189" s="12" t="b">
        <v>0</v>
      </c>
      <c r="G189" s="241" t="str">
        <f t="array" ref="G189">INDEX(ALLCLASSDATA,MATCH(A189,CLASSFEATUREHEADERS,0),MATCH($G$2,CLASSNAMEHEADERS,0))</f>
        <v>2</v>
      </c>
      <c r="H189" s="149">
        <f t="array" ref="H189">INDEX(ALLCLASSDATA,MATCH(A189,CLASSFEATUREHEADERS,0),MATCH(($G$2 &amp; "Points"),CLASSNAMEHEADERS,0))</f>
        <v>20</v>
      </c>
      <c r="I189" s="12" t="b">
        <v>0</v>
      </c>
      <c r="J189" s="242" t="str">
        <f t="shared" si="39"/>
        <v/>
      </c>
      <c r="K189" s="243" t="str">
        <f t="shared" si="30"/>
        <v>2</v>
      </c>
      <c r="L189" s="149">
        <f t="shared" si="40"/>
        <v>20</v>
      </c>
      <c r="M189" s="242" t="str">
        <f t="shared" si="41"/>
        <v/>
      </c>
      <c r="N189" s="243" t="str">
        <f t="shared" si="42"/>
        <v/>
      </c>
      <c r="O189" s="149">
        <f t="shared" si="43"/>
        <v>0</v>
      </c>
    </row>
    <row r="190" outlineLevel="1">
      <c r="A190" s="35" t="str">
        <f>CLASSDATA!A190</f>
        <v>Learned-L15</v>
      </c>
      <c r="B190" s="35" t="str">
        <f>CLASSDATA!B190</f>
        <v>L15</v>
      </c>
      <c r="C190" s="35" t="str">
        <f>CLASSDATA!C190</f>
        <v>S08</v>
      </c>
      <c r="D190" s="241" t="str">
        <f t="array" ref="D190">INDEX(ALLCLASSDATA,MATCH(A190,CLASSFEATUREHEADERS,0),MATCH($D$2,CLASSNAMEHEADERS,0))</f>
        <v/>
      </c>
      <c r="E190" s="149" t="str">
        <f t="array" ref="E190">INDEX(ALLCLASSDATA,MATCH(A190,CLASSFEATUREHEADERS,0),MATCH(($D$2 &amp; "Points"),CLASSNAMEHEADERS,0))</f>
        <v/>
      </c>
      <c r="F190" s="12" t="b">
        <v>0</v>
      </c>
      <c r="G190" s="241" t="str">
        <f t="array" ref="G190">INDEX(ALLCLASSDATA,MATCH(A190,CLASSFEATUREHEADERS,0),MATCH($G$2,CLASSNAMEHEADERS,0))</f>
        <v>2</v>
      </c>
      <c r="H190" s="149">
        <f t="array" ref="H190">INDEX(ALLCLASSDATA,MATCH(A190,CLASSFEATUREHEADERS,0),MATCH(($G$2 &amp; "Points"),CLASSNAMEHEADERS,0))</f>
        <v>20</v>
      </c>
      <c r="I190" s="12" t="b">
        <v>1</v>
      </c>
      <c r="J190" s="242" t="str">
        <f t="shared" si="39"/>
        <v/>
      </c>
      <c r="K190" s="243" t="str">
        <f t="shared" si="30"/>
        <v>2</v>
      </c>
      <c r="L190" s="149">
        <f t="shared" si="40"/>
        <v>20</v>
      </c>
      <c r="M190" s="242" t="str">
        <f t="shared" si="41"/>
        <v/>
      </c>
      <c r="N190" s="243" t="str">
        <f t="shared" si="42"/>
        <v>2</v>
      </c>
      <c r="O190" s="149">
        <f t="shared" si="43"/>
        <v>20</v>
      </c>
    </row>
    <row r="191" outlineLevel="1">
      <c r="A191" s="35" t="str">
        <f>CLASSDATA!A191</f>
        <v>Learned-L16</v>
      </c>
      <c r="B191" s="35" t="str">
        <f>CLASSDATA!B191</f>
        <v>L16</v>
      </c>
      <c r="C191" s="35" t="str">
        <f>CLASSDATA!C191</f>
        <v>S08</v>
      </c>
      <c r="D191" s="241" t="str">
        <f t="array" ref="D191">INDEX(ALLCLASSDATA,MATCH(A191,CLASSFEATUREHEADERS,0),MATCH($D$2,CLASSNAMEHEADERS,0))</f>
        <v/>
      </c>
      <c r="E191" s="149" t="str">
        <f t="array" ref="E191">INDEX(ALLCLASSDATA,MATCH(A191,CLASSFEATUREHEADERS,0),MATCH(($D$2 &amp; "Points"),CLASSNAMEHEADERS,0))</f>
        <v/>
      </c>
      <c r="F191" s="12" t="b">
        <v>0</v>
      </c>
      <c r="G191" s="241" t="str">
        <f t="array" ref="G191">INDEX(ALLCLASSDATA,MATCH(A191,CLASSFEATUREHEADERS,0),MATCH($G$2,CLASSNAMEHEADERS,0))</f>
        <v>2</v>
      </c>
      <c r="H191" s="149">
        <f t="array" ref="H191">INDEX(ALLCLASSDATA,MATCH(A191,CLASSFEATUREHEADERS,0),MATCH(($G$2 &amp; "Points"),CLASSNAMEHEADERS,0))</f>
        <v>20</v>
      </c>
      <c r="I191" s="12" t="b">
        <v>0</v>
      </c>
      <c r="J191" s="242" t="str">
        <f t="shared" si="39"/>
        <v/>
      </c>
      <c r="K191" s="243" t="str">
        <f t="shared" si="30"/>
        <v>2</v>
      </c>
      <c r="L191" s="149">
        <f t="shared" si="40"/>
        <v>20</v>
      </c>
      <c r="M191" s="242" t="str">
        <f t="shared" si="41"/>
        <v/>
      </c>
      <c r="N191" s="243" t="str">
        <f t="shared" si="42"/>
        <v/>
      </c>
      <c r="O191" s="149">
        <f t="shared" si="43"/>
        <v>0</v>
      </c>
    </row>
    <row r="192" outlineLevel="1">
      <c r="A192" s="35" t="str">
        <f>CLASSDATA!A192</f>
        <v>Learned-L17</v>
      </c>
      <c r="B192" s="35" t="str">
        <f>CLASSDATA!B192</f>
        <v>L17</v>
      </c>
      <c r="C192" s="35" t="str">
        <f>CLASSDATA!C192</f>
        <v>S09</v>
      </c>
      <c r="D192" s="241" t="str">
        <f t="array" ref="D192">INDEX(ALLCLASSDATA,MATCH(A192,CLASSFEATUREHEADERS,0),MATCH($D$2,CLASSNAMEHEADERS,0))</f>
        <v/>
      </c>
      <c r="E192" s="149" t="str">
        <f t="array" ref="E192">INDEX(ALLCLASSDATA,MATCH(A192,CLASSFEATUREHEADERS,0),MATCH(($D$2 &amp; "Points"),CLASSNAMEHEADERS,0))</f>
        <v/>
      </c>
      <c r="F192" s="12" t="b">
        <v>0</v>
      </c>
      <c r="G192" s="241" t="str">
        <f t="array" ref="G192">INDEX(ALLCLASSDATA,MATCH(A192,CLASSFEATUREHEADERS,0),MATCH($G$2,CLASSNAMEHEADERS,0))</f>
        <v>2</v>
      </c>
      <c r="H192" s="149">
        <f t="array" ref="H192">INDEX(ALLCLASSDATA,MATCH(A192,CLASSFEATUREHEADERS,0),MATCH(($G$2 &amp; "Points"),CLASSNAMEHEADERS,0))</f>
        <v>20</v>
      </c>
      <c r="I192" s="12" t="b">
        <v>1</v>
      </c>
      <c r="J192" s="242" t="str">
        <f t="shared" si="39"/>
        <v/>
      </c>
      <c r="K192" s="243" t="str">
        <f t="shared" si="30"/>
        <v>2</v>
      </c>
      <c r="L192" s="149">
        <f t="shared" si="40"/>
        <v>20</v>
      </c>
      <c r="M192" s="242" t="str">
        <f t="shared" si="41"/>
        <v/>
      </c>
      <c r="N192" s="243" t="str">
        <f t="shared" si="42"/>
        <v>2</v>
      </c>
      <c r="O192" s="149">
        <f t="shared" si="43"/>
        <v>20</v>
      </c>
    </row>
    <row r="193" outlineLevel="1">
      <c r="A193" s="35" t="str">
        <f>CLASSDATA!A193</f>
        <v>Learned-L18</v>
      </c>
      <c r="B193" s="35" t="str">
        <f>CLASSDATA!B193</f>
        <v>L18</v>
      </c>
      <c r="C193" s="35" t="str">
        <f>CLASSDATA!C193</f>
        <v>S09</v>
      </c>
      <c r="D193" s="241" t="str">
        <f t="array" ref="D193">INDEX(ALLCLASSDATA,MATCH(A193,CLASSFEATUREHEADERS,0),MATCH($D$2,CLASSNAMEHEADERS,0))</f>
        <v/>
      </c>
      <c r="E193" s="149" t="str">
        <f t="array" ref="E193">INDEX(ALLCLASSDATA,MATCH(A193,CLASSFEATUREHEADERS,0),MATCH(($D$2 &amp; "Points"),CLASSNAMEHEADERS,0))</f>
        <v/>
      </c>
      <c r="F193" s="12" t="b">
        <v>0</v>
      </c>
      <c r="G193" s="241" t="str">
        <f t="array" ref="G193">INDEX(ALLCLASSDATA,MATCH(A193,CLASSFEATUREHEADERS,0),MATCH($G$2,CLASSNAMEHEADERS,0))</f>
        <v>2</v>
      </c>
      <c r="H193" s="149">
        <f t="array" ref="H193">INDEX(ALLCLASSDATA,MATCH(A193,CLASSFEATUREHEADERS,0),MATCH(($G$2 &amp; "Points"),CLASSNAMEHEADERS,0))</f>
        <v>20</v>
      </c>
      <c r="I193" s="12" t="b">
        <v>0</v>
      </c>
      <c r="J193" s="242" t="str">
        <f t="shared" si="39"/>
        <v/>
      </c>
      <c r="K193" s="243" t="str">
        <f t="shared" si="30"/>
        <v>2</v>
      </c>
      <c r="L193" s="149">
        <f t="shared" si="40"/>
        <v>20</v>
      </c>
      <c r="M193" s="242" t="str">
        <f t="shared" si="41"/>
        <v/>
      </c>
      <c r="N193" s="243" t="str">
        <f t="shared" si="42"/>
        <v/>
      </c>
      <c r="O193" s="149">
        <f t="shared" si="43"/>
        <v>0</v>
      </c>
    </row>
    <row r="194" outlineLevel="1">
      <c r="A194" s="35" t="str">
        <f>CLASSDATA!A194</f>
        <v>Learned-L19</v>
      </c>
      <c r="B194" s="35" t="str">
        <f>CLASSDATA!B194</f>
        <v>L19</v>
      </c>
      <c r="C194" s="35" t="str">
        <f>CLASSDATA!C194</f>
        <v>S10</v>
      </c>
      <c r="D194" s="241" t="str">
        <f t="array" ref="D194">INDEX(ALLCLASSDATA,MATCH(A194,CLASSFEATUREHEADERS,0),MATCH($D$2,CLASSNAMEHEADERS,0))</f>
        <v/>
      </c>
      <c r="E194" s="149" t="str">
        <f t="array" ref="E194">INDEX(ALLCLASSDATA,MATCH(A194,CLASSFEATUREHEADERS,0),MATCH(($D$2 &amp; "Points"),CLASSNAMEHEADERS,0))</f>
        <v/>
      </c>
      <c r="F194" s="12" t="b">
        <v>0</v>
      </c>
      <c r="G194" s="241" t="str">
        <f t="array" ref="G194">INDEX(ALLCLASSDATA,MATCH(A194,CLASSFEATUREHEADERS,0),MATCH($G$2,CLASSNAMEHEADERS,0))</f>
        <v>2</v>
      </c>
      <c r="H194" s="149">
        <f t="array" ref="H194">INDEX(ALLCLASSDATA,MATCH(A194,CLASSFEATUREHEADERS,0),MATCH(($G$2 &amp; "Points"),CLASSNAMEHEADERS,0))</f>
        <v>20</v>
      </c>
      <c r="I194" s="12" t="b">
        <v>1</v>
      </c>
      <c r="J194" s="242" t="str">
        <f t="shared" si="39"/>
        <v/>
      </c>
      <c r="K194" s="243" t="str">
        <f t="shared" si="30"/>
        <v>2</v>
      </c>
      <c r="L194" s="149">
        <f t="shared" si="40"/>
        <v>20</v>
      </c>
      <c r="M194" s="242" t="str">
        <f t="shared" si="41"/>
        <v/>
      </c>
      <c r="N194" s="243" t="str">
        <f t="shared" si="42"/>
        <v>2</v>
      </c>
      <c r="O194" s="149">
        <f t="shared" si="43"/>
        <v>20</v>
      </c>
    </row>
    <row r="195" outlineLevel="1">
      <c r="A195" s="35" t="str">
        <f>CLASSDATA!A195</f>
        <v>Learned-L20</v>
      </c>
      <c r="B195" s="35" t="str">
        <f>CLASSDATA!B195</f>
        <v>L20</v>
      </c>
      <c r="C195" s="35" t="str">
        <f>CLASSDATA!C195</f>
        <v>S10</v>
      </c>
      <c r="D195" s="241" t="str">
        <f t="array" ref="D195">INDEX(ALLCLASSDATA,MATCH(A195,CLASSFEATUREHEADERS,0),MATCH($D$2,CLASSNAMEHEADERS,0))</f>
        <v/>
      </c>
      <c r="E195" s="149" t="str">
        <f t="array" ref="E195">INDEX(ALLCLASSDATA,MATCH(A195,CLASSFEATUREHEADERS,0),MATCH(($D$2 &amp; "Points"),CLASSNAMEHEADERS,0))</f>
        <v/>
      </c>
      <c r="F195" s="12" t="b">
        <v>0</v>
      </c>
      <c r="G195" s="241" t="str">
        <f t="array" ref="G195">INDEX(ALLCLASSDATA,MATCH(A195,CLASSFEATUREHEADERS,0),MATCH($G$2,CLASSNAMEHEADERS,0))</f>
        <v>2</v>
      </c>
      <c r="H195" s="149">
        <f t="array" ref="H195">INDEX(ALLCLASSDATA,MATCH(A195,CLASSFEATUREHEADERS,0),MATCH(($G$2 &amp; "Points"),CLASSNAMEHEADERS,0))</f>
        <v>20</v>
      </c>
      <c r="I195" s="12" t="b">
        <v>0</v>
      </c>
      <c r="J195" s="242" t="str">
        <f t="shared" si="39"/>
        <v/>
      </c>
      <c r="K195" s="243" t="str">
        <f t="shared" si="30"/>
        <v>2</v>
      </c>
      <c r="L195" s="149">
        <f t="shared" si="40"/>
        <v>20</v>
      </c>
      <c r="M195" s="242" t="str">
        <f t="shared" si="41"/>
        <v/>
      </c>
      <c r="N195" s="243" t="str">
        <f t="shared" si="42"/>
        <v/>
      </c>
      <c r="O195" s="149">
        <f t="shared" si="43"/>
        <v>0</v>
      </c>
    </row>
    <row r="196">
      <c r="A196" s="244" t="str">
        <f>CLASSDATA!A196</f>
        <v>FOCUS SPELLS TOTAL:</v>
      </c>
      <c r="B196" s="249" t="str">
        <f>CLASSDATA!B196</f>
        <v/>
      </c>
      <c r="C196" s="173" t="str">
        <f>CLASSDATA!C196</f>
        <v/>
      </c>
      <c r="D196" s="260" t="str">
        <f t="array" ref="D196">INDEX(ALLCLASSDATA,MATCH(A196,CLASSFEATUREHEADERS,0),MATCH($D$2,CLASSNAMEHEADERS,0))</f>
        <v/>
      </c>
      <c r="E196" s="246">
        <f t="array" ref="E196">INDEX(ALLCLASSDATA,MATCH(A196,CLASSFEATUREHEADERS,0),MATCH(($D$2 &amp; "Points"),CLASSNAMEHEADERS,0))</f>
        <v>0</v>
      </c>
      <c r="F196" s="246"/>
      <c r="G196" s="260" t="str">
        <f t="array" ref="G196">INDEX(ALLCLASSDATA,MATCH(A196,CLASSFEATUREHEADERS,0),MATCH($G$2,CLASSNAMEHEADERS,0))</f>
        <v/>
      </c>
      <c r="H196" s="246">
        <f t="array" ref="H196">INDEX(ALLCLASSDATA,MATCH(A196,CLASSFEATUREHEADERS,0),MATCH(($G$2 &amp; "Points"),CLASSNAMEHEADERS,0))</f>
        <v>10</v>
      </c>
      <c r="I196" s="246"/>
      <c r="J196" s="247"/>
      <c r="K196" s="273"/>
      <c r="L196" s="75">
        <f>L202</f>
        <v>10</v>
      </c>
      <c r="M196" s="247"/>
      <c r="N196" s="273"/>
      <c r="O196" s="75">
        <f>O202</f>
        <v>10</v>
      </c>
      <c r="P196" s="246"/>
    </row>
    <row r="197" outlineLevel="1">
      <c r="A197" s="35" t="str">
        <f>CLASSDATA!A197</f>
        <v>FocusSpell1-L00</v>
      </c>
      <c r="B197" s="35" t="str">
        <f>CLASSDATA!B197</f>
        <v>L00</v>
      </c>
      <c r="C197" s="35" t="str">
        <f>CLASSDATA!C197</f>
        <v/>
      </c>
      <c r="D197" s="241" t="str">
        <f t="array" ref="D197">INDEX(ALLCLASSDATA,MATCH(A197,CLASSFEATUREHEADERS,0),MATCH($D$2,CLASSNAMEHEADERS,0))</f>
        <v/>
      </c>
      <c r="E197" s="149" t="str">
        <f t="array" ref="E197">INDEX(ALLCLASSDATA,MATCH(A197,CLASSFEATUREHEADERS,0),MATCH(($D$2 &amp; "Points"),CLASSNAMEHEADERS,0))</f>
        <v/>
      </c>
      <c r="F197" s="12" t="b">
        <v>0</v>
      </c>
      <c r="G197" s="241" t="str">
        <f t="array" ref="G197">INDEX(ALLCLASSDATA,MATCH(A197,CLASSFEATUREHEADERS,0),MATCH($G$2,CLASSNAMEHEADERS,0))</f>
        <v>Subclass School Spell</v>
      </c>
      <c r="H197" s="149">
        <f t="array" ref="H197">INDEX(ALLCLASSDATA,MATCH(A197,CLASSFEATUREHEADERS,0),MATCH(($G$2 &amp; "Points"),CLASSNAMEHEADERS,0))</f>
        <v>10</v>
      </c>
      <c r="I197" s="12" t="b">
        <v>1</v>
      </c>
      <c r="J197" s="242" t="str">
        <f t="shared" ref="J197:J201" si="44">D197</f>
        <v/>
      </c>
      <c r="K197" s="243" t="str">
        <f t="shared" ref="K197:K201" si="45">G197</f>
        <v>Subclass School Spell</v>
      </c>
      <c r="L197" s="149">
        <f t="shared" ref="L197:L202" si="46">SUM(E197,H197)</f>
        <v>10</v>
      </c>
      <c r="M197" s="242" t="str">
        <f t="shared" ref="M197:M201" si="47">IF(F197=TRUE,D197,"")</f>
        <v/>
      </c>
      <c r="N197" s="243" t="str">
        <f t="shared" ref="N197:N201" si="48">IF(I197=TRUE,G197,"")</f>
        <v>Subclass School Spell</v>
      </c>
      <c r="O197" s="149">
        <f t="shared" ref="O197:O201" si="49">(IF(F197=TRUE,E197,0))+(IF(I197=TRUE,H197,0))</f>
        <v>10</v>
      </c>
    </row>
    <row r="198" outlineLevel="1">
      <c r="A198" s="35" t="str">
        <f>CLASSDATA!A198</f>
        <v>FocusSpell2-L00</v>
      </c>
      <c r="B198" s="35" t="str">
        <f>CLASSDATA!B198</f>
        <v>L00</v>
      </c>
      <c r="C198" s="35" t="str">
        <f>CLASSDATA!C198</f>
        <v/>
      </c>
      <c r="D198" s="241" t="str">
        <f t="array" ref="D198">INDEX(ALLCLASSDATA,MATCH(A198,CLASSFEATUREHEADERS,0),MATCH($D$2,CLASSNAMEHEADERS,0))</f>
        <v/>
      </c>
      <c r="E198" s="149" t="str">
        <f t="array" ref="E198">INDEX(ALLCLASSDATA,MATCH(A198,CLASSFEATUREHEADERS,0),MATCH(($D$2 &amp; "Points"),CLASSNAMEHEADERS,0))</f>
        <v/>
      </c>
      <c r="F198" s="12" t="b">
        <v>0</v>
      </c>
      <c r="G198" s="241" t="str">
        <f t="array" ref="G198">INDEX(ALLCLASSDATA,MATCH(A198,CLASSFEATUREHEADERS,0),MATCH($G$2,CLASSNAMEHEADERS,0))</f>
        <v/>
      </c>
      <c r="H198" s="149" t="str">
        <f t="array" ref="H198">INDEX(ALLCLASSDATA,MATCH(A198,CLASSFEATUREHEADERS,0),MATCH(($G$2 &amp; "Points"),CLASSNAMEHEADERS,0))</f>
        <v/>
      </c>
      <c r="I198" s="12" t="b">
        <v>0</v>
      </c>
      <c r="J198" s="242" t="str">
        <f t="shared" si="44"/>
        <v/>
      </c>
      <c r="K198" s="243" t="str">
        <f t="shared" si="45"/>
        <v/>
      </c>
      <c r="L198" s="149">
        <f t="shared" si="46"/>
        <v>0</v>
      </c>
      <c r="M198" s="242" t="str">
        <f t="shared" si="47"/>
        <v/>
      </c>
      <c r="N198" s="243" t="str">
        <f t="shared" si="48"/>
        <v/>
      </c>
      <c r="O198" s="149">
        <f t="shared" si="49"/>
        <v>0</v>
      </c>
    </row>
    <row r="199" outlineLevel="1">
      <c r="A199" s="35" t="str">
        <f>CLASSDATA!A199</f>
        <v>FocusSpell3-L00</v>
      </c>
      <c r="B199" s="35" t="str">
        <f>CLASSDATA!B199</f>
        <v>L00</v>
      </c>
      <c r="C199" s="35" t="str">
        <f>CLASSDATA!C199</f>
        <v/>
      </c>
      <c r="D199" s="241" t="str">
        <f t="array" ref="D199">INDEX(ALLCLASSDATA,MATCH(A199,CLASSFEATUREHEADERS,0),MATCH($D$2,CLASSNAMEHEADERS,0))</f>
        <v/>
      </c>
      <c r="E199" s="149" t="str">
        <f t="array" ref="E199">INDEX(ALLCLASSDATA,MATCH(A199,CLASSFEATUREHEADERS,0),MATCH(($D$2 &amp; "Points"),CLASSNAMEHEADERS,0))</f>
        <v/>
      </c>
      <c r="F199" s="12" t="b">
        <v>0</v>
      </c>
      <c r="G199" s="241" t="str">
        <f t="array" ref="G199">INDEX(ALLCLASSDATA,MATCH(A199,CLASSFEATUREHEADERS,0),MATCH($G$2,CLASSNAMEHEADERS,0))</f>
        <v/>
      </c>
      <c r="H199" s="149" t="str">
        <f t="array" ref="H199">INDEX(ALLCLASSDATA,MATCH(A199,CLASSFEATUREHEADERS,0),MATCH(($G$2 &amp; "Points"),CLASSNAMEHEADERS,0))</f>
        <v/>
      </c>
      <c r="I199" s="12" t="b">
        <v>0</v>
      </c>
      <c r="J199" s="242" t="str">
        <f t="shared" si="44"/>
        <v/>
      </c>
      <c r="K199" s="243" t="str">
        <f t="shared" si="45"/>
        <v/>
      </c>
      <c r="L199" s="149">
        <f t="shared" si="46"/>
        <v>0</v>
      </c>
      <c r="M199" s="242" t="str">
        <f t="shared" si="47"/>
        <v/>
      </c>
      <c r="N199" s="243" t="str">
        <f t="shared" si="48"/>
        <v/>
      </c>
      <c r="O199" s="149">
        <f t="shared" si="49"/>
        <v>0</v>
      </c>
    </row>
    <row r="200" outlineLevel="1">
      <c r="A200" s="35" t="str">
        <f>CLASSDATA!A200</f>
        <v>FocusSpell4-L00</v>
      </c>
      <c r="B200" s="35" t="str">
        <f>CLASSDATA!B200</f>
        <v>L00</v>
      </c>
      <c r="C200" s="35" t="str">
        <f>CLASSDATA!C200</f>
        <v/>
      </c>
      <c r="D200" s="241" t="str">
        <f t="array" ref="D200">INDEX(ALLCLASSDATA,MATCH(A200,CLASSFEATUREHEADERS,0),MATCH($D$2,CLASSNAMEHEADERS,0))</f>
        <v/>
      </c>
      <c r="E200" s="149" t="str">
        <f t="array" ref="E200">INDEX(ALLCLASSDATA,MATCH(A200,CLASSFEATUREHEADERS,0),MATCH(($D$2 &amp; "Points"),CLASSNAMEHEADERS,0))</f>
        <v/>
      </c>
      <c r="F200" s="12" t="b">
        <v>0</v>
      </c>
      <c r="G200" s="241" t="str">
        <f t="array" ref="G200">INDEX(ALLCLASSDATA,MATCH(A200,CLASSFEATUREHEADERS,0),MATCH($G$2,CLASSNAMEHEADERS,0))</f>
        <v/>
      </c>
      <c r="H200" s="149" t="str">
        <f t="array" ref="H200">INDEX(ALLCLASSDATA,MATCH(A200,CLASSFEATUREHEADERS,0),MATCH(($G$2 &amp; "Points"),CLASSNAMEHEADERS,0))</f>
        <v/>
      </c>
      <c r="I200" s="12" t="b">
        <v>0</v>
      </c>
      <c r="J200" s="242" t="str">
        <f t="shared" si="44"/>
        <v/>
      </c>
      <c r="K200" s="243" t="str">
        <f t="shared" si="45"/>
        <v/>
      </c>
      <c r="L200" s="149">
        <f t="shared" si="46"/>
        <v>0</v>
      </c>
      <c r="M200" s="242" t="str">
        <f t="shared" si="47"/>
        <v/>
      </c>
      <c r="N200" s="243" t="str">
        <f t="shared" si="48"/>
        <v/>
      </c>
      <c r="O200" s="149">
        <f t="shared" si="49"/>
        <v>0</v>
      </c>
    </row>
    <row r="201" outlineLevel="1">
      <c r="A201" s="35" t="str">
        <f>CLASSDATA!A201</f>
        <v>FocusSpell5-L00</v>
      </c>
      <c r="B201" s="35" t="str">
        <f>CLASSDATA!B201</f>
        <v>L00</v>
      </c>
      <c r="C201" s="35" t="str">
        <f>CLASSDATA!C201</f>
        <v/>
      </c>
      <c r="D201" s="241" t="str">
        <f t="array" ref="D201">INDEX(ALLCLASSDATA,MATCH(A201,CLASSFEATUREHEADERS,0),MATCH($D$2,CLASSNAMEHEADERS,0))</f>
        <v/>
      </c>
      <c r="E201" s="149" t="str">
        <f t="array" ref="E201">INDEX(ALLCLASSDATA,MATCH(A201,CLASSFEATUREHEADERS,0),MATCH(($D$2 &amp; "Points"),CLASSNAMEHEADERS,0))</f>
        <v/>
      </c>
      <c r="F201" s="12" t="b">
        <v>0</v>
      </c>
      <c r="G201" s="241" t="str">
        <f t="array" ref="G201">INDEX(ALLCLASSDATA,MATCH(A201,CLASSFEATUREHEADERS,0),MATCH($G$2,CLASSNAMEHEADERS,0))</f>
        <v/>
      </c>
      <c r="H201" s="149" t="str">
        <f t="array" ref="H201">INDEX(ALLCLASSDATA,MATCH(A201,CLASSFEATUREHEADERS,0),MATCH(($G$2 &amp; "Points"),CLASSNAMEHEADERS,0))</f>
        <v/>
      </c>
      <c r="I201" s="12" t="b">
        <v>0</v>
      </c>
      <c r="J201" s="242" t="str">
        <f t="shared" si="44"/>
        <v/>
      </c>
      <c r="K201" s="243" t="str">
        <f t="shared" si="45"/>
        <v/>
      </c>
      <c r="L201" s="149">
        <f t="shared" si="46"/>
        <v>0</v>
      </c>
      <c r="M201" s="242" t="str">
        <f t="shared" si="47"/>
        <v/>
      </c>
      <c r="N201" s="243" t="str">
        <f t="shared" si="48"/>
        <v/>
      </c>
      <c r="O201" s="149">
        <f t="shared" si="49"/>
        <v>0</v>
      </c>
    </row>
    <row r="202" outlineLevel="1">
      <c r="A202" s="35" t="str">
        <f>CLASSDATA!A202</f>
        <v>FocusSpellsInitialTotal</v>
      </c>
      <c r="B202" s="35" t="str">
        <f>CLASSDATA!B202</f>
        <v/>
      </c>
      <c r="C202" s="35" t="str">
        <f>CLASSDATA!C202</f>
        <v/>
      </c>
      <c r="D202" s="241">
        <f t="array" ref="D202">INDEX(ALLCLASSDATA,MATCH(A202,CLASSFEATUREHEADERS,0),MATCH($D$2,CLASSNAMEHEADERS,0))</f>
        <v>0</v>
      </c>
      <c r="E202" s="149">
        <f t="array" ref="E202">INDEX(ALLCLASSDATA,MATCH(A202,CLASSFEATUREHEADERS,0),MATCH(($D$2 &amp; "Points"),CLASSNAMEHEADERS,0))</f>
        <v>0</v>
      </c>
      <c r="G202" s="241">
        <f t="array" ref="G202">INDEX(ALLCLASSDATA,MATCH(A202,CLASSFEATUREHEADERS,0),MATCH($G$2,CLASSNAMEHEADERS,0))</f>
        <v>1</v>
      </c>
      <c r="H202" s="149">
        <f t="array" ref="H202">INDEX(ALLCLASSDATA,MATCH(A202,CLASSFEATUREHEADERS,0),MATCH(($G$2 &amp; "Points"),CLASSNAMEHEADERS,0))</f>
        <v>10</v>
      </c>
      <c r="J202" s="274">
        <f t="shared" ref="J202:K202" si="50">COUNTA(J197:J201)</f>
        <v>0</v>
      </c>
      <c r="K202" s="17">
        <f t="shared" si="50"/>
        <v>1</v>
      </c>
      <c r="L202" s="149">
        <f t="shared" si="46"/>
        <v>10</v>
      </c>
      <c r="M202" s="274"/>
      <c r="N202" s="17"/>
      <c r="O202" s="46">
        <f>sum(O197:O201)</f>
        <v>10</v>
      </c>
    </row>
    <row r="203">
      <c r="A203" s="173" t="str">
        <f>CLASSDATA!A203</f>
        <v>CLASS ABILITIES TOTAL:</v>
      </c>
      <c r="B203" s="249" t="str">
        <f>CLASSDATA!B203</f>
        <v/>
      </c>
      <c r="C203" s="173" t="str">
        <f>CLASSDATA!C203</f>
        <v/>
      </c>
      <c r="D203" s="260" t="str">
        <f t="array" ref="D203">INDEX(ALLCLASSDATA,MATCH(A203,CLASSFEATUREHEADERS,0),MATCH($D$2,CLASSNAMEHEADERS,0))</f>
        <v/>
      </c>
      <c r="E203" s="246">
        <f t="array" ref="E203">INDEX(ALLCLASSDATA,MATCH(A203,CLASSFEATUREHEADERS,0),MATCH(($D$2 &amp; "Points"),CLASSNAMEHEADERS,0))</f>
        <v>310</v>
      </c>
      <c r="F203" s="246"/>
      <c r="G203" s="260" t="str">
        <f t="array" ref="G203">INDEX(ALLCLASSDATA,MATCH(A203,CLASSFEATUREHEADERS,0),MATCH($G$2,CLASSNAMEHEADERS,0))</f>
        <v/>
      </c>
      <c r="H203" s="246">
        <f t="array" ref="H203">INDEX(ALLCLASSDATA,MATCH(A203,CLASSFEATUREHEADERS,0),MATCH(($G$2 &amp; "Points"),CLASSNAMEHEADERS,0))</f>
        <v>10</v>
      </c>
      <c r="I203" s="246"/>
      <c r="J203" s="247"/>
      <c r="K203" s="273"/>
      <c r="L203" s="75">
        <f>sum(L204:L249)</f>
        <v>320</v>
      </c>
      <c r="M203" s="247"/>
      <c r="N203" s="273"/>
      <c r="O203" s="75">
        <f>sum(O204:O249)</f>
        <v>80</v>
      </c>
      <c r="P203" s="246"/>
    </row>
    <row r="204" outlineLevel="1">
      <c r="A204" s="35" t="str">
        <f>CLASSDATA!A204</f>
        <v>ClassInitialAbility1-L00</v>
      </c>
      <c r="B204" s="35" t="str">
        <f>CLASSDATA!B204</f>
        <v>L00</v>
      </c>
      <c r="C204" s="35" t="str">
        <f>CLASSDATA!C204</f>
        <v/>
      </c>
      <c r="D204" s="148" t="str">
        <f t="array" ref="D204">INDEX(ALLCLASSDATA,MATCH(A204,CLASSFEATUREHEADERS,0),MATCH($D$2,CLASSNAMEHEADERS,0))</f>
        <v>Reaction: Attack of Opportunity</v>
      </c>
      <c r="E204" s="149">
        <f t="array" ref="E204">INDEX(ALLCLASSDATA,MATCH(A204,CLASSFEATUREHEADERS,0),MATCH(($D$2 &amp; "Points"),CLASSNAMEHEADERS,0))</f>
        <v>30</v>
      </c>
      <c r="F204" s="12" t="b">
        <v>1</v>
      </c>
      <c r="G204" s="148" t="str">
        <f t="array" ref="G204">INDEX(ALLCLASSDATA,MATCH(A204,CLASSFEATUREHEADERS,0),MATCH($G$2,CLASSNAMEHEADERS,0))</f>
        <v>Arcane Spellcasting</v>
      </c>
      <c r="H204" s="149" t="str">
        <f t="array" ref="H204">INDEX(ALLCLASSDATA,MATCH(A204,CLASSFEATUREHEADERS,0),MATCH(($G$2 &amp; "Points"),CLASSNAMEHEADERS,0))</f>
        <v/>
      </c>
      <c r="I204" s="12" t="b">
        <v>1</v>
      </c>
      <c r="J204" s="238" t="str">
        <f t="shared" ref="J204:J249" si="51">D204</f>
        <v>Reaction: Attack of Opportunity</v>
      </c>
      <c r="K204" s="149" t="str">
        <f t="shared" ref="K204:K249" si="52">G204</f>
        <v>Arcane Spellcasting</v>
      </c>
      <c r="L204" s="149">
        <f t="shared" ref="L204:L249" si="53">SUM(E204,H204)</f>
        <v>30</v>
      </c>
      <c r="M204" s="242" t="str">
        <f t="shared" ref="M204:M249" si="54">IF(F204=TRUE,D204,"")</f>
        <v>Reaction: Attack of Opportunity</v>
      </c>
      <c r="N204" s="243" t="str">
        <f t="shared" ref="N204:N249" si="55">IF(I204=TRUE,G204,"")</f>
        <v>Arcane Spellcasting</v>
      </c>
      <c r="O204" s="149">
        <f t="shared" ref="O204:O249" si="56">(IF(F204=TRUE,E204,0))+(IF(I204=TRUE,H204,0))</f>
        <v>30</v>
      </c>
    </row>
    <row r="205" outlineLevel="1">
      <c r="A205" s="35" t="str">
        <f>CLASSDATA!A205</f>
        <v>ClassInitialAbility2-L00</v>
      </c>
      <c r="B205" s="35" t="str">
        <f>CLASSDATA!B205</f>
        <v>L00</v>
      </c>
      <c r="C205" s="35" t="str">
        <f>CLASSDATA!C205</f>
        <v/>
      </c>
      <c r="D205" s="148" t="str">
        <f t="array" ref="D205">INDEX(ALLCLASSDATA,MATCH(A205,CLASSFEATUREHEADERS,0),MATCH($D$2,CLASSNAMEHEADERS,0))</f>
        <v>Shield Block</v>
      </c>
      <c r="E205" s="149" t="str">
        <f t="array" ref="E205">INDEX(ALLCLASSDATA,MATCH(A205,CLASSFEATUREHEADERS,0),MATCH(($D$2 &amp; "Points"),CLASSNAMEHEADERS,0))</f>
        <v/>
      </c>
      <c r="F205" s="12" t="b">
        <v>0</v>
      </c>
      <c r="G205" s="148" t="str">
        <f t="array" ref="G205">INDEX(ALLCLASSDATA,MATCH(A205,CLASSFEATUREHEADERS,0),MATCH($G$2,CLASSNAMEHEADERS,0))</f>
        <v>Spellbook</v>
      </c>
      <c r="H205" s="149" t="str">
        <f t="array" ref="H205">INDEX(ALLCLASSDATA,MATCH(A205,CLASSFEATUREHEADERS,0),MATCH(($G$2 &amp; "Points"),CLASSNAMEHEADERS,0))</f>
        <v/>
      </c>
      <c r="I205" s="12" t="b">
        <v>1</v>
      </c>
      <c r="J205" s="238" t="str">
        <f t="shared" si="51"/>
        <v>Shield Block</v>
      </c>
      <c r="K205" s="149" t="str">
        <f t="shared" si="52"/>
        <v>Spellbook</v>
      </c>
      <c r="L205" s="149">
        <f t="shared" si="53"/>
        <v>0</v>
      </c>
      <c r="M205" s="242" t="str">
        <f t="shared" si="54"/>
        <v/>
      </c>
      <c r="N205" s="243" t="str">
        <f t="shared" si="55"/>
        <v>Spellbook</v>
      </c>
      <c r="O205" s="149">
        <f t="shared" si="56"/>
        <v>0</v>
      </c>
    </row>
    <row r="206" outlineLevel="1">
      <c r="A206" s="35" t="str">
        <f>CLASSDATA!A206</f>
        <v>ClassInitialAbility3-L00</v>
      </c>
      <c r="B206" s="35" t="str">
        <f>CLASSDATA!B206</f>
        <v>L00</v>
      </c>
      <c r="C206" s="35" t="str">
        <f>CLASSDATA!C206</f>
        <v/>
      </c>
      <c r="D206" s="148" t="str">
        <f t="array" ref="D206">INDEX(ALLCLASSDATA,MATCH(A206,CLASSFEATUREHEADERS,0),MATCH($D$2,CLASSNAMEHEADERS,0))</f>
        <v/>
      </c>
      <c r="E206" s="149" t="str">
        <f t="array" ref="E206">INDEX(ALLCLASSDATA,MATCH(A206,CLASSFEATUREHEADERS,0),MATCH(($D$2 &amp; "Points"),CLASSNAMEHEADERS,0))</f>
        <v/>
      </c>
      <c r="F206" s="12" t="b">
        <v>0</v>
      </c>
      <c r="G206" s="148" t="str">
        <f t="array" ref="G206">INDEX(ALLCLASSDATA,MATCH(A206,CLASSFEATUREHEADERS,0),MATCH($G$2,CLASSNAMEHEADERS,0))</f>
        <v>Action: Drain Bonded Item</v>
      </c>
      <c r="H206" s="149">
        <f t="array" ref="H206">INDEX(ALLCLASSDATA,MATCH(A206,CLASSFEATUREHEADERS,0),MATCH(($G$2 &amp; "Points"),CLASSNAMEHEADERS,0))</f>
        <v>10</v>
      </c>
      <c r="I206" s="12" t="b">
        <v>1</v>
      </c>
      <c r="J206" s="238" t="str">
        <f t="shared" si="51"/>
        <v/>
      </c>
      <c r="K206" s="149" t="str">
        <f t="shared" si="52"/>
        <v>Action: Drain Bonded Item</v>
      </c>
      <c r="L206" s="149">
        <f t="shared" si="53"/>
        <v>10</v>
      </c>
      <c r="M206" s="242" t="str">
        <f t="shared" si="54"/>
        <v/>
      </c>
      <c r="N206" s="243" t="str">
        <f t="shared" si="55"/>
        <v>Action: Drain Bonded Item</v>
      </c>
      <c r="O206" s="149">
        <f t="shared" si="56"/>
        <v>10</v>
      </c>
    </row>
    <row r="207" outlineLevel="1">
      <c r="A207" s="35" t="str">
        <f>CLASSDATA!A207</f>
        <v>ClassInitialAbility4-L00</v>
      </c>
      <c r="B207" s="35" t="str">
        <f>CLASSDATA!B207</f>
        <v>L00</v>
      </c>
      <c r="C207" s="35" t="str">
        <f>CLASSDATA!C207</f>
        <v/>
      </c>
      <c r="D207" s="148" t="str">
        <f t="array" ref="D207">INDEX(ALLCLASSDATA,MATCH(A207,CLASSFEATUREHEADERS,0),MATCH($D$2,CLASSNAMEHEADERS,0))</f>
        <v/>
      </c>
      <c r="E207" s="149" t="str">
        <f t="array" ref="E207">INDEX(ALLCLASSDATA,MATCH(A207,CLASSFEATUREHEADERS,0),MATCH(($D$2 &amp; "Points"),CLASSNAMEHEADERS,0))</f>
        <v/>
      </c>
      <c r="F207" s="12" t="b">
        <v>0</v>
      </c>
      <c r="G207" s="148" t="str">
        <f t="array" ref="G207">INDEX(ALLCLASSDATA,MATCH(A207,CLASSFEATUREHEADERS,0),MATCH($G$2,CLASSNAMEHEADERS,0))</f>
        <v/>
      </c>
      <c r="H207" s="149" t="str">
        <f t="array" ref="H207">INDEX(ALLCLASSDATA,MATCH(A207,CLASSFEATUREHEADERS,0),MATCH(($G$2 &amp; "Points"),CLASSNAMEHEADERS,0))</f>
        <v/>
      </c>
      <c r="I207" s="12" t="b">
        <v>0</v>
      </c>
      <c r="J207" s="238" t="str">
        <f t="shared" si="51"/>
        <v/>
      </c>
      <c r="K207" s="149" t="str">
        <f t="shared" si="52"/>
        <v/>
      </c>
      <c r="L207" s="149">
        <f t="shared" si="53"/>
        <v>0</v>
      </c>
      <c r="M207" s="242" t="str">
        <f t="shared" si="54"/>
        <v/>
      </c>
      <c r="N207" s="243" t="str">
        <f t="shared" si="55"/>
        <v/>
      </c>
      <c r="O207" s="149">
        <f t="shared" si="56"/>
        <v>0</v>
      </c>
    </row>
    <row r="208" outlineLevel="1">
      <c r="A208" s="35" t="str">
        <f>CLASSDATA!A208</f>
        <v>ClassInitialAbility5-L00</v>
      </c>
      <c r="B208" s="35" t="str">
        <f>CLASSDATA!B208</f>
        <v>L00</v>
      </c>
      <c r="C208" s="35" t="str">
        <f>CLASSDATA!C208</f>
        <v/>
      </c>
      <c r="D208" s="148" t="str">
        <f t="array" ref="D208">INDEX(ALLCLASSDATA,MATCH(A208,CLASSFEATUREHEADERS,0),MATCH($D$2,CLASSNAMEHEADERS,0))</f>
        <v/>
      </c>
      <c r="E208" s="149" t="str">
        <f t="array" ref="E208">INDEX(ALLCLASSDATA,MATCH(A208,CLASSFEATUREHEADERS,0),MATCH(($D$2 &amp; "Points"),CLASSNAMEHEADERS,0))</f>
        <v/>
      </c>
      <c r="F208" s="12" t="b">
        <v>0</v>
      </c>
      <c r="G208" s="148" t="str">
        <f t="array" ref="G208">INDEX(ALLCLASSDATA,MATCH(A208,CLASSFEATUREHEADERS,0),MATCH($G$2,CLASSNAMEHEADERS,0))</f>
        <v/>
      </c>
      <c r="H208" s="149" t="str">
        <f t="array" ref="H208">INDEX(ALLCLASSDATA,MATCH(A208,CLASSFEATUREHEADERS,0),MATCH(($G$2 &amp; "Points"),CLASSNAMEHEADERS,0))</f>
        <v/>
      </c>
      <c r="I208" s="12" t="b">
        <v>0</v>
      </c>
      <c r="J208" s="238" t="str">
        <f t="shared" si="51"/>
        <v/>
      </c>
      <c r="K208" s="149" t="str">
        <f t="shared" si="52"/>
        <v/>
      </c>
      <c r="L208" s="149">
        <f t="shared" si="53"/>
        <v>0</v>
      </c>
      <c r="M208" s="242" t="str">
        <f t="shared" si="54"/>
        <v/>
      </c>
      <c r="N208" s="243" t="str">
        <f t="shared" si="55"/>
        <v/>
      </c>
      <c r="O208" s="149">
        <f t="shared" si="56"/>
        <v>0</v>
      </c>
    </row>
    <row r="209" outlineLevel="1">
      <c r="A209" s="35" t="str">
        <f>CLASSDATA!A209</f>
        <v>ClassInitialAbility6-L00</v>
      </c>
      <c r="B209" s="35" t="str">
        <f>CLASSDATA!B209</f>
        <v>L00</v>
      </c>
      <c r="C209" s="35" t="str">
        <f>CLASSDATA!C209</f>
        <v/>
      </c>
      <c r="D209" s="148" t="str">
        <f t="array" ref="D209">INDEX(ALLCLASSDATA,MATCH(A209,CLASSFEATUREHEADERS,0),MATCH($D$2,CLASSNAMEHEADERS,0))</f>
        <v/>
      </c>
      <c r="E209" s="149" t="str">
        <f t="array" ref="E209">INDEX(ALLCLASSDATA,MATCH(A209,CLASSFEATUREHEADERS,0),MATCH(($D$2 &amp; "Points"),CLASSNAMEHEADERS,0))</f>
        <v/>
      </c>
      <c r="F209" s="12" t="b">
        <v>0</v>
      </c>
      <c r="G209" s="148" t="str">
        <f t="array" ref="G209">INDEX(ALLCLASSDATA,MATCH(A209,CLASSFEATUREHEADERS,0),MATCH($G$2,CLASSNAMEHEADERS,0))</f>
        <v/>
      </c>
      <c r="H209" s="149" t="str">
        <f t="array" ref="H209">INDEX(ALLCLASSDATA,MATCH(A209,CLASSFEATUREHEADERS,0),MATCH(($G$2 &amp; "Points"),CLASSNAMEHEADERS,0))</f>
        <v/>
      </c>
      <c r="I209" s="12" t="b">
        <v>0</v>
      </c>
      <c r="J209" s="238" t="str">
        <f t="shared" si="51"/>
        <v/>
      </c>
      <c r="K209" s="149" t="str">
        <f t="shared" si="52"/>
        <v/>
      </c>
      <c r="L209" s="149">
        <f t="shared" si="53"/>
        <v>0</v>
      </c>
      <c r="M209" s="242" t="str">
        <f t="shared" si="54"/>
        <v/>
      </c>
      <c r="N209" s="243" t="str">
        <f t="shared" si="55"/>
        <v/>
      </c>
      <c r="O209" s="149">
        <f t="shared" si="56"/>
        <v>0</v>
      </c>
    </row>
    <row r="210" outlineLevel="1">
      <c r="A210" s="35" t="str">
        <f>CLASSDATA!A210</f>
        <v>ClassInitialAbility7-L00</v>
      </c>
      <c r="B210" s="35" t="str">
        <f>CLASSDATA!B210</f>
        <v>L00</v>
      </c>
      <c r="C210" s="35" t="str">
        <f>CLASSDATA!C210</f>
        <v/>
      </c>
      <c r="D210" s="148" t="str">
        <f t="array" ref="D210">INDEX(ALLCLASSDATA,MATCH(A210,CLASSFEATUREHEADERS,0),MATCH($D$2,CLASSNAMEHEADERS,0))</f>
        <v/>
      </c>
      <c r="E210" s="149" t="str">
        <f t="array" ref="E210">INDEX(ALLCLASSDATA,MATCH(A210,CLASSFEATUREHEADERS,0),MATCH(($D$2 &amp; "Points"),CLASSNAMEHEADERS,0))</f>
        <v/>
      </c>
      <c r="F210" s="12" t="b">
        <v>0</v>
      </c>
      <c r="G210" s="148" t="str">
        <f t="array" ref="G210">INDEX(ALLCLASSDATA,MATCH(A210,CLASSFEATUREHEADERS,0),MATCH($G$2,CLASSNAMEHEADERS,0))</f>
        <v/>
      </c>
      <c r="H210" s="149" t="str">
        <f t="array" ref="H210">INDEX(ALLCLASSDATA,MATCH(A210,CLASSFEATUREHEADERS,0),MATCH(($G$2 &amp; "Points"),CLASSNAMEHEADERS,0))</f>
        <v/>
      </c>
      <c r="I210" s="12" t="b">
        <v>0</v>
      </c>
      <c r="J210" s="238" t="str">
        <f t="shared" si="51"/>
        <v/>
      </c>
      <c r="K210" s="149" t="str">
        <f t="shared" si="52"/>
        <v/>
      </c>
      <c r="L210" s="149">
        <f t="shared" si="53"/>
        <v>0</v>
      </c>
      <c r="M210" s="242" t="str">
        <f t="shared" si="54"/>
        <v/>
      </c>
      <c r="N210" s="243" t="str">
        <f t="shared" si="55"/>
        <v/>
      </c>
      <c r="O210" s="149">
        <f t="shared" si="56"/>
        <v>0</v>
      </c>
    </row>
    <row r="211" outlineLevel="1">
      <c r="A211" s="35" t="str">
        <f>CLASSDATA!A211</f>
        <v>ClassInitialAbility8-L00</v>
      </c>
      <c r="B211" s="35" t="str">
        <f>CLASSDATA!B211</f>
        <v>L00</v>
      </c>
      <c r="C211" s="35" t="str">
        <f>CLASSDATA!C211</f>
        <v/>
      </c>
      <c r="D211" s="148" t="str">
        <f t="array" ref="D211">INDEX(ALLCLASSDATA,MATCH(A211,CLASSFEATUREHEADERS,0),MATCH($D$2,CLASSNAMEHEADERS,0))</f>
        <v/>
      </c>
      <c r="E211" s="149" t="str">
        <f t="array" ref="E211">INDEX(ALLCLASSDATA,MATCH(A211,CLASSFEATUREHEADERS,0),MATCH(($D$2 &amp; "Points"),CLASSNAMEHEADERS,0))</f>
        <v/>
      </c>
      <c r="F211" s="12" t="b">
        <v>0</v>
      </c>
      <c r="G211" s="148" t="str">
        <f t="array" ref="G211">INDEX(ALLCLASSDATA,MATCH(A211,CLASSFEATUREHEADERS,0),MATCH($G$2,CLASSNAMEHEADERS,0))</f>
        <v/>
      </c>
      <c r="H211" s="149" t="str">
        <f t="array" ref="H211">INDEX(ALLCLASSDATA,MATCH(A211,CLASSFEATUREHEADERS,0),MATCH(($G$2 &amp; "Points"),CLASSNAMEHEADERS,0))</f>
        <v/>
      </c>
      <c r="I211" s="12" t="b">
        <v>0</v>
      </c>
      <c r="J211" s="238" t="str">
        <f t="shared" si="51"/>
        <v/>
      </c>
      <c r="K211" s="149" t="str">
        <f t="shared" si="52"/>
        <v/>
      </c>
      <c r="L211" s="149">
        <f t="shared" si="53"/>
        <v>0</v>
      </c>
      <c r="M211" s="242" t="str">
        <f t="shared" si="54"/>
        <v/>
      </c>
      <c r="N211" s="243" t="str">
        <f t="shared" si="55"/>
        <v/>
      </c>
      <c r="O211" s="149">
        <f t="shared" si="56"/>
        <v>0</v>
      </c>
    </row>
    <row r="212" outlineLevel="1">
      <c r="A212" s="35" t="str">
        <f>CLASSDATA!A212</f>
        <v>ClassInitialAbility9-L00</v>
      </c>
      <c r="B212" s="35" t="str">
        <f>CLASSDATA!B212</f>
        <v>L00</v>
      </c>
      <c r="C212" s="35" t="str">
        <f>CLASSDATA!C212</f>
        <v/>
      </c>
      <c r="D212" s="148" t="str">
        <f t="array" ref="D212">INDEX(ALLCLASSDATA,MATCH(A212,CLASSFEATUREHEADERS,0),MATCH($D$2,CLASSNAMEHEADERS,0))</f>
        <v/>
      </c>
      <c r="E212" s="149" t="str">
        <f t="array" ref="E212">INDEX(ALLCLASSDATA,MATCH(A212,CLASSFEATUREHEADERS,0),MATCH(($D$2 &amp; "Points"),CLASSNAMEHEADERS,0))</f>
        <v/>
      </c>
      <c r="F212" s="12" t="b">
        <v>0</v>
      </c>
      <c r="G212" s="148" t="str">
        <f t="array" ref="G212">INDEX(ALLCLASSDATA,MATCH(A212,CLASSFEATUREHEADERS,0),MATCH($G$2,CLASSNAMEHEADERS,0))</f>
        <v/>
      </c>
      <c r="H212" s="149" t="str">
        <f t="array" ref="H212">INDEX(ALLCLASSDATA,MATCH(A212,CLASSFEATUREHEADERS,0),MATCH(($G$2 &amp; "Points"),CLASSNAMEHEADERS,0))</f>
        <v/>
      </c>
      <c r="I212" s="12" t="b">
        <v>0</v>
      </c>
      <c r="J212" s="238" t="str">
        <f t="shared" si="51"/>
        <v/>
      </c>
      <c r="K212" s="149" t="str">
        <f t="shared" si="52"/>
        <v/>
      </c>
      <c r="L212" s="149">
        <f t="shared" si="53"/>
        <v>0</v>
      </c>
      <c r="M212" s="242" t="str">
        <f t="shared" si="54"/>
        <v/>
      </c>
      <c r="N212" s="243" t="str">
        <f t="shared" si="55"/>
        <v/>
      </c>
      <c r="O212" s="149">
        <f t="shared" si="56"/>
        <v>0</v>
      </c>
    </row>
    <row r="213" outlineLevel="1">
      <c r="A213" s="35" t="str">
        <f>CLASSDATA!A213</f>
        <v>ClassInitialAbility10-L00</v>
      </c>
      <c r="B213" s="35" t="str">
        <f>CLASSDATA!B213</f>
        <v>L00</v>
      </c>
      <c r="C213" s="35" t="str">
        <f>CLASSDATA!C213</f>
        <v/>
      </c>
      <c r="D213" s="148" t="str">
        <f t="array" ref="D213">INDEX(ALLCLASSDATA,MATCH(A213,CLASSFEATUREHEADERS,0),MATCH($D$2,CLASSNAMEHEADERS,0))</f>
        <v/>
      </c>
      <c r="E213" s="149" t="str">
        <f t="array" ref="E213">INDEX(ALLCLASSDATA,MATCH(A213,CLASSFEATUREHEADERS,0),MATCH(($D$2 &amp; "Points"),CLASSNAMEHEADERS,0))</f>
        <v/>
      </c>
      <c r="F213" s="12" t="b">
        <v>0</v>
      </c>
      <c r="G213" s="148" t="str">
        <f t="array" ref="G213">INDEX(ALLCLASSDATA,MATCH(A213,CLASSFEATUREHEADERS,0),MATCH($G$2,CLASSNAMEHEADERS,0))</f>
        <v/>
      </c>
      <c r="H213" s="149" t="str">
        <f t="array" ref="H213">INDEX(ALLCLASSDATA,MATCH(A213,CLASSFEATUREHEADERS,0),MATCH(($G$2 &amp; "Points"),CLASSNAMEHEADERS,0))</f>
        <v/>
      </c>
      <c r="I213" s="12" t="b">
        <v>0</v>
      </c>
      <c r="J213" s="238" t="str">
        <f t="shared" si="51"/>
        <v/>
      </c>
      <c r="K213" s="149" t="str">
        <f t="shared" si="52"/>
        <v/>
      </c>
      <c r="L213" s="149">
        <f t="shared" si="53"/>
        <v>0</v>
      </c>
      <c r="M213" s="242" t="str">
        <f t="shared" si="54"/>
        <v/>
      </c>
      <c r="N213" s="243" t="str">
        <f t="shared" si="55"/>
        <v/>
      </c>
      <c r="O213" s="149">
        <f t="shared" si="56"/>
        <v>0</v>
      </c>
    </row>
    <row r="214" outlineLevel="1">
      <c r="A214" s="35" t="str">
        <f>CLASSDATA!A214</f>
        <v>ClassAbility1-L03</v>
      </c>
      <c r="B214" s="35" t="str">
        <f>CLASSDATA!B214</f>
        <v>L03</v>
      </c>
      <c r="C214" s="35" t="str">
        <f>CLASSDATA!C214</f>
        <v/>
      </c>
      <c r="D214" s="148" t="str">
        <f t="array" ref="D214">INDEX(ALLCLASSDATA,MATCH(A214,CLASSFEATUREHEADERS,0),MATCH($D$2,CLASSNAMEHEADERS,0))</f>
        <v>Bravery</v>
      </c>
      <c r="E214" s="149">
        <f t="array" ref="E214">INDEX(ALLCLASSDATA,MATCH(A214,CLASSFEATUREHEADERS,0),MATCH(($D$2 &amp; "Points"),CLASSNAMEHEADERS,0))</f>
        <v>30</v>
      </c>
      <c r="F214" s="12" t="b">
        <v>1</v>
      </c>
      <c r="G214" s="148" t="str">
        <f t="array" ref="G214">INDEX(ALLCLASSDATA,MATCH(A214,CLASSFEATUREHEADERS,0),MATCH($G$2,CLASSNAMEHEADERS,0))</f>
        <v/>
      </c>
      <c r="H214" s="149" t="str">
        <f t="array" ref="H214">INDEX(ALLCLASSDATA,MATCH(A214,CLASSFEATUREHEADERS,0),MATCH(($G$2 &amp; "Points"),CLASSNAMEHEADERS,0))</f>
        <v/>
      </c>
      <c r="I214" s="12" t="b">
        <v>0</v>
      </c>
      <c r="J214" s="238" t="str">
        <f t="shared" si="51"/>
        <v>Bravery</v>
      </c>
      <c r="K214" s="149" t="str">
        <f t="shared" si="52"/>
        <v/>
      </c>
      <c r="L214" s="149">
        <f t="shared" si="53"/>
        <v>30</v>
      </c>
      <c r="M214" s="242" t="str">
        <f t="shared" si="54"/>
        <v>Bravery</v>
      </c>
      <c r="N214" s="243" t="str">
        <f t="shared" si="55"/>
        <v/>
      </c>
      <c r="O214" s="149">
        <f t="shared" si="56"/>
        <v>30</v>
      </c>
    </row>
    <row r="215" outlineLevel="1">
      <c r="A215" s="35" t="str">
        <f>CLASSDATA!A215</f>
        <v>ClassAbility2-L03</v>
      </c>
      <c r="B215" s="35" t="str">
        <f>CLASSDATA!B215</f>
        <v>L03</v>
      </c>
      <c r="C215" s="35" t="str">
        <f>CLASSDATA!C215</f>
        <v/>
      </c>
      <c r="D215" s="148" t="str">
        <f t="array" ref="D215">INDEX(ALLCLASSDATA,MATCH(A215,CLASSFEATUREHEADERS,0),MATCH($D$2,CLASSNAMEHEADERS,0))</f>
        <v/>
      </c>
      <c r="E215" s="149" t="str">
        <f t="array" ref="E215">INDEX(ALLCLASSDATA,MATCH(A215,CLASSFEATUREHEADERS,0),MATCH(($D$2 &amp; "Points"),CLASSNAMEHEADERS,0))</f>
        <v/>
      </c>
      <c r="F215" s="12" t="b">
        <v>0</v>
      </c>
      <c r="G215" s="148" t="str">
        <f t="array" ref="G215">INDEX(ALLCLASSDATA,MATCH(A215,CLASSFEATUREHEADERS,0),MATCH($G$2,CLASSNAMEHEADERS,0))</f>
        <v/>
      </c>
      <c r="H215" s="149" t="str">
        <f t="array" ref="H215">INDEX(ALLCLASSDATA,MATCH(A215,CLASSFEATUREHEADERS,0),MATCH(($G$2 &amp; "Points"),CLASSNAMEHEADERS,0))</f>
        <v/>
      </c>
      <c r="I215" s="12" t="b">
        <v>0</v>
      </c>
      <c r="J215" s="238" t="str">
        <f t="shared" si="51"/>
        <v/>
      </c>
      <c r="K215" s="149" t="str">
        <f t="shared" si="52"/>
        <v/>
      </c>
      <c r="L215" s="149">
        <f t="shared" si="53"/>
        <v>0</v>
      </c>
      <c r="M215" s="242" t="str">
        <f t="shared" si="54"/>
        <v/>
      </c>
      <c r="N215" s="243" t="str">
        <f t="shared" si="55"/>
        <v/>
      </c>
      <c r="O215" s="149">
        <f t="shared" si="56"/>
        <v>0</v>
      </c>
    </row>
    <row r="216" outlineLevel="1">
      <c r="A216" s="35" t="str">
        <f>CLASSDATA!A216</f>
        <v>ClassAbility3-L03</v>
      </c>
      <c r="B216" s="35" t="str">
        <f>CLASSDATA!B216</f>
        <v>L03</v>
      </c>
      <c r="C216" s="35" t="str">
        <f>CLASSDATA!C216</f>
        <v/>
      </c>
      <c r="D216" s="148" t="str">
        <f t="array" ref="D216">INDEX(ALLCLASSDATA,MATCH(A216,CLASSFEATUREHEADERS,0),MATCH($D$2,CLASSNAMEHEADERS,0))</f>
        <v/>
      </c>
      <c r="E216" s="149" t="str">
        <f t="array" ref="E216">INDEX(ALLCLASSDATA,MATCH(A216,CLASSFEATUREHEADERS,0),MATCH(($D$2 &amp; "Points"),CLASSNAMEHEADERS,0))</f>
        <v/>
      </c>
      <c r="F216" s="12" t="b">
        <v>0</v>
      </c>
      <c r="G216" s="148" t="str">
        <f t="array" ref="G216">INDEX(ALLCLASSDATA,MATCH(A216,CLASSFEATUREHEADERS,0),MATCH($G$2,CLASSNAMEHEADERS,0))</f>
        <v/>
      </c>
      <c r="H216" s="149" t="str">
        <f t="array" ref="H216">INDEX(ALLCLASSDATA,MATCH(A216,CLASSFEATUREHEADERS,0),MATCH(($G$2 &amp; "Points"),CLASSNAMEHEADERS,0))</f>
        <v/>
      </c>
      <c r="I216" s="12" t="b">
        <v>0</v>
      </c>
      <c r="J216" s="238" t="str">
        <f t="shared" si="51"/>
        <v/>
      </c>
      <c r="K216" s="149" t="str">
        <f t="shared" si="52"/>
        <v/>
      </c>
      <c r="L216" s="149">
        <f t="shared" si="53"/>
        <v>0</v>
      </c>
      <c r="M216" s="242" t="str">
        <f t="shared" si="54"/>
        <v/>
      </c>
      <c r="N216" s="243" t="str">
        <f t="shared" si="55"/>
        <v/>
      </c>
      <c r="O216" s="149">
        <f t="shared" si="56"/>
        <v>0</v>
      </c>
    </row>
    <row r="217" outlineLevel="1">
      <c r="A217" s="35" t="str">
        <f>CLASSDATA!A217</f>
        <v>ClassAbility4-L03</v>
      </c>
      <c r="B217" s="35" t="str">
        <f>CLASSDATA!B217</f>
        <v>L03</v>
      </c>
      <c r="C217" s="35" t="str">
        <f>CLASSDATA!C217</f>
        <v/>
      </c>
      <c r="D217" s="148" t="str">
        <f t="array" ref="D217">INDEX(ALLCLASSDATA,MATCH(A217,CLASSFEATUREHEADERS,0),MATCH($D$2,CLASSNAMEHEADERS,0))</f>
        <v/>
      </c>
      <c r="E217" s="149" t="str">
        <f t="array" ref="E217">INDEX(ALLCLASSDATA,MATCH(A217,CLASSFEATUREHEADERS,0),MATCH(($D$2 &amp; "Points"),CLASSNAMEHEADERS,0))</f>
        <v/>
      </c>
      <c r="F217" s="12" t="b">
        <v>0</v>
      </c>
      <c r="G217" s="148" t="str">
        <f t="array" ref="G217">INDEX(ALLCLASSDATA,MATCH(A217,CLASSFEATUREHEADERS,0),MATCH($G$2,CLASSNAMEHEADERS,0))</f>
        <v/>
      </c>
      <c r="H217" s="149" t="str">
        <f t="array" ref="H217">INDEX(ALLCLASSDATA,MATCH(A217,CLASSFEATUREHEADERS,0),MATCH(($G$2 &amp; "Points"),CLASSNAMEHEADERS,0))</f>
        <v/>
      </c>
      <c r="I217" s="12" t="b">
        <v>0</v>
      </c>
      <c r="J217" s="238" t="str">
        <f t="shared" si="51"/>
        <v/>
      </c>
      <c r="K217" s="149" t="str">
        <f t="shared" si="52"/>
        <v/>
      </c>
      <c r="L217" s="149">
        <f t="shared" si="53"/>
        <v>0</v>
      </c>
      <c r="M217" s="242" t="str">
        <f t="shared" si="54"/>
        <v/>
      </c>
      <c r="N217" s="243" t="str">
        <f t="shared" si="55"/>
        <v/>
      </c>
      <c r="O217" s="149">
        <f t="shared" si="56"/>
        <v>0</v>
      </c>
    </row>
    <row r="218" outlineLevel="1">
      <c r="A218" s="35" t="str">
        <f>CLASSDATA!A218</f>
        <v>ClassAbility1-L05</v>
      </c>
      <c r="B218" s="35" t="str">
        <f>CLASSDATA!B218</f>
        <v>L05</v>
      </c>
      <c r="C218" s="35" t="str">
        <f>CLASSDATA!C218</f>
        <v/>
      </c>
      <c r="D218" s="148" t="str">
        <f t="array" ref="D218">INDEX(ALLCLASSDATA,MATCH(A218,CLASSFEATUREHEADERS,0),MATCH($D$2,CLASSNAMEHEADERS,0))</f>
        <v>Fighter Weapon Mastery</v>
      </c>
      <c r="E218" s="149" t="str">
        <f t="array" ref="E218">INDEX(ALLCLASSDATA,MATCH(A218,CLASSFEATUREHEADERS,0),MATCH(($D$2 &amp; "Points"),CLASSNAMEHEADERS,0))</f>
        <v/>
      </c>
      <c r="F218" s="12" t="b">
        <v>0</v>
      </c>
      <c r="G218" s="148" t="str">
        <f t="array" ref="G218">INDEX(ALLCLASSDATA,MATCH(A218,CLASSFEATUREHEADERS,0),MATCH($G$2,CLASSNAMEHEADERS,0))</f>
        <v>Lightning Reflexes</v>
      </c>
      <c r="H218" s="149" t="str">
        <f t="array" ref="H218">INDEX(ALLCLASSDATA,MATCH(A218,CLASSFEATUREHEADERS,0),MATCH(($G$2 &amp; "Points"),CLASSNAMEHEADERS,0))</f>
        <v/>
      </c>
      <c r="I218" s="12" t="b">
        <v>0</v>
      </c>
      <c r="J218" s="238" t="str">
        <f t="shared" si="51"/>
        <v>Fighter Weapon Mastery</v>
      </c>
      <c r="K218" s="149" t="str">
        <f t="shared" si="52"/>
        <v>Lightning Reflexes</v>
      </c>
      <c r="L218" s="149">
        <f t="shared" si="53"/>
        <v>0</v>
      </c>
      <c r="M218" s="242" t="str">
        <f t="shared" si="54"/>
        <v/>
      </c>
      <c r="N218" s="243" t="str">
        <f t="shared" si="55"/>
        <v/>
      </c>
      <c r="O218" s="149">
        <f t="shared" si="56"/>
        <v>0</v>
      </c>
    </row>
    <row r="219" outlineLevel="1">
      <c r="A219" s="35" t="str">
        <f>CLASSDATA!A219</f>
        <v>ClassAbility2-L05</v>
      </c>
      <c r="B219" s="35" t="str">
        <f>CLASSDATA!B219</f>
        <v>L05</v>
      </c>
      <c r="C219" s="35" t="str">
        <f>CLASSDATA!C219</f>
        <v/>
      </c>
      <c r="D219" s="148" t="str">
        <f t="array" ref="D219">INDEX(ALLCLASSDATA,MATCH(A219,CLASSFEATUREHEADERS,0),MATCH($D$2,CLASSNAMEHEADERS,0))</f>
        <v/>
      </c>
      <c r="E219" s="149" t="str">
        <f t="array" ref="E219">INDEX(ALLCLASSDATA,MATCH(A219,CLASSFEATUREHEADERS,0),MATCH(($D$2 &amp; "Points"),CLASSNAMEHEADERS,0))</f>
        <v/>
      </c>
      <c r="F219" s="12" t="b">
        <v>0</v>
      </c>
      <c r="G219" s="148" t="str">
        <f t="array" ref="G219">INDEX(ALLCLASSDATA,MATCH(A219,CLASSFEATUREHEADERS,0),MATCH($G$2,CLASSNAMEHEADERS,0))</f>
        <v/>
      </c>
      <c r="H219" s="149" t="str">
        <f t="array" ref="H219">INDEX(ALLCLASSDATA,MATCH(A219,CLASSFEATUREHEADERS,0),MATCH(($G$2 &amp; "Points"),CLASSNAMEHEADERS,0))</f>
        <v/>
      </c>
      <c r="I219" s="12" t="b">
        <v>0</v>
      </c>
      <c r="J219" s="238" t="str">
        <f t="shared" si="51"/>
        <v/>
      </c>
      <c r="K219" s="149" t="str">
        <f t="shared" si="52"/>
        <v/>
      </c>
      <c r="L219" s="149">
        <f t="shared" si="53"/>
        <v>0</v>
      </c>
      <c r="M219" s="242" t="str">
        <f t="shared" si="54"/>
        <v/>
      </c>
      <c r="N219" s="243" t="str">
        <f t="shared" si="55"/>
        <v/>
      </c>
      <c r="O219" s="149">
        <f t="shared" si="56"/>
        <v>0</v>
      </c>
    </row>
    <row r="220" outlineLevel="1">
      <c r="A220" s="35" t="str">
        <f>CLASSDATA!A220</f>
        <v>ClassAbility3-L05</v>
      </c>
      <c r="B220" s="35" t="str">
        <f>CLASSDATA!B220</f>
        <v>L05</v>
      </c>
      <c r="C220" s="35" t="str">
        <f>CLASSDATA!C220</f>
        <v/>
      </c>
      <c r="D220" s="148" t="str">
        <f t="array" ref="D220">INDEX(ALLCLASSDATA,MATCH(A220,CLASSFEATUREHEADERS,0),MATCH($D$2,CLASSNAMEHEADERS,0))</f>
        <v/>
      </c>
      <c r="E220" s="149" t="str">
        <f t="array" ref="E220">INDEX(ALLCLASSDATA,MATCH(A220,CLASSFEATUREHEADERS,0),MATCH(($D$2 &amp; "Points"),CLASSNAMEHEADERS,0))</f>
        <v/>
      </c>
      <c r="F220" s="12" t="b">
        <v>0</v>
      </c>
      <c r="G220" s="148" t="str">
        <f t="array" ref="G220">INDEX(ALLCLASSDATA,MATCH(A220,CLASSFEATUREHEADERS,0),MATCH($G$2,CLASSNAMEHEADERS,0))</f>
        <v/>
      </c>
      <c r="H220" s="149" t="str">
        <f t="array" ref="H220">INDEX(ALLCLASSDATA,MATCH(A220,CLASSFEATUREHEADERS,0),MATCH(($G$2 &amp; "Points"),CLASSNAMEHEADERS,0))</f>
        <v/>
      </c>
      <c r="I220" s="12" t="b">
        <v>0</v>
      </c>
      <c r="J220" s="238" t="str">
        <f t="shared" si="51"/>
        <v/>
      </c>
      <c r="K220" s="149" t="str">
        <f t="shared" si="52"/>
        <v/>
      </c>
      <c r="L220" s="149">
        <f t="shared" si="53"/>
        <v>0</v>
      </c>
      <c r="M220" s="242" t="str">
        <f t="shared" si="54"/>
        <v/>
      </c>
      <c r="N220" s="243" t="str">
        <f t="shared" si="55"/>
        <v/>
      </c>
      <c r="O220" s="149">
        <f t="shared" si="56"/>
        <v>0</v>
      </c>
    </row>
    <row r="221" outlineLevel="1">
      <c r="A221" s="35" t="str">
        <f>CLASSDATA!A221</f>
        <v>ClassAbility4-L05</v>
      </c>
      <c r="B221" s="35" t="str">
        <f>CLASSDATA!B221</f>
        <v>L05</v>
      </c>
      <c r="C221" s="35" t="str">
        <f>CLASSDATA!C221</f>
        <v/>
      </c>
      <c r="D221" s="148" t="str">
        <f t="array" ref="D221">INDEX(ALLCLASSDATA,MATCH(A221,CLASSFEATUREHEADERS,0),MATCH($D$2,CLASSNAMEHEADERS,0))</f>
        <v/>
      </c>
      <c r="E221" s="149" t="str">
        <f t="array" ref="E221">INDEX(ALLCLASSDATA,MATCH(A221,CLASSFEATUREHEADERS,0),MATCH(($D$2 &amp; "Points"),CLASSNAMEHEADERS,0))</f>
        <v/>
      </c>
      <c r="F221" s="12" t="b">
        <v>0</v>
      </c>
      <c r="G221" s="148" t="str">
        <f t="array" ref="G221">INDEX(ALLCLASSDATA,MATCH(A221,CLASSFEATUREHEADERS,0),MATCH($G$2,CLASSNAMEHEADERS,0))</f>
        <v/>
      </c>
      <c r="H221" s="149" t="str">
        <f t="array" ref="H221">INDEX(ALLCLASSDATA,MATCH(A221,CLASSFEATUREHEADERS,0),MATCH(($G$2 &amp; "Points"),CLASSNAMEHEADERS,0))</f>
        <v/>
      </c>
      <c r="I221" s="12" t="b">
        <v>0</v>
      </c>
      <c r="J221" s="238" t="str">
        <f t="shared" si="51"/>
        <v/>
      </c>
      <c r="K221" s="149" t="str">
        <f t="shared" si="52"/>
        <v/>
      </c>
      <c r="L221" s="149">
        <f t="shared" si="53"/>
        <v>0</v>
      </c>
      <c r="M221" s="242" t="str">
        <f t="shared" si="54"/>
        <v/>
      </c>
      <c r="N221" s="243" t="str">
        <f t="shared" si="55"/>
        <v/>
      </c>
      <c r="O221" s="149">
        <f t="shared" si="56"/>
        <v>0</v>
      </c>
    </row>
    <row r="222" outlineLevel="1">
      <c r="A222" s="35" t="str">
        <f>CLASSDATA!A222</f>
        <v>ClassAbility1-L07</v>
      </c>
      <c r="B222" s="35" t="str">
        <f>CLASSDATA!B222</f>
        <v>L07</v>
      </c>
      <c r="C222" s="35" t="str">
        <f>CLASSDATA!C222</f>
        <v/>
      </c>
      <c r="D222" s="148" t="str">
        <f t="array" ref="D222">INDEX(ALLCLASSDATA,MATCH(A222,CLASSFEATUREHEADERS,0),MATCH($D$2,CLASSNAMEHEADERS,0))</f>
        <v>Weapon Specialization</v>
      </c>
      <c r="E222" s="149" t="str">
        <f t="array" ref="E222">INDEX(ALLCLASSDATA,MATCH(A222,CLASSFEATUREHEADERS,0),MATCH(($D$2 &amp; "Points"),CLASSNAMEHEADERS,0))</f>
        <v/>
      </c>
      <c r="F222" s="12" t="b">
        <v>0</v>
      </c>
      <c r="G222" s="148" t="str">
        <f t="array" ref="G222">INDEX(ALLCLASSDATA,MATCH(A222,CLASSFEATUREHEADERS,0),MATCH($G$2,CLASSNAMEHEADERS,0))</f>
        <v>Expert Spellcaster</v>
      </c>
      <c r="H222" s="149" t="str">
        <f t="array" ref="H222">INDEX(ALLCLASSDATA,MATCH(A222,CLASSFEATUREHEADERS,0),MATCH(($G$2 &amp; "Points"),CLASSNAMEHEADERS,0))</f>
        <v/>
      </c>
      <c r="I222" s="12" t="b">
        <v>0</v>
      </c>
      <c r="J222" s="238" t="str">
        <f t="shared" si="51"/>
        <v>Weapon Specialization</v>
      </c>
      <c r="K222" s="149" t="str">
        <f t="shared" si="52"/>
        <v>Expert Spellcaster</v>
      </c>
      <c r="L222" s="149">
        <f t="shared" si="53"/>
        <v>0</v>
      </c>
      <c r="M222" s="242" t="str">
        <f t="shared" si="54"/>
        <v/>
      </c>
      <c r="N222" s="243" t="str">
        <f t="shared" si="55"/>
        <v/>
      </c>
      <c r="O222" s="149">
        <f t="shared" si="56"/>
        <v>0</v>
      </c>
    </row>
    <row r="223" outlineLevel="1">
      <c r="A223" s="35" t="str">
        <f>CLASSDATA!A223</f>
        <v>ClassAbility2-L07</v>
      </c>
      <c r="B223" s="35" t="str">
        <f>CLASSDATA!B223</f>
        <v>L07</v>
      </c>
      <c r="C223" s="35" t="str">
        <f>CLASSDATA!C223</f>
        <v/>
      </c>
      <c r="D223" s="148" t="str">
        <f t="array" ref="D223">INDEX(ALLCLASSDATA,MATCH(A223,CLASSFEATUREHEADERS,0),MATCH($D$2,CLASSNAMEHEADERS,0))</f>
        <v>Battlefield Surveyor</v>
      </c>
      <c r="E223" s="149">
        <f t="array" ref="E223">INDEX(ALLCLASSDATA,MATCH(A223,CLASSFEATUREHEADERS,0),MATCH(($D$2 &amp; "Points"),CLASSNAMEHEADERS,0))</f>
        <v>10</v>
      </c>
      <c r="F223" s="12" t="b">
        <v>1</v>
      </c>
      <c r="G223" s="148" t="str">
        <f t="array" ref="G223">INDEX(ALLCLASSDATA,MATCH(A223,CLASSFEATUREHEADERS,0),MATCH($G$2,CLASSNAMEHEADERS,0))</f>
        <v/>
      </c>
      <c r="H223" s="149" t="str">
        <f t="array" ref="H223">INDEX(ALLCLASSDATA,MATCH(A223,CLASSFEATUREHEADERS,0),MATCH(($G$2 &amp; "Points"),CLASSNAMEHEADERS,0))</f>
        <v/>
      </c>
      <c r="I223" s="12" t="b">
        <v>0</v>
      </c>
      <c r="J223" s="238" t="str">
        <f t="shared" si="51"/>
        <v>Battlefield Surveyor</v>
      </c>
      <c r="K223" s="149" t="str">
        <f t="shared" si="52"/>
        <v/>
      </c>
      <c r="L223" s="149">
        <f t="shared" si="53"/>
        <v>10</v>
      </c>
      <c r="M223" s="242" t="str">
        <f t="shared" si="54"/>
        <v>Battlefield Surveyor</v>
      </c>
      <c r="N223" s="243" t="str">
        <f t="shared" si="55"/>
        <v/>
      </c>
      <c r="O223" s="149">
        <f t="shared" si="56"/>
        <v>10</v>
      </c>
    </row>
    <row r="224" outlineLevel="1">
      <c r="A224" s="35" t="str">
        <f>CLASSDATA!A224</f>
        <v>ClassAbility3-L07</v>
      </c>
      <c r="B224" s="35" t="str">
        <f>CLASSDATA!B224</f>
        <v>L07</v>
      </c>
      <c r="C224" s="35" t="str">
        <f>CLASSDATA!C224</f>
        <v/>
      </c>
      <c r="D224" s="148" t="str">
        <f t="array" ref="D224">INDEX(ALLCLASSDATA,MATCH(A224,CLASSFEATUREHEADERS,0),MATCH($D$2,CLASSNAMEHEADERS,0))</f>
        <v/>
      </c>
      <c r="E224" s="149" t="str">
        <f t="array" ref="E224">INDEX(ALLCLASSDATA,MATCH(A224,CLASSFEATUREHEADERS,0),MATCH(($D$2 &amp; "Points"),CLASSNAMEHEADERS,0))</f>
        <v/>
      </c>
      <c r="F224" s="12" t="b">
        <v>0</v>
      </c>
      <c r="G224" s="148" t="str">
        <f t="array" ref="G224">INDEX(ALLCLASSDATA,MATCH(A224,CLASSFEATUREHEADERS,0),MATCH($G$2,CLASSNAMEHEADERS,0))</f>
        <v/>
      </c>
      <c r="H224" s="149" t="str">
        <f t="array" ref="H224">INDEX(ALLCLASSDATA,MATCH(A224,CLASSFEATUREHEADERS,0),MATCH(($G$2 &amp; "Points"),CLASSNAMEHEADERS,0))</f>
        <v/>
      </c>
      <c r="I224" s="12" t="b">
        <v>0</v>
      </c>
      <c r="J224" s="238" t="str">
        <f t="shared" si="51"/>
        <v/>
      </c>
      <c r="K224" s="149" t="str">
        <f t="shared" si="52"/>
        <v/>
      </c>
      <c r="L224" s="149">
        <f t="shared" si="53"/>
        <v>0</v>
      </c>
      <c r="M224" s="242" t="str">
        <f t="shared" si="54"/>
        <v/>
      </c>
      <c r="N224" s="243" t="str">
        <f t="shared" si="55"/>
        <v/>
      </c>
      <c r="O224" s="149">
        <f t="shared" si="56"/>
        <v>0</v>
      </c>
    </row>
    <row r="225" outlineLevel="1">
      <c r="A225" s="35" t="str">
        <f>CLASSDATA!A225</f>
        <v>ClassAbility4-L07</v>
      </c>
      <c r="B225" s="35" t="str">
        <f>CLASSDATA!B225</f>
        <v>L07</v>
      </c>
      <c r="C225" s="35" t="str">
        <f>CLASSDATA!C225</f>
        <v/>
      </c>
      <c r="D225" s="148" t="str">
        <f t="array" ref="D225">INDEX(ALLCLASSDATA,MATCH(A225,CLASSFEATUREHEADERS,0),MATCH($D$2,CLASSNAMEHEADERS,0))</f>
        <v/>
      </c>
      <c r="E225" s="149" t="str">
        <f t="array" ref="E225">INDEX(ALLCLASSDATA,MATCH(A225,CLASSFEATUREHEADERS,0),MATCH(($D$2 &amp; "Points"),CLASSNAMEHEADERS,0))</f>
        <v/>
      </c>
      <c r="F225" s="12" t="b">
        <v>0</v>
      </c>
      <c r="G225" s="148" t="str">
        <f t="array" ref="G225">INDEX(ALLCLASSDATA,MATCH(A225,CLASSFEATUREHEADERS,0),MATCH($G$2,CLASSNAMEHEADERS,0))</f>
        <v/>
      </c>
      <c r="H225" s="149" t="str">
        <f t="array" ref="H225">INDEX(ALLCLASSDATA,MATCH(A225,CLASSFEATUREHEADERS,0),MATCH(($G$2 &amp; "Points"),CLASSNAMEHEADERS,0))</f>
        <v/>
      </c>
      <c r="I225" s="12" t="b">
        <v>0</v>
      </c>
      <c r="J225" s="238" t="str">
        <f t="shared" si="51"/>
        <v/>
      </c>
      <c r="K225" s="149" t="str">
        <f t="shared" si="52"/>
        <v/>
      </c>
      <c r="L225" s="149">
        <f t="shared" si="53"/>
        <v>0</v>
      </c>
      <c r="M225" s="242" t="str">
        <f t="shared" si="54"/>
        <v/>
      </c>
      <c r="N225" s="243" t="str">
        <f t="shared" si="55"/>
        <v/>
      </c>
      <c r="O225" s="149">
        <f t="shared" si="56"/>
        <v>0</v>
      </c>
    </row>
    <row r="226" outlineLevel="1">
      <c r="A226" s="35" t="str">
        <f>CLASSDATA!A226</f>
        <v>ClassAbility1-L09</v>
      </c>
      <c r="B226" s="35" t="str">
        <f>CLASSDATA!B226</f>
        <v>L09</v>
      </c>
      <c r="C226" s="35" t="str">
        <f>CLASSDATA!C226</f>
        <v/>
      </c>
      <c r="D226" s="148" t="str">
        <f t="array" ref="D226">INDEX(ALLCLASSDATA,MATCH(A226,CLASSFEATUREHEADERS,0),MATCH($D$2,CLASSNAMEHEADERS,0))</f>
        <v>Combat Flexibility</v>
      </c>
      <c r="E226" s="149">
        <f t="array" ref="E226">INDEX(ALLCLASSDATA,MATCH(A226,CLASSFEATUREHEADERS,0),MATCH(($D$2 &amp; "Points"),CLASSNAMEHEADERS,0))</f>
        <v>90</v>
      </c>
      <c r="F226" s="12" t="b">
        <v>0</v>
      </c>
      <c r="G226" s="148" t="str">
        <f t="array" ref="G226">INDEX(ALLCLASSDATA,MATCH(A226,CLASSFEATUREHEADERS,0),MATCH($G$2,CLASSNAMEHEADERS,0))</f>
        <v>Magical Fortitude</v>
      </c>
      <c r="H226" s="149" t="str">
        <f t="array" ref="H226">INDEX(ALLCLASSDATA,MATCH(A226,CLASSFEATUREHEADERS,0),MATCH(($G$2 &amp; "Points"),CLASSNAMEHEADERS,0))</f>
        <v/>
      </c>
      <c r="I226" s="12" t="b">
        <v>0</v>
      </c>
      <c r="J226" s="238" t="str">
        <f t="shared" si="51"/>
        <v>Combat Flexibility</v>
      </c>
      <c r="K226" s="149" t="str">
        <f t="shared" si="52"/>
        <v>Magical Fortitude</v>
      </c>
      <c r="L226" s="149">
        <f t="shared" si="53"/>
        <v>90</v>
      </c>
      <c r="M226" s="242" t="str">
        <f t="shared" si="54"/>
        <v/>
      </c>
      <c r="N226" s="243" t="str">
        <f t="shared" si="55"/>
        <v/>
      </c>
      <c r="O226" s="149">
        <f t="shared" si="56"/>
        <v>0</v>
      </c>
    </row>
    <row r="227" outlineLevel="1">
      <c r="A227" s="35" t="str">
        <f>CLASSDATA!A227</f>
        <v>ClassAbility2-L09</v>
      </c>
      <c r="B227" s="35" t="str">
        <f>CLASSDATA!B227</f>
        <v>L09</v>
      </c>
      <c r="C227" s="35" t="str">
        <f>CLASSDATA!C227</f>
        <v/>
      </c>
      <c r="D227" s="148" t="str">
        <f t="array" ref="D227">INDEX(ALLCLASSDATA,MATCH(A227,CLASSFEATUREHEADERS,0),MATCH($D$2,CLASSNAMEHEADERS,0))</f>
        <v>Juggernaut</v>
      </c>
      <c r="E227" s="149" t="str">
        <f t="array" ref="E227">INDEX(ALLCLASSDATA,MATCH(A227,CLASSFEATUREHEADERS,0),MATCH(($D$2 &amp; "Points"),CLASSNAMEHEADERS,0))</f>
        <v/>
      </c>
      <c r="F227" s="12" t="b">
        <v>0</v>
      </c>
      <c r="G227" s="148" t="str">
        <f t="array" ref="G227">INDEX(ALLCLASSDATA,MATCH(A227,CLASSFEATUREHEADERS,0),MATCH($G$2,CLASSNAMEHEADERS,0))</f>
        <v/>
      </c>
      <c r="H227" s="149" t="str">
        <f t="array" ref="H227">INDEX(ALLCLASSDATA,MATCH(A227,CLASSFEATUREHEADERS,0),MATCH(($G$2 &amp; "Points"),CLASSNAMEHEADERS,0))</f>
        <v/>
      </c>
      <c r="I227" s="12" t="b">
        <v>0</v>
      </c>
      <c r="J227" s="238" t="str">
        <f t="shared" si="51"/>
        <v>Juggernaut</v>
      </c>
      <c r="K227" s="149" t="str">
        <f t="shared" si="52"/>
        <v/>
      </c>
      <c r="L227" s="149">
        <f t="shared" si="53"/>
        <v>0</v>
      </c>
      <c r="M227" s="242" t="str">
        <f t="shared" si="54"/>
        <v/>
      </c>
      <c r="N227" s="243" t="str">
        <f t="shared" si="55"/>
        <v/>
      </c>
      <c r="O227" s="149">
        <f t="shared" si="56"/>
        <v>0</v>
      </c>
    </row>
    <row r="228" outlineLevel="1">
      <c r="A228" s="35" t="str">
        <f>CLASSDATA!A228</f>
        <v>ClassAbility3-L09</v>
      </c>
      <c r="B228" s="35" t="str">
        <f>CLASSDATA!B228</f>
        <v>L09</v>
      </c>
      <c r="C228" s="35" t="str">
        <f>CLASSDATA!C228</f>
        <v/>
      </c>
      <c r="D228" s="148" t="str">
        <f t="array" ref="D228">INDEX(ALLCLASSDATA,MATCH(A228,CLASSFEATUREHEADERS,0),MATCH($D$2,CLASSNAMEHEADERS,0))</f>
        <v/>
      </c>
      <c r="E228" s="149" t="str">
        <f t="array" ref="E228">INDEX(ALLCLASSDATA,MATCH(A228,CLASSFEATUREHEADERS,0),MATCH(($D$2 &amp; "Points"),CLASSNAMEHEADERS,0))</f>
        <v/>
      </c>
      <c r="F228" s="12" t="b">
        <v>0</v>
      </c>
      <c r="G228" s="148" t="str">
        <f t="array" ref="G228">INDEX(ALLCLASSDATA,MATCH(A228,CLASSFEATUREHEADERS,0),MATCH($G$2,CLASSNAMEHEADERS,0))</f>
        <v/>
      </c>
      <c r="H228" s="149" t="str">
        <f t="array" ref="H228">INDEX(ALLCLASSDATA,MATCH(A228,CLASSFEATUREHEADERS,0),MATCH(($G$2 &amp; "Points"),CLASSNAMEHEADERS,0))</f>
        <v/>
      </c>
      <c r="I228" s="12" t="b">
        <v>0</v>
      </c>
      <c r="J228" s="238" t="str">
        <f t="shared" si="51"/>
        <v/>
      </c>
      <c r="K228" s="149" t="str">
        <f t="shared" si="52"/>
        <v/>
      </c>
      <c r="L228" s="149">
        <f t="shared" si="53"/>
        <v>0</v>
      </c>
      <c r="M228" s="242" t="str">
        <f t="shared" si="54"/>
        <v/>
      </c>
      <c r="N228" s="243" t="str">
        <f t="shared" si="55"/>
        <v/>
      </c>
      <c r="O228" s="149">
        <f t="shared" si="56"/>
        <v>0</v>
      </c>
    </row>
    <row r="229" outlineLevel="1">
      <c r="A229" s="35" t="str">
        <f>CLASSDATA!A229</f>
        <v>ClassAbility4-L09</v>
      </c>
      <c r="B229" s="35" t="str">
        <f>CLASSDATA!B229</f>
        <v>L09</v>
      </c>
      <c r="C229" s="35" t="str">
        <f>CLASSDATA!C229</f>
        <v/>
      </c>
      <c r="D229" s="148" t="str">
        <f t="array" ref="D229">INDEX(ALLCLASSDATA,MATCH(A229,CLASSFEATUREHEADERS,0),MATCH($D$2,CLASSNAMEHEADERS,0))</f>
        <v/>
      </c>
      <c r="E229" s="149" t="str">
        <f t="array" ref="E229">INDEX(ALLCLASSDATA,MATCH(A229,CLASSFEATUREHEADERS,0),MATCH(($D$2 &amp; "Points"),CLASSNAMEHEADERS,0))</f>
        <v/>
      </c>
      <c r="F229" s="12" t="b">
        <v>0</v>
      </c>
      <c r="G229" s="148" t="str">
        <f t="array" ref="G229">INDEX(ALLCLASSDATA,MATCH(A229,CLASSFEATUREHEADERS,0),MATCH($G$2,CLASSNAMEHEADERS,0))</f>
        <v/>
      </c>
      <c r="H229" s="149" t="str">
        <f t="array" ref="H229">INDEX(ALLCLASSDATA,MATCH(A229,CLASSFEATUREHEADERS,0),MATCH(($G$2 &amp; "Points"),CLASSNAMEHEADERS,0))</f>
        <v/>
      </c>
      <c r="I229" s="12" t="b">
        <v>0</v>
      </c>
      <c r="J229" s="238" t="str">
        <f t="shared" si="51"/>
        <v/>
      </c>
      <c r="K229" s="149" t="str">
        <f t="shared" si="52"/>
        <v/>
      </c>
      <c r="L229" s="149">
        <f t="shared" si="53"/>
        <v>0</v>
      </c>
      <c r="M229" s="242" t="str">
        <f t="shared" si="54"/>
        <v/>
      </c>
      <c r="N229" s="243" t="str">
        <f t="shared" si="55"/>
        <v/>
      </c>
      <c r="O229" s="149">
        <f t="shared" si="56"/>
        <v>0</v>
      </c>
    </row>
    <row r="230" outlineLevel="1">
      <c r="A230" s="35" t="str">
        <f>CLASSDATA!A230</f>
        <v>ClassAbility1-L11</v>
      </c>
      <c r="B230" s="35" t="str">
        <f>CLASSDATA!B230</f>
        <v>L11</v>
      </c>
      <c r="C230" s="35" t="str">
        <f>CLASSDATA!C230</f>
        <v/>
      </c>
      <c r="D230" s="148" t="str">
        <f t="array" ref="D230">INDEX(ALLCLASSDATA,MATCH(A230,CLASSFEATUREHEADERS,0),MATCH($D$2,CLASSNAMEHEADERS,0))</f>
        <v>Armor Expertise</v>
      </c>
      <c r="E230" s="149" t="str">
        <f t="array" ref="E230">INDEX(ALLCLASSDATA,MATCH(A230,CLASSFEATUREHEADERS,0),MATCH(($D$2 &amp; "Points"),CLASSNAMEHEADERS,0))</f>
        <v/>
      </c>
      <c r="F230" s="12" t="b">
        <v>0</v>
      </c>
      <c r="G230" s="148" t="str">
        <f t="array" ref="G230">INDEX(ALLCLASSDATA,MATCH(A230,CLASSFEATUREHEADERS,0),MATCH($G$2,CLASSNAMEHEADERS,0))</f>
        <v>Wizard Weapon Expertise</v>
      </c>
      <c r="H230" s="149" t="str">
        <f t="array" ref="H230">INDEX(ALLCLASSDATA,MATCH(A230,CLASSFEATUREHEADERS,0),MATCH(($G$2 &amp; "Points"),CLASSNAMEHEADERS,0))</f>
        <v/>
      </c>
      <c r="I230" s="12" t="b">
        <v>0</v>
      </c>
      <c r="J230" s="238" t="str">
        <f t="shared" si="51"/>
        <v>Armor Expertise</v>
      </c>
      <c r="K230" s="149" t="str">
        <f t="shared" si="52"/>
        <v>Wizard Weapon Expertise</v>
      </c>
      <c r="L230" s="149">
        <f t="shared" si="53"/>
        <v>0</v>
      </c>
      <c r="M230" s="242" t="str">
        <f t="shared" si="54"/>
        <v/>
      </c>
      <c r="N230" s="243" t="str">
        <f t="shared" si="55"/>
        <v/>
      </c>
      <c r="O230" s="149">
        <f t="shared" si="56"/>
        <v>0</v>
      </c>
    </row>
    <row r="231" outlineLevel="1">
      <c r="A231" s="35" t="str">
        <f>CLASSDATA!A231</f>
        <v>ClassAbility2-L11</v>
      </c>
      <c r="B231" s="35" t="str">
        <f>CLASSDATA!B231</f>
        <v>L11</v>
      </c>
      <c r="C231" s="35" t="str">
        <f>CLASSDATA!C231</f>
        <v/>
      </c>
      <c r="D231" s="148" t="str">
        <f t="array" ref="D231">INDEX(ALLCLASSDATA,MATCH(A231,CLASSFEATUREHEADERS,0),MATCH($D$2,CLASSNAMEHEADERS,0))</f>
        <v>Fighter Expertise</v>
      </c>
      <c r="E231" s="149" t="str">
        <f t="array" ref="E231">INDEX(ALLCLASSDATA,MATCH(A231,CLASSFEATUREHEADERS,0),MATCH(($D$2 &amp; "Points"),CLASSNAMEHEADERS,0))</f>
        <v/>
      </c>
      <c r="F231" s="12" t="b">
        <v>0</v>
      </c>
      <c r="G231" s="148" t="str">
        <f t="array" ref="G231">INDEX(ALLCLASSDATA,MATCH(A231,CLASSFEATUREHEADERS,0),MATCH($G$2,CLASSNAMEHEADERS,0))</f>
        <v>Alertness</v>
      </c>
      <c r="H231" s="149" t="str">
        <f t="array" ref="H231">INDEX(ALLCLASSDATA,MATCH(A231,CLASSFEATUREHEADERS,0),MATCH(($G$2 &amp; "Points"),CLASSNAMEHEADERS,0))</f>
        <v/>
      </c>
      <c r="I231" s="12" t="b">
        <v>0</v>
      </c>
      <c r="J231" s="238" t="str">
        <f t="shared" si="51"/>
        <v>Fighter Expertise</v>
      </c>
      <c r="K231" s="149" t="str">
        <f t="shared" si="52"/>
        <v>Alertness</v>
      </c>
      <c r="L231" s="149">
        <f t="shared" si="53"/>
        <v>0</v>
      </c>
      <c r="M231" s="242" t="str">
        <f t="shared" si="54"/>
        <v/>
      </c>
      <c r="N231" s="243" t="str">
        <f t="shared" si="55"/>
        <v/>
      </c>
      <c r="O231" s="149">
        <f t="shared" si="56"/>
        <v>0</v>
      </c>
    </row>
    <row r="232" outlineLevel="1">
      <c r="A232" s="35" t="str">
        <f>CLASSDATA!A232</f>
        <v>ClassAbility3-L11</v>
      </c>
      <c r="B232" s="35" t="str">
        <f>CLASSDATA!B232</f>
        <v>L11</v>
      </c>
      <c r="C232" s="35" t="str">
        <f>CLASSDATA!C232</f>
        <v/>
      </c>
      <c r="D232" s="148" t="str">
        <f t="array" ref="D232">INDEX(ALLCLASSDATA,MATCH(A232,CLASSFEATUREHEADERS,0),MATCH($D$2,CLASSNAMEHEADERS,0))</f>
        <v/>
      </c>
      <c r="E232" s="149" t="str">
        <f t="array" ref="E232">INDEX(ALLCLASSDATA,MATCH(A232,CLASSFEATUREHEADERS,0),MATCH(($D$2 &amp; "Points"),CLASSNAMEHEADERS,0))</f>
        <v/>
      </c>
      <c r="F232" s="12" t="b">
        <v>0</v>
      </c>
      <c r="G232" s="148" t="str">
        <f t="array" ref="G232">INDEX(ALLCLASSDATA,MATCH(A232,CLASSFEATUREHEADERS,0),MATCH($G$2,CLASSNAMEHEADERS,0))</f>
        <v/>
      </c>
      <c r="H232" s="149" t="str">
        <f t="array" ref="H232">INDEX(ALLCLASSDATA,MATCH(A232,CLASSFEATUREHEADERS,0),MATCH(($G$2 &amp; "Points"),CLASSNAMEHEADERS,0))</f>
        <v/>
      </c>
      <c r="I232" s="12" t="b">
        <v>0</v>
      </c>
      <c r="J232" s="238" t="str">
        <f t="shared" si="51"/>
        <v/>
      </c>
      <c r="K232" s="149" t="str">
        <f t="shared" si="52"/>
        <v/>
      </c>
      <c r="L232" s="149">
        <f t="shared" si="53"/>
        <v>0</v>
      </c>
      <c r="M232" s="242" t="str">
        <f t="shared" si="54"/>
        <v/>
      </c>
      <c r="N232" s="243" t="str">
        <f t="shared" si="55"/>
        <v/>
      </c>
      <c r="O232" s="149">
        <f t="shared" si="56"/>
        <v>0</v>
      </c>
    </row>
    <row r="233" outlineLevel="1">
      <c r="A233" s="35" t="str">
        <f>CLASSDATA!A233</f>
        <v>ClassAbility4-L11</v>
      </c>
      <c r="B233" s="35" t="str">
        <f>CLASSDATA!B233</f>
        <v>L11</v>
      </c>
      <c r="C233" s="35" t="str">
        <f>CLASSDATA!C233</f>
        <v/>
      </c>
      <c r="D233" s="148" t="str">
        <f t="array" ref="D233">INDEX(ALLCLASSDATA,MATCH(A233,CLASSFEATUREHEADERS,0),MATCH($D$2,CLASSNAMEHEADERS,0))</f>
        <v/>
      </c>
      <c r="E233" s="149" t="str">
        <f t="array" ref="E233">INDEX(ALLCLASSDATA,MATCH(A233,CLASSFEATUREHEADERS,0),MATCH(($D$2 &amp; "Points"),CLASSNAMEHEADERS,0))</f>
        <v/>
      </c>
      <c r="F233" s="12" t="b">
        <v>0</v>
      </c>
      <c r="G233" s="148" t="str">
        <f t="array" ref="G233">INDEX(ALLCLASSDATA,MATCH(A233,CLASSFEATUREHEADERS,0),MATCH($G$2,CLASSNAMEHEADERS,0))</f>
        <v/>
      </c>
      <c r="H233" s="149" t="str">
        <f t="array" ref="H233">INDEX(ALLCLASSDATA,MATCH(A233,CLASSFEATUREHEADERS,0),MATCH(($G$2 &amp; "Points"),CLASSNAMEHEADERS,0))</f>
        <v/>
      </c>
      <c r="I233" s="12" t="b">
        <v>0</v>
      </c>
      <c r="J233" s="238" t="str">
        <f t="shared" si="51"/>
        <v/>
      </c>
      <c r="K233" s="149" t="str">
        <f t="shared" si="52"/>
        <v/>
      </c>
      <c r="L233" s="149">
        <f t="shared" si="53"/>
        <v>0</v>
      </c>
      <c r="M233" s="242" t="str">
        <f t="shared" si="54"/>
        <v/>
      </c>
      <c r="N233" s="243" t="str">
        <f t="shared" si="55"/>
        <v/>
      </c>
      <c r="O233" s="149">
        <f t="shared" si="56"/>
        <v>0</v>
      </c>
    </row>
    <row r="234" outlineLevel="1">
      <c r="A234" s="35" t="str">
        <f>CLASSDATA!A234</f>
        <v>ClassAbility1-L13</v>
      </c>
      <c r="B234" s="35" t="str">
        <f>CLASSDATA!B234</f>
        <v>L13</v>
      </c>
      <c r="C234" s="35" t="str">
        <f>CLASSDATA!C234</f>
        <v/>
      </c>
      <c r="D234" s="148" t="str">
        <f t="array" ref="D234">INDEX(ALLCLASSDATA,MATCH(A234,CLASSFEATUREHEADERS,0),MATCH($D$2,CLASSNAMEHEADERS,0))</f>
        <v>Weapon Legend</v>
      </c>
      <c r="E234" s="149" t="str">
        <f t="array" ref="E234">INDEX(ALLCLASSDATA,MATCH(A234,CLASSFEATUREHEADERS,0),MATCH(($D$2 &amp; "Points"),CLASSNAMEHEADERS,0))</f>
        <v/>
      </c>
      <c r="F234" s="12" t="b">
        <v>0</v>
      </c>
      <c r="G234" s="148" t="str">
        <f t="array" ref="G234">INDEX(ALLCLASSDATA,MATCH(A234,CLASSFEATUREHEADERS,0),MATCH($G$2,CLASSNAMEHEADERS,0))</f>
        <v>Weapon Specialization</v>
      </c>
      <c r="H234" s="149" t="str">
        <f t="array" ref="H234">INDEX(ALLCLASSDATA,MATCH(A234,CLASSFEATUREHEADERS,0),MATCH(($G$2 &amp; "Points"),CLASSNAMEHEADERS,0))</f>
        <v/>
      </c>
      <c r="I234" s="12" t="b">
        <v>0</v>
      </c>
      <c r="J234" s="238" t="str">
        <f t="shared" si="51"/>
        <v>Weapon Legend</v>
      </c>
      <c r="K234" s="149" t="str">
        <f t="shared" si="52"/>
        <v>Weapon Specialization</v>
      </c>
      <c r="L234" s="149">
        <f t="shared" si="53"/>
        <v>0</v>
      </c>
      <c r="M234" s="242" t="str">
        <f t="shared" si="54"/>
        <v/>
      </c>
      <c r="N234" s="243" t="str">
        <f t="shared" si="55"/>
        <v/>
      </c>
      <c r="O234" s="149">
        <f t="shared" si="56"/>
        <v>0</v>
      </c>
    </row>
    <row r="235" outlineLevel="1">
      <c r="A235" s="35" t="str">
        <f>CLASSDATA!A235</f>
        <v>ClassAbility2-L13</v>
      </c>
      <c r="B235" s="35" t="str">
        <f>CLASSDATA!B235</f>
        <v>L13</v>
      </c>
      <c r="C235" s="35" t="str">
        <f>CLASSDATA!C235</f>
        <v/>
      </c>
      <c r="D235" s="148" t="str">
        <f t="array" ref="D235">INDEX(ALLCLASSDATA,MATCH(A235,CLASSFEATUREHEADERS,0),MATCH($D$2,CLASSNAMEHEADERS,0))</f>
        <v/>
      </c>
      <c r="E235" s="149" t="str">
        <f t="array" ref="E235">INDEX(ALLCLASSDATA,MATCH(A235,CLASSFEATUREHEADERS,0),MATCH(($D$2 &amp; "Points"),CLASSNAMEHEADERS,0))</f>
        <v/>
      </c>
      <c r="F235" s="12" t="b">
        <v>0</v>
      </c>
      <c r="G235" s="148" t="str">
        <f t="array" ref="G235">INDEX(ALLCLASSDATA,MATCH(A235,CLASSFEATUREHEADERS,0),MATCH($G$2,CLASSNAMEHEADERS,0))</f>
        <v>Defensive Robes</v>
      </c>
      <c r="H235" s="149" t="str">
        <f t="array" ref="H235">INDEX(ALLCLASSDATA,MATCH(A235,CLASSFEATUREHEADERS,0),MATCH(($G$2 &amp; "Points"),CLASSNAMEHEADERS,0))</f>
        <v/>
      </c>
      <c r="I235" s="12" t="b">
        <v>0</v>
      </c>
      <c r="J235" s="238" t="str">
        <f t="shared" si="51"/>
        <v/>
      </c>
      <c r="K235" s="149" t="str">
        <f t="shared" si="52"/>
        <v>Defensive Robes</v>
      </c>
      <c r="L235" s="149">
        <f t="shared" si="53"/>
        <v>0</v>
      </c>
      <c r="M235" s="242" t="str">
        <f t="shared" si="54"/>
        <v/>
      </c>
      <c r="N235" s="243" t="str">
        <f t="shared" si="55"/>
        <v/>
      </c>
      <c r="O235" s="149">
        <f t="shared" si="56"/>
        <v>0</v>
      </c>
    </row>
    <row r="236" outlineLevel="1">
      <c r="A236" s="35" t="str">
        <f>CLASSDATA!A236</f>
        <v>ClassAbility3-L13</v>
      </c>
      <c r="B236" s="35" t="str">
        <f>CLASSDATA!B236</f>
        <v>L13</v>
      </c>
      <c r="C236" s="35" t="str">
        <f>CLASSDATA!C236</f>
        <v/>
      </c>
      <c r="D236" s="148" t="str">
        <f t="array" ref="D236">INDEX(ALLCLASSDATA,MATCH(A236,CLASSFEATUREHEADERS,0),MATCH($D$2,CLASSNAMEHEADERS,0))</f>
        <v/>
      </c>
      <c r="E236" s="149" t="str">
        <f t="array" ref="E236">INDEX(ALLCLASSDATA,MATCH(A236,CLASSFEATUREHEADERS,0),MATCH(($D$2 &amp; "Points"),CLASSNAMEHEADERS,0))</f>
        <v/>
      </c>
      <c r="F236" s="12" t="b">
        <v>0</v>
      </c>
      <c r="G236" s="148" t="str">
        <f t="array" ref="G236">INDEX(ALLCLASSDATA,MATCH(A236,CLASSFEATUREHEADERS,0),MATCH($G$2,CLASSNAMEHEADERS,0))</f>
        <v/>
      </c>
      <c r="H236" s="149" t="str">
        <f t="array" ref="H236">INDEX(ALLCLASSDATA,MATCH(A236,CLASSFEATUREHEADERS,0),MATCH(($G$2 &amp; "Points"),CLASSNAMEHEADERS,0))</f>
        <v/>
      </c>
      <c r="I236" s="12" t="b">
        <v>0</v>
      </c>
      <c r="J236" s="238" t="str">
        <f t="shared" si="51"/>
        <v/>
      </c>
      <c r="K236" s="149" t="str">
        <f t="shared" si="52"/>
        <v/>
      </c>
      <c r="L236" s="149">
        <f t="shared" si="53"/>
        <v>0</v>
      </c>
      <c r="M236" s="242" t="str">
        <f t="shared" si="54"/>
        <v/>
      </c>
      <c r="N236" s="243" t="str">
        <f t="shared" si="55"/>
        <v/>
      </c>
      <c r="O236" s="149">
        <f t="shared" si="56"/>
        <v>0</v>
      </c>
    </row>
    <row r="237" outlineLevel="1">
      <c r="A237" s="35" t="str">
        <f>CLASSDATA!A237</f>
        <v>ClassAbility4-L13</v>
      </c>
      <c r="B237" s="35" t="str">
        <f>CLASSDATA!B237</f>
        <v>L13</v>
      </c>
      <c r="C237" s="35" t="str">
        <f>CLASSDATA!C237</f>
        <v/>
      </c>
      <c r="D237" s="148" t="str">
        <f t="array" ref="D237">INDEX(ALLCLASSDATA,MATCH(A237,CLASSFEATUREHEADERS,0),MATCH($D$2,CLASSNAMEHEADERS,0))</f>
        <v/>
      </c>
      <c r="E237" s="149" t="str">
        <f t="array" ref="E237">INDEX(ALLCLASSDATA,MATCH(A237,CLASSFEATUREHEADERS,0),MATCH(($D$2 &amp; "Points"),CLASSNAMEHEADERS,0))</f>
        <v/>
      </c>
      <c r="F237" s="12" t="b">
        <v>0</v>
      </c>
      <c r="G237" s="148" t="str">
        <f t="array" ref="G237">INDEX(ALLCLASSDATA,MATCH(A237,CLASSFEATUREHEADERS,0),MATCH($G$2,CLASSNAMEHEADERS,0))</f>
        <v/>
      </c>
      <c r="H237" s="149" t="str">
        <f t="array" ref="H237">INDEX(ALLCLASSDATA,MATCH(A237,CLASSFEATUREHEADERS,0),MATCH(($G$2 &amp; "Points"),CLASSNAMEHEADERS,0))</f>
        <v/>
      </c>
      <c r="I237" s="12" t="b">
        <v>0</v>
      </c>
      <c r="J237" s="238" t="str">
        <f t="shared" si="51"/>
        <v/>
      </c>
      <c r="K237" s="149" t="str">
        <f t="shared" si="52"/>
        <v/>
      </c>
      <c r="L237" s="149">
        <f t="shared" si="53"/>
        <v>0</v>
      </c>
      <c r="M237" s="242" t="str">
        <f t="shared" si="54"/>
        <v/>
      </c>
      <c r="N237" s="243" t="str">
        <f t="shared" si="55"/>
        <v/>
      </c>
      <c r="O237" s="149">
        <f t="shared" si="56"/>
        <v>0</v>
      </c>
    </row>
    <row r="238" outlineLevel="1">
      <c r="A238" s="35" t="str">
        <f>CLASSDATA!A238</f>
        <v>ClassAbility1-L15</v>
      </c>
      <c r="B238" s="35" t="str">
        <f>CLASSDATA!B238</f>
        <v>L15</v>
      </c>
      <c r="C238" s="35" t="str">
        <f>CLASSDATA!C238</f>
        <v/>
      </c>
      <c r="D238" s="148" t="str">
        <f t="array" ref="D238">INDEX(ALLCLASSDATA,MATCH(A238,CLASSFEATUREHEADERS,0),MATCH($D$2,CLASSNAMEHEADERS,0))</f>
        <v>Greater Weapon Specialization</v>
      </c>
      <c r="E238" s="149" t="str">
        <f t="array" ref="E238">INDEX(ALLCLASSDATA,MATCH(A238,CLASSFEATUREHEADERS,0),MATCH(($D$2 &amp; "Points"),CLASSNAMEHEADERS,0))</f>
        <v/>
      </c>
      <c r="F238" s="12" t="b">
        <v>0</v>
      </c>
      <c r="G238" s="148" t="str">
        <f t="array" ref="G238">INDEX(ALLCLASSDATA,MATCH(A238,CLASSFEATUREHEADERS,0),MATCH($G$2,CLASSNAMEHEADERS,0))</f>
        <v>Master Spellcaster</v>
      </c>
      <c r="H238" s="149" t="str">
        <f t="array" ref="H238">INDEX(ALLCLASSDATA,MATCH(A238,CLASSFEATUREHEADERS,0),MATCH(($G$2 &amp; "Points"),CLASSNAMEHEADERS,0))</f>
        <v/>
      </c>
      <c r="I238" s="12" t="b">
        <v>0</v>
      </c>
      <c r="J238" s="238" t="str">
        <f t="shared" si="51"/>
        <v>Greater Weapon Specialization</v>
      </c>
      <c r="K238" s="149" t="str">
        <f t="shared" si="52"/>
        <v>Master Spellcaster</v>
      </c>
      <c r="L238" s="149">
        <f t="shared" si="53"/>
        <v>0</v>
      </c>
      <c r="M238" s="242" t="str">
        <f t="shared" si="54"/>
        <v/>
      </c>
      <c r="N238" s="243" t="str">
        <f t="shared" si="55"/>
        <v/>
      </c>
      <c r="O238" s="149">
        <f t="shared" si="56"/>
        <v>0</v>
      </c>
    </row>
    <row r="239" outlineLevel="1">
      <c r="A239" s="35" t="str">
        <f>CLASSDATA!A239</f>
        <v>ClassAbility2-L15</v>
      </c>
      <c r="B239" s="35" t="str">
        <f>CLASSDATA!B239</f>
        <v>L15</v>
      </c>
      <c r="C239" s="35" t="str">
        <f>CLASSDATA!C239</f>
        <v/>
      </c>
      <c r="D239" s="148" t="str">
        <f t="array" ref="D239">INDEX(ALLCLASSDATA,MATCH(A239,CLASSFEATUREHEADERS,0),MATCH($D$2,CLASSNAMEHEADERS,0))</f>
        <v>Improved Flexibility</v>
      </c>
      <c r="E239" s="149">
        <f t="array" ref="E239">INDEX(ALLCLASSDATA,MATCH(A239,CLASSFEATUREHEADERS,0),MATCH(($D$2 &amp; "Points"),CLASSNAMEHEADERS,0))</f>
        <v>150</v>
      </c>
      <c r="F239" s="12" t="b">
        <v>0</v>
      </c>
      <c r="G239" s="148" t="str">
        <f t="array" ref="G239">INDEX(ALLCLASSDATA,MATCH(A239,CLASSFEATUREHEADERS,0),MATCH($G$2,CLASSNAMEHEADERS,0))</f>
        <v/>
      </c>
      <c r="H239" s="149" t="str">
        <f t="array" ref="H239">INDEX(ALLCLASSDATA,MATCH(A239,CLASSFEATUREHEADERS,0),MATCH(($G$2 &amp; "Points"),CLASSNAMEHEADERS,0))</f>
        <v/>
      </c>
      <c r="I239" s="12" t="b">
        <v>0</v>
      </c>
      <c r="J239" s="238" t="str">
        <f t="shared" si="51"/>
        <v>Improved Flexibility</v>
      </c>
      <c r="K239" s="149" t="str">
        <f t="shared" si="52"/>
        <v/>
      </c>
      <c r="L239" s="149">
        <f t="shared" si="53"/>
        <v>150</v>
      </c>
      <c r="M239" s="242" t="str">
        <f t="shared" si="54"/>
        <v/>
      </c>
      <c r="N239" s="243" t="str">
        <f t="shared" si="55"/>
        <v/>
      </c>
      <c r="O239" s="149">
        <f t="shared" si="56"/>
        <v>0</v>
      </c>
    </row>
    <row r="240" outlineLevel="1">
      <c r="A240" s="35" t="str">
        <f>CLASSDATA!A240</f>
        <v>ClassAbility3-L15</v>
      </c>
      <c r="B240" s="35" t="str">
        <f>CLASSDATA!B240</f>
        <v>L15</v>
      </c>
      <c r="C240" s="35" t="str">
        <f>CLASSDATA!C240</f>
        <v/>
      </c>
      <c r="D240" s="148" t="str">
        <f t="array" ref="D240">INDEX(ALLCLASSDATA,MATCH(A240,CLASSFEATUREHEADERS,0),MATCH($D$2,CLASSNAMEHEADERS,0))</f>
        <v>Evasion</v>
      </c>
      <c r="E240" s="149" t="str">
        <f t="array" ref="E240">INDEX(ALLCLASSDATA,MATCH(A240,CLASSFEATUREHEADERS,0),MATCH(($D$2 &amp; "Points"),CLASSNAMEHEADERS,0))</f>
        <v/>
      </c>
      <c r="F240" s="12" t="b">
        <v>0</v>
      </c>
      <c r="G240" s="148" t="str">
        <f t="array" ref="G240">INDEX(ALLCLASSDATA,MATCH(A240,CLASSFEATUREHEADERS,0),MATCH($G$2,CLASSNAMEHEADERS,0))</f>
        <v/>
      </c>
      <c r="H240" s="149" t="str">
        <f t="array" ref="H240">INDEX(ALLCLASSDATA,MATCH(A240,CLASSFEATUREHEADERS,0),MATCH(($G$2 &amp; "Points"),CLASSNAMEHEADERS,0))</f>
        <v/>
      </c>
      <c r="I240" s="12" t="b">
        <v>0</v>
      </c>
      <c r="J240" s="238" t="str">
        <f t="shared" si="51"/>
        <v>Evasion</v>
      </c>
      <c r="K240" s="149" t="str">
        <f t="shared" si="52"/>
        <v/>
      </c>
      <c r="L240" s="149">
        <f t="shared" si="53"/>
        <v>0</v>
      </c>
      <c r="M240" s="242" t="str">
        <f t="shared" si="54"/>
        <v/>
      </c>
      <c r="N240" s="243" t="str">
        <f t="shared" si="55"/>
        <v/>
      </c>
      <c r="O240" s="149">
        <f t="shared" si="56"/>
        <v>0</v>
      </c>
    </row>
    <row r="241" outlineLevel="1">
      <c r="A241" s="35" t="str">
        <f>CLASSDATA!A241</f>
        <v>ClassAbility4-L15</v>
      </c>
      <c r="B241" s="35" t="str">
        <f>CLASSDATA!B241</f>
        <v>L15</v>
      </c>
      <c r="C241" s="35" t="str">
        <f>CLASSDATA!C241</f>
        <v/>
      </c>
      <c r="D241" s="148" t="str">
        <f t="array" ref="D241">INDEX(ALLCLASSDATA,MATCH(A241,CLASSFEATUREHEADERS,0),MATCH($D$2,CLASSNAMEHEADERS,0))</f>
        <v/>
      </c>
      <c r="E241" s="149" t="str">
        <f t="array" ref="E241">INDEX(ALLCLASSDATA,MATCH(A241,CLASSFEATUREHEADERS,0),MATCH(($D$2 &amp; "Points"),CLASSNAMEHEADERS,0))</f>
        <v/>
      </c>
      <c r="F241" s="12" t="b">
        <v>0</v>
      </c>
      <c r="G241" s="148" t="str">
        <f t="array" ref="G241">INDEX(ALLCLASSDATA,MATCH(A241,CLASSFEATUREHEADERS,0),MATCH($G$2,CLASSNAMEHEADERS,0))</f>
        <v/>
      </c>
      <c r="H241" s="149" t="str">
        <f t="array" ref="H241">INDEX(ALLCLASSDATA,MATCH(A241,CLASSFEATUREHEADERS,0),MATCH(($G$2 &amp; "Points"),CLASSNAMEHEADERS,0))</f>
        <v/>
      </c>
      <c r="I241" s="12" t="b">
        <v>0</v>
      </c>
      <c r="J241" s="238" t="str">
        <f t="shared" si="51"/>
        <v/>
      </c>
      <c r="K241" s="149" t="str">
        <f t="shared" si="52"/>
        <v/>
      </c>
      <c r="L241" s="149">
        <f t="shared" si="53"/>
        <v>0</v>
      </c>
      <c r="M241" s="242" t="str">
        <f t="shared" si="54"/>
        <v/>
      </c>
      <c r="N241" s="243" t="str">
        <f t="shared" si="55"/>
        <v/>
      </c>
      <c r="O241" s="149">
        <f t="shared" si="56"/>
        <v>0</v>
      </c>
    </row>
    <row r="242" outlineLevel="1">
      <c r="A242" s="35" t="str">
        <f>CLASSDATA!A242</f>
        <v>ClassAbility1-L17</v>
      </c>
      <c r="B242" s="35" t="str">
        <f>CLASSDATA!B242</f>
        <v>L17</v>
      </c>
      <c r="C242" s="35" t="str">
        <f>CLASSDATA!C242</f>
        <v/>
      </c>
      <c r="D242" s="148" t="str">
        <f t="array" ref="D242">INDEX(ALLCLASSDATA,MATCH(A242,CLASSFEATUREHEADERS,0),MATCH($D$2,CLASSNAMEHEADERS,0))</f>
        <v>Armor Mastery</v>
      </c>
      <c r="E242" s="149" t="str">
        <f t="array" ref="E242">INDEX(ALLCLASSDATA,MATCH(A242,CLASSFEATUREHEADERS,0),MATCH(($D$2 &amp; "Points"),CLASSNAMEHEADERS,0))</f>
        <v/>
      </c>
      <c r="F242" s="12" t="b">
        <v>0</v>
      </c>
      <c r="G242" s="148" t="str">
        <f t="array" ref="G242">INDEX(ALLCLASSDATA,MATCH(A242,CLASSFEATUREHEADERS,0),MATCH($G$2,CLASSNAMEHEADERS,0))</f>
        <v>Resolve</v>
      </c>
      <c r="H242" s="149" t="str">
        <f t="array" ref="H242">INDEX(ALLCLASSDATA,MATCH(A242,CLASSFEATUREHEADERS,0),MATCH(($G$2 &amp; "Points"),CLASSNAMEHEADERS,0))</f>
        <v/>
      </c>
      <c r="I242" s="12" t="b">
        <v>0</v>
      </c>
      <c r="J242" s="238" t="str">
        <f t="shared" si="51"/>
        <v>Armor Mastery</v>
      </c>
      <c r="K242" s="149" t="str">
        <f t="shared" si="52"/>
        <v>Resolve</v>
      </c>
      <c r="L242" s="149">
        <f t="shared" si="53"/>
        <v>0</v>
      </c>
      <c r="M242" s="242" t="str">
        <f t="shared" si="54"/>
        <v/>
      </c>
      <c r="N242" s="243" t="str">
        <f t="shared" si="55"/>
        <v/>
      </c>
      <c r="O242" s="149">
        <f t="shared" si="56"/>
        <v>0</v>
      </c>
    </row>
    <row r="243" outlineLevel="1">
      <c r="A243" s="35" t="str">
        <f>CLASSDATA!A243</f>
        <v>ClassAbility2-L17</v>
      </c>
      <c r="B243" s="35" t="str">
        <f>CLASSDATA!B243</f>
        <v>L17</v>
      </c>
      <c r="C243" s="35" t="str">
        <f>CLASSDATA!C243</f>
        <v/>
      </c>
      <c r="D243" s="148" t="str">
        <f t="array" ref="D243">INDEX(ALLCLASSDATA,MATCH(A243,CLASSFEATUREHEADERS,0),MATCH($D$2,CLASSNAMEHEADERS,0))</f>
        <v/>
      </c>
      <c r="E243" s="149" t="str">
        <f t="array" ref="E243">INDEX(ALLCLASSDATA,MATCH(A243,CLASSFEATUREHEADERS,0),MATCH(($D$2 &amp; "Points"),CLASSNAMEHEADERS,0))</f>
        <v/>
      </c>
      <c r="F243" s="12" t="b">
        <v>0</v>
      </c>
      <c r="G243" s="148" t="str">
        <f t="array" ref="G243">INDEX(ALLCLASSDATA,MATCH(A243,CLASSFEATUREHEADERS,0),MATCH($G$2,CLASSNAMEHEADERS,0))</f>
        <v/>
      </c>
      <c r="H243" s="149" t="str">
        <f t="array" ref="H243">INDEX(ALLCLASSDATA,MATCH(A243,CLASSFEATUREHEADERS,0),MATCH(($G$2 &amp; "Points"),CLASSNAMEHEADERS,0))</f>
        <v/>
      </c>
      <c r="I243" s="12" t="b">
        <v>0</v>
      </c>
      <c r="J243" s="238" t="str">
        <f t="shared" si="51"/>
        <v/>
      </c>
      <c r="K243" s="149" t="str">
        <f t="shared" si="52"/>
        <v/>
      </c>
      <c r="L243" s="149">
        <f t="shared" si="53"/>
        <v>0</v>
      </c>
      <c r="M243" s="242" t="str">
        <f t="shared" si="54"/>
        <v/>
      </c>
      <c r="N243" s="243" t="str">
        <f t="shared" si="55"/>
        <v/>
      </c>
      <c r="O243" s="149">
        <f t="shared" si="56"/>
        <v>0</v>
      </c>
    </row>
    <row r="244" outlineLevel="1">
      <c r="A244" s="35" t="str">
        <f>CLASSDATA!A244</f>
        <v>ClassAbility3-L17</v>
      </c>
      <c r="B244" s="35" t="str">
        <f>CLASSDATA!B244</f>
        <v>L17</v>
      </c>
      <c r="C244" s="35" t="str">
        <f>CLASSDATA!C244</f>
        <v/>
      </c>
      <c r="D244" s="148" t="str">
        <f t="array" ref="D244">INDEX(ALLCLASSDATA,MATCH(A244,CLASSFEATUREHEADERS,0),MATCH($D$2,CLASSNAMEHEADERS,0))</f>
        <v/>
      </c>
      <c r="E244" s="149" t="str">
        <f t="array" ref="E244">INDEX(ALLCLASSDATA,MATCH(A244,CLASSFEATUREHEADERS,0),MATCH(($D$2 &amp; "Points"),CLASSNAMEHEADERS,0))</f>
        <v/>
      </c>
      <c r="F244" s="12" t="b">
        <v>0</v>
      </c>
      <c r="G244" s="148" t="str">
        <f t="array" ref="G244">INDEX(ALLCLASSDATA,MATCH(A244,CLASSFEATUREHEADERS,0),MATCH($G$2,CLASSNAMEHEADERS,0))</f>
        <v/>
      </c>
      <c r="H244" s="149" t="str">
        <f t="array" ref="H244">INDEX(ALLCLASSDATA,MATCH(A244,CLASSFEATUREHEADERS,0),MATCH(($G$2 &amp; "Points"),CLASSNAMEHEADERS,0))</f>
        <v/>
      </c>
      <c r="I244" s="12" t="b">
        <v>0</v>
      </c>
      <c r="J244" s="238" t="str">
        <f t="shared" si="51"/>
        <v/>
      </c>
      <c r="K244" s="149" t="str">
        <f t="shared" si="52"/>
        <v/>
      </c>
      <c r="L244" s="149">
        <f t="shared" si="53"/>
        <v>0</v>
      </c>
      <c r="M244" s="242" t="str">
        <f t="shared" si="54"/>
        <v/>
      </c>
      <c r="N244" s="243" t="str">
        <f t="shared" si="55"/>
        <v/>
      </c>
      <c r="O244" s="149">
        <f t="shared" si="56"/>
        <v>0</v>
      </c>
    </row>
    <row r="245" outlineLevel="1">
      <c r="A245" s="35" t="str">
        <f>CLASSDATA!A245</f>
        <v>ClassAbility4-L17</v>
      </c>
      <c r="B245" s="35" t="str">
        <f>CLASSDATA!B245</f>
        <v>L17</v>
      </c>
      <c r="C245" s="35" t="str">
        <f>CLASSDATA!C245</f>
        <v/>
      </c>
      <c r="D245" s="148" t="str">
        <f t="array" ref="D245">INDEX(ALLCLASSDATA,MATCH(A245,CLASSFEATUREHEADERS,0),MATCH($D$2,CLASSNAMEHEADERS,0))</f>
        <v/>
      </c>
      <c r="E245" s="149" t="str">
        <f t="array" ref="E245">INDEX(ALLCLASSDATA,MATCH(A245,CLASSFEATUREHEADERS,0),MATCH(($D$2 &amp; "Points"),CLASSNAMEHEADERS,0))</f>
        <v/>
      </c>
      <c r="F245" s="12" t="b">
        <v>0</v>
      </c>
      <c r="G245" s="148" t="str">
        <f t="array" ref="G245">INDEX(ALLCLASSDATA,MATCH(A245,CLASSFEATUREHEADERS,0),MATCH($G$2,CLASSNAMEHEADERS,0))</f>
        <v/>
      </c>
      <c r="H245" s="149" t="str">
        <f t="array" ref="H245">INDEX(ALLCLASSDATA,MATCH(A245,CLASSFEATUREHEADERS,0),MATCH(($G$2 &amp; "Points"),CLASSNAMEHEADERS,0))</f>
        <v/>
      </c>
      <c r="I245" s="12" t="b">
        <v>0</v>
      </c>
      <c r="J245" s="238" t="str">
        <f t="shared" si="51"/>
        <v/>
      </c>
      <c r="K245" s="149" t="str">
        <f t="shared" si="52"/>
        <v/>
      </c>
      <c r="L245" s="149">
        <f t="shared" si="53"/>
        <v>0</v>
      </c>
      <c r="M245" s="242" t="str">
        <f t="shared" si="54"/>
        <v/>
      </c>
      <c r="N245" s="243" t="str">
        <f t="shared" si="55"/>
        <v/>
      </c>
      <c r="O245" s="149">
        <f t="shared" si="56"/>
        <v>0</v>
      </c>
    </row>
    <row r="246" outlineLevel="1">
      <c r="A246" s="35" t="str">
        <f>CLASSDATA!A246</f>
        <v>ClassAbility1-L19</v>
      </c>
      <c r="B246" s="35" t="str">
        <f>CLASSDATA!B246</f>
        <v>L19</v>
      </c>
      <c r="C246" s="35" t="str">
        <f>CLASSDATA!C246</f>
        <v/>
      </c>
      <c r="D246" s="148" t="str">
        <f t="array" ref="D246">INDEX(ALLCLASSDATA,MATCH(A246,CLASSFEATUREHEADERS,0),MATCH($D$2,CLASSNAMEHEADERS,0))</f>
        <v>Versatile Legend</v>
      </c>
      <c r="E246" s="149" t="str">
        <f t="array" ref="E246">INDEX(ALLCLASSDATA,MATCH(A246,CLASSFEATUREHEADERS,0),MATCH(($D$2 &amp; "Points"),CLASSNAMEHEADERS,0))</f>
        <v/>
      </c>
      <c r="F246" s="12" t="b">
        <v>0</v>
      </c>
      <c r="G246" s="148" t="str">
        <f t="array" ref="G246">INDEX(ALLCLASSDATA,MATCH(A246,CLASSFEATUREHEADERS,0),MATCH($G$2,CLASSNAMEHEADERS,0))</f>
        <v>Archwizard's Spellcraft</v>
      </c>
      <c r="H246" s="149" t="str">
        <f t="array" ref="H246">INDEX(ALLCLASSDATA,MATCH(A246,CLASSFEATUREHEADERS,0),MATCH(($G$2 &amp; "Points"),CLASSNAMEHEADERS,0))</f>
        <v/>
      </c>
      <c r="I246" s="12" t="b">
        <v>0</v>
      </c>
      <c r="J246" s="238" t="str">
        <f t="shared" si="51"/>
        <v>Versatile Legend</v>
      </c>
      <c r="K246" s="149" t="str">
        <f t="shared" si="52"/>
        <v>Archwizard's Spellcraft</v>
      </c>
      <c r="L246" s="149">
        <f t="shared" si="53"/>
        <v>0</v>
      </c>
      <c r="M246" s="242" t="str">
        <f t="shared" si="54"/>
        <v/>
      </c>
      <c r="N246" s="243" t="str">
        <f t="shared" si="55"/>
        <v/>
      </c>
      <c r="O246" s="149">
        <f t="shared" si="56"/>
        <v>0</v>
      </c>
    </row>
    <row r="247" outlineLevel="1">
      <c r="A247" s="35" t="str">
        <f>CLASSDATA!A247</f>
        <v>ClassAbility2-L19</v>
      </c>
      <c r="B247" s="35" t="str">
        <f>CLASSDATA!B247</f>
        <v>L19</v>
      </c>
      <c r="C247" s="35" t="str">
        <f>CLASSDATA!C247</f>
        <v/>
      </c>
      <c r="D247" s="148" t="str">
        <f t="array" ref="D247">INDEX(ALLCLASSDATA,MATCH(A247,CLASSFEATUREHEADERS,0),MATCH($D$2,CLASSNAMEHEADERS,0))</f>
        <v/>
      </c>
      <c r="E247" s="149" t="str">
        <f t="array" ref="E247">INDEX(ALLCLASSDATA,MATCH(A247,CLASSFEATUREHEADERS,0),MATCH(($D$2 &amp; "Points"),CLASSNAMEHEADERS,0))</f>
        <v/>
      </c>
      <c r="F247" s="12" t="b">
        <v>0</v>
      </c>
      <c r="G247" s="148" t="str">
        <f t="array" ref="G247">INDEX(ALLCLASSDATA,MATCH(A247,CLASSFEATUREHEADERS,0),MATCH($G$2,CLASSNAMEHEADERS,0))</f>
        <v>Legendary Spellcaster</v>
      </c>
      <c r="H247" s="149" t="str">
        <f t="array" ref="H247">INDEX(ALLCLASSDATA,MATCH(A247,CLASSFEATUREHEADERS,0),MATCH(($G$2 &amp; "Points"),CLASSNAMEHEADERS,0))</f>
        <v/>
      </c>
      <c r="I247" s="12" t="b">
        <v>0</v>
      </c>
      <c r="J247" s="238" t="str">
        <f t="shared" si="51"/>
        <v/>
      </c>
      <c r="K247" s="149" t="str">
        <f t="shared" si="52"/>
        <v>Legendary Spellcaster</v>
      </c>
      <c r="L247" s="149">
        <f t="shared" si="53"/>
        <v>0</v>
      </c>
      <c r="M247" s="242" t="str">
        <f t="shared" si="54"/>
        <v/>
      </c>
      <c r="N247" s="243" t="str">
        <f t="shared" si="55"/>
        <v/>
      </c>
      <c r="O247" s="149">
        <f t="shared" si="56"/>
        <v>0</v>
      </c>
    </row>
    <row r="248" outlineLevel="1">
      <c r="A248" s="35" t="str">
        <f>CLASSDATA!A248</f>
        <v>ClassAbility3-L19</v>
      </c>
      <c r="B248" s="35" t="str">
        <f>CLASSDATA!B248</f>
        <v>L19</v>
      </c>
      <c r="C248" s="35" t="str">
        <f>CLASSDATA!C248</f>
        <v/>
      </c>
      <c r="D248" s="148" t="str">
        <f t="array" ref="D248">INDEX(ALLCLASSDATA,MATCH(A248,CLASSFEATUREHEADERS,0),MATCH($D$2,CLASSNAMEHEADERS,0))</f>
        <v/>
      </c>
      <c r="E248" s="149" t="str">
        <f t="array" ref="E248">INDEX(ALLCLASSDATA,MATCH(A248,CLASSFEATUREHEADERS,0),MATCH(($D$2 &amp; "Points"),CLASSNAMEHEADERS,0))</f>
        <v/>
      </c>
      <c r="F248" s="12" t="b">
        <v>0</v>
      </c>
      <c r="G248" s="148" t="str">
        <f t="array" ref="G248">INDEX(ALLCLASSDATA,MATCH(A248,CLASSFEATUREHEADERS,0),MATCH($G$2,CLASSNAMEHEADERS,0))</f>
        <v/>
      </c>
      <c r="H248" s="149" t="str">
        <f t="array" ref="H248">INDEX(ALLCLASSDATA,MATCH(A248,CLASSFEATUREHEADERS,0),MATCH(($G$2 &amp; "Points"),CLASSNAMEHEADERS,0))</f>
        <v/>
      </c>
      <c r="I248" s="12" t="b">
        <v>0</v>
      </c>
      <c r="J248" s="238" t="str">
        <f t="shared" si="51"/>
        <v/>
      </c>
      <c r="K248" s="149" t="str">
        <f t="shared" si="52"/>
        <v/>
      </c>
      <c r="L248" s="149">
        <f t="shared" si="53"/>
        <v>0</v>
      </c>
      <c r="M248" s="242" t="str">
        <f t="shared" si="54"/>
        <v/>
      </c>
      <c r="N248" s="243" t="str">
        <f t="shared" si="55"/>
        <v/>
      </c>
      <c r="O248" s="149">
        <f t="shared" si="56"/>
        <v>0</v>
      </c>
    </row>
    <row r="249" outlineLevel="1">
      <c r="A249" s="35" t="str">
        <f>CLASSDATA!A249</f>
        <v>ClassAbility4-L19</v>
      </c>
      <c r="B249" s="35" t="str">
        <f>CLASSDATA!B249</f>
        <v>L19</v>
      </c>
      <c r="C249" s="35" t="str">
        <f>CLASSDATA!C249</f>
        <v/>
      </c>
      <c r="D249" s="148" t="str">
        <f t="array" ref="D249">INDEX(ALLCLASSDATA,MATCH(A249,CLASSFEATUREHEADERS,0),MATCH($D$2,CLASSNAMEHEADERS,0))</f>
        <v/>
      </c>
      <c r="E249" s="149" t="str">
        <f t="array" ref="E249">INDEX(ALLCLASSDATA,MATCH(A249,CLASSFEATUREHEADERS,0),MATCH(($D$2 &amp; "Points"),CLASSNAMEHEADERS,0))</f>
        <v/>
      </c>
      <c r="F249" s="12" t="b">
        <v>0</v>
      </c>
      <c r="G249" s="148" t="str">
        <f t="array" ref="G249">INDEX(ALLCLASSDATA,MATCH(A249,CLASSFEATUREHEADERS,0),MATCH($G$2,CLASSNAMEHEADERS,0))</f>
        <v/>
      </c>
      <c r="H249" s="149" t="str">
        <f t="array" ref="H249">INDEX(ALLCLASSDATA,MATCH(A249,CLASSFEATUREHEADERS,0),MATCH(($G$2 &amp; "Points"),CLASSNAMEHEADERS,0))</f>
        <v/>
      </c>
      <c r="I249" s="12" t="b">
        <v>0</v>
      </c>
      <c r="J249" s="238" t="str">
        <f t="shared" si="51"/>
        <v/>
      </c>
      <c r="K249" s="149" t="str">
        <f t="shared" si="52"/>
        <v/>
      </c>
      <c r="L249" s="149">
        <f t="shared" si="53"/>
        <v>0</v>
      </c>
      <c r="M249" s="242" t="str">
        <f t="shared" si="54"/>
        <v/>
      </c>
      <c r="N249" s="243" t="str">
        <f t="shared" si="55"/>
        <v/>
      </c>
      <c r="O249" s="149">
        <f t="shared" si="56"/>
        <v>0</v>
      </c>
    </row>
    <row r="250">
      <c r="A250" s="173" t="str">
        <f>CLASSDATA!A250</f>
        <v>SUBCLASS ABILITIES TOTAL:</v>
      </c>
      <c r="B250" s="249" t="str">
        <f>CLASSDATA!B250</f>
        <v/>
      </c>
      <c r="C250" s="249" t="str">
        <f>CLASSDATA!C250</f>
        <v/>
      </c>
      <c r="D250" s="260" t="str">
        <f t="array" ref="D250">INDEX(ALLCLASSDATA,MATCH(A250,CLASSFEATUREHEADERS,0),MATCH($D$2,CLASSNAMEHEADERS,0))</f>
        <v/>
      </c>
      <c r="E250" s="246">
        <f t="array" ref="E250">INDEX(ALLCLASSDATA,MATCH(A250,CLASSFEATUREHEADERS,0),MATCH(($D$2 &amp; "Points"),CLASSNAMEHEADERS,0))</f>
        <v>0</v>
      </c>
      <c r="F250" s="246"/>
      <c r="G250" s="260" t="str">
        <f t="array" ref="G250">INDEX(ALLCLASSDATA,MATCH(A250,CLASSFEATUREHEADERS,0),MATCH($G$2,CLASSNAMEHEADERS,0))</f>
        <v/>
      </c>
      <c r="H250" s="246">
        <f t="array" ref="H250">INDEX(ALLCLASSDATA,MATCH(A250,CLASSFEATUREHEADERS,0),MATCH(($G$2 &amp; "Points"),CLASSNAMEHEADERS,0))</f>
        <v>80</v>
      </c>
      <c r="I250" s="246"/>
      <c r="J250" s="247"/>
      <c r="K250" s="273"/>
      <c r="L250" s="75">
        <f>sum(L251:L279)</f>
        <v>80</v>
      </c>
      <c r="M250" s="247"/>
      <c r="N250" s="273"/>
      <c r="O250" s="75">
        <f>sum(O251:O279)</f>
        <v>80</v>
      </c>
      <c r="P250" s="246"/>
    </row>
    <row r="251" outlineLevel="1">
      <c r="A251" s="35" t="str">
        <f>CLASSDATA!A251</f>
        <v>SubclassName</v>
      </c>
      <c r="B251" s="35" t="str">
        <f>CLASSDATA!B251</f>
        <v>L00</v>
      </c>
      <c r="C251" s="35" t="str">
        <f>CLASSDATA!C251</f>
        <v/>
      </c>
      <c r="D251" s="148" t="str">
        <f t="array" ref="D251">INDEX(ALLCLASSDATA,MATCH(A251,CLASSFEATUREHEADERS,0),MATCH($D$2,CLASSNAMEHEADERS,0))</f>
        <v>Extra class feats per day at later levels</v>
      </c>
      <c r="E251" s="149" t="str">
        <f t="array" ref="E251">INDEX(ALLCLASSDATA,MATCH(A251,CLASSFEATUREHEADERS,0),MATCH(($D$2 &amp; "Points"),CLASSNAMEHEADERS,0))</f>
        <v/>
      </c>
      <c r="F251" s="12" t="b">
        <v>0</v>
      </c>
      <c r="G251" s="275" t="str">
        <f t="array" ref="G251">INDEX(ALLCLASSDATA,MATCH(A251,CLASSFEATUREHEADERS,0),MATCH($G$2,CLASSNAMEHEADERS,0))</f>
        <v>Arcane Schools</v>
      </c>
      <c r="H251" s="149" t="str">
        <f t="array" ref="H251">INDEX(ALLCLASSDATA,MATCH(A251,CLASSFEATUREHEADERS,0),MATCH(($G$2 &amp; "Points"),CLASSNAMEHEADERS,0))</f>
        <v/>
      </c>
      <c r="I251" s="12" t="b">
        <v>1</v>
      </c>
      <c r="J251" s="238" t="str">
        <f t="shared" ref="J251:J279" si="57">D251</f>
        <v>Extra class feats per day at later levels</v>
      </c>
      <c r="K251" s="276" t="str">
        <f t="shared" ref="K251:K279" si="58">G251</f>
        <v>Arcane Schools</v>
      </c>
      <c r="M251" s="242" t="str">
        <f t="shared" ref="M251:M279" si="59">IF(F251=TRUE,D251,"")</f>
        <v/>
      </c>
      <c r="N251" s="277" t="str">
        <f t="shared" ref="N251:N279" si="60">IF(I251=TRUE,G251,"")</f>
        <v>Arcane Schools</v>
      </c>
      <c r="O251" s="149">
        <f t="shared" ref="O251:O279" si="61">(IF(F251=TRUE,E251,0))+(IF(I251=TRUE,H251,0))</f>
        <v>0</v>
      </c>
    </row>
    <row r="252" outlineLevel="1">
      <c r="A252" s="35" t="str">
        <f>CLASSDATA!A252</f>
        <v>SubclassInitial1-L00</v>
      </c>
      <c r="B252" s="35" t="str">
        <f>CLASSDATA!B252</f>
        <v>L00</v>
      </c>
      <c r="C252" s="35" t="str">
        <f>CLASSDATA!C252</f>
        <v/>
      </c>
      <c r="D252" s="148" t="str">
        <f t="array" ref="D252">INDEX(ALLCLASSDATA,MATCH(A252,CLASSFEATUREHEADERS,0),MATCH($D$2,CLASSNAMEHEADERS,0))</f>
        <v/>
      </c>
      <c r="E252" s="149" t="str">
        <f t="array" ref="E252">INDEX(ALLCLASSDATA,MATCH(A252,CLASSFEATUREHEADERS,0),MATCH(($D$2 &amp; "Points"),CLASSNAMEHEADERS,0))</f>
        <v/>
      </c>
      <c r="F252" s="12" t="b">
        <v>0</v>
      </c>
      <c r="G252" s="148" t="str">
        <f t="array" ref="G252">INDEX(ALLCLASSDATA,MATCH(A252,CLASSFEATUREHEADERS,0),MATCH($G$2,CLASSNAMEHEADERS,0))</f>
        <v>Initial School bonuses</v>
      </c>
      <c r="H252" s="149">
        <f t="array" ref="H252">INDEX(ALLCLASSDATA,MATCH(A252,CLASSFEATUREHEADERS,0),MATCH(($G$2 &amp; "Points"),CLASSNAMEHEADERS,0))</f>
        <v>10</v>
      </c>
      <c r="I252" s="12" t="b">
        <v>1</v>
      </c>
      <c r="J252" s="238" t="str">
        <f t="shared" si="57"/>
        <v/>
      </c>
      <c r="K252" s="149" t="str">
        <f t="shared" si="58"/>
        <v>Initial School bonuses</v>
      </c>
      <c r="L252" s="149">
        <f t="shared" ref="L252:L279" si="62">SUM(E252,H252)</f>
        <v>10</v>
      </c>
      <c r="M252" s="242" t="str">
        <f t="shared" si="59"/>
        <v/>
      </c>
      <c r="N252" s="243" t="str">
        <f t="shared" si="60"/>
        <v>Initial School bonuses</v>
      </c>
      <c r="O252" s="149">
        <f t="shared" si="61"/>
        <v>10</v>
      </c>
    </row>
    <row r="253" outlineLevel="1">
      <c r="A253" s="35" t="str">
        <f>CLASSDATA!A253</f>
        <v>SubclassInitial2-L00</v>
      </c>
      <c r="B253" s="35" t="str">
        <f>CLASSDATA!B253</f>
        <v>L00</v>
      </c>
      <c r="C253" s="35" t="str">
        <f>CLASSDATA!C253</f>
        <v/>
      </c>
      <c r="D253" s="148" t="str">
        <f t="array" ref="D253">INDEX(ALLCLASSDATA,MATCH(A253,CLASSFEATUREHEADERS,0),MATCH($D$2,CLASSNAMEHEADERS,0))</f>
        <v/>
      </c>
      <c r="E253" s="149" t="str">
        <f t="array" ref="E253">INDEX(ALLCLASSDATA,MATCH(A253,CLASSFEATUREHEADERS,0),MATCH(($D$2 &amp; "Points"),CLASSNAMEHEADERS,0))</f>
        <v/>
      </c>
      <c r="F253" s="12" t="b">
        <v>0</v>
      </c>
      <c r="G253" s="275" t="str">
        <f t="array" ref="G253">INDEX(ALLCLASSDATA,MATCH(A253,CLASSFEATUREHEADERS,0),MATCH($G$2,CLASSNAMEHEADERS,0))</f>
        <v>Arcane Thesis</v>
      </c>
      <c r="H253" s="149">
        <f t="array" ref="H253">INDEX(ALLCLASSDATA,MATCH(A253,CLASSFEATUREHEADERS,0),MATCH(($G$2 &amp; "Points"),CLASSNAMEHEADERS,0))</f>
        <v>70</v>
      </c>
      <c r="I253" s="12" t="b">
        <v>1</v>
      </c>
      <c r="J253" s="238" t="str">
        <f t="shared" si="57"/>
        <v/>
      </c>
      <c r="K253" s="276" t="str">
        <f t="shared" si="58"/>
        <v>Arcane Thesis</v>
      </c>
      <c r="L253" s="149">
        <f t="shared" si="62"/>
        <v>70</v>
      </c>
      <c r="M253" s="242" t="str">
        <f t="shared" si="59"/>
        <v/>
      </c>
      <c r="N253" s="277" t="str">
        <f t="shared" si="60"/>
        <v>Arcane Thesis</v>
      </c>
      <c r="O253" s="149">
        <f t="shared" si="61"/>
        <v>70</v>
      </c>
    </row>
    <row r="254" outlineLevel="1">
      <c r="A254" s="35" t="str">
        <f>CLASSDATA!A254</f>
        <v>SubclassInitial3-L00</v>
      </c>
      <c r="B254" s="35" t="str">
        <f>CLASSDATA!B254</f>
        <v>L00</v>
      </c>
      <c r="C254" s="35" t="str">
        <f>CLASSDATA!C254</f>
        <v/>
      </c>
      <c r="D254" s="148" t="str">
        <f t="array" ref="D254">INDEX(ALLCLASSDATA,MATCH(A254,CLASSFEATUREHEADERS,0),MATCH($D$2,CLASSNAMEHEADERS,0))</f>
        <v/>
      </c>
      <c r="E254" s="149" t="str">
        <f t="array" ref="E254">INDEX(ALLCLASSDATA,MATCH(A254,CLASSFEATUREHEADERS,0),MATCH(($D$2 &amp; "Points"),CLASSNAMEHEADERS,0))</f>
        <v/>
      </c>
      <c r="F254" s="12" t="b">
        <v>0</v>
      </c>
      <c r="G254" s="148" t="str">
        <f t="array" ref="G254">INDEX(ALLCLASSDATA,MATCH(A254,CLASSFEATUREHEADERS,0),MATCH($G$2,CLASSNAMEHEADERS,0))</f>
        <v/>
      </c>
      <c r="H254" s="149" t="str">
        <f t="array" ref="H254">INDEX(ALLCLASSDATA,MATCH(A254,CLASSFEATUREHEADERS,0),MATCH(($G$2 &amp; "Points"),CLASSNAMEHEADERS,0))</f>
        <v/>
      </c>
      <c r="I254" s="12" t="b">
        <v>0</v>
      </c>
      <c r="J254" s="238" t="str">
        <f t="shared" si="57"/>
        <v/>
      </c>
      <c r="K254" s="149" t="str">
        <f t="shared" si="58"/>
        <v/>
      </c>
      <c r="L254" s="149">
        <f t="shared" si="62"/>
        <v>0</v>
      </c>
      <c r="M254" s="242" t="str">
        <f t="shared" si="59"/>
        <v/>
      </c>
      <c r="N254" s="243" t="str">
        <f t="shared" si="60"/>
        <v/>
      </c>
      <c r="O254" s="149">
        <f t="shared" si="61"/>
        <v>0</v>
      </c>
    </row>
    <row r="255" outlineLevel="1">
      <c r="A255" s="35" t="str">
        <f>CLASSDATA!A255</f>
        <v>SubclassInitial4-L00</v>
      </c>
      <c r="B255" s="35" t="str">
        <f>CLASSDATA!B255</f>
        <v>L00</v>
      </c>
      <c r="C255" s="35" t="str">
        <f>CLASSDATA!C255</f>
        <v/>
      </c>
      <c r="D255" s="148" t="str">
        <f t="array" ref="D255">INDEX(ALLCLASSDATA,MATCH(A255,CLASSFEATUREHEADERS,0),MATCH($D$2,CLASSNAMEHEADERS,0))</f>
        <v/>
      </c>
      <c r="E255" s="149" t="str">
        <f t="array" ref="E255">INDEX(ALLCLASSDATA,MATCH(A255,CLASSFEATUREHEADERS,0),MATCH(($D$2 &amp; "Points"),CLASSNAMEHEADERS,0))</f>
        <v/>
      </c>
      <c r="F255" s="12" t="b">
        <v>0</v>
      </c>
      <c r="G255" s="148" t="str">
        <f t="array" ref="G255">INDEX(ALLCLASSDATA,MATCH(A255,CLASSFEATUREHEADERS,0),MATCH($G$2,CLASSNAMEHEADERS,0))</f>
        <v/>
      </c>
      <c r="H255" s="149" t="str">
        <f t="array" ref="H255">INDEX(ALLCLASSDATA,MATCH(A255,CLASSFEATUREHEADERS,0),MATCH(($G$2 &amp; "Points"),CLASSNAMEHEADERS,0))</f>
        <v/>
      </c>
      <c r="I255" s="12" t="b">
        <v>0</v>
      </c>
      <c r="J255" s="238" t="str">
        <f t="shared" si="57"/>
        <v/>
      </c>
      <c r="K255" s="149" t="str">
        <f t="shared" si="58"/>
        <v/>
      </c>
      <c r="L255" s="149">
        <f t="shared" si="62"/>
        <v>0</v>
      </c>
      <c r="M255" s="242" t="str">
        <f t="shared" si="59"/>
        <v/>
      </c>
      <c r="N255" s="243" t="str">
        <f t="shared" si="60"/>
        <v/>
      </c>
      <c r="O255" s="149">
        <f t="shared" si="61"/>
        <v>0</v>
      </c>
    </row>
    <row r="256" outlineLevel="1">
      <c r="A256" s="35" t="str">
        <f>CLASSDATA!A256</f>
        <v>SubclassInitial5-L00</v>
      </c>
      <c r="B256" s="35" t="str">
        <f>CLASSDATA!B256</f>
        <v>L00</v>
      </c>
      <c r="C256" s="35" t="str">
        <f>CLASSDATA!C256</f>
        <v/>
      </c>
      <c r="D256" s="148" t="str">
        <f t="array" ref="D256">INDEX(ALLCLASSDATA,MATCH(A256,CLASSFEATUREHEADERS,0),MATCH($D$2,CLASSNAMEHEADERS,0))</f>
        <v/>
      </c>
      <c r="E256" s="149" t="str">
        <f t="array" ref="E256">INDEX(ALLCLASSDATA,MATCH(A256,CLASSFEATUREHEADERS,0),MATCH(($D$2 &amp; "Points"),CLASSNAMEHEADERS,0))</f>
        <v/>
      </c>
      <c r="F256" s="12" t="b">
        <v>0</v>
      </c>
      <c r="G256" s="148" t="str">
        <f t="array" ref="G256">INDEX(ALLCLASSDATA,MATCH(A256,CLASSFEATUREHEADERS,0),MATCH($G$2,CLASSNAMEHEADERS,0))</f>
        <v/>
      </c>
      <c r="H256" s="149" t="str">
        <f t="array" ref="H256">INDEX(ALLCLASSDATA,MATCH(A256,CLASSFEATUREHEADERS,0),MATCH(($G$2 &amp; "Points"),CLASSNAMEHEADERS,0))</f>
        <v/>
      </c>
      <c r="I256" s="12" t="b">
        <v>0</v>
      </c>
      <c r="J256" s="238" t="str">
        <f t="shared" si="57"/>
        <v/>
      </c>
      <c r="K256" s="149" t="str">
        <f t="shared" si="58"/>
        <v/>
      </c>
      <c r="L256" s="149">
        <f t="shared" si="62"/>
        <v>0</v>
      </c>
      <c r="M256" s="242" t="str">
        <f t="shared" si="59"/>
        <v/>
      </c>
      <c r="N256" s="243" t="str">
        <f t="shared" si="60"/>
        <v/>
      </c>
      <c r="O256" s="149">
        <f t="shared" si="61"/>
        <v>0</v>
      </c>
    </row>
    <row r="257" outlineLevel="1">
      <c r="A257" s="35" t="str">
        <f>CLASSDATA!A257</f>
        <v>SubclassInitial6-L00</v>
      </c>
      <c r="B257" s="35" t="str">
        <f>CLASSDATA!B257</f>
        <v>L00</v>
      </c>
      <c r="C257" s="35" t="str">
        <f>CLASSDATA!C257</f>
        <v/>
      </c>
      <c r="D257" s="148" t="str">
        <f t="array" ref="D257">INDEX(ALLCLASSDATA,MATCH(A257,CLASSFEATUREHEADERS,0),MATCH($D$2,CLASSNAMEHEADERS,0))</f>
        <v/>
      </c>
      <c r="E257" s="149" t="str">
        <f t="array" ref="E257">INDEX(ALLCLASSDATA,MATCH(A257,CLASSFEATUREHEADERS,0),MATCH(($D$2 &amp; "Points"),CLASSNAMEHEADERS,0))</f>
        <v/>
      </c>
      <c r="F257" s="12" t="b">
        <v>0</v>
      </c>
      <c r="G257" s="148" t="str">
        <f t="array" ref="G257">INDEX(ALLCLASSDATA,MATCH(A257,CLASSFEATUREHEADERS,0),MATCH($G$2,CLASSNAMEHEADERS,0))</f>
        <v/>
      </c>
      <c r="H257" s="149" t="str">
        <f t="array" ref="H257">INDEX(ALLCLASSDATA,MATCH(A257,CLASSFEATUREHEADERS,0),MATCH(($G$2 &amp; "Points"),CLASSNAMEHEADERS,0))</f>
        <v/>
      </c>
      <c r="I257" s="12" t="b">
        <v>0</v>
      </c>
      <c r="J257" s="238" t="str">
        <f t="shared" si="57"/>
        <v/>
      </c>
      <c r="K257" s="149" t="str">
        <f t="shared" si="58"/>
        <v/>
      </c>
      <c r="L257" s="149">
        <f t="shared" si="62"/>
        <v>0</v>
      </c>
      <c r="M257" s="242" t="str">
        <f t="shared" si="59"/>
        <v/>
      </c>
      <c r="N257" s="243" t="str">
        <f t="shared" si="60"/>
        <v/>
      </c>
      <c r="O257" s="149">
        <f t="shared" si="61"/>
        <v>0</v>
      </c>
    </row>
    <row r="258" outlineLevel="1">
      <c r="A258" s="35" t="str">
        <f>CLASSDATA!A258</f>
        <v>SubclassInitial7-L00</v>
      </c>
      <c r="B258" s="35" t="str">
        <f>CLASSDATA!B258</f>
        <v>L00</v>
      </c>
      <c r="C258" s="35" t="str">
        <f>CLASSDATA!C258</f>
        <v/>
      </c>
      <c r="D258" s="148" t="str">
        <f t="array" ref="D258">INDEX(ALLCLASSDATA,MATCH(A258,CLASSFEATUREHEADERS,0),MATCH($D$2,CLASSNAMEHEADERS,0))</f>
        <v/>
      </c>
      <c r="E258" s="149" t="str">
        <f t="array" ref="E258">INDEX(ALLCLASSDATA,MATCH(A258,CLASSFEATUREHEADERS,0),MATCH(($D$2 &amp; "Points"),CLASSNAMEHEADERS,0))</f>
        <v/>
      </c>
      <c r="F258" s="12" t="b">
        <v>0</v>
      </c>
      <c r="G258" s="148" t="str">
        <f t="array" ref="G258">INDEX(ALLCLASSDATA,MATCH(A258,CLASSFEATUREHEADERS,0),MATCH($G$2,CLASSNAMEHEADERS,0))</f>
        <v/>
      </c>
      <c r="H258" s="149" t="str">
        <f t="array" ref="H258">INDEX(ALLCLASSDATA,MATCH(A258,CLASSFEATUREHEADERS,0),MATCH(($G$2 &amp; "Points"),CLASSNAMEHEADERS,0))</f>
        <v/>
      </c>
      <c r="I258" s="12" t="b">
        <v>0</v>
      </c>
      <c r="J258" s="238" t="str">
        <f t="shared" si="57"/>
        <v/>
      </c>
      <c r="K258" s="149" t="str">
        <f t="shared" si="58"/>
        <v/>
      </c>
      <c r="L258" s="149">
        <f t="shared" si="62"/>
        <v>0</v>
      </c>
      <c r="M258" s="242" t="str">
        <f t="shared" si="59"/>
        <v/>
      </c>
      <c r="N258" s="243" t="str">
        <f t="shared" si="60"/>
        <v/>
      </c>
      <c r="O258" s="149">
        <f t="shared" si="61"/>
        <v>0</v>
      </c>
    </row>
    <row r="259" outlineLevel="1">
      <c r="A259" s="35" t="str">
        <f>CLASSDATA!A259</f>
        <v>SubclassInitial8-L00</v>
      </c>
      <c r="B259" s="35" t="str">
        <f>CLASSDATA!B259</f>
        <v>L00</v>
      </c>
      <c r="C259" s="35" t="str">
        <f>CLASSDATA!C259</f>
        <v/>
      </c>
      <c r="D259" s="148" t="str">
        <f t="array" ref="D259">INDEX(ALLCLASSDATA,MATCH(A259,CLASSFEATUREHEADERS,0),MATCH($D$2,CLASSNAMEHEADERS,0))</f>
        <v/>
      </c>
      <c r="E259" s="149" t="str">
        <f t="array" ref="E259">INDEX(ALLCLASSDATA,MATCH(A259,CLASSFEATUREHEADERS,0),MATCH(($D$2 &amp; "Points"),CLASSNAMEHEADERS,0))</f>
        <v/>
      </c>
      <c r="F259" s="12" t="b">
        <v>0</v>
      </c>
      <c r="G259" s="148" t="str">
        <f t="array" ref="G259">INDEX(ALLCLASSDATA,MATCH(A259,CLASSFEATUREHEADERS,0),MATCH($G$2,CLASSNAMEHEADERS,0))</f>
        <v/>
      </c>
      <c r="H259" s="149" t="str">
        <f t="array" ref="H259">INDEX(ALLCLASSDATA,MATCH(A259,CLASSFEATUREHEADERS,0),MATCH(($G$2 &amp; "Points"),CLASSNAMEHEADERS,0))</f>
        <v/>
      </c>
      <c r="I259" s="12" t="b">
        <v>0</v>
      </c>
      <c r="J259" s="238" t="str">
        <f t="shared" si="57"/>
        <v/>
      </c>
      <c r="K259" s="149" t="str">
        <f t="shared" si="58"/>
        <v/>
      </c>
      <c r="L259" s="149">
        <f t="shared" si="62"/>
        <v>0</v>
      </c>
      <c r="M259" s="242" t="str">
        <f t="shared" si="59"/>
        <v/>
      </c>
      <c r="N259" s="243" t="str">
        <f t="shared" si="60"/>
        <v/>
      </c>
      <c r="O259" s="149">
        <f t="shared" si="61"/>
        <v>0</v>
      </c>
    </row>
    <row r="260" outlineLevel="1">
      <c r="A260" s="35" t="str">
        <f>CLASSDATA!A260</f>
        <v>SubclassInitial9-L00</v>
      </c>
      <c r="B260" s="35" t="str">
        <f>CLASSDATA!B260</f>
        <v>L00</v>
      </c>
      <c r="C260" s="35" t="str">
        <f>CLASSDATA!C260</f>
        <v/>
      </c>
      <c r="D260" s="148" t="str">
        <f t="array" ref="D260">INDEX(ALLCLASSDATA,MATCH(A260,CLASSFEATUREHEADERS,0),MATCH($D$2,CLASSNAMEHEADERS,0))</f>
        <v/>
      </c>
      <c r="E260" s="149" t="str">
        <f t="array" ref="E260">INDEX(ALLCLASSDATA,MATCH(A260,CLASSFEATUREHEADERS,0),MATCH(($D$2 &amp; "Points"),CLASSNAMEHEADERS,0))</f>
        <v/>
      </c>
      <c r="F260" s="12" t="b">
        <v>0</v>
      </c>
      <c r="G260" s="148" t="str">
        <f t="array" ref="G260">INDEX(ALLCLASSDATA,MATCH(A260,CLASSFEATUREHEADERS,0),MATCH($G$2,CLASSNAMEHEADERS,0))</f>
        <v/>
      </c>
      <c r="H260" s="149" t="str">
        <f t="array" ref="H260">INDEX(ALLCLASSDATA,MATCH(A260,CLASSFEATUREHEADERS,0),MATCH(($G$2 &amp; "Points"),CLASSNAMEHEADERS,0))</f>
        <v/>
      </c>
      <c r="I260" s="12" t="b">
        <v>0</v>
      </c>
      <c r="J260" s="238" t="str">
        <f t="shared" si="57"/>
        <v/>
      </c>
      <c r="K260" s="149" t="str">
        <f t="shared" si="58"/>
        <v/>
      </c>
      <c r="L260" s="149">
        <f t="shared" si="62"/>
        <v>0</v>
      </c>
      <c r="M260" s="242" t="str">
        <f t="shared" si="59"/>
        <v/>
      </c>
      <c r="N260" s="243" t="str">
        <f t="shared" si="60"/>
        <v/>
      </c>
      <c r="O260" s="149">
        <f t="shared" si="61"/>
        <v>0</v>
      </c>
    </row>
    <row r="261" outlineLevel="1">
      <c r="A261" s="35" t="str">
        <f>CLASSDATA!A261</f>
        <v>SubclassInitial10-L00</v>
      </c>
      <c r="B261" s="35" t="str">
        <f>CLASSDATA!B261</f>
        <v>L00</v>
      </c>
      <c r="C261" s="35" t="str">
        <f>CLASSDATA!C261</f>
        <v/>
      </c>
      <c r="D261" s="148" t="str">
        <f t="array" ref="D261">INDEX(ALLCLASSDATA,MATCH(A261,CLASSFEATUREHEADERS,0),MATCH($D$2,CLASSNAMEHEADERS,0))</f>
        <v/>
      </c>
      <c r="E261" s="149" t="str">
        <f t="array" ref="E261">INDEX(ALLCLASSDATA,MATCH(A261,CLASSFEATUREHEADERS,0),MATCH(($D$2 &amp; "Points"),CLASSNAMEHEADERS,0))</f>
        <v/>
      </c>
      <c r="F261" s="12" t="b">
        <v>0</v>
      </c>
      <c r="G261" s="148" t="str">
        <f t="array" ref="G261">INDEX(ALLCLASSDATA,MATCH(A261,CLASSFEATUREHEADERS,0),MATCH($G$2,CLASSNAMEHEADERS,0))</f>
        <v/>
      </c>
      <c r="H261" s="149" t="str">
        <f t="array" ref="H261">INDEX(ALLCLASSDATA,MATCH(A261,CLASSFEATUREHEADERS,0),MATCH(($G$2 &amp; "Points"),CLASSNAMEHEADERS,0))</f>
        <v/>
      </c>
      <c r="I261" s="12" t="b">
        <v>0</v>
      </c>
      <c r="J261" s="238" t="str">
        <f t="shared" si="57"/>
        <v/>
      </c>
      <c r="K261" s="149" t="str">
        <f t="shared" si="58"/>
        <v/>
      </c>
      <c r="L261" s="149">
        <f t="shared" si="62"/>
        <v>0</v>
      </c>
      <c r="M261" s="242" t="str">
        <f t="shared" si="59"/>
        <v/>
      </c>
      <c r="N261" s="243" t="str">
        <f t="shared" si="60"/>
        <v/>
      </c>
      <c r="O261" s="149">
        <f t="shared" si="61"/>
        <v>0</v>
      </c>
    </row>
    <row r="262" outlineLevel="1">
      <c r="A262" s="35" t="str">
        <f>CLASSDATA!A262</f>
        <v>SubclassAbility1-L03</v>
      </c>
      <c r="B262" s="35" t="str">
        <f>CLASSDATA!B262</f>
        <v>L03</v>
      </c>
      <c r="C262" s="35" t="str">
        <f>CLASSDATA!C262</f>
        <v/>
      </c>
      <c r="D262" s="148" t="str">
        <f t="array" ref="D262">INDEX(ALLCLASSDATA,MATCH(A262,CLASSFEATUREHEADERS,0),MATCH($D$2,CLASSNAMEHEADERS,0))</f>
        <v/>
      </c>
      <c r="E262" s="149" t="str">
        <f t="array" ref="E262">INDEX(ALLCLASSDATA,MATCH(A262,CLASSFEATUREHEADERS,0),MATCH(($D$2 &amp; "Points"),CLASSNAMEHEADERS,0))</f>
        <v/>
      </c>
      <c r="F262" s="12" t="b">
        <v>0</v>
      </c>
      <c r="G262" s="148" t="str">
        <f t="array" ref="G262">INDEX(ALLCLASSDATA,MATCH(A262,CLASSFEATUREHEADERS,0),MATCH($G$2,CLASSNAMEHEADERS,0))</f>
        <v/>
      </c>
      <c r="H262" s="149" t="str">
        <f t="array" ref="H262">INDEX(ALLCLASSDATA,MATCH(A262,CLASSFEATUREHEADERS,0),MATCH(($G$2 &amp; "Points"),CLASSNAMEHEADERS,0))</f>
        <v/>
      </c>
      <c r="I262" s="12" t="b">
        <v>0</v>
      </c>
      <c r="J262" s="238" t="str">
        <f t="shared" si="57"/>
        <v/>
      </c>
      <c r="K262" s="149" t="str">
        <f t="shared" si="58"/>
        <v/>
      </c>
      <c r="L262" s="149">
        <f t="shared" si="62"/>
        <v>0</v>
      </c>
      <c r="M262" s="242" t="str">
        <f t="shared" si="59"/>
        <v/>
      </c>
      <c r="N262" s="243" t="str">
        <f t="shared" si="60"/>
        <v/>
      </c>
      <c r="O262" s="149">
        <f t="shared" si="61"/>
        <v>0</v>
      </c>
    </row>
    <row r="263" outlineLevel="1">
      <c r="A263" s="35" t="str">
        <f>CLASSDATA!A263</f>
        <v>SubclassAbility2-L03</v>
      </c>
      <c r="B263" s="35" t="str">
        <f>CLASSDATA!B263</f>
        <v>L03</v>
      </c>
      <c r="C263" s="35" t="str">
        <f>CLASSDATA!C263</f>
        <v/>
      </c>
      <c r="D263" s="148" t="str">
        <f t="array" ref="D263">INDEX(ALLCLASSDATA,MATCH(A263,CLASSFEATUREHEADERS,0),MATCH($D$2,CLASSNAMEHEADERS,0))</f>
        <v/>
      </c>
      <c r="E263" s="149" t="str">
        <f t="array" ref="E263">INDEX(ALLCLASSDATA,MATCH(A263,CLASSFEATUREHEADERS,0),MATCH(($D$2 &amp; "Points"),CLASSNAMEHEADERS,0))</f>
        <v/>
      </c>
      <c r="F263" s="12" t="b">
        <v>0</v>
      </c>
      <c r="G263" s="148" t="str">
        <f t="array" ref="G263">INDEX(ALLCLASSDATA,MATCH(A263,CLASSFEATUREHEADERS,0),MATCH($G$2,CLASSNAMEHEADERS,0))</f>
        <v/>
      </c>
      <c r="H263" s="149" t="str">
        <f t="array" ref="H263">INDEX(ALLCLASSDATA,MATCH(A263,CLASSFEATUREHEADERS,0),MATCH(($G$2 &amp; "Points"),CLASSNAMEHEADERS,0))</f>
        <v/>
      </c>
      <c r="I263" s="12" t="b">
        <v>0</v>
      </c>
      <c r="J263" s="238" t="str">
        <f t="shared" si="57"/>
        <v/>
      </c>
      <c r="K263" s="149" t="str">
        <f t="shared" si="58"/>
        <v/>
      </c>
      <c r="L263" s="149">
        <f t="shared" si="62"/>
        <v>0</v>
      </c>
      <c r="M263" s="242" t="str">
        <f t="shared" si="59"/>
        <v/>
      </c>
      <c r="N263" s="243" t="str">
        <f t="shared" si="60"/>
        <v/>
      </c>
      <c r="O263" s="149">
        <f t="shared" si="61"/>
        <v>0</v>
      </c>
    </row>
    <row r="264" outlineLevel="1">
      <c r="A264" s="35" t="str">
        <f>CLASSDATA!A264</f>
        <v>SubclassAbility1-L05</v>
      </c>
      <c r="B264" s="35" t="str">
        <f>CLASSDATA!B264</f>
        <v>L05</v>
      </c>
      <c r="C264" s="35" t="str">
        <f>CLASSDATA!C264</f>
        <v/>
      </c>
      <c r="D264" s="148" t="str">
        <f t="array" ref="D264">INDEX(ALLCLASSDATA,MATCH(A264,CLASSFEATUREHEADERS,0),MATCH($D$2,CLASSNAMEHEADERS,0))</f>
        <v/>
      </c>
      <c r="E264" s="149" t="str">
        <f t="array" ref="E264">INDEX(ALLCLASSDATA,MATCH(A264,CLASSFEATUREHEADERS,0),MATCH(($D$2 &amp; "Points"),CLASSNAMEHEADERS,0))</f>
        <v/>
      </c>
      <c r="F264" s="12" t="b">
        <v>0</v>
      </c>
      <c r="G264" s="148" t="str">
        <f t="array" ref="G264">INDEX(ALLCLASSDATA,MATCH(A264,CLASSFEATUREHEADERS,0),MATCH($G$2,CLASSNAMEHEADERS,0))</f>
        <v/>
      </c>
      <c r="H264" s="149" t="str">
        <f t="array" ref="H264">INDEX(ALLCLASSDATA,MATCH(A264,CLASSFEATUREHEADERS,0),MATCH(($G$2 &amp; "Points"),CLASSNAMEHEADERS,0))</f>
        <v/>
      </c>
      <c r="I264" s="12" t="b">
        <v>0</v>
      </c>
      <c r="J264" s="238" t="str">
        <f t="shared" si="57"/>
        <v/>
      </c>
      <c r="K264" s="149" t="str">
        <f t="shared" si="58"/>
        <v/>
      </c>
      <c r="L264" s="149">
        <f t="shared" si="62"/>
        <v>0</v>
      </c>
      <c r="M264" s="242" t="str">
        <f t="shared" si="59"/>
        <v/>
      </c>
      <c r="N264" s="243" t="str">
        <f t="shared" si="60"/>
        <v/>
      </c>
      <c r="O264" s="149">
        <f t="shared" si="61"/>
        <v>0</v>
      </c>
    </row>
    <row r="265" outlineLevel="1">
      <c r="A265" s="35" t="str">
        <f>CLASSDATA!A265</f>
        <v>SubclassAbility2-L05</v>
      </c>
      <c r="B265" s="35" t="str">
        <f>CLASSDATA!B265</f>
        <v>L05</v>
      </c>
      <c r="C265" s="35" t="str">
        <f>CLASSDATA!C265</f>
        <v/>
      </c>
      <c r="D265" s="148" t="str">
        <f t="array" ref="D265">INDEX(ALLCLASSDATA,MATCH(A265,CLASSFEATUREHEADERS,0),MATCH($D$2,CLASSNAMEHEADERS,0))</f>
        <v/>
      </c>
      <c r="E265" s="149" t="str">
        <f t="array" ref="E265">INDEX(ALLCLASSDATA,MATCH(A265,CLASSFEATUREHEADERS,0),MATCH(($D$2 &amp; "Points"),CLASSNAMEHEADERS,0))</f>
        <v/>
      </c>
      <c r="F265" s="12" t="b">
        <v>0</v>
      </c>
      <c r="G265" s="148" t="str">
        <f t="array" ref="G265">INDEX(ALLCLASSDATA,MATCH(A265,CLASSFEATUREHEADERS,0),MATCH($G$2,CLASSNAMEHEADERS,0))</f>
        <v/>
      </c>
      <c r="H265" s="149" t="str">
        <f t="array" ref="H265">INDEX(ALLCLASSDATA,MATCH(A265,CLASSFEATUREHEADERS,0),MATCH(($G$2 &amp; "Points"),CLASSNAMEHEADERS,0))</f>
        <v/>
      </c>
      <c r="I265" s="12" t="b">
        <v>0</v>
      </c>
      <c r="J265" s="238" t="str">
        <f t="shared" si="57"/>
        <v/>
      </c>
      <c r="K265" s="149" t="str">
        <f t="shared" si="58"/>
        <v/>
      </c>
      <c r="L265" s="149">
        <f t="shared" si="62"/>
        <v>0</v>
      </c>
      <c r="M265" s="242" t="str">
        <f t="shared" si="59"/>
        <v/>
      </c>
      <c r="N265" s="243" t="str">
        <f t="shared" si="60"/>
        <v/>
      </c>
      <c r="O265" s="149">
        <f t="shared" si="61"/>
        <v>0</v>
      </c>
    </row>
    <row r="266" outlineLevel="1">
      <c r="A266" s="35" t="str">
        <f>CLASSDATA!A266</f>
        <v>SubclassAbility1-L07</v>
      </c>
      <c r="B266" s="35" t="str">
        <f>CLASSDATA!B266</f>
        <v>L07</v>
      </c>
      <c r="C266" s="35" t="str">
        <f>CLASSDATA!C266</f>
        <v/>
      </c>
      <c r="D266" s="148" t="str">
        <f t="array" ref="D266">INDEX(ALLCLASSDATA,MATCH(A266,CLASSFEATUREHEADERS,0),MATCH($D$2,CLASSNAMEHEADERS,0))</f>
        <v/>
      </c>
      <c r="E266" s="149" t="str">
        <f t="array" ref="E266">INDEX(ALLCLASSDATA,MATCH(A266,CLASSFEATUREHEADERS,0),MATCH(($D$2 &amp; "Points"),CLASSNAMEHEADERS,0))</f>
        <v/>
      </c>
      <c r="F266" s="12" t="b">
        <v>0</v>
      </c>
      <c r="G266" s="148" t="str">
        <f t="array" ref="G266">INDEX(ALLCLASSDATA,MATCH(A266,CLASSFEATUREHEADERS,0),MATCH($G$2,CLASSNAMEHEADERS,0))</f>
        <v/>
      </c>
      <c r="H266" s="149" t="str">
        <f t="array" ref="H266">INDEX(ALLCLASSDATA,MATCH(A266,CLASSFEATUREHEADERS,0),MATCH(($G$2 &amp; "Points"),CLASSNAMEHEADERS,0))</f>
        <v/>
      </c>
      <c r="I266" s="12" t="b">
        <v>0</v>
      </c>
      <c r="J266" s="238" t="str">
        <f t="shared" si="57"/>
        <v/>
      </c>
      <c r="K266" s="149" t="str">
        <f t="shared" si="58"/>
        <v/>
      </c>
      <c r="L266" s="149">
        <f t="shared" si="62"/>
        <v>0</v>
      </c>
      <c r="M266" s="242" t="str">
        <f t="shared" si="59"/>
        <v/>
      </c>
      <c r="N266" s="243" t="str">
        <f t="shared" si="60"/>
        <v/>
      </c>
      <c r="O266" s="149">
        <f t="shared" si="61"/>
        <v>0</v>
      </c>
    </row>
    <row r="267" outlineLevel="1">
      <c r="A267" s="35" t="str">
        <f>CLASSDATA!A267</f>
        <v>SubclassAbility2-L07</v>
      </c>
      <c r="B267" s="35" t="str">
        <f>CLASSDATA!B267</f>
        <v>L07</v>
      </c>
      <c r="C267" s="35" t="str">
        <f>CLASSDATA!C267</f>
        <v/>
      </c>
      <c r="D267" s="148" t="str">
        <f t="array" ref="D267">INDEX(ALLCLASSDATA,MATCH(A267,CLASSFEATUREHEADERS,0),MATCH($D$2,CLASSNAMEHEADERS,0))</f>
        <v/>
      </c>
      <c r="E267" s="149" t="str">
        <f t="array" ref="E267">INDEX(ALLCLASSDATA,MATCH(A267,CLASSFEATUREHEADERS,0),MATCH(($D$2 &amp; "Points"),CLASSNAMEHEADERS,0))</f>
        <v/>
      </c>
      <c r="F267" s="12" t="b">
        <v>0</v>
      </c>
      <c r="G267" s="148" t="str">
        <f t="array" ref="G267">INDEX(ALLCLASSDATA,MATCH(A267,CLASSFEATUREHEADERS,0),MATCH($G$2,CLASSNAMEHEADERS,0))</f>
        <v/>
      </c>
      <c r="H267" s="149" t="str">
        <f t="array" ref="H267">INDEX(ALLCLASSDATA,MATCH(A267,CLASSFEATUREHEADERS,0),MATCH(($G$2 &amp; "Points"),CLASSNAMEHEADERS,0))</f>
        <v/>
      </c>
      <c r="I267" s="12" t="b">
        <v>0</v>
      </c>
      <c r="J267" s="238" t="str">
        <f t="shared" si="57"/>
        <v/>
      </c>
      <c r="K267" s="149" t="str">
        <f t="shared" si="58"/>
        <v/>
      </c>
      <c r="L267" s="149">
        <f t="shared" si="62"/>
        <v>0</v>
      </c>
      <c r="M267" s="242" t="str">
        <f t="shared" si="59"/>
        <v/>
      </c>
      <c r="N267" s="243" t="str">
        <f t="shared" si="60"/>
        <v/>
      </c>
      <c r="O267" s="149">
        <f t="shared" si="61"/>
        <v>0</v>
      </c>
    </row>
    <row r="268" outlineLevel="1">
      <c r="A268" s="35" t="str">
        <f>CLASSDATA!A268</f>
        <v>SubclassAbility1-L09</v>
      </c>
      <c r="B268" s="35" t="str">
        <f>CLASSDATA!B268</f>
        <v>L09</v>
      </c>
      <c r="C268" s="35" t="str">
        <f>CLASSDATA!C268</f>
        <v/>
      </c>
      <c r="D268" s="148" t="str">
        <f t="array" ref="D268">INDEX(ALLCLASSDATA,MATCH(A268,CLASSFEATUREHEADERS,0),MATCH($D$2,CLASSNAMEHEADERS,0))</f>
        <v/>
      </c>
      <c r="E268" s="149" t="str">
        <f t="array" ref="E268">INDEX(ALLCLASSDATA,MATCH(A268,CLASSFEATUREHEADERS,0),MATCH(($D$2 &amp; "Points"),CLASSNAMEHEADERS,0))</f>
        <v/>
      </c>
      <c r="F268" s="12" t="b">
        <v>0</v>
      </c>
      <c r="G268" s="148" t="str">
        <f t="array" ref="G268">INDEX(ALLCLASSDATA,MATCH(A268,CLASSFEATUREHEADERS,0),MATCH($G$2,CLASSNAMEHEADERS,0))</f>
        <v/>
      </c>
      <c r="H268" s="149" t="str">
        <f t="array" ref="H268">INDEX(ALLCLASSDATA,MATCH(A268,CLASSFEATUREHEADERS,0),MATCH(($G$2 &amp; "Points"),CLASSNAMEHEADERS,0))</f>
        <v/>
      </c>
      <c r="I268" s="12" t="b">
        <v>0</v>
      </c>
      <c r="J268" s="238" t="str">
        <f t="shared" si="57"/>
        <v/>
      </c>
      <c r="K268" s="149" t="str">
        <f t="shared" si="58"/>
        <v/>
      </c>
      <c r="L268" s="149">
        <f t="shared" si="62"/>
        <v>0</v>
      </c>
      <c r="M268" s="242" t="str">
        <f t="shared" si="59"/>
        <v/>
      </c>
      <c r="N268" s="243" t="str">
        <f t="shared" si="60"/>
        <v/>
      </c>
      <c r="O268" s="149">
        <f t="shared" si="61"/>
        <v>0</v>
      </c>
    </row>
    <row r="269" outlineLevel="1">
      <c r="A269" s="35" t="str">
        <f>CLASSDATA!A269</f>
        <v>SubclassAbility2-L09</v>
      </c>
      <c r="B269" s="35" t="str">
        <f>CLASSDATA!B269</f>
        <v>L09</v>
      </c>
      <c r="C269" s="35" t="str">
        <f>CLASSDATA!C269</f>
        <v/>
      </c>
      <c r="D269" s="148" t="str">
        <f t="array" ref="D269">INDEX(ALLCLASSDATA,MATCH(A269,CLASSFEATUREHEADERS,0),MATCH($D$2,CLASSNAMEHEADERS,0))</f>
        <v/>
      </c>
      <c r="E269" s="149" t="str">
        <f t="array" ref="E269">INDEX(ALLCLASSDATA,MATCH(A269,CLASSFEATUREHEADERS,0),MATCH(($D$2 &amp; "Points"),CLASSNAMEHEADERS,0))</f>
        <v/>
      </c>
      <c r="F269" s="12" t="b">
        <v>0</v>
      </c>
      <c r="G269" s="148" t="str">
        <f t="array" ref="G269">INDEX(ALLCLASSDATA,MATCH(A269,CLASSFEATUREHEADERS,0),MATCH($G$2,CLASSNAMEHEADERS,0))</f>
        <v/>
      </c>
      <c r="H269" s="149" t="str">
        <f t="array" ref="H269">INDEX(ALLCLASSDATA,MATCH(A269,CLASSFEATUREHEADERS,0),MATCH(($G$2 &amp; "Points"),CLASSNAMEHEADERS,0))</f>
        <v/>
      </c>
      <c r="I269" s="12" t="b">
        <v>0</v>
      </c>
      <c r="J269" s="238" t="str">
        <f t="shared" si="57"/>
        <v/>
      </c>
      <c r="K269" s="149" t="str">
        <f t="shared" si="58"/>
        <v/>
      </c>
      <c r="L269" s="149">
        <f t="shared" si="62"/>
        <v>0</v>
      </c>
      <c r="M269" s="242" t="str">
        <f t="shared" si="59"/>
        <v/>
      </c>
      <c r="N269" s="243" t="str">
        <f t="shared" si="60"/>
        <v/>
      </c>
      <c r="O269" s="149">
        <f t="shared" si="61"/>
        <v>0</v>
      </c>
    </row>
    <row r="270" outlineLevel="1">
      <c r="A270" s="35" t="str">
        <f>CLASSDATA!A270</f>
        <v>SubclassAbility1-L11</v>
      </c>
      <c r="B270" s="35" t="str">
        <f>CLASSDATA!B270</f>
        <v>L11</v>
      </c>
      <c r="C270" s="35" t="str">
        <f>CLASSDATA!C270</f>
        <v/>
      </c>
      <c r="D270" s="148" t="str">
        <f t="array" ref="D270">INDEX(ALLCLASSDATA,MATCH(A270,CLASSFEATUREHEADERS,0),MATCH($D$2,CLASSNAMEHEADERS,0))</f>
        <v/>
      </c>
      <c r="E270" s="149" t="str">
        <f t="array" ref="E270">INDEX(ALLCLASSDATA,MATCH(A270,CLASSFEATUREHEADERS,0),MATCH(($D$2 &amp; "Points"),CLASSNAMEHEADERS,0))</f>
        <v/>
      </c>
      <c r="F270" s="12" t="b">
        <v>0</v>
      </c>
      <c r="G270" s="148" t="str">
        <f t="array" ref="G270">INDEX(ALLCLASSDATA,MATCH(A270,CLASSFEATUREHEADERS,0),MATCH($G$2,CLASSNAMEHEADERS,0))</f>
        <v/>
      </c>
      <c r="H270" s="149" t="str">
        <f t="array" ref="H270">INDEX(ALLCLASSDATA,MATCH(A270,CLASSFEATUREHEADERS,0),MATCH(($G$2 &amp; "Points"),CLASSNAMEHEADERS,0))</f>
        <v/>
      </c>
      <c r="I270" s="12" t="b">
        <v>0</v>
      </c>
      <c r="J270" s="238" t="str">
        <f t="shared" si="57"/>
        <v/>
      </c>
      <c r="K270" s="149" t="str">
        <f t="shared" si="58"/>
        <v/>
      </c>
      <c r="L270" s="149">
        <f t="shared" si="62"/>
        <v>0</v>
      </c>
      <c r="M270" s="242" t="str">
        <f t="shared" si="59"/>
        <v/>
      </c>
      <c r="N270" s="243" t="str">
        <f t="shared" si="60"/>
        <v/>
      </c>
      <c r="O270" s="149">
        <f t="shared" si="61"/>
        <v>0</v>
      </c>
    </row>
    <row r="271" outlineLevel="1">
      <c r="A271" s="35" t="str">
        <f>CLASSDATA!A271</f>
        <v>SubclassAbility2-L11</v>
      </c>
      <c r="B271" s="35" t="str">
        <f>CLASSDATA!B271</f>
        <v>L11</v>
      </c>
      <c r="C271" s="35" t="str">
        <f>CLASSDATA!C271</f>
        <v/>
      </c>
      <c r="D271" s="148" t="str">
        <f t="array" ref="D271">INDEX(ALLCLASSDATA,MATCH(A271,CLASSFEATUREHEADERS,0),MATCH($D$2,CLASSNAMEHEADERS,0))</f>
        <v/>
      </c>
      <c r="E271" s="149" t="str">
        <f t="array" ref="E271">INDEX(ALLCLASSDATA,MATCH(A271,CLASSFEATUREHEADERS,0),MATCH(($D$2 &amp; "Points"),CLASSNAMEHEADERS,0))</f>
        <v/>
      </c>
      <c r="F271" s="12" t="b">
        <v>0</v>
      </c>
      <c r="G271" s="148" t="str">
        <f t="array" ref="G271">INDEX(ALLCLASSDATA,MATCH(A271,CLASSFEATUREHEADERS,0),MATCH($G$2,CLASSNAMEHEADERS,0))</f>
        <v/>
      </c>
      <c r="H271" s="149" t="str">
        <f t="array" ref="H271">INDEX(ALLCLASSDATA,MATCH(A271,CLASSFEATUREHEADERS,0),MATCH(($G$2 &amp; "Points"),CLASSNAMEHEADERS,0))</f>
        <v/>
      </c>
      <c r="I271" s="12" t="b">
        <v>0</v>
      </c>
      <c r="J271" s="238" t="str">
        <f t="shared" si="57"/>
        <v/>
      </c>
      <c r="K271" s="149" t="str">
        <f t="shared" si="58"/>
        <v/>
      </c>
      <c r="L271" s="149">
        <f t="shared" si="62"/>
        <v>0</v>
      </c>
      <c r="M271" s="242" t="str">
        <f t="shared" si="59"/>
        <v/>
      </c>
      <c r="N271" s="243" t="str">
        <f t="shared" si="60"/>
        <v/>
      </c>
      <c r="O271" s="149">
        <f t="shared" si="61"/>
        <v>0</v>
      </c>
    </row>
    <row r="272" outlineLevel="1">
      <c r="A272" s="35" t="str">
        <f>CLASSDATA!A272</f>
        <v>SubclassAbility1-L13</v>
      </c>
      <c r="B272" s="35" t="str">
        <f>CLASSDATA!B272</f>
        <v>L13</v>
      </c>
      <c r="C272" s="35" t="str">
        <f>CLASSDATA!C272</f>
        <v/>
      </c>
      <c r="D272" s="148" t="str">
        <f t="array" ref="D272">INDEX(ALLCLASSDATA,MATCH(A272,CLASSFEATUREHEADERS,0),MATCH($D$2,CLASSNAMEHEADERS,0))</f>
        <v/>
      </c>
      <c r="E272" s="149" t="str">
        <f t="array" ref="E272">INDEX(ALLCLASSDATA,MATCH(A272,CLASSFEATUREHEADERS,0),MATCH(($D$2 &amp; "Points"),CLASSNAMEHEADERS,0))</f>
        <v/>
      </c>
      <c r="F272" s="12" t="b">
        <v>0</v>
      </c>
      <c r="G272" s="148" t="str">
        <f t="array" ref="G272">INDEX(ALLCLASSDATA,MATCH(A272,CLASSFEATUREHEADERS,0),MATCH($G$2,CLASSNAMEHEADERS,0))</f>
        <v/>
      </c>
      <c r="H272" s="149" t="str">
        <f t="array" ref="H272">INDEX(ALLCLASSDATA,MATCH(A272,CLASSFEATUREHEADERS,0),MATCH(($G$2 &amp; "Points"),CLASSNAMEHEADERS,0))</f>
        <v/>
      </c>
      <c r="I272" s="12" t="b">
        <v>0</v>
      </c>
      <c r="J272" s="238" t="str">
        <f t="shared" si="57"/>
        <v/>
      </c>
      <c r="K272" s="149" t="str">
        <f t="shared" si="58"/>
        <v/>
      </c>
      <c r="L272" s="149">
        <f t="shared" si="62"/>
        <v>0</v>
      </c>
      <c r="M272" s="242" t="str">
        <f t="shared" si="59"/>
        <v/>
      </c>
      <c r="N272" s="243" t="str">
        <f t="shared" si="60"/>
        <v/>
      </c>
      <c r="O272" s="149">
        <f t="shared" si="61"/>
        <v>0</v>
      </c>
    </row>
    <row r="273" outlineLevel="1">
      <c r="A273" s="35" t="str">
        <f>CLASSDATA!A273</f>
        <v>SubclassAbility2-L13</v>
      </c>
      <c r="B273" s="35" t="str">
        <f>CLASSDATA!B273</f>
        <v>L13</v>
      </c>
      <c r="C273" s="35" t="str">
        <f>CLASSDATA!C273</f>
        <v/>
      </c>
      <c r="D273" s="148" t="str">
        <f t="array" ref="D273">INDEX(ALLCLASSDATA,MATCH(A273,CLASSFEATUREHEADERS,0),MATCH($D$2,CLASSNAMEHEADERS,0))</f>
        <v/>
      </c>
      <c r="E273" s="149" t="str">
        <f t="array" ref="E273">INDEX(ALLCLASSDATA,MATCH(A273,CLASSFEATUREHEADERS,0),MATCH(($D$2 &amp; "Points"),CLASSNAMEHEADERS,0))</f>
        <v/>
      </c>
      <c r="F273" s="12" t="b">
        <v>0</v>
      </c>
      <c r="G273" s="148" t="str">
        <f t="array" ref="G273">INDEX(ALLCLASSDATA,MATCH(A273,CLASSFEATUREHEADERS,0),MATCH($G$2,CLASSNAMEHEADERS,0))</f>
        <v/>
      </c>
      <c r="H273" s="149" t="str">
        <f t="array" ref="H273">INDEX(ALLCLASSDATA,MATCH(A273,CLASSFEATUREHEADERS,0),MATCH(($G$2 &amp; "Points"),CLASSNAMEHEADERS,0))</f>
        <v/>
      </c>
      <c r="I273" s="12" t="b">
        <v>0</v>
      </c>
      <c r="J273" s="238" t="str">
        <f t="shared" si="57"/>
        <v/>
      </c>
      <c r="K273" s="149" t="str">
        <f t="shared" si="58"/>
        <v/>
      </c>
      <c r="L273" s="149">
        <f t="shared" si="62"/>
        <v>0</v>
      </c>
      <c r="M273" s="242" t="str">
        <f t="shared" si="59"/>
        <v/>
      </c>
      <c r="N273" s="243" t="str">
        <f t="shared" si="60"/>
        <v/>
      </c>
      <c r="O273" s="149">
        <f t="shared" si="61"/>
        <v>0</v>
      </c>
    </row>
    <row r="274" outlineLevel="1">
      <c r="A274" s="35" t="str">
        <f>CLASSDATA!A274</f>
        <v>SubclassAbility1-L15</v>
      </c>
      <c r="B274" s="35" t="str">
        <f>CLASSDATA!B274</f>
        <v>L15</v>
      </c>
      <c r="C274" s="35" t="str">
        <f>CLASSDATA!C274</f>
        <v/>
      </c>
      <c r="D274" s="148" t="str">
        <f t="array" ref="D274">INDEX(ALLCLASSDATA,MATCH(A274,CLASSFEATUREHEADERS,0),MATCH($D$2,CLASSNAMEHEADERS,0))</f>
        <v/>
      </c>
      <c r="E274" s="149" t="str">
        <f t="array" ref="E274">INDEX(ALLCLASSDATA,MATCH(A274,CLASSFEATUREHEADERS,0),MATCH(($D$2 &amp; "Points"),CLASSNAMEHEADERS,0))</f>
        <v/>
      </c>
      <c r="F274" s="12" t="b">
        <v>0</v>
      </c>
      <c r="G274" s="148" t="str">
        <f t="array" ref="G274">INDEX(ALLCLASSDATA,MATCH(A274,CLASSFEATUREHEADERS,0),MATCH($G$2,CLASSNAMEHEADERS,0))</f>
        <v/>
      </c>
      <c r="H274" s="149" t="str">
        <f t="array" ref="H274">INDEX(ALLCLASSDATA,MATCH(A274,CLASSFEATUREHEADERS,0),MATCH(($G$2 &amp; "Points"),CLASSNAMEHEADERS,0))</f>
        <v/>
      </c>
      <c r="I274" s="12" t="b">
        <v>0</v>
      </c>
      <c r="J274" s="238" t="str">
        <f t="shared" si="57"/>
        <v/>
      </c>
      <c r="K274" s="149" t="str">
        <f t="shared" si="58"/>
        <v/>
      </c>
      <c r="L274" s="149">
        <f t="shared" si="62"/>
        <v>0</v>
      </c>
      <c r="M274" s="242" t="str">
        <f t="shared" si="59"/>
        <v/>
      </c>
      <c r="N274" s="243" t="str">
        <f t="shared" si="60"/>
        <v/>
      </c>
      <c r="O274" s="149">
        <f t="shared" si="61"/>
        <v>0</v>
      </c>
    </row>
    <row r="275" outlineLevel="1">
      <c r="A275" s="35" t="str">
        <f>CLASSDATA!A275</f>
        <v>SubclassAbility2-L15</v>
      </c>
      <c r="B275" s="35" t="str">
        <f>CLASSDATA!B275</f>
        <v>L15</v>
      </c>
      <c r="C275" s="35" t="str">
        <f>CLASSDATA!C275</f>
        <v/>
      </c>
      <c r="D275" s="148" t="str">
        <f t="array" ref="D275">INDEX(ALLCLASSDATA,MATCH(A275,CLASSFEATUREHEADERS,0),MATCH($D$2,CLASSNAMEHEADERS,0))</f>
        <v/>
      </c>
      <c r="E275" s="149" t="str">
        <f t="array" ref="E275">INDEX(ALLCLASSDATA,MATCH(A275,CLASSFEATUREHEADERS,0),MATCH(($D$2 &amp; "Points"),CLASSNAMEHEADERS,0))</f>
        <v/>
      </c>
      <c r="F275" s="12" t="b">
        <v>0</v>
      </c>
      <c r="G275" s="148" t="str">
        <f t="array" ref="G275">INDEX(ALLCLASSDATA,MATCH(A275,CLASSFEATUREHEADERS,0),MATCH($G$2,CLASSNAMEHEADERS,0))</f>
        <v/>
      </c>
      <c r="H275" s="149" t="str">
        <f t="array" ref="H275">INDEX(ALLCLASSDATA,MATCH(A275,CLASSFEATUREHEADERS,0),MATCH(($G$2 &amp; "Points"),CLASSNAMEHEADERS,0))</f>
        <v/>
      </c>
      <c r="I275" s="12" t="b">
        <v>0</v>
      </c>
      <c r="J275" s="238" t="str">
        <f t="shared" si="57"/>
        <v/>
      </c>
      <c r="K275" s="149" t="str">
        <f t="shared" si="58"/>
        <v/>
      </c>
      <c r="L275" s="149">
        <f t="shared" si="62"/>
        <v>0</v>
      </c>
      <c r="M275" s="242" t="str">
        <f t="shared" si="59"/>
        <v/>
      </c>
      <c r="N275" s="243" t="str">
        <f t="shared" si="60"/>
        <v/>
      </c>
      <c r="O275" s="149">
        <f t="shared" si="61"/>
        <v>0</v>
      </c>
    </row>
    <row r="276" outlineLevel="1">
      <c r="A276" s="35" t="str">
        <f>CLASSDATA!A276</f>
        <v>SubclassAbility1-L17</v>
      </c>
      <c r="B276" s="35" t="str">
        <f>CLASSDATA!B276</f>
        <v>L17</v>
      </c>
      <c r="C276" s="35" t="str">
        <f>CLASSDATA!C276</f>
        <v/>
      </c>
      <c r="D276" s="148" t="str">
        <f t="array" ref="D276">INDEX(ALLCLASSDATA,MATCH(A276,CLASSFEATUREHEADERS,0),MATCH($D$2,CLASSNAMEHEADERS,0))</f>
        <v/>
      </c>
      <c r="E276" s="149" t="str">
        <f t="array" ref="E276">INDEX(ALLCLASSDATA,MATCH(A276,CLASSFEATUREHEADERS,0),MATCH(($D$2 &amp; "Points"),CLASSNAMEHEADERS,0))</f>
        <v/>
      </c>
      <c r="F276" s="12" t="b">
        <v>0</v>
      </c>
      <c r="G276" s="148" t="str">
        <f t="array" ref="G276">INDEX(ALLCLASSDATA,MATCH(A276,CLASSFEATUREHEADERS,0),MATCH($G$2,CLASSNAMEHEADERS,0))</f>
        <v/>
      </c>
      <c r="H276" s="149" t="str">
        <f t="array" ref="H276">INDEX(ALLCLASSDATA,MATCH(A276,CLASSFEATUREHEADERS,0),MATCH(($G$2 &amp; "Points"),CLASSNAMEHEADERS,0))</f>
        <v/>
      </c>
      <c r="I276" s="12" t="b">
        <v>0</v>
      </c>
      <c r="J276" s="238" t="str">
        <f t="shared" si="57"/>
        <v/>
      </c>
      <c r="K276" s="149" t="str">
        <f t="shared" si="58"/>
        <v/>
      </c>
      <c r="L276" s="149">
        <f t="shared" si="62"/>
        <v>0</v>
      </c>
      <c r="M276" s="242" t="str">
        <f t="shared" si="59"/>
        <v/>
      </c>
      <c r="N276" s="243" t="str">
        <f t="shared" si="60"/>
        <v/>
      </c>
      <c r="O276" s="149">
        <f t="shared" si="61"/>
        <v>0</v>
      </c>
    </row>
    <row r="277" outlineLevel="1">
      <c r="A277" s="35" t="str">
        <f>CLASSDATA!A277</f>
        <v>SubclassAbility2-L17</v>
      </c>
      <c r="B277" s="35" t="str">
        <f>CLASSDATA!B277</f>
        <v>L17</v>
      </c>
      <c r="C277" s="35" t="str">
        <f>CLASSDATA!C277</f>
        <v/>
      </c>
      <c r="D277" s="148" t="str">
        <f t="array" ref="D277">INDEX(ALLCLASSDATA,MATCH(A277,CLASSFEATUREHEADERS,0),MATCH($D$2,CLASSNAMEHEADERS,0))</f>
        <v/>
      </c>
      <c r="E277" s="149" t="str">
        <f t="array" ref="E277">INDEX(ALLCLASSDATA,MATCH(A277,CLASSFEATUREHEADERS,0),MATCH(($D$2 &amp; "Points"),CLASSNAMEHEADERS,0))</f>
        <v/>
      </c>
      <c r="F277" s="12" t="b">
        <v>0</v>
      </c>
      <c r="G277" s="148" t="str">
        <f t="array" ref="G277">INDEX(ALLCLASSDATA,MATCH(A277,CLASSFEATUREHEADERS,0),MATCH($G$2,CLASSNAMEHEADERS,0))</f>
        <v/>
      </c>
      <c r="H277" s="149" t="str">
        <f t="array" ref="H277">INDEX(ALLCLASSDATA,MATCH(A277,CLASSFEATUREHEADERS,0),MATCH(($G$2 &amp; "Points"),CLASSNAMEHEADERS,0))</f>
        <v/>
      </c>
      <c r="I277" s="12" t="b">
        <v>0</v>
      </c>
      <c r="J277" s="238" t="str">
        <f t="shared" si="57"/>
        <v/>
      </c>
      <c r="K277" s="149" t="str">
        <f t="shared" si="58"/>
        <v/>
      </c>
      <c r="L277" s="149">
        <f t="shared" si="62"/>
        <v>0</v>
      </c>
      <c r="M277" s="242" t="str">
        <f t="shared" si="59"/>
        <v/>
      </c>
      <c r="N277" s="243" t="str">
        <f t="shared" si="60"/>
        <v/>
      </c>
      <c r="O277" s="149">
        <f t="shared" si="61"/>
        <v>0</v>
      </c>
    </row>
    <row r="278" outlineLevel="1">
      <c r="A278" s="35" t="str">
        <f>CLASSDATA!A278</f>
        <v>SubclassAbility1-L19</v>
      </c>
      <c r="B278" s="35" t="str">
        <f>CLASSDATA!B278</f>
        <v>L19</v>
      </c>
      <c r="C278" s="35" t="str">
        <f>CLASSDATA!C278</f>
        <v/>
      </c>
      <c r="D278" s="148" t="str">
        <f t="array" ref="D278">INDEX(ALLCLASSDATA,MATCH(A278,CLASSFEATUREHEADERS,0),MATCH($D$2,CLASSNAMEHEADERS,0))</f>
        <v/>
      </c>
      <c r="E278" s="149" t="str">
        <f t="array" ref="E278">INDEX(ALLCLASSDATA,MATCH(A278,CLASSFEATUREHEADERS,0),MATCH(($D$2 &amp; "Points"),CLASSNAMEHEADERS,0))</f>
        <v/>
      </c>
      <c r="F278" s="12" t="b">
        <v>0</v>
      </c>
      <c r="G278" s="148" t="str">
        <f t="array" ref="G278">INDEX(ALLCLASSDATA,MATCH(A278,CLASSFEATUREHEADERS,0),MATCH($G$2,CLASSNAMEHEADERS,0))</f>
        <v/>
      </c>
      <c r="H278" s="149" t="str">
        <f t="array" ref="H278">INDEX(ALLCLASSDATA,MATCH(A278,CLASSFEATUREHEADERS,0),MATCH(($G$2 &amp; "Points"),CLASSNAMEHEADERS,0))</f>
        <v/>
      </c>
      <c r="I278" s="12" t="b">
        <v>0</v>
      </c>
      <c r="J278" s="238" t="str">
        <f t="shared" si="57"/>
        <v/>
      </c>
      <c r="K278" s="149" t="str">
        <f t="shared" si="58"/>
        <v/>
      </c>
      <c r="L278" s="149">
        <f t="shared" si="62"/>
        <v>0</v>
      </c>
      <c r="M278" s="242" t="str">
        <f t="shared" si="59"/>
        <v/>
      </c>
      <c r="N278" s="243" t="str">
        <f t="shared" si="60"/>
        <v/>
      </c>
      <c r="O278" s="149">
        <f t="shared" si="61"/>
        <v>0</v>
      </c>
    </row>
    <row r="279" outlineLevel="1">
      <c r="A279" s="35" t="str">
        <f>CLASSDATA!A279</f>
        <v>SubclassAbility2-L19</v>
      </c>
      <c r="B279" s="35" t="str">
        <f>CLASSDATA!B279</f>
        <v>L19</v>
      </c>
      <c r="C279" s="35" t="str">
        <f>CLASSDATA!C279</f>
        <v/>
      </c>
      <c r="D279" s="148" t="str">
        <f t="array" ref="D279">INDEX(ALLCLASSDATA,MATCH(A279,CLASSFEATUREHEADERS,0),MATCH($D$2,CLASSNAMEHEADERS,0))</f>
        <v/>
      </c>
      <c r="E279" s="149" t="str">
        <f t="array" ref="E279">INDEX(ALLCLASSDATA,MATCH(A279,CLASSFEATUREHEADERS,0),MATCH(($D$2 &amp; "Points"),CLASSNAMEHEADERS,0))</f>
        <v/>
      </c>
      <c r="F279" s="12" t="b">
        <v>0</v>
      </c>
      <c r="G279" s="148" t="str">
        <f t="array" ref="G279">INDEX(ALLCLASSDATA,MATCH(A279,CLASSFEATUREHEADERS,0),MATCH($G$2,CLASSNAMEHEADERS,0))</f>
        <v/>
      </c>
      <c r="H279" s="149" t="str">
        <f t="array" ref="H279">INDEX(ALLCLASSDATA,MATCH(A279,CLASSFEATUREHEADERS,0),MATCH(($G$2 &amp; "Points"),CLASSNAMEHEADERS,0))</f>
        <v/>
      </c>
      <c r="I279" s="12" t="b">
        <v>0</v>
      </c>
      <c r="J279" s="238" t="str">
        <f t="shared" si="57"/>
        <v/>
      </c>
      <c r="K279" s="149" t="str">
        <f t="shared" si="58"/>
        <v/>
      </c>
      <c r="L279" s="149">
        <f t="shared" si="62"/>
        <v>0</v>
      </c>
      <c r="M279" s="242" t="str">
        <f t="shared" si="59"/>
        <v/>
      </c>
      <c r="N279" s="243" t="str">
        <f t="shared" si="60"/>
        <v/>
      </c>
      <c r="O279" s="149">
        <f t="shared" si="61"/>
        <v>0</v>
      </c>
    </row>
    <row r="280">
      <c r="A280" s="35"/>
      <c r="B280" s="35"/>
      <c r="C280" s="35"/>
      <c r="D280" s="148"/>
      <c r="G280" s="148"/>
      <c r="J280" s="238"/>
      <c r="M280" s="238"/>
    </row>
    <row r="281">
      <c r="A281" s="35"/>
      <c r="B281" s="35"/>
      <c r="C281" s="35"/>
      <c r="D281" s="148"/>
      <c r="G281" s="148"/>
      <c r="J281" s="238"/>
      <c r="M281" s="238"/>
    </row>
    <row r="282">
      <c r="A282" s="35"/>
      <c r="B282" s="35"/>
      <c r="C282" s="35"/>
      <c r="D282" s="148"/>
      <c r="G282" s="148"/>
      <c r="J282" s="238"/>
      <c r="M282" s="238"/>
    </row>
    <row r="283">
      <c r="A283" s="35"/>
      <c r="B283" s="35"/>
      <c r="C283" s="35"/>
      <c r="D283" s="148"/>
      <c r="G283" s="148"/>
      <c r="J283" s="238"/>
      <c r="M283" s="238"/>
    </row>
    <row r="284">
      <c r="A284" s="35"/>
      <c r="B284" s="35"/>
      <c r="C284" s="35"/>
      <c r="D284" s="148"/>
      <c r="G284" s="148"/>
      <c r="J284" s="238"/>
      <c r="M284" s="238"/>
    </row>
    <row r="285">
      <c r="A285" s="35"/>
      <c r="B285" s="35"/>
      <c r="C285" s="35"/>
      <c r="D285" s="148"/>
      <c r="G285" s="148"/>
      <c r="J285" s="238"/>
      <c r="M285" s="238"/>
    </row>
    <row r="286">
      <c r="A286" s="35"/>
      <c r="B286" s="35"/>
      <c r="C286" s="35"/>
      <c r="D286" s="148"/>
      <c r="G286" s="148"/>
      <c r="J286" s="238"/>
      <c r="M286" s="238"/>
    </row>
    <row r="287">
      <c r="A287" s="35"/>
      <c r="B287" s="35"/>
      <c r="C287" s="35"/>
      <c r="D287" s="148"/>
      <c r="G287" s="148"/>
      <c r="J287" s="238"/>
      <c r="M287" s="238"/>
    </row>
    <row r="288">
      <c r="A288" s="35"/>
      <c r="B288" s="35"/>
      <c r="C288" s="35"/>
      <c r="D288" s="148"/>
      <c r="G288" s="148"/>
      <c r="J288" s="238"/>
      <c r="M288" s="238"/>
    </row>
    <row r="289">
      <c r="A289" s="35"/>
      <c r="B289" s="35"/>
      <c r="C289" s="35"/>
      <c r="D289" s="148"/>
      <c r="G289" s="148"/>
      <c r="J289" s="238"/>
      <c r="M289" s="238"/>
    </row>
    <row r="290">
      <c r="A290" s="35"/>
      <c r="B290" s="35"/>
      <c r="C290" s="35"/>
      <c r="D290" s="148"/>
      <c r="G290" s="148"/>
      <c r="J290" s="238"/>
      <c r="M290" s="238"/>
    </row>
  </sheetData>
  <mergeCells count="3">
    <mergeCell ref="D1:I1"/>
    <mergeCell ref="J1:L1"/>
    <mergeCell ref="M1:P1"/>
  </mergeCells>
  <conditionalFormatting sqref="J41">
    <cfRule type="notContainsBlanks" dxfId="1" priority="1">
      <formula>LEN(TRIM(J41))&gt;0</formula>
    </cfRule>
  </conditionalFormatting>
  <conditionalFormatting sqref="O7">
    <cfRule type="cellIs" dxfId="2" priority="2" operator="equal">
      <formula>0</formula>
    </cfRule>
  </conditionalFormatting>
  <conditionalFormatting sqref="F8:F9 I8:I9">
    <cfRule type="expression" dxfId="3" priority="3">
      <formula>D8&lt;&gt;F8</formula>
    </cfRule>
  </conditionalFormatting>
  <dataValidations>
    <dataValidation type="list" allowBlank="1" showErrorMessage="1" sqref="D2 G2">
      <formula1>CLASSPICKER</formula1>
    </dataValidation>
    <dataValidation type="list" allowBlank="1" sqref="O5:O6">
      <formula1>"STR,DEX,CON,INT,WIS,CHA"</formula1>
    </dataValidation>
  </dataValidations>
  <hyperlinks>
    <hyperlink display="ClassType" location="CLASSPROFILES!A1" ref="A5"/>
  </hyperlink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31.13"/>
  </cols>
  <sheetData>
    <row r="1">
      <c r="A1" s="272" t="s">
        <v>1893</v>
      </c>
    </row>
    <row r="2">
      <c r="A2" s="22" t="s">
        <v>1894</v>
      </c>
    </row>
    <row r="3">
      <c r="A3" s="22" t="s">
        <v>1895</v>
      </c>
    </row>
    <row r="4">
      <c r="A4" s="22" t="s">
        <v>1896</v>
      </c>
    </row>
    <row r="5">
      <c r="A5" s="22" t="s">
        <v>1897</v>
      </c>
    </row>
    <row r="6">
      <c r="A6" s="22" t="s">
        <v>1898</v>
      </c>
    </row>
    <row r="7">
      <c r="A7" s="21"/>
    </row>
    <row r="8">
      <c r="A8" s="22"/>
    </row>
    <row r="9">
      <c r="A9" s="22" t="s">
        <v>1899</v>
      </c>
    </row>
    <row r="10">
      <c r="A10" s="21"/>
    </row>
  </sheetData>
  <drawing r:id="rId1"/>
</worksheet>
</file>